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showInkAnnotation="0" codeName="ThisWorkbook" defaultThemeVersion="124226"/>
  <mc:AlternateContent xmlns:mc="http://schemas.openxmlformats.org/markup-compatibility/2006">
    <mc:Choice Requires="x15">
      <x15ac:absPath xmlns:x15ac="http://schemas.microsoft.com/office/spreadsheetml/2010/11/ac" url="H:\APP\PA\PAForum\Web Publications\FINANCE\Formula Funding and Advisory Committees\2024-2025 Biennium\"/>
    </mc:Choice>
  </mc:AlternateContent>
  <xr:revisionPtr revIDLastSave="0" documentId="13_ncr:1_{C3F6C81F-2981-47AB-BE78-5F93DEF00587}" xr6:coauthVersionLast="47" xr6:coauthVersionMax="47" xr10:uidLastSave="{00000000-0000-0000-0000-000000000000}"/>
  <bookViews>
    <workbookView xWindow="-108" yWindow="-108" windowWidth="23256" windowHeight="12576" tabRatio="882" xr2:uid="{00000000-000D-0000-FFFF-FFFF00000000}"/>
  </bookViews>
  <sheets>
    <sheet name="Summary" sheetId="54" r:id="rId1"/>
    <sheet name="Operations Support" sheetId="11" r:id="rId2"/>
    <sheet name="Expenditure Study" sheetId="5" r:id="rId3"/>
    <sheet name="CRU At-Risk" sheetId="56" r:id="rId4"/>
    <sheet name="TRUF" sheetId="62" r:id="rId5"/>
    <sheet name="NRSF(previously CRS)" sheetId="63" r:id="rId6"/>
    <sheet name="TUF (non-formula)" sheetId="65" r:id="rId7"/>
    <sheet name="CRF" sheetId="64" r:id="rId8"/>
    <sheet name="Space Support" sheetId="33" r:id="rId9"/>
    <sheet name="Utilities" sheetId="35" r:id="rId10"/>
    <sheet name="TAMUG" sheetId="34" r:id="rId11"/>
    <sheet name="SIS" sheetId="36" r:id="rId12"/>
    <sheet name="Comparison" sheetId="21" r:id="rId13"/>
    <sheet name="Fall to Fall SCH" sheetId="60" r:id="rId14"/>
    <sheet name="Law VM Tuition" sheetId="30" r:id="rId15"/>
  </sheets>
  <definedNames>
    <definedName name="_Fill" localSheetId="12" hidden="1">Comparison!#REF!</definedName>
    <definedName name="_Fill" localSheetId="7" hidden="1">#REF!</definedName>
    <definedName name="_Fill" localSheetId="3" hidden="1">#REF!</definedName>
    <definedName name="_Fill" localSheetId="5" hidden="1">#REF!</definedName>
    <definedName name="_Fill" localSheetId="0" hidden="1">#REF!</definedName>
    <definedName name="_Fill" localSheetId="4" hidden="1">#REF!</definedName>
    <definedName name="_Fill" localSheetId="6" hidden="1">#REF!</definedName>
    <definedName name="_Fill" hidden="1">#REF!</definedName>
    <definedName name="_xlnm._FilterDatabase" localSheetId="7" hidden="1">CRF!$A$3:$C$30</definedName>
    <definedName name="_xlnm._FilterDatabase" localSheetId="3" hidden="1">'CRU At-Risk'!$A$3:$E$31</definedName>
    <definedName name="_xlnm._FilterDatabase" localSheetId="5" hidden="1">'NRSF(previously CRS)'!$A$3:$D$13</definedName>
    <definedName name="_xlnm._FilterDatabase" localSheetId="1" hidden="1">'Operations Support'!$A$4:$AO$3891</definedName>
    <definedName name="_xlnm._FilterDatabase" localSheetId="4" hidden="1">TRUF!$A$3:$C$10</definedName>
    <definedName name="_xlnm._FilterDatabase" localSheetId="6" hidden="1">'TUF (non-formula)'!$A$4:$D$17</definedName>
    <definedName name="_Order1" hidden="1">255</definedName>
    <definedName name="_Order2" hidden="1">255</definedName>
    <definedName name="FALL2020" localSheetId="13">'Fall to Fall SCH'!#REF!</definedName>
    <definedName name="MATCHINST" localSheetId="7">#REF!</definedName>
    <definedName name="MATCHINST" localSheetId="3">#REF!</definedName>
    <definedName name="MATCHINST" localSheetId="5">#REF!</definedName>
    <definedName name="MATCHINST" localSheetId="4">#REF!</definedName>
    <definedName name="MATCHINST" localSheetId="6">#REF!</definedName>
    <definedName name="MATCHINST">#REF!</definedName>
    <definedName name="_xlnm.Print_Area" localSheetId="2">'Expenditure Study'!$B$1:$G$32</definedName>
    <definedName name="_xlnm.Print_Area" localSheetId="9">Utilities!$A$1:$AB$53</definedName>
    <definedName name="_xlnm.Print_Titles" localSheetId="0">Summary!$1:$3</definedName>
    <definedName name="_xlnm.Print_Titles" localSheetId="9">Utilities!$A:$B</definedName>
    <definedName name="solver_adj" localSheetId="8" hidden="1">'Space Support'!$F$60</definedName>
    <definedName name="solver_adj" hidden="1">'Space Support'!$F$60</definedName>
    <definedName name="solver_adj2" localSheetId="7" hidden="1">#REF!</definedName>
    <definedName name="solver_adj2" localSheetId="3" hidden="1">#REF!</definedName>
    <definedName name="solver_adj2" localSheetId="5" hidden="1">#REF!</definedName>
    <definedName name="solver_adj2" localSheetId="4" hidden="1">#REF!</definedName>
    <definedName name="solver_adj2" localSheetId="6" hidden="1">#REF!</definedName>
    <definedName name="solver_adj2" hidden="1">#REF!</definedName>
    <definedName name="solver_cvg" localSheetId="8" hidden="1">0.0001</definedName>
    <definedName name="solver_cvg" hidden="1">0.0001</definedName>
    <definedName name="solver_drv" localSheetId="8" hidden="1">1</definedName>
    <definedName name="solver_drv" hidden="1">1</definedName>
    <definedName name="solver_est" localSheetId="8" hidden="1">1</definedName>
    <definedName name="solver_est" hidden="1">1</definedName>
    <definedName name="solver_itr" localSheetId="8" hidden="1">100</definedName>
    <definedName name="solver_itr" hidden="1">100</definedName>
    <definedName name="solver_lin" localSheetId="8" hidden="1">2</definedName>
    <definedName name="solver_lin" hidden="1">2</definedName>
    <definedName name="solver_neg" localSheetId="8" hidden="1">2</definedName>
    <definedName name="solver_neg" hidden="1">2</definedName>
    <definedName name="solver_num" localSheetId="8" hidden="1">0</definedName>
    <definedName name="solver_num" hidden="1">0</definedName>
    <definedName name="solver_nwt" localSheetId="8" hidden="1">1</definedName>
    <definedName name="solver_nwt" hidden="1">1</definedName>
    <definedName name="solver_opt" localSheetId="7" hidden="1">#REF!</definedName>
    <definedName name="solver_opt" localSheetId="3" hidden="1">#REF!</definedName>
    <definedName name="solver_opt" localSheetId="5" hidden="1">#REF!</definedName>
    <definedName name="solver_opt" localSheetId="8" hidden="1">'Space Support'!#REF!</definedName>
    <definedName name="solver_opt" localSheetId="0" hidden="1">'Space Support'!#REF!</definedName>
    <definedName name="solver_opt" localSheetId="4" hidden="1">#REF!</definedName>
    <definedName name="solver_opt" localSheetId="6" hidden="1">#REF!</definedName>
    <definedName name="solver_opt" hidden="1">'Space Support'!#REF!</definedName>
    <definedName name="solver_pre" localSheetId="8" hidden="1">0.000001</definedName>
    <definedName name="solver_pre" hidden="1">0.000001</definedName>
    <definedName name="solver_scl" localSheetId="8" hidden="1">2</definedName>
    <definedName name="solver_scl" hidden="1">2</definedName>
    <definedName name="solver_sho" localSheetId="8" hidden="1">2</definedName>
    <definedName name="solver_sho" hidden="1">2</definedName>
    <definedName name="solver_tim" localSheetId="8" hidden="1">100</definedName>
    <definedName name="solver_tim" hidden="1">100</definedName>
    <definedName name="solver_tol" localSheetId="8" hidden="1">0.05</definedName>
    <definedName name="solver_tol" hidden="1">0.05</definedName>
    <definedName name="solver_typ" localSheetId="8" hidden="1">3</definedName>
    <definedName name="solver_typ" hidden="1">3</definedName>
    <definedName name="solver_val" localSheetId="8" hidden="1">0</definedName>
    <definedName name="solver_val" hidden="1">0</definedName>
    <definedName name="SUMSCH1">#REF!</definedName>
    <definedName name="Z_0A074BB4_530D_46F6_B04A_F3AC2D212DBE_.wvu.Cols" localSheetId="0" hidden="1">Summary!$A:$A,Summary!#REF!</definedName>
    <definedName name="Z_0A074BB4_530D_46F6_B04A_F3AC2D212DBE_.wvu.PrintArea" localSheetId="12" hidden="1">Comparison!$A$4:$G$84</definedName>
    <definedName name="Z_0A074BB4_530D_46F6_B04A_F3AC2D212DBE_.wvu.PrintArea" localSheetId="2" hidden="1">'Expenditure Study'!$B$1:$G$29</definedName>
    <definedName name="Z_0A074BB4_530D_46F6_B04A_F3AC2D212DBE_.wvu.PrintArea" localSheetId="0" hidden="1">Summary!#REF!</definedName>
    <definedName name="Z_0A074BB4_530D_46F6_B04A_F3AC2D212DBE_.wvu.PrintTitles" localSheetId="0" hidden="1">Summary!$B:$B</definedName>
    <definedName name="Z_0AC59CCA_1D93_4C50_8C5F_9E8BB12C4032_.wvu.Cols" localSheetId="0" hidden="1">Summary!$A:$A</definedName>
    <definedName name="Z_0AC59CCA_1D93_4C50_8C5F_9E8BB12C4032_.wvu.PrintArea" localSheetId="12" hidden="1">Comparison!$A$4:$G$84</definedName>
    <definedName name="Z_0AC59CCA_1D93_4C50_8C5F_9E8BB12C4032_.wvu.PrintArea" localSheetId="0" hidden="1">Summary!$B$1:$I$62</definedName>
    <definedName name="Z_0AC59CCA_1D93_4C50_8C5F_9E8BB12C4032_.wvu.PrintTitles" localSheetId="0" hidden="1">Summary!$B:$B</definedName>
    <definedName name="Z_0F3EBC76_0056_4406_B97D_60B0B640312C_.wvu.PrintArea" localSheetId="12" hidden="1">Comparison!$A$1:$G$47</definedName>
    <definedName name="Z_175A74B9_04D8_4168_BE0E_B9F6D216804E_.wvu.Cols" localSheetId="7" hidden="1">#REF!</definedName>
    <definedName name="Z_175A74B9_04D8_4168_BE0E_B9F6D216804E_.wvu.Cols" localSheetId="3" hidden="1">#REF!</definedName>
    <definedName name="Z_175A74B9_04D8_4168_BE0E_B9F6D216804E_.wvu.Cols" localSheetId="5" hidden="1">#REF!</definedName>
    <definedName name="Z_175A74B9_04D8_4168_BE0E_B9F6D216804E_.wvu.Cols" localSheetId="0" hidden="1">#REF!</definedName>
    <definedName name="Z_175A74B9_04D8_4168_BE0E_B9F6D216804E_.wvu.Cols" localSheetId="4" hidden="1">#REF!</definedName>
    <definedName name="Z_175A74B9_04D8_4168_BE0E_B9F6D216804E_.wvu.Cols" localSheetId="6" hidden="1">#REF!</definedName>
    <definedName name="Z_175A74B9_04D8_4168_BE0E_B9F6D216804E_.wvu.Cols" hidden="1">#REF!</definedName>
    <definedName name="Z_175A74B9_04D8_4168_BE0E_B9F6D216804E_.wvu.PrintArea" localSheetId="8" hidden="1">'Space Support'!$J$4:$L$53</definedName>
    <definedName name="Z_175A74B9_04D8_4168_BE0E_B9F6D216804E_.wvu.PrintTitles" localSheetId="7" hidden="1">#REF!,#REF!</definedName>
    <definedName name="Z_175A74B9_04D8_4168_BE0E_B9F6D216804E_.wvu.PrintTitles" localSheetId="3" hidden="1">#REF!,#REF!</definedName>
    <definedName name="Z_175A74B9_04D8_4168_BE0E_B9F6D216804E_.wvu.PrintTitles" localSheetId="5" hidden="1">#REF!,#REF!</definedName>
    <definedName name="Z_175A74B9_04D8_4168_BE0E_B9F6D216804E_.wvu.PrintTitles" localSheetId="11" hidden="1">#REF!,#REF!</definedName>
    <definedName name="Z_175A74B9_04D8_4168_BE0E_B9F6D216804E_.wvu.PrintTitles" localSheetId="4" hidden="1">#REF!,#REF!</definedName>
    <definedName name="Z_175A74B9_04D8_4168_BE0E_B9F6D216804E_.wvu.PrintTitles" localSheetId="6" hidden="1">#REF!,#REF!</definedName>
    <definedName name="Z_175A74B9_04D8_4168_BE0E_B9F6D216804E_.wvu.PrintTitles" hidden="1">'Space Support'!$B:$K,'Space Support'!$3:$3</definedName>
    <definedName name="Z_2525E0FB_B307_4BBB_9276_C1F8B2A66465_.wvu.PrintArea" localSheetId="12" hidden="1">Comparison!$A$46:$G$86</definedName>
    <definedName name="Z_303B153B_40CE_4571_BDAA_A7ABD2F95F1F_.wvu.Cols" localSheetId="0" hidden="1">Summary!$A:$A,Summary!#REF!</definedName>
    <definedName name="Z_303B153B_40CE_4571_BDAA_A7ABD2F95F1F_.wvu.PrintArea" localSheetId="2" hidden="1">'Expenditure Study'!$B$1:$G$29</definedName>
    <definedName name="Z_303B153B_40CE_4571_BDAA_A7ABD2F95F1F_.wvu.PrintArea" localSheetId="0" hidden="1">Summary!#REF!</definedName>
    <definedName name="Z_303B153B_40CE_4571_BDAA_A7ABD2F95F1F_.wvu.PrintTitles" localSheetId="0" hidden="1">Summary!$B:$B</definedName>
    <definedName name="Z_35BFC459_B22D_40B1_9702_541F957448D5_.wvu.Cols" localSheetId="0" hidden="1">Summary!#REF!,Summary!#REF!</definedName>
    <definedName name="Z_35BFC459_B22D_40B1_9702_541F957448D5_.wvu.FilterData" localSheetId="1" hidden="1">'Operations Support'!$A$5:$X$3785</definedName>
    <definedName name="Z_35BFC459_B22D_40B1_9702_541F957448D5_.wvu.PrintArea" localSheetId="2" hidden="1">'Expenditure Study'!$B$1:$H$27</definedName>
    <definedName name="Z_35BFC459_B22D_40B1_9702_541F957448D5_.wvu.PrintArea" localSheetId="1" hidden="1">'Operations Support'!$A$1:$X$3785</definedName>
    <definedName name="Z_35BFC459_B22D_40B1_9702_541F957448D5_.wvu.PrintArea" localSheetId="0" hidden="1">Summary!$D$1:$I$62</definedName>
    <definedName name="Z_35BFC459_B22D_40B1_9702_541F957448D5_.wvu.PrintTitles" localSheetId="0" hidden="1">Summary!$B:$B</definedName>
    <definedName name="Z_3B4A1CD3_71A7_41D8_BB20_2C00DD672F4C_.wvu.Cols" localSheetId="7" hidden="1">#REF!</definedName>
    <definedName name="Z_3B4A1CD3_71A7_41D8_BB20_2C00DD672F4C_.wvu.Cols" localSheetId="3" hidden="1">#REF!</definedName>
    <definedName name="Z_3B4A1CD3_71A7_41D8_BB20_2C00DD672F4C_.wvu.Cols" localSheetId="5" hidden="1">#REF!</definedName>
    <definedName name="Z_3B4A1CD3_71A7_41D8_BB20_2C00DD672F4C_.wvu.Cols" localSheetId="0" hidden="1">#REF!</definedName>
    <definedName name="Z_3B4A1CD3_71A7_41D8_BB20_2C00DD672F4C_.wvu.Cols" localSheetId="4" hidden="1">#REF!</definedName>
    <definedName name="Z_3B4A1CD3_71A7_41D8_BB20_2C00DD672F4C_.wvu.Cols" localSheetId="6" hidden="1">#REF!</definedName>
    <definedName name="Z_3B4A1CD3_71A7_41D8_BB20_2C00DD672F4C_.wvu.Cols" hidden="1">#REF!</definedName>
    <definedName name="Z_3B4A1CD3_71A7_41D8_BB20_2C00DD672F4C_.wvu.PrintTitles" localSheetId="7" hidden="1">#REF!,#REF!</definedName>
    <definedName name="Z_3B4A1CD3_71A7_41D8_BB20_2C00DD672F4C_.wvu.PrintTitles" localSheetId="3" hidden="1">#REF!,#REF!</definedName>
    <definedName name="Z_3B4A1CD3_71A7_41D8_BB20_2C00DD672F4C_.wvu.PrintTitles" localSheetId="5" hidden="1">#REF!,#REF!</definedName>
    <definedName name="Z_3B4A1CD3_71A7_41D8_BB20_2C00DD672F4C_.wvu.PrintTitles" localSheetId="11" hidden="1">#REF!,#REF!</definedName>
    <definedName name="Z_3B4A1CD3_71A7_41D8_BB20_2C00DD672F4C_.wvu.PrintTitles" localSheetId="4" hidden="1">#REF!,#REF!</definedName>
    <definedName name="Z_3B4A1CD3_71A7_41D8_BB20_2C00DD672F4C_.wvu.PrintTitles" localSheetId="6" hidden="1">#REF!,#REF!</definedName>
    <definedName name="Z_3B4A1CD3_71A7_41D8_BB20_2C00DD672F4C_.wvu.PrintTitles" hidden="1">'Space Support'!$B:$K,'Space Support'!$3:$3</definedName>
    <definedName name="Z_3C6B346A_28C6_4C6A_AD30_B8ADBF04FBAC_.wvu.Cols" localSheetId="0" hidden="1">Summary!$A:$A,Summary!#REF!</definedName>
    <definedName name="Z_3C6B346A_28C6_4C6A_AD30_B8ADBF04FBAC_.wvu.PrintArea" localSheetId="2" hidden="1">'Expenditure Study'!$B$1:$G$29</definedName>
    <definedName name="Z_3C6B346A_28C6_4C6A_AD30_B8ADBF04FBAC_.wvu.PrintArea" localSheetId="0" hidden="1">Summary!#REF!</definedName>
    <definedName name="Z_3C6B346A_28C6_4C6A_AD30_B8ADBF04FBAC_.wvu.PrintTitles" localSheetId="0" hidden="1">Summary!$B:$B</definedName>
    <definedName name="Z_3F5AF988_2CAC_4694_95ED_01242EA6B10D_.wvu.PrintArea" localSheetId="12" hidden="1">Comparison!$A$4:$G$44</definedName>
    <definedName name="Z_58F2FA9C_F7C5_4156_BFF6_E11F2EBA822F_.wvu.PrintArea" localSheetId="12" hidden="1">Comparison!$A$46:$G$86</definedName>
    <definedName name="Z_58F2FA9C_F7C5_4156_BFF6_E11F2EBA822F_.wvu.PrintArea" localSheetId="2" hidden="1">'Expenditure Study'!$B$7:$G$29</definedName>
    <definedName name="Z_58F2FA9C_F7C5_4156_BFF6_E11F2EBA822F_.wvu.PrintArea" localSheetId="0" hidden="1">Summary!#REF!</definedName>
    <definedName name="Z_58F2FA9C_F7C5_4156_BFF6_E11F2EBA822F_.wvu.PrintTitles" localSheetId="0" hidden="1">Summary!$B:$B</definedName>
    <definedName name="Z_5F15871F_1F9D_454B_B820_06244E250857_.wvu.Cols" localSheetId="7" hidden="1">#REF!</definedName>
    <definedName name="Z_5F15871F_1F9D_454B_B820_06244E250857_.wvu.Cols" localSheetId="3" hidden="1">#REF!</definedName>
    <definedName name="Z_5F15871F_1F9D_454B_B820_06244E250857_.wvu.Cols" localSheetId="5" hidden="1">#REF!</definedName>
    <definedName name="Z_5F15871F_1F9D_454B_B820_06244E250857_.wvu.Cols" localSheetId="0" hidden="1">#REF!</definedName>
    <definedName name="Z_5F15871F_1F9D_454B_B820_06244E250857_.wvu.Cols" localSheetId="4" hidden="1">#REF!</definedName>
    <definedName name="Z_5F15871F_1F9D_454B_B820_06244E250857_.wvu.Cols" localSheetId="6" hidden="1">#REF!</definedName>
    <definedName name="Z_5F15871F_1F9D_454B_B820_06244E250857_.wvu.Cols" hidden="1">#REF!</definedName>
    <definedName name="Z_5F15871F_1F9D_454B_B820_06244E250857_.wvu.PrintTitles" localSheetId="7" hidden="1">#REF!,#REF!</definedName>
    <definedName name="Z_5F15871F_1F9D_454B_B820_06244E250857_.wvu.PrintTitles" localSheetId="3" hidden="1">#REF!,#REF!</definedName>
    <definedName name="Z_5F15871F_1F9D_454B_B820_06244E250857_.wvu.PrintTitles" localSheetId="5" hidden="1">#REF!,#REF!</definedName>
    <definedName name="Z_5F15871F_1F9D_454B_B820_06244E250857_.wvu.PrintTitles" localSheetId="11" hidden="1">#REF!,#REF!</definedName>
    <definedName name="Z_5F15871F_1F9D_454B_B820_06244E250857_.wvu.PrintTitles" localSheetId="4" hidden="1">#REF!,#REF!</definedName>
    <definedName name="Z_5F15871F_1F9D_454B_B820_06244E250857_.wvu.PrintTitles" localSheetId="6" hidden="1">#REF!,#REF!</definedName>
    <definedName name="Z_5F15871F_1F9D_454B_B820_06244E250857_.wvu.PrintTitles" hidden="1">'Space Support'!$B:$K,'Space Support'!$3:$3</definedName>
    <definedName name="Z_675F30BC_42CF_41EB_9295_12D8590553A4_.wvu.Cols" localSheetId="1" hidden="1">'Operations Support'!$V:$V</definedName>
    <definedName name="Z_675F30BC_42CF_41EB_9295_12D8590553A4_.wvu.Cols" localSheetId="0" hidden="1">Summary!#REF!,Summary!#REF!</definedName>
    <definedName name="Z_675F30BC_42CF_41EB_9295_12D8590553A4_.wvu.FilterData" localSheetId="1" hidden="1">'Operations Support'!$A$5:$X$3785</definedName>
    <definedName name="Z_675F30BC_42CF_41EB_9295_12D8590553A4_.wvu.PrintArea" localSheetId="2" hidden="1">'Expenditure Study'!$B$1:$H$27</definedName>
    <definedName name="Z_675F30BC_42CF_41EB_9295_12D8590553A4_.wvu.PrintArea" localSheetId="1" hidden="1">'Operations Support'!#REF!</definedName>
    <definedName name="Z_675F30BC_42CF_41EB_9295_12D8590553A4_.wvu.PrintArea" localSheetId="0" hidden="1">Summary!$D$1:$I$62</definedName>
    <definedName name="Z_675F30BC_42CF_41EB_9295_12D8590553A4_.wvu.PrintTitles" localSheetId="0" hidden="1">Summary!$B:$B</definedName>
    <definedName name="Z_675F30BC_42CF_41EB_9295_12D8590553A4_.wvu.Rows" localSheetId="1" hidden="1">'Operations Support'!$5:$114,'Operations Support'!$116:$225,'Operations Support'!$227:$336,'Operations Support'!$338:$447,'Operations Support'!$449:$558,'Operations Support'!$560:$669,'Operations Support'!$671:$780,'Operations Support'!$782:$891,'Operations Support'!$893:$1002,'Operations Support'!$1004:$1113,'Operations Support'!$1115:$1224,'Operations Support'!$1226:$1335,'Operations Support'!$1337:$1446,'Operations Support'!$1448:$1557,'Operations Support'!$1559:$1668,'Operations Support'!$1670:$1779,'Operations Support'!$1781:$1890,'Operations Support'!$1892:$2001,'Operations Support'!$2003:$2112,'Operations Support'!$2114:$2223,'Operations Support'!$2225:$2334,'Operations Support'!$2336:$2445,'Operations Support'!$2447:$2556,'Operations Support'!$2558:$2667,'Operations Support'!$2669:$2778,'Operations Support'!$2780:$2889,'Operations Support'!$2891:$3000,'Operations Support'!$3002:$3111,'Operations Support'!$3113:$3222,'Operations Support'!$3224:$3333,'Operations Support'!$3335:$3444,'Operations Support'!$3446:$3555,'Operations Support'!$3557:$3574,'Operations Support'!$3575:$3785,'Operations Support'!#REF!,'Operations Support'!#REF!</definedName>
    <definedName name="Z_7B497AE1_31A2_4C3E_AC32_38A13252348B_.wvu.Cols" localSheetId="0" hidden="1">Summary!$A:$A,Summary!#REF!</definedName>
    <definedName name="Z_7B497AE1_31A2_4C3E_AC32_38A13252348B_.wvu.PrintArea" localSheetId="12" hidden="1">Comparison!$A$4:$G$84</definedName>
    <definedName name="Z_7B497AE1_31A2_4C3E_AC32_38A13252348B_.wvu.PrintArea" localSheetId="2" hidden="1">'Expenditure Study'!$B$1:$G$29</definedName>
    <definedName name="Z_7B497AE1_31A2_4C3E_AC32_38A13252348B_.wvu.PrintArea" localSheetId="0" hidden="1">Summary!#REF!</definedName>
    <definedName name="Z_7B497AE1_31A2_4C3E_AC32_38A13252348B_.wvu.PrintTitles" localSheetId="0" hidden="1">Summary!$B:$B</definedName>
    <definedName name="Z_82870BCA_05EC_4A49_9118_CEA1167BF5A7_.wvu.Cols" localSheetId="0" hidden="1">Summary!$A:$A,Summary!#REF!,Summary!#REF!</definedName>
    <definedName name="Z_82870BCA_05EC_4A49_9118_CEA1167BF5A7_.wvu.PrintArea" localSheetId="0" hidden="1">Summary!$B$1:$I$62</definedName>
    <definedName name="Z_82D93351_CB79_47D8_8AE8_2B10EACDB89E_.wvu.Cols" localSheetId="7" hidden="1">#REF!</definedName>
    <definedName name="Z_82D93351_CB79_47D8_8AE8_2B10EACDB89E_.wvu.Cols" localSheetId="3" hidden="1">#REF!</definedName>
    <definedName name="Z_82D93351_CB79_47D8_8AE8_2B10EACDB89E_.wvu.Cols" localSheetId="5" hidden="1">#REF!</definedName>
    <definedName name="Z_82D93351_CB79_47D8_8AE8_2B10EACDB89E_.wvu.Cols" localSheetId="0" hidden="1">#REF!</definedName>
    <definedName name="Z_82D93351_CB79_47D8_8AE8_2B10EACDB89E_.wvu.Cols" localSheetId="4" hidden="1">#REF!</definedName>
    <definedName name="Z_82D93351_CB79_47D8_8AE8_2B10EACDB89E_.wvu.Cols" localSheetId="6" hidden="1">#REF!</definedName>
    <definedName name="Z_82D93351_CB79_47D8_8AE8_2B10EACDB89E_.wvu.Cols" hidden="1">#REF!</definedName>
    <definedName name="Z_82D93351_CB79_47D8_8AE8_2B10EACDB89E_.wvu.PrintArea" localSheetId="8" hidden="1">'Space Support'!$J$4:$L$53</definedName>
    <definedName name="Z_82D93351_CB79_47D8_8AE8_2B10EACDB89E_.wvu.PrintTitles" localSheetId="7" hidden="1">#REF!,#REF!</definedName>
    <definedName name="Z_82D93351_CB79_47D8_8AE8_2B10EACDB89E_.wvu.PrintTitles" localSheetId="3" hidden="1">#REF!,#REF!</definedName>
    <definedName name="Z_82D93351_CB79_47D8_8AE8_2B10EACDB89E_.wvu.PrintTitles" localSheetId="5" hidden="1">#REF!,#REF!</definedName>
    <definedName name="Z_82D93351_CB79_47D8_8AE8_2B10EACDB89E_.wvu.PrintTitles" localSheetId="11" hidden="1">#REF!,#REF!</definedName>
    <definedName name="Z_82D93351_CB79_47D8_8AE8_2B10EACDB89E_.wvu.PrintTitles" localSheetId="4" hidden="1">#REF!,#REF!</definedName>
    <definedName name="Z_82D93351_CB79_47D8_8AE8_2B10EACDB89E_.wvu.PrintTitles" localSheetId="6" hidden="1">#REF!,#REF!</definedName>
    <definedName name="Z_82D93351_CB79_47D8_8AE8_2B10EACDB89E_.wvu.PrintTitles" hidden="1">'Space Support'!$B:$K,'Space Support'!$3:$3</definedName>
    <definedName name="Z_91FF6182_D2EC_4CD1_9CDF_7C925FC791E8_.wvu.Cols" localSheetId="0" hidden="1">Summary!#REF!,Summary!#REF!</definedName>
    <definedName name="Z_91FF6182_D2EC_4CD1_9CDF_7C925FC791E8_.wvu.FilterData" localSheetId="1" hidden="1">'Operations Support'!$A$5:$X$3785</definedName>
    <definedName name="Z_91FF6182_D2EC_4CD1_9CDF_7C925FC791E8_.wvu.PrintArea" localSheetId="2" hidden="1">'Expenditure Study'!$B$1:$H$27</definedName>
    <definedName name="Z_91FF6182_D2EC_4CD1_9CDF_7C925FC791E8_.wvu.PrintArea" localSheetId="1" hidden="1">'Operations Support'!$A$1:$X$3785</definedName>
    <definedName name="Z_91FF6182_D2EC_4CD1_9CDF_7C925FC791E8_.wvu.PrintArea" localSheetId="0" hidden="1">Summary!$D$1:$I$62</definedName>
    <definedName name="Z_91FF6182_D2EC_4CD1_9CDF_7C925FC791E8_.wvu.PrintTitles" localSheetId="0" hidden="1">Summary!$B:$B</definedName>
    <definedName name="Z_92B8DB46_18BE_4736_A438_5C0EAAC214A3_.wvu.PrintArea" localSheetId="8" hidden="1">'Space Support'!$J$4:$L$53</definedName>
    <definedName name="Z_92B8DB46_18BE_4736_A438_5C0EAAC214A3_.wvu.PrintTitles" localSheetId="8" hidden="1">'Space Support'!$B:$K,'Space Support'!$3:$3</definedName>
    <definedName name="Z_95AD7BEF_F518_46C7_B565_EC569F4CD3DD_.wvu.Cols" localSheetId="0" hidden="1">Summary!$A:$A</definedName>
    <definedName name="Z_95AD7BEF_F518_46C7_B565_EC569F4CD3DD_.wvu.FilterData" localSheetId="1" hidden="1">'Operations Support'!$A$5:$X$3785</definedName>
    <definedName name="Z_95AD7BEF_F518_46C7_B565_EC569F4CD3DD_.wvu.PrintArea" localSheetId="2" hidden="1">'Expenditure Study'!$B$1:$H$31</definedName>
    <definedName name="Z_95AD7BEF_F518_46C7_B565_EC569F4CD3DD_.wvu.PrintArea" localSheetId="0" hidden="1">Summary!$B$1:$I$62</definedName>
    <definedName name="Z_95AD7BEF_F518_46C7_B565_EC569F4CD3DD_.wvu.PrintTitles" localSheetId="0" hidden="1">Summary!$B:$B</definedName>
    <definedName name="Z_95AD7BEF_F518_46C7_B565_EC569F4CD3DD_.wvu.Rows" localSheetId="1" hidden="1">'Operations Support'!$5:$114,'Operations Support'!$116:$225,'Operations Support'!$227:$336,'Operations Support'!$338:$447,'Operations Support'!$449:$558,'Operations Support'!$560:$669,'Operations Support'!$671:$780,'Operations Support'!$782:$891,'Operations Support'!$893:$1002,'Operations Support'!$1004:$1113,'Operations Support'!$1115:$1224,'Operations Support'!$1226:$1335,'Operations Support'!$1337:$1446,'Operations Support'!$1448:$1557,'Operations Support'!$1559:$1668,'Operations Support'!$1670:$1779,'Operations Support'!$1781:$1890,'Operations Support'!$1892:$2001,'Operations Support'!$2003:$2112,'Operations Support'!$2114:$2223,'Operations Support'!$2225:$2334,'Operations Support'!$2336:$2445,'Operations Support'!$2447:$2556,'Operations Support'!$2558:$2667,'Operations Support'!$2669:$2778,'Operations Support'!$2780:$2889,'Operations Support'!$2891:$3000,'Operations Support'!$3002:$3111,'Operations Support'!$3113:$3222,'Operations Support'!$3224:$3333,'Operations Support'!$3335:$3444,'Operations Support'!$3446:$3555,'Operations Support'!$3557:$3574,'Operations Support'!$3575:$3785,'Operations Support'!#REF!</definedName>
    <definedName name="Z_ABB4BCFE_4E5B_46EB_9CDF_31A49DC3C3DC_.wvu.PrintArea" localSheetId="8" hidden="1">'Space Support'!$J$4:$L$53</definedName>
    <definedName name="Z_ABB4BCFE_4E5B_46EB_9CDF_31A49DC3C3DC_.wvu.PrintTitles" localSheetId="8" hidden="1">'Space Support'!$B:$K,'Space Support'!$3:$3</definedName>
    <definedName name="Z_C593DCC3_48F5_49D3_A249_760A4EB596FD_.wvu.Cols" localSheetId="0" hidden="1">Summary!#REF!,Summary!#REF!</definedName>
    <definedName name="Z_C593DCC3_48F5_49D3_A249_760A4EB596FD_.wvu.FilterData" localSheetId="1" hidden="1">'Operations Support'!$A$5:$X$3785</definedName>
    <definedName name="Z_C593DCC3_48F5_49D3_A249_760A4EB596FD_.wvu.PrintArea" localSheetId="2" hidden="1">'Expenditure Study'!$B$1:$H$27</definedName>
    <definedName name="Z_C593DCC3_48F5_49D3_A249_760A4EB596FD_.wvu.PrintArea" localSheetId="1" hidden="1">'Operations Support'!$A$1:$X$3785</definedName>
    <definedName name="Z_C593DCC3_48F5_49D3_A249_760A4EB596FD_.wvu.PrintArea" localSheetId="0" hidden="1">Summary!$D$1:$I$62</definedName>
    <definedName name="Z_C593DCC3_48F5_49D3_A249_760A4EB596FD_.wvu.PrintTitles" localSheetId="0" hidden="1">Summary!$B:$B</definedName>
    <definedName name="Z_D2A8523F_42D4_4968_A72F_21832F1DB84F_.wvu.Cols" localSheetId="0" hidden="1">Summary!#REF!</definedName>
    <definedName name="Z_D2A8523F_42D4_4968_A72F_21832F1DB84F_.wvu.FilterData" localSheetId="1" hidden="1">'Operations Support'!$A$5:$X$3785</definedName>
    <definedName name="Z_D2A8523F_42D4_4968_A72F_21832F1DB84F_.wvu.PrintArea" localSheetId="2" hidden="1">'Expenditure Study'!$B$1:$H$27</definedName>
    <definedName name="Z_D2A8523F_42D4_4968_A72F_21832F1DB84F_.wvu.PrintArea" localSheetId="1" hidden="1">'Operations Support'!$A$1:$X$3785</definedName>
    <definedName name="Z_D2A8523F_42D4_4968_A72F_21832F1DB84F_.wvu.PrintArea" localSheetId="0" hidden="1">Summary!$A$1:$I$62</definedName>
    <definedName name="Z_D2A8523F_42D4_4968_A72F_21832F1DB84F_.wvu.PrintTitles" localSheetId="0" hidden="1">Summary!$B:$B</definedName>
    <definedName name="Z_DA77B147_D238_490D_A0F7_48590BD4DC8B_.wvu.PrintArea" localSheetId="12" hidden="1">Comparison!$A$4:$G$44</definedName>
    <definedName name="Z_DE388A6B_882C_495C_AAE9_5FF5D9FE9DAB_.wvu.Cols" localSheetId="1" hidden="1">'Operations Support'!$V:$V</definedName>
    <definedName name="Z_DE388A6B_882C_495C_AAE9_5FF5D9FE9DAB_.wvu.Cols" localSheetId="0" hidden="1">Summary!$A:$A</definedName>
    <definedName name="Z_DE388A6B_882C_495C_AAE9_5FF5D9FE9DAB_.wvu.FilterData" localSheetId="1" hidden="1">'Operations Support'!$A$5:$X$3785</definedName>
    <definedName name="Z_DE388A6B_882C_495C_AAE9_5FF5D9FE9DAB_.wvu.PrintArea" localSheetId="12" hidden="1">Comparison!$A$4:$G$44</definedName>
    <definedName name="Z_DE388A6B_882C_495C_AAE9_5FF5D9FE9DAB_.wvu.PrintArea" localSheetId="2" hidden="1">'Expenditure Study'!$B$1:$H$27</definedName>
    <definedName name="Z_DE388A6B_882C_495C_AAE9_5FF5D9FE9DAB_.wvu.PrintArea" localSheetId="1" hidden="1">'Operations Support'!$A$1:$X$3785</definedName>
    <definedName name="Z_DE388A6B_882C_495C_AAE9_5FF5D9FE9DAB_.wvu.PrintArea" localSheetId="0" hidden="1">Summary!$B$1:$I$62</definedName>
    <definedName name="Z_DE388A6B_882C_495C_AAE9_5FF5D9FE9DAB_.wvu.PrintTitles" localSheetId="0" hidden="1">Summary!$B:$B</definedName>
    <definedName name="Z_DE388A6B_882C_495C_AAE9_5FF5D9FE9DAB_.wvu.Rows" localSheetId="1" hidden="1">'Operations Support'!$5:$114,'Operations Support'!$116:$225,'Operations Support'!$227:$336,'Operations Support'!$338:$447,'Operations Support'!$449:$558,'Operations Support'!$560:$669,'Operations Support'!$671:$780,'Operations Support'!$782:$891,'Operations Support'!$893:$1002,'Operations Support'!$1004:$1113,'Operations Support'!$1115:$1224,'Operations Support'!$1226:$1335,'Operations Support'!$1337:$1446,'Operations Support'!$1448:$1557,'Operations Support'!$1559:$1668,'Operations Support'!$1670:$1779,'Operations Support'!$1781:$1890,'Operations Support'!$1892:$2001,'Operations Support'!$2003:$2112,'Operations Support'!$2114:$2223,'Operations Support'!$2225:$2334,'Operations Support'!$2336:$2445,'Operations Support'!$2447:$2556,'Operations Support'!$2558:$2667,'Operations Support'!$2669:$2778,'Operations Support'!$2780:$2889,'Operations Support'!$2891:$3000,'Operations Support'!$3002:$3111,'Operations Support'!$3113:$3222,'Operations Support'!$3224:$3333,'Operations Support'!$3335:$3444,'Operations Support'!$3446:$3555,'Operations Support'!$3557:$3574,'Operations Support'!$3575:$3785,'Operations Support'!#REF!,'Operations Support'!#REF!</definedName>
    <definedName name="Z_E1EA2BA7_782F_4B75_921B_ACA9B735FEBE_.wvu.PrintArea" localSheetId="14" hidden="1">'Law VM Tuition'!#REF!</definedName>
    <definedName name="Z_E1EA2BA7_782F_4B75_921B_ACA9B735FEBE_.wvu.PrintTitles" localSheetId="14" hidden="1">'Law VM Tuition'!#REF!</definedName>
    <definedName name="Z_E3BB4C3D_F6B5_4D70_B069_1A7C5F76D2BD_.wvu.PrintArea" localSheetId="8" hidden="1">'Space Support'!$J$4:$L$53</definedName>
    <definedName name="Z_FBBF6D22_BA9D_4460_80E4_841CEB319BD4_.wvu.PrintArea" localSheetId="14" hidden="1">'Law VM Tuition'!#REF!</definedName>
    <definedName name="Z_FBBF6D22_BA9D_4460_80E4_841CEB319BD4_.wvu.PrintTitles" localSheetId="14" hidden="1">'Law VM Tuition'!#REF!</definedName>
    <definedName name="Z_FC4770E7_5AA9_45AB_93B4_AB306746D478_.wvu.Cols" localSheetId="0" hidden="1">Summary!#REF!,Summary!#REF!</definedName>
    <definedName name="Z_FC4770E7_5AA9_45AB_93B4_AB306746D478_.wvu.FilterData" localSheetId="1" hidden="1">'Operations Support'!$A$5:$X$3785</definedName>
    <definedName name="Z_FC4770E7_5AA9_45AB_93B4_AB306746D478_.wvu.PrintArea" localSheetId="2" hidden="1">'Expenditure Study'!$B$1:$H$27</definedName>
    <definedName name="Z_FC4770E7_5AA9_45AB_93B4_AB306746D478_.wvu.PrintArea" localSheetId="1" hidden="1">'Operations Support'!$A$1:$X$3785</definedName>
    <definedName name="Z_FC4770E7_5AA9_45AB_93B4_AB306746D478_.wvu.PrintArea" localSheetId="0" hidden="1">Summary!$D$1:$I$62</definedName>
    <definedName name="Z_FC4770E7_5AA9_45AB_93B4_AB306746D478_.wvu.PrintTitles" localSheetId="0" hidden="1">Summary!$B:$B</definedName>
  </definedNames>
  <calcPr calcId="191029"/>
  <customWorkbookViews>
    <customWorkbookView name="prntattmptschcalc" guid="{D2A8523F-42D4-4968-A72F-21832F1DB84F}" maximized="1" windowWidth="994" windowHeight="541" activeSheetId="16"/>
    <customWorkbookView name="prntbrief" guid="{C593DCC3-48F5-49D3-A249-760A4EB596FD}" maximized="1" windowWidth="1020" windowHeight="541" activeSheetId="17"/>
    <customWorkbookView name="prntenroll" guid="{35BFC459-B22D-40B1-9702-541F957448D5}" maximized="1" windowWidth="1020" windowHeight="541" activeSheetId="14"/>
    <customWorkbookView name="prntcpi" guid="{91FF6182-D2EC-4CD1-9CDF-7C925FC791E8}" maximized="1" windowWidth="1020" windowHeight="541" activeSheetId="18"/>
    <customWorkbookView name="prntftse" guid="{675F30BC-42CF-41EB-9295-12D8590553A4}" maximized="1" windowWidth="1020" windowHeight="541" activeSheetId="11"/>
    <customWorkbookView name="wedprinttopsummary" guid="{FC4770E7-5AA9-45AB-93B4-AB306746D478}" maximized="1" windowWidth="1020" windowHeight="541" activeSheetId="16"/>
    <customWorkbookView name="prntmatrix" guid="{95AD7BEF-F518-46C7-B565-EC569F4CD3DD}" maximized="1" windowWidth="1020" windowHeight="567" activeSheetId="5"/>
    <customWorkbookView name="prntsch" guid="{DE388A6B-882C-495C-AAE9-5FF5D9FE9DAB}" maximized="1" windowWidth="782" windowHeight="378" activeSheetId="1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1" i="54" l="1"/>
  <c r="A592" i="54"/>
  <c r="A542" i="54"/>
  <c r="A492" i="54"/>
  <c r="A442" i="54"/>
  <c r="W403" i="54"/>
  <c r="W410" i="54"/>
  <c r="D15" i="54" l="1"/>
  <c r="E15" i="54"/>
  <c r="F15" i="54"/>
  <c r="C15" i="54"/>
  <c r="G403" i="54"/>
  <c r="F403" i="54"/>
  <c r="D403" i="54"/>
  <c r="E403" i="54"/>
  <c r="G410" i="54"/>
  <c r="I407" i="54"/>
  <c r="J407" i="54" s="1"/>
  <c r="I408" i="54"/>
  <c r="J408" i="54" s="1"/>
  <c r="I409" i="54"/>
  <c r="J409" i="54" s="1"/>
  <c r="I406" i="54"/>
  <c r="J406" i="54" s="1"/>
  <c r="H407" i="54"/>
  <c r="H408" i="54"/>
  <c r="H409" i="54"/>
  <c r="H406" i="54"/>
  <c r="C403" i="54"/>
  <c r="B402" i="54"/>
  <c r="B401" i="54"/>
  <c r="B400" i="54"/>
  <c r="B399" i="54"/>
  <c r="AB402" i="54"/>
  <c r="AE402" i="54" s="1"/>
  <c r="F402" i="54"/>
  <c r="C402" i="54"/>
  <c r="F401" i="54"/>
  <c r="C401" i="54"/>
  <c r="AB400" i="54"/>
  <c r="AE400" i="54" s="1"/>
  <c r="F400" i="54"/>
  <c r="C400" i="54"/>
  <c r="F399" i="54"/>
  <c r="C399" i="54"/>
  <c r="H401" i="54" l="1"/>
  <c r="I401" i="54" s="1"/>
  <c r="J401" i="54" s="1"/>
  <c r="H400" i="54"/>
  <c r="I400" i="54" s="1"/>
  <c r="J400" i="54" s="1"/>
  <c r="AB401" i="54"/>
  <c r="AE401" i="54" s="1"/>
  <c r="AB399" i="54"/>
  <c r="AE399" i="54" s="1"/>
  <c r="AC399" i="54" l="1"/>
  <c r="AF399" i="54" s="1"/>
  <c r="AC400" i="54"/>
  <c r="AF400" i="54" s="1"/>
  <c r="AC401" i="54"/>
  <c r="AF401" i="54" s="1"/>
  <c r="AC402" i="54"/>
  <c r="AF402" i="54" s="1"/>
  <c r="H402" i="54"/>
  <c r="I402" i="54" s="1"/>
  <c r="J402" i="54" s="1"/>
  <c r="H399" i="54"/>
  <c r="I399" i="54" l="1"/>
  <c r="J399" i="54" s="1"/>
  <c r="H403" i="54"/>
  <c r="N7" i="65"/>
  <c r="N8" i="65"/>
  <c r="N9" i="65"/>
  <c r="N6" i="65"/>
  <c r="I7" i="65"/>
  <c r="I8" i="65"/>
  <c r="I9" i="65"/>
  <c r="I6" i="65"/>
  <c r="D7" i="65"/>
  <c r="D8" i="65"/>
  <c r="D9" i="65"/>
  <c r="D6" i="65"/>
  <c r="C16" i="65"/>
  <c r="C15" i="65"/>
  <c r="O8" i="65"/>
  <c r="O9" i="65" s="1"/>
  <c r="O6" i="65"/>
  <c r="O7" i="65" s="1"/>
  <c r="O10" i="65" s="1"/>
  <c r="D50" i="36" l="1"/>
  <c r="D51" i="36"/>
  <c r="D49" i="36"/>
  <c r="D43" i="36"/>
  <c r="D44" i="36"/>
  <c r="D45" i="36"/>
  <c r="D46" i="36"/>
  <c r="D47" i="36"/>
  <c r="D42" i="36"/>
  <c r="D17" i="36"/>
  <c r="D18" i="36"/>
  <c r="D19" i="36"/>
  <c r="D20" i="36"/>
  <c r="D21" i="36"/>
  <c r="D22" i="36"/>
  <c r="D23" i="36"/>
  <c r="D24" i="36"/>
  <c r="D25" i="36"/>
  <c r="D26" i="36"/>
  <c r="D27" i="36"/>
  <c r="D28" i="36"/>
  <c r="D29" i="36"/>
  <c r="D30" i="36"/>
  <c r="D31" i="36"/>
  <c r="D32" i="36"/>
  <c r="D33" i="36"/>
  <c r="D34" i="36"/>
  <c r="D35" i="36"/>
  <c r="D36" i="36"/>
  <c r="D37" i="36"/>
  <c r="D38" i="36"/>
  <c r="D39" i="36"/>
  <c r="D40" i="36"/>
  <c r="D4" i="36"/>
  <c r="D5" i="36"/>
  <c r="D6" i="36"/>
  <c r="D7" i="36"/>
  <c r="D8" i="36"/>
  <c r="D9" i="36"/>
  <c r="D10" i="36"/>
  <c r="D11" i="36"/>
  <c r="D12" i="36"/>
  <c r="D13" i="36"/>
  <c r="D14" i="36"/>
  <c r="D15" i="36"/>
  <c r="D16" i="36"/>
  <c r="N35" i="64"/>
  <c r="P26" i="54"/>
  <c r="Q26" i="54"/>
  <c r="P27" i="54"/>
  <c r="Q27" i="54"/>
  <c r="P28" i="54"/>
  <c r="Q28" i="54"/>
  <c r="P29" i="54"/>
  <c r="Q29" i="54"/>
  <c r="P30" i="54"/>
  <c r="Q30" i="54"/>
  <c r="P31" i="54"/>
  <c r="Q31" i="54"/>
  <c r="P32" i="54"/>
  <c r="Q32" i="54"/>
  <c r="P33" i="54"/>
  <c r="Q33" i="54"/>
  <c r="P34" i="54"/>
  <c r="Q34" i="54"/>
  <c r="P35" i="54"/>
  <c r="Q35" i="54"/>
  <c r="P36" i="54"/>
  <c r="Q36" i="54"/>
  <c r="P37" i="54"/>
  <c r="Q37" i="54"/>
  <c r="P38" i="54"/>
  <c r="Q38" i="54"/>
  <c r="P39" i="54"/>
  <c r="Q39" i="54"/>
  <c r="P40" i="54"/>
  <c r="Q40" i="54"/>
  <c r="P41" i="54"/>
  <c r="Q41" i="54"/>
  <c r="P42" i="54"/>
  <c r="Q42" i="54"/>
  <c r="P43" i="54"/>
  <c r="Q43" i="54"/>
  <c r="P44" i="54"/>
  <c r="Q44" i="54"/>
  <c r="P45" i="54"/>
  <c r="Q45" i="54"/>
  <c r="P46" i="54"/>
  <c r="Q46" i="54"/>
  <c r="P47" i="54"/>
  <c r="Q47" i="54"/>
  <c r="P48" i="54"/>
  <c r="Q48" i="54"/>
  <c r="P49" i="54"/>
  <c r="Q49" i="54"/>
  <c r="P50" i="54"/>
  <c r="Q50" i="54"/>
  <c r="P51" i="54"/>
  <c r="Q51" i="54"/>
  <c r="P52" i="54"/>
  <c r="Q52" i="54"/>
  <c r="P53" i="54"/>
  <c r="Q53" i="54"/>
  <c r="P54" i="54"/>
  <c r="Q54" i="54"/>
  <c r="P55" i="54"/>
  <c r="Q55" i="54"/>
  <c r="P56" i="54"/>
  <c r="Q56" i="54"/>
  <c r="P57" i="54"/>
  <c r="Q57" i="54"/>
  <c r="P58" i="54"/>
  <c r="Q58" i="54"/>
  <c r="P59" i="54"/>
  <c r="Q59" i="54"/>
  <c r="P60" i="54"/>
  <c r="Q60" i="54"/>
  <c r="P61" i="54"/>
  <c r="Q61" i="54"/>
  <c r="Q25" i="54"/>
  <c r="P25" i="54"/>
  <c r="P196" i="54" l="1"/>
  <c r="P236" i="54"/>
  <c r="P277" i="54"/>
  <c r="Q187" i="54"/>
  <c r="Q227" i="54"/>
  <c r="Q268" i="54"/>
  <c r="P191" i="54"/>
  <c r="P231" i="54"/>
  <c r="P272" i="54"/>
  <c r="P187" i="54"/>
  <c r="P227" i="54"/>
  <c r="P268" i="54"/>
  <c r="P183" i="54"/>
  <c r="P223" i="54"/>
  <c r="P264" i="54"/>
  <c r="P179" i="54"/>
  <c r="P219" i="54"/>
  <c r="P260" i="54"/>
  <c r="P175" i="54"/>
  <c r="P215" i="54"/>
  <c r="P256" i="54"/>
  <c r="P171" i="54"/>
  <c r="P211" i="54"/>
  <c r="P252" i="54"/>
  <c r="P167" i="54"/>
  <c r="P207" i="54"/>
  <c r="P248" i="54"/>
  <c r="Q202" i="54"/>
  <c r="Q242" i="54"/>
  <c r="Q283" i="54"/>
  <c r="Q198" i="54"/>
  <c r="Q238" i="54"/>
  <c r="Q279" i="54"/>
  <c r="Q194" i="54"/>
  <c r="Q234" i="54"/>
  <c r="Q275" i="54"/>
  <c r="Q190" i="54"/>
  <c r="Q230" i="54"/>
  <c r="Q271" i="54"/>
  <c r="Q186" i="54"/>
  <c r="Q226" i="54"/>
  <c r="Q267" i="54"/>
  <c r="Q182" i="54"/>
  <c r="Q222" i="54"/>
  <c r="Q263" i="54"/>
  <c r="Q178" i="54"/>
  <c r="Q218" i="54"/>
  <c r="Q259" i="54"/>
  <c r="Q174" i="54"/>
  <c r="Q214" i="54"/>
  <c r="Q255" i="54"/>
  <c r="Q170" i="54"/>
  <c r="Q210" i="54"/>
  <c r="Q251" i="54"/>
  <c r="Q195" i="54"/>
  <c r="Q235" i="54"/>
  <c r="Q276" i="54"/>
  <c r="P202" i="54"/>
  <c r="P242" i="54"/>
  <c r="P283" i="54"/>
  <c r="P182" i="54"/>
  <c r="P222" i="54"/>
  <c r="P263" i="54"/>
  <c r="P170" i="54"/>
  <c r="P210" i="54"/>
  <c r="P251" i="54"/>
  <c r="P232" i="54"/>
  <c r="P192" i="54"/>
  <c r="P273" i="54"/>
  <c r="Q166" i="54"/>
  <c r="Q206" i="54"/>
  <c r="Q247" i="54"/>
  <c r="P190" i="54"/>
  <c r="P230" i="54"/>
  <c r="P271" i="54"/>
  <c r="P178" i="54"/>
  <c r="P218" i="54"/>
  <c r="P259" i="54"/>
  <c r="P174" i="54"/>
  <c r="P214" i="54"/>
  <c r="P255" i="54"/>
  <c r="Q201" i="54"/>
  <c r="Q241" i="54"/>
  <c r="Q282" i="54"/>
  <c r="Q197" i="54"/>
  <c r="Q237" i="54"/>
  <c r="Q278" i="54"/>
  <c r="Q193" i="54"/>
  <c r="Q233" i="54"/>
  <c r="Q274" i="54"/>
  <c r="Q189" i="54"/>
  <c r="Q229" i="54"/>
  <c r="Q270" i="54"/>
  <c r="Q225" i="54"/>
  <c r="Q185" i="54"/>
  <c r="Q266" i="54"/>
  <c r="Q221" i="54"/>
  <c r="Q181" i="54"/>
  <c r="Q262" i="54"/>
  <c r="Q177" i="54"/>
  <c r="Q217" i="54"/>
  <c r="Q258" i="54"/>
  <c r="Q173" i="54"/>
  <c r="Q213" i="54"/>
  <c r="Q254" i="54"/>
  <c r="Q169" i="54"/>
  <c r="Q209" i="54"/>
  <c r="Q250" i="54"/>
  <c r="Q199" i="54"/>
  <c r="Q239" i="54"/>
  <c r="Q280" i="54"/>
  <c r="P199" i="54"/>
  <c r="P239" i="54"/>
  <c r="P280" i="54"/>
  <c r="P198" i="54"/>
  <c r="P238" i="54"/>
  <c r="P279" i="54"/>
  <c r="P221" i="54"/>
  <c r="P181" i="54"/>
  <c r="P262" i="54"/>
  <c r="P240" i="54"/>
  <c r="P200" i="54"/>
  <c r="P281" i="54"/>
  <c r="Q191" i="54"/>
  <c r="Q231" i="54"/>
  <c r="Q272" i="54"/>
  <c r="P195" i="54"/>
  <c r="P235" i="54"/>
  <c r="P276" i="54"/>
  <c r="P234" i="54"/>
  <c r="P194" i="54"/>
  <c r="P275" i="54"/>
  <c r="P186" i="54"/>
  <c r="P226" i="54"/>
  <c r="P267" i="54"/>
  <c r="P241" i="54"/>
  <c r="P201" i="54"/>
  <c r="P282" i="54"/>
  <c r="P237" i="54"/>
  <c r="P197" i="54"/>
  <c r="P278" i="54"/>
  <c r="P233" i="54"/>
  <c r="P193" i="54"/>
  <c r="P274" i="54"/>
  <c r="P229" i="54"/>
  <c r="P189" i="54"/>
  <c r="P270" i="54"/>
  <c r="P185" i="54"/>
  <c r="P225" i="54"/>
  <c r="P266" i="54"/>
  <c r="P217" i="54"/>
  <c r="P177" i="54"/>
  <c r="P258" i="54"/>
  <c r="P213" i="54"/>
  <c r="P173" i="54"/>
  <c r="P254" i="54"/>
  <c r="P169" i="54"/>
  <c r="P209" i="54"/>
  <c r="P250" i="54"/>
  <c r="Q200" i="54"/>
  <c r="Q240" i="54"/>
  <c r="Q281" i="54"/>
  <c r="Q236" i="54"/>
  <c r="Q196" i="54"/>
  <c r="Q277" i="54"/>
  <c r="Q232" i="54"/>
  <c r="Q192" i="54"/>
  <c r="Q273" i="54"/>
  <c r="Q188" i="54"/>
  <c r="Q228" i="54"/>
  <c r="Q269" i="54"/>
  <c r="Q224" i="54"/>
  <c r="Q184" i="54"/>
  <c r="Q265" i="54"/>
  <c r="Q220" i="54"/>
  <c r="Q180" i="54"/>
  <c r="Q261" i="54"/>
  <c r="Q216" i="54"/>
  <c r="Q176" i="54"/>
  <c r="Q257" i="54"/>
  <c r="Q172" i="54"/>
  <c r="Q212" i="54"/>
  <c r="Q253" i="54"/>
  <c r="Q168" i="54"/>
  <c r="Q208" i="54"/>
  <c r="Q249" i="54"/>
  <c r="P188" i="54"/>
  <c r="P228" i="54"/>
  <c r="P269" i="54"/>
  <c r="P184" i="54"/>
  <c r="P224" i="54"/>
  <c r="P265" i="54"/>
  <c r="P180" i="54"/>
  <c r="P220" i="54"/>
  <c r="P261" i="54"/>
  <c r="P176" i="54"/>
  <c r="P216" i="54"/>
  <c r="P257" i="54"/>
  <c r="P172" i="54"/>
  <c r="P212" i="54"/>
  <c r="P253" i="54"/>
  <c r="P168" i="54"/>
  <c r="P208" i="54"/>
  <c r="P249" i="54"/>
  <c r="P166" i="54"/>
  <c r="P206" i="54"/>
  <c r="P247" i="54"/>
  <c r="Q183" i="54"/>
  <c r="Q223" i="54"/>
  <c r="Q264" i="54"/>
  <c r="Q179" i="54"/>
  <c r="Q219" i="54"/>
  <c r="Q260" i="54"/>
  <c r="Q175" i="54"/>
  <c r="Q215" i="54"/>
  <c r="Q256" i="54"/>
  <c r="Q171" i="54"/>
  <c r="Q211" i="54"/>
  <c r="Q252" i="54"/>
  <c r="Q167" i="54"/>
  <c r="Q207" i="54"/>
  <c r="Q248" i="54"/>
  <c r="Z61" i="54"/>
  <c r="Y61" i="54"/>
  <c r="Z60" i="54"/>
  <c r="Y60" i="54"/>
  <c r="Z59" i="54"/>
  <c r="Y59" i="54"/>
  <c r="Z58" i="54"/>
  <c r="Y58" i="54"/>
  <c r="Z57" i="54"/>
  <c r="Y57" i="54"/>
  <c r="Z56" i="54"/>
  <c r="Y56" i="54"/>
  <c r="Z55" i="54"/>
  <c r="Y55" i="54"/>
  <c r="Z54" i="54"/>
  <c r="Y54" i="54"/>
  <c r="Z53" i="54"/>
  <c r="Y53" i="54"/>
  <c r="Z52" i="54"/>
  <c r="Y52" i="54"/>
  <c r="Z51" i="54"/>
  <c r="Y51" i="54"/>
  <c r="E61" i="54"/>
  <c r="E60" i="54"/>
  <c r="E59" i="54"/>
  <c r="E58" i="54"/>
  <c r="E57" i="54"/>
  <c r="E56" i="54"/>
  <c r="E55" i="54"/>
  <c r="E54" i="54"/>
  <c r="E53" i="54"/>
  <c r="E52" i="54"/>
  <c r="E51" i="54"/>
  <c r="Z50" i="54"/>
  <c r="Y50" i="54"/>
  <c r="Z49" i="54"/>
  <c r="Y49" i="54"/>
  <c r="Z48" i="54"/>
  <c r="Y48" i="54"/>
  <c r="Z47" i="54"/>
  <c r="Y47" i="54"/>
  <c r="Z46" i="54"/>
  <c r="Y46" i="54"/>
  <c r="E50" i="54"/>
  <c r="E49" i="54"/>
  <c r="E48" i="54"/>
  <c r="E47" i="54"/>
  <c r="E46" i="54"/>
  <c r="E45" i="54"/>
  <c r="Z45" i="54"/>
  <c r="Y45" i="54"/>
  <c r="Z44" i="54"/>
  <c r="Y44" i="54"/>
  <c r="Z43" i="54"/>
  <c r="Y43" i="54"/>
  <c r="Z42" i="54"/>
  <c r="Y42" i="54"/>
  <c r="Z41" i="54"/>
  <c r="Y41" i="54"/>
  <c r="Z40" i="54"/>
  <c r="Y40" i="54"/>
  <c r="Z39" i="54"/>
  <c r="Y39" i="54"/>
  <c r="Z38" i="54"/>
  <c r="Y38" i="54"/>
  <c r="Z37" i="54"/>
  <c r="Y37" i="54"/>
  <c r="Z36" i="54"/>
  <c r="Y36" i="54"/>
  <c r="Z35" i="54"/>
  <c r="Y35" i="54"/>
  <c r="Z34" i="54"/>
  <c r="Y34" i="54"/>
  <c r="E44" i="54"/>
  <c r="E43" i="54"/>
  <c r="E42" i="54"/>
  <c r="E41" i="54"/>
  <c r="E40" i="54"/>
  <c r="E39" i="54"/>
  <c r="E38" i="54"/>
  <c r="E37" i="54"/>
  <c r="E36" i="54"/>
  <c r="E35" i="54"/>
  <c r="E34" i="54"/>
  <c r="D410" i="54"/>
  <c r="E410" i="54"/>
  <c r="D112" i="54"/>
  <c r="C76" i="54"/>
  <c r="C77" i="54"/>
  <c r="C78" i="54"/>
  <c r="C79" i="54"/>
  <c r="C80" i="54"/>
  <c r="C81" i="54"/>
  <c r="C82" i="54"/>
  <c r="C83" i="54"/>
  <c r="C84" i="54"/>
  <c r="C85" i="54"/>
  <c r="C86" i="54"/>
  <c r="C87" i="54"/>
  <c r="C88" i="54"/>
  <c r="C89" i="54"/>
  <c r="C90" i="54"/>
  <c r="C91" i="54"/>
  <c r="C92" i="54"/>
  <c r="C93" i="54"/>
  <c r="C94" i="54"/>
  <c r="C95" i="54"/>
  <c r="C96" i="54"/>
  <c r="C97" i="54"/>
  <c r="C98" i="54"/>
  <c r="C99" i="54"/>
  <c r="C100" i="54"/>
  <c r="C101" i="54"/>
  <c r="C102" i="54"/>
  <c r="C103" i="54"/>
  <c r="C104" i="54"/>
  <c r="C105" i="54"/>
  <c r="C106" i="54"/>
  <c r="C107" i="54"/>
  <c r="C108" i="54"/>
  <c r="C109" i="54"/>
  <c r="C110" i="54"/>
  <c r="C111" i="54"/>
  <c r="C75" i="54"/>
  <c r="E75" i="54"/>
  <c r="E29" i="54"/>
  <c r="E30" i="54"/>
  <c r="E31" i="54"/>
  <c r="E32" i="54"/>
  <c r="E33" i="54"/>
  <c r="E25" i="54"/>
  <c r="E27" i="54"/>
  <c r="E26" i="54"/>
  <c r="Y114" i="54"/>
  <c r="Z114" i="54"/>
  <c r="Y115" i="54"/>
  <c r="Z115" i="54"/>
  <c r="Y116" i="54"/>
  <c r="Z116" i="54"/>
  <c r="Y117" i="54"/>
  <c r="Z117" i="54"/>
  <c r="Y118" i="54"/>
  <c r="Z118" i="54"/>
  <c r="Y119" i="54"/>
  <c r="Z119" i="54"/>
  <c r="Y120" i="54"/>
  <c r="Z120" i="54"/>
  <c r="Y121" i="54"/>
  <c r="Z121" i="54"/>
  <c r="Z113" i="54"/>
  <c r="Y113" i="54"/>
  <c r="Y76" i="54"/>
  <c r="Z76" i="54"/>
  <c r="Y77" i="54"/>
  <c r="Z77" i="54"/>
  <c r="Y78" i="54"/>
  <c r="Z78" i="54"/>
  <c r="Y79" i="54"/>
  <c r="Z79" i="54"/>
  <c r="Y80" i="54"/>
  <c r="Z80" i="54"/>
  <c r="Y81" i="54"/>
  <c r="Z81" i="54"/>
  <c r="Y82" i="54"/>
  <c r="Z82" i="54"/>
  <c r="Y83" i="54"/>
  <c r="Z83" i="54"/>
  <c r="Y84" i="54"/>
  <c r="Z84" i="54"/>
  <c r="Y85" i="54"/>
  <c r="Z85" i="54"/>
  <c r="Y86" i="54"/>
  <c r="Z86" i="54"/>
  <c r="Y87" i="54"/>
  <c r="Z87" i="54"/>
  <c r="Y88" i="54"/>
  <c r="Z88" i="54"/>
  <c r="Y89" i="54"/>
  <c r="Z89" i="54"/>
  <c r="Y90" i="54"/>
  <c r="Z90" i="54"/>
  <c r="Y91" i="54"/>
  <c r="Z91" i="54"/>
  <c r="Y92" i="54"/>
  <c r="Z92" i="54"/>
  <c r="Y93" i="54"/>
  <c r="Z93" i="54"/>
  <c r="Y94" i="54"/>
  <c r="Z94" i="54"/>
  <c r="Y95" i="54"/>
  <c r="Z95" i="54"/>
  <c r="Y96" i="54"/>
  <c r="Z96" i="54"/>
  <c r="Y97" i="54"/>
  <c r="Z97" i="54"/>
  <c r="Y98" i="54"/>
  <c r="Z98" i="54"/>
  <c r="Y99" i="54"/>
  <c r="Z99" i="54"/>
  <c r="Y100" i="54"/>
  <c r="Z100" i="54"/>
  <c r="Y101" i="54"/>
  <c r="Z101" i="54"/>
  <c r="Y102" i="54"/>
  <c r="Z102" i="54"/>
  <c r="Y103" i="54"/>
  <c r="Z103" i="54"/>
  <c r="Y104" i="54"/>
  <c r="Z104" i="54"/>
  <c r="Y105" i="54"/>
  <c r="Z105" i="54"/>
  <c r="Y106" i="54"/>
  <c r="Z106" i="54"/>
  <c r="Y107" i="54"/>
  <c r="Z107" i="54"/>
  <c r="Y108" i="54"/>
  <c r="Z108" i="54"/>
  <c r="Y109" i="54"/>
  <c r="Z109" i="54"/>
  <c r="Y110" i="54"/>
  <c r="Z110" i="54"/>
  <c r="Y111" i="54"/>
  <c r="Z111" i="54"/>
  <c r="Z75" i="54"/>
  <c r="R114" i="54"/>
  <c r="S114" i="54"/>
  <c r="R115" i="54"/>
  <c r="S115" i="54"/>
  <c r="R116" i="54"/>
  <c r="S116" i="54"/>
  <c r="R117" i="54"/>
  <c r="S117" i="54"/>
  <c r="R118" i="54"/>
  <c r="S118" i="54"/>
  <c r="R119" i="54"/>
  <c r="S119" i="54"/>
  <c r="R120" i="54"/>
  <c r="S120" i="54"/>
  <c r="R121" i="54"/>
  <c r="S121" i="54"/>
  <c r="R113" i="54"/>
  <c r="S113" i="54"/>
  <c r="Q284" i="54" l="1"/>
  <c r="R122" i="54"/>
  <c r="P284" i="54"/>
  <c r="Z112" i="54"/>
  <c r="C112" i="54"/>
  <c r="S122" i="54"/>
  <c r="Y75" i="54"/>
  <c r="Y112" i="54" s="1"/>
  <c r="D122" i="54" l="1"/>
  <c r="C122" i="54"/>
  <c r="E121" i="54"/>
  <c r="D121" i="54"/>
  <c r="C121" i="54"/>
  <c r="E120" i="54"/>
  <c r="D120" i="54"/>
  <c r="C120" i="54"/>
  <c r="E119" i="54"/>
  <c r="D119" i="54"/>
  <c r="C119" i="54"/>
  <c r="E118" i="54"/>
  <c r="C118" i="54"/>
  <c r="E117" i="54"/>
  <c r="C117" i="54"/>
  <c r="E116" i="54"/>
  <c r="D116" i="54"/>
  <c r="C116" i="54"/>
  <c r="E115" i="54"/>
  <c r="D115" i="54"/>
  <c r="C115" i="54"/>
  <c r="D114" i="54"/>
  <c r="E113" i="54"/>
  <c r="D113" i="54"/>
  <c r="C113" i="54"/>
  <c r="E111" i="54"/>
  <c r="E109" i="54"/>
  <c r="E108" i="54"/>
  <c r="E107" i="54"/>
  <c r="E106" i="54"/>
  <c r="E105" i="54"/>
  <c r="E102" i="54"/>
  <c r="E101" i="54"/>
  <c r="E100" i="54"/>
  <c r="E99" i="54"/>
  <c r="E98" i="54"/>
  <c r="E97" i="54"/>
  <c r="E96" i="54"/>
  <c r="E95" i="54"/>
  <c r="E94" i="54"/>
  <c r="E93" i="54"/>
  <c r="E92" i="54"/>
  <c r="E91" i="54"/>
  <c r="E90" i="54"/>
  <c r="E89" i="54"/>
  <c r="E88" i="54"/>
  <c r="E87" i="54"/>
  <c r="E86" i="54"/>
  <c r="E85" i="54"/>
  <c r="E83" i="54"/>
  <c r="E82" i="54"/>
  <c r="E81" i="54"/>
  <c r="E80" i="54"/>
  <c r="E79" i="54"/>
  <c r="E78" i="54"/>
  <c r="E76" i="54"/>
  <c r="T74" i="54"/>
  <c r="L74" i="54"/>
  <c r="Z33" i="54"/>
  <c r="Y33" i="54"/>
  <c r="Y32" i="54"/>
  <c r="Z32" i="54"/>
  <c r="Z31" i="54"/>
  <c r="Y31" i="54"/>
  <c r="Z29" i="54"/>
  <c r="Z30" i="54"/>
  <c r="Y30" i="54"/>
  <c r="Y29" i="54"/>
  <c r="Y28" i="54"/>
  <c r="Z28" i="54"/>
  <c r="Z27" i="54"/>
  <c r="Y27" i="54"/>
  <c r="Z25" i="54"/>
  <c r="Z26" i="54"/>
  <c r="Y26" i="54"/>
  <c r="Y25" i="54"/>
  <c r="Z410" i="54" l="1"/>
  <c r="Y410" i="54"/>
  <c r="Z403" i="54"/>
  <c r="Y403" i="54"/>
  <c r="T405" i="54"/>
  <c r="L405" i="54"/>
  <c r="E7" i="65" l="1"/>
  <c r="W407" i="54" s="1"/>
  <c r="E8" i="65"/>
  <c r="W408" i="54" s="1"/>
  <c r="E9" i="65"/>
  <c r="E6" i="65"/>
  <c r="W406" i="54" s="1"/>
  <c r="N10" i="65"/>
  <c r="J9" i="65"/>
  <c r="J8" i="65"/>
  <c r="J7" i="65"/>
  <c r="J6" i="65"/>
  <c r="L10" i="65"/>
  <c r="M10" i="65"/>
  <c r="K10" i="65"/>
  <c r="W409" i="54" l="1"/>
  <c r="J10" i="65"/>
  <c r="E10" i="65"/>
  <c r="C9" i="65" l="1"/>
  <c r="L409" i="54" s="1"/>
  <c r="C6" i="65" l="1"/>
  <c r="L406" i="54" s="1"/>
  <c r="D10" i="65"/>
  <c r="I10" i="65"/>
  <c r="C7" i="65"/>
  <c r="L407" i="54" s="1"/>
  <c r="C8" i="65"/>
  <c r="L408" i="54" s="1"/>
  <c r="D7" i="64"/>
  <c r="D8" i="64"/>
  <c r="D9" i="64"/>
  <c r="D10" i="64"/>
  <c r="D11" i="64"/>
  <c r="D12" i="64"/>
  <c r="D13" i="64"/>
  <c r="D14" i="64"/>
  <c r="D15" i="64"/>
  <c r="D16" i="64"/>
  <c r="D17" i="64"/>
  <c r="D18" i="64"/>
  <c r="C18" i="64" s="1"/>
  <c r="D19" i="64"/>
  <c r="D20" i="64"/>
  <c r="D21" i="64"/>
  <c r="D22" i="64"/>
  <c r="D23" i="64"/>
  <c r="D24" i="64"/>
  <c r="D25" i="64"/>
  <c r="D26" i="64"/>
  <c r="D27" i="64"/>
  <c r="D28" i="64"/>
  <c r="D29" i="64"/>
  <c r="D30" i="64"/>
  <c r="D31" i="64"/>
  <c r="D6" i="64"/>
  <c r="C10" i="65" l="1"/>
  <c r="L410" i="54"/>
  <c r="W124" i="54"/>
  <c r="Y124" i="54" s="1"/>
  <c r="W245" i="54"/>
  <c r="W346" i="54"/>
  <c r="B16" i="34"/>
  <c r="B15" i="34"/>
  <c r="D52" i="36"/>
  <c r="Z440" i="54"/>
  <c r="Y440" i="54"/>
  <c r="D48" i="36" l="1"/>
  <c r="D41" i="36"/>
  <c r="D53" i="36" l="1"/>
  <c r="Q1995" i="11"/>
  <c r="P1995" i="11"/>
  <c r="E5" i="11"/>
  <c r="E6" i="11"/>
  <c r="E7" i="11"/>
  <c r="E8" i="11"/>
  <c r="E9" i="11"/>
  <c r="E10" i="11"/>
  <c r="E11" i="11"/>
  <c r="E12" i="11"/>
  <c r="E13" i="11"/>
  <c r="E14" i="11"/>
  <c r="E15" i="11"/>
  <c r="E16" i="11"/>
  <c r="E17" i="11"/>
  <c r="E18" i="11"/>
  <c r="E19" i="11"/>
  <c r="E20" i="11"/>
  <c r="E21" i="11"/>
  <c r="E22" i="11"/>
  <c r="E23" i="11"/>
  <c r="E24" i="11"/>
  <c r="E25" i="11"/>
  <c r="E26" i="11"/>
  <c r="E27" i="11"/>
  <c r="E28" i="11"/>
  <c r="E29" i="11"/>
  <c r="E30" i="11"/>
  <c r="E31" i="11"/>
  <c r="E32" i="11"/>
  <c r="E33" i="11"/>
  <c r="E34" i="11"/>
  <c r="E35" i="11"/>
  <c r="E36" i="11"/>
  <c r="E37" i="11"/>
  <c r="E38" i="11"/>
  <c r="E39" i="11"/>
  <c r="E40" i="11"/>
  <c r="E41" i="11"/>
  <c r="E42" i="11"/>
  <c r="E43" i="11"/>
  <c r="E44" i="11"/>
  <c r="E45" i="11"/>
  <c r="E46" i="11"/>
  <c r="E47" i="11"/>
  <c r="E48" i="11"/>
  <c r="E49" i="11"/>
  <c r="E50" i="11"/>
  <c r="E51" i="11"/>
  <c r="E52" i="11"/>
  <c r="E53" i="11"/>
  <c r="E54" i="11"/>
  <c r="E55" i="11"/>
  <c r="E56" i="11"/>
  <c r="E57" i="11"/>
  <c r="E58" i="11"/>
  <c r="E59" i="11"/>
  <c r="E60" i="11"/>
  <c r="E61" i="11"/>
  <c r="E62" i="11"/>
  <c r="E63" i="11"/>
  <c r="E64" i="11"/>
  <c r="E65" i="11"/>
  <c r="E66" i="11"/>
  <c r="E67" i="11"/>
  <c r="E68" i="11"/>
  <c r="E69" i="11"/>
  <c r="E70" i="11"/>
  <c r="E71" i="11"/>
  <c r="E72" i="11"/>
  <c r="E73" i="11"/>
  <c r="E74" i="11"/>
  <c r="E75" i="11"/>
  <c r="E76" i="11"/>
  <c r="E77" i="11"/>
  <c r="E78" i="11"/>
  <c r="E79" i="11"/>
  <c r="E80" i="11"/>
  <c r="E81" i="11"/>
  <c r="E82" i="11"/>
  <c r="E83" i="11"/>
  <c r="E84" i="11"/>
  <c r="E85" i="11"/>
  <c r="E86" i="11"/>
  <c r="E87" i="11"/>
  <c r="E88" i="11"/>
  <c r="E89" i="11"/>
  <c r="E90" i="11"/>
  <c r="E91" i="11"/>
  <c r="E92" i="11"/>
  <c r="E93" i="11"/>
  <c r="E94" i="11"/>
  <c r="E95" i="11"/>
  <c r="E96" i="11"/>
  <c r="E97" i="11"/>
  <c r="E98" i="11"/>
  <c r="E99" i="11"/>
  <c r="E100" i="11"/>
  <c r="E101" i="11"/>
  <c r="E102" i="11"/>
  <c r="E103" i="11"/>
  <c r="E104" i="11"/>
  <c r="E105" i="11"/>
  <c r="E106" i="11"/>
  <c r="E107" i="11"/>
  <c r="E108" i="11"/>
  <c r="E109" i="11"/>
  <c r="E110" i="11"/>
  <c r="E111" i="11"/>
  <c r="E112" i="11"/>
  <c r="E113" i="11"/>
  <c r="E114" i="11"/>
  <c r="E115" i="11"/>
  <c r="E116" i="11"/>
  <c r="E117" i="11"/>
  <c r="E118" i="11"/>
  <c r="E119" i="11"/>
  <c r="E120" i="11"/>
  <c r="E121" i="11"/>
  <c r="E122" i="11"/>
  <c r="E123" i="11"/>
  <c r="E124" i="11"/>
  <c r="E125" i="11"/>
  <c r="E126" i="11"/>
  <c r="E127" i="11"/>
  <c r="E128" i="11"/>
  <c r="E129" i="11"/>
  <c r="E130" i="11"/>
  <c r="E131" i="11"/>
  <c r="E132" i="11"/>
  <c r="E133" i="11"/>
  <c r="E134" i="11"/>
  <c r="E135" i="11"/>
  <c r="E136" i="11"/>
  <c r="E137" i="11"/>
  <c r="E138" i="11"/>
  <c r="E139" i="11"/>
  <c r="E140" i="11"/>
  <c r="E141" i="11"/>
  <c r="E142" i="11"/>
  <c r="E143" i="11"/>
  <c r="E144" i="11"/>
  <c r="E145" i="11"/>
  <c r="E146" i="11"/>
  <c r="E147" i="11"/>
  <c r="E148" i="11"/>
  <c r="E149" i="11"/>
  <c r="E150" i="11"/>
  <c r="E151" i="11"/>
  <c r="E152" i="11"/>
  <c r="E153" i="11"/>
  <c r="E154" i="11"/>
  <c r="E155" i="11"/>
  <c r="E156" i="11"/>
  <c r="E157" i="11"/>
  <c r="E158" i="11"/>
  <c r="E159" i="11"/>
  <c r="E160" i="11"/>
  <c r="E161" i="11"/>
  <c r="E162" i="11"/>
  <c r="E163" i="11"/>
  <c r="E164" i="11"/>
  <c r="E165" i="11"/>
  <c r="E166" i="11"/>
  <c r="E167" i="11"/>
  <c r="E168" i="11"/>
  <c r="E169" i="11"/>
  <c r="E170" i="11"/>
  <c r="E171" i="11"/>
  <c r="E172" i="11"/>
  <c r="E173" i="11"/>
  <c r="E174" i="11"/>
  <c r="E175" i="11"/>
  <c r="E176" i="11"/>
  <c r="E177" i="11"/>
  <c r="E178" i="11"/>
  <c r="E179" i="11"/>
  <c r="E180" i="11"/>
  <c r="E181" i="11"/>
  <c r="E182" i="11"/>
  <c r="E183" i="11"/>
  <c r="E184" i="11"/>
  <c r="E185" i="11"/>
  <c r="E186" i="11"/>
  <c r="E187" i="11"/>
  <c r="E188" i="11"/>
  <c r="E189" i="11"/>
  <c r="E190" i="11"/>
  <c r="E191" i="11"/>
  <c r="E192" i="11"/>
  <c r="E193" i="11"/>
  <c r="E194" i="11"/>
  <c r="E195" i="11"/>
  <c r="E196" i="11"/>
  <c r="E197" i="11"/>
  <c r="E198" i="11"/>
  <c r="E199" i="11"/>
  <c r="E200" i="11"/>
  <c r="E201" i="11"/>
  <c r="E202" i="11"/>
  <c r="E203" i="11"/>
  <c r="E204" i="11"/>
  <c r="E205" i="11"/>
  <c r="E206" i="11"/>
  <c r="E207" i="11"/>
  <c r="E208" i="11"/>
  <c r="E209" i="11"/>
  <c r="E210" i="11"/>
  <c r="E211" i="11"/>
  <c r="E212" i="11"/>
  <c r="E213" i="11"/>
  <c r="E214" i="11"/>
  <c r="E215" i="11"/>
  <c r="E216" i="11"/>
  <c r="E217" i="11"/>
  <c r="E218" i="11"/>
  <c r="E219" i="11"/>
  <c r="E220" i="11"/>
  <c r="E221" i="11"/>
  <c r="E222" i="11"/>
  <c r="E223" i="11"/>
  <c r="E224" i="11"/>
  <c r="E225" i="11"/>
  <c r="E226" i="11"/>
  <c r="E227" i="11"/>
  <c r="E228" i="11"/>
  <c r="E229" i="11"/>
  <c r="E230" i="11"/>
  <c r="E231" i="11"/>
  <c r="E232" i="11"/>
  <c r="E233" i="11"/>
  <c r="E234" i="11"/>
  <c r="E235" i="11"/>
  <c r="E236" i="11"/>
  <c r="E237" i="11"/>
  <c r="E238" i="11"/>
  <c r="E239" i="11"/>
  <c r="E240" i="11"/>
  <c r="E241" i="11"/>
  <c r="E242" i="11"/>
  <c r="E243" i="11"/>
  <c r="E244" i="11"/>
  <c r="E245" i="11"/>
  <c r="E246" i="11"/>
  <c r="E247" i="11"/>
  <c r="E248" i="11"/>
  <c r="E249" i="11"/>
  <c r="E250" i="11"/>
  <c r="E251" i="11"/>
  <c r="E252" i="11"/>
  <c r="E253" i="11"/>
  <c r="E254" i="11"/>
  <c r="E255" i="11"/>
  <c r="E256" i="11"/>
  <c r="E257" i="11"/>
  <c r="E258" i="11"/>
  <c r="E259" i="11"/>
  <c r="E260" i="11"/>
  <c r="E261" i="11"/>
  <c r="E262" i="11"/>
  <c r="E263" i="11"/>
  <c r="E264" i="11"/>
  <c r="E265" i="11"/>
  <c r="E266" i="11"/>
  <c r="E267" i="11"/>
  <c r="E268" i="11"/>
  <c r="E269" i="11"/>
  <c r="E270" i="11"/>
  <c r="E271" i="11"/>
  <c r="E272" i="11"/>
  <c r="E273" i="11"/>
  <c r="E274" i="11"/>
  <c r="E275" i="11"/>
  <c r="E276" i="11"/>
  <c r="E277" i="11"/>
  <c r="E278" i="11"/>
  <c r="E279" i="11"/>
  <c r="E280" i="11"/>
  <c r="E281" i="11"/>
  <c r="E282" i="11"/>
  <c r="E283" i="11"/>
  <c r="E284" i="11"/>
  <c r="E285" i="11"/>
  <c r="E286" i="11"/>
  <c r="E287" i="11"/>
  <c r="E288" i="11"/>
  <c r="E289" i="11"/>
  <c r="E290" i="11"/>
  <c r="E291" i="11"/>
  <c r="E292" i="11"/>
  <c r="E293" i="11"/>
  <c r="E294" i="11"/>
  <c r="E295" i="11"/>
  <c r="E296" i="11"/>
  <c r="E297" i="11"/>
  <c r="E298" i="11"/>
  <c r="E299" i="11"/>
  <c r="E300" i="11"/>
  <c r="E301" i="11"/>
  <c r="E302" i="11"/>
  <c r="E303" i="11"/>
  <c r="E304" i="11"/>
  <c r="E305" i="11"/>
  <c r="E306" i="11"/>
  <c r="E307" i="11"/>
  <c r="E308" i="11"/>
  <c r="E309" i="11"/>
  <c r="E310" i="11"/>
  <c r="E311" i="11"/>
  <c r="E312" i="11"/>
  <c r="E313" i="11"/>
  <c r="E314" i="11"/>
  <c r="E315" i="11"/>
  <c r="E316" i="11"/>
  <c r="E317" i="11"/>
  <c r="E318" i="11"/>
  <c r="E319" i="11"/>
  <c r="E320" i="11"/>
  <c r="E321" i="11"/>
  <c r="E322" i="11"/>
  <c r="E323" i="11"/>
  <c r="E324" i="11"/>
  <c r="E325" i="11"/>
  <c r="E326" i="11"/>
  <c r="E327" i="11"/>
  <c r="E328" i="11"/>
  <c r="E329" i="11"/>
  <c r="E330" i="11"/>
  <c r="E331" i="11"/>
  <c r="E332" i="11"/>
  <c r="E333" i="11"/>
  <c r="E334" i="11"/>
  <c r="E335" i="11"/>
  <c r="E336" i="11"/>
  <c r="E337" i="11"/>
  <c r="E338" i="11"/>
  <c r="E339" i="11"/>
  <c r="E340" i="11"/>
  <c r="E341" i="11"/>
  <c r="E342" i="11"/>
  <c r="E343" i="11"/>
  <c r="E344" i="11"/>
  <c r="E345" i="11"/>
  <c r="E346" i="11"/>
  <c r="E347" i="11"/>
  <c r="E348" i="11"/>
  <c r="E349" i="11"/>
  <c r="E350" i="11"/>
  <c r="E351" i="11"/>
  <c r="E352" i="11"/>
  <c r="E353" i="11"/>
  <c r="E354" i="11"/>
  <c r="E355" i="11"/>
  <c r="E356" i="11"/>
  <c r="E357" i="11"/>
  <c r="E358" i="11"/>
  <c r="E359" i="11"/>
  <c r="E360" i="11"/>
  <c r="E361" i="11"/>
  <c r="E362" i="11"/>
  <c r="E363" i="11"/>
  <c r="E364" i="11"/>
  <c r="E365" i="11"/>
  <c r="E366" i="11"/>
  <c r="E367" i="11"/>
  <c r="E368" i="11"/>
  <c r="E369" i="11"/>
  <c r="E370" i="11"/>
  <c r="E371" i="11"/>
  <c r="E372" i="11"/>
  <c r="E373" i="11"/>
  <c r="E374" i="11"/>
  <c r="E375" i="11"/>
  <c r="E376" i="11"/>
  <c r="E377" i="11"/>
  <c r="E378" i="11"/>
  <c r="E379" i="11"/>
  <c r="E380" i="11"/>
  <c r="E381" i="11"/>
  <c r="E382" i="11"/>
  <c r="E383" i="11"/>
  <c r="E384" i="11"/>
  <c r="E385" i="11"/>
  <c r="E386" i="11"/>
  <c r="E387" i="11"/>
  <c r="E388" i="11"/>
  <c r="E389" i="11"/>
  <c r="E390" i="11"/>
  <c r="E391" i="11"/>
  <c r="E392" i="11"/>
  <c r="E393" i="11"/>
  <c r="E394" i="11"/>
  <c r="E395" i="11"/>
  <c r="E396" i="11"/>
  <c r="E397" i="11"/>
  <c r="E398" i="11"/>
  <c r="E399" i="11"/>
  <c r="E400" i="11"/>
  <c r="E401" i="11"/>
  <c r="E402" i="11"/>
  <c r="E403" i="11"/>
  <c r="E404" i="11"/>
  <c r="E405" i="11"/>
  <c r="E406" i="11"/>
  <c r="E407" i="11"/>
  <c r="E408" i="11"/>
  <c r="E409" i="11"/>
  <c r="E410" i="11"/>
  <c r="E411" i="11"/>
  <c r="E412" i="11"/>
  <c r="E413" i="11"/>
  <c r="E414" i="11"/>
  <c r="E415" i="11"/>
  <c r="E416" i="11"/>
  <c r="E417" i="11"/>
  <c r="E418" i="11"/>
  <c r="E419" i="11"/>
  <c r="E420" i="11"/>
  <c r="E421" i="11"/>
  <c r="E422" i="11"/>
  <c r="E423" i="11"/>
  <c r="E424" i="11"/>
  <c r="E425" i="11"/>
  <c r="E426" i="11"/>
  <c r="E427" i="11"/>
  <c r="E428" i="11"/>
  <c r="E429" i="11"/>
  <c r="E430" i="11"/>
  <c r="E431" i="11"/>
  <c r="E432" i="11"/>
  <c r="E433" i="11"/>
  <c r="E434" i="11"/>
  <c r="E435" i="11"/>
  <c r="E436" i="11"/>
  <c r="E437" i="11"/>
  <c r="E438" i="11"/>
  <c r="E439" i="11"/>
  <c r="E440" i="11"/>
  <c r="E441" i="11"/>
  <c r="E442" i="11"/>
  <c r="E443" i="11"/>
  <c r="E444" i="11"/>
  <c r="E445" i="11"/>
  <c r="E446" i="11"/>
  <c r="E447" i="11"/>
  <c r="E448" i="11"/>
  <c r="E449" i="11"/>
  <c r="E450" i="11"/>
  <c r="E451" i="11"/>
  <c r="E452" i="11"/>
  <c r="E453" i="11"/>
  <c r="E454" i="11"/>
  <c r="E455" i="11"/>
  <c r="E456" i="11"/>
  <c r="E457" i="11"/>
  <c r="E458" i="11"/>
  <c r="E459" i="11"/>
  <c r="E460" i="11"/>
  <c r="E461" i="11"/>
  <c r="E462" i="11"/>
  <c r="E463" i="11"/>
  <c r="E464" i="11"/>
  <c r="E465" i="11"/>
  <c r="E466" i="11"/>
  <c r="E467" i="11"/>
  <c r="E468" i="11"/>
  <c r="E469" i="11"/>
  <c r="E470" i="11"/>
  <c r="E471" i="11"/>
  <c r="E472" i="11"/>
  <c r="E473" i="11"/>
  <c r="E474" i="11"/>
  <c r="E475" i="11"/>
  <c r="E476" i="11"/>
  <c r="E477" i="11"/>
  <c r="E478" i="11"/>
  <c r="E479" i="11"/>
  <c r="E480" i="11"/>
  <c r="E481" i="11"/>
  <c r="E482" i="11"/>
  <c r="E483" i="11"/>
  <c r="E484" i="11"/>
  <c r="E485" i="11"/>
  <c r="E486" i="11"/>
  <c r="E487" i="11"/>
  <c r="E488" i="11"/>
  <c r="E489" i="11"/>
  <c r="E490" i="11"/>
  <c r="E491" i="11"/>
  <c r="E492" i="11"/>
  <c r="E493" i="11"/>
  <c r="E494" i="11"/>
  <c r="E495" i="11"/>
  <c r="E496" i="11"/>
  <c r="E497" i="11"/>
  <c r="E498" i="11"/>
  <c r="E499" i="11"/>
  <c r="E500" i="11"/>
  <c r="E501" i="11"/>
  <c r="E502" i="11"/>
  <c r="E503" i="11"/>
  <c r="E504" i="11"/>
  <c r="E505" i="11"/>
  <c r="E506" i="11"/>
  <c r="E507" i="11"/>
  <c r="E508" i="11"/>
  <c r="E509" i="11"/>
  <c r="E510" i="11"/>
  <c r="E511" i="11"/>
  <c r="E512" i="11"/>
  <c r="E513" i="11"/>
  <c r="E514" i="11"/>
  <c r="E515" i="11"/>
  <c r="E516" i="11"/>
  <c r="E517" i="11"/>
  <c r="E518" i="11"/>
  <c r="E519" i="11"/>
  <c r="E520" i="11"/>
  <c r="E521" i="11"/>
  <c r="E522" i="11"/>
  <c r="E523" i="11"/>
  <c r="E524" i="11"/>
  <c r="E525" i="11"/>
  <c r="E526" i="11"/>
  <c r="E527" i="11"/>
  <c r="E528" i="11"/>
  <c r="E529" i="11"/>
  <c r="E530" i="11"/>
  <c r="E531" i="11"/>
  <c r="E532" i="11"/>
  <c r="E533" i="11"/>
  <c r="E534" i="11"/>
  <c r="E535" i="11"/>
  <c r="E536" i="11"/>
  <c r="E537" i="11"/>
  <c r="E538" i="11"/>
  <c r="E539" i="11"/>
  <c r="E540" i="11"/>
  <c r="E541" i="11"/>
  <c r="E542" i="11"/>
  <c r="E543" i="11"/>
  <c r="E544" i="11"/>
  <c r="E545" i="11"/>
  <c r="E546" i="11"/>
  <c r="E547" i="11"/>
  <c r="E548" i="11"/>
  <c r="E549" i="11"/>
  <c r="E550" i="11"/>
  <c r="E551" i="11"/>
  <c r="E552" i="11"/>
  <c r="E553" i="11"/>
  <c r="E554" i="11"/>
  <c r="E555" i="11"/>
  <c r="E556" i="11"/>
  <c r="E557" i="11"/>
  <c r="E558" i="11"/>
  <c r="E559" i="11"/>
  <c r="E560" i="11"/>
  <c r="E561" i="11"/>
  <c r="E562" i="11"/>
  <c r="E563" i="11"/>
  <c r="E564" i="11"/>
  <c r="E565" i="11"/>
  <c r="E566" i="11"/>
  <c r="E567" i="11"/>
  <c r="E568" i="11"/>
  <c r="E569" i="11"/>
  <c r="E570" i="11"/>
  <c r="E571" i="11"/>
  <c r="E572" i="11"/>
  <c r="E573" i="11"/>
  <c r="E574" i="11"/>
  <c r="E575" i="11"/>
  <c r="E576" i="11"/>
  <c r="E577" i="11"/>
  <c r="E578" i="11"/>
  <c r="E579" i="11"/>
  <c r="E580" i="11"/>
  <c r="E581" i="11"/>
  <c r="E582" i="11"/>
  <c r="E583" i="11"/>
  <c r="E584" i="11"/>
  <c r="E585" i="11"/>
  <c r="E586" i="11"/>
  <c r="E587" i="11"/>
  <c r="E588" i="11"/>
  <c r="E589" i="11"/>
  <c r="E590" i="11"/>
  <c r="E591" i="11"/>
  <c r="E592" i="11"/>
  <c r="E593" i="11"/>
  <c r="E594" i="11"/>
  <c r="E595" i="11"/>
  <c r="E596" i="11"/>
  <c r="E597" i="11"/>
  <c r="E598" i="11"/>
  <c r="E599" i="11"/>
  <c r="E600" i="11"/>
  <c r="E601" i="11"/>
  <c r="E602" i="11"/>
  <c r="E603" i="11"/>
  <c r="E604" i="11"/>
  <c r="E605" i="11"/>
  <c r="E606" i="11"/>
  <c r="E607" i="11"/>
  <c r="E608" i="11"/>
  <c r="E609" i="11"/>
  <c r="E610" i="11"/>
  <c r="E611" i="11"/>
  <c r="E612" i="11"/>
  <c r="E613" i="11"/>
  <c r="E614" i="11"/>
  <c r="E615" i="11"/>
  <c r="E616" i="11"/>
  <c r="E617" i="11"/>
  <c r="E618" i="11"/>
  <c r="E619" i="11"/>
  <c r="E620" i="11"/>
  <c r="E621" i="11"/>
  <c r="E622" i="11"/>
  <c r="E623" i="11"/>
  <c r="E624" i="11"/>
  <c r="E625" i="11"/>
  <c r="E626" i="11"/>
  <c r="E627" i="11"/>
  <c r="E628" i="11"/>
  <c r="E629" i="11"/>
  <c r="E630" i="11"/>
  <c r="E631" i="11"/>
  <c r="E632" i="11"/>
  <c r="E633" i="11"/>
  <c r="E634" i="11"/>
  <c r="E635" i="11"/>
  <c r="E636" i="11"/>
  <c r="E637" i="11"/>
  <c r="E638" i="11"/>
  <c r="E639" i="11"/>
  <c r="E640" i="11"/>
  <c r="E641" i="11"/>
  <c r="E642" i="11"/>
  <c r="E643" i="11"/>
  <c r="E644" i="11"/>
  <c r="E645" i="11"/>
  <c r="E646" i="11"/>
  <c r="E647" i="11"/>
  <c r="E648" i="11"/>
  <c r="E649" i="11"/>
  <c r="E650" i="11"/>
  <c r="E651" i="11"/>
  <c r="E652" i="11"/>
  <c r="E653" i="11"/>
  <c r="E654" i="11"/>
  <c r="E655" i="11"/>
  <c r="E656" i="11"/>
  <c r="E657" i="11"/>
  <c r="E658" i="11"/>
  <c r="E659" i="11"/>
  <c r="E660" i="11"/>
  <c r="E661" i="11"/>
  <c r="E662" i="11"/>
  <c r="E663" i="11"/>
  <c r="E664" i="11"/>
  <c r="E665" i="11"/>
  <c r="E666" i="11"/>
  <c r="E667" i="11"/>
  <c r="E668" i="11"/>
  <c r="E669" i="11"/>
  <c r="E670" i="11"/>
  <c r="E671" i="11"/>
  <c r="E672" i="11"/>
  <c r="E673" i="11"/>
  <c r="E674" i="11"/>
  <c r="E675" i="11"/>
  <c r="E676" i="11"/>
  <c r="E677" i="11"/>
  <c r="E678" i="11"/>
  <c r="E679" i="11"/>
  <c r="E680" i="11"/>
  <c r="E681" i="11"/>
  <c r="E682" i="11"/>
  <c r="E683" i="11"/>
  <c r="E684" i="11"/>
  <c r="E685" i="11"/>
  <c r="E686" i="11"/>
  <c r="E687" i="11"/>
  <c r="E688" i="11"/>
  <c r="E689" i="11"/>
  <c r="E690" i="11"/>
  <c r="E691" i="11"/>
  <c r="E692" i="11"/>
  <c r="E693" i="11"/>
  <c r="E694" i="11"/>
  <c r="E695" i="11"/>
  <c r="E696" i="11"/>
  <c r="E697" i="11"/>
  <c r="E698" i="11"/>
  <c r="E699" i="11"/>
  <c r="E700" i="11"/>
  <c r="E701" i="11"/>
  <c r="E702" i="11"/>
  <c r="E703" i="11"/>
  <c r="E704" i="11"/>
  <c r="E705" i="11"/>
  <c r="E706" i="11"/>
  <c r="E707" i="11"/>
  <c r="E708" i="11"/>
  <c r="E709" i="11"/>
  <c r="E710" i="11"/>
  <c r="E711" i="11"/>
  <c r="E712" i="11"/>
  <c r="E713" i="11"/>
  <c r="E714" i="11"/>
  <c r="E715" i="11"/>
  <c r="E716" i="11"/>
  <c r="E717" i="11"/>
  <c r="E718" i="11"/>
  <c r="E719" i="11"/>
  <c r="E720" i="11"/>
  <c r="E721" i="11"/>
  <c r="E722" i="11"/>
  <c r="E723" i="11"/>
  <c r="E724" i="11"/>
  <c r="E725" i="11"/>
  <c r="E726" i="11"/>
  <c r="E727" i="11"/>
  <c r="E728" i="11"/>
  <c r="E729" i="11"/>
  <c r="E730" i="11"/>
  <c r="E731" i="11"/>
  <c r="E732" i="11"/>
  <c r="E733" i="11"/>
  <c r="E734" i="11"/>
  <c r="E735" i="11"/>
  <c r="E736" i="11"/>
  <c r="E737" i="11"/>
  <c r="E738" i="11"/>
  <c r="E739" i="11"/>
  <c r="E740" i="11"/>
  <c r="E741" i="11"/>
  <c r="E742" i="11"/>
  <c r="E743" i="11"/>
  <c r="E744" i="11"/>
  <c r="E745" i="11"/>
  <c r="E746" i="11"/>
  <c r="E747" i="11"/>
  <c r="E748" i="11"/>
  <c r="E749" i="11"/>
  <c r="E750" i="11"/>
  <c r="E751" i="11"/>
  <c r="E752" i="11"/>
  <c r="E753" i="11"/>
  <c r="E754" i="11"/>
  <c r="E755" i="11"/>
  <c r="E756" i="11"/>
  <c r="E757" i="11"/>
  <c r="E758" i="11"/>
  <c r="E759" i="11"/>
  <c r="E760" i="11"/>
  <c r="E761" i="11"/>
  <c r="E762" i="11"/>
  <c r="E763" i="11"/>
  <c r="E764" i="11"/>
  <c r="E765" i="11"/>
  <c r="E766" i="11"/>
  <c r="E767" i="11"/>
  <c r="E768" i="11"/>
  <c r="E769" i="11"/>
  <c r="E770" i="11"/>
  <c r="E771" i="11"/>
  <c r="E772" i="11"/>
  <c r="E773" i="11"/>
  <c r="E774" i="11"/>
  <c r="E775" i="11"/>
  <c r="E776" i="11"/>
  <c r="E777" i="11"/>
  <c r="E778" i="11"/>
  <c r="E779" i="11"/>
  <c r="E780" i="11"/>
  <c r="E781" i="11"/>
  <c r="E782" i="11"/>
  <c r="E783" i="11"/>
  <c r="E784" i="11"/>
  <c r="E785" i="11"/>
  <c r="E786" i="11"/>
  <c r="E787" i="11"/>
  <c r="E788" i="11"/>
  <c r="E789" i="11"/>
  <c r="E790" i="11"/>
  <c r="E791" i="11"/>
  <c r="E792" i="11"/>
  <c r="E793" i="11"/>
  <c r="E794" i="11"/>
  <c r="E795" i="11"/>
  <c r="E796" i="11"/>
  <c r="E797" i="11"/>
  <c r="E798" i="11"/>
  <c r="E799" i="11"/>
  <c r="E800" i="11"/>
  <c r="E801" i="11"/>
  <c r="E802" i="11"/>
  <c r="E803" i="11"/>
  <c r="E804" i="11"/>
  <c r="E805" i="11"/>
  <c r="E806" i="11"/>
  <c r="E807" i="11"/>
  <c r="E808" i="11"/>
  <c r="E809" i="11"/>
  <c r="E810" i="11"/>
  <c r="E811" i="11"/>
  <c r="E812" i="11"/>
  <c r="E813" i="11"/>
  <c r="E814" i="11"/>
  <c r="E815" i="11"/>
  <c r="E816" i="11"/>
  <c r="E817" i="11"/>
  <c r="E818" i="11"/>
  <c r="E819" i="11"/>
  <c r="E820" i="11"/>
  <c r="E821" i="11"/>
  <c r="E822" i="11"/>
  <c r="E823" i="11"/>
  <c r="E824" i="11"/>
  <c r="E825" i="11"/>
  <c r="E826" i="11"/>
  <c r="E827" i="11"/>
  <c r="E828" i="11"/>
  <c r="E829" i="11"/>
  <c r="E830" i="11"/>
  <c r="E831" i="11"/>
  <c r="E832" i="11"/>
  <c r="E833" i="11"/>
  <c r="E834" i="11"/>
  <c r="E835" i="11"/>
  <c r="E836" i="11"/>
  <c r="E837" i="11"/>
  <c r="E838" i="11"/>
  <c r="E839" i="11"/>
  <c r="E840" i="11"/>
  <c r="E841" i="11"/>
  <c r="E842" i="11"/>
  <c r="E843" i="11"/>
  <c r="E844" i="11"/>
  <c r="E845" i="11"/>
  <c r="E846" i="11"/>
  <c r="E847" i="11"/>
  <c r="E848" i="11"/>
  <c r="E849" i="11"/>
  <c r="E850" i="11"/>
  <c r="E851" i="11"/>
  <c r="E852" i="11"/>
  <c r="E853" i="11"/>
  <c r="E854" i="11"/>
  <c r="E855" i="11"/>
  <c r="E856" i="11"/>
  <c r="E857" i="11"/>
  <c r="E858" i="11"/>
  <c r="E859" i="11"/>
  <c r="E860" i="11"/>
  <c r="E861" i="11"/>
  <c r="E862" i="11"/>
  <c r="E863" i="11"/>
  <c r="E864" i="11"/>
  <c r="E865" i="11"/>
  <c r="E866" i="11"/>
  <c r="E867" i="11"/>
  <c r="E868" i="11"/>
  <c r="E869" i="11"/>
  <c r="E870" i="11"/>
  <c r="E871" i="11"/>
  <c r="E872" i="11"/>
  <c r="E873" i="11"/>
  <c r="E874" i="11"/>
  <c r="E875" i="11"/>
  <c r="E876" i="11"/>
  <c r="E877" i="11"/>
  <c r="E878" i="11"/>
  <c r="E879" i="11"/>
  <c r="E880" i="11"/>
  <c r="E881" i="11"/>
  <c r="E882" i="11"/>
  <c r="E883" i="11"/>
  <c r="E884" i="11"/>
  <c r="E885" i="11"/>
  <c r="E886" i="11"/>
  <c r="E887" i="11"/>
  <c r="E888" i="11"/>
  <c r="E889" i="11"/>
  <c r="E890" i="11"/>
  <c r="E891" i="11"/>
  <c r="E892" i="11"/>
  <c r="E893" i="11"/>
  <c r="E894" i="11"/>
  <c r="E895" i="11"/>
  <c r="E896" i="11"/>
  <c r="E897" i="11"/>
  <c r="E898" i="11"/>
  <c r="E899" i="11"/>
  <c r="E900" i="11"/>
  <c r="E901" i="11"/>
  <c r="E902" i="11"/>
  <c r="E903" i="11"/>
  <c r="E904" i="11"/>
  <c r="E905" i="11"/>
  <c r="E906" i="11"/>
  <c r="E907" i="11"/>
  <c r="E908" i="11"/>
  <c r="E909" i="11"/>
  <c r="E910" i="11"/>
  <c r="E911" i="11"/>
  <c r="E912" i="11"/>
  <c r="E913" i="11"/>
  <c r="E914" i="11"/>
  <c r="E915" i="11"/>
  <c r="E916" i="11"/>
  <c r="E917" i="11"/>
  <c r="E918" i="11"/>
  <c r="E919" i="11"/>
  <c r="E920" i="11"/>
  <c r="E921" i="11"/>
  <c r="E922" i="11"/>
  <c r="E923" i="11"/>
  <c r="E924" i="11"/>
  <c r="E925" i="11"/>
  <c r="E926" i="11"/>
  <c r="E927" i="11"/>
  <c r="E928" i="11"/>
  <c r="E929" i="11"/>
  <c r="E930" i="11"/>
  <c r="E931" i="11"/>
  <c r="E932" i="11"/>
  <c r="E933" i="11"/>
  <c r="E934" i="11"/>
  <c r="E935" i="11"/>
  <c r="E936" i="11"/>
  <c r="E937" i="11"/>
  <c r="E938" i="11"/>
  <c r="E939" i="11"/>
  <c r="E940" i="11"/>
  <c r="E941" i="11"/>
  <c r="E942" i="11"/>
  <c r="E943" i="11"/>
  <c r="E944" i="11"/>
  <c r="E945" i="11"/>
  <c r="E946" i="11"/>
  <c r="E947" i="11"/>
  <c r="E948" i="11"/>
  <c r="E949" i="11"/>
  <c r="E950" i="11"/>
  <c r="E951" i="11"/>
  <c r="E952" i="11"/>
  <c r="E953" i="11"/>
  <c r="E954" i="11"/>
  <c r="E955" i="11"/>
  <c r="E956" i="11"/>
  <c r="E957" i="11"/>
  <c r="E958" i="11"/>
  <c r="E959" i="11"/>
  <c r="E960" i="11"/>
  <c r="E961" i="11"/>
  <c r="E962" i="11"/>
  <c r="E963" i="11"/>
  <c r="E964" i="11"/>
  <c r="E965" i="11"/>
  <c r="E966" i="11"/>
  <c r="E967" i="11"/>
  <c r="E968" i="11"/>
  <c r="E969" i="11"/>
  <c r="E970" i="11"/>
  <c r="E971" i="11"/>
  <c r="E972" i="11"/>
  <c r="E973" i="11"/>
  <c r="E974" i="11"/>
  <c r="E975" i="11"/>
  <c r="E976" i="11"/>
  <c r="E977" i="11"/>
  <c r="E978" i="11"/>
  <c r="E979" i="11"/>
  <c r="E980" i="11"/>
  <c r="E981" i="11"/>
  <c r="E982" i="11"/>
  <c r="E983" i="11"/>
  <c r="E984" i="11"/>
  <c r="E985" i="11"/>
  <c r="E986" i="11"/>
  <c r="E987" i="11"/>
  <c r="E988" i="11"/>
  <c r="E989" i="11"/>
  <c r="E990" i="11"/>
  <c r="E991" i="11"/>
  <c r="E992" i="11"/>
  <c r="E993" i="11"/>
  <c r="E994" i="11"/>
  <c r="E995" i="11"/>
  <c r="E996" i="11"/>
  <c r="E997" i="11"/>
  <c r="E998" i="11"/>
  <c r="E999" i="11"/>
  <c r="E1000" i="11"/>
  <c r="E1001" i="11"/>
  <c r="E1002" i="11"/>
  <c r="E1003" i="11"/>
  <c r="E1004" i="11"/>
  <c r="E1005" i="11"/>
  <c r="E1006" i="11"/>
  <c r="E1007" i="11"/>
  <c r="E1008" i="11"/>
  <c r="E1009" i="11"/>
  <c r="E1010" i="11"/>
  <c r="E1011" i="11"/>
  <c r="E1012" i="11"/>
  <c r="E1013" i="11"/>
  <c r="E1014" i="11"/>
  <c r="E1015" i="11"/>
  <c r="E1016" i="11"/>
  <c r="E1017" i="11"/>
  <c r="E1018" i="11"/>
  <c r="E1019" i="11"/>
  <c r="E1020" i="11"/>
  <c r="E1021" i="11"/>
  <c r="E1022" i="11"/>
  <c r="E1023" i="11"/>
  <c r="E1024" i="11"/>
  <c r="E1025" i="11"/>
  <c r="E1026" i="11"/>
  <c r="E1027" i="11"/>
  <c r="E1028" i="11"/>
  <c r="E1029" i="11"/>
  <c r="E1030" i="11"/>
  <c r="E1031" i="11"/>
  <c r="E1032" i="11"/>
  <c r="E1033" i="11"/>
  <c r="E1034" i="11"/>
  <c r="E1035" i="11"/>
  <c r="E1036" i="11"/>
  <c r="E1037" i="11"/>
  <c r="E1038" i="11"/>
  <c r="E1039" i="11"/>
  <c r="E1040" i="11"/>
  <c r="E1041" i="11"/>
  <c r="E1042" i="11"/>
  <c r="E1043" i="11"/>
  <c r="E1044" i="11"/>
  <c r="E1045" i="11"/>
  <c r="E1046" i="11"/>
  <c r="E1047" i="11"/>
  <c r="E1048" i="11"/>
  <c r="E1049" i="11"/>
  <c r="E1050" i="11"/>
  <c r="E1051" i="11"/>
  <c r="E1052" i="11"/>
  <c r="E1053" i="11"/>
  <c r="E1054" i="11"/>
  <c r="E1055" i="11"/>
  <c r="E1056" i="11"/>
  <c r="E1057" i="11"/>
  <c r="E1058" i="11"/>
  <c r="E1059" i="11"/>
  <c r="E1060" i="11"/>
  <c r="E1061" i="11"/>
  <c r="E1062" i="11"/>
  <c r="E1063" i="11"/>
  <c r="E1064" i="11"/>
  <c r="E1065" i="11"/>
  <c r="E1066" i="11"/>
  <c r="E1067" i="11"/>
  <c r="E1068" i="11"/>
  <c r="E1069" i="11"/>
  <c r="E1070" i="11"/>
  <c r="E1071" i="11"/>
  <c r="E1072" i="11"/>
  <c r="E1073" i="11"/>
  <c r="E1074" i="11"/>
  <c r="E1075" i="11"/>
  <c r="E1076" i="11"/>
  <c r="E1077" i="11"/>
  <c r="E1078" i="11"/>
  <c r="E1079" i="11"/>
  <c r="E1080" i="11"/>
  <c r="E1081" i="11"/>
  <c r="E1082" i="11"/>
  <c r="E1083" i="11"/>
  <c r="E1084" i="11"/>
  <c r="E1085" i="11"/>
  <c r="E1086" i="11"/>
  <c r="E1087" i="11"/>
  <c r="E1088" i="11"/>
  <c r="E1089" i="11"/>
  <c r="E1090" i="11"/>
  <c r="E1091" i="11"/>
  <c r="E1092" i="11"/>
  <c r="E1093" i="11"/>
  <c r="E1094" i="11"/>
  <c r="E1095" i="11"/>
  <c r="E1096" i="11"/>
  <c r="E1097" i="11"/>
  <c r="E1098" i="11"/>
  <c r="E1099" i="11"/>
  <c r="E1100" i="11"/>
  <c r="E1101" i="11"/>
  <c r="E1102" i="11"/>
  <c r="E1103" i="11"/>
  <c r="E1104" i="11"/>
  <c r="E1105" i="11"/>
  <c r="E1106" i="11"/>
  <c r="E1107" i="11"/>
  <c r="E1108" i="11"/>
  <c r="E1109" i="11"/>
  <c r="E1110" i="11"/>
  <c r="E1111" i="11"/>
  <c r="E1112" i="11"/>
  <c r="E1113" i="11"/>
  <c r="E1114" i="11"/>
  <c r="E1115" i="11"/>
  <c r="E1116" i="11"/>
  <c r="E1117" i="11"/>
  <c r="E1118" i="11"/>
  <c r="E1119" i="11"/>
  <c r="E1120" i="11"/>
  <c r="E1121" i="11"/>
  <c r="E1122" i="11"/>
  <c r="E1123" i="11"/>
  <c r="E1124" i="11"/>
  <c r="E1125" i="11"/>
  <c r="E1126" i="11"/>
  <c r="E1127" i="11"/>
  <c r="E1128" i="11"/>
  <c r="E1129" i="11"/>
  <c r="E1130" i="11"/>
  <c r="E1131" i="11"/>
  <c r="E1132" i="11"/>
  <c r="E1133" i="11"/>
  <c r="E1134" i="11"/>
  <c r="E1135" i="11"/>
  <c r="E1136" i="11"/>
  <c r="E1137" i="11"/>
  <c r="E1138" i="11"/>
  <c r="E1139" i="11"/>
  <c r="E1140" i="11"/>
  <c r="E1141" i="11"/>
  <c r="E1142" i="11"/>
  <c r="E1143" i="11"/>
  <c r="E1144" i="11"/>
  <c r="E1145" i="11"/>
  <c r="E1146" i="11"/>
  <c r="E1147" i="11"/>
  <c r="E1148" i="11"/>
  <c r="E1149" i="11"/>
  <c r="E1150" i="11"/>
  <c r="E1151" i="11"/>
  <c r="E1152" i="11"/>
  <c r="E1153" i="11"/>
  <c r="E1154" i="11"/>
  <c r="E1155" i="11"/>
  <c r="E1156" i="11"/>
  <c r="E1157" i="11"/>
  <c r="E1158" i="11"/>
  <c r="E1159" i="11"/>
  <c r="E1160" i="11"/>
  <c r="E1161" i="11"/>
  <c r="E1162" i="11"/>
  <c r="E1163" i="11"/>
  <c r="E1164" i="11"/>
  <c r="E1165" i="11"/>
  <c r="E1166" i="11"/>
  <c r="E1167" i="11"/>
  <c r="E1168" i="11"/>
  <c r="E1169" i="11"/>
  <c r="E1170" i="11"/>
  <c r="E1171" i="11"/>
  <c r="E1172" i="11"/>
  <c r="E1173" i="11"/>
  <c r="E1174" i="11"/>
  <c r="E1175" i="11"/>
  <c r="E1176" i="11"/>
  <c r="E1177" i="11"/>
  <c r="E1178" i="11"/>
  <c r="E1179" i="11"/>
  <c r="E1180" i="11"/>
  <c r="E1181" i="11"/>
  <c r="E1182" i="11"/>
  <c r="E1183" i="11"/>
  <c r="E1184" i="11"/>
  <c r="E1185" i="11"/>
  <c r="E1186" i="11"/>
  <c r="E1187" i="11"/>
  <c r="E1188" i="11"/>
  <c r="E1189" i="11"/>
  <c r="E1190" i="11"/>
  <c r="E1191" i="11"/>
  <c r="E1192" i="11"/>
  <c r="E1193" i="11"/>
  <c r="E1194" i="11"/>
  <c r="E1195" i="11"/>
  <c r="E1196" i="11"/>
  <c r="E1197" i="11"/>
  <c r="E1198" i="11"/>
  <c r="E1199" i="11"/>
  <c r="E1200" i="11"/>
  <c r="E1201" i="11"/>
  <c r="E1202" i="11"/>
  <c r="E1203" i="11"/>
  <c r="E1204" i="11"/>
  <c r="E1205" i="11"/>
  <c r="E1206" i="11"/>
  <c r="E1207" i="11"/>
  <c r="E1208" i="11"/>
  <c r="E1209" i="11"/>
  <c r="E1210" i="11"/>
  <c r="E1211" i="11"/>
  <c r="E1212" i="11"/>
  <c r="E1213" i="11"/>
  <c r="E1214" i="11"/>
  <c r="E1215" i="11"/>
  <c r="E1216" i="11"/>
  <c r="E1217" i="11"/>
  <c r="E1218" i="11"/>
  <c r="E1219" i="11"/>
  <c r="E1220" i="11"/>
  <c r="E1221" i="11"/>
  <c r="E1222" i="11"/>
  <c r="E1223" i="11"/>
  <c r="E1224" i="11"/>
  <c r="E1225" i="11"/>
  <c r="E1226" i="11"/>
  <c r="E1227" i="11"/>
  <c r="E1228" i="11"/>
  <c r="E1229" i="11"/>
  <c r="E1230" i="11"/>
  <c r="E1231" i="11"/>
  <c r="E1232" i="11"/>
  <c r="E1233" i="11"/>
  <c r="E1234" i="11"/>
  <c r="E1235" i="11"/>
  <c r="E1236" i="11"/>
  <c r="E1237" i="11"/>
  <c r="E1238" i="11"/>
  <c r="E1239" i="11"/>
  <c r="E1240" i="11"/>
  <c r="E1241" i="11"/>
  <c r="E1242" i="11"/>
  <c r="E1243" i="11"/>
  <c r="E1244" i="11"/>
  <c r="E1245" i="11"/>
  <c r="E1246" i="11"/>
  <c r="E1247" i="11"/>
  <c r="E1248" i="11"/>
  <c r="E1249" i="11"/>
  <c r="E1250" i="11"/>
  <c r="E1251" i="11"/>
  <c r="E1252" i="11"/>
  <c r="E1253" i="11"/>
  <c r="E1254" i="11"/>
  <c r="E1255" i="11"/>
  <c r="E1256" i="11"/>
  <c r="E1257" i="11"/>
  <c r="E1258" i="11"/>
  <c r="E1259" i="11"/>
  <c r="E1260" i="11"/>
  <c r="E1261" i="11"/>
  <c r="E1262" i="11"/>
  <c r="E1263" i="11"/>
  <c r="E1264" i="11"/>
  <c r="E1265" i="11"/>
  <c r="E1266" i="11"/>
  <c r="E1267" i="11"/>
  <c r="E1268" i="11"/>
  <c r="E1269" i="11"/>
  <c r="E1270" i="11"/>
  <c r="E1271" i="11"/>
  <c r="E1272" i="11"/>
  <c r="E1273" i="11"/>
  <c r="E1274" i="11"/>
  <c r="E1275" i="11"/>
  <c r="E1276" i="11"/>
  <c r="E1277" i="11"/>
  <c r="E1278" i="11"/>
  <c r="E1279" i="11"/>
  <c r="E1280" i="11"/>
  <c r="E1281" i="11"/>
  <c r="E1282" i="11"/>
  <c r="E1283" i="11"/>
  <c r="E1284" i="11"/>
  <c r="E1285" i="11"/>
  <c r="E1286" i="11"/>
  <c r="E1287" i="11"/>
  <c r="E1288" i="11"/>
  <c r="E1289" i="11"/>
  <c r="E1290" i="11"/>
  <c r="E1291" i="11"/>
  <c r="E1292" i="11"/>
  <c r="E1293" i="11"/>
  <c r="E1294" i="11"/>
  <c r="E1295" i="11"/>
  <c r="E1296" i="11"/>
  <c r="E1297" i="11"/>
  <c r="E1298" i="11"/>
  <c r="E1299" i="11"/>
  <c r="E1300" i="11"/>
  <c r="E1301" i="11"/>
  <c r="E1302" i="11"/>
  <c r="E1303" i="11"/>
  <c r="E1304" i="11"/>
  <c r="E1305" i="11"/>
  <c r="E1306" i="11"/>
  <c r="E1307" i="11"/>
  <c r="E1308" i="11"/>
  <c r="E1309" i="11"/>
  <c r="E1310" i="11"/>
  <c r="E1311" i="11"/>
  <c r="E1312" i="11"/>
  <c r="E1313" i="11"/>
  <c r="E1314" i="11"/>
  <c r="E1315" i="11"/>
  <c r="E1316" i="11"/>
  <c r="E1317" i="11"/>
  <c r="E1318" i="11"/>
  <c r="E1319" i="11"/>
  <c r="E1320" i="11"/>
  <c r="E1321" i="11"/>
  <c r="E1322" i="11"/>
  <c r="E1323" i="11"/>
  <c r="E1324" i="11"/>
  <c r="E1325" i="11"/>
  <c r="E1326" i="11"/>
  <c r="E1327" i="11"/>
  <c r="E1328" i="11"/>
  <c r="E1329" i="11"/>
  <c r="E1330" i="11"/>
  <c r="E1331" i="11"/>
  <c r="E1332" i="11"/>
  <c r="E1333" i="11"/>
  <c r="E1334" i="11"/>
  <c r="E1335" i="11"/>
  <c r="E1336" i="11"/>
  <c r="E1337" i="11"/>
  <c r="E1338" i="11"/>
  <c r="E1339" i="11"/>
  <c r="E1340" i="11"/>
  <c r="E1341" i="11"/>
  <c r="E1342" i="11"/>
  <c r="E1343" i="11"/>
  <c r="E1344" i="11"/>
  <c r="E1345" i="11"/>
  <c r="E1346" i="11"/>
  <c r="E1347" i="11"/>
  <c r="E1348" i="11"/>
  <c r="E1349" i="11"/>
  <c r="E1350" i="11"/>
  <c r="E1351" i="11"/>
  <c r="E1352" i="11"/>
  <c r="E1353" i="11"/>
  <c r="E1354" i="11"/>
  <c r="E1355" i="11"/>
  <c r="E1356" i="11"/>
  <c r="E1357" i="11"/>
  <c r="E1358" i="11"/>
  <c r="E1359" i="11"/>
  <c r="E1360" i="11"/>
  <c r="E1361" i="11"/>
  <c r="E1362" i="11"/>
  <c r="E1363" i="11"/>
  <c r="E1364" i="11"/>
  <c r="E1365" i="11"/>
  <c r="E1366" i="11"/>
  <c r="E1367" i="11"/>
  <c r="E1368" i="11"/>
  <c r="E1369" i="11"/>
  <c r="E1370" i="11"/>
  <c r="E1371" i="11"/>
  <c r="E1372" i="11"/>
  <c r="E1373" i="11"/>
  <c r="E1374" i="11"/>
  <c r="E1375" i="11"/>
  <c r="E1376" i="11"/>
  <c r="E1377" i="11"/>
  <c r="E1378" i="11"/>
  <c r="E1379" i="11"/>
  <c r="E1380" i="11"/>
  <c r="E1381" i="11"/>
  <c r="E1382" i="11"/>
  <c r="E1383" i="11"/>
  <c r="E1384" i="11"/>
  <c r="E1385" i="11"/>
  <c r="E1386" i="11"/>
  <c r="E1387" i="11"/>
  <c r="E1388" i="11"/>
  <c r="E1389" i="11"/>
  <c r="E1390" i="11"/>
  <c r="E1391" i="11"/>
  <c r="E1392" i="11"/>
  <c r="E1393" i="11"/>
  <c r="E1394" i="11"/>
  <c r="E1395" i="11"/>
  <c r="E1396" i="11"/>
  <c r="E1397" i="11"/>
  <c r="E1398" i="11"/>
  <c r="E1399" i="11"/>
  <c r="E1400" i="11"/>
  <c r="E1401" i="11"/>
  <c r="E1402" i="11"/>
  <c r="E1403" i="11"/>
  <c r="E1404" i="11"/>
  <c r="E1405" i="11"/>
  <c r="E1406" i="11"/>
  <c r="E1407" i="11"/>
  <c r="E1408" i="11"/>
  <c r="E1409" i="11"/>
  <c r="E1410" i="11"/>
  <c r="E1411" i="11"/>
  <c r="E1412" i="11"/>
  <c r="E1413" i="11"/>
  <c r="E1414" i="11"/>
  <c r="E1415" i="11"/>
  <c r="E1416" i="11"/>
  <c r="E1417" i="11"/>
  <c r="E1418" i="11"/>
  <c r="E1419" i="11"/>
  <c r="E1420" i="11"/>
  <c r="E1421" i="11"/>
  <c r="E1422" i="11"/>
  <c r="E1423" i="11"/>
  <c r="E1424" i="11"/>
  <c r="E1425" i="11"/>
  <c r="E1426" i="11"/>
  <c r="E1427" i="11"/>
  <c r="E1428" i="11"/>
  <c r="E1429" i="11"/>
  <c r="E1430" i="11"/>
  <c r="E1431" i="11"/>
  <c r="E1432" i="11"/>
  <c r="E1433" i="11"/>
  <c r="E1434" i="11"/>
  <c r="E1435" i="11"/>
  <c r="E1436" i="11"/>
  <c r="E1437" i="11"/>
  <c r="E1438" i="11"/>
  <c r="E1439" i="11"/>
  <c r="E1440" i="11"/>
  <c r="E1441" i="11"/>
  <c r="E1442" i="11"/>
  <c r="E1443" i="11"/>
  <c r="E1444" i="11"/>
  <c r="E1445" i="11"/>
  <c r="E1446" i="11"/>
  <c r="E1447" i="11"/>
  <c r="E1448" i="11"/>
  <c r="E1449" i="11"/>
  <c r="E1450" i="11"/>
  <c r="E1451" i="11"/>
  <c r="E1452" i="11"/>
  <c r="E1453" i="11"/>
  <c r="E1454" i="11"/>
  <c r="E1455" i="11"/>
  <c r="E1456" i="11"/>
  <c r="E1457" i="11"/>
  <c r="E1458" i="11"/>
  <c r="E1459" i="11"/>
  <c r="E1460" i="11"/>
  <c r="E1461" i="11"/>
  <c r="E1462" i="11"/>
  <c r="E1463" i="11"/>
  <c r="E1464" i="11"/>
  <c r="E1465" i="11"/>
  <c r="E1466" i="11"/>
  <c r="E1467" i="11"/>
  <c r="E1468" i="11"/>
  <c r="E1469" i="11"/>
  <c r="E1470" i="11"/>
  <c r="E1471" i="11"/>
  <c r="E1472" i="11"/>
  <c r="E1473" i="11"/>
  <c r="E1474" i="11"/>
  <c r="E1475" i="11"/>
  <c r="E1476" i="11"/>
  <c r="E1477" i="11"/>
  <c r="E1478" i="11"/>
  <c r="E1479" i="11"/>
  <c r="E1480" i="11"/>
  <c r="E1481" i="11"/>
  <c r="E1482" i="11"/>
  <c r="E1483" i="11"/>
  <c r="E1484" i="11"/>
  <c r="E1485" i="11"/>
  <c r="E1486" i="11"/>
  <c r="E1487" i="11"/>
  <c r="E1488" i="11"/>
  <c r="E1489" i="11"/>
  <c r="E1490" i="11"/>
  <c r="E1491" i="11"/>
  <c r="E1492" i="11"/>
  <c r="E1493" i="11"/>
  <c r="E1494" i="11"/>
  <c r="E1495" i="11"/>
  <c r="E1496" i="11"/>
  <c r="E1497" i="11"/>
  <c r="E1498" i="11"/>
  <c r="E1499" i="11"/>
  <c r="E1500" i="11"/>
  <c r="E1501" i="11"/>
  <c r="E1502" i="11"/>
  <c r="E1503" i="11"/>
  <c r="E1504" i="11"/>
  <c r="E1505" i="11"/>
  <c r="E1506" i="11"/>
  <c r="E1507" i="11"/>
  <c r="E1508" i="11"/>
  <c r="E1509" i="11"/>
  <c r="E1510" i="11"/>
  <c r="E1511" i="11"/>
  <c r="E1512" i="11"/>
  <c r="E1513" i="11"/>
  <c r="E1514" i="11"/>
  <c r="E1515" i="11"/>
  <c r="E1516" i="11"/>
  <c r="E1517" i="11"/>
  <c r="E1518" i="11"/>
  <c r="E1519" i="11"/>
  <c r="E1520" i="11"/>
  <c r="E1521" i="11"/>
  <c r="E1522" i="11"/>
  <c r="E1523" i="11"/>
  <c r="E1524" i="11"/>
  <c r="E1525" i="11"/>
  <c r="E1526" i="11"/>
  <c r="E1527" i="11"/>
  <c r="E1528" i="11"/>
  <c r="E1529" i="11"/>
  <c r="E1530" i="11"/>
  <c r="E1531" i="11"/>
  <c r="E1532" i="11"/>
  <c r="E1533" i="11"/>
  <c r="E1534" i="11"/>
  <c r="E1535" i="11"/>
  <c r="E1536" i="11"/>
  <c r="E1537" i="11"/>
  <c r="E1538" i="11"/>
  <c r="E1539" i="11"/>
  <c r="E1540" i="11"/>
  <c r="E1541" i="11"/>
  <c r="E1542" i="11"/>
  <c r="E1543" i="11"/>
  <c r="E1544" i="11"/>
  <c r="E1545" i="11"/>
  <c r="E1546" i="11"/>
  <c r="E1547" i="11"/>
  <c r="E1548" i="11"/>
  <c r="E1549" i="11"/>
  <c r="E1550" i="11"/>
  <c r="E1551" i="11"/>
  <c r="E1552" i="11"/>
  <c r="E1553" i="11"/>
  <c r="E1554" i="11"/>
  <c r="E1555" i="11"/>
  <c r="E1556" i="11"/>
  <c r="E1557" i="11"/>
  <c r="E1558" i="11"/>
  <c r="E1559" i="11"/>
  <c r="E1560" i="11"/>
  <c r="E1561" i="11"/>
  <c r="E1562" i="11"/>
  <c r="E1563" i="11"/>
  <c r="E1564" i="11"/>
  <c r="E1565" i="11"/>
  <c r="E1566" i="11"/>
  <c r="E1567" i="11"/>
  <c r="E1568" i="11"/>
  <c r="E1569" i="11"/>
  <c r="E1570" i="11"/>
  <c r="E1571" i="11"/>
  <c r="E1572" i="11"/>
  <c r="E1573" i="11"/>
  <c r="E1574" i="11"/>
  <c r="E1575" i="11"/>
  <c r="E1576" i="11"/>
  <c r="E1577" i="11"/>
  <c r="E1578" i="11"/>
  <c r="E1579" i="11"/>
  <c r="E1580" i="11"/>
  <c r="E1581" i="11"/>
  <c r="E1582" i="11"/>
  <c r="E1583" i="11"/>
  <c r="E1584" i="11"/>
  <c r="E1585" i="11"/>
  <c r="E1586" i="11"/>
  <c r="E1587" i="11"/>
  <c r="E1588" i="11"/>
  <c r="E1589" i="11"/>
  <c r="E1590" i="11"/>
  <c r="E1591" i="11"/>
  <c r="E1592" i="11"/>
  <c r="E1593" i="11"/>
  <c r="E1594" i="11"/>
  <c r="E1595" i="11"/>
  <c r="E1596" i="11"/>
  <c r="E1597" i="11"/>
  <c r="E1598" i="11"/>
  <c r="E1599" i="11"/>
  <c r="E1600" i="11"/>
  <c r="E1601" i="11"/>
  <c r="E1602" i="11"/>
  <c r="E1603" i="11"/>
  <c r="E1604" i="11"/>
  <c r="E1605" i="11"/>
  <c r="E1606" i="11"/>
  <c r="E1607" i="11"/>
  <c r="E1608" i="11"/>
  <c r="E1609" i="11"/>
  <c r="E1610" i="11"/>
  <c r="E1611" i="11"/>
  <c r="E1612" i="11"/>
  <c r="E1613" i="11"/>
  <c r="E1614" i="11"/>
  <c r="E1615" i="11"/>
  <c r="E1616" i="11"/>
  <c r="E1617" i="11"/>
  <c r="E1618" i="11"/>
  <c r="E1619" i="11"/>
  <c r="E1620" i="11"/>
  <c r="E1621" i="11"/>
  <c r="E1622" i="11"/>
  <c r="E1623" i="11"/>
  <c r="E1624" i="11"/>
  <c r="E1625" i="11"/>
  <c r="E1626" i="11"/>
  <c r="E1627" i="11"/>
  <c r="E1628" i="11"/>
  <c r="E1629" i="11"/>
  <c r="E1630" i="11"/>
  <c r="E1631" i="11"/>
  <c r="E1632" i="11"/>
  <c r="E1633" i="11"/>
  <c r="E1634" i="11"/>
  <c r="E1635" i="11"/>
  <c r="E1636" i="11"/>
  <c r="E1637" i="11"/>
  <c r="E1638" i="11"/>
  <c r="E1639" i="11"/>
  <c r="E1640" i="11"/>
  <c r="E1641" i="11"/>
  <c r="E1642" i="11"/>
  <c r="E1643" i="11"/>
  <c r="E1644" i="11"/>
  <c r="E1645" i="11"/>
  <c r="E1646" i="11"/>
  <c r="E1647" i="11"/>
  <c r="E1648" i="11"/>
  <c r="E1649" i="11"/>
  <c r="E1650" i="11"/>
  <c r="E1651" i="11"/>
  <c r="E1652" i="11"/>
  <c r="E1653" i="11"/>
  <c r="E1654" i="11"/>
  <c r="E1655" i="11"/>
  <c r="E1656" i="11"/>
  <c r="E1657" i="11"/>
  <c r="E1658" i="11"/>
  <c r="E1659" i="11"/>
  <c r="E1660" i="11"/>
  <c r="E1661" i="11"/>
  <c r="E1662" i="11"/>
  <c r="E1663" i="11"/>
  <c r="E1664" i="11"/>
  <c r="E1665" i="11"/>
  <c r="E1666" i="11"/>
  <c r="E1667" i="11"/>
  <c r="E1668" i="11"/>
  <c r="E1669" i="11"/>
  <c r="E1670" i="11"/>
  <c r="E1671" i="11"/>
  <c r="E1672" i="11"/>
  <c r="E1673" i="11"/>
  <c r="E1674" i="11"/>
  <c r="E1675" i="11"/>
  <c r="E1676" i="11"/>
  <c r="E1677" i="11"/>
  <c r="E1678" i="11"/>
  <c r="E1679" i="11"/>
  <c r="E1680" i="11"/>
  <c r="E1681" i="11"/>
  <c r="E1682" i="11"/>
  <c r="E1683" i="11"/>
  <c r="E1684" i="11"/>
  <c r="E1685" i="11"/>
  <c r="E1686" i="11"/>
  <c r="E1687" i="11"/>
  <c r="E1688" i="11"/>
  <c r="E1689" i="11"/>
  <c r="E1690" i="11"/>
  <c r="E1691" i="11"/>
  <c r="E1692" i="11"/>
  <c r="E1693" i="11"/>
  <c r="E1694" i="11"/>
  <c r="E1695" i="11"/>
  <c r="E1696" i="11"/>
  <c r="E1697" i="11"/>
  <c r="E1698" i="11"/>
  <c r="E1699" i="11"/>
  <c r="E1700" i="11"/>
  <c r="E1701" i="11"/>
  <c r="E1702" i="11"/>
  <c r="E1703" i="11"/>
  <c r="E1704" i="11"/>
  <c r="E1705" i="11"/>
  <c r="E1706" i="11"/>
  <c r="E1707" i="11"/>
  <c r="E1708" i="11"/>
  <c r="E1709" i="11"/>
  <c r="E1710" i="11"/>
  <c r="E1711" i="11"/>
  <c r="E1712" i="11"/>
  <c r="E1713" i="11"/>
  <c r="E1714" i="11"/>
  <c r="E1715" i="11"/>
  <c r="E1716" i="11"/>
  <c r="E1717" i="11"/>
  <c r="E1718" i="11"/>
  <c r="E1719" i="11"/>
  <c r="E1720" i="11"/>
  <c r="E1721" i="11"/>
  <c r="E1722" i="11"/>
  <c r="E1723" i="11"/>
  <c r="E1724" i="11"/>
  <c r="E1725" i="11"/>
  <c r="E1726" i="11"/>
  <c r="E1727" i="11"/>
  <c r="E1728" i="11"/>
  <c r="E1729" i="11"/>
  <c r="E1730" i="11"/>
  <c r="E1731" i="11"/>
  <c r="E1732" i="11"/>
  <c r="E1733" i="11"/>
  <c r="E1734" i="11"/>
  <c r="E1735" i="11"/>
  <c r="E1736" i="11"/>
  <c r="E1737" i="11"/>
  <c r="E1738" i="11"/>
  <c r="E1739" i="11"/>
  <c r="E1740" i="11"/>
  <c r="E1741" i="11"/>
  <c r="E1742" i="11"/>
  <c r="E1743" i="11"/>
  <c r="E1744" i="11"/>
  <c r="E1745" i="11"/>
  <c r="E1746" i="11"/>
  <c r="E1747" i="11"/>
  <c r="E1748" i="11"/>
  <c r="E1749" i="11"/>
  <c r="E1750" i="11"/>
  <c r="E1751" i="11"/>
  <c r="E1752" i="11"/>
  <c r="E1753" i="11"/>
  <c r="E1754" i="11"/>
  <c r="E1755" i="11"/>
  <c r="E1756" i="11"/>
  <c r="E1757" i="11"/>
  <c r="E1758" i="11"/>
  <c r="E1759" i="11"/>
  <c r="E1760" i="11"/>
  <c r="E1761" i="11"/>
  <c r="E1762" i="11"/>
  <c r="E1763" i="11"/>
  <c r="E1764" i="11"/>
  <c r="E1765" i="11"/>
  <c r="E1766" i="11"/>
  <c r="E1767" i="11"/>
  <c r="E1768" i="11"/>
  <c r="E1769" i="11"/>
  <c r="E1770" i="11"/>
  <c r="E1771" i="11"/>
  <c r="E1772" i="11"/>
  <c r="E1773" i="11"/>
  <c r="E1774" i="11"/>
  <c r="E1775" i="11"/>
  <c r="E1776" i="11"/>
  <c r="E1777" i="11"/>
  <c r="E1778" i="11"/>
  <c r="E1779" i="11"/>
  <c r="E1780" i="11"/>
  <c r="E1781" i="11"/>
  <c r="E1782" i="11"/>
  <c r="E1783" i="11"/>
  <c r="E1784" i="11"/>
  <c r="E1785" i="11"/>
  <c r="E1786" i="11"/>
  <c r="E1787" i="11"/>
  <c r="E1788" i="11"/>
  <c r="E1789" i="11"/>
  <c r="E1790" i="11"/>
  <c r="E1791" i="11"/>
  <c r="E1792" i="11"/>
  <c r="E1793" i="11"/>
  <c r="E1794" i="11"/>
  <c r="E1795" i="11"/>
  <c r="E1796" i="11"/>
  <c r="E1797" i="11"/>
  <c r="E1798" i="11"/>
  <c r="E1799" i="11"/>
  <c r="E1800" i="11"/>
  <c r="E1801" i="11"/>
  <c r="E1802" i="11"/>
  <c r="E1803" i="11"/>
  <c r="E1804" i="11"/>
  <c r="E1805" i="11"/>
  <c r="E1806" i="11"/>
  <c r="E1807" i="11"/>
  <c r="E1808" i="11"/>
  <c r="E1809" i="11"/>
  <c r="E1810" i="11"/>
  <c r="E1811" i="11"/>
  <c r="E1812" i="11"/>
  <c r="E1813" i="11"/>
  <c r="E1814" i="11"/>
  <c r="E1815" i="11"/>
  <c r="E1816" i="11"/>
  <c r="E1817" i="11"/>
  <c r="E1818" i="11"/>
  <c r="E1819" i="11"/>
  <c r="E1820" i="11"/>
  <c r="E1821" i="11"/>
  <c r="E1822" i="11"/>
  <c r="E1823" i="11"/>
  <c r="E1824" i="11"/>
  <c r="E1825" i="11"/>
  <c r="E1826" i="11"/>
  <c r="E1827" i="11"/>
  <c r="E1828" i="11"/>
  <c r="E1829" i="11"/>
  <c r="E1830" i="11"/>
  <c r="E1831" i="11"/>
  <c r="E1832" i="11"/>
  <c r="E1833" i="11"/>
  <c r="E1834" i="11"/>
  <c r="E1835" i="11"/>
  <c r="E1836" i="11"/>
  <c r="E1837" i="11"/>
  <c r="E1838" i="11"/>
  <c r="E1839" i="11"/>
  <c r="E1840" i="11"/>
  <c r="E1841" i="11"/>
  <c r="E1842" i="11"/>
  <c r="E1843" i="11"/>
  <c r="E1844" i="11"/>
  <c r="E1845" i="11"/>
  <c r="E1846" i="11"/>
  <c r="E1847" i="11"/>
  <c r="E1848" i="11"/>
  <c r="E1849" i="11"/>
  <c r="E1850" i="11"/>
  <c r="E1851" i="11"/>
  <c r="E1852" i="11"/>
  <c r="E1853" i="11"/>
  <c r="E1854" i="11"/>
  <c r="E1855" i="11"/>
  <c r="E1856" i="11"/>
  <c r="E1857" i="11"/>
  <c r="E1858" i="11"/>
  <c r="E1859" i="11"/>
  <c r="E1860" i="11"/>
  <c r="E1861" i="11"/>
  <c r="E1862" i="11"/>
  <c r="E1863" i="11"/>
  <c r="E1864" i="11"/>
  <c r="E1865" i="11"/>
  <c r="E1866" i="11"/>
  <c r="E1867" i="11"/>
  <c r="E1868" i="11"/>
  <c r="E1869" i="11"/>
  <c r="E1870" i="11"/>
  <c r="E1871" i="11"/>
  <c r="E1872" i="11"/>
  <c r="E1873" i="11"/>
  <c r="E1874" i="11"/>
  <c r="E1875" i="11"/>
  <c r="E1876" i="11"/>
  <c r="E1877" i="11"/>
  <c r="E1878" i="11"/>
  <c r="E1879" i="11"/>
  <c r="E1880" i="11"/>
  <c r="E1881" i="11"/>
  <c r="E1882" i="11"/>
  <c r="E1883" i="11"/>
  <c r="E1884" i="11"/>
  <c r="E1885" i="11"/>
  <c r="E1886" i="11"/>
  <c r="E1887" i="11"/>
  <c r="E1888" i="11"/>
  <c r="E1889" i="11"/>
  <c r="E1890" i="11"/>
  <c r="E1891" i="11"/>
  <c r="E1892" i="11"/>
  <c r="E1893" i="11"/>
  <c r="E1894" i="11"/>
  <c r="E1895" i="11"/>
  <c r="E1896" i="11"/>
  <c r="E1897" i="11"/>
  <c r="E1898" i="11"/>
  <c r="E1899" i="11"/>
  <c r="E1900" i="11"/>
  <c r="E1901" i="11"/>
  <c r="E1902" i="11"/>
  <c r="E1903" i="11"/>
  <c r="E1904" i="11"/>
  <c r="E1905" i="11"/>
  <c r="E1906" i="11"/>
  <c r="E1907" i="11"/>
  <c r="E1908" i="11"/>
  <c r="E1909" i="11"/>
  <c r="E1910" i="11"/>
  <c r="E1911" i="11"/>
  <c r="E1912" i="11"/>
  <c r="E1913" i="11"/>
  <c r="E1914" i="11"/>
  <c r="E1915" i="11"/>
  <c r="E1916" i="11"/>
  <c r="E1917" i="11"/>
  <c r="E1918" i="11"/>
  <c r="E1919" i="11"/>
  <c r="E1920" i="11"/>
  <c r="E1921" i="11"/>
  <c r="E1922" i="11"/>
  <c r="E1923" i="11"/>
  <c r="E1924" i="11"/>
  <c r="E1925" i="11"/>
  <c r="E1926" i="11"/>
  <c r="E1927" i="11"/>
  <c r="E1928" i="11"/>
  <c r="E1929" i="11"/>
  <c r="E1930" i="11"/>
  <c r="E1931" i="11"/>
  <c r="E1932" i="11"/>
  <c r="E1933" i="11"/>
  <c r="E1934" i="11"/>
  <c r="E1935" i="11"/>
  <c r="E1936" i="11"/>
  <c r="E1937" i="11"/>
  <c r="E1938" i="11"/>
  <c r="E1939" i="11"/>
  <c r="E1940" i="11"/>
  <c r="E1941" i="11"/>
  <c r="E1942" i="11"/>
  <c r="E1943" i="11"/>
  <c r="E1944" i="11"/>
  <c r="E1945" i="11"/>
  <c r="E1946" i="11"/>
  <c r="E1947" i="11"/>
  <c r="E1948" i="11"/>
  <c r="E1949" i="11"/>
  <c r="E1950" i="11"/>
  <c r="E1951" i="11"/>
  <c r="E1952" i="11"/>
  <c r="E1953" i="11"/>
  <c r="E1954" i="11"/>
  <c r="E1955" i="11"/>
  <c r="E1956" i="11"/>
  <c r="E1957" i="11"/>
  <c r="E1958" i="11"/>
  <c r="E1959" i="11"/>
  <c r="E1960" i="11"/>
  <c r="E1961" i="11"/>
  <c r="E1962" i="11"/>
  <c r="E1963" i="11"/>
  <c r="E1964" i="11"/>
  <c r="E1965" i="11"/>
  <c r="E1966" i="11"/>
  <c r="E1967" i="11"/>
  <c r="E1968" i="11"/>
  <c r="E1969" i="11"/>
  <c r="E1970" i="11"/>
  <c r="E1971" i="11"/>
  <c r="E1972" i="11"/>
  <c r="E1973" i="11"/>
  <c r="E1974" i="11"/>
  <c r="E1975" i="11"/>
  <c r="E1976" i="11"/>
  <c r="E1977" i="11"/>
  <c r="E1978" i="11"/>
  <c r="E1979" i="11"/>
  <c r="E1980" i="11"/>
  <c r="E1981" i="11"/>
  <c r="E1982" i="11"/>
  <c r="E1983" i="11"/>
  <c r="E1984" i="11"/>
  <c r="E1985" i="11"/>
  <c r="E1986" i="11"/>
  <c r="E1987" i="11"/>
  <c r="E1988" i="11"/>
  <c r="E1989" i="11"/>
  <c r="E1990" i="11"/>
  <c r="E1991" i="11"/>
  <c r="E1992" i="11"/>
  <c r="E1993" i="11"/>
  <c r="E1994" i="11"/>
  <c r="E1995" i="11"/>
  <c r="E1996" i="11"/>
  <c r="E1997" i="11"/>
  <c r="E1998" i="11"/>
  <c r="E1999" i="11"/>
  <c r="E2000" i="11"/>
  <c r="E2001" i="11"/>
  <c r="E2002" i="11"/>
  <c r="E2003" i="11"/>
  <c r="E2004" i="11"/>
  <c r="E2005" i="11"/>
  <c r="E2006" i="11"/>
  <c r="E2007" i="11"/>
  <c r="E2008" i="11"/>
  <c r="E2009" i="11"/>
  <c r="E2010" i="11"/>
  <c r="E2011" i="11"/>
  <c r="E2012" i="11"/>
  <c r="E2013" i="11"/>
  <c r="E2014" i="11"/>
  <c r="E2015" i="11"/>
  <c r="E2016" i="11"/>
  <c r="E2017" i="11"/>
  <c r="E2018" i="11"/>
  <c r="E2019" i="11"/>
  <c r="E2020" i="11"/>
  <c r="E2021" i="11"/>
  <c r="E2022" i="11"/>
  <c r="E2023" i="11"/>
  <c r="E2024" i="11"/>
  <c r="E2025" i="11"/>
  <c r="E2026" i="11"/>
  <c r="E2027" i="11"/>
  <c r="E2028" i="11"/>
  <c r="E2029" i="11"/>
  <c r="E2030" i="11"/>
  <c r="E2031" i="11"/>
  <c r="E2032" i="11"/>
  <c r="E2033" i="11"/>
  <c r="E2034" i="11"/>
  <c r="E2035" i="11"/>
  <c r="E2036" i="11"/>
  <c r="E2037" i="11"/>
  <c r="E2038" i="11"/>
  <c r="E2039" i="11"/>
  <c r="E2040" i="11"/>
  <c r="E2041" i="11"/>
  <c r="E2042" i="11"/>
  <c r="E2043" i="11"/>
  <c r="E2044" i="11"/>
  <c r="E2045" i="11"/>
  <c r="E2046" i="11"/>
  <c r="E2047" i="11"/>
  <c r="E2048" i="11"/>
  <c r="E2049" i="11"/>
  <c r="E2050" i="11"/>
  <c r="E2051" i="11"/>
  <c r="E2052" i="11"/>
  <c r="E2053" i="11"/>
  <c r="E2054" i="11"/>
  <c r="E2055" i="11"/>
  <c r="E2056" i="11"/>
  <c r="E2057" i="11"/>
  <c r="E2058" i="11"/>
  <c r="E2059" i="11"/>
  <c r="E2060" i="11"/>
  <c r="E2061" i="11"/>
  <c r="E2062" i="11"/>
  <c r="E2063" i="11"/>
  <c r="E2064" i="11"/>
  <c r="E2065" i="11"/>
  <c r="E2066" i="11"/>
  <c r="E2067" i="11"/>
  <c r="E2068" i="11"/>
  <c r="E2069" i="11"/>
  <c r="E2070" i="11"/>
  <c r="E2071" i="11"/>
  <c r="E2072" i="11"/>
  <c r="E2073" i="11"/>
  <c r="E2074" i="11"/>
  <c r="E2075" i="11"/>
  <c r="E2076" i="11"/>
  <c r="E2077" i="11"/>
  <c r="E2078" i="11"/>
  <c r="E2079" i="11"/>
  <c r="E2080" i="11"/>
  <c r="E2081" i="11"/>
  <c r="E2082" i="11"/>
  <c r="E2083" i="11"/>
  <c r="E2084" i="11"/>
  <c r="E2085" i="11"/>
  <c r="E2086" i="11"/>
  <c r="E2087" i="11"/>
  <c r="E2088" i="11"/>
  <c r="E2089" i="11"/>
  <c r="E2090" i="11"/>
  <c r="E2091" i="11"/>
  <c r="E2092" i="11"/>
  <c r="E2093" i="11"/>
  <c r="E2094" i="11"/>
  <c r="E2095" i="11"/>
  <c r="E2096" i="11"/>
  <c r="E2097" i="11"/>
  <c r="E2098" i="11"/>
  <c r="E2099" i="11"/>
  <c r="E2100" i="11"/>
  <c r="E2101" i="11"/>
  <c r="E2102" i="11"/>
  <c r="E2103" i="11"/>
  <c r="E2104" i="11"/>
  <c r="E2105" i="11"/>
  <c r="E2106" i="11"/>
  <c r="E2107" i="11"/>
  <c r="E2108" i="11"/>
  <c r="E2109" i="11"/>
  <c r="E2110" i="11"/>
  <c r="E2111" i="11"/>
  <c r="E2112" i="11"/>
  <c r="E2113" i="11"/>
  <c r="E2114" i="11"/>
  <c r="E2115" i="11"/>
  <c r="E2116" i="11"/>
  <c r="E2117" i="11"/>
  <c r="E2118" i="11"/>
  <c r="E2119" i="11"/>
  <c r="E2120" i="11"/>
  <c r="E2121" i="11"/>
  <c r="E2122" i="11"/>
  <c r="E2123" i="11"/>
  <c r="E2124" i="11"/>
  <c r="E2125" i="11"/>
  <c r="E2126" i="11"/>
  <c r="E2127" i="11"/>
  <c r="E2128" i="11"/>
  <c r="E2129" i="11"/>
  <c r="E2130" i="11"/>
  <c r="E2131" i="11"/>
  <c r="E2132" i="11"/>
  <c r="E2133" i="11"/>
  <c r="E2134" i="11"/>
  <c r="E2135" i="11"/>
  <c r="E2136" i="11"/>
  <c r="E2137" i="11"/>
  <c r="E2138" i="11"/>
  <c r="E2139" i="11"/>
  <c r="E2140" i="11"/>
  <c r="E2141" i="11"/>
  <c r="E2142" i="11"/>
  <c r="E2143" i="11"/>
  <c r="E2144" i="11"/>
  <c r="E2145" i="11"/>
  <c r="E2146" i="11"/>
  <c r="E2147" i="11"/>
  <c r="E2148" i="11"/>
  <c r="E2149" i="11"/>
  <c r="E2150" i="11"/>
  <c r="E2151" i="11"/>
  <c r="E2152" i="11"/>
  <c r="E2153" i="11"/>
  <c r="E2154" i="11"/>
  <c r="E2155" i="11"/>
  <c r="E2156" i="11"/>
  <c r="E2157" i="11"/>
  <c r="E2158" i="11"/>
  <c r="E2159" i="11"/>
  <c r="E2160" i="11"/>
  <c r="E2161" i="11"/>
  <c r="E2162" i="11"/>
  <c r="E2163" i="11"/>
  <c r="E2164" i="11"/>
  <c r="E2165" i="11"/>
  <c r="E2166" i="11"/>
  <c r="E2167" i="11"/>
  <c r="E2168" i="11"/>
  <c r="E2169" i="11"/>
  <c r="E2170" i="11"/>
  <c r="E2171" i="11"/>
  <c r="E2172" i="11"/>
  <c r="E2173" i="11"/>
  <c r="E2174" i="11"/>
  <c r="E2175" i="11"/>
  <c r="E2176" i="11"/>
  <c r="E2177" i="11"/>
  <c r="E2178" i="11"/>
  <c r="E2179" i="11"/>
  <c r="E2180" i="11"/>
  <c r="E2181" i="11"/>
  <c r="E2182" i="11"/>
  <c r="E2183" i="11"/>
  <c r="E2184" i="11"/>
  <c r="E2185" i="11"/>
  <c r="E2186" i="11"/>
  <c r="E2187" i="11"/>
  <c r="E2188" i="11"/>
  <c r="E2189" i="11"/>
  <c r="E2190" i="11"/>
  <c r="E2191" i="11"/>
  <c r="E2192" i="11"/>
  <c r="E2193" i="11"/>
  <c r="E2194" i="11"/>
  <c r="E2195" i="11"/>
  <c r="E2196" i="11"/>
  <c r="E2197" i="11"/>
  <c r="E2198" i="11"/>
  <c r="E2199" i="11"/>
  <c r="E2200" i="11"/>
  <c r="E2201" i="11"/>
  <c r="E2202" i="11"/>
  <c r="E2203" i="11"/>
  <c r="E2204" i="11"/>
  <c r="E2205" i="11"/>
  <c r="E2206" i="11"/>
  <c r="E2207" i="11"/>
  <c r="E2208" i="11"/>
  <c r="E2209" i="11"/>
  <c r="E2210" i="11"/>
  <c r="E2211" i="11"/>
  <c r="E2212" i="11"/>
  <c r="E2213" i="11"/>
  <c r="E2214" i="11"/>
  <c r="E2215" i="11"/>
  <c r="E2216" i="11"/>
  <c r="E2217" i="11"/>
  <c r="E2218" i="11"/>
  <c r="E2219" i="11"/>
  <c r="E2220" i="11"/>
  <c r="E2221" i="11"/>
  <c r="E2222" i="11"/>
  <c r="E2223" i="11"/>
  <c r="E2224" i="11"/>
  <c r="E2225" i="11"/>
  <c r="E2226" i="11"/>
  <c r="E2227" i="11"/>
  <c r="E2228" i="11"/>
  <c r="E2229" i="11"/>
  <c r="E2230" i="11"/>
  <c r="E2231" i="11"/>
  <c r="E2232" i="11"/>
  <c r="E2233" i="11"/>
  <c r="E2234" i="11"/>
  <c r="E2235" i="11"/>
  <c r="E2236" i="11"/>
  <c r="E2237" i="11"/>
  <c r="E2238" i="11"/>
  <c r="E2239" i="11"/>
  <c r="E2240" i="11"/>
  <c r="E2241" i="11"/>
  <c r="E2242" i="11"/>
  <c r="E2243" i="11"/>
  <c r="E2244" i="11"/>
  <c r="E2245" i="11"/>
  <c r="E2246" i="11"/>
  <c r="E2247" i="11"/>
  <c r="E2248" i="11"/>
  <c r="E2249" i="11"/>
  <c r="E2250" i="11"/>
  <c r="E2251" i="11"/>
  <c r="E2252" i="11"/>
  <c r="E2253" i="11"/>
  <c r="E2254" i="11"/>
  <c r="E2255" i="11"/>
  <c r="E2256" i="11"/>
  <c r="E2257" i="11"/>
  <c r="E2258" i="11"/>
  <c r="E2259" i="11"/>
  <c r="E2260" i="11"/>
  <c r="E2261" i="11"/>
  <c r="E2262" i="11"/>
  <c r="E2263" i="11"/>
  <c r="E2264" i="11"/>
  <c r="E2265" i="11"/>
  <c r="E2266" i="11"/>
  <c r="E2267" i="11"/>
  <c r="E2268" i="11"/>
  <c r="E2269" i="11"/>
  <c r="E2270" i="11"/>
  <c r="E2271" i="11"/>
  <c r="E2272" i="11"/>
  <c r="E2273" i="11"/>
  <c r="E2274" i="11"/>
  <c r="E2275" i="11"/>
  <c r="E2276" i="11"/>
  <c r="E2277" i="11"/>
  <c r="E2278" i="11"/>
  <c r="E2279" i="11"/>
  <c r="E2280" i="11"/>
  <c r="E2281" i="11"/>
  <c r="E2282" i="11"/>
  <c r="E2283" i="11"/>
  <c r="E2284" i="11"/>
  <c r="E2285" i="11"/>
  <c r="E2286" i="11"/>
  <c r="E2287" i="11"/>
  <c r="E2288" i="11"/>
  <c r="E2289" i="11"/>
  <c r="E2290" i="11"/>
  <c r="E2291" i="11"/>
  <c r="E2292" i="11"/>
  <c r="E2293" i="11"/>
  <c r="E2294" i="11"/>
  <c r="E2295" i="11"/>
  <c r="E2296" i="11"/>
  <c r="E2297" i="11"/>
  <c r="E2298" i="11"/>
  <c r="E2299" i="11"/>
  <c r="E2300" i="11"/>
  <c r="E2301" i="11"/>
  <c r="E2302" i="11"/>
  <c r="E2303" i="11"/>
  <c r="E2304" i="11"/>
  <c r="E2305" i="11"/>
  <c r="E2306" i="11"/>
  <c r="E2307" i="11"/>
  <c r="E2308" i="11"/>
  <c r="E2309" i="11"/>
  <c r="E2310" i="11"/>
  <c r="E2311" i="11"/>
  <c r="E2312" i="11"/>
  <c r="E2313" i="11"/>
  <c r="E2314" i="11"/>
  <c r="E2315" i="11"/>
  <c r="E2316" i="11"/>
  <c r="E2317" i="11"/>
  <c r="E2318" i="11"/>
  <c r="E2319" i="11"/>
  <c r="E2320" i="11"/>
  <c r="E2321" i="11"/>
  <c r="E2322" i="11"/>
  <c r="E2323" i="11"/>
  <c r="E2324" i="11"/>
  <c r="E2325" i="11"/>
  <c r="E2326" i="11"/>
  <c r="E2327" i="11"/>
  <c r="E2328" i="11"/>
  <c r="E2329" i="11"/>
  <c r="E2330" i="11"/>
  <c r="E2331" i="11"/>
  <c r="E2332" i="11"/>
  <c r="E2333" i="11"/>
  <c r="E2334" i="11"/>
  <c r="E2335" i="11"/>
  <c r="E2336" i="11"/>
  <c r="E2337" i="11"/>
  <c r="E2338" i="11"/>
  <c r="E2339" i="11"/>
  <c r="E2340" i="11"/>
  <c r="E2341" i="11"/>
  <c r="E2342" i="11"/>
  <c r="E2343" i="11"/>
  <c r="E2344" i="11"/>
  <c r="E2345" i="11"/>
  <c r="E2346" i="11"/>
  <c r="E2347" i="11"/>
  <c r="E2348" i="11"/>
  <c r="E2349" i="11"/>
  <c r="E2350" i="11"/>
  <c r="E2351" i="11"/>
  <c r="E2352" i="11"/>
  <c r="E2353" i="11"/>
  <c r="E2354" i="11"/>
  <c r="E2355" i="11"/>
  <c r="E2356" i="11"/>
  <c r="E2357" i="11"/>
  <c r="E2358" i="11"/>
  <c r="E2359" i="11"/>
  <c r="E2360" i="11"/>
  <c r="E2361" i="11"/>
  <c r="E2362" i="11"/>
  <c r="E2363" i="11"/>
  <c r="E2364" i="11"/>
  <c r="E2365" i="11"/>
  <c r="E2366" i="11"/>
  <c r="E2367" i="11"/>
  <c r="E2368" i="11"/>
  <c r="E2369" i="11"/>
  <c r="E2370" i="11"/>
  <c r="E2371" i="11"/>
  <c r="E2372" i="11"/>
  <c r="E2373" i="11"/>
  <c r="E2374" i="11"/>
  <c r="E2375" i="11"/>
  <c r="E2376" i="11"/>
  <c r="E2377" i="11"/>
  <c r="E2378" i="11"/>
  <c r="E2379" i="11"/>
  <c r="E2380" i="11"/>
  <c r="E2381" i="11"/>
  <c r="E2382" i="11"/>
  <c r="E2383" i="11"/>
  <c r="E2384" i="11"/>
  <c r="E2385" i="11"/>
  <c r="E2386" i="11"/>
  <c r="E2387" i="11"/>
  <c r="E2388" i="11"/>
  <c r="E2389" i="11"/>
  <c r="E2390" i="11"/>
  <c r="E2391" i="11"/>
  <c r="E2392" i="11"/>
  <c r="E2393" i="11"/>
  <c r="E2394" i="11"/>
  <c r="E2395" i="11"/>
  <c r="E2396" i="11"/>
  <c r="E2397" i="11"/>
  <c r="E2398" i="11"/>
  <c r="E2399" i="11"/>
  <c r="E2400" i="11"/>
  <c r="E2401" i="11"/>
  <c r="E2402" i="11"/>
  <c r="E2403" i="11"/>
  <c r="E2404" i="11"/>
  <c r="E2405" i="11"/>
  <c r="E2406" i="11"/>
  <c r="E2407" i="11"/>
  <c r="E2408" i="11"/>
  <c r="E2409" i="11"/>
  <c r="E2410" i="11"/>
  <c r="E2411" i="11"/>
  <c r="E2412" i="11"/>
  <c r="E2413" i="11"/>
  <c r="E2414" i="11"/>
  <c r="E2415" i="11"/>
  <c r="E2416" i="11"/>
  <c r="E2417" i="11"/>
  <c r="E2418" i="11"/>
  <c r="E2419" i="11"/>
  <c r="E2420" i="11"/>
  <c r="E2421" i="11"/>
  <c r="E2422" i="11"/>
  <c r="E2423" i="11"/>
  <c r="E2424" i="11"/>
  <c r="E2425" i="11"/>
  <c r="E2426" i="11"/>
  <c r="E2427" i="11"/>
  <c r="E2428" i="11"/>
  <c r="E2429" i="11"/>
  <c r="E2430" i="11"/>
  <c r="E2431" i="11"/>
  <c r="E2432" i="11"/>
  <c r="E2433" i="11"/>
  <c r="E2434" i="11"/>
  <c r="E2435" i="11"/>
  <c r="E2436" i="11"/>
  <c r="E2437" i="11"/>
  <c r="E2438" i="11"/>
  <c r="E2439" i="11"/>
  <c r="E2440" i="11"/>
  <c r="E2441" i="11"/>
  <c r="E2442" i="11"/>
  <c r="E2443" i="11"/>
  <c r="E2444" i="11"/>
  <c r="E2445" i="11"/>
  <c r="E2446" i="11"/>
  <c r="E2447" i="11"/>
  <c r="E2448" i="11"/>
  <c r="E2449" i="11"/>
  <c r="E2450" i="11"/>
  <c r="E2451" i="11"/>
  <c r="E2452" i="11"/>
  <c r="E2453" i="11"/>
  <c r="E2454" i="11"/>
  <c r="E2455" i="11"/>
  <c r="E2456" i="11"/>
  <c r="E2457" i="11"/>
  <c r="E2458" i="11"/>
  <c r="E2459" i="11"/>
  <c r="E2460" i="11"/>
  <c r="E2461" i="11"/>
  <c r="E2462" i="11"/>
  <c r="E2463" i="11"/>
  <c r="E2464" i="11"/>
  <c r="E2465" i="11"/>
  <c r="E2466" i="11"/>
  <c r="E2467" i="11"/>
  <c r="E2468" i="11"/>
  <c r="E2469" i="11"/>
  <c r="E2470" i="11"/>
  <c r="E2471" i="11"/>
  <c r="E2472" i="11"/>
  <c r="E2473" i="11"/>
  <c r="E2474" i="11"/>
  <c r="E2475" i="11"/>
  <c r="E2476" i="11"/>
  <c r="E2477" i="11"/>
  <c r="E2478" i="11"/>
  <c r="E2479" i="11"/>
  <c r="E2480" i="11"/>
  <c r="E2481" i="11"/>
  <c r="E2482" i="11"/>
  <c r="E2483" i="11"/>
  <c r="E2484" i="11"/>
  <c r="E2485" i="11"/>
  <c r="E2486" i="11"/>
  <c r="E2487" i="11"/>
  <c r="E2488" i="11"/>
  <c r="E2489" i="11"/>
  <c r="E2490" i="11"/>
  <c r="E2491" i="11"/>
  <c r="E2492" i="11"/>
  <c r="E2493" i="11"/>
  <c r="E2494" i="11"/>
  <c r="E2495" i="11"/>
  <c r="E2496" i="11"/>
  <c r="E2497" i="11"/>
  <c r="E2498" i="11"/>
  <c r="E2499" i="11"/>
  <c r="E2500" i="11"/>
  <c r="E2501" i="11"/>
  <c r="E2502" i="11"/>
  <c r="E2503" i="11"/>
  <c r="E2504" i="11"/>
  <c r="E2505" i="11"/>
  <c r="E2506" i="11"/>
  <c r="E2507" i="11"/>
  <c r="E2508" i="11"/>
  <c r="E2509" i="11"/>
  <c r="E2510" i="11"/>
  <c r="E2511" i="11"/>
  <c r="E2512" i="11"/>
  <c r="E2513" i="11"/>
  <c r="E2514" i="11"/>
  <c r="E2515" i="11"/>
  <c r="E2516" i="11"/>
  <c r="E2517" i="11"/>
  <c r="E2518" i="11"/>
  <c r="E2519" i="11"/>
  <c r="E2520" i="11"/>
  <c r="E2521" i="11"/>
  <c r="E2522" i="11"/>
  <c r="E2523" i="11"/>
  <c r="E2524" i="11"/>
  <c r="E2525" i="11"/>
  <c r="E2526" i="11"/>
  <c r="E2527" i="11"/>
  <c r="E2528" i="11"/>
  <c r="E2529" i="11"/>
  <c r="E2530" i="11"/>
  <c r="E2531" i="11"/>
  <c r="E2532" i="11"/>
  <c r="E2533" i="11"/>
  <c r="E2534" i="11"/>
  <c r="E2535" i="11"/>
  <c r="E2536" i="11"/>
  <c r="E2537" i="11"/>
  <c r="E2538" i="11"/>
  <c r="E2539" i="11"/>
  <c r="E2540" i="11"/>
  <c r="E2541" i="11"/>
  <c r="E2542" i="11"/>
  <c r="E2543" i="11"/>
  <c r="E2544" i="11"/>
  <c r="E2545" i="11"/>
  <c r="E2546" i="11"/>
  <c r="E2547" i="11"/>
  <c r="E2548" i="11"/>
  <c r="E2549" i="11"/>
  <c r="E2550" i="11"/>
  <c r="E2551" i="11"/>
  <c r="E2552" i="11"/>
  <c r="E2553" i="11"/>
  <c r="E2554" i="11"/>
  <c r="E2555" i="11"/>
  <c r="E2556" i="11"/>
  <c r="E2557" i="11"/>
  <c r="E2558" i="11"/>
  <c r="E2559" i="11"/>
  <c r="E2560" i="11"/>
  <c r="E2561" i="11"/>
  <c r="E2562" i="11"/>
  <c r="E2563" i="11"/>
  <c r="E2564" i="11"/>
  <c r="E2565" i="11"/>
  <c r="E2566" i="11"/>
  <c r="E2567" i="11"/>
  <c r="E2568" i="11"/>
  <c r="E2569" i="11"/>
  <c r="E2570" i="11"/>
  <c r="E2571" i="11"/>
  <c r="E2572" i="11"/>
  <c r="E2573" i="11"/>
  <c r="E2574" i="11"/>
  <c r="E2575" i="11"/>
  <c r="E2576" i="11"/>
  <c r="E2577" i="11"/>
  <c r="E2578" i="11"/>
  <c r="E2579" i="11"/>
  <c r="E2580" i="11"/>
  <c r="E2581" i="11"/>
  <c r="E2582" i="11"/>
  <c r="E2583" i="11"/>
  <c r="E2584" i="11"/>
  <c r="E2585" i="11"/>
  <c r="E2586" i="11"/>
  <c r="E2587" i="11"/>
  <c r="E2588" i="11"/>
  <c r="E2589" i="11"/>
  <c r="E2590" i="11"/>
  <c r="E2591" i="11"/>
  <c r="E2592" i="11"/>
  <c r="E2593" i="11"/>
  <c r="E2594" i="11"/>
  <c r="E2595" i="11"/>
  <c r="E2596" i="11"/>
  <c r="E2597" i="11"/>
  <c r="E2598" i="11"/>
  <c r="E2599" i="11"/>
  <c r="E2600" i="11"/>
  <c r="E2601" i="11"/>
  <c r="E2602" i="11"/>
  <c r="E2603" i="11"/>
  <c r="E2604" i="11"/>
  <c r="E2605" i="11"/>
  <c r="E2606" i="11"/>
  <c r="E2607" i="11"/>
  <c r="E2608" i="11"/>
  <c r="E2609" i="11"/>
  <c r="E2610" i="11"/>
  <c r="E2611" i="11"/>
  <c r="E2612" i="11"/>
  <c r="E2613" i="11"/>
  <c r="E2614" i="11"/>
  <c r="E2615" i="11"/>
  <c r="E2616" i="11"/>
  <c r="E2617" i="11"/>
  <c r="E2618" i="11"/>
  <c r="E2619" i="11"/>
  <c r="E2620" i="11"/>
  <c r="E2621" i="11"/>
  <c r="E2622" i="11"/>
  <c r="E2623" i="11"/>
  <c r="E2624" i="11"/>
  <c r="E2625" i="11"/>
  <c r="E2626" i="11"/>
  <c r="E2627" i="11"/>
  <c r="E2628" i="11"/>
  <c r="E2629" i="11"/>
  <c r="E2630" i="11"/>
  <c r="E2631" i="11"/>
  <c r="E2632" i="11"/>
  <c r="E2633" i="11"/>
  <c r="E2634" i="11"/>
  <c r="E2635" i="11"/>
  <c r="E2636" i="11"/>
  <c r="E2637" i="11"/>
  <c r="E2638" i="11"/>
  <c r="E2639" i="11"/>
  <c r="E2640" i="11"/>
  <c r="E2641" i="11"/>
  <c r="E2642" i="11"/>
  <c r="E2643" i="11"/>
  <c r="E2644" i="11"/>
  <c r="E2645" i="11"/>
  <c r="E2646" i="11"/>
  <c r="E2647" i="11"/>
  <c r="E2648" i="11"/>
  <c r="E2649" i="11"/>
  <c r="E2650" i="11"/>
  <c r="E2651" i="11"/>
  <c r="E2652" i="11"/>
  <c r="E2653" i="11"/>
  <c r="E2654" i="11"/>
  <c r="E2655" i="11"/>
  <c r="E2656" i="11"/>
  <c r="E2657" i="11"/>
  <c r="E2658" i="11"/>
  <c r="E2659" i="11"/>
  <c r="E2660" i="11"/>
  <c r="E2661" i="11"/>
  <c r="E2662" i="11"/>
  <c r="E2663" i="11"/>
  <c r="E2664" i="11"/>
  <c r="E2665" i="11"/>
  <c r="E2666" i="11"/>
  <c r="E2667" i="11"/>
  <c r="E2668" i="11"/>
  <c r="E2669" i="11"/>
  <c r="E2670" i="11"/>
  <c r="E2671" i="11"/>
  <c r="E2672" i="11"/>
  <c r="E2673" i="11"/>
  <c r="E2674" i="11"/>
  <c r="E2675" i="11"/>
  <c r="E2676" i="11"/>
  <c r="E2677" i="11"/>
  <c r="E2678" i="11"/>
  <c r="E2679" i="11"/>
  <c r="E2680" i="11"/>
  <c r="E2681" i="11"/>
  <c r="E2682" i="11"/>
  <c r="E2683" i="11"/>
  <c r="E2684" i="11"/>
  <c r="E2685" i="11"/>
  <c r="E2686" i="11"/>
  <c r="E2687" i="11"/>
  <c r="E2688" i="11"/>
  <c r="E2689" i="11"/>
  <c r="E2690" i="11"/>
  <c r="E2691" i="11"/>
  <c r="E2692" i="11"/>
  <c r="E2693" i="11"/>
  <c r="E2694" i="11"/>
  <c r="E2695" i="11"/>
  <c r="E2696" i="11"/>
  <c r="E2697" i="11"/>
  <c r="E2698" i="11"/>
  <c r="E2699" i="11"/>
  <c r="E2700" i="11"/>
  <c r="E2701" i="11"/>
  <c r="E2702" i="11"/>
  <c r="E2703" i="11"/>
  <c r="E2704" i="11"/>
  <c r="E2705" i="11"/>
  <c r="E2706" i="11"/>
  <c r="E2707" i="11"/>
  <c r="E2708" i="11"/>
  <c r="E2709" i="11"/>
  <c r="E2710" i="11"/>
  <c r="E2711" i="11"/>
  <c r="E2712" i="11"/>
  <c r="E2713" i="11"/>
  <c r="E2714" i="11"/>
  <c r="E2715" i="11"/>
  <c r="E2716" i="11"/>
  <c r="E2717" i="11"/>
  <c r="E2718" i="11"/>
  <c r="E2719" i="11"/>
  <c r="E2720" i="11"/>
  <c r="E2721" i="11"/>
  <c r="E2722" i="11"/>
  <c r="E2723" i="11"/>
  <c r="E2724" i="11"/>
  <c r="E2725" i="11"/>
  <c r="E2726" i="11"/>
  <c r="E2727" i="11"/>
  <c r="E2728" i="11"/>
  <c r="E2729" i="11"/>
  <c r="E2730" i="11"/>
  <c r="E2731" i="11"/>
  <c r="E2732" i="11"/>
  <c r="E2733" i="11"/>
  <c r="E2734" i="11"/>
  <c r="E2735" i="11"/>
  <c r="E2736" i="11"/>
  <c r="E2737" i="11"/>
  <c r="E2738" i="11"/>
  <c r="E2739" i="11"/>
  <c r="E2740" i="11"/>
  <c r="E2741" i="11"/>
  <c r="E2742" i="11"/>
  <c r="E2743" i="11"/>
  <c r="E2744" i="11"/>
  <c r="E2745" i="11"/>
  <c r="E2746" i="11"/>
  <c r="E2747" i="11"/>
  <c r="E2748" i="11"/>
  <c r="E2749" i="11"/>
  <c r="E2750" i="11"/>
  <c r="E2751" i="11"/>
  <c r="E2752" i="11"/>
  <c r="E2753" i="11"/>
  <c r="E2754" i="11"/>
  <c r="E2755" i="11"/>
  <c r="E2756" i="11"/>
  <c r="E2757" i="11"/>
  <c r="E2758" i="11"/>
  <c r="E2759" i="11"/>
  <c r="E2760" i="11"/>
  <c r="E2761" i="11"/>
  <c r="E2762" i="11"/>
  <c r="E2763" i="11"/>
  <c r="E2764" i="11"/>
  <c r="E2765" i="11"/>
  <c r="E2766" i="11"/>
  <c r="E2767" i="11"/>
  <c r="E2768" i="11"/>
  <c r="E2769" i="11"/>
  <c r="E2770" i="11"/>
  <c r="E2771" i="11"/>
  <c r="E2772" i="11"/>
  <c r="E2773" i="11"/>
  <c r="E2774" i="11"/>
  <c r="E2775" i="11"/>
  <c r="E2776" i="11"/>
  <c r="E2777" i="11"/>
  <c r="E2778" i="11"/>
  <c r="E2779" i="11"/>
  <c r="E2780" i="11"/>
  <c r="E2781" i="11"/>
  <c r="E2782" i="11"/>
  <c r="E2783" i="11"/>
  <c r="E2784" i="11"/>
  <c r="E2785" i="11"/>
  <c r="E2786" i="11"/>
  <c r="E2787" i="11"/>
  <c r="E2788" i="11"/>
  <c r="E2789" i="11"/>
  <c r="E2790" i="11"/>
  <c r="E2791" i="11"/>
  <c r="E2792" i="11"/>
  <c r="E2793" i="11"/>
  <c r="E2794" i="11"/>
  <c r="E2795" i="11"/>
  <c r="E2796" i="11"/>
  <c r="E2797" i="11"/>
  <c r="E2798" i="11"/>
  <c r="E2799" i="11"/>
  <c r="E2800" i="11"/>
  <c r="E2801" i="11"/>
  <c r="E2802" i="11"/>
  <c r="E2803" i="11"/>
  <c r="E2804" i="11"/>
  <c r="E2805" i="11"/>
  <c r="E2806" i="11"/>
  <c r="E2807" i="11"/>
  <c r="E2808" i="11"/>
  <c r="E2809" i="11"/>
  <c r="E2810" i="11"/>
  <c r="E2811" i="11"/>
  <c r="E2812" i="11"/>
  <c r="E2813" i="11"/>
  <c r="E2814" i="11"/>
  <c r="E2815" i="11"/>
  <c r="E2816" i="11"/>
  <c r="E2817" i="11"/>
  <c r="E2818" i="11"/>
  <c r="E2819" i="11"/>
  <c r="E2820" i="11"/>
  <c r="E2821" i="11"/>
  <c r="E2822" i="11"/>
  <c r="E2823" i="11"/>
  <c r="E2824" i="11"/>
  <c r="E2825" i="11"/>
  <c r="E2826" i="11"/>
  <c r="E2827" i="11"/>
  <c r="E2828" i="11"/>
  <c r="E2829" i="11"/>
  <c r="E2830" i="11"/>
  <c r="E2831" i="11"/>
  <c r="E2832" i="11"/>
  <c r="E2833" i="11"/>
  <c r="E2834" i="11"/>
  <c r="E2835" i="11"/>
  <c r="E2836" i="11"/>
  <c r="E2837" i="11"/>
  <c r="E2838" i="11"/>
  <c r="E2839" i="11"/>
  <c r="E2840" i="11"/>
  <c r="E2841" i="11"/>
  <c r="E2842" i="11"/>
  <c r="E2843" i="11"/>
  <c r="E2844" i="11"/>
  <c r="E2845" i="11"/>
  <c r="E2846" i="11"/>
  <c r="E2847" i="11"/>
  <c r="E2848" i="11"/>
  <c r="E2849" i="11"/>
  <c r="E2850" i="11"/>
  <c r="E2851" i="11"/>
  <c r="E2852" i="11"/>
  <c r="E2853" i="11"/>
  <c r="E2854" i="11"/>
  <c r="E2855" i="11"/>
  <c r="E2856" i="11"/>
  <c r="E2857" i="11"/>
  <c r="E2858" i="11"/>
  <c r="E2859" i="11"/>
  <c r="E2860" i="11"/>
  <c r="E2861" i="11"/>
  <c r="E2862" i="11"/>
  <c r="E2863" i="11"/>
  <c r="E2864" i="11"/>
  <c r="E2865" i="11"/>
  <c r="E2866" i="11"/>
  <c r="E2867" i="11"/>
  <c r="E2868" i="11"/>
  <c r="E2869" i="11"/>
  <c r="E2870" i="11"/>
  <c r="E2871" i="11"/>
  <c r="E2872" i="11"/>
  <c r="E2873" i="11"/>
  <c r="E2874" i="11"/>
  <c r="E2875" i="11"/>
  <c r="E2876" i="11"/>
  <c r="E2877" i="11"/>
  <c r="E2878" i="11"/>
  <c r="E2879" i="11"/>
  <c r="E2880" i="11"/>
  <c r="E2881" i="11"/>
  <c r="E2882" i="11"/>
  <c r="E2883" i="11"/>
  <c r="E2884" i="11"/>
  <c r="E2885" i="11"/>
  <c r="E2886" i="11"/>
  <c r="E2887" i="11"/>
  <c r="E2888" i="11"/>
  <c r="E2889" i="11"/>
  <c r="E2890" i="11"/>
  <c r="E2891" i="11"/>
  <c r="E2892" i="11"/>
  <c r="E2893" i="11"/>
  <c r="E2894" i="11"/>
  <c r="E2895" i="11"/>
  <c r="E2896" i="11"/>
  <c r="E2897" i="11"/>
  <c r="E2898" i="11"/>
  <c r="E2899" i="11"/>
  <c r="E2900" i="11"/>
  <c r="E2901" i="11"/>
  <c r="E2902" i="11"/>
  <c r="E2903" i="11"/>
  <c r="E2904" i="11"/>
  <c r="E2905" i="11"/>
  <c r="E2906" i="11"/>
  <c r="E2907" i="11"/>
  <c r="E2908" i="11"/>
  <c r="E2909" i="11"/>
  <c r="E2910" i="11"/>
  <c r="E2911" i="11"/>
  <c r="E2912" i="11"/>
  <c r="E2913" i="11"/>
  <c r="E2914" i="11"/>
  <c r="E2915" i="11"/>
  <c r="E2916" i="11"/>
  <c r="E2917" i="11"/>
  <c r="E2918" i="11"/>
  <c r="E2919" i="11"/>
  <c r="E2920" i="11"/>
  <c r="E2921" i="11"/>
  <c r="E2922" i="11"/>
  <c r="E2923" i="11"/>
  <c r="E2924" i="11"/>
  <c r="E2925" i="11"/>
  <c r="E2926" i="11"/>
  <c r="E2927" i="11"/>
  <c r="E2928" i="11"/>
  <c r="E2929" i="11"/>
  <c r="E2930" i="11"/>
  <c r="E2931" i="11"/>
  <c r="E2932" i="11"/>
  <c r="E2933" i="11"/>
  <c r="E2934" i="11"/>
  <c r="E2935" i="11"/>
  <c r="E2936" i="11"/>
  <c r="E2937" i="11"/>
  <c r="E2938" i="11"/>
  <c r="E2939" i="11"/>
  <c r="E2940" i="11"/>
  <c r="E2941" i="11"/>
  <c r="E2942" i="11"/>
  <c r="E2943" i="11"/>
  <c r="E2944" i="11"/>
  <c r="E2945" i="11"/>
  <c r="E2946" i="11"/>
  <c r="E2947" i="11"/>
  <c r="E2948" i="11"/>
  <c r="E2949" i="11"/>
  <c r="E2950" i="11"/>
  <c r="E2951" i="11"/>
  <c r="E2952" i="11"/>
  <c r="E2953" i="11"/>
  <c r="E2954" i="11"/>
  <c r="E2955" i="11"/>
  <c r="E2956" i="11"/>
  <c r="E2957" i="11"/>
  <c r="E2958" i="11"/>
  <c r="E2959" i="11"/>
  <c r="E2960" i="11"/>
  <c r="E2961" i="11"/>
  <c r="E2962" i="11"/>
  <c r="E2963" i="11"/>
  <c r="E2964" i="11"/>
  <c r="E2965" i="11"/>
  <c r="E2966" i="11"/>
  <c r="E2967" i="11"/>
  <c r="E2968" i="11"/>
  <c r="E2969" i="11"/>
  <c r="E2970" i="11"/>
  <c r="E2971" i="11"/>
  <c r="E2972" i="11"/>
  <c r="E2973" i="11"/>
  <c r="E2974" i="11"/>
  <c r="E2975" i="11"/>
  <c r="E2976" i="11"/>
  <c r="E2977" i="11"/>
  <c r="E2978" i="11"/>
  <c r="E2979" i="11"/>
  <c r="E2980" i="11"/>
  <c r="E2981" i="11"/>
  <c r="E2982" i="11"/>
  <c r="E2983" i="11"/>
  <c r="E2984" i="11"/>
  <c r="E2985" i="11"/>
  <c r="E2986" i="11"/>
  <c r="E2987" i="11"/>
  <c r="E2988" i="11"/>
  <c r="E2989" i="11"/>
  <c r="E2990" i="11"/>
  <c r="E2991" i="11"/>
  <c r="E2992" i="11"/>
  <c r="E2993" i="11"/>
  <c r="E2994" i="11"/>
  <c r="E2995" i="11"/>
  <c r="E2996" i="11"/>
  <c r="E2997" i="11"/>
  <c r="E2998" i="11"/>
  <c r="E2999" i="11"/>
  <c r="E3000" i="11"/>
  <c r="E3001" i="11"/>
  <c r="E3002" i="11"/>
  <c r="E3003" i="11"/>
  <c r="E3004" i="11"/>
  <c r="E3005" i="11"/>
  <c r="E3006" i="11"/>
  <c r="E3007" i="11"/>
  <c r="E3008" i="11"/>
  <c r="E3009" i="11"/>
  <c r="E3010" i="11"/>
  <c r="E3011" i="11"/>
  <c r="E3012" i="11"/>
  <c r="E3013" i="11"/>
  <c r="E3014" i="11"/>
  <c r="E3015" i="11"/>
  <c r="E3016" i="11"/>
  <c r="E3017" i="11"/>
  <c r="E3018" i="11"/>
  <c r="E3019" i="11"/>
  <c r="E3020" i="11"/>
  <c r="E3021" i="11"/>
  <c r="E3022" i="11"/>
  <c r="E3023" i="11"/>
  <c r="E3024" i="11"/>
  <c r="E3025" i="11"/>
  <c r="E3026" i="11"/>
  <c r="E3027" i="11"/>
  <c r="E3028" i="11"/>
  <c r="E3029" i="11"/>
  <c r="E3030" i="11"/>
  <c r="E3031" i="11"/>
  <c r="E3032" i="11"/>
  <c r="E3033" i="11"/>
  <c r="E3034" i="11"/>
  <c r="E3035" i="11"/>
  <c r="E3036" i="11"/>
  <c r="E3037" i="11"/>
  <c r="E3038" i="11"/>
  <c r="E3039" i="11"/>
  <c r="E3040" i="11"/>
  <c r="E3041" i="11"/>
  <c r="E3042" i="11"/>
  <c r="E3043" i="11"/>
  <c r="E3044" i="11"/>
  <c r="E3045" i="11"/>
  <c r="E3046" i="11"/>
  <c r="E3047" i="11"/>
  <c r="E3048" i="11"/>
  <c r="E3049" i="11"/>
  <c r="E3050" i="11"/>
  <c r="E3051" i="11"/>
  <c r="E3052" i="11"/>
  <c r="E3053" i="11"/>
  <c r="E3054" i="11"/>
  <c r="E3055" i="11"/>
  <c r="E3056" i="11"/>
  <c r="E3057" i="11"/>
  <c r="E3058" i="11"/>
  <c r="E3059" i="11"/>
  <c r="E3060" i="11"/>
  <c r="E3061" i="11"/>
  <c r="E3062" i="11"/>
  <c r="E3063" i="11"/>
  <c r="E3064" i="11"/>
  <c r="E3065" i="11"/>
  <c r="E3066" i="11"/>
  <c r="E3067" i="11"/>
  <c r="E3068" i="11"/>
  <c r="E3069" i="11"/>
  <c r="E3070" i="11"/>
  <c r="E3071" i="11"/>
  <c r="E3072" i="11"/>
  <c r="E3073" i="11"/>
  <c r="E3074" i="11"/>
  <c r="E3075" i="11"/>
  <c r="E3076" i="11"/>
  <c r="E3077" i="11"/>
  <c r="E3078" i="11"/>
  <c r="E3079" i="11"/>
  <c r="E3080" i="11"/>
  <c r="E3081" i="11"/>
  <c r="E3082" i="11"/>
  <c r="E3083" i="11"/>
  <c r="E3084" i="11"/>
  <c r="E3085" i="11"/>
  <c r="E3086" i="11"/>
  <c r="E3087" i="11"/>
  <c r="E3088" i="11"/>
  <c r="E3089" i="11"/>
  <c r="E3090" i="11"/>
  <c r="E3091" i="11"/>
  <c r="E3092" i="11"/>
  <c r="E3093" i="11"/>
  <c r="E3094" i="11"/>
  <c r="E3095" i="11"/>
  <c r="E3096" i="11"/>
  <c r="E3097" i="11"/>
  <c r="E3098" i="11"/>
  <c r="E3099" i="11"/>
  <c r="E3100" i="11"/>
  <c r="E3101" i="11"/>
  <c r="E3102" i="11"/>
  <c r="E3103" i="11"/>
  <c r="E3104" i="11"/>
  <c r="E3105" i="11"/>
  <c r="E3106" i="11"/>
  <c r="E3107" i="11"/>
  <c r="E3108" i="11"/>
  <c r="E3109" i="11"/>
  <c r="E3110" i="11"/>
  <c r="E3111" i="11"/>
  <c r="E3112" i="11"/>
  <c r="E3113" i="11"/>
  <c r="E3114" i="11"/>
  <c r="E3115" i="11"/>
  <c r="E3116" i="11"/>
  <c r="E3117" i="11"/>
  <c r="E3118" i="11"/>
  <c r="E3119" i="11"/>
  <c r="E3120" i="11"/>
  <c r="E3121" i="11"/>
  <c r="E3122" i="11"/>
  <c r="E3123" i="11"/>
  <c r="E3124" i="11"/>
  <c r="E3125" i="11"/>
  <c r="E3126" i="11"/>
  <c r="E3127" i="11"/>
  <c r="E3128" i="11"/>
  <c r="E3129" i="11"/>
  <c r="E3130" i="11"/>
  <c r="E3131" i="11"/>
  <c r="E3132" i="11"/>
  <c r="E3133" i="11"/>
  <c r="E3134" i="11"/>
  <c r="E3135" i="11"/>
  <c r="E3136" i="11"/>
  <c r="E3137" i="11"/>
  <c r="E3138" i="11"/>
  <c r="E3139" i="11"/>
  <c r="E3140" i="11"/>
  <c r="E3141" i="11"/>
  <c r="E3142" i="11"/>
  <c r="E3143" i="11"/>
  <c r="E3144" i="11"/>
  <c r="E3145" i="11"/>
  <c r="E3146" i="11"/>
  <c r="E3147" i="11"/>
  <c r="E3148" i="11"/>
  <c r="E3149" i="11"/>
  <c r="E3150" i="11"/>
  <c r="E3151" i="11"/>
  <c r="E3152" i="11"/>
  <c r="E3153" i="11"/>
  <c r="E3154" i="11"/>
  <c r="E3155" i="11"/>
  <c r="E3156" i="11"/>
  <c r="E3157" i="11"/>
  <c r="E3158" i="11"/>
  <c r="E3159" i="11"/>
  <c r="E3160" i="11"/>
  <c r="E3161" i="11"/>
  <c r="E3162" i="11"/>
  <c r="E3163" i="11"/>
  <c r="E3164" i="11"/>
  <c r="E3165" i="11"/>
  <c r="E3166" i="11"/>
  <c r="E3167" i="11"/>
  <c r="E3168" i="11"/>
  <c r="E3169" i="11"/>
  <c r="E3170" i="11"/>
  <c r="E3171" i="11"/>
  <c r="E3172" i="11"/>
  <c r="E3173" i="11"/>
  <c r="E3174" i="11"/>
  <c r="E3175" i="11"/>
  <c r="E3176" i="11"/>
  <c r="E3177" i="11"/>
  <c r="E3178" i="11"/>
  <c r="E3179" i="11"/>
  <c r="E3180" i="11"/>
  <c r="E3181" i="11"/>
  <c r="E3182" i="11"/>
  <c r="E3183" i="11"/>
  <c r="E3184" i="11"/>
  <c r="E3185" i="11"/>
  <c r="E3186" i="11"/>
  <c r="E3187" i="11"/>
  <c r="E3188" i="11"/>
  <c r="E3189" i="11"/>
  <c r="E3190" i="11"/>
  <c r="E3191" i="11"/>
  <c r="E3192" i="11"/>
  <c r="E3193" i="11"/>
  <c r="E3194" i="11"/>
  <c r="E3195" i="11"/>
  <c r="E3196" i="11"/>
  <c r="E3197" i="11"/>
  <c r="E3198" i="11"/>
  <c r="E3199" i="11"/>
  <c r="E3200" i="11"/>
  <c r="E3201" i="11"/>
  <c r="E3202" i="11"/>
  <c r="E3203" i="11"/>
  <c r="E3204" i="11"/>
  <c r="E3205" i="11"/>
  <c r="E3206" i="11"/>
  <c r="E3207" i="11"/>
  <c r="E3208" i="11"/>
  <c r="E3209" i="11"/>
  <c r="E3210" i="11"/>
  <c r="E3211" i="11"/>
  <c r="E3212" i="11"/>
  <c r="E3213" i="11"/>
  <c r="E3214" i="11"/>
  <c r="E3215" i="11"/>
  <c r="E3216" i="11"/>
  <c r="E3217" i="11"/>
  <c r="E3218" i="11"/>
  <c r="E3219" i="11"/>
  <c r="E3220" i="11"/>
  <c r="E3221" i="11"/>
  <c r="E3222" i="11"/>
  <c r="E3223" i="11"/>
  <c r="E3224" i="11"/>
  <c r="E3225" i="11"/>
  <c r="E3226" i="11"/>
  <c r="E3227" i="11"/>
  <c r="E3228" i="11"/>
  <c r="E3229" i="11"/>
  <c r="E3230" i="11"/>
  <c r="E3231" i="11"/>
  <c r="E3232" i="11"/>
  <c r="E3233" i="11"/>
  <c r="E3234" i="11"/>
  <c r="E3235" i="11"/>
  <c r="E3236" i="11"/>
  <c r="E3237" i="11"/>
  <c r="E3238" i="11"/>
  <c r="E3239" i="11"/>
  <c r="E3240" i="11"/>
  <c r="E3241" i="11"/>
  <c r="E3242" i="11"/>
  <c r="E3243" i="11"/>
  <c r="E3244" i="11"/>
  <c r="E3245" i="11"/>
  <c r="E3246" i="11"/>
  <c r="E3247" i="11"/>
  <c r="E3248" i="11"/>
  <c r="E3249" i="11"/>
  <c r="E3250" i="11"/>
  <c r="E3251" i="11"/>
  <c r="E3252" i="11"/>
  <c r="E3253" i="11"/>
  <c r="E3254" i="11"/>
  <c r="E3255" i="11"/>
  <c r="E3256" i="11"/>
  <c r="E3257" i="11"/>
  <c r="E3258" i="11"/>
  <c r="E3259" i="11"/>
  <c r="E3260" i="11"/>
  <c r="E3261" i="11"/>
  <c r="E3262" i="11"/>
  <c r="E3263" i="11"/>
  <c r="E3264" i="11"/>
  <c r="E3265" i="11"/>
  <c r="E3266" i="11"/>
  <c r="E3267" i="11"/>
  <c r="E3268" i="11"/>
  <c r="E3269" i="11"/>
  <c r="E3270" i="11"/>
  <c r="E3271" i="11"/>
  <c r="E3272" i="11"/>
  <c r="E3273" i="11"/>
  <c r="E3274" i="11"/>
  <c r="E3275" i="11"/>
  <c r="E3276" i="11"/>
  <c r="E3277" i="11"/>
  <c r="E3278" i="11"/>
  <c r="E3279" i="11"/>
  <c r="E3280" i="11"/>
  <c r="E3281" i="11"/>
  <c r="E3282" i="11"/>
  <c r="E3283" i="11"/>
  <c r="E3284" i="11"/>
  <c r="E3285" i="11"/>
  <c r="E3286" i="11"/>
  <c r="E3287" i="11"/>
  <c r="E3288" i="11"/>
  <c r="E3289" i="11"/>
  <c r="E3290" i="11"/>
  <c r="E3291" i="11"/>
  <c r="E3292" i="11"/>
  <c r="E3293" i="11"/>
  <c r="E3294" i="11"/>
  <c r="E3295" i="11"/>
  <c r="E3296" i="11"/>
  <c r="E3297" i="11"/>
  <c r="E3298" i="11"/>
  <c r="E3299" i="11"/>
  <c r="E3300" i="11"/>
  <c r="E3301" i="11"/>
  <c r="E3302" i="11"/>
  <c r="E3303" i="11"/>
  <c r="E3304" i="11"/>
  <c r="E3305" i="11"/>
  <c r="E3306" i="11"/>
  <c r="E3307" i="11"/>
  <c r="E3308" i="11"/>
  <c r="E3309" i="11"/>
  <c r="E3310" i="11"/>
  <c r="E3311" i="11"/>
  <c r="E3312" i="11"/>
  <c r="E3313" i="11"/>
  <c r="E3314" i="11"/>
  <c r="E3315" i="11"/>
  <c r="E3316" i="11"/>
  <c r="E3317" i="11"/>
  <c r="E3318" i="11"/>
  <c r="E3319" i="11"/>
  <c r="E3320" i="11"/>
  <c r="E3321" i="11"/>
  <c r="E3322" i="11"/>
  <c r="E3323" i="11"/>
  <c r="E3324" i="11"/>
  <c r="E3325" i="11"/>
  <c r="E3326" i="11"/>
  <c r="E3327" i="11"/>
  <c r="E3328" i="11"/>
  <c r="E3329" i="11"/>
  <c r="E3330" i="11"/>
  <c r="E3331" i="11"/>
  <c r="E3332" i="11"/>
  <c r="E3333" i="11"/>
  <c r="E3334" i="11"/>
  <c r="E3335" i="11"/>
  <c r="E3336" i="11"/>
  <c r="E3337" i="11"/>
  <c r="E3338" i="11"/>
  <c r="E3339" i="11"/>
  <c r="E3340" i="11"/>
  <c r="E3341" i="11"/>
  <c r="E3342" i="11"/>
  <c r="E3343" i="11"/>
  <c r="E3344" i="11"/>
  <c r="E3345" i="11"/>
  <c r="E3346" i="11"/>
  <c r="E3347" i="11"/>
  <c r="E3348" i="11"/>
  <c r="E3349" i="11"/>
  <c r="E3350" i="11"/>
  <c r="E3351" i="11"/>
  <c r="E3352" i="11"/>
  <c r="E3353" i="11"/>
  <c r="E3354" i="11"/>
  <c r="E3355" i="11"/>
  <c r="E3356" i="11"/>
  <c r="E3357" i="11"/>
  <c r="E3358" i="11"/>
  <c r="E3359" i="11"/>
  <c r="E3360" i="11"/>
  <c r="E3361" i="11"/>
  <c r="E3362" i="11"/>
  <c r="E3363" i="11"/>
  <c r="E3364" i="11"/>
  <c r="E3365" i="11"/>
  <c r="E3366" i="11"/>
  <c r="E3367" i="11"/>
  <c r="E3368" i="11"/>
  <c r="E3369" i="11"/>
  <c r="E3370" i="11"/>
  <c r="E3371" i="11"/>
  <c r="E3372" i="11"/>
  <c r="E3373" i="11"/>
  <c r="E3374" i="11"/>
  <c r="E3375" i="11"/>
  <c r="E3376" i="11"/>
  <c r="E3377" i="11"/>
  <c r="E3378" i="11"/>
  <c r="E3379" i="11"/>
  <c r="E3380" i="11"/>
  <c r="E3381" i="11"/>
  <c r="E3382" i="11"/>
  <c r="E3383" i="11"/>
  <c r="E3384" i="11"/>
  <c r="E3385" i="11"/>
  <c r="E3386" i="11"/>
  <c r="E3387" i="11"/>
  <c r="E3388" i="11"/>
  <c r="E3389" i="11"/>
  <c r="E3390" i="11"/>
  <c r="E3391" i="11"/>
  <c r="E3392" i="11"/>
  <c r="E3393" i="11"/>
  <c r="E3394" i="11"/>
  <c r="E3395" i="11"/>
  <c r="E3396" i="11"/>
  <c r="E3397" i="11"/>
  <c r="E3398" i="11"/>
  <c r="E3399" i="11"/>
  <c r="E3400" i="11"/>
  <c r="E3401" i="11"/>
  <c r="E3402" i="11"/>
  <c r="E3403" i="11"/>
  <c r="E3404" i="11"/>
  <c r="E3405" i="11"/>
  <c r="E3406" i="11"/>
  <c r="E3407" i="11"/>
  <c r="E3408" i="11"/>
  <c r="E3409" i="11"/>
  <c r="E3410" i="11"/>
  <c r="E3411" i="11"/>
  <c r="E3412" i="11"/>
  <c r="E3413" i="11"/>
  <c r="E3414" i="11"/>
  <c r="E3415" i="11"/>
  <c r="E3416" i="11"/>
  <c r="E3417" i="11"/>
  <c r="E3418" i="11"/>
  <c r="E3419" i="11"/>
  <c r="E3420" i="11"/>
  <c r="E3421" i="11"/>
  <c r="E3422" i="11"/>
  <c r="E3423" i="11"/>
  <c r="E3424" i="11"/>
  <c r="E3425" i="11"/>
  <c r="E3426" i="11"/>
  <c r="E3427" i="11"/>
  <c r="E3428" i="11"/>
  <c r="E3429" i="11"/>
  <c r="E3430" i="11"/>
  <c r="E3431" i="11"/>
  <c r="E3432" i="11"/>
  <c r="E3433" i="11"/>
  <c r="E3434" i="11"/>
  <c r="E3435" i="11"/>
  <c r="E3436" i="11"/>
  <c r="E3437" i="11"/>
  <c r="E3438" i="11"/>
  <c r="E3439" i="11"/>
  <c r="E3440" i="11"/>
  <c r="E3441" i="11"/>
  <c r="E3442" i="11"/>
  <c r="E3443" i="11"/>
  <c r="E3444" i="11"/>
  <c r="E3445" i="11"/>
  <c r="E3446" i="11"/>
  <c r="E3447" i="11"/>
  <c r="E3448" i="11"/>
  <c r="E3449" i="11"/>
  <c r="E3450" i="11"/>
  <c r="E3451" i="11"/>
  <c r="E3452" i="11"/>
  <c r="E3453" i="11"/>
  <c r="E3454" i="11"/>
  <c r="E3455" i="11"/>
  <c r="E3456" i="11"/>
  <c r="E3457" i="11"/>
  <c r="E3458" i="11"/>
  <c r="E3459" i="11"/>
  <c r="E3460" i="11"/>
  <c r="E3461" i="11"/>
  <c r="E3462" i="11"/>
  <c r="E3463" i="11"/>
  <c r="E3464" i="11"/>
  <c r="E3465" i="11"/>
  <c r="E3466" i="11"/>
  <c r="E3467" i="11"/>
  <c r="E3468" i="11"/>
  <c r="E3469" i="11"/>
  <c r="E3470" i="11"/>
  <c r="E3471" i="11"/>
  <c r="E3472" i="11"/>
  <c r="E3473" i="11"/>
  <c r="E3474" i="11"/>
  <c r="E3475" i="11"/>
  <c r="E3476" i="11"/>
  <c r="E3477" i="11"/>
  <c r="E3478" i="11"/>
  <c r="E3479" i="11"/>
  <c r="E3480" i="11"/>
  <c r="E3481" i="11"/>
  <c r="E3482" i="11"/>
  <c r="E3483" i="11"/>
  <c r="E3484" i="11"/>
  <c r="E3485" i="11"/>
  <c r="E3486" i="11"/>
  <c r="E3487" i="11"/>
  <c r="E3488" i="11"/>
  <c r="E3489" i="11"/>
  <c r="E3490" i="11"/>
  <c r="E3491" i="11"/>
  <c r="E3492" i="11"/>
  <c r="E3493" i="11"/>
  <c r="E3494" i="11"/>
  <c r="E3495" i="11"/>
  <c r="E3496" i="11"/>
  <c r="E3497" i="11"/>
  <c r="E3498" i="11"/>
  <c r="E3499" i="11"/>
  <c r="E3500" i="11"/>
  <c r="E3501" i="11"/>
  <c r="E3502" i="11"/>
  <c r="E3503" i="11"/>
  <c r="E3504" i="11"/>
  <c r="E3505" i="11"/>
  <c r="E3506" i="11"/>
  <c r="E3507" i="11"/>
  <c r="E3508" i="11"/>
  <c r="E3509" i="11"/>
  <c r="E3510" i="11"/>
  <c r="E3511" i="11"/>
  <c r="E3512" i="11"/>
  <c r="E3513" i="11"/>
  <c r="E3514" i="11"/>
  <c r="E3515" i="11"/>
  <c r="E3516" i="11"/>
  <c r="E3517" i="11"/>
  <c r="E3518" i="11"/>
  <c r="E3519" i="11"/>
  <c r="E3520" i="11"/>
  <c r="E3521" i="11"/>
  <c r="E3522" i="11"/>
  <c r="E3523" i="11"/>
  <c r="E3524" i="11"/>
  <c r="E3525" i="11"/>
  <c r="E3526" i="11"/>
  <c r="E3527" i="11"/>
  <c r="E3528" i="11"/>
  <c r="E3529" i="11"/>
  <c r="E3530" i="11"/>
  <c r="E3531" i="11"/>
  <c r="E3532" i="11"/>
  <c r="E3533" i="11"/>
  <c r="E3534" i="11"/>
  <c r="E3535" i="11"/>
  <c r="E3536" i="11"/>
  <c r="E3537" i="11"/>
  <c r="E3538" i="11"/>
  <c r="E3539" i="11"/>
  <c r="E3540" i="11"/>
  <c r="E3541" i="11"/>
  <c r="E3542" i="11"/>
  <c r="E3543" i="11"/>
  <c r="E3544" i="11"/>
  <c r="E3545" i="11"/>
  <c r="E3546" i="11"/>
  <c r="E3547" i="11"/>
  <c r="E3548" i="11"/>
  <c r="E3549" i="11"/>
  <c r="E3550" i="11"/>
  <c r="E3551" i="11"/>
  <c r="E3552" i="11"/>
  <c r="E3553" i="11"/>
  <c r="E3554" i="11"/>
  <c r="E3555" i="11"/>
  <c r="E3556" i="11"/>
  <c r="E3557" i="11"/>
  <c r="E3558" i="11"/>
  <c r="E3559" i="11"/>
  <c r="E3560" i="11"/>
  <c r="E3561" i="11"/>
  <c r="E3562" i="11"/>
  <c r="E3563" i="11"/>
  <c r="E3564" i="11"/>
  <c r="E3565" i="11"/>
  <c r="E3566" i="11"/>
  <c r="E3567" i="11"/>
  <c r="E3568" i="11"/>
  <c r="E3569" i="11"/>
  <c r="E3570" i="11"/>
  <c r="E3571" i="11"/>
  <c r="E3572" i="11"/>
  <c r="E3573" i="11"/>
  <c r="E3574" i="11"/>
  <c r="E3575" i="11"/>
  <c r="E3576" i="11"/>
  <c r="E3577" i="11"/>
  <c r="E3578" i="11"/>
  <c r="E3579" i="11"/>
  <c r="E3580" i="11"/>
  <c r="E3581" i="11"/>
  <c r="E3582" i="11"/>
  <c r="E3583" i="11"/>
  <c r="E3584" i="11"/>
  <c r="E3585" i="11"/>
  <c r="E3586" i="11"/>
  <c r="E3587" i="11"/>
  <c r="E3588" i="11"/>
  <c r="E3589" i="11"/>
  <c r="E3590" i="11"/>
  <c r="E3591" i="11"/>
  <c r="E3592" i="11"/>
  <c r="E3593" i="11"/>
  <c r="E3594" i="11"/>
  <c r="E3595" i="11"/>
  <c r="E3596" i="11"/>
  <c r="E3597" i="11"/>
  <c r="E3598" i="11"/>
  <c r="E3599" i="11"/>
  <c r="E3600" i="11"/>
  <c r="E3601" i="11"/>
  <c r="E3602" i="11"/>
  <c r="E3603" i="11"/>
  <c r="E3604" i="11"/>
  <c r="E3605" i="11"/>
  <c r="E3606" i="11"/>
  <c r="E3607" i="11"/>
  <c r="E3608" i="11"/>
  <c r="E3609" i="11"/>
  <c r="E3610" i="11"/>
  <c r="E3611" i="11"/>
  <c r="E3612" i="11"/>
  <c r="E3613" i="11"/>
  <c r="E3614" i="11"/>
  <c r="E3615" i="11"/>
  <c r="E3616" i="11"/>
  <c r="E3617" i="11"/>
  <c r="E3618" i="11"/>
  <c r="E3619" i="11"/>
  <c r="E3620" i="11"/>
  <c r="E3621" i="11"/>
  <c r="E3622" i="11"/>
  <c r="E3623" i="11"/>
  <c r="E3624" i="11"/>
  <c r="E3625" i="11"/>
  <c r="E3626" i="11"/>
  <c r="E3627" i="11"/>
  <c r="E3628" i="11"/>
  <c r="E3629" i="11"/>
  <c r="E3630" i="11"/>
  <c r="E3631" i="11"/>
  <c r="E3632" i="11"/>
  <c r="E3633" i="11"/>
  <c r="E3634" i="11"/>
  <c r="E3635" i="11"/>
  <c r="E3636" i="11"/>
  <c r="E3637" i="11"/>
  <c r="E3638" i="11"/>
  <c r="E3639" i="11"/>
  <c r="E3640" i="11"/>
  <c r="E3641" i="11"/>
  <c r="E3642" i="11"/>
  <c r="E3643" i="11"/>
  <c r="E3644" i="11"/>
  <c r="E3645" i="11"/>
  <c r="E3646" i="11"/>
  <c r="E3647" i="11"/>
  <c r="E3648" i="11"/>
  <c r="E3649" i="11"/>
  <c r="E3650" i="11"/>
  <c r="E3651" i="11"/>
  <c r="E3652" i="11"/>
  <c r="E3653" i="11"/>
  <c r="E3654" i="11"/>
  <c r="E3655" i="11"/>
  <c r="E3656" i="11"/>
  <c r="E3657" i="11"/>
  <c r="E3658" i="11"/>
  <c r="E3659" i="11"/>
  <c r="E3660" i="11"/>
  <c r="E3661" i="11"/>
  <c r="E3662" i="11"/>
  <c r="E3663" i="11"/>
  <c r="E3664" i="11"/>
  <c r="E3665" i="11"/>
  <c r="E3666" i="11"/>
  <c r="E3667" i="11"/>
  <c r="E3668" i="11"/>
  <c r="E3669" i="11"/>
  <c r="E3670" i="11"/>
  <c r="E3671" i="11"/>
  <c r="E3672" i="11"/>
  <c r="E3673" i="11"/>
  <c r="E3674" i="11"/>
  <c r="E3675" i="11"/>
  <c r="E3676" i="11"/>
  <c r="E3677" i="11"/>
  <c r="E3678" i="11"/>
  <c r="E3679" i="11"/>
  <c r="E3680" i="11"/>
  <c r="E3681" i="11"/>
  <c r="E3682" i="11"/>
  <c r="E3683" i="11"/>
  <c r="E3684" i="11"/>
  <c r="E3685" i="11"/>
  <c r="E3686" i="11"/>
  <c r="E3687" i="11"/>
  <c r="E3688" i="11"/>
  <c r="E3689" i="11"/>
  <c r="E3690" i="11"/>
  <c r="E3691" i="11"/>
  <c r="E3692" i="11"/>
  <c r="E3693" i="11"/>
  <c r="E3694" i="11"/>
  <c r="E3695" i="11"/>
  <c r="E3696" i="11"/>
  <c r="E3697" i="11"/>
  <c r="E3698" i="11"/>
  <c r="E3699" i="11"/>
  <c r="E3700" i="11"/>
  <c r="E3701" i="11"/>
  <c r="E3702" i="11"/>
  <c r="E3703" i="11"/>
  <c r="E3704" i="11"/>
  <c r="E3705" i="11"/>
  <c r="E3706" i="11"/>
  <c r="E3707" i="11"/>
  <c r="E3708" i="11"/>
  <c r="E3709" i="11"/>
  <c r="E3710" i="11"/>
  <c r="E3711" i="11"/>
  <c r="E3712" i="11"/>
  <c r="E3713" i="11"/>
  <c r="E3714" i="11"/>
  <c r="E3715" i="11"/>
  <c r="E3716" i="11"/>
  <c r="E3717" i="11"/>
  <c r="E3718" i="11"/>
  <c r="E3719" i="11"/>
  <c r="E3720" i="11"/>
  <c r="E3721" i="11"/>
  <c r="E3722" i="11"/>
  <c r="E3723" i="11"/>
  <c r="E3724" i="11"/>
  <c r="E3725" i="11"/>
  <c r="E3726" i="11"/>
  <c r="E3727" i="11"/>
  <c r="E3728" i="11"/>
  <c r="E3729" i="11"/>
  <c r="E3730" i="11"/>
  <c r="E3731" i="11"/>
  <c r="E3732" i="11"/>
  <c r="E3733" i="11"/>
  <c r="E3734" i="11"/>
  <c r="E3735" i="11"/>
  <c r="E3736" i="11"/>
  <c r="E3737" i="11"/>
  <c r="E3738" i="11"/>
  <c r="E3739" i="11"/>
  <c r="E3740" i="11"/>
  <c r="E3741" i="11"/>
  <c r="E3742" i="11"/>
  <c r="E3743" i="11"/>
  <c r="E3744" i="11"/>
  <c r="E3745" i="11"/>
  <c r="E3746" i="11"/>
  <c r="E3747" i="11"/>
  <c r="E3748" i="11"/>
  <c r="E3749" i="11"/>
  <c r="E3750" i="11"/>
  <c r="E3751" i="11"/>
  <c r="E3752" i="11"/>
  <c r="E3753" i="11"/>
  <c r="E3754" i="11"/>
  <c r="E3755" i="11"/>
  <c r="E3756" i="11"/>
  <c r="E3757" i="11"/>
  <c r="E3758" i="11"/>
  <c r="E3759" i="11"/>
  <c r="E3760" i="11"/>
  <c r="E3761" i="11"/>
  <c r="E3762" i="11"/>
  <c r="E3763" i="11"/>
  <c r="E3764" i="11"/>
  <c r="E3765" i="11"/>
  <c r="E3766" i="11"/>
  <c r="E3767" i="11"/>
  <c r="E3768" i="11"/>
  <c r="E3769" i="11"/>
  <c r="E3770" i="11"/>
  <c r="E3771" i="11"/>
  <c r="E3772" i="11"/>
  <c r="E3773" i="11"/>
  <c r="E3774" i="11"/>
  <c r="E3775" i="11"/>
  <c r="E3776" i="11"/>
  <c r="E3777" i="11"/>
  <c r="E3778" i="11"/>
  <c r="E3779" i="11"/>
  <c r="E3780" i="11"/>
  <c r="E3781" i="11"/>
  <c r="E3782" i="11"/>
  <c r="E3783" i="11"/>
  <c r="E3784" i="11"/>
  <c r="E3785" i="11"/>
  <c r="E3786" i="11"/>
  <c r="E3787" i="11"/>
  <c r="E3788" i="11"/>
  <c r="E3789" i="11"/>
  <c r="E3790" i="11"/>
  <c r="E3791" i="11"/>
  <c r="E3792" i="11"/>
  <c r="E3793" i="11"/>
  <c r="E3794" i="11"/>
  <c r="E3795" i="11"/>
  <c r="E3796" i="11"/>
  <c r="E3797" i="11"/>
  <c r="E3798" i="11"/>
  <c r="E3799" i="11"/>
  <c r="E3800" i="11"/>
  <c r="E3801" i="11"/>
  <c r="E3802" i="11"/>
  <c r="E3803" i="11"/>
  <c r="E3804" i="11"/>
  <c r="E3805" i="11"/>
  <c r="E3806" i="11"/>
  <c r="E3807" i="11"/>
  <c r="E3808" i="11"/>
  <c r="E3809" i="11"/>
  <c r="E3810" i="11"/>
  <c r="E3811" i="11"/>
  <c r="E3812" i="11"/>
  <c r="E3813" i="11"/>
  <c r="E3814" i="11"/>
  <c r="E3815" i="11"/>
  <c r="E3816" i="11"/>
  <c r="E3817" i="11"/>
  <c r="E3818" i="11"/>
  <c r="E3819" i="11"/>
  <c r="E3820" i="11"/>
  <c r="E3821" i="11"/>
  <c r="E3822" i="11"/>
  <c r="E3823" i="11"/>
  <c r="E3824" i="11"/>
  <c r="E3825" i="11"/>
  <c r="E3826" i="11"/>
  <c r="E3827" i="11"/>
  <c r="E3828" i="11"/>
  <c r="E3829" i="11"/>
  <c r="E3830" i="11"/>
  <c r="E3831" i="11"/>
  <c r="E3832" i="11"/>
  <c r="E3833" i="11"/>
  <c r="E3834" i="11"/>
  <c r="E3835" i="11"/>
  <c r="E3836" i="11"/>
  <c r="E3837" i="11"/>
  <c r="E3838" i="11"/>
  <c r="E3839" i="11"/>
  <c r="E3840" i="11"/>
  <c r="E3841" i="11"/>
  <c r="E3842" i="11"/>
  <c r="E3843" i="11"/>
  <c r="E3844" i="11"/>
  <c r="E3845" i="11"/>
  <c r="E3846" i="11"/>
  <c r="E3847" i="11"/>
  <c r="E3848" i="11"/>
  <c r="E3849" i="11"/>
  <c r="E3850" i="11"/>
  <c r="E3851" i="11"/>
  <c r="E3852" i="11"/>
  <c r="E3853" i="11"/>
  <c r="E3854" i="11"/>
  <c r="E3855" i="11"/>
  <c r="E3856" i="11"/>
  <c r="E3857" i="11"/>
  <c r="E3858" i="11"/>
  <c r="E3859" i="11"/>
  <c r="E3860" i="11"/>
  <c r="E3861" i="11"/>
  <c r="E3862" i="11"/>
  <c r="E3863" i="11"/>
  <c r="E3864" i="11"/>
  <c r="E3865" i="11"/>
  <c r="E3866" i="11"/>
  <c r="E3867" i="11"/>
  <c r="E3868" i="11"/>
  <c r="E3869" i="11"/>
  <c r="E3870" i="11"/>
  <c r="E3871" i="11"/>
  <c r="E3872" i="11"/>
  <c r="E3873" i="11"/>
  <c r="E3874" i="11"/>
  <c r="E3875" i="11"/>
  <c r="E3876" i="11"/>
  <c r="E3877" i="11"/>
  <c r="E3878" i="11"/>
  <c r="E3879" i="11"/>
  <c r="E3880" i="11"/>
  <c r="E3881" i="11"/>
  <c r="E3882" i="11"/>
  <c r="E3883" i="11"/>
  <c r="E3884" i="11"/>
  <c r="E3885" i="11"/>
  <c r="E3886" i="11"/>
  <c r="E3887" i="11"/>
  <c r="E3888" i="11"/>
  <c r="E3889" i="11"/>
  <c r="F5" i="11"/>
  <c r="F6" i="11"/>
  <c r="F7" i="11"/>
  <c r="F8" i="11"/>
  <c r="F9" i="11"/>
  <c r="F10" i="11"/>
  <c r="F11" i="11"/>
  <c r="F12" i="11"/>
  <c r="F13" i="11"/>
  <c r="F14" i="11"/>
  <c r="F15" i="11"/>
  <c r="F16" i="11"/>
  <c r="F17" i="11"/>
  <c r="F18" i="11"/>
  <c r="F19" i="11"/>
  <c r="F20" i="11"/>
  <c r="F21" i="11"/>
  <c r="F22" i="11"/>
  <c r="F23" i="11"/>
  <c r="F24" i="11"/>
  <c r="F25" i="11"/>
  <c r="F26" i="11"/>
  <c r="F27" i="11"/>
  <c r="F28" i="11"/>
  <c r="F29" i="11"/>
  <c r="F30" i="11"/>
  <c r="F31" i="11"/>
  <c r="F32" i="11"/>
  <c r="F33" i="11"/>
  <c r="F34" i="11"/>
  <c r="F35" i="11"/>
  <c r="F36" i="11"/>
  <c r="F37" i="11"/>
  <c r="F38" i="11"/>
  <c r="F39" i="11"/>
  <c r="F40" i="11"/>
  <c r="F41" i="11"/>
  <c r="F42" i="11"/>
  <c r="F43" i="11"/>
  <c r="F44" i="11"/>
  <c r="F45" i="11"/>
  <c r="F46" i="11"/>
  <c r="F47" i="11"/>
  <c r="F48" i="11"/>
  <c r="F49" i="11"/>
  <c r="F50" i="11"/>
  <c r="F51" i="11"/>
  <c r="F52" i="11"/>
  <c r="F53" i="11"/>
  <c r="F54" i="11"/>
  <c r="F55" i="11"/>
  <c r="F56" i="11"/>
  <c r="F57" i="11"/>
  <c r="F58" i="11"/>
  <c r="F59" i="11"/>
  <c r="F60" i="11"/>
  <c r="F61" i="11"/>
  <c r="F62" i="11"/>
  <c r="F63" i="11"/>
  <c r="F64" i="11"/>
  <c r="F65" i="11"/>
  <c r="F66" i="11"/>
  <c r="F67" i="11"/>
  <c r="F68" i="11"/>
  <c r="F69" i="11"/>
  <c r="F70" i="11"/>
  <c r="F71" i="11"/>
  <c r="F72" i="11"/>
  <c r="F73" i="11"/>
  <c r="F74" i="11"/>
  <c r="F75" i="11"/>
  <c r="F76" i="11"/>
  <c r="F77" i="11"/>
  <c r="F78" i="11"/>
  <c r="F79" i="11"/>
  <c r="F80" i="11"/>
  <c r="F81" i="11"/>
  <c r="F82" i="11"/>
  <c r="F83" i="11"/>
  <c r="F84" i="11"/>
  <c r="F85" i="11"/>
  <c r="F86" i="11"/>
  <c r="F87" i="11"/>
  <c r="F88" i="11"/>
  <c r="F89" i="11"/>
  <c r="F90" i="11"/>
  <c r="F91" i="11"/>
  <c r="F92" i="11"/>
  <c r="F93" i="11"/>
  <c r="F94" i="11"/>
  <c r="F95" i="11"/>
  <c r="F96" i="11"/>
  <c r="F97" i="11"/>
  <c r="F98" i="11"/>
  <c r="F99" i="11"/>
  <c r="F100" i="11"/>
  <c r="F101" i="11"/>
  <c r="F102" i="11"/>
  <c r="F103" i="11"/>
  <c r="F104" i="11"/>
  <c r="F105" i="11"/>
  <c r="F106" i="11"/>
  <c r="F107" i="11"/>
  <c r="F108" i="11"/>
  <c r="F109" i="11"/>
  <c r="F110" i="11"/>
  <c r="F111" i="11"/>
  <c r="F112" i="11"/>
  <c r="F113" i="11"/>
  <c r="F114" i="11"/>
  <c r="F115" i="11"/>
  <c r="F116" i="11"/>
  <c r="F117" i="11"/>
  <c r="F118" i="11"/>
  <c r="F119" i="11"/>
  <c r="F120" i="11"/>
  <c r="F121" i="11"/>
  <c r="F122" i="11"/>
  <c r="F123" i="11"/>
  <c r="F124" i="11"/>
  <c r="F125" i="11"/>
  <c r="F126" i="11"/>
  <c r="F127" i="11"/>
  <c r="F128" i="11"/>
  <c r="F129" i="11"/>
  <c r="F130" i="11"/>
  <c r="F131" i="11"/>
  <c r="F132" i="11"/>
  <c r="F133" i="11"/>
  <c r="F134" i="11"/>
  <c r="F135" i="11"/>
  <c r="F136" i="11"/>
  <c r="F137" i="11"/>
  <c r="F138" i="11"/>
  <c r="F139" i="11"/>
  <c r="F140" i="11"/>
  <c r="F141" i="11"/>
  <c r="F142" i="11"/>
  <c r="F143" i="11"/>
  <c r="F144" i="11"/>
  <c r="F145" i="11"/>
  <c r="F146" i="11"/>
  <c r="F147" i="11"/>
  <c r="F148" i="11"/>
  <c r="F149" i="11"/>
  <c r="F150" i="11"/>
  <c r="F151" i="11"/>
  <c r="F152" i="11"/>
  <c r="F153" i="11"/>
  <c r="F154" i="11"/>
  <c r="F155" i="11"/>
  <c r="F156" i="11"/>
  <c r="F157" i="11"/>
  <c r="F158" i="11"/>
  <c r="F159" i="11"/>
  <c r="F160" i="11"/>
  <c r="F161" i="11"/>
  <c r="F162" i="11"/>
  <c r="F163" i="11"/>
  <c r="F164" i="11"/>
  <c r="F165" i="11"/>
  <c r="F166" i="11"/>
  <c r="F167" i="11"/>
  <c r="F168" i="11"/>
  <c r="F169" i="11"/>
  <c r="F170" i="11"/>
  <c r="F171" i="11"/>
  <c r="F172" i="11"/>
  <c r="F173" i="11"/>
  <c r="F174" i="11"/>
  <c r="F175" i="11"/>
  <c r="F176" i="11"/>
  <c r="F177" i="11"/>
  <c r="F178" i="11"/>
  <c r="F179" i="11"/>
  <c r="F180" i="11"/>
  <c r="F181" i="11"/>
  <c r="F182" i="11"/>
  <c r="F183" i="11"/>
  <c r="F184" i="11"/>
  <c r="F185" i="11"/>
  <c r="F186" i="11"/>
  <c r="F187" i="11"/>
  <c r="F188" i="11"/>
  <c r="F189" i="11"/>
  <c r="F190" i="11"/>
  <c r="F191" i="11"/>
  <c r="F192" i="11"/>
  <c r="F193" i="11"/>
  <c r="F194" i="11"/>
  <c r="F195" i="11"/>
  <c r="F196" i="11"/>
  <c r="F197" i="11"/>
  <c r="F198" i="11"/>
  <c r="F199" i="11"/>
  <c r="F200" i="11"/>
  <c r="F201" i="11"/>
  <c r="F202" i="11"/>
  <c r="F203" i="11"/>
  <c r="F204" i="11"/>
  <c r="F205" i="11"/>
  <c r="F206" i="11"/>
  <c r="F207" i="11"/>
  <c r="F208" i="11"/>
  <c r="F209" i="11"/>
  <c r="F210" i="11"/>
  <c r="F211" i="11"/>
  <c r="F212" i="11"/>
  <c r="F213" i="11"/>
  <c r="F214" i="11"/>
  <c r="F215" i="11"/>
  <c r="F216" i="11"/>
  <c r="F217" i="11"/>
  <c r="F218" i="11"/>
  <c r="F219" i="11"/>
  <c r="F220" i="11"/>
  <c r="F221" i="11"/>
  <c r="F222" i="11"/>
  <c r="F223" i="11"/>
  <c r="F224" i="11"/>
  <c r="F225" i="11"/>
  <c r="F226" i="11"/>
  <c r="F227" i="11"/>
  <c r="F228" i="11"/>
  <c r="F229" i="11"/>
  <c r="F230" i="11"/>
  <c r="F231" i="11"/>
  <c r="F232" i="11"/>
  <c r="F233" i="11"/>
  <c r="F234" i="11"/>
  <c r="F235" i="11"/>
  <c r="F236" i="11"/>
  <c r="F237" i="11"/>
  <c r="F238" i="11"/>
  <c r="F239" i="11"/>
  <c r="F240" i="11"/>
  <c r="F241" i="11"/>
  <c r="F242" i="11"/>
  <c r="F243" i="11"/>
  <c r="F244" i="11"/>
  <c r="F245" i="11"/>
  <c r="F246" i="11"/>
  <c r="F247" i="11"/>
  <c r="F248" i="11"/>
  <c r="F249" i="11"/>
  <c r="F250" i="11"/>
  <c r="F251" i="11"/>
  <c r="F252" i="11"/>
  <c r="F253" i="11"/>
  <c r="F254" i="11"/>
  <c r="F255" i="11"/>
  <c r="F256" i="11"/>
  <c r="F257" i="11"/>
  <c r="F258" i="11"/>
  <c r="F259" i="11"/>
  <c r="F260" i="11"/>
  <c r="F261" i="11"/>
  <c r="F262" i="11"/>
  <c r="F263" i="11"/>
  <c r="F264" i="11"/>
  <c r="F265" i="11"/>
  <c r="F266" i="11"/>
  <c r="F267" i="11"/>
  <c r="F268" i="11"/>
  <c r="F269" i="11"/>
  <c r="F270" i="11"/>
  <c r="F271" i="11"/>
  <c r="F272" i="11"/>
  <c r="F273" i="11"/>
  <c r="F274" i="11"/>
  <c r="F275" i="11"/>
  <c r="F276" i="11"/>
  <c r="F277" i="11"/>
  <c r="F278" i="11"/>
  <c r="F279" i="11"/>
  <c r="F280" i="11"/>
  <c r="F281" i="11"/>
  <c r="F282" i="11"/>
  <c r="F283" i="11"/>
  <c r="F284" i="11"/>
  <c r="F285" i="11"/>
  <c r="F286" i="11"/>
  <c r="F287" i="11"/>
  <c r="F288" i="11"/>
  <c r="F289" i="11"/>
  <c r="F290" i="11"/>
  <c r="F291" i="11"/>
  <c r="F292" i="11"/>
  <c r="F293" i="11"/>
  <c r="F294" i="11"/>
  <c r="F295" i="11"/>
  <c r="F296" i="11"/>
  <c r="F297" i="11"/>
  <c r="F298" i="11"/>
  <c r="F299" i="11"/>
  <c r="F300" i="11"/>
  <c r="F301" i="11"/>
  <c r="F302" i="11"/>
  <c r="F303" i="11"/>
  <c r="F304" i="11"/>
  <c r="F305" i="11"/>
  <c r="F306" i="11"/>
  <c r="F307" i="11"/>
  <c r="F308" i="11"/>
  <c r="F309" i="11"/>
  <c r="F310" i="11"/>
  <c r="F311" i="11"/>
  <c r="F312" i="11"/>
  <c r="F313" i="11"/>
  <c r="F314" i="11"/>
  <c r="F315" i="11"/>
  <c r="F316" i="11"/>
  <c r="F317" i="11"/>
  <c r="F318" i="11"/>
  <c r="F319" i="11"/>
  <c r="F320" i="11"/>
  <c r="F321" i="11"/>
  <c r="F322" i="11"/>
  <c r="F323" i="11"/>
  <c r="F324" i="11"/>
  <c r="F325" i="11"/>
  <c r="F326" i="11"/>
  <c r="F327" i="11"/>
  <c r="F328" i="11"/>
  <c r="F329" i="11"/>
  <c r="F330" i="11"/>
  <c r="F331" i="11"/>
  <c r="F332" i="11"/>
  <c r="F333" i="11"/>
  <c r="F334" i="11"/>
  <c r="F335" i="11"/>
  <c r="F336" i="11"/>
  <c r="F337" i="11"/>
  <c r="F338" i="11"/>
  <c r="F339" i="11"/>
  <c r="F340" i="11"/>
  <c r="F341" i="11"/>
  <c r="F342" i="11"/>
  <c r="F343" i="11"/>
  <c r="F344" i="11"/>
  <c r="F345" i="11"/>
  <c r="F346" i="11"/>
  <c r="F347" i="11"/>
  <c r="F348" i="11"/>
  <c r="F349" i="11"/>
  <c r="F350" i="11"/>
  <c r="F351" i="11"/>
  <c r="F352" i="11"/>
  <c r="F353" i="11"/>
  <c r="F354" i="11"/>
  <c r="F355" i="11"/>
  <c r="F356" i="11"/>
  <c r="F357" i="11"/>
  <c r="F358" i="11"/>
  <c r="F359" i="11"/>
  <c r="F360" i="11"/>
  <c r="F361" i="11"/>
  <c r="F362" i="11"/>
  <c r="F363" i="11"/>
  <c r="F364" i="11"/>
  <c r="F365" i="11"/>
  <c r="F366" i="11"/>
  <c r="F367" i="11"/>
  <c r="F368" i="11"/>
  <c r="F369" i="11"/>
  <c r="F370" i="11"/>
  <c r="F371" i="11"/>
  <c r="F372" i="11"/>
  <c r="F373" i="11"/>
  <c r="F374" i="11"/>
  <c r="F375" i="11"/>
  <c r="F376" i="11"/>
  <c r="F377" i="11"/>
  <c r="F378" i="11"/>
  <c r="F379" i="11"/>
  <c r="F380" i="11"/>
  <c r="F381" i="11"/>
  <c r="F382" i="11"/>
  <c r="F383" i="11"/>
  <c r="F384" i="11"/>
  <c r="F385" i="11"/>
  <c r="F386" i="11"/>
  <c r="F387" i="11"/>
  <c r="F388" i="11"/>
  <c r="F389" i="11"/>
  <c r="F390" i="11"/>
  <c r="F391" i="11"/>
  <c r="F392" i="11"/>
  <c r="F393" i="11"/>
  <c r="F394" i="11"/>
  <c r="F395" i="11"/>
  <c r="F396" i="11"/>
  <c r="F397" i="11"/>
  <c r="F398" i="11"/>
  <c r="F399" i="11"/>
  <c r="F400" i="11"/>
  <c r="F401" i="11"/>
  <c r="F402" i="11"/>
  <c r="F403" i="11"/>
  <c r="F404" i="11"/>
  <c r="F405" i="11"/>
  <c r="F406" i="11"/>
  <c r="F407" i="11"/>
  <c r="F408" i="11"/>
  <c r="F409" i="11"/>
  <c r="F410" i="11"/>
  <c r="F411" i="11"/>
  <c r="F412" i="11"/>
  <c r="F413" i="11"/>
  <c r="F414" i="11"/>
  <c r="F415" i="11"/>
  <c r="F416" i="11"/>
  <c r="F417" i="11"/>
  <c r="F418" i="11"/>
  <c r="F419" i="11"/>
  <c r="F420" i="11"/>
  <c r="F421" i="11"/>
  <c r="F422" i="11"/>
  <c r="F423" i="11"/>
  <c r="F424" i="11"/>
  <c r="F425" i="11"/>
  <c r="F426" i="11"/>
  <c r="F427" i="11"/>
  <c r="F428" i="11"/>
  <c r="F429" i="11"/>
  <c r="F430" i="11"/>
  <c r="F431" i="11"/>
  <c r="F432" i="11"/>
  <c r="F433" i="11"/>
  <c r="F434" i="11"/>
  <c r="F435" i="11"/>
  <c r="F436" i="11"/>
  <c r="F437" i="11"/>
  <c r="F438" i="11"/>
  <c r="F439" i="11"/>
  <c r="F440" i="11"/>
  <c r="F441" i="11"/>
  <c r="F442" i="11"/>
  <c r="F443" i="11"/>
  <c r="F444" i="11"/>
  <c r="F445" i="11"/>
  <c r="F446" i="11"/>
  <c r="F447" i="11"/>
  <c r="F448" i="11"/>
  <c r="F449" i="11"/>
  <c r="F450" i="11"/>
  <c r="F451" i="11"/>
  <c r="F452" i="11"/>
  <c r="F453" i="11"/>
  <c r="F454" i="11"/>
  <c r="F455" i="11"/>
  <c r="F456" i="11"/>
  <c r="F457" i="11"/>
  <c r="F458" i="11"/>
  <c r="F459" i="11"/>
  <c r="F460" i="11"/>
  <c r="F461" i="11"/>
  <c r="F462" i="11"/>
  <c r="F463" i="11"/>
  <c r="F464" i="11"/>
  <c r="F465" i="11"/>
  <c r="F466" i="11"/>
  <c r="F467" i="11"/>
  <c r="F468" i="11"/>
  <c r="F469" i="11"/>
  <c r="F470" i="11"/>
  <c r="F471" i="11"/>
  <c r="F472" i="11"/>
  <c r="F473" i="11"/>
  <c r="F474" i="11"/>
  <c r="F475" i="11"/>
  <c r="F476" i="11"/>
  <c r="F477" i="11"/>
  <c r="F478" i="11"/>
  <c r="F479" i="11"/>
  <c r="F480" i="11"/>
  <c r="F481" i="11"/>
  <c r="F482" i="11"/>
  <c r="F483" i="11"/>
  <c r="F484" i="11"/>
  <c r="F485" i="11"/>
  <c r="F486" i="11"/>
  <c r="F487" i="11"/>
  <c r="F488" i="11"/>
  <c r="F489" i="11"/>
  <c r="F490" i="11"/>
  <c r="F491" i="11"/>
  <c r="F492" i="11"/>
  <c r="F493" i="11"/>
  <c r="F494" i="11"/>
  <c r="F495" i="11"/>
  <c r="F496" i="11"/>
  <c r="F497" i="11"/>
  <c r="F498" i="11"/>
  <c r="F499" i="11"/>
  <c r="F500" i="11"/>
  <c r="F501" i="11"/>
  <c r="F502" i="11"/>
  <c r="F503" i="11"/>
  <c r="F504" i="11"/>
  <c r="F505" i="11"/>
  <c r="F506" i="11"/>
  <c r="F507" i="11"/>
  <c r="F508" i="11"/>
  <c r="F509" i="11"/>
  <c r="F510" i="11"/>
  <c r="F511" i="11"/>
  <c r="F512" i="11"/>
  <c r="F513" i="11"/>
  <c r="F514" i="11"/>
  <c r="F515" i="11"/>
  <c r="F516" i="11"/>
  <c r="F517" i="11"/>
  <c r="F518" i="11"/>
  <c r="F519" i="11"/>
  <c r="F520" i="11"/>
  <c r="F521" i="11"/>
  <c r="F522" i="11"/>
  <c r="F523" i="11"/>
  <c r="F524" i="11"/>
  <c r="F525" i="11"/>
  <c r="F526" i="11"/>
  <c r="F527" i="11"/>
  <c r="F528" i="11"/>
  <c r="F529" i="11"/>
  <c r="F530" i="11"/>
  <c r="F531" i="11"/>
  <c r="F532" i="11"/>
  <c r="F533" i="11"/>
  <c r="F534" i="11"/>
  <c r="F535" i="11"/>
  <c r="F536" i="11"/>
  <c r="F537" i="11"/>
  <c r="F538" i="11"/>
  <c r="F539" i="11"/>
  <c r="F540" i="11"/>
  <c r="F541" i="11"/>
  <c r="F542" i="11"/>
  <c r="F543" i="11"/>
  <c r="F544" i="11"/>
  <c r="F545" i="11"/>
  <c r="F546" i="11"/>
  <c r="F547" i="11"/>
  <c r="F548" i="11"/>
  <c r="F549" i="11"/>
  <c r="F550" i="11"/>
  <c r="F551" i="11"/>
  <c r="F552" i="11"/>
  <c r="F553" i="11"/>
  <c r="F554" i="11"/>
  <c r="F555" i="11"/>
  <c r="F556" i="11"/>
  <c r="F557" i="11"/>
  <c r="F558" i="11"/>
  <c r="F559" i="11"/>
  <c r="F560" i="11"/>
  <c r="F561" i="11"/>
  <c r="F562" i="11"/>
  <c r="F563" i="11"/>
  <c r="F564" i="11"/>
  <c r="F565" i="11"/>
  <c r="F566" i="11"/>
  <c r="F567" i="11"/>
  <c r="F568" i="11"/>
  <c r="F569" i="11"/>
  <c r="F570" i="11"/>
  <c r="F571" i="11"/>
  <c r="F572" i="11"/>
  <c r="F573" i="11"/>
  <c r="F574" i="11"/>
  <c r="F575" i="11"/>
  <c r="F576" i="11"/>
  <c r="F577" i="11"/>
  <c r="F578" i="11"/>
  <c r="F579" i="11"/>
  <c r="F580" i="11"/>
  <c r="F581" i="11"/>
  <c r="F582" i="11"/>
  <c r="F583" i="11"/>
  <c r="F584" i="11"/>
  <c r="F585" i="11"/>
  <c r="F586" i="11"/>
  <c r="F587" i="11"/>
  <c r="F588" i="11"/>
  <c r="F589" i="11"/>
  <c r="F590" i="11"/>
  <c r="F591" i="11"/>
  <c r="F592" i="11"/>
  <c r="F593" i="11"/>
  <c r="F594" i="11"/>
  <c r="F595" i="11"/>
  <c r="F596" i="11"/>
  <c r="F597" i="11"/>
  <c r="F598" i="11"/>
  <c r="F599" i="11"/>
  <c r="F600" i="11"/>
  <c r="F601" i="11"/>
  <c r="F602" i="11"/>
  <c r="F603" i="11"/>
  <c r="F604" i="11"/>
  <c r="F605" i="11"/>
  <c r="F606" i="11"/>
  <c r="F607" i="11"/>
  <c r="F608" i="11"/>
  <c r="F609" i="11"/>
  <c r="F610" i="11"/>
  <c r="F611" i="11"/>
  <c r="F612" i="11"/>
  <c r="F613" i="11"/>
  <c r="F614" i="11"/>
  <c r="F615" i="11"/>
  <c r="F616" i="11"/>
  <c r="F617" i="11"/>
  <c r="F618" i="11"/>
  <c r="F619" i="11"/>
  <c r="F620" i="11"/>
  <c r="F621" i="11"/>
  <c r="F622" i="11"/>
  <c r="F623" i="11"/>
  <c r="F624" i="11"/>
  <c r="F625" i="11"/>
  <c r="F626" i="11"/>
  <c r="F627" i="11"/>
  <c r="F628" i="11"/>
  <c r="F629" i="11"/>
  <c r="F630" i="11"/>
  <c r="F631" i="11"/>
  <c r="F632" i="11"/>
  <c r="F633" i="11"/>
  <c r="F634" i="11"/>
  <c r="F635" i="11"/>
  <c r="F636" i="11"/>
  <c r="F637" i="11"/>
  <c r="F638" i="11"/>
  <c r="F639" i="11"/>
  <c r="F640" i="11"/>
  <c r="F641" i="11"/>
  <c r="F642" i="11"/>
  <c r="F643" i="11"/>
  <c r="F644" i="11"/>
  <c r="F645" i="11"/>
  <c r="F646" i="11"/>
  <c r="F647" i="11"/>
  <c r="F648" i="11"/>
  <c r="F649" i="11"/>
  <c r="F650" i="11"/>
  <c r="F651" i="11"/>
  <c r="F652" i="11"/>
  <c r="F653" i="11"/>
  <c r="F654" i="11"/>
  <c r="F655" i="11"/>
  <c r="F656" i="11"/>
  <c r="F657" i="11"/>
  <c r="F658" i="11"/>
  <c r="F659" i="11"/>
  <c r="F660" i="11"/>
  <c r="F661" i="11"/>
  <c r="F662" i="11"/>
  <c r="F663" i="11"/>
  <c r="F664" i="11"/>
  <c r="F665" i="11"/>
  <c r="F666" i="11"/>
  <c r="F667" i="11"/>
  <c r="F668" i="11"/>
  <c r="F669" i="11"/>
  <c r="F670" i="11"/>
  <c r="F671" i="11"/>
  <c r="F672" i="11"/>
  <c r="F673" i="11"/>
  <c r="F674" i="11"/>
  <c r="F675" i="11"/>
  <c r="F676" i="11"/>
  <c r="F677" i="11"/>
  <c r="F678" i="11"/>
  <c r="F679" i="11"/>
  <c r="F680" i="11"/>
  <c r="F681" i="11"/>
  <c r="F682" i="11"/>
  <c r="F683" i="11"/>
  <c r="F684" i="11"/>
  <c r="F685" i="11"/>
  <c r="F686" i="11"/>
  <c r="F687" i="11"/>
  <c r="F688" i="11"/>
  <c r="F689" i="11"/>
  <c r="F690" i="11"/>
  <c r="F691" i="11"/>
  <c r="F692" i="11"/>
  <c r="F693" i="11"/>
  <c r="F694" i="11"/>
  <c r="F695" i="11"/>
  <c r="F696" i="11"/>
  <c r="F697" i="11"/>
  <c r="F698" i="11"/>
  <c r="F699" i="11"/>
  <c r="F700" i="11"/>
  <c r="F701" i="11"/>
  <c r="F702" i="11"/>
  <c r="F703" i="11"/>
  <c r="F704" i="11"/>
  <c r="F705" i="11"/>
  <c r="F706" i="11"/>
  <c r="F707" i="11"/>
  <c r="F708" i="11"/>
  <c r="F709" i="11"/>
  <c r="F710" i="11"/>
  <c r="F711" i="11"/>
  <c r="F712" i="11"/>
  <c r="F713" i="11"/>
  <c r="F714" i="11"/>
  <c r="F715" i="11"/>
  <c r="F716" i="11"/>
  <c r="F717" i="11"/>
  <c r="F718" i="11"/>
  <c r="F719" i="11"/>
  <c r="F720" i="11"/>
  <c r="F721" i="11"/>
  <c r="F722" i="11"/>
  <c r="F723" i="11"/>
  <c r="F724" i="11"/>
  <c r="F725" i="11"/>
  <c r="F726" i="11"/>
  <c r="F727" i="11"/>
  <c r="F728" i="11"/>
  <c r="F729" i="11"/>
  <c r="F730" i="11"/>
  <c r="F731" i="11"/>
  <c r="F732" i="11"/>
  <c r="F733" i="11"/>
  <c r="F734" i="11"/>
  <c r="F735" i="11"/>
  <c r="F736" i="11"/>
  <c r="F737" i="11"/>
  <c r="F738" i="11"/>
  <c r="F739" i="11"/>
  <c r="F740" i="11"/>
  <c r="F741" i="11"/>
  <c r="F742" i="11"/>
  <c r="F743" i="11"/>
  <c r="F744" i="11"/>
  <c r="F745" i="11"/>
  <c r="F746" i="11"/>
  <c r="F747" i="11"/>
  <c r="F748" i="11"/>
  <c r="F749" i="11"/>
  <c r="F750" i="11"/>
  <c r="F751" i="11"/>
  <c r="F752" i="11"/>
  <c r="F753" i="11"/>
  <c r="F754" i="11"/>
  <c r="F755" i="11"/>
  <c r="F756" i="11"/>
  <c r="F757" i="11"/>
  <c r="F758" i="11"/>
  <c r="F759" i="11"/>
  <c r="F760" i="11"/>
  <c r="F761" i="11"/>
  <c r="F762" i="11"/>
  <c r="F763" i="11"/>
  <c r="F764" i="11"/>
  <c r="F765" i="11"/>
  <c r="F766" i="11"/>
  <c r="F767" i="11"/>
  <c r="F768" i="11"/>
  <c r="F769" i="11"/>
  <c r="F770" i="11"/>
  <c r="F771" i="11"/>
  <c r="F772" i="11"/>
  <c r="F773" i="11"/>
  <c r="F774" i="11"/>
  <c r="F775" i="11"/>
  <c r="F776" i="11"/>
  <c r="F777" i="11"/>
  <c r="F778" i="11"/>
  <c r="F779" i="11"/>
  <c r="F780" i="11"/>
  <c r="F781" i="11"/>
  <c r="F782" i="11"/>
  <c r="F783" i="11"/>
  <c r="F784" i="11"/>
  <c r="F785" i="11"/>
  <c r="F786" i="11"/>
  <c r="F787" i="11"/>
  <c r="F788" i="11"/>
  <c r="F789" i="11"/>
  <c r="F790" i="11"/>
  <c r="F791" i="11"/>
  <c r="F792" i="11"/>
  <c r="F793" i="11"/>
  <c r="F794" i="11"/>
  <c r="F795" i="11"/>
  <c r="F796" i="11"/>
  <c r="F797" i="11"/>
  <c r="F798" i="11"/>
  <c r="F799" i="11"/>
  <c r="F800" i="11"/>
  <c r="F801" i="11"/>
  <c r="F802" i="11"/>
  <c r="F803" i="11"/>
  <c r="F804" i="11"/>
  <c r="F805" i="11"/>
  <c r="F806" i="11"/>
  <c r="F807" i="11"/>
  <c r="F808" i="11"/>
  <c r="F809" i="11"/>
  <c r="F810" i="11"/>
  <c r="F811" i="11"/>
  <c r="F812" i="11"/>
  <c r="F813" i="11"/>
  <c r="F814" i="11"/>
  <c r="F815" i="11"/>
  <c r="F816" i="11"/>
  <c r="F817" i="11"/>
  <c r="F818" i="11"/>
  <c r="F819" i="11"/>
  <c r="F820" i="11"/>
  <c r="F821" i="11"/>
  <c r="F822" i="11"/>
  <c r="F823" i="11"/>
  <c r="F824" i="11"/>
  <c r="F825" i="11"/>
  <c r="F826" i="11"/>
  <c r="F827" i="11"/>
  <c r="F828" i="11"/>
  <c r="F829" i="11"/>
  <c r="F830" i="11"/>
  <c r="F831" i="11"/>
  <c r="F832" i="11"/>
  <c r="F833" i="11"/>
  <c r="F834" i="11"/>
  <c r="F835" i="11"/>
  <c r="F836" i="11"/>
  <c r="F837" i="11"/>
  <c r="F838" i="11"/>
  <c r="F839" i="11"/>
  <c r="F840" i="11"/>
  <c r="F841" i="11"/>
  <c r="F842" i="11"/>
  <c r="F843" i="11"/>
  <c r="F844" i="11"/>
  <c r="F845" i="11"/>
  <c r="F846" i="11"/>
  <c r="F847" i="11"/>
  <c r="F848" i="11"/>
  <c r="F849" i="11"/>
  <c r="F850" i="11"/>
  <c r="F851" i="11"/>
  <c r="F852" i="11"/>
  <c r="F853" i="11"/>
  <c r="F854" i="11"/>
  <c r="F855" i="11"/>
  <c r="F856" i="11"/>
  <c r="F857" i="11"/>
  <c r="F858" i="11"/>
  <c r="F859" i="11"/>
  <c r="F860" i="11"/>
  <c r="F861" i="11"/>
  <c r="F862" i="11"/>
  <c r="F863" i="11"/>
  <c r="F864" i="11"/>
  <c r="F865" i="11"/>
  <c r="F866" i="11"/>
  <c r="F867" i="11"/>
  <c r="F868" i="11"/>
  <c r="F869" i="11"/>
  <c r="F870" i="11"/>
  <c r="F871" i="11"/>
  <c r="F872" i="11"/>
  <c r="F873" i="11"/>
  <c r="F874" i="11"/>
  <c r="F875" i="11"/>
  <c r="F876" i="11"/>
  <c r="F877" i="11"/>
  <c r="F878" i="11"/>
  <c r="F879" i="11"/>
  <c r="F880" i="11"/>
  <c r="F881" i="11"/>
  <c r="F882" i="11"/>
  <c r="F883" i="11"/>
  <c r="F884" i="11"/>
  <c r="F885" i="11"/>
  <c r="F886" i="11"/>
  <c r="F887" i="11"/>
  <c r="F888" i="11"/>
  <c r="F889" i="11"/>
  <c r="F890" i="11"/>
  <c r="F891" i="11"/>
  <c r="F892" i="11"/>
  <c r="F893" i="11"/>
  <c r="F894" i="11"/>
  <c r="F895" i="11"/>
  <c r="F896" i="11"/>
  <c r="F897" i="11"/>
  <c r="F898" i="11"/>
  <c r="F899" i="11"/>
  <c r="F900" i="11"/>
  <c r="F901" i="11"/>
  <c r="F902" i="11"/>
  <c r="F903" i="11"/>
  <c r="F904" i="11"/>
  <c r="F905" i="11"/>
  <c r="F906" i="11"/>
  <c r="F907" i="11"/>
  <c r="F908" i="11"/>
  <c r="F909" i="11"/>
  <c r="F910" i="11"/>
  <c r="F911" i="11"/>
  <c r="F912" i="11"/>
  <c r="F913" i="11"/>
  <c r="F914" i="11"/>
  <c r="F915" i="11"/>
  <c r="F916" i="11"/>
  <c r="F917" i="11"/>
  <c r="F918" i="11"/>
  <c r="F919" i="11"/>
  <c r="F920" i="11"/>
  <c r="F921" i="11"/>
  <c r="F922" i="11"/>
  <c r="F923" i="11"/>
  <c r="F924" i="11"/>
  <c r="F925" i="11"/>
  <c r="F926" i="11"/>
  <c r="F927" i="11"/>
  <c r="F928" i="11"/>
  <c r="F929" i="11"/>
  <c r="F930" i="11"/>
  <c r="F931" i="11"/>
  <c r="F932" i="11"/>
  <c r="F933" i="11"/>
  <c r="F934" i="11"/>
  <c r="F935" i="11"/>
  <c r="F936" i="11"/>
  <c r="F937" i="11"/>
  <c r="F938" i="11"/>
  <c r="F939" i="11"/>
  <c r="F940" i="11"/>
  <c r="F941" i="11"/>
  <c r="F942" i="11"/>
  <c r="F943" i="11"/>
  <c r="F944" i="11"/>
  <c r="F945" i="11"/>
  <c r="F946" i="11"/>
  <c r="F947" i="11"/>
  <c r="F948" i="11"/>
  <c r="F949" i="11"/>
  <c r="F950" i="11"/>
  <c r="F951" i="11"/>
  <c r="F952" i="11"/>
  <c r="F953" i="11"/>
  <c r="F954" i="11"/>
  <c r="F955" i="11"/>
  <c r="F956" i="11"/>
  <c r="F957" i="11"/>
  <c r="F958" i="11"/>
  <c r="F959" i="11"/>
  <c r="F960" i="11"/>
  <c r="F961" i="11"/>
  <c r="F962" i="11"/>
  <c r="F963" i="11"/>
  <c r="F964" i="11"/>
  <c r="F965" i="11"/>
  <c r="F966" i="11"/>
  <c r="F967" i="11"/>
  <c r="F968" i="11"/>
  <c r="F969" i="11"/>
  <c r="F970" i="11"/>
  <c r="F971" i="11"/>
  <c r="F972" i="11"/>
  <c r="F973" i="11"/>
  <c r="F974" i="11"/>
  <c r="F975" i="11"/>
  <c r="F976" i="11"/>
  <c r="F977" i="11"/>
  <c r="F978" i="11"/>
  <c r="F979" i="11"/>
  <c r="F980" i="11"/>
  <c r="F981" i="11"/>
  <c r="F982" i="11"/>
  <c r="F983" i="11"/>
  <c r="F984" i="11"/>
  <c r="F985" i="11"/>
  <c r="F986" i="11"/>
  <c r="F987" i="11"/>
  <c r="F988" i="11"/>
  <c r="F989" i="11"/>
  <c r="F990" i="11"/>
  <c r="F991" i="11"/>
  <c r="F992" i="11"/>
  <c r="F993" i="11"/>
  <c r="F994" i="11"/>
  <c r="F995" i="11"/>
  <c r="F996" i="11"/>
  <c r="F997" i="11"/>
  <c r="F998" i="11"/>
  <c r="F999" i="11"/>
  <c r="F1000" i="11"/>
  <c r="F1001" i="11"/>
  <c r="F1002" i="11"/>
  <c r="F1003" i="11"/>
  <c r="F1004" i="11"/>
  <c r="F1005" i="11"/>
  <c r="F1006" i="11"/>
  <c r="F1007" i="11"/>
  <c r="F1008" i="11"/>
  <c r="F1009" i="11"/>
  <c r="F1010" i="11"/>
  <c r="F1011" i="11"/>
  <c r="F1012" i="11"/>
  <c r="F1013" i="11"/>
  <c r="F1014" i="11"/>
  <c r="F1015" i="11"/>
  <c r="F1016" i="11"/>
  <c r="F1017" i="11"/>
  <c r="F1018" i="11"/>
  <c r="F1019" i="11"/>
  <c r="F1020" i="11"/>
  <c r="F1021" i="11"/>
  <c r="F1022" i="11"/>
  <c r="F1023" i="11"/>
  <c r="F1024" i="11"/>
  <c r="F1025" i="11"/>
  <c r="F1026" i="11"/>
  <c r="F1027" i="11"/>
  <c r="F1028" i="11"/>
  <c r="F1029" i="11"/>
  <c r="F1030" i="11"/>
  <c r="F1031" i="11"/>
  <c r="F1032" i="11"/>
  <c r="F1033" i="11"/>
  <c r="F1034" i="11"/>
  <c r="F1035" i="11"/>
  <c r="F1036" i="11"/>
  <c r="F1037" i="11"/>
  <c r="F1038" i="11"/>
  <c r="F1039" i="11"/>
  <c r="F1040" i="11"/>
  <c r="F1041" i="11"/>
  <c r="F1042" i="11"/>
  <c r="F1043" i="11"/>
  <c r="F1044" i="11"/>
  <c r="F1045" i="11"/>
  <c r="F1046" i="11"/>
  <c r="F1047" i="11"/>
  <c r="F1048" i="11"/>
  <c r="F1049" i="11"/>
  <c r="F1050" i="11"/>
  <c r="F1051" i="11"/>
  <c r="F1052" i="11"/>
  <c r="F1053" i="11"/>
  <c r="F1054" i="11"/>
  <c r="F1055" i="11"/>
  <c r="F1056" i="11"/>
  <c r="F1057" i="11"/>
  <c r="F1058" i="11"/>
  <c r="F1059" i="11"/>
  <c r="F1060" i="11"/>
  <c r="F1061" i="11"/>
  <c r="F1062" i="11"/>
  <c r="F1063" i="11"/>
  <c r="F1064" i="11"/>
  <c r="F1065" i="11"/>
  <c r="F1066" i="11"/>
  <c r="F1067" i="11"/>
  <c r="F1068" i="11"/>
  <c r="F1069" i="11"/>
  <c r="F1070" i="11"/>
  <c r="F1071" i="11"/>
  <c r="F1072" i="11"/>
  <c r="F1073" i="11"/>
  <c r="F1074" i="11"/>
  <c r="F1075" i="11"/>
  <c r="F1076" i="11"/>
  <c r="F1077" i="11"/>
  <c r="F1078" i="11"/>
  <c r="F1079" i="11"/>
  <c r="F1080" i="11"/>
  <c r="F1081" i="11"/>
  <c r="F1082" i="11"/>
  <c r="F1083" i="11"/>
  <c r="F1084" i="11"/>
  <c r="F1085" i="11"/>
  <c r="F1086" i="11"/>
  <c r="F1087" i="11"/>
  <c r="F1088" i="11"/>
  <c r="F1089" i="11"/>
  <c r="F1090" i="11"/>
  <c r="F1091" i="11"/>
  <c r="F1092" i="11"/>
  <c r="F1093" i="11"/>
  <c r="F1094" i="11"/>
  <c r="F1095" i="11"/>
  <c r="F1096" i="11"/>
  <c r="F1097" i="11"/>
  <c r="F1098" i="11"/>
  <c r="F1099" i="11"/>
  <c r="F1100" i="11"/>
  <c r="F1101" i="11"/>
  <c r="F1102" i="11"/>
  <c r="F1103" i="11"/>
  <c r="F1104" i="11"/>
  <c r="F1105" i="11"/>
  <c r="F1106" i="11"/>
  <c r="F1107" i="11"/>
  <c r="F1108" i="11"/>
  <c r="F1109" i="11"/>
  <c r="F1110" i="11"/>
  <c r="F1111" i="11"/>
  <c r="F1112" i="11"/>
  <c r="F1113" i="11"/>
  <c r="F1114" i="11"/>
  <c r="F1115" i="11"/>
  <c r="F1116" i="11"/>
  <c r="F1117" i="11"/>
  <c r="F1118" i="11"/>
  <c r="F1119" i="11"/>
  <c r="F1120" i="11"/>
  <c r="F1121" i="11"/>
  <c r="F1122" i="11"/>
  <c r="F1123" i="11"/>
  <c r="F1124" i="11"/>
  <c r="F1125" i="11"/>
  <c r="F1126" i="11"/>
  <c r="F1127" i="11"/>
  <c r="F1128" i="11"/>
  <c r="F1129" i="11"/>
  <c r="F1130" i="11"/>
  <c r="F1131" i="11"/>
  <c r="F1132" i="11"/>
  <c r="F1133" i="11"/>
  <c r="F1134" i="11"/>
  <c r="F1135" i="11"/>
  <c r="F1136" i="11"/>
  <c r="F1137" i="11"/>
  <c r="F1138" i="11"/>
  <c r="F1139" i="11"/>
  <c r="F1140" i="11"/>
  <c r="F1141" i="11"/>
  <c r="F1142" i="11"/>
  <c r="F1143" i="11"/>
  <c r="F1144" i="11"/>
  <c r="F1145" i="11"/>
  <c r="F1146" i="11"/>
  <c r="F1147" i="11"/>
  <c r="F1148" i="11"/>
  <c r="F1149" i="11"/>
  <c r="F1150" i="11"/>
  <c r="F1151" i="11"/>
  <c r="F1152" i="11"/>
  <c r="F1153" i="11"/>
  <c r="F1154" i="11"/>
  <c r="F1155" i="11"/>
  <c r="F1156" i="11"/>
  <c r="F1157" i="11"/>
  <c r="F1158" i="11"/>
  <c r="F1159" i="11"/>
  <c r="F1160" i="11"/>
  <c r="F1161" i="11"/>
  <c r="F1162" i="11"/>
  <c r="F1163" i="11"/>
  <c r="F1164" i="11"/>
  <c r="F1165" i="11"/>
  <c r="F1166" i="11"/>
  <c r="F1167" i="11"/>
  <c r="F1168" i="11"/>
  <c r="F1169" i="11"/>
  <c r="F1170" i="11"/>
  <c r="F1171" i="11"/>
  <c r="F1172" i="11"/>
  <c r="F1173" i="11"/>
  <c r="F1174" i="11"/>
  <c r="F1175" i="11"/>
  <c r="F1176" i="11"/>
  <c r="F1177" i="11"/>
  <c r="F1178" i="11"/>
  <c r="F1179" i="11"/>
  <c r="F1180" i="11"/>
  <c r="F1181" i="11"/>
  <c r="F1182" i="11"/>
  <c r="F1183" i="11"/>
  <c r="F1184" i="11"/>
  <c r="F1185" i="11"/>
  <c r="F1186" i="11"/>
  <c r="F1187" i="11"/>
  <c r="F1188" i="11"/>
  <c r="F1189" i="11"/>
  <c r="F1190" i="11"/>
  <c r="F1191" i="11"/>
  <c r="F1192" i="11"/>
  <c r="F1193" i="11"/>
  <c r="F1194" i="11"/>
  <c r="F1195" i="11"/>
  <c r="F1196" i="11"/>
  <c r="F1197" i="11"/>
  <c r="F1198" i="11"/>
  <c r="F1199" i="11"/>
  <c r="F1200" i="11"/>
  <c r="F1201" i="11"/>
  <c r="F1202" i="11"/>
  <c r="F1203" i="11"/>
  <c r="F1204" i="11"/>
  <c r="F1205" i="11"/>
  <c r="F1206" i="11"/>
  <c r="F1207" i="11"/>
  <c r="F1208" i="11"/>
  <c r="F1209" i="11"/>
  <c r="F1210" i="11"/>
  <c r="F1211" i="11"/>
  <c r="F1212" i="11"/>
  <c r="F1213" i="11"/>
  <c r="F1214" i="11"/>
  <c r="F1215" i="11"/>
  <c r="F1216" i="11"/>
  <c r="F1217" i="11"/>
  <c r="F1218" i="11"/>
  <c r="F1219" i="11"/>
  <c r="F1220" i="11"/>
  <c r="F1221" i="11"/>
  <c r="F1222" i="11"/>
  <c r="F1223" i="11"/>
  <c r="F1224" i="11"/>
  <c r="F1225" i="11"/>
  <c r="F1226" i="11"/>
  <c r="F1227" i="11"/>
  <c r="F1228" i="11"/>
  <c r="F1229" i="11"/>
  <c r="F1230" i="11"/>
  <c r="F1231" i="11"/>
  <c r="F1232" i="11"/>
  <c r="F1233" i="11"/>
  <c r="F1234" i="11"/>
  <c r="F1235" i="11"/>
  <c r="F1236" i="11"/>
  <c r="F1237" i="11"/>
  <c r="F1238" i="11"/>
  <c r="F1239" i="11"/>
  <c r="F1240" i="11"/>
  <c r="F1241" i="11"/>
  <c r="F1242" i="11"/>
  <c r="F1243" i="11"/>
  <c r="F1244" i="11"/>
  <c r="F1245" i="11"/>
  <c r="F1246" i="11"/>
  <c r="F1247" i="11"/>
  <c r="F1248" i="11"/>
  <c r="F1249" i="11"/>
  <c r="F1250" i="11"/>
  <c r="F1251" i="11"/>
  <c r="F1252" i="11"/>
  <c r="F1253" i="11"/>
  <c r="F1254" i="11"/>
  <c r="F1255" i="11"/>
  <c r="F1256" i="11"/>
  <c r="F1257" i="11"/>
  <c r="F1258" i="11"/>
  <c r="F1259" i="11"/>
  <c r="F1260" i="11"/>
  <c r="F1261" i="11"/>
  <c r="F1262" i="11"/>
  <c r="F1263" i="11"/>
  <c r="F1264" i="11"/>
  <c r="F1265" i="11"/>
  <c r="F1266" i="11"/>
  <c r="F1267" i="11"/>
  <c r="F1268" i="11"/>
  <c r="F1269" i="11"/>
  <c r="F1270" i="11"/>
  <c r="F1271" i="11"/>
  <c r="F1272" i="11"/>
  <c r="F1273" i="11"/>
  <c r="F1274" i="11"/>
  <c r="F1275" i="11"/>
  <c r="F1276" i="11"/>
  <c r="F1277" i="11"/>
  <c r="F1278" i="11"/>
  <c r="F1279" i="11"/>
  <c r="F1280" i="11"/>
  <c r="F1281" i="11"/>
  <c r="F1282" i="11"/>
  <c r="F1283" i="11"/>
  <c r="F1284" i="11"/>
  <c r="F1285" i="11"/>
  <c r="F1286" i="11"/>
  <c r="F1287" i="11"/>
  <c r="F1288" i="11"/>
  <c r="F1289" i="11"/>
  <c r="F1290" i="11"/>
  <c r="F1291" i="11"/>
  <c r="F1292" i="11"/>
  <c r="F1293" i="11"/>
  <c r="F1294" i="11"/>
  <c r="F1295" i="11"/>
  <c r="F1296" i="11"/>
  <c r="F1297" i="11"/>
  <c r="F1298" i="11"/>
  <c r="F1299" i="11"/>
  <c r="F1300" i="11"/>
  <c r="F1301" i="11"/>
  <c r="F1302" i="11"/>
  <c r="F1303" i="11"/>
  <c r="F1304" i="11"/>
  <c r="F1305" i="11"/>
  <c r="F1306" i="11"/>
  <c r="F1307" i="11"/>
  <c r="F1308" i="11"/>
  <c r="F1309" i="11"/>
  <c r="F1310" i="11"/>
  <c r="F1311" i="11"/>
  <c r="F1312" i="11"/>
  <c r="F1313" i="11"/>
  <c r="F1314" i="11"/>
  <c r="F1315" i="11"/>
  <c r="F1316" i="11"/>
  <c r="F1317" i="11"/>
  <c r="F1318" i="11"/>
  <c r="F1319" i="11"/>
  <c r="F1320" i="11"/>
  <c r="F1321" i="11"/>
  <c r="F1322" i="11"/>
  <c r="F1323" i="11"/>
  <c r="F1324" i="11"/>
  <c r="F1325" i="11"/>
  <c r="F1326" i="11"/>
  <c r="F1327" i="11"/>
  <c r="F1328" i="11"/>
  <c r="F1329" i="11"/>
  <c r="F1330" i="11"/>
  <c r="F1331" i="11"/>
  <c r="F1332" i="11"/>
  <c r="F1333" i="11"/>
  <c r="F1334" i="11"/>
  <c r="F1335" i="11"/>
  <c r="F1336" i="11"/>
  <c r="F1337" i="11"/>
  <c r="F1338" i="11"/>
  <c r="F1339" i="11"/>
  <c r="F1340" i="11"/>
  <c r="F1341" i="11"/>
  <c r="F1342" i="11"/>
  <c r="F1343" i="11"/>
  <c r="F1344" i="11"/>
  <c r="F1345" i="11"/>
  <c r="F1346" i="11"/>
  <c r="F1347" i="11"/>
  <c r="F1348" i="11"/>
  <c r="F1349" i="11"/>
  <c r="F1350" i="11"/>
  <c r="F1351" i="11"/>
  <c r="F1352" i="11"/>
  <c r="F1353" i="11"/>
  <c r="F1354" i="11"/>
  <c r="F1355" i="11"/>
  <c r="F1356" i="11"/>
  <c r="F1357" i="11"/>
  <c r="F1358" i="11"/>
  <c r="F1359" i="11"/>
  <c r="F1360" i="11"/>
  <c r="F1361" i="11"/>
  <c r="F1362" i="11"/>
  <c r="F1363" i="11"/>
  <c r="F1364" i="11"/>
  <c r="F1365" i="11"/>
  <c r="F1366" i="11"/>
  <c r="F1367" i="11"/>
  <c r="F1368" i="11"/>
  <c r="F1369" i="11"/>
  <c r="F1370" i="11"/>
  <c r="F1371" i="11"/>
  <c r="F1372" i="11"/>
  <c r="F1373" i="11"/>
  <c r="F1374" i="11"/>
  <c r="F1375" i="11"/>
  <c r="F1376" i="11"/>
  <c r="F1377" i="11"/>
  <c r="F1378" i="11"/>
  <c r="F1379" i="11"/>
  <c r="F1380" i="11"/>
  <c r="F1381" i="11"/>
  <c r="F1382" i="11"/>
  <c r="F1383" i="11"/>
  <c r="F1384" i="11"/>
  <c r="F1385" i="11"/>
  <c r="F1386" i="11"/>
  <c r="F1387" i="11"/>
  <c r="F1388" i="11"/>
  <c r="F1389" i="11"/>
  <c r="F1390" i="11"/>
  <c r="F1391" i="11"/>
  <c r="F1392" i="11"/>
  <c r="F1393" i="11"/>
  <c r="F1394" i="11"/>
  <c r="F1395" i="11"/>
  <c r="F1396" i="11"/>
  <c r="F1397" i="11"/>
  <c r="F1398" i="11"/>
  <c r="F1399" i="11"/>
  <c r="F1400" i="11"/>
  <c r="F1401" i="11"/>
  <c r="F1402" i="11"/>
  <c r="F1403" i="11"/>
  <c r="F1404" i="11"/>
  <c r="F1405" i="11"/>
  <c r="F1406" i="11"/>
  <c r="F1407" i="11"/>
  <c r="F1408" i="11"/>
  <c r="F1409" i="11"/>
  <c r="F1410" i="11"/>
  <c r="F1411" i="11"/>
  <c r="F1412" i="11"/>
  <c r="F1413" i="11"/>
  <c r="F1414" i="11"/>
  <c r="F1415" i="11"/>
  <c r="F1416" i="11"/>
  <c r="F1417" i="11"/>
  <c r="F1418" i="11"/>
  <c r="F1419" i="11"/>
  <c r="F1420" i="11"/>
  <c r="F1421" i="11"/>
  <c r="F1422" i="11"/>
  <c r="F1423" i="11"/>
  <c r="F1424" i="11"/>
  <c r="F1425" i="11"/>
  <c r="F1426" i="11"/>
  <c r="F1427" i="11"/>
  <c r="F1428" i="11"/>
  <c r="F1429" i="11"/>
  <c r="F1430" i="11"/>
  <c r="F1431" i="11"/>
  <c r="F1432" i="11"/>
  <c r="F1433" i="11"/>
  <c r="F1434" i="11"/>
  <c r="F1435" i="11"/>
  <c r="F1436" i="11"/>
  <c r="F1437" i="11"/>
  <c r="F1438" i="11"/>
  <c r="F1439" i="11"/>
  <c r="F1440" i="11"/>
  <c r="F1441" i="11"/>
  <c r="F1442" i="11"/>
  <c r="F1443" i="11"/>
  <c r="F1444" i="11"/>
  <c r="F1445" i="11"/>
  <c r="F1446" i="11"/>
  <c r="F1447" i="11"/>
  <c r="F1448" i="11"/>
  <c r="F1449" i="11"/>
  <c r="F1450" i="11"/>
  <c r="F1451" i="11"/>
  <c r="F1452" i="11"/>
  <c r="F1453" i="11"/>
  <c r="F1454" i="11"/>
  <c r="F1455" i="11"/>
  <c r="F1456" i="11"/>
  <c r="F1457" i="11"/>
  <c r="F1458" i="11"/>
  <c r="F1459" i="11"/>
  <c r="F1460" i="11"/>
  <c r="F1461" i="11"/>
  <c r="F1462" i="11"/>
  <c r="F1463" i="11"/>
  <c r="F1464" i="11"/>
  <c r="F1465" i="11"/>
  <c r="F1466" i="11"/>
  <c r="F1467" i="11"/>
  <c r="F1468" i="11"/>
  <c r="F1469" i="11"/>
  <c r="F1470" i="11"/>
  <c r="F1471" i="11"/>
  <c r="F1472" i="11"/>
  <c r="F1473" i="11"/>
  <c r="F1474" i="11"/>
  <c r="F1475" i="11"/>
  <c r="F1476" i="11"/>
  <c r="F1477" i="11"/>
  <c r="F1478" i="11"/>
  <c r="F1479" i="11"/>
  <c r="F1480" i="11"/>
  <c r="F1481" i="11"/>
  <c r="F1482" i="11"/>
  <c r="F1483" i="11"/>
  <c r="F1484" i="11"/>
  <c r="F1485" i="11"/>
  <c r="F1486" i="11"/>
  <c r="F1487" i="11"/>
  <c r="F1488" i="11"/>
  <c r="F1489" i="11"/>
  <c r="F1490" i="11"/>
  <c r="F1491" i="11"/>
  <c r="F1492" i="11"/>
  <c r="F1493" i="11"/>
  <c r="F1494" i="11"/>
  <c r="F1495" i="11"/>
  <c r="F1496" i="11"/>
  <c r="F1497" i="11"/>
  <c r="F1498" i="11"/>
  <c r="F1499" i="11"/>
  <c r="F1500" i="11"/>
  <c r="F1501" i="11"/>
  <c r="F1502" i="11"/>
  <c r="F1503" i="11"/>
  <c r="F1504" i="11"/>
  <c r="F1505" i="11"/>
  <c r="F1506" i="11"/>
  <c r="F1507" i="11"/>
  <c r="F1508" i="11"/>
  <c r="F1509" i="11"/>
  <c r="F1510" i="11"/>
  <c r="F1511" i="11"/>
  <c r="F1512" i="11"/>
  <c r="F1513" i="11"/>
  <c r="F1514" i="11"/>
  <c r="F1515" i="11"/>
  <c r="F1516" i="11"/>
  <c r="F1517" i="11"/>
  <c r="F1518" i="11"/>
  <c r="F1519" i="11"/>
  <c r="F1520" i="11"/>
  <c r="F1521" i="11"/>
  <c r="F1522" i="11"/>
  <c r="F1523" i="11"/>
  <c r="F1524" i="11"/>
  <c r="F1525" i="11"/>
  <c r="F1526" i="11"/>
  <c r="F1527" i="11"/>
  <c r="F1528" i="11"/>
  <c r="F1529" i="11"/>
  <c r="F1530" i="11"/>
  <c r="F1531" i="11"/>
  <c r="F1532" i="11"/>
  <c r="F1533" i="11"/>
  <c r="F1534" i="11"/>
  <c r="F1535" i="11"/>
  <c r="F1536" i="11"/>
  <c r="F1537" i="11"/>
  <c r="F1538" i="11"/>
  <c r="F1539" i="11"/>
  <c r="F1540" i="11"/>
  <c r="F1541" i="11"/>
  <c r="F1542" i="11"/>
  <c r="F1543" i="11"/>
  <c r="F1544" i="11"/>
  <c r="F1545" i="11"/>
  <c r="F1546" i="11"/>
  <c r="F1547" i="11"/>
  <c r="F1548" i="11"/>
  <c r="F1549" i="11"/>
  <c r="F1550" i="11"/>
  <c r="F1551" i="11"/>
  <c r="F1552" i="11"/>
  <c r="F1553" i="11"/>
  <c r="F1554" i="11"/>
  <c r="F1555" i="11"/>
  <c r="F1556" i="11"/>
  <c r="F1557" i="11"/>
  <c r="F1558" i="11"/>
  <c r="F1559" i="11"/>
  <c r="F1560" i="11"/>
  <c r="F1561" i="11"/>
  <c r="F1562" i="11"/>
  <c r="F1563" i="11"/>
  <c r="F1564" i="11"/>
  <c r="F1565" i="11"/>
  <c r="F1566" i="11"/>
  <c r="F1567" i="11"/>
  <c r="F1568" i="11"/>
  <c r="F1569" i="11"/>
  <c r="F1570" i="11"/>
  <c r="F1571" i="11"/>
  <c r="F1572" i="11"/>
  <c r="F1573" i="11"/>
  <c r="F1574" i="11"/>
  <c r="F1575" i="11"/>
  <c r="F1576" i="11"/>
  <c r="F1577" i="11"/>
  <c r="F1578" i="11"/>
  <c r="F1579" i="11"/>
  <c r="F1580" i="11"/>
  <c r="F1581" i="11"/>
  <c r="F1582" i="11"/>
  <c r="F1583" i="11"/>
  <c r="F1584" i="11"/>
  <c r="F1585" i="11"/>
  <c r="F1586" i="11"/>
  <c r="F1587" i="11"/>
  <c r="F1588" i="11"/>
  <c r="F1589" i="11"/>
  <c r="F1590" i="11"/>
  <c r="F1591" i="11"/>
  <c r="F1592" i="11"/>
  <c r="F1593" i="11"/>
  <c r="F1594" i="11"/>
  <c r="F1595" i="11"/>
  <c r="F1596" i="11"/>
  <c r="F1597" i="11"/>
  <c r="F1598" i="11"/>
  <c r="F1599" i="11"/>
  <c r="F1600" i="11"/>
  <c r="F1601" i="11"/>
  <c r="F1602" i="11"/>
  <c r="F1603" i="11"/>
  <c r="F1604" i="11"/>
  <c r="F1605" i="11"/>
  <c r="F1606" i="11"/>
  <c r="F1607" i="11"/>
  <c r="F1608" i="11"/>
  <c r="F1609" i="11"/>
  <c r="F1610" i="11"/>
  <c r="F1611" i="11"/>
  <c r="F1612" i="11"/>
  <c r="F1613" i="11"/>
  <c r="F1614" i="11"/>
  <c r="F1615" i="11"/>
  <c r="F1616" i="11"/>
  <c r="F1617" i="11"/>
  <c r="F1618" i="11"/>
  <c r="F1619" i="11"/>
  <c r="F1620" i="11"/>
  <c r="F1621" i="11"/>
  <c r="F1622" i="11"/>
  <c r="F1623" i="11"/>
  <c r="F1624" i="11"/>
  <c r="F1625" i="11"/>
  <c r="F1626" i="11"/>
  <c r="F1627" i="11"/>
  <c r="F1628" i="11"/>
  <c r="F1629" i="11"/>
  <c r="F1630" i="11"/>
  <c r="F1631" i="11"/>
  <c r="F1632" i="11"/>
  <c r="F1633" i="11"/>
  <c r="F1634" i="11"/>
  <c r="F1635" i="11"/>
  <c r="F1636" i="11"/>
  <c r="F1637" i="11"/>
  <c r="F1638" i="11"/>
  <c r="F1639" i="11"/>
  <c r="F1640" i="11"/>
  <c r="F1641" i="11"/>
  <c r="F1642" i="11"/>
  <c r="F1643" i="11"/>
  <c r="F1644" i="11"/>
  <c r="F1645" i="11"/>
  <c r="F1646" i="11"/>
  <c r="F1647" i="11"/>
  <c r="F1648" i="11"/>
  <c r="F1649" i="11"/>
  <c r="F1650" i="11"/>
  <c r="F1651" i="11"/>
  <c r="F1652" i="11"/>
  <c r="F1653" i="11"/>
  <c r="F1654" i="11"/>
  <c r="F1655" i="11"/>
  <c r="F1656" i="11"/>
  <c r="F1657" i="11"/>
  <c r="F1658" i="11"/>
  <c r="F1659" i="11"/>
  <c r="F1660" i="11"/>
  <c r="F1661" i="11"/>
  <c r="F1662" i="11"/>
  <c r="F1663" i="11"/>
  <c r="F1664" i="11"/>
  <c r="F1665" i="11"/>
  <c r="F1666" i="11"/>
  <c r="F1667" i="11"/>
  <c r="F1668" i="11"/>
  <c r="F1669" i="11"/>
  <c r="F1670" i="11"/>
  <c r="F1671" i="11"/>
  <c r="F1672" i="11"/>
  <c r="F1673" i="11"/>
  <c r="F1674" i="11"/>
  <c r="F1675" i="11"/>
  <c r="F1676" i="11"/>
  <c r="F1677" i="11"/>
  <c r="F1678" i="11"/>
  <c r="F1679" i="11"/>
  <c r="F1680" i="11"/>
  <c r="F1681" i="11"/>
  <c r="F1682" i="11"/>
  <c r="F1683" i="11"/>
  <c r="F1684" i="11"/>
  <c r="F1685" i="11"/>
  <c r="F1686" i="11"/>
  <c r="F1687" i="11"/>
  <c r="F1688" i="11"/>
  <c r="F1689" i="11"/>
  <c r="F1690" i="11"/>
  <c r="F1691" i="11"/>
  <c r="F1692" i="11"/>
  <c r="F1693" i="11"/>
  <c r="F1694" i="11"/>
  <c r="F1695" i="11"/>
  <c r="F1696" i="11"/>
  <c r="F1697" i="11"/>
  <c r="F1698" i="11"/>
  <c r="F1699" i="11"/>
  <c r="F1700" i="11"/>
  <c r="F1701" i="11"/>
  <c r="F1702" i="11"/>
  <c r="F1703" i="11"/>
  <c r="F1704" i="11"/>
  <c r="F1705" i="11"/>
  <c r="F1706" i="11"/>
  <c r="F1707" i="11"/>
  <c r="F1708" i="11"/>
  <c r="F1709" i="11"/>
  <c r="F1710" i="11"/>
  <c r="F1711" i="11"/>
  <c r="F1712" i="11"/>
  <c r="F1713" i="11"/>
  <c r="F1714" i="11"/>
  <c r="F1715" i="11"/>
  <c r="F1716" i="11"/>
  <c r="F1717" i="11"/>
  <c r="F1718" i="11"/>
  <c r="F1719" i="11"/>
  <c r="F1720" i="11"/>
  <c r="F1721" i="11"/>
  <c r="F1722" i="11"/>
  <c r="F1723" i="11"/>
  <c r="F1724" i="11"/>
  <c r="F1725" i="11"/>
  <c r="F1726" i="11"/>
  <c r="F1727" i="11"/>
  <c r="F1728" i="11"/>
  <c r="F1729" i="11"/>
  <c r="F1730" i="11"/>
  <c r="F1731" i="11"/>
  <c r="F1732" i="11"/>
  <c r="F1733" i="11"/>
  <c r="F1734" i="11"/>
  <c r="F1735" i="11"/>
  <c r="F1736" i="11"/>
  <c r="F1737" i="11"/>
  <c r="F1738" i="11"/>
  <c r="F1739" i="11"/>
  <c r="F1740" i="11"/>
  <c r="F1741" i="11"/>
  <c r="F1742" i="11"/>
  <c r="F1743" i="11"/>
  <c r="F1744" i="11"/>
  <c r="F1745" i="11"/>
  <c r="F1746" i="11"/>
  <c r="F1747" i="11"/>
  <c r="F1748" i="11"/>
  <c r="F1749" i="11"/>
  <c r="F1750" i="11"/>
  <c r="F1751" i="11"/>
  <c r="F1752" i="11"/>
  <c r="F1753" i="11"/>
  <c r="F1754" i="11"/>
  <c r="F1755" i="11"/>
  <c r="F1756" i="11"/>
  <c r="F1757" i="11"/>
  <c r="F1758" i="11"/>
  <c r="F1759" i="11"/>
  <c r="F1760" i="11"/>
  <c r="F1761" i="11"/>
  <c r="F1762" i="11"/>
  <c r="F1763" i="11"/>
  <c r="F1764" i="11"/>
  <c r="F1765" i="11"/>
  <c r="F1766" i="11"/>
  <c r="F1767" i="11"/>
  <c r="F1768" i="11"/>
  <c r="F1769" i="11"/>
  <c r="F1770" i="11"/>
  <c r="F1771" i="11"/>
  <c r="F1772" i="11"/>
  <c r="F1773" i="11"/>
  <c r="F1774" i="11"/>
  <c r="F1775" i="11"/>
  <c r="F1776" i="11"/>
  <c r="F1777" i="11"/>
  <c r="F1778" i="11"/>
  <c r="F1779" i="11"/>
  <c r="F1780" i="11"/>
  <c r="F1781" i="11"/>
  <c r="F1782" i="11"/>
  <c r="F1783" i="11"/>
  <c r="F1784" i="11"/>
  <c r="F1785" i="11"/>
  <c r="F1786" i="11"/>
  <c r="F1787" i="11"/>
  <c r="F1788" i="11"/>
  <c r="F1789" i="11"/>
  <c r="F1790" i="11"/>
  <c r="F1791" i="11"/>
  <c r="F1792" i="11"/>
  <c r="F1793" i="11"/>
  <c r="F1794" i="11"/>
  <c r="F1795" i="11"/>
  <c r="F1796" i="11"/>
  <c r="F1797" i="11"/>
  <c r="F1798" i="11"/>
  <c r="F1799" i="11"/>
  <c r="F1800" i="11"/>
  <c r="F1801" i="11"/>
  <c r="F1802" i="11"/>
  <c r="F1803" i="11"/>
  <c r="F1804" i="11"/>
  <c r="F1805" i="11"/>
  <c r="F1806" i="11"/>
  <c r="F1807" i="11"/>
  <c r="F1808" i="11"/>
  <c r="F1809" i="11"/>
  <c r="F1810" i="11"/>
  <c r="F1811" i="11"/>
  <c r="F1812" i="11"/>
  <c r="F1813" i="11"/>
  <c r="F1814" i="11"/>
  <c r="F1815" i="11"/>
  <c r="F1816" i="11"/>
  <c r="F1817" i="11"/>
  <c r="F1818" i="11"/>
  <c r="F1819" i="11"/>
  <c r="F1820" i="11"/>
  <c r="F1821" i="11"/>
  <c r="F1822" i="11"/>
  <c r="F1823" i="11"/>
  <c r="F1824" i="11"/>
  <c r="F1825" i="11"/>
  <c r="F1826" i="11"/>
  <c r="F1827" i="11"/>
  <c r="F1828" i="11"/>
  <c r="F1829" i="11"/>
  <c r="F1830" i="11"/>
  <c r="F1831" i="11"/>
  <c r="F1832" i="11"/>
  <c r="F1833" i="11"/>
  <c r="F1834" i="11"/>
  <c r="F1835" i="11"/>
  <c r="F1836" i="11"/>
  <c r="F1837" i="11"/>
  <c r="F1838" i="11"/>
  <c r="F1839" i="11"/>
  <c r="F1840" i="11"/>
  <c r="F1841" i="11"/>
  <c r="F1842" i="11"/>
  <c r="F1843" i="11"/>
  <c r="F1844" i="11"/>
  <c r="F1845" i="11"/>
  <c r="F1846" i="11"/>
  <c r="F1847" i="11"/>
  <c r="F1848" i="11"/>
  <c r="F1849" i="11"/>
  <c r="F1850" i="11"/>
  <c r="F1851" i="11"/>
  <c r="F1852" i="11"/>
  <c r="F1853" i="11"/>
  <c r="F1854" i="11"/>
  <c r="F1855" i="11"/>
  <c r="F1856" i="11"/>
  <c r="F1857" i="11"/>
  <c r="F1858" i="11"/>
  <c r="F1859" i="11"/>
  <c r="F1860" i="11"/>
  <c r="F1861" i="11"/>
  <c r="F1862" i="11"/>
  <c r="F1863" i="11"/>
  <c r="F1864" i="11"/>
  <c r="F1865" i="11"/>
  <c r="F1866" i="11"/>
  <c r="F1867" i="11"/>
  <c r="F1868" i="11"/>
  <c r="F1869" i="11"/>
  <c r="F1870" i="11"/>
  <c r="F1871" i="11"/>
  <c r="F1872" i="11"/>
  <c r="F1873" i="11"/>
  <c r="F1874" i="11"/>
  <c r="F1875" i="11"/>
  <c r="F1876" i="11"/>
  <c r="F1877" i="11"/>
  <c r="F1878" i="11"/>
  <c r="F1879" i="11"/>
  <c r="F1880" i="11"/>
  <c r="F1881" i="11"/>
  <c r="F1882" i="11"/>
  <c r="F1883" i="11"/>
  <c r="F1884" i="11"/>
  <c r="F1885" i="11"/>
  <c r="F1886" i="11"/>
  <c r="F1887" i="11"/>
  <c r="F1888" i="11"/>
  <c r="F1889" i="11"/>
  <c r="F1890" i="11"/>
  <c r="F1891" i="11"/>
  <c r="F1892" i="11"/>
  <c r="F1893" i="11"/>
  <c r="F1894" i="11"/>
  <c r="F1895" i="11"/>
  <c r="F1896" i="11"/>
  <c r="F1897" i="11"/>
  <c r="F1898" i="11"/>
  <c r="F1899" i="11"/>
  <c r="F1900" i="11"/>
  <c r="F1901" i="11"/>
  <c r="F1902" i="11"/>
  <c r="F1903" i="11"/>
  <c r="F1904" i="11"/>
  <c r="F1905" i="11"/>
  <c r="F1906" i="11"/>
  <c r="F1907" i="11"/>
  <c r="F1908" i="11"/>
  <c r="F1909" i="11"/>
  <c r="F1910" i="11"/>
  <c r="F1911" i="11"/>
  <c r="F1912" i="11"/>
  <c r="F1913" i="11"/>
  <c r="F1914" i="11"/>
  <c r="F1915" i="11"/>
  <c r="F1916" i="11"/>
  <c r="F1917" i="11"/>
  <c r="F1918" i="11"/>
  <c r="F1919" i="11"/>
  <c r="F1920" i="11"/>
  <c r="F1921" i="11"/>
  <c r="F1922" i="11"/>
  <c r="F1923" i="11"/>
  <c r="F1924" i="11"/>
  <c r="F1925" i="11"/>
  <c r="F1926" i="11"/>
  <c r="F1927" i="11"/>
  <c r="F1928" i="11"/>
  <c r="F1929" i="11"/>
  <c r="F1930" i="11"/>
  <c r="F1931" i="11"/>
  <c r="F1932" i="11"/>
  <c r="F1933" i="11"/>
  <c r="F1934" i="11"/>
  <c r="F1935" i="11"/>
  <c r="F1936" i="11"/>
  <c r="F1937" i="11"/>
  <c r="F1938" i="11"/>
  <c r="F1939" i="11"/>
  <c r="F1940" i="11"/>
  <c r="F1941" i="11"/>
  <c r="F1942" i="11"/>
  <c r="F1943" i="11"/>
  <c r="F1944" i="11"/>
  <c r="F1945" i="11"/>
  <c r="F1946" i="11"/>
  <c r="F1947" i="11"/>
  <c r="F1948" i="11"/>
  <c r="F1949" i="11"/>
  <c r="F1950" i="11"/>
  <c r="F1951" i="11"/>
  <c r="F1952" i="11"/>
  <c r="F1953" i="11"/>
  <c r="F1954" i="11"/>
  <c r="F1955" i="11"/>
  <c r="F1956" i="11"/>
  <c r="F1957" i="11"/>
  <c r="F1958" i="11"/>
  <c r="F1959" i="11"/>
  <c r="F1960" i="11"/>
  <c r="F1961" i="11"/>
  <c r="F1962" i="11"/>
  <c r="F1963" i="11"/>
  <c r="F1964" i="11"/>
  <c r="F1965" i="11"/>
  <c r="F1966" i="11"/>
  <c r="F1967" i="11"/>
  <c r="F1968" i="11"/>
  <c r="F1969" i="11"/>
  <c r="F1970" i="11"/>
  <c r="F1971" i="11"/>
  <c r="F1972" i="11"/>
  <c r="F1973" i="11"/>
  <c r="F1974" i="11"/>
  <c r="F1975" i="11"/>
  <c r="F1976" i="11"/>
  <c r="F1977" i="11"/>
  <c r="F1978" i="11"/>
  <c r="F1979" i="11"/>
  <c r="F1980" i="11"/>
  <c r="F1981" i="11"/>
  <c r="F1982" i="11"/>
  <c r="F1983" i="11"/>
  <c r="F1984" i="11"/>
  <c r="F1985" i="11"/>
  <c r="F1986" i="11"/>
  <c r="F1987" i="11"/>
  <c r="F1988" i="11"/>
  <c r="F1989" i="11"/>
  <c r="F1990" i="11"/>
  <c r="F1991" i="11"/>
  <c r="F1992" i="11"/>
  <c r="F1993" i="11"/>
  <c r="F1994" i="11"/>
  <c r="F1995" i="11"/>
  <c r="F1996" i="11"/>
  <c r="F1997" i="11"/>
  <c r="F1998" i="11"/>
  <c r="F1999" i="11"/>
  <c r="F2000" i="11"/>
  <c r="F2001" i="11"/>
  <c r="F2002" i="11"/>
  <c r="F2003" i="11"/>
  <c r="F2004" i="11"/>
  <c r="F2005" i="11"/>
  <c r="F2006" i="11"/>
  <c r="F2007" i="11"/>
  <c r="F2008" i="11"/>
  <c r="F2009" i="11"/>
  <c r="F2010" i="11"/>
  <c r="F2011" i="11"/>
  <c r="F2012" i="11"/>
  <c r="F2013" i="11"/>
  <c r="F2014" i="11"/>
  <c r="F2015" i="11"/>
  <c r="F2016" i="11"/>
  <c r="F2017" i="11"/>
  <c r="F2018" i="11"/>
  <c r="F2019" i="11"/>
  <c r="F2020" i="11"/>
  <c r="F2021" i="11"/>
  <c r="F2022" i="11"/>
  <c r="F2023" i="11"/>
  <c r="F2024" i="11"/>
  <c r="F2025" i="11"/>
  <c r="F2026" i="11"/>
  <c r="F2027" i="11"/>
  <c r="F2028" i="11"/>
  <c r="F2029" i="11"/>
  <c r="F2030" i="11"/>
  <c r="F2031" i="11"/>
  <c r="F2032" i="11"/>
  <c r="F2033" i="11"/>
  <c r="F2034" i="11"/>
  <c r="F2035" i="11"/>
  <c r="F2036" i="11"/>
  <c r="F2037" i="11"/>
  <c r="F2038" i="11"/>
  <c r="F2039" i="11"/>
  <c r="F2040" i="11"/>
  <c r="F2041" i="11"/>
  <c r="F2042" i="11"/>
  <c r="F2043" i="11"/>
  <c r="F2044" i="11"/>
  <c r="F2045" i="11"/>
  <c r="F2046" i="11"/>
  <c r="F2047" i="11"/>
  <c r="F2048" i="11"/>
  <c r="F2049" i="11"/>
  <c r="F2050" i="11"/>
  <c r="F2051" i="11"/>
  <c r="F2052" i="11"/>
  <c r="F2053" i="11"/>
  <c r="F2054" i="11"/>
  <c r="F2055" i="11"/>
  <c r="F2056" i="11"/>
  <c r="F2057" i="11"/>
  <c r="F2058" i="11"/>
  <c r="F2059" i="11"/>
  <c r="F2060" i="11"/>
  <c r="F2061" i="11"/>
  <c r="F2062" i="11"/>
  <c r="F2063" i="11"/>
  <c r="F2064" i="11"/>
  <c r="F2065" i="11"/>
  <c r="F2066" i="11"/>
  <c r="F2067" i="11"/>
  <c r="F2068" i="11"/>
  <c r="F2069" i="11"/>
  <c r="F2070" i="11"/>
  <c r="F2071" i="11"/>
  <c r="F2072" i="11"/>
  <c r="F2073" i="11"/>
  <c r="F2074" i="11"/>
  <c r="F2075" i="11"/>
  <c r="F2076" i="11"/>
  <c r="F2077" i="11"/>
  <c r="F2078" i="11"/>
  <c r="F2079" i="11"/>
  <c r="F2080" i="11"/>
  <c r="F2081" i="11"/>
  <c r="F2082" i="11"/>
  <c r="F2083" i="11"/>
  <c r="F2084" i="11"/>
  <c r="F2085" i="11"/>
  <c r="F2086" i="11"/>
  <c r="F2087" i="11"/>
  <c r="F2088" i="11"/>
  <c r="F2089" i="11"/>
  <c r="F2090" i="11"/>
  <c r="F2091" i="11"/>
  <c r="F2092" i="11"/>
  <c r="F2093" i="11"/>
  <c r="F2094" i="11"/>
  <c r="F2095" i="11"/>
  <c r="F2096" i="11"/>
  <c r="F2097" i="11"/>
  <c r="F2098" i="11"/>
  <c r="F2099" i="11"/>
  <c r="F2100" i="11"/>
  <c r="F2101" i="11"/>
  <c r="F2102" i="11"/>
  <c r="F2103" i="11"/>
  <c r="F2104" i="11"/>
  <c r="F2105" i="11"/>
  <c r="F2106" i="11"/>
  <c r="F2107" i="11"/>
  <c r="F2108" i="11"/>
  <c r="F2109" i="11"/>
  <c r="F2110" i="11"/>
  <c r="F2111" i="11"/>
  <c r="F2112" i="11"/>
  <c r="F2113" i="11"/>
  <c r="F2114" i="11"/>
  <c r="F2115" i="11"/>
  <c r="F2116" i="11"/>
  <c r="F2117" i="11"/>
  <c r="F2118" i="11"/>
  <c r="F2119" i="11"/>
  <c r="F2120" i="11"/>
  <c r="F2121" i="11"/>
  <c r="F2122" i="11"/>
  <c r="F2123" i="11"/>
  <c r="F2124" i="11"/>
  <c r="F2125" i="11"/>
  <c r="F2126" i="11"/>
  <c r="F2127" i="11"/>
  <c r="F2128" i="11"/>
  <c r="F2129" i="11"/>
  <c r="F2130" i="11"/>
  <c r="F2131" i="11"/>
  <c r="F2132" i="11"/>
  <c r="F2133" i="11"/>
  <c r="F2134" i="11"/>
  <c r="F2135" i="11"/>
  <c r="F2136" i="11"/>
  <c r="F2137" i="11"/>
  <c r="F2138" i="11"/>
  <c r="F2139" i="11"/>
  <c r="F2140" i="11"/>
  <c r="F2141" i="11"/>
  <c r="F2142" i="11"/>
  <c r="F2143" i="11"/>
  <c r="F2144" i="11"/>
  <c r="F2145" i="11"/>
  <c r="F2146" i="11"/>
  <c r="F2147" i="11"/>
  <c r="F2148" i="11"/>
  <c r="F2149" i="11"/>
  <c r="F2150" i="11"/>
  <c r="F2151" i="11"/>
  <c r="F2152" i="11"/>
  <c r="F2153" i="11"/>
  <c r="F2154" i="11"/>
  <c r="F2155" i="11"/>
  <c r="F2156" i="11"/>
  <c r="F2157" i="11"/>
  <c r="F2158" i="11"/>
  <c r="F2159" i="11"/>
  <c r="F2160" i="11"/>
  <c r="F2161" i="11"/>
  <c r="F2162" i="11"/>
  <c r="F2163" i="11"/>
  <c r="F2164" i="11"/>
  <c r="F2165" i="11"/>
  <c r="F2166" i="11"/>
  <c r="F2167" i="11"/>
  <c r="F2168" i="11"/>
  <c r="F2169" i="11"/>
  <c r="F2170" i="11"/>
  <c r="F2171" i="11"/>
  <c r="F2172" i="11"/>
  <c r="F2173" i="11"/>
  <c r="F2174" i="11"/>
  <c r="F2175" i="11"/>
  <c r="F2176" i="11"/>
  <c r="F2177" i="11"/>
  <c r="F2178" i="11"/>
  <c r="F2179" i="11"/>
  <c r="F2180" i="11"/>
  <c r="F2181" i="11"/>
  <c r="F2182" i="11"/>
  <c r="F2183" i="11"/>
  <c r="F2184" i="11"/>
  <c r="F2185" i="11"/>
  <c r="F2186" i="11"/>
  <c r="F2187" i="11"/>
  <c r="F2188" i="11"/>
  <c r="F2189" i="11"/>
  <c r="F2190" i="11"/>
  <c r="F2191" i="11"/>
  <c r="F2192" i="11"/>
  <c r="F2193" i="11"/>
  <c r="F2194" i="11"/>
  <c r="F2195" i="11"/>
  <c r="F2196" i="11"/>
  <c r="F2197" i="11"/>
  <c r="F2198" i="11"/>
  <c r="F2199" i="11"/>
  <c r="F2200" i="11"/>
  <c r="F2201" i="11"/>
  <c r="F2202" i="11"/>
  <c r="F2203" i="11"/>
  <c r="F2204" i="11"/>
  <c r="F2205" i="11"/>
  <c r="F2206" i="11"/>
  <c r="F2207" i="11"/>
  <c r="F2208" i="11"/>
  <c r="F2209" i="11"/>
  <c r="F2210" i="11"/>
  <c r="F2211" i="11"/>
  <c r="F2212" i="11"/>
  <c r="F2213" i="11"/>
  <c r="F2214" i="11"/>
  <c r="F2215" i="11"/>
  <c r="F2216" i="11"/>
  <c r="F2217" i="11"/>
  <c r="F2218" i="11"/>
  <c r="F2219" i="11"/>
  <c r="F2220" i="11"/>
  <c r="F2221" i="11"/>
  <c r="F2222" i="11"/>
  <c r="F2223" i="11"/>
  <c r="F2224" i="11"/>
  <c r="F2225" i="11"/>
  <c r="F2226" i="11"/>
  <c r="F2227" i="11"/>
  <c r="F2228" i="11"/>
  <c r="F2229" i="11"/>
  <c r="F2230" i="11"/>
  <c r="F2231" i="11"/>
  <c r="F2232" i="11"/>
  <c r="F2233" i="11"/>
  <c r="F2234" i="11"/>
  <c r="F2235" i="11"/>
  <c r="F2236" i="11"/>
  <c r="F2237" i="11"/>
  <c r="F2238" i="11"/>
  <c r="F2239" i="11"/>
  <c r="F2240" i="11"/>
  <c r="F2241" i="11"/>
  <c r="F2242" i="11"/>
  <c r="F2243" i="11"/>
  <c r="F2244" i="11"/>
  <c r="F2245" i="11"/>
  <c r="F2246" i="11"/>
  <c r="F2247" i="11"/>
  <c r="F2248" i="11"/>
  <c r="F2249" i="11"/>
  <c r="F2250" i="11"/>
  <c r="F2251" i="11"/>
  <c r="F2252" i="11"/>
  <c r="F2253" i="11"/>
  <c r="F2254" i="11"/>
  <c r="F2255" i="11"/>
  <c r="F2256" i="11"/>
  <c r="F2257" i="11"/>
  <c r="F2258" i="11"/>
  <c r="F2259" i="11"/>
  <c r="F2260" i="11"/>
  <c r="F2261" i="11"/>
  <c r="F2262" i="11"/>
  <c r="F2263" i="11"/>
  <c r="F2264" i="11"/>
  <c r="F2265" i="11"/>
  <c r="F2266" i="11"/>
  <c r="F2267" i="11"/>
  <c r="F2268" i="11"/>
  <c r="F2269" i="11"/>
  <c r="F2270" i="11"/>
  <c r="F2271" i="11"/>
  <c r="F2272" i="11"/>
  <c r="F2273" i="11"/>
  <c r="F2274" i="11"/>
  <c r="F2275" i="11"/>
  <c r="F2276" i="11"/>
  <c r="F2277" i="11"/>
  <c r="F2278" i="11"/>
  <c r="F2279" i="11"/>
  <c r="F2280" i="11"/>
  <c r="F2281" i="11"/>
  <c r="F2282" i="11"/>
  <c r="F2283" i="11"/>
  <c r="F2284" i="11"/>
  <c r="F2285" i="11"/>
  <c r="F2286" i="11"/>
  <c r="F2287" i="11"/>
  <c r="F2288" i="11"/>
  <c r="F2289" i="11"/>
  <c r="F2290" i="11"/>
  <c r="F2291" i="11"/>
  <c r="F2292" i="11"/>
  <c r="F2293" i="11"/>
  <c r="F2294" i="11"/>
  <c r="F2295" i="11"/>
  <c r="F2296" i="11"/>
  <c r="F2297" i="11"/>
  <c r="F2298" i="11"/>
  <c r="F2299" i="11"/>
  <c r="F2300" i="11"/>
  <c r="F2301" i="11"/>
  <c r="F2302" i="11"/>
  <c r="F2303" i="11"/>
  <c r="F2304" i="11"/>
  <c r="F2305" i="11"/>
  <c r="F2306" i="11"/>
  <c r="F2307" i="11"/>
  <c r="F2308" i="11"/>
  <c r="F2309" i="11"/>
  <c r="F2310" i="11"/>
  <c r="F2311" i="11"/>
  <c r="F2312" i="11"/>
  <c r="F2313" i="11"/>
  <c r="F2314" i="11"/>
  <c r="F2315" i="11"/>
  <c r="F2316" i="11"/>
  <c r="F2317" i="11"/>
  <c r="F2318" i="11"/>
  <c r="F2319" i="11"/>
  <c r="F2320" i="11"/>
  <c r="F2321" i="11"/>
  <c r="F2322" i="11"/>
  <c r="F2323" i="11"/>
  <c r="F2324" i="11"/>
  <c r="F2325" i="11"/>
  <c r="F2326" i="11"/>
  <c r="F2327" i="11"/>
  <c r="F2328" i="11"/>
  <c r="F2329" i="11"/>
  <c r="F2330" i="11"/>
  <c r="F2331" i="11"/>
  <c r="F2332" i="11"/>
  <c r="F2333" i="11"/>
  <c r="F2334" i="11"/>
  <c r="F2335" i="11"/>
  <c r="F2336" i="11"/>
  <c r="F2337" i="11"/>
  <c r="F2338" i="11"/>
  <c r="F2339" i="11"/>
  <c r="F2340" i="11"/>
  <c r="F2341" i="11"/>
  <c r="F2342" i="11"/>
  <c r="F2343" i="11"/>
  <c r="F2344" i="11"/>
  <c r="F2345" i="11"/>
  <c r="F2346" i="11"/>
  <c r="F2347" i="11"/>
  <c r="F2348" i="11"/>
  <c r="F2349" i="11"/>
  <c r="F2350" i="11"/>
  <c r="F2351" i="11"/>
  <c r="F2352" i="11"/>
  <c r="F2353" i="11"/>
  <c r="F2354" i="11"/>
  <c r="F2355" i="11"/>
  <c r="F2356" i="11"/>
  <c r="F2357" i="11"/>
  <c r="F2358" i="11"/>
  <c r="F2359" i="11"/>
  <c r="F2360" i="11"/>
  <c r="F2361" i="11"/>
  <c r="F2362" i="11"/>
  <c r="F2363" i="11"/>
  <c r="F2364" i="11"/>
  <c r="F2365" i="11"/>
  <c r="F2366" i="11"/>
  <c r="F2367" i="11"/>
  <c r="F2368" i="11"/>
  <c r="F2369" i="11"/>
  <c r="F2370" i="11"/>
  <c r="F2371" i="11"/>
  <c r="F2372" i="11"/>
  <c r="F2373" i="11"/>
  <c r="F2374" i="11"/>
  <c r="F2375" i="11"/>
  <c r="F2376" i="11"/>
  <c r="F2377" i="11"/>
  <c r="F2378" i="11"/>
  <c r="F2379" i="11"/>
  <c r="F2380" i="11"/>
  <c r="F2381" i="11"/>
  <c r="F2382" i="11"/>
  <c r="F2383" i="11"/>
  <c r="F2384" i="11"/>
  <c r="F2385" i="11"/>
  <c r="F2386" i="11"/>
  <c r="F2387" i="11"/>
  <c r="F2388" i="11"/>
  <c r="F2389" i="11"/>
  <c r="F2390" i="11"/>
  <c r="F2391" i="11"/>
  <c r="F2392" i="11"/>
  <c r="F2393" i="11"/>
  <c r="F2394" i="11"/>
  <c r="F2395" i="11"/>
  <c r="F2396" i="11"/>
  <c r="F2397" i="11"/>
  <c r="F2398" i="11"/>
  <c r="F2399" i="11"/>
  <c r="F2400" i="11"/>
  <c r="F2401" i="11"/>
  <c r="F2402" i="11"/>
  <c r="F2403" i="11"/>
  <c r="F2404" i="11"/>
  <c r="F2405" i="11"/>
  <c r="F2406" i="11"/>
  <c r="F2407" i="11"/>
  <c r="F2408" i="11"/>
  <c r="F2409" i="11"/>
  <c r="F2410" i="11"/>
  <c r="F2411" i="11"/>
  <c r="F2412" i="11"/>
  <c r="F2413" i="11"/>
  <c r="F2414" i="11"/>
  <c r="F2415" i="11"/>
  <c r="F2416" i="11"/>
  <c r="F2417" i="11"/>
  <c r="F2418" i="11"/>
  <c r="F2419" i="11"/>
  <c r="F2420" i="11"/>
  <c r="F2421" i="11"/>
  <c r="F2422" i="11"/>
  <c r="F2423" i="11"/>
  <c r="F2424" i="11"/>
  <c r="F2425" i="11"/>
  <c r="F2426" i="11"/>
  <c r="F2427" i="11"/>
  <c r="F2428" i="11"/>
  <c r="F2429" i="11"/>
  <c r="F2430" i="11"/>
  <c r="F2431" i="11"/>
  <c r="F2432" i="11"/>
  <c r="F2433" i="11"/>
  <c r="F2434" i="11"/>
  <c r="F2435" i="11"/>
  <c r="F2436" i="11"/>
  <c r="F2437" i="11"/>
  <c r="F2438" i="11"/>
  <c r="F2439" i="11"/>
  <c r="F2440" i="11"/>
  <c r="F2441" i="11"/>
  <c r="F2442" i="11"/>
  <c r="F2443" i="11"/>
  <c r="F2444" i="11"/>
  <c r="F2445" i="11"/>
  <c r="F2446" i="11"/>
  <c r="F2447" i="11"/>
  <c r="F2448" i="11"/>
  <c r="F2449" i="11"/>
  <c r="F2450" i="11"/>
  <c r="F2451" i="11"/>
  <c r="F2452" i="11"/>
  <c r="F2453" i="11"/>
  <c r="F2454" i="11"/>
  <c r="F2455" i="11"/>
  <c r="F2456" i="11"/>
  <c r="F2457" i="11"/>
  <c r="F2458" i="11"/>
  <c r="F2459" i="11"/>
  <c r="F2460" i="11"/>
  <c r="F2461" i="11"/>
  <c r="F2462" i="11"/>
  <c r="F2463" i="11"/>
  <c r="F2464" i="11"/>
  <c r="F2465" i="11"/>
  <c r="F2466" i="11"/>
  <c r="F2467" i="11"/>
  <c r="F2468" i="11"/>
  <c r="F2469" i="11"/>
  <c r="F2470" i="11"/>
  <c r="F2471" i="11"/>
  <c r="F2472" i="11"/>
  <c r="F2473" i="11"/>
  <c r="F2474" i="11"/>
  <c r="F2475" i="11"/>
  <c r="F2476" i="11"/>
  <c r="F2477" i="11"/>
  <c r="F2478" i="11"/>
  <c r="F2479" i="11"/>
  <c r="F2480" i="11"/>
  <c r="F2481" i="11"/>
  <c r="F2482" i="11"/>
  <c r="F2483" i="11"/>
  <c r="F2484" i="11"/>
  <c r="F2485" i="11"/>
  <c r="F2486" i="11"/>
  <c r="F2487" i="11"/>
  <c r="F2488" i="11"/>
  <c r="F2489" i="11"/>
  <c r="F2490" i="11"/>
  <c r="F2491" i="11"/>
  <c r="F2492" i="11"/>
  <c r="F2493" i="11"/>
  <c r="F2494" i="11"/>
  <c r="F2495" i="11"/>
  <c r="F2496" i="11"/>
  <c r="F2497" i="11"/>
  <c r="F2498" i="11"/>
  <c r="F2499" i="11"/>
  <c r="F2500" i="11"/>
  <c r="F2501" i="11"/>
  <c r="F2502" i="11"/>
  <c r="F2503" i="11"/>
  <c r="F2504" i="11"/>
  <c r="F2505" i="11"/>
  <c r="F2506" i="11"/>
  <c r="F2507" i="11"/>
  <c r="F2508" i="11"/>
  <c r="F2509" i="11"/>
  <c r="F2510" i="11"/>
  <c r="F2511" i="11"/>
  <c r="F2512" i="11"/>
  <c r="F2513" i="11"/>
  <c r="F2514" i="11"/>
  <c r="F2515" i="11"/>
  <c r="F2516" i="11"/>
  <c r="F2517" i="11"/>
  <c r="F2518" i="11"/>
  <c r="F2519" i="11"/>
  <c r="F2520" i="11"/>
  <c r="F2521" i="11"/>
  <c r="F2522" i="11"/>
  <c r="F2523" i="11"/>
  <c r="F2524" i="11"/>
  <c r="F2525" i="11"/>
  <c r="F2526" i="11"/>
  <c r="F2527" i="11"/>
  <c r="F2528" i="11"/>
  <c r="F2529" i="11"/>
  <c r="F2530" i="11"/>
  <c r="F2531" i="11"/>
  <c r="F2532" i="11"/>
  <c r="F2533" i="11"/>
  <c r="F2534" i="11"/>
  <c r="F2535" i="11"/>
  <c r="F2536" i="11"/>
  <c r="F2537" i="11"/>
  <c r="F2538" i="11"/>
  <c r="F2539" i="11"/>
  <c r="F2540" i="11"/>
  <c r="F2541" i="11"/>
  <c r="F2542" i="11"/>
  <c r="F2543" i="11"/>
  <c r="F2544" i="11"/>
  <c r="F2545" i="11"/>
  <c r="F2546" i="11"/>
  <c r="F2547" i="11"/>
  <c r="F2548" i="11"/>
  <c r="F2549" i="11"/>
  <c r="F2550" i="11"/>
  <c r="F2551" i="11"/>
  <c r="F2552" i="11"/>
  <c r="F2553" i="11"/>
  <c r="F2554" i="11"/>
  <c r="F2555" i="11"/>
  <c r="F2556" i="11"/>
  <c r="F2557" i="11"/>
  <c r="F2558" i="11"/>
  <c r="F2559" i="11"/>
  <c r="F2560" i="11"/>
  <c r="F2561" i="11"/>
  <c r="F2562" i="11"/>
  <c r="F2563" i="11"/>
  <c r="F2564" i="11"/>
  <c r="F2565" i="11"/>
  <c r="F2566" i="11"/>
  <c r="F2567" i="11"/>
  <c r="F2568" i="11"/>
  <c r="F2569" i="11"/>
  <c r="F2570" i="11"/>
  <c r="F2571" i="11"/>
  <c r="F2572" i="11"/>
  <c r="F2573" i="11"/>
  <c r="F2574" i="11"/>
  <c r="F2575" i="11"/>
  <c r="F2576" i="11"/>
  <c r="F2577" i="11"/>
  <c r="F2578" i="11"/>
  <c r="F2579" i="11"/>
  <c r="F2580" i="11"/>
  <c r="F2581" i="11"/>
  <c r="F2582" i="11"/>
  <c r="F2583" i="11"/>
  <c r="F2584" i="11"/>
  <c r="F2585" i="11"/>
  <c r="F2586" i="11"/>
  <c r="F2587" i="11"/>
  <c r="F2588" i="11"/>
  <c r="F2589" i="11"/>
  <c r="F2590" i="11"/>
  <c r="F2591" i="11"/>
  <c r="F2592" i="11"/>
  <c r="F2593" i="11"/>
  <c r="F2594" i="11"/>
  <c r="F2595" i="11"/>
  <c r="F2596" i="11"/>
  <c r="F2597" i="11"/>
  <c r="F2598" i="11"/>
  <c r="F2599" i="11"/>
  <c r="F2600" i="11"/>
  <c r="F2601" i="11"/>
  <c r="F2602" i="11"/>
  <c r="F2603" i="11"/>
  <c r="F2604" i="11"/>
  <c r="F2605" i="11"/>
  <c r="F2606" i="11"/>
  <c r="F2607" i="11"/>
  <c r="F2608" i="11"/>
  <c r="F2609" i="11"/>
  <c r="F2610" i="11"/>
  <c r="F2611" i="11"/>
  <c r="F2612" i="11"/>
  <c r="F2613" i="11"/>
  <c r="F2614" i="11"/>
  <c r="F2615" i="11"/>
  <c r="F2616" i="11"/>
  <c r="F2617" i="11"/>
  <c r="F2618" i="11"/>
  <c r="F2619" i="11"/>
  <c r="F2620" i="11"/>
  <c r="F2621" i="11"/>
  <c r="F2622" i="11"/>
  <c r="F2623" i="11"/>
  <c r="F2624" i="11"/>
  <c r="F2625" i="11"/>
  <c r="F2626" i="11"/>
  <c r="F2627" i="11"/>
  <c r="F2628" i="11"/>
  <c r="F2629" i="11"/>
  <c r="F2630" i="11"/>
  <c r="F2631" i="11"/>
  <c r="F2632" i="11"/>
  <c r="F2633" i="11"/>
  <c r="F2634" i="11"/>
  <c r="F2635" i="11"/>
  <c r="F2636" i="11"/>
  <c r="F2637" i="11"/>
  <c r="F2638" i="11"/>
  <c r="F2639" i="11"/>
  <c r="F2640" i="11"/>
  <c r="F2641" i="11"/>
  <c r="F2642" i="11"/>
  <c r="F2643" i="11"/>
  <c r="F2644" i="11"/>
  <c r="F2645" i="11"/>
  <c r="F2646" i="11"/>
  <c r="F2647" i="11"/>
  <c r="F2648" i="11"/>
  <c r="F2649" i="11"/>
  <c r="F2650" i="11"/>
  <c r="F2651" i="11"/>
  <c r="F2652" i="11"/>
  <c r="F2653" i="11"/>
  <c r="F2654" i="11"/>
  <c r="F2655" i="11"/>
  <c r="F2656" i="11"/>
  <c r="F2657" i="11"/>
  <c r="F2658" i="11"/>
  <c r="F2659" i="11"/>
  <c r="F2660" i="11"/>
  <c r="F2661" i="11"/>
  <c r="F2662" i="11"/>
  <c r="F2663" i="11"/>
  <c r="F2664" i="11"/>
  <c r="F2665" i="11"/>
  <c r="F2666" i="11"/>
  <c r="F2667" i="11"/>
  <c r="F2668" i="11"/>
  <c r="F2669" i="11"/>
  <c r="F2670" i="11"/>
  <c r="F2671" i="11"/>
  <c r="F2672" i="11"/>
  <c r="F2673" i="11"/>
  <c r="F2674" i="11"/>
  <c r="F2675" i="11"/>
  <c r="F2676" i="11"/>
  <c r="F2677" i="11"/>
  <c r="F2678" i="11"/>
  <c r="F2679" i="11"/>
  <c r="F2680" i="11"/>
  <c r="F2681" i="11"/>
  <c r="F2682" i="11"/>
  <c r="F2683" i="11"/>
  <c r="F2684" i="11"/>
  <c r="F2685" i="11"/>
  <c r="F2686" i="11"/>
  <c r="F2687" i="11"/>
  <c r="F2688" i="11"/>
  <c r="F2689" i="11"/>
  <c r="F2690" i="11"/>
  <c r="F2691" i="11"/>
  <c r="F2692" i="11"/>
  <c r="F2693" i="11"/>
  <c r="F2694" i="11"/>
  <c r="F2695" i="11"/>
  <c r="F2696" i="11"/>
  <c r="F2697" i="11"/>
  <c r="F2698" i="11"/>
  <c r="F2699" i="11"/>
  <c r="F2700" i="11"/>
  <c r="F2701" i="11"/>
  <c r="F2702" i="11"/>
  <c r="F2703" i="11"/>
  <c r="F2704" i="11"/>
  <c r="F2705" i="11"/>
  <c r="F2706" i="11"/>
  <c r="F2707" i="11"/>
  <c r="F2708" i="11"/>
  <c r="F2709" i="11"/>
  <c r="F2710" i="11"/>
  <c r="F2711" i="11"/>
  <c r="F2712" i="11"/>
  <c r="F2713" i="11"/>
  <c r="F2714" i="11"/>
  <c r="F2715" i="11"/>
  <c r="F2716" i="11"/>
  <c r="F2717" i="11"/>
  <c r="F2718" i="11"/>
  <c r="F2719" i="11"/>
  <c r="F2720" i="11"/>
  <c r="F2721" i="11"/>
  <c r="F2722" i="11"/>
  <c r="F2723" i="11"/>
  <c r="F2724" i="11"/>
  <c r="F2725" i="11"/>
  <c r="F2726" i="11"/>
  <c r="F2727" i="11"/>
  <c r="F2728" i="11"/>
  <c r="F2729" i="11"/>
  <c r="F2730" i="11"/>
  <c r="F2731" i="11"/>
  <c r="F2732" i="11"/>
  <c r="F2733" i="11"/>
  <c r="F2734" i="11"/>
  <c r="F2735" i="11"/>
  <c r="F2736" i="11"/>
  <c r="F2737" i="11"/>
  <c r="F2738" i="11"/>
  <c r="F2739" i="11"/>
  <c r="F2740" i="11"/>
  <c r="F2741" i="11"/>
  <c r="F2742" i="11"/>
  <c r="F2743" i="11"/>
  <c r="F2744" i="11"/>
  <c r="F2745" i="11"/>
  <c r="F2746" i="11"/>
  <c r="F2747" i="11"/>
  <c r="F2748" i="11"/>
  <c r="F2749" i="11"/>
  <c r="F2750" i="11"/>
  <c r="F2751" i="11"/>
  <c r="F2752" i="11"/>
  <c r="F2753" i="11"/>
  <c r="F2754" i="11"/>
  <c r="F2755" i="11"/>
  <c r="F2756" i="11"/>
  <c r="F2757" i="11"/>
  <c r="F2758" i="11"/>
  <c r="F2759" i="11"/>
  <c r="F2760" i="11"/>
  <c r="F2761" i="11"/>
  <c r="F2762" i="11"/>
  <c r="F2763" i="11"/>
  <c r="F2764" i="11"/>
  <c r="F2765" i="11"/>
  <c r="F2766" i="11"/>
  <c r="F2767" i="11"/>
  <c r="F2768" i="11"/>
  <c r="F2769" i="11"/>
  <c r="F2770" i="11"/>
  <c r="F2771" i="11"/>
  <c r="F2772" i="11"/>
  <c r="F2773" i="11"/>
  <c r="F2774" i="11"/>
  <c r="F2775" i="11"/>
  <c r="F2776" i="11"/>
  <c r="F2777" i="11"/>
  <c r="F2778" i="11"/>
  <c r="F2779" i="11"/>
  <c r="F2780" i="11"/>
  <c r="F2781" i="11"/>
  <c r="F2782" i="11"/>
  <c r="F2783" i="11"/>
  <c r="F2784" i="11"/>
  <c r="F2785" i="11"/>
  <c r="F2786" i="11"/>
  <c r="F2787" i="11"/>
  <c r="F2788" i="11"/>
  <c r="F2789" i="11"/>
  <c r="F2790" i="11"/>
  <c r="F2791" i="11"/>
  <c r="F2792" i="11"/>
  <c r="F2793" i="11"/>
  <c r="F2794" i="11"/>
  <c r="F2795" i="11"/>
  <c r="F2796" i="11"/>
  <c r="F2797" i="11"/>
  <c r="F2798" i="11"/>
  <c r="F2799" i="11"/>
  <c r="F2800" i="11"/>
  <c r="F2801" i="11"/>
  <c r="F2802" i="11"/>
  <c r="F2803" i="11"/>
  <c r="F2804" i="11"/>
  <c r="F2805" i="11"/>
  <c r="F2806" i="11"/>
  <c r="F2807" i="11"/>
  <c r="F2808" i="11"/>
  <c r="F2809" i="11"/>
  <c r="F2810" i="11"/>
  <c r="F2811" i="11"/>
  <c r="F2812" i="11"/>
  <c r="F2813" i="11"/>
  <c r="F2814" i="11"/>
  <c r="F2815" i="11"/>
  <c r="F2816" i="11"/>
  <c r="F2817" i="11"/>
  <c r="F2818" i="11"/>
  <c r="F2819" i="11"/>
  <c r="F2820" i="11"/>
  <c r="F2821" i="11"/>
  <c r="F2822" i="11"/>
  <c r="F2823" i="11"/>
  <c r="F2824" i="11"/>
  <c r="F2825" i="11"/>
  <c r="F2826" i="11"/>
  <c r="F2827" i="11"/>
  <c r="F2828" i="11"/>
  <c r="F2829" i="11"/>
  <c r="F2830" i="11"/>
  <c r="F2831" i="11"/>
  <c r="F2832" i="11"/>
  <c r="F2833" i="11"/>
  <c r="F2834" i="11"/>
  <c r="F2835" i="11"/>
  <c r="F2836" i="11"/>
  <c r="F2837" i="11"/>
  <c r="F2838" i="11"/>
  <c r="F2839" i="11"/>
  <c r="F2840" i="11"/>
  <c r="F2841" i="11"/>
  <c r="F2842" i="11"/>
  <c r="F2843" i="11"/>
  <c r="F2844" i="11"/>
  <c r="F2845" i="11"/>
  <c r="F2846" i="11"/>
  <c r="F2847" i="11"/>
  <c r="F2848" i="11"/>
  <c r="F2849" i="11"/>
  <c r="F2850" i="11"/>
  <c r="F2851" i="11"/>
  <c r="F2852" i="11"/>
  <c r="F2853" i="11"/>
  <c r="F2854" i="11"/>
  <c r="F2855" i="11"/>
  <c r="F2856" i="11"/>
  <c r="F2857" i="11"/>
  <c r="F2858" i="11"/>
  <c r="F2859" i="11"/>
  <c r="F2860" i="11"/>
  <c r="F2861" i="11"/>
  <c r="F2862" i="11"/>
  <c r="F2863" i="11"/>
  <c r="F2864" i="11"/>
  <c r="F2865" i="11"/>
  <c r="F2866" i="11"/>
  <c r="F2867" i="11"/>
  <c r="F2868" i="11"/>
  <c r="F2869" i="11"/>
  <c r="F2870" i="11"/>
  <c r="F2871" i="11"/>
  <c r="F2872" i="11"/>
  <c r="F2873" i="11"/>
  <c r="F2874" i="11"/>
  <c r="F2875" i="11"/>
  <c r="F2876" i="11"/>
  <c r="F2877" i="11"/>
  <c r="F2878" i="11"/>
  <c r="F2879" i="11"/>
  <c r="F2880" i="11"/>
  <c r="F2881" i="11"/>
  <c r="F2882" i="11"/>
  <c r="F2883" i="11"/>
  <c r="F2884" i="11"/>
  <c r="F2885" i="11"/>
  <c r="F2886" i="11"/>
  <c r="F2887" i="11"/>
  <c r="F2888" i="11"/>
  <c r="F2889" i="11"/>
  <c r="F2890" i="11"/>
  <c r="F2891" i="11"/>
  <c r="F2892" i="11"/>
  <c r="F2893" i="11"/>
  <c r="F2894" i="11"/>
  <c r="F2895" i="11"/>
  <c r="F2896" i="11"/>
  <c r="F2897" i="11"/>
  <c r="F2898" i="11"/>
  <c r="F2899" i="11"/>
  <c r="F2900" i="11"/>
  <c r="F2901" i="11"/>
  <c r="F2902" i="11"/>
  <c r="F2903" i="11"/>
  <c r="F2904" i="11"/>
  <c r="F2905" i="11"/>
  <c r="F2906" i="11"/>
  <c r="F2907" i="11"/>
  <c r="F2908" i="11"/>
  <c r="F2909" i="11"/>
  <c r="F2910" i="11"/>
  <c r="F2911" i="11"/>
  <c r="F2912" i="11"/>
  <c r="F2913" i="11"/>
  <c r="F2914" i="11"/>
  <c r="F2915" i="11"/>
  <c r="F2916" i="11"/>
  <c r="F2917" i="11"/>
  <c r="F2918" i="11"/>
  <c r="F2919" i="11"/>
  <c r="F2920" i="11"/>
  <c r="F2921" i="11"/>
  <c r="F2922" i="11"/>
  <c r="F2923" i="11"/>
  <c r="F2924" i="11"/>
  <c r="F2925" i="11"/>
  <c r="F2926" i="11"/>
  <c r="F2927" i="11"/>
  <c r="F2928" i="11"/>
  <c r="F2929" i="11"/>
  <c r="F2930" i="11"/>
  <c r="F2931" i="11"/>
  <c r="F2932" i="11"/>
  <c r="F2933" i="11"/>
  <c r="F2934" i="11"/>
  <c r="F2935" i="11"/>
  <c r="F2936" i="11"/>
  <c r="F2937" i="11"/>
  <c r="F2938" i="11"/>
  <c r="F2939" i="11"/>
  <c r="F2940" i="11"/>
  <c r="F2941" i="11"/>
  <c r="F2942" i="11"/>
  <c r="F2943" i="11"/>
  <c r="F2944" i="11"/>
  <c r="F2945" i="11"/>
  <c r="F2946" i="11"/>
  <c r="F2947" i="11"/>
  <c r="F2948" i="11"/>
  <c r="F2949" i="11"/>
  <c r="F2950" i="11"/>
  <c r="F2951" i="11"/>
  <c r="F2952" i="11"/>
  <c r="F2953" i="11"/>
  <c r="F2954" i="11"/>
  <c r="F2955" i="11"/>
  <c r="F2956" i="11"/>
  <c r="F2957" i="11"/>
  <c r="F2958" i="11"/>
  <c r="F2959" i="11"/>
  <c r="F2960" i="11"/>
  <c r="F2961" i="11"/>
  <c r="F2962" i="11"/>
  <c r="F2963" i="11"/>
  <c r="F2964" i="11"/>
  <c r="F2965" i="11"/>
  <c r="F2966" i="11"/>
  <c r="F2967" i="11"/>
  <c r="F2968" i="11"/>
  <c r="F2969" i="11"/>
  <c r="F2970" i="11"/>
  <c r="F2971" i="11"/>
  <c r="F2972" i="11"/>
  <c r="F2973" i="11"/>
  <c r="F2974" i="11"/>
  <c r="F2975" i="11"/>
  <c r="F2976" i="11"/>
  <c r="F2977" i="11"/>
  <c r="F2978" i="11"/>
  <c r="F2979" i="11"/>
  <c r="F2980" i="11"/>
  <c r="F2981" i="11"/>
  <c r="F2982" i="11"/>
  <c r="F2983" i="11"/>
  <c r="F2984" i="11"/>
  <c r="F2985" i="11"/>
  <c r="F2986" i="11"/>
  <c r="F2987" i="11"/>
  <c r="F2988" i="11"/>
  <c r="F2989" i="11"/>
  <c r="F2990" i="11"/>
  <c r="F2991" i="11"/>
  <c r="F2992" i="11"/>
  <c r="F2993" i="11"/>
  <c r="F2994" i="11"/>
  <c r="F2995" i="11"/>
  <c r="F2996" i="11"/>
  <c r="F2997" i="11"/>
  <c r="F2998" i="11"/>
  <c r="F2999" i="11"/>
  <c r="F3000" i="11"/>
  <c r="F3001" i="11"/>
  <c r="F3002" i="11"/>
  <c r="F3003" i="11"/>
  <c r="F3004" i="11"/>
  <c r="F3005" i="11"/>
  <c r="F3006" i="11"/>
  <c r="F3007" i="11"/>
  <c r="F3008" i="11"/>
  <c r="F3009" i="11"/>
  <c r="F3010" i="11"/>
  <c r="F3011" i="11"/>
  <c r="F3012" i="11"/>
  <c r="F3013" i="11"/>
  <c r="F3014" i="11"/>
  <c r="F3015" i="11"/>
  <c r="F3016" i="11"/>
  <c r="F3017" i="11"/>
  <c r="F3018" i="11"/>
  <c r="F3019" i="11"/>
  <c r="F3020" i="11"/>
  <c r="F3021" i="11"/>
  <c r="F3022" i="11"/>
  <c r="F3023" i="11"/>
  <c r="F3024" i="11"/>
  <c r="F3025" i="11"/>
  <c r="F3026" i="11"/>
  <c r="F3027" i="11"/>
  <c r="F3028" i="11"/>
  <c r="F3029" i="11"/>
  <c r="F3030" i="11"/>
  <c r="F3031" i="11"/>
  <c r="F3032" i="11"/>
  <c r="F3033" i="11"/>
  <c r="F3034" i="11"/>
  <c r="F3035" i="11"/>
  <c r="F3036" i="11"/>
  <c r="F3037" i="11"/>
  <c r="F3038" i="11"/>
  <c r="F3039" i="11"/>
  <c r="F3040" i="11"/>
  <c r="F3041" i="11"/>
  <c r="F3042" i="11"/>
  <c r="F3043" i="11"/>
  <c r="F3044" i="11"/>
  <c r="F3045" i="11"/>
  <c r="F3046" i="11"/>
  <c r="F3047" i="11"/>
  <c r="F3048" i="11"/>
  <c r="F3049" i="11"/>
  <c r="F3050" i="11"/>
  <c r="F3051" i="11"/>
  <c r="F3052" i="11"/>
  <c r="F3053" i="11"/>
  <c r="F3054" i="11"/>
  <c r="F3055" i="11"/>
  <c r="F3056" i="11"/>
  <c r="F3057" i="11"/>
  <c r="F3058" i="11"/>
  <c r="F3059" i="11"/>
  <c r="F3060" i="11"/>
  <c r="F3061" i="11"/>
  <c r="F3062" i="11"/>
  <c r="F3063" i="11"/>
  <c r="F3064" i="11"/>
  <c r="F3065" i="11"/>
  <c r="F3066" i="11"/>
  <c r="F3067" i="11"/>
  <c r="F3068" i="11"/>
  <c r="F3069" i="11"/>
  <c r="F3070" i="11"/>
  <c r="F3071" i="11"/>
  <c r="F3072" i="11"/>
  <c r="F3073" i="11"/>
  <c r="F3074" i="11"/>
  <c r="F3075" i="11"/>
  <c r="F3076" i="11"/>
  <c r="F3077" i="11"/>
  <c r="F3078" i="11"/>
  <c r="F3079" i="11"/>
  <c r="F3080" i="11"/>
  <c r="F3081" i="11"/>
  <c r="F3082" i="11"/>
  <c r="F3083" i="11"/>
  <c r="F3084" i="11"/>
  <c r="F3085" i="11"/>
  <c r="F3086" i="11"/>
  <c r="F3087" i="11"/>
  <c r="F3088" i="11"/>
  <c r="F3089" i="11"/>
  <c r="F3090" i="11"/>
  <c r="F3091" i="11"/>
  <c r="F3092" i="11"/>
  <c r="F3093" i="11"/>
  <c r="F3094" i="11"/>
  <c r="F3095" i="11"/>
  <c r="F3096" i="11"/>
  <c r="F3097" i="11"/>
  <c r="F3098" i="11"/>
  <c r="F3099" i="11"/>
  <c r="F3100" i="11"/>
  <c r="F3101" i="11"/>
  <c r="F3102" i="11"/>
  <c r="F3103" i="11"/>
  <c r="F3104" i="11"/>
  <c r="F3105" i="11"/>
  <c r="F3106" i="11"/>
  <c r="F3107" i="11"/>
  <c r="F3108" i="11"/>
  <c r="F3109" i="11"/>
  <c r="F3110" i="11"/>
  <c r="F3111" i="11"/>
  <c r="F3112" i="11"/>
  <c r="F3113" i="11"/>
  <c r="F3114" i="11"/>
  <c r="F3115" i="11"/>
  <c r="F3116" i="11"/>
  <c r="F3117" i="11"/>
  <c r="F3118" i="11"/>
  <c r="F3119" i="11"/>
  <c r="F3120" i="11"/>
  <c r="F3121" i="11"/>
  <c r="F3122" i="11"/>
  <c r="F3123" i="11"/>
  <c r="F3124" i="11"/>
  <c r="F3125" i="11"/>
  <c r="F3126" i="11"/>
  <c r="F3127" i="11"/>
  <c r="F3128" i="11"/>
  <c r="F3129" i="11"/>
  <c r="F3130" i="11"/>
  <c r="F3131" i="11"/>
  <c r="F3132" i="11"/>
  <c r="F3133" i="11"/>
  <c r="F3134" i="11"/>
  <c r="F3135" i="11"/>
  <c r="F3136" i="11"/>
  <c r="F3137" i="11"/>
  <c r="F3138" i="11"/>
  <c r="F3139" i="11"/>
  <c r="F3140" i="11"/>
  <c r="F3141" i="11"/>
  <c r="F3142" i="11"/>
  <c r="F3143" i="11"/>
  <c r="F3144" i="11"/>
  <c r="F3145" i="11"/>
  <c r="F3146" i="11"/>
  <c r="F3147" i="11"/>
  <c r="F3148" i="11"/>
  <c r="F3149" i="11"/>
  <c r="F3150" i="11"/>
  <c r="F3151" i="11"/>
  <c r="F3152" i="11"/>
  <c r="F3153" i="11"/>
  <c r="F3154" i="11"/>
  <c r="F3155" i="11"/>
  <c r="F3156" i="11"/>
  <c r="F3157" i="11"/>
  <c r="F3158" i="11"/>
  <c r="F3159" i="11"/>
  <c r="F3160" i="11"/>
  <c r="F3161" i="11"/>
  <c r="F3162" i="11"/>
  <c r="F3163" i="11"/>
  <c r="F3164" i="11"/>
  <c r="F3165" i="11"/>
  <c r="F3166" i="11"/>
  <c r="F3167" i="11"/>
  <c r="F3168" i="11"/>
  <c r="F3169" i="11"/>
  <c r="F3170" i="11"/>
  <c r="F3171" i="11"/>
  <c r="F3172" i="11"/>
  <c r="F3173" i="11"/>
  <c r="F3174" i="11"/>
  <c r="F3175" i="11"/>
  <c r="F3176" i="11"/>
  <c r="F3177" i="11"/>
  <c r="F3178" i="11"/>
  <c r="F3179" i="11"/>
  <c r="F3180" i="11"/>
  <c r="F3181" i="11"/>
  <c r="F3182" i="11"/>
  <c r="F3183" i="11"/>
  <c r="F3184" i="11"/>
  <c r="F3185" i="11"/>
  <c r="F3186" i="11"/>
  <c r="F3187" i="11"/>
  <c r="F3188" i="11"/>
  <c r="F3189" i="11"/>
  <c r="F3190" i="11"/>
  <c r="F3191" i="11"/>
  <c r="F3192" i="11"/>
  <c r="F3193" i="11"/>
  <c r="F3194" i="11"/>
  <c r="F3195" i="11"/>
  <c r="F3196" i="11"/>
  <c r="F3197" i="11"/>
  <c r="F3198" i="11"/>
  <c r="F3199" i="11"/>
  <c r="F3200" i="11"/>
  <c r="F3201" i="11"/>
  <c r="F3202" i="11"/>
  <c r="F3203" i="11"/>
  <c r="F3204" i="11"/>
  <c r="F3205" i="11"/>
  <c r="F3206" i="11"/>
  <c r="F3207" i="11"/>
  <c r="F3208" i="11"/>
  <c r="F3209" i="11"/>
  <c r="F3210" i="11"/>
  <c r="F3211" i="11"/>
  <c r="F3212" i="11"/>
  <c r="F3213" i="11"/>
  <c r="F3214" i="11"/>
  <c r="F3215" i="11"/>
  <c r="F3216" i="11"/>
  <c r="F3217" i="11"/>
  <c r="F3218" i="11"/>
  <c r="F3219" i="11"/>
  <c r="F3220" i="11"/>
  <c r="F3221" i="11"/>
  <c r="F3222" i="11"/>
  <c r="F3223" i="11"/>
  <c r="F3224" i="11"/>
  <c r="F3225" i="11"/>
  <c r="F3226" i="11"/>
  <c r="F3227" i="11"/>
  <c r="F3228" i="11"/>
  <c r="F3229" i="11"/>
  <c r="F3230" i="11"/>
  <c r="F3231" i="11"/>
  <c r="F3232" i="11"/>
  <c r="F3233" i="11"/>
  <c r="F3234" i="11"/>
  <c r="F3235" i="11"/>
  <c r="F3236" i="11"/>
  <c r="F3237" i="11"/>
  <c r="F3238" i="11"/>
  <c r="F3239" i="11"/>
  <c r="F3240" i="11"/>
  <c r="F3241" i="11"/>
  <c r="F3242" i="11"/>
  <c r="F3243" i="11"/>
  <c r="F3244" i="11"/>
  <c r="F3245" i="11"/>
  <c r="F3246" i="11"/>
  <c r="F3247" i="11"/>
  <c r="F3248" i="11"/>
  <c r="F3249" i="11"/>
  <c r="F3250" i="11"/>
  <c r="F3251" i="11"/>
  <c r="F3252" i="11"/>
  <c r="F3253" i="11"/>
  <c r="F3254" i="11"/>
  <c r="F3255" i="11"/>
  <c r="F3256" i="11"/>
  <c r="F3257" i="11"/>
  <c r="F3258" i="11"/>
  <c r="F3259" i="11"/>
  <c r="F3260" i="11"/>
  <c r="F3261" i="11"/>
  <c r="F3262" i="11"/>
  <c r="F3263" i="11"/>
  <c r="F3264" i="11"/>
  <c r="F3265" i="11"/>
  <c r="F3266" i="11"/>
  <c r="F3267" i="11"/>
  <c r="F3268" i="11"/>
  <c r="F3269" i="11"/>
  <c r="F3270" i="11"/>
  <c r="F3271" i="11"/>
  <c r="F3272" i="11"/>
  <c r="F3273" i="11"/>
  <c r="F3274" i="11"/>
  <c r="F3275" i="11"/>
  <c r="F3276" i="11"/>
  <c r="F3277" i="11"/>
  <c r="F3278" i="11"/>
  <c r="F3279" i="11"/>
  <c r="F3280" i="11"/>
  <c r="F3281" i="11"/>
  <c r="F3282" i="11"/>
  <c r="F3283" i="11"/>
  <c r="F3284" i="11"/>
  <c r="F3285" i="11"/>
  <c r="F3286" i="11"/>
  <c r="F3287" i="11"/>
  <c r="F3288" i="11"/>
  <c r="F3289" i="11"/>
  <c r="F3290" i="11"/>
  <c r="F3291" i="11"/>
  <c r="F3292" i="11"/>
  <c r="F3293" i="11"/>
  <c r="F3294" i="11"/>
  <c r="F3295" i="11"/>
  <c r="F3296" i="11"/>
  <c r="F3297" i="11"/>
  <c r="F3298" i="11"/>
  <c r="F3299" i="11"/>
  <c r="F3300" i="11"/>
  <c r="F3301" i="11"/>
  <c r="F3302" i="11"/>
  <c r="F3303" i="11"/>
  <c r="F3304" i="11"/>
  <c r="F3305" i="11"/>
  <c r="F3306" i="11"/>
  <c r="F3307" i="11"/>
  <c r="F3308" i="11"/>
  <c r="F3309" i="11"/>
  <c r="F3310" i="11"/>
  <c r="F3311" i="11"/>
  <c r="F3312" i="11"/>
  <c r="F3313" i="11"/>
  <c r="F3314" i="11"/>
  <c r="F3315" i="11"/>
  <c r="F3316" i="11"/>
  <c r="F3317" i="11"/>
  <c r="F3318" i="11"/>
  <c r="F3319" i="11"/>
  <c r="F3320" i="11"/>
  <c r="F3321" i="11"/>
  <c r="F3322" i="11"/>
  <c r="F3323" i="11"/>
  <c r="F3324" i="11"/>
  <c r="F3325" i="11"/>
  <c r="F3326" i="11"/>
  <c r="F3327" i="11"/>
  <c r="F3328" i="11"/>
  <c r="F3329" i="11"/>
  <c r="F3330" i="11"/>
  <c r="F3331" i="11"/>
  <c r="F3332" i="11"/>
  <c r="F3333" i="11"/>
  <c r="F3334" i="11"/>
  <c r="F3335" i="11"/>
  <c r="F3336" i="11"/>
  <c r="F3337" i="11"/>
  <c r="F3338" i="11"/>
  <c r="F3339" i="11"/>
  <c r="F3340" i="11"/>
  <c r="F3341" i="11"/>
  <c r="F3342" i="11"/>
  <c r="F3343" i="11"/>
  <c r="F3344" i="11"/>
  <c r="F3345" i="11"/>
  <c r="F3346" i="11"/>
  <c r="F3347" i="11"/>
  <c r="F3348" i="11"/>
  <c r="F3349" i="11"/>
  <c r="F3350" i="11"/>
  <c r="F3351" i="11"/>
  <c r="F3352" i="11"/>
  <c r="F3353" i="11"/>
  <c r="F3354" i="11"/>
  <c r="F3355" i="11"/>
  <c r="F3356" i="11"/>
  <c r="F3357" i="11"/>
  <c r="F3358" i="11"/>
  <c r="F3359" i="11"/>
  <c r="F3360" i="11"/>
  <c r="F3361" i="11"/>
  <c r="F3362" i="11"/>
  <c r="F3363" i="11"/>
  <c r="F3364" i="11"/>
  <c r="F3365" i="11"/>
  <c r="F3366" i="11"/>
  <c r="F3367" i="11"/>
  <c r="F3368" i="11"/>
  <c r="F3369" i="11"/>
  <c r="F3370" i="11"/>
  <c r="F3371" i="11"/>
  <c r="F3372" i="11"/>
  <c r="F3373" i="11"/>
  <c r="F3374" i="11"/>
  <c r="F3375" i="11"/>
  <c r="F3376" i="11"/>
  <c r="F3377" i="11"/>
  <c r="F3378" i="11"/>
  <c r="F3379" i="11"/>
  <c r="F3380" i="11"/>
  <c r="F3381" i="11"/>
  <c r="F3382" i="11"/>
  <c r="F3383" i="11"/>
  <c r="F3384" i="11"/>
  <c r="F3385" i="11"/>
  <c r="F3386" i="11"/>
  <c r="F3387" i="11"/>
  <c r="F3388" i="11"/>
  <c r="F3389" i="11"/>
  <c r="F3390" i="11"/>
  <c r="F3391" i="11"/>
  <c r="F3392" i="11"/>
  <c r="F3393" i="11"/>
  <c r="F3394" i="11"/>
  <c r="F3395" i="11"/>
  <c r="F3396" i="11"/>
  <c r="F3397" i="11"/>
  <c r="F3398" i="11"/>
  <c r="F3399" i="11"/>
  <c r="F3400" i="11"/>
  <c r="F3401" i="11"/>
  <c r="F3402" i="11"/>
  <c r="F3403" i="11"/>
  <c r="F3404" i="11"/>
  <c r="F3405" i="11"/>
  <c r="F3406" i="11"/>
  <c r="F3407" i="11"/>
  <c r="F3408" i="11"/>
  <c r="F3409" i="11"/>
  <c r="F3410" i="11"/>
  <c r="F3411" i="11"/>
  <c r="F3412" i="11"/>
  <c r="F3413" i="11"/>
  <c r="F3414" i="11"/>
  <c r="F3415" i="11"/>
  <c r="F3416" i="11"/>
  <c r="F3417" i="11"/>
  <c r="F3418" i="11"/>
  <c r="F3419" i="11"/>
  <c r="F3420" i="11"/>
  <c r="F3421" i="11"/>
  <c r="F3422" i="11"/>
  <c r="F3423" i="11"/>
  <c r="F3424" i="11"/>
  <c r="F3425" i="11"/>
  <c r="F3426" i="11"/>
  <c r="F3427" i="11"/>
  <c r="F3428" i="11"/>
  <c r="F3429" i="11"/>
  <c r="F3430" i="11"/>
  <c r="F3431" i="11"/>
  <c r="F3432" i="11"/>
  <c r="F3433" i="11"/>
  <c r="F3434" i="11"/>
  <c r="F3435" i="11"/>
  <c r="F3436" i="11"/>
  <c r="F3437" i="11"/>
  <c r="F3438" i="11"/>
  <c r="F3439" i="11"/>
  <c r="F3440" i="11"/>
  <c r="F3441" i="11"/>
  <c r="F3442" i="11"/>
  <c r="F3443" i="11"/>
  <c r="F3444" i="11"/>
  <c r="F3445" i="11"/>
  <c r="F3446" i="11"/>
  <c r="F3447" i="11"/>
  <c r="F3448" i="11"/>
  <c r="F3449" i="11"/>
  <c r="F3450" i="11"/>
  <c r="F3451" i="11"/>
  <c r="F3452" i="11"/>
  <c r="F3453" i="11"/>
  <c r="F3454" i="11"/>
  <c r="F3455" i="11"/>
  <c r="F3456" i="11"/>
  <c r="F3457" i="11"/>
  <c r="F3458" i="11"/>
  <c r="F3459" i="11"/>
  <c r="F3460" i="11"/>
  <c r="F3461" i="11"/>
  <c r="F3462" i="11"/>
  <c r="F3463" i="11"/>
  <c r="F3464" i="11"/>
  <c r="F3465" i="11"/>
  <c r="F3466" i="11"/>
  <c r="F3467" i="11"/>
  <c r="F3468" i="11"/>
  <c r="F3469" i="11"/>
  <c r="F3470" i="11"/>
  <c r="F3471" i="11"/>
  <c r="F3472" i="11"/>
  <c r="F3473" i="11"/>
  <c r="F3474" i="11"/>
  <c r="F3475" i="11"/>
  <c r="F3476" i="11"/>
  <c r="F3477" i="11"/>
  <c r="F3478" i="11"/>
  <c r="F3479" i="11"/>
  <c r="F3480" i="11"/>
  <c r="F3481" i="11"/>
  <c r="F3482" i="11"/>
  <c r="F3483" i="11"/>
  <c r="F3484" i="11"/>
  <c r="F3485" i="11"/>
  <c r="F3486" i="11"/>
  <c r="F3487" i="11"/>
  <c r="F3488" i="11"/>
  <c r="F3489" i="11"/>
  <c r="F3490" i="11"/>
  <c r="F3491" i="11"/>
  <c r="F3492" i="11"/>
  <c r="F3493" i="11"/>
  <c r="F3494" i="11"/>
  <c r="F3495" i="11"/>
  <c r="F3496" i="11"/>
  <c r="F3497" i="11"/>
  <c r="F3498" i="11"/>
  <c r="F3499" i="11"/>
  <c r="F3500" i="11"/>
  <c r="F3501" i="11"/>
  <c r="F3502" i="11"/>
  <c r="F3503" i="11"/>
  <c r="F3504" i="11"/>
  <c r="F3505" i="11"/>
  <c r="F3506" i="11"/>
  <c r="F3507" i="11"/>
  <c r="F3508" i="11"/>
  <c r="F3509" i="11"/>
  <c r="F3510" i="11"/>
  <c r="F3511" i="11"/>
  <c r="F3512" i="11"/>
  <c r="F3513" i="11"/>
  <c r="F3514" i="11"/>
  <c r="F3515" i="11"/>
  <c r="F3516" i="11"/>
  <c r="F3517" i="11"/>
  <c r="F3518" i="11"/>
  <c r="F3519" i="11"/>
  <c r="F3520" i="11"/>
  <c r="F3521" i="11"/>
  <c r="F3522" i="11"/>
  <c r="F3523" i="11"/>
  <c r="F3524" i="11"/>
  <c r="F3525" i="11"/>
  <c r="F3526" i="11"/>
  <c r="F3527" i="11"/>
  <c r="F3528" i="11"/>
  <c r="F3529" i="11"/>
  <c r="F3530" i="11"/>
  <c r="F3531" i="11"/>
  <c r="F3532" i="11"/>
  <c r="F3533" i="11"/>
  <c r="F3534" i="11"/>
  <c r="F3535" i="11"/>
  <c r="F3536" i="11"/>
  <c r="F3537" i="11"/>
  <c r="F3538" i="11"/>
  <c r="F3539" i="11"/>
  <c r="F3540" i="11"/>
  <c r="F3541" i="11"/>
  <c r="F3542" i="11"/>
  <c r="F3543" i="11"/>
  <c r="F3544" i="11"/>
  <c r="F3545" i="11"/>
  <c r="F3546" i="11"/>
  <c r="F3547" i="11"/>
  <c r="F3548" i="11"/>
  <c r="F3549" i="11"/>
  <c r="F3550" i="11"/>
  <c r="F3551" i="11"/>
  <c r="F3552" i="11"/>
  <c r="F3553" i="11"/>
  <c r="F3554" i="11"/>
  <c r="F3555" i="11"/>
  <c r="F3556" i="11"/>
  <c r="F3557" i="11"/>
  <c r="F3558" i="11"/>
  <c r="F3559" i="11"/>
  <c r="F3560" i="11"/>
  <c r="F3561" i="11"/>
  <c r="F3562" i="11"/>
  <c r="F3563" i="11"/>
  <c r="F3564" i="11"/>
  <c r="F3565" i="11"/>
  <c r="F3566" i="11"/>
  <c r="F3567" i="11"/>
  <c r="F3568" i="11"/>
  <c r="F3569" i="11"/>
  <c r="F3570" i="11"/>
  <c r="F3571" i="11"/>
  <c r="F3572" i="11"/>
  <c r="F3573" i="11"/>
  <c r="F3574" i="11"/>
  <c r="F3575" i="11"/>
  <c r="F3576" i="11"/>
  <c r="F3577" i="11"/>
  <c r="F3578" i="11"/>
  <c r="F3579" i="11"/>
  <c r="F3580" i="11"/>
  <c r="F3581" i="11"/>
  <c r="F3582" i="11"/>
  <c r="F3583" i="11"/>
  <c r="F3584" i="11"/>
  <c r="F3585" i="11"/>
  <c r="F3586" i="11"/>
  <c r="F3587" i="11"/>
  <c r="F3588" i="11"/>
  <c r="F3589" i="11"/>
  <c r="F3590" i="11"/>
  <c r="F3591" i="11"/>
  <c r="F3592" i="11"/>
  <c r="F3593" i="11"/>
  <c r="F3594" i="11"/>
  <c r="F3595" i="11"/>
  <c r="F3596" i="11"/>
  <c r="F3597" i="11"/>
  <c r="F3598" i="11"/>
  <c r="F3599" i="11"/>
  <c r="F3600" i="11"/>
  <c r="F3601" i="11"/>
  <c r="F3602" i="11"/>
  <c r="F3603" i="11"/>
  <c r="F3604" i="11"/>
  <c r="F3605" i="11"/>
  <c r="F3606" i="11"/>
  <c r="F3607" i="11"/>
  <c r="F3608" i="11"/>
  <c r="F3609" i="11"/>
  <c r="F3610" i="11"/>
  <c r="F3611" i="11"/>
  <c r="F3612" i="11"/>
  <c r="F3613" i="11"/>
  <c r="F3614" i="11"/>
  <c r="F3615" i="11"/>
  <c r="F3616" i="11"/>
  <c r="F3617" i="11"/>
  <c r="F3618" i="11"/>
  <c r="F3619" i="11"/>
  <c r="F3620" i="11"/>
  <c r="F3621" i="11"/>
  <c r="F3622" i="11"/>
  <c r="F3623" i="11"/>
  <c r="F3624" i="11"/>
  <c r="F3625" i="11"/>
  <c r="F3626" i="11"/>
  <c r="F3627" i="11"/>
  <c r="F3628" i="11"/>
  <c r="F3629" i="11"/>
  <c r="F3630" i="11"/>
  <c r="F3631" i="11"/>
  <c r="F3632" i="11"/>
  <c r="F3633" i="11"/>
  <c r="F3634" i="11"/>
  <c r="F3635" i="11"/>
  <c r="F3636" i="11"/>
  <c r="F3637" i="11"/>
  <c r="F3638" i="11"/>
  <c r="F3639" i="11"/>
  <c r="F3640" i="11"/>
  <c r="F3641" i="11"/>
  <c r="F3642" i="11"/>
  <c r="F3643" i="11"/>
  <c r="F3644" i="11"/>
  <c r="F3645" i="11"/>
  <c r="F3646" i="11"/>
  <c r="F3647" i="11"/>
  <c r="F3648" i="11"/>
  <c r="F3649" i="11"/>
  <c r="F3650" i="11"/>
  <c r="F3651" i="11"/>
  <c r="F3652" i="11"/>
  <c r="F3653" i="11"/>
  <c r="F3654" i="11"/>
  <c r="F3655" i="11"/>
  <c r="F3656" i="11"/>
  <c r="F3657" i="11"/>
  <c r="F3658" i="11"/>
  <c r="F3659" i="11"/>
  <c r="F3660" i="11"/>
  <c r="F3661" i="11"/>
  <c r="F3662" i="11"/>
  <c r="F3663" i="11"/>
  <c r="F3664" i="11"/>
  <c r="F3665" i="11"/>
  <c r="F3666" i="11"/>
  <c r="F3667" i="11"/>
  <c r="F3668" i="11"/>
  <c r="F3669" i="11"/>
  <c r="F3670" i="11"/>
  <c r="F3671" i="11"/>
  <c r="F3672" i="11"/>
  <c r="F3673" i="11"/>
  <c r="F3674" i="11"/>
  <c r="F3675" i="11"/>
  <c r="F3676" i="11"/>
  <c r="F3677" i="11"/>
  <c r="F3678" i="11"/>
  <c r="F3679" i="11"/>
  <c r="F3680" i="11"/>
  <c r="F3681" i="11"/>
  <c r="F3682" i="11"/>
  <c r="F3683" i="11"/>
  <c r="F3684" i="11"/>
  <c r="F3685" i="11"/>
  <c r="F3686" i="11"/>
  <c r="F3687" i="11"/>
  <c r="F3688" i="11"/>
  <c r="F3689" i="11"/>
  <c r="F3690" i="11"/>
  <c r="F3691" i="11"/>
  <c r="F3692" i="11"/>
  <c r="F3693" i="11"/>
  <c r="F3694" i="11"/>
  <c r="F3695" i="11"/>
  <c r="F3696" i="11"/>
  <c r="F3697" i="11"/>
  <c r="F3698" i="11"/>
  <c r="F3699" i="11"/>
  <c r="F3700" i="11"/>
  <c r="F3701" i="11"/>
  <c r="F3702" i="11"/>
  <c r="F3703" i="11"/>
  <c r="F3704" i="11"/>
  <c r="F3705" i="11"/>
  <c r="F3706" i="11"/>
  <c r="F3707" i="11"/>
  <c r="F3708" i="11"/>
  <c r="F3709" i="11"/>
  <c r="F3710" i="11"/>
  <c r="F3711" i="11"/>
  <c r="F3712" i="11"/>
  <c r="F3713" i="11"/>
  <c r="F3714" i="11"/>
  <c r="F3715" i="11"/>
  <c r="F3716" i="11"/>
  <c r="F3717" i="11"/>
  <c r="F3718" i="11"/>
  <c r="F3719" i="11"/>
  <c r="F3720" i="11"/>
  <c r="F3721" i="11"/>
  <c r="F3722" i="11"/>
  <c r="F3723" i="11"/>
  <c r="F3724" i="11"/>
  <c r="F3725" i="11"/>
  <c r="F3726" i="11"/>
  <c r="F3727" i="11"/>
  <c r="F3728" i="11"/>
  <c r="F3729" i="11"/>
  <c r="F3730" i="11"/>
  <c r="F3731" i="11"/>
  <c r="F3732" i="11"/>
  <c r="F3733" i="11"/>
  <c r="F3734" i="11"/>
  <c r="F3735" i="11"/>
  <c r="F3736" i="11"/>
  <c r="F3737" i="11"/>
  <c r="F3738" i="11"/>
  <c r="F3739" i="11"/>
  <c r="F3740" i="11"/>
  <c r="F3741" i="11"/>
  <c r="F3742" i="11"/>
  <c r="F3743" i="11"/>
  <c r="F3744" i="11"/>
  <c r="F3745" i="11"/>
  <c r="F3746" i="11"/>
  <c r="F3747" i="11"/>
  <c r="F3748" i="11"/>
  <c r="F3749" i="11"/>
  <c r="F3750" i="11"/>
  <c r="F3751" i="11"/>
  <c r="F3752" i="11"/>
  <c r="F3753" i="11"/>
  <c r="F3754" i="11"/>
  <c r="F3755" i="11"/>
  <c r="F3756" i="11"/>
  <c r="F3757" i="11"/>
  <c r="F3758" i="11"/>
  <c r="F3759" i="11"/>
  <c r="F3760" i="11"/>
  <c r="F3761" i="11"/>
  <c r="F3762" i="11"/>
  <c r="F3763" i="11"/>
  <c r="F3764" i="11"/>
  <c r="F3765" i="11"/>
  <c r="F3766" i="11"/>
  <c r="F3767" i="11"/>
  <c r="F3768" i="11"/>
  <c r="F3769" i="11"/>
  <c r="F3770" i="11"/>
  <c r="F3771" i="11"/>
  <c r="F3772" i="11"/>
  <c r="F3773" i="11"/>
  <c r="F3774" i="11"/>
  <c r="F3775" i="11"/>
  <c r="F3776" i="11"/>
  <c r="F3777" i="11"/>
  <c r="F3778" i="11"/>
  <c r="F3779" i="11"/>
  <c r="F3780" i="11"/>
  <c r="F3781" i="11"/>
  <c r="F3782" i="11"/>
  <c r="F3783" i="11"/>
  <c r="F3784" i="11"/>
  <c r="F3785" i="11"/>
  <c r="F3786" i="11"/>
  <c r="F3787" i="11"/>
  <c r="F3788" i="11"/>
  <c r="F3789" i="11"/>
  <c r="F3790" i="11"/>
  <c r="F3791" i="11"/>
  <c r="F3792" i="11"/>
  <c r="F3793" i="11"/>
  <c r="F3794" i="11"/>
  <c r="F3795" i="11"/>
  <c r="F3796" i="11"/>
  <c r="F3797" i="11"/>
  <c r="F3798" i="11"/>
  <c r="F3799" i="11"/>
  <c r="F3800" i="11"/>
  <c r="F3801" i="11"/>
  <c r="F3802" i="11"/>
  <c r="F3803" i="11"/>
  <c r="F3804" i="11"/>
  <c r="F3805" i="11"/>
  <c r="F3806" i="11"/>
  <c r="F3807" i="11"/>
  <c r="F3808" i="11"/>
  <c r="F3809" i="11"/>
  <c r="F3810" i="11"/>
  <c r="F3811" i="11"/>
  <c r="F3812" i="11"/>
  <c r="F3813" i="11"/>
  <c r="F3814" i="11"/>
  <c r="F3815" i="11"/>
  <c r="F3816" i="11"/>
  <c r="F3817" i="11"/>
  <c r="F3818" i="11"/>
  <c r="F3819" i="11"/>
  <c r="F3820" i="11"/>
  <c r="F3821" i="11"/>
  <c r="F3822" i="11"/>
  <c r="F3823" i="11"/>
  <c r="F3824" i="11"/>
  <c r="F3825" i="11"/>
  <c r="F3826" i="11"/>
  <c r="F3827" i="11"/>
  <c r="F3828" i="11"/>
  <c r="F3829" i="11"/>
  <c r="F3830" i="11"/>
  <c r="F3831" i="11"/>
  <c r="F3832" i="11"/>
  <c r="F3833" i="11"/>
  <c r="F3834" i="11"/>
  <c r="F3835" i="11"/>
  <c r="F3836" i="11"/>
  <c r="F3837" i="11"/>
  <c r="F3838" i="11"/>
  <c r="F3839" i="11"/>
  <c r="F3840" i="11"/>
  <c r="F3841" i="11"/>
  <c r="F3842" i="11"/>
  <c r="F3843" i="11"/>
  <c r="F3844" i="11"/>
  <c r="F3845" i="11"/>
  <c r="F3846" i="11"/>
  <c r="F3847" i="11"/>
  <c r="F3848" i="11"/>
  <c r="F3849" i="11"/>
  <c r="F3850" i="11"/>
  <c r="F3851" i="11"/>
  <c r="F3852" i="11"/>
  <c r="F3853" i="11"/>
  <c r="F3854" i="11"/>
  <c r="F3855" i="11"/>
  <c r="F3856" i="11"/>
  <c r="F3857" i="11"/>
  <c r="F3858" i="11"/>
  <c r="F3859" i="11"/>
  <c r="F3860" i="11"/>
  <c r="F3861" i="11"/>
  <c r="F3862" i="11"/>
  <c r="F3863" i="11"/>
  <c r="F3864" i="11"/>
  <c r="F3865" i="11"/>
  <c r="F3866" i="11"/>
  <c r="F3867" i="11"/>
  <c r="F3868" i="11"/>
  <c r="F3869" i="11"/>
  <c r="F3870" i="11"/>
  <c r="F3871" i="11"/>
  <c r="F3872" i="11"/>
  <c r="F3873" i="11"/>
  <c r="F3874" i="11"/>
  <c r="F3875" i="11"/>
  <c r="F3876" i="11"/>
  <c r="F3877" i="11"/>
  <c r="F3878" i="11"/>
  <c r="F3879" i="11"/>
  <c r="F3880" i="11"/>
  <c r="F3881" i="11"/>
  <c r="F3882" i="11"/>
  <c r="F3883" i="11"/>
  <c r="F3884" i="11"/>
  <c r="F3885" i="11"/>
  <c r="F3886" i="11"/>
  <c r="F3887" i="11"/>
  <c r="F3888" i="11"/>
  <c r="F3889" i="11"/>
  <c r="D3771" i="11"/>
  <c r="D2196" i="11"/>
  <c r="D5" i="11"/>
  <c r="W5" i="11" s="1"/>
  <c r="D6" i="11"/>
  <c r="D7" i="11"/>
  <c r="D8" i="11"/>
  <c r="D9" i="11"/>
  <c r="D10" i="11"/>
  <c r="D11" i="11"/>
  <c r="G11" i="11" s="1"/>
  <c r="U11" i="11" s="1"/>
  <c r="D12" i="11"/>
  <c r="D13" i="11"/>
  <c r="W13" i="11" s="1"/>
  <c r="X13" i="11" s="1"/>
  <c r="D14" i="11"/>
  <c r="D15" i="11"/>
  <c r="D16" i="11"/>
  <c r="D17" i="11"/>
  <c r="D18" i="11"/>
  <c r="D19" i="11"/>
  <c r="W19" i="11" s="1"/>
  <c r="D20" i="11"/>
  <c r="D21" i="11"/>
  <c r="W21" i="11" s="1"/>
  <c r="D22" i="11"/>
  <c r="D23" i="11"/>
  <c r="D24" i="11"/>
  <c r="D25" i="11"/>
  <c r="D26" i="11"/>
  <c r="D27" i="11"/>
  <c r="D28" i="11"/>
  <c r="D29" i="11"/>
  <c r="W29" i="11" s="1"/>
  <c r="Z29" i="11" s="1"/>
  <c r="D30" i="11"/>
  <c r="D31" i="11"/>
  <c r="D32" i="11"/>
  <c r="D33" i="11"/>
  <c r="D34" i="11"/>
  <c r="D35" i="11"/>
  <c r="W35" i="11" s="1"/>
  <c r="D36" i="11"/>
  <c r="D37" i="11"/>
  <c r="W37" i="11" s="1"/>
  <c r="X37" i="11" s="1"/>
  <c r="D38" i="11"/>
  <c r="D39" i="11"/>
  <c r="D40" i="11"/>
  <c r="D41" i="11"/>
  <c r="D42" i="11"/>
  <c r="D43" i="11"/>
  <c r="W43" i="11" s="1"/>
  <c r="Z43" i="11" s="1"/>
  <c r="D44" i="11"/>
  <c r="D45" i="11"/>
  <c r="W45" i="11" s="1"/>
  <c r="Z45" i="11" s="1"/>
  <c r="D46" i="11"/>
  <c r="D47" i="11"/>
  <c r="D48" i="11"/>
  <c r="D49" i="11"/>
  <c r="D50" i="11"/>
  <c r="D51" i="11"/>
  <c r="D52" i="11"/>
  <c r="D53" i="11"/>
  <c r="D54" i="11"/>
  <c r="G54" i="11" s="1"/>
  <c r="U54" i="11" s="1"/>
  <c r="D55" i="11"/>
  <c r="D56" i="11"/>
  <c r="D57" i="11"/>
  <c r="D58" i="11"/>
  <c r="D59" i="11"/>
  <c r="D60" i="11"/>
  <c r="D61" i="11"/>
  <c r="D62" i="11"/>
  <c r="G62" i="11" s="1"/>
  <c r="U62" i="11" s="1"/>
  <c r="Y62" i="11" s="1"/>
  <c r="D63" i="11"/>
  <c r="D64" i="11"/>
  <c r="D65" i="11"/>
  <c r="D66" i="11"/>
  <c r="D67" i="11"/>
  <c r="D68" i="11"/>
  <c r="D69" i="11"/>
  <c r="D70" i="11"/>
  <c r="G70" i="11" s="1"/>
  <c r="U70" i="11" s="1"/>
  <c r="Y70" i="11" s="1"/>
  <c r="D71" i="11"/>
  <c r="D72" i="11"/>
  <c r="D73" i="11"/>
  <c r="D74" i="11"/>
  <c r="D75" i="11"/>
  <c r="G75" i="11" s="1"/>
  <c r="U75" i="11" s="1"/>
  <c r="D76" i="11"/>
  <c r="D77" i="11"/>
  <c r="D78" i="11"/>
  <c r="G78" i="11" s="1"/>
  <c r="U78" i="11" s="1"/>
  <c r="D79" i="11"/>
  <c r="D80" i="11"/>
  <c r="D81" i="11"/>
  <c r="D82" i="11"/>
  <c r="D83" i="11"/>
  <c r="D84" i="11"/>
  <c r="D85" i="11"/>
  <c r="D86" i="11"/>
  <c r="G86" i="11" s="1"/>
  <c r="U86" i="11" s="1"/>
  <c r="D87" i="11"/>
  <c r="D88" i="11"/>
  <c r="D89" i="11"/>
  <c r="D90" i="11"/>
  <c r="D91" i="11"/>
  <c r="G91" i="11" s="1"/>
  <c r="U91" i="11" s="1"/>
  <c r="D92" i="11"/>
  <c r="D93" i="11"/>
  <c r="D94" i="11"/>
  <c r="G94" i="11" s="1"/>
  <c r="U94" i="11" s="1"/>
  <c r="Y94" i="11" s="1"/>
  <c r="D95" i="11"/>
  <c r="D96" i="11"/>
  <c r="D97" i="11"/>
  <c r="D98" i="11"/>
  <c r="D99" i="11"/>
  <c r="D100" i="11"/>
  <c r="D101" i="11"/>
  <c r="D102" i="11"/>
  <c r="G102" i="11" s="1"/>
  <c r="U102" i="11" s="1"/>
  <c r="D103" i="11"/>
  <c r="D104" i="11"/>
  <c r="D105" i="11"/>
  <c r="D106" i="11"/>
  <c r="D107" i="11"/>
  <c r="D108" i="11"/>
  <c r="D109" i="11"/>
  <c r="D110" i="11"/>
  <c r="D111" i="11"/>
  <c r="D112" i="11"/>
  <c r="D113" i="11"/>
  <c r="D114" i="11"/>
  <c r="D115" i="11"/>
  <c r="W115" i="11" s="1"/>
  <c r="Z115" i="11" s="1"/>
  <c r="D116" i="11"/>
  <c r="D117" i="11"/>
  <c r="W117" i="11" s="1"/>
  <c r="Z117" i="11" s="1"/>
  <c r="D118" i="11"/>
  <c r="D119" i="11"/>
  <c r="D120" i="11"/>
  <c r="D121" i="11"/>
  <c r="D122" i="11"/>
  <c r="D123" i="11"/>
  <c r="W123" i="11" s="1"/>
  <c r="D124" i="11"/>
  <c r="D125" i="11"/>
  <c r="W125" i="11" s="1"/>
  <c r="D126" i="11"/>
  <c r="D127" i="11"/>
  <c r="D128" i="11"/>
  <c r="D129" i="11"/>
  <c r="D130" i="11"/>
  <c r="D131" i="11"/>
  <c r="W131" i="11" s="1"/>
  <c r="Z131" i="11" s="1"/>
  <c r="D132" i="11"/>
  <c r="D133" i="11"/>
  <c r="W133" i="11" s="1"/>
  <c r="X133" i="11" s="1"/>
  <c r="D134" i="11"/>
  <c r="D135" i="11"/>
  <c r="D136" i="11"/>
  <c r="D137" i="11"/>
  <c r="D138" i="11"/>
  <c r="D139" i="11"/>
  <c r="W139" i="11" s="1"/>
  <c r="Z139" i="11" s="1"/>
  <c r="D140" i="11"/>
  <c r="D141" i="11"/>
  <c r="W141" i="11" s="1"/>
  <c r="D142" i="11"/>
  <c r="D143" i="11"/>
  <c r="D144" i="11"/>
  <c r="D145" i="11"/>
  <c r="D146" i="11"/>
  <c r="D147" i="11"/>
  <c r="W147" i="11" s="1"/>
  <c r="Z147" i="11" s="1"/>
  <c r="D148" i="11"/>
  <c r="D149" i="11"/>
  <c r="W149" i="11" s="1"/>
  <c r="X149" i="11" s="1"/>
  <c r="D150" i="11"/>
  <c r="D151" i="11"/>
  <c r="D152" i="11"/>
  <c r="D153" i="11"/>
  <c r="D154" i="11"/>
  <c r="D155" i="11"/>
  <c r="G155" i="11" s="1"/>
  <c r="U155" i="11" s="1"/>
  <c r="D156" i="11"/>
  <c r="D157" i="11"/>
  <c r="D158" i="11"/>
  <c r="G158" i="11" s="1"/>
  <c r="U158" i="11" s="1"/>
  <c r="D159" i="11"/>
  <c r="D160" i="11"/>
  <c r="D161" i="11"/>
  <c r="D162" i="11"/>
  <c r="D163" i="11"/>
  <c r="D164" i="11"/>
  <c r="D165" i="11"/>
  <c r="D166" i="11"/>
  <c r="G166" i="11" s="1"/>
  <c r="U166" i="11" s="1"/>
  <c r="D167" i="11"/>
  <c r="D168" i="11"/>
  <c r="D169" i="11"/>
  <c r="D170" i="11"/>
  <c r="D171" i="11"/>
  <c r="D172" i="11"/>
  <c r="D173" i="11"/>
  <c r="D174" i="11"/>
  <c r="G174" i="11" s="1"/>
  <c r="U174" i="11" s="1"/>
  <c r="Y174" i="11" s="1"/>
  <c r="D175" i="11"/>
  <c r="D176" i="11"/>
  <c r="D177" i="11"/>
  <c r="D178" i="11"/>
  <c r="D179" i="11"/>
  <c r="D180" i="11"/>
  <c r="D181" i="11"/>
  <c r="D182" i="11"/>
  <c r="G182" i="11" s="1"/>
  <c r="U182" i="11" s="1"/>
  <c r="Y182" i="11" s="1"/>
  <c r="D183" i="11"/>
  <c r="D184" i="11"/>
  <c r="D185" i="11"/>
  <c r="D186" i="11"/>
  <c r="D187" i="11"/>
  <c r="D188" i="11"/>
  <c r="D189" i="11"/>
  <c r="D190" i="11"/>
  <c r="G190" i="11" s="1"/>
  <c r="U190" i="11" s="1"/>
  <c r="V190" i="11" s="1"/>
  <c r="D191" i="11"/>
  <c r="D192" i="11"/>
  <c r="D193" i="11"/>
  <c r="D194" i="11"/>
  <c r="D195" i="11"/>
  <c r="D196" i="11"/>
  <c r="D197" i="11"/>
  <c r="D198" i="11"/>
  <c r="G198" i="11" s="1"/>
  <c r="U198" i="11" s="1"/>
  <c r="D199" i="11"/>
  <c r="D200" i="11"/>
  <c r="D201" i="11"/>
  <c r="D202" i="11"/>
  <c r="D203" i="11"/>
  <c r="G203" i="11" s="1"/>
  <c r="U203" i="11" s="1"/>
  <c r="D204" i="11"/>
  <c r="D205" i="11"/>
  <c r="D206" i="11"/>
  <c r="G206" i="11" s="1"/>
  <c r="U206" i="11" s="1"/>
  <c r="D207" i="11"/>
  <c r="D208" i="11"/>
  <c r="D209" i="11"/>
  <c r="D210" i="11"/>
  <c r="D211" i="11"/>
  <c r="D212" i="11"/>
  <c r="D213" i="11"/>
  <c r="D214" i="11"/>
  <c r="G214" i="11" s="1"/>
  <c r="U214" i="11" s="1"/>
  <c r="D215" i="11"/>
  <c r="D216" i="11"/>
  <c r="D217" i="11"/>
  <c r="D218" i="11"/>
  <c r="D219" i="11"/>
  <c r="D220" i="11"/>
  <c r="D221" i="11"/>
  <c r="W221" i="11" s="1"/>
  <c r="D222" i="11"/>
  <c r="D223" i="11"/>
  <c r="D224" i="11"/>
  <c r="D225" i="11"/>
  <c r="D226" i="11"/>
  <c r="D227" i="11"/>
  <c r="W227" i="11" s="1"/>
  <c r="X227" i="11" s="1"/>
  <c r="D228" i="11"/>
  <c r="D229" i="11"/>
  <c r="W229" i="11" s="1"/>
  <c r="X229" i="11" s="1"/>
  <c r="D230" i="11"/>
  <c r="D231" i="11"/>
  <c r="D232" i="11"/>
  <c r="D233" i="11"/>
  <c r="D234" i="11"/>
  <c r="D235" i="11"/>
  <c r="W235" i="11" s="1"/>
  <c r="D236" i="11"/>
  <c r="D237" i="11"/>
  <c r="W237" i="11" s="1"/>
  <c r="Z237" i="11" s="1"/>
  <c r="D238" i="11"/>
  <c r="D239" i="11"/>
  <c r="D240" i="11"/>
  <c r="D241" i="11"/>
  <c r="D242" i="11"/>
  <c r="D243" i="11"/>
  <c r="W243" i="11" s="1"/>
  <c r="X243" i="11" s="1"/>
  <c r="D244" i="11"/>
  <c r="D245" i="11"/>
  <c r="W245" i="11" s="1"/>
  <c r="Z245" i="11" s="1"/>
  <c r="D246" i="11"/>
  <c r="D247" i="11"/>
  <c r="D248" i="11"/>
  <c r="D249" i="11"/>
  <c r="D250" i="11"/>
  <c r="D251" i="11"/>
  <c r="W251" i="11" s="1"/>
  <c r="D252" i="11"/>
  <c r="D253" i="11"/>
  <c r="W253" i="11" s="1"/>
  <c r="D254" i="11"/>
  <c r="D255" i="11"/>
  <c r="D256" i="11"/>
  <c r="D257" i="11"/>
  <c r="D258" i="11"/>
  <c r="D259" i="11"/>
  <c r="D260" i="11"/>
  <c r="D261" i="11"/>
  <c r="D262" i="11"/>
  <c r="G262" i="11" s="1"/>
  <c r="U262" i="11" s="1"/>
  <c r="D263" i="11"/>
  <c r="D264" i="11"/>
  <c r="D265" i="11"/>
  <c r="D266" i="11"/>
  <c r="D267" i="11"/>
  <c r="D268" i="11"/>
  <c r="D269" i="11"/>
  <c r="D270" i="11"/>
  <c r="G270" i="11" s="1"/>
  <c r="U270" i="11" s="1"/>
  <c r="D271" i="11"/>
  <c r="D272" i="11"/>
  <c r="D273" i="11"/>
  <c r="D274" i="11"/>
  <c r="D275" i="11"/>
  <c r="D276" i="11"/>
  <c r="D277" i="11"/>
  <c r="D278" i="11"/>
  <c r="G278" i="11" s="1"/>
  <c r="U278" i="11" s="1"/>
  <c r="D279" i="11"/>
  <c r="D280" i="11"/>
  <c r="D281" i="11"/>
  <c r="D282" i="11"/>
  <c r="D283" i="11"/>
  <c r="D284" i="11"/>
  <c r="D285" i="11"/>
  <c r="D286" i="11"/>
  <c r="G286" i="11" s="1"/>
  <c r="U286" i="11" s="1"/>
  <c r="D287" i="11"/>
  <c r="D288" i="11"/>
  <c r="D289" i="11"/>
  <c r="D290" i="11"/>
  <c r="D291" i="11"/>
  <c r="D292" i="11"/>
  <c r="D293" i="11"/>
  <c r="D294" i="11"/>
  <c r="G294" i="11" s="1"/>
  <c r="U294" i="11" s="1"/>
  <c r="D295" i="11"/>
  <c r="D296" i="11"/>
  <c r="D297" i="11"/>
  <c r="D298" i="11"/>
  <c r="D299" i="11"/>
  <c r="D300" i="11"/>
  <c r="D301" i="11"/>
  <c r="D302" i="11"/>
  <c r="G302" i="11" s="1"/>
  <c r="D303" i="11"/>
  <c r="D304" i="11"/>
  <c r="D305" i="11"/>
  <c r="D306" i="11"/>
  <c r="D307" i="11"/>
  <c r="D308" i="11"/>
  <c r="D309" i="11"/>
  <c r="D310" i="11"/>
  <c r="G310" i="11" s="1"/>
  <c r="U310" i="11" s="1"/>
  <c r="D311" i="11"/>
  <c r="D312" i="11"/>
  <c r="D313" i="11"/>
  <c r="D314" i="11"/>
  <c r="D315" i="11"/>
  <c r="D316" i="11"/>
  <c r="D317" i="11"/>
  <c r="D318" i="11"/>
  <c r="G318" i="11" s="1"/>
  <c r="U318" i="11" s="1"/>
  <c r="D319" i="11"/>
  <c r="D320" i="11"/>
  <c r="D321" i="11"/>
  <c r="D322" i="11"/>
  <c r="D323" i="11"/>
  <c r="W323" i="11" s="1"/>
  <c r="Z323" i="11" s="1"/>
  <c r="D324" i="11"/>
  <c r="D325" i="11"/>
  <c r="W325" i="11" s="1"/>
  <c r="Z325" i="11" s="1"/>
  <c r="D326" i="11"/>
  <c r="D327" i="11"/>
  <c r="D328" i="11"/>
  <c r="D329" i="11"/>
  <c r="D330" i="11"/>
  <c r="D331" i="11"/>
  <c r="W331" i="11" s="1"/>
  <c r="D332" i="11"/>
  <c r="D333" i="11"/>
  <c r="W333" i="11" s="1"/>
  <c r="D334" i="11"/>
  <c r="D335" i="11"/>
  <c r="D336" i="11"/>
  <c r="D337" i="11"/>
  <c r="D338" i="11"/>
  <c r="D339" i="11"/>
  <c r="W339" i="11" s="1"/>
  <c r="X339" i="11" s="1"/>
  <c r="D340" i="11"/>
  <c r="D341" i="11"/>
  <c r="W341" i="11" s="1"/>
  <c r="Z341" i="11" s="1"/>
  <c r="D342" i="11"/>
  <c r="D343" i="11"/>
  <c r="D344" i="11"/>
  <c r="D345" i="11"/>
  <c r="D346" i="11"/>
  <c r="D347" i="11"/>
  <c r="W347" i="11" s="1"/>
  <c r="X347" i="11" s="1"/>
  <c r="D348" i="11"/>
  <c r="D349" i="11"/>
  <c r="W349" i="11" s="1"/>
  <c r="D350" i="11"/>
  <c r="D351" i="11"/>
  <c r="D352" i="11"/>
  <c r="D353" i="11"/>
  <c r="D354" i="11"/>
  <c r="D355" i="11"/>
  <c r="W355" i="11" s="1"/>
  <c r="Z355" i="11" s="1"/>
  <c r="D356" i="11"/>
  <c r="D357" i="11"/>
  <c r="W357" i="11" s="1"/>
  <c r="X357" i="11" s="1"/>
  <c r="D358" i="11"/>
  <c r="D359" i="11"/>
  <c r="D360" i="11"/>
  <c r="D361" i="11"/>
  <c r="D362" i="11"/>
  <c r="D363" i="11"/>
  <c r="D364" i="11"/>
  <c r="D365" i="11"/>
  <c r="D366" i="11"/>
  <c r="G366" i="11" s="1"/>
  <c r="U366" i="11" s="1"/>
  <c r="D367" i="11"/>
  <c r="D368" i="11"/>
  <c r="D369" i="11"/>
  <c r="D370" i="11"/>
  <c r="D371" i="11"/>
  <c r="D372" i="11"/>
  <c r="D373" i="11"/>
  <c r="D374" i="11"/>
  <c r="G374" i="11" s="1"/>
  <c r="U374" i="11" s="1"/>
  <c r="Y374" i="11" s="1"/>
  <c r="D375" i="11"/>
  <c r="D376" i="11"/>
  <c r="D377" i="11"/>
  <c r="D378" i="11"/>
  <c r="D379" i="11"/>
  <c r="D380" i="11"/>
  <c r="D381" i="11"/>
  <c r="D382" i="11"/>
  <c r="G382" i="11" s="1"/>
  <c r="U382" i="11" s="1"/>
  <c r="V382" i="11" s="1"/>
  <c r="D383" i="11"/>
  <c r="D384" i="11"/>
  <c r="D385" i="11"/>
  <c r="D386" i="11"/>
  <c r="D387" i="11"/>
  <c r="D388" i="11"/>
  <c r="D389" i="11"/>
  <c r="D390" i="11"/>
  <c r="G390" i="11" s="1"/>
  <c r="U390" i="11" s="1"/>
  <c r="Y390" i="11" s="1"/>
  <c r="D391" i="11"/>
  <c r="D392" i="11"/>
  <c r="D393" i="11"/>
  <c r="D394" i="11"/>
  <c r="D395" i="11"/>
  <c r="D396" i="11"/>
  <c r="D397" i="11"/>
  <c r="D398" i="11"/>
  <c r="G398" i="11" s="1"/>
  <c r="U398" i="11" s="1"/>
  <c r="D399" i="11"/>
  <c r="D400" i="11"/>
  <c r="D401" i="11"/>
  <c r="D402" i="11"/>
  <c r="D403" i="11"/>
  <c r="D404" i="11"/>
  <c r="D405" i="11"/>
  <c r="D406" i="11"/>
  <c r="G406" i="11" s="1"/>
  <c r="U406" i="11" s="1"/>
  <c r="Y406" i="11" s="1"/>
  <c r="D407" i="11"/>
  <c r="D408" i="11"/>
  <c r="D409" i="11"/>
  <c r="D410" i="11"/>
  <c r="D411" i="11"/>
  <c r="D412" i="11"/>
  <c r="D413" i="11"/>
  <c r="D414" i="11"/>
  <c r="G414" i="11" s="1"/>
  <c r="U414" i="11" s="1"/>
  <c r="Y414" i="11" s="1"/>
  <c r="D415" i="11"/>
  <c r="D416" i="11"/>
  <c r="D417" i="11"/>
  <c r="D418" i="11"/>
  <c r="D419" i="11"/>
  <c r="D420" i="11"/>
  <c r="D421" i="11"/>
  <c r="D422" i="11"/>
  <c r="G422" i="11" s="1"/>
  <c r="U422" i="11" s="1"/>
  <c r="D423" i="11"/>
  <c r="D424" i="11"/>
  <c r="D425" i="11"/>
  <c r="D426" i="11"/>
  <c r="D427" i="11"/>
  <c r="W427" i="11" s="1"/>
  <c r="D428" i="11"/>
  <c r="D429" i="11"/>
  <c r="W429" i="11" s="1"/>
  <c r="Z429" i="11" s="1"/>
  <c r="D430" i="11"/>
  <c r="D431" i="11"/>
  <c r="D432" i="11"/>
  <c r="D433" i="11"/>
  <c r="D434" i="11"/>
  <c r="D435" i="11"/>
  <c r="W435" i="11" s="1"/>
  <c r="X435" i="11" s="1"/>
  <c r="D436" i="11"/>
  <c r="D437" i="11"/>
  <c r="W437" i="11" s="1"/>
  <c r="D438" i="11"/>
  <c r="D439" i="11"/>
  <c r="D440" i="11"/>
  <c r="D441" i="11"/>
  <c r="D442" i="11"/>
  <c r="D443" i="11"/>
  <c r="W443" i="11" s="1"/>
  <c r="D444" i="11"/>
  <c r="D445" i="11"/>
  <c r="W445" i="11" s="1"/>
  <c r="D446" i="11"/>
  <c r="D447" i="11"/>
  <c r="D448" i="11"/>
  <c r="D449" i="11"/>
  <c r="D450" i="11"/>
  <c r="D451" i="11"/>
  <c r="W451" i="11" s="1"/>
  <c r="X451" i="11" s="1"/>
  <c r="D452" i="11"/>
  <c r="D453" i="11"/>
  <c r="W453" i="11" s="1"/>
  <c r="Z453" i="11" s="1"/>
  <c r="D454" i="11"/>
  <c r="D455" i="11"/>
  <c r="D456" i="11"/>
  <c r="D457" i="11"/>
  <c r="D458" i="11"/>
  <c r="D459" i="11"/>
  <c r="W459" i="11" s="1"/>
  <c r="D460" i="11"/>
  <c r="D461" i="11"/>
  <c r="W461" i="11" s="1"/>
  <c r="D462" i="11"/>
  <c r="D463" i="11"/>
  <c r="D464" i="11"/>
  <c r="D465" i="11"/>
  <c r="D466" i="11"/>
  <c r="D467" i="11"/>
  <c r="D468" i="11"/>
  <c r="D469" i="11"/>
  <c r="D470" i="11"/>
  <c r="G470" i="11" s="1"/>
  <c r="U470" i="11" s="1"/>
  <c r="V470" i="11" s="1"/>
  <c r="D471" i="11"/>
  <c r="D472" i="11"/>
  <c r="D473" i="11"/>
  <c r="D474" i="11"/>
  <c r="D475" i="11"/>
  <c r="D476" i="11"/>
  <c r="D477" i="11"/>
  <c r="D478" i="11"/>
  <c r="G478" i="11" s="1"/>
  <c r="U478" i="11" s="1"/>
  <c r="Y478" i="11" s="1"/>
  <c r="D479" i="11"/>
  <c r="D480" i="11"/>
  <c r="D481" i="11"/>
  <c r="D482" i="11"/>
  <c r="D483" i="11"/>
  <c r="D484" i="11"/>
  <c r="D485" i="11"/>
  <c r="D486" i="11"/>
  <c r="G486" i="11" s="1"/>
  <c r="U486" i="11" s="1"/>
  <c r="D487" i="11"/>
  <c r="D488" i="11"/>
  <c r="D489" i="11"/>
  <c r="D490" i="11"/>
  <c r="D491" i="11"/>
  <c r="D492" i="11"/>
  <c r="D493" i="11"/>
  <c r="D494" i="11"/>
  <c r="G494" i="11" s="1"/>
  <c r="U494" i="11" s="1"/>
  <c r="V494" i="11" s="1"/>
  <c r="D495" i="11"/>
  <c r="D496" i="11"/>
  <c r="D497" i="11"/>
  <c r="D498" i="11"/>
  <c r="D499" i="11"/>
  <c r="D500" i="11"/>
  <c r="D501" i="11"/>
  <c r="D502" i="11"/>
  <c r="G502" i="11" s="1"/>
  <c r="U502" i="11" s="1"/>
  <c r="Y502" i="11" s="1"/>
  <c r="D503" i="11"/>
  <c r="D504" i="11"/>
  <c r="D505" i="11"/>
  <c r="D506" i="11"/>
  <c r="D507" i="11"/>
  <c r="D508" i="11"/>
  <c r="D509" i="11"/>
  <c r="D510" i="11"/>
  <c r="G510" i="11" s="1"/>
  <c r="U510" i="11" s="1"/>
  <c r="V510" i="11" s="1"/>
  <c r="D511" i="11"/>
  <c r="D512" i="11"/>
  <c r="D513" i="11"/>
  <c r="D514" i="11"/>
  <c r="D515" i="11"/>
  <c r="D516" i="11"/>
  <c r="D517" i="11"/>
  <c r="D518" i="11"/>
  <c r="G518" i="11" s="1"/>
  <c r="U518" i="11" s="1"/>
  <c r="Y518" i="11" s="1"/>
  <c r="D519" i="11"/>
  <c r="D520" i="11"/>
  <c r="D521" i="11"/>
  <c r="D522" i="11"/>
  <c r="D523" i="11"/>
  <c r="D524" i="11"/>
  <c r="D525" i="11"/>
  <c r="D526" i="11"/>
  <c r="G526" i="11" s="1"/>
  <c r="U526" i="11" s="1"/>
  <c r="D527" i="11"/>
  <c r="D528" i="11"/>
  <c r="D529" i="11"/>
  <c r="D530" i="11"/>
  <c r="D531" i="11"/>
  <c r="D532" i="11"/>
  <c r="D533" i="11"/>
  <c r="W533" i="11" s="1"/>
  <c r="Z533" i="11" s="1"/>
  <c r="D534" i="11"/>
  <c r="D535" i="11"/>
  <c r="D536" i="11"/>
  <c r="D537" i="11"/>
  <c r="D538" i="11"/>
  <c r="D539" i="11"/>
  <c r="W539" i="11" s="1"/>
  <c r="D540" i="11"/>
  <c r="D541" i="11"/>
  <c r="W541" i="11" s="1"/>
  <c r="Z541" i="11" s="1"/>
  <c r="D542" i="11"/>
  <c r="D543" i="11"/>
  <c r="D544" i="11"/>
  <c r="D545" i="11"/>
  <c r="D546" i="11"/>
  <c r="D547" i="11"/>
  <c r="W547" i="11" s="1"/>
  <c r="X547" i="11" s="1"/>
  <c r="D548" i="11"/>
  <c r="D549" i="11"/>
  <c r="W549" i="11" s="1"/>
  <c r="Z549" i="11" s="1"/>
  <c r="D550" i="11"/>
  <c r="D551" i="11"/>
  <c r="D552" i="11"/>
  <c r="D553" i="11"/>
  <c r="D554" i="11"/>
  <c r="D555" i="11"/>
  <c r="W555" i="11" s="1"/>
  <c r="D556" i="11"/>
  <c r="D557" i="11"/>
  <c r="W557" i="11" s="1"/>
  <c r="X557" i="11" s="1"/>
  <c r="D558" i="11"/>
  <c r="D559" i="11"/>
  <c r="D560" i="11"/>
  <c r="D561" i="11"/>
  <c r="D562" i="11"/>
  <c r="D563" i="11"/>
  <c r="W563" i="11" s="1"/>
  <c r="Z563" i="11" s="1"/>
  <c r="D564" i="11"/>
  <c r="D565" i="11"/>
  <c r="W565" i="11" s="1"/>
  <c r="D566" i="11"/>
  <c r="D567" i="11"/>
  <c r="D568" i="11"/>
  <c r="D569" i="11"/>
  <c r="D570" i="11"/>
  <c r="D571" i="11"/>
  <c r="W571" i="11" s="1"/>
  <c r="D572" i="11"/>
  <c r="D573" i="11"/>
  <c r="D574" i="11"/>
  <c r="G574" i="11" s="1"/>
  <c r="U574" i="11" s="1"/>
  <c r="D575" i="11"/>
  <c r="D576" i="11"/>
  <c r="D577" i="11"/>
  <c r="D578" i="11"/>
  <c r="D579" i="11"/>
  <c r="D580" i="11"/>
  <c r="D581" i="11"/>
  <c r="D582" i="11"/>
  <c r="G582" i="11" s="1"/>
  <c r="U582" i="11" s="1"/>
  <c r="Y582" i="11" s="1"/>
  <c r="D583" i="11"/>
  <c r="D584" i="11"/>
  <c r="D585" i="11"/>
  <c r="D586" i="11"/>
  <c r="D587" i="11"/>
  <c r="D588" i="11"/>
  <c r="D589" i="11"/>
  <c r="D590" i="11"/>
  <c r="G590" i="11" s="1"/>
  <c r="U590" i="11" s="1"/>
  <c r="Y590" i="11" s="1"/>
  <c r="D591" i="11"/>
  <c r="D592" i="11"/>
  <c r="D593" i="11"/>
  <c r="D594" i="11"/>
  <c r="D595" i="11"/>
  <c r="D596" i="11"/>
  <c r="D597" i="11"/>
  <c r="D598" i="11"/>
  <c r="G598" i="11" s="1"/>
  <c r="U598" i="11" s="1"/>
  <c r="D599" i="11"/>
  <c r="D600" i="11"/>
  <c r="D601" i="11"/>
  <c r="D602" i="11"/>
  <c r="D603" i="11"/>
  <c r="D604" i="11"/>
  <c r="D605" i="11"/>
  <c r="D606" i="11"/>
  <c r="G606" i="11" s="1"/>
  <c r="U606" i="11" s="1"/>
  <c r="D607" i="11"/>
  <c r="D608" i="11"/>
  <c r="D609" i="11"/>
  <c r="D610" i="11"/>
  <c r="D611" i="11"/>
  <c r="D612" i="11"/>
  <c r="D613" i="11"/>
  <c r="D614" i="11"/>
  <c r="G614" i="11" s="1"/>
  <c r="U614" i="11" s="1"/>
  <c r="V614" i="11" s="1"/>
  <c r="D615" i="11"/>
  <c r="D616" i="11"/>
  <c r="D617" i="11"/>
  <c r="D618" i="11"/>
  <c r="D619" i="11"/>
  <c r="D620" i="11"/>
  <c r="D621" i="11"/>
  <c r="D622" i="11"/>
  <c r="G622" i="11" s="1"/>
  <c r="U622" i="11" s="1"/>
  <c r="D623" i="11"/>
  <c r="D624" i="11"/>
  <c r="D625" i="11"/>
  <c r="D626" i="11"/>
  <c r="D627" i="11"/>
  <c r="D628" i="11"/>
  <c r="D629" i="11"/>
  <c r="D630" i="11"/>
  <c r="G630" i="11" s="1"/>
  <c r="U630" i="11" s="1"/>
  <c r="D631" i="11"/>
  <c r="D632" i="11"/>
  <c r="D633" i="11"/>
  <c r="D634" i="11"/>
  <c r="D635" i="11"/>
  <c r="W635" i="11" s="1"/>
  <c r="D636" i="11"/>
  <c r="D637" i="11"/>
  <c r="W637" i="11" s="1"/>
  <c r="D638" i="11"/>
  <c r="D639" i="11"/>
  <c r="D640" i="11"/>
  <c r="D641" i="11"/>
  <c r="D642" i="11"/>
  <c r="D643" i="11"/>
  <c r="W643" i="11" s="1"/>
  <c r="Z643" i="11" s="1"/>
  <c r="D644" i="11"/>
  <c r="D645" i="11"/>
  <c r="W645" i="11" s="1"/>
  <c r="Z645" i="11" s="1"/>
  <c r="D646" i="11"/>
  <c r="D647" i="11"/>
  <c r="D648" i="11"/>
  <c r="D649" i="11"/>
  <c r="D650" i="11"/>
  <c r="D651" i="11"/>
  <c r="W651" i="11" s="1"/>
  <c r="Z651" i="11" s="1"/>
  <c r="D652" i="11"/>
  <c r="D653" i="11"/>
  <c r="W653" i="11" s="1"/>
  <c r="D654" i="11"/>
  <c r="D655" i="11"/>
  <c r="D656" i="11"/>
  <c r="D657" i="11"/>
  <c r="D658" i="11"/>
  <c r="D659" i="11"/>
  <c r="W659" i="11" s="1"/>
  <c r="X659" i="11" s="1"/>
  <c r="D660" i="11"/>
  <c r="D661" i="11"/>
  <c r="W661" i="11" s="1"/>
  <c r="Z661" i="11" s="1"/>
  <c r="D662" i="11"/>
  <c r="D663" i="11"/>
  <c r="D664" i="11"/>
  <c r="D665" i="11"/>
  <c r="D666" i="11"/>
  <c r="D667" i="11"/>
  <c r="W667" i="11" s="1"/>
  <c r="D668" i="11"/>
  <c r="D669" i="11"/>
  <c r="W669" i="11" s="1"/>
  <c r="D670" i="11"/>
  <c r="D671" i="11"/>
  <c r="D672" i="11"/>
  <c r="D673" i="11"/>
  <c r="D674" i="11"/>
  <c r="D675" i="11"/>
  <c r="W675" i="11" s="1"/>
  <c r="D676" i="11"/>
  <c r="D677" i="11"/>
  <c r="D678" i="11"/>
  <c r="G678" i="11" s="1"/>
  <c r="U678" i="11" s="1"/>
  <c r="D679" i="11"/>
  <c r="D680" i="11"/>
  <c r="D681" i="11"/>
  <c r="D682" i="11"/>
  <c r="D683" i="11"/>
  <c r="D684" i="11"/>
  <c r="D685" i="11"/>
  <c r="D686" i="11"/>
  <c r="G686" i="11" s="1"/>
  <c r="D687" i="11"/>
  <c r="D688" i="11"/>
  <c r="D689" i="11"/>
  <c r="D690" i="11"/>
  <c r="D691" i="11"/>
  <c r="D692" i="11"/>
  <c r="D693" i="11"/>
  <c r="D694" i="11"/>
  <c r="G694" i="11" s="1"/>
  <c r="D695" i="11"/>
  <c r="D696" i="11"/>
  <c r="D697" i="11"/>
  <c r="D698" i="11"/>
  <c r="D699" i="11"/>
  <c r="D700" i="11"/>
  <c r="D701" i="11"/>
  <c r="D702" i="11"/>
  <c r="G702" i="11" s="1"/>
  <c r="U702" i="11" s="1"/>
  <c r="D703" i="11"/>
  <c r="D704" i="11"/>
  <c r="D705" i="11"/>
  <c r="D706" i="11"/>
  <c r="D707" i="11"/>
  <c r="D708" i="11"/>
  <c r="D709" i="11"/>
  <c r="D710" i="11"/>
  <c r="G710" i="11" s="1"/>
  <c r="U710" i="11" s="1"/>
  <c r="V710" i="11" s="1"/>
  <c r="D711" i="11"/>
  <c r="D712" i="11"/>
  <c r="D713" i="11"/>
  <c r="D714" i="11"/>
  <c r="D715" i="11"/>
  <c r="D716" i="11"/>
  <c r="D717" i="11"/>
  <c r="D718" i="11"/>
  <c r="G718" i="11" s="1"/>
  <c r="D719" i="11"/>
  <c r="D720" i="11"/>
  <c r="D721" i="11"/>
  <c r="D722" i="11"/>
  <c r="D723" i="11"/>
  <c r="D724" i="11"/>
  <c r="D725" i="11"/>
  <c r="D726" i="11"/>
  <c r="G726" i="11" s="1"/>
  <c r="U726" i="11" s="1"/>
  <c r="D727" i="11"/>
  <c r="D728" i="11"/>
  <c r="D729" i="11"/>
  <c r="D730" i="11"/>
  <c r="D731" i="11"/>
  <c r="D732" i="11"/>
  <c r="D733" i="11"/>
  <c r="D734" i="11"/>
  <c r="G734" i="11" s="1"/>
  <c r="U734" i="11" s="1"/>
  <c r="D735" i="11"/>
  <c r="D736" i="11"/>
  <c r="D737" i="11"/>
  <c r="D738" i="11"/>
  <c r="D739" i="11"/>
  <c r="D740" i="11"/>
  <c r="D741" i="11"/>
  <c r="W741" i="11" s="1"/>
  <c r="D742" i="11"/>
  <c r="D743" i="11"/>
  <c r="D744" i="11"/>
  <c r="D745" i="11"/>
  <c r="D746" i="11"/>
  <c r="D747" i="11"/>
  <c r="D748" i="11"/>
  <c r="D749" i="11"/>
  <c r="W749" i="11" s="1"/>
  <c r="X749" i="11" s="1"/>
  <c r="D750" i="11"/>
  <c r="D751" i="11"/>
  <c r="D752" i="11"/>
  <c r="D753" i="11"/>
  <c r="D754" i="11"/>
  <c r="D755" i="11"/>
  <c r="W755" i="11" s="1"/>
  <c r="Z755" i="11" s="1"/>
  <c r="D756" i="11"/>
  <c r="D757" i="11"/>
  <c r="W757" i="11" s="1"/>
  <c r="D758" i="11"/>
  <c r="D759" i="11"/>
  <c r="D760" i="11"/>
  <c r="D761" i="11"/>
  <c r="D762" i="11"/>
  <c r="D763" i="11"/>
  <c r="W763" i="11" s="1"/>
  <c r="D764" i="11"/>
  <c r="D765" i="11"/>
  <c r="W765" i="11" s="1"/>
  <c r="D766" i="11"/>
  <c r="D767" i="11"/>
  <c r="D768" i="11"/>
  <c r="D769" i="11"/>
  <c r="D770" i="11"/>
  <c r="D771" i="11"/>
  <c r="W771" i="11" s="1"/>
  <c r="X771" i="11" s="1"/>
  <c r="D772" i="11"/>
  <c r="D773" i="11"/>
  <c r="W773" i="11" s="1"/>
  <c r="X773" i="11" s="1"/>
  <c r="D774" i="11"/>
  <c r="D775" i="11"/>
  <c r="D776" i="11"/>
  <c r="D777" i="11"/>
  <c r="D778" i="11"/>
  <c r="D779" i="11"/>
  <c r="W779" i="11" s="1"/>
  <c r="Z779" i="11" s="1"/>
  <c r="D780" i="11"/>
  <c r="D781" i="11"/>
  <c r="W781" i="11" s="1"/>
  <c r="D782" i="11"/>
  <c r="G782" i="11" s="1"/>
  <c r="U782" i="11" s="1"/>
  <c r="D783" i="11"/>
  <c r="D784" i="11"/>
  <c r="D785" i="11"/>
  <c r="D786" i="11"/>
  <c r="D787" i="11"/>
  <c r="D788" i="11"/>
  <c r="D789" i="11"/>
  <c r="D790" i="11"/>
  <c r="G790" i="11" s="1"/>
  <c r="U790" i="11" s="1"/>
  <c r="V790" i="11" s="1"/>
  <c r="D791" i="11"/>
  <c r="D792" i="11"/>
  <c r="D793" i="11"/>
  <c r="D794" i="11"/>
  <c r="D795" i="11"/>
  <c r="D796" i="11"/>
  <c r="D797" i="11"/>
  <c r="D798" i="11"/>
  <c r="G798" i="11" s="1"/>
  <c r="U798" i="11" s="1"/>
  <c r="D799" i="11"/>
  <c r="D800" i="11"/>
  <c r="D801" i="11"/>
  <c r="D802" i="11"/>
  <c r="D803" i="11"/>
  <c r="D804" i="11"/>
  <c r="D805" i="11"/>
  <c r="D806" i="11"/>
  <c r="G806" i="11" s="1"/>
  <c r="U806" i="11" s="1"/>
  <c r="V806" i="11" s="1"/>
  <c r="D807" i="11"/>
  <c r="D808" i="11"/>
  <c r="D809" i="11"/>
  <c r="D810" i="11"/>
  <c r="D811" i="11"/>
  <c r="D812" i="11"/>
  <c r="D813" i="11"/>
  <c r="D814" i="11"/>
  <c r="G814" i="11" s="1"/>
  <c r="U814" i="11" s="1"/>
  <c r="D815" i="11"/>
  <c r="D816" i="11"/>
  <c r="D817" i="11"/>
  <c r="D818" i="11"/>
  <c r="D819" i="11"/>
  <c r="D820" i="11"/>
  <c r="D821" i="11"/>
  <c r="D822" i="11"/>
  <c r="G822" i="11" s="1"/>
  <c r="U822" i="11" s="1"/>
  <c r="V822" i="11" s="1"/>
  <c r="D823" i="11"/>
  <c r="D824" i="11"/>
  <c r="D825" i="11"/>
  <c r="D826" i="11"/>
  <c r="D827" i="11"/>
  <c r="D828" i="11"/>
  <c r="D829" i="11"/>
  <c r="D830" i="11"/>
  <c r="G830" i="11" s="1"/>
  <c r="U830" i="11" s="1"/>
  <c r="Y830" i="11" s="1"/>
  <c r="D831" i="11"/>
  <c r="D832" i="11"/>
  <c r="D833" i="11"/>
  <c r="D834" i="11"/>
  <c r="D835" i="11"/>
  <c r="D836" i="11"/>
  <c r="D837" i="11"/>
  <c r="D838" i="11"/>
  <c r="G838" i="11" s="1"/>
  <c r="D839" i="11"/>
  <c r="D840" i="11"/>
  <c r="D841" i="11"/>
  <c r="D842" i="11"/>
  <c r="D843" i="11"/>
  <c r="D844" i="11"/>
  <c r="D845" i="11"/>
  <c r="W845" i="11" s="1"/>
  <c r="D846" i="11"/>
  <c r="D847" i="11"/>
  <c r="D848" i="11"/>
  <c r="D849" i="11"/>
  <c r="D850" i="11"/>
  <c r="D851" i="11"/>
  <c r="W851" i="11" s="1"/>
  <c r="D852" i="11"/>
  <c r="D853" i="11"/>
  <c r="W853" i="11" s="1"/>
  <c r="Z853" i="11" s="1"/>
  <c r="D854" i="11"/>
  <c r="D855" i="11"/>
  <c r="D856" i="11"/>
  <c r="D857" i="11"/>
  <c r="D858" i="11"/>
  <c r="D859" i="11"/>
  <c r="W859" i="11" s="1"/>
  <c r="X859" i="11" s="1"/>
  <c r="D860" i="11"/>
  <c r="D861" i="11"/>
  <c r="W861" i="11" s="1"/>
  <c r="Z861" i="11" s="1"/>
  <c r="D862" i="11"/>
  <c r="D863" i="11"/>
  <c r="D864" i="11"/>
  <c r="D865" i="11"/>
  <c r="D866" i="11"/>
  <c r="D867" i="11"/>
  <c r="W867" i="11" s="1"/>
  <c r="D868" i="11"/>
  <c r="D869" i="11"/>
  <c r="W869" i="11" s="1"/>
  <c r="D870" i="11"/>
  <c r="D871" i="11"/>
  <c r="D872" i="11"/>
  <c r="D873" i="11"/>
  <c r="D874" i="11"/>
  <c r="D875" i="11"/>
  <c r="D876" i="11"/>
  <c r="D877" i="11"/>
  <c r="W877" i="11" s="1"/>
  <c r="Z877" i="11" s="1"/>
  <c r="D878" i="11"/>
  <c r="D879" i="11"/>
  <c r="D880" i="11"/>
  <c r="D881" i="11"/>
  <c r="D882" i="11"/>
  <c r="D883" i="11"/>
  <c r="W883" i="11" s="1"/>
  <c r="Z883" i="11" s="1"/>
  <c r="D884" i="11"/>
  <c r="D885" i="11"/>
  <c r="W885" i="11" s="1"/>
  <c r="D886" i="11"/>
  <c r="D887" i="11"/>
  <c r="D888" i="11"/>
  <c r="D889" i="11"/>
  <c r="D890" i="11"/>
  <c r="D891" i="11"/>
  <c r="D892" i="11"/>
  <c r="D893" i="11"/>
  <c r="D894" i="11"/>
  <c r="G894" i="11" s="1"/>
  <c r="U894" i="11" s="1"/>
  <c r="D895" i="11"/>
  <c r="D896" i="11"/>
  <c r="D897" i="11"/>
  <c r="D898" i="11"/>
  <c r="D899" i="11"/>
  <c r="D900" i="11"/>
  <c r="D901" i="11"/>
  <c r="D902" i="11"/>
  <c r="G902" i="11" s="1"/>
  <c r="U902" i="11" s="1"/>
  <c r="D903" i="11"/>
  <c r="D904" i="11"/>
  <c r="D905" i="11"/>
  <c r="D906" i="11"/>
  <c r="D907" i="11"/>
  <c r="D908" i="11"/>
  <c r="D909" i="11"/>
  <c r="D910" i="11"/>
  <c r="G910" i="11" s="1"/>
  <c r="U910" i="11" s="1"/>
  <c r="Y910" i="11" s="1"/>
  <c r="D911" i="11"/>
  <c r="D912" i="11"/>
  <c r="D913" i="11"/>
  <c r="D914" i="11"/>
  <c r="D915" i="11"/>
  <c r="D916" i="11"/>
  <c r="D917" i="11"/>
  <c r="D918" i="11"/>
  <c r="G918" i="11" s="1"/>
  <c r="U918" i="11" s="1"/>
  <c r="V918" i="11" s="1"/>
  <c r="D919" i="11"/>
  <c r="D920" i="11"/>
  <c r="D921" i="11"/>
  <c r="D922" i="11"/>
  <c r="D923" i="11"/>
  <c r="D924" i="11"/>
  <c r="D925" i="11"/>
  <c r="D926" i="11"/>
  <c r="G926" i="11" s="1"/>
  <c r="U926" i="11" s="1"/>
  <c r="V926" i="11" s="1"/>
  <c r="D927" i="11"/>
  <c r="D928" i="11"/>
  <c r="D929" i="11"/>
  <c r="D930" i="11"/>
  <c r="D931" i="11"/>
  <c r="D932" i="11"/>
  <c r="D933" i="11"/>
  <c r="D934" i="11"/>
  <c r="G934" i="11" s="1"/>
  <c r="U934" i="11" s="1"/>
  <c r="D935" i="11"/>
  <c r="D936" i="11"/>
  <c r="D937" i="11"/>
  <c r="D938" i="11"/>
  <c r="D939" i="11"/>
  <c r="D940" i="11"/>
  <c r="D941" i="11"/>
  <c r="D942" i="11"/>
  <c r="G942" i="11" s="1"/>
  <c r="U942" i="11" s="1"/>
  <c r="D943" i="11"/>
  <c r="D944" i="11"/>
  <c r="D945" i="11"/>
  <c r="D946" i="11"/>
  <c r="D947" i="11"/>
  <c r="D948" i="11"/>
  <c r="D949" i="11"/>
  <c r="D950" i="11"/>
  <c r="D951" i="11"/>
  <c r="D952" i="11"/>
  <c r="D953" i="11"/>
  <c r="D954" i="11"/>
  <c r="D955" i="11"/>
  <c r="W955" i="11" s="1"/>
  <c r="Z955" i="11" s="1"/>
  <c r="D956" i="11"/>
  <c r="D957" i="11"/>
  <c r="W957" i="11" s="1"/>
  <c r="X957" i="11" s="1"/>
  <c r="D958" i="11"/>
  <c r="D959" i="11"/>
  <c r="D960" i="11"/>
  <c r="D961" i="11"/>
  <c r="D962" i="11"/>
  <c r="D963" i="11"/>
  <c r="W963" i="11" s="1"/>
  <c r="D964" i="11"/>
  <c r="D965" i="11"/>
  <c r="W965" i="11" s="1"/>
  <c r="D966" i="11"/>
  <c r="D967" i="11"/>
  <c r="D968" i="11"/>
  <c r="D969" i="11"/>
  <c r="D970" i="11"/>
  <c r="D971" i="11"/>
  <c r="W971" i="11" s="1"/>
  <c r="D972" i="11"/>
  <c r="D973" i="11"/>
  <c r="W973" i="11" s="1"/>
  <c r="X973" i="11" s="1"/>
  <c r="D974" i="11"/>
  <c r="D975" i="11"/>
  <c r="D976" i="11"/>
  <c r="D977" i="11"/>
  <c r="D978" i="11"/>
  <c r="D979" i="11"/>
  <c r="W979" i="11" s="1"/>
  <c r="Z979" i="11" s="1"/>
  <c r="D980" i="11"/>
  <c r="D981" i="11"/>
  <c r="W981" i="11" s="1"/>
  <c r="D982" i="11"/>
  <c r="D983" i="11"/>
  <c r="D984" i="11"/>
  <c r="D985" i="11"/>
  <c r="D986" i="11"/>
  <c r="D987" i="11"/>
  <c r="W987" i="11" s="1"/>
  <c r="D988" i="11"/>
  <c r="D989" i="11"/>
  <c r="W989" i="11" s="1"/>
  <c r="D990" i="11"/>
  <c r="D991" i="11"/>
  <c r="D992" i="11"/>
  <c r="D993" i="11"/>
  <c r="D994" i="11"/>
  <c r="D995" i="11"/>
  <c r="D996" i="11"/>
  <c r="D997" i="11"/>
  <c r="D998" i="11"/>
  <c r="G998" i="11" s="1"/>
  <c r="U998" i="11" s="1"/>
  <c r="D999" i="11"/>
  <c r="D1000" i="11"/>
  <c r="D1001" i="11"/>
  <c r="D1002" i="11"/>
  <c r="D1003" i="11"/>
  <c r="D1004" i="11"/>
  <c r="D1005" i="11"/>
  <c r="D1006" i="11"/>
  <c r="G1006" i="11" s="1"/>
  <c r="U1006" i="11" s="1"/>
  <c r="Y1006" i="11" s="1"/>
  <c r="D1007" i="11"/>
  <c r="D1008" i="11"/>
  <c r="D1009" i="11"/>
  <c r="D1010" i="11"/>
  <c r="D1011" i="11"/>
  <c r="D1012" i="11"/>
  <c r="D1013" i="11"/>
  <c r="D1014" i="11"/>
  <c r="G1014" i="11" s="1"/>
  <c r="U1014" i="11" s="1"/>
  <c r="Y1014" i="11" s="1"/>
  <c r="D1015" i="11"/>
  <c r="D1016" i="11"/>
  <c r="D1017" i="11"/>
  <c r="D1018" i="11"/>
  <c r="D1019" i="11"/>
  <c r="D1020" i="11"/>
  <c r="D1021" i="11"/>
  <c r="D1022" i="11"/>
  <c r="G1022" i="11" s="1"/>
  <c r="U1022" i="11" s="1"/>
  <c r="V1022" i="11" s="1"/>
  <c r="D1023" i="11"/>
  <c r="D1024" i="11"/>
  <c r="D1025" i="11"/>
  <c r="D1026" i="11"/>
  <c r="D1027" i="11"/>
  <c r="D1028" i="11"/>
  <c r="D1029" i="11"/>
  <c r="D1030" i="11"/>
  <c r="G1030" i="11" s="1"/>
  <c r="U1030" i="11" s="1"/>
  <c r="D1031" i="11"/>
  <c r="D1032" i="11"/>
  <c r="D1033" i="11"/>
  <c r="D1034" i="11"/>
  <c r="D1035" i="11"/>
  <c r="D1036" i="11"/>
  <c r="D1037" i="11"/>
  <c r="D1038" i="11"/>
  <c r="G1038" i="11" s="1"/>
  <c r="U1038" i="11" s="1"/>
  <c r="V1038" i="11" s="1"/>
  <c r="D1039" i="11"/>
  <c r="D1040" i="11"/>
  <c r="D1041" i="11"/>
  <c r="D1042" i="11"/>
  <c r="D1043" i="11"/>
  <c r="D1044" i="11"/>
  <c r="D1045" i="11"/>
  <c r="D1046" i="11"/>
  <c r="G1046" i="11" s="1"/>
  <c r="U1046" i="11" s="1"/>
  <c r="V1046" i="11" s="1"/>
  <c r="D1047" i="11"/>
  <c r="D1048" i="11"/>
  <c r="D1049" i="11"/>
  <c r="D1050" i="11"/>
  <c r="D1051" i="11"/>
  <c r="D1052" i="11"/>
  <c r="D1053" i="11"/>
  <c r="D1054" i="11"/>
  <c r="G1054" i="11" s="1"/>
  <c r="U1054" i="11" s="1"/>
  <c r="V1054" i="11" s="1"/>
  <c r="D1055" i="11"/>
  <c r="D1056" i="11"/>
  <c r="D1057" i="11"/>
  <c r="D1058" i="11"/>
  <c r="D1059" i="11"/>
  <c r="D1060" i="11"/>
  <c r="D1061" i="11"/>
  <c r="W1061" i="11" s="1"/>
  <c r="D1062" i="11"/>
  <c r="D1063" i="11"/>
  <c r="D1064" i="11"/>
  <c r="D1065" i="11"/>
  <c r="D1066" i="11"/>
  <c r="D1067" i="11"/>
  <c r="W1067" i="11" s="1"/>
  <c r="Z1067" i="11" s="1"/>
  <c r="D1068" i="11"/>
  <c r="D1069" i="11"/>
  <c r="W1069" i="11" s="1"/>
  <c r="Z1069" i="11" s="1"/>
  <c r="D1070" i="11"/>
  <c r="D1071" i="11"/>
  <c r="D1072" i="11"/>
  <c r="D1073" i="11"/>
  <c r="D1074" i="11"/>
  <c r="D1075" i="11"/>
  <c r="W1075" i="11" s="1"/>
  <c r="D1076" i="11"/>
  <c r="D1077" i="11"/>
  <c r="W1077" i="11" s="1"/>
  <c r="D1078" i="11"/>
  <c r="D1079" i="11"/>
  <c r="D1080" i="11"/>
  <c r="D1081" i="11"/>
  <c r="D1082" i="11"/>
  <c r="D1083" i="11"/>
  <c r="W1083" i="11" s="1"/>
  <c r="X1083" i="11" s="1"/>
  <c r="D1084" i="11"/>
  <c r="D1085" i="11"/>
  <c r="W1085" i="11" s="1"/>
  <c r="D1086" i="11"/>
  <c r="D1087" i="11"/>
  <c r="D1088" i="11"/>
  <c r="D1089" i="11"/>
  <c r="D1090" i="11"/>
  <c r="D1091" i="11"/>
  <c r="W1091" i="11" s="1"/>
  <c r="D1092" i="11"/>
  <c r="D1093" i="11"/>
  <c r="W1093" i="11" s="1"/>
  <c r="D1094" i="11"/>
  <c r="D1095" i="11"/>
  <c r="D1096" i="11"/>
  <c r="D1097" i="11"/>
  <c r="D1098" i="11"/>
  <c r="D1099" i="11"/>
  <c r="D1100" i="11"/>
  <c r="D1101" i="11"/>
  <c r="D1102" i="11"/>
  <c r="G1102" i="11" s="1"/>
  <c r="U1102" i="11" s="1"/>
  <c r="D1103" i="11"/>
  <c r="D1104" i="11"/>
  <c r="D1105" i="11"/>
  <c r="D1106" i="11"/>
  <c r="D1107" i="11"/>
  <c r="D1108" i="11"/>
  <c r="D1109" i="11"/>
  <c r="D1110" i="11"/>
  <c r="G1110" i="11" s="1"/>
  <c r="U1110" i="11" s="1"/>
  <c r="Y1110" i="11" s="1"/>
  <c r="D1111" i="11"/>
  <c r="D1112" i="11"/>
  <c r="D1113" i="11"/>
  <c r="D1114" i="11"/>
  <c r="D1115" i="11"/>
  <c r="D1116" i="11"/>
  <c r="D1117" i="11"/>
  <c r="D1118" i="11"/>
  <c r="G1118" i="11" s="1"/>
  <c r="U1118" i="11" s="1"/>
  <c r="V1118" i="11" s="1"/>
  <c r="D1119" i="11"/>
  <c r="D1120" i="11"/>
  <c r="D1121" i="11"/>
  <c r="D1122" i="11"/>
  <c r="D1123" i="11"/>
  <c r="D1124" i="11"/>
  <c r="D1125" i="11"/>
  <c r="D1126" i="11"/>
  <c r="G1126" i="11" s="1"/>
  <c r="U1126" i="11" s="1"/>
  <c r="Y1126" i="11" s="1"/>
  <c r="D1127" i="11"/>
  <c r="D1128" i="11"/>
  <c r="D1129" i="11"/>
  <c r="D1130" i="11"/>
  <c r="D1131" i="11"/>
  <c r="D1132" i="11"/>
  <c r="D1133" i="11"/>
  <c r="D1134" i="11"/>
  <c r="G1134" i="11" s="1"/>
  <c r="U1134" i="11" s="1"/>
  <c r="D1135" i="11"/>
  <c r="D1136" i="11"/>
  <c r="D1137" i="11"/>
  <c r="D1138" i="11"/>
  <c r="D1139" i="11"/>
  <c r="D1140" i="11"/>
  <c r="D1141" i="11"/>
  <c r="D1142" i="11"/>
  <c r="G1142" i="11" s="1"/>
  <c r="U1142" i="11" s="1"/>
  <c r="Y1142" i="11" s="1"/>
  <c r="D1143" i="11"/>
  <c r="D1144" i="11"/>
  <c r="D1145" i="11"/>
  <c r="D1146" i="11"/>
  <c r="D1147" i="11"/>
  <c r="D1148" i="11"/>
  <c r="D1149" i="11"/>
  <c r="D1150" i="11"/>
  <c r="G1150" i="11" s="1"/>
  <c r="U1150" i="11" s="1"/>
  <c r="D1151" i="11"/>
  <c r="D1152" i="11"/>
  <c r="D1153" i="11"/>
  <c r="D1154" i="11"/>
  <c r="D1155" i="11"/>
  <c r="D1156" i="11"/>
  <c r="D1157" i="11"/>
  <c r="D1158" i="11"/>
  <c r="G1158" i="11" s="1"/>
  <c r="U1158" i="11" s="1"/>
  <c r="Y1158" i="11" s="1"/>
  <c r="D1159" i="11"/>
  <c r="D1160" i="11"/>
  <c r="D1161" i="11"/>
  <c r="D1162" i="11"/>
  <c r="D1163" i="11"/>
  <c r="W1163" i="11" s="1"/>
  <c r="X1163" i="11" s="1"/>
  <c r="D1164" i="11"/>
  <c r="D1165" i="11"/>
  <c r="W1165" i="11" s="1"/>
  <c r="Z1165" i="11" s="1"/>
  <c r="D1166" i="11"/>
  <c r="D1167" i="11"/>
  <c r="D1168" i="11"/>
  <c r="D1169" i="11"/>
  <c r="D1170" i="11"/>
  <c r="D1171" i="11"/>
  <c r="W1171" i="11" s="1"/>
  <c r="Z1171" i="11" s="1"/>
  <c r="D1172" i="11"/>
  <c r="D1173" i="11"/>
  <c r="W1173" i="11" s="1"/>
  <c r="D1174" i="11"/>
  <c r="D1175" i="11"/>
  <c r="D1176" i="11"/>
  <c r="D1177" i="11"/>
  <c r="D1178" i="11"/>
  <c r="D1179" i="11"/>
  <c r="W1179" i="11" s="1"/>
  <c r="Z1179" i="11" s="1"/>
  <c r="D1180" i="11"/>
  <c r="D1181" i="11"/>
  <c r="W1181" i="11" s="1"/>
  <c r="Z1181" i="11" s="1"/>
  <c r="D1182" i="11"/>
  <c r="D1183" i="11"/>
  <c r="D1184" i="11"/>
  <c r="D1185" i="11"/>
  <c r="D1186" i="11"/>
  <c r="D1187" i="11"/>
  <c r="D1188" i="11"/>
  <c r="D1189" i="11"/>
  <c r="W1189" i="11" s="1"/>
  <c r="Z1189" i="11" s="1"/>
  <c r="D1190" i="11"/>
  <c r="D1191" i="11"/>
  <c r="D1192" i="11"/>
  <c r="D1193" i="11"/>
  <c r="D1194" i="11"/>
  <c r="D1195" i="11"/>
  <c r="W1195" i="11" s="1"/>
  <c r="Z1195" i="11" s="1"/>
  <c r="D1196" i="11"/>
  <c r="D1197" i="11"/>
  <c r="W1197" i="11" s="1"/>
  <c r="D1198" i="11"/>
  <c r="D1199" i="11"/>
  <c r="D1200" i="11"/>
  <c r="D1201" i="11"/>
  <c r="D1202" i="11"/>
  <c r="D1203" i="11"/>
  <c r="D1204" i="11"/>
  <c r="D1205" i="11"/>
  <c r="D1206" i="11"/>
  <c r="G1206" i="11" s="1"/>
  <c r="U1206" i="11" s="1"/>
  <c r="D1207" i="11"/>
  <c r="D1208" i="11"/>
  <c r="D1209" i="11"/>
  <c r="D1210" i="11"/>
  <c r="D1211" i="11"/>
  <c r="D1212" i="11"/>
  <c r="D1213" i="11"/>
  <c r="D1214" i="11"/>
  <c r="G1214" i="11" s="1"/>
  <c r="U1214" i="11" s="1"/>
  <c r="Y1214" i="11" s="1"/>
  <c r="D1215" i="11"/>
  <c r="D1216" i="11"/>
  <c r="D1217" i="11"/>
  <c r="D1218" i="11"/>
  <c r="D1219" i="11"/>
  <c r="D1220" i="11"/>
  <c r="D1221" i="11"/>
  <c r="D1222" i="11"/>
  <c r="G1222" i="11" s="1"/>
  <c r="U1222" i="11" s="1"/>
  <c r="D1223" i="11"/>
  <c r="D1224" i="11"/>
  <c r="D1225" i="11"/>
  <c r="D1226" i="11"/>
  <c r="D1227" i="11"/>
  <c r="D1228" i="11"/>
  <c r="D1229" i="11"/>
  <c r="D1230" i="11"/>
  <c r="G1230" i="11" s="1"/>
  <c r="U1230" i="11" s="1"/>
  <c r="D1231" i="11"/>
  <c r="D1232" i="11"/>
  <c r="D1233" i="11"/>
  <c r="D1234" i="11"/>
  <c r="D1235" i="11"/>
  <c r="D1236" i="11"/>
  <c r="D1237" i="11"/>
  <c r="D1238" i="11"/>
  <c r="G1238" i="11" s="1"/>
  <c r="U1238" i="11" s="1"/>
  <c r="D1239" i="11"/>
  <c r="D1240" i="11"/>
  <c r="D1241" i="11"/>
  <c r="D1242" i="11"/>
  <c r="D1243" i="11"/>
  <c r="D1244" i="11"/>
  <c r="D1245" i="11"/>
  <c r="D1246" i="11"/>
  <c r="G1246" i="11" s="1"/>
  <c r="U1246" i="11" s="1"/>
  <c r="D1247" i="11"/>
  <c r="D1248" i="11"/>
  <c r="D1249" i="11"/>
  <c r="D1250" i="11"/>
  <c r="D1251" i="11"/>
  <c r="D1252" i="11"/>
  <c r="D1253" i="11"/>
  <c r="D1254" i="11"/>
  <c r="G1254" i="11" s="1"/>
  <c r="U1254" i="11" s="1"/>
  <c r="Y1254" i="11" s="1"/>
  <c r="D1255" i="11"/>
  <c r="D1256" i="11"/>
  <c r="D1257" i="11"/>
  <c r="D1258" i="11"/>
  <c r="D1259" i="11"/>
  <c r="D1260" i="11"/>
  <c r="D1261" i="11"/>
  <c r="D1262" i="11"/>
  <c r="G1262" i="11" s="1"/>
  <c r="U1262" i="11" s="1"/>
  <c r="D1263" i="11"/>
  <c r="D1264" i="11"/>
  <c r="D1265" i="11"/>
  <c r="D1266" i="11"/>
  <c r="D1267" i="11"/>
  <c r="W1267" i="11" s="1"/>
  <c r="D1268" i="11"/>
  <c r="D1269" i="11"/>
  <c r="W1269" i="11" s="1"/>
  <c r="D1270" i="11"/>
  <c r="D1271" i="11"/>
  <c r="D1272" i="11"/>
  <c r="D1273" i="11"/>
  <c r="D1274" i="11"/>
  <c r="D1275" i="11"/>
  <c r="W1275" i="11" s="1"/>
  <c r="X1275" i="11" s="1"/>
  <c r="D1276" i="11"/>
  <c r="D1277" i="11"/>
  <c r="W1277" i="11" s="1"/>
  <c r="D1278" i="11"/>
  <c r="D1279" i="11"/>
  <c r="D1280" i="11"/>
  <c r="D1281" i="11"/>
  <c r="D1282" i="11"/>
  <c r="D1283" i="11"/>
  <c r="W1283" i="11" s="1"/>
  <c r="D1284" i="11"/>
  <c r="D1285" i="11"/>
  <c r="W1285" i="11" s="1"/>
  <c r="D1286" i="11"/>
  <c r="D1287" i="11"/>
  <c r="D1288" i="11"/>
  <c r="D1289" i="11"/>
  <c r="D1290" i="11"/>
  <c r="D1291" i="11"/>
  <c r="W1291" i="11" s="1"/>
  <c r="X1291" i="11" s="1"/>
  <c r="D1292" i="11"/>
  <c r="D1293" i="11"/>
  <c r="W1293" i="11" s="1"/>
  <c r="Z1293" i="11" s="1"/>
  <c r="D1294" i="11"/>
  <c r="D1295" i="11"/>
  <c r="D1296" i="11"/>
  <c r="D1297" i="11"/>
  <c r="D1298" i="11"/>
  <c r="D1299" i="11"/>
  <c r="W1299" i="11" s="1"/>
  <c r="D1300" i="11"/>
  <c r="D1301" i="11"/>
  <c r="W1301" i="11" s="1"/>
  <c r="Z1301" i="11" s="1"/>
  <c r="D1302" i="11"/>
  <c r="D1303" i="11"/>
  <c r="D1304" i="11"/>
  <c r="D1305" i="11"/>
  <c r="D1306" i="11"/>
  <c r="D1307" i="11"/>
  <c r="D1308" i="11"/>
  <c r="D1309" i="11"/>
  <c r="D1310" i="11"/>
  <c r="G1310" i="11" s="1"/>
  <c r="U1310" i="11" s="1"/>
  <c r="D1311" i="11"/>
  <c r="D1312" i="11"/>
  <c r="D1313" i="11"/>
  <c r="D1314" i="11"/>
  <c r="D1315" i="11"/>
  <c r="D1316" i="11"/>
  <c r="D1317" i="11"/>
  <c r="D1318" i="11"/>
  <c r="G1318" i="11" s="1"/>
  <c r="U1318" i="11" s="1"/>
  <c r="D1319" i="11"/>
  <c r="D1320" i="11"/>
  <c r="D1321" i="11"/>
  <c r="D1322" i="11"/>
  <c r="D1323" i="11"/>
  <c r="D1324" i="11"/>
  <c r="D1325" i="11"/>
  <c r="D1326" i="11"/>
  <c r="G1326" i="11" s="1"/>
  <c r="U1326" i="11" s="1"/>
  <c r="D1327" i="11"/>
  <c r="D1328" i="11"/>
  <c r="D1329" i="11"/>
  <c r="D1330" i="11"/>
  <c r="D1331" i="11"/>
  <c r="D1332" i="11"/>
  <c r="D1333" i="11"/>
  <c r="D1334" i="11"/>
  <c r="G1334" i="11" s="1"/>
  <c r="D1335" i="11"/>
  <c r="D1336" i="11"/>
  <c r="D1337" i="11"/>
  <c r="D1338" i="11"/>
  <c r="D1339" i="11"/>
  <c r="D1340" i="11"/>
  <c r="D1341" i="11"/>
  <c r="D1342" i="11"/>
  <c r="G1342" i="11" s="1"/>
  <c r="U1342" i="11" s="1"/>
  <c r="D1343" i="11"/>
  <c r="D1344" i="11"/>
  <c r="D1345" i="11"/>
  <c r="D1346" i="11"/>
  <c r="D1347" i="11"/>
  <c r="D1348" i="11"/>
  <c r="D1349" i="11"/>
  <c r="D1350" i="11"/>
  <c r="G1350" i="11" s="1"/>
  <c r="U1350" i="11" s="1"/>
  <c r="D1351" i="11"/>
  <c r="D1352" i="11"/>
  <c r="D1353" i="11"/>
  <c r="D1354" i="11"/>
  <c r="D1355" i="11"/>
  <c r="D1356" i="11"/>
  <c r="D1357" i="11"/>
  <c r="D1358" i="11"/>
  <c r="G1358" i="11" s="1"/>
  <c r="U1358" i="11" s="1"/>
  <c r="D1359" i="11"/>
  <c r="D1360" i="11"/>
  <c r="D1361" i="11"/>
  <c r="D1362" i="11"/>
  <c r="D1363" i="11"/>
  <c r="D1364" i="11"/>
  <c r="D1365" i="11"/>
  <c r="D1366" i="11"/>
  <c r="G1366" i="11" s="1"/>
  <c r="D1367" i="11"/>
  <c r="D1368" i="11"/>
  <c r="D1369" i="11"/>
  <c r="D1370" i="11"/>
  <c r="D1371" i="11"/>
  <c r="W1371" i="11" s="1"/>
  <c r="Z1371" i="11" s="1"/>
  <c r="D1372" i="11"/>
  <c r="D1373" i="11"/>
  <c r="D1374" i="11"/>
  <c r="D1375" i="11"/>
  <c r="D1376" i="11"/>
  <c r="D1377" i="11"/>
  <c r="D1378" i="11"/>
  <c r="D1379" i="11"/>
  <c r="D1380" i="11"/>
  <c r="D1381" i="11"/>
  <c r="W1381" i="11" s="1"/>
  <c r="D1382" i="11"/>
  <c r="D1383" i="11"/>
  <c r="D1384" i="11"/>
  <c r="D1385" i="11"/>
  <c r="D1386" i="11"/>
  <c r="D1387" i="11"/>
  <c r="W1387" i="11" s="1"/>
  <c r="D1388" i="11"/>
  <c r="D1389" i="11"/>
  <c r="W1389" i="11" s="1"/>
  <c r="D1390" i="11"/>
  <c r="D1391" i="11"/>
  <c r="D1392" i="11"/>
  <c r="D1393" i="11"/>
  <c r="D1394" i="11"/>
  <c r="D1395" i="11"/>
  <c r="W1395" i="11" s="1"/>
  <c r="D1396" i="11"/>
  <c r="D1397" i="11"/>
  <c r="W1397" i="11" s="1"/>
  <c r="D1398" i="11"/>
  <c r="D1399" i="11"/>
  <c r="D1400" i="11"/>
  <c r="D1401" i="11"/>
  <c r="D1402" i="11"/>
  <c r="D1403" i="11"/>
  <c r="W1403" i="11" s="1"/>
  <c r="Z1403" i="11" s="1"/>
  <c r="D1404" i="11"/>
  <c r="D1405" i="11"/>
  <c r="W1405" i="11" s="1"/>
  <c r="Z1405" i="11" s="1"/>
  <c r="D1406" i="11"/>
  <c r="D1407" i="11"/>
  <c r="D1408" i="11"/>
  <c r="D1409" i="11"/>
  <c r="D1410" i="11"/>
  <c r="D1411" i="11"/>
  <c r="W1411" i="11" s="1"/>
  <c r="D1412" i="11"/>
  <c r="D1413" i="11"/>
  <c r="D1414" i="11"/>
  <c r="G1414" i="11" s="1"/>
  <c r="U1414" i="11" s="1"/>
  <c r="D1415" i="11"/>
  <c r="D1416" i="11"/>
  <c r="D1417" i="11"/>
  <c r="D1418" i="11"/>
  <c r="D1419" i="11"/>
  <c r="D1420" i="11"/>
  <c r="D1421" i="11"/>
  <c r="D1422" i="11"/>
  <c r="G1422" i="11" s="1"/>
  <c r="U1422" i="11" s="1"/>
  <c r="D1423" i="11"/>
  <c r="D1424" i="11"/>
  <c r="D1425" i="11"/>
  <c r="D1426" i="11"/>
  <c r="D1427" i="11"/>
  <c r="D1428" i="11"/>
  <c r="D1429" i="11"/>
  <c r="D1430" i="11"/>
  <c r="G1430" i="11" s="1"/>
  <c r="U1430" i="11" s="1"/>
  <c r="D1431" i="11"/>
  <c r="D1432" i="11"/>
  <c r="D1433" i="11"/>
  <c r="D1434" i="11"/>
  <c r="D1435" i="11"/>
  <c r="D1436" i="11"/>
  <c r="D1437" i="11"/>
  <c r="D1438" i="11"/>
  <c r="G1438" i="11" s="1"/>
  <c r="U1438" i="11" s="1"/>
  <c r="Y1438" i="11" s="1"/>
  <c r="D1439" i="11"/>
  <c r="D1440" i="11"/>
  <c r="D1441" i="11"/>
  <c r="D1442" i="11"/>
  <c r="D1443" i="11"/>
  <c r="D1444" i="11"/>
  <c r="D1445" i="11"/>
  <c r="D1446" i="11"/>
  <c r="G1446" i="11" s="1"/>
  <c r="U1446" i="11" s="1"/>
  <c r="D1447" i="11"/>
  <c r="D1448" i="11"/>
  <c r="D1449" i="11"/>
  <c r="D1450" i="11"/>
  <c r="D1451" i="11"/>
  <c r="D1452" i="11"/>
  <c r="D1453" i="11"/>
  <c r="D1454" i="11"/>
  <c r="G1454" i="11" s="1"/>
  <c r="U1454" i="11" s="1"/>
  <c r="D1455" i="11"/>
  <c r="D1456" i="11"/>
  <c r="D1457" i="11"/>
  <c r="D1458" i="11"/>
  <c r="D1459" i="11"/>
  <c r="D1460" i="11"/>
  <c r="D1461" i="11"/>
  <c r="D1462" i="11"/>
  <c r="G1462" i="11" s="1"/>
  <c r="D1463" i="11"/>
  <c r="D1464" i="11"/>
  <c r="D1465" i="11"/>
  <c r="D1466" i="11"/>
  <c r="D1467" i="11"/>
  <c r="D1468" i="11"/>
  <c r="D1469" i="11"/>
  <c r="D1470" i="11"/>
  <c r="G1470" i="11" s="1"/>
  <c r="U1470" i="11" s="1"/>
  <c r="D1471" i="11"/>
  <c r="D1472" i="11"/>
  <c r="D1473" i="11"/>
  <c r="D1474" i="11"/>
  <c r="D1475" i="11"/>
  <c r="W1475" i="11" s="1"/>
  <c r="X1475" i="11" s="1"/>
  <c r="D1476" i="11"/>
  <c r="D1477" i="11"/>
  <c r="W1477" i="11" s="1"/>
  <c r="D1478" i="11"/>
  <c r="D1479" i="11"/>
  <c r="D1480" i="11"/>
  <c r="D1481" i="11"/>
  <c r="D1482" i="11"/>
  <c r="D1483" i="11"/>
  <c r="W1483" i="11" s="1"/>
  <c r="Z1483" i="11" s="1"/>
  <c r="D1484" i="11"/>
  <c r="D1485" i="11"/>
  <c r="W1485" i="11" s="1"/>
  <c r="Z1485" i="11" s="1"/>
  <c r="D1486" i="11"/>
  <c r="D1487" i="11"/>
  <c r="D1488" i="11"/>
  <c r="D1489" i="11"/>
  <c r="D1490" i="11"/>
  <c r="D1491" i="11"/>
  <c r="W1491" i="11" s="1"/>
  <c r="D1492" i="11"/>
  <c r="D1493" i="11"/>
  <c r="W1493" i="11" s="1"/>
  <c r="D1494" i="11"/>
  <c r="D1495" i="11"/>
  <c r="D1496" i="11"/>
  <c r="D1497" i="11"/>
  <c r="D1498" i="11"/>
  <c r="D1499" i="11"/>
  <c r="W1499" i="11" s="1"/>
  <c r="D1500" i="11"/>
  <c r="D1501" i="11"/>
  <c r="W1501" i="11" s="1"/>
  <c r="X1501" i="11" s="1"/>
  <c r="D1502" i="11"/>
  <c r="D1503" i="11"/>
  <c r="D1504" i="11"/>
  <c r="D1505" i="11"/>
  <c r="D1506" i="11"/>
  <c r="D1507" i="11"/>
  <c r="D1508" i="11"/>
  <c r="D1509" i="11"/>
  <c r="W1509" i="11" s="1"/>
  <c r="D1510" i="11"/>
  <c r="D1511" i="11"/>
  <c r="D1512" i="11"/>
  <c r="D1513" i="11"/>
  <c r="D1514" i="11"/>
  <c r="D1515" i="11"/>
  <c r="W1515" i="11" s="1"/>
  <c r="Z1515" i="11" s="1"/>
  <c r="D1516" i="11"/>
  <c r="D1517" i="11"/>
  <c r="D1518" i="11"/>
  <c r="G1518" i="11" s="1"/>
  <c r="U1518" i="11" s="1"/>
  <c r="D1519" i="11"/>
  <c r="D1520" i="11"/>
  <c r="D1521" i="11"/>
  <c r="D1522" i="11"/>
  <c r="D1523" i="11"/>
  <c r="D1524" i="11"/>
  <c r="D1525" i="11"/>
  <c r="D1526" i="11"/>
  <c r="G1526" i="11" s="1"/>
  <c r="U1526" i="11" s="1"/>
  <c r="D1527" i="11"/>
  <c r="D1528" i="11"/>
  <c r="D1529" i="11"/>
  <c r="D1530" i="11"/>
  <c r="D1531" i="11"/>
  <c r="D1532" i="11"/>
  <c r="D1533" i="11"/>
  <c r="D1534" i="11"/>
  <c r="G1534" i="11" s="1"/>
  <c r="U1534" i="11" s="1"/>
  <c r="D1535" i="11"/>
  <c r="D1536" i="11"/>
  <c r="D1537" i="11"/>
  <c r="D1538" i="11"/>
  <c r="D1539" i="11"/>
  <c r="D1540" i="11"/>
  <c r="D1541" i="11"/>
  <c r="D1542" i="11"/>
  <c r="G1542" i="11" s="1"/>
  <c r="D1543" i="11"/>
  <c r="D1544" i="11"/>
  <c r="D1545" i="11"/>
  <c r="D1546" i="11"/>
  <c r="D1547" i="11"/>
  <c r="D1548" i="11"/>
  <c r="D1549" i="11"/>
  <c r="D1550" i="11"/>
  <c r="G1550" i="11" s="1"/>
  <c r="D1551" i="11"/>
  <c r="D1552" i="11"/>
  <c r="D1553" i="11"/>
  <c r="D1554" i="11"/>
  <c r="D1555" i="11"/>
  <c r="D1556" i="11"/>
  <c r="D1557" i="11"/>
  <c r="D1558" i="11"/>
  <c r="G1558" i="11" s="1"/>
  <c r="U1558" i="11" s="1"/>
  <c r="D1559" i="11"/>
  <c r="D1560" i="11"/>
  <c r="D1561" i="11"/>
  <c r="D1562" i="11"/>
  <c r="D1563" i="11"/>
  <c r="D1564" i="11"/>
  <c r="D1565" i="11"/>
  <c r="D1566" i="11"/>
  <c r="G1566" i="11" s="1"/>
  <c r="U1566" i="11" s="1"/>
  <c r="D1567" i="11"/>
  <c r="D1568" i="11"/>
  <c r="D1569" i="11"/>
  <c r="D1570" i="11"/>
  <c r="D1571" i="11"/>
  <c r="D1572" i="11"/>
  <c r="D1573" i="11"/>
  <c r="D1574" i="11"/>
  <c r="G1574" i="11" s="1"/>
  <c r="U1574" i="11" s="1"/>
  <c r="Y1574" i="11" s="1"/>
  <c r="D1575" i="11"/>
  <c r="D1576" i="11"/>
  <c r="D1577" i="11"/>
  <c r="D1578" i="11"/>
  <c r="D1579" i="11"/>
  <c r="D1580" i="11"/>
  <c r="D1581" i="11"/>
  <c r="W1581" i="11" s="1"/>
  <c r="Z1581" i="11" s="1"/>
  <c r="D1582" i="11"/>
  <c r="D1583" i="11"/>
  <c r="D1584" i="11"/>
  <c r="D1585" i="11"/>
  <c r="D1586" i="11"/>
  <c r="D1587" i="11"/>
  <c r="W1587" i="11" s="1"/>
  <c r="D1588" i="11"/>
  <c r="D1589" i="11"/>
  <c r="W1589" i="11" s="1"/>
  <c r="D1590" i="11"/>
  <c r="D1591" i="11"/>
  <c r="D1592" i="11"/>
  <c r="D1593" i="11"/>
  <c r="D1594" i="11"/>
  <c r="D1595" i="11"/>
  <c r="W1595" i="11" s="1"/>
  <c r="X1595" i="11" s="1"/>
  <c r="D1596" i="11"/>
  <c r="D1597" i="11"/>
  <c r="W1597" i="11" s="1"/>
  <c r="X1597" i="11" s="1"/>
  <c r="D1598" i="11"/>
  <c r="D1599" i="11"/>
  <c r="D1600" i="11"/>
  <c r="D1601" i="11"/>
  <c r="D1602" i="11"/>
  <c r="D1603" i="11"/>
  <c r="W1603" i="11" s="1"/>
  <c r="D1604" i="11"/>
  <c r="D1605" i="11"/>
  <c r="W1605" i="11" s="1"/>
  <c r="D1606" i="11"/>
  <c r="D1607" i="11"/>
  <c r="D1608" i="11"/>
  <c r="D1609" i="11"/>
  <c r="D1610" i="11"/>
  <c r="D1611" i="11"/>
  <c r="W1611" i="11" s="1"/>
  <c r="X1611" i="11" s="1"/>
  <c r="D1612" i="11"/>
  <c r="D1613" i="11"/>
  <c r="W1613" i="11" s="1"/>
  <c r="Z1613" i="11" s="1"/>
  <c r="D1614" i="11"/>
  <c r="D1615" i="11"/>
  <c r="D1616" i="11"/>
  <c r="D1617" i="11"/>
  <c r="D1618" i="11"/>
  <c r="D1619" i="11"/>
  <c r="W1619" i="11" s="1"/>
  <c r="X1619" i="11" s="1"/>
  <c r="D1620" i="11"/>
  <c r="D1621" i="11"/>
  <c r="W1621" i="11" s="1"/>
  <c r="D1622" i="11"/>
  <c r="G1622" i="11" s="1"/>
  <c r="U1622" i="11" s="1"/>
  <c r="D1623" i="11"/>
  <c r="D1624" i="11"/>
  <c r="D1625" i="11"/>
  <c r="D1626" i="11"/>
  <c r="D1627" i="11"/>
  <c r="D1628" i="11"/>
  <c r="D1629" i="11"/>
  <c r="D1630" i="11"/>
  <c r="G1630" i="11" s="1"/>
  <c r="U1630" i="11" s="1"/>
  <c r="Y1630" i="11" s="1"/>
  <c r="D1631" i="11"/>
  <c r="D1632" i="11"/>
  <c r="D1633" i="11"/>
  <c r="D1634" i="11"/>
  <c r="D1635" i="11"/>
  <c r="D1636" i="11"/>
  <c r="D1637" i="11"/>
  <c r="D1638" i="11"/>
  <c r="G1638" i="11" s="1"/>
  <c r="D1639" i="11"/>
  <c r="D1640" i="11"/>
  <c r="D1641" i="11"/>
  <c r="D1642" i="11"/>
  <c r="D1643" i="11"/>
  <c r="D1644" i="11"/>
  <c r="D1645" i="11"/>
  <c r="D1646" i="11"/>
  <c r="G1646" i="11" s="1"/>
  <c r="U1646" i="11" s="1"/>
  <c r="D1647" i="11"/>
  <c r="D1648" i="11"/>
  <c r="D1649" i="11"/>
  <c r="D1650" i="11"/>
  <c r="D1651" i="11"/>
  <c r="D1652" i="11"/>
  <c r="D1653" i="11"/>
  <c r="D1654" i="11"/>
  <c r="G1654" i="11" s="1"/>
  <c r="D1655" i="11"/>
  <c r="D1656" i="11"/>
  <c r="D1657" i="11"/>
  <c r="D1658" i="11"/>
  <c r="D1659" i="11"/>
  <c r="D1660" i="11"/>
  <c r="D1661" i="11"/>
  <c r="D1662" i="11"/>
  <c r="G1662" i="11" s="1"/>
  <c r="U1662" i="11" s="1"/>
  <c r="D1663" i="11"/>
  <c r="D1664" i="11"/>
  <c r="D1665" i="11"/>
  <c r="D1666" i="11"/>
  <c r="D1667" i="11"/>
  <c r="D1668" i="11"/>
  <c r="D1669" i="11"/>
  <c r="D1670" i="11"/>
  <c r="G1670" i="11" s="1"/>
  <c r="U1670" i="11" s="1"/>
  <c r="V1670" i="11" s="1"/>
  <c r="D1671" i="11"/>
  <c r="D1672" i="11"/>
  <c r="D1673" i="11"/>
  <c r="D1674" i="11"/>
  <c r="D1675" i="11"/>
  <c r="D1676" i="11"/>
  <c r="D1677" i="11"/>
  <c r="D1678" i="11"/>
  <c r="G1678" i="11" s="1"/>
  <c r="U1678" i="11" s="1"/>
  <c r="V1678" i="11" s="1"/>
  <c r="D1679" i="11"/>
  <c r="D1680" i="11"/>
  <c r="D1681" i="11"/>
  <c r="D1682" i="11"/>
  <c r="D1683" i="11"/>
  <c r="D1684" i="11"/>
  <c r="D1685" i="11"/>
  <c r="W1685" i="11" s="1"/>
  <c r="D1686" i="11"/>
  <c r="D1687" i="11"/>
  <c r="D1688" i="11"/>
  <c r="D1689" i="11"/>
  <c r="D1690" i="11"/>
  <c r="D1691" i="11"/>
  <c r="W1691" i="11" s="1"/>
  <c r="D1692" i="11"/>
  <c r="D1693" i="11"/>
  <c r="W1693" i="11" s="1"/>
  <c r="Z1693" i="11" s="1"/>
  <c r="D1694" i="11"/>
  <c r="D1695" i="11"/>
  <c r="D1696" i="11"/>
  <c r="D1697" i="11"/>
  <c r="D1698" i="11"/>
  <c r="D1699" i="11"/>
  <c r="D1700" i="11"/>
  <c r="D1701" i="11"/>
  <c r="D1702" i="11"/>
  <c r="D1703" i="11"/>
  <c r="D1704" i="11"/>
  <c r="D1705" i="11"/>
  <c r="D1706" i="11"/>
  <c r="D1707" i="11"/>
  <c r="W1707" i="11" s="1"/>
  <c r="Z1707" i="11" s="1"/>
  <c r="D1708" i="11"/>
  <c r="D1709" i="11"/>
  <c r="W1709" i="11" s="1"/>
  <c r="D1710" i="11"/>
  <c r="D1711" i="11"/>
  <c r="D1712" i="11"/>
  <c r="D1713" i="11"/>
  <c r="D1714" i="11"/>
  <c r="D1715" i="11"/>
  <c r="W1715" i="11" s="1"/>
  <c r="D1716" i="11"/>
  <c r="D1717" i="11"/>
  <c r="W1717" i="11" s="1"/>
  <c r="D1718" i="11"/>
  <c r="D1719" i="11"/>
  <c r="D1720" i="11"/>
  <c r="D1721" i="11"/>
  <c r="D1722" i="11"/>
  <c r="D1723" i="11"/>
  <c r="W1723" i="11" s="1"/>
  <c r="X1723" i="11" s="1"/>
  <c r="D1724" i="11"/>
  <c r="D1725" i="11"/>
  <c r="W1725" i="11" s="1"/>
  <c r="X1725" i="11" s="1"/>
  <c r="D1726" i="11"/>
  <c r="D1727" i="11"/>
  <c r="D1728" i="11"/>
  <c r="D1729" i="11"/>
  <c r="D1730" i="11"/>
  <c r="D1731" i="11"/>
  <c r="D1732" i="11"/>
  <c r="D1733" i="11"/>
  <c r="D1734" i="11"/>
  <c r="G1734" i="11" s="1"/>
  <c r="U1734" i="11" s="1"/>
  <c r="V1734" i="11" s="1"/>
  <c r="D1735" i="11"/>
  <c r="D1736" i="11"/>
  <c r="D1737" i="11"/>
  <c r="D1738" i="11"/>
  <c r="D1739" i="11"/>
  <c r="D1740" i="11"/>
  <c r="D1741" i="11"/>
  <c r="D1742" i="11"/>
  <c r="G1742" i="11" s="1"/>
  <c r="U1742" i="11" s="1"/>
  <c r="Y1742" i="11" s="1"/>
  <c r="D1743" i="11"/>
  <c r="D1744" i="11"/>
  <c r="D1745" i="11"/>
  <c r="D1746" i="11"/>
  <c r="D1747" i="11"/>
  <c r="D1748" i="11"/>
  <c r="D1749" i="11"/>
  <c r="D1750" i="11"/>
  <c r="G1750" i="11" s="1"/>
  <c r="U1750" i="11" s="1"/>
  <c r="Y1750" i="11" s="1"/>
  <c r="D1751" i="11"/>
  <c r="D1752" i="11"/>
  <c r="D1753" i="11"/>
  <c r="D1754" i="11"/>
  <c r="D1755" i="11"/>
  <c r="D1756" i="11"/>
  <c r="D1757" i="11"/>
  <c r="D1758" i="11"/>
  <c r="G1758" i="11" s="1"/>
  <c r="U1758" i="11" s="1"/>
  <c r="V1758" i="11" s="1"/>
  <c r="D1759" i="11"/>
  <c r="D1760" i="11"/>
  <c r="D1761" i="11"/>
  <c r="D1762" i="11"/>
  <c r="D1763" i="11"/>
  <c r="D1764" i="11"/>
  <c r="D1765" i="11"/>
  <c r="D1766" i="11"/>
  <c r="G1766" i="11" s="1"/>
  <c r="U1766" i="11" s="1"/>
  <c r="D1767" i="11"/>
  <c r="D1768" i="11"/>
  <c r="D1769" i="11"/>
  <c r="D1770" i="11"/>
  <c r="D1771" i="11"/>
  <c r="D1772" i="11"/>
  <c r="D1773" i="11"/>
  <c r="D1774" i="11"/>
  <c r="G1774" i="11" s="1"/>
  <c r="U1774" i="11" s="1"/>
  <c r="D1775" i="11"/>
  <c r="D1776" i="11"/>
  <c r="D1777" i="11"/>
  <c r="D1778" i="11"/>
  <c r="D1779" i="11"/>
  <c r="D1780" i="11"/>
  <c r="D1781" i="11"/>
  <c r="D1782" i="11"/>
  <c r="G1782" i="11" s="1"/>
  <c r="U1782" i="11" s="1"/>
  <c r="V1782" i="11" s="1"/>
  <c r="D1783" i="11"/>
  <c r="D1784" i="11"/>
  <c r="D1785" i="11"/>
  <c r="D1786" i="11"/>
  <c r="D1787" i="11"/>
  <c r="D1788" i="11"/>
  <c r="D1789" i="11"/>
  <c r="D1790" i="11"/>
  <c r="D1791" i="11"/>
  <c r="D1792" i="11"/>
  <c r="D1793" i="11"/>
  <c r="D1794" i="11"/>
  <c r="D1795" i="11"/>
  <c r="W1795" i="11" s="1"/>
  <c r="Z1795" i="11" s="1"/>
  <c r="D1796" i="11"/>
  <c r="D1797" i="11"/>
  <c r="W1797" i="11" s="1"/>
  <c r="Z1797" i="11" s="1"/>
  <c r="D1798" i="11"/>
  <c r="D1799" i="11"/>
  <c r="D1800" i="11"/>
  <c r="D1801" i="11"/>
  <c r="D1802" i="11"/>
  <c r="D1803" i="11"/>
  <c r="W1803" i="11" s="1"/>
  <c r="X1803" i="11" s="1"/>
  <c r="D1804" i="11"/>
  <c r="D1805" i="11"/>
  <c r="W1805" i="11" s="1"/>
  <c r="D1806" i="11"/>
  <c r="D1807" i="11"/>
  <c r="D1808" i="11"/>
  <c r="D1809" i="11"/>
  <c r="D1810" i="11"/>
  <c r="D1811" i="11"/>
  <c r="W1811" i="11" s="1"/>
  <c r="D1812" i="11"/>
  <c r="D1813" i="11"/>
  <c r="W1813" i="11" s="1"/>
  <c r="Z1813" i="11" s="1"/>
  <c r="D1814" i="11"/>
  <c r="D1815" i="11"/>
  <c r="D1816" i="11"/>
  <c r="D1817" i="11"/>
  <c r="D1818" i="11"/>
  <c r="D1819" i="11"/>
  <c r="D1820" i="11"/>
  <c r="D1821" i="11"/>
  <c r="W1821" i="11" s="1"/>
  <c r="Z1821" i="11" s="1"/>
  <c r="D1822" i="11"/>
  <c r="D1823" i="11"/>
  <c r="D1824" i="11"/>
  <c r="D1825" i="11"/>
  <c r="D1826" i="11"/>
  <c r="D1827" i="11"/>
  <c r="W1827" i="11" s="1"/>
  <c r="Z1827" i="11" s="1"/>
  <c r="D1828" i="11"/>
  <c r="D1829" i="11"/>
  <c r="W1829" i="11" s="1"/>
  <c r="D1830" i="11"/>
  <c r="D1831" i="11"/>
  <c r="D1832" i="11"/>
  <c r="D1833" i="11"/>
  <c r="D1834" i="11"/>
  <c r="D1835" i="11"/>
  <c r="D1836" i="11"/>
  <c r="D1837" i="11"/>
  <c r="D1838" i="11"/>
  <c r="G1838" i="11" s="1"/>
  <c r="U1838" i="11" s="1"/>
  <c r="D1839" i="11"/>
  <c r="D1840" i="11"/>
  <c r="D1841" i="11"/>
  <c r="D1842" i="11"/>
  <c r="D1843" i="11"/>
  <c r="D1844" i="11"/>
  <c r="D1845" i="11"/>
  <c r="D1846" i="11"/>
  <c r="G1846" i="11" s="1"/>
  <c r="U1846" i="11" s="1"/>
  <c r="D1847" i="11"/>
  <c r="D1848" i="11"/>
  <c r="D1849" i="11"/>
  <c r="D1850" i="11"/>
  <c r="D1851" i="11"/>
  <c r="D1852" i="11"/>
  <c r="D1853" i="11"/>
  <c r="D1854" i="11"/>
  <c r="G1854" i="11" s="1"/>
  <c r="U1854" i="11" s="1"/>
  <c r="V1854" i="11" s="1"/>
  <c r="D1855" i="11"/>
  <c r="D1856" i="11"/>
  <c r="D1857" i="11"/>
  <c r="D1858" i="11"/>
  <c r="D1859" i="11"/>
  <c r="D1860" i="11"/>
  <c r="D1861" i="11"/>
  <c r="D1862" i="11"/>
  <c r="G1862" i="11" s="1"/>
  <c r="U1862" i="11" s="1"/>
  <c r="D1863" i="11"/>
  <c r="D1864" i="11"/>
  <c r="D1865" i="11"/>
  <c r="D1866" i="11"/>
  <c r="D1867" i="11"/>
  <c r="D1868" i="11"/>
  <c r="D1869" i="11"/>
  <c r="D1870" i="11"/>
  <c r="G1870" i="11" s="1"/>
  <c r="U1870" i="11" s="1"/>
  <c r="Y1870" i="11" s="1"/>
  <c r="D1871" i="11"/>
  <c r="D1872" i="11"/>
  <c r="D1873" i="11"/>
  <c r="D1874" i="11"/>
  <c r="D1875" i="11"/>
  <c r="D1876" i="11"/>
  <c r="D1877" i="11"/>
  <c r="D1878" i="11"/>
  <c r="G1878" i="11" s="1"/>
  <c r="U1878" i="11" s="1"/>
  <c r="V1878" i="11" s="1"/>
  <c r="D1879" i="11"/>
  <c r="D1880" i="11"/>
  <c r="D1881" i="11"/>
  <c r="D1882" i="11"/>
  <c r="D1883" i="11"/>
  <c r="D1884" i="11"/>
  <c r="D1885" i="11"/>
  <c r="D1886" i="11"/>
  <c r="G1886" i="11" s="1"/>
  <c r="U1886" i="11" s="1"/>
  <c r="V1886" i="11" s="1"/>
  <c r="D1887" i="11"/>
  <c r="D1888" i="11"/>
  <c r="D1889" i="11"/>
  <c r="D1890" i="11"/>
  <c r="D1891" i="11"/>
  <c r="D1892" i="11"/>
  <c r="D1893" i="11"/>
  <c r="D1894" i="11"/>
  <c r="G1894" i="11" s="1"/>
  <c r="U1894" i="11" s="1"/>
  <c r="V1894" i="11" s="1"/>
  <c r="D1895" i="11"/>
  <c r="D1896" i="11"/>
  <c r="D1897" i="11"/>
  <c r="D1898" i="11"/>
  <c r="D1899" i="11"/>
  <c r="W1899" i="11" s="1"/>
  <c r="D1900" i="11"/>
  <c r="D1901" i="11"/>
  <c r="W1901" i="11" s="1"/>
  <c r="D1902" i="11"/>
  <c r="D1903" i="11"/>
  <c r="D1904" i="11"/>
  <c r="D1905" i="11"/>
  <c r="D1906" i="11"/>
  <c r="D1907" i="11"/>
  <c r="W1907" i="11" s="1"/>
  <c r="Z1907" i="11" s="1"/>
  <c r="D1908" i="11"/>
  <c r="D1909" i="11"/>
  <c r="W1909" i="11" s="1"/>
  <c r="Z1909" i="11" s="1"/>
  <c r="D1910" i="11"/>
  <c r="D1911" i="11"/>
  <c r="D1912" i="11"/>
  <c r="D1913" i="11"/>
  <c r="D1914" i="11"/>
  <c r="D1915" i="11"/>
  <c r="W1915" i="11" s="1"/>
  <c r="Z1915" i="11" s="1"/>
  <c r="D1916" i="11"/>
  <c r="D1917" i="11"/>
  <c r="W1917" i="11" s="1"/>
  <c r="D1918" i="11"/>
  <c r="D1919" i="11"/>
  <c r="D1920" i="11"/>
  <c r="D1921" i="11"/>
  <c r="D1922" i="11"/>
  <c r="D1923" i="11"/>
  <c r="W1923" i="11" s="1"/>
  <c r="D1924" i="11"/>
  <c r="D1925" i="11"/>
  <c r="W1925" i="11" s="1"/>
  <c r="Z1925" i="11" s="1"/>
  <c r="D1926" i="11"/>
  <c r="D1927" i="11"/>
  <c r="D1928" i="11"/>
  <c r="D1929" i="11"/>
  <c r="D1930" i="11"/>
  <c r="D1931" i="11"/>
  <c r="W1931" i="11" s="1"/>
  <c r="D1932" i="11"/>
  <c r="D1933" i="11"/>
  <c r="W1933" i="11" s="1"/>
  <c r="X1933" i="11" s="1"/>
  <c r="D1934" i="11"/>
  <c r="D1935" i="11"/>
  <c r="D1936" i="11"/>
  <c r="D1937" i="11"/>
  <c r="D1938" i="11"/>
  <c r="D1939" i="11"/>
  <c r="D1940" i="11"/>
  <c r="D1941" i="11"/>
  <c r="D1942" i="11"/>
  <c r="G1942" i="11" s="1"/>
  <c r="U1942" i="11" s="1"/>
  <c r="D1943" i="11"/>
  <c r="D1944" i="11"/>
  <c r="D1945" i="11"/>
  <c r="D1946" i="11"/>
  <c r="D1947" i="11"/>
  <c r="D1948" i="11"/>
  <c r="D1949" i="11"/>
  <c r="D1950" i="11"/>
  <c r="G1950" i="11" s="1"/>
  <c r="U1950" i="11" s="1"/>
  <c r="Y1950" i="11" s="1"/>
  <c r="D1951" i="11"/>
  <c r="D1952" i="11"/>
  <c r="D1953" i="11"/>
  <c r="D1954" i="11"/>
  <c r="D1955" i="11"/>
  <c r="D1956" i="11"/>
  <c r="D1957" i="11"/>
  <c r="D1958" i="11"/>
  <c r="G1958" i="11" s="1"/>
  <c r="U1958" i="11" s="1"/>
  <c r="D1959" i="11"/>
  <c r="D1960" i="11"/>
  <c r="D1961" i="11"/>
  <c r="D1962" i="11"/>
  <c r="D1963" i="11"/>
  <c r="D1964" i="11"/>
  <c r="D1965" i="11"/>
  <c r="D1966" i="11"/>
  <c r="G1966" i="11" s="1"/>
  <c r="U1966" i="11" s="1"/>
  <c r="Y1966" i="11" s="1"/>
  <c r="D1967" i="11"/>
  <c r="D1968" i="11"/>
  <c r="D1969" i="11"/>
  <c r="D1970" i="11"/>
  <c r="D1971" i="11"/>
  <c r="D1972" i="11"/>
  <c r="D1973" i="11"/>
  <c r="D1974" i="11"/>
  <c r="G1974" i="11" s="1"/>
  <c r="U1974" i="11" s="1"/>
  <c r="V1974" i="11" s="1"/>
  <c r="D1975" i="11"/>
  <c r="D1976" i="11"/>
  <c r="D1977" i="11"/>
  <c r="D1978" i="11"/>
  <c r="D1979" i="11"/>
  <c r="D1980" i="11"/>
  <c r="D1981" i="11"/>
  <c r="D1982" i="11"/>
  <c r="G1982" i="11" s="1"/>
  <c r="U1982" i="11" s="1"/>
  <c r="Y1982" i="11" s="1"/>
  <c r="D1983" i="11"/>
  <c r="D1984" i="11"/>
  <c r="D1985" i="11"/>
  <c r="D1986" i="11"/>
  <c r="D1987" i="11"/>
  <c r="D1988" i="11"/>
  <c r="D1989" i="11"/>
  <c r="D1990" i="11"/>
  <c r="G1990" i="11" s="1"/>
  <c r="U1990" i="11" s="1"/>
  <c r="Y1990" i="11" s="1"/>
  <c r="D1991" i="11"/>
  <c r="D1992" i="11"/>
  <c r="D1993" i="11"/>
  <c r="D1994" i="11"/>
  <c r="D1995" i="11"/>
  <c r="D1996" i="11"/>
  <c r="D1997" i="11"/>
  <c r="D1998" i="11"/>
  <c r="G1998" i="11" s="1"/>
  <c r="D1999" i="11"/>
  <c r="D2000" i="11"/>
  <c r="D2001" i="11"/>
  <c r="D2002" i="11"/>
  <c r="D2003" i="11"/>
  <c r="W2003" i="11" s="1"/>
  <c r="X2003" i="11" s="1"/>
  <c r="D2004" i="11"/>
  <c r="D2005" i="11"/>
  <c r="W2005" i="11" s="1"/>
  <c r="D2006" i="11"/>
  <c r="D2007" i="11"/>
  <c r="D2008" i="11"/>
  <c r="D2009" i="11"/>
  <c r="D2010" i="11"/>
  <c r="D2011" i="11"/>
  <c r="D2012" i="11"/>
  <c r="D2013" i="11"/>
  <c r="W2013" i="11" s="1"/>
  <c r="X2013" i="11" s="1"/>
  <c r="D2014" i="11"/>
  <c r="D2015" i="11"/>
  <c r="D2016" i="11"/>
  <c r="D2017" i="11"/>
  <c r="D2018" i="11"/>
  <c r="D2019" i="11"/>
  <c r="W2019" i="11" s="1"/>
  <c r="D2020" i="11"/>
  <c r="D2021" i="11"/>
  <c r="W2021" i="11" s="1"/>
  <c r="D2022" i="11"/>
  <c r="D2023" i="11"/>
  <c r="D2024" i="11"/>
  <c r="D2025" i="11"/>
  <c r="D2026" i="11"/>
  <c r="D2027" i="11"/>
  <c r="W2027" i="11" s="1"/>
  <c r="D2028" i="11"/>
  <c r="D2029" i="11"/>
  <c r="W2029" i="11" s="1"/>
  <c r="D2030" i="11"/>
  <c r="D2031" i="11"/>
  <c r="D2032" i="11"/>
  <c r="D2033" i="11"/>
  <c r="D2034" i="11"/>
  <c r="D2035" i="11"/>
  <c r="W2035" i="11" s="1"/>
  <c r="Z2035" i="11" s="1"/>
  <c r="D2036" i="11"/>
  <c r="D2037" i="11"/>
  <c r="W2037" i="11" s="1"/>
  <c r="Z2037" i="11" s="1"/>
  <c r="D2038" i="11"/>
  <c r="D2039" i="11"/>
  <c r="D2040" i="11"/>
  <c r="D2041" i="11"/>
  <c r="D2042" i="11"/>
  <c r="D2043" i="11"/>
  <c r="D2044" i="11"/>
  <c r="D2045" i="11"/>
  <c r="D2046" i="11"/>
  <c r="G2046" i="11" s="1"/>
  <c r="U2046" i="11" s="1"/>
  <c r="Y2046" i="11" s="1"/>
  <c r="D2047" i="11"/>
  <c r="D2048" i="11"/>
  <c r="D2049" i="11"/>
  <c r="D2050" i="11"/>
  <c r="D2051" i="11"/>
  <c r="D2052" i="11"/>
  <c r="D2053" i="11"/>
  <c r="D2054" i="11"/>
  <c r="G2054" i="11" s="1"/>
  <c r="U2054" i="11" s="1"/>
  <c r="V2054" i="11" s="1"/>
  <c r="D2055" i="11"/>
  <c r="D2056" i="11"/>
  <c r="D2057" i="11"/>
  <c r="D2058" i="11"/>
  <c r="D2059" i="11"/>
  <c r="D2060" i="11"/>
  <c r="D2061" i="11"/>
  <c r="D2062" i="11"/>
  <c r="G2062" i="11" s="1"/>
  <c r="U2062" i="11" s="1"/>
  <c r="D2063" i="11"/>
  <c r="D2064" i="11"/>
  <c r="D2065" i="11"/>
  <c r="D2066" i="11"/>
  <c r="D2067" i="11"/>
  <c r="D2068" i="11"/>
  <c r="D2069" i="11"/>
  <c r="D2070" i="11"/>
  <c r="G2070" i="11" s="1"/>
  <c r="U2070" i="11" s="1"/>
  <c r="Y2070" i="11" s="1"/>
  <c r="D2071" i="11"/>
  <c r="D2072" i="11"/>
  <c r="D2073" i="11"/>
  <c r="D2074" i="11"/>
  <c r="D2075" i="11"/>
  <c r="D2076" i="11"/>
  <c r="D2077" i="11"/>
  <c r="D2078" i="11"/>
  <c r="G2078" i="11" s="1"/>
  <c r="U2078" i="11" s="1"/>
  <c r="V2078" i="11" s="1"/>
  <c r="D2079" i="11"/>
  <c r="D2080" i="11"/>
  <c r="D2081" i="11"/>
  <c r="D2082" i="11"/>
  <c r="D2083" i="11"/>
  <c r="D2084" i="11"/>
  <c r="D2085" i="11"/>
  <c r="D2086" i="11"/>
  <c r="G2086" i="11" s="1"/>
  <c r="D2087" i="11"/>
  <c r="D2088" i="11"/>
  <c r="D2089" i="11"/>
  <c r="D2090" i="11"/>
  <c r="D2091" i="11"/>
  <c r="D2092" i="11"/>
  <c r="D2093" i="11"/>
  <c r="D2094" i="11"/>
  <c r="G2094" i="11" s="1"/>
  <c r="U2094" i="11" s="1"/>
  <c r="D2095" i="11"/>
  <c r="D2096" i="11"/>
  <c r="D2097" i="11"/>
  <c r="D2098" i="11"/>
  <c r="D2099" i="11"/>
  <c r="D2100" i="11"/>
  <c r="D2101" i="11"/>
  <c r="D2102" i="11"/>
  <c r="G2102" i="11" s="1"/>
  <c r="U2102" i="11" s="1"/>
  <c r="V2102" i="11" s="1"/>
  <c r="D2103" i="11"/>
  <c r="D2104" i="11"/>
  <c r="D2105" i="11"/>
  <c r="D2106" i="11"/>
  <c r="D2107" i="11"/>
  <c r="W2107" i="11" s="1"/>
  <c r="D2108" i="11"/>
  <c r="D2109" i="11"/>
  <c r="W2109" i="11" s="1"/>
  <c r="D2110" i="11"/>
  <c r="D2111" i="11"/>
  <c r="D2112" i="11"/>
  <c r="D2113" i="11"/>
  <c r="D2114" i="11"/>
  <c r="D2115" i="11"/>
  <c r="W2115" i="11" s="1"/>
  <c r="X2115" i="11" s="1"/>
  <c r="D2116" i="11"/>
  <c r="D2117" i="11"/>
  <c r="W2117" i="11" s="1"/>
  <c r="X2117" i="11" s="1"/>
  <c r="D2118" i="11"/>
  <c r="D2119" i="11"/>
  <c r="D2120" i="11"/>
  <c r="D2121" i="11"/>
  <c r="D2122" i="11"/>
  <c r="D2123" i="11"/>
  <c r="W2123" i="11" s="1"/>
  <c r="X2123" i="11" s="1"/>
  <c r="D2124" i="11"/>
  <c r="D2125" i="11"/>
  <c r="W2125" i="11" s="1"/>
  <c r="Z2125" i="11" s="1"/>
  <c r="D2126" i="11"/>
  <c r="D2127" i="11"/>
  <c r="D2128" i="11"/>
  <c r="D2129" i="11"/>
  <c r="D2130" i="11"/>
  <c r="D2131" i="11"/>
  <c r="W2131" i="11" s="1"/>
  <c r="X2131" i="11" s="1"/>
  <c r="D2132" i="11"/>
  <c r="D2133" i="11"/>
  <c r="W2133" i="11" s="1"/>
  <c r="Z2133" i="11" s="1"/>
  <c r="D2134" i="11"/>
  <c r="D2135" i="11"/>
  <c r="D2136" i="11"/>
  <c r="D2137" i="11"/>
  <c r="D2138" i="11"/>
  <c r="D2139" i="11"/>
  <c r="D2140" i="11"/>
  <c r="D2141" i="11"/>
  <c r="W2141" i="11" s="1"/>
  <c r="Z2141" i="11" s="1"/>
  <c r="D2142" i="11"/>
  <c r="D2143" i="11"/>
  <c r="D2144" i="11"/>
  <c r="D2145" i="11"/>
  <c r="D2146" i="11"/>
  <c r="D2147" i="11"/>
  <c r="D2148" i="11"/>
  <c r="D2149" i="11"/>
  <c r="D2150" i="11"/>
  <c r="G2150" i="11" s="1"/>
  <c r="U2150" i="11" s="1"/>
  <c r="D2151" i="11"/>
  <c r="D2152" i="11"/>
  <c r="D2153" i="11"/>
  <c r="D2154" i="11"/>
  <c r="D2155" i="11"/>
  <c r="D2156" i="11"/>
  <c r="D2157" i="11"/>
  <c r="D2158" i="11"/>
  <c r="G2158" i="11" s="1"/>
  <c r="U2158" i="11" s="1"/>
  <c r="D2159" i="11"/>
  <c r="D2160" i="11"/>
  <c r="D2161" i="11"/>
  <c r="D2162" i="11"/>
  <c r="D2163" i="11"/>
  <c r="D2164" i="11"/>
  <c r="D2165" i="11"/>
  <c r="D2166" i="11"/>
  <c r="G2166" i="11" s="1"/>
  <c r="U2166" i="11" s="1"/>
  <c r="Y2166" i="11" s="1"/>
  <c r="D2167" i="11"/>
  <c r="D2168" i="11"/>
  <c r="D2169" i="11"/>
  <c r="D2170" i="11"/>
  <c r="D2171" i="11"/>
  <c r="D2172" i="11"/>
  <c r="D2173" i="11"/>
  <c r="D2174" i="11"/>
  <c r="G2174" i="11" s="1"/>
  <c r="D2175" i="11"/>
  <c r="D2176" i="11"/>
  <c r="D2177" i="11"/>
  <c r="D2178" i="11"/>
  <c r="D2179" i="11"/>
  <c r="D2180" i="11"/>
  <c r="D2181" i="11"/>
  <c r="D2182" i="11"/>
  <c r="G2182" i="11" s="1"/>
  <c r="U2182" i="11" s="1"/>
  <c r="Y2182" i="11" s="1"/>
  <c r="D2183" i="11"/>
  <c r="D2184" i="11"/>
  <c r="D2185" i="11"/>
  <c r="D2186" i="11"/>
  <c r="D2187" i="11"/>
  <c r="D2188" i="11"/>
  <c r="D2189" i="11"/>
  <c r="D2190" i="11"/>
  <c r="G2190" i="11" s="1"/>
  <c r="U2190" i="11" s="1"/>
  <c r="D2191" i="11"/>
  <c r="D2192" i="11"/>
  <c r="D2193" i="11"/>
  <c r="D2194" i="11"/>
  <c r="D2195" i="11"/>
  <c r="D2197" i="11"/>
  <c r="D2198" i="11"/>
  <c r="G2198" i="11" s="1"/>
  <c r="U2198" i="11" s="1"/>
  <c r="V2198" i="11" s="1"/>
  <c r="D2199" i="11"/>
  <c r="G2199" i="11" s="1"/>
  <c r="U2199" i="11" s="1"/>
  <c r="D2200" i="11"/>
  <c r="D2201" i="11"/>
  <c r="D2202" i="11"/>
  <c r="D2203" i="11"/>
  <c r="D2204" i="11"/>
  <c r="D2205" i="11"/>
  <c r="D2206" i="11"/>
  <c r="G2206" i="11" s="1"/>
  <c r="U2206" i="11" s="1"/>
  <c r="D2207" i="11"/>
  <c r="G2207" i="11" s="1"/>
  <c r="U2207" i="11" s="1"/>
  <c r="D2208" i="11"/>
  <c r="D2209" i="11"/>
  <c r="D2210" i="11"/>
  <c r="D2211" i="11"/>
  <c r="D2212" i="11"/>
  <c r="D2213" i="11"/>
  <c r="D2214" i="11"/>
  <c r="D2215" i="11"/>
  <c r="D2216" i="11"/>
  <c r="D2217" i="11"/>
  <c r="D2218" i="11"/>
  <c r="D2219" i="11"/>
  <c r="D2220" i="11"/>
  <c r="W2220" i="11" s="1"/>
  <c r="D2221" i="11"/>
  <c r="D2222" i="11"/>
  <c r="D2223" i="11"/>
  <c r="D2224" i="11"/>
  <c r="D2225" i="11"/>
  <c r="D2226" i="11"/>
  <c r="D2227" i="11"/>
  <c r="D2228" i="11"/>
  <c r="W2228" i="11" s="1"/>
  <c r="D2229" i="11"/>
  <c r="D2230" i="11"/>
  <c r="G2230" i="11" s="1"/>
  <c r="U2230" i="11" s="1"/>
  <c r="Y2230" i="11" s="1"/>
  <c r="D2231" i="11"/>
  <c r="D2232" i="11"/>
  <c r="D2233" i="11"/>
  <c r="D2234" i="11"/>
  <c r="D2235" i="11"/>
  <c r="D2236" i="11"/>
  <c r="W2236" i="11" s="1"/>
  <c r="D2237" i="11"/>
  <c r="D2238" i="11"/>
  <c r="D2239" i="11"/>
  <c r="D2240" i="11"/>
  <c r="D2241" i="11"/>
  <c r="D2242" i="11"/>
  <c r="D2243" i="11"/>
  <c r="D2244" i="11"/>
  <c r="W2244" i="11" s="1"/>
  <c r="D2245" i="11"/>
  <c r="D2246" i="11"/>
  <c r="D2247" i="11"/>
  <c r="D2248" i="11"/>
  <c r="D2249" i="11"/>
  <c r="D2250" i="11"/>
  <c r="D2251" i="11"/>
  <c r="D2252" i="11"/>
  <c r="D2253" i="11"/>
  <c r="D2254" i="11"/>
  <c r="G2254" i="11" s="1"/>
  <c r="U2254" i="11" s="1"/>
  <c r="Y2254" i="11" s="1"/>
  <c r="D2255" i="11"/>
  <c r="G2255" i="11" s="1"/>
  <c r="U2255" i="11" s="1"/>
  <c r="D2256" i="11"/>
  <c r="D2257" i="11"/>
  <c r="D2258" i="11"/>
  <c r="D2259" i="11"/>
  <c r="D2260" i="11"/>
  <c r="D2261" i="11"/>
  <c r="D2262" i="11"/>
  <c r="G2262" i="11" s="1"/>
  <c r="U2262" i="11" s="1"/>
  <c r="D2263" i="11"/>
  <c r="G2263" i="11" s="1"/>
  <c r="U2263" i="11" s="1"/>
  <c r="D2264" i="11"/>
  <c r="D2265" i="11"/>
  <c r="D2266" i="11"/>
  <c r="D2267" i="11"/>
  <c r="D2268" i="11"/>
  <c r="D2269" i="11"/>
  <c r="D2270" i="11"/>
  <c r="G2270" i="11" s="1"/>
  <c r="D2271" i="11"/>
  <c r="G2271" i="11" s="1"/>
  <c r="D2272" i="11"/>
  <c r="D2273" i="11"/>
  <c r="D2274" i="11"/>
  <c r="D2275" i="11"/>
  <c r="D2276" i="11"/>
  <c r="D2277" i="11"/>
  <c r="D2278" i="11"/>
  <c r="G2278" i="11" s="1"/>
  <c r="U2278" i="11" s="1"/>
  <c r="D2279" i="11"/>
  <c r="G2279" i="11" s="1"/>
  <c r="U2279" i="11" s="1"/>
  <c r="D2280" i="11"/>
  <c r="D2281" i="11"/>
  <c r="D2282" i="11"/>
  <c r="D2283" i="11"/>
  <c r="D2284" i="11"/>
  <c r="D2285" i="11"/>
  <c r="D2286" i="11"/>
  <c r="G2286" i="11" s="1"/>
  <c r="U2286" i="11" s="1"/>
  <c r="D2287" i="11"/>
  <c r="G2287" i="11" s="1"/>
  <c r="D2288" i="11"/>
  <c r="D2289" i="11"/>
  <c r="D2290" i="11"/>
  <c r="D2291" i="11"/>
  <c r="D2292" i="11"/>
  <c r="D2293" i="11"/>
  <c r="D2294" i="11"/>
  <c r="G2294" i="11" s="1"/>
  <c r="U2294" i="11" s="1"/>
  <c r="D2295" i="11"/>
  <c r="G2295" i="11" s="1"/>
  <c r="U2295" i="11" s="1"/>
  <c r="D2296" i="11"/>
  <c r="D2297" i="11"/>
  <c r="D2298" i="11"/>
  <c r="D2299" i="11"/>
  <c r="D2300" i="11"/>
  <c r="D2301" i="11"/>
  <c r="D2302" i="11"/>
  <c r="G2302" i="11" s="1"/>
  <c r="D2303" i="11"/>
  <c r="G2303" i="11" s="1"/>
  <c r="D2304" i="11"/>
  <c r="D2305" i="11"/>
  <c r="D2306" i="11"/>
  <c r="D2307" i="11"/>
  <c r="D2308" i="11"/>
  <c r="D2309" i="11"/>
  <c r="D2310" i="11"/>
  <c r="G2310" i="11" s="1"/>
  <c r="U2310" i="11" s="1"/>
  <c r="V2310" i="11" s="1"/>
  <c r="D2311" i="11"/>
  <c r="G2311" i="11" s="1"/>
  <c r="U2311" i="11" s="1"/>
  <c r="D2312" i="11"/>
  <c r="D2313" i="11"/>
  <c r="D2314" i="11"/>
  <c r="D2315" i="11"/>
  <c r="D2316" i="11"/>
  <c r="W2316" i="11" s="1"/>
  <c r="D2317" i="11"/>
  <c r="D2318" i="11"/>
  <c r="D2319" i="11"/>
  <c r="D2320" i="11"/>
  <c r="D2321" i="11"/>
  <c r="D2322" i="11"/>
  <c r="D2323" i="11"/>
  <c r="D2324" i="11"/>
  <c r="W2324" i="11" s="1"/>
  <c r="D2325" i="11"/>
  <c r="D2326" i="11"/>
  <c r="G2326" i="11" s="1"/>
  <c r="D2327" i="11"/>
  <c r="D2328" i="11"/>
  <c r="D2329" i="11"/>
  <c r="D2330" i="11"/>
  <c r="D2331" i="11"/>
  <c r="D2332" i="11"/>
  <c r="W2332" i="11" s="1"/>
  <c r="D2333" i="11"/>
  <c r="D2334" i="11"/>
  <c r="D2335" i="11"/>
  <c r="D2336" i="11"/>
  <c r="D2337" i="11"/>
  <c r="D2338" i="11"/>
  <c r="D2339" i="11"/>
  <c r="D2340" i="11"/>
  <c r="D2341" i="11"/>
  <c r="D2342" i="11"/>
  <c r="D2343" i="11"/>
  <c r="D2344" i="11"/>
  <c r="D2345" i="11"/>
  <c r="D2346" i="11"/>
  <c r="D2347" i="11"/>
  <c r="D2348" i="11"/>
  <c r="D2349" i="11"/>
  <c r="D2350" i="11"/>
  <c r="D2351" i="11"/>
  <c r="D2352" i="11"/>
  <c r="D2353" i="11"/>
  <c r="D2354" i="11"/>
  <c r="D2355" i="11"/>
  <c r="D2356" i="11"/>
  <c r="W2356" i="11" s="1"/>
  <c r="D2357" i="11"/>
  <c r="D2358" i="11"/>
  <c r="G2358" i="11" s="1"/>
  <c r="U2358" i="11" s="1"/>
  <c r="Y2358" i="11" s="1"/>
  <c r="D2359" i="11"/>
  <c r="G2359" i="11" s="1"/>
  <c r="D2360" i="11"/>
  <c r="D2361" i="11"/>
  <c r="D2362" i="11"/>
  <c r="D2363" i="11"/>
  <c r="D2364" i="11"/>
  <c r="D2365" i="11"/>
  <c r="D2366" i="11"/>
  <c r="G2366" i="11" s="1"/>
  <c r="U2366" i="11" s="1"/>
  <c r="Y2366" i="11" s="1"/>
  <c r="D2367" i="11"/>
  <c r="G2367" i="11" s="1"/>
  <c r="D2368" i="11"/>
  <c r="D2369" i="11"/>
  <c r="D2370" i="11"/>
  <c r="D2371" i="11"/>
  <c r="D2372" i="11"/>
  <c r="D2373" i="11"/>
  <c r="D2374" i="11"/>
  <c r="G2374" i="11" s="1"/>
  <c r="U2374" i="11" s="1"/>
  <c r="D2375" i="11"/>
  <c r="G2375" i="11" s="1"/>
  <c r="U2375" i="11" s="1"/>
  <c r="D2376" i="11"/>
  <c r="D2377" i="11"/>
  <c r="D2378" i="11"/>
  <c r="D2379" i="11"/>
  <c r="D2380" i="11"/>
  <c r="D2381" i="11"/>
  <c r="D2382" i="11"/>
  <c r="G2382" i="11" s="1"/>
  <c r="U2382" i="11" s="1"/>
  <c r="D2383" i="11"/>
  <c r="G2383" i="11" s="1"/>
  <c r="U2383" i="11" s="1"/>
  <c r="D2384" i="11"/>
  <c r="D2385" i="11"/>
  <c r="D2386" i="11"/>
  <c r="D2387" i="11"/>
  <c r="D2388" i="11"/>
  <c r="D2389" i="11"/>
  <c r="D2390" i="11"/>
  <c r="G2390" i="11" s="1"/>
  <c r="U2390" i="11" s="1"/>
  <c r="Y2390" i="11" s="1"/>
  <c r="D2391" i="11"/>
  <c r="G2391" i="11" s="1"/>
  <c r="U2391" i="11" s="1"/>
  <c r="D2392" i="11"/>
  <c r="D2393" i="11"/>
  <c r="D2394" i="11"/>
  <c r="D2395" i="11"/>
  <c r="D2396" i="11"/>
  <c r="D2397" i="11"/>
  <c r="D2398" i="11"/>
  <c r="G2398" i="11" s="1"/>
  <c r="U2398" i="11" s="1"/>
  <c r="V2398" i="11" s="1"/>
  <c r="D2399" i="11"/>
  <c r="G2399" i="11" s="1"/>
  <c r="D2400" i="11"/>
  <c r="D2401" i="11"/>
  <c r="D2402" i="11"/>
  <c r="D2403" i="11"/>
  <c r="D2404" i="11"/>
  <c r="D2405" i="11"/>
  <c r="D2406" i="11"/>
  <c r="G2406" i="11" s="1"/>
  <c r="U2406" i="11" s="1"/>
  <c r="V2406" i="11" s="1"/>
  <c r="D2407" i="11"/>
  <c r="G2407" i="11" s="1"/>
  <c r="D2408" i="11"/>
  <c r="D2409" i="11"/>
  <c r="D2410" i="11"/>
  <c r="D2411" i="11"/>
  <c r="D2412" i="11"/>
  <c r="D2413" i="11"/>
  <c r="D2414" i="11"/>
  <c r="G2414" i="11" s="1"/>
  <c r="U2414" i="11" s="1"/>
  <c r="D2415" i="11"/>
  <c r="G2415" i="11" s="1"/>
  <c r="U2415" i="11" s="1"/>
  <c r="D2416" i="11"/>
  <c r="D2417" i="11"/>
  <c r="D2418" i="11"/>
  <c r="D2419" i="11"/>
  <c r="D2420" i="11"/>
  <c r="W2420" i="11" s="1"/>
  <c r="D2421" i="11"/>
  <c r="D2422" i="11"/>
  <c r="G2422" i="11" s="1"/>
  <c r="U2422" i="11" s="1"/>
  <c r="Y2422" i="11" s="1"/>
  <c r="D2423" i="11"/>
  <c r="D2424" i="11"/>
  <c r="D2425" i="11"/>
  <c r="D2426" i="11"/>
  <c r="D2427" i="11"/>
  <c r="D2428" i="11"/>
  <c r="W2428" i="11" s="1"/>
  <c r="D2429" i="11"/>
  <c r="D2430" i="11"/>
  <c r="D2431" i="11"/>
  <c r="D2432" i="11"/>
  <c r="D2433" i="11"/>
  <c r="D2434" i="11"/>
  <c r="D2435" i="11"/>
  <c r="D2436" i="11"/>
  <c r="W2436" i="11" s="1"/>
  <c r="D2437" i="11"/>
  <c r="D2438" i="11"/>
  <c r="D2439" i="11"/>
  <c r="D2440" i="11"/>
  <c r="D2441" i="11"/>
  <c r="D2442" i="11"/>
  <c r="D2443" i="11"/>
  <c r="D2444" i="11"/>
  <c r="W2444" i="11" s="1"/>
  <c r="D2445" i="11"/>
  <c r="D2446" i="11"/>
  <c r="D2447" i="11"/>
  <c r="D2448" i="11"/>
  <c r="D2449" i="11"/>
  <c r="D2450" i="11"/>
  <c r="D2451" i="11"/>
  <c r="D2452" i="11"/>
  <c r="W2452" i="11" s="1"/>
  <c r="D2453" i="11"/>
  <c r="D2454" i="11"/>
  <c r="G2454" i="11" s="1"/>
  <c r="D2455" i="11"/>
  <c r="D2456" i="11"/>
  <c r="D2457" i="11"/>
  <c r="D2458" i="11"/>
  <c r="D2459" i="11"/>
  <c r="D2460" i="11"/>
  <c r="W2460" i="11" s="1"/>
  <c r="D2461" i="11"/>
  <c r="D2462" i="11"/>
  <c r="G2462" i="11" s="1"/>
  <c r="U2462" i="11" s="1"/>
  <c r="Y2462" i="11" s="1"/>
  <c r="D2463" i="11"/>
  <c r="G2463" i="11" s="1"/>
  <c r="U2463" i="11" s="1"/>
  <c r="D2464" i="11"/>
  <c r="D2465" i="11"/>
  <c r="D2466" i="11"/>
  <c r="D2467" i="11"/>
  <c r="D2468" i="11"/>
  <c r="D2469" i="11"/>
  <c r="D2470" i="11"/>
  <c r="G2470" i="11" s="1"/>
  <c r="D2471" i="11"/>
  <c r="G2471" i="11" s="1"/>
  <c r="U2471" i="11" s="1"/>
  <c r="D2472" i="11"/>
  <c r="D2473" i="11"/>
  <c r="D2474" i="11"/>
  <c r="D2475" i="11"/>
  <c r="D2476" i="11"/>
  <c r="D2477" i="11"/>
  <c r="D2478" i="11"/>
  <c r="G2478" i="11" s="1"/>
  <c r="U2478" i="11" s="1"/>
  <c r="Y2478" i="11" s="1"/>
  <c r="D2479" i="11"/>
  <c r="G2479" i="11" s="1"/>
  <c r="U2479" i="11" s="1"/>
  <c r="D2480" i="11"/>
  <c r="D2481" i="11"/>
  <c r="D2482" i="11"/>
  <c r="D2483" i="11"/>
  <c r="D2484" i="11"/>
  <c r="D2485" i="11"/>
  <c r="D2486" i="11"/>
  <c r="G2486" i="11" s="1"/>
  <c r="U2486" i="11" s="1"/>
  <c r="V2486" i="11" s="1"/>
  <c r="D2487" i="11"/>
  <c r="G2487" i="11" s="1"/>
  <c r="U2487" i="11" s="1"/>
  <c r="D2488" i="11"/>
  <c r="D2489" i="11"/>
  <c r="D2490" i="11"/>
  <c r="D2491" i="11"/>
  <c r="D2492" i="11"/>
  <c r="D2493" i="11"/>
  <c r="D2494" i="11"/>
  <c r="G2494" i="11" s="1"/>
  <c r="U2494" i="11" s="1"/>
  <c r="V2494" i="11" s="1"/>
  <c r="D2495" i="11"/>
  <c r="G2495" i="11" s="1"/>
  <c r="U2495" i="11" s="1"/>
  <c r="D2496" i="11"/>
  <c r="D2497" i="11"/>
  <c r="D2498" i="11"/>
  <c r="D2499" i="11"/>
  <c r="D2500" i="11"/>
  <c r="D2501" i="11"/>
  <c r="D2502" i="11"/>
  <c r="G2502" i="11" s="1"/>
  <c r="U2502" i="11" s="1"/>
  <c r="V2502" i="11" s="1"/>
  <c r="D2503" i="11"/>
  <c r="G2503" i="11" s="1"/>
  <c r="D2504" i="11"/>
  <c r="D2505" i="11"/>
  <c r="D2506" i="11"/>
  <c r="D2507" i="11"/>
  <c r="D2508" i="11"/>
  <c r="D2509" i="11"/>
  <c r="D2510" i="11"/>
  <c r="G2510" i="11" s="1"/>
  <c r="D2511" i="11"/>
  <c r="G2511" i="11" s="1"/>
  <c r="U2511" i="11" s="1"/>
  <c r="D2512" i="11"/>
  <c r="D2513" i="11"/>
  <c r="D2514" i="11"/>
  <c r="D2515" i="11"/>
  <c r="D2516" i="11"/>
  <c r="D2517" i="11"/>
  <c r="D2518" i="11"/>
  <c r="G2518" i="11" s="1"/>
  <c r="U2518" i="11" s="1"/>
  <c r="Y2518" i="11" s="1"/>
  <c r="D2519" i="11"/>
  <c r="G2519" i="11" s="1"/>
  <c r="D2520" i="11"/>
  <c r="D2521" i="11"/>
  <c r="D2522" i="11"/>
  <c r="D2523" i="11"/>
  <c r="D2524" i="11"/>
  <c r="D2525" i="11"/>
  <c r="D2526" i="11"/>
  <c r="D2527" i="11"/>
  <c r="D2528" i="11"/>
  <c r="D2529" i="11"/>
  <c r="D2530" i="11"/>
  <c r="D2531" i="11"/>
  <c r="D2532" i="11"/>
  <c r="D2533" i="11"/>
  <c r="D2534" i="11"/>
  <c r="D2535" i="11"/>
  <c r="D2536" i="11"/>
  <c r="D2537" i="11"/>
  <c r="D2538" i="11"/>
  <c r="D2539" i="11"/>
  <c r="D2540" i="11"/>
  <c r="W2540" i="11" s="1"/>
  <c r="D2541" i="11"/>
  <c r="D2542" i="11"/>
  <c r="D2543" i="11"/>
  <c r="D2544" i="11"/>
  <c r="D2545" i="11"/>
  <c r="D2546" i="11"/>
  <c r="D2547" i="11"/>
  <c r="D2548" i="11"/>
  <c r="D2549" i="11"/>
  <c r="D2550" i="11"/>
  <c r="D2551" i="11"/>
  <c r="D2552" i="11"/>
  <c r="D2553" i="11"/>
  <c r="D2554" i="11"/>
  <c r="D2555" i="11"/>
  <c r="D2556" i="11"/>
  <c r="W2556" i="11" s="1"/>
  <c r="D2557" i="11"/>
  <c r="D2558" i="11"/>
  <c r="D2559" i="11"/>
  <c r="D2560" i="11"/>
  <c r="D2561" i="11"/>
  <c r="D2562" i="11"/>
  <c r="D2563" i="11"/>
  <c r="D2564" i="11"/>
  <c r="W2564" i="11" s="1"/>
  <c r="D2565" i="11"/>
  <c r="D2566" i="11"/>
  <c r="D2567" i="11"/>
  <c r="G2567" i="11" s="1"/>
  <c r="D2568" i="11"/>
  <c r="D2569" i="11"/>
  <c r="D2570" i="11"/>
  <c r="D2571" i="11"/>
  <c r="D2572" i="11"/>
  <c r="D2573" i="11"/>
  <c r="D2574" i="11"/>
  <c r="G2574" i="11" s="1"/>
  <c r="U2574" i="11" s="1"/>
  <c r="Y2574" i="11" s="1"/>
  <c r="D2575" i="11"/>
  <c r="G2575" i="11" s="1"/>
  <c r="D2576" i="11"/>
  <c r="D2577" i="11"/>
  <c r="D2578" i="11"/>
  <c r="D2579" i="11"/>
  <c r="D2580" i="11"/>
  <c r="D2581" i="11"/>
  <c r="D2582" i="11"/>
  <c r="G2582" i="11" s="1"/>
  <c r="U2582" i="11" s="1"/>
  <c r="Y2582" i="11" s="1"/>
  <c r="D2583" i="11"/>
  <c r="G2583" i="11" s="1"/>
  <c r="D2584" i="11"/>
  <c r="D2585" i="11"/>
  <c r="D2586" i="11"/>
  <c r="D2587" i="11"/>
  <c r="D2588" i="11"/>
  <c r="D2589" i="11"/>
  <c r="D2590" i="11"/>
  <c r="G2590" i="11" s="1"/>
  <c r="U2590" i="11" s="1"/>
  <c r="Y2590" i="11" s="1"/>
  <c r="D2591" i="11"/>
  <c r="G2591" i="11" s="1"/>
  <c r="U2591" i="11" s="1"/>
  <c r="D2592" i="11"/>
  <c r="D2593" i="11"/>
  <c r="D2594" i="11"/>
  <c r="D2595" i="11"/>
  <c r="D2596" i="11"/>
  <c r="D2597" i="11"/>
  <c r="D2598" i="11"/>
  <c r="G2598" i="11" s="1"/>
  <c r="U2598" i="11" s="1"/>
  <c r="V2598" i="11" s="1"/>
  <c r="D2599" i="11"/>
  <c r="G2599" i="11" s="1"/>
  <c r="U2599" i="11" s="1"/>
  <c r="D2600" i="11"/>
  <c r="D2601" i="11"/>
  <c r="D2602" i="11"/>
  <c r="D2603" i="11"/>
  <c r="D2604" i="11"/>
  <c r="D2605" i="11"/>
  <c r="D2606" i="11"/>
  <c r="G2606" i="11" s="1"/>
  <c r="D2607" i="11"/>
  <c r="G2607" i="11" s="1"/>
  <c r="U2607" i="11" s="1"/>
  <c r="D2608" i="11"/>
  <c r="D2609" i="11"/>
  <c r="D2610" i="11"/>
  <c r="D2611" i="11"/>
  <c r="D2612" i="11"/>
  <c r="D2613" i="11"/>
  <c r="D2614" i="11"/>
  <c r="G2614" i="11" s="1"/>
  <c r="U2614" i="11" s="1"/>
  <c r="V2614" i="11" s="1"/>
  <c r="D2615" i="11"/>
  <c r="G2615" i="11" s="1"/>
  <c r="U2615" i="11" s="1"/>
  <c r="D2616" i="11"/>
  <c r="D2617" i="11"/>
  <c r="D2618" i="11"/>
  <c r="D2619" i="11"/>
  <c r="D2620" i="11"/>
  <c r="D2621" i="11"/>
  <c r="D2622" i="11"/>
  <c r="G2622" i="11" s="1"/>
  <c r="U2622" i="11" s="1"/>
  <c r="D2623" i="11"/>
  <c r="G2623" i="11" s="1"/>
  <c r="D2624" i="11"/>
  <c r="D2625" i="11"/>
  <c r="D2626" i="11"/>
  <c r="D2627" i="11"/>
  <c r="D2628" i="11"/>
  <c r="D2629" i="11"/>
  <c r="D2630" i="11"/>
  <c r="D2631" i="11"/>
  <c r="D2632" i="11"/>
  <c r="D2633" i="11"/>
  <c r="D2634" i="11"/>
  <c r="D2635" i="11"/>
  <c r="D2636" i="11"/>
  <c r="W2636" i="11" s="1"/>
  <c r="D2637" i="11"/>
  <c r="D2638" i="11"/>
  <c r="D2639" i="11"/>
  <c r="D2640" i="11"/>
  <c r="D2641" i="11"/>
  <c r="D2642" i="11"/>
  <c r="D2643" i="11"/>
  <c r="D2644" i="11"/>
  <c r="W2644" i="11" s="1"/>
  <c r="D2645" i="11"/>
  <c r="D2646" i="11"/>
  <c r="D2647" i="11"/>
  <c r="D2648" i="11"/>
  <c r="D2649" i="11"/>
  <c r="D2650" i="11"/>
  <c r="D2651" i="11"/>
  <c r="D2652" i="11"/>
  <c r="W2652" i="11" s="1"/>
  <c r="D2653" i="11"/>
  <c r="D2654" i="11"/>
  <c r="D2655" i="11"/>
  <c r="D2656" i="11"/>
  <c r="D2657" i="11"/>
  <c r="D2658" i="11"/>
  <c r="D2659" i="11"/>
  <c r="D2660" i="11"/>
  <c r="W2660" i="11" s="1"/>
  <c r="D2661" i="11"/>
  <c r="D2662" i="11"/>
  <c r="D2663" i="11"/>
  <c r="D2664" i="11"/>
  <c r="D2665" i="11"/>
  <c r="D2666" i="11"/>
  <c r="D2667" i="11"/>
  <c r="D2668" i="11"/>
  <c r="W2668" i="11" s="1"/>
  <c r="D2669" i="11"/>
  <c r="D2670" i="11"/>
  <c r="D2671" i="11"/>
  <c r="D2672" i="11"/>
  <c r="D2673" i="11"/>
  <c r="D2674" i="11"/>
  <c r="D2675" i="11"/>
  <c r="D2676" i="11"/>
  <c r="D2677" i="11"/>
  <c r="D2678" i="11"/>
  <c r="G2678" i="11" s="1"/>
  <c r="D2679" i="11"/>
  <c r="G2679" i="11" s="1"/>
  <c r="D2680" i="11"/>
  <c r="D2681" i="11"/>
  <c r="D2682" i="11"/>
  <c r="D2683" i="11"/>
  <c r="D2684" i="11"/>
  <c r="D2685" i="11"/>
  <c r="D2686" i="11"/>
  <c r="G2686" i="11" s="1"/>
  <c r="U2686" i="11" s="1"/>
  <c r="D2687" i="11"/>
  <c r="G2687" i="11" s="1"/>
  <c r="D2688" i="11"/>
  <c r="D2689" i="11"/>
  <c r="D2690" i="11"/>
  <c r="D2691" i="11"/>
  <c r="D2692" i="11"/>
  <c r="D2693" i="11"/>
  <c r="D2694" i="11"/>
  <c r="G2694" i="11" s="1"/>
  <c r="U2694" i="11" s="1"/>
  <c r="Y2694" i="11" s="1"/>
  <c r="D2695" i="11"/>
  <c r="G2695" i="11" s="1"/>
  <c r="D2696" i="11"/>
  <c r="D2697" i="11"/>
  <c r="D2698" i="11"/>
  <c r="D2699" i="11"/>
  <c r="D2700" i="11"/>
  <c r="D2701" i="11"/>
  <c r="D2702" i="11"/>
  <c r="G2702" i="11" s="1"/>
  <c r="U2702" i="11" s="1"/>
  <c r="Y2702" i="11" s="1"/>
  <c r="D2703" i="11"/>
  <c r="G2703" i="11" s="1"/>
  <c r="D2704" i="11"/>
  <c r="D2705" i="11"/>
  <c r="D2706" i="11"/>
  <c r="D2707" i="11"/>
  <c r="D2708" i="11"/>
  <c r="D2709" i="11"/>
  <c r="D2710" i="11"/>
  <c r="G2710" i="11" s="1"/>
  <c r="U2710" i="11" s="1"/>
  <c r="D2711" i="11"/>
  <c r="G2711" i="11" s="1"/>
  <c r="D2712" i="11"/>
  <c r="D2713" i="11"/>
  <c r="D2714" i="11"/>
  <c r="D2715" i="11"/>
  <c r="D2716" i="11"/>
  <c r="D2717" i="11"/>
  <c r="D2718" i="11"/>
  <c r="G2718" i="11" s="1"/>
  <c r="U2718" i="11" s="1"/>
  <c r="D2719" i="11"/>
  <c r="G2719" i="11" s="1"/>
  <c r="D2720" i="11"/>
  <c r="D2721" i="11"/>
  <c r="D2722" i="11"/>
  <c r="D2723" i="11"/>
  <c r="D2724" i="11"/>
  <c r="D2725" i="11"/>
  <c r="D2726" i="11"/>
  <c r="G2726" i="11" s="1"/>
  <c r="U2726" i="11" s="1"/>
  <c r="V2726" i="11" s="1"/>
  <c r="D2727" i="11"/>
  <c r="G2727" i="11" s="1"/>
  <c r="D2728" i="11"/>
  <c r="D2729" i="11"/>
  <c r="D2730" i="11"/>
  <c r="D2731" i="11"/>
  <c r="D2732" i="11"/>
  <c r="D2733" i="11"/>
  <c r="D2734" i="11"/>
  <c r="G2734" i="11" s="1"/>
  <c r="U2734" i="11" s="1"/>
  <c r="D2735" i="11"/>
  <c r="D2736" i="11"/>
  <c r="D2737" i="11"/>
  <c r="D2738" i="11"/>
  <c r="D2739" i="11"/>
  <c r="D2740" i="11"/>
  <c r="D2741" i="11"/>
  <c r="D2742" i="11"/>
  <c r="D2743" i="11"/>
  <c r="D2744" i="11"/>
  <c r="D2745" i="11"/>
  <c r="D2746" i="11"/>
  <c r="D2747" i="11"/>
  <c r="D2748" i="11"/>
  <c r="W2748" i="11" s="1"/>
  <c r="D2749" i="11"/>
  <c r="D2750" i="11"/>
  <c r="D2751" i="11"/>
  <c r="D2752" i="11"/>
  <c r="D2753" i="11"/>
  <c r="D2754" i="11"/>
  <c r="D2755" i="11"/>
  <c r="D2756" i="11"/>
  <c r="W2756" i="11" s="1"/>
  <c r="D2757" i="11"/>
  <c r="D2758" i="11"/>
  <c r="G2758" i="11" s="1"/>
  <c r="U2758" i="11" s="1"/>
  <c r="D2759" i="11"/>
  <c r="D2760" i="11"/>
  <c r="D2761" i="11"/>
  <c r="D2762" i="11"/>
  <c r="D2763" i="11"/>
  <c r="D2764" i="11"/>
  <c r="D2765" i="11"/>
  <c r="D2766" i="11"/>
  <c r="D2767" i="11"/>
  <c r="D2768" i="11"/>
  <c r="D2769" i="11"/>
  <c r="D2770" i="11"/>
  <c r="D2771" i="11"/>
  <c r="D2772" i="11"/>
  <c r="W2772" i="11" s="1"/>
  <c r="D2773" i="11"/>
  <c r="D2774" i="11"/>
  <c r="D2775" i="11"/>
  <c r="D2776" i="11"/>
  <c r="D2777" i="11"/>
  <c r="D2778" i="11"/>
  <c r="D2779" i="11"/>
  <c r="D2780" i="11"/>
  <c r="D2781" i="11"/>
  <c r="D2782" i="11"/>
  <c r="G2782" i="11" s="1"/>
  <c r="U2782" i="11" s="1"/>
  <c r="V2782" i="11" s="1"/>
  <c r="D2783" i="11"/>
  <c r="G2783" i="11" s="1"/>
  <c r="D2784" i="11"/>
  <c r="D2785" i="11"/>
  <c r="D2786" i="11"/>
  <c r="D2787" i="11"/>
  <c r="D2788" i="11"/>
  <c r="D2789" i="11"/>
  <c r="D2790" i="11"/>
  <c r="G2790" i="11" s="1"/>
  <c r="U2790" i="11" s="1"/>
  <c r="Y2790" i="11" s="1"/>
  <c r="D2791" i="11"/>
  <c r="G2791" i="11" s="1"/>
  <c r="D2792" i="11"/>
  <c r="D2793" i="11"/>
  <c r="D2794" i="11"/>
  <c r="D2795" i="11"/>
  <c r="D2796" i="11"/>
  <c r="D2797" i="11"/>
  <c r="D2798" i="11"/>
  <c r="G2798" i="11" s="1"/>
  <c r="U2798" i="11" s="1"/>
  <c r="V2798" i="11" s="1"/>
  <c r="D2799" i="11"/>
  <c r="G2799" i="11" s="1"/>
  <c r="U2799" i="11" s="1"/>
  <c r="D2800" i="11"/>
  <c r="D2801" i="11"/>
  <c r="D2802" i="11"/>
  <c r="D2803" i="11"/>
  <c r="D2804" i="11"/>
  <c r="D2805" i="11"/>
  <c r="D2806" i="11"/>
  <c r="G2806" i="11" s="1"/>
  <c r="U2806" i="11" s="1"/>
  <c r="Y2806" i="11" s="1"/>
  <c r="D2807" i="11"/>
  <c r="G2807" i="11" s="1"/>
  <c r="U2807" i="11" s="1"/>
  <c r="D2808" i="11"/>
  <c r="D2809" i="11"/>
  <c r="D2810" i="11"/>
  <c r="D2811" i="11"/>
  <c r="D2812" i="11"/>
  <c r="D2813" i="11"/>
  <c r="D2814" i="11"/>
  <c r="G2814" i="11" s="1"/>
  <c r="U2814" i="11" s="1"/>
  <c r="Y2814" i="11" s="1"/>
  <c r="D2815" i="11"/>
  <c r="G2815" i="11" s="1"/>
  <c r="U2815" i="11" s="1"/>
  <c r="D2816" i="11"/>
  <c r="D2817" i="11"/>
  <c r="D2818" i="11"/>
  <c r="D2819" i="11"/>
  <c r="D2820" i="11"/>
  <c r="D2821" i="11"/>
  <c r="D2822" i="11"/>
  <c r="G2822" i="11" s="1"/>
  <c r="U2822" i="11" s="1"/>
  <c r="V2822" i="11" s="1"/>
  <c r="D2823" i="11"/>
  <c r="G2823" i="11" s="1"/>
  <c r="U2823" i="11" s="1"/>
  <c r="D2824" i="11"/>
  <c r="D2825" i="11"/>
  <c r="D2826" i="11"/>
  <c r="D2827" i="11"/>
  <c r="D2828" i="11"/>
  <c r="D2829" i="11"/>
  <c r="D2830" i="11"/>
  <c r="G2830" i="11" s="1"/>
  <c r="U2830" i="11" s="1"/>
  <c r="D2831" i="11"/>
  <c r="G2831" i="11" s="1"/>
  <c r="U2831" i="11" s="1"/>
  <c r="D2832" i="11"/>
  <c r="D2833" i="11"/>
  <c r="D2834" i="11"/>
  <c r="D2835" i="11"/>
  <c r="D2836" i="11"/>
  <c r="D2837" i="11"/>
  <c r="D2838" i="11"/>
  <c r="G2838" i="11" s="1"/>
  <c r="U2838" i="11" s="1"/>
  <c r="V2838" i="11" s="1"/>
  <c r="D2839" i="11"/>
  <c r="G2839" i="11" s="1"/>
  <c r="U2839" i="11" s="1"/>
  <c r="D2840" i="11"/>
  <c r="D2841" i="11"/>
  <c r="D2842" i="11"/>
  <c r="D2843" i="11"/>
  <c r="D2844" i="11"/>
  <c r="W2844" i="11" s="1"/>
  <c r="D2845" i="11"/>
  <c r="D2846" i="11"/>
  <c r="D2847" i="11"/>
  <c r="D2848" i="11"/>
  <c r="D2849" i="11"/>
  <c r="D2850" i="11"/>
  <c r="D2851" i="11"/>
  <c r="D2852" i="11"/>
  <c r="W2852" i="11" s="1"/>
  <c r="D2853" i="11"/>
  <c r="D2854" i="11"/>
  <c r="G2854" i="11" s="1"/>
  <c r="U2854" i="11" s="1"/>
  <c r="Y2854" i="11" s="1"/>
  <c r="D2855" i="11"/>
  <c r="D2856" i="11"/>
  <c r="D2857" i="11"/>
  <c r="D2858" i="11"/>
  <c r="D2859" i="11"/>
  <c r="D2860" i="11"/>
  <c r="W2860" i="11" s="1"/>
  <c r="D2861" i="11"/>
  <c r="D2862" i="11"/>
  <c r="D2863" i="11"/>
  <c r="D2864" i="11"/>
  <c r="D2865" i="11"/>
  <c r="D2866" i="11"/>
  <c r="D2867" i="11"/>
  <c r="D2868" i="11"/>
  <c r="D2869" i="11"/>
  <c r="D2870" i="11"/>
  <c r="D2871" i="11"/>
  <c r="D2872" i="11"/>
  <c r="D2873" i="11"/>
  <c r="D2874" i="11"/>
  <c r="D2875" i="11"/>
  <c r="D2876" i="11"/>
  <c r="W2876" i="11" s="1"/>
  <c r="D2877" i="11"/>
  <c r="D2878" i="11"/>
  <c r="D2879" i="11"/>
  <c r="D2880" i="11"/>
  <c r="D2881" i="11"/>
  <c r="D2882" i="11"/>
  <c r="D2883" i="11"/>
  <c r="D2884" i="11"/>
  <c r="D2885" i="11"/>
  <c r="D2886" i="11"/>
  <c r="G2886" i="11" s="1"/>
  <c r="U2886" i="11" s="1"/>
  <c r="Y2886" i="11" s="1"/>
  <c r="D2887" i="11"/>
  <c r="G2887" i="11" s="1"/>
  <c r="U2887" i="11" s="1"/>
  <c r="D2888" i="11"/>
  <c r="D2889" i="11"/>
  <c r="D2890" i="11"/>
  <c r="D2891" i="11"/>
  <c r="D2892" i="11"/>
  <c r="D2893" i="11"/>
  <c r="D2894" i="11"/>
  <c r="G2894" i="11" s="1"/>
  <c r="T2894" i="11" s="1"/>
  <c r="D2895" i="11"/>
  <c r="G2895" i="11" s="1"/>
  <c r="U2895" i="11" s="1"/>
  <c r="D2896" i="11"/>
  <c r="D2897" i="11"/>
  <c r="D2898" i="11"/>
  <c r="D2899" i="11"/>
  <c r="D2900" i="11"/>
  <c r="D2901" i="11"/>
  <c r="D2902" i="11"/>
  <c r="G2902" i="11" s="1"/>
  <c r="U2902" i="11" s="1"/>
  <c r="Y2902" i="11" s="1"/>
  <c r="D2903" i="11"/>
  <c r="G2903" i="11" s="1"/>
  <c r="U2903" i="11" s="1"/>
  <c r="D2904" i="11"/>
  <c r="D2905" i="11"/>
  <c r="D2906" i="11"/>
  <c r="D2907" i="11"/>
  <c r="D2908" i="11"/>
  <c r="D2909" i="11"/>
  <c r="D2910" i="11"/>
  <c r="G2910" i="11" s="1"/>
  <c r="U2910" i="11" s="1"/>
  <c r="V2910" i="11" s="1"/>
  <c r="D2911" i="11"/>
  <c r="G2911" i="11" s="1"/>
  <c r="U2911" i="11" s="1"/>
  <c r="D2912" i="11"/>
  <c r="D2913" i="11"/>
  <c r="D2914" i="11"/>
  <c r="D2915" i="11"/>
  <c r="D2916" i="11"/>
  <c r="D2917" i="11"/>
  <c r="D2918" i="11"/>
  <c r="G2918" i="11" s="1"/>
  <c r="U2918" i="11" s="1"/>
  <c r="Y2918" i="11" s="1"/>
  <c r="D2919" i="11"/>
  <c r="G2919" i="11" s="1"/>
  <c r="U2919" i="11" s="1"/>
  <c r="D2920" i="11"/>
  <c r="D2921" i="11"/>
  <c r="D2922" i="11"/>
  <c r="D2923" i="11"/>
  <c r="D2924" i="11"/>
  <c r="D2925" i="11"/>
  <c r="D2926" i="11"/>
  <c r="G2926" i="11" s="1"/>
  <c r="U2926" i="11" s="1"/>
  <c r="V2926" i="11" s="1"/>
  <c r="D2927" i="11"/>
  <c r="G2927" i="11" s="1"/>
  <c r="U2927" i="11" s="1"/>
  <c r="D2928" i="11"/>
  <c r="D2929" i="11"/>
  <c r="D2930" i="11"/>
  <c r="D2931" i="11"/>
  <c r="D2932" i="11"/>
  <c r="D2933" i="11"/>
  <c r="D2934" i="11"/>
  <c r="G2934" i="11" s="1"/>
  <c r="U2934" i="11" s="1"/>
  <c r="Y2934" i="11" s="1"/>
  <c r="D2935" i="11"/>
  <c r="G2935" i="11" s="1"/>
  <c r="U2935" i="11" s="1"/>
  <c r="D2936" i="11"/>
  <c r="D2937" i="11"/>
  <c r="D2938" i="11"/>
  <c r="D2939" i="11"/>
  <c r="D2940" i="11"/>
  <c r="D2941" i="11"/>
  <c r="D2942" i="11"/>
  <c r="G2942" i="11" s="1"/>
  <c r="U2942" i="11" s="1"/>
  <c r="V2942" i="11" s="1"/>
  <c r="D2943" i="11"/>
  <c r="G2943" i="11" s="1"/>
  <c r="U2943" i="11" s="1"/>
  <c r="D2944" i="11"/>
  <c r="D2945" i="11"/>
  <c r="D2946" i="11"/>
  <c r="D2947" i="11"/>
  <c r="D2948" i="11"/>
  <c r="W2948" i="11" s="1"/>
  <c r="D2949" i="11"/>
  <c r="D2950" i="11"/>
  <c r="D2951" i="11"/>
  <c r="D2952" i="11"/>
  <c r="D2953" i="11"/>
  <c r="D2954" i="11"/>
  <c r="D2955" i="11"/>
  <c r="D2956" i="11"/>
  <c r="W2956" i="11" s="1"/>
  <c r="D2957" i="11"/>
  <c r="D2958" i="11"/>
  <c r="D2959" i="11"/>
  <c r="D2960" i="11"/>
  <c r="D2961" i="11"/>
  <c r="D2962" i="11"/>
  <c r="D2963" i="11"/>
  <c r="D2964" i="11"/>
  <c r="W2964" i="11" s="1"/>
  <c r="D2965" i="11"/>
  <c r="D2966" i="11"/>
  <c r="D2967" i="11"/>
  <c r="D2968" i="11"/>
  <c r="D2969" i="11"/>
  <c r="D2970" i="11"/>
  <c r="D2971" i="11"/>
  <c r="D2972" i="11"/>
  <c r="W2972" i="11" s="1"/>
  <c r="D2973" i="11"/>
  <c r="D2974" i="11"/>
  <c r="D2975" i="11"/>
  <c r="D2976" i="11"/>
  <c r="D2977" i="11"/>
  <c r="D2978" i="11"/>
  <c r="D2979" i="11"/>
  <c r="D2980" i="11"/>
  <c r="W2980" i="11" s="1"/>
  <c r="D2981" i="11"/>
  <c r="D2982" i="11"/>
  <c r="D2983" i="11"/>
  <c r="D2984" i="11"/>
  <c r="D2985" i="11"/>
  <c r="D2986" i="11"/>
  <c r="D2987" i="11"/>
  <c r="D2988" i="11"/>
  <c r="D2989" i="11"/>
  <c r="D2990" i="11"/>
  <c r="G2990" i="11" s="1"/>
  <c r="U2990" i="11" s="1"/>
  <c r="V2990" i="11" s="1"/>
  <c r="D2991" i="11"/>
  <c r="G2991" i="11" s="1"/>
  <c r="U2991" i="11" s="1"/>
  <c r="D2992" i="11"/>
  <c r="D2993" i="11"/>
  <c r="D2994" i="11"/>
  <c r="D2995" i="11"/>
  <c r="D2996" i="11"/>
  <c r="D2997" i="11"/>
  <c r="D2998" i="11"/>
  <c r="G2998" i="11" s="1"/>
  <c r="U2998" i="11" s="1"/>
  <c r="V2998" i="11" s="1"/>
  <c r="D2999" i="11"/>
  <c r="G2999" i="11" s="1"/>
  <c r="U2999" i="11" s="1"/>
  <c r="D3000" i="11"/>
  <c r="D3001" i="11"/>
  <c r="D3002" i="11"/>
  <c r="D3003" i="11"/>
  <c r="D3004" i="11"/>
  <c r="D3005" i="11"/>
  <c r="D3006" i="11"/>
  <c r="G3006" i="11" s="1"/>
  <c r="U3006" i="11" s="1"/>
  <c r="Y3006" i="11" s="1"/>
  <c r="D3007" i="11"/>
  <c r="G3007" i="11" s="1"/>
  <c r="U3007" i="11" s="1"/>
  <c r="D3008" i="11"/>
  <c r="D3009" i="11"/>
  <c r="D3010" i="11"/>
  <c r="D3011" i="11"/>
  <c r="D3012" i="11"/>
  <c r="D3013" i="11"/>
  <c r="D3014" i="11"/>
  <c r="G3014" i="11" s="1"/>
  <c r="U3014" i="11" s="1"/>
  <c r="D3015" i="11"/>
  <c r="G3015" i="11" s="1"/>
  <c r="U3015" i="11" s="1"/>
  <c r="D3016" i="11"/>
  <c r="D3017" i="11"/>
  <c r="D3018" i="11"/>
  <c r="D3019" i="11"/>
  <c r="D3020" i="11"/>
  <c r="D3021" i="11"/>
  <c r="D3022" i="11"/>
  <c r="G3022" i="11" s="1"/>
  <c r="U3022" i="11" s="1"/>
  <c r="V3022" i="11" s="1"/>
  <c r="D3023" i="11"/>
  <c r="G3023" i="11" s="1"/>
  <c r="U3023" i="11" s="1"/>
  <c r="D3024" i="11"/>
  <c r="D3025" i="11"/>
  <c r="D3026" i="11"/>
  <c r="D3027" i="11"/>
  <c r="D3028" i="11"/>
  <c r="D3029" i="11"/>
  <c r="D3030" i="11"/>
  <c r="G3030" i="11" s="1"/>
  <c r="U3030" i="11" s="1"/>
  <c r="V3030" i="11" s="1"/>
  <c r="D3031" i="11"/>
  <c r="G3031" i="11" s="1"/>
  <c r="U3031" i="11" s="1"/>
  <c r="D3032" i="11"/>
  <c r="D3033" i="11"/>
  <c r="D3034" i="11"/>
  <c r="D3035" i="11"/>
  <c r="D3036" i="11"/>
  <c r="D3037" i="11"/>
  <c r="D3038" i="11"/>
  <c r="G3038" i="11" s="1"/>
  <c r="U3038" i="11" s="1"/>
  <c r="V3038" i="11" s="1"/>
  <c r="D3039" i="11"/>
  <c r="G3039" i="11" s="1"/>
  <c r="U3039" i="11" s="1"/>
  <c r="D3040" i="11"/>
  <c r="D3041" i="11"/>
  <c r="D3042" i="11"/>
  <c r="D3043" i="11"/>
  <c r="D3044" i="11"/>
  <c r="D3045" i="11"/>
  <c r="D3046" i="11"/>
  <c r="G3046" i="11" s="1"/>
  <c r="U3046" i="11" s="1"/>
  <c r="Y3046" i="11" s="1"/>
  <c r="D3047" i="11"/>
  <c r="G3047" i="11" s="1"/>
  <c r="U3047" i="11" s="1"/>
  <c r="D3048" i="11"/>
  <c r="D3049" i="11"/>
  <c r="D3050" i="11"/>
  <c r="D3051" i="11"/>
  <c r="D3052" i="11"/>
  <c r="W3052" i="11" s="1"/>
  <c r="D3053" i="11"/>
  <c r="D3054" i="11"/>
  <c r="D3055" i="11"/>
  <c r="D3056" i="11"/>
  <c r="D3057" i="11"/>
  <c r="D3058" i="11"/>
  <c r="D3059" i="11"/>
  <c r="D3060" i="11"/>
  <c r="D3061" i="11"/>
  <c r="D3062" i="11"/>
  <c r="D3063" i="11"/>
  <c r="D3064" i="11"/>
  <c r="D3065" i="11"/>
  <c r="D3066" i="11"/>
  <c r="D3067" i="11"/>
  <c r="D3068" i="11"/>
  <c r="W3068" i="11" s="1"/>
  <c r="D3069" i="11"/>
  <c r="D3070" i="11"/>
  <c r="D3071" i="11"/>
  <c r="D3072" i="11"/>
  <c r="D3073" i="11"/>
  <c r="D3074" i="11"/>
  <c r="D3075" i="11"/>
  <c r="D3076" i="11"/>
  <c r="W3076" i="11" s="1"/>
  <c r="D3077" i="11"/>
  <c r="D3078" i="11"/>
  <c r="D3079" i="11"/>
  <c r="D3080" i="11"/>
  <c r="D3081" i="11"/>
  <c r="D3082" i="11"/>
  <c r="D3083" i="11"/>
  <c r="D3084" i="11"/>
  <c r="W3084" i="11" s="1"/>
  <c r="D3085" i="11"/>
  <c r="D3086" i="11"/>
  <c r="G3086" i="11" s="1"/>
  <c r="U3086" i="11" s="1"/>
  <c r="Y3086" i="11" s="1"/>
  <c r="D3087" i="11"/>
  <c r="D3088" i="11"/>
  <c r="D3089" i="11"/>
  <c r="D3090" i="11"/>
  <c r="D3091" i="11"/>
  <c r="D3092" i="11"/>
  <c r="D3093" i="11"/>
  <c r="D3094" i="11"/>
  <c r="G3094" i="11" s="1"/>
  <c r="U3094" i="11" s="1"/>
  <c r="Y3094" i="11" s="1"/>
  <c r="D3095" i="11"/>
  <c r="G3095" i="11" s="1"/>
  <c r="U3095" i="11" s="1"/>
  <c r="D3096" i="11"/>
  <c r="D3097" i="11"/>
  <c r="D3098" i="11"/>
  <c r="D3099" i="11"/>
  <c r="D3100" i="11"/>
  <c r="D3101" i="11"/>
  <c r="D3102" i="11"/>
  <c r="G3102" i="11" s="1"/>
  <c r="U3102" i="11" s="1"/>
  <c r="D3103" i="11"/>
  <c r="G3103" i="11" s="1"/>
  <c r="U3103" i="11" s="1"/>
  <c r="D3104" i="11"/>
  <c r="D3105" i="11"/>
  <c r="D3106" i="11"/>
  <c r="D3107" i="11"/>
  <c r="D3108" i="11"/>
  <c r="D3109" i="11"/>
  <c r="D3110" i="11"/>
  <c r="G3110" i="11" s="1"/>
  <c r="U3110" i="11" s="1"/>
  <c r="Y3110" i="11" s="1"/>
  <c r="D3111" i="11"/>
  <c r="G3111" i="11" s="1"/>
  <c r="U3111" i="11" s="1"/>
  <c r="D3112" i="11"/>
  <c r="D3113" i="11"/>
  <c r="D3114" i="11"/>
  <c r="D3115" i="11"/>
  <c r="D3116" i="11"/>
  <c r="D3117" i="11"/>
  <c r="D3118" i="11"/>
  <c r="G3118" i="11" s="1"/>
  <c r="U3118" i="11" s="1"/>
  <c r="Y3118" i="11" s="1"/>
  <c r="D3119" i="11"/>
  <c r="G3119" i="11" s="1"/>
  <c r="U3119" i="11" s="1"/>
  <c r="D3120" i="11"/>
  <c r="D3121" i="11"/>
  <c r="D3122" i="11"/>
  <c r="D3123" i="11"/>
  <c r="D3124" i="11"/>
  <c r="D3125" i="11"/>
  <c r="D3126" i="11"/>
  <c r="G3126" i="11" s="1"/>
  <c r="U3126" i="11" s="1"/>
  <c r="V3126" i="11" s="1"/>
  <c r="D3127" i="11"/>
  <c r="G3127" i="11" s="1"/>
  <c r="U3127" i="11" s="1"/>
  <c r="D3128" i="11"/>
  <c r="D3129" i="11"/>
  <c r="D3130" i="11"/>
  <c r="D3131" i="11"/>
  <c r="D3132" i="11"/>
  <c r="D3133" i="11"/>
  <c r="D3134" i="11"/>
  <c r="G3134" i="11" s="1"/>
  <c r="U3134" i="11" s="1"/>
  <c r="V3134" i="11" s="1"/>
  <c r="D3135" i="11"/>
  <c r="G3135" i="11" s="1"/>
  <c r="U3135" i="11" s="1"/>
  <c r="D3136" i="11"/>
  <c r="D3137" i="11"/>
  <c r="D3138" i="11"/>
  <c r="D3139" i="11"/>
  <c r="D3140" i="11"/>
  <c r="D3141" i="11"/>
  <c r="D3142" i="11"/>
  <c r="G3142" i="11" s="1"/>
  <c r="U3142" i="11" s="1"/>
  <c r="Y3142" i="11" s="1"/>
  <c r="D3143" i="11"/>
  <c r="G3143" i="11" s="1"/>
  <c r="U3143" i="11" s="1"/>
  <c r="D3144" i="11"/>
  <c r="D3145" i="11"/>
  <c r="D3146" i="11"/>
  <c r="D3147" i="11"/>
  <c r="D3148" i="11"/>
  <c r="D3149" i="11"/>
  <c r="D3150" i="11"/>
  <c r="G3150" i="11" s="1"/>
  <c r="U3150" i="11" s="1"/>
  <c r="D3151" i="11"/>
  <c r="G3151" i="11" s="1"/>
  <c r="U3151" i="11" s="1"/>
  <c r="D3152" i="11"/>
  <c r="D3153" i="11"/>
  <c r="D3154" i="11"/>
  <c r="D3155" i="11"/>
  <c r="D3156" i="11"/>
  <c r="D3157" i="11"/>
  <c r="D3158" i="11"/>
  <c r="D3159" i="11"/>
  <c r="D3160" i="11"/>
  <c r="D3161" i="11"/>
  <c r="D3162" i="11"/>
  <c r="D3163" i="11"/>
  <c r="D3164" i="11"/>
  <c r="W3164" i="11" s="1"/>
  <c r="D3165" i="11"/>
  <c r="D3166" i="11"/>
  <c r="D3167" i="11"/>
  <c r="D3168" i="11"/>
  <c r="D3169" i="11"/>
  <c r="D3170" i="11"/>
  <c r="D3171" i="11"/>
  <c r="D3172" i="11"/>
  <c r="W3172" i="11" s="1"/>
  <c r="D3173" i="11"/>
  <c r="D3174" i="11"/>
  <c r="D3175" i="11"/>
  <c r="D3176" i="11"/>
  <c r="D3177" i="11"/>
  <c r="D3178" i="11"/>
  <c r="D3179" i="11"/>
  <c r="D3180" i="11"/>
  <c r="W3180" i="11" s="1"/>
  <c r="D3181" i="11"/>
  <c r="D3182" i="11"/>
  <c r="G3182" i="11" s="1"/>
  <c r="U3182" i="11" s="1"/>
  <c r="Y3182" i="11" s="1"/>
  <c r="D3183" i="11"/>
  <c r="D3184" i="11"/>
  <c r="D3185" i="11"/>
  <c r="D3186" i="11"/>
  <c r="D3187" i="11"/>
  <c r="D3188" i="11"/>
  <c r="D3189" i="11"/>
  <c r="D3190" i="11"/>
  <c r="D3191" i="11"/>
  <c r="D3192" i="11"/>
  <c r="D3193" i="11"/>
  <c r="D3194" i="11"/>
  <c r="D3195" i="11"/>
  <c r="D3196" i="11"/>
  <c r="W3196" i="11" s="1"/>
  <c r="D3197" i="11"/>
  <c r="D3198" i="11"/>
  <c r="G3198" i="11" s="1"/>
  <c r="U3198" i="11" s="1"/>
  <c r="V3198" i="11" s="1"/>
  <c r="D3199" i="11"/>
  <c r="G3199" i="11" s="1"/>
  <c r="U3199" i="11" s="1"/>
  <c r="D3200" i="11"/>
  <c r="D3201" i="11"/>
  <c r="D3202" i="11"/>
  <c r="D3203" i="11"/>
  <c r="D3204" i="11"/>
  <c r="D3205" i="11"/>
  <c r="D3206" i="11"/>
  <c r="G3206" i="11" s="1"/>
  <c r="U3206" i="11" s="1"/>
  <c r="D3207" i="11"/>
  <c r="G3207" i="11" s="1"/>
  <c r="U3207" i="11" s="1"/>
  <c r="D3208" i="11"/>
  <c r="D3209" i="11"/>
  <c r="D3210" i="11"/>
  <c r="D3211" i="11"/>
  <c r="D3212" i="11"/>
  <c r="D3213" i="11"/>
  <c r="D3214" i="11"/>
  <c r="G3214" i="11" s="1"/>
  <c r="U3214" i="11" s="1"/>
  <c r="Y3214" i="11" s="1"/>
  <c r="D3215" i="11"/>
  <c r="G3215" i="11" s="1"/>
  <c r="U3215" i="11" s="1"/>
  <c r="D3216" i="11"/>
  <c r="D3217" i="11"/>
  <c r="D3218" i="11"/>
  <c r="D3219" i="11"/>
  <c r="D3220" i="11"/>
  <c r="D3221" i="11"/>
  <c r="D3222" i="11"/>
  <c r="G3222" i="11" s="1"/>
  <c r="U3222" i="11" s="1"/>
  <c r="V3222" i="11" s="1"/>
  <c r="D3223" i="11"/>
  <c r="G3223" i="11" s="1"/>
  <c r="U3223" i="11" s="1"/>
  <c r="D3224" i="11"/>
  <c r="D3225" i="11"/>
  <c r="D3226" i="11"/>
  <c r="D3227" i="11"/>
  <c r="D3228" i="11"/>
  <c r="D3229" i="11"/>
  <c r="D3230" i="11"/>
  <c r="G3230" i="11" s="1"/>
  <c r="U3230" i="11" s="1"/>
  <c r="Y3230" i="11" s="1"/>
  <c r="D3231" i="11"/>
  <c r="G3231" i="11" s="1"/>
  <c r="U3231" i="11" s="1"/>
  <c r="D3232" i="11"/>
  <c r="D3233" i="11"/>
  <c r="D3234" i="11"/>
  <c r="D3235" i="11"/>
  <c r="D3236" i="11"/>
  <c r="D3237" i="11"/>
  <c r="D3238" i="11"/>
  <c r="G3238" i="11" s="1"/>
  <c r="U3238" i="11" s="1"/>
  <c r="Y3238" i="11" s="1"/>
  <c r="D3239" i="11"/>
  <c r="G3239" i="11" s="1"/>
  <c r="U3239" i="11" s="1"/>
  <c r="D3240" i="11"/>
  <c r="D3241" i="11"/>
  <c r="D3242" i="11"/>
  <c r="D3243" i="11"/>
  <c r="D3244" i="11"/>
  <c r="D3245" i="11"/>
  <c r="D3246" i="11"/>
  <c r="G3246" i="11" s="1"/>
  <c r="D3247" i="11"/>
  <c r="G3247" i="11" s="1"/>
  <c r="U3247" i="11" s="1"/>
  <c r="D3248" i="11"/>
  <c r="D3249" i="11"/>
  <c r="D3250" i="11"/>
  <c r="D3251" i="11"/>
  <c r="D3252" i="11"/>
  <c r="D3253" i="11"/>
  <c r="D3254" i="11"/>
  <c r="G3254" i="11" s="1"/>
  <c r="U3254" i="11" s="1"/>
  <c r="Y3254" i="11" s="1"/>
  <c r="D3255" i="11"/>
  <c r="G3255" i="11" s="1"/>
  <c r="U3255" i="11" s="1"/>
  <c r="D3256" i="11"/>
  <c r="D3257" i="11"/>
  <c r="D3258" i="11"/>
  <c r="D3259" i="11"/>
  <c r="D3260" i="11"/>
  <c r="W3260" i="11" s="1"/>
  <c r="D3261" i="11"/>
  <c r="D3262" i="11"/>
  <c r="D3263" i="11"/>
  <c r="D3264" i="11"/>
  <c r="D3265" i="11"/>
  <c r="D3266" i="11"/>
  <c r="D3267" i="11"/>
  <c r="D3268" i="11"/>
  <c r="W3268" i="11" s="1"/>
  <c r="D3269" i="11"/>
  <c r="D3270" i="11"/>
  <c r="D3271" i="11"/>
  <c r="D3272" i="11"/>
  <c r="D3273" i="11"/>
  <c r="D3274" i="11"/>
  <c r="D3275" i="11"/>
  <c r="D3276" i="11"/>
  <c r="W3276" i="11" s="1"/>
  <c r="D3277" i="11"/>
  <c r="D3278" i="11"/>
  <c r="G3278" i="11" s="1"/>
  <c r="D3279" i="11"/>
  <c r="D3280" i="11"/>
  <c r="D3281" i="11"/>
  <c r="D3282" i="11"/>
  <c r="D3283" i="11"/>
  <c r="D3284" i="11"/>
  <c r="W3284" i="11" s="1"/>
  <c r="D3285" i="11"/>
  <c r="D3286" i="11"/>
  <c r="D3287" i="11"/>
  <c r="D3288" i="11"/>
  <c r="D3289" i="11"/>
  <c r="D3290" i="11"/>
  <c r="D3291" i="11"/>
  <c r="D3292" i="11"/>
  <c r="W3292" i="11" s="1"/>
  <c r="D3293" i="11"/>
  <c r="D3294" i="11"/>
  <c r="D3295" i="11"/>
  <c r="D3296" i="11"/>
  <c r="D3297" i="11"/>
  <c r="D3298" i="11"/>
  <c r="D3299" i="11"/>
  <c r="D3300" i="11"/>
  <c r="W3300" i="11" s="1"/>
  <c r="D3301" i="11"/>
  <c r="D3302" i="11"/>
  <c r="G3302" i="11" s="1"/>
  <c r="D3303" i="11"/>
  <c r="G3303" i="11" s="1"/>
  <c r="U3303" i="11" s="1"/>
  <c r="D3304" i="11"/>
  <c r="D3305" i="11"/>
  <c r="D3306" i="11"/>
  <c r="D3307" i="11"/>
  <c r="D3308" i="11"/>
  <c r="D3309" i="11"/>
  <c r="D3310" i="11"/>
  <c r="G3310" i="11" s="1"/>
  <c r="U3310" i="11" s="1"/>
  <c r="Y3310" i="11" s="1"/>
  <c r="D3311" i="11"/>
  <c r="G3311" i="11" s="1"/>
  <c r="U3311" i="11" s="1"/>
  <c r="D3312" i="11"/>
  <c r="D3313" i="11"/>
  <c r="D3314" i="11"/>
  <c r="D3315" i="11"/>
  <c r="D3316" i="11"/>
  <c r="D3317" i="11"/>
  <c r="D3318" i="11"/>
  <c r="G3318" i="11" s="1"/>
  <c r="U3318" i="11" s="1"/>
  <c r="V3318" i="11" s="1"/>
  <c r="D3319" i="11"/>
  <c r="G3319" i="11" s="1"/>
  <c r="D3320" i="11"/>
  <c r="D3321" i="11"/>
  <c r="D3322" i="11"/>
  <c r="D3323" i="11"/>
  <c r="D3324" i="11"/>
  <c r="D3325" i="11"/>
  <c r="D3326" i="11"/>
  <c r="G3326" i="11" s="1"/>
  <c r="U3326" i="11" s="1"/>
  <c r="V3326" i="11" s="1"/>
  <c r="D3327" i="11"/>
  <c r="G3327" i="11" s="1"/>
  <c r="U3327" i="11" s="1"/>
  <c r="D3328" i="11"/>
  <c r="D3329" i="11"/>
  <c r="D3330" i="11"/>
  <c r="D3331" i="11"/>
  <c r="D3332" i="11"/>
  <c r="D3333" i="11"/>
  <c r="D3334" i="11"/>
  <c r="G3334" i="11" s="1"/>
  <c r="U3334" i="11" s="1"/>
  <c r="D3335" i="11"/>
  <c r="G3335" i="11" s="1"/>
  <c r="U3335" i="11" s="1"/>
  <c r="D3336" i="11"/>
  <c r="D3337" i="11"/>
  <c r="D3338" i="11"/>
  <c r="D3339" i="11"/>
  <c r="D3340" i="11"/>
  <c r="D3341" i="11"/>
  <c r="D3342" i="11"/>
  <c r="G3342" i="11" s="1"/>
  <c r="U3342" i="11" s="1"/>
  <c r="D3343" i="11"/>
  <c r="G3343" i="11" s="1"/>
  <c r="D3344" i="11"/>
  <c r="D3345" i="11"/>
  <c r="D3346" i="11"/>
  <c r="D3347" i="11"/>
  <c r="D3348" i="11"/>
  <c r="D3349" i="11"/>
  <c r="D3350" i="11"/>
  <c r="G3350" i="11" s="1"/>
  <c r="D3351" i="11"/>
  <c r="G3351" i="11" s="1"/>
  <c r="U3351" i="11" s="1"/>
  <c r="D3352" i="11"/>
  <c r="D3353" i="11"/>
  <c r="D3354" i="11"/>
  <c r="D3355" i="11"/>
  <c r="D3356" i="11"/>
  <c r="D3357" i="11"/>
  <c r="D3358" i="11"/>
  <c r="G3358" i="11" s="1"/>
  <c r="D3359" i="11"/>
  <c r="G3359" i="11" s="1"/>
  <c r="U3359" i="11" s="1"/>
  <c r="D3360" i="11"/>
  <c r="D3361" i="11"/>
  <c r="D3362" i="11"/>
  <c r="D3363" i="11"/>
  <c r="D3364" i="11"/>
  <c r="D3365" i="11"/>
  <c r="D3366" i="11"/>
  <c r="D3367" i="11"/>
  <c r="D3368" i="11"/>
  <c r="D3369" i="11"/>
  <c r="D3370" i="11"/>
  <c r="D3371" i="11"/>
  <c r="D3372" i="11"/>
  <c r="W3372" i="11" s="1"/>
  <c r="D3373" i="11"/>
  <c r="D3374" i="11"/>
  <c r="G3374" i="11" s="1"/>
  <c r="U3374" i="11" s="1"/>
  <c r="Y3374" i="11" s="1"/>
  <c r="D3375" i="11"/>
  <c r="D3376" i="11"/>
  <c r="D3377" i="11"/>
  <c r="D3378" i="11"/>
  <c r="D3379" i="11"/>
  <c r="D3380" i="11"/>
  <c r="D3381" i="11"/>
  <c r="D3382" i="11"/>
  <c r="D3383" i="11"/>
  <c r="D3384" i="11"/>
  <c r="D3385" i="11"/>
  <c r="D3386" i="11"/>
  <c r="D3387" i="11"/>
  <c r="D3388" i="11"/>
  <c r="W3388" i="11" s="1"/>
  <c r="D3389" i="11"/>
  <c r="D3390" i="11"/>
  <c r="D3391" i="11"/>
  <c r="D3392" i="11"/>
  <c r="D3393" i="11"/>
  <c r="D3394" i="11"/>
  <c r="D3395" i="11"/>
  <c r="D3396" i="11"/>
  <c r="W3396" i="11" s="1"/>
  <c r="D3397" i="11"/>
  <c r="D3398" i="11"/>
  <c r="D3399" i="11"/>
  <c r="D3400" i="11"/>
  <c r="D3401" i="11"/>
  <c r="D3402" i="11"/>
  <c r="D3403" i="11"/>
  <c r="D3404" i="11"/>
  <c r="W3404" i="11" s="1"/>
  <c r="D3405" i="11"/>
  <c r="D3406" i="11"/>
  <c r="D3407" i="11"/>
  <c r="G3407" i="11" s="1"/>
  <c r="U3407" i="11" s="1"/>
  <c r="D3408" i="11"/>
  <c r="D3409" i="11"/>
  <c r="D3410" i="11"/>
  <c r="D3411" i="11"/>
  <c r="D3412" i="11"/>
  <c r="D3413" i="11"/>
  <c r="D3414" i="11"/>
  <c r="G3414" i="11" s="1"/>
  <c r="T3414" i="11" s="1"/>
  <c r="D3415" i="11"/>
  <c r="G3415" i="11" s="1"/>
  <c r="U3415" i="11" s="1"/>
  <c r="D3416" i="11"/>
  <c r="D3417" i="11"/>
  <c r="D3418" i="11"/>
  <c r="D3419" i="11"/>
  <c r="D3420" i="11"/>
  <c r="D3421" i="11"/>
  <c r="D3422" i="11"/>
  <c r="G3422" i="11" s="1"/>
  <c r="U3422" i="11" s="1"/>
  <c r="D3423" i="11"/>
  <c r="G3423" i="11" s="1"/>
  <c r="U3423" i="11" s="1"/>
  <c r="D3424" i="11"/>
  <c r="D3425" i="11"/>
  <c r="D3426" i="11"/>
  <c r="D3427" i="11"/>
  <c r="D3428" i="11"/>
  <c r="D3429" i="11"/>
  <c r="D3430" i="11"/>
  <c r="G3430" i="11" s="1"/>
  <c r="U3430" i="11" s="1"/>
  <c r="Y3430" i="11" s="1"/>
  <c r="D3431" i="11"/>
  <c r="G3431" i="11" s="1"/>
  <c r="U3431" i="11" s="1"/>
  <c r="D3432" i="11"/>
  <c r="D3433" i="11"/>
  <c r="D3434" i="11"/>
  <c r="D3435" i="11"/>
  <c r="D3436" i="11"/>
  <c r="D3437" i="11"/>
  <c r="D3438" i="11"/>
  <c r="G3438" i="11" s="1"/>
  <c r="D3439" i="11"/>
  <c r="G3439" i="11" s="1"/>
  <c r="U3439" i="11" s="1"/>
  <c r="D3440" i="11"/>
  <c r="D3441" i="11"/>
  <c r="D3442" i="11"/>
  <c r="D3443" i="11"/>
  <c r="D3444" i="11"/>
  <c r="D3445" i="11"/>
  <c r="D3446" i="11"/>
  <c r="G3446" i="11" s="1"/>
  <c r="D3447" i="11"/>
  <c r="G3447" i="11" s="1"/>
  <c r="U3447" i="11" s="1"/>
  <c r="D3448" i="11"/>
  <c r="D3449" i="11"/>
  <c r="D3450" i="11"/>
  <c r="D3451" i="11"/>
  <c r="D3452" i="11"/>
  <c r="D3453" i="11"/>
  <c r="D3454" i="11"/>
  <c r="G3454" i="11" s="1"/>
  <c r="D3455" i="11"/>
  <c r="G3455" i="11" s="1"/>
  <c r="U3455" i="11" s="1"/>
  <c r="D3456" i="11"/>
  <c r="D3457" i="11"/>
  <c r="D3458" i="11"/>
  <c r="D3459" i="11"/>
  <c r="D3460" i="11"/>
  <c r="D3461" i="11"/>
  <c r="D3462" i="11"/>
  <c r="G3462" i="11" s="1"/>
  <c r="U3462" i="11" s="1"/>
  <c r="V3462" i="11" s="1"/>
  <c r="D3463" i="11"/>
  <c r="G3463" i="11" s="1"/>
  <c r="U3463" i="11" s="1"/>
  <c r="D3464" i="11"/>
  <c r="D3465" i="11"/>
  <c r="D3466" i="11"/>
  <c r="D3467" i="11"/>
  <c r="D3468" i="11"/>
  <c r="D3469" i="11"/>
  <c r="D3470" i="11"/>
  <c r="D3471" i="11"/>
  <c r="D3472" i="11"/>
  <c r="D3473" i="11"/>
  <c r="D3474" i="11"/>
  <c r="D3475" i="11"/>
  <c r="D3476" i="11"/>
  <c r="W3476" i="11" s="1"/>
  <c r="D3477" i="11"/>
  <c r="D3478" i="11"/>
  <c r="D3479" i="11"/>
  <c r="D3480" i="11"/>
  <c r="D3481" i="11"/>
  <c r="D3482" i="11"/>
  <c r="D3483" i="11"/>
  <c r="D3484" i="11"/>
  <c r="W3484" i="11" s="1"/>
  <c r="D3485" i="11"/>
  <c r="D3486" i="11"/>
  <c r="D3487" i="11"/>
  <c r="D3488" i="11"/>
  <c r="D3489" i="11"/>
  <c r="D3490" i="11"/>
  <c r="D3491" i="11"/>
  <c r="D3492" i="11"/>
  <c r="W3492" i="11" s="1"/>
  <c r="D3493" i="11"/>
  <c r="D3494" i="11"/>
  <c r="D3495" i="11"/>
  <c r="D3496" i="11"/>
  <c r="D3497" i="11"/>
  <c r="D3498" i="11"/>
  <c r="D3499" i="11"/>
  <c r="D3500" i="11"/>
  <c r="W3500" i="11" s="1"/>
  <c r="D3501" i="11"/>
  <c r="D3502" i="11"/>
  <c r="D3503" i="11"/>
  <c r="D3504" i="11"/>
  <c r="D3505" i="11"/>
  <c r="D3506" i="11"/>
  <c r="D3507" i="11"/>
  <c r="D3508" i="11"/>
  <c r="D3509" i="11"/>
  <c r="D3510" i="11"/>
  <c r="G3510" i="11" s="1"/>
  <c r="U3510" i="11" s="1"/>
  <c r="V3510" i="11" s="1"/>
  <c r="D3511" i="11"/>
  <c r="D3512" i="11"/>
  <c r="D3513" i="11"/>
  <c r="D3514" i="11"/>
  <c r="D3515" i="11"/>
  <c r="D3516" i="11"/>
  <c r="D3517" i="11"/>
  <c r="D3518" i="11"/>
  <c r="G3518" i="11" s="1"/>
  <c r="U3518" i="11" s="1"/>
  <c r="V3518" i="11" s="1"/>
  <c r="D3519" i="11"/>
  <c r="G3519" i="11" s="1"/>
  <c r="U3519" i="11" s="1"/>
  <c r="D3520" i="11"/>
  <c r="D3521" i="11"/>
  <c r="D3522" i="11"/>
  <c r="D3523" i="11"/>
  <c r="D3524" i="11"/>
  <c r="D3525" i="11"/>
  <c r="D3526" i="11"/>
  <c r="G3526" i="11" s="1"/>
  <c r="U3526" i="11" s="1"/>
  <c r="D3527" i="11"/>
  <c r="G3527" i="11" s="1"/>
  <c r="U3527" i="11" s="1"/>
  <c r="D3528" i="11"/>
  <c r="D3529" i="11"/>
  <c r="D3530" i="11"/>
  <c r="D3531" i="11"/>
  <c r="D3532" i="11"/>
  <c r="D3533" i="11"/>
  <c r="D3534" i="11"/>
  <c r="G3534" i="11" s="1"/>
  <c r="U3534" i="11" s="1"/>
  <c r="V3534" i="11" s="1"/>
  <c r="D3535" i="11"/>
  <c r="G3535" i="11" s="1"/>
  <c r="U3535" i="11" s="1"/>
  <c r="D3536" i="11"/>
  <c r="D3537" i="11"/>
  <c r="D3538" i="11"/>
  <c r="D3539" i="11"/>
  <c r="D3540" i="11"/>
  <c r="D3541" i="11"/>
  <c r="D3542" i="11"/>
  <c r="G3542" i="11" s="1"/>
  <c r="U3542" i="11" s="1"/>
  <c r="Y3542" i="11" s="1"/>
  <c r="D3543" i="11"/>
  <c r="G3543" i="11" s="1"/>
  <c r="U3543" i="11" s="1"/>
  <c r="D3544" i="11"/>
  <c r="D3545" i="11"/>
  <c r="D3546" i="11"/>
  <c r="D3547" i="11"/>
  <c r="D3548" i="11"/>
  <c r="D3549" i="11"/>
  <c r="D3550" i="11"/>
  <c r="G3550" i="11" s="1"/>
  <c r="U3550" i="11" s="1"/>
  <c r="D3551" i="11"/>
  <c r="G3551" i="11" s="1"/>
  <c r="U3551" i="11" s="1"/>
  <c r="D3552" i="11"/>
  <c r="D3553" i="11"/>
  <c r="D3554" i="11"/>
  <c r="D3555" i="11"/>
  <c r="D3556" i="11"/>
  <c r="D3557" i="11"/>
  <c r="D3558" i="11"/>
  <c r="G3558" i="11" s="1"/>
  <c r="U3558" i="11" s="1"/>
  <c r="Y3558" i="11" s="1"/>
  <c r="D3559" i="11"/>
  <c r="G3559" i="11" s="1"/>
  <c r="U3559" i="11" s="1"/>
  <c r="D3560" i="11"/>
  <c r="D3561" i="11"/>
  <c r="D3562" i="11"/>
  <c r="D3563" i="11"/>
  <c r="D3564" i="11"/>
  <c r="D3565" i="11"/>
  <c r="D3566" i="11"/>
  <c r="G3566" i="11" s="1"/>
  <c r="U3566" i="11" s="1"/>
  <c r="Y3566" i="11" s="1"/>
  <c r="D3567" i="11"/>
  <c r="G3567" i="11" s="1"/>
  <c r="U3567" i="11" s="1"/>
  <c r="D3568" i="11"/>
  <c r="D3569" i="11"/>
  <c r="D3570" i="11"/>
  <c r="D3571" i="11"/>
  <c r="D3572" i="11"/>
  <c r="D3573" i="11"/>
  <c r="D3574" i="11"/>
  <c r="G3574" i="11" s="1"/>
  <c r="U3574" i="11" s="1"/>
  <c r="D3575" i="11"/>
  <c r="D3576" i="11"/>
  <c r="D3577" i="11"/>
  <c r="D3578" i="11"/>
  <c r="D3579" i="11"/>
  <c r="D3580" i="11"/>
  <c r="W3580" i="11" s="1"/>
  <c r="D3581" i="11"/>
  <c r="D3582" i="11"/>
  <c r="D3583" i="11"/>
  <c r="D3584" i="11"/>
  <c r="D3585" i="11"/>
  <c r="D3586" i="11"/>
  <c r="D3587" i="11"/>
  <c r="D3588" i="11"/>
  <c r="W3588" i="11" s="1"/>
  <c r="D3589" i="11"/>
  <c r="D3590" i="11"/>
  <c r="D3591" i="11"/>
  <c r="D3592" i="11"/>
  <c r="D3593" i="11"/>
  <c r="D3594" i="11"/>
  <c r="D3595" i="11"/>
  <c r="D3596" i="11"/>
  <c r="W3596" i="11" s="1"/>
  <c r="D3597" i="11"/>
  <c r="D3598" i="11"/>
  <c r="D3599" i="11"/>
  <c r="D3600" i="11"/>
  <c r="D3601" i="11"/>
  <c r="D3602" i="11"/>
  <c r="D3603" i="11"/>
  <c r="D3604" i="11"/>
  <c r="W3604" i="11" s="1"/>
  <c r="D3605" i="11"/>
  <c r="D3606" i="11"/>
  <c r="D3607" i="11"/>
  <c r="D3608" i="11"/>
  <c r="D3609" i="11"/>
  <c r="D3610" i="11"/>
  <c r="D3611" i="11"/>
  <c r="D3612" i="11"/>
  <c r="W3612" i="11" s="1"/>
  <c r="D3613" i="11"/>
  <c r="D3614" i="11"/>
  <c r="D3615" i="11"/>
  <c r="D3616" i="11"/>
  <c r="D3617" i="11"/>
  <c r="D3618" i="11"/>
  <c r="D3619" i="11"/>
  <c r="D3620" i="11"/>
  <c r="D3621" i="11"/>
  <c r="D3622" i="11"/>
  <c r="G3622" i="11" s="1"/>
  <c r="D3623" i="11"/>
  <c r="G3623" i="11" s="1"/>
  <c r="U3623" i="11" s="1"/>
  <c r="D3624" i="11"/>
  <c r="D3625" i="11"/>
  <c r="D3626" i="11"/>
  <c r="D3627" i="11"/>
  <c r="D3628" i="11"/>
  <c r="D3629" i="11"/>
  <c r="D3630" i="11"/>
  <c r="G3630" i="11" s="1"/>
  <c r="U3630" i="11" s="1"/>
  <c r="Y3630" i="11" s="1"/>
  <c r="D3631" i="11"/>
  <c r="G3631" i="11" s="1"/>
  <c r="U3631" i="11" s="1"/>
  <c r="D3632" i="11"/>
  <c r="D3633" i="11"/>
  <c r="D3634" i="11"/>
  <c r="D3635" i="11"/>
  <c r="D3636" i="11"/>
  <c r="D3637" i="11"/>
  <c r="D3638" i="11"/>
  <c r="G3638" i="11" s="1"/>
  <c r="U3638" i="11" s="1"/>
  <c r="D3639" i="11"/>
  <c r="G3639" i="11" s="1"/>
  <c r="U3639" i="11" s="1"/>
  <c r="D3640" i="11"/>
  <c r="D3641" i="11"/>
  <c r="D3642" i="11"/>
  <c r="D3643" i="11"/>
  <c r="D3644" i="11"/>
  <c r="D3645" i="11"/>
  <c r="D3646" i="11"/>
  <c r="G3646" i="11" s="1"/>
  <c r="U3646" i="11" s="1"/>
  <c r="Y3646" i="11" s="1"/>
  <c r="D3647" i="11"/>
  <c r="G3647" i="11" s="1"/>
  <c r="U3647" i="11" s="1"/>
  <c r="D3648" i="11"/>
  <c r="D3649" i="11"/>
  <c r="D3650" i="11"/>
  <c r="D3651" i="11"/>
  <c r="D3652" i="11"/>
  <c r="D3653" i="11"/>
  <c r="D3654" i="11"/>
  <c r="G3654" i="11" s="1"/>
  <c r="U3654" i="11" s="1"/>
  <c r="Y3654" i="11" s="1"/>
  <c r="D3655" i="11"/>
  <c r="G3655" i="11" s="1"/>
  <c r="U3655" i="11" s="1"/>
  <c r="D3656" i="11"/>
  <c r="D3657" i="11"/>
  <c r="D3658" i="11"/>
  <c r="D3659" i="11"/>
  <c r="D3660" i="11"/>
  <c r="D3661" i="11"/>
  <c r="D3662" i="11"/>
  <c r="G3662" i="11" s="1"/>
  <c r="U3662" i="11" s="1"/>
  <c r="Y3662" i="11" s="1"/>
  <c r="D3663" i="11"/>
  <c r="G3663" i="11" s="1"/>
  <c r="U3663" i="11" s="1"/>
  <c r="D3664" i="11"/>
  <c r="D3665" i="11"/>
  <c r="D3666" i="11"/>
  <c r="D3667" i="11"/>
  <c r="D3668" i="11"/>
  <c r="D3669" i="11"/>
  <c r="D3670" i="11"/>
  <c r="G3670" i="11" s="1"/>
  <c r="U3670" i="11" s="1"/>
  <c r="Y3670" i="11" s="1"/>
  <c r="D3671" i="11"/>
  <c r="G3671" i="11" s="1"/>
  <c r="D3672" i="11"/>
  <c r="D3673" i="11"/>
  <c r="D3674" i="11"/>
  <c r="D3675" i="11"/>
  <c r="D3676" i="11"/>
  <c r="D3677" i="11"/>
  <c r="D3678" i="11"/>
  <c r="G3678" i="11" s="1"/>
  <c r="U3678" i="11" s="1"/>
  <c r="Y3678" i="11" s="1"/>
  <c r="D3679" i="11"/>
  <c r="G3679" i="11" s="1"/>
  <c r="U3679" i="11" s="1"/>
  <c r="D3680" i="11"/>
  <c r="D3681" i="11"/>
  <c r="D3682" i="11"/>
  <c r="D3683" i="11"/>
  <c r="D3684" i="11"/>
  <c r="W3684" i="11" s="1"/>
  <c r="D3685" i="11"/>
  <c r="D3686" i="11"/>
  <c r="D3687" i="11"/>
  <c r="D3688" i="11"/>
  <c r="D3689" i="11"/>
  <c r="D3690" i="11"/>
  <c r="D3691" i="11"/>
  <c r="D3692" i="11"/>
  <c r="D3693" i="11"/>
  <c r="D3694" i="11"/>
  <c r="D3695" i="11"/>
  <c r="D3696" i="11"/>
  <c r="D3697" i="11"/>
  <c r="D3698" i="11"/>
  <c r="D3699" i="11"/>
  <c r="D3700" i="11"/>
  <c r="W3700" i="11" s="1"/>
  <c r="D3701" i="11"/>
  <c r="D3702" i="11"/>
  <c r="G3702" i="11" s="1"/>
  <c r="U3702" i="11" s="1"/>
  <c r="D3703" i="11"/>
  <c r="D3704" i="11"/>
  <c r="D3705" i="11"/>
  <c r="D3706" i="11"/>
  <c r="D3707" i="11"/>
  <c r="D3708" i="11"/>
  <c r="W3708" i="11" s="1"/>
  <c r="D3709" i="11"/>
  <c r="D3710" i="11"/>
  <c r="D3711" i="11"/>
  <c r="D3712" i="11"/>
  <c r="D3713" i="11"/>
  <c r="D3714" i="11"/>
  <c r="D3715" i="11"/>
  <c r="D3716" i="11"/>
  <c r="W3716" i="11" s="1"/>
  <c r="D3717" i="11"/>
  <c r="D3718" i="11"/>
  <c r="D3719" i="11"/>
  <c r="D3720" i="11"/>
  <c r="D3721" i="11"/>
  <c r="D3722" i="11"/>
  <c r="D3723" i="11"/>
  <c r="D3724" i="11"/>
  <c r="D3725" i="11"/>
  <c r="D3726" i="11"/>
  <c r="G3726" i="11" s="1"/>
  <c r="U3726" i="11" s="1"/>
  <c r="D3727" i="11"/>
  <c r="G3727" i="11" s="1"/>
  <c r="U3727" i="11" s="1"/>
  <c r="D3728" i="11"/>
  <c r="D3729" i="11"/>
  <c r="D3730" i="11"/>
  <c r="D3731" i="11"/>
  <c r="D3732" i="11"/>
  <c r="D3733" i="11"/>
  <c r="D3734" i="11"/>
  <c r="G3734" i="11" s="1"/>
  <c r="U3734" i="11" s="1"/>
  <c r="V3734" i="11" s="1"/>
  <c r="D3735" i="11"/>
  <c r="G3735" i="11" s="1"/>
  <c r="U3735" i="11" s="1"/>
  <c r="D3736" i="11"/>
  <c r="D3737" i="11"/>
  <c r="D3738" i="11"/>
  <c r="D3739" i="11"/>
  <c r="D3740" i="11"/>
  <c r="D3741" i="11"/>
  <c r="D3742" i="11"/>
  <c r="G3742" i="11" s="1"/>
  <c r="T3742" i="11" s="1"/>
  <c r="D3743" i="11"/>
  <c r="G3743" i="11" s="1"/>
  <c r="U3743" i="11" s="1"/>
  <c r="D3744" i="11"/>
  <c r="D3745" i="11"/>
  <c r="D3746" i="11"/>
  <c r="D3747" i="11"/>
  <c r="D3748" i="11"/>
  <c r="D3749" i="11"/>
  <c r="D3750" i="11"/>
  <c r="G3750" i="11" s="1"/>
  <c r="U3750" i="11" s="1"/>
  <c r="D3751" i="11"/>
  <c r="G3751" i="11" s="1"/>
  <c r="U3751" i="11" s="1"/>
  <c r="D3752" i="11"/>
  <c r="D3753" i="11"/>
  <c r="D3754" i="11"/>
  <c r="D3755" i="11"/>
  <c r="D3756" i="11"/>
  <c r="D3757" i="11"/>
  <c r="D3758" i="11"/>
  <c r="G3758" i="11" s="1"/>
  <c r="U3758" i="11" s="1"/>
  <c r="Y3758" i="11" s="1"/>
  <c r="D3759" i="11"/>
  <c r="G3759" i="11" s="1"/>
  <c r="U3759" i="11" s="1"/>
  <c r="D3760" i="11"/>
  <c r="D3761" i="11"/>
  <c r="D3762" i="11"/>
  <c r="D3763" i="11"/>
  <c r="D3764" i="11"/>
  <c r="D3765" i="11"/>
  <c r="D3766" i="11"/>
  <c r="G3766" i="11" s="1"/>
  <c r="T3766" i="11" s="1"/>
  <c r="D3767" i="11"/>
  <c r="G3767" i="11" s="1"/>
  <c r="U3767" i="11" s="1"/>
  <c r="D3768" i="11"/>
  <c r="D3769" i="11"/>
  <c r="D3770" i="11"/>
  <c r="D3772" i="11"/>
  <c r="D3773" i="11"/>
  <c r="D3774" i="11"/>
  <c r="G3774" i="11" s="1"/>
  <c r="U3774" i="11" s="1"/>
  <c r="V3774" i="11" s="1"/>
  <c r="D3775" i="11"/>
  <c r="G3775" i="11" s="1"/>
  <c r="U3775" i="11" s="1"/>
  <c r="D3776" i="11"/>
  <c r="G3776" i="11" s="1"/>
  <c r="D3777" i="11"/>
  <c r="D3778" i="11"/>
  <c r="D3779" i="11"/>
  <c r="D3780" i="11"/>
  <c r="D3781" i="11"/>
  <c r="D3782" i="11"/>
  <c r="G3782" i="11" s="1"/>
  <c r="U3782" i="11" s="1"/>
  <c r="V3782" i="11" s="1"/>
  <c r="D3783" i="11"/>
  <c r="G3783" i="11" s="1"/>
  <c r="U3783" i="11" s="1"/>
  <c r="D3784" i="11"/>
  <c r="G3784" i="11" s="1"/>
  <c r="D3785" i="11"/>
  <c r="D3786" i="11"/>
  <c r="D3787" i="11"/>
  <c r="D3788" i="11"/>
  <c r="D3789" i="11"/>
  <c r="W3789" i="11" s="1"/>
  <c r="Z3789" i="11" s="1"/>
  <c r="D3790" i="11"/>
  <c r="G3790" i="11" s="1"/>
  <c r="U3790" i="11" s="1"/>
  <c r="V3790" i="11" s="1"/>
  <c r="D3791" i="11"/>
  <c r="D3792" i="11"/>
  <c r="D3793" i="11"/>
  <c r="D3794" i="11"/>
  <c r="D3795" i="11"/>
  <c r="D3796" i="11"/>
  <c r="D3797" i="11"/>
  <c r="W3797" i="11" s="1"/>
  <c r="Z3797" i="11" s="1"/>
  <c r="D3798" i="11"/>
  <c r="G3798" i="11" s="1"/>
  <c r="U3798" i="11" s="1"/>
  <c r="D3799" i="11"/>
  <c r="D3800" i="11"/>
  <c r="D3801" i="11"/>
  <c r="D3802" i="11"/>
  <c r="D3803" i="11"/>
  <c r="D3804" i="11"/>
  <c r="D3805" i="11"/>
  <c r="W3805" i="11" s="1"/>
  <c r="Z3805" i="11" s="1"/>
  <c r="D3806" i="11"/>
  <c r="G3806" i="11" s="1"/>
  <c r="U3806" i="11" s="1"/>
  <c r="Y3806" i="11" s="1"/>
  <c r="D3807" i="11"/>
  <c r="D3808" i="11"/>
  <c r="D3809" i="11"/>
  <c r="D3810" i="11"/>
  <c r="D3811" i="11"/>
  <c r="D3812" i="11"/>
  <c r="D3813" i="11"/>
  <c r="W3813" i="11" s="1"/>
  <c r="Z3813" i="11" s="1"/>
  <c r="D3814" i="11"/>
  <c r="G3814" i="11" s="1"/>
  <c r="U3814" i="11" s="1"/>
  <c r="V3814" i="11" s="1"/>
  <c r="D3815" i="11"/>
  <c r="D3816" i="11"/>
  <c r="D3817" i="11"/>
  <c r="D3818" i="11"/>
  <c r="D3819" i="11"/>
  <c r="D3820" i="11"/>
  <c r="D3821" i="11"/>
  <c r="W3821" i="11" s="1"/>
  <c r="Z3821" i="11" s="1"/>
  <c r="D3822" i="11"/>
  <c r="G3822" i="11" s="1"/>
  <c r="U3822" i="11" s="1"/>
  <c r="V3822" i="11" s="1"/>
  <c r="D3823" i="11"/>
  <c r="D3824" i="11"/>
  <c r="D3825" i="11"/>
  <c r="D3826" i="11"/>
  <c r="D3827" i="11"/>
  <c r="D3828" i="11"/>
  <c r="D3829" i="11"/>
  <c r="D3830" i="11"/>
  <c r="G3830" i="11" s="1"/>
  <c r="U3830" i="11" s="1"/>
  <c r="D3831" i="11"/>
  <c r="G3831" i="11" s="1"/>
  <c r="D3832" i="11"/>
  <c r="G3832" i="11" s="1"/>
  <c r="U3832" i="11" s="1"/>
  <c r="Y3832" i="11" s="1"/>
  <c r="D3833" i="11"/>
  <c r="D3834" i="11"/>
  <c r="D3835" i="11"/>
  <c r="D3836" i="11"/>
  <c r="D3837" i="11"/>
  <c r="D3838" i="11"/>
  <c r="G3838" i="11" s="1"/>
  <c r="U3838" i="11" s="1"/>
  <c r="Y3838" i="11" s="1"/>
  <c r="D3839" i="11"/>
  <c r="G3839" i="11" s="1"/>
  <c r="D3840" i="11"/>
  <c r="G3840" i="11" s="1"/>
  <c r="U3840" i="11" s="1"/>
  <c r="D3841" i="11"/>
  <c r="D3842" i="11"/>
  <c r="D3843" i="11"/>
  <c r="D3844" i="11"/>
  <c r="D3845" i="11"/>
  <c r="D3846" i="11"/>
  <c r="G3846" i="11" s="1"/>
  <c r="U3846" i="11" s="1"/>
  <c r="D3847" i="11"/>
  <c r="G3847" i="11" s="1"/>
  <c r="D3848" i="11"/>
  <c r="G3848" i="11" s="1"/>
  <c r="U3848" i="11" s="1"/>
  <c r="V3848" i="11" s="1"/>
  <c r="D3849" i="11"/>
  <c r="D3850" i="11"/>
  <c r="D3851" i="11"/>
  <c r="D3852" i="11"/>
  <c r="D3853" i="11"/>
  <c r="D3854" i="11"/>
  <c r="G3854" i="11" s="1"/>
  <c r="U3854" i="11" s="1"/>
  <c r="V3854" i="11" s="1"/>
  <c r="D3855" i="11"/>
  <c r="G3855" i="11" s="1"/>
  <c r="U3855" i="11" s="1"/>
  <c r="D3856" i="11"/>
  <c r="G3856" i="11" s="1"/>
  <c r="D3857" i="11"/>
  <c r="D3858" i="11"/>
  <c r="D3859" i="11"/>
  <c r="D3860" i="11"/>
  <c r="D3861" i="11"/>
  <c r="D3862" i="11"/>
  <c r="G3862" i="11" s="1"/>
  <c r="U3862" i="11" s="1"/>
  <c r="D3863" i="11"/>
  <c r="G3863" i="11" s="1"/>
  <c r="D3864" i="11"/>
  <c r="G3864" i="11" s="1"/>
  <c r="D3865" i="11"/>
  <c r="D3866" i="11"/>
  <c r="D3867" i="11"/>
  <c r="D3868" i="11"/>
  <c r="D3869" i="11"/>
  <c r="D3870" i="11"/>
  <c r="G3870" i="11" s="1"/>
  <c r="U3870" i="11" s="1"/>
  <c r="V3870" i="11" s="1"/>
  <c r="D3871" i="11"/>
  <c r="G3871" i="11" s="1"/>
  <c r="D3872" i="11"/>
  <c r="G3872" i="11" s="1"/>
  <c r="D3873" i="11"/>
  <c r="D3874" i="11"/>
  <c r="D3875" i="11"/>
  <c r="D3876" i="11"/>
  <c r="D3877" i="11"/>
  <c r="D3878" i="11"/>
  <c r="G3878" i="11" s="1"/>
  <c r="U3878" i="11" s="1"/>
  <c r="D3879" i="11"/>
  <c r="G3879" i="11" s="1"/>
  <c r="U3879" i="11" s="1"/>
  <c r="D3880" i="11"/>
  <c r="G3880" i="11" s="1"/>
  <c r="T3880" i="11" s="1"/>
  <c r="D3881" i="11"/>
  <c r="D3882" i="11"/>
  <c r="D3883" i="11"/>
  <c r="D3884" i="11"/>
  <c r="D3885" i="11"/>
  <c r="D3886" i="11"/>
  <c r="G3886" i="11" s="1"/>
  <c r="U3886" i="11" s="1"/>
  <c r="Y3886" i="11" s="1"/>
  <c r="D3887" i="11"/>
  <c r="G3887" i="11" s="1"/>
  <c r="D3888" i="11"/>
  <c r="G3888" i="11" s="1"/>
  <c r="U3888" i="11" s="1"/>
  <c r="D3889" i="11"/>
  <c r="G7" i="11"/>
  <c r="G8" i="11"/>
  <c r="G9" i="11"/>
  <c r="U9" i="11" s="1"/>
  <c r="G10" i="11"/>
  <c r="U10" i="11" s="1"/>
  <c r="Y10" i="11" s="1"/>
  <c r="G15" i="11"/>
  <c r="U15" i="11" s="1"/>
  <c r="Y15" i="11" s="1"/>
  <c r="G16" i="11"/>
  <c r="U16" i="11" s="1"/>
  <c r="Y16" i="11" s="1"/>
  <c r="G17" i="11"/>
  <c r="G18" i="11"/>
  <c r="G23" i="11"/>
  <c r="G24" i="11"/>
  <c r="G26" i="11"/>
  <c r="G31" i="11"/>
  <c r="U31" i="11" s="1"/>
  <c r="Y31" i="11" s="1"/>
  <c r="G32" i="11"/>
  <c r="G39" i="11"/>
  <c r="G40" i="11"/>
  <c r="G42" i="11"/>
  <c r="U42" i="11" s="1"/>
  <c r="G47" i="11"/>
  <c r="U47" i="11" s="1"/>
  <c r="V47" i="11" s="1"/>
  <c r="G48" i="11"/>
  <c r="G55" i="11"/>
  <c r="U55" i="11" s="1"/>
  <c r="Y55" i="11" s="1"/>
  <c r="G56" i="11"/>
  <c r="G63" i="11"/>
  <c r="U63" i="11" s="1"/>
  <c r="V63" i="11" s="1"/>
  <c r="G64" i="11"/>
  <c r="G71" i="11"/>
  <c r="G72" i="11"/>
  <c r="G79" i="11"/>
  <c r="G80" i="11"/>
  <c r="U80" i="11" s="1"/>
  <c r="V80" i="11" s="1"/>
  <c r="G87" i="11"/>
  <c r="U87" i="11" s="1"/>
  <c r="Y87" i="11" s="1"/>
  <c r="G88" i="11"/>
  <c r="G95" i="11"/>
  <c r="G96" i="11"/>
  <c r="G103" i="11"/>
  <c r="G104" i="11"/>
  <c r="U104" i="11" s="1"/>
  <c r="G111" i="11"/>
  <c r="G112" i="11"/>
  <c r="G119" i="11"/>
  <c r="U119" i="11" s="1"/>
  <c r="V119" i="11" s="1"/>
  <c r="G120" i="11"/>
  <c r="U120" i="11" s="1"/>
  <c r="V120" i="11" s="1"/>
  <c r="G127" i="11"/>
  <c r="U127" i="11" s="1"/>
  <c r="V127" i="11" s="1"/>
  <c r="G128" i="11"/>
  <c r="G135" i="11"/>
  <c r="G136" i="11"/>
  <c r="G143" i="11"/>
  <c r="G144" i="11"/>
  <c r="U144" i="11" s="1"/>
  <c r="Y144" i="11" s="1"/>
  <c r="G151" i="11"/>
  <c r="G152" i="11"/>
  <c r="G159" i="11"/>
  <c r="U159" i="11" s="1"/>
  <c r="G160" i="11"/>
  <c r="G167" i="11"/>
  <c r="G168" i="11"/>
  <c r="G175" i="11"/>
  <c r="G176" i="11"/>
  <c r="G183" i="11"/>
  <c r="U183" i="11" s="1"/>
  <c r="Y183" i="11" s="1"/>
  <c r="G184" i="11"/>
  <c r="U184" i="11" s="1"/>
  <c r="V184" i="11" s="1"/>
  <c r="G191" i="11"/>
  <c r="G192" i="11"/>
  <c r="G199" i="11"/>
  <c r="G200" i="11"/>
  <c r="U200" i="11" s="1"/>
  <c r="Y200" i="11" s="1"/>
  <c r="G207" i="11"/>
  <c r="G208" i="11"/>
  <c r="G215" i="11"/>
  <c r="G216" i="11"/>
  <c r="G223" i="11"/>
  <c r="G224" i="11"/>
  <c r="U224" i="11" s="1"/>
  <c r="V224" i="11" s="1"/>
  <c r="G231" i="11"/>
  <c r="U231" i="11" s="1"/>
  <c r="Y231" i="11" s="1"/>
  <c r="G232" i="11"/>
  <c r="G239" i="11"/>
  <c r="G240" i="11"/>
  <c r="U240" i="11" s="1"/>
  <c r="Y240" i="11" s="1"/>
  <c r="G247" i="11"/>
  <c r="G248" i="11"/>
  <c r="G255" i="11"/>
  <c r="G256" i="11"/>
  <c r="G263" i="11"/>
  <c r="U263" i="11" s="1"/>
  <c r="G264" i="11"/>
  <c r="U264" i="11" s="1"/>
  <c r="V264" i="11" s="1"/>
  <c r="G271" i="11"/>
  <c r="G272" i="11"/>
  <c r="G279" i="11"/>
  <c r="U279" i="11" s="1"/>
  <c r="G280" i="11"/>
  <c r="G287" i="11"/>
  <c r="U287" i="11" s="1"/>
  <c r="Y287" i="11" s="1"/>
  <c r="G288" i="11"/>
  <c r="G295" i="11"/>
  <c r="U295" i="11" s="1"/>
  <c r="Y295" i="11" s="1"/>
  <c r="G296" i="11"/>
  <c r="G303" i="11"/>
  <c r="G304" i="11"/>
  <c r="U304" i="11" s="1"/>
  <c r="G311" i="11"/>
  <c r="G312" i="11"/>
  <c r="G319" i="11"/>
  <c r="G320" i="11"/>
  <c r="U320" i="11" s="1"/>
  <c r="Y320" i="11" s="1"/>
  <c r="G327" i="11"/>
  <c r="U327" i="11" s="1"/>
  <c r="Y327" i="11" s="1"/>
  <c r="G328" i="11"/>
  <c r="G335" i="11"/>
  <c r="G336" i="11"/>
  <c r="U336" i="11" s="1"/>
  <c r="G343" i="11"/>
  <c r="U343" i="11" s="1"/>
  <c r="Y343" i="11" s="1"/>
  <c r="G344" i="11"/>
  <c r="G351" i="11"/>
  <c r="G352" i="11"/>
  <c r="G359" i="11"/>
  <c r="U359" i="11" s="1"/>
  <c r="Y359" i="11" s="1"/>
  <c r="G360" i="11"/>
  <c r="G367" i="11"/>
  <c r="G368" i="11"/>
  <c r="U368" i="11" s="1"/>
  <c r="G375" i="11"/>
  <c r="G376" i="11"/>
  <c r="G383" i="11"/>
  <c r="G384" i="11"/>
  <c r="G391" i="11"/>
  <c r="G392" i="11"/>
  <c r="U392" i="11" s="1"/>
  <c r="G399" i="11"/>
  <c r="G400" i="11"/>
  <c r="G407" i="11"/>
  <c r="U407" i="11" s="1"/>
  <c r="G408" i="11"/>
  <c r="G415" i="11"/>
  <c r="G416" i="11"/>
  <c r="G423" i="11"/>
  <c r="U423" i="11" s="1"/>
  <c r="Y423" i="11" s="1"/>
  <c r="G424" i="11"/>
  <c r="G431" i="11"/>
  <c r="G432" i="11"/>
  <c r="G439" i="11"/>
  <c r="G440" i="11"/>
  <c r="G447" i="11"/>
  <c r="G448" i="11"/>
  <c r="U448" i="11" s="1"/>
  <c r="V448" i="11" s="1"/>
  <c r="G455" i="11"/>
  <c r="G456" i="11"/>
  <c r="G463" i="11"/>
  <c r="G464" i="11"/>
  <c r="U464" i="11" s="1"/>
  <c r="Y464" i="11" s="1"/>
  <c r="G471" i="11"/>
  <c r="G472" i="11"/>
  <c r="U472" i="11" s="1"/>
  <c r="Y472" i="11" s="1"/>
  <c r="G479" i="11"/>
  <c r="G480" i="11"/>
  <c r="G487" i="11"/>
  <c r="U487" i="11" s="1"/>
  <c r="Y487" i="11" s="1"/>
  <c r="G488" i="11"/>
  <c r="G495" i="11"/>
  <c r="G496" i="11"/>
  <c r="G503" i="11"/>
  <c r="G504" i="11"/>
  <c r="U504" i="11" s="1"/>
  <c r="V504" i="11" s="1"/>
  <c r="G511" i="11"/>
  <c r="U511" i="11" s="1"/>
  <c r="V511" i="11" s="1"/>
  <c r="G512" i="11"/>
  <c r="G519" i="11"/>
  <c r="G520" i="11"/>
  <c r="G527" i="11"/>
  <c r="U527" i="11" s="1"/>
  <c r="Y527" i="11" s="1"/>
  <c r="G528" i="11"/>
  <c r="G535" i="11"/>
  <c r="G536" i="11"/>
  <c r="G543" i="11"/>
  <c r="G544" i="11"/>
  <c r="G551" i="11"/>
  <c r="U551" i="11" s="1"/>
  <c r="Y551" i="11" s="1"/>
  <c r="G552" i="11"/>
  <c r="G559" i="11"/>
  <c r="U559" i="11" s="1"/>
  <c r="V559" i="11" s="1"/>
  <c r="G560" i="11"/>
  <c r="G567" i="11"/>
  <c r="G568" i="11"/>
  <c r="G575" i="11"/>
  <c r="G576" i="11"/>
  <c r="G583" i="11"/>
  <c r="G584" i="11"/>
  <c r="G591" i="11"/>
  <c r="G592" i="11"/>
  <c r="U592" i="11" s="1"/>
  <c r="Y592" i="11" s="1"/>
  <c r="G599" i="11"/>
  <c r="G600" i="11"/>
  <c r="G607" i="11"/>
  <c r="G608" i="11"/>
  <c r="U608" i="11" s="1"/>
  <c r="V608" i="11" s="1"/>
  <c r="G615" i="11"/>
  <c r="U615" i="11" s="1"/>
  <c r="V615" i="11" s="1"/>
  <c r="G616" i="11"/>
  <c r="G623" i="11"/>
  <c r="G624" i="11"/>
  <c r="U624" i="11" s="1"/>
  <c r="Y624" i="11" s="1"/>
  <c r="G631" i="11"/>
  <c r="G632" i="11"/>
  <c r="U632" i="11" s="1"/>
  <c r="V632" i="11" s="1"/>
  <c r="G639" i="11"/>
  <c r="G640" i="11"/>
  <c r="G647" i="11"/>
  <c r="G648" i="11"/>
  <c r="U648" i="11" s="1"/>
  <c r="Y648" i="11" s="1"/>
  <c r="G655" i="11"/>
  <c r="U655" i="11" s="1"/>
  <c r="V655" i="11" s="1"/>
  <c r="G656" i="11"/>
  <c r="G663" i="11"/>
  <c r="G664" i="11"/>
  <c r="G671" i="11"/>
  <c r="G672" i="11"/>
  <c r="G679" i="11"/>
  <c r="G680" i="11"/>
  <c r="G687" i="11"/>
  <c r="G688" i="11"/>
  <c r="U688" i="11" s="1"/>
  <c r="G695" i="11"/>
  <c r="U695" i="11" s="1"/>
  <c r="Y695" i="11" s="1"/>
  <c r="G696" i="11"/>
  <c r="G703" i="11"/>
  <c r="G704" i="11"/>
  <c r="G711" i="11"/>
  <c r="G712" i="11"/>
  <c r="G719" i="11"/>
  <c r="G720" i="11"/>
  <c r="U720" i="11" s="1"/>
  <c r="Y720" i="11" s="1"/>
  <c r="G727" i="11"/>
  <c r="G728" i="11"/>
  <c r="G735" i="11"/>
  <c r="G736" i="11"/>
  <c r="U736" i="11" s="1"/>
  <c r="G743" i="11"/>
  <c r="G744" i="11"/>
  <c r="G751" i="11"/>
  <c r="G752" i="11"/>
  <c r="U752" i="11" s="1"/>
  <c r="G759" i="11"/>
  <c r="G760" i="11"/>
  <c r="G767" i="11"/>
  <c r="G768" i="11"/>
  <c r="G775" i="11"/>
  <c r="G776" i="11"/>
  <c r="U776" i="11" s="1"/>
  <c r="Y776" i="11" s="1"/>
  <c r="G783" i="11"/>
  <c r="G784" i="11"/>
  <c r="G791" i="11"/>
  <c r="G792" i="11"/>
  <c r="G799" i="11"/>
  <c r="G800" i="11"/>
  <c r="G807" i="11"/>
  <c r="G808" i="11"/>
  <c r="G815" i="11"/>
  <c r="G816" i="11"/>
  <c r="G823" i="11"/>
  <c r="G824" i="11"/>
  <c r="G831" i="11"/>
  <c r="G832" i="11"/>
  <c r="U832" i="11" s="1"/>
  <c r="Y832" i="11" s="1"/>
  <c r="G839" i="11"/>
  <c r="U839" i="11" s="1"/>
  <c r="Y839" i="11" s="1"/>
  <c r="G840" i="11"/>
  <c r="G847" i="11"/>
  <c r="G848" i="11"/>
  <c r="U848" i="11" s="1"/>
  <c r="Y848" i="11" s="1"/>
  <c r="G855" i="11"/>
  <c r="U855" i="11" s="1"/>
  <c r="G856" i="11"/>
  <c r="G863" i="11"/>
  <c r="G864" i="11"/>
  <c r="G871" i="11"/>
  <c r="G872" i="11"/>
  <c r="G879" i="11"/>
  <c r="G880" i="11"/>
  <c r="U880" i="11" s="1"/>
  <c r="G887" i="11"/>
  <c r="G888" i="11"/>
  <c r="G895" i="11"/>
  <c r="G896" i="11"/>
  <c r="G903" i="11"/>
  <c r="G904" i="11"/>
  <c r="U904" i="11" s="1"/>
  <c r="Y904" i="11" s="1"/>
  <c r="G911" i="11"/>
  <c r="G912" i="11"/>
  <c r="G919" i="11"/>
  <c r="G920" i="11"/>
  <c r="G927" i="11"/>
  <c r="G928" i="11"/>
  <c r="G935" i="11"/>
  <c r="G936" i="11"/>
  <c r="G943" i="11"/>
  <c r="G944" i="11"/>
  <c r="G951" i="11"/>
  <c r="G952" i="11"/>
  <c r="G959" i="11"/>
  <c r="G960" i="11"/>
  <c r="U960" i="11" s="1"/>
  <c r="V960" i="11" s="1"/>
  <c r="G967" i="11"/>
  <c r="G968" i="11"/>
  <c r="G975" i="11"/>
  <c r="G976" i="11"/>
  <c r="U976" i="11" s="1"/>
  <c r="G983" i="11"/>
  <c r="U983" i="11" s="1"/>
  <c r="Y983" i="11" s="1"/>
  <c r="G984" i="11"/>
  <c r="U984" i="11" s="1"/>
  <c r="G991" i="11"/>
  <c r="G992" i="11"/>
  <c r="G999" i="11"/>
  <c r="U999" i="11" s="1"/>
  <c r="Y999" i="11" s="1"/>
  <c r="G1000" i="11"/>
  <c r="G1007" i="11"/>
  <c r="G1008" i="11"/>
  <c r="G1015" i="11"/>
  <c r="U1015" i="11" s="1"/>
  <c r="V1015" i="11" s="1"/>
  <c r="G1016" i="11"/>
  <c r="G1023" i="11"/>
  <c r="U1023" i="11" s="1"/>
  <c r="G1024" i="11"/>
  <c r="G1031" i="11"/>
  <c r="G1032" i="11"/>
  <c r="G1039" i="11"/>
  <c r="G1040" i="11"/>
  <c r="G1047" i="11"/>
  <c r="G1048" i="11"/>
  <c r="G1055" i="11"/>
  <c r="G1056" i="11"/>
  <c r="U1056" i="11" s="1"/>
  <c r="V1056" i="11" s="1"/>
  <c r="G1063" i="11"/>
  <c r="G1064" i="11"/>
  <c r="G1071" i="11"/>
  <c r="G1072" i="11"/>
  <c r="G1079" i="11"/>
  <c r="U1079" i="11" s="1"/>
  <c r="Y1079" i="11" s="1"/>
  <c r="G1080" i="11"/>
  <c r="G1087" i="11"/>
  <c r="G1088" i="11"/>
  <c r="G1095" i="11"/>
  <c r="G1096" i="11"/>
  <c r="G1103" i="11"/>
  <c r="G1104" i="11"/>
  <c r="U1104" i="11" s="1"/>
  <c r="Y1104" i="11" s="1"/>
  <c r="G1111" i="11"/>
  <c r="G1112" i="11"/>
  <c r="G1119" i="11"/>
  <c r="G1120" i="11"/>
  <c r="U1120" i="11" s="1"/>
  <c r="Y1120" i="11" s="1"/>
  <c r="G1127" i="11"/>
  <c r="U1127" i="11" s="1"/>
  <c r="V1127" i="11" s="1"/>
  <c r="G1128" i="11"/>
  <c r="G1135" i="11"/>
  <c r="G1136" i="11"/>
  <c r="G1143" i="11"/>
  <c r="G1144" i="11"/>
  <c r="U1144" i="11" s="1"/>
  <c r="G1151" i="11"/>
  <c r="G1152" i="11"/>
  <c r="G1159" i="11"/>
  <c r="G1160" i="11"/>
  <c r="U1160" i="11" s="1"/>
  <c r="G1167" i="11"/>
  <c r="G1168" i="11"/>
  <c r="G1175" i="11"/>
  <c r="G1176" i="11"/>
  <c r="G1183" i="11"/>
  <c r="G1184" i="11"/>
  <c r="U1184" i="11" s="1"/>
  <c r="V1184" i="11" s="1"/>
  <c r="G1191" i="11"/>
  <c r="G1192" i="11"/>
  <c r="G1199" i="11"/>
  <c r="G1200" i="11"/>
  <c r="U1200" i="11" s="1"/>
  <c r="V1200" i="11" s="1"/>
  <c r="G1207" i="11"/>
  <c r="U1207" i="11" s="1"/>
  <c r="Y1207" i="11" s="1"/>
  <c r="G1208" i="11"/>
  <c r="G1215" i="11"/>
  <c r="G1216" i="11"/>
  <c r="G1223" i="11"/>
  <c r="U1223" i="11" s="1"/>
  <c r="Y1223" i="11" s="1"/>
  <c r="G1224" i="11"/>
  <c r="G1231" i="11"/>
  <c r="G1232" i="11"/>
  <c r="U1232" i="11" s="1"/>
  <c r="V1232" i="11" s="1"/>
  <c r="G1239" i="11"/>
  <c r="G1240" i="11"/>
  <c r="G1247" i="11"/>
  <c r="G1248" i="11"/>
  <c r="U1248" i="11" s="1"/>
  <c r="Y1248" i="11" s="1"/>
  <c r="G1255" i="11"/>
  <c r="G1256" i="11"/>
  <c r="G1263" i="11"/>
  <c r="G1264" i="11"/>
  <c r="G1271" i="11"/>
  <c r="G1272" i="11"/>
  <c r="G1279" i="11"/>
  <c r="G1280" i="11"/>
  <c r="G1287" i="11"/>
  <c r="U1287" i="11" s="1"/>
  <c r="G1288" i="11"/>
  <c r="U1288" i="11" s="1"/>
  <c r="V1288" i="11" s="1"/>
  <c r="G1295" i="11"/>
  <c r="G1296" i="11"/>
  <c r="G1303" i="11"/>
  <c r="U1303" i="11" s="1"/>
  <c r="V1303" i="11" s="1"/>
  <c r="G1304" i="11"/>
  <c r="G1311" i="11"/>
  <c r="U1311" i="11" s="1"/>
  <c r="Y1311" i="11" s="1"/>
  <c r="G1312" i="11"/>
  <c r="G1319" i="11"/>
  <c r="G1320" i="11"/>
  <c r="G1327" i="11"/>
  <c r="G1328" i="11"/>
  <c r="U1328" i="11" s="1"/>
  <c r="Y1328" i="11" s="1"/>
  <c r="G1335" i="11"/>
  <c r="G1336" i="11"/>
  <c r="G1343" i="11"/>
  <c r="G1344" i="11"/>
  <c r="G1351" i="11"/>
  <c r="U1351" i="11" s="1"/>
  <c r="V1351" i="11" s="1"/>
  <c r="G1352" i="11"/>
  <c r="G1359" i="11"/>
  <c r="G1360" i="11"/>
  <c r="U1360" i="11" s="1"/>
  <c r="Y1360" i="11" s="1"/>
  <c r="G1367" i="11"/>
  <c r="U1367" i="11" s="1"/>
  <c r="V1367" i="11" s="1"/>
  <c r="G1368" i="11"/>
  <c r="G1375" i="11"/>
  <c r="G1376" i="11"/>
  <c r="G1383" i="11"/>
  <c r="G1384" i="11"/>
  <c r="G1391" i="11"/>
  <c r="G1392" i="11"/>
  <c r="G1399" i="11"/>
  <c r="G1400" i="11"/>
  <c r="G1407" i="11"/>
  <c r="G1408" i="11"/>
  <c r="G1415" i="11"/>
  <c r="U1415" i="11" s="1"/>
  <c r="Y1415" i="11" s="1"/>
  <c r="G1416" i="11"/>
  <c r="U1416" i="11" s="1"/>
  <c r="Y1416" i="11" s="1"/>
  <c r="G1423" i="11"/>
  <c r="G1424" i="11"/>
  <c r="G1431" i="11"/>
  <c r="U1431" i="11" s="1"/>
  <c r="V1431" i="11" s="1"/>
  <c r="G1432" i="11"/>
  <c r="G1439" i="11"/>
  <c r="G1440" i="11"/>
  <c r="G1447" i="11"/>
  <c r="U1447" i="11" s="1"/>
  <c r="V1447" i="11" s="1"/>
  <c r="G1448" i="11"/>
  <c r="G1455" i="11"/>
  <c r="G1456" i="11"/>
  <c r="G1463" i="11"/>
  <c r="G1464" i="11"/>
  <c r="G1471" i="11"/>
  <c r="G1472" i="11"/>
  <c r="U1472" i="11" s="1"/>
  <c r="G1479" i="11"/>
  <c r="G1480" i="11"/>
  <c r="G1487" i="11"/>
  <c r="G1488" i="11"/>
  <c r="U1488" i="11" s="1"/>
  <c r="G1495" i="11"/>
  <c r="U1495" i="11" s="1"/>
  <c r="G1496" i="11"/>
  <c r="G1503" i="11"/>
  <c r="G1504" i="11"/>
  <c r="G1511" i="11"/>
  <c r="U1511" i="11" s="1"/>
  <c r="G1512" i="11"/>
  <c r="G1519" i="11"/>
  <c r="G1520" i="11"/>
  <c r="G1527" i="11"/>
  <c r="G1528" i="11"/>
  <c r="U1528" i="11" s="1"/>
  <c r="Y1528" i="11" s="1"/>
  <c r="G1535" i="11"/>
  <c r="U1535" i="11" s="1"/>
  <c r="G1536" i="11"/>
  <c r="G1543" i="11"/>
  <c r="G1544" i="11"/>
  <c r="G1551" i="11"/>
  <c r="G1552" i="11"/>
  <c r="G1559" i="11"/>
  <c r="G1560" i="11"/>
  <c r="G1567" i="11"/>
  <c r="G1568" i="11"/>
  <c r="U1568" i="11" s="1"/>
  <c r="G1575" i="11"/>
  <c r="G1576" i="11"/>
  <c r="G1583" i="11"/>
  <c r="U1583" i="11" s="1"/>
  <c r="Y1583" i="11" s="1"/>
  <c r="G1584" i="11"/>
  <c r="G1591" i="11"/>
  <c r="U1591" i="11" s="1"/>
  <c r="G1592" i="11"/>
  <c r="U1592" i="11" s="1"/>
  <c r="Y1592" i="11" s="1"/>
  <c r="G1599" i="11"/>
  <c r="G1600" i="11"/>
  <c r="G1607" i="11"/>
  <c r="G1608" i="11"/>
  <c r="U1608" i="11" s="1"/>
  <c r="Y1608" i="11" s="1"/>
  <c r="G1615" i="11"/>
  <c r="G1616" i="11"/>
  <c r="G1623" i="11"/>
  <c r="G1624" i="11"/>
  <c r="G1631" i="11"/>
  <c r="G1632" i="11"/>
  <c r="G1639" i="11"/>
  <c r="G1640" i="11"/>
  <c r="U1640" i="11" s="1"/>
  <c r="Y1640" i="11" s="1"/>
  <c r="G1647" i="11"/>
  <c r="U1647" i="11" s="1"/>
  <c r="V1647" i="11" s="1"/>
  <c r="G1648" i="11"/>
  <c r="G1655" i="11"/>
  <c r="G1656" i="11"/>
  <c r="G1663" i="11"/>
  <c r="G1664" i="11"/>
  <c r="U1664" i="11" s="1"/>
  <c r="G1671" i="11"/>
  <c r="G1672" i="11"/>
  <c r="G1679" i="11"/>
  <c r="U1679" i="11" s="1"/>
  <c r="G1680" i="11"/>
  <c r="G1687" i="11"/>
  <c r="G1688" i="11"/>
  <c r="G1695" i="11"/>
  <c r="G1696" i="11"/>
  <c r="U1696" i="11" s="1"/>
  <c r="G1703" i="11"/>
  <c r="G1704" i="11"/>
  <c r="G1711" i="11"/>
  <c r="G1712" i="11"/>
  <c r="G1719" i="11"/>
  <c r="U1719" i="11" s="1"/>
  <c r="G1720" i="11"/>
  <c r="U1720" i="11" s="1"/>
  <c r="G1727" i="11"/>
  <c r="G1728" i="11"/>
  <c r="G1735" i="11"/>
  <c r="G1736" i="11"/>
  <c r="U1736" i="11" s="1"/>
  <c r="Y1736" i="11" s="1"/>
  <c r="G1743" i="11"/>
  <c r="G1744" i="11"/>
  <c r="G1751" i="11"/>
  <c r="G1752" i="11"/>
  <c r="G1759" i="11"/>
  <c r="G1760" i="11"/>
  <c r="G1767" i="11"/>
  <c r="G1768" i="11"/>
  <c r="G1775" i="11"/>
  <c r="U1775" i="11" s="1"/>
  <c r="V1775" i="11" s="1"/>
  <c r="G1776" i="11"/>
  <c r="G1783" i="11"/>
  <c r="G1784" i="11"/>
  <c r="G1791" i="11"/>
  <c r="G1792" i="11"/>
  <c r="U1792" i="11" s="1"/>
  <c r="G1799" i="11"/>
  <c r="G1800" i="11"/>
  <c r="G1807" i="11"/>
  <c r="G1808" i="11"/>
  <c r="G1815" i="11"/>
  <c r="G1816" i="11"/>
  <c r="G1823" i="11"/>
  <c r="U1823" i="11" s="1"/>
  <c r="G1824" i="11"/>
  <c r="U1824" i="11" s="1"/>
  <c r="G1831" i="11"/>
  <c r="G1832" i="11"/>
  <c r="G1839" i="11"/>
  <c r="G1840" i="11"/>
  <c r="G1847" i="11"/>
  <c r="U1847" i="11" s="1"/>
  <c r="G1848" i="11"/>
  <c r="U1848" i="11" s="1"/>
  <c r="V1848" i="11" s="1"/>
  <c r="G1855" i="11"/>
  <c r="G1856" i="11"/>
  <c r="G1863" i="11"/>
  <c r="G1864" i="11"/>
  <c r="G1871" i="11"/>
  <c r="G1872" i="11"/>
  <c r="G1879" i="11"/>
  <c r="G1880" i="11"/>
  <c r="G1887" i="11"/>
  <c r="G1888" i="11"/>
  <c r="G1895" i="11"/>
  <c r="G1896" i="11"/>
  <c r="G1903" i="11"/>
  <c r="G1904" i="11"/>
  <c r="G1911" i="11"/>
  <c r="G1912" i="11"/>
  <c r="G1919" i="11"/>
  <c r="G1920" i="11"/>
  <c r="G1927" i="11"/>
  <c r="G1928" i="11"/>
  <c r="U1928" i="11" s="1"/>
  <c r="G1935" i="11"/>
  <c r="G1936" i="11"/>
  <c r="G1943" i="11"/>
  <c r="G1944" i="11"/>
  <c r="G1951" i="11"/>
  <c r="G1952" i="11"/>
  <c r="G1959" i="11"/>
  <c r="G1960" i="11"/>
  <c r="G1967" i="11"/>
  <c r="G1968" i="11"/>
  <c r="G1975" i="11"/>
  <c r="U1975" i="11" s="1"/>
  <c r="Y1975" i="11" s="1"/>
  <c r="G1976" i="11"/>
  <c r="U1976" i="11" s="1"/>
  <c r="G1983" i="11"/>
  <c r="G1984" i="11"/>
  <c r="G1991" i="11"/>
  <c r="G1992" i="11"/>
  <c r="U1992" i="11" s="1"/>
  <c r="G1999" i="11"/>
  <c r="G2000" i="11"/>
  <c r="G2007" i="11"/>
  <c r="G2008" i="11"/>
  <c r="U2008" i="11" s="1"/>
  <c r="G2015" i="11"/>
  <c r="G2016" i="11"/>
  <c r="G2023" i="11"/>
  <c r="G2024" i="11"/>
  <c r="G2031" i="11"/>
  <c r="U2031" i="11" s="1"/>
  <c r="G2032" i="11"/>
  <c r="G2039" i="11"/>
  <c r="U2039" i="11" s="1"/>
  <c r="G2040" i="11"/>
  <c r="G2047" i="11"/>
  <c r="G2048" i="11"/>
  <c r="U2048" i="11" s="1"/>
  <c r="G2055" i="11"/>
  <c r="G2056" i="11"/>
  <c r="G2063" i="11"/>
  <c r="U2063" i="11" s="1"/>
  <c r="V2063" i="11" s="1"/>
  <c r="G2064" i="11"/>
  <c r="G2071" i="11"/>
  <c r="G2072" i="11"/>
  <c r="G2079" i="11"/>
  <c r="G2080" i="11"/>
  <c r="U2080" i="11" s="1"/>
  <c r="G2087" i="11"/>
  <c r="G2088" i="11"/>
  <c r="G2095" i="11"/>
  <c r="U2095" i="11" s="1"/>
  <c r="G2096" i="11"/>
  <c r="G2103" i="11"/>
  <c r="U2103" i="11" s="1"/>
  <c r="G2104" i="11"/>
  <c r="U2104" i="11" s="1"/>
  <c r="Y2104" i="11" s="1"/>
  <c r="G2111" i="11"/>
  <c r="G2112" i="11"/>
  <c r="G2114" i="11"/>
  <c r="U2114" i="11" s="1"/>
  <c r="Y2114" i="11" s="1"/>
  <c r="G2119" i="11"/>
  <c r="G2120" i="11"/>
  <c r="U2120" i="11" s="1"/>
  <c r="Y2120" i="11" s="1"/>
  <c r="G2127" i="11"/>
  <c r="G2128" i="11"/>
  <c r="G2135" i="11"/>
  <c r="G2136" i="11"/>
  <c r="G2143" i="11"/>
  <c r="U2143" i="11" s="1"/>
  <c r="G2144" i="11"/>
  <c r="G2151" i="11"/>
  <c r="G2152" i="11"/>
  <c r="U2152" i="11" s="1"/>
  <c r="G2159" i="11"/>
  <c r="G2160" i="11"/>
  <c r="G2167" i="11"/>
  <c r="G2168" i="11"/>
  <c r="G2175" i="11"/>
  <c r="G2176" i="11"/>
  <c r="G2183" i="11"/>
  <c r="G2184" i="11"/>
  <c r="G2191" i="11"/>
  <c r="U2191" i="11" s="1"/>
  <c r="G2192" i="11"/>
  <c r="G2200" i="11"/>
  <c r="G2208" i="11"/>
  <c r="G2216" i="11"/>
  <c r="G2224" i="11"/>
  <c r="G2232" i="11"/>
  <c r="G2240" i="11"/>
  <c r="G2248" i="11"/>
  <c r="G2256" i="11"/>
  <c r="G2264" i="11"/>
  <c r="G2272" i="11"/>
  <c r="U2272" i="11" s="1"/>
  <c r="Y2272" i="11" s="1"/>
  <c r="G2280" i="11"/>
  <c r="G2288" i="11"/>
  <c r="G2296" i="11"/>
  <c r="G2304" i="11"/>
  <c r="G2312" i="11"/>
  <c r="G2320" i="11"/>
  <c r="G2328" i="11"/>
  <c r="G2336" i="11"/>
  <c r="G2344" i="11"/>
  <c r="G2352" i="11"/>
  <c r="U2352" i="11" s="1"/>
  <c r="Y2352" i="11" s="1"/>
  <c r="G2360" i="11"/>
  <c r="G2368" i="11"/>
  <c r="G2376" i="11"/>
  <c r="G2384" i="11"/>
  <c r="G2392" i="11"/>
  <c r="U2392" i="11" s="1"/>
  <c r="G2400" i="11"/>
  <c r="G2408" i="11"/>
  <c r="G2416" i="11"/>
  <c r="G2424" i="11"/>
  <c r="G2432" i="11"/>
  <c r="U2432" i="11" s="1"/>
  <c r="Y2432" i="11" s="1"/>
  <c r="G2440" i="11"/>
  <c r="G2448" i="11"/>
  <c r="G2456" i="11"/>
  <c r="G2464" i="11"/>
  <c r="G2472" i="11"/>
  <c r="G2480" i="11"/>
  <c r="G2488" i="11"/>
  <c r="U2488" i="11" s="1"/>
  <c r="G2496" i="11"/>
  <c r="G2504" i="11"/>
  <c r="G2512" i="11"/>
  <c r="U2512" i="11" s="1"/>
  <c r="V2512" i="11" s="1"/>
  <c r="G2520" i="11"/>
  <c r="G2528" i="11"/>
  <c r="G2536" i="11"/>
  <c r="G2544" i="11"/>
  <c r="G2552" i="11"/>
  <c r="G2560" i="11"/>
  <c r="U2560" i="11" s="1"/>
  <c r="G2568" i="11"/>
  <c r="U2568" i="11" s="1"/>
  <c r="Y2568" i="11" s="1"/>
  <c r="G2576" i="11"/>
  <c r="G2584" i="11"/>
  <c r="G2592" i="11"/>
  <c r="G2600" i="11"/>
  <c r="G2608" i="11"/>
  <c r="G2616" i="11"/>
  <c r="G2624" i="11"/>
  <c r="G2632" i="11"/>
  <c r="U2632" i="11" s="1"/>
  <c r="V2632" i="11" s="1"/>
  <c r="G2664" i="11"/>
  <c r="U2664" i="11" s="1"/>
  <c r="V2664" i="11" s="1"/>
  <c r="G2696" i="11"/>
  <c r="U2696" i="11" s="1"/>
  <c r="Y2696" i="11" s="1"/>
  <c r="G2728" i="11"/>
  <c r="U2728" i="11" s="1"/>
  <c r="G2736" i="11"/>
  <c r="G2744" i="11"/>
  <c r="G2752" i="11"/>
  <c r="G2760" i="11"/>
  <c r="G2768" i="11"/>
  <c r="G2776" i="11"/>
  <c r="G2784" i="11"/>
  <c r="G2792" i="11"/>
  <c r="G2800" i="11"/>
  <c r="G2808" i="11"/>
  <c r="G2816" i="11"/>
  <c r="G2824" i="11"/>
  <c r="G2832" i="11"/>
  <c r="G2840" i="11"/>
  <c r="G2848" i="11"/>
  <c r="G2856" i="11"/>
  <c r="G2864" i="11"/>
  <c r="G2872" i="11"/>
  <c r="G2880" i="11"/>
  <c r="G2888" i="11"/>
  <c r="G2896" i="11"/>
  <c r="G2904" i="11"/>
  <c r="G2912" i="11"/>
  <c r="G2920" i="11"/>
  <c r="G2928" i="11"/>
  <c r="G2936" i="11"/>
  <c r="G2944" i="11"/>
  <c r="G2952" i="11"/>
  <c r="G2960" i="11"/>
  <c r="G2968" i="11"/>
  <c r="G2976" i="11"/>
  <c r="G2984" i="11"/>
  <c r="G2992" i="11"/>
  <c r="G3000" i="11"/>
  <c r="G3008" i="11"/>
  <c r="G3016" i="11"/>
  <c r="G3024" i="11"/>
  <c r="G3032" i="11"/>
  <c r="G3040" i="11"/>
  <c r="G3048" i="11"/>
  <c r="G3056" i="11"/>
  <c r="G3064" i="11"/>
  <c r="G3072" i="11"/>
  <c r="G3080" i="11"/>
  <c r="G3088" i="11"/>
  <c r="G3096" i="11"/>
  <c r="G3104" i="11"/>
  <c r="G3112" i="11"/>
  <c r="G3120" i="11"/>
  <c r="G3128" i="11"/>
  <c r="G3136" i="11"/>
  <c r="G3144" i="11"/>
  <c r="G3152" i="11"/>
  <c r="G3160" i="11"/>
  <c r="U3160" i="11" s="1"/>
  <c r="G3168" i="11"/>
  <c r="G3176" i="11"/>
  <c r="G3184" i="11"/>
  <c r="G3192" i="11"/>
  <c r="U3192" i="11" s="1"/>
  <c r="Y3192" i="11" s="1"/>
  <c r="G3200" i="11"/>
  <c r="G3208" i="11"/>
  <c r="G3216" i="11"/>
  <c r="G3224" i="11"/>
  <c r="U3224" i="11" s="1"/>
  <c r="V3224" i="11" s="1"/>
  <c r="G3232" i="11"/>
  <c r="G3240" i="11"/>
  <c r="G3248" i="11"/>
  <c r="G3256" i="11"/>
  <c r="U3256" i="11" s="1"/>
  <c r="G3264" i="11"/>
  <c r="G3272" i="11"/>
  <c r="G3280" i="11"/>
  <c r="G3288" i="11"/>
  <c r="U3288" i="11" s="1"/>
  <c r="V3288" i="11" s="1"/>
  <c r="G3296" i="11"/>
  <c r="G3304" i="11"/>
  <c r="G3312" i="11"/>
  <c r="G3320" i="11"/>
  <c r="G3328" i="11"/>
  <c r="G3336" i="11"/>
  <c r="G3344" i="11"/>
  <c r="G3352" i="11"/>
  <c r="G3360" i="11"/>
  <c r="G3368" i="11"/>
  <c r="G3376" i="11"/>
  <c r="G3384" i="11"/>
  <c r="G3392" i="11"/>
  <c r="G3400" i="11"/>
  <c r="G3408" i="11"/>
  <c r="G3416" i="11"/>
  <c r="G3424" i="11"/>
  <c r="G3432" i="11"/>
  <c r="G3440" i="11"/>
  <c r="G3448" i="11"/>
  <c r="G3456" i="11"/>
  <c r="G3464" i="11"/>
  <c r="G3472" i="11"/>
  <c r="G3480" i="11"/>
  <c r="G3488" i="11"/>
  <c r="G3496" i="11"/>
  <c r="G3504" i="11"/>
  <c r="G3512" i="11"/>
  <c r="G3520" i="11"/>
  <c r="G3528" i="11"/>
  <c r="G3536" i="11"/>
  <c r="G3544" i="11"/>
  <c r="G3552" i="11"/>
  <c r="G3560" i="11"/>
  <c r="G3568" i="11"/>
  <c r="G3576" i="11"/>
  <c r="G3584" i="11"/>
  <c r="G3592" i="11"/>
  <c r="G3600" i="11"/>
  <c r="G3608" i="11"/>
  <c r="G3616" i="11"/>
  <c r="G3624" i="11"/>
  <c r="G3632" i="11"/>
  <c r="G3640" i="11"/>
  <c r="G3648" i="11"/>
  <c r="G3656" i="11"/>
  <c r="G3664" i="11"/>
  <c r="G3672" i="11"/>
  <c r="G3680" i="11"/>
  <c r="G3688" i="11"/>
  <c r="G3696" i="11"/>
  <c r="G3704" i="11"/>
  <c r="G3712" i="11"/>
  <c r="G3720" i="11"/>
  <c r="G3728" i="11"/>
  <c r="G3736" i="11"/>
  <c r="G3744" i="11"/>
  <c r="G3752" i="11"/>
  <c r="G3760" i="11"/>
  <c r="U3760" i="11" s="1"/>
  <c r="V3760" i="11" s="1"/>
  <c r="G3768" i="11"/>
  <c r="H3890" i="11"/>
  <c r="I3890" i="11"/>
  <c r="J3890" i="11"/>
  <c r="K5" i="11"/>
  <c r="K6" i="11"/>
  <c r="K7" i="11"/>
  <c r="K8" i="11"/>
  <c r="K9" i="11"/>
  <c r="K10" i="11"/>
  <c r="K11" i="11"/>
  <c r="K12" i="11"/>
  <c r="K13" i="11"/>
  <c r="K14" i="11"/>
  <c r="K15" i="11"/>
  <c r="K16" i="11"/>
  <c r="K17" i="11"/>
  <c r="K18" i="11"/>
  <c r="K19" i="11"/>
  <c r="K20" i="11"/>
  <c r="K21" i="11"/>
  <c r="K22" i="11"/>
  <c r="K23" i="11"/>
  <c r="K24" i="11"/>
  <c r="K25" i="11"/>
  <c r="K26" i="11"/>
  <c r="K27" i="11"/>
  <c r="K28" i="11"/>
  <c r="K29" i="11"/>
  <c r="K30" i="11"/>
  <c r="K31" i="11"/>
  <c r="K32" i="11"/>
  <c r="K33" i="11"/>
  <c r="K34" i="11"/>
  <c r="K35" i="11"/>
  <c r="K36" i="11"/>
  <c r="K37" i="11"/>
  <c r="K38" i="11"/>
  <c r="K39" i="11"/>
  <c r="K40" i="11"/>
  <c r="K41" i="11"/>
  <c r="K42" i="11"/>
  <c r="K43" i="11"/>
  <c r="K44" i="11"/>
  <c r="K45" i="11"/>
  <c r="K46" i="11"/>
  <c r="K47" i="11"/>
  <c r="K48" i="11"/>
  <c r="K49" i="11"/>
  <c r="K50" i="11"/>
  <c r="K51" i="11"/>
  <c r="K52" i="11"/>
  <c r="K53" i="11"/>
  <c r="K54" i="11"/>
  <c r="K55" i="11"/>
  <c r="K56" i="11"/>
  <c r="K57" i="11"/>
  <c r="K58" i="11"/>
  <c r="K59" i="11"/>
  <c r="K60" i="11"/>
  <c r="K61" i="11"/>
  <c r="K62" i="11"/>
  <c r="K63" i="11"/>
  <c r="K64" i="11"/>
  <c r="K65" i="11"/>
  <c r="K66" i="11"/>
  <c r="K67" i="11"/>
  <c r="K68" i="11"/>
  <c r="K69" i="11"/>
  <c r="K70" i="11"/>
  <c r="K71" i="11"/>
  <c r="K72" i="11"/>
  <c r="K73" i="11"/>
  <c r="K74" i="11"/>
  <c r="K75" i="11"/>
  <c r="K76" i="11"/>
  <c r="K77" i="11"/>
  <c r="K78" i="11"/>
  <c r="K79" i="11"/>
  <c r="K80" i="11"/>
  <c r="K81" i="11"/>
  <c r="K82" i="11"/>
  <c r="K83" i="11"/>
  <c r="K84" i="11"/>
  <c r="K85" i="11"/>
  <c r="K86" i="11"/>
  <c r="K87" i="11"/>
  <c r="K88" i="11"/>
  <c r="K89" i="11"/>
  <c r="K90" i="11"/>
  <c r="K91" i="11"/>
  <c r="K92" i="11"/>
  <c r="K93" i="11"/>
  <c r="K94" i="11"/>
  <c r="K95" i="11"/>
  <c r="K96" i="11"/>
  <c r="K97" i="11"/>
  <c r="K98" i="11"/>
  <c r="K99" i="11"/>
  <c r="K100" i="11"/>
  <c r="K101" i="11"/>
  <c r="K102" i="11"/>
  <c r="K103" i="11"/>
  <c r="K104" i="11"/>
  <c r="K105" i="11"/>
  <c r="K106" i="11"/>
  <c r="K107" i="11"/>
  <c r="K108" i="11"/>
  <c r="K109" i="11"/>
  <c r="K110" i="11"/>
  <c r="K111" i="11"/>
  <c r="K112" i="11"/>
  <c r="K113" i="11"/>
  <c r="K114" i="11"/>
  <c r="K115" i="11"/>
  <c r="K116" i="11"/>
  <c r="K117" i="11"/>
  <c r="K118" i="11"/>
  <c r="K119" i="11"/>
  <c r="K120" i="11"/>
  <c r="K121" i="11"/>
  <c r="K122" i="11"/>
  <c r="K123" i="11"/>
  <c r="K124" i="11"/>
  <c r="K125" i="11"/>
  <c r="K126" i="11"/>
  <c r="K127" i="11"/>
  <c r="K128" i="11"/>
  <c r="K129" i="11"/>
  <c r="K130" i="11"/>
  <c r="K131" i="11"/>
  <c r="K132" i="11"/>
  <c r="K133" i="11"/>
  <c r="K134" i="11"/>
  <c r="K135" i="11"/>
  <c r="K136" i="11"/>
  <c r="K137" i="11"/>
  <c r="K138" i="11"/>
  <c r="K139" i="11"/>
  <c r="K140" i="11"/>
  <c r="K141" i="11"/>
  <c r="K142" i="11"/>
  <c r="K143" i="11"/>
  <c r="K144" i="11"/>
  <c r="K145" i="11"/>
  <c r="K146" i="11"/>
  <c r="K147" i="11"/>
  <c r="K148" i="11"/>
  <c r="K149" i="11"/>
  <c r="K150" i="11"/>
  <c r="K151" i="11"/>
  <c r="K152" i="11"/>
  <c r="K153" i="11"/>
  <c r="K154" i="11"/>
  <c r="K155" i="11"/>
  <c r="K156" i="11"/>
  <c r="K157" i="11"/>
  <c r="K158" i="11"/>
  <c r="K159" i="11"/>
  <c r="K160" i="11"/>
  <c r="K161" i="11"/>
  <c r="K162" i="11"/>
  <c r="K163" i="11"/>
  <c r="K164" i="11"/>
  <c r="K165" i="11"/>
  <c r="K166" i="11"/>
  <c r="K167" i="11"/>
  <c r="K168" i="11"/>
  <c r="K169" i="11"/>
  <c r="K170" i="11"/>
  <c r="K171" i="11"/>
  <c r="K172" i="11"/>
  <c r="K173" i="11"/>
  <c r="K174" i="11"/>
  <c r="K175" i="11"/>
  <c r="K176" i="11"/>
  <c r="K177" i="11"/>
  <c r="K178" i="11"/>
  <c r="K179" i="11"/>
  <c r="K180" i="11"/>
  <c r="K181" i="11"/>
  <c r="K182" i="11"/>
  <c r="K183" i="11"/>
  <c r="K184" i="11"/>
  <c r="K185" i="11"/>
  <c r="K186" i="11"/>
  <c r="K187" i="11"/>
  <c r="K188" i="11"/>
  <c r="K189" i="11"/>
  <c r="K190" i="11"/>
  <c r="K191" i="11"/>
  <c r="K192" i="11"/>
  <c r="K193" i="11"/>
  <c r="K194" i="11"/>
  <c r="K195" i="11"/>
  <c r="K196" i="11"/>
  <c r="K197" i="11"/>
  <c r="K198" i="11"/>
  <c r="K199" i="11"/>
  <c r="K200" i="11"/>
  <c r="K201" i="11"/>
  <c r="K202" i="11"/>
  <c r="K203" i="11"/>
  <c r="K204" i="11"/>
  <c r="K205" i="11"/>
  <c r="K206" i="11"/>
  <c r="K207" i="11"/>
  <c r="K208" i="11"/>
  <c r="K209" i="11"/>
  <c r="K210" i="11"/>
  <c r="K211" i="11"/>
  <c r="K212" i="11"/>
  <c r="K213" i="11"/>
  <c r="K214" i="11"/>
  <c r="K215" i="11"/>
  <c r="K216" i="11"/>
  <c r="K217" i="11"/>
  <c r="K218" i="11"/>
  <c r="K219" i="11"/>
  <c r="K220" i="11"/>
  <c r="K221" i="11"/>
  <c r="K222" i="11"/>
  <c r="K223" i="11"/>
  <c r="K224" i="11"/>
  <c r="K225" i="11"/>
  <c r="K226" i="11"/>
  <c r="K227" i="11"/>
  <c r="K228" i="11"/>
  <c r="K229" i="11"/>
  <c r="K230" i="11"/>
  <c r="K231" i="11"/>
  <c r="K232" i="11"/>
  <c r="K233" i="11"/>
  <c r="K234" i="11"/>
  <c r="K235" i="11"/>
  <c r="K236" i="11"/>
  <c r="K237" i="11"/>
  <c r="K238" i="11"/>
  <c r="K239" i="11"/>
  <c r="K240" i="11"/>
  <c r="K241" i="11"/>
  <c r="K242" i="11"/>
  <c r="K243" i="11"/>
  <c r="K244" i="11"/>
  <c r="K245" i="11"/>
  <c r="K246" i="11"/>
  <c r="K247" i="11"/>
  <c r="K248" i="11"/>
  <c r="K249" i="11"/>
  <c r="K250" i="11"/>
  <c r="K251" i="11"/>
  <c r="K252" i="11"/>
  <c r="K253" i="11"/>
  <c r="K254" i="11"/>
  <c r="K255" i="11"/>
  <c r="K256" i="11"/>
  <c r="K257" i="11"/>
  <c r="K258" i="11"/>
  <c r="K259" i="11"/>
  <c r="K260" i="11"/>
  <c r="K261" i="11"/>
  <c r="K262" i="11"/>
  <c r="K263" i="11"/>
  <c r="K264" i="11"/>
  <c r="K265" i="11"/>
  <c r="K266" i="11"/>
  <c r="K267" i="11"/>
  <c r="K268" i="11"/>
  <c r="K269" i="11"/>
  <c r="K270" i="11"/>
  <c r="K271" i="11"/>
  <c r="K272" i="11"/>
  <c r="K273" i="11"/>
  <c r="K274" i="11"/>
  <c r="K275" i="11"/>
  <c r="K276" i="11"/>
  <c r="K277" i="11"/>
  <c r="K278" i="11"/>
  <c r="K279" i="11"/>
  <c r="K280" i="11"/>
  <c r="K281" i="11"/>
  <c r="K282" i="11"/>
  <c r="K283" i="11"/>
  <c r="K284" i="11"/>
  <c r="K285" i="11"/>
  <c r="K286" i="11"/>
  <c r="K287" i="11"/>
  <c r="K288" i="11"/>
  <c r="K289" i="11"/>
  <c r="K290" i="11"/>
  <c r="K291" i="11"/>
  <c r="K292" i="11"/>
  <c r="K293" i="11"/>
  <c r="K294" i="11"/>
  <c r="K295" i="11"/>
  <c r="K296" i="11"/>
  <c r="K297" i="11"/>
  <c r="K298" i="11"/>
  <c r="K299" i="11"/>
  <c r="K300" i="11"/>
  <c r="K301" i="11"/>
  <c r="K302" i="11"/>
  <c r="K303" i="11"/>
  <c r="K304" i="11"/>
  <c r="K305" i="11"/>
  <c r="K306" i="11"/>
  <c r="K307" i="11"/>
  <c r="K308" i="11"/>
  <c r="K309" i="11"/>
  <c r="K310" i="11"/>
  <c r="K311" i="11"/>
  <c r="K312" i="11"/>
  <c r="K313" i="11"/>
  <c r="K314" i="11"/>
  <c r="K315" i="11"/>
  <c r="K316" i="11"/>
  <c r="K317" i="11"/>
  <c r="K318" i="11"/>
  <c r="K319" i="11"/>
  <c r="K320" i="11"/>
  <c r="K321" i="11"/>
  <c r="K322" i="11"/>
  <c r="K323" i="11"/>
  <c r="K324" i="11"/>
  <c r="K325" i="11"/>
  <c r="K326" i="11"/>
  <c r="K327" i="11"/>
  <c r="K328" i="11"/>
  <c r="K329" i="11"/>
  <c r="K330" i="11"/>
  <c r="K331" i="11"/>
  <c r="K332" i="11"/>
  <c r="K333" i="11"/>
  <c r="K334" i="11"/>
  <c r="K335" i="11"/>
  <c r="K336" i="11"/>
  <c r="K337" i="11"/>
  <c r="K338" i="11"/>
  <c r="K339" i="11"/>
  <c r="K340" i="11"/>
  <c r="K341" i="11"/>
  <c r="K342" i="11"/>
  <c r="K343" i="11"/>
  <c r="K344" i="11"/>
  <c r="K345" i="11"/>
  <c r="K346" i="11"/>
  <c r="K347" i="11"/>
  <c r="K348" i="11"/>
  <c r="K349" i="11"/>
  <c r="K350" i="11"/>
  <c r="K351" i="11"/>
  <c r="K352" i="11"/>
  <c r="K353" i="11"/>
  <c r="K354" i="11"/>
  <c r="K355" i="11"/>
  <c r="K356" i="11"/>
  <c r="K357" i="11"/>
  <c r="K358" i="11"/>
  <c r="K359" i="11"/>
  <c r="K360" i="11"/>
  <c r="K361" i="11"/>
  <c r="K362" i="11"/>
  <c r="K363" i="11"/>
  <c r="K364" i="11"/>
  <c r="K365" i="11"/>
  <c r="K366" i="11"/>
  <c r="K367" i="11"/>
  <c r="K368" i="11"/>
  <c r="K369" i="11"/>
  <c r="K370" i="11"/>
  <c r="K371" i="11"/>
  <c r="K372" i="11"/>
  <c r="K373" i="11"/>
  <c r="K374" i="11"/>
  <c r="K375" i="11"/>
  <c r="K376" i="11"/>
  <c r="K377" i="11"/>
  <c r="K378" i="11"/>
  <c r="K379" i="11"/>
  <c r="K380" i="11"/>
  <c r="K381" i="11"/>
  <c r="K382" i="11"/>
  <c r="K383" i="11"/>
  <c r="K384" i="11"/>
  <c r="K385" i="11"/>
  <c r="K386" i="11"/>
  <c r="K387" i="11"/>
  <c r="K388" i="11"/>
  <c r="K389" i="11"/>
  <c r="K390" i="11"/>
  <c r="K391" i="11"/>
  <c r="K392" i="11"/>
  <c r="K393" i="11"/>
  <c r="K394" i="11"/>
  <c r="K395" i="11"/>
  <c r="K396" i="11"/>
  <c r="K397" i="11"/>
  <c r="K398" i="11"/>
  <c r="K399" i="11"/>
  <c r="K400" i="11"/>
  <c r="K401" i="11"/>
  <c r="K402" i="11"/>
  <c r="K403" i="11"/>
  <c r="K404" i="11"/>
  <c r="K405" i="11"/>
  <c r="K406" i="11"/>
  <c r="K407" i="11"/>
  <c r="K408" i="11"/>
  <c r="K409" i="11"/>
  <c r="K410" i="11"/>
  <c r="K411" i="11"/>
  <c r="K412" i="11"/>
  <c r="K413" i="11"/>
  <c r="K414" i="11"/>
  <c r="K415" i="11"/>
  <c r="K416" i="11"/>
  <c r="K417" i="11"/>
  <c r="K418" i="11"/>
  <c r="K419" i="11"/>
  <c r="K420" i="11"/>
  <c r="K421" i="11"/>
  <c r="K422" i="11"/>
  <c r="K423" i="11"/>
  <c r="K424" i="11"/>
  <c r="K425" i="11"/>
  <c r="K426" i="11"/>
  <c r="K427" i="11"/>
  <c r="K428" i="11"/>
  <c r="K429" i="11"/>
  <c r="K430" i="11"/>
  <c r="K431" i="11"/>
  <c r="K432" i="11"/>
  <c r="K433" i="11"/>
  <c r="K434" i="11"/>
  <c r="K435" i="11"/>
  <c r="K436" i="11"/>
  <c r="K437" i="11"/>
  <c r="K438" i="11"/>
  <c r="K439" i="11"/>
  <c r="K440" i="11"/>
  <c r="K441" i="11"/>
  <c r="K442" i="11"/>
  <c r="K443" i="11"/>
  <c r="K444" i="11"/>
  <c r="K445" i="11"/>
  <c r="K446" i="11"/>
  <c r="K447" i="11"/>
  <c r="K448" i="11"/>
  <c r="K449" i="11"/>
  <c r="K450" i="11"/>
  <c r="K451" i="11"/>
  <c r="K452" i="11"/>
  <c r="K453" i="11"/>
  <c r="K454" i="11"/>
  <c r="K455" i="11"/>
  <c r="K456" i="11"/>
  <c r="K457" i="11"/>
  <c r="K458" i="11"/>
  <c r="K459" i="11"/>
  <c r="K460" i="11"/>
  <c r="K461" i="11"/>
  <c r="K462" i="11"/>
  <c r="K463" i="11"/>
  <c r="K464" i="11"/>
  <c r="K465" i="11"/>
  <c r="K466" i="11"/>
  <c r="K467" i="11"/>
  <c r="K468" i="11"/>
  <c r="K469" i="11"/>
  <c r="K470" i="11"/>
  <c r="K471" i="11"/>
  <c r="K472" i="11"/>
  <c r="K473" i="11"/>
  <c r="K474" i="11"/>
  <c r="K475" i="11"/>
  <c r="K476" i="11"/>
  <c r="K477" i="11"/>
  <c r="K478" i="11"/>
  <c r="K479" i="11"/>
  <c r="K480" i="11"/>
  <c r="K481" i="11"/>
  <c r="K482" i="11"/>
  <c r="K483" i="11"/>
  <c r="K484" i="11"/>
  <c r="K485" i="11"/>
  <c r="K486" i="11"/>
  <c r="K487" i="11"/>
  <c r="K488" i="11"/>
  <c r="K489" i="11"/>
  <c r="K490" i="11"/>
  <c r="K491" i="11"/>
  <c r="K492" i="11"/>
  <c r="K493" i="11"/>
  <c r="K494" i="11"/>
  <c r="K495" i="11"/>
  <c r="K496" i="11"/>
  <c r="K497" i="11"/>
  <c r="K498" i="11"/>
  <c r="K499" i="11"/>
  <c r="K500" i="11"/>
  <c r="K501" i="11"/>
  <c r="K502" i="11"/>
  <c r="K503" i="11"/>
  <c r="K504" i="11"/>
  <c r="K505" i="11"/>
  <c r="K506" i="11"/>
  <c r="K507" i="11"/>
  <c r="K508" i="11"/>
  <c r="K509" i="11"/>
  <c r="K510" i="11"/>
  <c r="K511" i="11"/>
  <c r="K512" i="11"/>
  <c r="K513" i="11"/>
  <c r="K514" i="11"/>
  <c r="K515" i="11"/>
  <c r="K516" i="11"/>
  <c r="K517" i="11"/>
  <c r="K518" i="11"/>
  <c r="K519" i="11"/>
  <c r="K520" i="11"/>
  <c r="K521" i="11"/>
  <c r="K522" i="11"/>
  <c r="K523" i="11"/>
  <c r="K524" i="11"/>
  <c r="K525" i="11"/>
  <c r="K526" i="11"/>
  <c r="K527" i="11"/>
  <c r="K528" i="11"/>
  <c r="K529" i="11"/>
  <c r="K530" i="11"/>
  <c r="K531" i="11"/>
  <c r="K532" i="11"/>
  <c r="K533" i="11"/>
  <c r="K534" i="11"/>
  <c r="K535" i="11"/>
  <c r="K536" i="11"/>
  <c r="K537" i="11"/>
  <c r="K538" i="11"/>
  <c r="K539" i="11"/>
  <c r="K540" i="11"/>
  <c r="K541" i="11"/>
  <c r="K542" i="11"/>
  <c r="K543" i="11"/>
  <c r="K544" i="11"/>
  <c r="K545" i="11"/>
  <c r="K546" i="11"/>
  <c r="K547" i="11"/>
  <c r="K548" i="11"/>
  <c r="K549" i="11"/>
  <c r="K550" i="11"/>
  <c r="K551" i="11"/>
  <c r="K552" i="11"/>
  <c r="K553" i="11"/>
  <c r="K554" i="11"/>
  <c r="K555" i="11"/>
  <c r="K556" i="11"/>
  <c r="K557" i="11"/>
  <c r="K558" i="11"/>
  <c r="K559" i="11"/>
  <c r="K560" i="11"/>
  <c r="K561" i="11"/>
  <c r="K562" i="11"/>
  <c r="K563" i="11"/>
  <c r="K564" i="11"/>
  <c r="K565" i="11"/>
  <c r="K566" i="11"/>
  <c r="K567" i="11"/>
  <c r="K568" i="11"/>
  <c r="K569" i="11"/>
  <c r="K570" i="11"/>
  <c r="K571" i="11"/>
  <c r="K572" i="11"/>
  <c r="K573" i="11"/>
  <c r="K574" i="11"/>
  <c r="K575" i="11"/>
  <c r="K576" i="11"/>
  <c r="K577" i="11"/>
  <c r="K578" i="11"/>
  <c r="K579" i="11"/>
  <c r="K580" i="11"/>
  <c r="K581" i="11"/>
  <c r="K582" i="11"/>
  <c r="K583" i="11"/>
  <c r="K584" i="11"/>
  <c r="K585" i="11"/>
  <c r="K586" i="11"/>
  <c r="K587" i="11"/>
  <c r="K588" i="11"/>
  <c r="K589" i="11"/>
  <c r="K590" i="11"/>
  <c r="K591" i="11"/>
  <c r="K592" i="11"/>
  <c r="K593" i="11"/>
  <c r="K594" i="11"/>
  <c r="K595" i="11"/>
  <c r="K596" i="11"/>
  <c r="K597" i="11"/>
  <c r="K598" i="11"/>
  <c r="K599" i="11"/>
  <c r="K600" i="11"/>
  <c r="K601" i="11"/>
  <c r="K602" i="11"/>
  <c r="K603" i="11"/>
  <c r="K604" i="11"/>
  <c r="K605" i="11"/>
  <c r="K606" i="11"/>
  <c r="K607" i="11"/>
  <c r="K608" i="11"/>
  <c r="K609" i="11"/>
  <c r="K610" i="11"/>
  <c r="K611" i="11"/>
  <c r="K612" i="11"/>
  <c r="K613" i="11"/>
  <c r="K614" i="11"/>
  <c r="K615" i="11"/>
  <c r="K616" i="11"/>
  <c r="K617" i="11"/>
  <c r="K618" i="11"/>
  <c r="K619" i="11"/>
  <c r="K620" i="11"/>
  <c r="K621" i="11"/>
  <c r="K622" i="11"/>
  <c r="K623" i="11"/>
  <c r="K624" i="11"/>
  <c r="K625" i="11"/>
  <c r="K626" i="11"/>
  <c r="K627" i="11"/>
  <c r="K628" i="11"/>
  <c r="K629" i="11"/>
  <c r="K630" i="11"/>
  <c r="K631" i="11"/>
  <c r="K632" i="11"/>
  <c r="K633" i="11"/>
  <c r="K634" i="11"/>
  <c r="K635" i="11"/>
  <c r="K636" i="11"/>
  <c r="K637" i="11"/>
  <c r="K638" i="11"/>
  <c r="K639" i="11"/>
  <c r="K640" i="11"/>
  <c r="K641" i="11"/>
  <c r="K642" i="11"/>
  <c r="K643" i="11"/>
  <c r="K644" i="11"/>
  <c r="K645" i="11"/>
  <c r="K646" i="11"/>
  <c r="K647" i="11"/>
  <c r="K648" i="11"/>
  <c r="K649" i="11"/>
  <c r="K650" i="11"/>
  <c r="K651" i="11"/>
  <c r="K652" i="11"/>
  <c r="K653" i="11"/>
  <c r="K654" i="11"/>
  <c r="K655" i="11"/>
  <c r="K656" i="11"/>
  <c r="K657" i="11"/>
  <c r="K658" i="11"/>
  <c r="K659" i="11"/>
  <c r="K660" i="11"/>
  <c r="K661" i="11"/>
  <c r="K662" i="11"/>
  <c r="K663" i="11"/>
  <c r="K664" i="11"/>
  <c r="K665" i="11"/>
  <c r="K666" i="11"/>
  <c r="K667" i="11"/>
  <c r="K668" i="11"/>
  <c r="K669" i="11"/>
  <c r="K670" i="11"/>
  <c r="K671" i="11"/>
  <c r="K672" i="11"/>
  <c r="K673" i="11"/>
  <c r="K674" i="11"/>
  <c r="K675" i="11"/>
  <c r="K676" i="11"/>
  <c r="K677" i="11"/>
  <c r="K678" i="11"/>
  <c r="K679" i="11"/>
  <c r="K680" i="11"/>
  <c r="K681" i="11"/>
  <c r="K682" i="11"/>
  <c r="K683" i="11"/>
  <c r="K684" i="11"/>
  <c r="K685" i="11"/>
  <c r="K686" i="11"/>
  <c r="K687" i="11"/>
  <c r="K688" i="11"/>
  <c r="K689" i="11"/>
  <c r="K690" i="11"/>
  <c r="K691" i="11"/>
  <c r="K692" i="11"/>
  <c r="K693" i="11"/>
  <c r="K694" i="11"/>
  <c r="K695" i="11"/>
  <c r="K696" i="11"/>
  <c r="K697" i="11"/>
  <c r="K698" i="11"/>
  <c r="K699" i="11"/>
  <c r="K700" i="11"/>
  <c r="K701" i="11"/>
  <c r="K702" i="11"/>
  <c r="K703" i="11"/>
  <c r="K704" i="11"/>
  <c r="K705" i="11"/>
  <c r="K706" i="11"/>
  <c r="K707" i="11"/>
  <c r="K708" i="11"/>
  <c r="K709" i="11"/>
  <c r="K710" i="11"/>
  <c r="K711" i="11"/>
  <c r="K712" i="11"/>
  <c r="K713" i="11"/>
  <c r="K714" i="11"/>
  <c r="K715" i="11"/>
  <c r="K716" i="11"/>
  <c r="K717" i="11"/>
  <c r="K718" i="11"/>
  <c r="K719" i="11"/>
  <c r="K720" i="11"/>
  <c r="K721" i="11"/>
  <c r="K722" i="11"/>
  <c r="K723" i="11"/>
  <c r="K724" i="11"/>
  <c r="K725" i="11"/>
  <c r="K726" i="11"/>
  <c r="K727" i="11"/>
  <c r="K728" i="11"/>
  <c r="K729" i="11"/>
  <c r="K730" i="11"/>
  <c r="K731" i="11"/>
  <c r="K732" i="11"/>
  <c r="K733" i="11"/>
  <c r="K734" i="11"/>
  <c r="K735" i="11"/>
  <c r="K736" i="11"/>
  <c r="K737" i="11"/>
  <c r="K738" i="11"/>
  <c r="K739" i="11"/>
  <c r="K740" i="11"/>
  <c r="K741" i="11"/>
  <c r="K742" i="11"/>
  <c r="K743" i="11"/>
  <c r="K744" i="11"/>
  <c r="K745" i="11"/>
  <c r="K746" i="11"/>
  <c r="K747" i="11"/>
  <c r="K748" i="11"/>
  <c r="K749" i="11"/>
  <c r="K750" i="11"/>
  <c r="K751" i="11"/>
  <c r="K752" i="11"/>
  <c r="K753" i="11"/>
  <c r="K754" i="11"/>
  <c r="K755" i="11"/>
  <c r="K756" i="11"/>
  <c r="K757" i="11"/>
  <c r="K758" i="11"/>
  <c r="K759" i="11"/>
  <c r="K760" i="11"/>
  <c r="K761" i="11"/>
  <c r="K762" i="11"/>
  <c r="K763" i="11"/>
  <c r="K764" i="11"/>
  <c r="K765" i="11"/>
  <c r="K766" i="11"/>
  <c r="K767" i="11"/>
  <c r="K768" i="11"/>
  <c r="K769" i="11"/>
  <c r="K770" i="11"/>
  <c r="K771" i="11"/>
  <c r="K772" i="11"/>
  <c r="K773" i="11"/>
  <c r="K774" i="11"/>
  <c r="K775" i="11"/>
  <c r="K776" i="11"/>
  <c r="K777" i="11"/>
  <c r="K778" i="11"/>
  <c r="K779" i="11"/>
  <c r="K780" i="11"/>
  <c r="K781" i="11"/>
  <c r="K782" i="11"/>
  <c r="K783" i="11"/>
  <c r="K784" i="11"/>
  <c r="K785" i="11"/>
  <c r="K786" i="11"/>
  <c r="K787" i="11"/>
  <c r="K788" i="11"/>
  <c r="K789" i="11"/>
  <c r="K790" i="11"/>
  <c r="K791" i="11"/>
  <c r="K792" i="11"/>
  <c r="K793" i="11"/>
  <c r="K794" i="11"/>
  <c r="K795" i="11"/>
  <c r="K796" i="11"/>
  <c r="K797" i="11"/>
  <c r="K798" i="11"/>
  <c r="K799" i="11"/>
  <c r="K800" i="11"/>
  <c r="K801" i="11"/>
  <c r="K802" i="11"/>
  <c r="K803" i="11"/>
  <c r="K804" i="11"/>
  <c r="K805" i="11"/>
  <c r="K806" i="11"/>
  <c r="K807" i="11"/>
  <c r="K808" i="11"/>
  <c r="K809" i="11"/>
  <c r="K810" i="11"/>
  <c r="K811" i="11"/>
  <c r="K812" i="11"/>
  <c r="K813" i="11"/>
  <c r="K814" i="11"/>
  <c r="K815" i="11"/>
  <c r="K816" i="11"/>
  <c r="K817" i="11"/>
  <c r="K818" i="11"/>
  <c r="K819" i="11"/>
  <c r="K820" i="11"/>
  <c r="K821" i="11"/>
  <c r="K822" i="11"/>
  <c r="K823" i="11"/>
  <c r="K824" i="11"/>
  <c r="K825" i="11"/>
  <c r="K826" i="11"/>
  <c r="K827" i="11"/>
  <c r="K828" i="11"/>
  <c r="K829" i="11"/>
  <c r="K830" i="11"/>
  <c r="K831" i="11"/>
  <c r="K832" i="11"/>
  <c r="K833" i="11"/>
  <c r="K834" i="11"/>
  <c r="K835" i="11"/>
  <c r="K836" i="11"/>
  <c r="K837" i="11"/>
  <c r="K838" i="11"/>
  <c r="K839" i="11"/>
  <c r="K840" i="11"/>
  <c r="K841" i="11"/>
  <c r="K842" i="11"/>
  <c r="K843" i="11"/>
  <c r="K844" i="11"/>
  <c r="K845" i="11"/>
  <c r="K846" i="11"/>
  <c r="K847" i="11"/>
  <c r="K848" i="11"/>
  <c r="K849" i="11"/>
  <c r="K850" i="11"/>
  <c r="K851" i="11"/>
  <c r="K852" i="11"/>
  <c r="K853" i="11"/>
  <c r="K854" i="11"/>
  <c r="K855" i="11"/>
  <c r="K856" i="11"/>
  <c r="K857" i="11"/>
  <c r="K858" i="11"/>
  <c r="K859" i="11"/>
  <c r="K860" i="11"/>
  <c r="K861" i="11"/>
  <c r="K862" i="11"/>
  <c r="K863" i="11"/>
  <c r="K864" i="11"/>
  <c r="K865" i="11"/>
  <c r="K866" i="11"/>
  <c r="K867" i="11"/>
  <c r="K868" i="11"/>
  <c r="K869" i="11"/>
  <c r="K870" i="11"/>
  <c r="K871" i="11"/>
  <c r="K872" i="11"/>
  <c r="K873" i="11"/>
  <c r="K874" i="11"/>
  <c r="K875" i="11"/>
  <c r="K876" i="11"/>
  <c r="K877" i="11"/>
  <c r="K878" i="11"/>
  <c r="K879" i="11"/>
  <c r="K880" i="11"/>
  <c r="K881" i="11"/>
  <c r="K882" i="11"/>
  <c r="K883" i="11"/>
  <c r="K884" i="11"/>
  <c r="K885" i="11"/>
  <c r="K886" i="11"/>
  <c r="K887" i="11"/>
  <c r="K888" i="11"/>
  <c r="K889" i="11"/>
  <c r="K890" i="11"/>
  <c r="K891" i="11"/>
  <c r="K892" i="11"/>
  <c r="K893" i="11"/>
  <c r="K894" i="11"/>
  <c r="K895" i="11"/>
  <c r="K896" i="11"/>
  <c r="K897" i="11"/>
  <c r="K898" i="11"/>
  <c r="K899" i="11"/>
  <c r="K900" i="11"/>
  <c r="K901" i="11"/>
  <c r="K902" i="11"/>
  <c r="K903" i="11"/>
  <c r="K904" i="11"/>
  <c r="K905" i="11"/>
  <c r="K906" i="11"/>
  <c r="K907" i="11"/>
  <c r="K908" i="11"/>
  <c r="K909" i="11"/>
  <c r="K910" i="11"/>
  <c r="K911" i="11"/>
  <c r="K912" i="11"/>
  <c r="K913" i="11"/>
  <c r="K914" i="11"/>
  <c r="K915" i="11"/>
  <c r="K916" i="11"/>
  <c r="K917" i="11"/>
  <c r="K918" i="11"/>
  <c r="K919" i="11"/>
  <c r="K920" i="11"/>
  <c r="K921" i="11"/>
  <c r="K922" i="11"/>
  <c r="K923" i="11"/>
  <c r="K924" i="11"/>
  <c r="K925" i="11"/>
  <c r="K926" i="11"/>
  <c r="K927" i="11"/>
  <c r="K928" i="11"/>
  <c r="K929" i="11"/>
  <c r="K930" i="11"/>
  <c r="K931" i="11"/>
  <c r="K932" i="11"/>
  <c r="K933" i="11"/>
  <c r="K934" i="11"/>
  <c r="K935" i="11"/>
  <c r="K936" i="11"/>
  <c r="K937" i="11"/>
  <c r="K938" i="11"/>
  <c r="K939" i="11"/>
  <c r="K940" i="11"/>
  <c r="K941" i="11"/>
  <c r="K942" i="11"/>
  <c r="K943" i="11"/>
  <c r="K944" i="11"/>
  <c r="K945" i="11"/>
  <c r="K946" i="11"/>
  <c r="K947" i="11"/>
  <c r="K948" i="11"/>
  <c r="K949" i="11"/>
  <c r="K950" i="11"/>
  <c r="K951" i="11"/>
  <c r="K952" i="11"/>
  <c r="K953" i="11"/>
  <c r="K954" i="11"/>
  <c r="K955" i="11"/>
  <c r="K956" i="11"/>
  <c r="K957" i="11"/>
  <c r="K958" i="11"/>
  <c r="K959" i="11"/>
  <c r="K960" i="11"/>
  <c r="K961" i="11"/>
  <c r="K962" i="11"/>
  <c r="K963" i="11"/>
  <c r="K964" i="11"/>
  <c r="K965" i="11"/>
  <c r="K966" i="11"/>
  <c r="K967" i="11"/>
  <c r="K968" i="11"/>
  <c r="K969" i="11"/>
  <c r="K970" i="11"/>
  <c r="K971" i="11"/>
  <c r="K972" i="11"/>
  <c r="K973" i="11"/>
  <c r="K974" i="11"/>
  <c r="K975" i="11"/>
  <c r="K976" i="11"/>
  <c r="K977" i="11"/>
  <c r="K978" i="11"/>
  <c r="K979" i="11"/>
  <c r="K980" i="11"/>
  <c r="K981" i="11"/>
  <c r="K982" i="11"/>
  <c r="K983" i="11"/>
  <c r="K984" i="11"/>
  <c r="K985" i="11"/>
  <c r="K986" i="11"/>
  <c r="K987" i="11"/>
  <c r="K988" i="11"/>
  <c r="K989" i="11"/>
  <c r="K990" i="11"/>
  <c r="K991" i="11"/>
  <c r="K992" i="11"/>
  <c r="K993" i="11"/>
  <c r="K994" i="11"/>
  <c r="K995" i="11"/>
  <c r="K996" i="11"/>
  <c r="K997" i="11"/>
  <c r="K998" i="11"/>
  <c r="K999" i="11"/>
  <c r="K1000" i="11"/>
  <c r="K1001" i="11"/>
  <c r="K1002" i="11"/>
  <c r="K1003" i="11"/>
  <c r="K1004" i="11"/>
  <c r="K1005" i="11"/>
  <c r="K1006" i="11"/>
  <c r="K1007" i="11"/>
  <c r="K1008" i="11"/>
  <c r="K1009" i="11"/>
  <c r="K1010" i="11"/>
  <c r="K1011" i="11"/>
  <c r="K1012" i="11"/>
  <c r="K1013" i="11"/>
  <c r="K1014" i="11"/>
  <c r="K1015" i="11"/>
  <c r="K1016" i="11"/>
  <c r="K1017" i="11"/>
  <c r="K1018" i="11"/>
  <c r="K1019" i="11"/>
  <c r="K1020" i="11"/>
  <c r="K1021" i="11"/>
  <c r="K1022" i="11"/>
  <c r="K1023" i="11"/>
  <c r="K1024" i="11"/>
  <c r="K1025" i="11"/>
  <c r="K1026" i="11"/>
  <c r="K1027" i="11"/>
  <c r="K1028" i="11"/>
  <c r="K1029" i="11"/>
  <c r="K1030" i="11"/>
  <c r="K1031" i="11"/>
  <c r="K1032" i="11"/>
  <c r="K1033" i="11"/>
  <c r="K1034" i="11"/>
  <c r="K1035" i="11"/>
  <c r="K1036" i="11"/>
  <c r="K1037" i="11"/>
  <c r="K1038" i="11"/>
  <c r="K1039" i="11"/>
  <c r="K1040" i="11"/>
  <c r="K1041" i="11"/>
  <c r="K1042" i="11"/>
  <c r="K1043" i="11"/>
  <c r="K1044" i="11"/>
  <c r="K1045" i="11"/>
  <c r="K1046" i="11"/>
  <c r="K1047" i="11"/>
  <c r="K1048" i="11"/>
  <c r="K1049" i="11"/>
  <c r="K1050" i="11"/>
  <c r="K1051" i="11"/>
  <c r="K1052" i="11"/>
  <c r="K1053" i="11"/>
  <c r="K1054" i="11"/>
  <c r="K1055" i="11"/>
  <c r="K1056" i="11"/>
  <c r="K1057" i="11"/>
  <c r="K1058" i="11"/>
  <c r="K1059" i="11"/>
  <c r="K1060" i="11"/>
  <c r="K1061" i="11"/>
  <c r="K1062" i="11"/>
  <c r="K1063" i="11"/>
  <c r="K1064" i="11"/>
  <c r="K1065" i="11"/>
  <c r="K1066" i="11"/>
  <c r="K1067" i="11"/>
  <c r="K1068" i="11"/>
  <c r="K1069" i="11"/>
  <c r="K1070" i="11"/>
  <c r="K1071" i="11"/>
  <c r="K1072" i="11"/>
  <c r="K1073" i="11"/>
  <c r="K1074" i="11"/>
  <c r="K1075" i="11"/>
  <c r="K1076" i="11"/>
  <c r="K1077" i="11"/>
  <c r="K1078" i="11"/>
  <c r="K1079" i="11"/>
  <c r="K1080" i="11"/>
  <c r="K1081" i="11"/>
  <c r="K1082" i="11"/>
  <c r="K1083" i="11"/>
  <c r="K1084" i="11"/>
  <c r="K1085" i="11"/>
  <c r="K1086" i="11"/>
  <c r="K1087" i="11"/>
  <c r="K1088" i="11"/>
  <c r="K1089" i="11"/>
  <c r="K1090" i="11"/>
  <c r="K1091" i="11"/>
  <c r="K1092" i="11"/>
  <c r="K1093" i="11"/>
  <c r="K1094" i="11"/>
  <c r="K1095" i="11"/>
  <c r="K1096" i="11"/>
  <c r="K1097" i="11"/>
  <c r="K1098" i="11"/>
  <c r="K1099" i="11"/>
  <c r="K1100" i="11"/>
  <c r="K1101" i="11"/>
  <c r="K1102" i="11"/>
  <c r="K1103" i="11"/>
  <c r="K1104" i="11"/>
  <c r="K1105" i="11"/>
  <c r="K1106" i="11"/>
  <c r="K1107" i="11"/>
  <c r="K1108" i="11"/>
  <c r="K1109" i="11"/>
  <c r="K1110" i="11"/>
  <c r="K1111" i="11"/>
  <c r="K1112" i="11"/>
  <c r="K1113" i="11"/>
  <c r="K1114" i="11"/>
  <c r="K1115" i="11"/>
  <c r="K1116" i="11"/>
  <c r="K1117" i="11"/>
  <c r="K1118" i="11"/>
  <c r="K1119" i="11"/>
  <c r="K1120" i="11"/>
  <c r="K1121" i="11"/>
  <c r="K1122" i="11"/>
  <c r="K1123" i="11"/>
  <c r="K1124" i="11"/>
  <c r="K1125" i="11"/>
  <c r="K1126" i="11"/>
  <c r="K1127" i="11"/>
  <c r="K1128" i="11"/>
  <c r="K1129" i="11"/>
  <c r="K1130" i="11"/>
  <c r="K1131" i="11"/>
  <c r="K1132" i="11"/>
  <c r="K1133" i="11"/>
  <c r="K1134" i="11"/>
  <c r="K1135" i="11"/>
  <c r="K1136" i="11"/>
  <c r="K1137" i="11"/>
  <c r="K1138" i="11"/>
  <c r="K1139" i="11"/>
  <c r="K1140" i="11"/>
  <c r="K1141" i="11"/>
  <c r="K1142" i="11"/>
  <c r="K1143" i="11"/>
  <c r="K1144" i="11"/>
  <c r="K1145" i="11"/>
  <c r="K1146" i="11"/>
  <c r="K1147" i="11"/>
  <c r="K1148" i="11"/>
  <c r="K1149" i="11"/>
  <c r="K1150" i="11"/>
  <c r="K1151" i="11"/>
  <c r="K1152" i="11"/>
  <c r="K1153" i="11"/>
  <c r="K1154" i="11"/>
  <c r="K1155" i="11"/>
  <c r="K1156" i="11"/>
  <c r="K1157" i="11"/>
  <c r="K1158" i="11"/>
  <c r="K1159" i="11"/>
  <c r="K1160" i="11"/>
  <c r="K1161" i="11"/>
  <c r="K1162" i="11"/>
  <c r="K1163" i="11"/>
  <c r="K1164" i="11"/>
  <c r="K1165" i="11"/>
  <c r="K1166" i="11"/>
  <c r="K1167" i="11"/>
  <c r="K1168" i="11"/>
  <c r="K1169" i="11"/>
  <c r="K1170" i="11"/>
  <c r="K1171" i="11"/>
  <c r="K1172" i="11"/>
  <c r="K1173" i="11"/>
  <c r="K1174" i="11"/>
  <c r="K1175" i="11"/>
  <c r="K1176" i="11"/>
  <c r="K1177" i="11"/>
  <c r="K1178" i="11"/>
  <c r="K1179" i="11"/>
  <c r="K1180" i="11"/>
  <c r="K1181" i="11"/>
  <c r="K1182" i="11"/>
  <c r="K1183" i="11"/>
  <c r="K1184" i="11"/>
  <c r="K1185" i="11"/>
  <c r="K1186" i="11"/>
  <c r="K1187" i="11"/>
  <c r="K1188" i="11"/>
  <c r="K1189" i="11"/>
  <c r="K1190" i="11"/>
  <c r="K1191" i="11"/>
  <c r="K1192" i="11"/>
  <c r="K1193" i="11"/>
  <c r="K1194" i="11"/>
  <c r="K1195" i="11"/>
  <c r="K1196" i="11"/>
  <c r="K1197" i="11"/>
  <c r="K1198" i="11"/>
  <c r="K1199" i="11"/>
  <c r="K1200" i="11"/>
  <c r="K1201" i="11"/>
  <c r="K1202" i="11"/>
  <c r="K1203" i="11"/>
  <c r="K1204" i="11"/>
  <c r="K1205" i="11"/>
  <c r="K1206" i="11"/>
  <c r="K1207" i="11"/>
  <c r="K1208" i="11"/>
  <c r="K1209" i="11"/>
  <c r="K1210" i="11"/>
  <c r="K1211" i="11"/>
  <c r="K1212" i="11"/>
  <c r="K1213" i="11"/>
  <c r="K1214" i="11"/>
  <c r="K1215" i="11"/>
  <c r="K1216" i="11"/>
  <c r="K1217" i="11"/>
  <c r="K1218" i="11"/>
  <c r="K1219" i="11"/>
  <c r="K1220" i="11"/>
  <c r="K1221" i="11"/>
  <c r="K1222" i="11"/>
  <c r="K1223" i="11"/>
  <c r="K1224" i="11"/>
  <c r="K1225" i="11"/>
  <c r="K1226" i="11"/>
  <c r="K1227" i="11"/>
  <c r="K1228" i="11"/>
  <c r="K1229" i="11"/>
  <c r="K1230" i="11"/>
  <c r="K1231" i="11"/>
  <c r="K1232" i="11"/>
  <c r="K1233" i="11"/>
  <c r="K1234" i="11"/>
  <c r="K1235" i="11"/>
  <c r="K1236" i="11"/>
  <c r="K1237" i="11"/>
  <c r="K1238" i="11"/>
  <c r="K1239" i="11"/>
  <c r="K1240" i="11"/>
  <c r="K1241" i="11"/>
  <c r="K1242" i="11"/>
  <c r="K1243" i="11"/>
  <c r="K1244" i="11"/>
  <c r="K1245" i="11"/>
  <c r="K1246" i="11"/>
  <c r="K1247" i="11"/>
  <c r="K1248" i="11"/>
  <c r="K1249" i="11"/>
  <c r="K1250" i="11"/>
  <c r="K1251" i="11"/>
  <c r="K1252" i="11"/>
  <c r="K1253" i="11"/>
  <c r="K1254" i="11"/>
  <c r="K1255" i="11"/>
  <c r="K1256" i="11"/>
  <c r="K1257" i="11"/>
  <c r="K1258" i="11"/>
  <c r="K1259" i="11"/>
  <c r="K1260" i="11"/>
  <c r="K1261" i="11"/>
  <c r="K1262" i="11"/>
  <c r="K1263" i="11"/>
  <c r="K1264" i="11"/>
  <c r="K1265" i="11"/>
  <c r="K1266" i="11"/>
  <c r="K1267" i="11"/>
  <c r="K1268" i="11"/>
  <c r="K1269" i="11"/>
  <c r="K1270" i="11"/>
  <c r="K1271" i="11"/>
  <c r="K1272" i="11"/>
  <c r="K1273" i="11"/>
  <c r="K1274" i="11"/>
  <c r="K1275" i="11"/>
  <c r="K1276" i="11"/>
  <c r="K1277" i="11"/>
  <c r="K1278" i="11"/>
  <c r="K1279" i="11"/>
  <c r="K1280" i="11"/>
  <c r="K1281" i="11"/>
  <c r="K1282" i="11"/>
  <c r="K1283" i="11"/>
  <c r="K1284" i="11"/>
  <c r="K1285" i="11"/>
  <c r="K1286" i="11"/>
  <c r="K1287" i="11"/>
  <c r="K1288" i="11"/>
  <c r="K1289" i="11"/>
  <c r="K1290" i="11"/>
  <c r="K1291" i="11"/>
  <c r="K1292" i="11"/>
  <c r="K1293" i="11"/>
  <c r="K1294" i="11"/>
  <c r="K1295" i="11"/>
  <c r="K1296" i="11"/>
  <c r="K1297" i="11"/>
  <c r="K1298" i="11"/>
  <c r="K1299" i="11"/>
  <c r="K1300" i="11"/>
  <c r="K1301" i="11"/>
  <c r="K1302" i="11"/>
  <c r="K1303" i="11"/>
  <c r="K1304" i="11"/>
  <c r="K1305" i="11"/>
  <c r="K1306" i="11"/>
  <c r="K1307" i="11"/>
  <c r="K1308" i="11"/>
  <c r="K1309" i="11"/>
  <c r="K1310" i="11"/>
  <c r="K1311" i="11"/>
  <c r="K1312" i="11"/>
  <c r="K1313" i="11"/>
  <c r="K1314" i="11"/>
  <c r="K1315" i="11"/>
  <c r="K1316" i="11"/>
  <c r="K1317" i="11"/>
  <c r="K1318" i="11"/>
  <c r="K1319" i="11"/>
  <c r="K1320" i="11"/>
  <c r="K1321" i="11"/>
  <c r="K1322" i="11"/>
  <c r="K1323" i="11"/>
  <c r="K1324" i="11"/>
  <c r="K1325" i="11"/>
  <c r="K1326" i="11"/>
  <c r="K1327" i="11"/>
  <c r="K1328" i="11"/>
  <c r="K1329" i="11"/>
  <c r="K1330" i="11"/>
  <c r="K1331" i="11"/>
  <c r="K1332" i="11"/>
  <c r="K1333" i="11"/>
  <c r="K1334" i="11"/>
  <c r="K1335" i="11"/>
  <c r="K1336" i="11"/>
  <c r="K1337" i="11"/>
  <c r="K1338" i="11"/>
  <c r="K1339" i="11"/>
  <c r="K1340" i="11"/>
  <c r="K1341" i="11"/>
  <c r="K1342" i="11"/>
  <c r="K1343" i="11"/>
  <c r="K1344" i="11"/>
  <c r="K1345" i="11"/>
  <c r="K1346" i="11"/>
  <c r="K1347" i="11"/>
  <c r="K1348" i="11"/>
  <c r="K1349" i="11"/>
  <c r="K1350" i="11"/>
  <c r="K1351" i="11"/>
  <c r="K1352" i="11"/>
  <c r="K1353" i="11"/>
  <c r="K1354" i="11"/>
  <c r="K1355" i="11"/>
  <c r="K1356" i="11"/>
  <c r="K1357" i="11"/>
  <c r="K1358" i="11"/>
  <c r="K1359" i="11"/>
  <c r="K1360" i="11"/>
  <c r="K1361" i="11"/>
  <c r="K1362" i="11"/>
  <c r="K1363" i="11"/>
  <c r="K1364" i="11"/>
  <c r="K1365" i="11"/>
  <c r="K1366" i="11"/>
  <c r="K1367" i="11"/>
  <c r="K1368" i="11"/>
  <c r="K1369" i="11"/>
  <c r="K1370" i="11"/>
  <c r="K1371" i="11"/>
  <c r="K1372" i="11"/>
  <c r="K1373" i="11"/>
  <c r="K1374" i="11"/>
  <c r="K1375" i="11"/>
  <c r="K1376" i="11"/>
  <c r="K1377" i="11"/>
  <c r="K1378" i="11"/>
  <c r="K1379" i="11"/>
  <c r="K1380" i="11"/>
  <c r="K1381" i="11"/>
  <c r="K1382" i="11"/>
  <c r="K1383" i="11"/>
  <c r="K1384" i="11"/>
  <c r="K1385" i="11"/>
  <c r="K1386" i="11"/>
  <c r="K1387" i="11"/>
  <c r="K1388" i="11"/>
  <c r="K1389" i="11"/>
  <c r="K1390" i="11"/>
  <c r="K1391" i="11"/>
  <c r="K1392" i="11"/>
  <c r="K1393" i="11"/>
  <c r="K1394" i="11"/>
  <c r="K1395" i="11"/>
  <c r="K1396" i="11"/>
  <c r="K1397" i="11"/>
  <c r="K1398" i="11"/>
  <c r="K1399" i="11"/>
  <c r="K1400" i="11"/>
  <c r="K1401" i="11"/>
  <c r="K1402" i="11"/>
  <c r="K1403" i="11"/>
  <c r="K1404" i="11"/>
  <c r="K1405" i="11"/>
  <c r="K1406" i="11"/>
  <c r="K1407" i="11"/>
  <c r="K1408" i="11"/>
  <c r="K1409" i="11"/>
  <c r="K1410" i="11"/>
  <c r="K1411" i="11"/>
  <c r="K1412" i="11"/>
  <c r="K1413" i="11"/>
  <c r="K1414" i="11"/>
  <c r="K1415" i="11"/>
  <c r="K1416" i="11"/>
  <c r="K1417" i="11"/>
  <c r="K1418" i="11"/>
  <c r="K1419" i="11"/>
  <c r="K1420" i="11"/>
  <c r="K1421" i="11"/>
  <c r="K1422" i="11"/>
  <c r="K1423" i="11"/>
  <c r="K1424" i="11"/>
  <c r="K1425" i="11"/>
  <c r="K1426" i="11"/>
  <c r="K1427" i="11"/>
  <c r="K1428" i="11"/>
  <c r="K1429" i="11"/>
  <c r="K1430" i="11"/>
  <c r="K1431" i="11"/>
  <c r="K1432" i="11"/>
  <c r="K1433" i="11"/>
  <c r="K1434" i="11"/>
  <c r="K1435" i="11"/>
  <c r="K1436" i="11"/>
  <c r="K1437" i="11"/>
  <c r="K1438" i="11"/>
  <c r="K1439" i="11"/>
  <c r="K1440" i="11"/>
  <c r="K1441" i="11"/>
  <c r="K1442" i="11"/>
  <c r="K1443" i="11"/>
  <c r="K1444" i="11"/>
  <c r="K1445" i="11"/>
  <c r="K1446" i="11"/>
  <c r="K1447" i="11"/>
  <c r="K1448" i="11"/>
  <c r="K1449" i="11"/>
  <c r="K1450" i="11"/>
  <c r="K1451" i="11"/>
  <c r="K1452" i="11"/>
  <c r="K1453" i="11"/>
  <c r="K1454" i="11"/>
  <c r="K1455" i="11"/>
  <c r="K1456" i="11"/>
  <c r="K1457" i="11"/>
  <c r="K1458" i="11"/>
  <c r="K1459" i="11"/>
  <c r="K1460" i="11"/>
  <c r="K1461" i="11"/>
  <c r="K1462" i="11"/>
  <c r="K1463" i="11"/>
  <c r="K1464" i="11"/>
  <c r="K1465" i="11"/>
  <c r="K1466" i="11"/>
  <c r="K1467" i="11"/>
  <c r="K1468" i="11"/>
  <c r="K1469" i="11"/>
  <c r="K1470" i="11"/>
  <c r="K1471" i="11"/>
  <c r="K1472" i="11"/>
  <c r="K1473" i="11"/>
  <c r="K1474" i="11"/>
  <c r="K1475" i="11"/>
  <c r="K1476" i="11"/>
  <c r="K1477" i="11"/>
  <c r="K1478" i="11"/>
  <c r="K1479" i="11"/>
  <c r="K1480" i="11"/>
  <c r="K1481" i="11"/>
  <c r="K1482" i="11"/>
  <c r="K1483" i="11"/>
  <c r="K1484" i="11"/>
  <c r="K1485" i="11"/>
  <c r="K1486" i="11"/>
  <c r="K1487" i="11"/>
  <c r="K1488" i="11"/>
  <c r="K1489" i="11"/>
  <c r="K1490" i="11"/>
  <c r="K1491" i="11"/>
  <c r="K1492" i="11"/>
  <c r="K1493" i="11"/>
  <c r="K1494" i="11"/>
  <c r="K1495" i="11"/>
  <c r="K1496" i="11"/>
  <c r="K1497" i="11"/>
  <c r="K1498" i="11"/>
  <c r="K1499" i="11"/>
  <c r="K1500" i="11"/>
  <c r="K1501" i="11"/>
  <c r="K1502" i="11"/>
  <c r="K1503" i="11"/>
  <c r="K1504" i="11"/>
  <c r="K1505" i="11"/>
  <c r="K1506" i="11"/>
  <c r="K1507" i="11"/>
  <c r="K1508" i="11"/>
  <c r="K1509" i="11"/>
  <c r="K1510" i="11"/>
  <c r="K1511" i="11"/>
  <c r="K1512" i="11"/>
  <c r="K1513" i="11"/>
  <c r="K1514" i="11"/>
  <c r="K1515" i="11"/>
  <c r="K1516" i="11"/>
  <c r="K1517" i="11"/>
  <c r="K1518" i="11"/>
  <c r="K1519" i="11"/>
  <c r="K1520" i="11"/>
  <c r="K1521" i="11"/>
  <c r="K1522" i="11"/>
  <c r="K1523" i="11"/>
  <c r="K1524" i="11"/>
  <c r="K1525" i="11"/>
  <c r="K1526" i="11"/>
  <c r="K1527" i="11"/>
  <c r="K1528" i="11"/>
  <c r="K1529" i="11"/>
  <c r="K1530" i="11"/>
  <c r="K1531" i="11"/>
  <c r="K1532" i="11"/>
  <c r="K1533" i="11"/>
  <c r="K1534" i="11"/>
  <c r="K1535" i="11"/>
  <c r="K1536" i="11"/>
  <c r="K1537" i="11"/>
  <c r="K1538" i="11"/>
  <c r="K1539" i="11"/>
  <c r="K1540" i="11"/>
  <c r="K1541" i="11"/>
  <c r="K1542" i="11"/>
  <c r="K1543" i="11"/>
  <c r="K1544" i="11"/>
  <c r="K1545" i="11"/>
  <c r="K1546" i="11"/>
  <c r="K1547" i="11"/>
  <c r="K1548" i="11"/>
  <c r="K1549" i="11"/>
  <c r="K1550" i="11"/>
  <c r="K1551" i="11"/>
  <c r="K1552" i="11"/>
  <c r="K1553" i="11"/>
  <c r="K1554" i="11"/>
  <c r="K1555" i="11"/>
  <c r="K1556" i="11"/>
  <c r="K1557" i="11"/>
  <c r="K1558" i="11"/>
  <c r="K1559" i="11"/>
  <c r="K1560" i="11"/>
  <c r="K1561" i="11"/>
  <c r="K1562" i="11"/>
  <c r="K1563" i="11"/>
  <c r="K1564" i="11"/>
  <c r="K1565" i="11"/>
  <c r="K1566" i="11"/>
  <c r="K1567" i="11"/>
  <c r="K1568" i="11"/>
  <c r="K1569" i="11"/>
  <c r="K1570" i="11"/>
  <c r="K1571" i="11"/>
  <c r="K1572" i="11"/>
  <c r="K1573" i="11"/>
  <c r="K1574" i="11"/>
  <c r="K1575" i="11"/>
  <c r="K1576" i="11"/>
  <c r="K1577" i="11"/>
  <c r="K1578" i="11"/>
  <c r="K1579" i="11"/>
  <c r="K1580" i="11"/>
  <c r="K1581" i="11"/>
  <c r="K1582" i="11"/>
  <c r="K1583" i="11"/>
  <c r="K1584" i="11"/>
  <c r="K1585" i="11"/>
  <c r="K1586" i="11"/>
  <c r="K1587" i="11"/>
  <c r="K1588" i="11"/>
  <c r="K1589" i="11"/>
  <c r="K1590" i="11"/>
  <c r="K1591" i="11"/>
  <c r="K1592" i="11"/>
  <c r="K1593" i="11"/>
  <c r="K1594" i="11"/>
  <c r="K1595" i="11"/>
  <c r="K1596" i="11"/>
  <c r="K1597" i="11"/>
  <c r="K1598" i="11"/>
  <c r="K1599" i="11"/>
  <c r="K1600" i="11"/>
  <c r="K1601" i="11"/>
  <c r="K1602" i="11"/>
  <c r="K1603" i="11"/>
  <c r="K1604" i="11"/>
  <c r="K1605" i="11"/>
  <c r="K1606" i="11"/>
  <c r="K1607" i="11"/>
  <c r="K1608" i="11"/>
  <c r="K1609" i="11"/>
  <c r="K1610" i="11"/>
  <c r="K1611" i="11"/>
  <c r="K1612" i="11"/>
  <c r="K1613" i="11"/>
  <c r="K1614" i="11"/>
  <c r="K1615" i="11"/>
  <c r="K1616" i="11"/>
  <c r="K1617" i="11"/>
  <c r="K1618" i="11"/>
  <c r="K1619" i="11"/>
  <c r="K1620" i="11"/>
  <c r="K1621" i="11"/>
  <c r="K1622" i="11"/>
  <c r="K1623" i="11"/>
  <c r="K1624" i="11"/>
  <c r="K1625" i="11"/>
  <c r="K1626" i="11"/>
  <c r="K1627" i="11"/>
  <c r="K1628" i="11"/>
  <c r="K1629" i="11"/>
  <c r="K1630" i="11"/>
  <c r="K1631" i="11"/>
  <c r="K1632" i="11"/>
  <c r="K1633" i="11"/>
  <c r="K1634" i="11"/>
  <c r="K1635" i="11"/>
  <c r="K1636" i="11"/>
  <c r="K1637" i="11"/>
  <c r="K1638" i="11"/>
  <c r="K1639" i="11"/>
  <c r="K1640" i="11"/>
  <c r="K1641" i="11"/>
  <c r="K1642" i="11"/>
  <c r="K1643" i="11"/>
  <c r="K1644" i="11"/>
  <c r="K1645" i="11"/>
  <c r="K1646" i="11"/>
  <c r="K1647" i="11"/>
  <c r="K1648" i="11"/>
  <c r="K1649" i="11"/>
  <c r="K1650" i="11"/>
  <c r="K1651" i="11"/>
  <c r="K1652" i="11"/>
  <c r="K1653" i="11"/>
  <c r="K1654" i="11"/>
  <c r="K1655" i="11"/>
  <c r="K1656" i="11"/>
  <c r="K1657" i="11"/>
  <c r="K1658" i="11"/>
  <c r="K1659" i="11"/>
  <c r="K1660" i="11"/>
  <c r="K1661" i="11"/>
  <c r="K1662" i="11"/>
  <c r="K1663" i="11"/>
  <c r="K1664" i="11"/>
  <c r="K1665" i="11"/>
  <c r="K1666" i="11"/>
  <c r="K1667" i="11"/>
  <c r="K1668" i="11"/>
  <c r="K1669" i="11"/>
  <c r="K1670" i="11"/>
  <c r="K1671" i="11"/>
  <c r="K1672" i="11"/>
  <c r="K1673" i="11"/>
  <c r="K1674" i="11"/>
  <c r="K1675" i="11"/>
  <c r="K1676" i="11"/>
  <c r="K1677" i="11"/>
  <c r="K1678" i="11"/>
  <c r="K1679" i="11"/>
  <c r="K1680" i="11"/>
  <c r="K1681" i="11"/>
  <c r="K1682" i="11"/>
  <c r="K1683" i="11"/>
  <c r="K1684" i="11"/>
  <c r="K1685" i="11"/>
  <c r="K1686" i="11"/>
  <c r="K1687" i="11"/>
  <c r="K1688" i="11"/>
  <c r="K1689" i="11"/>
  <c r="K1690" i="11"/>
  <c r="K1691" i="11"/>
  <c r="K1692" i="11"/>
  <c r="K1693" i="11"/>
  <c r="K1694" i="11"/>
  <c r="K1695" i="11"/>
  <c r="K1696" i="11"/>
  <c r="K1697" i="11"/>
  <c r="K1698" i="11"/>
  <c r="K1699" i="11"/>
  <c r="K1700" i="11"/>
  <c r="K1701" i="11"/>
  <c r="K1702" i="11"/>
  <c r="K1703" i="11"/>
  <c r="K1704" i="11"/>
  <c r="K1705" i="11"/>
  <c r="K1706" i="11"/>
  <c r="K1707" i="11"/>
  <c r="K1708" i="11"/>
  <c r="K1709" i="11"/>
  <c r="K1710" i="11"/>
  <c r="K1711" i="11"/>
  <c r="K1712" i="11"/>
  <c r="K1713" i="11"/>
  <c r="K1714" i="11"/>
  <c r="K1715" i="11"/>
  <c r="K1716" i="11"/>
  <c r="K1717" i="11"/>
  <c r="K1718" i="11"/>
  <c r="K1719" i="11"/>
  <c r="K1720" i="11"/>
  <c r="K1721" i="11"/>
  <c r="K1722" i="11"/>
  <c r="K1723" i="11"/>
  <c r="K1724" i="11"/>
  <c r="K1725" i="11"/>
  <c r="K1726" i="11"/>
  <c r="K1727" i="11"/>
  <c r="K1728" i="11"/>
  <c r="K1729" i="11"/>
  <c r="K1730" i="11"/>
  <c r="K1731" i="11"/>
  <c r="K1732" i="11"/>
  <c r="K1733" i="11"/>
  <c r="K1734" i="11"/>
  <c r="K1735" i="11"/>
  <c r="K1736" i="11"/>
  <c r="K1737" i="11"/>
  <c r="K1738" i="11"/>
  <c r="K1739" i="11"/>
  <c r="K1740" i="11"/>
  <c r="K1741" i="11"/>
  <c r="K1742" i="11"/>
  <c r="K1743" i="11"/>
  <c r="K1744" i="11"/>
  <c r="K1745" i="11"/>
  <c r="K1746" i="11"/>
  <c r="K1747" i="11"/>
  <c r="K1748" i="11"/>
  <c r="K1749" i="11"/>
  <c r="K1750" i="11"/>
  <c r="K1751" i="11"/>
  <c r="K1752" i="11"/>
  <c r="K1753" i="11"/>
  <c r="K1754" i="11"/>
  <c r="K1755" i="11"/>
  <c r="K1756" i="11"/>
  <c r="K1757" i="11"/>
  <c r="K1758" i="11"/>
  <c r="K1759" i="11"/>
  <c r="K1760" i="11"/>
  <c r="K1761" i="11"/>
  <c r="K1762" i="11"/>
  <c r="K1763" i="11"/>
  <c r="K1764" i="11"/>
  <c r="K1765" i="11"/>
  <c r="K1766" i="11"/>
  <c r="K1767" i="11"/>
  <c r="K1768" i="11"/>
  <c r="K1769" i="11"/>
  <c r="K1770" i="11"/>
  <c r="K1771" i="11"/>
  <c r="K1772" i="11"/>
  <c r="K1773" i="11"/>
  <c r="K1774" i="11"/>
  <c r="K1775" i="11"/>
  <c r="K1776" i="11"/>
  <c r="K1777" i="11"/>
  <c r="K1778" i="11"/>
  <c r="K1779" i="11"/>
  <c r="K1780" i="11"/>
  <c r="K1781" i="11"/>
  <c r="K1782" i="11"/>
  <c r="K1783" i="11"/>
  <c r="K1784" i="11"/>
  <c r="K1785" i="11"/>
  <c r="K1786" i="11"/>
  <c r="K1787" i="11"/>
  <c r="K1788" i="11"/>
  <c r="K1789" i="11"/>
  <c r="K1790" i="11"/>
  <c r="K1791" i="11"/>
  <c r="K1792" i="11"/>
  <c r="K1793" i="11"/>
  <c r="K1794" i="11"/>
  <c r="K1795" i="11"/>
  <c r="K1796" i="11"/>
  <c r="K1797" i="11"/>
  <c r="K1798" i="11"/>
  <c r="K1799" i="11"/>
  <c r="K1800" i="11"/>
  <c r="K1801" i="11"/>
  <c r="K1802" i="11"/>
  <c r="K1803" i="11"/>
  <c r="K1804" i="11"/>
  <c r="K1805" i="11"/>
  <c r="K1806" i="11"/>
  <c r="K1807" i="11"/>
  <c r="K1808" i="11"/>
  <c r="K1809" i="11"/>
  <c r="K1810" i="11"/>
  <c r="K1811" i="11"/>
  <c r="K1812" i="11"/>
  <c r="K1813" i="11"/>
  <c r="K1814" i="11"/>
  <c r="K1815" i="11"/>
  <c r="K1816" i="11"/>
  <c r="K1817" i="11"/>
  <c r="K1818" i="11"/>
  <c r="K1819" i="11"/>
  <c r="K1820" i="11"/>
  <c r="K1821" i="11"/>
  <c r="K1822" i="11"/>
  <c r="K1823" i="11"/>
  <c r="K1824" i="11"/>
  <c r="K1825" i="11"/>
  <c r="K1826" i="11"/>
  <c r="K1827" i="11"/>
  <c r="K1828" i="11"/>
  <c r="K1829" i="11"/>
  <c r="K1830" i="11"/>
  <c r="K1831" i="11"/>
  <c r="K1832" i="11"/>
  <c r="K1833" i="11"/>
  <c r="K1834" i="11"/>
  <c r="K1835" i="11"/>
  <c r="K1836" i="11"/>
  <c r="K1837" i="11"/>
  <c r="K1838" i="11"/>
  <c r="K1839" i="11"/>
  <c r="K1840" i="11"/>
  <c r="K1841" i="11"/>
  <c r="K1842" i="11"/>
  <c r="K1843" i="11"/>
  <c r="K1844" i="11"/>
  <c r="K1845" i="11"/>
  <c r="K1846" i="11"/>
  <c r="K1847" i="11"/>
  <c r="K1848" i="11"/>
  <c r="K1849" i="11"/>
  <c r="K1850" i="11"/>
  <c r="K1851" i="11"/>
  <c r="K1852" i="11"/>
  <c r="K1853" i="11"/>
  <c r="K1854" i="11"/>
  <c r="K1855" i="11"/>
  <c r="K1856" i="11"/>
  <c r="K1857" i="11"/>
  <c r="K1858" i="11"/>
  <c r="K1859" i="11"/>
  <c r="K1860" i="11"/>
  <c r="K1861" i="11"/>
  <c r="K1862" i="11"/>
  <c r="K1863" i="11"/>
  <c r="K1864" i="11"/>
  <c r="K1865" i="11"/>
  <c r="K1866" i="11"/>
  <c r="K1867" i="11"/>
  <c r="K1868" i="11"/>
  <c r="K1869" i="11"/>
  <c r="K1870" i="11"/>
  <c r="K1871" i="11"/>
  <c r="K1872" i="11"/>
  <c r="K1873" i="11"/>
  <c r="K1874" i="11"/>
  <c r="K1875" i="11"/>
  <c r="K1876" i="11"/>
  <c r="K1877" i="11"/>
  <c r="K1878" i="11"/>
  <c r="K1879" i="11"/>
  <c r="K1880" i="11"/>
  <c r="K1881" i="11"/>
  <c r="K1882" i="11"/>
  <c r="K1883" i="11"/>
  <c r="K1884" i="11"/>
  <c r="K1885" i="11"/>
  <c r="K1886" i="11"/>
  <c r="K1887" i="11"/>
  <c r="K1888" i="11"/>
  <c r="K1889" i="11"/>
  <c r="K1890" i="11"/>
  <c r="K1891" i="11"/>
  <c r="K1892" i="11"/>
  <c r="K1893" i="11"/>
  <c r="K1894" i="11"/>
  <c r="K1895" i="11"/>
  <c r="K1896" i="11"/>
  <c r="K1897" i="11"/>
  <c r="K1898" i="11"/>
  <c r="K1899" i="11"/>
  <c r="K1900" i="11"/>
  <c r="K1901" i="11"/>
  <c r="K1902" i="11"/>
  <c r="K1903" i="11"/>
  <c r="K1904" i="11"/>
  <c r="K1905" i="11"/>
  <c r="K1906" i="11"/>
  <c r="K1907" i="11"/>
  <c r="K1908" i="11"/>
  <c r="K1909" i="11"/>
  <c r="K1910" i="11"/>
  <c r="K1911" i="11"/>
  <c r="K1912" i="11"/>
  <c r="K1913" i="11"/>
  <c r="K1914" i="11"/>
  <c r="K1915" i="11"/>
  <c r="K1916" i="11"/>
  <c r="K1917" i="11"/>
  <c r="K1918" i="11"/>
  <c r="K1919" i="11"/>
  <c r="K1920" i="11"/>
  <c r="K1921" i="11"/>
  <c r="K1922" i="11"/>
  <c r="K1923" i="11"/>
  <c r="K1924" i="11"/>
  <c r="K1925" i="11"/>
  <c r="K1926" i="11"/>
  <c r="K1927" i="11"/>
  <c r="K1928" i="11"/>
  <c r="K1929" i="11"/>
  <c r="K1930" i="11"/>
  <c r="K1931" i="11"/>
  <c r="K1932" i="11"/>
  <c r="K1933" i="11"/>
  <c r="K1934" i="11"/>
  <c r="K1935" i="11"/>
  <c r="K1936" i="11"/>
  <c r="K1937" i="11"/>
  <c r="K1938" i="11"/>
  <c r="K1939" i="11"/>
  <c r="K1940" i="11"/>
  <c r="K1941" i="11"/>
  <c r="K1942" i="11"/>
  <c r="K1943" i="11"/>
  <c r="K1944" i="11"/>
  <c r="K1945" i="11"/>
  <c r="K1946" i="11"/>
  <c r="K1947" i="11"/>
  <c r="K1948" i="11"/>
  <c r="K1949" i="11"/>
  <c r="K1950" i="11"/>
  <c r="K1951" i="11"/>
  <c r="K1952" i="11"/>
  <c r="K1953" i="11"/>
  <c r="K1954" i="11"/>
  <c r="K1955" i="11"/>
  <c r="K1956" i="11"/>
  <c r="K1957" i="11"/>
  <c r="K1958" i="11"/>
  <c r="K1959" i="11"/>
  <c r="K1960" i="11"/>
  <c r="K1961" i="11"/>
  <c r="K1962" i="11"/>
  <c r="K1963" i="11"/>
  <c r="K1964" i="11"/>
  <c r="K1965" i="11"/>
  <c r="K1966" i="11"/>
  <c r="K1967" i="11"/>
  <c r="K1968" i="11"/>
  <c r="K1969" i="11"/>
  <c r="K1970" i="11"/>
  <c r="K1971" i="11"/>
  <c r="K1972" i="11"/>
  <c r="K1973" i="11"/>
  <c r="K1974" i="11"/>
  <c r="K1975" i="11"/>
  <c r="K1976" i="11"/>
  <c r="K1977" i="11"/>
  <c r="K1978" i="11"/>
  <c r="K1979" i="11"/>
  <c r="K1980" i="11"/>
  <c r="K1981" i="11"/>
  <c r="K1982" i="11"/>
  <c r="K1983" i="11"/>
  <c r="K1984" i="11"/>
  <c r="K1985" i="11"/>
  <c r="K1986" i="11"/>
  <c r="K1987" i="11"/>
  <c r="K1988" i="11"/>
  <c r="K1989" i="11"/>
  <c r="K1990" i="11"/>
  <c r="K1991" i="11"/>
  <c r="K1992" i="11"/>
  <c r="K1993" i="11"/>
  <c r="K1994" i="11"/>
  <c r="K1995" i="11"/>
  <c r="K1996" i="11"/>
  <c r="K1997" i="11"/>
  <c r="K1998" i="11"/>
  <c r="K1999" i="11"/>
  <c r="K2000" i="11"/>
  <c r="K2001" i="11"/>
  <c r="K2002" i="11"/>
  <c r="K2003" i="11"/>
  <c r="K2004" i="11"/>
  <c r="K2005" i="11"/>
  <c r="K2006" i="11"/>
  <c r="K2007" i="11"/>
  <c r="K2008" i="11"/>
  <c r="K2009" i="11"/>
  <c r="K2010" i="11"/>
  <c r="K2011" i="11"/>
  <c r="K2012" i="11"/>
  <c r="K2013" i="11"/>
  <c r="K2014" i="11"/>
  <c r="K2015" i="11"/>
  <c r="K2016" i="11"/>
  <c r="K2017" i="11"/>
  <c r="K2018" i="11"/>
  <c r="K2019" i="11"/>
  <c r="K2020" i="11"/>
  <c r="K2021" i="11"/>
  <c r="K2022" i="11"/>
  <c r="K2023" i="11"/>
  <c r="K2024" i="11"/>
  <c r="K2025" i="11"/>
  <c r="K2026" i="11"/>
  <c r="K2027" i="11"/>
  <c r="K2028" i="11"/>
  <c r="K2029" i="11"/>
  <c r="K2030" i="11"/>
  <c r="K2031" i="11"/>
  <c r="K2032" i="11"/>
  <c r="K2033" i="11"/>
  <c r="K2034" i="11"/>
  <c r="K2035" i="11"/>
  <c r="K2036" i="11"/>
  <c r="K2037" i="11"/>
  <c r="K2038" i="11"/>
  <c r="K2039" i="11"/>
  <c r="K2040" i="11"/>
  <c r="K2041" i="11"/>
  <c r="K2042" i="11"/>
  <c r="K2043" i="11"/>
  <c r="K2044" i="11"/>
  <c r="K2045" i="11"/>
  <c r="K2046" i="11"/>
  <c r="K2047" i="11"/>
  <c r="K2048" i="11"/>
  <c r="K2049" i="11"/>
  <c r="K2050" i="11"/>
  <c r="K2051" i="11"/>
  <c r="K2052" i="11"/>
  <c r="K2053" i="11"/>
  <c r="K2054" i="11"/>
  <c r="K2055" i="11"/>
  <c r="K2056" i="11"/>
  <c r="K2057" i="11"/>
  <c r="K2058" i="11"/>
  <c r="K2059" i="11"/>
  <c r="K2060" i="11"/>
  <c r="K2061" i="11"/>
  <c r="K2062" i="11"/>
  <c r="K2063" i="11"/>
  <c r="K2064" i="11"/>
  <c r="K2065" i="11"/>
  <c r="K2066" i="11"/>
  <c r="K2067" i="11"/>
  <c r="K2068" i="11"/>
  <c r="K2069" i="11"/>
  <c r="K2070" i="11"/>
  <c r="K2071" i="11"/>
  <c r="K2072" i="11"/>
  <c r="K2073" i="11"/>
  <c r="K2074" i="11"/>
  <c r="K2075" i="11"/>
  <c r="K2076" i="11"/>
  <c r="K2077" i="11"/>
  <c r="K2078" i="11"/>
  <c r="K2079" i="11"/>
  <c r="K2080" i="11"/>
  <c r="K2081" i="11"/>
  <c r="K2082" i="11"/>
  <c r="K2083" i="11"/>
  <c r="K2084" i="11"/>
  <c r="K2085" i="11"/>
  <c r="K2086" i="11"/>
  <c r="K2087" i="11"/>
  <c r="K2088" i="11"/>
  <c r="K2089" i="11"/>
  <c r="K2090" i="11"/>
  <c r="K2091" i="11"/>
  <c r="K2092" i="11"/>
  <c r="K2093" i="11"/>
  <c r="K2094" i="11"/>
  <c r="K2095" i="11"/>
  <c r="K2096" i="11"/>
  <c r="K2097" i="11"/>
  <c r="K2098" i="11"/>
  <c r="K2099" i="11"/>
  <c r="K2100" i="11"/>
  <c r="K2101" i="11"/>
  <c r="K2102" i="11"/>
  <c r="K2103" i="11"/>
  <c r="K2104" i="11"/>
  <c r="K2105" i="11"/>
  <c r="K2106" i="11"/>
  <c r="K2107" i="11"/>
  <c r="K2108" i="11"/>
  <c r="K2109" i="11"/>
  <c r="K2110" i="11"/>
  <c r="K2111" i="11"/>
  <c r="K2112" i="11"/>
  <c r="K2113" i="11"/>
  <c r="K2114" i="11"/>
  <c r="K2115" i="11"/>
  <c r="K2116" i="11"/>
  <c r="K2117" i="11"/>
  <c r="K2118" i="11"/>
  <c r="K2119" i="11"/>
  <c r="K2120" i="11"/>
  <c r="K2121" i="11"/>
  <c r="K2122" i="11"/>
  <c r="K2123" i="11"/>
  <c r="K2124" i="11"/>
  <c r="K2125" i="11"/>
  <c r="K2126" i="11"/>
  <c r="K2127" i="11"/>
  <c r="K2128" i="11"/>
  <c r="K2129" i="11"/>
  <c r="K2130" i="11"/>
  <c r="K2131" i="11"/>
  <c r="K2132" i="11"/>
  <c r="K2133" i="11"/>
  <c r="K2134" i="11"/>
  <c r="K2135" i="11"/>
  <c r="K2136" i="11"/>
  <c r="K2137" i="11"/>
  <c r="K2138" i="11"/>
  <c r="K2139" i="11"/>
  <c r="K2140" i="11"/>
  <c r="K2141" i="11"/>
  <c r="K2142" i="11"/>
  <c r="K2143" i="11"/>
  <c r="K2144" i="11"/>
  <c r="K2145" i="11"/>
  <c r="K2146" i="11"/>
  <c r="K2147" i="11"/>
  <c r="K2148" i="11"/>
  <c r="K2149" i="11"/>
  <c r="K2150" i="11"/>
  <c r="K2151" i="11"/>
  <c r="K2152" i="11"/>
  <c r="K2153" i="11"/>
  <c r="K2154" i="11"/>
  <c r="K2155" i="11"/>
  <c r="K2156" i="11"/>
  <c r="K2157" i="11"/>
  <c r="K2158" i="11"/>
  <c r="K2159" i="11"/>
  <c r="K2160" i="11"/>
  <c r="K2161" i="11"/>
  <c r="K2162" i="11"/>
  <c r="K2163" i="11"/>
  <c r="K2164" i="11"/>
  <c r="K2165" i="11"/>
  <c r="K2166" i="11"/>
  <c r="K2167" i="11"/>
  <c r="K2168" i="11"/>
  <c r="K2169" i="11"/>
  <c r="K2170" i="11"/>
  <c r="K2171" i="11"/>
  <c r="K2172" i="11"/>
  <c r="K2173" i="11"/>
  <c r="K2174" i="11"/>
  <c r="K2175" i="11"/>
  <c r="K2176" i="11"/>
  <c r="K2177" i="11"/>
  <c r="K2178" i="11"/>
  <c r="K2179" i="11"/>
  <c r="K2180" i="11"/>
  <c r="K2181" i="11"/>
  <c r="K2182" i="11"/>
  <c r="K2183" i="11"/>
  <c r="K2184" i="11"/>
  <c r="K2185" i="11"/>
  <c r="K2186" i="11"/>
  <c r="K2187" i="11"/>
  <c r="K2188" i="11"/>
  <c r="K2189" i="11"/>
  <c r="K2190" i="11"/>
  <c r="K2191" i="11"/>
  <c r="K2192" i="11"/>
  <c r="K2193" i="11"/>
  <c r="K2194" i="11"/>
  <c r="K2195" i="11"/>
  <c r="K2196" i="11"/>
  <c r="K2197" i="11"/>
  <c r="K2198" i="11"/>
  <c r="K2199" i="11"/>
  <c r="K2200" i="11"/>
  <c r="K2201" i="11"/>
  <c r="K2202" i="11"/>
  <c r="K2203" i="11"/>
  <c r="K2204" i="11"/>
  <c r="K2205" i="11"/>
  <c r="K2206" i="11"/>
  <c r="K2207" i="11"/>
  <c r="K2208" i="11"/>
  <c r="K2209" i="11"/>
  <c r="K2210" i="11"/>
  <c r="K2211" i="11"/>
  <c r="K2212" i="11"/>
  <c r="K2213" i="11"/>
  <c r="K2214" i="11"/>
  <c r="K2215" i="11"/>
  <c r="K2216" i="11"/>
  <c r="K2217" i="11"/>
  <c r="K2218" i="11"/>
  <c r="K2219" i="11"/>
  <c r="K2220" i="11"/>
  <c r="K2221" i="11"/>
  <c r="K2222" i="11"/>
  <c r="K2223" i="11"/>
  <c r="K2224" i="11"/>
  <c r="K2225" i="11"/>
  <c r="K2226" i="11"/>
  <c r="K2227" i="11"/>
  <c r="K2228" i="11"/>
  <c r="K2229" i="11"/>
  <c r="K2230" i="11"/>
  <c r="K2231" i="11"/>
  <c r="K2232" i="11"/>
  <c r="K2233" i="11"/>
  <c r="K2234" i="11"/>
  <c r="K2235" i="11"/>
  <c r="K2236" i="11"/>
  <c r="K2237" i="11"/>
  <c r="K2238" i="11"/>
  <c r="K2239" i="11"/>
  <c r="K2240" i="11"/>
  <c r="K2241" i="11"/>
  <c r="K2242" i="11"/>
  <c r="K2243" i="11"/>
  <c r="K2244" i="11"/>
  <c r="K2245" i="11"/>
  <c r="K2246" i="11"/>
  <c r="K2247" i="11"/>
  <c r="K2248" i="11"/>
  <c r="K2249" i="11"/>
  <c r="K2250" i="11"/>
  <c r="K2251" i="11"/>
  <c r="K2252" i="11"/>
  <c r="K2253" i="11"/>
  <c r="K2254" i="11"/>
  <c r="K2255" i="11"/>
  <c r="K2256" i="11"/>
  <c r="K2257" i="11"/>
  <c r="K2258" i="11"/>
  <c r="K2259" i="11"/>
  <c r="K2260" i="11"/>
  <c r="K2261" i="11"/>
  <c r="K2262" i="11"/>
  <c r="K2263" i="11"/>
  <c r="K2264" i="11"/>
  <c r="K2265" i="11"/>
  <c r="K2266" i="11"/>
  <c r="K2267" i="11"/>
  <c r="K2268" i="11"/>
  <c r="K2269" i="11"/>
  <c r="K2270" i="11"/>
  <c r="K2271" i="11"/>
  <c r="K2272" i="11"/>
  <c r="K2273" i="11"/>
  <c r="K2274" i="11"/>
  <c r="K2275" i="11"/>
  <c r="K2276" i="11"/>
  <c r="K2277" i="11"/>
  <c r="K2278" i="11"/>
  <c r="K2279" i="11"/>
  <c r="K2280" i="11"/>
  <c r="K2281" i="11"/>
  <c r="K2282" i="11"/>
  <c r="K2283" i="11"/>
  <c r="K2284" i="11"/>
  <c r="K2285" i="11"/>
  <c r="K2286" i="11"/>
  <c r="K2287" i="11"/>
  <c r="K2288" i="11"/>
  <c r="K2289" i="11"/>
  <c r="K2290" i="11"/>
  <c r="K2291" i="11"/>
  <c r="K2292" i="11"/>
  <c r="K2293" i="11"/>
  <c r="K2294" i="11"/>
  <c r="K2295" i="11"/>
  <c r="K2296" i="11"/>
  <c r="K2297" i="11"/>
  <c r="K2298" i="11"/>
  <c r="K2299" i="11"/>
  <c r="K2300" i="11"/>
  <c r="K2301" i="11"/>
  <c r="K2302" i="11"/>
  <c r="K2303" i="11"/>
  <c r="K2304" i="11"/>
  <c r="K2305" i="11"/>
  <c r="K2306" i="11"/>
  <c r="K2307" i="11"/>
  <c r="K2308" i="11"/>
  <c r="K2309" i="11"/>
  <c r="K2310" i="11"/>
  <c r="K2311" i="11"/>
  <c r="K2312" i="11"/>
  <c r="K2313" i="11"/>
  <c r="K2314" i="11"/>
  <c r="K2315" i="11"/>
  <c r="K2316" i="11"/>
  <c r="K2317" i="11"/>
  <c r="K2318" i="11"/>
  <c r="K2319" i="11"/>
  <c r="K2320" i="11"/>
  <c r="K2321" i="11"/>
  <c r="K2322" i="11"/>
  <c r="K2323" i="11"/>
  <c r="K2324" i="11"/>
  <c r="K2325" i="11"/>
  <c r="K2326" i="11"/>
  <c r="K2327" i="11"/>
  <c r="K2328" i="11"/>
  <c r="K2329" i="11"/>
  <c r="K2330" i="11"/>
  <c r="K2331" i="11"/>
  <c r="K2332" i="11"/>
  <c r="K2333" i="11"/>
  <c r="K2334" i="11"/>
  <c r="K2335" i="11"/>
  <c r="K2336" i="11"/>
  <c r="K2337" i="11"/>
  <c r="K2338" i="11"/>
  <c r="K2339" i="11"/>
  <c r="K2340" i="11"/>
  <c r="K2341" i="11"/>
  <c r="K2342" i="11"/>
  <c r="K2343" i="11"/>
  <c r="K2344" i="11"/>
  <c r="K2345" i="11"/>
  <c r="K2346" i="11"/>
  <c r="K2347" i="11"/>
  <c r="K2348" i="11"/>
  <c r="K2349" i="11"/>
  <c r="K2350" i="11"/>
  <c r="K2351" i="11"/>
  <c r="K2352" i="11"/>
  <c r="K2353" i="11"/>
  <c r="K2354" i="11"/>
  <c r="K2355" i="11"/>
  <c r="K2356" i="11"/>
  <c r="K2357" i="11"/>
  <c r="K2358" i="11"/>
  <c r="K2359" i="11"/>
  <c r="K2360" i="11"/>
  <c r="K2361" i="11"/>
  <c r="K2362" i="11"/>
  <c r="K2363" i="11"/>
  <c r="K2364" i="11"/>
  <c r="K2365" i="11"/>
  <c r="K2366" i="11"/>
  <c r="K2367" i="11"/>
  <c r="K2368" i="11"/>
  <c r="K2369" i="11"/>
  <c r="K2370" i="11"/>
  <c r="K2371" i="11"/>
  <c r="K2372" i="11"/>
  <c r="K2373" i="11"/>
  <c r="K2374" i="11"/>
  <c r="K2375" i="11"/>
  <c r="K2376" i="11"/>
  <c r="K2377" i="11"/>
  <c r="K2378" i="11"/>
  <c r="K2379" i="11"/>
  <c r="K2380" i="11"/>
  <c r="K2381" i="11"/>
  <c r="K2382" i="11"/>
  <c r="K2383" i="11"/>
  <c r="K2384" i="11"/>
  <c r="K2385" i="11"/>
  <c r="K2386" i="11"/>
  <c r="K2387" i="11"/>
  <c r="K2388" i="11"/>
  <c r="K2389" i="11"/>
  <c r="K2390" i="11"/>
  <c r="K2391" i="11"/>
  <c r="K2392" i="11"/>
  <c r="K2393" i="11"/>
  <c r="K2394" i="11"/>
  <c r="K2395" i="11"/>
  <c r="K2396" i="11"/>
  <c r="K2397" i="11"/>
  <c r="K2398" i="11"/>
  <c r="K2399" i="11"/>
  <c r="K2400" i="11"/>
  <c r="K2401" i="11"/>
  <c r="K2402" i="11"/>
  <c r="K2403" i="11"/>
  <c r="K2404" i="11"/>
  <c r="K2405" i="11"/>
  <c r="K2406" i="11"/>
  <c r="K2407" i="11"/>
  <c r="K2408" i="11"/>
  <c r="K2409" i="11"/>
  <c r="K2410" i="11"/>
  <c r="K2411" i="11"/>
  <c r="K2412" i="11"/>
  <c r="K2413" i="11"/>
  <c r="K2414" i="11"/>
  <c r="K2415" i="11"/>
  <c r="K2416" i="11"/>
  <c r="K2417" i="11"/>
  <c r="K2418" i="11"/>
  <c r="K2419" i="11"/>
  <c r="K2420" i="11"/>
  <c r="K2421" i="11"/>
  <c r="K2422" i="11"/>
  <c r="K2423" i="11"/>
  <c r="K2424" i="11"/>
  <c r="K2425" i="11"/>
  <c r="K2426" i="11"/>
  <c r="K2427" i="11"/>
  <c r="K2428" i="11"/>
  <c r="K2429" i="11"/>
  <c r="K2430" i="11"/>
  <c r="K2431" i="11"/>
  <c r="K2432" i="11"/>
  <c r="K2433" i="11"/>
  <c r="K2434" i="11"/>
  <c r="K2435" i="11"/>
  <c r="K2436" i="11"/>
  <c r="K2437" i="11"/>
  <c r="K2438" i="11"/>
  <c r="K2439" i="11"/>
  <c r="K2440" i="11"/>
  <c r="K2441" i="11"/>
  <c r="K2442" i="11"/>
  <c r="K2443" i="11"/>
  <c r="K2444" i="11"/>
  <c r="K2445" i="11"/>
  <c r="K2446" i="11"/>
  <c r="K2447" i="11"/>
  <c r="K2448" i="11"/>
  <c r="K2449" i="11"/>
  <c r="K2450" i="11"/>
  <c r="K2451" i="11"/>
  <c r="K2452" i="11"/>
  <c r="K2453" i="11"/>
  <c r="K2454" i="11"/>
  <c r="K2455" i="11"/>
  <c r="K2456" i="11"/>
  <c r="K2457" i="11"/>
  <c r="K2458" i="11"/>
  <c r="K2459" i="11"/>
  <c r="K2460" i="11"/>
  <c r="K2461" i="11"/>
  <c r="K2462" i="11"/>
  <c r="K2463" i="11"/>
  <c r="K2464" i="11"/>
  <c r="K2465" i="11"/>
  <c r="K2466" i="11"/>
  <c r="K2467" i="11"/>
  <c r="K2468" i="11"/>
  <c r="K2469" i="11"/>
  <c r="K2470" i="11"/>
  <c r="K2471" i="11"/>
  <c r="K2472" i="11"/>
  <c r="K2473" i="11"/>
  <c r="K2474" i="11"/>
  <c r="K2475" i="11"/>
  <c r="K2476" i="11"/>
  <c r="K2477" i="11"/>
  <c r="K2478" i="11"/>
  <c r="K2479" i="11"/>
  <c r="K2480" i="11"/>
  <c r="K2481" i="11"/>
  <c r="K2482" i="11"/>
  <c r="K2483" i="11"/>
  <c r="K2484" i="11"/>
  <c r="K2485" i="11"/>
  <c r="K2486" i="11"/>
  <c r="K2487" i="11"/>
  <c r="K2488" i="11"/>
  <c r="K2489" i="11"/>
  <c r="K2490" i="11"/>
  <c r="K2491" i="11"/>
  <c r="K2492" i="11"/>
  <c r="K2493" i="11"/>
  <c r="K2494" i="11"/>
  <c r="K2495" i="11"/>
  <c r="K2496" i="11"/>
  <c r="K2497" i="11"/>
  <c r="K2498" i="11"/>
  <c r="K2499" i="11"/>
  <c r="K2500" i="11"/>
  <c r="K2501" i="11"/>
  <c r="K2502" i="11"/>
  <c r="K2503" i="11"/>
  <c r="K2504" i="11"/>
  <c r="K2505" i="11"/>
  <c r="K2506" i="11"/>
  <c r="K2507" i="11"/>
  <c r="K2508" i="11"/>
  <c r="K2509" i="11"/>
  <c r="K2510" i="11"/>
  <c r="K2511" i="11"/>
  <c r="K2512" i="11"/>
  <c r="K2513" i="11"/>
  <c r="K2514" i="11"/>
  <c r="K2515" i="11"/>
  <c r="K2516" i="11"/>
  <c r="K2517" i="11"/>
  <c r="K2518" i="11"/>
  <c r="K2519" i="11"/>
  <c r="K2520" i="11"/>
  <c r="K2521" i="11"/>
  <c r="K2522" i="11"/>
  <c r="K2523" i="11"/>
  <c r="K2524" i="11"/>
  <c r="K2525" i="11"/>
  <c r="K2526" i="11"/>
  <c r="K2527" i="11"/>
  <c r="K2528" i="11"/>
  <c r="K2529" i="11"/>
  <c r="K2530" i="11"/>
  <c r="K2531" i="11"/>
  <c r="K2532" i="11"/>
  <c r="K2533" i="11"/>
  <c r="K2534" i="11"/>
  <c r="K2535" i="11"/>
  <c r="K2536" i="11"/>
  <c r="K2537" i="11"/>
  <c r="K2538" i="11"/>
  <c r="K2539" i="11"/>
  <c r="K2540" i="11"/>
  <c r="K2541" i="11"/>
  <c r="K2542" i="11"/>
  <c r="K2543" i="11"/>
  <c r="K2544" i="11"/>
  <c r="K2545" i="11"/>
  <c r="K2546" i="11"/>
  <c r="K2547" i="11"/>
  <c r="K2548" i="11"/>
  <c r="K2549" i="11"/>
  <c r="K2550" i="11"/>
  <c r="K2551" i="11"/>
  <c r="K2552" i="11"/>
  <c r="K2553" i="11"/>
  <c r="K2554" i="11"/>
  <c r="K2555" i="11"/>
  <c r="K2556" i="11"/>
  <c r="K2557" i="11"/>
  <c r="K2558" i="11"/>
  <c r="K2559" i="11"/>
  <c r="K2560" i="11"/>
  <c r="K2561" i="11"/>
  <c r="K2562" i="11"/>
  <c r="K2563" i="11"/>
  <c r="K2564" i="11"/>
  <c r="K2565" i="11"/>
  <c r="K2566" i="11"/>
  <c r="K2567" i="11"/>
  <c r="K2568" i="11"/>
  <c r="K2569" i="11"/>
  <c r="K2570" i="11"/>
  <c r="K2571" i="11"/>
  <c r="K2572" i="11"/>
  <c r="K2573" i="11"/>
  <c r="K2574" i="11"/>
  <c r="K2575" i="11"/>
  <c r="K2576" i="11"/>
  <c r="K2577" i="11"/>
  <c r="K2578" i="11"/>
  <c r="K2579" i="11"/>
  <c r="K2580" i="11"/>
  <c r="K2581" i="11"/>
  <c r="K2582" i="11"/>
  <c r="K2583" i="11"/>
  <c r="K2584" i="11"/>
  <c r="K2585" i="11"/>
  <c r="K2586" i="11"/>
  <c r="K2587" i="11"/>
  <c r="K2588" i="11"/>
  <c r="K2589" i="11"/>
  <c r="K2590" i="11"/>
  <c r="K2591" i="11"/>
  <c r="K2592" i="11"/>
  <c r="K2593" i="11"/>
  <c r="K2594" i="11"/>
  <c r="K2595" i="11"/>
  <c r="K2596" i="11"/>
  <c r="K2597" i="11"/>
  <c r="K2598" i="11"/>
  <c r="K2599" i="11"/>
  <c r="K2600" i="11"/>
  <c r="K2601" i="11"/>
  <c r="K2602" i="11"/>
  <c r="K2603" i="11"/>
  <c r="K2604" i="11"/>
  <c r="K2605" i="11"/>
  <c r="K2606" i="11"/>
  <c r="K2607" i="11"/>
  <c r="K2608" i="11"/>
  <c r="K2609" i="11"/>
  <c r="K2610" i="11"/>
  <c r="K2611" i="11"/>
  <c r="K2612" i="11"/>
  <c r="K2613" i="11"/>
  <c r="K2614" i="11"/>
  <c r="K2615" i="11"/>
  <c r="K2616" i="11"/>
  <c r="K2617" i="11"/>
  <c r="K2618" i="11"/>
  <c r="K2619" i="11"/>
  <c r="K2620" i="11"/>
  <c r="K2621" i="11"/>
  <c r="K2622" i="11"/>
  <c r="K2623" i="11"/>
  <c r="K2624" i="11"/>
  <c r="K2625" i="11"/>
  <c r="K2626" i="11"/>
  <c r="K2627" i="11"/>
  <c r="K2628" i="11"/>
  <c r="K2629" i="11"/>
  <c r="K2630" i="11"/>
  <c r="K2631" i="11"/>
  <c r="K2632" i="11"/>
  <c r="K2633" i="11"/>
  <c r="K2634" i="11"/>
  <c r="K2635" i="11"/>
  <c r="K2636" i="11"/>
  <c r="K2637" i="11"/>
  <c r="K2638" i="11"/>
  <c r="K2639" i="11"/>
  <c r="K2640" i="11"/>
  <c r="K2641" i="11"/>
  <c r="K2642" i="11"/>
  <c r="K2643" i="11"/>
  <c r="K2644" i="11"/>
  <c r="K2645" i="11"/>
  <c r="K2646" i="11"/>
  <c r="K2647" i="11"/>
  <c r="K2648" i="11"/>
  <c r="K2649" i="11"/>
  <c r="K2650" i="11"/>
  <c r="K2651" i="11"/>
  <c r="K2652" i="11"/>
  <c r="K2653" i="11"/>
  <c r="K2654" i="11"/>
  <c r="K2655" i="11"/>
  <c r="K2656" i="11"/>
  <c r="K2657" i="11"/>
  <c r="K2658" i="11"/>
  <c r="K2659" i="11"/>
  <c r="K2660" i="11"/>
  <c r="K2661" i="11"/>
  <c r="K2662" i="11"/>
  <c r="K2663" i="11"/>
  <c r="K2664" i="11"/>
  <c r="K2665" i="11"/>
  <c r="K2666" i="11"/>
  <c r="K2667" i="11"/>
  <c r="K2668" i="11"/>
  <c r="K2669" i="11"/>
  <c r="K2670" i="11"/>
  <c r="K2671" i="11"/>
  <c r="K2672" i="11"/>
  <c r="K2673" i="11"/>
  <c r="K2674" i="11"/>
  <c r="K2675" i="11"/>
  <c r="K2676" i="11"/>
  <c r="K2677" i="11"/>
  <c r="K2678" i="11"/>
  <c r="K2679" i="11"/>
  <c r="K2680" i="11"/>
  <c r="K2681" i="11"/>
  <c r="K2682" i="11"/>
  <c r="K2683" i="11"/>
  <c r="K2684" i="11"/>
  <c r="K2685" i="11"/>
  <c r="K2686" i="11"/>
  <c r="K2687" i="11"/>
  <c r="K2688" i="11"/>
  <c r="K2689" i="11"/>
  <c r="K2690" i="11"/>
  <c r="K2691" i="11"/>
  <c r="K2692" i="11"/>
  <c r="K2693" i="11"/>
  <c r="K2694" i="11"/>
  <c r="K2695" i="11"/>
  <c r="K2696" i="11"/>
  <c r="K2697" i="11"/>
  <c r="K2698" i="11"/>
  <c r="K2699" i="11"/>
  <c r="K2700" i="11"/>
  <c r="K2701" i="11"/>
  <c r="K2702" i="11"/>
  <c r="K2703" i="11"/>
  <c r="K2704" i="11"/>
  <c r="K2705" i="11"/>
  <c r="K2706" i="11"/>
  <c r="K2707" i="11"/>
  <c r="K2708" i="11"/>
  <c r="K2709" i="11"/>
  <c r="K2710" i="11"/>
  <c r="K2711" i="11"/>
  <c r="K2712" i="11"/>
  <c r="K2713" i="11"/>
  <c r="K2714" i="11"/>
  <c r="K2715" i="11"/>
  <c r="K2716" i="11"/>
  <c r="K2717" i="11"/>
  <c r="K2718" i="11"/>
  <c r="K2719" i="11"/>
  <c r="K2720" i="11"/>
  <c r="K2721" i="11"/>
  <c r="K2722" i="11"/>
  <c r="K2723" i="11"/>
  <c r="K2724" i="11"/>
  <c r="K2725" i="11"/>
  <c r="K2726" i="11"/>
  <c r="K2727" i="11"/>
  <c r="K2728" i="11"/>
  <c r="K2729" i="11"/>
  <c r="K2730" i="11"/>
  <c r="K2731" i="11"/>
  <c r="K2732" i="11"/>
  <c r="K2733" i="11"/>
  <c r="K2734" i="11"/>
  <c r="K2735" i="11"/>
  <c r="K2736" i="11"/>
  <c r="K2737" i="11"/>
  <c r="K2738" i="11"/>
  <c r="K2739" i="11"/>
  <c r="K2740" i="11"/>
  <c r="K2741" i="11"/>
  <c r="K2742" i="11"/>
  <c r="K2743" i="11"/>
  <c r="K2744" i="11"/>
  <c r="K2745" i="11"/>
  <c r="K2746" i="11"/>
  <c r="K2747" i="11"/>
  <c r="K2748" i="11"/>
  <c r="K2749" i="11"/>
  <c r="K2750" i="11"/>
  <c r="K2751" i="11"/>
  <c r="K2752" i="11"/>
  <c r="K2753" i="11"/>
  <c r="K2754" i="11"/>
  <c r="K2755" i="11"/>
  <c r="K2756" i="11"/>
  <c r="K2757" i="11"/>
  <c r="K2758" i="11"/>
  <c r="K2759" i="11"/>
  <c r="K2760" i="11"/>
  <c r="K2761" i="11"/>
  <c r="K2762" i="11"/>
  <c r="K2763" i="11"/>
  <c r="K2764" i="11"/>
  <c r="K2765" i="11"/>
  <c r="K2766" i="11"/>
  <c r="K2767" i="11"/>
  <c r="K2768" i="11"/>
  <c r="K2769" i="11"/>
  <c r="K2770" i="11"/>
  <c r="K2771" i="11"/>
  <c r="K2772" i="11"/>
  <c r="K2773" i="11"/>
  <c r="K2774" i="11"/>
  <c r="K2775" i="11"/>
  <c r="K2776" i="11"/>
  <c r="K2777" i="11"/>
  <c r="K2778" i="11"/>
  <c r="K2779" i="11"/>
  <c r="K2780" i="11"/>
  <c r="K2781" i="11"/>
  <c r="K2782" i="11"/>
  <c r="K2783" i="11"/>
  <c r="K2784" i="11"/>
  <c r="K2785" i="11"/>
  <c r="K2786" i="11"/>
  <c r="K2787" i="11"/>
  <c r="K2788" i="11"/>
  <c r="K2789" i="11"/>
  <c r="K2790" i="11"/>
  <c r="K2791" i="11"/>
  <c r="K2792" i="11"/>
  <c r="K2793" i="11"/>
  <c r="K2794" i="11"/>
  <c r="K2795" i="11"/>
  <c r="K2796" i="11"/>
  <c r="K2797" i="11"/>
  <c r="K2798" i="11"/>
  <c r="K2799" i="11"/>
  <c r="K2800" i="11"/>
  <c r="K2801" i="11"/>
  <c r="K2802" i="11"/>
  <c r="K2803" i="11"/>
  <c r="K2804" i="11"/>
  <c r="K2805" i="11"/>
  <c r="K2806" i="11"/>
  <c r="K2807" i="11"/>
  <c r="K2808" i="11"/>
  <c r="K2809" i="11"/>
  <c r="K2810" i="11"/>
  <c r="K2811" i="11"/>
  <c r="K2812" i="11"/>
  <c r="K2813" i="11"/>
  <c r="K2814" i="11"/>
  <c r="K2815" i="11"/>
  <c r="K2816" i="11"/>
  <c r="K2817" i="11"/>
  <c r="K2818" i="11"/>
  <c r="K2819" i="11"/>
  <c r="K2820" i="11"/>
  <c r="K2821" i="11"/>
  <c r="K2822" i="11"/>
  <c r="K2823" i="11"/>
  <c r="K2824" i="11"/>
  <c r="K2825" i="11"/>
  <c r="K2826" i="11"/>
  <c r="K2827" i="11"/>
  <c r="K2828" i="11"/>
  <c r="K2829" i="11"/>
  <c r="K2830" i="11"/>
  <c r="K2831" i="11"/>
  <c r="K2832" i="11"/>
  <c r="K2833" i="11"/>
  <c r="K2834" i="11"/>
  <c r="K2835" i="11"/>
  <c r="K2836" i="11"/>
  <c r="K2837" i="11"/>
  <c r="K2838" i="11"/>
  <c r="K2839" i="11"/>
  <c r="K2840" i="11"/>
  <c r="K2841" i="11"/>
  <c r="K2842" i="11"/>
  <c r="K2843" i="11"/>
  <c r="K2844" i="11"/>
  <c r="K2845" i="11"/>
  <c r="K2846" i="11"/>
  <c r="K2847" i="11"/>
  <c r="K2848" i="11"/>
  <c r="K2849" i="11"/>
  <c r="K2850" i="11"/>
  <c r="K2851" i="11"/>
  <c r="K2852" i="11"/>
  <c r="K2853" i="11"/>
  <c r="K2854" i="11"/>
  <c r="K2855" i="11"/>
  <c r="K2856" i="11"/>
  <c r="K2857" i="11"/>
  <c r="K2858" i="11"/>
  <c r="K2859" i="11"/>
  <c r="K2860" i="11"/>
  <c r="K2861" i="11"/>
  <c r="K2862" i="11"/>
  <c r="K2863" i="11"/>
  <c r="K2864" i="11"/>
  <c r="K2865" i="11"/>
  <c r="K2866" i="11"/>
  <c r="K2867" i="11"/>
  <c r="K2868" i="11"/>
  <c r="K2869" i="11"/>
  <c r="K2870" i="11"/>
  <c r="K2871" i="11"/>
  <c r="K2872" i="11"/>
  <c r="K2873" i="11"/>
  <c r="K2874" i="11"/>
  <c r="K2875" i="11"/>
  <c r="K2876" i="11"/>
  <c r="K2877" i="11"/>
  <c r="K2878" i="11"/>
  <c r="K2879" i="11"/>
  <c r="K2880" i="11"/>
  <c r="K2881" i="11"/>
  <c r="K2882" i="11"/>
  <c r="K2883" i="11"/>
  <c r="K2884" i="11"/>
  <c r="K2885" i="11"/>
  <c r="K2886" i="11"/>
  <c r="K2887" i="11"/>
  <c r="K2888" i="11"/>
  <c r="K2889" i="11"/>
  <c r="K2890" i="11"/>
  <c r="K2891" i="11"/>
  <c r="K2892" i="11"/>
  <c r="K2893" i="11"/>
  <c r="K2894" i="11"/>
  <c r="K2895" i="11"/>
  <c r="K2896" i="11"/>
  <c r="K2897" i="11"/>
  <c r="K2898" i="11"/>
  <c r="K2899" i="11"/>
  <c r="K2900" i="11"/>
  <c r="K2901" i="11"/>
  <c r="K2902" i="11"/>
  <c r="K2903" i="11"/>
  <c r="K2904" i="11"/>
  <c r="K2905" i="11"/>
  <c r="K2906" i="11"/>
  <c r="K2907" i="11"/>
  <c r="K2908" i="11"/>
  <c r="K2909" i="11"/>
  <c r="K2910" i="11"/>
  <c r="K2911" i="11"/>
  <c r="K2912" i="11"/>
  <c r="K2913" i="11"/>
  <c r="K2914" i="11"/>
  <c r="K2915" i="11"/>
  <c r="K2916" i="11"/>
  <c r="K2917" i="11"/>
  <c r="K2918" i="11"/>
  <c r="K2919" i="11"/>
  <c r="K2920" i="11"/>
  <c r="K2921" i="11"/>
  <c r="K2922" i="11"/>
  <c r="K2923" i="11"/>
  <c r="K2924" i="11"/>
  <c r="K2925" i="11"/>
  <c r="K2926" i="11"/>
  <c r="K2927" i="11"/>
  <c r="K2928" i="11"/>
  <c r="K2929" i="11"/>
  <c r="K2930" i="11"/>
  <c r="K2931" i="11"/>
  <c r="K2932" i="11"/>
  <c r="K2933" i="11"/>
  <c r="K2934" i="11"/>
  <c r="K2935" i="11"/>
  <c r="K2936" i="11"/>
  <c r="K2937" i="11"/>
  <c r="K2938" i="11"/>
  <c r="K2939" i="11"/>
  <c r="K2940" i="11"/>
  <c r="K2941" i="11"/>
  <c r="K2942" i="11"/>
  <c r="K2943" i="11"/>
  <c r="K2944" i="11"/>
  <c r="K2945" i="11"/>
  <c r="K2946" i="11"/>
  <c r="K2947" i="11"/>
  <c r="K2948" i="11"/>
  <c r="K2949" i="11"/>
  <c r="K2950" i="11"/>
  <c r="K2951" i="11"/>
  <c r="K2952" i="11"/>
  <c r="K2953" i="11"/>
  <c r="K2954" i="11"/>
  <c r="K2955" i="11"/>
  <c r="K2956" i="11"/>
  <c r="K2957" i="11"/>
  <c r="K2958" i="11"/>
  <c r="K2959" i="11"/>
  <c r="K2960" i="11"/>
  <c r="K2961" i="11"/>
  <c r="K2962" i="11"/>
  <c r="K2963" i="11"/>
  <c r="K2964" i="11"/>
  <c r="K2965" i="11"/>
  <c r="K2966" i="11"/>
  <c r="K2967" i="11"/>
  <c r="K2968" i="11"/>
  <c r="K2969" i="11"/>
  <c r="K2970" i="11"/>
  <c r="K2971" i="11"/>
  <c r="K2972" i="11"/>
  <c r="K2973" i="11"/>
  <c r="K2974" i="11"/>
  <c r="K2975" i="11"/>
  <c r="K2976" i="11"/>
  <c r="K2977" i="11"/>
  <c r="K2978" i="11"/>
  <c r="K2979" i="11"/>
  <c r="K2980" i="11"/>
  <c r="K2981" i="11"/>
  <c r="K2982" i="11"/>
  <c r="K2983" i="11"/>
  <c r="K2984" i="11"/>
  <c r="K2985" i="11"/>
  <c r="K2986" i="11"/>
  <c r="K2987" i="11"/>
  <c r="K2988" i="11"/>
  <c r="K2989" i="11"/>
  <c r="K2990" i="11"/>
  <c r="K2991" i="11"/>
  <c r="K2992" i="11"/>
  <c r="K2993" i="11"/>
  <c r="K2994" i="11"/>
  <c r="K2995" i="11"/>
  <c r="K2996" i="11"/>
  <c r="K2997" i="11"/>
  <c r="K2998" i="11"/>
  <c r="K2999" i="11"/>
  <c r="K3000" i="11"/>
  <c r="K3001" i="11"/>
  <c r="K3002" i="11"/>
  <c r="K3003" i="11"/>
  <c r="K3004" i="11"/>
  <c r="K3005" i="11"/>
  <c r="K3006" i="11"/>
  <c r="K3007" i="11"/>
  <c r="K3008" i="11"/>
  <c r="K3009" i="11"/>
  <c r="K3010" i="11"/>
  <c r="K3011" i="11"/>
  <c r="K3012" i="11"/>
  <c r="K3013" i="11"/>
  <c r="K3014" i="11"/>
  <c r="K3015" i="11"/>
  <c r="K3016" i="11"/>
  <c r="K3017" i="11"/>
  <c r="K3018" i="11"/>
  <c r="K3019" i="11"/>
  <c r="K3020" i="11"/>
  <c r="K3021" i="11"/>
  <c r="K3022" i="11"/>
  <c r="K3023" i="11"/>
  <c r="K3024" i="11"/>
  <c r="K3025" i="11"/>
  <c r="K3026" i="11"/>
  <c r="K3027" i="11"/>
  <c r="K3028" i="11"/>
  <c r="K3029" i="11"/>
  <c r="K3030" i="11"/>
  <c r="K3031" i="11"/>
  <c r="K3032" i="11"/>
  <c r="K3033" i="11"/>
  <c r="K3034" i="11"/>
  <c r="K3035" i="11"/>
  <c r="K3036" i="11"/>
  <c r="K3037" i="11"/>
  <c r="K3038" i="11"/>
  <c r="K3039" i="11"/>
  <c r="K3040" i="11"/>
  <c r="K3041" i="11"/>
  <c r="K3042" i="11"/>
  <c r="K3043" i="11"/>
  <c r="K3044" i="11"/>
  <c r="K3045" i="11"/>
  <c r="K3046" i="11"/>
  <c r="K3047" i="11"/>
  <c r="K3048" i="11"/>
  <c r="K3049" i="11"/>
  <c r="K3050" i="11"/>
  <c r="K3051" i="11"/>
  <c r="K3052" i="11"/>
  <c r="K3053" i="11"/>
  <c r="K3054" i="11"/>
  <c r="K3055" i="11"/>
  <c r="K3056" i="11"/>
  <c r="K3057" i="11"/>
  <c r="K3058" i="11"/>
  <c r="K3059" i="11"/>
  <c r="K3060" i="11"/>
  <c r="K3061" i="11"/>
  <c r="K3062" i="11"/>
  <c r="K3063" i="11"/>
  <c r="K3064" i="11"/>
  <c r="K3065" i="11"/>
  <c r="K3066" i="11"/>
  <c r="K3067" i="11"/>
  <c r="K3068" i="11"/>
  <c r="K3069" i="11"/>
  <c r="K3070" i="11"/>
  <c r="K3071" i="11"/>
  <c r="K3072" i="11"/>
  <c r="K3073" i="11"/>
  <c r="K3074" i="11"/>
  <c r="K3075" i="11"/>
  <c r="K3076" i="11"/>
  <c r="K3077" i="11"/>
  <c r="K3078" i="11"/>
  <c r="K3079" i="11"/>
  <c r="K3080" i="11"/>
  <c r="K3081" i="11"/>
  <c r="K3082" i="11"/>
  <c r="K3083" i="11"/>
  <c r="K3084" i="11"/>
  <c r="K3085" i="11"/>
  <c r="K3086" i="11"/>
  <c r="K3087" i="11"/>
  <c r="K3088" i="11"/>
  <c r="K3089" i="11"/>
  <c r="K3090" i="11"/>
  <c r="K3091" i="11"/>
  <c r="K3092" i="11"/>
  <c r="K3093" i="11"/>
  <c r="K3094" i="11"/>
  <c r="K3095" i="11"/>
  <c r="K3096" i="11"/>
  <c r="K3097" i="11"/>
  <c r="K3098" i="11"/>
  <c r="K3099" i="11"/>
  <c r="K3100" i="11"/>
  <c r="K3101" i="11"/>
  <c r="K3102" i="11"/>
  <c r="K3103" i="11"/>
  <c r="K3104" i="11"/>
  <c r="K3105" i="11"/>
  <c r="K3106" i="11"/>
  <c r="K3107" i="11"/>
  <c r="K3108" i="11"/>
  <c r="K3109" i="11"/>
  <c r="K3110" i="11"/>
  <c r="K3111" i="11"/>
  <c r="K3112" i="11"/>
  <c r="K3113" i="11"/>
  <c r="K3114" i="11"/>
  <c r="K3115" i="11"/>
  <c r="K3116" i="11"/>
  <c r="K3117" i="11"/>
  <c r="K3118" i="11"/>
  <c r="K3119" i="11"/>
  <c r="K3120" i="11"/>
  <c r="K3121" i="11"/>
  <c r="K3122" i="11"/>
  <c r="K3123" i="11"/>
  <c r="K3124" i="11"/>
  <c r="K3125" i="11"/>
  <c r="K3126" i="11"/>
  <c r="K3127" i="11"/>
  <c r="K3128" i="11"/>
  <c r="K3129" i="11"/>
  <c r="K3130" i="11"/>
  <c r="K3131" i="11"/>
  <c r="K3132" i="11"/>
  <c r="K3133" i="11"/>
  <c r="K3134" i="11"/>
  <c r="K3135" i="11"/>
  <c r="K3136" i="11"/>
  <c r="K3137" i="11"/>
  <c r="K3138" i="11"/>
  <c r="K3139" i="11"/>
  <c r="K3140" i="11"/>
  <c r="K3141" i="11"/>
  <c r="K3142" i="11"/>
  <c r="K3143" i="11"/>
  <c r="K3144" i="11"/>
  <c r="K3145" i="11"/>
  <c r="K3146" i="11"/>
  <c r="K3147" i="11"/>
  <c r="K3148" i="11"/>
  <c r="K3149" i="11"/>
  <c r="K3150" i="11"/>
  <c r="K3151" i="11"/>
  <c r="K3152" i="11"/>
  <c r="K3153" i="11"/>
  <c r="K3154" i="11"/>
  <c r="K3155" i="11"/>
  <c r="K3156" i="11"/>
  <c r="K3157" i="11"/>
  <c r="K3158" i="11"/>
  <c r="K3159" i="11"/>
  <c r="K3160" i="11"/>
  <c r="K3161" i="11"/>
  <c r="K3162" i="11"/>
  <c r="K3163" i="11"/>
  <c r="K3164" i="11"/>
  <c r="K3165" i="11"/>
  <c r="K3166" i="11"/>
  <c r="K3167" i="11"/>
  <c r="K3168" i="11"/>
  <c r="K3169" i="11"/>
  <c r="K3170" i="11"/>
  <c r="K3171" i="11"/>
  <c r="K3172" i="11"/>
  <c r="K3173" i="11"/>
  <c r="K3174" i="11"/>
  <c r="K3175" i="11"/>
  <c r="K3176" i="11"/>
  <c r="K3177" i="11"/>
  <c r="K3178" i="11"/>
  <c r="K3179" i="11"/>
  <c r="K3180" i="11"/>
  <c r="K3181" i="11"/>
  <c r="K3182" i="11"/>
  <c r="K3183" i="11"/>
  <c r="K3184" i="11"/>
  <c r="K3185" i="11"/>
  <c r="K3186" i="11"/>
  <c r="K3187" i="11"/>
  <c r="K3188" i="11"/>
  <c r="K3189" i="11"/>
  <c r="K3190" i="11"/>
  <c r="K3191" i="11"/>
  <c r="K3192" i="11"/>
  <c r="K3193" i="11"/>
  <c r="K3194" i="11"/>
  <c r="K3195" i="11"/>
  <c r="K3196" i="11"/>
  <c r="K3197" i="11"/>
  <c r="K3198" i="11"/>
  <c r="K3199" i="11"/>
  <c r="K3200" i="11"/>
  <c r="K3201" i="11"/>
  <c r="K3202" i="11"/>
  <c r="K3203" i="11"/>
  <c r="K3204" i="11"/>
  <c r="K3205" i="11"/>
  <c r="K3206" i="11"/>
  <c r="K3207" i="11"/>
  <c r="K3208" i="11"/>
  <c r="K3209" i="11"/>
  <c r="K3210" i="11"/>
  <c r="K3211" i="11"/>
  <c r="K3212" i="11"/>
  <c r="K3213" i="11"/>
  <c r="K3214" i="11"/>
  <c r="K3215" i="11"/>
  <c r="K3216" i="11"/>
  <c r="K3217" i="11"/>
  <c r="K3218" i="11"/>
  <c r="K3219" i="11"/>
  <c r="K3220" i="11"/>
  <c r="K3221" i="11"/>
  <c r="K3222" i="11"/>
  <c r="K3223" i="11"/>
  <c r="K3224" i="11"/>
  <c r="K3225" i="11"/>
  <c r="K3226" i="11"/>
  <c r="K3227" i="11"/>
  <c r="K3228" i="11"/>
  <c r="K3229" i="11"/>
  <c r="K3230" i="11"/>
  <c r="K3231" i="11"/>
  <c r="K3232" i="11"/>
  <c r="K3233" i="11"/>
  <c r="K3234" i="11"/>
  <c r="K3235" i="11"/>
  <c r="K3236" i="11"/>
  <c r="K3237" i="11"/>
  <c r="K3238" i="11"/>
  <c r="K3239" i="11"/>
  <c r="K3240" i="11"/>
  <c r="K3241" i="11"/>
  <c r="K3242" i="11"/>
  <c r="K3243" i="11"/>
  <c r="K3244" i="11"/>
  <c r="K3245" i="11"/>
  <c r="K3246" i="11"/>
  <c r="K3247" i="11"/>
  <c r="K3248" i="11"/>
  <c r="K3249" i="11"/>
  <c r="K3250" i="11"/>
  <c r="K3251" i="11"/>
  <c r="K3252" i="11"/>
  <c r="K3253" i="11"/>
  <c r="K3254" i="11"/>
  <c r="K3255" i="11"/>
  <c r="K3256" i="11"/>
  <c r="K3257" i="11"/>
  <c r="K3258" i="11"/>
  <c r="K3259" i="11"/>
  <c r="K3260" i="11"/>
  <c r="K3261" i="11"/>
  <c r="K3262" i="11"/>
  <c r="K3263" i="11"/>
  <c r="K3264" i="11"/>
  <c r="K3265" i="11"/>
  <c r="K3266" i="11"/>
  <c r="K3267" i="11"/>
  <c r="K3268" i="11"/>
  <c r="K3269" i="11"/>
  <c r="K3270" i="11"/>
  <c r="K3271" i="11"/>
  <c r="K3272" i="11"/>
  <c r="K3273" i="11"/>
  <c r="K3274" i="11"/>
  <c r="K3275" i="11"/>
  <c r="K3276" i="11"/>
  <c r="K3277" i="11"/>
  <c r="K3278" i="11"/>
  <c r="K3279" i="11"/>
  <c r="K3280" i="11"/>
  <c r="K3281" i="11"/>
  <c r="K3282" i="11"/>
  <c r="K3283" i="11"/>
  <c r="K3284" i="11"/>
  <c r="K3285" i="11"/>
  <c r="K3286" i="11"/>
  <c r="K3287" i="11"/>
  <c r="K3288" i="11"/>
  <c r="K3289" i="11"/>
  <c r="K3290" i="11"/>
  <c r="K3291" i="11"/>
  <c r="K3292" i="11"/>
  <c r="K3293" i="11"/>
  <c r="K3294" i="11"/>
  <c r="K3295" i="11"/>
  <c r="K3296" i="11"/>
  <c r="K3297" i="11"/>
  <c r="K3298" i="11"/>
  <c r="K3299" i="11"/>
  <c r="K3300" i="11"/>
  <c r="K3301" i="11"/>
  <c r="K3302" i="11"/>
  <c r="K3303" i="11"/>
  <c r="K3304" i="11"/>
  <c r="K3305" i="11"/>
  <c r="K3306" i="11"/>
  <c r="K3307" i="11"/>
  <c r="K3308" i="11"/>
  <c r="K3309" i="11"/>
  <c r="K3310" i="11"/>
  <c r="K3311" i="11"/>
  <c r="K3312" i="11"/>
  <c r="K3313" i="11"/>
  <c r="K3314" i="11"/>
  <c r="K3315" i="11"/>
  <c r="K3316" i="11"/>
  <c r="K3317" i="11"/>
  <c r="K3318" i="11"/>
  <c r="K3319" i="11"/>
  <c r="K3320" i="11"/>
  <c r="K3321" i="11"/>
  <c r="K3322" i="11"/>
  <c r="K3323" i="11"/>
  <c r="K3324" i="11"/>
  <c r="K3325" i="11"/>
  <c r="K3326" i="11"/>
  <c r="K3327" i="11"/>
  <c r="K3328" i="11"/>
  <c r="K3329" i="11"/>
  <c r="K3330" i="11"/>
  <c r="K3331" i="11"/>
  <c r="K3332" i="11"/>
  <c r="K3333" i="11"/>
  <c r="K3334" i="11"/>
  <c r="K3335" i="11"/>
  <c r="K3336" i="11"/>
  <c r="K3337" i="11"/>
  <c r="K3338" i="11"/>
  <c r="K3339" i="11"/>
  <c r="K3340" i="11"/>
  <c r="K3341" i="11"/>
  <c r="K3342" i="11"/>
  <c r="K3343" i="11"/>
  <c r="K3344" i="11"/>
  <c r="K3345" i="11"/>
  <c r="K3346" i="11"/>
  <c r="K3347" i="11"/>
  <c r="K3348" i="11"/>
  <c r="K3349" i="11"/>
  <c r="K3350" i="11"/>
  <c r="K3351" i="11"/>
  <c r="K3352" i="11"/>
  <c r="K3353" i="11"/>
  <c r="K3354" i="11"/>
  <c r="K3355" i="11"/>
  <c r="K3356" i="11"/>
  <c r="K3357" i="11"/>
  <c r="K3358" i="11"/>
  <c r="K3359" i="11"/>
  <c r="K3360" i="11"/>
  <c r="K3361" i="11"/>
  <c r="K3362" i="11"/>
  <c r="K3363" i="11"/>
  <c r="K3364" i="11"/>
  <c r="K3365" i="11"/>
  <c r="K3366" i="11"/>
  <c r="K3367" i="11"/>
  <c r="K3368" i="11"/>
  <c r="K3369" i="11"/>
  <c r="K3370" i="11"/>
  <c r="K3371" i="11"/>
  <c r="K3372" i="11"/>
  <c r="K3373" i="11"/>
  <c r="K3374" i="11"/>
  <c r="K3375" i="11"/>
  <c r="K3376" i="11"/>
  <c r="K3377" i="11"/>
  <c r="K3378" i="11"/>
  <c r="K3379" i="11"/>
  <c r="K3380" i="11"/>
  <c r="K3381" i="11"/>
  <c r="K3382" i="11"/>
  <c r="K3383" i="11"/>
  <c r="K3384" i="11"/>
  <c r="K3385" i="11"/>
  <c r="K3386" i="11"/>
  <c r="K3387" i="11"/>
  <c r="K3388" i="11"/>
  <c r="K3389" i="11"/>
  <c r="K3390" i="11"/>
  <c r="K3391" i="11"/>
  <c r="K3392" i="11"/>
  <c r="K3393" i="11"/>
  <c r="K3394" i="11"/>
  <c r="K3395" i="11"/>
  <c r="K3396" i="11"/>
  <c r="K3397" i="11"/>
  <c r="K3398" i="11"/>
  <c r="K3399" i="11"/>
  <c r="K3400" i="11"/>
  <c r="K3401" i="11"/>
  <c r="K3402" i="11"/>
  <c r="K3403" i="11"/>
  <c r="K3404" i="11"/>
  <c r="K3405" i="11"/>
  <c r="K3406" i="11"/>
  <c r="K3407" i="11"/>
  <c r="K3408" i="11"/>
  <c r="K3409" i="11"/>
  <c r="K3410" i="11"/>
  <c r="K3411" i="11"/>
  <c r="K3412" i="11"/>
  <c r="K3413" i="11"/>
  <c r="K3414" i="11"/>
  <c r="K3415" i="11"/>
  <c r="K3416" i="11"/>
  <c r="K3417" i="11"/>
  <c r="K3418" i="11"/>
  <c r="K3419" i="11"/>
  <c r="K3420" i="11"/>
  <c r="K3421" i="11"/>
  <c r="K3422" i="11"/>
  <c r="K3423" i="11"/>
  <c r="K3424" i="11"/>
  <c r="K3425" i="11"/>
  <c r="K3426" i="11"/>
  <c r="K3427" i="11"/>
  <c r="K3428" i="11"/>
  <c r="K3429" i="11"/>
  <c r="K3430" i="11"/>
  <c r="K3431" i="11"/>
  <c r="K3432" i="11"/>
  <c r="K3433" i="11"/>
  <c r="K3434" i="11"/>
  <c r="K3435" i="11"/>
  <c r="K3436" i="11"/>
  <c r="K3437" i="11"/>
  <c r="K3438" i="11"/>
  <c r="K3439" i="11"/>
  <c r="K3440" i="11"/>
  <c r="K3441" i="11"/>
  <c r="K3442" i="11"/>
  <c r="K3443" i="11"/>
  <c r="K3444" i="11"/>
  <c r="K3445" i="11"/>
  <c r="K3446" i="11"/>
  <c r="K3447" i="11"/>
  <c r="K3448" i="11"/>
  <c r="K3449" i="11"/>
  <c r="K3450" i="11"/>
  <c r="K3451" i="11"/>
  <c r="K3452" i="11"/>
  <c r="K3453" i="11"/>
  <c r="K3454" i="11"/>
  <c r="K3455" i="11"/>
  <c r="K3456" i="11"/>
  <c r="K3457" i="11"/>
  <c r="K3458" i="11"/>
  <c r="K3459" i="11"/>
  <c r="K3460" i="11"/>
  <c r="K3461" i="11"/>
  <c r="K3462" i="11"/>
  <c r="K3463" i="11"/>
  <c r="K3464" i="11"/>
  <c r="K3465" i="11"/>
  <c r="K3466" i="11"/>
  <c r="K3467" i="11"/>
  <c r="K3468" i="11"/>
  <c r="K3469" i="11"/>
  <c r="K3470" i="11"/>
  <c r="K3471" i="11"/>
  <c r="K3472" i="11"/>
  <c r="K3473" i="11"/>
  <c r="K3474" i="11"/>
  <c r="K3475" i="11"/>
  <c r="K3476" i="11"/>
  <c r="K3477" i="11"/>
  <c r="K3478" i="11"/>
  <c r="K3479" i="11"/>
  <c r="K3480" i="11"/>
  <c r="K3481" i="11"/>
  <c r="K3482" i="11"/>
  <c r="K3483" i="11"/>
  <c r="K3484" i="11"/>
  <c r="K3485" i="11"/>
  <c r="K3486" i="11"/>
  <c r="K3487" i="11"/>
  <c r="K3488" i="11"/>
  <c r="K3489" i="11"/>
  <c r="K3490" i="11"/>
  <c r="K3491" i="11"/>
  <c r="K3492" i="11"/>
  <c r="K3493" i="11"/>
  <c r="K3494" i="11"/>
  <c r="K3495" i="11"/>
  <c r="K3496" i="11"/>
  <c r="K3497" i="11"/>
  <c r="K3498" i="11"/>
  <c r="K3499" i="11"/>
  <c r="K3500" i="11"/>
  <c r="K3501" i="11"/>
  <c r="K3502" i="11"/>
  <c r="K3503" i="11"/>
  <c r="K3504" i="11"/>
  <c r="K3505" i="11"/>
  <c r="K3506" i="11"/>
  <c r="K3507" i="11"/>
  <c r="K3508" i="11"/>
  <c r="K3509" i="11"/>
  <c r="K3510" i="11"/>
  <c r="K3511" i="11"/>
  <c r="K3512" i="11"/>
  <c r="K3513" i="11"/>
  <c r="K3514" i="11"/>
  <c r="K3515" i="11"/>
  <c r="K3516" i="11"/>
  <c r="K3517" i="11"/>
  <c r="K3518" i="11"/>
  <c r="K3519" i="11"/>
  <c r="K3520" i="11"/>
  <c r="K3521" i="11"/>
  <c r="K3522" i="11"/>
  <c r="K3523" i="11"/>
  <c r="K3524" i="11"/>
  <c r="K3525" i="11"/>
  <c r="K3526" i="11"/>
  <c r="K3527" i="11"/>
  <c r="K3528" i="11"/>
  <c r="K3529" i="11"/>
  <c r="K3530" i="11"/>
  <c r="K3531" i="11"/>
  <c r="K3532" i="11"/>
  <c r="K3533" i="11"/>
  <c r="K3534" i="11"/>
  <c r="K3535" i="11"/>
  <c r="K3536" i="11"/>
  <c r="K3537" i="11"/>
  <c r="K3538" i="11"/>
  <c r="K3539" i="11"/>
  <c r="K3540" i="11"/>
  <c r="K3541" i="11"/>
  <c r="K3542" i="11"/>
  <c r="K3543" i="11"/>
  <c r="K3544" i="11"/>
  <c r="K3545" i="11"/>
  <c r="K3546" i="11"/>
  <c r="K3547" i="11"/>
  <c r="K3548" i="11"/>
  <c r="K3549" i="11"/>
  <c r="K3550" i="11"/>
  <c r="K3551" i="11"/>
  <c r="K3552" i="11"/>
  <c r="K3553" i="11"/>
  <c r="K3554" i="11"/>
  <c r="K3555" i="11"/>
  <c r="K3556" i="11"/>
  <c r="K3557" i="11"/>
  <c r="K3558" i="11"/>
  <c r="K3559" i="11"/>
  <c r="K3560" i="11"/>
  <c r="K3561" i="11"/>
  <c r="K3562" i="11"/>
  <c r="K3563" i="11"/>
  <c r="K3564" i="11"/>
  <c r="K3565" i="11"/>
  <c r="K3566" i="11"/>
  <c r="K3567" i="11"/>
  <c r="K3568" i="11"/>
  <c r="K3569" i="11"/>
  <c r="K3570" i="11"/>
  <c r="K3571" i="11"/>
  <c r="K3572" i="11"/>
  <c r="K3573" i="11"/>
  <c r="K3574" i="11"/>
  <c r="K3575" i="11"/>
  <c r="K3576" i="11"/>
  <c r="K3577" i="11"/>
  <c r="K3578" i="11"/>
  <c r="K3579" i="11"/>
  <c r="K3580" i="11"/>
  <c r="K3581" i="11"/>
  <c r="K3582" i="11"/>
  <c r="K3583" i="11"/>
  <c r="K3584" i="11"/>
  <c r="K3585" i="11"/>
  <c r="K3586" i="11"/>
  <c r="K3587" i="11"/>
  <c r="K3588" i="11"/>
  <c r="K3589" i="11"/>
  <c r="K3590" i="11"/>
  <c r="K3591" i="11"/>
  <c r="K3592" i="11"/>
  <c r="K3593" i="11"/>
  <c r="K3594" i="11"/>
  <c r="K3595" i="11"/>
  <c r="K3596" i="11"/>
  <c r="K3597" i="11"/>
  <c r="K3598" i="11"/>
  <c r="K3599" i="11"/>
  <c r="K3600" i="11"/>
  <c r="K3601" i="11"/>
  <c r="K3602" i="11"/>
  <c r="K3603" i="11"/>
  <c r="K3604" i="11"/>
  <c r="K3605" i="11"/>
  <c r="K3606" i="11"/>
  <c r="K3607" i="11"/>
  <c r="K3608" i="11"/>
  <c r="K3609" i="11"/>
  <c r="K3610" i="11"/>
  <c r="K3611" i="11"/>
  <c r="K3612" i="11"/>
  <c r="K3613" i="11"/>
  <c r="K3614" i="11"/>
  <c r="K3615" i="11"/>
  <c r="K3616" i="11"/>
  <c r="K3617" i="11"/>
  <c r="K3618" i="11"/>
  <c r="K3619" i="11"/>
  <c r="K3620" i="11"/>
  <c r="K3621" i="11"/>
  <c r="K3622" i="11"/>
  <c r="K3623" i="11"/>
  <c r="K3624" i="11"/>
  <c r="K3625" i="11"/>
  <c r="K3626" i="11"/>
  <c r="K3627" i="11"/>
  <c r="K3628" i="11"/>
  <c r="K3629" i="11"/>
  <c r="K3630" i="11"/>
  <c r="K3631" i="11"/>
  <c r="K3632" i="11"/>
  <c r="K3633" i="11"/>
  <c r="K3634" i="11"/>
  <c r="K3635" i="11"/>
  <c r="K3636" i="11"/>
  <c r="K3637" i="11"/>
  <c r="K3638" i="11"/>
  <c r="K3639" i="11"/>
  <c r="K3640" i="11"/>
  <c r="K3641" i="11"/>
  <c r="K3642" i="11"/>
  <c r="K3643" i="11"/>
  <c r="K3644" i="11"/>
  <c r="K3645" i="11"/>
  <c r="K3646" i="11"/>
  <c r="K3647" i="11"/>
  <c r="K3648" i="11"/>
  <c r="K3649" i="11"/>
  <c r="K3650" i="11"/>
  <c r="K3651" i="11"/>
  <c r="K3652" i="11"/>
  <c r="K3653" i="11"/>
  <c r="K3654" i="11"/>
  <c r="K3655" i="11"/>
  <c r="K3656" i="11"/>
  <c r="K3657" i="11"/>
  <c r="K3658" i="11"/>
  <c r="K3659" i="11"/>
  <c r="K3660" i="11"/>
  <c r="K3661" i="11"/>
  <c r="K3662" i="11"/>
  <c r="K3663" i="11"/>
  <c r="K3664" i="11"/>
  <c r="K3665" i="11"/>
  <c r="K3666" i="11"/>
  <c r="K3667" i="11"/>
  <c r="K3668" i="11"/>
  <c r="K3669" i="11"/>
  <c r="K3670" i="11"/>
  <c r="K3671" i="11"/>
  <c r="K3672" i="11"/>
  <c r="K3673" i="11"/>
  <c r="K3674" i="11"/>
  <c r="K3675" i="11"/>
  <c r="K3676" i="11"/>
  <c r="K3677" i="11"/>
  <c r="K3678" i="11"/>
  <c r="K3679" i="11"/>
  <c r="K3680" i="11"/>
  <c r="K3681" i="11"/>
  <c r="K3682" i="11"/>
  <c r="K3683" i="11"/>
  <c r="K3684" i="11"/>
  <c r="K3685" i="11"/>
  <c r="K3686" i="11"/>
  <c r="K3687" i="11"/>
  <c r="K3688" i="11"/>
  <c r="K3689" i="11"/>
  <c r="K3690" i="11"/>
  <c r="K3691" i="11"/>
  <c r="K3692" i="11"/>
  <c r="K3693" i="11"/>
  <c r="K3694" i="11"/>
  <c r="K3695" i="11"/>
  <c r="K3696" i="11"/>
  <c r="K3697" i="11"/>
  <c r="K3698" i="11"/>
  <c r="K3699" i="11"/>
  <c r="K3700" i="11"/>
  <c r="K3701" i="11"/>
  <c r="K3702" i="11"/>
  <c r="K3703" i="11"/>
  <c r="K3704" i="11"/>
  <c r="K3705" i="11"/>
  <c r="K3706" i="11"/>
  <c r="K3707" i="11"/>
  <c r="K3708" i="11"/>
  <c r="K3709" i="11"/>
  <c r="K3710" i="11"/>
  <c r="K3711" i="11"/>
  <c r="K3712" i="11"/>
  <c r="K3713" i="11"/>
  <c r="K3714" i="11"/>
  <c r="K3715" i="11"/>
  <c r="K3716" i="11"/>
  <c r="K3717" i="11"/>
  <c r="K3718" i="11"/>
  <c r="K3719" i="11"/>
  <c r="K3720" i="11"/>
  <c r="K3721" i="11"/>
  <c r="K3722" i="11"/>
  <c r="K3723" i="11"/>
  <c r="K3724" i="11"/>
  <c r="K3725" i="11"/>
  <c r="K3726" i="11"/>
  <c r="K3727" i="11"/>
  <c r="K3728" i="11"/>
  <c r="K3729" i="11"/>
  <c r="K3730" i="11"/>
  <c r="K3731" i="11"/>
  <c r="K3732" i="11"/>
  <c r="K3733" i="11"/>
  <c r="K3734" i="11"/>
  <c r="K3735" i="11"/>
  <c r="K3736" i="11"/>
  <c r="K3737" i="11"/>
  <c r="K3738" i="11"/>
  <c r="K3739" i="11"/>
  <c r="K3740" i="11"/>
  <c r="K3741" i="11"/>
  <c r="K3742" i="11"/>
  <c r="K3743" i="11"/>
  <c r="K3744" i="11"/>
  <c r="K3745" i="11"/>
  <c r="K3746" i="11"/>
  <c r="K3747" i="11"/>
  <c r="K3748" i="11"/>
  <c r="K3749" i="11"/>
  <c r="K3750" i="11"/>
  <c r="K3751" i="11"/>
  <c r="K3752" i="11"/>
  <c r="K3753" i="11"/>
  <c r="K3754" i="11"/>
  <c r="K3755" i="11"/>
  <c r="K3756" i="11"/>
  <c r="K3757" i="11"/>
  <c r="K3758" i="11"/>
  <c r="K3759" i="11"/>
  <c r="K3760" i="11"/>
  <c r="K3761" i="11"/>
  <c r="K3762" i="11"/>
  <c r="K3763" i="11"/>
  <c r="K3764" i="11"/>
  <c r="K3765" i="11"/>
  <c r="K3766" i="11"/>
  <c r="K3767" i="11"/>
  <c r="K3768" i="11"/>
  <c r="K3769" i="11"/>
  <c r="K3770" i="11"/>
  <c r="K3771" i="11"/>
  <c r="K3772" i="11"/>
  <c r="K3773" i="11"/>
  <c r="K3774" i="11"/>
  <c r="K3775" i="11"/>
  <c r="K3776" i="11"/>
  <c r="K3777" i="11"/>
  <c r="K3778" i="11"/>
  <c r="K3779" i="11"/>
  <c r="K3780" i="11"/>
  <c r="K3781" i="11"/>
  <c r="K3782" i="11"/>
  <c r="K3783" i="11"/>
  <c r="K3784" i="11"/>
  <c r="K3785" i="11"/>
  <c r="K3786" i="11"/>
  <c r="K3787" i="11"/>
  <c r="K3788" i="11"/>
  <c r="K3789" i="11"/>
  <c r="K3790" i="11"/>
  <c r="K3791" i="11"/>
  <c r="K3792" i="11"/>
  <c r="K3793" i="11"/>
  <c r="K3794" i="11"/>
  <c r="K3795" i="11"/>
  <c r="K3796" i="11"/>
  <c r="K3797" i="11"/>
  <c r="K3798" i="11"/>
  <c r="K3799" i="11"/>
  <c r="K3800" i="11"/>
  <c r="K3801" i="11"/>
  <c r="K3802" i="11"/>
  <c r="K3803" i="11"/>
  <c r="K3804" i="11"/>
  <c r="K3805" i="11"/>
  <c r="K3806" i="11"/>
  <c r="K3807" i="11"/>
  <c r="K3808" i="11"/>
  <c r="K3809" i="11"/>
  <c r="K3810" i="11"/>
  <c r="K3811" i="11"/>
  <c r="K3812" i="11"/>
  <c r="K3813" i="11"/>
  <c r="K3814" i="11"/>
  <c r="K3815" i="11"/>
  <c r="K3816" i="11"/>
  <c r="K3817" i="11"/>
  <c r="K3818" i="11"/>
  <c r="K3819" i="11"/>
  <c r="K3820" i="11"/>
  <c r="K3821" i="11"/>
  <c r="K3822" i="11"/>
  <c r="K3823" i="11"/>
  <c r="K3824" i="11"/>
  <c r="K3825" i="11"/>
  <c r="K3826" i="11"/>
  <c r="K3827" i="11"/>
  <c r="K3828" i="11"/>
  <c r="K3829" i="11"/>
  <c r="K3830" i="11"/>
  <c r="K3831" i="11"/>
  <c r="K3832" i="11"/>
  <c r="K3833" i="11"/>
  <c r="K3834" i="11"/>
  <c r="K3835" i="11"/>
  <c r="K3836" i="11"/>
  <c r="K3837" i="11"/>
  <c r="K3838" i="11"/>
  <c r="K3839" i="11"/>
  <c r="K3840" i="11"/>
  <c r="K3841" i="11"/>
  <c r="K3842" i="11"/>
  <c r="K3843" i="11"/>
  <c r="K3844" i="11"/>
  <c r="K3845" i="11"/>
  <c r="K3846" i="11"/>
  <c r="K3847" i="11"/>
  <c r="K3848" i="11"/>
  <c r="K3849" i="11"/>
  <c r="K3850" i="11"/>
  <c r="K3851" i="11"/>
  <c r="K3852" i="11"/>
  <c r="K3853" i="11"/>
  <c r="K3854" i="11"/>
  <c r="K3855" i="11"/>
  <c r="K3856" i="11"/>
  <c r="K3857" i="11"/>
  <c r="K3858" i="11"/>
  <c r="K3859" i="11"/>
  <c r="K3860" i="11"/>
  <c r="K3861" i="11"/>
  <c r="K3862" i="11"/>
  <c r="K3863" i="11"/>
  <c r="K3864" i="11"/>
  <c r="K3865" i="11"/>
  <c r="K3866" i="11"/>
  <c r="K3867" i="11"/>
  <c r="K3868" i="11"/>
  <c r="K3869" i="11"/>
  <c r="K3870" i="11"/>
  <c r="K3871" i="11"/>
  <c r="K3872" i="11"/>
  <c r="K3873" i="11"/>
  <c r="K3874" i="11"/>
  <c r="K3875" i="11"/>
  <c r="K3876" i="11"/>
  <c r="K3877" i="11"/>
  <c r="K3878" i="11"/>
  <c r="K3879" i="11"/>
  <c r="K3880" i="11"/>
  <c r="K3881" i="11"/>
  <c r="K3882" i="11"/>
  <c r="K3883" i="11"/>
  <c r="K3884" i="11"/>
  <c r="K3885" i="11"/>
  <c r="K3886" i="11"/>
  <c r="K3887" i="11"/>
  <c r="K3888" i="11"/>
  <c r="K3889" i="11"/>
  <c r="L3890" i="11"/>
  <c r="M3890" i="11"/>
  <c r="N3890" i="11"/>
  <c r="O5" i="11"/>
  <c r="O6" i="11"/>
  <c r="O7" i="11"/>
  <c r="O8" i="11"/>
  <c r="O9" i="11"/>
  <c r="O10" i="11"/>
  <c r="O11" i="11"/>
  <c r="O12" i="11"/>
  <c r="O13" i="11"/>
  <c r="O14" i="11"/>
  <c r="O15" i="11"/>
  <c r="O16" i="11"/>
  <c r="O17" i="11"/>
  <c r="O18" i="11"/>
  <c r="O19" i="11"/>
  <c r="O20" i="11"/>
  <c r="O21" i="11"/>
  <c r="O22" i="11"/>
  <c r="O23" i="11"/>
  <c r="O24" i="11"/>
  <c r="O25" i="11"/>
  <c r="O26" i="11"/>
  <c r="O27" i="11"/>
  <c r="O28" i="11"/>
  <c r="O29" i="11"/>
  <c r="O30" i="11"/>
  <c r="O31" i="11"/>
  <c r="O32" i="11"/>
  <c r="O33" i="11"/>
  <c r="O34" i="11"/>
  <c r="O35" i="11"/>
  <c r="O36" i="11"/>
  <c r="O37" i="11"/>
  <c r="O38" i="11"/>
  <c r="O39" i="11"/>
  <c r="O40" i="11"/>
  <c r="O41" i="11"/>
  <c r="O42" i="11"/>
  <c r="O43" i="11"/>
  <c r="O44" i="11"/>
  <c r="O45" i="11"/>
  <c r="O46" i="11"/>
  <c r="O47" i="11"/>
  <c r="O48" i="11"/>
  <c r="O49" i="11"/>
  <c r="O50" i="11"/>
  <c r="O51" i="11"/>
  <c r="O52" i="11"/>
  <c r="O53" i="11"/>
  <c r="O54" i="11"/>
  <c r="O55" i="11"/>
  <c r="O56" i="11"/>
  <c r="O57" i="11"/>
  <c r="O58" i="11"/>
  <c r="O59" i="11"/>
  <c r="O60" i="11"/>
  <c r="O61" i="11"/>
  <c r="O62" i="11"/>
  <c r="O63" i="11"/>
  <c r="O64" i="11"/>
  <c r="O65" i="11"/>
  <c r="O66" i="11"/>
  <c r="O67" i="11"/>
  <c r="O68" i="11"/>
  <c r="O69" i="11"/>
  <c r="O70" i="11"/>
  <c r="O71" i="11"/>
  <c r="O72" i="11"/>
  <c r="O73" i="11"/>
  <c r="O74" i="11"/>
  <c r="O75" i="11"/>
  <c r="O76" i="11"/>
  <c r="O77" i="11"/>
  <c r="O78" i="11"/>
  <c r="O79" i="11"/>
  <c r="O80" i="11"/>
  <c r="O81" i="11"/>
  <c r="O82" i="11"/>
  <c r="O83" i="11"/>
  <c r="O84" i="11"/>
  <c r="O85" i="11"/>
  <c r="O86" i="11"/>
  <c r="O87" i="11"/>
  <c r="O88" i="11"/>
  <c r="O89" i="11"/>
  <c r="O90" i="11"/>
  <c r="O91" i="11"/>
  <c r="O92" i="11"/>
  <c r="O93" i="11"/>
  <c r="O94" i="11"/>
  <c r="O95" i="11"/>
  <c r="O96" i="11"/>
  <c r="O97" i="11"/>
  <c r="O98" i="11"/>
  <c r="O99" i="11"/>
  <c r="O100" i="11"/>
  <c r="O101" i="11"/>
  <c r="O102" i="11"/>
  <c r="O103" i="11"/>
  <c r="O104" i="11"/>
  <c r="O105" i="11"/>
  <c r="O106" i="11"/>
  <c r="O107" i="11"/>
  <c r="O108" i="11"/>
  <c r="O109" i="11"/>
  <c r="O110" i="11"/>
  <c r="O111" i="11"/>
  <c r="O112" i="11"/>
  <c r="O113" i="11"/>
  <c r="O114" i="11"/>
  <c r="O115" i="11"/>
  <c r="O116" i="11"/>
  <c r="O117" i="11"/>
  <c r="O118" i="11"/>
  <c r="O119" i="11"/>
  <c r="O120" i="11"/>
  <c r="O121" i="11"/>
  <c r="O122" i="11"/>
  <c r="O123" i="11"/>
  <c r="O124" i="11"/>
  <c r="O125" i="11"/>
  <c r="O126" i="11"/>
  <c r="O127" i="11"/>
  <c r="O128" i="11"/>
  <c r="O129" i="11"/>
  <c r="O130" i="11"/>
  <c r="O131" i="11"/>
  <c r="O132" i="11"/>
  <c r="O133" i="11"/>
  <c r="O134" i="11"/>
  <c r="O135" i="11"/>
  <c r="O136" i="11"/>
  <c r="O137" i="11"/>
  <c r="O138" i="11"/>
  <c r="O139" i="11"/>
  <c r="O140" i="11"/>
  <c r="O141" i="11"/>
  <c r="O142" i="11"/>
  <c r="O143" i="11"/>
  <c r="O144" i="11"/>
  <c r="O145" i="11"/>
  <c r="O146" i="11"/>
  <c r="O147" i="11"/>
  <c r="O148" i="11"/>
  <c r="O149" i="11"/>
  <c r="O150" i="11"/>
  <c r="O151" i="11"/>
  <c r="O152" i="11"/>
  <c r="O153" i="11"/>
  <c r="O154" i="11"/>
  <c r="O155" i="11"/>
  <c r="O156" i="11"/>
  <c r="O157" i="11"/>
  <c r="O158" i="11"/>
  <c r="O159" i="11"/>
  <c r="O160" i="11"/>
  <c r="O161" i="11"/>
  <c r="O162" i="11"/>
  <c r="O163" i="11"/>
  <c r="O164" i="11"/>
  <c r="O165" i="11"/>
  <c r="O166" i="11"/>
  <c r="O167" i="11"/>
  <c r="O168" i="11"/>
  <c r="O169" i="11"/>
  <c r="O170" i="11"/>
  <c r="O171" i="11"/>
  <c r="O172" i="11"/>
  <c r="O173" i="11"/>
  <c r="O174" i="11"/>
  <c r="O175" i="11"/>
  <c r="O176" i="11"/>
  <c r="O177" i="11"/>
  <c r="O178" i="11"/>
  <c r="O179" i="11"/>
  <c r="O180" i="11"/>
  <c r="O181" i="11"/>
  <c r="O182" i="11"/>
  <c r="O183" i="11"/>
  <c r="O184" i="11"/>
  <c r="O185" i="11"/>
  <c r="O186" i="11"/>
  <c r="O187" i="11"/>
  <c r="O188" i="11"/>
  <c r="O189" i="11"/>
  <c r="O190" i="11"/>
  <c r="O191" i="11"/>
  <c r="O192" i="11"/>
  <c r="O193" i="11"/>
  <c r="O194" i="11"/>
  <c r="O195" i="11"/>
  <c r="O196" i="11"/>
  <c r="O197" i="11"/>
  <c r="O198" i="11"/>
  <c r="O199" i="11"/>
  <c r="O200" i="11"/>
  <c r="O201" i="11"/>
  <c r="O202" i="11"/>
  <c r="O203" i="11"/>
  <c r="O204" i="11"/>
  <c r="O205" i="11"/>
  <c r="O206" i="11"/>
  <c r="O207" i="11"/>
  <c r="O208" i="11"/>
  <c r="O209" i="11"/>
  <c r="O210" i="11"/>
  <c r="O211" i="11"/>
  <c r="O212" i="11"/>
  <c r="O213" i="11"/>
  <c r="O214" i="11"/>
  <c r="O215" i="11"/>
  <c r="O216" i="11"/>
  <c r="O217" i="11"/>
  <c r="O218" i="11"/>
  <c r="O219" i="11"/>
  <c r="O220" i="11"/>
  <c r="O221" i="11"/>
  <c r="O222" i="11"/>
  <c r="O223" i="11"/>
  <c r="O224" i="11"/>
  <c r="O225" i="11"/>
  <c r="O226" i="11"/>
  <c r="O227" i="11"/>
  <c r="O228" i="11"/>
  <c r="O229" i="11"/>
  <c r="O230" i="11"/>
  <c r="O231" i="11"/>
  <c r="O232" i="11"/>
  <c r="O233" i="11"/>
  <c r="O234" i="11"/>
  <c r="O235" i="11"/>
  <c r="O236" i="11"/>
  <c r="O237" i="11"/>
  <c r="O238" i="11"/>
  <c r="O239" i="11"/>
  <c r="O240" i="11"/>
  <c r="O241" i="11"/>
  <c r="O242" i="11"/>
  <c r="O243" i="11"/>
  <c r="O244" i="11"/>
  <c r="O245" i="11"/>
  <c r="O246" i="11"/>
  <c r="O247" i="11"/>
  <c r="O248" i="11"/>
  <c r="O249" i="11"/>
  <c r="O250" i="11"/>
  <c r="O251" i="11"/>
  <c r="O252" i="11"/>
  <c r="O253" i="11"/>
  <c r="O254" i="11"/>
  <c r="O255" i="11"/>
  <c r="O256" i="11"/>
  <c r="O257" i="11"/>
  <c r="O258" i="11"/>
  <c r="O259" i="11"/>
  <c r="O260" i="11"/>
  <c r="O261" i="11"/>
  <c r="O262" i="11"/>
  <c r="O263" i="11"/>
  <c r="O264" i="11"/>
  <c r="O265" i="11"/>
  <c r="O266" i="11"/>
  <c r="O267" i="11"/>
  <c r="O268" i="11"/>
  <c r="O269" i="11"/>
  <c r="O270" i="11"/>
  <c r="O271" i="11"/>
  <c r="O272" i="11"/>
  <c r="O273" i="11"/>
  <c r="O274" i="11"/>
  <c r="O275" i="11"/>
  <c r="O276" i="11"/>
  <c r="O277" i="11"/>
  <c r="O278" i="11"/>
  <c r="O279" i="11"/>
  <c r="O280" i="11"/>
  <c r="O281" i="11"/>
  <c r="O282" i="11"/>
  <c r="O283" i="11"/>
  <c r="O284" i="11"/>
  <c r="O285" i="11"/>
  <c r="O286" i="11"/>
  <c r="O287" i="11"/>
  <c r="O288" i="11"/>
  <c r="O289" i="11"/>
  <c r="O290" i="11"/>
  <c r="O291" i="11"/>
  <c r="O292" i="11"/>
  <c r="O293" i="11"/>
  <c r="O294" i="11"/>
  <c r="O295" i="11"/>
  <c r="O296" i="11"/>
  <c r="O297" i="11"/>
  <c r="O298" i="11"/>
  <c r="O299" i="11"/>
  <c r="O300" i="11"/>
  <c r="O301" i="11"/>
  <c r="O302" i="11"/>
  <c r="O303" i="11"/>
  <c r="O304" i="11"/>
  <c r="O305" i="11"/>
  <c r="O306" i="11"/>
  <c r="O307" i="11"/>
  <c r="O308" i="11"/>
  <c r="O309" i="11"/>
  <c r="O310" i="11"/>
  <c r="O311" i="11"/>
  <c r="O312" i="11"/>
  <c r="O313" i="11"/>
  <c r="O314" i="11"/>
  <c r="O315" i="11"/>
  <c r="O316" i="11"/>
  <c r="O317" i="11"/>
  <c r="O318" i="11"/>
  <c r="O319" i="11"/>
  <c r="O320" i="11"/>
  <c r="O321" i="11"/>
  <c r="O322" i="11"/>
  <c r="O323" i="11"/>
  <c r="O324" i="11"/>
  <c r="O325" i="11"/>
  <c r="O326" i="11"/>
  <c r="O327" i="11"/>
  <c r="O328" i="11"/>
  <c r="O329" i="11"/>
  <c r="O330" i="11"/>
  <c r="O331" i="11"/>
  <c r="O332" i="11"/>
  <c r="O333" i="11"/>
  <c r="O334" i="11"/>
  <c r="O335" i="11"/>
  <c r="O336" i="11"/>
  <c r="O337" i="11"/>
  <c r="O338" i="11"/>
  <c r="O339" i="11"/>
  <c r="O340" i="11"/>
  <c r="O341" i="11"/>
  <c r="O342" i="11"/>
  <c r="O343" i="11"/>
  <c r="O344" i="11"/>
  <c r="O345" i="11"/>
  <c r="O346" i="11"/>
  <c r="O347" i="11"/>
  <c r="O348" i="11"/>
  <c r="O349" i="11"/>
  <c r="O350" i="11"/>
  <c r="O351" i="11"/>
  <c r="O352" i="11"/>
  <c r="O353" i="11"/>
  <c r="O354" i="11"/>
  <c r="O355" i="11"/>
  <c r="O356" i="11"/>
  <c r="O357" i="11"/>
  <c r="O358" i="11"/>
  <c r="O359" i="11"/>
  <c r="O360" i="11"/>
  <c r="O361" i="11"/>
  <c r="O362" i="11"/>
  <c r="O363" i="11"/>
  <c r="O364" i="11"/>
  <c r="O365" i="11"/>
  <c r="O366" i="11"/>
  <c r="O367" i="11"/>
  <c r="O368" i="11"/>
  <c r="O369" i="11"/>
  <c r="O370" i="11"/>
  <c r="O371" i="11"/>
  <c r="O372" i="11"/>
  <c r="O373" i="11"/>
  <c r="O374" i="11"/>
  <c r="O375" i="11"/>
  <c r="O376" i="11"/>
  <c r="O377" i="11"/>
  <c r="O378" i="11"/>
  <c r="O379" i="11"/>
  <c r="O380" i="11"/>
  <c r="O381" i="11"/>
  <c r="O382" i="11"/>
  <c r="O383" i="11"/>
  <c r="O384" i="11"/>
  <c r="O385" i="11"/>
  <c r="O386" i="11"/>
  <c r="O387" i="11"/>
  <c r="O388" i="11"/>
  <c r="O389" i="11"/>
  <c r="O390" i="11"/>
  <c r="O391" i="11"/>
  <c r="O392" i="11"/>
  <c r="O393" i="11"/>
  <c r="O394" i="11"/>
  <c r="O395" i="11"/>
  <c r="O396" i="11"/>
  <c r="O397" i="11"/>
  <c r="O398" i="11"/>
  <c r="O399" i="11"/>
  <c r="O400" i="11"/>
  <c r="O401" i="11"/>
  <c r="O402" i="11"/>
  <c r="O403" i="11"/>
  <c r="O404" i="11"/>
  <c r="O405" i="11"/>
  <c r="O406" i="11"/>
  <c r="O407" i="11"/>
  <c r="O408" i="11"/>
  <c r="O409" i="11"/>
  <c r="O410" i="11"/>
  <c r="O411" i="11"/>
  <c r="O412" i="11"/>
  <c r="O413" i="11"/>
  <c r="O414" i="11"/>
  <c r="O415" i="11"/>
  <c r="O416" i="11"/>
  <c r="O417" i="11"/>
  <c r="O418" i="11"/>
  <c r="O419" i="11"/>
  <c r="O420" i="11"/>
  <c r="O421" i="11"/>
  <c r="O422" i="11"/>
  <c r="O423" i="11"/>
  <c r="O424" i="11"/>
  <c r="O425" i="11"/>
  <c r="O426" i="11"/>
  <c r="O427" i="11"/>
  <c r="O428" i="11"/>
  <c r="O429" i="11"/>
  <c r="O430" i="11"/>
  <c r="O431" i="11"/>
  <c r="O432" i="11"/>
  <c r="O433" i="11"/>
  <c r="O434" i="11"/>
  <c r="O435" i="11"/>
  <c r="O436" i="11"/>
  <c r="O437" i="11"/>
  <c r="O438" i="11"/>
  <c r="O439" i="11"/>
  <c r="O440" i="11"/>
  <c r="O441" i="11"/>
  <c r="O442" i="11"/>
  <c r="O443" i="11"/>
  <c r="O444" i="11"/>
  <c r="O445" i="11"/>
  <c r="O446" i="11"/>
  <c r="O447" i="11"/>
  <c r="O448" i="11"/>
  <c r="O449" i="11"/>
  <c r="O450" i="11"/>
  <c r="O451" i="11"/>
  <c r="O452" i="11"/>
  <c r="O453" i="11"/>
  <c r="O454" i="11"/>
  <c r="O455" i="11"/>
  <c r="O456" i="11"/>
  <c r="O457" i="11"/>
  <c r="O458" i="11"/>
  <c r="O459" i="11"/>
  <c r="O460" i="11"/>
  <c r="O461" i="11"/>
  <c r="O462" i="11"/>
  <c r="O463" i="11"/>
  <c r="O464" i="11"/>
  <c r="O465" i="11"/>
  <c r="O466" i="11"/>
  <c r="O467" i="11"/>
  <c r="O468" i="11"/>
  <c r="O469" i="11"/>
  <c r="O470" i="11"/>
  <c r="O471" i="11"/>
  <c r="O472" i="11"/>
  <c r="O473" i="11"/>
  <c r="O474" i="11"/>
  <c r="O475" i="11"/>
  <c r="O476" i="11"/>
  <c r="O477" i="11"/>
  <c r="O478" i="11"/>
  <c r="O479" i="11"/>
  <c r="O480" i="11"/>
  <c r="O481" i="11"/>
  <c r="O482" i="11"/>
  <c r="O483" i="11"/>
  <c r="O484" i="11"/>
  <c r="O485" i="11"/>
  <c r="O486" i="11"/>
  <c r="O487" i="11"/>
  <c r="O488" i="11"/>
  <c r="O489" i="11"/>
  <c r="O490" i="11"/>
  <c r="O491" i="11"/>
  <c r="O492" i="11"/>
  <c r="O493" i="11"/>
  <c r="O494" i="11"/>
  <c r="O495" i="11"/>
  <c r="O496" i="11"/>
  <c r="O497" i="11"/>
  <c r="O498" i="11"/>
  <c r="O499" i="11"/>
  <c r="O500" i="11"/>
  <c r="O501" i="11"/>
  <c r="O502" i="11"/>
  <c r="O503" i="11"/>
  <c r="O504" i="11"/>
  <c r="O505" i="11"/>
  <c r="O506" i="11"/>
  <c r="O507" i="11"/>
  <c r="O508" i="11"/>
  <c r="O509" i="11"/>
  <c r="O510" i="11"/>
  <c r="O511" i="11"/>
  <c r="O512" i="11"/>
  <c r="O513" i="11"/>
  <c r="O514" i="11"/>
  <c r="O515" i="11"/>
  <c r="O516" i="11"/>
  <c r="O517" i="11"/>
  <c r="O518" i="11"/>
  <c r="O519" i="11"/>
  <c r="O520" i="11"/>
  <c r="O521" i="11"/>
  <c r="O522" i="11"/>
  <c r="O523" i="11"/>
  <c r="O524" i="11"/>
  <c r="O525" i="11"/>
  <c r="O526" i="11"/>
  <c r="O527" i="11"/>
  <c r="O528" i="11"/>
  <c r="O529" i="11"/>
  <c r="O530" i="11"/>
  <c r="O531" i="11"/>
  <c r="O532" i="11"/>
  <c r="O533" i="11"/>
  <c r="O534" i="11"/>
  <c r="O535" i="11"/>
  <c r="O536" i="11"/>
  <c r="O537" i="11"/>
  <c r="O538" i="11"/>
  <c r="O539" i="11"/>
  <c r="O540" i="11"/>
  <c r="O541" i="11"/>
  <c r="O542" i="11"/>
  <c r="O543" i="11"/>
  <c r="O544" i="11"/>
  <c r="O545" i="11"/>
  <c r="O546" i="11"/>
  <c r="O547" i="11"/>
  <c r="O548" i="11"/>
  <c r="O549" i="11"/>
  <c r="O550" i="11"/>
  <c r="O551" i="11"/>
  <c r="O552" i="11"/>
  <c r="O553" i="11"/>
  <c r="O554" i="11"/>
  <c r="O555" i="11"/>
  <c r="O556" i="11"/>
  <c r="O557" i="11"/>
  <c r="O558" i="11"/>
  <c r="O559" i="11"/>
  <c r="O560" i="11"/>
  <c r="O561" i="11"/>
  <c r="O562" i="11"/>
  <c r="O563" i="11"/>
  <c r="O564" i="11"/>
  <c r="O565" i="11"/>
  <c r="O566" i="11"/>
  <c r="O567" i="11"/>
  <c r="O568" i="11"/>
  <c r="O569" i="11"/>
  <c r="O570" i="11"/>
  <c r="O571" i="11"/>
  <c r="O572" i="11"/>
  <c r="O573" i="11"/>
  <c r="O574" i="11"/>
  <c r="O575" i="11"/>
  <c r="O576" i="11"/>
  <c r="O577" i="11"/>
  <c r="O578" i="11"/>
  <c r="O579" i="11"/>
  <c r="O580" i="11"/>
  <c r="O581" i="11"/>
  <c r="O582" i="11"/>
  <c r="O583" i="11"/>
  <c r="O584" i="11"/>
  <c r="O585" i="11"/>
  <c r="O586" i="11"/>
  <c r="O587" i="11"/>
  <c r="O588" i="11"/>
  <c r="O589" i="11"/>
  <c r="O590" i="11"/>
  <c r="O591" i="11"/>
  <c r="O592" i="11"/>
  <c r="O593" i="11"/>
  <c r="O594" i="11"/>
  <c r="O595" i="11"/>
  <c r="O596" i="11"/>
  <c r="O597" i="11"/>
  <c r="O598" i="11"/>
  <c r="O599" i="11"/>
  <c r="O600" i="11"/>
  <c r="O601" i="11"/>
  <c r="O602" i="11"/>
  <c r="O603" i="11"/>
  <c r="O604" i="11"/>
  <c r="O605" i="11"/>
  <c r="O606" i="11"/>
  <c r="O607" i="11"/>
  <c r="O608" i="11"/>
  <c r="O609" i="11"/>
  <c r="O610" i="11"/>
  <c r="O611" i="11"/>
  <c r="O612" i="11"/>
  <c r="O613" i="11"/>
  <c r="O614" i="11"/>
  <c r="O615" i="11"/>
  <c r="O616" i="11"/>
  <c r="O617" i="11"/>
  <c r="O618" i="11"/>
  <c r="O619" i="11"/>
  <c r="O620" i="11"/>
  <c r="O621" i="11"/>
  <c r="O622" i="11"/>
  <c r="O623" i="11"/>
  <c r="O624" i="11"/>
  <c r="O625" i="11"/>
  <c r="O626" i="11"/>
  <c r="O627" i="11"/>
  <c r="O628" i="11"/>
  <c r="O629" i="11"/>
  <c r="O630" i="11"/>
  <c r="O631" i="11"/>
  <c r="O632" i="11"/>
  <c r="O633" i="11"/>
  <c r="O634" i="11"/>
  <c r="O635" i="11"/>
  <c r="O636" i="11"/>
  <c r="O637" i="11"/>
  <c r="O638" i="11"/>
  <c r="O639" i="11"/>
  <c r="O640" i="11"/>
  <c r="O641" i="11"/>
  <c r="O642" i="11"/>
  <c r="O643" i="11"/>
  <c r="O644" i="11"/>
  <c r="O645" i="11"/>
  <c r="O646" i="11"/>
  <c r="O647" i="11"/>
  <c r="O648" i="11"/>
  <c r="O649" i="11"/>
  <c r="O650" i="11"/>
  <c r="O651" i="11"/>
  <c r="O652" i="11"/>
  <c r="O653" i="11"/>
  <c r="O654" i="11"/>
  <c r="O655" i="11"/>
  <c r="O656" i="11"/>
  <c r="O657" i="11"/>
  <c r="O658" i="11"/>
  <c r="O659" i="11"/>
  <c r="O660" i="11"/>
  <c r="O661" i="11"/>
  <c r="O662" i="11"/>
  <c r="O663" i="11"/>
  <c r="O664" i="11"/>
  <c r="O665" i="11"/>
  <c r="O666" i="11"/>
  <c r="O667" i="11"/>
  <c r="O668" i="11"/>
  <c r="O669" i="11"/>
  <c r="O670" i="11"/>
  <c r="O671" i="11"/>
  <c r="O672" i="11"/>
  <c r="O673" i="11"/>
  <c r="O674" i="11"/>
  <c r="O675" i="11"/>
  <c r="O676" i="11"/>
  <c r="O677" i="11"/>
  <c r="O678" i="11"/>
  <c r="O679" i="11"/>
  <c r="O680" i="11"/>
  <c r="O681" i="11"/>
  <c r="O682" i="11"/>
  <c r="O683" i="11"/>
  <c r="O684" i="11"/>
  <c r="O685" i="11"/>
  <c r="O686" i="11"/>
  <c r="O687" i="11"/>
  <c r="O688" i="11"/>
  <c r="O689" i="11"/>
  <c r="O690" i="11"/>
  <c r="O691" i="11"/>
  <c r="O692" i="11"/>
  <c r="O693" i="11"/>
  <c r="O694" i="11"/>
  <c r="O695" i="11"/>
  <c r="O696" i="11"/>
  <c r="O697" i="11"/>
  <c r="O698" i="11"/>
  <c r="O699" i="11"/>
  <c r="O700" i="11"/>
  <c r="O701" i="11"/>
  <c r="O702" i="11"/>
  <c r="O703" i="11"/>
  <c r="O704" i="11"/>
  <c r="O705" i="11"/>
  <c r="O706" i="11"/>
  <c r="O707" i="11"/>
  <c r="O708" i="11"/>
  <c r="O709" i="11"/>
  <c r="O710" i="11"/>
  <c r="O711" i="11"/>
  <c r="O712" i="11"/>
  <c r="O713" i="11"/>
  <c r="O714" i="11"/>
  <c r="O715" i="11"/>
  <c r="O716" i="11"/>
  <c r="O717" i="11"/>
  <c r="O718" i="11"/>
  <c r="O719" i="11"/>
  <c r="O720" i="11"/>
  <c r="O721" i="11"/>
  <c r="O722" i="11"/>
  <c r="O723" i="11"/>
  <c r="O724" i="11"/>
  <c r="O725" i="11"/>
  <c r="O726" i="11"/>
  <c r="O727" i="11"/>
  <c r="O728" i="11"/>
  <c r="O729" i="11"/>
  <c r="O730" i="11"/>
  <c r="O731" i="11"/>
  <c r="O732" i="11"/>
  <c r="O733" i="11"/>
  <c r="O734" i="11"/>
  <c r="O735" i="11"/>
  <c r="O736" i="11"/>
  <c r="O737" i="11"/>
  <c r="O738" i="11"/>
  <c r="O739" i="11"/>
  <c r="O740" i="11"/>
  <c r="O741" i="11"/>
  <c r="O742" i="11"/>
  <c r="O743" i="11"/>
  <c r="O744" i="11"/>
  <c r="O745" i="11"/>
  <c r="O746" i="11"/>
  <c r="O747" i="11"/>
  <c r="O748" i="11"/>
  <c r="O749" i="11"/>
  <c r="O750" i="11"/>
  <c r="O751" i="11"/>
  <c r="O752" i="11"/>
  <c r="O753" i="11"/>
  <c r="O754" i="11"/>
  <c r="O755" i="11"/>
  <c r="O756" i="11"/>
  <c r="O757" i="11"/>
  <c r="O758" i="11"/>
  <c r="O759" i="11"/>
  <c r="O760" i="11"/>
  <c r="O761" i="11"/>
  <c r="O762" i="11"/>
  <c r="O763" i="11"/>
  <c r="O764" i="11"/>
  <c r="O765" i="11"/>
  <c r="O766" i="11"/>
  <c r="O767" i="11"/>
  <c r="O768" i="11"/>
  <c r="O769" i="11"/>
  <c r="O770" i="11"/>
  <c r="O771" i="11"/>
  <c r="O772" i="11"/>
  <c r="O773" i="11"/>
  <c r="O774" i="11"/>
  <c r="O775" i="11"/>
  <c r="O776" i="11"/>
  <c r="O777" i="11"/>
  <c r="O778" i="11"/>
  <c r="O779" i="11"/>
  <c r="O780" i="11"/>
  <c r="O781" i="11"/>
  <c r="O782" i="11"/>
  <c r="O783" i="11"/>
  <c r="O784" i="11"/>
  <c r="O785" i="11"/>
  <c r="O786" i="11"/>
  <c r="O787" i="11"/>
  <c r="O788" i="11"/>
  <c r="O789" i="11"/>
  <c r="O790" i="11"/>
  <c r="O791" i="11"/>
  <c r="O792" i="11"/>
  <c r="O793" i="11"/>
  <c r="O794" i="11"/>
  <c r="O795" i="11"/>
  <c r="O796" i="11"/>
  <c r="O797" i="11"/>
  <c r="O798" i="11"/>
  <c r="O799" i="11"/>
  <c r="O800" i="11"/>
  <c r="O801" i="11"/>
  <c r="O802" i="11"/>
  <c r="O803" i="11"/>
  <c r="O804" i="11"/>
  <c r="O805" i="11"/>
  <c r="O806" i="11"/>
  <c r="O807" i="11"/>
  <c r="O808" i="11"/>
  <c r="O809" i="11"/>
  <c r="O810" i="11"/>
  <c r="O811" i="11"/>
  <c r="O812" i="11"/>
  <c r="O813" i="11"/>
  <c r="O814" i="11"/>
  <c r="O815" i="11"/>
  <c r="O816" i="11"/>
  <c r="O817" i="11"/>
  <c r="O818" i="11"/>
  <c r="O819" i="11"/>
  <c r="O820" i="11"/>
  <c r="O821" i="11"/>
  <c r="O822" i="11"/>
  <c r="O823" i="11"/>
  <c r="O824" i="11"/>
  <c r="O825" i="11"/>
  <c r="O826" i="11"/>
  <c r="O827" i="11"/>
  <c r="O828" i="11"/>
  <c r="O829" i="11"/>
  <c r="O830" i="11"/>
  <c r="O831" i="11"/>
  <c r="O832" i="11"/>
  <c r="O833" i="11"/>
  <c r="O834" i="11"/>
  <c r="O835" i="11"/>
  <c r="O836" i="11"/>
  <c r="O837" i="11"/>
  <c r="O838" i="11"/>
  <c r="O839" i="11"/>
  <c r="O840" i="11"/>
  <c r="O841" i="11"/>
  <c r="O842" i="11"/>
  <c r="O843" i="11"/>
  <c r="O844" i="11"/>
  <c r="O845" i="11"/>
  <c r="O846" i="11"/>
  <c r="O847" i="11"/>
  <c r="O848" i="11"/>
  <c r="O849" i="11"/>
  <c r="O850" i="11"/>
  <c r="O851" i="11"/>
  <c r="O852" i="11"/>
  <c r="O853" i="11"/>
  <c r="O854" i="11"/>
  <c r="O855" i="11"/>
  <c r="O856" i="11"/>
  <c r="O857" i="11"/>
  <c r="O858" i="11"/>
  <c r="O859" i="11"/>
  <c r="O860" i="11"/>
  <c r="O861" i="11"/>
  <c r="O862" i="11"/>
  <c r="O863" i="11"/>
  <c r="O864" i="11"/>
  <c r="O865" i="11"/>
  <c r="O866" i="11"/>
  <c r="O867" i="11"/>
  <c r="O868" i="11"/>
  <c r="O869" i="11"/>
  <c r="O870" i="11"/>
  <c r="O871" i="11"/>
  <c r="O872" i="11"/>
  <c r="O873" i="11"/>
  <c r="O874" i="11"/>
  <c r="O875" i="11"/>
  <c r="O876" i="11"/>
  <c r="O877" i="11"/>
  <c r="O878" i="11"/>
  <c r="O879" i="11"/>
  <c r="O880" i="11"/>
  <c r="O881" i="11"/>
  <c r="O882" i="11"/>
  <c r="O883" i="11"/>
  <c r="O884" i="11"/>
  <c r="O885" i="11"/>
  <c r="O886" i="11"/>
  <c r="O887" i="11"/>
  <c r="O888" i="11"/>
  <c r="O889" i="11"/>
  <c r="O890" i="11"/>
  <c r="O891" i="11"/>
  <c r="O892" i="11"/>
  <c r="O893" i="11"/>
  <c r="O894" i="11"/>
  <c r="O895" i="11"/>
  <c r="O896" i="11"/>
  <c r="O897" i="11"/>
  <c r="O898" i="11"/>
  <c r="O899" i="11"/>
  <c r="O900" i="11"/>
  <c r="O901" i="11"/>
  <c r="O902" i="11"/>
  <c r="O903" i="11"/>
  <c r="O904" i="11"/>
  <c r="O905" i="11"/>
  <c r="O906" i="11"/>
  <c r="O907" i="11"/>
  <c r="O908" i="11"/>
  <c r="O909" i="11"/>
  <c r="O910" i="11"/>
  <c r="O911" i="11"/>
  <c r="O912" i="11"/>
  <c r="O913" i="11"/>
  <c r="O914" i="11"/>
  <c r="O915" i="11"/>
  <c r="O916" i="11"/>
  <c r="O917" i="11"/>
  <c r="O918" i="11"/>
  <c r="O919" i="11"/>
  <c r="O920" i="11"/>
  <c r="O921" i="11"/>
  <c r="O922" i="11"/>
  <c r="O923" i="11"/>
  <c r="O924" i="11"/>
  <c r="O925" i="11"/>
  <c r="O926" i="11"/>
  <c r="O927" i="11"/>
  <c r="O928" i="11"/>
  <c r="O929" i="11"/>
  <c r="O930" i="11"/>
  <c r="O931" i="11"/>
  <c r="O932" i="11"/>
  <c r="O933" i="11"/>
  <c r="O934" i="11"/>
  <c r="O935" i="11"/>
  <c r="O936" i="11"/>
  <c r="O937" i="11"/>
  <c r="O938" i="11"/>
  <c r="O939" i="11"/>
  <c r="O940" i="11"/>
  <c r="O941" i="11"/>
  <c r="O942" i="11"/>
  <c r="O943" i="11"/>
  <c r="O944" i="11"/>
  <c r="O945" i="11"/>
  <c r="O946" i="11"/>
  <c r="O947" i="11"/>
  <c r="O948" i="11"/>
  <c r="O949" i="11"/>
  <c r="O950" i="11"/>
  <c r="O951" i="11"/>
  <c r="O952" i="11"/>
  <c r="O953" i="11"/>
  <c r="O954" i="11"/>
  <c r="O955" i="11"/>
  <c r="O956" i="11"/>
  <c r="O957" i="11"/>
  <c r="O958" i="11"/>
  <c r="O959" i="11"/>
  <c r="O960" i="11"/>
  <c r="O961" i="11"/>
  <c r="O962" i="11"/>
  <c r="O963" i="11"/>
  <c r="O964" i="11"/>
  <c r="O965" i="11"/>
  <c r="O966" i="11"/>
  <c r="O967" i="11"/>
  <c r="O968" i="11"/>
  <c r="O969" i="11"/>
  <c r="O970" i="11"/>
  <c r="O971" i="11"/>
  <c r="O972" i="11"/>
  <c r="O973" i="11"/>
  <c r="O974" i="11"/>
  <c r="O975" i="11"/>
  <c r="O976" i="11"/>
  <c r="O977" i="11"/>
  <c r="O978" i="11"/>
  <c r="O979" i="11"/>
  <c r="O980" i="11"/>
  <c r="O981" i="11"/>
  <c r="O982" i="11"/>
  <c r="O983" i="11"/>
  <c r="O984" i="11"/>
  <c r="O985" i="11"/>
  <c r="O986" i="11"/>
  <c r="O987" i="11"/>
  <c r="O988" i="11"/>
  <c r="O989" i="11"/>
  <c r="O990" i="11"/>
  <c r="O991" i="11"/>
  <c r="O992" i="11"/>
  <c r="O993" i="11"/>
  <c r="O994" i="11"/>
  <c r="O995" i="11"/>
  <c r="O996" i="11"/>
  <c r="O997" i="11"/>
  <c r="O998" i="11"/>
  <c r="O999" i="11"/>
  <c r="O1000" i="11"/>
  <c r="O1001" i="11"/>
  <c r="O1002" i="11"/>
  <c r="O1003" i="11"/>
  <c r="O1004" i="11"/>
  <c r="O1005" i="11"/>
  <c r="O1006" i="11"/>
  <c r="O1007" i="11"/>
  <c r="O1008" i="11"/>
  <c r="O1009" i="11"/>
  <c r="O1010" i="11"/>
  <c r="O1011" i="11"/>
  <c r="O1012" i="11"/>
  <c r="O1013" i="11"/>
  <c r="O1014" i="11"/>
  <c r="O1015" i="11"/>
  <c r="O1016" i="11"/>
  <c r="O1017" i="11"/>
  <c r="O1018" i="11"/>
  <c r="O1019" i="11"/>
  <c r="O1020" i="11"/>
  <c r="O1021" i="11"/>
  <c r="O1022" i="11"/>
  <c r="O1023" i="11"/>
  <c r="O1024" i="11"/>
  <c r="O1025" i="11"/>
  <c r="O1026" i="11"/>
  <c r="O1027" i="11"/>
  <c r="O1028" i="11"/>
  <c r="O1029" i="11"/>
  <c r="O1030" i="11"/>
  <c r="O1031" i="11"/>
  <c r="O1032" i="11"/>
  <c r="O1033" i="11"/>
  <c r="O1034" i="11"/>
  <c r="O1035" i="11"/>
  <c r="O1036" i="11"/>
  <c r="O1037" i="11"/>
  <c r="O1038" i="11"/>
  <c r="O1039" i="11"/>
  <c r="O1040" i="11"/>
  <c r="O1041" i="11"/>
  <c r="O1042" i="11"/>
  <c r="O1043" i="11"/>
  <c r="O1044" i="11"/>
  <c r="O1045" i="11"/>
  <c r="O1046" i="11"/>
  <c r="O1047" i="11"/>
  <c r="O1048" i="11"/>
  <c r="O1049" i="11"/>
  <c r="O1050" i="11"/>
  <c r="O1051" i="11"/>
  <c r="O1052" i="11"/>
  <c r="O1053" i="11"/>
  <c r="O1054" i="11"/>
  <c r="O1055" i="11"/>
  <c r="O1056" i="11"/>
  <c r="O1057" i="11"/>
  <c r="O1058" i="11"/>
  <c r="O1059" i="11"/>
  <c r="O1060" i="11"/>
  <c r="O1061" i="11"/>
  <c r="O1062" i="11"/>
  <c r="O1063" i="11"/>
  <c r="O1064" i="11"/>
  <c r="O1065" i="11"/>
  <c r="O1066" i="11"/>
  <c r="O1067" i="11"/>
  <c r="O1068" i="11"/>
  <c r="O1069" i="11"/>
  <c r="O1070" i="11"/>
  <c r="O1071" i="11"/>
  <c r="O1072" i="11"/>
  <c r="O1073" i="11"/>
  <c r="O1074" i="11"/>
  <c r="O1075" i="11"/>
  <c r="O1076" i="11"/>
  <c r="O1077" i="11"/>
  <c r="O1078" i="11"/>
  <c r="O1079" i="11"/>
  <c r="O1080" i="11"/>
  <c r="O1081" i="11"/>
  <c r="O1082" i="11"/>
  <c r="O1083" i="11"/>
  <c r="O1084" i="11"/>
  <c r="O1085" i="11"/>
  <c r="O1086" i="11"/>
  <c r="O1087" i="11"/>
  <c r="O1088" i="11"/>
  <c r="O1089" i="11"/>
  <c r="O1090" i="11"/>
  <c r="O1091" i="11"/>
  <c r="O1092" i="11"/>
  <c r="O1093" i="11"/>
  <c r="O1094" i="11"/>
  <c r="O1095" i="11"/>
  <c r="O1096" i="11"/>
  <c r="O1097" i="11"/>
  <c r="O1098" i="11"/>
  <c r="O1099" i="11"/>
  <c r="O1100" i="11"/>
  <c r="O1101" i="11"/>
  <c r="O1102" i="11"/>
  <c r="O1103" i="11"/>
  <c r="O1104" i="11"/>
  <c r="O1105" i="11"/>
  <c r="O1106" i="11"/>
  <c r="O1107" i="11"/>
  <c r="O1108" i="11"/>
  <c r="O1109" i="11"/>
  <c r="O1110" i="11"/>
  <c r="O1111" i="11"/>
  <c r="O1112" i="11"/>
  <c r="O1113" i="11"/>
  <c r="O1114" i="11"/>
  <c r="O1115" i="11"/>
  <c r="O1116" i="11"/>
  <c r="O1117" i="11"/>
  <c r="O1118" i="11"/>
  <c r="O1119" i="11"/>
  <c r="O1120" i="11"/>
  <c r="O1121" i="11"/>
  <c r="O1122" i="11"/>
  <c r="O1123" i="11"/>
  <c r="O1124" i="11"/>
  <c r="O1125" i="11"/>
  <c r="O1126" i="11"/>
  <c r="O1127" i="11"/>
  <c r="O1128" i="11"/>
  <c r="O1129" i="11"/>
  <c r="O1130" i="11"/>
  <c r="O1131" i="11"/>
  <c r="O1132" i="11"/>
  <c r="O1133" i="11"/>
  <c r="O1134" i="11"/>
  <c r="O1135" i="11"/>
  <c r="O1136" i="11"/>
  <c r="O1137" i="11"/>
  <c r="O1138" i="11"/>
  <c r="O1139" i="11"/>
  <c r="O1140" i="11"/>
  <c r="O1141" i="11"/>
  <c r="O1142" i="11"/>
  <c r="O1143" i="11"/>
  <c r="O1144" i="11"/>
  <c r="O1145" i="11"/>
  <c r="O1146" i="11"/>
  <c r="O1147" i="11"/>
  <c r="O1148" i="11"/>
  <c r="O1149" i="11"/>
  <c r="O1150" i="11"/>
  <c r="O1151" i="11"/>
  <c r="O1152" i="11"/>
  <c r="O1153" i="11"/>
  <c r="O1154" i="11"/>
  <c r="O1155" i="11"/>
  <c r="O1156" i="11"/>
  <c r="O1157" i="11"/>
  <c r="O1158" i="11"/>
  <c r="O1159" i="11"/>
  <c r="O1160" i="11"/>
  <c r="O1161" i="11"/>
  <c r="O1162" i="11"/>
  <c r="O1163" i="11"/>
  <c r="O1164" i="11"/>
  <c r="O1165" i="11"/>
  <c r="O1166" i="11"/>
  <c r="O1167" i="11"/>
  <c r="O1168" i="11"/>
  <c r="O1169" i="11"/>
  <c r="O1170" i="11"/>
  <c r="O1171" i="11"/>
  <c r="O1172" i="11"/>
  <c r="O1173" i="11"/>
  <c r="O1174" i="11"/>
  <c r="O1175" i="11"/>
  <c r="O1176" i="11"/>
  <c r="O1177" i="11"/>
  <c r="O1178" i="11"/>
  <c r="O1179" i="11"/>
  <c r="O1180" i="11"/>
  <c r="O1181" i="11"/>
  <c r="O1182" i="11"/>
  <c r="O1183" i="11"/>
  <c r="O1184" i="11"/>
  <c r="O1185" i="11"/>
  <c r="O1186" i="11"/>
  <c r="O1187" i="11"/>
  <c r="O1188" i="11"/>
  <c r="O1189" i="11"/>
  <c r="O1190" i="11"/>
  <c r="O1191" i="11"/>
  <c r="O1192" i="11"/>
  <c r="O1193" i="11"/>
  <c r="O1194" i="11"/>
  <c r="O1195" i="11"/>
  <c r="O1196" i="11"/>
  <c r="O1197" i="11"/>
  <c r="O1198" i="11"/>
  <c r="O1199" i="11"/>
  <c r="O1200" i="11"/>
  <c r="O1201" i="11"/>
  <c r="O1202" i="11"/>
  <c r="O1203" i="11"/>
  <c r="O1204" i="11"/>
  <c r="O1205" i="11"/>
  <c r="O1206" i="11"/>
  <c r="O1207" i="11"/>
  <c r="O1208" i="11"/>
  <c r="O1209" i="11"/>
  <c r="O1210" i="11"/>
  <c r="O1211" i="11"/>
  <c r="O1212" i="11"/>
  <c r="O1213" i="11"/>
  <c r="O1214" i="11"/>
  <c r="O1215" i="11"/>
  <c r="O1216" i="11"/>
  <c r="O1217" i="11"/>
  <c r="O1218" i="11"/>
  <c r="O1219" i="11"/>
  <c r="O1220" i="11"/>
  <c r="O1221" i="11"/>
  <c r="O1222" i="11"/>
  <c r="O1223" i="11"/>
  <c r="O1224" i="11"/>
  <c r="O1225" i="11"/>
  <c r="O1226" i="11"/>
  <c r="O1227" i="11"/>
  <c r="O1228" i="11"/>
  <c r="O1229" i="11"/>
  <c r="O1230" i="11"/>
  <c r="O1231" i="11"/>
  <c r="O1232" i="11"/>
  <c r="O1233" i="11"/>
  <c r="O1234" i="11"/>
  <c r="O1235" i="11"/>
  <c r="O1236" i="11"/>
  <c r="O1237" i="11"/>
  <c r="O1238" i="11"/>
  <c r="O1239" i="11"/>
  <c r="O1240" i="11"/>
  <c r="O1241" i="11"/>
  <c r="O1242" i="11"/>
  <c r="O1243" i="11"/>
  <c r="O1244" i="11"/>
  <c r="O1245" i="11"/>
  <c r="O1246" i="11"/>
  <c r="O1247" i="11"/>
  <c r="O1248" i="11"/>
  <c r="O1249" i="11"/>
  <c r="O1250" i="11"/>
  <c r="O1251" i="11"/>
  <c r="O1252" i="11"/>
  <c r="O1253" i="11"/>
  <c r="O1254" i="11"/>
  <c r="O1255" i="11"/>
  <c r="O1256" i="11"/>
  <c r="O1257" i="11"/>
  <c r="O1258" i="11"/>
  <c r="O1259" i="11"/>
  <c r="O1260" i="11"/>
  <c r="O1261" i="11"/>
  <c r="O1262" i="11"/>
  <c r="O1263" i="11"/>
  <c r="O1264" i="11"/>
  <c r="O1265" i="11"/>
  <c r="O1266" i="11"/>
  <c r="O1267" i="11"/>
  <c r="O1268" i="11"/>
  <c r="O1269" i="11"/>
  <c r="O1270" i="11"/>
  <c r="O1271" i="11"/>
  <c r="O1272" i="11"/>
  <c r="O1273" i="11"/>
  <c r="O1274" i="11"/>
  <c r="O1275" i="11"/>
  <c r="O1276" i="11"/>
  <c r="O1277" i="11"/>
  <c r="O1278" i="11"/>
  <c r="O1279" i="11"/>
  <c r="O1280" i="11"/>
  <c r="O1281" i="11"/>
  <c r="O1282" i="11"/>
  <c r="O1283" i="11"/>
  <c r="O1284" i="11"/>
  <c r="O1285" i="11"/>
  <c r="O1286" i="11"/>
  <c r="O1287" i="11"/>
  <c r="O1288" i="11"/>
  <c r="O1289" i="11"/>
  <c r="O1290" i="11"/>
  <c r="O1291" i="11"/>
  <c r="O1292" i="11"/>
  <c r="O1293" i="11"/>
  <c r="O1294" i="11"/>
  <c r="O1295" i="11"/>
  <c r="O1296" i="11"/>
  <c r="O1297" i="11"/>
  <c r="O1298" i="11"/>
  <c r="O1299" i="11"/>
  <c r="O1300" i="11"/>
  <c r="O1301" i="11"/>
  <c r="O1302" i="11"/>
  <c r="O1303" i="11"/>
  <c r="O1304" i="11"/>
  <c r="O1305" i="11"/>
  <c r="O1306" i="11"/>
  <c r="O1307" i="11"/>
  <c r="O1308" i="11"/>
  <c r="O1309" i="11"/>
  <c r="O1310" i="11"/>
  <c r="O1311" i="11"/>
  <c r="O1312" i="11"/>
  <c r="O1313" i="11"/>
  <c r="O1314" i="11"/>
  <c r="O1315" i="11"/>
  <c r="O1316" i="11"/>
  <c r="O1317" i="11"/>
  <c r="O1318" i="11"/>
  <c r="O1319" i="11"/>
  <c r="O1320" i="11"/>
  <c r="O1321" i="11"/>
  <c r="O1322" i="11"/>
  <c r="O1323" i="11"/>
  <c r="O1324" i="11"/>
  <c r="O1325" i="11"/>
  <c r="O1326" i="11"/>
  <c r="O1327" i="11"/>
  <c r="O1328" i="11"/>
  <c r="O1329" i="11"/>
  <c r="O1330" i="11"/>
  <c r="O1331" i="11"/>
  <c r="O1332" i="11"/>
  <c r="O1333" i="11"/>
  <c r="O1334" i="11"/>
  <c r="O1335" i="11"/>
  <c r="O1336" i="11"/>
  <c r="O1337" i="11"/>
  <c r="O1338" i="11"/>
  <c r="O1339" i="11"/>
  <c r="O1340" i="11"/>
  <c r="O1341" i="11"/>
  <c r="O1342" i="11"/>
  <c r="O1343" i="11"/>
  <c r="O1344" i="11"/>
  <c r="O1345" i="11"/>
  <c r="O1346" i="11"/>
  <c r="O1347" i="11"/>
  <c r="O1348" i="11"/>
  <c r="O1349" i="11"/>
  <c r="O1350" i="11"/>
  <c r="O1351" i="11"/>
  <c r="O1352" i="11"/>
  <c r="O1353" i="11"/>
  <c r="O1354" i="11"/>
  <c r="O1355" i="11"/>
  <c r="O1356" i="11"/>
  <c r="O1357" i="11"/>
  <c r="O1358" i="11"/>
  <c r="O1359" i="11"/>
  <c r="O1360" i="11"/>
  <c r="O1361" i="11"/>
  <c r="O1362" i="11"/>
  <c r="O1363" i="11"/>
  <c r="O1364" i="11"/>
  <c r="O1365" i="11"/>
  <c r="O1366" i="11"/>
  <c r="O1367" i="11"/>
  <c r="O1368" i="11"/>
  <c r="O1369" i="11"/>
  <c r="O1370" i="11"/>
  <c r="O1371" i="11"/>
  <c r="O1372" i="11"/>
  <c r="O1373" i="11"/>
  <c r="O1374" i="11"/>
  <c r="O1375" i="11"/>
  <c r="O1376" i="11"/>
  <c r="O1377" i="11"/>
  <c r="O1378" i="11"/>
  <c r="O1379" i="11"/>
  <c r="O1380" i="11"/>
  <c r="O1381" i="11"/>
  <c r="O1382" i="11"/>
  <c r="O1383" i="11"/>
  <c r="O1384" i="11"/>
  <c r="O1385" i="11"/>
  <c r="O1386" i="11"/>
  <c r="O1387" i="11"/>
  <c r="O1388" i="11"/>
  <c r="O1389" i="11"/>
  <c r="O1390" i="11"/>
  <c r="O1391" i="11"/>
  <c r="O1392" i="11"/>
  <c r="O1393" i="11"/>
  <c r="O1394" i="11"/>
  <c r="O1395" i="11"/>
  <c r="O1396" i="11"/>
  <c r="O1397" i="11"/>
  <c r="O1398" i="11"/>
  <c r="O1399" i="11"/>
  <c r="O1400" i="11"/>
  <c r="O1401" i="11"/>
  <c r="O1402" i="11"/>
  <c r="O1403" i="11"/>
  <c r="O1404" i="11"/>
  <c r="O1405" i="11"/>
  <c r="O1406" i="11"/>
  <c r="O1407" i="11"/>
  <c r="O1408" i="11"/>
  <c r="O1409" i="11"/>
  <c r="O1410" i="11"/>
  <c r="O1411" i="11"/>
  <c r="O1412" i="11"/>
  <c r="O1413" i="11"/>
  <c r="O1414" i="11"/>
  <c r="O1415" i="11"/>
  <c r="O1416" i="11"/>
  <c r="O1417" i="11"/>
  <c r="O1418" i="11"/>
  <c r="O1419" i="11"/>
  <c r="O1420" i="11"/>
  <c r="O1421" i="11"/>
  <c r="O1422" i="11"/>
  <c r="O1423" i="11"/>
  <c r="O1424" i="11"/>
  <c r="O1425" i="11"/>
  <c r="O1426" i="11"/>
  <c r="O1427" i="11"/>
  <c r="O1428" i="11"/>
  <c r="O1429" i="11"/>
  <c r="O1430" i="11"/>
  <c r="O1431" i="11"/>
  <c r="O1432" i="11"/>
  <c r="O1433" i="11"/>
  <c r="O1434" i="11"/>
  <c r="O1435" i="11"/>
  <c r="O1436" i="11"/>
  <c r="O1437" i="11"/>
  <c r="O1438" i="11"/>
  <c r="O1439" i="11"/>
  <c r="O1440" i="11"/>
  <c r="O1441" i="11"/>
  <c r="O1442" i="11"/>
  <c r="O1443" i="11"/>
  <c r="O1444" i="11"/>
  <c r="O1445" i="11"/>
  <c r="O1446" i="11"/>
  <c r="O1447" i="11"/>
  <c r="O1448" i="11"/>
  <c r="O1449" i="11"/>
  <c r="O1450" i="11"/>
  <c r="O1451" i="11"/>
  <c r="O1452" i="11"/>
  <c r="O1453" i="11"/>
  <c r="O1454" i="11"/>
  <c r="O1455" i="11"/>
  <c r="O1456" i="11"/>
  <c r="O1457" i="11"/>
  <c r="O1458" i="11"/>
  <c r="O1459" i="11"/>
  <c r="O1460" i="11"/>
  <c r="O1461" i="11"/>
  <c r="O1462" i="11"/>
  <c r="O1463" i="11"/>
  <c r="O1464" i="11"/>
  <c r="O1465" i="11"/>
  <c r="O1466" i="11"/>
  <c r="O1467" i="11"/>
  <c r="O1468" i="11"/>
  <c r="O1469" i="11"/>
  <c r="O1470" i="11"/>
  <c r="O1471" i="11"/>
  <c r="O1472" i="11"/>
  <c r="O1473" i="11"/>
  <c r="O1474" i="11"/>
  <c r="O1475" i="11"/>
  <c r="O1476" i="11"/>
  <c r="O1477" i="11"/>
  <c r="O1478" i="11"/>
  <c r="O1479" i="11"/>
  <c r="O1480" i="11"/>
  <c r="O1481" i="11"/>
  <c r="O1482" i="11"/>
  <c r="O1483" i="11"/>
  <c r="O1484" i="11"/>
  <c r="O1485" i="11"/>
  <c r="O1486" i="11"/>
  <c r="O1487" i="11"/>
  <c r="O1488" i="11"/>
  <c r="O1489" i="11"/>
  <c r="O1490" i="11"/>
  <c r="O1491" i="11"/>
  <c r="O1492" i="11"/>
  <c r="O1493" i="11"/>
  <c r="O1494" i="11"/>
  <c r="O1495" i="11"/>
  <c r="O1496" i="11"/>
  <c r="O1497" i="11"/>
  <c r="O1498" i="11"/>
  <c r="O1499" i="11"/>
  <c r="O1500" i="11"/>
  <c r="O1501" i="11"/>
  <c r="O1502" i="11"/>
  <c r="O1503" i="11"/>
  <c r="O1504" i="11"/>
  <c r="O1505" i="11"/>
  <c r="O1506" i="11"/>
  <c r="O1507" i="11"/>
  <c r="O1508" i="11"/>
  <c r="O1509" i="11"/>
  <c r="O1510" i="11"/>
  <c r="O1511" i="11"/>
  <c r="O1512" i="11"/>
  <c r="O1513" i="11"/>
  <c r="O1514" i="11"/>
  <c r="O1515" i="11"/>
  <c r="O1516" i="11"/>
  <c r="O1517" i="11"/>
  <c r="O1518" i="11"/>
  <c r="O1519" i="11"/>
  <c r="O1520" i="11"/>
  <c r="O1521" i="11"/>
  <c r="O1522" i="11"/>
  <c r="O1523" i="11"/>
  <c r="O1524" i="11"/>
  <c r="O1525" i="11"/>
  <c r="O1526" i="11"/>
  <c r="O1527" i="11"/>
  <c r="O1528" i="11"/>
  <c r="O1529" i="11"/>
  <c r="O1530" i="11"/>
  <c r="O1531" i="11"/>
  <c r="O1532" i="11"/>
  <c r="O1533" i="11"/>
  <c r="O1534" i="11"/>
  <c r="O1535" i="11"/>
  <c r="O1536" i="11"/>
  <c r="O1537" i="11"/>
  <c r="O1538" i="11"/>
  <c r="O1539" i="11"/>
  <c r="O1540" i="11"/>
  <c r="O1541" i="11"/>
  <c r="O1542" i="11"/>
  <c r="O1543" i="11"/>
  <c r="O1544" i="11"/>
  <c r="O1545" i="11"/>
  <c r="O1546" i="11"/>
  <c r="O1547" i="11"/>
  <c r="O1548" i="11"/>
  <c r="O1549" i="11"/>
  <c r="O1550" i="11"/>
  <c r="O1551" i="11"/>
  <c r="O1552" i="11"/>
  <c r="O1553" i="11"/>
  <c r="O1554" i="11"/>
  <c r="O1555" i="11"/>
  <c r="O1556" i="11"/>
  <c r="O1557" i="11"/>
  <c r="O1558" i="11"/>
  <c r="O1559" i="11"/>
  <c r="O1560" i="11"/>
  <c r="O1561" i="11"/>
  <c r="O1562" i="11"/>
  <c r="O1563" i="11"/>
  <c r="O1564" i="11"/>
  <c r="O1565" i="11"/>
  <c r="O1566" i="11"/>
  <c r="O1567" i="11"/>
  <c r="O1568" i="11"/>
  <c r="O1569" i="11"/>
  <c r="O1570" i="11"/>
  <c r="O1571" i="11"/>
  <c r="O1572" i="11"/>
  <c r="O1573" i="11"/>
  <c r="O1574" i="11"/>
  <c r="O1575" i="11"/>
  <c r="O1576" i="11"/>
  <c r="O1577" i="11"/>
  <c r="O1578" i="11"/>
  <c r="O1579" i="11"/>
  <c r="O1580" i="11"/>
  <c r="O1581" i="11"/>
  <c r="O1582" i="11"/>
  <c r="O1583" i="11"/>
  <c r="O1584" i="11"/>
  <c r="O1585" i="11"/>
  <c r="O1586" i="11"/>
  <c r="O1587" i="11"/>
  <c r="O1588" i="11"/>
  <c r="O1589" i="11"/>
  <c r="O1590" i="11"/>
  <c r="O1591" i="11"/>
  <c r="O1592" i="11"/>
  <c r="O1593" i="11"/>
  <c r="O1594" i="11"/>
  <c r="O1595" i="11"/>
  <c r="O1596" i="11"/>
  <c r="O1597" i="11"/>
  <c r="O1598" i="11"/>
  <c r="O1599" i="11"/>
  <c r="O1600" i="11"/>
  <c r="O1601" i="11"/>
  <c r="O1602" i="11"/>
  <c r="O1603" i="11"/>
  <c r="O1604" i="11"/>
  <c r="O1605" i="11"/>
  <c r="O1606" i="11"/>
  <c r="O1607" i="11"/>
  <c r="O1608" i="11"/>
  <c r="O1609" i="11"/>
  <c r="O1610" i="11"/>
  <c r="O1611" i="11"/>
  <c r="O1612" i="11"/>
  <c r="O1613" i="11"/>
  <c r="O1614" i="11"/>
  <c r="O1615" i="11"/>
  <c r="O1616" i="11"/>
  <c r="O1617" i="11"/>
  <c r="O1618" i="11"/>
  <c r="O1619" i="11"/>
  <c r="O1620" i="11"/>
  <c r="O1621" i="11"/>
  <c r="O1622" i="11"/>
  <c r="O1623" i="11"/>
  <c r="O1624" i="11"/>
  <c r="O1625" i="11"/>
  <c r="O1626" i="11"/>
  <c r="O1627" i="11"/>
  <c r="O1628" i="11"/>
  <c r="O1629" i="11"/>
  <c r="O1630" i="11"/>
  <c r="O1631" i="11"/>
  <c r="O1632" i="11"/>
  <c r="O1633" i="11"/>
  <c r="O1634" i="11"/>
  <c r="O1635" i="11"/>
  <c r="O1636" i="11"/>
  <c r="O1637" i="11"/>
  <c r="O1638" i="11"/>
  <c r="O1639" i="11"/>
  <c r="O1640" i="11"/>
  <c r="O1641" i="11"/>
  <c r="O1642" i="11"/>
  <c r="O1643" i="11"/>
  <c r="O1644" i="11"/>
  <c r="O1645" i="11"/>
  <c r="O1646" i="11"/>
  <c r="O1647" i="11"/>
  <c r="O1648" i="11"/>
  <c r="O1649" i="11"/>
  <c r="O1650" i="11"/>
  <c r="O1651" i="11"/>
  <c r="O1652" i="11"/>
  <c r="O1653" i="11"/>
  <c r="O1654" i="11"/>
  <c r="O1655" i="11"/>
  <c r="O1656" i="11"/>
  <c r="O1657" i="11"/>
  <c r="O1658" i="11"/>
  <c r="O1659" i="11"/>
  <c r="O1660" i="11"/>
  <c r="O1661" i="11"/>
  <c r="O1662" i="11"/>
  <c r="O1663" i="11"/>
  <c r="O1664" i="11"/>
  <c r="O1665" i="11"/>
  <c r="O1666" i="11"/>
  <c r="O1667" i="11"/>
  <c r="O1668" i="11"/>
  <c r="O1669" i="11"/>
  <c r="O1670" i="11"/>
  <c r="O1671" i="11"/>
  <c r="O1672" i="11"/>
  <c r="O1673" i="11"/>
  <c r="O1674" i="11"/>
  <c r="O1675" i="11"/>
  <c r="O1676" i="11"/>
  <c r="O1677" i="11"/>
  <c r="O1678" i="11"/>
  <c r="O1679" i="11"/>
  <c r="O1680" i="11"/>
  <c r="O1681" i="11"/>
  <c r="O1682" i="11"/>
  <c r="O1683" i="11"/>
  <c r="O1684" i="11"/>
  <c r="O1685" i="11"/>
  <c r="O1686" i="11"/>
  <c r="O1687" i="11"/>
  <c r="O1688" i="11"/>
  <c r="O1689" i="11"/>
  <c r="O1690" i="11"/>
  <c r="O1691" i="11"/>
  <c r="O1692" i="11"/>
  <c r="O1693" i="11"/>
  <c r="O1694" i="11"/>
  <c r="O1695" i="11"/>
  <c r="O1696" i="11"/>
  <c r="O1697" i="11"/>
  <c r="O1698" i="11"/>
  <c r="O1699" i="11"/>
  <c r="O1700" i="11"/>
  <c r="O1701" i="11"/>
  <c r="O1702" i="11"/>
  <c r="O1703" i="11"/>
  <c r="O1704" i="11"/>
  <c r="O1705" i="11"/>
  <c r="O1706" i="11"/>
  <c r="O1707" i="11"/>
  <c r="O1708" i="11"/>
  <c r="O1709" i="11"/>
  <c r="O1710" i="11"/>
  <c r="O1711" i="11"/>
  <c r="O1712" i="11"/>
  <c r="O1713" i="11"/>
  <c r="O1714" i="11"/>
  <c r="O1715" i="11"/>
  <c r="O1716" i="11"/>
  <c r="O1717" i="11"/>
  <c r="O1718" i="11"/>
  <c r="O1719" i="11"/>
  <c r="O1720" i="11"/>
  <c r="O1721" i="11"/>
  <c r="O1722" i="11"/>
  <c r="O1723" i="11"/>
  <c r="O1724" i="11"/>
  <c r="O1725" i="11"/>
  <c r="O1726" i="11"/>
  <c r="O1727" i="11"/>
  <c r="O1728" i="11"/>
  <c r="O1729" i="11"/>
  <c r="O1730" i="11"/>
  <c r="O1731" i="11"/>
  <c r="O1732" i="11"/>
  <c r="O1733" i="11"/>
  <c r="O1734" i="11"/>
  <c r="O1735" i="11"/>
  <c r="O1736" i="11"/>
  <c r="O1737" i="11"/>
  <c r="O1738" i="11"/>
  <c r="O1739" i="11"/>
  <c r="O1740" i="11"/>
  <c r="O1741" i="11"/>
  <c r="O1742" i="11"/>
  <c r="O1743" i="11"/>
  <c r="O1744" i="11"/>
  <c r="O1745" i="11"/>
  <c r="O1746" i="11"/>
  <c r="O1747" i="11"/>
  <c r="O1748" i="11"/>
  <c r="O1749" i="11"/>
  <c r="O1750" i="11"/>
  <c r="O1751" i="11"/>
  <c r="O1752" i="11"/>
  <c r="O1753" i="11"/>
  <c r="O1754" i="11"/>
  <c r="O1755" i="11"/>
  <c r="O1756" i="11"/>
  <c r="O1757" i="11"/>
  <c r="O1758" i="11"/>
  <c r="O1759" i="11"/>
  <c r="O1760" i="11"/>
  <c r="O1761" i="11"/>
  <c r="O1762" i="11"/>
  <c r="O1763" i="11"/>
  <c r="O1764" i="11"/>
  <c r="O1765" i="11"/>
  <c r="O1766" i="11"/>
  <c r="O1767" i="11"/>
  <c r="O1768" i="11"/>
  <c r="O1769" i="11"/>
  <c r="O1770" i="11"/>
  <c r="O1771" i="11"/>
  <c r="O1772" i="11"/>
  <c r="O1773" i="11"/>
  <c r="O1774" i="11"/>
  <c r="O1775" i="11"/>
  <c r="O1776" i="11"/>
  <c r="O1777" i="11"/>
  <c r="O1778" i="11"/>
  <c r="O1779" i="11"/>
  <c r="O1780" i="11"/>
  <c r="O1781" i="11"/>
  <c r="O1782" i="11"/>
  <c r="O1783" i="11"/>
  <c r="O1784" i="11"/>
  <c r="O1785" i="11"/>
  <c r="O1786" i="11"/>
  <c r="O1787" i="11"/>
  <c r="O1788" i="11"/>
  <c r="O1789" i="11"/>
  <c r="O1790" i="11"/>
  <c r="O1791" i="11"/>
  <c r="O1792" i="11"/>
  <c r="O1793" i="11"/>
  <c r="O1794" i="11"/>
  <c r="O1795" i="11"/>
  <c r="O1796" i="11"/>
  <c r="O1797" i="11"/>
  <c r="O1798" i="11"/>
  <c r="O1799" i="11"/>
  <c r="O1800" i="11"/>
  <c r="O1801" i="11"/>
  <c r="O1802" i="11"/>
  <c r="O1803" i="11"/>
  <c r="O1804" i="11"/>
  <c r="O1805" i="11"/>
  <c r="O1806" i="11"/>
  <c r="O1807" i="11"/>
  <c r="O1808" i="11"/>
  <c r="O1809" i="11"/>
  <c r="O1810" i="11"/>
  <c r="O1811" i="11"/>
  <c r="O1812" i="11"/>
  <c r="O1813" i="11"/>
  <c r="O1814" i="11"/>
  <c r="O1815" i="11"/>
  <c r="O1816" i="11"/>
  <c r="O1817" i="11"/>
  <c r="O1818" i="11"/>
  <c r="O1819" i="11"/>
  <c r="O1820" i="11"/>
  <c r="O1821" i="11"/>
  <c r="O1822" i="11"/>
  <c r="O1823" i="11"/>
  <c r="O1824" i="11"/>
  <c r="O1825" i="11"/>
  <c r="O1826" i="11"/>
  <c r="O1827" i="11"/>
  <c r="O1828" i="11"/>
  <c r="O1829" i="11"/>
  <c r="O1830" i="11"/>
  <c r="O1831" i="11"/>
  <c r="O1832" i="11"/>
  <c r="O1833" i="11"/>
  <c r="O1834" i="11"/>
  <c r="O1835" i="11"/>
  <c r="O1836" i="11"/>
  <c r="O1837" i="11"/>
  <c r="O1838" i="11"/>
  <c r="O1839" i="11"/>
  <c r="O1840" i="11"/>
  <c r="O1841" i="11"/>
  <c r="O1842" i="11"/>
  <c r="O1843" i="11"/>
  <c r="O1844" i="11"/>
  <c r="O1845" i="11"/>
  <c r="O1846" i="11"/>
  <c r="O1847" i="11"/>
  <c r="O1848" i="11"/>
  <c r="O1849" i="11"/>
  <c r="O1850" i="11"/>
  <c r="O1851" i="11"/>
  <c r="O1852" i="11"/>
  <c r="O1853" i="11"/>
  <c r="O1854" i="11"/>
  <c r="O1855" i="11"/>
  <c r="O1856" i="11"/>
  <c r="O1857" i="11"/>
  <c r="O1858" i="11"/>
  <c r="O1859" i="11"/>
  <c r="O1860" i="11"/>
  <c r="O1861" i="11"/>
  <c r="O1862" i="11"/>
  <c r="O1863" i="11"/>
  <c r="O1864" i="11"/>
  <c r="O1865" i="11"/>
  <c r="O1866" i="11"/>
  <c r="O1867" i="11"/>
  <c r="O1868" i="11"/>
  <c r="O1869" i="11"/>
  <c r="O1870" i="11"/>
  <c r="O1871" i="11"/>
  <c r="O1872" i="11"/>
  <c r="O1873" i="11"/>
  <c r="O1874" i="11"/>
  <c r="O1875" i="11"/>
  <c r="O1876" i="11"/>
  <c r="O1877" i="11"/>
  <c r="O1878" i="11"/>
  <c r="O1879" i="11"/>
  <c r="O1880" i="11"/>
  <c r="O1881" i="11"/>
  <c r="O1882" i="11"/>
  <c r="O1883" i="11"/>
  <c r="O1884" i="11"/>
  <c r="O1885" i="11"/>
  <c r="O1886" i="11"/>
  <c r="O1887" i="11"/>
  <c r="O1888" i="11"/>
  <c r="O1889" i="11"/>
  <c r="O1890" i="11"/>
  <c r="O1891" i="11"/>
  <c r="O1892" i="11"/>
  <c r="O1893" i="11"/>
  <c r="O1894" i="11"/>
  <c r="O1895" i="11"/>
  <c r="O1896" i="11"/>
  <c r="O1897" i="11"/>
  <c r="O1898" i="11"/>
  <c r="O1899" i="11"/>
  <c r="O1900" i="11"/>
  <c r="O1901" i="11"/>
  <c r="O1902" i="11"/>
  <c r="O1903" i="11"/>
  <c r="O1904" i="11"/>
  <c r="O1905" i="11"/>
  <c r="O1906" i="11"/>
  <c r="O1907" i="11"/>
  <c r="O1908" i="11"/>
  <c r="O1909" i="11"/>
  <c r="O1910" i="11"/>
  <c r="O1911" i="11"/>
  <c r="O1912" i="11"/>
  <c r="O1913" i="11"/>
  <c r="O1914" i="11"/>
  <c r="O1915" i="11"/>
  <c r="O1916" i="11"/>
  <c r="O1917" i="11"/>
  <c r="O1918" i="11"/>
  <c r="O1919" i="11"/>
  <c r="O1920" i="11"/>
  <c r="O1921" i="11"/>
  <c r="O1922" i="11"/>
  <c r="O1923" i="11"/>
  <c r="O1924" i="11"/>
  <c r="O1925" i="11"/>
  <c r="O1926" i="11"/>
  <c r="O1927" i="11"/>
  <c r="O1928" i="11"/>
  <c r="O1929" i="11"/>
  <c r="O1930" i="11"/>
  <c r="O1931" i="11"/>
  <c r="O1932" i="11"/>
  <c r="O1933" i="11"/>
  <c r="O1934" i="11"/>
  <c r="O1935" i="11"/>
  <c r="O1936" i="11"/>
  <c r="O1937" i="11"/>
  <c r="O1938" i="11"/>
  <c r="O1939" i="11"/>
  <c r="O1940" i="11"/>
  <c r="O1941" i="11"/>
  <c r="O1942" i="11"/>
  <c r="O1943" i="11"/>
  <c r="O1944" i="11"/>
  <c r="O1945" i="11"/>
  <c r="O1946" i="11"/>
  <c r="O1947" i="11"/>
  <c r="O1948" i="11"/>
  <c r="O1949" i="11"/>
  <c r="O1950" i="11"/>
  <c r="O1951" i="11"/>
  <c r="O1952" i="11"/>
  <c r="O1953" i="11"/>
  <c r="O1954" i="11"/>
  <c r="O1955" i="11"/>
  <c r="O1956" i="11"/>
  <c r="O1957" i="11"/>
  <c r="O1958" i="11"/>
  <c r="O1959" i="11"/>
  <c r="O1960" i="11"/>
  <c r="O1961" i="11"/>
  <c r="O1962" i="11"/>
  <c r="O1963" i="11"/>
  <c r="O1964" i="11"/>
  <c r="O1965" i="11"/>
  <c r="O1966" i="11"/>
  <c r="O1967" i="11"/>
  <c r="O1968" i="11"/>
  <c r="O1969" i="11"/>
  <c r="O1970" i="11"/>
  <c r="O1971" i="11"/>
  <c r="O1972" i="11"/>
  <c r="O1973" i="11"/>
  <c r="O1974" i="11"/>
  <c r="O1975" i="11"/>
  <c r="O1976" i="11"/>
  <c r="O1977" i="11"/>
  <c r="O1978" i="11"/>
  <c r="O1979" i="11"/>
  <c r="O1980" i="11"/>
  <c r="O1981" i="11"/>
  <c r="O1982" i="11"/>
  <c r="O1983" i="11"/>
  <c r="O1984" i="11"/>
  <c r="O1985" i="11"/>
  <c r="O1986" i="11"/>
  <c r="O1987" i="11"/>
  <c r="O1988" i="11"/>
  <c r="O1989" i="11"/>
  <c r="O1990" i="11"/>
  <c r="O1991" i="11"/>
  <c r="O1992" i="11"/>
  <c r="O1993" i="11"/>
  <c r="O1994" i="11"/>
  <c r="O1995" i="11"/>
  <c r="O1996" i="11"/>
  <c r="O1997" i="11"/>
  <c r="O1998" i="11"/>
  <c r="O1999" i="11"/>
  <c r="O2000" i="11"/>
  <c r="O2001" i="11"/>
  <c r="O2002" i="11"/>
  <c r="O2003" i="11"/>
  <c r="O2004" i="11"/>
  <c r="O2005" i="11"/>
  <c r="O2006" i="11"/>
  <c r="O2007" i="11"/>
  <c r="O2008" i="11"/>
  <c r="O2009" i="11"/>
  <c r="O2010" i="11"/>
  <c r="O2011" i="11"/>
  <c r="O2012" i="11"/>
  <c r="O2013" i="11"/>
  <c r="O2014" i="11"/>
  <c r="O2015" i="11"/>
  <c r="O2016" i="11"/>
  <c r="O2017" i="11"/>
  <c r="O2018" i="11"/>
  <c r="O2019" i="11"/>
  <c r="O2020" i="11"/>
  <c r="O2021" i="11"/>
  <c r="O2022" i="11"/>
  <c r="O2023" i="11"/>
  <c r="O2024" i="11"/>
  <c r="O2025" i="11"/>
  <c r="O2026" i="11"/>
  <c r="O2027" i="11"/>
  <c r="O2028" i="11"/>
  <c r="O2029" i="11"/>
  <c r="O2030" i="11"/>
  <c r="O2031" i="11"/>
  <c r="O2032" i="11"/>
  <c r="O2033" i="11"/>
  <c r="O2034" i="11"/>
  <c r="O2035" i="11"/>
  <c r="O2036" i="11"/>
  <c r="O2037" i="11"/>
  <c r="O2038" i="11"/>
  <c r="O2039" i="11"/>
  <c r="O2040" i="11"/>
  <c r="O2041" i="11"/>
  <c r="O2042" i="11"/>
  <c r="O2043" i="11"/>
  <c r="O2044" i="11"/>
  <c r="O2045" i="11"/>
  <c r="O2046" i="11"/>
  <c r="O2047" i="11"/>
  <c r="O2048" i="11"/>
  <c r="O2049" i="11"/>
  <c r="O2050" i="11"/>
  <c r="O2051" i="11"/>
  <c r="O2052" i="11"/>
  <c r="O2053" i="11"/>
  <c r="O2054" i="11"/>
  <c r="O2055" i="11"/>
  <c r="O2056" i="11"/>
  <c r="O2057" i="11"/>
  <c r="O2058" i="11"/>
  <c r="O2059" i="11"/>
  <c r="O2060" i="11"/>
  <c r="O2061" i="11"/>
  <c r="O2062" i="11"/>
  <c r="O2063" i="11"/>
  <c r="O2064" i="11"/>
  <c r="O2065" i="11"/>
  <c r="O2066" i="11"/>
  <c r="O2067" i="11"/>
  <c r="O2068" i="11"/>
  <c r="O2069" i="11"/>
  <c r="O2070" i="11"/>
  <c r="O2071" i="11"/>
  <c r="O2072" i="11"/>
  <c r="O2073" i="11"/>
  <c r="O2074" i="11"/>
  <c r="O2075" i="11"/>
  <c r="O2076" i="11"/>
  <c r="O2077" i="11"/>
  <c r="O2078" i="11"/>
  <c r="O2079" i="11"/>
  <c r="O2080" i="11"/>
  <c r="O2081" i="11"/>
  <c r="O2082" i="11"/>
  <c r="O2083" i="11"/>
  <c r="O2084" i="11"/>
  <c r="O2085" i="11"/>
  <c r="O2086" i="11"/>
  <c r="O2087" i="11"/>
  <c r="O2088" i="11"/>
  <c r="O2089" i="11"/>
  <c r="O2090" i="11"/>
  <c r="O2091" i="11"/>
  <c r="O2092" i="11"/>
  <c r="O2093" i="11"/>
  <c r="O2094" i="11"/>
  <c r="O2095" i="11"/>
  <c r="O2096" i="11"/>
  <c r="O2097" i="11"/>
  <c r="O2098" i="11"/>
  <c r="O2099" i="11"/>
  <c r="O2100" i="11"/>
  <c r="O2101" i="11"/>
  <c r="O2102" i="11"/>
  <c r="O2103" i="11"/>
  <c r="O2104" i="11"/>
  <c r="O2105" i="11"/>
  <c r="O2106" i="11"/>
  <c r="O2107" i="11"/>
  <c r="O2108" i="11"/>
  <c r="O2109" i="11"/>
  <c r="O2110" i="11"/>
  <c r="O2111" i="11"/>
  <c r="O2112" i="11"/>
  <c r="O2113" i="11"/>
  <c r="O2114" i="11"/>
  <c r="O2115" i="11"/>
  <c r="O2116" i="11"/>
  <c r="O2117" i="11"/>
  <c r="O2118" i="11"/>
  <c r="O2119" i="11"/>
  <c r="O2120" i="11"/>
  <c r="O2121" i="11"/>
  <c r="O2122" i="11"/>
  <c r="O2123" i="11"/>
  <c r="O2124" i="11"/>
  <c r="O2125" i="11"/>
  <c r="O2126" i="11"/>
  <c r="O2127" i="11"/>
  <c r="O2128" i="11"/>
  <c r="O2129" i="11"/>
  <c r="O2130" i="11"/>
  <c r="O2131" i="11"/>
  <c r="O2132" i="11"/>
  <c r="O2133" i="11"/>
  <c r="O2134" i="11"/>
  <c r="O2135" i="11"/>
  <c r="O2136" i="11"/>
  <c r="O2137" i="11"/>
  <c r="O2138" i="11"/>
  <c r="O2139" i="11"/>
  <c r="O2140" i="11"/>
  <c r="O2141" i="11"/>
  <c r="O2142" i="11"/>
  <c r="O2143" i="11"/>
  <c r="O2144" i="11"/>
  <c r="O2145" i="11"/>
  <c r="O2146" i="11"/>
  <c r="O2147" i="11"/>
  <c r="O2148" i="11"/>
  <c r="O2149" i="11"/>
  <c r="O2150" i="11"/>
  <c r="O2151" i="11"/>
  <c r="O2152" i="11"/>
  <c r="O2153" i="11"/>
  <c r="O2154" i="11"/>
  <c r="O2155" i="11"/>
  <c r="O2156" i="11"/>
  <c r="O2157" i="11"/>
  <c r="O2158" i="11"/>
  <c r="O2159" i="11"/>
  <c r="O2160" i="11"/>
  <c r="O2161" i="11"/>
  <c r="O2162" i="11"/>
  <c r="O2163" i="11"/>
  <c r="O2164" i="11"/>
  <c r="O2165" i="11"/>
  <c r="O2166" i="11"/>
  <c r="O2167" i="11"/>
  <c r="O2168" i="11"/>
  <c r="O2169" i="11"/>
  <c r="O2170" i="11"/>
  <c r="O2171" i="11"/>
  <c r="O2172" i="11"/>
  <c r="O2173" i="11"/>
  <c r="O2174" i="11"/>
  <c r="O2175" i="11"/>
  <c r="O2176" i="11"/>
  <c r="O2177" i="11"/>
  <c r="O2178" i="11"/>
  <c r="O2179" i="11"/>
  <c r="O2180" i="11"/>
  <c r="O2181" i="11"/>
  <c r="O2182" i="11"/>
  <c r="O2183" i="11"/>
  <c r="O2184" i="11"/>
  <c r="O2185" i="11"/>
  <c r="O2186" i="11"/>
  <c r="O2187" i="11"/>
  <c r="O2188" i="11"/>
  <c r="O2189" i="11"/>
  <c r="O2190" i="11"/>
  <c r="O2191" i="11"/>
  <c r="O2192" i="11"/>
  <c r="O2193" i="11"/>
  <c r="O2194" i="11"/>
  <c r="O2195" i="11"/>
  <c r="O2196" i="11"/>
  <c r="O2197" i="11"/>
  <c r="O2198" i="11"/>
  <c r="O2199" i="11"/>
  <c r="O2200" i="11"/>
  <c r="O2201" i="11"/>
  <c r="O2202" i="11"/>
  <c r="O2203" i="11"/>
  <c r="O2204" i="11"/>
  <c r="O2205" i="11"/>
  <c r="O2206" i="11"/>
  <c r="O2207" i="11"/>
  <c r="O2208" i="11"/>
  <c r="O2209" i="11"/>
  <c r="O2210" i="11"/>
  <c r="O2211" i="11"/>
  <c r="O2212" i="11"/>
  <c r="O2213" i="11"/>
  <c r="O2214" i="11"/>
  <c r="O2215" i="11"/>
  <c r="O2216" i="11"/>
  <c r="O2217" i="11"/>
  <c r="O2218" i="11"/>
  <c r="O2219" i="11"/>
  <c r="O2220" i="11"/>
  <c r="O2221" i="11"/>
  <c r="O2222" i="11"/>
  <c r="O2223" i="11"/>
  <c r="O2224" i="11"/>
  <c r="O2225" i="11"/>
  <c r="O2226" i="11"/>
  <c r="O2227" i="11"/>
  <c r="O2228" i="11"/>
  <c r="O2229" i="11"/>
  <c r="O2230" i="11"/>
  <c r="O2231" i="11"/>
  <c r="O2232" i="11"/>
  <c r="O2233" i="11"/>
  <c r="O2234" i="11"/>
  <c r="O2235" i="11"/>
  <c r="O2236" i="11"/>
  <c r="O2237" i="11"/>
  <c r="O2238" i="11"/>
  <c r="O2239" i="11"/>
  <c r="O2240" i="11"/>
  <c r="O2241" i="11"/>
  <c r="O2242" i="11"/>
  <c r="O2243" i="11"/>
  <c r="O2244" i="11"/>
  <c r="O2245" i="11"/>
  <c r="O2246" i="11"/>
  <c r="O2247" i="11"/>
  <c r="O2248" i="11"/>
  <c r="O2249" i="11"/>
  <c r="O2250" i="11"/>
  <c r="O2251" i="11"/>
  <c r="O2252" i="11"/>
  <c r="O2253" i="11"/>
  <c r="O2254" i="11"/>
  <c r="O2255" i="11"/>
  <c r="O2256" i="11"/>
  <c r="O2257" i="11"/>
  <c r="O2258" i="11"/>
  <c r="O2259" i="11"/>
  <c r="O2260" i="11"/>
  <c r="O2261" i="11"/>
  <c r="O2262" i="11"/>
  <c r="O2263" i="11"/>
  <c r="O2264" i="11"/>
  <c r="O2265" i="11"/>
  <c r="O2266" i="11"/>
  <c r="O2267" i="11"/>
  <c r="O2268" i="11"/>
  <c r="O2269" i="11"/>
  <c r="O2270" i="11"/>
  <c r="O2271" i="11"/>
  <c r="O2272" i="11"/>
  <c r="O2273" i="11"/>
  <c r="O2274" i="11"/>
  <c r="O2275" i="11"/>
  <c r="O2276" i="11"/>
  <c r="O2277" i="11"/>
  <c r="O2278" i="11"/>
  <c r="O2279" i="11"/>
  <c r="O2280" i="11"/>
  <c r="O2281" i="11"/>
  <c r="O2282" i="11"/>
  <c r="O2283" i="11"/>
  <c r="O2284" i="11"/>
  <c r="O2285" i="11"/>
  <c r="O2286" i="11"/>
  <c r="O2287" i="11"/>
  <c r="O2288" i="11"/>
  <c r="O2289" i="11"/>
  <c r="O2290" i="11"/>
  <c r="O2291" i="11"/>
  <c r="O2292" i="11"/>
  <c r="O2293" i="11"/>
  <c r="O2294" i="11"/>
  <c r="O2295" i="11"/>
  <c r="O2296" i="11"/>
  <c r="O2297" i="11"/>
  <c r="O2298" i="11"/>
  <c r="O2299" i="11"/>
  <c r="O2300" i="11"/>
  <c r="O2301" i="11"/>
  <c r="O2302" i="11"/>
  <c r="O2303" i="11"/>
  <c r="O2304" i="11"/>
  <c r="O2305" i="11"/>
  <c r="O2306" i="11"/>
  <c r="O2307" i="11"/>
  <c r="O2308" i="11"/>
  <c r="O2309" i="11"/>
  <c r="O2310" i="11"/>
  <c r="O2311" i="11"/>
  <c r="O2312" i="11"/>
  <c r="O2313" i="11"/>
  <c r="O2314" i="11"/>
  <c r="O2315" i="11"/>
  <c r="O2316" i="11"/>
  <c r="O2317" i="11"/>
  <c r="O2318" i="11"/>
  <c r="O2319" i="11"/>
  <c r="O2320" i="11"/>
  <c r="O2321" i="11"/>
  <c r="O2322" i="11"/>
  <c r="O2323" i="11"/>
  <c r="O2324" i="11"/>
  <c r="O2325" i="11"/>
  <c r="O2326" i="11"/>
  <c r="O2327" i="11"/>
  <c r="O2328" i="11"/>
  <c r="O2329" i="11"/>
  <c r="O2330" i="11"/>
  <c r="O2331" i="11"/>
  <c r="O2332" i="11"/>
  <c r="O2333" i="11"/>
  <c r="O2334" i="11"/>
  <c r="O2335" i="11"/>
  <c r="O2336" i="11"/>
  <c r="O2337" i="11"/>
  <c r="O2338" i="11"/>
  <c r="O2339" i="11"/>
  <c r="O2340" i="11"/>
  <c r="O2341" i="11"/>
  <c r="O2342" i="11"/>
  <c r="O2343" i="11"/>
  <c r="O2344" i="11"/>
  <c r="O2345" i="11"/>
  <c r="O2346" i="11"/>
  <c r="O2347" i="11"/>
  <c r="O2348" i="11"/>
  <c r="O2349" i="11"/>
  <c r="O2350" i="11"/>
  <c r="O2351" i="11"/>
  <c r="O2352" i="11"/>
  <c r="O2353" i="11"/>
  <c r="O2354" i="11"/>
  <c r="O2355" i="11"/>
  <c r="O2356" i="11"/>
  <c r="O2357" i="11"/>
  <c r="O2358" i="11"/>
  <c r="O2359" i="11"/>
  <c r="O2360" i="11"/>
  <c r="O2361" i="11"/>
  <c r="O2362" i="11"/>
  <c r="O2363" i="11"/>
  <c r="O2364" i="11"/>
  <c r="O2365" i="11"/>
  <c r="O2366" i="11"/>
  <c r="O2367" i="11"/>
  <c r="O2368" i="11"/>
  <c r="O2369" i="11"/>
  <c r="O2370" i="11"/>
  <c r="O2371" i="11"/>
  <c r="O2372" i="11"/>
  <c r="O2373" i="11"/>
  <c r="O2374" i="11"/>
  <c r="O2375" i="11"/>
  <c r="O2376" i="11"/>
  <c r="O2377" i="11"/>
  <c r="O2378" i="11"/>
  <c r="O2379" i="11"/>
  <c r="O2380" i="11"/>
  <c r="O2381" i="11"/>
  <c r="O2382" i="11"/>
  <c r="O2383" i="11"/>
  <c r="O2384" i="11"/>
  <c r="O2385" i="11"/>
  <c r="O2386" i="11"/>
  <c r="O2387" i="11"/>
  <c r="O2388" i="11"/>
  <c r="O2389" i="11"/>
  <c r="O2390" i="11"/>
  <c r="O2391" i="11"/>
  <c r="O2392" i="11"/>
  <c r="O2393" i="11"/>
  <c r="O2394" i="11"/>
  <c r="O2395" i="11"/>
  <c r="O2396" i="11"/>
  <c r="O2397" i="11"/>
  <c r="O2398" i="11"/>
  <c r="O2399" i="11"/>
  <c r="O2400" i="11"/>
  <c r="O2401" i="11"/>
  <c r="O2402" i="11"/>
  <c r="O2403" i="11"/>
  <c r="O2404" i="11"/>
  <c r="O2405" i="11"/>
  <c r="O2406" i="11"/>
  <c r="O2407" i="11"/>
  <c r="O2408" i="11"/>
  <c r="O2409" i="11"/>
  <c r="O2410" i="11"/>
  <c r="O2411" i="11"/>
  <c r="O2412" i="11"/>
  <c r="O2413" i="11"/>
  <c r="O2414" i="11"/>
  <c r="O2415" i="11"/>
  <c r="O2416" i="11"/>
  <c r="O2417" i="11"/>
  <c r="O2418" i="11"/>
  <c r="O2419" i="11"/>
  <c r="O2420" i="11"/>
  <c r="O2421" i="11"/>
  <c r="O2422" i="11"/>
  <c r="O2423" i="11"/>
  <c r="O2424" i="11"/>
  <c r="O2425" i="11"/>
  <c r="O2426" i="11"/>
  <c r="O2427" i="11"/>
  <c r="O2428" i="11"/>
  <c r="O2429" i="11"/>
  <c r="O2430" i="11"/>
  <c r="O2431" i="11"/>
  <c r="O2432" i="11"/>
  <c r="O2433" i="11"/>
  <c r="O2434" i="11"/>
  <c r="O2435" i="11"/>
  <c r="O2436" i="11"/>
  <c r="O2437" i="11"/>
  <c r="O2438" i="11"/>
  <c r="O2439" i="11"/>
  <c r="O2440" i="11"/>
  <c r="O2441" i="11"/>
  <c r="O2442" i="11"/>
  <c r="O2443" i="11"/>
  <c r="O2444" i="11"/>
  <c r="O2445" i="11"/>
  <c r="O2446" i="11"/>
  <c r="O2447" i="11"/>
  <c r="O2448" i="11"/>
  <c r="O2449" i="11"/>
  <c r="O2450" i="11"/>
  <c r="O2451" i="11"/>
  <c r="O2452" i="11"/>
  <c r="O2453" i="11"/>
  <c r="O2454" i="11"/>
  <c r="O2455" i="11"/>
  <c r="O2456" i="11"/>
  <c r="O2457" i="11"/>
  <c r="O2458" i="11"/>
  <c r="O2459" i="11"/>
  <c r="O2460" i="11"/>
  <c r="O2461" i="11"/>
  <c r="O2462" i="11"/>
  <c r="O2463" i="11"/>
  <c r="O2464" i="11"/>
  <c r="O2465" i="11"/>
  <c r="O2466" i="11"/>
  <c r="O2467" i="11"/>
  <c r="O2468" i="11"/>
  <c r="O2469" i="11"/>
  <c r="O2470" i="11"/>
  <c r="O2471" i="11"/>
  <c r="O2472" i="11"/>
  <c r="O2473" i="11"/>
  <c r="O2474" i="11"/>
  <c r="O2475" i="11"/>
  <c r="O2476" i="11"/>
  <c r="O2477" i="11"/>
  <c r="O2478" i="11"/>
  <c r="O2479" i="11"/>
  <c r="O2480" i="11"/>
  <c r="O2481" i="11"/>
  <c r="O2482" i="11"/>
  <c r="O2483" i="11"/>
  <c r="O2484" i="11"/>
  <c r="O2485" i="11"/>
  <c r="O2486" i="11"/>
  <c r="O2487" i="11"/>
  <c r="O2488" i="11"/>
  <c r="O2489" i="11"/>
  <c r="O2490" i="11"/>
  <c r="O2491" i="11"/>
  <c r="O2492" i="11"/>
  <c r="O2493" i="11"/>
  <c r="O2494" i="11"/>
  <c r="O2495" i="11"/>
  <c r="O2496" i="11"/>
  <c r="O2497" i="11"/>
  <c r="O2498" i="11"/>
  <c r="O2499" i="11"/>
  <c r="O2500" i="11"/>
  <c r="O2501" i="11"/>
  <c r="O2502" i="11"/>
  <c r="O2503" i="11"/>
  <c r="O2504" i="11"/>
  <c r="O2505" i="11"/>
  <c r="O2506" i="11"/>
  <c r="O2507" i="11"/>
  <c r="O2508" i="11"/>
  <c r="O2509" i="11"/>
  <c r="O2510" i="11"/>
  <c r="O2511" i="11"/>
  <c r="O2512" i="11"/>
  <c r="O2513" i="11"/>
  <c r="O2514" i="11"/>
  <c r="O2515" i="11"/>
  <c r="O2516" i="11"/>
  <c r="O2517" i="11"/>
  <c r="O2518" i="11"/>
  <c r="O2519" i="11"/>
  <c r="O2520" i="11"/>
  <c r="O2521" i="11"/>
  <c r="O2522" i="11"/>
  <c r="O2523" i="11"/>
  <c r="O2524" i="11"/>
  <c r="O2525" i="11"/>
  <c r="O2526" i="11"/>
  <c r="O2527" i="11"/>
  <c r="O2528" i="11"/>
  <c r="O2529" i="11"/>
  <c r="O2530" i="11"/>
  <c r="O2531" i="11"/>
  <c r="O2532" i="11"/>
  <c r="O2533" i="11"/>
  <c r="O2534" i="11"/>
  <c r="O2535" i="11"/>
  <c r="O2536" i="11"/>
  <c r="O2537" i="11"/>
  <c r="O2538" i="11"/>
  <c r="O2539" i="11"/>
  <c r="O2540" i="11"/>
  <c r="O2541" i="11"/>
  <c r="O2542" i="11"/>
  <c r="O2543" i="11"/>
  <c r="O2544" i="11"/>
  <c r="O2545" i="11"/>
  <c r="O2546" i="11"/>
  <c r="O2547" i="11"/>
  <c r="O2548" i="11"/>
  <c r="O2549" i="11"/>
  <c r="O2550" i="11"/>
  <c r="O2551" i="11"/>
  <c r="O2552" i="11"/>
  <c r="O2553" i="11"/>
  <c r="O2554" i="11"/>
  <c r="O2555" i="11"/>
  <c r="O2556" i="11"/>
  <c r="O2557" i="11"/>
  <c r="O2558" i="11"/>
  <c r="O2559" i="11"/>
  <c r="O2560" i="11"/>
  <c r="O2561" i="11"/>
  <c r="O2562" i="11"/>
  <c r="O2563" i="11"/>
  <c r="O2564" i="11"/>
  <c r="O2565" i="11"/>
  <c r="O2566" i="11"/>
  <c r="O2567" i="11"/>
  <c r="O2568" i="11"/>
  <c r="O2569" i="11"/>
  <c r="O2570" i="11"/>
  <c r="O2571" i="11"/>
  <c r="O2572" i="11"/>
  <c r="O2573" i="11"/>
  <c r="O2574" i="11"/>
  <c r="O2575" i="11"/>
  <c r="O2576" i="11"/>
  <c r="O2577" i="11"/>
  <c r="O2578" i="11"/>
  <c r="O2579" i="11"/>
  <c r="O2580" i="11"/>
  <c r="O2581" i="11"/>
  <c r="O2582" i="11"/>
  <c r="O2583" i="11"/>
  <c r="O2584" i="11"/>
  <c r="O2585" i="11"/>
  <c r="O2586" i="11"/>
  <c r="O2587" i="11"/>
  <c r="O2588" i="11"/>
  <c r="O2589" i="11"/>
  <c r="O2590" i="11"/>
  <c r="O2591" i="11"/>
  <c r="O2592" i="11"/>
  <c r="O2593" i="11"/>
  <c r="O2594" i="11"/>
  <c r="O2595" i="11"/>
  <c r="O2596" i="11"/>
  <c r="O2597" i="11"/>
  <c r="O2598" i="11"/>
  <c r="O2599" i="11"/>
  <c r="O2600" i="11"/>
  <c r="O2601" i="11"/>
  <c r="O2602" i="11"/>
  <c r="O2603" i="11"/>
  <c r="O2604" i="11"/>
  <c r="O2605" i="11"/>
  <c r="O2606" i="11"/>
  <c r="O2607" i="11"/>
  <c r="O2608" i="11"/>
  <c r="O2609" i="11"/>
  <c r="O2610" i="11"/>
  <c r="O2611" i="11"/>
  <c r="O2612" i="11"/>
  <c r="O2613" i="11"/>
  <c r="O2614" i="11"/>
  <c r="O2615" i="11"/>
  <c r="O2616" i="11"/>
  <c r="O2617" i="11"/>
  <c r="O2618" i="11"/>
  <c r="O2619" i="11"/>
  <c r="O2620" i="11"/>
  <c r="O2621" i="11"/>
  <c r="O2622" i="11"/>
  <c r="O2623" i="11"/>
  <c r="O2624" i="11"/>
  <c r="O2625" i="11"/>
  <c r="O2626" i="11"/>
  <c r="O2627" i="11"/>
  <c r="O2628" i="11"/>
  <c r="O2629" i="11"/>
  <c r="O2630" i="11"/>
  <c r="O2631" i="11"/>
  <c r="O2632" i="11"/>
  <c r="O2633" i="11"/>
  <c r="O2634" i="11"/>
  <c r="O2635" i="11"/>
  <c r="O2636" i="11"/>
  <c r="O2637" i="11"/>
  <c r="O2638" i="11"/>
  <c r="O2639" i="11"/>
  <c r="O2640" i="11"/>
  <c r="O2641" i="11"/>
  <c r="O2642" i="11"/>
  <c r="O2643" i="11"/>
  <c r="O2644" i="11"/>
  <c r="O2645" i="11"/>
  <c r="O2646" i="11"/>
  <c r="O2647" i="11"/>
  <c r="O2648" i="11"/>
  <c r="O2649" i="11"/>
  <c r="O2650" i="11"/>
  <c r="O2651" i="11"/>
  <c r="O2652" i="11"/>
  <c r="O2653" i="11"/>
  <c r="O2654" i="11"/>
  <c r="O2655" i="11"/>
  <c r="O2656" i="11"/>
  <c r="O2657" i="11"/>
  <c r="O2658" i="11"/>
  <c r="O2659" i="11"/>
  <c r="O2660" i="11"/>
  <c r="O2661" i="11"/>
  <c r="O2662" i="11"/>
  <c r="O2663" i="11"/>
  <c r="O2664" i="11"/>
  <c r="O2665" i="11"/>
  <c r="O2666" i="11"/>
  <c r="O2667" i="11"/>
  <c r="O2668" i="11"/>
  <c r="O2669" i="11"/>
  <c r="O2670" i="11"/>
  <c r="O2671" i="11"/>
  <c r="O2672" i="11"/>
  <c r="O2673" i="11"/>
  <c r="O2674" i="11"/>
  <c r="O2675" i="11"/>
  <c r="O2676" i="11"/>
  <c r="O2677" i="11"/>
  <c r="O2678" i="11"/>
  <c r="O2679" i="11"/>
  <c r="O2680" i="11"/>
  <c r="O2681" i="11"/>
  <c r="O2682" i="11"/>
  <c r="O2683" i="11"/>
  <c r="O2684" i="11"/>
  <c r="O2685" i="11"/>
  <c r="O2686" i="11"/>
  <c r="O2687" i="11"/>
  <c r="O2688" i="11"/>
  <c r="O2689" i="11"/>
  <c r="O2690" i="11"/>
  <c r="O2691" i="11"/>
  <c r="O2692" i="11"/>
  <c r="O2693" i="11"/>
  <c r="O2694" i="11"/>
  <c r="O2695" i="11"/>
  <c r="O2696" i="11"/>
  <c r="O2697" i="11"/>
  <c r="O2698" i="11"/>
  <c r="O2699" i="11"/>
  <c r="O2700" i="11"/>
  <c r="O2701" i="11"/>
  <c r="O2702" i="11"/>
  <c r="O2703" i="11"/>
  <c r="O2704" i="11"/>
  <c r="O2705" i="11"/>
  <c r="O2706" i="11"/>
  <c r="O2707" i="11"/>
  <c r="O2708" i="11"/>
  <c r="O2709" i="11"/>
  <c r="O2710" i="11"/>
  <c r="O2711" i="11"/>
  <c r="O2712" i="11"/>
  <c r="O2713" i="11"/>
  <c r="O2714" i="11"/>
  <c r="O2715" i="11"/>
  <c r="O2716" i="11"/>
  <c r="O2717" i="11"/>
  <c r="O2718" i="11"/>
  <c r="O2719" i="11"/>
  <c r="O2720" i="11"/>
  <c r="O2721" i="11"/>
  <c r="O2722" i="11"/>
  <c r="O2723" i="11"/>
  <c r="O2724" i="11"/>
  <c r="O2725" i="11"/>
  <c r="O2726" i="11"/>
  <c r="O2727" i="11"/>
  <c r="O2728" i="11"/>
  <c r="O2729" i="11"/>
  <c r="O2730" i="11"/>
  <c r="O2731" i="11"/>
  <c r="O2732" i="11"/>
  <c r="O2733" i="11"/>
  <c r="O2734" i="11"/>
  <c r="O2735" i="11"/>
  <c r="O2736" i="11"/>
  <c r="O2737" i="11"/>
  <c r="O2738" i="11"/>
  <c r="O2739" i="11"/>
  <c r="O2740" i="11"/>
  <c r="O2741" i="11"/>
  <c r="O2742" i="11"/>
  <c r="O2743" i="11"/>
  <c r="O2744" i="11"/>
  <c r="O2745" i="11"/>
  <c r="O2746" i="11"/>
  <c r="O2747" i="11"/>
  <c r="O2748" i="11"/>
  <c r="O2749" i="11"/>
  <c r="O2750" i="11"/>
  <c r="O2751" i="11"/>
  <c r="O2752" i="11"/>
  <c r="O2753" i="11"/>
  <c r="O2754" i="11"/>
  <c r="O2755" i="11"/>
  <c r="O2756" i="11"/>
  <c r="O2757" i="11"/>
  <c r="O2758" i="11"/>
  <c r="O2759" i="11"/>
  <c r="O2760" i="11"/>
  <c r="O2761" i="11"/>
  <c r="O2762" i="11"/>
  <c r="O2763" i="11"/>
  <c r="O2764" i="11"/>
  <c r="O2765" i="11"/>
  <c r="O2766" i="11"/>
  <c r="O2767" i="11"/>
  <c r="O2768" i="11"/>
  <c r="O2769" i="11"/>
  <c r="O2770" i="11"/>
  <c r="O2771" i="11"/>
  <c r="O2772" i="11"/>
  <c r="O2773" i="11"/>
  <c r="O2774" i="11"/>
  <c r="O2775" i="11"/>
  <c r="O2776" i="11"/>
  <c r="O2777" i="11"/>
  <c r="O2778" i="11"/>
  <c r="O2779" i="11"/>
  <c r="O2780" i="11"/>
  <c r="O2781" i="11"/>
  <c r="O2782" i="11"/>
  <c r="O2783" i="11"/>
  <c r="O2784" i="11"/>
  <c r="O2785" i="11"/>
  <c r="O2786" i="11"/>
  <c r="O2787" i="11"/>
  <c r="O2788" i="11"/>
  <c r="O2789" i="11"/>
  <c r="O2790" i="11"/>
  <c r="O2791" i="11"/>
  <c r="O2792" i="11"/>
  <c r="O2793" i="11"/>
  <c r="O2794" i="11"/>
  <c r="O2795" i="11"/>
  <c r="O2796" i="11"/>
  <c r="O2797" i="11"/>
  <c r="O2798" i="11"/>
  <c r="O2799" i="11"/>
  <c r="O2800" i="11"/>
  <c r="O2801" i="11"/>
  <c r="O2802" i="11"/>
  <c r="O2803" i="11"/>
  <c r="O2804" i="11"/>
  <c r="O2805" i="11"/>
  <c r="O2806" i="11"/>
  <c r="O2807" i="11"/>
  <c r="O2808" i="11"/>
  <c r="O2809" i="11"/>
  <c r="O2810" i="11"/>
  <c r="O2811" i="11"/>
  <c r="O2812" i="11"/>
  <c r="O2813" i="11"/>
  <c r="O2814" i="11"/>
  <c r="O2815" i="11"/>
  <c r="O2816" i="11"/>
  <c r="O2817" i="11"/>
  <c r="O2818" i="11"/>
  <c r="O2819" i="11"/>
  <c r="O2820" i="11"/>
  <c r="O2821" i="11"/>
  <c r="O2822" i="11"/>
  <c r="O2823" i="11"/>
  <c r="O2824" i="11"/>
  <c r="O2825" i="11"/>
  <c r="O2826" i="11"/>
  <c r="O2827" i="11"/>
  <c r="O2828" i="11"/>
  <c r="O2829" i="11"/>
  <c r="O2830" i="11"/>
  <c r="O2831" i="11"/>
  <c r="O2832" i="11"/>
  <c r="O2833" i="11"/>
  <c r="O2834" i="11"/>
  <c r="O2835" i="11"/>
  <c r="O2836" i="11"/>
  <c r="O2837" i="11"/>
  <c r="O2838" i="11"/>
  <c r="O2839" i="11"/>
  <c r="O2840" i="11"/>
  <c r="O2841" i="11"/>
  <c r="O2842" i="11"/>
  <c r="O2843" i="11"/>
  <c r="O2844" i="11"/>
  <c r="O2845" i="11"/>
  <c r="O2846" i="11"/>
  <c r="O2847" i="11"/>
  <c r="O2848" i="11"/>
  <c r="O2849" i="11"/>
  <c r="O2850" i="11"/>
  <c r="O2851" i="11"/>
  <c r="O2852" i="11"/>
  <c r="O2853" i="11"/>
  <c r="O2854" i="11"/>
  <c r="O2855" i="11"/>
  <c r="O2856" i="11"/>
  <c r="O2857" i="11"/>
  <c r="O2858" i="11"/>
  <c r="O2859" i="11"/>
  <c r="O2860" i="11"/>
  <c r="O2861" i="11"/>
  <c r="O2862" i="11"/>
  <c r="O2863" i="11"/>
  <c r="O2864" i="11"/>
  <c r="O2865" i="11"/>
  <c r="O2866" i="11"/>
  <c r="O2867" i="11"/>
  <c r="O2868" i="11"/>
  <c r="O2869" i="11"/>
  <c r="O2870" i="11"/>
  <c r="O2871" i="11"/>
  <c r="O2872" i="11"/>
  <c r="O2873" i="11"/>
  <c r="O2874" i="11"/>
  <c r="O2875" i="11"/>
  <c r="O2876" i="11"/>
  <c r="O2877" i="11"/>
  <c r="O2878" i="11"/>
  <c r="O2879" i="11"/>
  <c r="O2880" i="11"/>
  <c r="O2881" i="11"/>
  <c r="O2882" i="11"/>
  <c r="O2883" i="11"/>
  <c r="O2884" i="11"/>
  <c r="O2885" i="11"/>
  <c r="O2886" i="11"/>
  <c r="O2887" i="11"/>
  <c r="O2888" i="11"/>
  <c r="O2889" i="11"/>
  <c r="O2890" i="11"/>
  <c r="O2891" i="11"/>
  <c r="O2892" i="11"/>
  <c r="O2893" i="11"/>
  <c r="O2894" i="11"/>
  <c r="O2895" i="11"/>
  <c r="O2896" i="11"/>
  <c r="O2897" i="11"/>
  <c r="O2898" i="11"/>
  <c r="O2899" i="11"/>
  <c r="O2900" i="11"/>
  <c r="O2901" i="11"/>
  <c r="O2902" i="11"/>
  <c r="O2903" i="11"/>
  <c r="O2904" i="11"/>
  <c r="O2905" i="11"/>
  <c r="O2906" i="11"/>
  <c r="O2907" i="11"/>
  <c r="O2908" i="11"/>
  <c r="O2909" i="11"/>
  <c r="O2910" i="11"/>
  <c r="O2911" i="11"/>
  <c r="O2912" i="11"/>
  <c r="O2913" i="11"/>
  <c r="O2914" i="11"/>
  <c r="O2915" i="11"/>
  <c r="O2916" i="11"/>
  <c r="O2917" i="11"/>
  <c r="O2918" i="11"/>
  <c r="O2919" i="11"/>
  <c r="O2920" i="11"/>
  <c r="O2921" i="11"/>
  <c r="O2922" i="11"/>
  <c r="O2923" i="11"/>
  <c r="O2924" i="11"/>
  <c r="O2925" i="11"/>
  <c r="O2926" i="11"/>
  <c r="O2927" i="11"/>
  <c r="O2928" i="11"/>
  <c r="O2929" i="11"/>
  <c r="O2930" i="11"/>
  <c r="O2931" i="11"/>
  <c r="O2932" i="11"/>
  <c r="O2933" i="11"/>
  <c r="O2934" i="11"/>
  <c r="O2935" i="11"/>
  <c r="O2936" i="11"/>
  <c r="O2937" i="11"/>
  <c r="O2938" i="11"/>
  <c r="O2939" i="11"/>
  <c r="O2940" i="11"/>
  <c r="O2941" i="11"/>
  <c r="O2942" i="11"/>
  <c r="O2943" i="11"/>
  <c r="O2944" i="11"/>
  <c r="O2945" i="11"/>
  <c r="O2946" i="11"/>
  <c r="O2947" i="11"/>
  <c r="O2948" i="11"/>
  <c r="O2949" i="11"/>
  <c r="O2950" i="11"/>
  <c r="O2951" i="11"/>
  <c r="O2952" i="11"/>
  <c r="O2953" i="11"/>
  <c r="O2954" i="11"/>
  <c r="O2955" i="11"/>
  <c r="O2956" i="11"/>
  <c r="O2957" i="11"/>
  <c r="O2958" i="11"/>
  <c r="O2959" i="11"/>
  <c r="O2960" i="11"/>
  <c r="O2961" i="11"/>
  <c r="O2962" i="11"/>
  <c r="O2963" i="11"/>
  <c r="O2964" i="11"/>
  <c r="O2965" i="11"/>
  <c r="O2966" i="11"/>
  <c r="O2967" i="11"/>
  <c r="O2968" i="11"/>
  <c r="O2969" i="11"/>
  <c r="O2970" i="11"/>
  <c r="O2971" i="11"/>
  <c r="O2972" i="11"/>
  <c r="O2973" i="11"/>
  <c r="O2974" i="11"/>
  <c r="O2975" i="11"/>
  <c r="O2976" i="11"/>
  <c r="O2977" i="11"/>
  <c r="O2978" i="11"/>
  <c r="O2979" i="11"/>
  <c r="O2980" i="11"/>
  <c r="O2981" i="11"/>
  <c r="O2982" i="11"/>
  <c r="O2983" i="11"/>
  <c r="O2984" i="11"/>
  <c r="O2985" i="11"/>
  <c r="O2986" i="11"/>
  <c r="O2987" i="11"/>
  <c r="O2988" i="11"/>
  <c r="O2989" i="11"/>
  <c r="O2990" i="11"/>
  <c r="O2991" i="11"/>
  <c r="O2992" i="11"/>
  <c r="O2993" i="11"/>
  <c r="O2994" i="11"/>
  <c r="O2995" i="11"/>
  <c r="O2996" i="11"/>
  <c r="O2997" i="11"/>
  <c r="O2998" i="11"/>
  <c r="O2999" i="11"/>
  <c r="O3000" i="11"/>
  <c r="O3001" i="11"/>
  <c r="O3002" i="11"/>
  <c r="O3003" i="11"/>
  <c r="O3004" i="11"/>
  <c r="O3005" i="11"/>
  <c r="O3006" i="11"/>
  <c r="O3007" i="11"/>
  <c r="O3008" i="11"/>
  <c r="O3009" i="11"/>
  <c r="O3010" i="11"/>
  <c r="O3011" i="11"/>
  <c r="O3012" i="11"/>
  <c r="O3013" i="11"/>
  <c r="O3014" i="11"/>
  <c r="O3015" i="11"/>
  <c r="O3016" i="11"/>
  <c r="O3017" i="11"/>
  <c r="O3018" i="11"/>
  <c r="O3019" i="11"/>
  <c r="O3020" i="11"/>
  <c r="O3021" i="11"/>
  <c r="O3022" i="11"/>
  <c r="O3023" i="11"/>
  <c r="O3024" i="11"/>
  <c r="O3025" i="11"/>
  <c r="O3026" i="11"/>
  <c r="O3027" i="11"/>
  <c r="O3028" i="11"/>
  <c r="O3029" i="11"/>
  <c r="O3030" i="11"/>
  <c r="O3031" i="11"/>
  <c r="O3032" i="11"/>
  <c r="O3033" i="11"/>
  <c r="O3034" i="11"/>
  <c r="O3035" i="11"/>
  <c r="O3036" i="11"/>
  <c r="O3037" i="11"/>
  <c r="O3038" i="11"/>
  <c r="O3039" i="11"/>
  <c r="O3040" i="11"/>
  <c r="O3041" i="11"/>
  <c r="O3042" i="11"/>
  <c r="O3043" i="11"/>
  <c r="O3044" i="11"/>
  <c r="O3045" i="11"/>
  <c r="O3046" i="11"/>
  <c r="O3047" i="11"/>
  <c r="O3048" i="11"/>
  <c r="O3049" i="11"/>
  <c r="O3050" i="11"/>
  <c r="O3051" i="11"/>
  <c r="O3052" i="11"/>
  <c r="O3053" i="11"/>
  <c r="O3054" i="11"/>
  <c r="O3055" i="11"/>
  <c r="O3056" i="11"/>
  <c r="O3057" i="11"/>
  <c r="O3058" i="11"/>
  <c r="O3059" i="11"/>
  <c r="O3060" i="11"/>
  <c r="O3061" i="11"/>
  <c r="O3062" i="11"/>
  <c r="O3063" i="11"/>
  <c r="O3064" i="11"/>
  <c r="O3065" i="11"/>
  <c r="O3066" i="11"/>
  <c r="O3067" i="11"/>
  <c r="O3068" i="11"/>
  <c r="O3069" i="11"/>
  <c r="O3070" i="11"/>
  <c r="O3071" i="11"/>
  <c r="O3072" i="11"/>
  <c r="O3073" i="11"/>
  <c r="O3074" i="11"/>
  <c r="O3075" i="11"/>
  <c r="O3076" i="11"/>
  <c r="O3077" i="11"/>
  <c r="O3078" i="11"/>
  <c r="O3079" i="11"/>
  <c r="O3080" i="11"/>
  <c r="O3081" i="11"/>
  <c r="O3082" i="11"/>
  <c r="O3083" i="11"/>
  <c r="O3084" i="11"/>
  <c r="O3085" i="11"/>
  <c r="O3086" i="11"/>
  <c r="O3087" i="11"/>
  <c r="O3088" i="11"/>
  <c r="O3089" i="11"/>
  <c r="O3090" i="11"/>
  <c r="O3091" i="11"/>
  <c r="O3092" i="11"/>
  <c r="O3093" i="11"/>
  <c r="O3094" i="11"/>
  <c r="O3095" i="11"/>
  <c r="O3096" i="11"/>
  <c r="O3097" i="11"/>
  <c r="O3098" i="11"/>
  <c r="O3099" i="11"/>
  <c r="O3100" i="11"/>
  <c r="O3101" i="11"/>
  <c r="O3102" i="11"/>
  <c r="O3103" i="11"/>
  <c r="O3104" i="11"/>
  <c r="O3105" i="11"/>
  <c r="O3106" i="11"/>
  <c r="O3107" i="11"/>
  <c r="O3108" i="11"/>
  <c r="O3109" i="11"/>
  <c r="O3110" i="11"/>
  <c r="O3111" i="11"/>
  <c r="O3112" i="11"/>
  <c r="O3113" i="11"/>
  <c r="O3114" i="11"/>
  <c r="O3115" i="11"/>
  <c r="O3116" i="11"/>
  <c r="O3117" i="11"/>
  <c r="O3118" i="11"/>
  <c r="O3119" i="11"/>
  <c r="O3120" i="11"/>
  <c r="O3121" i="11"/>
  <c r="O3122" i="11"/>
  <c r="O3123" i="11"/>
  <c r="O3124" i="11"/>
  <c r="O3125" i="11"/>
  <c r="O3126" i="11"/>
  <c r="O3127" i="11"/>
  <c r="O3128" i="11"/>
  <c r="O3129" i="11"/>
  <c r="O3130" i="11"/>
  <c r="O3131" i="11"/>
  <c r="O3132" i="11"/>
  <c r="O3133" i="11"/>
  <c r="O3134" i="11"/>
  <c r="O3135" i="11"/>
  <c r="O3136" i="11"/>
  <c r="O3137" i="11"/>
  <c r="O3138" i="11"/>
  <c r="O3139" i="11"/>
  <c r="O3140" i="11"/>
  <c r="O3141" i="11"/>
  <c r="O3142" i="11"/>
  <c r="O3143" i="11"/>
  <c r="O3144" i="11"/>
  <c r="O3145" i="11"/>
  <c r="O3146" i="11"/>
  <c r="O3147" i="11"/>
  <c r="O3148" i="11"/>
  <c r="O3149" i="11"/>
  <c r="O3150" i="11"/>
  <c r="O3151" i="11"/>
  <c r="O3152" i="11"/>
  <c r="O3153" i="11"/>
  <c r="O3154" i="11"/>
  <c r="O3155" i="11"/>
  <c r="O3156" i="11"/>
  <c r="O3157" i="11"/>
  <c r="O3158" i="11"/>
  <c r="O3159" i="11"/>
  <c r="O3160" i="11"/>
  <c r="O3161" i="11"/>
  <c r="O3162" i="11"/>
  <c r="O3163" i="11"/>
  <c r="O3164" i="11"/>
  <c r="O3165" i="11"/>
  <c r="O3166" i="11"/>
  <c r="O3167" i="11"/>
  <c r="O3168" i="11"/>
  <c r="O3169" i="11"/>
  <c r="O3170" i="11"/>
  <c r="O3171" i="11"/>
  <c r="O3172" i="11"/>
  <c r="O3173" i="11"/>
  <c r="O3174" i="11"/>
  <c r="O3175" i="11"/>
  <c r="O3176" i="11"/>
  <c r="O3177" i="11"/>
  <c r="O3178" i="11"/>
  <c r="O3179" i="11"/>
  <c r="O3180" i="11"/>
  <c r="O3181" i="11"/>
  <c r="O3182" i="11"/>
  <c r="O3183" i="11"/>
  <c r="O3184" i="11"/>
  <c r="O3185" i="11"/>
  <c r="O3186" i="11"/>
  <c r="O3187" i="11"/>
  <c r="O3188" i="11"/>
  <c r="O3189" i="11"/>
  <c r="O3190" i="11"/>
  <c r="O3191" i="11"/>
  <c r="O3192" i="11"/>
  <c r="O3193" i="11"/>
  <c r="O3194" i="11"/>
  <c r="O3195" i="11"/>
  <c r="O3196" i="11"/>
  <c r="O3197" i="11"/>
  <c r="O3198" i="11"/>
  <c r="O3199" i="11"/>
  <c r="O3200" i="11"/>
  <c r="O3201" i="11"/>
  <c r="O3202" i="11"/>
  <c r="O3203" i="11"/>
  <c r="O3204" i="11"/>
  <c r="O3205" i="11"/>
  <c r="O3206" i="11"/>
  <c r="O3207" i="11"/>
  <c r="O3208" i="11"/>
  <c r="O3209" i="11"/>
  <c r="O3210" i="11"/>
  <c r="O3211" i="11"/>
  <c r="O3212" i="11"/>
  <c r="O3213" i="11"/>
  <c r="O3214" i="11"/>
  <c r="O3215" i="11"/>
  <c r="O3216" i="11"/>
  <c r="O3217" i="11"/>
  <c r="O3218" i="11"/>
  <c r="O3219" i="11"/>
  <c r="O3220" i="11"/>
  <c r="O3221" i="11"/>
  <c r="O3222" i="11"/>
  <c r="O3223" i="11"/>
  <c r="O3224" i="11"/>
  <c r="O3225" i="11"/>
  <c r="O3226" i="11"/>
  <c r="O3227" i="11"/>
  <c r="O3228" i="11"/>
  <c r="O3229" i="11"/>
  <c r="O3230" i="11"/>
  <c r="O3231" i="11"/>
  <c r="O3232" i="11"/>
  <c r="O3233" i="11"/>
  <c r="O3234" i="11"/>
  <c r="O3235" i="11"/>
  <c r="O3236" i="11"/>
  <c r="O3237" i="11"/>
  <c r="O3238" i="11"/>
  <c r="O3239" i="11"/>
  <c r="O3240" i="11"/>
  <c r="O3241" i="11"/>
  <c r="O3242" i="11"/>
  <c r="O3243" i="11"/>
  <c r="O3244" i="11"/>
  <c r="O3245" i="11"/>
  <c r="O3246" i="11"/>
  <c r="O3247" i="11"/>
  <c r="O3248" i="11"/>
  <c r="O3249" i="11"/>
  <c r="O3250" i="11"/>
  <c r="O3251" i="11"/>
  <c r="O3252" i="11"/>
  <c r="O3253" i="11"/>
  <c r="O3254" i="11"/>
  <c r="O3255" i="11"/>
  <c r="O3256" i="11"/>
  <c r="O3257" i="11"/>
  <c r="O3258" i="11"/>
  <c r="O3259" i="11"/>
  <c r="O3260" i="11"/>
  <c r="O3261" i="11"/>
  <c r="O3262" i="11"/>
  <c r="O3263" i="11"/>
  <c r="O3264" i="11"/>
  <c r="O3265" i="11"/>
  <c r="O3266" i="11"/>
  <c r="O3267" i="11"/>
  <c r="O3268" i="11"/>
  <c r="O3269" i="11"/>
  <c r="O3270" i="11"/>
  <c r="O3271" i="11"/>
  <c r="O3272" i="11"/>
  <c r="O3273" i="11"/>
  <c r="O3274" i="11"/>
  <c r="O3275" i="11"/>
  <c r="O3276" i="11"/>
  <c r="O3277" i="11"/>
  <c r="O3278" i="11"/>
  <c r="O3279" i="11"/>
  <c r="O3280" i="11"/>
  <c r="O3281" i="11"/>
  <c r="O3282" i="11"/>
  <c r="O3283" i="11"/>
  <c r="O3284" i="11"/>
  <c r="O3285" i="11"/>
  <c r="O3286" i="11"/>
  <c r="O3287" i="11"/>
  <c r="O3288" i="11"/>
  <c r="O3289" i="11"/>
  <c r="O3290" i="11"/>
  <c r="O3291" i="11"/>
  <c r="O3292" i="11"/>
  <c r="O3293" i="11"/>
  <c r="O3294" i="11"/>
  <c r="O3295" i="11"/>
  <c r="O3296" i="11"/>
  <c r="O3297" i="11"/>
  <c r="O3298" i="11"/>
  <c r="O3299" i="11"/>
  <c r="O3300" i="11"/>
  <c r="O3301" i="11"/>
  <c r="O3302" i="11"/>
  <c r="O3303" i="11"/>
  <c r="O3304" i="11"/>
  <c r="O3305" i="11"/>
  <c r="O3306" i="11"/>
  <c r="O3307" i="11"/>
  <c r="O3308" i="11"/>
  <c r="O3309" i="11"/>
  <c r="O3310" i="11"/>
  <c r="O3311" i="11"/>
  <c r="O3312" i="11"/>
  <c r="O3313" i="11"/>
  <c r="O3314" i="11"/>
  <c r="O3315" i="11"/>
  <c r="O3316" i="11"/>
  <c r="O3317" i="11"/>
  <c r="O3318" i="11"/>
  <c r="O3319" i="11"/>
  <c r="O3320" i="11"/>
  <c r="O3321" i="11"/>
  <c r="O3322" i="11"/>
  <c r="O3323" i="11"/>
  <c r="O3324" i="11"/>
  <c r="O3325" i="11"/>
  <c r="O3326" i="11"/>
  <c r="O3327" i="11"/>
  <c r="O3328" i="11"/>
  <c r="O3329" i="11"/>
  <c r="O3330" i="11"/>
  <c r="O3331" i="11"/>
  <c r="O3332" i="11"/>
  <c r="O3333" i="11"/>
  <c r="O3334" i="11"/>
  <c r="O3335" i="11"/>
  <c r="O3336" i="11"/>
  <c r="O3337" i="11"/>
  <c r="O3338" i="11"/>
  <c r="O3339" i="11"/>
  <c r="O3340" i="11"/>
  <c r="O3341" i="11"/>
  <c r="O3342" i="11"/>
  <c r="O3343" i="11"/>
  <c r="O3344" i="11"/>
  <c r="O3345" i="11"/>
  <c r="O3346" i="11"/>
  <c r="O3347" i="11"/>
  <c r="O3348" i="11"/>
  <c r="O3349" i="11"/>
  <c r="O3350" i="11"/>
  <c r="O3351" i="11"/>
  <c r="O3352" i="11"/>
  <c r="O3353" i="11"/>
  <c r="O3354" i="11"/>
  <c r="O3355" i="11"/>
  <c r="O3356" i="11"/>
  <c r="O3357" i="11"/>
  <c r="O3358" i="11"/>
  <c r="O3359" i="11"/>
  <c r="O3360" i="11"/>
  <c r="O3361" i="11"/>
  <c r="O3362" i="11"/>
  <c r="O3363" i="11"/>
  <c r="O3364" i="11"/>
  <c r="O3365" i="11"/>
  <c r="O3366" i="11"/>
  <c r="O3367" i="11"/>
  <c r="O3368" i="11"/>
  <c r="O3369" i="11"/>
  <c r="O3370" i="11"/>
  <c r="O3371" i="11"/>
  <c r="O3372" i="11"/>
  <c r="O3373" i="11"/>
  <c r="O3374" i="11"/>
  <c r="O3375" i="11"/>
  <c r="O3376" i="11"/>
  <c r="O3377" i="11"/>
  <c r="O3378" i="11"/>
  <c r="O3379" i="11"/>
  <c r="O3380" i="11"/>
  <c r="O3381" i="11"/>
  <c r="O3382" i="11"/>
  <c r="O3383" i="11"/>
  <c r="O3384" i="11"/>
  <c r="O3385" i="11"/>
  <c r="O3386" i="11"/>
  <c r="O3387" i="11"/>
  <c r="O3388" i="11"/>
  <c r="O3389" i="11"/>
  <c r="O3390" i="11"/>
  <c r="O3391" i="11"/>
  <c r="O3392" i="11"/>
  <c r="O3393" i="11"/>
  <c r="O3394" i="11"/>
  <c r="O3395" i="11"/>
  <c r="O3396" i="11"/>
  <c r="O3397" i="11"/>
  <c r="O3398" i="11"/>
  <c r="O3399" i="11"/>
  <c r="O3400" i="11"/>
  <c r="O3401" i="11"/>
  <c r="O3402" i="11"/>
  <c r="O3403" i="11"/>
  <c r="O3404" i="11"/>
  <c r="O3405" i="11"/>
  <c r="O3406" i="11"/>
  <c r="O3407" i="11"/>
  <c r="O3408" i="11"/>
  <c r="O3409" i="11"/>
  <c r="O3410" i="11"/>
  <c r="O3411" i="11"/>
  <c r="O3412" i="11"/>
  <c r="O3413" i="11"/>
  <c r="O3414" i="11"/>
  <c r="O3415" i="11"/>
  <c r="O3416" i="11"/>
  <c r="O3417" i="11"/>
  <c r="O3418" i="11"/>
  <c r="O3419" i="11"/>
  <c r="O3420" i="11"/>
  <c r="O3421" i="11"/>
  <c r="O3422" i="11"/>
  <c r="O3423" i="11"/>
  <c r="O3424" i="11"/>
  <c r="O3425" i="11"/>
  <c r="O3426" i="11"/>
  <c r="O3427" i="11"/>
  <c r="O3428" i="11"/>
  <c r="O3429" i="11"/>
  <c r="O3430" i="11"/>
  <c r="O3431" i="11"/>
  <c r="O3432" i="11"/>
  <c r="O3433" i="11"/>
  <c r="O3434" i="11"/>
  <c r="O3435" i="11"/>
  <c r="O3436" i="11"/>
  <c r="O3437" i="11"/>
  <c r="O3438" i="11"/>
  <c r="O3439" i="11"/>
  <c r="O3440" i="11"/>
  <c r="O3441" i="11"/>
  <c r="O3442" i="11"/>
  <c r="O3443" i="11"/>
  <c r="O3444" i="11"/>
  <c r="O3445" i="11"/>
  <c r="O3446" i="11"/>
  <c r="O3447" i="11"/>
  <c r="O3448" i="11"/>
  <c r="O3449" i="11"/>
  <c r="O3450" i="11"/>
  <c r="O3451" i="11"/>
  <c r="O3452" i="11"/>
  <c r="O3453" i="11"/>
  <c r="O3454" i="11"/>
  <c r="O3455" i="11"/>
  <c r="O3456" i="11"/>
  <c r="O3457" i="11"/>
  <c r="O3458" i="11"/>
  <c r="O3459" i="11"/>
  <c r="O3460" i="11"/>
  <c r="O3461" i="11"/>
  <c r="O3462" i="11"/>
  <c r="O3463" i="11"/>
  <c r="O3464" i="11"/>
  <c r="O3465" i="11"/>
  <c r="O3466" i="11"/>
  <c r="O3467" i="11"/>
  <c r="O3468" i="11"/>
  <c r="O3469" i="11"/>
  <c r="O3470" i="11"/>
  <c r="O3471" i="11"/>
  <c r="O3472" i="11"/>
  <c r="O3473" i="11"/>
  <c r="O3474" i="11"/>
  <c r="O3475" i="11"/>
  <c r="O3476" i="11"/>
  <c r="O3477" i="11"/>
  <c r="O3478" i="11"/>
  <c r="O3479" i="11"/>
  <c r="O3480" i="11"/>
  <c r="O3481" i="11"/>
  <c r="O3482" i="11"/>
  <c r="O3483" i="11"/>
  <c r="O3484" i="11"/>
  <c r="O3485" i="11"/>
  <c r="O3486" i="11"/>
  <c r="O3487" i="11"/>
  <c r="O3488" i="11"/>
  <c r="O3489" i="11"/>
  <c r="O3490" i="11"/>
  <c r="O3491" i="11"/>
  <c r="O3492" i="11"/>
  <c r="O3493" i="11"/>
  <c r="O3494" i="11"/>
  <c r="O3495" i="11"/>
  <c r="O3496" i="11"/>
  <c r="O3497" i="11"/>
  <c r="O3498" i="11"/>
  <c r="O3499" i="11"/>
  <c r="O3500" i="11"/>
  <c r="O3501" i="11"/>
  <c r="O3502" i="11"/>
  <c r="O3503" i="11"/>
  <c r="O3504" i="11"/>
  <c r="O3505" i="11"/>
  <c r="O3506" i="11"/>
  <c r="O3507" i="11"/>
  <c r="O3508" i="11"/>
  <c r="O3509" i="11"/>
  <c r="O3510" i="11"/>
  <c r="O3511" i="11"/>
  <c r="O3512" i="11"/>
  <c r="O3513" i="11"/>
  <c r="O3514" i="11"/>
  <c r="O3515" i="11"/>
  <c r="O3516" i="11"/>
  <c r="O3517" i="11"/>
  <c r="O3518" i="11"/>
  <c r="O3519" i="11"/>
  <c r="O3520" i="11"/>
  <c r="O3521" i="11"/>
  <c r="O3522" i="11"/>
  <c r="O3523" i="11"/>
  <c r="O3524" i="11"/>
  <c r="O3525" i="11"/>
  <c r="O3526" i="11"/>
  <c r="O3527" i="11"/>
  <c r="O3528" i="11"/>
  <c r="O3529" i="11"/>
  <c r="O3530" i="11"/>
  <c r="O3531" i="11"/>
  <c r="O3532" i="11"/>
  <c r="O3533" i="11"/>
  <c r="O3534" i="11"/>
  <c r="O3535" i="11"/>
  <c r="O3536" i="11"/>
  <c r="O3537" i="11"/>
  <c r="O3538" i="11"/>
  <c r="O3539" i="11"/>
  <c r="O3540" i="11"/>
  <c r="O3541" i="11"/>
  <c r="O3542" i="11"/>
  <c r="O3543" i="11"/>
  <c r="O3544" i="11"/>
  <c r="O3545" i="11"/>
  <c r="O3546" i="11"/>
  <c r="O3547" i="11"/>
  <c r="O3548" i="11"/>
  <c r="O3549" i="11"/>
  <c r="O3550" i="11"/>
  <c r="O3551" i="11"/>
  <c r="O3552" i="11"/>
  <c r="O3553" i="11"/>
  <c r="O3554" i="11"/>
  <c r="O3555" i="11"/>
  <c r="O3556" i="11"/>
  <c r="O3557" i="11"/>
  <c r="O3558" i="11"/>
  <c r="O3559" i="11"/>
  <c r="O3560" i="11"/>
  <c r="O3561" i="11"/>
  <c r="O3562" i="11"/>
  <c r="O3563" i="11"/>
  <c r="O3564" i="11"/>
  <c r="O3565" i="11"/>
  <c r="O3566" i="11"/>
  <c r="O3567" i="11"/>
  <c r="O3568" i="11"/>
  <c r="O3569" i="11"/>
  <c r="O3570" i="11"/>
  <c r="O3571" i="11"/>
  <c r="O3572" i="11"/>
  <c r="O3573" i="11"/>
  <c r="O3574" i="11"/>
  <c r="O3575" i="11"/>
  <c r="O3576" i="11"/>
  <c r="O3577" i="11"/>
  <c r="O3578" i="11"/>
  <c r="O3579" i="11"/>
  <c r="O3580" i="11"/>
  <c r="O3581" i="11"/>
  <c r="O3582" i="11"/>
  <c r="O3583" i="11"/>
  <c r="O3584" i="11"/>
  <c r="O3585" i="11"/>
  <c r="O3586" i="11"/>
  <c r="O3587" i="11"/>
  <c r="O3588" i="11"/>
  <c r="O3589" i="11"/>
  <c r="O3590" i="11"/>
  <c r="O3591" i="11"/>
  <c r="O3592" i="11"/>
  <c r="O3593" i="11"/>
  <c r="O3594" i="11"/>
  <c r="O3595" i="11"/>
  <c r="O3596" i="11"/>
  <c r="O3597" i="11"/>
  <c r="O3598" i="11"/>
  <c r="O3599" i="11"/>
  <c r="O3600" i="11"/>
  <c r="O3601" i="11"/>
  <c r="O3602" i="11"/>
  <c r="O3603" i="11"/>
  <c r="O3604" i="11"/>
  <c r="O3605" i="11"/>
  <c r="O3606" i="11"/>
  <c r="O3607" i="11"/>
  <c r="O3608" i="11"/>
  <c r="O3609" i="11"/>
  <c r="O3610" i="11"/>
  <c r="O3611" i="11"/>
  <c r="O3612" i="11"/>
  <c r="O3613" i="11"/>
  <c r="O3614" i="11"/>
  <c r="O3615" i="11"/>
  <c r="O3616" i="11"/>
  <c r="O3617" i="11"/>
  <c r="O3618" i="11"/>
  <c r="O3619" i="11"/>
  <c r="O3620" i="11"/>
  <c r="O3621" i="11"/>
  <c r="O3622" i="11"/>
  <c r="O3623" i="11"/>
  <c r="O3624" i="11"/>
  <c r="O3625" i="11"/>
  <c r="O3626" i="11"/>
  <c r="O3627" i="11"/>
  <c r="O3628" i="11"/>
  <c r="O3629" i="11"/>
  <c r="O3630" i="11"/>
  <c r="O3631" i="11"/>
  <c r="O3632" i="11"/>
  <c r="O3633" i="11"/>
  <c r="O3634" i="11"/>
  <c r="O3635" i="11"/>
  <c r="O3636" i="11"/>
  <c r="O3637" i="11"/>
  <c r="O3638" i="11"/>
  <c r="O3639" i="11"/>
  <c r="O3640" i="11"/>
  <c r="O3641" i="11"/>
  <c r="O3642" i="11"/>
  <c r="O3643" i="11"/>
  <c r="O3644" i="11"/>
  <c r="O3645" i="11"/>
  <c r="O3646" i="11"/>
  <c r="O3647" i="11"/>
  <c r="O3648" i="11"/>
  <c r="O3649" i="11"/>
  <c r="O3650" i="11"/>
  <c r="O3651" i="11"/>
  <c r="O3652" i="11"/>
  <c r="O3653" i="11"/>
  <c r="O3654" i="11"/>
  <c r="O3655" i="11"/>
  <c r="O3656" i="11"/>
  <c r="O3657" i="11"/>
  <c r="O3658" i="11"/>
  <c r="O3659" i="11"/>
  <c r="O3660" i="11"/>
  <c r="O3661" i="11"/>
  <c r="O3662" i="11"/>
  <c r="O3663" i="11"/>
  <c r="O3664" i="11"/>
  <c r="O3665" i="11"/>
  <c r="O3666" i="11"/>
  <c r="O3667" i="11"/>
  <c r="O3668" i="11"/>
  <c r="O3669" i="11"/>
  <c r="O3670" i="11"/>
  <c r="O3671" i="11"/>
  <c r="O3672" i="11"/>
  <c r="O3673" i="11"/>
  <c r="O3674" i="11"/>
  <c r="O3675" i="11"/>
  <c r="O3676" i="11"/>
  <c r="O3677" i="11"/>
  <c r="O3678" i="11"/>
  <c r="O3679" i="11"/>
  <c r="O3680" i="11"/>
  <c r="O3681" i="11"/>
  <c r="O3682" i="11"/>
  <c r="O3683" i="11"/>
  <c r="O3684" i="11"/>
  <c r="O3685" i="11"/>
  <c r="O3686" i="11"/>
  <c r="O3687" i="11"/>
  <c r="O3688" i="11"/>
  <c r="O3689" i="11"/>
  <c r="O3690" i="11"/>
  <c r="O3691" i="11"/>
  <c r="O3692" i="11"/>
  <c r="O3693" i="11"/>
  <c r="O3694" i="11"/>
  <c r="O3695" i="11"/>
  <c r="O3696" i="11"/>
  <c r="O3697" i="11"/>
  <c r="O3698" i="11"/>
  <c r="O3699" i="11"/>
  <c r="O3700" i="11"/>
  <c r="O3701" i="11"/>
  <c r="O3702" i="11"/>
  <c r="O3703" i="11"/>
  <c r="O3704" i="11"/>
  <c r="O3705" i="11"/>
  <c r="O3706" i="11"/>
  <c r="O3707" i="11"/>
  <c r="O3708" i="11"/>
  <c r="O3709" i="11"/>
  <c r="O3710" i="11"/>
  <c r="O3711" i="11"/>
  <c r="O3712" i="11"/>
  <c r="O3713" i="11"/>
  <c r="O3714" i="11"/>
  <c r="O3715" i="11"/>
  <c r="O3716" i="11"/>
  <c r="O3717" i="11"/>
  <c r="O3718" i="11"/>
  <c r="O3719" i="11"/>
  <c r="O3720" i="11"/>
  <c r="O3721" i="11"/>
  <c r="O3722" i="11"/>
  <c r="O3723" i="11"/>
  <c r="O3724" i="11"/>
  <c r="O3725" i="11"/>
  <c r="O3726" i="11"/>
  <c r="O3727" i="11"/>
  <c r="O3728" i="11"/>
  <c r="O3729" i="11"/>
  <c r="O3730" i="11"/>
  <c r="O3731" i="11"/>
  <c r="O3732" i="11"/>
  <c r="O3733" i="11"/>
  <c r="O3734" i="11"/>
  <c r="O3735" i="11"/>
  <c r="O3736" i="11"/>
  <c r="O3737" i="11"/>
  <c r="O3738" i="11"/>
  <c r="O3739" i="11"/>
  <c r="O3740" i="11"/>
  <c r="O3741" i="11"/>
  <c r="O3742" i="11"/>
  <c r="O3743" i="11"/>
  <c r="O3744" i="11"/>
  <c r="O3745" i="11"/>
  <c r="O3746" i="11"/>
  <c r="O3747" i="11"/>
  <c r="O3748" i="11"/>
  <c r="O3749" i="11"/>
  <c r="O3750" i="11"/>
  <c r="O3751" i="11"/>
  <c r="O3752" i="11"/>
  <c r="O3753" i="11"/>
  <c r="O3754" i="11"/>
  <c r="O3755" i="11"/>
  <c r="O3756" i="11"/>
  <c r="O3757" i="11"/>
  <c r="O3758" i="11"/>
  <c r="O3759" i="11"/>
  <c r="O3760" i="11"/>
  <c r="O3761" i="11"/>
  <c r="O3762" i="11"/>
  <c r="O3763" i="11"/>
  <c r="O3764" i="11"/>
  <c r="O3765" i="11"/>
  <c r="O3766" i="11"/>
  <c r="O3767" i="11"/>
  <c r="O3768" i="11"/>
  <c r="O3769" i="11"/>
  <c r="O3770" i="11"/>
  <c r="O3771" i="11"/>
  <c r="O3772" i="11"/>
  <c r="O3773" i="11"/>
  <c r="O3774" i="11"/>
  <c r="O3775" i="11"/>
  <c r="O3776" i="11"/>
  <c r="O3777" i="11"/>
  <c r="O3778" i="11"/>
  <c r="O3779" i="11"/>
  <c r="O3780" i="11"/>
  <c r="O3781" i="11"/>
  <c r="O3782" i="11"/>
  <c r="O3783" i="11"/>
  <c r="O3784" i="11"/>
  <c r="O3785" i="11"/>
  <c r="O3786" i="11"/>
  <c r="O3787" i="11"/>
  <c r="O3788" i="11"/>
  <c r="O3789" i="11"/>
  <c r="O3790" i="11"/>
  <c r="O3791" i="11"/>
  <c r="O3792" i="11"/>
  <c r="O3793" i="11"/>
  <c r="O3794" i="11"/>
  <c r="O3795" i="11"/>
  <c r="O3796" i="11"/>
  <c r="O3797" i="11"/>
  <c r="O3798" i="11"/>
  <c r="O3799" i="11"/>
  <c r="O3800" i="11"/>
  <c r="O3801" i="11"/>
  <c r="O3802" i="11"/>
  <c r="O3803" i="11"/>
  <c r="O3804" i="11"/>
  <c r="O3805" i="11"/>
  <c r="O3806" i="11"/>
  <c r="O3807" i="11"/>
  <c r="O3808" i="11"/>
  <c r="O3809" i="11"/>
  <c r="O3810" i="11"/>
  <c r="O3811" i="11"/>
  <c r="O3812" i="11"/>
  <c r="O3813" i="11"/>
  <c r="O3814" i="11"/>
  <c r="O3815" i="11"/>
  <c r="O3816" i="11"/>
  <c r="O3817" i="11"/>
  <c r="O3818" i="11"/>
  <c r="O3819" i="11"/>
  <c r="O3820" i="11"/>
  <c r="O3821" i="11"/>
  <c r="O3822" i="11"/>
  <c r="O3823" i="11"/>
  <c r="O3824" i="11"/>
  <c r="O3825" i="11"/>
  <c r="O3826" i="11"/>
  <c r="O3827" i="11"/>
  <c r="O3828" i="11"/>
  <c r="O3829" i="11"/>
  <c r="O3830" i="11"/>
  <c r="O3831" i="11"/>
  <c r="O3832" i="11"/>
  <c r="O3833" i="11"/>
  <c r="O3834" i="11"/>
  <c r="O3835" i="11"/>
  <c r="O3836" i="11"/>
  <c r="O3837" i="11"/>
  <c r="O3838" i="11"/>
  <c r="O3839" i="11"/>
  <c r="O3840" i="11"/>
  <c r="O3841" i="11"/>
  <c r="O3842" i="11"/>
  <c r="O3843" i="11"/>
  <c r="O3844" i="11"/>
  <c r="O3845" i="11"/>
  <c r="O3846" i="11"/>
  <c r="O3847" i="11"/>
  <c r="O3848" i="11"/>
  <c r="O3849" i="11"/>
  <c r="O3850" i="11"/>
  <c r="O3851" i="11"/>
  <c r="O3852" i="11"/>
  <c r="O3853" i="11"/>
  <c r="O3854" i="11"/>
  <c r="O3855" i="11"/>
  <c r="O3856" i="11"/>
  <c r="O3857" i="11"/>
  <c r="O3858" i="11"/>
  <c r="O3859" i="11"/>
  <c r="O3860" i="11"/>
  <c r="O3861" i="11"/>
  <c r="O3862" i="11"/>
  <c r="O3863" i="11"/>
  <c r="O3864" i="11"/>
  <c r="O3865" i="11"/>
  <c r="O3866" i="11"/>
  <c r="O3867" i="11"/>
  <c r="O3868" i="11"/>
  <c r="O3869" i="11"/>
  <c r="O3870" i="11"/>
  <c r="O3871" i="11"/>
  <c r="O3872" i="11"/>
  <c r="O3873" i="11"/>
  <c r="O3874" i="11"/>
  <c r="O3875" i="11"/>
  <c r="O3876" i="11"/>
  <c r="O3877" i="11"/>
  <c r="O3878" i="11"/>
  <c r="O3879" i="11"/>
  <c r="O3880" i="11"/>
  <c r="O3881" i="11"/>
  <c r="O3882" i="11"/>
  <c r="O3883" i="11"/>
  <c r="O3884" i="11"/>
  <c r="O3885" i="11"/>
  <c r="O3886" i="11"/>
  <c r="O3887" i="11"/>
  <c r="O3888" i="11"/>
  <c r="O3889" i="11"/>
  <c r="P3890" i="11"/>
  <c r="Q3890" i="11"/>
  <c r="R3890" i="11"/>
  <c r="S5" i="11"/>
  <c r="S6" i="11"/>
  <c r="S7" i="11"/>
  <c r="S8" i="11"/>
  <c r="S9" i="11"/>
  <c r="S10" i="11"/>
  <c r="S11" i="11"/>
  <c r="S12" i="11"/>
  <c r="S13" i="11"/>
  <c r="S14" i="11"/>
  <c r="S15" i="11"/>
  <c r="S16" i="11"/>
  <c r="S17" i="11"/>
  <c r="S18" i="11"/>
  <c r="S19" i="11"/>
  <c r="S20" i="11"/>
  <c r="S21" i="11"/>
  <c r="S22" i="11"/>
  <c r="S23" i="11"/>
  <c r="S24" i="11"/>
  <c r="S25" i="11"/>
  <c r="S26" i="11"/>
  <c r="S27" i="11"/>
  <c r="S28" i="11"/>
  <c r="S29" i="11"/>
  <c r="S30" i="11"/>
  <c r="S31" i="11"/>
  <c r="S32" i="11"/>
  <c r="S33" i="11"/>
  <c r="S34" i="11"/>
  <c r="S35" i="11"/>
  <c r="S36" i="11"/>
  <c r="S37" i="11"/>
  <c r="S38" i="11"/>
  <c r="S39" i="11"/>
  <c r="S40" i="11"/>
  <c r="S41" i="11"/>
  <c r="S42" i="11"/>
  <c r="S43" i="11"/>
  <c r="S44" i="11"/>
  <c r="S45" i="11"/>
  <c r="S46" i="11"/>
  <c r="S47" i="11"/>
  <c r="S48" i="11"/>
  <c r="S49" i="11"/>
  <c r="S50" i="11"/>
  <c r="S51" i="11"/>
  <c r="S52" i="11"/>
  <c r="S53" i="11"/>
  <c r="S54" i="11"/>
  <c r="S55" i="11"/>
  <c r="S56" i="11"/>
  <c r="S57" i="11"/>
  <c r="S58" i="11"/>
  <c r="S59" i="11"/>
  <c r="S60" i="11"/>
  <c r="S61" i="11"/>
  <c r="S62" i="11"/>
  <c r="S63" i="11"/>
  <c r="S64" i="11"/>
  <c r="S65" i="11"/>
  <c r="S66" i="11"/>
  <c r="S67" i="11"/>
  <c r="S68" i="11"/>
  <c r="S69" i="11"/>
  <c r="S70" i="11"/>
  <c r="S71" i="11"/>
  <c r="S72" i="11"/>
  <c r="S73" i="11"/>
  <c r="S74" i="11"/>
  <c r="S75" i="11"/>
  <c r="S76" i="11"/>
  <c r="S77" i="11"/>
  <c r="S78" i="11"/>
  <c r="S79" i="11"/>
  <c r="S80" i="11"/>
  <c r="S81" i="11"/>
  <c r="S82" i="11"/>
  <c r="S83" i="11"/>
  <c r="S84" i="11"/>
  <c r="S85" i="11"/>
  <c r="S86" i="11"/>
  <c r="S87" i="11"/>
  <c r="S88" i="11"/>
  <c r="S89" i="11"/>
  <c r="S90" i="11"/>
  <c r="S91" i="11"/>
  <c r="S92" i="11"/>
  <c r="S93" i="11"/>
  <c r="S94" i="11"/>
  <c r="S95" i="11"/>
  <c r="S96" i="11"/>
  <c r="S97" i="11"/>
  <c r="S98" i="11"/>
  <c r="S99" i="11"/>
  <c r="S100" i="11"/>
  <c r="S101" i="11"/>
  <c r="S102" i="11"/>
  <c r="S103" i="11"/>
  <c r="S104" i="11"/>
  <c r="S105" i="11"/>
  <c r="S106" i="11"/>
  <c r="S107" i="11"/>
  <c r="S108" i="11"/>
  <c r="S109" i="11"/>
  <c r="S110" i="11"/>
  <c r="S111" i="11"/>
  <c r="S112" i="11"/>
  <c r="S113" i="11"/>
  <c r="S114" i="11"/>
  <c r="S115" i="11"/>
  <c r="S116" i="11"/>
  <c r="S117" i="11"/>
  <c r="S118" i="11"/>
  <c r="S119" i="11"/>
  <c r="S120" i="11"/>
  <c r="S121" i="11"/>
  <c r="S122" i="11"/>
  <c r="S123" i="11"/>
  <c r="S124" i="11"/>
  <c r="S125" i="11"/>
  <c r="S126" i="11"/>
  <c r="S127" i="11"/>
  <c r="S128" i="11"/>
  <c r="S129" i="11"/>
  <c r="S130" i="11"/>
  <c r="S131" i="11"/>
  <c r="S132" i="11"/>
  <c r="S133" i="11"/>
  <c r="S134" i="11"/>
  <c r="S135" i="11"/>
  <c r="S136" i="11"/>
  <c r="S137" i="11"/>
  <c r="S138" i="11"/>
  <c r="S139" i="11"/>
  <c r="S140" i="11"/>
  <c r="S141" i="11"/>
  <c r="S142" i="11"/>
  <c r="S143" i="11"/>
  <c r="S144" i="11"/>
  <c r="S145" i="11"/>
  <c r="S146" i="11"/>
  <c r="S147" i="11"/>
  <c r="S148" i="11"/>
  <c r="S149" i="11"/>
  <c r="S150" i="11"/>
  <c r="S151" i="11"/>
  <c r="S152" i="11"/>
  <c r="S153" i="11"/>
  <c r="S154" i="11"/>
  <c r="S155" i="11"/>
  <c r="S156" i="11"/>
  <c r="S157" i="11"/>
  <c r="S158" i="11"/>
  <c r="S159" i="11"/>
  <c r="S160" i="11"/>
  <c r="S161" i="11"/>
  <c r="S162" i="11"/>
  <c r="S163" i="11"/>
  <c r="S164" i="11"/>
  <c r="S165" i="11"/>
  <c r="S166" i="11"/>
  <c r="S167" i="11"/>
  <c r="S168" i="11"/>
  <c r="S169" i="11"/>
  <c r="S170" i="11"/>
  <c r="S171" i="11"/>
  <c r="S172" i="11"/>
  <c r="S173" i="11"/>
  <c r="S174" i="11"/>
  <c r="S175" i="11"/>
  <c r="S176" i="11"/>
  <c r="S177" i="11"/>
  <c r="S178" i="11"/>
  <c r="S179" i="11"/>
  <c r="S180" i="11"/>
  <c r="S181" i="11"/>
  <c r="S182" i="11"/>
  <c r="S183" i="11"/>
  <c r="S184" i="11"/>
  <c r="S185" i="11"/>
  <c r="S186" i="11"/>
  <c r="S187" i="11"/>
  <c r="S188" i="11"/>
  <c r="S189" i="11"/>
  <c r="S190" i="11"/>
  <c r="S191" i="11"/>
  <c r="S192" i="11"/>
  <c r="S193" i="11"/>
  <c r="S194" i="11"/>
  <c r="S195" i="11"/>
  <c r="S196" i="11"/>
  <c r="S197" i="11"/>
  <c r="S198" i="11"/>
  <c r="S199" i="11"/>
  <c r="S200" i="11"/>
  <c r="S201" i="11"/>
  <c r="S202" i="11"/>
  <c r="S203" i="11"/>
  <c r="S204" i="11"/>
  <c r="S205" i="11"/>
  <c r="S206" i="11"/>
  <c r="S207" i="11"/>
  <c r="S208" i="11"/>
  <c r="S209" i="11"/>
  <c r="S210" i="11"/>
  <c r="S211" i="11"/>
  <c r="S212" i="11"/>
  <c r="S213" i="11"/>
  <c r="S214" i="11"/>
  <c r="S215" i="11"/>
  <c r="S216" i="11"/>
  <c r="S217" i="11"/>
  <c r="S218" i="11"/>
  <c r="S219" i="11"/>
  <c r="S220" i="11"/>
  <c r="S221" i="11"/>
  <c r="S222" i="11"/>
  <c r="S223" i="11"/>
  <c r="S224" i="11"/>
  <c r="S225" i="11"/>
  <c r="S226" i="11"/>
  <c r="S227" i="11"/>
  <c r="S228" i="11"/>
  <c r="S229" i="11"/>
  <c r="S230" i="11"/>
  <c r="S231" i="11"/>
  <c r="S232" i="11"/>
  <c r="S233" i="11"/>
  <c r="S234" i="11"/>
  <c r="S235" i="11"/>
  <c r="S236" i="11"/>
  <c r="S237" i="11"/>
  <c r="S238" i="11"/>
  <c r="S239" i="11"/>
  <c r="S240" i="11"/>
  <c r="S241" i="11"/>
  <c r="S242" i="11"/>
  <c r="S243" i="11"/>
  <c r="S244" i="11"/>
  <c r="S245" i="11"/>
  <c r="S246" i="11"/>
  <c r="S247" i="11"/>
  <c r="S248" i="11"/>
  <c r="S249" i="11"/>
  <c r="S250" i="11"/>
  <c r="S251" i="11"/>
  <c r="S252" i="11"/>
  <c r="S253" i="11"/>
  <c r="S254" i="11"/>
  <c r="S255" i="11"/>
  <c r="S256" i="11"/>
  <c r="S257" i="11"/>
  <c r="S258" i="11"/>
  <c r="S259" i="11"/>
  <c r="S260" i="11"/>
  <c r="S261" i="11"/>
  <c r="S262" i="11"/>
  <c r="S263" i="11"/>
  <c r="S264" i="11"/>
  <c r="S265" i="11"/>
  <c r="S266" i="11"/>
  <c r="S267" i="11"/>
  <c r="S268" i="11"/>
  <c r="S269" i="11"/>
  <c r="S270" i="11"/>
  <c r="S271" i="11"/>
  <c r="S272" i="11"/>
  <c r="S273" i="11"/>
  <c r="S274" i="11"/>
  <c r="S275" i="11"/>
  <c r="S276" i="11"/>
  <c r="S277" i="11"/>
  <c r="S278" i="11"/>
  <c r="S279" i="11"/>
  <c r="S280" i="11"/>
  <c r="S281" i="11"/>
  <c r="S282" i="11"/>
  <c r="S283" i="11"/>
  <c r="S284" i="11"/>
  <c r="S285" i="11"/>
  <c r="S286" i="11"/>
  <c r="S287" i="11"/>
  <c r="S288" i="11"/>
  <c r="S289" i="11"/>
  <c r="S290" i="11"/>
  <c r="S291" i="11"/>
  <c r="S292" i="11"/>
  <c r="S293" i="11"/>
  <c r="S294" i="11"/>
  <c r="S295" i="11"/>
  <c r="S296" i="11"/>
  <c r="S297" i="11"/>
  <c r="S298" i="11"/>
  <c r="S299" i="11"/>
  <c r="S300" i="11"/>
  <c r="S301" i="11"/>
  <c r="S302" i="11"/>
  <c r="S303" i="11"/>
  <c r="S304" i="11"/>
  <c r="S305" i="11"/>
  <c r="S306" i="11"/>
  <c r="S307" i="11"/>
  <c r="S308" i="11"/>
  <c r="S309" i="11"/>
  <c r="S310" i="11"/>
  <c r="S311" i="11"/>
  <c r="S312" i="11"/>
  <c r="S313" i="11"/>
  <c r="S314" i="11"/>
  <c r="S315" i="11"/>
  <c r="S316" i="11"/>
  <c r="S317" i="11"/>
  <c r="S318" i="11"/>
  <c r="S319" i="11"/>
  <c r="S320" i="11"/>
  <c r="S321" i="11"/>
  <c r="S322" i="11"/>
  <c r="S323" i="11"/>
  <c r="S324" i="11"/>
  <c r="S325" i="11"/>
  <c r="S326" i="11"/>
  <c r="S327" i="11"/>
  <c r="S328" i="11"/>
  <c r="S329" i="11"/>
  <c r="S330" i="11"/>
  <c r="S331" i="11"/>
  <c r="S332" i="11"/>
  <c r="S333" i="11"/>
  <c r="S334" i="11"/>
  <c r="S335" i="11"/>
  <c r="S336" i="11"/>
  <c r="S337" i="11"/>
  <c r="S338" i="11"/>
  <c r="S339" i="11"/>
  <c r="S340" i="11"/>
  <c r="S341" i="11"/>
  <c r="S342" i="11"/>
  <c r="S343" i="11"/>
  <c r="S344" i="11"/>
  <c r="S345" i="11"/>
  <c r="S346" i="11"/>
  <c r="S347" i="11"/>
  <c r="S348" i="11"/>
  <c r="S349" i="11"/>
  <c r="S350" i="11"/>
  <c r="S351" i="11"/>
  <c r="S352" i="11"/>
  <c r="S353" i="11"/>
  <c r="S354" i="11"/>
  <c r="S355" i="11"/>
  <c r="S356" i="11"/>
  <c r="S357" i="11"/>
  <c r="S358" i="11"/>
  <c r="S359" i="11"/>
  <c r="S360" i="11"/>
  <c r="S361" i="11"/>
  <c r="S362" i="11"/>
  <c r="S363" i="11"/>
  <c r="S364" i="11"/>
  <c r="S365" i="11"/>
  <c r="S366" i="11"/>
  <c r="S367" i="11"/>
  <c r="S368" i="11"/>
  <c r="S369" i="11"/>
  <c r="S370" i="11"/>
  <c r="S371" i="11"/>
  <c r="S372" i="11"/>
  <c r="S373" i="11"/>
  <c r="S374" i="11"/>
  <c r="S375" i="11"/>
  <c r="S376" i="11"/>
  <c r="S377" i="11"/>
  <c r="S378" i="11"/>
  <c r="S379" i="11"/>
  <c r="S380" i="11"/>
  <c r="S381" i="11"/>
  <c r="S382" i="11"/>
  <c r="S383" i="11"/>
  <c r="S384" i="11"/>
  <c r="S385" i="11"/>
  <c r="S386" i="11"/>
  <c r="S387" i="11"/>
  <c r="S388" i="11"/>
  <c r="S389" i="11"/>
  <c r="S390" i="11"/>
  <c r="S391" i="11"/>
  <c r="S392" i="11"/>
  <c r="S393" i="11"/>
  <c r="S394" i="11"/>
  <c r="S395" i="11"/>
  <c r="S396" i="11"/>
  <c r="S397" i="11"/>
  <c r="S398" i="11"/>
  <c r="S399" i="11"/>
  <c r="S400" i="11"/>
  <c r="S401" i="11"/>
  <c r="S402" i="11"/>
  <c r="S403" i="11"/>
  <c r="S404" i="11"/>
  <c r="S405" i="11"/>
  <c r="S406" i="11"/>
  <c r="S407" i="11"/>
  <c r="S408" i="11"/>
  <c r="S409" i="11"/>
  <c r="S410" i="11"/>
  <c r="S411" i="11"/>
  <c r="S412" i="11"/>
  <c r="S413" i="11"/>
  <c r="S414" i="11"/>
  <c r="S415" i="11"/>
  <c r="S416" i="11"/>
  <c r="S417" i="11"/>
  <c r="S418" i="11"/>
  <c r="S419" i="11"/>
  <c r="S420" i="11"/>
  <c r="S421" i="11"/>
  <c r="S422" i="11"/>
  <c r="S423" i="11"/>
  <c r="S424" i="11"/>
  <c r="S425" i="11"/>
  <c r="S426" i="11"/>
  <c r="S427" i="11"/>
  <c r="S428" i="11"/>
  <c r="S429" i="11"/>
  <c r="S430" i="11"/>
  <c r="S431" i="11"/>
  <c r="S432" i="11"/>
  <c r="S433" i="11"/>
  <c r="S434" i="11"/>
  <c r="S435" i="11"/>
  <c r="S436" i="11"/>
  <c r="S437" i="11"/>
  <c r="S438" i="11"/>
  <c r="S439" i="11"/>
  <c r="S440" i="11"/>
  <c r="S441" i="11"/>
  <c r="S442" i="11"/>
  <c r="S443" i="11"/>
  <c r="S444" i="11"/>
  <c r="S445" i="11"/>
  <c r="S446" i="11"/>
  <c r="S447" i="11"/>
  <c r="S448" i="11"/>
  <c r="S449" i="11"/>
  <c r="S450" i="11"/>
  <c r="S451" i="11"/>
  <c r="S452" i="11"/>
  <c r="S453" i="11"/>
  <c r="S454" i="11"/>
  <c r="S455" i="11"/>
  <c r="S456" i="11"/>
  <c r="S457" i="11"/>
  <c r="S458" i="11"/>
  <c r="S459" i="11"/>
  <c r="S460" i="11"/>
  <c r="S461" i="11"/>
  <c r="S462" i="11"/>
  <c r="S463" i="11"/>
  <c r="S464" i="11"/>
  <c r="S465" i="11"/>
  <c r="S466" i="11"/>
  <c r="S467" i="11"/>
  <c r="S468" i="11"/>
  <c r="S469" i="11"/>
  <c r="S470" i="11"/>
  <c r="S471" i="11"/>
  <c r="S472" i="11"/>
  <c r="S473" i="11"/>
  <c r="S474" i="11"/>
  <c r="S475" i="11"/>
  <c r="S476" i="11"/>
  <c r="S477" i="11"/>
  <c r="S478" i="11"/>
  <c r="S479" i="11"/>
  <c r="S480" i="11"/>
  <c r="S481" i="11"/>
  <c r="S482" i="11"/>
  <c r="S483" i="11"/>
  <c r="S484" i="11"/>
  <c r="S485" i="11"/>
  <c r="S486" i="11"/>
  <c r="S487" i="11"/>
  <c r="S488" i="11"/>
  <c r="S489" i="11"/>
  <c r="S490" i="11"/>
  <c r="S491" i="11"/>
  <c r="S492" i="11"/>
  <c r="S493" i="11"/>
  <c r="S494" i="11"/>
  <c r="S495" i="11"/>
  <c r="S496" i="11"/>
  <c r="S497" i="11"/>
  <c r="S498" i="11"/>
  <c r="S499" i="11"/>
  <c r="S500" i="11"/>
  <c r="S501" i="11"/>
  <c r="S502" i="11"/>
  <c r="S503" i="11"/>
  <c r="S504" i="11"/>
  <c r="S505" i="11"/>
  <c r="S506" i="11"/>
  <c r="S507" i="11"/>
  <c r="S508" i="11"/>
  <c r="S509" i="11"/>
  <c r="S510" i="11"/>
  <c r="S511" i="11"/>
  <c r="S512" i="11"/>
  <c r="S513" i="11"/>
  <c r="S514" i="11"/>
  <c r="S515" i="11"/>
  <c r="S516" i="11"/>
  <c r="S517" i="11"/>
  <c r="S518" i="11"/>
  <c r="S519" i="11"/>
  <c r="S520" i="11"/>
  <c r="S521" i="11"/>
  <c r="S522" i="11"/>
  <c r="S523" i="11"/>
  <c r="S524" i="11"/>
  <c r="S525" i="11"/>
  <c r="S526" i="11"/>
  <c r="S527" i="11"/>
  <c r="S528" i="11"/>
  <c r="S529" i="11"/>
  <c r="S530" i="11"/>
  <c r="S531" i="11"/>
  <c r="S532" i="11"/>
  <c r="S533" i="11"/>
  <c r="S534" i="11"/>
  <c r="S535" i="11"/>
  <c r="S536" i="11"/>
  <c r="S537" i="11"/>
  <c r="S538" i="11"/>
  <c r="S539" i="11"/>
  <c r="S540" i="11"/>
  <c r="S541" i="11"/>
  <c r="S542" i="11"/>
  <c r="S543" i="11"/>
  <c r="S544" i="11"/>
  <c r="S545" i="11"/>
  <c r="S546" i="11"/>
  <c r="S547" i="11"/>
  <c r="S548" i="11"/>
  <c r="S549" i="11"/>
  <c r="S550" i="11"/>
  <c r="S551" i="11"/>
  <c r="S552" i="11"/>
  <c r="S553" i="11"/>
  <c r="S554" i="11"/>
  <c r="S555" i="11"/>
  <c r="S556" i="11"/>
  <c r="S557" i="11"/>
  <c r="S558" i="11"/>
  <c r="S559" i="11"/>
  <c r="S560" i="11"/>
  <c r="S561" i="11"/>
  <c r="S562" i="11"/>
  <c r="S563" i="11"/>
  <c r="S564" i="11"/>
  <c r="S565" i="11"/>
  <c r="S566" i="11"/>
  <c r="S567" i="11"/>
  <c r="S568" i="11"/>
  <c r="S569" i="11"/>
  <c r="S570" i="11"/>
  <c r="S571" i="11"/>
  <c r="S572" i="11"/>
  <c r="S573" i="11"/>
  <c r="S574" i="11"/>
  <c r="S575" i="11"/>
  <c r="S576" i="11"/>
  <c r="S577" i="11"/>
  <c r="S578" i="11"/>
  <c r="S579" i="11"/>
  <c r="S580" i="11"/>
  <c r="S581" i="11"/>
  <c r="S582" i="11"/>
  <c r="S583" i="11"/>
  <c r="S584" i="11"/>
  <c r="S585" i="11"/>
  <c r="S586" i="11"/>
  <c r="S587" i="11"/>
  <c r="S588" i="11"/>
  <c r="S589" i="11"/>
  <c r="S590" i="11"/>
  <c r="S591" i="11"/>
  <c r="S592" i="11"/>
  <c r="S593" i="11"/>
  <c r="S594" i="11"/>
  <c r="S595" i="11"/>
  <c r="S596" i="11"/>
  <c r="S597" i="11"/>
  <c r="S598" i="11"/>
  <c r="S599" i="11"/>
  <c r="S600" i="11"/>
  <c r="S601" i="11"/>
  <c r="S602" i="11"/>
  <c r="S603" i="11"/>
  <c r="S604" i="11"/>
  <c r="S605" i="11"/>
  <c r="S606" i="11"/>
  <c r="S607" i="11"/>
  <c r="S608" i="11"/>
  <c r="S609" i="11"/>
  <c r="S610" i="11"/>
  <c r="S611" i="11"/>
  <c r="S612" i="11"/>
  <c r="S613" i="11"/>
  <c r="S614" i="11"/>
  <c r="S615" i="11"/>
  <c r="S616" i="11"/>
  <c r="S617" i="11"/>
  <c r="S618" i="11"/>
  <c r="S619" i="11"/>
  <c r="S620" i="11"/>
  <c r="S621" i="11"/>
  <c r="S622" i="11"/>
  <c r="S623" i="11"/>
  <c r="S624" i="11"/>
  <c r="S625" i="11"/>
  <c r="S626" i="11"/>
  <c r="S627" i="11"/>
  <c r="S628" i="11"/>
  <c r="S629" i="11"/>
  <c r="S630" i="11"/>
  <c r="S631" i="11"/>
  <c r="S632" i="11"/>
  <c r="S633" i="11"/>
  <c r="S634" i="11"/>
  <c r="S635" i="11"/>
  <c r="S636" i="11"/>
  <c r="S637" i="11"/>
  <c r="S638" i="11"/>
  <c r="S639" i="11"/>
  <c r="S640" i="11"/>
  <c r="S641" i="11"/>
  <c r="S642" i="11"/>
  <c r="S643" i="11"/>
  <c r="S644" i="11"/>
  <c r="S645" i="11"/>
  <c r="S646" i="11"/>
  <c r="S647" i="11"/>
  <c r="S648" i="11"/>
  <c r="S649" i="11"/>
  <c r="S650" i="11"/>
  <c r="S651" i="11"/>
  <c r="S652" i="11"/>
  <c r="S653" i="11"/>
  <c r="S654" i="11"/>
  <c r="S655" i="11"/>
  <c r="S656" i="11"/>
  <c r="S657" i="11"/>
  <c r="S658" i="11"/>
  <c r="S659" i="11"/>
  <c r="S660" i="11"/>
  <c r="S661" i="11"/>
  <c r="S662" i="11"/>
  <c r="S663" i="11"/>
  <c r="S664" i="11"/>
  <c r="S665" i="11"/>
  <c r="S666" i="11"/>
  <c r="S667" i="11"/>
  <c r="S668" i="11"/>
  <c r="S669" i="11"/>
  <c r="S670" i="11"/>
  <c r="S671" i="11"/>
  <c r="S672" i="11"/>
  <c r="S673" i="11"/>
  <c r="S674" i="11"/>
  <c r="S675" i="11"/>
  <c r="S676" i="11"/>
  <c r="S677" i="11"/>
  <c r="S678" i="11"/>
  <c r="S679" i="11"/>
  <c r="S680" i="11"/>
  <c r="S681" i="11"/>
  <c r="S682" i="11"/>
  <c r="S683" i="11"/>
  <c r="S684" i="11"/>
  <c r="S685" i="11"/>
  <c r="S686" i="11"/>
  <c r="S687" i="11"/>
  <c r="S688" i="11"/>
  <c r="S689" i="11"/>
  <c r="S690" i="11"/>
  <c r="S691" i="11"/>
  <c r="S692" i="11"/>
  <c r="S693" i="11"/>
  <c r="S694" i="11"/>
  <c r="S695" i="11"/>
  <c r="S696" i="11"/>
  <c r="S697" i="11"/>
  <c r="S698" i="11"/>
  <c r="S699" i="11"/>
  <c r="S700" i="11"/>
  <c r="S701" i="11"/>
  <c r="S702" i="11"/>
  <c r="S703" i="11"/>
  <c r="S704" i="11"/>
  <c r="S705" i="11"/>
  <c r="S706" i="11"/>
  <c r="S707" i="11"/>
  <c r="S708" i="11"/>
  <c r="S709" i="11"/>
  <c r="S710" i="11"/>
  <c r="S711" i="11"/>
  <c r="S712" i="11"/>
  <c r="S713" i="11"/>
  <c r="S714" i="11"/>
  <c r="S715" i="11"/>
  <c r="S716" i="11"/>
  <c r="S717" i="11"/>
  <c r="S718" i="11"/>
  <c r="S719" i="11"/>
  <c r="S720" i="11"/>
  <c r="S721" i="11"/>
  <c r="S722" i="11"/>
  <c r="S723" i="11"/>
  <c r="S724" i="11"/>
  <c r="S725" i="11"/>
  <c r="S726" i="11"/>
  <c r="S727" i="11"/>
  <c r="S728" i="11"/>
  <c r="S729" i="11"/>
  <c r="S730" i="11"/>
  <c r="S731" i="11"/>
  <c r="S732" i="11"/>
  <c r="S733" i="11"/>
  <c r="S734" i="11"/>
  <c r="S735" i="11"/>
  <c r="S736" i="11"/>
  <c r="S737" i="11"/>
  <c r="S738" i="11"/>
  <c r="S739" i="11"/>
  <c r="S740" i="11"/>
  <c r="S741" i="11"/>
  <c r="S742" i="11"/>
  <c r="S743" i="11"/>
  <c r="S744" i="11"/>
  <c r="S745" i="11"/>
  <c r="S746" i="11"/>
  <c r="S747" i="11"/>
  <c r="S748" i="11"/>
  <c r="S749" i="11"/>
  <c r="S750" i="11"/>
  <c r="S751" i="11"/>
  <c r="S752" i="11"/>
  <c r="S753" i="11"/>
  <c r="S754" i="11"/>
  <c r="S755" i="11"/>
  <c r="S756" i="11"/>
  <c r="S757" i="11"/>
  <c r="S758" i="11"/>
  <c r="S759" i="11"/>
  <c r="S760" i="11"/>
  <c r="S761" i="11"/>
  <c r="S762" i="11"/>
  <c r="S763" i="11"/>
  <c r="S764" i="11"/>
  <c r="S765" i="11"/>
  <c r="S766" i="11"/>
  <c r="S767" i="11"/>
  <c r="S768" i="11"/>
  <c r="S769" i="11"/>
  <c r="S770" i="11"/>
  <c r="S771" i="11"/>
  <c r="S772" i="11"/>
  <c r="S773" i="11"/>
  <c r="S774" i="11"/>
  <c r="S775" i="11"/>
  <c r="S776" i="11"/>
  <c r="S777" i="11"/>
  <c r="S778" i="11"/>
  <c r="S779" i="11"/>
  <c r="S780" i="11"/>
  <c r="S781" i="11"/>
  <c r="S782" i="11"/>
  <c r="S783" i="11"/>
  <c r="S784" i="11"/>
  <c r="S785" i="11"/>
  <c r="S786" i="11"/>
  <c r="S787" i="11"/>
  <c r="S788" i="11"/>
  <c r="S789" i="11"/>
  <c r="S790" i="11"/>
  <c r="S791" i="11"/>
  <c r="S792" i="11"/>
  <c r="S793" i="11"/>
  <c r="S794" i="11"/>
  <c r="S795" i="11"/>
  <c r="S796" i="11"/>
  <c r="S797" i="11"/>
  <c r="S798" i="11"/>
  <c r="S799" i="11"/>
  <c r="S800" i="11"/>
  <c r="S801" i="11"/>
  <c r="S802" i="11"/>
  <c r="S803" i="11"/>
  <c r="S804" i="11"/>
  <c r="S805" i="11"/>
  <c r="S806" i="11"/>
  <c r="S807" i="11"/>
  <c r="S808" i="11"/>
  <c r="S809" i="11"/>
  <c r="S810" i="11"/>
  <c r="S811" i="11"/>
  <c r="S812" i="11"/>
  <c r="S813" i="11"/>
  <c r="S814" i="11"/>
  <c r="S815" i="11"/>
  <c r="S816" i="11"/>
  <c r="S817" i="11"/>
  <c r="S818" i="11"/>
  <c r="S819" i="11"/>
  <c r="S820" i="11"/>
  <c r="S821" i="11"/>
  <c r="S822" i="11"/>
  <c r="S823" i="11"/>
  <c r="S824" i="11"/>
  <c r="S825" i="11"/>
  <c r="S826" i="11"/>
  <c r="S827" i="11"/>
  <c r="S828" i="11"/>
  <c r="S829" i="11"/>
  <c r="S830" i="11"/>
  <c r="S831" i="11"/>
  <c r="S832" i="11"/>
  <c r="S833" i="11"/>
  <c r="S834" i="11"/>
  <c r="S835" i="11"/>
  <c r="S836" i="11"/>
  <c r="S837" i="11"/>
  <c r="S838" i="11"/>
  <c r="S839" i="11"/>
  <c r="S840" i="11"/>
  <c r="S841" i="11"/>
  <c r="S842" i="11"/>
  <c r="S843" i="11"/>
  <c r="S844" i="11"/>
  <c r="S845" i="11"/>
  <c r="S846" i="11"/>
  <c r="S847" i="11"/>
  <c r="S848" i="11"/>
  <c r="S849" i="11"/>
  <c r="S850" i="11"/>
  <c r="S851" i="11"/>
  <c r="S852" i="11"/>
  <c r="S853" i="11"/>
  <c r="S854" i="11"/>
  <c r="S855" i="11"/>
  <c r="S856" i="11"/>
  <c r="S857" i="11"/>
  <c r="S858" i="11"/>
  <c r="S859" i="11"/>
  <c r="S860" i="11"/>
  <c r="S861" i="11"/>
  <c r="S862" i="11"/>
  <c r="S863" i="11"/>
  <c r="S864" i="11"/>
  <c r="S865" i="11"/>
  <c r="S866" i="11"/>
  <c r="S867" i="11"/>
  <c r="S868" i="11"/>
  <c r="S869" i="11"/>
  <c r="S870" i="11"/>
  <c r="S871" i="11"/>
  <c r="S872" i="11"/>
  <c r="S873" i="11"/>
  <c r="S874" i="11"/>
  <c r="S875" i="11"/>
  <c r="S876" i="11"/>
  <c r="S877" i="11"/>
  <c r="S878" i="11"/>
  <c r="S879" i="11"/>
  <c r="S880" i="11"/>
  <c r="S881" i="11"/>
  <c r="S882" i="11"/>
  <c r="S883" i="11"/>
  <c r="S884" i="11"/>
  <c r="S885" i="11"/>
  <c r="S886" i="11"/>
  <c r="S887" i="11"/>
  <c r="S888" i="11"/>
  <c r="S889" i="11"/>
  <c r="S890" i="11"/>
  <c r="S891" i="11"/>
  <c r="S892" i="11"/>
  <c r="S893" i="11"/>
  <c r="S894" i="11"/>
  <c r="S895" i="11"/>
  <c r="S896" i="11"/>
  <c r="S897" i="11"/>
  <c r="S898" i="11"/>
  <c r="S899" i="11"/>
  <c r="S900" i="11"/>
  <c r="S901" i="11"/>
  <c r="S902" i="11"/>
  <c r="S903" i="11"/>
  <c r="S904" i="11"/>
  <c r="S905" i="11"/>
  <c r="S906" i="11"/>
  <c r="S907" i="11"/>
  <c r="S908" i="11"/>
  <c r="S909" i="11"/>
  <c r="S910" i="11"/>
  <c r="S911" i="11"/>
  <c r="S912" i="11"/>
  <c r="S913" i="11"/>
  <c r="S914" i="11"/>
  <c r="S915" i="11"/>
  <c r="S916" i="11"/>
  <c r="S917" i="11"/>
  <c r="S918" i="11"/>
  <c r="S919" i="11"/>
  <c r="S920" i="11"/>
  <c r="S921" i="11"/>
  <c r="S922" i="11"/>
  <c r="S923" i="11"/>
  <c r="S924" i="11"/>
  <c r="S925" i="11"/>
  <c r="S926" i="11"/>
  <c r="S927" i="11"/>
  <c r="S928" i="11"/>
  <c r="S929" i="11"/>
  <c r="S930" i="11"/>
  <c r="S931" i="11"/>
  <c r="S932" i="11"/>
  <c r="S933" i="11"/>
  <c r="S934" i="11"/>
  <c r="S935" i="11"/>
  <c r="S936" i="11"/>
  <c r="S937" i="11"/>
  <c r="S938" i="11"/>
  <c r="S939" i="11"/>
  <c r="S940" i="11"/>
  <c r="S941" i="11"/>
  <c r="S942" i="11"/>
  <c r="S943" i="11"/>
  <c r="S944" i="11"/>
  <c r="S945" i="11"/>
  <c r="S946" i="11"/>
  <c r="S947" i="11"/>
  <c r="S948" i="11"/>
  <c r="S949" i="11"/>
  <c r="S950" i="11"/>
  <c r="S951" i="11"/>
  <c r="S952" i="11"/>
  <c r="S953" i="11"/>
  <c r="S954" i="11"/>
  <c r="S955" i="11"/>
  <c r="S956" i="11"/>
  <c r="S957" i="11"/>
  <c r="S958" i="11"/>
  <c r="S959" i="11"/>
  <c r="S960" i="11"/>
  <c r="S961" i="11"/>
  <c r="S962" i="11"/>
  <c r="S963" i="11"/>
  <c r="S964" i="11"/>
  <c r="S965" i="11"/>
  <c r="S966" i="11"/>
  <c r="S967" i="11"/>
  <c r="S968" i="11"/>
  <c r="S969" i="11"/>
  <c r="S970" i="11"/>
  <c r="S971" i="11"/>
  <c r="S972" i="11"/>
  <c r="S973" i="11"/>
  <c r="S974" i="11"/>
  <c r="S975" i="11"/>
  <c r="S976" i="11"/>
  <c r="S977" i="11"/>
  <c r="S978" i="11"/>
  <c r="S979" i="11"/>
  <c r="S980" i="11"/>
  <c r="S981" i="11"/>
  <c r="S982" i="11"/>
  <c r="S983" i="11"/>
  <c r="S984" i="11"/>
  <c r="S985" i="11"/>
  <c r="S986" i="11"/>
  <c r="S987" i="11"/>
  <c r="S988" i="11"/>
  <c r="S989" i="11"/>
  <c r="S990" i="11"/>
  <c r="S991" i="11"/>
  <c r="S992" i="11"/>
  <c r="S993" i="11"/>
  <c r="S994" i="11"/>
  <c r="S995" i="11"/>
  <c r="S996" i="11"/>
  <c r="S997" i="11"/>
  <c r="S998" i="11"/>
  <c r="S999" i="11"/>
  <c r="S1000" i="11"/>
  <c r="S1001" i="11"/>
  <c r="S1002" i="11"/>
  <c r="S1003" i="11"/>
  <c r="S1004" i="11"/>
  <c r="S1005" i="11"/>
  <c r="S1006" i="11"/>
  <c r="S1007" i="11"/>
  <c r="S1008" i="11"/>
  <c r="S1009" i="11"/>
  <c r="S1010" i="11"/>
  <c r="S1011" i="11"/>
  <c r="S1012" i="11"/>
  <c r="S1013" i="11"/>
  <c r="S1014" i="11"/>
  <c r="S1015" i="11"/>
  <c r="S1016" i="11"/>
  <c r="S1017" i="11"/>
  <c r="S1018" i="11"/>
  <c r="S1019" i="11"/>
  <c r="S1020" i="11"/>
  <c r="S1021" i="11"/>
  <c r="S1022" i="11"/>
  <c r="S1023" i="11"/>
  <c r="S1024" i="11"/>
  <c r="S1025" i="11"/>
  <c r="S1026" i="11"/>
  <c r="S1027" i="11"/>
  <c r="S1028" i="11"/>
  <c r="S1029" i="11"/>
  <c r="S1030" i="11"/>
  <c r="S1031" i="11"/>
  <c r="S1032" i="11"/>
  <c r="S1033" i="11"/>
  <c r="S1034" i="11"/>
  <c r="S1035" i="11"/>
  <c r="S1036" i="11"/>
  <c r="S1037" i="11"/>
  <c r="S1038" i="11"/>
  <c r="S1039" i="11"/>
  <c r="S1040" i="11"/>
  <c r="S1041" i="11"/>
  <c r="S1042" i="11"/>
  <c r="S1043" i="11"/>
  <c r="S1044" i="11"/>
  <c r="S1045" i="11"/>
  <c r="S1046" i="11"/>
  <c r="S1047" i="11"/>
  <c r="S1048" i="11"/>
  <c r="S1049" i="11"/>
  <c r="S1050" i="11"/>
  <c r="S1051" i="11"/>
  <c r="S1052" i="11"/>
  <c r="S1053" i="11"/>
  <c r="S1054" i="11"/>
  <c r="S1055" i="11"/>
  <c r="S1056" i="11"/>
  <c r="S1057" i="11"/>
  <c r="S1058" i="11"/>
  <c r="S1059" i="11"/>
  <c r="S1060" i="11"/>
  <c r="S1061" i="11"/>
  <c r="S1062" i="11"/>
  <c r="S1063" i="11"/>
  <c r="S1064" i="11"/>
  <c r="S1065" i="11"/>
  <c r="S1066" i="11"/>
  <c r="S1067" i="11"/>
  <c r="S1068" i="11"/>
  <c r="S1069" i="11"/>
  <c r="S1070" i="11"/>
  <c r="S1071" i="11"/>
  <c r="S1072" i="11"/>
  <c r="S1073" i="11"/>
  <c r="S1074" i="11"/>
  <c r="S1075" i="11"/>
  <c r="S1076" i="11"/>
  <c r="S1077" i="11"/>
  <c r="S1078" i="11"/>
  <c r="S1079" i="11"/>
  <c r="S1080" i="11"/>
  <c r="S1081" i="11"/>
  <c r="S1082" i="11"/>
  <c r="S1083" i="11"/>
  <c r="S1084" i="11"/>
  <c r="S1085" i="11"/>
  <c r="S1086" i="11"/>
  <c r="S1087" i="11"/>
  <c r="S1088" i="11"/>
  <c r="S1089" i="11"/>
  <c r="S1090" i="11"/>
  <c r="S1091" i="11"/>
  <c r="S1092" i="11"/>
  <c r="S1093" i="11"/>
  <c r="S1094" i="11"/>
  <c r="S1095" i="11"/>
  <c r="S1096" i="11"/>
  <c r="S1097" i="11"/>
  <c r="S1098" i="11"/>
  <c r="S1099" i="11"/>
  <c r="S1100" i="11"/>
  <c r="S1101" i="11"/>
  <c r="S1102" i="11"/>
  <c r="S1103" i="11"/>
  <c r="S1104" i="11"/>
  <c r="S1105" i="11"/>
  <c r="S1106" i="11"/>
  <c r="S1107" i="11"/>
  <c r="S1108" i="11"/>
  <c r="S1109" i="11"/>
  <c r="S1110" i="11"/>
  <c r="S1111" i="11"/>
  <c r="S1112" i="11"/>
  <c r="S1113" i="11"/>
  <c r="S1114" i="11"/>
  <c r="S1115" i="11"/>
  <c r="S1116" i="11"/>
  <c r="S1117" i="11"/>
  <c r="S1118" i="11"/>
  <c r="S1119" i="11"/>
  <c r="S1120" i="11"/>
  <c r="S1121" i="11"/>
  <c r="S1122" i="11"/>
  <c r="S1123" i="11"/>
  <c r="S1124" i="11"/>
  <c r="S1125" i="11"/>
  <c r="S1126" i="11"/>
  <c r="S1127" i="11"/>
  <c r="S1128" i="11"/>
  <c r="S1129" i="11"/>
  <c r="S1130" i="11"/>
  <c r="S1131" i="11"/>
  <c r="S1132" i="11"/>
  <c r="S1133" i="11"/>
  <c r="S1134" i="11"/>
  <c r="S1135" i="11"/>
  <c r="S1136" i="11"/>
  <c r="S1137" i="11"/>
  <c r="S1138" i="11"/>
  <c r="S1139" i="11"/>
  <c r="S1140" i="11"/>
  <c r="S1141" i="11"/>
  <c r="S1142" i="11"/>
  <c r="S1143" i="11"/>
  <c r="S1144" i="11"/>
  <c r="S1145" i="11"/>
  <c r="S1146" i="11"/>
  <c r="S1147" i="11"/>
  <c r="S1148" i="11"/>
  <c r="S1149" i="11"/>
  <c r="S1150" i="11"/>
  <c r="S1151" i="11"/>
  <c r="S1152" i="11"/>
  <c r="S1153" i="11"/>
  <c r="S1154" i="11"/>
  <c r="S1155" i="11"/>
  <c r="S1156" i="11"/>
  <c r="S1157" i="11"/>
  <c r="S1158" i="11"/>
  <c r="S1159" i="11"/>
  <c r="S1160" i="11"/>
  <c r="S1161" i="11"/>
  <c r="S1162" i="11"/>
  <c r="S1163" i="11"/>
  <c r="S1164" i="11"/>
  <c r="S1165" i="11"/>
  <c r="S1166" i="11"/>
  <c r="S1167" i="11"/>
  <c r="S1168" i="11"/>
  <c r="S1169" i="11"/>
  <c r="S1170" i="11"/>
  <c r="S1171" i="11"/>
  <c r="S1172" i="11"/>
  <c r="S1173" i="11"/>
  <c r="S1174" i="11"/>
  <c r="S1175" i="11"/>
  <c r="S1176" i="11"/>
  <c r="S1177" i="11"/>
  <c r="S1178" i="11"/>
  <c r="S1179" i="11"/>
  <c r="S1180" i="11"/>
  <c r="S1181" i="11"/>
  <c r="S1182" i="11"/>
  <c r="S1183" i="11"/>
  <c r="S1184" i="11"/>
  <c r="S1185" i="11"/>
  <c r="S1186" i="11"/>
  <c r="S1187" i="11"/>
  <c r="S1188" i="11"/>
  <c r="S1189" i="11"/>
  <c r="S1190" i="11"/>
  <c r="S1191" i="11"/>
  <c r="S1192" i="11"/>
  <c r="S1193" i="11"/>
  <c r="S1194" i="11"/>
  <c r="S1195" i="11"/>
  <c r="S1196" i="11"/>
  <c r="S1197" i="11"/>
  <c r="S1198" i="11"/>
  <c r="S1199" i="11"/>
  <c r="S1200" i="11"/>
  <c r="S1201" i="11"/>
  <c r="S1202" i="11"/>
  <c r="S1203" i="11"/>
  <c r="S1204" i="11"/>
  <c r="S1205" i="11"/>
  <c r="S1206" i="11"/>
  <c r="S1207" i="11"/>
  <c r="S1208" i="11"/>
  <c r="S1209" i="11"/>
  <c r="S1210" i="11"/>
  <c r="S1211" i="11"/>
  <c r="S1212" i="11"/>
  <c r="S1213" i="11"/>
  <c r="S1214" i="11"/>
  <c r="S1215" i="11"/>
  <c r="S1216" i="11"/>
  <c r="S1217" i="11"/>
  <c r="S1218" i="11"/>
  <c r="S1219" i="11"/>
  <c r="S1220" i="11"/>
  <c r="S1221" i="11"/>
  <c r="S1222" i="11"/>
  <c r="S1223" i="11"/>
  <c r="S1224" i="11"/>
  <c r="S1225" i="11"/>
  <c r="S1226" i="11"/>
  <c r="S1227" i="11"/>
  <c r="S1228" i="11"/>
  <c r="S1229" i="11"/>
  <c r="S1230" i="11"/>
  <c r="S1231" i="11"/>
  <c r="S1232" i="11"/>
  <c r="S1233" i="11"/>
  <c r="S1234" i="11"/>
  <c r="S1235" i="11"/>
  <c r="S1236" i="11"/>
  <c r="S1237" i="11"/>
  <c r="S1238" i="11"/>
  <c r="S1239" i="11"/>
  <c r="S1240" i="11"/>
  <c r="S1241" i="11"/>
  <c r="S1242" i="11"/>
  <c r="S1243" i="11"/>
  <c r="S1244" i="11"/>
  <c r="S1245" i="11"/>
  <c r="S1246" i="11"/>
  <c r="S1247" i="11"/>
  <c r="S1248" i="11"/>
  <c r="S1249" i="11"/>
  <c r="S1250" i="11"/>
  <c r="S1251" i="11"/>
  <c r="S1252" i="11"/>
  <c r="S1253" i="11"/>
  <c r="S1254" i="11"/>
  <c r="S1255" i="11"/>
  <c r="S1256" i="11"/>
  <c r="S1257" i="11"/>
  <c r="S1258" i="11"/>
  <c r="S1259" i="11"/>
  <c r="S1260" i="11"/>
  <c r="S1261" i="11"/>
  <c r="S1262" i="11"/>
  <c r="S1263" i="11"/>
  <c r="S1264" i="11"/>
  <c r="S1265" i="11"/>
  <c r="S1266" i="11"/>
  <c r="S1267" i="11"/>
  <c r="S1268" i="11"/>
  <c r="S1269" i="11"/>
  <c r="S1270" i="11"/>
  <c r="S1271" i="11"/>
  <c r="S1272" i="11"/>
  <c r="S1273" i="11"/>
  <c r="S1274" i="11"/>
  <c r="S1275" i="11"/>
  <c r="S1276" i="11"/>
  <c r="S1277" i="11"/>
  <c r="S1278" i="11"/>
  <c r="S1279" i="11"/>
  <c r="S1280" i="11"/>
  <c r="S1281" i="11"/>
  <c r="S1282" i="11"/>
  <c r="S1283" i="11"/>
  <c r="S1284" i="11"/>
  <c r="S1285" i="11"/>
  <c r="S1286" i="11"/>
  <c r="S1287" i="11"/>
  <c r="S1288" i="11"/>
  <c r="S1289" i="11"/>
  <c r="S1290" i="11"/>
  <c r="S1291" i="11"/>
  <c r="S1292" i="11"/>
  <c r="S1293" i="11"/>
  <c r="S1294" i="11"/>
  <c r="S1295" i="11"/>
  <c r="S1296" i="11"/>
  <c r="S1297" i="11"/>
  <c r="S1298" i="11"/>
  <c r="S1299" i="11"/>
  <c r="S1300" i="11"/>
  <c r="S1301" i="11"/>
  <c r="S1302" i="11"/>
  <c r="S1303" i="11"/>
  <c r="S1304" i="11"/>
  <c r="S1305" i="11"/>
  <c r="S1306" i="11"/>
  <c r="S1307" i="11"/>
  <c r="S1308" i="11"/>
  <c r="S1309" i="11"/>
  <c r="S1310" i="11"/>
  <c r="S1311" i="11"/>
  <c r="S1312" i="11"/>
  <c r="S1313" i="11"/>
  <c r="S1314" i="11"/>
  <c r="S1315" i="11"/>
  <c r="S1316" i="11"/>
  <c r="S1317" i="11"/>
  <c r="S1318" i="11"/>
  <c r="S1319" i="11"/>
  <c r="S1320" i="11"/>
  <c r="S1321" i="11"/>
  <c r="S1322" i="11"/>
  <c r="S1323" i="11"/>
  <c r="S1324" i="11"/>
  <c r="S1325" i="11"/>
  <c r="S1326" i="11"/>
  <c r="S1327" i="11"/>
  <c r="S1328" i="11"/>
  <c r="S1329" i="11"/>
  <c r="S1330" i="11"/>
  <c r="S1331" i="11"/>
  <c r="S1332" i="11"/>
  <c r="S1333" i="11"/>
  <c r="S1334" i="11"/>
  <c r="S1335" i="11"/>
  <c r="S1336" i="11"/>
  <c r="S1337" i="11"/>
  <c r="S1338" i="11"/>
  <c r="S1339" i="11"/>
  <c r="S1340" i="11"/>
  <c r="S1341" i="11"/>
  <c r="S1342" i="11"/>
  <c r="S1343" i="11"/>
  <c r="S1344" i="11"/>
  <c r="S1345" i="11"/>
  <c r="S1346" i="11"/>
  <c r="S1347" i="11"/>
  <c r="S1348" i="11"/>
  <c r="S1349" i="11"/>
  <c r="S1350" i="11"/>
  <c r="S1351" i="11"/>
  <c r="S1352" i="11"/>
  <c r="S1353" i="11"/>
  <c r="S1354" i="11"/>
  <c r="S1355" i="11"/>
  <c r="S1356" i="11"/>
  <c r="S1357" i="11"/>
  <c r="S1358" i="11"/>
  <c r="S1359" i="11"/>
  <c r="S1360" i="11"/>
  <c r="S1361" i="11"/>
  <c r="S1362" i="11"/>
  <c r="S1363" i="11"/>
  <c r="S1364" i="11"/>
  <c r="S1365" i="11"/>
  <c r="S1366" i="11"/>
  <c r="S1367" i="11"/>
  <c r="S1368" i="11"/>
  <c r="S1369" i="11"/>
  <c r="S1370" i="11"/>
  <c r="S1371" i="11"/>
  <c r="S1372" i="11"/>
  <c r="S1373" i="11"/>
  <c r="S1374" i="11"/>
  <c r="S1375" i="11"/>
  <c r="S1376" i="11"/>
  <c r="S1377" i="11"/>
  <c r="S1378" i="11"/>
  <c r="S1379" i="11"/>
  <c r="S1380" i="11"/>
  <c r="S1381" i="11"/>
  <c r="S1382" i="11"/>
  <c r="S1383" i="11"/>
  <c r="S1384" i="11"/>
  <c r="S1385" i="11"/>
  <c r="S1386" i="11"/>
  <c r="S1387" i="11"/>
  <c r="S1388" i="11"/>
  <c r="S1389" i="11"/>
  <c r="S1390" i="11"/>
  <c r="S1391" i="11"/>
  <c r="S1392" i="11"/>
  <c r="S1393" i="11"/>
  <c r="S1394" i="11"/>
  <c r="S1395" i="11"/>
  <c r="S1396" i="11"/>
  <c r="S1397" i="11"/>
  <c r="S1398" i="11"/>
  <c r="S1399" i="11"/>
  <c r="S1400" i="11"/>
  <c r="S1401" i="11"/>
  <c r="S1402" i="11"/>
  <c r="S1403" i="11"/>
  <c r="S1404" i="11"/>
  <c r="S1405" i="11"/>
  <c r="S1406" i="11"/>
  <c r="S1407" i="11"/>
  <c r="S1408" i="11"/>
  <c r="S1409" i="11"/>
  <c r="S1410" i="11"/>
  <c r="S1411" i="11"/>
  <c r="S1412" i="11"/>
  <c r="S1413" i="11"/>
  <c r="S1414" i="11"/>
  <c r="S1415" i="11"/>
  <c r="S1416" i="11"/>
  <c r="S1417" i="11"/>
  <c r="S1418" i="11"/>
  <c r="S1419" i="11"/>
  <c r="S1420" i="11"/>
  <c r="S1421" i="11"/>
  <c r="S1422" i="11"/>
  <c r="S1423" i="11"/>
  <c r="S1424" i="11"/>
  <c r="S1425" i="11"/>
  <c r="S1426" i="11"/>
  <c r="S1427" i="11"/>
  <c r="S1428" i="11"/>
  <c r="S1429" i="11"/>
  <c r="S1430" i="11"/>
  <c r="S1431" i="11"/>
  <c r="S1432" i="11"/>
  <c r="S1433" i="11"/>
  <c r="S1434" i="11"/>
  <c r="S1435" i="11"/>
  <c r="S1436" i="11"/>
  <c r="S1437" i="11"/>
  <c r="S1438" i="11"/>
  <c r="S1439" i="11"/>
  <c r="S1440" i="11"/>
  <c r="S1441" i="11"/>
  <c r="S1442" i="11"/>
  <c r="S1443" i="11"/>
  <c r="S1444" i="11"/>
  <c r="S1445" i="11"/>
  <c r="S1446" i="11"/>
  <c r="S1447" i="11"/>
  <c r="S1448" i="11"/>
  <c r="S1449" i="11"/>
  <c r="S1450" i="11"/>
  <c r="S1451" i="11"/>
  <c r="S1452" i="11"/>
  <c r="S1453" i="11"/>
  <c r="S1454" i="11"/>
  <c r="S1455" i="11"/>
  <c r="S1456" i="11"/>
  <c r="S1457" i="11"/>
  <c r="S1458" i="11"/>
  <c r="S1459" i="11"/>
  <c r="S1460" i="11"/>
  <c r="S1461" i="11"/>
  <c r="S1462" i="11"/>
  <c r="S1463" i="11"/>
  <c r="S1464" i="11"/>
  <c r="S1465" i="11"/>
  <c r="S1466" i="11"/>
  <c r="S1467" i="11"/>
  <c r="S1468" i="11"/>
  <c r="S1469" i="11"/>
  <c r="S1470" i="11"/>
  <c r="S1471" i="11"/>
  <c r="S1472" i="11"/>
  <c r="S1473" i="11"/>
  <c r="S1474" i="11"/>
  <c r="S1475" i="11"/>
  <c r="S1476" i="11"/>
  <c r="S1477" i="11"/>
  <c r="S1478" i="11"/>
  <c r="S1479" i="11"/>
  <c r="S1480" i="11"/>
  <c r="S1481" i="11"/>
  <c r="S1482" i="11"/>
  <c r="S1483" i="11"/>
  <c r="S1484" i="11"/>
  <c r="S1485" i="11"/>
  <c r="S1486" i="11"/>
  <c r="S1487" i="11"/>
  <c r="S1488" i="11"/>
  <c r="S1489" i="11"/>
  <c r="S1490" i="11"/>
  <c r="S1491" i="11"/>
  <c r="S1492" i="11"/>
  <c r="S1493" i="11"/>
  <c r="S1494" i="11"/>
  <c r="S1495" i="11"/>
  <c r="S1496" i="11"/>
  <c r="S1497" i="11"/>
  <c r="S1498" i="11"/>
  <c r="S1499" i="11"/>
  <c r="S1500" i="11"/>
  <c r="S1501" i="11"/>
  <c r="S1502" i="11"/>
  <c r="S1503" i="11"/>
  <c r="S1504" i="11"/>
  <c r="S1505" i="11"/>
  <c r="S1506" i="11"/>
  <c r="S1507" i="11"/>
  <c r="S1508" i="11"/>
  <c r="S1509" i="11"/>
  <c r="S1510" i="11"/>
  <c r="S1511" i="11"/>
  <c r="S1512" i="11"/>
  <c r="S1513" i="11"/>
  <c r="S1514" i="11"/>
  <c r="S1515" i="11"/>
  <c r="S1516" i="11"/>
  <c r="S1517" i="11"/>
  <c r="S1518" i="11"/>
  <c r="S1519" i="11"/>
  <c r="S1520" i="11"/>
  <c r="S1521" i="11"/>
  <c r="S1522" i="11"/>
  <c r="S1523" i="11"/>
  <c r="S1524" i="11"/>
  <c r="S1525" i="11"/>
  <c r="S1526" i="11"/>
  <c r="S1527" i="11"/>
  <c r="S1528" i="11"/>
  <c r="S1529" i="11"/>
  <c r="S1530" i="11"/>
  <c r="S1531" i="11"/>
  <c r="S1532" i="11"/>
  <c r="S1533" i="11"/>
  <c r="S1534" i="11"/>
  <c r="S1535" i="11"/>
  <c r="S1536" i="11"/>
  <c r="S1537" i="11"/>
  <c r="S1538" i="11"/>
  <c r="S1539" i="11"/>
  <c r="S1540" i="11"/>
  <c r="S1541" i="11"/>
  <c r="S1542" i="11"/>
  <c r="S1543" i="11"/>
  <c r="S1544" i="11"/>
  <c r="S1545" i="11"/>
  <c r="S1546" i="11"/>
  <c r="S1547" i="11"/>
  <c r="S1548" i="11"/>
  <c r="S1549" i="11"/>
  <c r="S1550" i="11"/>
  <c r="S1551" i="11"/>
  <c r="S1552" i="11"/>
  <c r="S1553" i="11"/>
  <c r="S1554" i="11"/>
  <c r="S1555" i="11"/>
  <c r="S1556" i="11"/>
  <c r="S1557" i="11"/>
  <c r="S1558" i="11"/>
  <c r="S1559" i="11"/>
  <c r="S1560" i="11"/>
  <c r="S1561" i="11"/>
  <c r="S1562" i="11"/>
  <c r="S1563" i="11"/>
  <c r="S1564" i="11"/>
  <c r="S1565" i="11"/>
  <c r="S1566" i="11"/>
  <c r="S1567" i="11"/>
  <c r="S1568" i="11"/>
  <c r="S1569" i="11"/>
  <c r="S1570" i="11"/>
  <c r="S1571" i="11"/>
  <c r="S1572" i="11"/>
  <c r="S1573" i="11"/>
  <c r="S1574" i="11"/>
  <c r="S1575" i="11"/>
  <c r="S1576" i="11"/>
  <c r="S1577" i="11"/>
  <c r="S1578" i="11"/>
  <c r="S1579" i="11"/>
  <c r="S1580" i="11"/>
  <c r="S1581" i="11"/>
  <c r="S1582" i="11"/>
  <c r="S1583" i="11"/>
  <c r="S1584" i="11"/>
  <c r="S1585" i="11"/>
  <c r="S1586" i="11"/>
  <c r="S1587" i="11"/>
  <c r="S1588" i="11"/>
  <c r="S1589" i="11"/>
  <c r="S1590" i="11"/>
  <c r="S1591" i="11"/>
  <c r="S1592" i="11"/>
  <c r="S1593" i="11"/>
  <c r="S1594" i="11"/>
  <c r="S1595" i="11"/>
  <c r="S1596" i="11"/>
  <c r="S1597" i="11"/>
  <c r="S1598" i="11"/>
  <c r="S1599" i="11"/>
  <c r="S1600" i="11"/>
  <c r="S1601" i="11"/>
  <c r="S1602" i="11"/>
  <c r="S1603" i="11"/>
  <c r="S1604" i="11"/>
  <c r="S1605" i="11"/>
  <c r="S1606" i="11"/>
  <c r="S1607" i="11"/>
  <c r="S1608" i="11"/>
  <c r="S1609" i="11"/>
  <c r="S1610" i="11"/>
  <c r="S1611" i="11"/>
  <c r="S1612" i="11"/>
  <c r="S1613" i="11"/>
  <c r="S1614" i="11"/>
  <c r="S1615" i="11"/>
  <c r="S1616" i="11"/>
  <c r="S1617" i="11"/>
  <c r="S1618" i="11"/>
  <c r="S1619" i="11"/>
  <c r="S1620" i="11"/>
  <c r="S1621" i="11"/>
  <c r="S1622" i="11"/>
  <c r="S1623" i="11"/>
  <c r="S1624" i="11"/>
  <c r="S1625" i="11"/>
  <c r="S1626" i="11"/>
  <c r="S1627" i="11"/>
  <c r="S1628" i="11"/>
  <c r="S1629" i="11"/>
  <c r="S1630" i="11"/>
  <c r="S1631" i="11"/>
  <c r="S1632" i="11"/>
  <c r="S1633" i="11"/>
  <c r="S1634" i="11"/>
  <c r="S1635" i="11"/>
  <c r="S1636" i="11"/>
  <c r="S1637" i="11"/>
  <c r="S1638" i="11"/>
  <c r="S1639" i="11"/>
  <c r="S1640" i="11"/>
  <c r="S1641" i="11"/>
  <c r="S1642" i="11"/>
  <c r="S1643" i="11"/>
  <c r="S1644" i="11"/>
  <c r="S1645" i="11"/>
  <c r="S1646" i="11"/>
  <c r="S1647" i="11"/>
  <c r="S1648" i="11"/>
  <c r="S1649" i="11"/>
  <c r="S1650" i="11"/>
  <c r="S1651" i="11"/>
  <c r="S1652" i="11"/>
  <c r="S1653" i="11"/>
  <c r="S1654" i="11"/>
  <c r="S1655" i="11"/>
  <c r="S1656" i="11"/>
  <c r="S1657" i="11"/>
  <c r="S1658" i="11"/>
  <c r="S1659" i="11"/>
  <c r="S1660" i="11"/>
  <c r="S1661" i="11"/>
  <c r="S1662" i="11"/>
  <c r="S1663" i="11"/>
  <c r="S1664" i="11"/>
  <c r="S1665" i="11"/>
  <c r="S1666" i="11"/>
  <c r="S1667" i="11"/>
  <c r="S1668" i="11"/>
  <c r="S1669" i="11"/>
  <c r="S1670" i="11"/>
  <c r="S1671" i="11"/>
  <c r="S1672" i="11"/>
  <c r="S1673" i="11"/>
  <c r="S1674" i="11"/>
  <c r="S1675" i="11"/>
  <c r="S1676" i="11"/>
  <c r="S1677" i="11"/>
  <c r="S1678" i="11"/>
  <c r="S1679" i="11"/>
  <c r="S1680" i="11"/>
  <c r="S1681" i="11"/>
  <c r="S1682" i="11"/>
  <c r="S1683" i="11"/>
  <c r="S1684" i="11"/>
  <c r="S1685" i="11"/>
  <c r="S1686" i="11"/>
  <c r="S1687" i="11"/>
  <c r="S1688" i="11"/>
  <c r="S1689" i="11"/>
  <c r="S1690" i="11"/>
  <c r="S1691" i="11"/>
  <c r="S1692" i="11"/>
  <c r="S1693" i="11"/>
  <c r="S1694" i="11"/>
  <c r="S1695" i="11"/>
  <c r="S1696" i="11"/>
  <c r="S1697" i="11"/>
  <c r="S1698" i="11"/>
  <c r="S1699" i="11"/>
  <c r="S1700" i="11"/>
  <c r="S1701" i="11"/>
  <c r="S1702" i="11"/>
  <c r="S1703" i="11"/>
  <c r="S1704" i="11"/>
  <c r="S1705" i="11"/>
  <c r="S1706" i="11"/>
  <c r="S1707" i="11"/>
  <c r="S1708" i="11"/>
  <c r="S1709" i="11"/>
  <c r="S1710" i="11"/>
  <c r="S1711" i="11"/>
  <c r="S1712" i="11"/>
  <c r="S1713" i="11"/>
  <c r="S1714" i="11"/>
  <c r="S1715" i="11"/>
  <c r="S1716" i="11"/>
  <c r="S1717" i="11"/>
  <c r="S1718" i="11"/>
  <c r="S1719" i="11"/>
  <c r="S1720" i="11"/>
  <c r="S1721" i="11"/>
  <c r="S1722" i="11"/>
  <c r="S1723" i="11"/>
  <c r="S1724" i="11"/>
  <c r="S1725" i="11"/>
  <c r="S1726" i="11"/>
  <c r="S1727" i="11"/>
  <c r="S1728" i="11"/>
  <c r="S1729" i="11"/>
  <c r="S1730" i="11"/>
  <c r="S1731" i="11"/>
  <c r="S1732" i="11"/>
  <c r="S1733" i="11"/>
  <c r="S1734" i="11"/>
  <c r="S1735" i="11"/>
  <c r="S1736" i="11"/>
  <c r="S1737" i="11"/>
  <c r="S1738" i="11"/>
  <c r="S1739" i="11"/>
  <c r="S1740" i="11"/>
  <c r="S1741" i="11"/>
  <c r="S1742" i="11"/>
  <c r="S1743" i="11"/>
  <c r="S1744" i="11"/>
  <c r="S1745" i="11"/>
  <c r="S1746" i="11"/>
  <c r="S1747" i="11"/>
  <c r="S1748" i="11"/>
  <c r="S1749" i="11"/>
  <c r="S1750" i="11"/>
  <c r="S1751" i="11"/>
  <c r="S1752" i="11"/>
  <c r="S1753" i="11"/>
  <c r="S1754" i="11"/>
  <c r="S1755" i="11"/>
  <c r="S1756" i="11"/>
  <c r="S1757" i="11"/>
  <c r="S1758" i="11"/>
  <c r="S1759" i="11"/>
  <c r="S1760" i="11"/>
  <c r="S1761" i="11"/>
  <c r="S1762" i="11"/>
  <c r="S1763" i="11"/>
  <c r="S1764" i="11"/>
  <c r="S1765" i="11"/>
  <c r="S1766" i="11"/>
  <c r="S1767" i="11"/>
  <c r="S1768" i="11"/>
  <c r="S1769" i="11"/>
  <c r="S1770" i="11"/>
  <c r="S1771" i="11"/>
  <c r="S1772" i="11"/>
  <c r="S1773" i="11"/>
  <c r="S1774" i="11"/>
  <c r="S1775" i="11"/>
  <c r="S1776" i="11"/>
  <c r="S1777" i="11"/>
  <c r="S1778" i="11"/>
  <c r="S1779" i="11"/>
  <c r="S1780" i="11"/>
  <c r="S1781" i="11"/>
  <c r="S1782" i="11"/>
  <c r="S1783" i="11"/>
  <c r="S1784" i="11"/>
  <c r="S1785" i="11"/>
  <c r="S1786" i="11"/>
  <c r="S1787" i="11"/>
  <c r="S1788" i="11"/>
  <c r="S1789" i="11"/>
  <c r="S1790" i="11"/>
  <c r="S1791" i="11"/>
  <c r="S1792" i="11"/>
  <c r="S1793" i="11"/>
  <c r="S1794" i="11"/>
  <c r="S1795" i="11"/>
  <c r="S1796" i="11"/>
  <c r="S1797" i="11"/>
  <c r="S1798" i="11"/>
  <c r="S1799" i="11"/>
  <c r="S1800" i="11"/>
  <c r="S1801" i="11"/>
  <c r="S1802" i="11"/>
  <c r="S1803" i="11"/>
  <c r="S1804" i="11"/>
  <c r="S1805" i="11"/>
  <c r="S1806" i="11"/>
  <c r="S1807" i="11"/>
  <c r="S1808" i="11"/>
  <c r="S1809" i="11"/>
  <c r="S1810" i="11"/>
  <c r="S1811" i="11"/>
  <c r="S1812" i="11"/>
  <c r="S1813" i="11"/>
  <c r="S1814" i="11"/>
  <c r="S1815" i="11"/>
  <c r="S1816" i="11"/>
  <c r="S1817" i="11"/>
  <c r="S1818" i="11"/>
  <c r="S1819" i="11"/>
  <c r="S1820" i="11"/>
  <c r="S1821" i="11"/>
  <c r="S1822" i="11"/>
  <c r="S1823" i="11"/>
  <c r="S1824" i="11"/>
  <c r="S1825" i="11"/>
  <c r="S1826" i="11"/>
  <c r="S1827" i="11"/>
  <c r="S1828" i="11"/>
  <c r="S1829" i="11"/>
  <c r="S1830" i="11"/>
  <c r="S1831" i="11"/>
  <c r="S1832" i="11"/>
  <c r="S1833" i="11"/>
  <c r="S1834" i="11"/>
  <c r="S1835" i="11"/>
  <c r="S1836" i="11"/>
  <c r="S1837" i="11"/>
  <c r="S1838" i="11"/>
  <c r="S1839" i="11"/>
  <c r="S1840" i="11"/>
  <c r="S1841" i="11"/>
  <c r="S1842" i="11"/>
  <c r="S1843" i="11"/>
  <c r="S1844" i="11"/>
  <c r="S1845" i="11"/>
  <c r="S1846" i="11"/>
  <c r="S1847" i="11"/>
  <c r="S1848" i="11"/>
  <c r="S1849" i="11"/>
  <c r="S1850" i="11"/>
  <c r="S1851" i="11"/>
  <c r="S1852" i="11"/>
  <c r="S1853" i="11"/>
  <c r="S1854" i="11"/>
  <c r="S1855" i="11"/>
  <c r="S1856" i="11"/>
  <c r="S1857" i="11"/>
  <c r="S1858" i="11"/>
  <c r="S1859" i="11"/>
  <c r="S1860" i="11"/>
  <c r="S1861" i="11"/>
  <c r="S1862" i="11"/>
  <c r="S1863" i="11"/>
  <c r="S1864" i="11"/>
  <c r="S1865" i="11"/>
  <c r="S1866" i="11"/>
  <c r="S1867" i="11"/>
  <c r="S1868" i="11"/>
  <c r="S1869" i="11"/>
  <c r="S1870" i="11"/>
  <c r="S1871" i="11"/>
  <c r="S1872" i="11"/>
  <c r="S1873" i="11"/>
  <c r="S1874" i="11"/>
  <c r="S1875" i="11"/>
  <c r="S1876" i="11"/>
  <c r="S1877" i="11"/>
  <c r="S1878" i="11"/>
  <c r="S1879" i="11"/>
  <c r="S1880" i="11"/>
  <c r="S1881" i="11"/>
  <c r="S1882" i="11"/>
  <c r="S1883" i="11"/>
  <c r="S1884" i="11"/>
  <c r="S1885" i="11"/>
  <c r="S1886" i="11"/>
  <c r="S1887" i="11"/>
  <c r="S1888" i="11"/>
  <c r="S1889" i="11"/>
  <c r="S1890" i="11"/>
  <c r="S1891" i="11"/>
  <c r="S1892" i="11"/>
  <c r="S1893" i="11"/>
  <c r="S1894" i="11"/>
  <c r="S1895" i="11"/>
  <c r="S1896" i="11"/>
  <c r="S1897" i="11"/>
  <c r="S1898" i="11"/>
  <c r="S1899" i="11"/>
  <c r="S1900" i="11"/>
  <c r="S1901" i="11"/>
  <c r="S1902" i="11"/>
  <c r="S1903" i="11"/>
  <c r="S1904" i="11"/>
  <c r="S1905" i="11"/>
  <c r="S1906" i="11"/>
  <c r="S1907" i="11"/>
  <c r="S1908" i="11"/>
  <c r="S1909" i="11"/>
  <c r="S1910" i="11"/>
  <c r="S1911" i="11"/>
  <c r="S1912" i="11"/>
  <c r="S1913" i="11"/>
  <c r="S1914" i="11"/>
  <c r="S1915" i="11"/>
  <c r="S1916" i="11"/>
  <c r="S1917" i="11"/>
  <c r="S1918" i="11"/>
  <c r="S1919" i="11"/>
  <c r="S1920" i="11"/>
  <c r="S1921" i="11"/>
  <c r="S1922" i="11"/>
  <c r="S1923" i="11"/>
  <c r="S1924" i="11"/>
  <c r="S1925" i="11"/>
  <c r="S1926" i="11"/>
  <c r="S1927" i="11"/>
  <c r="S1928" i="11"/>
  <c r="S1929" i="11"/>
  <c r="S1930" i="11"/>
  <c r="S1931" i="11"/>
  <c r="S1932" i="11"/>
  <c r="S1933" i="11"/>
  <c r="S1934" i="11"/>
  <c r="S1935" i="11"/>
  <c r="S1936" i="11"/>
  <c r="S1937" i="11"/>
  <c r="S1938" i="11"/>
  <c r="S1939" i="11"/>
  <c r="S1940" i="11"/>
  <c r="S1941" i="11"/>
  <c r="S1942" i="11"/>
  <c r="S1943" i="11"/>
  <c r="S1944" i="11"/>
  <c r="S1945" i="11"/>
  <c r="S1946" i="11"/>
  <c r="S1947" i="11"/>
  <c r="S1948" i="11"/>
  <c r="S1949" i="11"/>
  <c r="S1950" i="11"/>
  <c r="S1951" i="11"/>
  <c r="S1952" i="11"/>
  <c r="S1953" i="11"/>
  <c r="S1954" i="11"/>
  <c r="S1955" i="11"/>
  <c r="S1956" i="11"/>
  <c r="S1957" i="11"/>
  <c r="S1958" i="11"/>
  <c r="S1959" i="11"/>
  <c r="S1960" i="11"/>
  <c r="S1961" i="11"/>
  <c r="S1962" i="11"/>
  <c r="S1963" i="11"/>
  <c r="S1964" i="11"/>
  <c r="S1965" i="11"/>
  <c r="S1966" i="11"/>
  <c r="S1967" i="11"/>
  <c r="S1968" i="11"/>
  <c r="S1969" i="11"/>
  <c r="S1970" i="11"/>
  <c r="S1971" i="11"/>
  <c r="S1972" i="11"/>
  <c r="S1973" i="11"/>
  <c r="S1974" i="11"/>
  <c r="S1975" i="11"/>
  <c r="S1976" i="11"/>
  <c r="S1977" i="11"/>
  <c r="S1978" i="11"/>
  <c r="S1979" i="11"/>
  <c r="S1980" i="11"/>
  <c r="S1981" i="11"/>
  <c r="S1982" i="11"/>
  <c r="S1983" i="11"/>
  <c r="S1984" i="11"/>
  <c r="S1985" i="11"/>
  <c r="S1986" i="11"/>
  <c r="S1987" i="11"/>
  <c r="S1988" i="11"/>
  <c r="S1989" i="11"/>
  <c r="S1990" i="11"/>
  <c r="S1991" i="11"/>
  <c r="S1992" i="11"/>
  <c r="S1993" i="11"/>
  <c r="S1994" i="11"/>
  <c r="S1995" i="11"/>
  <c r="S1996" i="11"/>
  <c r="S1997" i="11"/>
  <c r="S1998" i="11"/>
  <c r="S1999" i="11"/>
  <c r="S2000" i="11"/>
  <c r="S2001" i="11"/>
  <c r="S2002" i="11"/>
  <c r="S2003" i="11"/>
  <c r="S2004" i="11"/>
  <c r="S2005" i="11"/>
  <c r="S2006" i="11"/>
  <c r="S2007" i="11"/>
  <c r="S2008" i="11"/>
  <c r="S2009" i="11"/>
  <c r="S2010" i="11"/>
  <c r="S2011" i="11"/>
  <c r="S2012" i="11"/>
  <c r="S2013" i="11"/>
  <c r="S2014" i="11"/>
  <c r="S2015" i="11"/>
  <c r="S2016" i="11"/>
  <c r="S2017" i="11"/>
  <c r="S2018" i="11"/>
  <c r="S2019" i="11"/>
  <c r="S2020" i="11"/>
  <c r="S2021" i="11"/>
  <c r="S2022" i="11"/>
  <c r="S2023" i="11"/>
  <c r="S2024" i="11"/>
  <c r="S2025" i="11"/>
  <c r="S2026" i="11"/>
  <c r="S2027" i="11"/>
  <c r="S2028" i="11"/>
  <c r="S2029" i="11"/>
  <c r="S2030" i="11"/>
  <c r="S2031" i="11"/>
  <c r="S2032" i="11"/>
  <c r="S2033" i="11"/>
  <c r="S2034" i="11"/>
  <c r="S2035" i="11"/>
  <c r="S2036" i="11"/>
  <c r="S2037" i="11"/>
  <c r="S2038" i="11"/>
  <c r="S2039" i="11"/>
  <c r="S2040" i="11"/>
  <c r="S2041" i="11"/>
  <c r="S2042" i="11"/>
  <c r="S2043" i="11"/>
  <c r="S2044" i="11"/>
  <c r="S2045" i="11"/>
  <c r="S2046" i="11"/>
  <c r="S2047" i="11"/>
  <c r="S2048" i="11"/>
  <c r="S2049" i="11"/>
  <c r="S2050" i="11"/>
  <c r="S2051" i="11"/>
  <c r="S2052" i="11"/>
  <c r="S2053" i="11"/>
  <c r="S2054" i="11"/>
  <c r="S2055" i="11"/>
  <c r="S2056" i="11"/>
  <c r="S2057" i="11"/>
  <c r="S2058" i="11"/>
  <c r="S2059" i="11"/>
  <c r="S2060" i="11"/>
  <c r="S2061" i="11"/>
  <c r="S2062" i="11"/>
  <c r="S2063" i="11"/>
  <c r="S2064" i="11"/>
  <c r="S2065" i="11"/>
  <c r="S2066" i="11"/>
  <c r="S2067" i="11"/>
  <c r="S2068" i="11"/>
  <c r="S2069" i="11"/>
  <c r="S2070" i="11"/>
  <c r="S2071" i="11"/>
  <c r="S2072" i="11"/>
  <c r="S2073" i="11"/>
  <c r="S2074" i="11"/>
  <c r="S2075" i="11"/>
  <c r="S2076" i="11"/>
  <c r="S2077" i="11"/>
  <c r="S2078" i="11"/>
  <c r="S2079" i="11"/>
  <c r="S2080" i="11"/>
  <c r="S2081" i="11"/>
  <c r="S2082" i="11"/>
  <c r="S2083" i="11"/>
  <c r="S2084" i="11"/>
  <c r="S2085" i="11"/>
  <c r="S2086" i="11"/>
  <c r="S2087" i="11"/>
  <c r="S2088" i="11"/>
  <c r="S2089" i="11"/>
  <c r="S2090" i="11"/>
  <c r="S2091" i="11"/>
  <c r="S2092" i="11"/>
  <c r="S2093" i="11"/>
  <c r="S2094" i="11"/>
  <c r="S2095" i="11"/>
  <c r="S2096" i="11"/>
  <c r="S2097" i="11"/>
  <c r="S2098" i="11"/>
  <c r="S2099" i="11"/>
  <c r="S2100" i="11"/>
  <c r="S2101" i="11"/>
  <c r="S2102" i="11"/>
  <c r="S2103" i="11"/>
  <c r="S2104" i="11"/>
  <c r="S2105" i="11"/>
  <c r="S2106" i="11"/>
  <c r="S2107" i="11"/>
  <c r="S2108" i="11"/>
  <c r="S2109" i="11"/>
  <c r="S2110" i="11"/>
  <c r="S2111" i="11"/>
  <c r="S2112" i="11"/>
  <c r="S2113" i="11"/>
  <c r="S2114" i="11"/>
  <c r="S2115" i="11"/>
  <c r="S2116" i="11"/>
  <c r="S2117" i="11"/>
  <c r="S2118" i="11"/>
  <c r="S2119" i="11"/>
  <c r="S2120" i="11"/>
  <c r="S2121" i="11"/>
  <c r="S2122" i="11"/>
  <c r="S2123" i="11"/>
  <c r="S2124" i="11"/>
  <c r="S2125" i="11"/>
  <c r="S2126" i="11"/>
  <c r="S2127" i="11"/>
  <c r="S2128" i="11"/>
  <c r="S2129" i="11"/>
  <c r="S2130" i="11"/>
  <c r="S2131" i="11"/>
  <c r="S2132" i="11"/>
  <c r="S2133" i="11"/>
  <c r="S2134" i="11"/>
  <c r="S2135" i="11"/>
  <c r="S2136" i="11"/>
  <c r="S2137" i="11"/>
  <c r="S2138" i="11"/>
  <c r="S2139" i="11"/>
  <c r="S2140" i="11"/>
  <c r="S2141" i="11"/>
  <c r="S2142" i="11"/>
  <c r="S2143" i="11"/>
  <c r="S2144" i="11"/>
  <c r="S2145" i="11"/>
  <c r="S2146" i="11"/>
  <c r="S2147" i="11"/>
  <c r="S2148" i="11"/>
  <c r="S2149" i="11"/>
  <c r="S2150" i="11"/>
  <c r="S2151" i="11"/>
  <c r="S2152" i="11"/>
  <c r="S2153" i="11"/>
  <c r="S2154" i="11"/>
  <c r="S2155" i="11"/>
  <c r="S2156" i="11"/>
  <c r="S2157" i="11"/>
  <c r="S2158" i="11"/>
  <c r="S2159" i="11"/>
  <c r="S2160" i="11"/>
  <c r="S2161" i="11"/>
  <c r="S2162" i="11"/>
  <c r="S2163" i="11"/>
  <c r="S2164" i="11"/>
  <c r="S2165" i="11"/>
  <c r="S2166" i="11"/>
  <c r="S2167" i="11"/>
  <c r="S2168" i="11"/>
  <c r="S2169" i="11"/>
  <c r="S2170" i="11"/>
  <c r="S2171" i="11"/>
  <c r="S2172" i="11"/>
  <c r="S2173" i="11"/>
  <c r="S2174" i="11"/>
  <c r="S2175" i="11"/>
  <c r="S2176" i="11"/>
  <c r="S2177" i="11"/>
  <c r="S2178" i="11"/>
  <c r="S2179" i="11"/>
  <c r="S2180" i="11"/>
  <c r="S2181" i="11"/>
  <c r="S2182" i="11"/>
  <c r="S2183" i="11"/>
  <c r="S2184" i="11"/>
  <c r="S2185" i="11"/>
  <c r="S2186" i="11"/>
  <c r="S2187" i="11"/>
  <c r="S2188" i="11"/>
  <c r="S2189" i="11"/>
  <c r="S2190" i="11"/>
  <c r="S2191" i="11"/>
  <c r="S2192" i="11"/>
  <c r="S2193" i="11"/>
  <c r="S2194" i="11"/>
  <c r="S2195" i="11"/>
  <c r="S2196" i="11"/>
  <c r="S2197" i="11"/>
  <c r="S2198" i="11"/>
  <c r="S2199" i="11"/>
  <c r="S2200" i="11"/>
  <c r="S2201" i="11"/>
  <c r="S2202" i="11"/>
  <c r="S2203" i="11"/>
  <c r="S2204" i="11"/>
  <c r="S2205" i="11"/>
  <c r="S2206" i="11"/>
  <c r="S2207" i="11"/>
  <c r="S2208" i="11"/>
  <c r="S2209" i="11"/>
  <c r="S2210" i="11"/>
  <c r="S2211" i="11"/>
  <c r="S2212" i="11"/>
  <c r="S2213" i="11"/>
  <c r="S2214" i="11"/>
  <c r="S2215" i="11"/>
  <c r="S2216" i="11"/>
  <c r="S2217" i="11"/>
  <c r="S2218" i="11"/>
  <c r="S2219" i="11"/>
  <c r="S2220" i="11"/>
  <c r="S2221" i="11"/>
  <c r="S2222" i="11"/>
  <c r="S2223" i="11"/>
  <c r="S2224" i="11"/>
  <c r="S2225" i="11"/>
  <c r="S2226" i="11"/>
  <c r="S2227" i="11"/>
  <c r="S2228" i="11"/>
  <c r="S2229" i="11"/>
  <c r="S2230" i="11"/>
  <c r="S2231" i="11"/>
  <c r="S2232" i="11"/>
  <c r="S2233" i="11"/>
  <c r="S2234" i="11"/>
  <c r="S2235" i="11"/>
  <c r="S2236" i="11"/>
  <c r="S2237" i="11"/>
  <c r="S2238" i="11"/>
  <c r="S2239" i="11"/>
  <c r="S2240" i="11"/>
  <c r="S2241" i="11"/>
  <c r="S2242" i="11"/>
  <c r="S2243" i="11"/>
  <c r="S2244" i="11"/>
  <c r="S2245" i="11"/>
  <c r="S2246" i="11"/>
  <c r="S2247" i="11"/>
  <c r="S2248" i="11"/>
  <c r="S2249" i="11"/>
  <c r="S2250" i="11"/>
  <c r="S2251" i="11"/>
  <c r="S2252" i="11"/>
  <c r="S2253" i="11"/>
  <c r="S2254" i="11"/>
  <c r="S2255" i="11"/>
  <c r="S2256" i="11"/>
  <c r="S2257" i="11"/>
  <c r="S2258" i="11"/>
  <c r="S2259" i="11"/>
  <c r="S2260" i="11"/>
  <c r="S2261" i="11"/>
  <c r="S2262" i="11"/>
  <c r="S2263" i="11"/>
  <c r="S2264" i="11"/>
  <c r="S2265" i="11"/>
  <c r="S2266" i="11"/>
  <c r="S2267" i="11"/>
  <c r="S2268" i="11"/>
  <c r="S2269" i="11"/>
  <c r="S2270" i="11"/>
  <c r="S2271" i="11"/>
  <c r="S2272" i="11"/>
  <c r="S2273" i="11"/>
  <c r="S2274" i="11"/>
  <c r="S2275" i="11"/>
  <c r="S2276" i="11"/>
  <c r="S2277" i="11"/>
  <c r="S2278" i="11"/>
  <c r="S2279" i="11"/>
  <c r="S2280" i="11"/>
  <c r="S2281" i="11"/>
  <c r="S2282" i="11"/>
  <c r="S2283" i="11"/>
  <c r="S2284" i="11"/>
  <c r="S2285" i="11"/>
  <c r="S2286" i="11"/>
  <c r="S2287" i="11"/>
  <c r="S2288" i="11"/>
  <c r="S2289" i="11"/>
  <c r="S2290" i="11"/>
  <c r="S2291" i="11"/>
  <c r="S2292" i="11"/>
  <c r="S2293" i="11"/>
  <c r="S2294" i="11"/>
  <c r="S2295" i="11"/>
  <c r="S2296" i="11"/>
  <c r="S2297" i="11"/>
  <c r="S2298" i="11"/>
  <c r="S2299" i="11"/>
  <c r="S2300" i="11"/>
  <c r="S2301" i="11"/>
  <c r="S2302" i="11"/>
  <c r="S2303" i="11"/>
  <c r="S2304" i="11"/>
  <c r="S2305" i="11"/>
  <c r="S2306" i="11"/>
  <c r="S2307" i="11"/>
  <c r="S2308" i="11"/>
  <c r="S2309" i="11"/>
  <c r="S2310" i="11"/>
  <c r="S2311" i="11"/>
  <c r="S2312" i="11"/>
  <c r="S2313" i="11"/>
  <c r="S2314" i="11"/>
  <c r="S2315" i="11"/>
  <c r="S2316" i="11"/>
  <c r="S2317" i="11"/>
  <c r="S2318" i="11"/>
  <c r="S2319" i="11"/>
  <c r="S2320" i="11"/>
  <c r="S2321" i="11"/>
  <c r="S2322" i="11"/>
  <c r="S2323" i="11"/>
  <c r="S2324" i="11"/>
  <c r="S2325" i="11"/>
  <c r="S2326" i="11"/>
  <c r="S2327" i="11"/>
  <c r="S2328" i="11"/>
  <c r="S2329" i="11"/>
  <c r="S2330" i="11"/>
  <c r="S2331" i="11"/>
  <c r="S2332" i="11"/>
  <c r="S2333" i="11"/>
  <c r="S2334" i="11"/>
  <c r="S2335" i="11"/>
  <c r="S2336" i="11"/>
  <c r="S2337" i="11"/>
  <c r="S2338" i="11"/>
  <c r="S2339" i="11"/>
  <c r="S2340" i="11"/>
  <c r="S2341" i="11"/>
  <c r="S2342" i="11"/>
  <c r="S2343" i="11"/>
  <c r="S2344" i="11"/>
  <c r="S2345" i="11"/>
  <c r="S2346" i="11"/>
  <c r="S2347" i="11"/>
  <c r="S2348" i="11"/>
  <c r="S2349" i="11"/>
  <c r="S2350" i="11"/>
  <c r="S2351" i="11"/>
  <c r="S2352" i="11"/>
  <c r="S2353" i="11"/>
  <c r="S2354" i="11"/>
  <c r="S2355" i="11"/>
  <c r="S2356" i="11"/>
  <c r="S2357" i="11"/>
  <c r="S2358" i="11"/>
  <c r="S2359" i="11"/>
  <c r="S2360" i="11"/>
  <c r="S2361" i="11"/>
  <c r="S2362" i="11"/>
  <c r="S2363" i="11"/>
  <c r="S2364" i="11"/>
  <c r="S2365" i="11"/>
  <c r="S2366" i="11"/>
  <c r="S2367" i="11"/>
  <c r="S2368" i="11"/>
  <c r="S2369" i="11"/>
  <c r="S2370" i="11"/>
  <c r="S2371" i="11"/>
  <c r="S2372" i="11"/>
  <c r="S2373" i="11"/>
  <c r="S2374" i="11"/>
  <c r="S2375" i="11"/>
  <c r="S2376" i="11"/>
  <c r="S2377" i="11"/>
  <c r="S2378" i="11"/>
  <c r="S2379" i="11"/>
  <c r="S2380" i="11"/>
  <c r="S2381" i="11"/>
  <c r="S2382" i="11"/>
  <c r="S2383" i="11"/>
  <c r="S2384" i="11"/>
  <c r="S2385" i="11"/>
  <c r="S2386" i="11"/>
  <c r="S2387" i="11"/>
  <c r="S2388" i="11"/>
  <c r="S2389" i="11"/>
  <c r="S2390" i="11"/>
  <c r="S2391" i="11"/>
  <c r="S2392" i="11"/>
  <c r="S2393" i="11"/>
  <c r="S2394" i="11"/>
  <c r="S2395" i="11"/>
  <c r="S2396" i="11"/>
  <c r="S2397" i="11"/>
  <c r="S2398" i="11"/>
  <c r="S2399" i="11"/>
  <c r="S2400" i="11"/>
  <c r="S2401" i="11"/>
  <c r="S2402" i="11"/>
  <c r="S2403" i="11"/>
  <c r="S2404" i="11"/>
  <c r="S2405" i="11"/>
  <c r="S2406" i="11"/>
  <c r="S2407" i="11"/>
  <c r="S2408" i="11"/>
  <c r="S2409" i="11"/>
  <c r="S2410" i="11"/>
  <c r="S2411" i="11"/>
  <c r="S2412" i="11"/>
  <c r="S2413" i="11"/>
  <c r="S2414" i="11"/>
  <c r="S2415" i="11"/>
  <c r="S2416" i="11"/>
  <c r="S2417" i="11"/>
  <c r="S2418" i="11"/>
  <c r="S2419" i="11"/>
  <c r="S2420" i="11"/>
  <c r="S2421" i="11"/>
  <c r="S2422" i="11"/>
  <c r="S2423" i="11"/>
  <c r="S2424" i="11"/>
  <c r="S2425" i="11"/>
  <c r="S2426" i="11"/>
  <c r="S2427" i="11"/>
  <c r="S2428" i="11"/>
  <c r="S2429" i="11"/>
  <c r="S2430" i="11"/>
  <c r="S2431" i="11"/>
  <c r="S2432" i="11"/>
  <c r="S2433" i="11"/>
  <c r="S2434" i="11"/>
  <c r="S2435" i="11"/>
  <c r="S2436" i="11"/>
  <c r="S2437" i="11"/>
  <c r="S2438" i="11"/>
  <c r="S2439" i="11"/>
  <c r="S2440" i="11"/>
  <c r="S2441" i="11"/>
  <c r="S2442" i="11"/>
  <c r="S2443" i="11"/>
  <c r="S2444" i="11"/>
  <c r="S2445" i="11"/>
  <c r="S2446" i="11"/>
  <c r="S2447" i="11"/>
  <c r="S2448" i="11"/>
  <c r="S2449" i="11"/>
  <c r="S2450" i="11"/>
  <c r="S2451" i="11"/>
  <c r="S2452" i="11"/>
  <c r="S2453" i="11"/>
  <c r="S2454" i="11"/>
  <c r="S2455" i="11"/>
  <c r="S2456" i="11"/>
  <c r="S2457" i="11"/>
  <c r="S2458" i="11"/>
  <c r="S2459" i="11"/>
  <c r="S2460" i="11"/>
  <c r="S2461" i="11"/>
  <c r="S2462" i="11"/>
  <c r="S2463" i="11"/>
  <c r="S2464" i="11"/>
  <c r="S2465" i="11"/>
  <c r="S2466" i="11"/>
  <c r="S2467" i="11"/>
  <c r="S2468" i="11"/>
  <c r="S2469" i="11"/>
  <c r="S2470" i="11"/>
  <c r="S2471" i="11"/>
  <c r="S2472" i="11"/>
  <c r="S2473" i="11"/>
  <c r="S2474" i="11"/>
  <c r="S2475" i="11"/>
  <c r="S2476" i="11"/>
  <c r="S2477" i="11"/>
  <c r="S2478" i="11"/>
  <c r="S2479" i="11"/>
  <c r="S2480" i="11"/>
  <c r="S2481" i="11"/>
  <c r="S2482" i="11"/>
  <c r="S2483" i="11"/>
  <c r="S2484" i="11"/>
  <c r="S2485" i="11"/>
  <c r="S2486" i="11"/>
  <c r="S2487" i="11"/>
  <c r="S2488" i="11"/>
  <c r="S2489" i="11"/>
  <c r="S2490" i="11"/>
  <c r="S2491" i="11"/>
  <c r="S2492" i="11"/>
  <c r="S2493" i="11"/>
  <c r="S2494" i="11"/>
  <c r="S2495" i="11"/>
  <c r="S2496" i="11"/>
  <c r="S2497" i="11"/>
  <c r="S2498" i="11"/>
  <c r="S2499" i="11"/>
  <c r="S2500" i="11"/>
  <c r="S2501" i="11"/>
  <c r="S2502" i="11"/>
  <c r="S2503" i="11"/>
  <c r="S2504" i="11"/>
  <c r="S2505" i="11"/>
  <c r="S2506" i="11"/>
  <c r="S2507" i="11"/>
  <c r="S2508" i="11"/>
  <c r="S2509" i="11"/>
  <c r="S2510" i="11"/>
  <c r="S2511" i="11"/>
  <c r="S2512" i="11"/>
  <c r="S2513" i="11"/>
  <c r="S2514" i="11"/>
  <c r="S2515" i="11"/>
  <c r="S2516" i="11"/>
  <c r="S2517" i="11"/>
  <c r="S2518" i="11"/>
  <c r="S2519" i="11"/>
  <c r="S2520" i="11"/>
  <c r="S2521" i="11"/>
  <c r="S2522" i="11"/>
  <c r="S2523" i="11"/>
  <c r="S2524" i="11"/>
  <c r="S2525" i="11"/>
  <c r="S2526" i="11"/>
  <c r="S2527" i="11"/>
  <c r="S2528" i="11"/>
  <c r="S2529" i="11"/>
  <c r="S2530" i="11"/>
  <c r="S2531" i="11"/>
  <c r="S2532" i="11"/>
  <c r="S2533" i="11"/>
  <c r="S2534" i="11"/>
  <c r="S2535" i="11"/>
  <c r="S2536" i="11"/>
  <c r="S2537" i="11"/>
  <c r="S2538" i="11"/>
  <c r="S2539" i="11"/>
  <c r="S2540" i="11"/>
  <c r="S2541" i="11"/>
  <c r="S2542" i="11"/>
  <c r="S2543" i="11"/>
  <c r="S2544" i="11"/>
  <c r="S2545" i="11"/>
  <c r="S2546" i="11"/>
  <c r="S2547" i="11"/>
  <c r="S2548" i="11"/>
  <c r="S2549" i="11"/>
  <c r="S2550" i="11"/>
  <c r="S2551" i="11"/>
  <c r="S2552" i="11"/>
  <c r="S2553" i="11"/>
  <c r="S2554" i="11"/>
  <c r="S2555" i="11"/>
  <c r="S2556" i="11"/>
  <c r="S2557" i="11"/>
  <c r="S2558" i="11"/>
  <c r="S2559" i="11"/>
  <c r="S2560" i="11"/>
  <c r="S2561" i="11"/>
  <c r="S2562" i="11"/>
  <c r="S2563" i="11"/>
  <c r="S2564" i="11"/>
  <c r="S2565" i="11"/>
  <c r="S2566" i="11"/>
  <c r="S2567" i="11"/>
  <c r="S2568" i="11"/>
  <c r="S2569" i="11"/>
  <c r="S2570" i="11"/>
  <c r="S2571" i="11"/>
  <c r="S2572" i="11"/>
  <c r="S2573" i="11"/>
  <c r="S2574" i="11"/>
  <c r="S2575" i="11"/>
  <c r="S2576" i="11"/>
  <c r="S2577" i="11"/>
  <c r="S2578" i="11"/>
  <c r="S2579" i="11"/>
  <c r="S2580" i="11"/>
  <c r="S2581" i="11"/>
  <c r="S2582" i="11"/>
  <c r="S2583" i="11"/>
  <c r="S2584" i="11"/>
  <c r="S2585" i="11"/>
  <c r="S2586" i="11"/>
  <c r="S2587" i="11"/>
  <c r="S2588" i="11"/>
  <c r="S2589" i="11"/>
  <c r="S2590" i="11"/>
  <c r="S2591" i="11"/>
  <c r="S2592" i="11"/>
  <c r="S2593" i="11"/>
  <c r="S2594" i="11"/>
  <c r="S2595" i="11"/>
  <c r="S2596" i="11"/>
  <c r="S2597" i="11"/>
  <c r="S2598" i="11"/>
  <c r="S2599" i="11"/>
  <c r="S2600" i="11"/>
  <c r="S2601" i="11"/>
  <c r="S2602" i="11"/>
  <c r="S2603" i="11"/>
  <c r="S2604" i="11"/>
  <c r="S2605" i="11"/>
  <c r="S2606" i="11"/>
  <c r="S2607" i="11"/>
  <c r="S2608" i="11"/>
  <c r="S2609" i="11"/>
  <c r="S2610" i="11"/>
  <c r="S2611" i="11"/>
  <c r="S2612" i="11"/>
  <c r="S2613" i="11"/>
  <c r="S2614" i="11"/>
  <c r="S2615" i="11"/>
  <c r="S2616" i="11"/>
  <c r="S2617" i="11"/>
  <c r="S2618" i="11"/>
  <c r="S2619" i="11"/>
  <c r="S2620" i="11"/>
  <c r="S2621" i="11"/>
  <c r="S2622" i="11"/>
  <c r="S2623" i="11"/>
  <c r="S2624" i="11"/>
  <c r="S2625" i="11"/>
  <c r="S2626" i="11"/>
  <c r="S2627" i="11"/>
  <c r="S2628" i="11"/>
  <c r="S2629" i="11"/>
  <c r="S2630" i="11"/>
  <c r="S2631" i="11"/>
  <c r="S2632" i="11"/>
  <c r="S2633" i="11"/>
  <c r="S2634" i="11"/>
  <c r="S2635" i="11"/>
  <c r="S2636" i="11"/>
  <c r="S2637" i="11"/>
  <c r="S2638" i="11"/>
  <c r="S2639" i="11"/>
  <c r="S2640" i="11"/>
  <c r="S2641" i="11"/>
  <c r="S2642" i="11"/>
  <c r="S2643" i="11"/>
  <c r="S2644" i="11"/>
  <c r="S2645" i="11"/>
  <c r="S2646" i="11"/>
  <c r="S2647" i="11"/>
  <c r="S2648" i="11"/>
  <c r="S2649" i="11"/>
  <c r="S2650" i="11"/>
  <c r="S2651" i="11"/>
  <c r="S2652" i="11"/>
  <c r="S2653" i="11"/>
  <c r="S2654" i="11"/>
  <c r="S2655" i="11"/>
  <c r="S2656" i="11"/>
  <c r="S2657" i="11"/>
  <c r="S2658" i="11"/>
  <c r="S2659" i="11"/>
  <c r="S2660" i="11"/>
  <c r="S2661" i="11"/>
  <c r="S2662" i="11"/>
  <c r="S2663" i="11"/>
  <c r="S2664" i="11"/>
  <c r="S2665" i="11"/>
  <c r="S2666" i="11"/>
  <c r="S2667" i="11"/>
  <c r="S2668" i="11"/>
  <c r="S2669" i="11"/>
  <c r="S2670" i="11"/>
  <c r="S2671" i="11"/>
  <c r="S2672" i="11"/>
  <c r="S2673" i="11"/>
  <c r="S2674" i="11"/>
  <c r="S2675" i="11"/>
  <c r="S2676" i="11"/>
  <c r="S2677" i="11"/>
  <c r="S2678" i="11"/>
  <c r="S2679" i="11"/>
  <c r="S2680" i="11"/>
  <c r="S2681" i="11"/>
  <c r="S2682" i="11"/>
  <c r="S2683" i="11"/>
  <c r="S2684" i="11"/>
  <c r="S2685" i="11"/>
  <c r="S2686" i="11"/>
  <c r="S2687" i="11"/>
  <c r="S2688" i="11"/>
  <c r="S2689" i="11"/>
  <c r="S2690" i="11"/>
  <c r="S2691" i="11"/>
  <c r="S2692" i="11"/>
  <c r="S2693" i="11"/>
  <c r="S2694" i="11"/>
  <c r="S2695" i="11"/>
  <c r="S2696" i="11"/>
  <c r="S2697" i="11"/>
  <c r="S2698" i="11"/>
  <c r="S2699" i="11"/>
  <c r="S2700" i="11"/>
  <c r="S2701" i="11"/>
  <c r="S2702" i="11"/>
  <c r="S2703" i="11"/>
  <c r="S2704" i="11"/>
  <c r="S2705" i="11"/>
  <c r="S2706" i="11"/>
  <c r="S2707" i="11"/>
  <c r="S2708" i="11"/>
  <c r="S2709" i="11"/>
  <c r="S2710" i="11"/>
  <c r="S2711" i="11"/>
  <c r="S2712" i="11"/>
  <c r="S2713" i="11"/>
  <c r="S2714" i="11"/>
  <c r="S2715" i="11"/>
  <c r="S2716" i="11"/>
  <c r="S2717" i="11"/>
  <c r="S2718" i="11"/>
  <c r="S2719" i="11"/>
  <c r="S2720" i="11"/>
  <c r="S2721" i="11"/>
  <c r="S2722" i="11"/>
  <c r="S2723" i="11"/>
  <c r="S2724" i="11"/>
  <c r="S2725" i="11"/>
  <c r="S2726" i="11"/>
  <c r="S2727" i="11"/>
  <c r="S2728" i="11"/>
  <c r="S2729" i="11"/>
  <c r="S2730" i="11"/>
  <c r="S2731" i="11"/>
  <c r="S2732" i="11"/>
  <c r="S2733" i="11"/>
  <c r="S2734" i="11"/>
  <c r="S2735" i="11"/>
  <c r="S2736" i="11"/>
  <c r="S2737" i="11"/>
  <c r="S2738" i="11"/>
  <c r="S2739" i="11"/>
  <c r="S2740" i="11"/>
  <c r="S2741" i="11"/>
  <c r="S2742" i="11"/>
  <c r="S2743" i="11"/>
  <c r="S2744" i="11"/>
  <c r="S2745" i="11"/>
  <c r="S2746" i="11"/>
  <c r="S2747" i="11"/>
  <c r="S2748" i="11"/>
  <c r="S2749" i="11"/>
  <c r="S2750" i="11"/>
  <c r="S2751" i="11"/>
  <c r="S2752" i="11"/>
  <c r="S2753" i="11"/>
  <c r="S2754" i="11"/>
  <c r="S2755" i="11"/>
  <c r="S2756" i="11"/>
  <c r="S2757" i="11"/>
  <c r="S2758" i="11"/>
  <c r="S2759" i="11"/>
  <c r="S2760" i="11"/>
  <c r="S2761" i="11"/>
  <c r="S2762" i="11"/>
  <c r="S2763" i="11"/>
  <c r="S2764" i="11"/>
  <c r="S2765" i="11"/>
  <c r="S2766" i="11"/>
  <c r="S2767" i="11"/>
  <c r="S2768" i="11"/>
  <c r="S2769" i="11"/>
  <c r="S2770" i="11"/>
  <c r="S2771" i="11"/>
  <c r="S2772" i="11"/>
  <c r="S2773" i="11"/>
  <c r="S2774" i="11"/>
  <c r="S2775" i="11"/>
  <c r="S2776" i="11"/>
  <c r="S2777" i="11"/>
  <c r="S2778" i="11"/>
  <c r="S2779" i="11"/>
  <c r="S2780" i="11"/>
  <c r="S2781" i="11"/>
  <c r="S2782" i="11"/>
  <c r="S2783" i="11"/>
  <c r="S2784" i="11"/>
  <c r="S2785" i="11"/>
  <c r="S2786" i="11"/>
  <c r="S2787" i="11"/>
  <c r="S2788" i="11"/>
  <c r="S2789" i="11"/>
  <c r="S2790" i="11"/>
  <c r="S2791" i="11"/>
  <c r="S2792" i="11"/>
  <c r="S2793" i="11"/>
  <c r="S2794" i="11"/>
  <c r="S2795" i="11"/>
  <c r="S2796" i="11"/>
  <c r="S2797" i="11"/>
  <c r="S2798" i="11"/>
  <c r="S2799" i="11"/>
  <c r="S2800" i="11"/>
  <c r="S2801" i="11"/>
  <c r="S2802" i="11"/>
  <c r="S2803" i="11"/>
  <c r="S2804" i="11"/>
  <c r="S2805" i="11"/>
  <c r="S2806" i="11"/>
  <c r="S2807" i="11"/>
  <c r="S2808" i="11"/>
  <c r="S2809" i="11"/>
  <c r="S2810" i="11"/>
  <c r="S2811" i="11"/>
  <c r="S2812" i="11"/>
  <c r="S2813" i="11"/>
  <c r="S2814" i="11"/>
  <c r="S2815" i="11"/>
  <c r="S2816" i="11"/>
  <c r="S2817" i="11"/>
  <c r="S2818" i="11"/>
  <c r="S2819" i="11"/>
  <c r="S2820" i="11"/>
  <c r="S2821" i="11"/>
  <c r="S2822" i="11"/>
  <c r="S2823" i="11"/>
  <c r="S2824" i="11"/>
  <c r="S2825" i="11"/>
  <c r="S2826" i="11"/>
  <c r="S2827" i="11"/>
  <c r="S2828" i="11"/>
  <c r="S2829" i="11"/>
  <c r="S2830" i="11"/>
  <c r="S2831" i="11"/>
  <c r="S2832" i="11"/>
  <c r="S2833" i="11"/>
  <c r="S2834" i="11"/>
  <c r="S2835" i="11"/>
  <c r="S2836" i="11"/>
  <c r="S2837" i="11"/>
  <c r="S2838" i="11"/>
  <c r="S2839" i="11"/>
  <c r="S2840" i="11"/>
  <c r="S2841" i="11"/>
  <c r="S2842" i="11"/>
  <c r="S2843" i="11"/>
  <c r="S2844" i="11"/>
  <c r="S2845" i="11"/>
  <c r="S2846" i="11"/>
  <c r="S2847" i="11"/>
  <c r="S2848" i="11"/>
  <c r="S2849" i="11"/>
  <c r="S2850" i="11"/>
  <c r="S2851" i="11"/>
  <c r="S2852" i="11"/>
  <c r="S2853" i="11"/>
  <c r="S2854" i="11"/>
  <c r="S2855" i="11"/>
  <c r="S2856" i="11"/>
  <c r="S2857" i="11"/>
  <c r="S2858" i="11"/>
  <c r="S2859" i="11"/>
  <c r="S2860" i="11"/>
  <c r="S2861" i="11"/>
  <c r="S2862" i="11"/>
  <c r="S2863" i="11"/>
  <c r="S2864" i="11"/>
  <c r="S2865" i="11"/>
  <c r="S2866" i="11"/>
  <c r="S2867" i="11"/>
  <c r="S2868" i="11"/>
  <c r="S2869" i="11"/>
  <c r="S2870" i="11"/>
  <c r="S2871" i="11"/>
  <c r="S2872" i="11"/>
  <c r="S2873" i="11"/>
  <c r="S2874" i="11"/>
  <c r="S2875" i="11"/>
  <c r="S2876" i="11"/>
  <c r="S2877" i="11"/>
  <c r="S2878" i="11"/>
  <c r="S2879" i="11"/>
  <c r="S2880" i="11"/>
  <c r="S2881" i="11"/>
  <c r="S2882" i="11"/>
  <c r="S2883" i="11"/>
  <c r="S2884" i="11"/>
  <c r="S2885" i="11"/>
  <c r="S2886" i="11"/>
  <c r="S2887" i="11"/>
  <c r="S2888" i="11"/>
  <c r="S2889" i="11"/>
  <c r="S2890" i="11"/>
  <c r="S2891" i="11"/>
  <c r="S2892" i="11"/>
  <c r="S2893" i="11"/>
  <c r="S2894" i="11"/>
  <c r="S2895" i="11"/>
  <c r="S2896" i="11"/>
  <c r="S2897" i="11"/>
  <c r="S2898" i="11"/>
  <c r="S2899" i="11"/>
  <c r="S2900" i="11"/>
  <c r="S2901" i="11"/>
  <c r="S2902" i="11"/>
  <c r="S2903" i="11"/>
  <c r="S2904" i="11"/>
  <c r="S2905" i="11"/>
  <c r="S2906" i="11"/>
  <c r="S2907" i="11"/>
  <c r="S2908" i="11"/>
  <c r="S2909" i="11"/>
  <c r="S2910" i="11"/>
  <c r="S2911" i="11"/>
  <c r="S2912" i="11"/>
  <c r="S2913" i="11"/>
  <c r="S2914" i="11"/>
  <c r="S2915" i="11"/>
  <c r="S2916" i="11"/>
  <c r="S2917" i="11"/>
  <c r="S2918" i="11"/>
  <c r="S2919" i="11"/>
  <c r="S2920" i="11"/>
  <c r="S2921" i="11"/>
  <c r="S2922" i="11"/>
  <c r="S2923" i="11"/>
  <c r="S2924" i="11"/>
  <c r="S2925" i="11"/>
  <c r="S2926" i="11"/>
  <c r="S2927" i="11"/>
  <c r="S2928" i="11"/>
  <c r="S2929" i="11"/>
  <c r="S2930" i="11"/>
  <c r="S2931" i="11"/>
  <c r="S2932" i="11"/>
  <c r="S2933" i="11"/>
  <c r="S2934" i="11"/>
  <c r="S2935" i="11"/>
  <c r="S2936" i="11"/>
  <c r="S2937" i="11"/>
  <c r="S2938" i="11"/>
  <c r="S2939" i="11"/>
  <c r="S2940" i="11"/>
  <c r="S2941" i="11"/>
  <c r="S2942" i="11"/>
  <c r="S2943" i="11"/>
  <c r="S2944" i="11"/>
  <c r="S2945" i="11"/>
  <c r="S2946" i="11"/>
  <c r="S2947" i="11"/>
  <c r="S2948" i="11"/>
  <c r="S2949" i="11"/>
  <c r="S2950" i="11"/>
  <c r="S2951" i="11"/>
  <c r="S2952" i="11"/>
  <c r="S2953" i="11"/>
  <c r="S2954" i="11"/>
  <c r="S2955" i="11"/>
  <c r="S2956" i="11"/>
  <c r="S2957" i="11"/>
  <c r="S2958" i="11"/>
  <c r="S2959" i="11"/>
  <c r="S2960" i="11"/>
  <c r="S2961" i="11"/>
  <c r="S2962" i="11"/>
  <c r="S2963" i="11"/>
  <c r="S2964" i="11"/>
  <c r="S2965" i="11"/>
  <c r="S2966" i="11"/>
  <c r="S2967" i="11"/>
  <c r="S2968" i="11"/>
  <c r="S2969" i="11"/>
  <c r="S2970" i="11"/>
  <c r="S2971" i="11"/>
  <c r="S2972" i="11"/>
  <c r="S2973" i="11"/>
  <c r="S2974" i="11"/>
  <c r="S2975" i="11"/>
  <c r="S2976" i="11"/>
  <c r="S2977" i="11"/>
  <c r="S2978" i="11"/>
  <c r="S2979" i="11"/>
  <c r="S2980" i="11"/>
  <c r="S2981" i="11"/>
  <c r="S2982" i="11"/>
  <c r="S2983" i="11"/>
  <c r="S2984" i="11"/>
  <c r="S2985" i="11"/>
  <c r="S2986" i="11"/>
  <c r="S2987" i="11"/>
  <c r="S2988" i="11"/>
  <c r="S2989" i="11"/>
  <c r="S2990" i="11"/>
  <c r="S2991" i="11"/>
  <c r="S2992" i="11"/>
  <c r="S2993" i="11"/>
  <c r="S2994" i="11"/>
  <c r="S2995" i="11"/>
  <c r="S2996" i="11"/>
  <c r="S2997" i="11"/>
  <c r="S2998" i="11"/>
  <c r="S2999" i="11"/>
  <c r="S3000" i="11"/>
  <c r="S3001" i="11"/>
  <c r="S3002" i="11"/>
  <c r="S3003" i="11"/>
  <c r="S3004" i="11"/>
  <c r="S3005" i="11"/>
  <c r="S3006" i="11"/>
  <c r="S3007" i="11"/>
  <c r="S3008" i="11"/>
  <c r="S3009" i="11"/>
  <c r="S3010" i="11"/>
  <c r="S3011" i="11"/>
  <c r="S3012" i="11"/>
  <c r="S3013" i="11"/>
  <c r="S3014" i="11"/>
  <c r="S3015" i="11"/>
  <c r="S3016" i="11"/>
  <c r="S3017" i="11"/>
  <c r="S3018" i="11"/>
  <c r="S3019" i="11"/>
  <c r="S3020" i="11"/>
  <c r="S3021" i="11"/>
  <c r="S3022" i="11"/>
  <c r="S3023" i="11"/>
  <c r="S3024" i="11"/>
  <c r="S3025" i="11"/>
  <c r="S3026" i="11"/>
  <c r="S3027" i="11"/>
  <c r="S3028" i="11"/>
  <c r="S3029" i="11"/>
  <c r="S3030" i="11"/>
  <c r="S3031" i="11"/>
  <c r="S3032" i="11"/>
  <c r="S3033" i="11"/>
  <c r="S3034" i="11"/>
  <c r="S3035" i="11"/>
  <c r="S3036" i="11"/>
  <c r="S3037" i="11"/>
  <c r="S3038" i="11"/>
  <c r="S3039" i="11"/>
  <c r="S3040" i="11"/>
  <c r="S3041" i="11"/>
  <c r="S3042" i="11"/>
  <c r="S3043" i="11"/>
  <c r="S3044" i="11"/>
  <c r="S3045" i="11"/>
  <c r="S3046" i="11"/>
  <c r="S3047" i="11"/>
  <c r="S3048" i="11"/>
  <c r="S3049" i="11"/>
  <c r="S3050" i="11"/>
  <c r="S3051" i="11"/>
  <c r="S3052" i="11"/>
  <c r="S3053" i="11"/>
  <c r="S3054" i="11"/>
  <c r="S3055" i="11"/>
  <c r="S3056" i="11"/>
  <c r="S3057" i="11"/>
  <c r="S3058" i="11"/>
  <c r="S3059" i="11"/>
  <c r="S3060" i="11"/>
  <c r="S3061" i="11"/>
  <c r="S3062" i="11"/>
  <c r="S3063" i="11"/>
  <c r="S3064" i="11"/>
  <c r="S3065" i="11"/>
  <c r="S3066" i="11"/>
  <c r="S3067" i="11"/>
  <c r="S3068" i="11"/>
  <c r="S3069" i="11"/>
  <c r="S3070" i="11"/>
  <c r="S3071" i="11"/>
  <c r="S3072" i="11"/>
  <c r="S3073" i="11"/>
  <c r="S3074" i="11"/>
  <c r="S3075" i="11"/>
  <c r="S3076" i="11"/>
  <c r="S3077" i="11"/>
  <c r="S3078" i="11"/>
  <c r="S3079" i="11"/>
  <c r="S3080" i="11"/>
  <c r="S3081" i="11"/>
  <c r="S3082" i="11"/>
  <c r="S3083" i="11"/>
  <c r="S3084" i="11"/>
  <c r="S3085" i="11"/>
  <c r="S3086" i="11"/>
  <c r="S3087" i="11"/>
  <c r="S3088" i="11"/>
  <c r="S3089" i="11"/>
  <c r="S3090" i="11"/>
  <c r="S3091" i="11"/>
  <c r="S3092" i="11"/>
  <c r="S3093" i="11"/>
  <c r="S3094" i="11"/>
  <c r="S3095" i="11"/>
  <c r="S3096" i="11"/>
  <c r="S3097" i="11"/>
  <c r="S3098" i="11"/>
  <c r="S3099" i="11"/>
  <c r="S3100" i="11"/>
  <c r="S3101" i="11"/>
  <c r="S3102" i="11"/>
  <c r="S3103" i="11"/>
  <c r="S3104" i="11"/>
  <c r="S3105" i="11"/>
  <c r="S3106" i="11"/>
  <c r="S3107" i="11"/>
  <c r="S3108" i="11"/>
  <c r="S3109" i="11"/>
  <c r="S3110" i="11"/>
  <c r="S3111" i="11"/>
  <c r="S3112" i="11"/>
  <c r="S3113" i="11"/>
  <c r="S3114" i="11"/>
  <c r="S3115" i="11"/>
  <c r="S3116" i="11"/>
  <c r="S3117" i="11"/>
  <c r="S3118" i="11"/>
  <c r="S3119" i="11"/>
  <c r="S3120" i="11"/>
  <c r="S3121" i="11"/>
  <c r="S3122" i="11"/>
  <c r="S3123" i="11"/>
  <c r="S3124" i="11"/>
  <c r="S3125" i="11"/>
  <c r="S3126" i="11"/>
  <c r="S3127" i="11"/>
  <c r="S3128" i="11"/>
  <c r="S3129" i="11"/>
  <c r="S3130" i="11"/>
  <c r="S3131" i="11"/>
  <c r="S3132" i="11"/>
  <c r="S3133" i="11"/>
  <c r="S3134" i="11"/>
  <c r="S3135" i="11"/>
  <c r="S3136" i="11"/>
  <c r="S3137" i="11"/>
  <c r="S3138" i="11"/>
  <c r="S3139" i="11"/>
  <c r="S3140" i="11"/>
  <c r="S3141" i="11"/>
  <c r="S3142" i="11"/>
  <c r="S3143" i="11"/>
  <c r="S3144" i="11"/>
  <c r="S3145" i="11"/>
  <c r="S3146" i="11"/>
  <c r="S3147" i="11"/>
  <c r="S3148" i="11"/>
  <c r="S3149" i="11"/>
  <c r="S3150" i="11"/>
  <c r="S3151" i="11"/>
  <c r="S3152" i="11"/>
  <c r="S3153" i="11"/>
  <c r="S3154" i="11"/>
  <c r="S3155" i="11"/>
  <c r="S3156" i="11"/>
  <c r="S3157" i="11"/>
  <c r="S3158" i="11"/>
  <c r="S3159" i="11"/>
  <c r="S3160" i="11"/>
  <c r="S3161" i="11"/>
  <c r="S3162" i="11"/>
  <c r="S3163" i="11"/>
  <c r="S3164" i="11"/>
  <c r="S3165" i="11"/>
  <c r="S3166" i="11"/>
  <c r="S3167" i="11"/>
  <c r="S3168" i="11"/>
  <c r="S3169" i="11"/>
  <c r="S3170" i="11"/>
  <c r="S3171" i="11"/>
  <c r="S3172" i="11"/>
  <c r="S3173" i="11"/>
  <c r="S3174" i="11"/>
  <c r="S3175" i="11"/>
  <c r="S3176" i="11"/>
  <c r="S3177" i="11"/>
  <c r="S3178" i="11"/>
  <c r="S3179" i="11"/>
  <c r="S3180" i="11"/>
  <c r="S3181" i="11"/>
  <c r="S3182" i="11"/>
  <c r="S3183" i="11"/>
  <c r="S3184" i="11"/>
  <c r="S3185" i="11"/>
  <c r="S3186" i="11"/>
  <c r="S3187" i="11"/>
  <c r="S3188" i="11"/>
  <c r="S3189" i="11"/>
  <c r="S3190" i="11"/>
  <c r="S3191" i="11"/>
  <c r="S3192" i="11"/>
  <c r="S3193" i="11"/>
  <c r="S3194" i="11"/>
  <c r="S3195" i="11"/>
  <c r="S3196" i="11"/>
  <c r="S3197" i="11"/>
  <c r="S3198" i="11"/>
  <c r="S3199" i="11"/>
  <c r="S3200" i="11"/>
  <c r="S3201" i="11"/>
  <c r="S3202" i="11"/>
  <c r="S3203" i="11"/>
  <c r="S3204" i="11"/>
  <c r="S3205" i="11"/>
  <c r="S3206" i="11"/>
  <c r="S3207" i="11"/>
  <c r="S3208" i="11"/>
  <c r="S3209" i="11"/>
  <c r="S3210" i="11"/>
  <c r="S3211" i="11"/>
  <c r="S3212" i="11"/>
  <c r="S3213" i="11"/>
  <c r="S3214" i="11"/>
  <c r="S3215" i="11"/>
  <c r="S3216" i="11"/>
  <c r="S3217" i="11"/>
  <c r="S3218" i="11"/>
  <c r="S3219" i="11"/>
  <c r="S3220" i="11"/>
  <c r="S3221" i="11"/>
  <c r="S3222" i="11"/>
  <c r="S3223" i="11"/>
  <c r="S3224" i="11"/>
  <c r="S3225" i="11"/>
  <c r="S3226" i="11"/>
  <c r="S3227" i="11"/>
  <c r="S3228" i="11"/>
  <c r="S3229" i="11"/>
  <c r="S3230" i="11"/>
  <c r="S3231" i="11"/>
  <c r="S3232" i="11"/>
  <c r="S3233" i="11"/>
  <c r="S3234" i="11"/>
  <c r="S3235" i="11"/>
  <c r="S3236" i="11"/>
  <c r="S3237" i="11"/>
  <c r="S3238" i="11"/>
  <c r="S3239" i="11"/>
  <c r="S3240" i="11"/>
  <c r="S3241" i="11"/>
  <c r="S3242" i="11"/>
  <c r="S3243" i="11"/>
  <c r="S3244" i="11"/>
  <c r="S3245" i="11"/>
  <c r="S3246" i="11"/>
  <c r="S3247" i="11"/>
  <c r="S3248" i="11"/>
  <c r="S3249" i="11"/>
  <c r="S3250" i="11"/>
  <c r="S3251" i="11"/>
  <c r="S3252" i="11"/>
  <c r="S3253" i="11"/>
  <c r="S3254" i="11"/>
  <c r="S3255" i="11"/>
  <c r="S3256" i="11"/>
  <c r="S3257" i="11"/>
  <c r="S3258" i="11"/>
  <c r="S3259" i="11"/>
  <c r="S3260" i="11"/>
  <c r="S3261" i="11"/>
  <c r="S3262" i="11"/>
  <c r="S3263" i="11"/>
  <c r="S3264" i="11"/>
  <c r="S3265" i="11"/>
  <c r="S3266" i="11"/>
  <c r="S3267" i="11"/>
  <c r="S3268" i="11"/>
  <c r="S3269" i="11"/>
  <c r="S3270" i="11"/>
  <c r="S3271" i="11"/>
  <c r="S3272" i="11"/>
  <c r="S3273" i="11"/>
  <c r="S3274" i="11"/>
  <c r="S3275" i="11"/>
  <c r="S3276" i="11"/>
  <c r="S3277" i="11"/>
  <c r="S3278" i="11"/>
  <c r="S3279" i="11"/>
  <c r="S3280" i="11"/>
  <c r="S3281" i="11"/>
  <c r="S3282" i="11"/>
  <c r="S3283" i="11"/>
  <c r="S3284" i="11"/>
  <c r="S3285" i="11"/>
  <c r="S3286" i="11"/>
  <c r="S3287" i="11"/>
  <c r="S3288" i="11"/>
  <c r="S3289" i="11"/>
  <c r="S3290" i="11"/>
  <c r="S3291" i="11"/>
  <c r="S3292" i="11"/>
  <c r="S3293" i="11"/>
  <c r="S3294" i="11"/>
  <c r="S3295" i="11"/>
  <c r="S3296" i="11"/>
  <c r="S3297" i="11"/>
  <c r="S3298" i="11"/>
  <c r="S3299" i="11"/>
  <c r="S3300" i="11"/>
  <c r="S3301" i="11"/>
  <c r="S3302" i="11"/>
  <c r="S3303" i="11"/>
  <c r="S3304" i="11"/>
  <c r="S3305" i="11"/>
  <c r="S3306" i="11"/>
  <c r="S3307" i="11"/>
  <c r="S3308" i="11"/>
  <c r="S3309" i="11"/>
  <c r="S3310" i="11"/>
  <c r="S3311" i="11"/>
  <c r="S3312" i="11"/>
  <c r="S3313" i="11"/>
  <c r="S3314" i="11"/>
  <c r="S3315" i="11"/>
  <c r="S3316" i="11"/>
  <c r="S3317" i="11"/>
  <c r="S3318" i="11"/>
  <c r="S3319" i="11"/>
  <c r="S3320" i="11"/>
  <c r="S3321" i="11"/>
  <c r="S3322" i="11"/>
  <c r="S3323" i="11"/>
  <c r="S3324" i="11"/>
  <c r="S3325" i="11"/>
  <c r="S3326" i="11"/>
  <c r="S3327" i="11"/>
  <c r="S3328" i="11"/>
  <c r="S3329" i="11"/>
  <c r="S3330" i="11"/>
  <c r="S3331" i="11"/>
  <c r="S3332" i="11"/>
  <c r="S3333" i="11"/>
  <c r="S3334" i="11"/>
  <c r="S3335" i="11"/>
  <c r="S3336" i="11"/>
  <c r="S3337" i="11"/>
  <c r="S3338" i="11"/>
  <c r="S3339" i="11"/>
  <c r="S3340" i="11"/>
  <c r="S3341" i="11"/>
  <c r="S3342" i="11"/>
  <c r="S3343" i="11"/>
  <c r="S3344" i="11"/>
  <c r="S3345" i="11"/>
  <c r="S3346" i="11"/>
  <c r="S3347" i="11"/>
  <c r="S3348" i="11"/>
  <c r="S3349" i="11"/>
  <c r="S3350" i="11"/>
  <c r="S3351" i="11"/>
  <c r="S3352" i="11"/>
  <c r="S3353" i="11"/>
  <c r="S3354" i="11"/>
  <c r="S3355" i="11"/>
  <c r="S3356" i="11"/>
  <c r="S3357" i="11"/>
  <c r="S3358" i="11"/>
  <c r="S3359" i="11"/>
  <c r="S3360" i="11"/>
  <c r="S3361" i="11"/>
  <c r="S3362" i="11"/>
  <c r="S3363" i="11"/>
  <c r="S3364" i="11"/>
  <c r="S3365" i="11"/>
  <c r="S3366" i="11"/>
  <c r="S3367" i="11"/>
  <c r="S3368" i="11"/>
  <c r="S3369" i="11"/>
  <c r="S3370" i="11"/>
  <c r="S3371" i="11"/>
  <c r="S3372" i="11"/>
  <c r="S3373" i="11"/>
  <c r="S3374" i="11"/>
  <c r="S3375" i="11"/>
  <c r="S3376" i="11"/>
  <c r="S3377" i="11"/>
  <c r="S3378" i="11"/>
  <c r="S3379" i="11"/>
  <c r="S3380" i="11"/>
  <c r="S3381" i="11"/>
  <c r="S3382" i="11"/>
  <c r="S3383" i="11"/>
  <c r="S3384" i="11"/>
  <c r="S3385" i="11"/>
  <c r="S3386" i="11"/>
  <c r="S3387" i="11"/>
  <c r="S3388" i="11"/>
  <c r="S3389" i="11"/>
  <c r="S3390" i="11"/>
  <c r="S3391" i="11"/>
  <c r="S3392" i="11"/>
  <c r="S3393" i="11"/>
  <c r="S3394" i="11"/>
  <c r="S3395" i="11"/>
  <c r="S3396" i="11"/>
  <c r="S3397" i="11"/>
  <c r="S3398" i="11"/>
  <c r="S3399" i="11"/>
  <c r="S3400" i="11"/>
  <c r="S3401" i="11"/>
  <c r="S3402" i="11"/>
  <c r="S3403" i="11"/>
  <c r="S3404" i="11"/>
  <c r="S3405" i="11"/>
  <c r="S3406" i="11"/>
  <c r="S3407" i="11"/>
  <c r="S3408" i="11"/>
  <c r="S3409" i="11"/>
  <c r="S3410" i="11"/>
  <c r="S3411" i="11"/>
  <c r="S3412" i="11"/>
  <c r="S3413" i="11"/>
  <c r="S3414" i="11"/>
  <c r="S3415" i="11"/>
  <c r="S3416" i="11"/>
  <c r="S3417" i="11"/>
  <c r="S3418" i="11"/>
  <c r="S3419" i="11"/>
  <c r="S3420" i="11"/>
  <c r="S3421" i="11"/>
  <c r="S3422" i="11"/>
  <c r="S3423" i="11"/>
  <c r="S3424" i="11"/>
  <c r="S3425" i="11"/>
  <c r="S3426" i="11"/>
  <c r="S3427" i="11"/>
  <c r="S3428" i="11"/>
  <c r="S3429" i="11"/>
  <c r="S3430" i="11"/>
  <c r="S3431" i="11"/>
  <c r="S3432" i="11"/>
  <c r="S3433" i="11"/>
  <c r="S3434" i="11"/>
  <c r="S3435" i="11"/>
  <c r="S3436" i="11"/>
  <c r="S3437" i="11"/>
  <c r="S3438" i="11"/>
  <c r="S3439" i="11"/>
  <c r="S3440" i="11"/>
  <c r="S3441" i="11"/>
  <c r="S3442" i="11"/>
  <c r="S3443" i="11"/>
  <c r="S3444" i="11"/>
  <c r="S3445" i="11"/>
  <c r="S3446" i="11"/>
  <c r="S3447" i="11"/>
  <c r="S3448" i="11"/>
  <c r="S3449" i="11"/>
  <c r="S3450" i="11"/>
  <c r="S3451" i="11"/>
  <c r="S3452" i="11"/>
  <c r="S3453" i="11"/>
  <c r="S3454" i="11"/>
  <c r="S3455" i="11"/>
  <c r="S3456" i="11"/>
  <c r="S3457" i="11"/>
  <c r="S3458" i="11"/>
  <c r="S3459" i="11"/>
  <c r="S3460" i="11"/>
  <c r="S3461" i="11"/>
  <c r="S3462" i="11"/>
  <c r="S3463" i="11"/>
  <c r="S3464" i="11"/>
  <c r="S3465" i="11"/>
  <c r="S3466" i="11"/>
  <c r="S3467" i="11"/>
  <c r="S3468" i="11"/>
  <c r="S3469" i="11"/>
  <c r="S3470" i="11"/>
  <c r="S3471" i="11"/>
  <c r="S3472" i="11"/>
  <c r="S3473" i="11"/>
  <c r="S3474" i="11"/>
  <c r="S3475" i="11"/>
  <c r="S3476" i="11"/>
  <c r="S3477" i="11"/>
  <c r="S3478" i="11"/>
  <c r="S3479" i="11"/>
  <c r="S3480" i="11"/>
  <c r="S3481" i="11"/>
  <c r="S3482" i="11"/>
  <c r="S3483" i="11"/>
  <c r="S3484" i="11"/>
  <c r="S3485" i="11"/>
  <c r="S3486" i="11"/>
  <c r="S3487" i="11"/>
  <c r="S3488" i="11"/>
  <c r="S3489" i="11"/>
  <c r="S3490" i="11"/>
  <c r="S3491" i="11"/>
  <c r="S3492" i="11"/>
  <c r="S3493" i="11"/>
  <c r="S3494" i="11"/>
  <c r="S3495" i="11"/>
  <c r="S3496" i="11"/>
  <c r="S3497" i="11"/>
  <c r="S3498" i="11"/>
  <c r="S3499" i="11"/>
  <c r="S3500" i="11"/>
  <c r="S3501" i="11"/>
  <c r="S3502" i="11"/>
  <c r="S3503" i="11"/>
  <c r="S3504" i="11"/>
  <c r="S3505" i="11"/>
  <c r="S3506" i="11"/>
  <c r="S3507" i="11"/>
  <c r="S3508" i="11"/>
  <c r="S3509" i="11"/>
  <c r="S3510" i="11"/>
  <c r="S3511" i="11"/>
  <c r="S3512" i="11"/>
  <c r="S3513" i="11"/>
  <c r="S3514" i="11"/>
  <c r="S3515" i="11"/>
  <c r="S3516" i="11"/>
  <c r="S3517" i="11"/>
  <c r="S3518" i="11"/>
  <c r="S3519" i="11"/>
  <c r="S3520" i="11"/>
  <c r="S3521" i="11"/>
  <c r="S3522" i="11"/>
  <c r="S3523" i="11"/>
  <c r="S3524" i="11"/>
  <c r="S3525" i="11"/>
  <c r="S3526" i="11"/>
  <c r="S3527" i="11"/>
  <c r="S3528" i="11"/>
  <c r="S3529" i="11"/>
  <c r="S3530" i="11"/>
  <c r="S3531" i="11"/>
  <c r="S3532" i="11"/>
  <c r="S3533" i="11"/>
  <c r="S3534" i="11"/>
  <c r="S3535" i="11"/>
  <c r="S3536" i="11"/>
  <c r="S3537" i="11"/>
  <c r="S3538" i="11"/>
  <c r="S3539" i="11"/>
  <c r="S3540" i="11"/>
  <c r="S3541" i="11"/>
  <c r="S3542" i="11"/>
  <c r="S3543" i="11"/>
  <c r="S3544" i="11"/>
  <c r="S3545" i="11"/>
  <c r="S3546" i="11"/>
  <c r="S3547" i="11"/>
  <c r="S3548" i="11"/>
  <c r="S3549" i="11"/>
  <c r="S3550" i="11"/>
  <c r="S3551" i="11"/>
  <c r="S3552" i="11"/>
  <c r="S3553" i="11"/>
  <c r="S3554" i="11"/>
  <c r="S3555" i="11"/>
  <c r="S3556" i="11"/>
  <c r="S3557" i="11"/>
  <c r="S3558" i="11"/>
  <c r="S3559" i="11"/>
  <c r="S3560" i="11"/>
  <c r="S3561" i="11"/>
  <c r="S3562" i="11"/>
  <c r="S3563" i="11"/>
  <c r="S3564" i="11"/>
  <c r="S3565" i="11"/>
  <c r="S3566" i="11"/>
  <c r="S3567" i="11"/>
  <c r="S3568" i="11"/>
  <c r="S3569" i="11"/>
  <c r="S3570" i="11"/>
  <c r="S3571" i="11"/>
  <c r="S3572" i="11"/>
  <c r="S3573" i="11"/>
  <c r="S3574" i="11"/>
  <c r="S3575" i="11"/>
  <c r="S3576" i="11"/>
  <c r="S3577" i="11"/>
  <c r="S3578" i="11"/>
  <c r="S3579" i="11"/>
  <c r="S3580" i="11"/>
  <c r="S3581" i="11"/>
  <c r="S3582" i="11"/>
  <c r="S3583" i="11"/>
  <c r="S3584" i="11"/>
  <c r="S3585" i="11"/>
  <c r="S3586" i="11"/>
  <c r="S3587" i="11"/>
  <c r="S3588" i="11"/>
  <c r="S3589" i="11"/>
  <c r="S3590" i="11"/>
  <c r="S3591" i="11"/>
  <c r="S3592" i="11"/>
  <c r="S3593" i="11"/>
  <c r="S3594" i="11"/>
  <c r="S3595" i="11"/>
  <c r="S3596" i="11"/>
  <c r="S3597" i="11"/>
  <c r="S3598" i="11"/>
  <c r="S3599" i="11"/>
  <c r="S3600" i="11"/>
  <c r="S3601" i="11"/>
  <c r="S3602" i="11"/>
  <c r="S3603" i="11"/>
  <c r="S3604" i="11"/>
  <c r="S3605" i="11"/>
  <c r="S3606" i="11"/>
  <c r="S3607" i="11"/>
  <c r="S3608" i="11"/>
  <c r="S3609" i="11"/>
  <c r="S3610" i="11"/>
  <c r="S3611" i="11"/>
  <c r="S3612" i="11"/>
  <c r="S3613" i="11"/>
  <c r="S3614" i="11"/>
  <c r="S3615" i="11"/>
  <c r="S3616" i="11"/>
  <c r="S3617" i="11"/>
  <c r="S3618" i="11"/>
  <c r="S3619" i="11"/>
  <c r="S3620" i="11"/>
  <c r="S3621" i="11"/>
  <c r="S3622" i="11"/>
  <c r="S3623" i="11"/>
  <c r="S3624" i="11"/>
  <c r="S3625" i="11"/>
  <c r="S3626" i="11"/>
  <c r="S3627" i="11"/>
  <c r="S3628" i="11"/>
  <c r="S3629" i="11"/>
  <c r="S3630" i="11"/>
  <c r="S3631" i="11"/>
  <c r="S3632" i="11"/>
  <c r="S3633" i="11"/>
  <c r="S3634" i="11"/>
  <c r="S3635" i="11"/>
  <c r="S3636" i="11"/>
  <c r="S3637" i="11"/>
  <c r="S3638" i="11"/>
  <c r="S3639" i="11"/>
  <c r="S3640" i="11"/>
  <c r="S3641" i="11"/>
  <c r="S3642" i="11"/>
  <c r="S3643" i="11"/>
  <c r="S3644" i="11"/>
  <c r="S3645" i="11"/>
  <c r="S3646" i="11"/>
  <c r="S3647" i="11"/>
  <c r="S3648" i="11"/>
  <c r="S3649" i="11"/>
  <c r="S3650" i="11"/>
  <c r="S3651" i="11"/>
  <c r="S3652" i="11"/>
  <c r="S3653" i="11"/>
  <c r="S3654" i="11"/>
  <c r="S3655" i="11"/>
  <c r="S3656" i="11"/>
  <c r="S3657" i="11"/>
  <c r="S3658" i="11"/>
  <c r="S3659" i="11"/>
  <c r="S3660" i="11"/>
  <c r="S3661" i="11"/>
  <c r="S3662" i="11"/>
  <c r="S3663" i="11"/>
  <c r="S3664" i="11"/>
  <c r="S3665" i="11"/>
  <c r="S3666" i="11"/>
  <c r="S3667" i="11"/>
  <c r="S3668" i="11"/>
  <c r="S3669" i="11"/>
  <c r="S3670" i="11"/>
  <c r="S3671" i="11"/>
  <c r="S3672" i="11"/>
  <c r="S3673" i="11"/>
  <c r="S3674" i="11"/>
  <c r="S3675" i="11"/>
  <c r="S3676" i="11"/>
  <c r="S3677" i="11"/>
  <c r="S3678" i="11"/>
  <c r="S3679" i="11"/>
  <c r="S3680" i="11"/>
  <c r="S3681" i="11"/>
  <c r="S3682" i="11"/>
  <c r="S3683" i="11"/>
  <c r="S3684" i="11"/>
  <c r="S3685" i="11"/>
  <c r="S3686" i="11"/>
  <c r="S3687" i="11"/>
  <c r="S3688" i="11"/>
  <c r="S3689" i="11"/>
  <c r="S3690" i="11"/>
  <c r="S3691" i="11"/>
  <c r="S3692" i="11"/>
  <c r="S3693" i="11"/>
  <c r="S3694" i="11"/>
  <c r="S3695" i="11"/>
  <c r="S3696" i="11"/>
  <c r="S3697" i="11"/>
  <c r="S3698" i="11"/>
  <c r="S3699" i="11"/>
  <c r="S3700" i="11"/>
  <c r="S3701" i="11"/>
  <c r="S3702" i="11"/>
  <c r="S3703" i="11"/>
  <c r="S3704" i="11"/>
  <c r="S3705" i="11"/>
  <c r="S3706" i="11"/>
  <c r="S3707" i="11"/>
  <c r="S3708" i="11"/>
  <c r="S3709" i="11"/>
  <c r="S3710" i="11"/>
  <c r="S3711" i="11"/>
  <c r="S3712" i="11"/>
  <c r="S3713" i="11"/>
  <c r="S3714" i="11"/>
  <c r="S3715" i="11"/>
  <c r="S3716" i="11"/>
  <c r="S3717" i="11"/>
  <c r="S3718" i="11"/>
  <c r="S3719" i="11"/>
  <c r="S3720" i="11"/>
  <c r="S3721" i="11"/>
  <c r="S3722" i="11"/>
  <c r="S3723" i="11"/>
  <c r="S3724" i="11"/>
  <c r="S3725" i="11"/>
  <c r="S3726" i="11"/>
  <c r="S3727" i="11"/>
  <c r="S3728" i="11"/>
  <c r="S3729" i="11"/>
  <c r="S3730" i="11"/>
  <c r="S3731" i="11"/>
  <c r="S3732" i="11"/>
  <c r="S3733" i="11"/>
  <c r="S3734" i="11"/>
  <c r="S3735" i="11"/>
  <c r="S3736" i="11"/>
  <c r="S3737" i="11"/>
  <c r="S3738" i="11"/>
  <c r="S3739" i="11"/>
  <c r="S3740" i="11"/>
  <c r="S3741" i="11"/>
  <c r="S3742" i="11"/>
  <c r="S3743" i="11"/>
  <c r="S3744" i="11"/>
  <c r="S3745" i="11"/>
  <c r="S3746" i="11"/>
  <c r="S3747" i="11"/>
  <c r="S3748" i="11"/>
  <c r="S3749" i="11"/>
  <c r="S3750" i="11"/>
  <c r="S3751" i="11"/>
  <c r="S3752" i="11"/>
  <c r="S3753" i="11"/>
  <c r="S3754" i="11"/>
  <c r="S3755" i="11"/>
  <c r="S3756" i="11"/>
  <c r="S3757" i="11"/>
  <c r="S3758" i="11"/>
  <c r="S3759" i="11"/>
  <c r="S3760" i="11"/>
  <c r="S3761" i="11"/>
  <c r="S3762" i="11"/>
  <c r="S3763" i="11"/>
  <c r="S3764" i="11"/>
  <c r="S3765" i="11"/>
  <c r="S3766" i="11"/>
  <c r="S3767" i="11"/>
  <c r="S3768" i="11"/>
  <c r="S3769" i="11"/>
  <c r="S3770" i="11"/>
  <c r="S3771" i="11"/>
  <c r="S3772" i="11"/>
  <c r="S3773" i="11"/>
  <c r="S3774" i="11"/>
  <c r="S3775" i="11"/>
  <c r="S3776" i="11"/>
  <c r="S3777" i="11"/>
  <c r="S3778" i="11"/>
  <c r="S3779" i="11"/>
  <c r="S3780" i="11"/>
  <c r="S3781" i="11"/>
  <c r="S3782" i="11"/>
  <c r="S3783" i="11"/>
  <c r="S3784" i="11"/>
  <c r="S3785" i="11"/>
  <c r="S3786" i="11"/>
  <c r="S3787" i="11"/>
  <c r="S3788" i="11"/>
  <c r="S3789" i="11"/>
  <c r="S3790" i="11"/>
  <c r="S3791" i="11"/>
  <c r="S3792" i="11"/>
  <c r="S3793" i="11"/>
  <c r="S3794" i="11"/>
  <c r="S3795" i="11"/>
  <c r="S3796" i="11"/>
  <c r="S3797" i="11"/>
  <c r="S3798" i="11"/>
  <c r="S3799" i="11"/>
  <c r="S3800" i="11"/>
  <c r="S3801" i="11"/>
  <c r="S3802" i="11"/>
  <c r="S3803" i="11"/>
  <c r="S3804" i="11"/>
  <c r="S3805" i="11"/>
  <c r="S3806" i="11"/>
  <c r="S3807" i="11"/>
  <c r="S3808" i="11"/>
  <c r="S3809" i="11"/>
  <c r="S3810" i="11"/>
  <c r="S3811" i="11"/>
  <c r="S3812" i="11"/>
  <c r="S3813" i="11"/>
  <c r="S3814" i="11"/>
  <c r="S3815" i="11"/>
  <c r="S3816" i="11"/>
  <c r="S3817" i="11"/>
  <c r="S3818" i="11"/>
  <c r="S3819" i="11"/>
  <c r="S3820" i="11"/>
  <c r="S3821" i="11"/>
  <c r="S3822" i="11"/>
  <c r="S3823" i="11"/>
  <c r="S3824" i="11"/>
  <c r="S3825" i="11"/>
  <c r="S3826" i="11"/>
  <c r="S3827" i="11"/>
  <c r="S3828" i="11"/>
  <c r="S3829" i="11"/>
  <c r="S3830" i="11"/>
  <c r="S3831" i="11"/>
  <c r="S3832" i="11"/>
  <c r="S3833" i="11"/>
  <c r="S3834" i="11"/>
  <c r="S3835" i="11"/>
  <c r="S3836" i="11"/>
  <c r="S3837" i="11"/>
  <c r="S3838" i="11"/>
  <c r="S3839" i="11"/>
  <c r="S3840" i="11"/>
  <c r="S3841" i="11"/>
  <c r="S3842" i="11"/>
  <c r="S3843" i="11"/>
  <c r="S3844" i="11"/>
  <c r="S3845" i="11"/>
  <c r="S3846" i="11"/>
  <c r="S3847" i="11"/>
  <c r="S3848" i="11"/>
  <c r="S3849" i="11"/>
  <c r="S3850" i="11"/>
  <c r="S3851" i="11"/>
  <c r="S3852" i="11"/>
  <c r="S3853" i="11"/>
  <c r="S3854" i="11"/>
  <c r="S3855" i="11"/>
  <c r="S3856" i="11"/>
  <c r="S3857" i="11"/>
  <c r="S3858" i="11"/>
  <c r="S3859" i="11"/>
  <c r="S3860" i="11"/>
  <c r="S3861" i="11"/>
  <c r="S3862" i="11"/>
  <c r="S3863" i="11"/>
  <c r="S3864" i="11"/>
  <c r="S3865" i="11"/>
  <c r="S3866" i="11"/>
  <c r="S3867" i="11"/>
  <c r="S3868" i="11"/>
  <c r="S3869" i="11"/>
  <c r="S3870" i="11"/>
  <c r="S3871" i="11"/>
  <c r="S3872" i="11"/>
  <c r="S3873" i="11"/>
  <c r="S3874" i="11"/>
  <c r="S3875" i="11"/>
  <c r="S3876" i="11"/>
  <c r="S3877" i="11"/>
  <c r="S3878" i="11"/>
  <c r="S3879" i="11"/>
  <c r="S3880" i="11"/>
  <c r="S3881" i="11"/>
  <c r="S3882" i="11"/>
  <c r="S3883" i="11"/>
  <c r="S3884" i="11"/>
  <c r="S3885" i="11"/>
  <c r="S3886" i="11"/>
  <c r="S3887" i="11"/>
  <c r="S3888" i="11"/>
  <c r="S3889" i="11"/>
  <c r="U2000" i="11"/>
  <c r="U7" i="11"/>
  <c r="V7" i="11" s="1"/>
  <c r="U8" i="11"/>
  <c r="Y8" i="11" s="1"/>
  <c r="U17" i="11"/>
  <c r="U18" i="11"/>
  <c r="Y18" i="11" s="1"/>
  <c r="U23" i="11"/>
  <c r="V23" i="11" s="1"/>
  <c r="U24" i="11"/>
  <c r="Y24" i="11" s="1"/>
  <c r="U26" i="11"/>
  <c r="Y26" i="11" s="1"/>
  <c r="U32" i="11"/>
  <c r="U39" i="11"/>
  <c r="Y39" i="11" s="1"/>
  <c r="U40" i="11"/>
  <c r="Y40" i="11" s="1"/>
  <c r="U48" i="11"/>
  <c r="Y48" i="11" s="1"/>
  <c r="U56" i="11"/>
  <c r="Y56" i="11" s="1"/>
  <c r="U64" i="11"/>
  <c r="U71" i="11"/>
  <c r="Y71" i="11" s="1"/>
  <c r="U72" i="11"/>
  <c r="Y72" i="11" s="1"/>
  <c r="U79" i="11"/>
  <c r="Y79" i="11" s="1"/>
  <c r="U88" i="11"/>
  <c r="U95" i="11"/>
  <c r="Y95" i="11" s="1"/>
  <c r="U96" i="11"/>
  <c r="V96" i="11" s="1"/>
  <c r="U103" i="11"/>
  <c r="U111" i="11"/>
  <c r="V111" i="11" s="1"/>
  <c r="U112" i="11"/>
  <c r="U128" i="11"/>
  <c r="Y128" i="11" s="1"/>
  <c r="U135" i="11"/>
  <c r="U136" i="11"/>
  <c r="Y136" i="11" s="1"/>
  <c r="U143" i="11"/>
  <c r="V143" i="11" s="1"/>
  <c r="U151" i="11"/>
  <c r="U152" i="11"/>
  <c r="Y152" i="11" s="1"/>
  <c r="U160" i="11"/>
  <c r="U167" i="11"/>
  <c r="Y167" i="11" s="1"/>
  <c r="U168" i="11"/>
  <c r="U175" i="11"/>
  <c r="Y175" i="11" s="1"/>
  <c r="U176" i="11"/>
  <c r="U191" i="11"/>
  <c r="U192" i="11"/>
  <c r="U199" i="11"/>
  <c r="U207" i="11"/>
  <c r="Y207" i="11" s="1"/>
  <c r="U208" i="11"/>
  <c r="Y208" i="11" s="1"/>
  <c r="U215" i="11"/>
  <c r="U216" i="11"/>
  <c r="U223" i="11"/>
  <c r="Y223" i="11" s="1"/>
  <c r="U232" i="11"/>
  <c r="U239" i="11"/>
  <c r="V239" i="11" s="1"/>
  <c r="U247" i="11"/>
  <c r="U248" i="11"/>
  <c r="Y248" i="11" s="1"/>
  <c r="U255" i="11"/>
  <c r="V255" i="11" s="1"/>
  <c r="U256" i="11"/>
  <c r="U271" i="11"/>
  <c r="Y271" i="11" s="1"/>
  <c r="U272" i="11"/>
  <c r="Y272" i="11" s="1"/>
  <c r="U280" i="11"/>
  <c r="V280" i="11" s="1"/>
  <c r="U288" i="11"/>
  <c r="V288" i="11" s="1"/>
  <c r="U296" i="11"/>
  <c r="U303" i="11"/>
  <c r="Y303" i="11" s="1"/>
  <c r="U311" i="11"/>
  <c r="U312" i="11"/>
  <c r="U319" i="11"/>
  <c r="Y319" i="11" s="1"/>
  <c r="U328" i="11"/>
  <c r="U335" i="11"/>
  <c r="U344" i="11"/>
  <c r="U351" i="11"/>
  <c r="V351" i="11" s="1"/>
  <c r="U352" i="11"/>
  <c r="Y352" i="11" s="1"/>
  <c r="U360" i="11"/>
  <c r="U367" i="11"/>
  <c r="U375" i="11"/>
  <c r="Y375" i="11" s="1"/>
  <c r="U376" i="11"/>
  <c r="V376" i="11" s="1"/>
  <c r="U383" i="11"/>
  <c r="U384" i="11"/>
  <c r="Y384" i="11" s="1"/>
  <c r="U391" i="11"/>
  <c r="U399" i="11"/>
  <c r="Y399" i="11" s="1"/>
  <c r="U400" i="11"/>
  <c r="V400" i="11" s="1"/>
  <c r="U408" i="11"/>
  <c r="V408" i="11" s="1"/>
  <c r="U415" i="11"/>
  <c r="Y415" i="11" s="1"/>
  <c r="U416" i="11"/>
  <c r="V416" i="11" s="1"/>
  <c r="U424" i="11"/>
  <c r="Y424" i="11" s="1"/>
  <c r="U431" i="11"/>
  <c r="Y431" i="11" s="1"/>
  <c r="U432" i="11"/>
  <c r="U439" i="11"/>
  <c r="V439" i="11" s="1"/>
  <c r="U440" i="11"/>
  <c r="V440" i="11" s="1"/>
  <c r="U447" i="11"/>
  <c r="V447" i="11" s="1"/>
  <c r="U455" i="11"/>
  <c r="Y455" i="11" s="1"/>
  <c r="U456" i="11"/>
  <c r="Y456" i="11" s="1"/>
  <c r="U463" i="11"/>
  <c r="V463" i="11" s="1"/>
  <c r="U471" i="11"/>
  <c r="V471" i="11" s="1"/>
  <c r="U479" i="11"/>
  <c r="V479" i="11" s="1"/>
  <c r="U480" i="11"/>
  <c r="Y480" i="11" s="1"/>
  <c r="U488" i="11"/>
  <c r="V488" i="11" s="1"/>
  <c r="U495" i="11"/>
  <c r="Y495" i="11" s="1"/>
  <c r="U496" i="11"/>
  <c r="U512" i="11"/>
  <c r="Y512" i="11" s="1"/>
  <c r="U519" i="11"/>
  <c r="V519" i="11" s="1"/>
  <c r="U520" i="11"/>
  <c r="Y520" i="11" s="1"/>
  <c r="U528" i="11"/>
  <c r="V528" i="11" s="1"/>
  <c r="U535" i="11"/>
  <c r="Y535" i="11" s="1"/>
  <c r="U536" i="11"/>
  <c r="V536" i="11" s="1"/>
  <c r="U543" i="11"/>
  <c r="V543" i="11" s="1"/>
  <c r="U544" i="11"/>
  <c r="U552" i="11"/>
  <c r="U560" i="11"/>
  <c r="U567" i="11"/>
  <c r="Y567" i="11" s="1"/>
  <c r="U568" i="11"/>
  <c r="V568" i="11" s="1"/>
  <c r="U575" i="11"/>
  <c r="U576" i="11"/>
  <c r="U583" i="11"/>
  <c r="U584" i="11"/>
  <c r="Y584" i="11" s="1"/>
  <c r="U591" i="11"/>
  <c r="Y591" i="11" s="1"/>
  <c r="U599" i="11"/>
  <c r="U600" i="11"/>
  <c r="U607" i="11"/>
  <c r="Y607" i="11" s="1"/>
  <c r="U616" i="11"/>
  <c r="Y616" i="11" s="1"/>
  <c r="U623" i="11"/>
  <c r="U631" i="11"/>
  <c r="Y631" i="11" s="1"/>
  <c r="U639" i="11"/>
  <c r="Y639" i="11" s="1"/>
  <c r="U640" i="11"/>
  <c r="V640" i="11" s="1"/>
  <c r="U647" i="11"/>
  <c r="U656" i="11"/>
  <c r="U663" i="11"/>
  <c r="Y663" i="11" s="1"/>
  <c r="U664" i="11"/>
  <c r="U671" i="11"/>
  <c r="Y671" i="11" s="1"/>
  <c r="U672" i="11"/>
  <c r="U679" i="11"/>
  <c r="Y679" i="11" s="1"/>
  <c r="U680" i="11"/>
  <c r="Y680" i="11" s="1"/>
  <c r="U687" i="11"/>
  <c r="Y687" i="11" s="1"/>
  <c r="U696" i="11"/>
  <c r="Y696" i="11" s="1"/>
  <c r="U703" i="11"/>
  <c r="Y703" i="11" s="1"/>
  <c r="U704" i="11"/>
  <c r="Y704" i="11" s="1"/>
  <c r="U711" i="11"/>
  <c r="Y711" i="11" s="1"/>
  <c r="U712" i="11"/>
  <c r="U719" i="11"/>
  <c r="U727" i="11"/>
  <c r="V727" i="11" s="1"/>
  <c r="U728" i="11"/>
  <c r="U735" i="11"/>
  <c r="U743" i="11"/>
  <c r="Y743" i="11" s="1"/>
  <c r="U744" i="11"/>
  <c r="U751" i="11"/>
  <c r="Y751" i="11" s="1"/>
  <c r="U759" i="11"/>
  <c r="V759" i="11" s="1"/>
  <c r="U760" i="11"/>
  <c r="U767" i="11"/>
  <c r="V767" i="11" s="1"/>
  <c r="U768" i="11"/>
  <c r="V768" i="11" s="1"/>
  <c r="U775" i="11"/>
  <c r="Y775" i="11" s="1"/>
  <c r="U783" i="11"/>
  <c r="Y783" i="11" s="1"/>
  <c r="U784" i="11"/>
  <c r="U791" i="11"/>
  <c r="Y791" i="11" s="1"/>
  <c r="U792" i="11"/>
  <c r="U799" i="11"/>
  <c r="V799" i="11" s="1"/>
  <c r="U800" i="11"/>
  <c r="U807" i="11"/>
  <c r="Y807" i="11" s="1"/>
  <c r="U808" i="11"/>
  <c r="U815" i="11"/>
  <c r="U816" i="11"/>
  <c r="U823" i="11"/>
  <c r="Y823" i="11" s="1"/>
  <c r="U824" i="11"/>
  <c r="U831" i="11"/>
  <c r="V831" i="11" s="1"/>
  <c r="U840" i="11"/>
  <c r="U847" i="11"/>
  <c r="U856" i="11"/>
  <c r="U863" i="11"/>
  <c r="U864" i="11"/>
  <c r="U871" i="11"/>
  <c r="V871" i="11" s="1"/>
  <c r="U872" i="11"/>
  <c r="Y872" i="11" s="1"/>
  <c r="U879" i="11"/>
  <c r="Y879" i="11" s="1"/>
  <c r="U887" i="11"/>
  <c r="Y887" i="11" s="1"/>
  <c r="U888" i="11"/>
  <c r="U895" i="11"/>
  <c r="Y895" i="11" s="1"/>
  <c r="U896" i="11"/>
  <c r="U903" i="11"/>
  <c r="V903" i="11" s="1"/>
  <c r="U911" i="11"/>
  <c r="U912" i="11"/>
  <c r="U919" i="11"/>
  <c r="V919" i="11" s="1"/>
  <c r="U920" i="11"/>
  <c r="U927" i="11"/>
  <c r="U928" i="11"/>
  <c r="V928" i="11" s="1"/>
  <c r="U935" i="11"/>
  <c r="Y935" i="11" s="1"/>
  <c r="U936" i="11"/>
  <c r="Y936" i="11" s="1"/>
  <c r="U943" i="11"/>
  <c r="V943" i="11" s="1"/>
  <c r="U944" i="11"/>
  <c r="V944" i="11" s="1"/>
  <c r="U951" i="11"/>
  <c r="Y951" i="11" s="1"/>
  <c r="U952" i="11"/>
  <c r="U959" i="11"/>
  <c r="Y959" i="11" s="1"/>
  <c r="U967" i="11"/>
  <c r="U968" i="11"/>
  <c r="U975" i="11"/>
  <c r="U991" i="11"/>
  <c r="Y991" i="11" s="1"/>
  <c r="U992" i="11"/>
  <c r="U1000" i="11"/>
  <c r="U1007" i="11"/>
  <c r="Y1007" i="11" s="1"/>
  <c r="U1008" i="11"/>
  <c r="U1016" i="11"/>
  <c r="U1024" i="11"/>
  <c r="V1024" i="11" s="1"/>
  <c r="U1031" i="11"/>
  <c r="Y1031" i="11" s="1"/>
  <c r="U1032" i="11"/>
  <c r="Y1032" i="11" s="1"/>
  <c r="U1039" i="11"/>
  <c r="U1040" i="11"/>
  <c r="U1047" i="11"/>
  <c r="V1047" i="11" s="1"/>
  <c r="U1048" i="11"/>
  <c r="Y1048" i="11" s="1"/>
  <c r="U1055" i="11"/>
  <c r="U1063" i="11"/>
  <c r="Y1063" i="11" s="1"/>
  <c r="U1064" i="11"/>
  <c r="V1064" i="11" s="1"/>
  <c r="U1071" i="11"/>
  <c r="U1072" i="11"/>
  <c r="U1080" i="11"/>
  <c r="U1087" i="11"/>
  <c r="V1087" i="11" s="1"/>
  <c r="U1088" i="11"/>
  <c r="Y1088" i="11" s="1"/>
  <c r="U1095" i="11"/>
  <c r="Y1095" i="11" s="1"/>
  <c r="U1096" i="11"/>
  <c r="U1103" i="11"/>
  <c r="V1103" i="11" s="1"/>
  <c r="U1111" i="11"/>
  <c r="V1111" i="11" s="1"/>
  <c r="U1112" i="11"/>
  <c r="U1119" i="11"/>
  <c r="V1119" i="11" s="1"/>
  <c r="U1128" i="11"/>
  <c r="U1135" i="11"/>
  <c r="U1136" i="11"/>
  <c r="Y1136" i="11" s="1"/>
  <c r="U1143" i="11"/>
  <c r="U1151" i="11"/>
  <c r="Y1151" i="11" s="1"/>
  <c r="U1152" i="11"/>
  <c r="V1152" i="11" s="1"/>
  <c r="U1159" i="11"/>
  <c r="U1167" i="11"/>
  <c r="V1167" i="11" s="1"/>
  <c r="U1168" i="11"/>
  <c r="Y1168" i="11" s="1"/>
  <c r="U1175" i="11"/>
  <c r="Y1175" i="11" s="1"/>
  <c r="U1176" i="11"/>
  <c r="U1183" i="11"/>
  <c r="U1191" i="11"/>
  <c r="U1192" i="11"/>
  <c r="Y1192" i="11" s="1"/>
  <c r="U1199" i="11"/>
  <c r="V1199" i="11" s="1"/>
  <c r="U1208" i="11"/>
  <c r="U1215" i="11"/>
  <c r="Y1215" i="11" s="1"/>
  <c r="U1216" i="11"/>
  <c r="V1216" i="11" s="1"/>
  <c r="U1224" i="11"/>
  <c r="U1231" i="11"/>
  <c r="U1239" i="11"/>
  <c r="Y1239" i="11" s="1"/>
  <c r="U1240" i="11"/>
  <c r="U1247" i="11"/>
  <c r="U1255" i="11"/>
  <c r="Y1255" i="11" s="1"/>
  <c r="U1256" i="11"/>
  <c r="Y1256" i="11" s="1"/>
  <c r="U1263" i="11"/>
  <c r="V1263" i="11" s="1"/>
  <c r="U1264" i="11"/>
  <c r="V1264" i="11" s="1"/>
  <c r="U1271" i="11"/>
  <c r="V1271" i="11" s="1"/>
  <c r="U1272" i="11"/>
  <c r="Y1272" i="11" s="1"/>
  <c r="U1279" i="11"/>
  <c r="Y1279" i="11" s="1"/>
  <c r="U1280" i="11"/>
  <c r="Y1280" i="11" s="1"/>
  <c r="U1295" i="11"/>
  <c r="U1296" i="11"/>
  <c r="V1296" i="11" s="1"/>
  <c r="U1304" i="11"/>
  <c r="U1312" i="11"/>
  <c r="U1319" i="11"/>
  <c r="V1319" i="11" s="1"/>
  <c r="U1320" i="11"/>
  <c r="V1320" i="11" s="1"/>
  <c r="U1327" i="11"/>
  <c r="V1327" i="11" s="1"/>
  <c r="U1335" i="11"/>
  <c r="V1335" i="11" s="1"/>
  <c r="U1336" i="11"/>
  <c r="Y1336" i="11" s="1"/>
  <c r="U1343" i="11"/>
  <c r="V1343" i="11" s="1"/>
  <c r="U1344" i="11"/>
  <c r="Y1344" i="11" s="1"/>
  <c r="U1352" i="11"/>
  <c r="V1352" i="11" s="1"/>
  <c r="U1359" i="11"/>
  <c r="V1359" i="11" s="1"/>
  <c r="U1368" i="11"/>
  <c r="Y1368" i="11" s="1"/>
  <c r="U1375" i="11"/>
  <c r="U1376" i="11"/>
  <c r="U1383" i="11"/>
  <c r="Y1383" i="11" s="1"/>
  <c r="U1384" i="11"/>
  <c r="Y1384" i="11" s="1"/>
  <c r="U1391" i="11"/>
  <c r="Y1391" i="11" s="1"/>
  <c r="U1392" i="11"/>
  <c r="Y1392" i="11" s="1"/>
  <c r="U1399" i="11"/>
  <c r="V1399" i="11" s="1"/>
  <c r="U1400" i="11"/>
  <c r="V1400" i="11" s="1"/>
  <c r="U1407" i="11"/>
  <c r="V1407" i="11" s="1"/>
  <c r="U1408" i="11"/>
  <c r="Y1408" i="11" s="1"/>
  <c r="U1423" i="11"/>
  <c r="U1424" i="11"/>
  <c r="U1432" i="11"/>
  <c r="Y1432" i="11" s="1"/>
  <c r="U1439" i="11"/>
  <c r="U1440" i="11"/>
  <c r="U1448" i="11"/>
  <c r="Y1448" i="11" s="1"/>
  <c r="U1455" i="11"/>
  <c r="Y1455" i="11" s="1"/>
  <c r="U1456" i="11"/>
  <c r="U1463" i="11"/>
  <c r="Y1463" i="11" s="1"/>
  <c r="U1464" i="11"/>
  <c r="Y1464" i="11" s="1"/>
  <c r="U1471" i="11"/>
  <c r="V1471" i="11" s="1"/>
  <c r="U1479" i="11"/>
  <c r="V1479" i="11" s="1"/>
  <c r="U1480" i="11"/>
  <c r="V1480" i="11" s="1"/>
  <c r="U1487" i="11"/>
  <c r="U1496" i="11"/>
  <c r="Y1496" i="11" s="1"/>
  <c r="U1503" i="11"/>
  <c r="U1504" i="11"/>
  <c r="Y1504" i="11" s="1"/>
  <c r="U1512" i="11"/>
  <c r="V1512" i="11" s="1"/>
  <c r="U1519" i="11"/>
  <c r="Y1519" i="11" s="1"/>
  <c r="U1520" i="11"/>
  <c r="U1527" i="11"/>
  <c r="V1527" i="11" s="1"/>
  <c r="U1536" i="11"/>
  <c r="U1543" i="11"/>
  <c r="Y1543" i="11" s="1"/>
  <c r="U1544" i="11"/>
  <c r="Y1544" i="11" s="1"/>
  <c r="U1551" i="11"/>
  <c r="Y1551" i="11" s="1"/>
  <c r="U1552" i="11"/>
  <c r="V1552" i="11" s="1"/>
  <c r="U1559" i="11"/>
  <c r="V1559" i="11" s="1"/>
  <c r="U1560" i="11"/>
  <c r="Y1560" i="11" s="1"/>
  <c r="U1567" i="11"/>
  <c r="V1567" i="11" s="1"/>
  <c r="U1575" i="11"/>
  <c r="V1575" i="11" s="1"/>
  <c r="U1576" i="11"/>
  <c r="V1576" i="11" s="1"/>
  <c r="U1584" i="11"/>
  <c r="U1599" i="11"/>
  <c r="V1599" i="11" s="1"/>
  <c r="U1600" i="11"/>
  <c r="V1600" i="11" s="1"/>
  <c r="U1607" i="11"/>
  <c r="U1615" i="11"/>
  <c r="U1616" i="11"/>
  <c r="Y1616" i="11" s="1"/>
  <c r="U1623" i="11"/>
  <c r="V1623" i="11" s="1"/>
  <c r="U1624" i="11"/>
  <c r="Y1624" i="11" s="1"/>
  <c r="U1631" i="11"/>
  <c r="U1632" i="11"/>
  <c r="Y1632" i="11" s="1"/>
  <c r="U1639" i="11"/>
  <c r="V1639" i="11" s="1"/>
  <c r="U1648" i="11"/>
  <c r="U1655" i="11"/>
  <c r="Y1655" i="11" s="1"/>
  <c r="U1656" i="11"/>
  <c r="U1663" i="11"/>
  <c r="Y1663" i="11" s="1"/>
  <c r="U1671" i="11"/>
  <c r="V1671" i="11" s="1"/>
  <c r="U1672" i="11"/>
  <c r="Y1672" i="11" s="1"/>
  <c r="U1680" i="11"/>
  <c r="V1680" i="11" s="1"/>
  <c r="U1687" i="11"/>
  <c r="Y1687" i="11" s="1"/>
  <c r="U1688" i="11"/>
  <c r="U1695" i="11"/>
  <c r="U1703" i="11"/>
  <c r="V1703" i="11" s="1"/>
  <c r="U1704" i="11"/>
  <c r="V1704" i="11" s="1"/>
  <c r="U1711" i="11"/>
  <c r="V1711" i="11" s="1"/>
  <c r="U1712" i="11"/>
  <c r="U1727" i="11"/>
  <c r="V1727" i="11" s="1"/>
  <c r="U1728" i="11"/>
  <c r="U1735" i="11"/>
  <c r="V1735" i="11" s="1"/>
  <c r="U1743" i="11"/>
  <c r="U1744" i="11"/>
  <c r="V1744" i="11" s="1"/>
  <c r="U1751" i="11"/>
  <c r="U1752" i="11"/>
  <c r="U1759" i="11"/>
  <c r="V1759" i="11" s="1"/>
  <c r="U1760" i="11"/>
  <c r="Y1760" i="11" s="1"/>
  <c r="U1767" i="11"/>
  <c r="U1768" i="11"/>
  <c r="Y1768" i="11" s="1"/>
  <c r="U1776" i="11"/>
  <c r="V1776" i="11" s="1"/>
  <c r="U1783" i="11"/>
  <c r="U1784" i="11"/>
  <c r="U1791" i="11"/>
  <c r="U1799" i="11"/>
  <c r="V1799" i="11" s="1"/>
  <c r="U1800" i="11"/>
  <c r="U1807" i="11"/>
  <c r="V1807" i="11" s="1"/>
  <c r="U1808" i="11"/>
  <c r="Y1808" i="11" s="1"/>
  <c r="U1815" i="11"/>
  <c r="U1816" i="11"/>
  <c r="U1831" i="11"/>
  <c r="V1831" i="11" s="1"/>
  <c r="U1832" i="11"/>
  <c r="Y1832" i="11" s="1"/>
  <c r="U1839" i="11"/>
  <c r="U1840" i="11"/>
  <c r="V1840" i="11" s="1"/>
  <c r="U1855" i="11"/>
  <c r="Y1855" i="11" s="1"/>
  <c r="U1856" i="11"/>
  <c r="U1863" i="11"/>
  <c r="U1864" i="11"/>
  <c r="U1871" i="11"/>
  <c r="V1871" i="11" s="1"/>
  <c r="U1872" i="11"/>
  <c r="U1879" i="11"/>
  <c r="U1880" i="11"/>
  <c r="V1880" i="11" s="1"/>
  <c r="U1887" i="11"/>
  <c r="U1888" i="11"/>
  <c r="Y1888" i="11" s="1"/>
  <c r="U1895" i="11"/>
  <c r="V1895" i="11" s="1"/>
  <c r="U1896" i="11"/>
  <c r="V1896" i="11" s="1"/>
  <c r="U1903" i="11"/>
  <c r="Y1903" i="11" s="1"/>
  <c r="U1904" i="11"/>
  <c r="V1904" i="11" s="1"/>
  <c r="U1911" i="11"/>
  <c r="U1912" i="11"/>
  <c r="U1919" i="11"/>
  <c r="Y1919" i="11" s="1"/>
  <c r="U1920" i="11"/>
  <c r="V1920" i="11" s="1"/>
  <c r="U1927" i="11"/>
  <c r="V1927" i="11" s="1"/>
  <c r="U1935" i="11"/>
  <c r="U1936" i="11"/>
  <c r="U1943" i="11"/>
  <c r="U1944" i="11"/>
  <c r="U1951" i="11"/>
  <c r="U1952" i="11"/>
  <c r="Y1952" i="11" s="1"/>
  <c r="U1959" i="11"/>
  <c r="V1959" i="11" s="1"/>
  <c r="U1960" i="11"/>
  <c r="U1967" i="11"/>
  <c r="Y1967" i="11" s="1"/>
  <c r="U1968" i="11"/>
  <c r="V1968" i="11" s="1"/>
  <c r="U1983" i="11"/>
  <c r="V1983" i="11" s="1"/>
  <c r="U1984" i="11"/>
  <c r="Y1984" i="11" s="1"/>
  <c r="U1991" i="11"/>
  <c r="V1991" i="11" s="1"/>
  <c r="U1999" i="11"/>
  <c r="Y1999" i="11" s="1"/>
  <c r="U2007" i="11"/>
  <c r="U2015" i="11"/>
  <c r="U2016" i="11"/>
  <c r="V2016" i="11" s="1"/>
  <c r="U2023" i="11"/>
  <c r="U2024" i="11"/>
  <c r="Y2024" i="11" s="1"/>
  <c r="U2032" i="11"/>
  <c r="Y2032" i="11" s="1"/>
  <c r="U2040" i="11"/>
  <c r="Y2040" i="11" s="1"/>
  <c r="U2047" i="11"/>
  <c r="U2055" i="11"/>
  <c r="U2056" i="11"/>
  <c r="Y2056" i="11" s="1"/>
  <c r="U2064" i="11"/>
  <c r="V2064" i="11" s="1"/>
  <c r="U2071" i="11"/>
  <c r="U2072" i="11"/>
  <c r="Y2072" i="11" s="1"/>
  <c r="U2079" i="11"/>
  <c r="U2087" i="11"/>
  <c r="U2088" i="11"/>
  <c r="V2088" i="11" s="1"/>
  <c r="U2096" i="11"/>
  <c r="V2096" i="11" s="1"/>
  <c r="U2111" i="11"/>
  <c r="U2112" i="11"/>
  <c r="U2119" i="11"/>
  <c r="U2127" i="11"/>
  <c r="U2128" i="11"/>
  <c r="V2128" i="11" s="1"/>
  <c r="U2135" i="11"/>
  <c r="U2136" i="11"/>
  <c r="V2136" i="11" s="1"/>
  <c r="U2144" i="11"/>
  <c r="U2151" i="11"/>
  <c r="U2159" i="11"/>
  <c r="U2160" i="11"/>
  <c r="Y2160" i="11" s="1"/>
  <c r="U2167" i="11"/>
  <c r="U2168" i="11"/>
  <c r="Y2168" i="11" s="1"/>
  <c r="U2175" i="11"/>
  <c r="U2176" i="11"/>
  <c r="U2183" i="11"/>
  <c r="U2184" i="11"/>
  <c r="Y2184" i="11" s="1"/>
  <c r="U2192" i="11"/>
  <c r="Y2192" i="11" s="1"/>
  <c r="U2200" i="11"/>
  <c r="Y2200" i="11" s="1"/>
  <c r="U2208" i="11"/>
  <c r="U2216" i="11"/>
  <c r="V2216" i="11" s="1"/>
  <c r="U2224" i="11"/>
  <c r="V2224" i="11" s="1"/>
  <c r="U2232" i="11"/>
  <c r="Y2232" i="11" s="1"/>
  <c r="U2240" i="11"/>
  <c r="U2248" i="11"/>
  <c r="Y2248" i="11" s="1"/>
  <c r="U2256" i="11"/>
  <c r="V2256" i="11" s="1"/>
  <c r="U2264" i="11"/>
  <c r="Y2264" i="11" s="1"/>
  <c r="U2280" i="11"/>
  <c r="Y2280" i="11" s="1"/>
  <c r="U2288" i="11"/>
  <c r="V2288" i="11" s="1"/>
  <c r="U2296" i="11"/>
  <c r="U2304" i="11"/>
  <c r="Y2304" i="11" s="1"/>
  <c r="U2312" i="11"/>
  <c r="V2312" i="11" s="1"/>
  <c r="U2320" i="11"/>
  <c r="Y2320" i="11" s="1"/>
  <c r="U2328" i="11"/>
  <c r="U2336" i="11"/>
  <c r="V2336" i="11" s="1"/>
  <c r="U2344" i="11"/>
  <c r="U2360" i="11"/>
  <c r="U2368" i="11"/>
  <c r="U2376" i="11"/>
  <c r="Y2376" i="11" s="1"/>
  <c r="U2384" i="11"/>
  <c r="Y2384" i="11" s="1"/>
  <c r="U2400" i="11"/>
  <c r="Y2400" i="11" s="1"/>
  <c r="U2408" i="11"/>
  <c r="U2416" i="11"/>
  <c r="V2416" i="11" s="1"/>
  <c r="U2424" i="11"/>
  <c r="Y2424" i="11" s="1"/>
  <c r="U2440" i="11"/>
  <c r="V2440" i="11" s="1"/>
  <c r="U2448" i="11"/>
  <c r="Y2448" i="11" s="1"/>
  <c r="U2456" i="11"/>
  <c r="Y2456" i="11" s="1"/>
  <c r="U2464" i="11"/>
  <c r="V2464" i="11" s="1"/>
  <c r="U2472" i="11"/>
  <c r="U2480" i="11"/>
  <c r="V2480" i="11" s="1"/>
  <c r="U2496" i="11"/>
  <c r="U2504" i="11"/>
  <c r="Y2504" i="11" s="1"/>
  <c r="U2520" i="11"/>
  <c r="Y2520" i="11" s="1"/>
  <c r="U2528" i="11"/>
  <c r="Y2528" i="11" s="1"/>
  <c r="U2536" i="11"/>
  <c r="V2536" i="11" s="1"/>
  <c r="U2544" i="11"/>
  <c r="V2544" i="11" s="1"/>
  <c r="U2552" i="11"/>
  <c r="U2576" i="11"/>
  <c r="V2576" i="11" s="1"/>
  <c r="U2584" i="11"/>
  <c r="V2584" i="11" s="1"/>
  <c r="U2592" i="11"/>
  <c r="Y2592" i="11" s="1"/>
  <c r="U2600" i="11"/>
  <c r="V2600" i="11" s="1"/>
  <c r="U2608" i="11"/>
  <c r="U2616" i="11"/>
  <c r="U2624" i="11"/>
  <c r="U2736" i="11"/>
  <c r="Y2736" i="11" s="1"/>
  <c r="U2744" i="11"/>
  <c r="V2744" i="11" s="1"/>
  <c r="U2752" i="11"/>
  <c r="U2760" i="11"/>
  <c r="U2768" i="11"/>
  <c r="U2776" i="11"/>
  <c r="Y2776" i="11" s="1"/>
  <c r="U2784" i="11"/>
  <c r="Y2784" i="11" s="1"/>
  <c r="U2792" i="11"/>
  <c r="Y2792" i="11" s="1"/>
  <c r="U2800" i="11"/>
  <c r="V2800" i="11" s="1"/>
  <c r="U2808" i="11"/>
  <c r="U2816" i="11"/>
  <c r="U2824" i="11"/>
  <c r="Y2824" i="11" s="1"/>
  <c r="U2832" i="11"/>
  <c r="U2840" i="11"/>
  <c r="V2840" i="11" s="1"/>
  <c r="U2848" i="11"/>
  <c r="U2856" i="11"/>
  <c r="U2864" i="11"/>
  <c r="Y2864" i="11" s="1"/>
  <c r="U2872" i="11"/>
  <c r="Y2872" i="11" s="1"/>
  <c r="U2880" i="11"/>
  <c r="U2888" i="11"/>
  <c r="V2888" i="11" s="1"/>
  <c r="U2896" i="11"/>
  <c r="U2904" i="11"/>
  <c r="Y2904" i="11" s="1"/>
  <c r="U2912" i="11"/>
  <c r="U2920" i="11"/>
  <c r="V2920" i="11" s="1"/>
  <c r="U2928" i="11"/>
  <c r="U2936" i="11"/>
  <c r="Y2936" i="11" s="1"/>
  <c r="U2944" i="11"/>
  <c r="Y2944" i="11" s="1"/>
  <c r="U2952" i="11"/>
  <c r="Y2952" i="11" s="1"/>
  <c r="U2960" i="11"/>
  <c r="V2960" i="11" s="1"/>
  <c r="U2968" i="11"/>
  <c r="Y2968" i="11" s="1"/>
  <c r="U2976" i="11"/>
  <c r="Y2976" i="11" s="1"/>
  <c r="U2984" i="11"/>
  <c r="Y2984" i="11" s="1"/>
  <c r="U2992" i="11"/>
  <c r="V2992" i="11" s="1"/>
  <c r="U3000" i="11"/>
  <c r="U3008" i="11"/>
  <c r="U3016" i="11"/>
  <c r="U3024" i="11"/>
  <c r="U3032" i="11"/>
  <c r="Y3032" i="11" s="1"/>
  <c r="U3040" i="11"/>
  <c r="Y3040" i="11" s="1"/>
  <c r="U3048" i="11"/>
  <c r="V3048" i="11" s="1"/>
  <c r="U3056" i="11"/>
  <c r="V3056" i="11" s="1"/>
  <c r="U3064" i="11"/>
  <c r="U3072" i="11"/>
  <c r="U3080" i="11"/>
  <c r="V3080" i="11" s="1"/>
  <c r="U3088" i="11"/>
  <c r="U3096" i="11"/>
  <c r="Y3096" i="11" s="1"/>
  <c r="U3104" i="11"/>
  <c r="Y3104" i="11" s="1"/>
  <c r="U3112" i="11"/>
  <c r="V3112" i="11" s="1"/>
  <c r="U3120" i="11"/>
  <c r="Y3120" i="11" s="1"/>
  <c r="U3128" i="11"/>
  <c r="V3128" i="11" s="1"/>
  <c r="U3136" i="11"/>
  <c r="U3144" i="11"/>
  <c r="Y3144" i="11" s="1"/>
  <c r="U3152" i="11"/>
  <c r="U3168" i="11"/>
  <c r="U3176" i="11"/>
  <c r="Y3176" i="11" s="1"/>
  <c r="U3184" i="11"/>
  <c r="Y3184" i="11" s="1"/>
  <c r="U3200" i="11"/>
  <c r="V3200" i="11" s="1"/>
  <c r="U3208" i="11"/>
  <c r="V3208" i="11" s="1"/>
  <c r="U3216" i="11"/>
  <c r="U3232" i="11"/>
  <c r="V3232" i="11" s="1"/>
  <c r="U3240" i="11"/>
  <c r="Y3240" i="11" s="1"/>
  <c r="U3248" i="11"/>
  <c r="Y3248" i="11" s="1"/>
  <c r="U3264" i="11"/>
  <c r="Y3264" i="11" s="1"/>
  <c r="U3272" i="11"/>
  <c r="U3280" i="11"/>
  <c r="U3296" i="11"/>
  <c r="V3296" i="11" s="1"/>
  <c r="U3304" i="11"/>
  <c r="V3304" i="11" s="1"/>
  <c r="U3312" i="11"/>
  <c r="V3312" i="11" s="1"/>
  <c r="U3320" i="11"/>
  <c r="V3320" i="11" s="1"/>
  <c r="U3328" i="11"/>
  <c r="Y3328" i="11" s="1"/>
  <c r="U3336" i="11"/>
  <c r="V3336" i="11" s="1"/>
  <c r="U3344" i="11"/>
  <c r="V3344" i="11" s="1"/>
  <c r="U3352" i="11"/>
  <c r="V3352" i="11" s="1"/>
  <c r="U3360" i="11"/>
  <c r="U3368" i="11"/>
  <c r="V3368" i="11" s="1"/>
  <c r="U3376" i="11"/>
  <c r="Y3376" i="11" s="1"/>
  <c r="U3384" i="11"/>
  <c r="U3392" i="11"/>
  <c r="U3400" i="11"/>
  <c r="U3408" i="11"/>
  <c r="U3414" i="11"/>
  <c r="U3416" i="11"/>
  <c r="Y3416" i="11" s="1"/>
  <c r="U3424" i="11"/>
  <c r="U3432" i="11"/>
  <c r="Y3432" i="11" s="1"/>
  <c r="U3440" i="11"/>
  <c r="U3448" i="11"/>
  <c r="V3448" i="11" s="1"/>
  <c r="U3456" i="11"/>
  <c r="V3456" i="11" s="1"/>
  <c r="U3464" i="11"/>
  <c r="Y3464" i="11" s="1"/>
  <c r="U3472" i="11"/>
  <c r="U3480" i="11"/>
  <c r="Y3480" i="11" s="1"/>
  <c r="U3488" i="11"/>
  <c r="Y3488" i="11" s="1"/>
  <c r="U3496" i="11"/>
  <c r="V3496" i="11" s="1"/>
  <c r="U3504" i="11"/>
  <c r="V3504" i="11" s="1"/>
  <c r="U3512" i="11"/>
  <c r="U3520" i="11"/>
  <c r="U3528" i="11"/>
  <c r="U3536" i="11"/>
  <c r="V3536" i="11" s="1"/>
  <c r="U3544" i="11"/>
  <c r="V3544" i="11" s="1"/>
  <c r="U3552" i="11"/>
  <c r="Y3552" i="11" s="1"/>
  <c r="U3560" i="11"/>
  <c r="Y3560" i="11" s="1"/>
  <c r="U3568" i="11"/>
  <c r="V3568" i="11" s="1"/>
  <c r="U3576" i="11"/>
  <c r="U3584" i="11"/>
  <c r="U3592" i="11"/>
  <c r="Y3592" i="11" s="1"/>
  <c r="U3600" i="11"/>
  <c r="Y3600" i="11" s="1"/>
  <c r="U3608" i="11"/>
  <c r="Y3608" i="11" s="1"/>
  <c r="U3616" i="11"/>
  <c r="U3624" i="11"/>
  <c r="V3624" i="11" s="1"/>
  <c r="U3632" i="11"/>
  <c r="V3632" i="11" s="1"/>
  <c r="U3640" i="11"/>
  <c r="Y3640" i="11" s="1"/>
  <c r="U3648" i="11"/>
  <c r="Y3648" i="11" s="1"/>
  <c r="U3656" i="11"/>
  <c r="V3656" i="11" s="1"/>
  <c r="U3664" i="11"/>
  <c r="V3664" i="11" s="1"/>
  <c r="U3672" i="11"/>
  <c r="V3672" i="11" s="1"/>
  <c r="U3680" i="11"/>
  <c r="Y3680" i="11" s="1"/>
  <c r="U3688" i="11"/>
  <c r="Y3688" i="11" s="1"/>
  <c r="U3696" i="11"/>
  <c r="Y3696" i="11" s="1"/>
  <c r="U3704" i="11"/>
  <c r="Y3704" i="11" s="1"/>
  <c r="U3712" i="11"/>
  <c r="Y3712" i="11" s="1"/>
  <c r="U3720" i="11"/>
  <c r="V3720" i="11" s="1"/>
  <c r="U3728" i="11"/>
  <c r="Y3728" i="11" s="1"/>
  <c r="U3736" i="11"/>
  <c r="U3742" i="11"/>
  <c r="U3744" i="11"/>
  <c r="V3744" i="11" s="1"/>
  <c r="U3752" i="11"/>
  <c r="U3768" i="11"/>
  <c r="Y3768" i="11" s="1"/>
  <c r="W7" i="11"/>
  <c r="W8" i="11"/>
  <c r="Z8" i="11" s="1"/>
  <c r="W9" i="11"/>
  <c r="W10" i="11"/>
  <c r="W11" i="11"/>
  <c r="Z11" i="11" s="1"/>
  <c r="W12" i="11"/>
  <c r="W15" i="11"/>
  <c r="W16" i="11"/>
  <c r="Z16" i="11" s="1"/>
  <c r="W17" i="11"/>
  <c r="Z17" i="11" s="1"/>
  <c r="W18" i="11"/>
  <c r="W20" i="11"/>
  <c r="W23" i="11"/>
  <c r="W24" i="11"/>
  <c r="W25" i="11"/>
  <c r="W26" i="11"/>
  <c r="X26" i="11" s="1"/>
  <c r="W28" i="11"/>
  <c r="W31" i="11"/>
  <c r="W32" i="11"/>
  <c r="W33" i="11"/>
  <c r="W34" i="11"/>
  <c r="X34" i="11" s="1"/>
  <c r="W36" i="11"/>
  <c r="W39" i="11"/>
  <c r="W40" i="11"/>
  <c r="Z40" i="11" s="1"/>
  <c r="W41" i="11"/>
  <c r="W42" i="11"/>
  <c r="W44" i="11"/>
  <c r="W47" i="11"/>
  <c r="W48" i="11"/>
  <c r="W49" i="11"/>
  <c r="W50" i="11"/>
  <c r="W51" i="11"/>
  <c r="W52" i="11"/>
  <c r="W53" i="11"/>
  <c r="W54" i="11"/>
  <c r="Z54" i="11" s="1"/>
  <c r="W55" i="11"/>
  <c r="W56" i="11"/>
  <c r="W57" i="11"/>
  <c r="W58" i="11"/>
  <c r="W59" i="11"/>
  <c r="Z59" i="11" s="1"/>
  <c r="W60" i="11"/>
  <c r="W61" i="11"/>
  <c r="W62" i="11"/>
  <c r="W63" i="11"/>
  <c r="W64" i="11"/>
  <c r="W65" i="11"/>
  <c r="W66" i="11"/>
  <c r="X66" i="11" s="1"/>
  <c r="W67" i="11"/>
  <c r="W68" i="11"/>
  <c r="W69" i="11"/>
  <c r="W70" i="11"/>
  <c r="Z70" i="11" s="1"/>
  <c r="W71" i="11"/>
  <c r="W72" i="11"/>
  <c r="Z72" i="11" s="1"/>
  <c r="W73" i="11"/>
  <c r="W74" i="11"/>
  <c r="W75" i="11"/>
  <c r="W76" i="11"/>
  <c r="W77" i="11"/>
  <c r="W78" i="11"/>
  <c r="W79" i="11"/>
  <c r="W80" i="11"/>
  <c r="W81" i="11"/>
  <c r="W82" i="11"/>
  <c r="W83" i="11"/>
  <c r="W84" i="11"/>
  <c r="W85" i="11"/>
  <c r="W86" i="11"/>
  <c r="X86" i="11" s="1"/>
  <c r="W87" i="11"/>
  <c r="W88" i="11"/>
  <c r="Z88" i="11" s="1"/>
  <c r="W89" i="11"/>
  <c r="W90" i="11"/>
  <c r="Z90" i="11" s="1"/>
  <c r="W91" i="11"/>
  <c r="W92" i="11"/>
  <c r="W93" i="11"/>
  <c r="X93" i="11" s="1"/>
  <c r="W94" i="11"/>
  <c r="X94" i="11" s="1"/>
  <c r="W95" i="11"/>
  <c r="W96" i="11"/>
  <c r="Z96" i="11" s="1"/>
  <c r="W97" i="11"/>
  <c r="W98" i="11"/>
  <c r="W99" i="11"/>
  <c r="W100" i="11"/>
  <c r="W101" i="11"/>
  <c r="X101" i="11" s="1"/>
  <c r="W102" i="11"/>
  <c r="W103" i="11"/>
  <c r="W104" i="11"/>
  <c r="W105" i="11"/>
  <c r="W106" i="11"/>
  <c r="X106" i="11" s="1"/>
  <c r="W107" i="11"/>
  <c r="W108" i="11"/>
  <c r="W109" i="11"/>
  <c r="X109" i="11" s="1"/>
  <c r="W111" i="11"/>
  <c r="W112" i="11"/>
  <c r="W113" i="11"/>
  <c r="W114" i="11"/>
  <c r="W116" i="11"/>
  <c r="W119" i="11"/>
  <c r="W120" i="11"/>
  <c r="W121" i="11"/>
  <c r="W122" i="11"/>
  <c r="X122" i="11" s="1"/>
  <c r="W124" i="11"/>
  <c r="W127" i="11"/>
  <c r="W128" i="11"/>
  <c r="W129" i="11"/>
  <c r="W130" i="11"/>
  <c r="W132" i="11"/>
  <c r="W135" i="11"/>
  <c r="W136" i="11"/>
  <c r="W137" i="11"/>
  <c r="W138" i="11"/>
  <c r="W140" i="11"/>
  <c r="W143" i="11"/>
  <c r="W144" i="11"/>
  <c r="W145" i="11"/>
  <c r="Z145" i="11" s="1"/>
  <c r="W146" i="11"/>
  <c r="W148" i="11"/>
  <c r="W151" i="11"/>
  <c r="W152" i="11"/>
  <c r="X152" i="11" s="1"/>
  <c r="W153" i="11"/>
  <c r="W154" i="11"/>
  <c r="W155" i="11"/>
  <c r="W156" i="11"/>
  <c r="W157" i="11"/>
  <c r="X157" i="11" s="1"/>
  <c r="W158" i="11"/>
  <c r="Z158" i="11" s="1"/>
  <c r="W159" i="11"/>
  <c r="X159" i="11" s="1"/>
  <c r="W160" i="11"/>
  <c r="W161" i="11"/>
  <c r="W162" i="11"/>
  <c r="W163" i="11"/>
  <c r="Z163" i="11" s="1"/>
  <c r="W164" i="11"/>
  <c r="W165" i="11"/>
  <c r="W166" i="11"/>
  <c r="Z166" i="11" s="1"/>
  <c r="W167" i="11"/>
  <c r="W168" i="11"/>
  <c r="Z168" i="11" s="1"/>
  <c r="W169" i="11"/>
  <c r="W170" i="11"/>
  <c r="W171" i="11"/>
  <c r="W172" i="11"/>
  <c r="W173" i="11"/>
  <c r="W174" i="11"/>
  <c r="X174" i="11" s="1"/>
  <c r="W175" i="11"/>
  <c r="W176" i="11"/>
  <c r="W177" i="11"/>
  <c r="Z177" i="11" s="1"/>
  <c r="W178" i="11"/>
  <c r="W179" i="11"/>
  <c r="X179" i="11" s="1"/>
  <c r="W180" i="11"/>
  <c r="W181" i="11"/>
  <c r="W182" i="11"/>
  <c r="X182" i="11" s="1"/>
  <c r="W183" i="11"/>
  <c r="W184" i="11"/>
  <c r="Z184" i="11" s="1"/>
  <c r="W185" i="11"/>
  <c r="Z185" i="11" s="1"/>
  <c r="W186" i="11"/>
  <c r="X186" i="11" s="1"/>
  <c r="W187" i="11"/>
  <c r="W188" i="11"/>
  <c r="W189" i="11"/>
  <c r="X189" i="11" s="1"/>
  <c r="W190" i="11"/>
  <c r="X190" i="11" s="1"/>
  <c r="W191" i="11"/>
  <c r="W192" i="11"/>
  <c r="W193" i="11"/>
  <c r="W194" i="11"/>
  <c r="W195" i="11"/>
  <c r="W196" i="11"/>
  <c r="W197" i="11"/>
  <c r="Z197" i="11" s="1"/>
  <c r="W198" i="11"/>
  <c r="X198" i="11" s="1"/>
  <c r="W199" i="11"/>
  <c r="W200" i="11"/>
  <c r="Z200" i="11" s="1"/>
  <c r="W201" i="11"/>
  <c r="X201" i="11" s="1"/>
  <c r="W202" i="11"/>
  <c r="W203" i="11"/>
  <c r="W204" i="11"/>
  <c r="W205" i="11"/>
  <c r="W206" i="11"/>
  <c r="Z206" i="11" s="1"/>
  <c r="W207" i="11"/>
  <c r="W208" i="11"/>
  <c r="Z208" i="11" s="1"/>
  <c r="W209" i="11"/>
  <c r="Z209" i="11" s="1"/>
  <c r="W210" i="11"/>
  <c r="W211" i="11"/>
  <c r="W212" i="11"/>
  <c r="W213" i="11"/>
  <c r="Z213" i="11" s="1"/>
  <c r="W214" i="11"/>
  <c r="Z214" i="11" s="1"/>
  <c r="W215" i="11"/>
  <c r="W216" i="11"/>
  <c r="X216" i="11" s="1"/>
  <c r="W217" i="11"/>
  <c r="W218" i="11"/>
  <c r="W219" i="11"/>
  <c r="W220" i="11"/>
  <c r="W223" i="11"/>
  <c r="W224" i="11"/>
  <c r="Z224" i="11" s="1"/>
  <c r="W225" i="11"/>
  <c r="W226" i="11"/>
  <c r="W228" i="11"/>
  <c r="W231" i="11"/>
  <c r="W232" i="11"/>
  <c r="Z232" i="11" s="1"/>
  <c r="W233" i="11"/>
  <c r="W234" i="11"/>
  <c r="Z234" i="11" s="1"/>
  <c r="W236" i="11"/>
  <c r="W239" i="11"/>
  <c r="W240" i="11"/>
  <c r="X240" i="11" s="1"/>
  <c r="W241" i="11"/>
  <c r="W242" i="11"/>
  <c r="X242" i="11" s="1"/>
  <c r="W244" i="11"/>
  <c r="W247" i="11"/>
  <c r="X247" i="11" s="1"/>
  <c r="W248" i="11"/>
  <c r="Z248" i="11" s="1"/>
  <c r="W249" i="11"/>
  <c r="Z249" i="11" s="1"/>
  <c r="W250" i="11"/>
  <c r="W252" i="11"/>
  <c r="W255" i="11"/>
  <c r="W256" i="11"/>
  <c r="Z256" i="11" s="1"/>
  <c r="W257" i="11"/>
  <c r="W258" i="11"/>
  <c r="X258" i="11" s="1"/>
  <c r="W259" i="11"/>
  <c r="Z259" i="11" s="1"/>
  <c r="W260" i="11"/>
  <c r="W261" i="11"/>
  <c r="X261" i="11" s="1"/>
  <c r="W262" i="11"/>
  <c r="W263" i="11"/>
  <c r="W264" i="11"/>
  <c r="Z264" i="11" s="1"/>
  <c r="W265" i="11"/>
  <c r="Z265" i="11" s="1"/>
  <c r="W266" i="11"/>
  <c r="W267" i="11"/>
  <c r="X267" i="11" s="1"/>
  <c r="W268" i="11"/>
  <c r="W269" i="11"/>
  <c r="X269" i="11" s="1"/>
  <c r="W270" i="11"/>
  <c r="Z270" i="11" s="1"/>
  <c r="W271" i="11"/>
  <c r="W272" i="11"/>
  <c r="W273" i="11"/>
  <c r="W274" i="11"/>
  <c r="W275" i="11"/>
  <c r="Z275" i="11" s="1"/>
  <c r="W276" i="11"/>
  <c r="W277" i="11"/>
  <c r="Z277" i="11" s="1"/>
  <c r="W278" i="11"/>
  <c r="W279" i="11"/>
  <c r="W280" i="11"/>
  <c r="Z280" i="11" s="1"/>
  <c r="W281" i="11"/>
  <c r="Z281" i="11" s="1"/>
  <c r="W282" i="11"/>
  <c r="W283" i="11"/>
  <c r="Z283" i="11" s="1"/>
  <c r="W284" i="11"/>
  <c r="W285" i="11"/>
  <c r="Z285" i="11" s="1"/>
  <c r="W286" i="11"/>
  <c r="Z286" i="11" s="1"/>
  <c r="W287" i="11"/>
  <c r="W288" i="11"/>
  <c r="Z288" i="11" s="1"/>
  <c r="W289" i="11"/>
  <c r="W290" i="11"/>
  <c r="X290" i="11" s="1"/>
  <c r="W291" i="11"/>
  <c r="Z291" i="11" s="1"/>
  <c r="W292" i="11"/>
  <c r="W293" i="11"/>
  <c r="Z293" i="11" s="1"/>
  <c r="W294" i="11"/>
  <c r="Z294" i="11" s="1"/>
  <c r="W295" i="11"/>
  <c r="W296" i="11"/>
  <c r="X296" i="11" s="1"/>
  <c r="W297" i="11"/>
  <c r="W298" i="11"/>
  <c r="W299" i="11"/>
  <c r="X299" i="11" s="1"/>
  <c r="W300" i="11"/>
  <c r="W301" i="11"/>
  <c r="X301" i="11" s="1"/>
  <c r="W302" i="11"/>
  <c r="W303" i="11"/>
  <c r="W304" i="11"/>
  <c r="W305" i="11"/>
  <c r="W306" i="11"/>
  <c r="W307" i="11"/>
  <c r="X307" i="11" s="1"/>
  <c r="W308" i="11"/>
  <c r="W309" i="11"/>
  <c r="Z309" i="11" s="1"/>
  <c r="W310" i="11"/>
  <c r="X310" i="11" s="1"/>
  <c r="W311" i="11"/>
  <c r="W312" i="11"/>
  <c r="X312" i="11" s="1"/>
  <c r="W313" i="11"/>
  <c r="W314" i="11"/>
  <c r="X314" i="11" s="1"/>
  <c r="W315" i="11"/>
  <c r="X315" i="11" s="1"/>
  <c r="W316" i="11"/>
  <c r="W317" i="11"/>
  <c r="Z317" i="11" s="1"/>
  <c r="W318" i="11"/>
  <c r="W319" i="11"/>
  <c r="W320" i="11"/>
  <c r="X320" i="11" s="1"/>
  <c r="W321" i="11"/>
  <c r="Z321" i="11" s="1"/>
  <c r="W322" i="11"/>
  <c r="W324" i="11"/>
  <c r="W327" i="11"/>
  <c r="W328" i="11"/>
  <c r="Z328" i="11" s="1"/>
  <c r="W329" i="11"/>
  <c r="W330" i="11"/>
  <c r="W332" i="11"/>
  <c r="W335" i="11"/>
  <c r="W336" i="11"/>
  <c r="Z336" i="11" s="1"/>
  <c r="W337" i="11"/>
  <c r="W338" i="11"/>
  <c r="Z338" i="11" s="1"/>
  <c r="W340" i="11"/>
  <c r="W343" i="11"/>
  <c r="W344" i="11"/>
  <c r="Z344" i="11" s="1"/>
  <c r="W345" i="11"/>
  <c r="W346" i="11"/>
  <c r="W348" i="11"/>
  <c r="W351" i="11"/>
  <c r="W352" i="11"/>
  <c r="W353" i="11"/>
  <c r="W354" i="11"/>
  <c r="W356" i="11"/>
  <c r="W359" i="11"/>
  <c r="W360" i="11"/>
  <c r="W361" i="11"/>
  <c r="X361" i="11" s="1"/>
  <c r="W362" i="11"/>
  <c r="W363" i="11"/>
  <c r="W364" i="11"/>
  <c r="W365" i="11"/>
  <c r="Z365" i="11" s="1"/>
  <c r="W366" i="11"/>
  <c r="W367" i="11"/>
  <c r="W368" i="11"/>
  <c r="Z368" i="11" s="1"/>
  <c r="W369" i="11"/>
  <c r="W370" i="11"/>
  <c r="W371" i="11"/>
  <c r="W372" i="11"/>
  <c r="W373" i="11"/>
  <c r="Z373" i="11" s="1"/>
  <c r="W374" i="11"/>
  <c r="Z374" i="11" s="1"/>
  <c r="W375" i="11"/>
  <c r="W376" i="11"/>
  <c r="X376" i="11" s="1"/>
  <c r="W377" i="11"/>
  <c r="W378" i="11"/>
  <c r="W379" i="11"/>
  <c r="W380" i="11"/>
  <c r="W381" i="11"/>
  <c r="Z381" i="11" s="1"/>
  <c r="W382" i="11"/>
  <c r="W383" i="11"/>
  <c r="W384" i="11"/>
  <c r="X384" i="11" s="1"/>
  <c r="W385" i="11"/>
  <c r="W386" i="11"/>
  <c r="W387" i="11"/>
  <c r="W388" i="11"/>
  <c r="W389" i="11"/>
  <c r="X389" i="11" s="1"/>
  <c r="W390" i="11"/>
  <c r="Z390" i="11" s="1"/>
  <c r="W391" i="11"/>
  <c r="W392" i="11"/>
  <c r="Z392" i="11" s="1"/>
  <c r="W393" i="11"/>
  <c r="W394" i="11"/>
  <c r="X394" i="11" s="1"/>
  <c r="W395" i="11"/>
  <c r="W396" i="11"/>
  <c r="W397" i="11"/>
  <c r="W398" i="11"/>
  <c r="X398" i="11" s="1"/>
  <c r="W399" i="11"/>
  <c r="W400" i="11"/>
  <c r="W401" i="11"/>
  <c r="W402" i="11"/>
  <c r="W403" i="11"/>
  <c r="W404" i="11"/>
  <c r="W405" i="11"/>
  <c r="Z405" i="11" s="1"/>
  <c r="W406" i="11"/>
  <c r="W407" i="11"/>
  <c r="W408" i="11"/>
  <c r="W409" i="11"/>
  <c r="W410" i="11"/>
  <c r="W411" i="11"/>
  <c r="W412" i="11"/>
  <c r="W413" i="11"/>
  <c r="Z413" i="11" s="1"/>
  <c r="W414" i="11"/>
  <c r="Z414" i="11" s="1"/>
  <c r="W415" i="11"/>
  <c r="Z415" i="11" s="1"/>
  <c r="W416" i="11"/>
  <c r="W417" i="11"/>
  <c r="Z417" i="11" s="1"/>
  <c r="W418" i="11"/>
  <c r="W419" i="11"/>
  <c r="W420" i="11"/>
  <c r="W421" i="11"/>
  <c r="W422" i="11"/>
  <c r="W423" i="11"/>
  <c r="W424" i="11"/>
  <c r="W425" i="11"/>
  <c r="W426" i="11"/>
  <c r="W428" i="11"/>
  <c r="W431" i="11"/>
  <c r="W432" i="11"/>
  <c r="W433" i="11"/>
  <c r="W434" i="11"/>
  <c r="W436" i="11"/>
  <c r="W439" i="11"/>
  <c r="X439" i="11" s="1"/>
  <c r="W440" i="11"/>
  <c r="Z440" i="11" s="1"/>
  <c r="W441" i="11"/>
  <c r="W442" i="11"/>
  <c r="Z442" i="11" s="1"/>
  <c r="W444" i="11"/>
  <c r="W447" i="11"/>
  <c r="W448" i="11"/>
  <c r="W449" i="11"/>
  <c r="W450" i="11"/>
  <c r="W452" i="11"/>
  <c r="W455" i="11"/>
  <c r="W456" i="11"/>
  <c r="W457" i="11"/>
  <c r="W458" i="11"/>
  <c r="W460" i="11"/>
  <c r="W463" i="11"/>
  <c r="W464" i="11"/>
  <c r="X464" i="11" s="1"/>
  <c r="W465" i="11"/>
  <c r="W466" i="11"/>
  <c r="W467" i="11"/>
  <c r="X467" i="11" s="1"/>
  <c r="W468" i="11"/>
  <c r="W469" i="11"/>
  <c r="Z469" i="11" s="1"/>
  <c r="W470" i="11"/>
  <c r="W471" i="11"/>
  <c r="X471" i="11" s="1"/>
  <c r="W472" i="11"/>
  <c r="W473" i="11"/>
  <c r="W474" i="11"/>
  <c r="W475" i="11"/>
  <c r="W476" i="11"/>
  <c r="W477" i="11"/>
  <c r="X477" i="11" s="1"/>
  <c r="W478" i="11"/>
  <c r="Z478" i="11" s="1"/>
  <c r="W479" i="11"/>
  <c r="W480" i="11"/>
  <c r="W481" i="11"/>
  <c r="W482" i="11"/>
  <c r="W483" i="11"/>
  <c r="Z483" i="11" s="1"/>
  <c r="W484" i="11"/>
  <c r="W485" i="11"/>
  <c r="Z485" i="11" s="1"/>
  <c r="W486" i="11"/>
  <c r="Z486" i="11" s="1"/>
  <c r="W487" i="11"/>
  <c r="W488" i="11"/>
  <c r="W489" i="11"/>
  <c r="W490" i="11"/>
  <c r="X490" i="11" s="1"/>
  <c r="W491" i="11"/>
  <c r="W492" i="11"/>
  <c r="W493" i="11"/>
  <c r="Z493" i="11" s="1"/>
  <c r="W494" i="11"/>
  <c r="W495" i="11"/>
  <c r="W496" i="11"/>
  <c r="W497" i="11"/>
  <c r="W498" i="11"/>
  <c r="X498" i="11" s="1"/>
  <c r="W499" i="11"/>
  <c r="W500" i="11"/>
  <c r="W501" i="11"/>
  <c r="Z501" i="11" s="1"/>
  <c r="W502" i="11"/>
  <c r="Z502" i="11" s="1"/>
  <c r="W503" i="11"/>
  <c r="W504" i="11"/>
  <c r="W505" i="11"/>
  <c r="W506" i="11"/>
  <c r="X506" i="11" s="1"/>
  <c r="W507" i="11"/>
  <c r="X507" i="11" s="1"/>
  <c r="W508" i="11"/>
  <c r="W509" i="11"/>
  <c r="X509" i="11" s="1"/>
  <c r="W510" i="11"/>
  <c r="Z510" i="11" s="1"/>
  <c r="W511" i="11"/>
  <c r="W512" i="11"/>
  <c r="W513" i="11"/>
  <c r="W514" i="11"/>
  <c r="W515" i="11"/>
  <c r="Z515" i="11" s="1"/>
  <c r="W516" i="11"/>
  <c r="W517" i="11"/>
  <c r="Z517" i="11" s="1"/>
  <c r="W518" i="11"/>
  <c r="W519" i="11"/>
  <c r="W520" i="11"/>
  <c r="W521" i="11"/>
  <c r="W522" i="11"/>
  <c r="Z522" i="11" s="1"/>
  <c r="W523" i="11"/>
  <c r="X523" i="11" s="1"/>
  <c r="W524" i="11"/>
  <c r="W525" i="11"/>
  <c r="Z525" i="11" s="1"/>
  <c r="W526" i="11"/>
  <c r="Z526" i="11" s="1"/>
  <c r="W527" i="11"/>
  <c r="W528" i="11"/>
  <c r="Z528" i="11" s="1"/>
  <c r="W529" i="11"/>
  <c r="W530" i="11"/>
  <c r="W531" i="11"/>
  <c r="W532" i="11"/>
  <c r="W535" i="11"/>
  <c r="W536" i="11"/>
  <c r="W537" i="11"/>
  <c r="Z537" i="11" s="1"/>
  <c r="W538" i="11"/>
  <c r="W540" i="11"/>
  <c r="W543" i="11"/>
  <c r="W544" i="11"/>
  <c r="W545" i="11"/>
  <c r="W546" i="11"/>
  <c r="W548" i="11"/>
  <c r="W551" i="11"/>
  <c r="W552" i="11"/>
  <c r="W553" i="11"/>
  <c r="W554" i="11"/>
  <c r="W556" i="11"/>
  <c r="W559" i="11"/>
  <c r="W560" i="11"/>
  <c r="W561" i="11"/>
  <c r="W562" i="11"/>
  <c r="X562" i="11" s="1"/>
  <c r="W564" i="11"/>
  <c r="W567" i="11"/>
  <c r="W568" i="11"/>
  <c r="W569" i="11"/>
  <c r="W570" i="11"/>
  <c r="W572" i="11"/>
  <c r="W573" i="11"/>
  <c r="W574" i="11"/>
  <c r="X574" i="11" s="1"/>
  <c r="W575" i="11"/>
  <c r="W576" i="11"/>
  <c r="X576" i="11" s="1"/>
  <c r="W577" i="11"/>
  <c r="W578" i="11"/>
  <c r="W579" i="11"/>
  <c r="Z579" i="11" s="1"/>
  <c r="W580" i="11"/>
  <c r="W581" i="11"/>
  <c r="W582" i="11"/>
  <c r="Z582" i="11" s="1"/>
  <c r="W583" i="11"/>
  <c r="W584" i="11"/>
  <c r="W585" i="11"/>
  <c r="X585" i="11" s="1"/>
  <c r="W586" i="11"/>
  <c r="W587" i="11"/>
  <c r="W588" i="11"/>
  <c r="W589" i="11"/>
  <c r="W590" i="11"/>
  <c r="W591" i="11"/>
  <c r="X591" i="11" s="1"/>
  <c r="W592" i="11"/>
  <c r="W593" i="11"/>
  <c r="W594" i="11"/>
  <c r="X594" i="11" s="1"/>
  <c r="W595" i="11"/>
  <c r="W596" i="11"/>
  <c r="W597" i="11"/>
  <c r="W598" i="11"/>
  <c r="Z598" i="11" s="1"/>
  <c r="W599" i="11"/>
  <c r="W600" i="11"/>
  <c r="Z600" i="11" s="1"/>
  <c r="W601" i="11"/>
  <c r="W602" i="11"/>
  <c r="W603" i="11"/>
  <c r="W604" i="11"/>
  <c r="W605" i="11"/>
  <c r="W606" i="11"/>
  <c r="Z606" i="11" s="1"/>
  <c r="W607" i="11"/>
  <c r="W608" i="11"/>
  <c r="W609" i="11"/>
  <c r="W610" i="11"/>
  <c r="Z610" i="11" s="1"/>
  <c r="W611" i="11"/>
  <c r="W612" i="11"/>
  <c r="W613" i="11"/>
  <c r="W614" i="11"/>
  <c r="W615" i="11"/>
  <c r="W616" i="11"/>
  <c r="W617" i="11"/>
  <c r="W618" i="11"/>
  <c r="W619" i="11"/>
  <c r="W620" i="11"/>
  <c r="W621" i="11"/>
  <c r="W622" i="11"/>
  <c r="Z622" i="11" s="1"/>
  <c r="W623" i="11"/>
  <c r="W624" i="11"/>
  <c r="W625" i="11"/>
  <c r="W626" i="11"/>
  <c r="W627" i="11"/>
  <c r="W628" i="11"/>
  <c r="W629" i="11"/>
  <c r="W630" i="11"/>
  <c r="W631" i="11"/>
  <c r="W632" i="11"/>
  <c r="X632" i="11" s="1"/>
  <c r="W633" i="11"/>
  <c r="W634" i="11"/>
  <c r="W636" i="11"/>
  <c r="W639" i="11"/>
  <c r="W640" i="11"/>
  <c r="W641" i="11"/>
  <c r="W642" i="11"/>
  <c r="W644" i="11"/>
  <c r="W647" i="11"/>
  <c r="W648" i="11"/>
  <c r="W649" i="11"/>
  <c r="W650" i="11"/>
  <c r="X650" i="11" s="1"/>
  <c r="W652" i="11"/>
  <c r="W655" i="11"/>
  <c r="Z655" i="11" s="1"/>
  <c r="W656" i="11"/>
  <c r="W657" i="11"/>
  <c r="X657" i="11" s="1"/>
  <c r="W658" i="11"/>
  <c r="W660" i="11"/>
  <c r="W663" i="11"/>
  <c r="W664" i="11"/>
  <c r="W665" i="11"/>
  <c r="W666" i="11"/>
  <c r="W668" i="11"/>
  <c r="W671" i="11"/>
  <c r="W672" i="11"/>
  <c r="W673" i="11"/>
  <c r="W674" i="11"/>
  <c r="Z674" i="11" s="1"/>
  <c r="W676" i="11"/>
  <c r="W677" i="11"/>
  <c r="W678" i="11"/>
  <c r="X678" i="11" s="1"/>
  <c r="W679" i="11"/>
  <c r="X679" i="11" s="1"/>
  <c r="W680" i="11"/>
  <c r="W681" i="11"/>
  <c r="W682" i="11"/>
  <c r="W683" i="11"/>
  <c r="Z683" i="11" s="1"/>
  <c r="W684" i="11"/>
  <c r="W685" i="11"/>
  <c r="W686" i="11"/>
  <c r="X686" i="11" s="1"/>
  <c r="W687" i="11"/>
  <c r="W688" i="11"/>
  <c r="W689" i="11"/>
  <c r="X689" i="11" s="1"/>
  <c r="W690" i="11"/>
  <c r="W691" i="11"/>
  <c r="W692" i="11"/>
  <c r="W693" i="11"/>
  <c r="Z693" i="11" s="1"/>
  <c r="W694" i="11"/>
  <c r="W695" i="11"/>
  <c r="Z695" i="11" s="1"/>
  <c r="W696" i="11"/>
  <c r="W697" i="11"/>
  <c r="W698" i="11"/>
  <c r="X698" i="11" s="1"/>
  <c r="W699" i="11"/>
  <c r="Z699" i="11" s="1"/>
  <c r="W700" i="11"/>
  <c r="W701" i="11"/>
  <c r="Z701" i="11" s="1"/>
  <c r="W702" i="11"/>
  <c r="X702" i="11" s="1"/>
  <c r="W703" i="11"/>
  <c r="W704" i="11"/>
  <c r="X704" i="11" s="1"/>
  <c r="W705" i="11"/>
  <c r="X705" i="11" s="1"/>
  <c r="W706" i="11"/>
  <c r="X706" i="11" s="1"/>
  <c r="W707" i="11"/>
  <c r="Z707" i="11" s="1"/>
  <c r="W708" i="11"/>
  <c r="W709" i="11"/>
  <c r="W710" i="11"/>
  <c r="W711" i="11"/>
  <c r="W712" i="11"/>
  <c r="W713" i="11"/>
  <c r="W714" i="11"/>
  <c r="X714" i="11" s="1"/>
  <c r="W715" i="11"/>
  <c r="W716" i="11"/>
  <c r="W717" i="11"/>
  <c r="Z717" i="11" s="1"/>
  <c r="W718" i="11"/>
  <c r="Z718" i="11" s="1"/>
  <c r="W719" i="11"/>
  <c r="W720" i="11"/>
  <c r="W721" i="11"/>
  <c r="Z721" i="11" s="1"/>
  <c r="W722" i="11"/>
  <c r="W723" i="11"/>
  <c r="W724" i="11"/>
  <c r="W725" i="11"/>
  <c r="W726" i="11"/>
  <c r="W727" i="11"/>
  <c r="W728" i="11"/>
  <c r="W729" i="11"/>
  <c r="W730" i="11"/>
  <c r="Z730" i="11" s="1"/>
  <c r="W731" i="11"/>
  <c r="Z731" i="11" s="1"/>
  <c r="W732" i="11"/>
  <c r="W733" i="11"/>
  <c r="W734" i="11"/>
  <c r="W735" i="11"/>
  <c r="W736" i="11"/>
  <c r="W737" i="11"/>
  <c r="Z737" i="11" s="1"/>
  <c r="W738" i="11"/>
  <c r="X738" i="11" s="1"/>
  <c r="W739" i="11"/>
  <c r="Z739" i="11" s="1"/>
  <c r="W740" i="11"/>
  <c r="W743" i="11"/>
  <c r="W744" i="11"/>
  <c r="W745" i="11"/>
  <c r="W746" i="11"/>
  <c r="W747" i="11"/>
  <c r="W748" i="11"/>
  <c r="W751" i="11"/>
  <c r="W752" i="11"/>
  <c r="W753" i="11"/>
  <c r="X753" i="11" s="1"/>
  <c r="W754" i="11"/>
  <c r="W756" i="11"/>
  <c r="W759" i="11"/>
  <c r="W760" i="11"/>
  <c r="W761" i="11"/>
  <c r="Z761" i="11" s="1"/>
  <c r="W762" i="11"/>
  <c r="W764" i="11"/>
  <c r="W767" i="11"/>
  <c r="W768" i="11"/>
  <c r="W769" i="11"/>
  <c r="W770" i="11"/>
  <c r="W772" i="11"/>
  <c r="W775" i="11"/>
  <c r="W776" i="11"/>
  <c r="W777" i="11"/>
  <c r="Z777" i="11" s="1"/>
  <c r="W778" i="11"/>
  <c r="W780" i="11"/>
  <c r="W782" i="11"/>
  <c r="W783" i="11"/>
  <c r="W784" i="11"/>
  <c r="W785" i="11"/>
  <c r="X785" i="11" s="1"/>
  <c r="W786" i="11"/>
  <c r="W787" i="11"/>
  <c r="X787" i="11" s="1"/>
  <c r="W788" i="11"/>
  <c r="W789" i="11"/>
  <c r="X789" i="11" s="1"/>
  <c r="W790" i="11"/>
  <c r="X790" i="11" s="1"/>
  <c r="W791" i="11"/>
  <c r="X791" i="11" s="1"/>
  <c r="W792" i="11"/>
  <c r="Z792" i="11" s="1"/>
  <c r="W793" i="11"/>
  <c r="Z793" i="11" s="1"/>
  <c r="W794" i="11"/>
  <c r="W795" i="11"/>
  <c r="W796" i="11"/>
  <c r="W797" i="11"/>
  <c r="W798" i="11"/>
  <c r="X798" i="11" s="1"/>
  <c r="W799" i="11"/>
  <c r="W800" i="11"/>
  <c r="W801" i="11"/>
  <c r="Z801" i="11" s="1"/>
  <c r="W802" i="11"/>
  <c r="W803" i="11"/>
  <c r="Z803" i="11" s="1"/>
  <c r="W804" i="11"/>
  <c r="W805" i="11"/>
  <c r="W806" i="11"/>
  <c r="X806" i="11" s="1"/>
  <c r="W807" i="11"/>
  <c r="W808" i="11"/>
  <c r="W809" i="11"/>
  <c r="Z809" i="11" s="1"/>
  <c r="W810" i="11"/>
  <c r="W811" i="11"/>
  <c r="X811" i="11" s="1"/>
  <c r="W812" i="11"/>
  <c r="W813" i="11"/>
  <c r="W814" i="11"/>
  <c r="X814" i="11" s="1"/>
  <c r="W815" i="11"/>
  <c r="W816" i="11"/>
  <c r="X816" i="11" s="1"/>
  <c r="W817" i="11"/>
  <c r="Z817" i="11" s="1"/>
  <c r="W818" i="11"/>
  <c r="X818" i="11" s="1"/>
  <c r="W819" i="11"/>
  <c r="Z819" i="11" s="1"/>
  <c r="W820" i="11"/>
  <c r="W821" i="11"/>
  <c r="W822" i="11"/>
  <c r="W823" i="11"/>
  <c r="W824" i="11"/>
  <c r="W825" i="11"/>
  <c r="W826" i="11"/>
  <c r="Z826" i="11" s="1"/>
  <c r="W827" i="11"/>
  <c r="W828" i="11"/>
  <c r="W829" i="11"/>
  <c r="W830" i="11"/>
  <c r="W831" i="11"/>
  <c r="W832" i="11"/>
  <c r="W833" i="11"/>
  <c r="W834" i="11"/>
  <c r="W835" i="11"/>
  <c r="W836" i="11"/>
  <c r="W837" i="11"/>
  <c r="W838" i="11"/>
  <c r="W839" i="11"/>
  <c r="W840" i="11"/>
  <c r="W841" i="11"/>
  <c r="W842" i="11"/>
  <c r="X842" i="11" s="1"/>
  <c r="W843" i="11"/>
  <c r="Z843" i="11" s="1"/>
  <c r="W844" i="11"/>
  <c r="W847" i="11"/>
  <c r="Z847" i="11" s="1"/>
  <c r="W848" i="11"/>
  <c r="W849" i="11"/>
  <c r="Z849" i="11" s="1"/>
  <c r="W850" i="11"/>
  <c r="W852" i="11"/>
  <c r="W855" i="11"/>
  <c r="W856" i="11"/>
  <c r="Z856" i="11" s="1"/>
  <c r="W857" i="11"/>
  <c r="W858" i="11"/>
  <c r="W860" i="11"/>
  <c r="W863" i="11"/>
  <c r="W864" i="11"/>
  <c r="W865" i="11"/>
  <c r="Z865" i="11" s="1"/>
  <c r="W866" i="11"/>
  <c r="Z866" i="11" s="1"/>
  <c r="W868" i="11"/>
  <c r="W871" i="11"/>
  <c r="W872" i="11"/>
  <c r="W873" i="11"/>
  <c r="W874" i="11"/>
  <c r="Z874" i="11" s="1"/>
  <c r="W875" i="11"/>
  <c r="W876" i="11"/>
  <c r="W879" i="11"/>
  <c r="X879" i="11" s="1"/>
  <c r="W880" i="11"/>
  <c r="W881" i="11"/>
  <c r="Z881" i="11" s="1"/>
  <c r="W882" i="11"/>
  <c r="Z882" i="11" s="1"/>
  <c r="W884" i="11"/>
  <c r="W887" i="11"/>
  <c r="W888" i="11"/>
  <c r="W889" i="11"/>
  <c r="W890" i="11"/>
  <c r="X890" i="11" s="1"/>
  <c r="W891" i="11"/>
  <c r="W892" i="11"/>
  <c r="W893" i="11"/>
  <c r="W894" i="11"/>
  <c r="X894" i="11" s="1"/>
  <c r="W895" i="11"/>
  <c r="X895" i="11" s="1"/>
  <c r="W896" i="11"/>
  <c r="X896" i="11" s="1"/>
  <c r="W897" i="11"/>
  <c r="Z897" i="11" s="1"/>
  <c r="W898" i="11"/>
  <c r="Z898" i="11" s="1"/>
  <c r="W899" i="11"/>
  <c r="W900" i="11"/>
  <c r="W901" i="11"/>
  <c r="W902" i="11"/>
  <c r="W903" i="11"/>
  <c r="W904" i="11"/>
  <c r="X904" i="11" s="1"/>
  <c r="W905" i="11"/>
  <c r="W906" i="11"/>
  <c r="Z906" i="11" s="1"/>
  <c r="W907" i="11"/>
  <c r="W908" i="11"/>
  <c r="W909" i="11"/>
  <c r="W910" i="11"/>
  <c r="W911" i="11"/>
  <c r="W912" i="11"/>
  <c r="W913" i="11"/>
  <c r="W914" i="11"/>
  <c r="Z914" i="11" s="1"/>
  <c r="W915" i="11"/>
  <c r="W916" i="11"/>
  <c r="W917" i="11"/>
  <c r="W918" i="11"/>
  <c r="X918" i="11" s="1"/>
  <c r="W919" i="11"/>
  <c r="W920" i="11"/>
  <c r="W921" i="11"/>
  <c r="Z921" i="11" s="1"/>
  <c r="W922" i="11"/>
  <c r="W923" i="11"/>
  <c r="W924" i="11"/>
  <c r="W925" i="11"/>
  <c r="W926" i="11"/>
  <c r="W927" i="11"/>
  <c r="W928" i="11"/>
  <c r="W929" i="11"/>
  <c r="W930" i="11"/>
  <c r="Z930" i="11" s="1"/>
  <c r="W931" i="11"/>
  <c r="W932" i="11"/>
  <c r="W933" i="11"/>
  <c r="W934" i="11"/>
  <c r="X934" i="11" s="1"/>
  <c r="W935" i="11"/>
  <c r="W936" i="11"/>
  <c r="W937" i="11"/>
  <c r="W938" i="11"/>
  <c r="Z938" i="11" s="1"/>
  <c r="W939" i="11"/>
  <c r="W940" i="11"/>
  <c r="W941" i="11"/>
  <c r="W942" i="11"/>
  <c r="W943" i="11"/>
  <c r="W944" i="11"/>
  <c r="W945" i="11"/>
  <c r="X945" i="11" s="1"/>
  <c r="W946" i="11"/>
  <c r="Z946" i="11" s="1"/>
  <c r="W947" i="11"/>
  <c r="W948" i="11"/>
  <c r="W949" i="11"/>
  <c r="W951" i="11"/>
  <c r="X951" i="11" s="1"/>
  <c r="W952" i="11"/>
  <c r="W953" i="11"/>
  <c r="Z953" i="11" s="1"/>
  <c r="W954" i="11"/>
  <c r="Z954" i="11" s="1"/>
  <c r="W956" i="11"/>
  <c r="W959" i="11"/>
  <c r="W960" i="11"/>
  <c r="Z960" i="11" s="1"/>
  <c r="W961" i="11"/>
  <c r="W962" i="11"/>
  <c r="X962" i="11" s="1"/>
  <c r="W964" i="11"/>
  <c r="W967" i="11"/>
  <c r="W968" i="11"/>
  <c r="Z968" i="11" s="1"/>
  <c r="W969" i="11"/>
  <c r="Z969" i="11" s="1"/>
  <c r="W970" i="11"/>
  <c r="X970" i="11" s="1"/>
  <c r="W972" i="11"/>
  <c r="W975" i="11"/>
  <c r="Z975" i="11" s="1"/>
  <c r="W976" i="11"/>
  <c r="Z976" i="11" s="1"/>
  <c r="W977" i="11"/>
  <c r="W978" i="11"/>
  <c r="X978" i="11" s="1"/>
  <c r="W980" i="11"/>
  <c r="W983" i="11"/>
  <c r="X983" i="11" s="1"/>
  <c r="W984" i="11"/>
  <c r="Z984" i="11" s="1"/>
  <c r="W985" i="11"/>
  <c r="Z985" i="11" s="1"/>
  <c r="W986" i="11"/>
  <c r="Z986" i="11" s="1"/>
  <c r="W988" i="11"/>
  <c r="W991" i="11"/>
  <c r="Z991" i="11" s="1"/>
  <c r="W992" i="11"/>
  <c r="Z992" i="11" s="1"/>
  <c r="W993" i="11"/>
  <c r="W994" i="11"/>
  <c r="Z994" i="11" s="1"/>
  <c r="W995" i="11"/>
  <c r="W996" i="11"/>
  <c r="W997" i="11"/>
  <c r="Z997" i="11" s="1"/>
  <c r="W998" i="11"/>
  <c r="W999" i="11"/>
  <c r="W1000" i="11"/>
  <c r="Z1000" i="11" s="1"/>
  <c r="W1001" i="11"/>
  <c r="W1002" i="11"/>
  <c r="W1003" i="11"/>
  <c r="W1004" i="11"/>
  <c r="W1005" i="11"/>
  <c r="W1006" i="11"/>
  <c r="X1006" i="11" s="1"/>
  <c r="W1007" i="11"/>
  <c r="Z1007" i="11" s="1"/>
  <c r="W1008" i="11"/>
  <c r="Z1008" i="11" s="1"/>
  <c r="W1009" i="11"/>
  <c r="W1010" i="11"/>
  <c r="W1011" i="11"/>
  <c r="X1011" i="11" s="1"/>
  <c r="W1012" i="11"/>
  <c r="W1013" i="11"/>
  <c r="W1014" i="11"/>
  <c r="Z1014" i="11" s="1"/>
  <c r="W1015" i="11"/>
  <c r="W1016" i="11"/>
  <c r="Z1016" i="11" s="1"/>
  <c r="W1017" i="11"/>
  <c r="X1017" i="11" s="1"/>
  <c r="W1018" i="11"/>
  <c r="Z1018" i="11" s="1"/>
  <c r="W1019" i="11"/>
  <c r="W1020" i="11"/>
  <c r="W1021" i="11"/>
  <c r="Z1021" i="11" s="1"/>
  <c r="W1022" i="11"/>
  <c r="Z1022" i="11" s="1"/>
  <c r="W1023" i="11"/>
  <c r="Z1023" i="11" s="1"/>
  <c r="W1024" i="11"/>
  <c r="Z1024" i="11" s="1"/>
  <c r="W1025" i="11"/>
  <c r="W1026" i="11"/>
  <c r="Z1026" i="11" s="1"/>
  <c r="W1027" i="11"/>
  <c r="W1028" i="11"/>
  <c r="W1029" i="11"/>
  <c r="W1030" i="11"/>
  <c r="X1030" i="11" s="1"/>
  <c r="W1031" i="11"/>
  <c r="W1032" i="11"/>
  <c r="Z1032" i="11" s="1"/>
  <c r="W1033" i="11"/>
  <c r="W1034" i="11"/>
  <c r="W1035" i="11"/>
  <c r="W1036" i="11"/>
  <c r="W1037" i="11"/>
  <c r="X1037" i="11" s="1"/>
  <c r="W1038" i="11"/>
  <c r="W1039" i="11"/>
  <c r="Z1039" i="11" s="1"/>
  <c r="W1040" i="11"/>
  <c r="Z1040" i="11" s="1"/>
  <c r="W1041" i="11"/>
  <c r="W1042" i="11"/>
  <c r="W1043" i="11"/>
  <c r="W1044" i="11"/>
  <c r="W1045" i="11"/>
  <c r="W1046" i="11"/>
  <c r="W1047" i="11"/>
  <c r="W1048" i="11"/>
  <c r="Z1048" i="11" s="1"/>
  <c r="W1049" i="11"/>
  <c r="Z1049" i="11" s="1"/>
  <c r="W1050" i="11"/>
  <c r="W1051" i="11"/>
  <c r="W1052" i="11"/>
  <c r="W1053" i="11"/>
  <c r="Z1053" i="11" s="1"/>
  <c r="W1054" i="11"/>
  <c r="W1055" i="11"/>
  <c r="Z1055" i="11" s="1"/>
  <c r="W1056" i="11"/>
  <c r="Z1056" i="11" s="1"/>
  <c r="W1057" i="11"/>
  <c r="W1058" i="11"/>
  <c r="W1059" i="11"/>
  <c r="W1060" i="11"/>
  <c r="W1063" i="11"/>
  <c r="W1064" i="11"/>
  <c r="Z1064" i="11" s="1"/>
  <c r="W1065" i="11"/>
  <c r="W1066" i="11"/>
  <c r="X1066" i="11" s="1"/>
  <c r="W1068" i="11"/>
  <c r="W1071" i="11"/>
  <c r="W1072" i="11"/>
  <c r="Z1072" i="11" s="1"/>
  <c r="W1073" i="11"/>
  <c r="W1074" i="11"/>
  <c r="X1074" i="11" s="1"/>
  <c r="W1076" i="11"/>
  <c r="W1079" i="11"/>
  <c r="W1080" i="11"/>
  <c r="W1081" i="11"/>
  <c r="W1082" i="11"/>
  <c r="W1084" i="11"/>
  <c r="W1087" i="11"/>
  <c r="W1088" i="11"/>
  <c r="Z1088" i="11" s="1"/>
  <c r="W1089" i="11"/>
  <c r="W1090" i="11"/>
  <c r="X1090" i="11" s="1"/>
  <c r="W1092" i="11"/>
  <c r="W1095" i="11"/>
  <c r="X1095" i="11" s="1"/>
  <c r="W1096" i="11"/>
  <c r="Z1096" i="11" s="1"/>
  <c r="W1097" i="11"/>
  <c r="W1098" i="11"/>
  <c r="Z1098" i="11" s="1"/>
  <c r="W1099" i="11"/>
  <c r="Z1099" i="11" s="1"/>
  <c r="W1100" i="11"/>
  <c r="W1101" i="11"/>
  <c r="X1101" i="11" s="1"/>
  <c r="W1102" i="11"/>
  <c r="Z1102" i="11" s="1"/>
  <c r="W1103" i="11"/>
  <c r="W1104" i="11"/>
  <c r="Z1104" i="11" s="1"/>
  <c r="W1105" i="11"/>
  <c r="W1106" i="11"/>
  <c r="W1107" i="11"/>
  <c r="W1108" i="11"/>
  <c r="W1109" i="11"/>
  <c r="Z1109" i="11" s="1"/>
  <c r="W1110" i="11"/>
  <c r="X1110" i="11" s="1"/>
  <c r="W1111" i="11"/>
  <c r="X1111" i="11" s="1"/>
  <c r="W1112" i="11"/>
  <c r="X1112" i="11" s="1"/>
  <c r="W1113" i="11"/>
  <c r="W1114" i="11"/>
  <c r="W1115" i="11"/>
  <c r="W1116" i="11"/>
  <c r="W1117" i="11"/>
  <c r="Z1117" i="11" s="1"/>
  <c r="W1118" i="11"/>
  <c r="W1119" i="11"/>
  <c r="W1120" i="11"/>
  <c r="Z1120" i="11" s="1"/>
  <c r="W1121" i="11"/>
  <c r="Z1121" i="11" s="1"/>
  <c r="W1122" i="11"/>
  <c r="W1123" i="11"/>
  <c r="W1124" i="11"/>
  <c r="W1125" i="11"/>
  <c r="X1125" i="11" s="1"/>
  <c r="W1126" i="11"/>
  <c r="X1126" i="11" s="1"/>
  <c r="W1127" i="11"/>
  <c r="X1127" i="11" s="1"/>
  <c r="W1128" i="11"/>
  <c r="Z1128" i="11" s="1"/>
  <c r="W1129" i="11"/>
  <c r="Z1129" i="11" s="1"/>
  <c r="W1130" i="11"/>
  <c r="W1131" i="11"/>
  <c r="W1132" i="11"/>
  <c r="W1133" i="11"/>
  <c r="Z1133" i="11" s="1"/>
  <c r="W1134" i="11"/>
  <c r="X1134" i="11" s="1"/>
  <c r="W1135" i="11"/>
  <c r="W1136" i="11"/>
  <c r="Z1136" i="11" s="1"/>
  <c r="W1137" i="11"/>
  <c r="W1138" i="11"/>
  <c r="W1139" i="11"/>
  <c r="X1139" i="11" s="1"/>
  <c r="W1140" i="11"/>
  <c r="W1141" i="11"/>
  <c r="Z1141" i="11" s="1"/>
  <c r="W1142" i="11"/>
  <c r="Z1142" i="11" s="1"/>
  <c r="W1143" i="11"/>
  <c r="Z1143" i="11" s="1"/>
  <c r="W1144" i="11"/>
  <c r="Z1144" i="11" s="1"/>
  <c r="W1145" i="11"/>
  <c r="W1146" i="11"/>
  <c r="W1147" i="11"/>
  <c r="X1147" i="11" s="1"/>
  <c r="W1148" i="11"/>
  <c r="W1149" i="11"/>
  <c r="Z1149" i="11" s="1"/>
  <c r="W1150" i="11"/>
  <c r="W1151" i="11"/>
  <c r="W1152" i="11"/>
  <c r="W1153" i="11"/>
  <c r="W1154" i="11"/>
  <c r="W1155" i="11"/>
  <c r="W1156" i="11"/>
  <c r="W1157" i="11"/>
  <c r="Z1157" i="11" s="1"/>
  <c r="W1158" i="11"/>
  <c r="X1158" i="11" s="1"/>
  <c r="W1159" i="11"/>
  <c r="Z1159" i="11" s="1"/>
  <c r="W1160" i="11"/>
  <c r="W1161" i="11"/>
  <c r="Z1161" i="11" s="1"/>
  <c r="W1162" i="11"/>
  <c r="W1164" i="11"/>
  <c r="W1167" i="11"/>
  <c r="W1168" i="11"/>
  <c r="Z1168" i="11" s="1"/>
  <c r="W1169" i="11"/>
  <c r="X1169" i="11" s="1"/>
  <c r="W1170" i="11"/>
  <c r="W1172" i="11"/>
  <c r="W1175" i="11"/>
  <c r="Z1175" i="11" s="1"/>
  <c r="W1176" i="11"/>
  <c r="X1176" i="11" s="1"/>
  <c r="W1177" i="11"/>
  <c r="W1178" i="11"/>
  <c r="W1180" i="11"/>
  <c r="W1183" i="11"/>
  <c r="W1184" i="11"/>
  <c r="Z1184" i="11" s="1"/>
  <c r="W1185" i="11"/>
  <c r="Z1185" i="11" s="1"/>
  <c r="W1186" i="11"/>
  <c r="Z1186" i="11" s="1"/>
  <c r="W1187" i="11"/>
  <c r="W1188" i="11"/>
  <c r="W1191" i="11"/>
  <c r="X1191" i="11" s="1"/>
  <c r="W1192" i="11"/>
  <c r="Z1192" i="11" s="1"/>
  <c r="W1193" i="11"/>
  <c r="W1194" i="11"/>
  <c r="Z1194" i="11" s="1"/>
  <c r="W1196" i="11"/>
  <c r="W1199" i="11"/>
  <c r="W1200" i="11"/>
  <c r="Z1200" i="11" s="1"/>
  <c r="W1201" i="11"/>
  <c r="Z1201" i="11" s="1"/>
  <c r="W1202" i="11"/>
  <c r="Z1202" i="11" s="1"/>
  <c r="W1203" i="11"/>
  <c r="W1204" i="11"/>
  <c r="W1205" i="11"/>
  <c r="W1206" i="11"/>
  <c r="W1207" i="11"/>
  <c r="W1208" i="11"/>
  <c r="X1208" i="11" s="1"/>
  <c r="W1209" i="11"/>
  <c r="X1209" i="11" s="1"/>
  <c r="W1210" i="11"/>
  <c r="X1210" i="11" s="1"/>
  <c r="W1211" i="11"/>
  <c r="W1212" i="11"/>
  <c r="W1213" i="11"/>
  <c r="W1214" i="11"/>
  <c r="X1214" i="11" s="1"/>
  <c r="W1215" i="11"/>
  <c r="X1215" i="11" s="1"/>
  <c r="W1216" i="11"/>
  <c r="Z1216" i="11" s="1"/>
  <c r="W1217" i="11"/>
  <c r="W1218" i="11"/>
  <c r="W1219" i="11"/>
  <c r="W1220" i="11"/>
  <c r="W1221" i="11"/>
  <c r="W1222" i="11"/>
  <c r="W1223" i="11"/>
  <c r="W1224" i="11"/>
  <c r="W1225" i="11"/>
  <c r="W1226" i="11"/>
  <c r="W1227" i="11"/>
  <c r="W1228" i="11"/>
  <c r="W1229" i="11"/>
  <c r="W1230" i="11"/>
  <c r="W1231" i="11"/>
  <c r="X1231" i="11" s="1"/>
  <c r="W1232" i="11"/>
  <c r="Z1232" i="11" s="1"/>
  <c r="W1233" i="11"/>
  <c r="W1234" i="11"/>
  <c r="W1235" i="11"/>
  <c r="W1236" i="11"/>
  <c r="W1237" i="11"/>
  <c r="W1238" i="11"/>
  <c r="Z1238" i="11" s="1"/>
  <c r="W1239" i="11"/>
  <c r="W1240" i="11"/>
  <c r="X1240" i="11" s="1"/>
  <c r="W1241" i="11"/>
  <c r="Z1241" i="11" s="1"/>
  <c r="W1242" i="11"/>
  <c r="W1243" i="11"/>
  <c r="W1244" i="11"/>
  <c r="W1245" i="11"/>
  <c r="W1246" i="11"/>
  <c r="X1246" i="11" s="1"/>
  <c r="W1247" i="11"/>
  <c r="W1248" i="11"/>
  <c r="Z1248" i="11" s="1"/>
  <c r="W1249" i="11"/>
  <c r="Z1249" i="11" s="1"/>
  <c r="W1250" i="11"/>
  <c r="W1251" i="11"/>
  <c r="W1252" i="11"/>
  <c r="W1253" i="11"/>
  <c r="W1254" i="11"/>
  <c r="X1254" i="11" s="1"/>
  <c r="W1255" i="11"/>
  <c r="W1256" i="11"/>
  <c r="X1256" i="11" s="1"/>
  <c r="W1257" i="11"/>
  <c r="X1257" i="11" s="1"/>
  <c r="W1258" i="11"/>
  <c r="W1259" i="11"/>
  <c r="W1260" i="11"/>
  <c r="W1261" i="11"/>
  <c r="W1262" i="11"/>
  <c r="W1263" i="11"/>
  <c r="W1264" i="11"/>
  <c r="W1265" i="11"/>
  <c r="X1265" i="11" s="1"/>
  <c r="W1266" i="11"/>
  <c r="W1268" i="11"/>
  <c r="W1271" i="11"/>
  <c r="W1272" i="11"/>
  <c r="Z1272" i="11" s="1"/>
  <c r="W1273" i="11"/>
  <c r="W1274" i="11"/>
  <c r="Z1274" i="11" s="1"/>
  <c r="W1276" i="11"/>
  <c r="W1279" i="11"/>
  <c r="X1279" i="11" s="1"/>
  <c r="W1280" i="11"/>
  <c r="X1280" i="11" s="1"/>
  <c r="W1281" i="11"/>
  <c r="Z1281" i="11" s="1"/>
  <c r="W1282" i="11"/>
  <c r="W1284" i="11"/>
  <c r="W1287" i="11"/>
  <c r="Z1287" i="11" s="1"/>
  <c r="W1288" i="11"/>
  <c r="W1289" i="11"/>
  <c r="X1289" i="11" s="1"/>
  <c r="W1290" i="11"/>
  <c r="X1290" i="11" s="1"/>
  <c r="W1292" i="11"/>
  <c r="W1295" i="11"/>
  <c r="W1296" i="11"/>
  <c r="W1297" i="11"/>
  <c r="Z1297" i="11" s="1"/>
  <c r="W1298" i="11"/>
  <c r="W1300" i="11"/>
  <c r="W1303" i="11"/>
  <c r="W1304" i="11"/>
  <c r="X1304" i="11" s="1"/>
  <c r="W1305" i="11"/>
  <c r="X1305" i="11" s="1"/>
  <c r="W1306" i="11"/>
  <c r="X1306" i="11" s="1"/>
  <c r="W1307" i="11"/>
  <c r="Z1307" i="11" s="1"/>
  <c r="W1308" i="11"/>
  <c r="W1309" i="11"/>
  <c r="W1310" i="11"/>
  <c r="Z1310" i="11" s="1"/>
  <c r="W1311" i="11"/>
  <c r="W1312" i="11"/>
  <c r="W1313" i="11"/>
  <c r="W1314" i="11"/>
  <c r="W1315" i="11"/>
  <c r="W1316" i="11"/>
  <c r="W1317" i="11"/>
  <c r="W1318" i="11"/>
  <c r="Z1318" i="11" s="1"/>
  <c r="W1319" i="11"/>
  <c r="Z1319" i="11" s="1"/>
  <c r="W1320" i="11"/>
  <c r="Z1320" i="11" s="1"/>
  <c r="W1321" i="11"/>
  <c r="Z1321" i="11" s="1"/>
  <c r="W1322" i="11"/>
  <c r="W1323" i="11"/>
  <c r="W1324" i="11"/>
  <c r="W1325" i="11"/>
  <c r="W1326" i="11"/>
  <c r="W1327" i="11"/>
  <c r="W1328" i="11"/>
  <c r="W1329" i="11"/>
  <c r="W1330" i="11"/>
  <c r="W1331" i="11"/>
  <c r="X1331" i="11" s="1"/>
  <c r="W1332" i="11"/>
  <c r="W1333" i="11"/>
  <c r="Z1333" i="11" s="1"/>
  <c r="W1334" i="11"/>
  <c r="W1335" i="11"/>
  <c r="W1336" i="11"/>
  <c r="X1336" i="11" s="1"/>
  <c r="W1337" i="11"/>
  <c r="W1338" i="11"/>
  <c r="W1339" i="11"/>
  <c r="Z1339" i="11" s="1"/>
  <c r="W1340" i="11"/>
  <c r="W1341" i="11"/>
  <c r="Z1341" i="11" s="1"/>
  <c r="W1342" i="11"/>
  <c r="Z1342" i="11" s="1"/>
  <c r="W1343" i="11"/>
  <c r="W1344" i="11"/>
  <c r="W1345" i="11"/>
  <c r="Z1345" i="11" s="1"/>
  <c r="W1346" i="11"/>
  <c r="X1346" i="11" s="1"/>
  <c r="W1347" i="11"/>
  <c r="W1348" i="11"/>
  <c r="W1349" i="11"/>
  <c r="W1350" i="11"/>
  <c r="X1350" i="11" s="1"/>
  <c r="W1351" i="11"/>
  <c r="X1351" i="11" s="1"/>
  <c r="W1352" i="11"/>
  <c r="X1352" i="11" s="1"/>
  <c r="W1353" i="11"/>
  <c r="W1354" i="11"/>
  <c r="W1355" i="11"/>
  <c r="W1356" i="11"/>
  <c r="W1357" i="11"/>
  <c r="X1357" i="11" s="1"/>
  <c r="W1358" i="11"/>
  <c r="Z1358" i="11" s="1"/>
  <c r="W1359" i="11"/>
  <c r="W1360" i="11"/>
  <c r="X1360" i="11" s="1"/>
  <c r="W1361" i="11"/>
  <c r="W1362" i="11"/>
  <c r="W1363" i="11"/>
  <c r="X1363" i="11" s="1"/>
  <c r="W1364" i="11"/>
  <c r="W1365" i="11"/>
  <c r="W1366" i="11"/>
  <c r="Z1366" i="11" s="1"/>
  <c r="W1367" i="11"/>
  <c r="W1368" i="11"/>
  <c r="X1368" i="11" s="1"/>
  <c r="W1369" i="11"/>
  <c r="W1370" i="11"/>
  <c r="Z1370" i="11" s="1"/>
  <c r="W1372" i="11"/>
  <c r="W1373" i="11"/>
  <c r="W1375" i="11"/>
  <c r="W1376" i="11"/>
  <c r="Z1376" i="11" s="1"/>
  <c r="W1377" i="11"/>
  <c r="X1377" i="11" s="1"/>
  <c r="W1378" i="11"/>
  <c r="W1379" i="11"/>
  <c r="W1380" i="11"/>
  <c r="W1383" i="11"/>
  <c r="W1384" i="11"/>
  <c r="W1385" i="11"/>
  <c r="W1386" i="11"/>
  <c r="Z1386" i="11" s="1"/>
  <c r="W1388" i="11"/>
  <c r="W1391" i="11"/>
  <c r="W1392" i="11"/>
  <c r="W1393" i="11"/>
  <c r="W1394" i="11"/>
  <c r="Z1394" i="11" s="1"/>
  <c r="W1396" i="11"/>
  <c r="W1399" i="11"/>
  <c r="Z1399" i="11" s="1"/>
  <c r="W1400" i="11"/>
  <c r="W1401" i="11"/>
  <c r="Z1401" i="11" s="1"/>
  <c r="W1402" i="11"/>
  <c r="Z1402" i="11" s="1"/>
  <c r="W1404" i="11"/>
  <c r="W1407" i="11"/>
  <c r="W1408" i="11"/>
  <c r="Z1408" i="11" s="1"/>
  <c r="W1409" i="11"/>
  <c r="Z1409" i="11" s="1"/>
  <c r="W1410" i="11"/>
  <c r="Z1410" i="11" s="1"/>
  <c r="W1412" i="11"/>
  <c r="W1413" i="11"/>
  <c r="W1414" i="11"/>
  <c r="Z1414" i="11" s="1"/>
  <c r="W1415" i="11"/>
  <c r="W1416" i="11"/>
  <c r="W1417" i="11"/>
  <c r="W1418" i="11"/>
  <c r="Z1418" i="11" s="1"/>
  <c r="W1419" i="11"/>
  <c r="W1420" i="11"/>
  <c r="W1421" i="11"/>
  <c r="W1422" i="11"/>
  <c r="X1422" i="11" s="1"/>
  <c r="W1423" i="11"/>
  <c r="Z1423" i="11" s="1"/>
  <c r="W1424" i="11"/>
  <c r="X1424" i="11" s="1"/>
  <c r="W1425" i="11"/>
  <c r="W1426" i="11"/>
  <c r="Z1426" i="11" s="1"/>
  <c r="W1427" i="11"/>
  <c r="W1428" i="11"/>
  <c r="W1429" i="11"/>
  <c r="W1430" i="11"/>
  <c r="X1430" i="11" s="1"/>
  <c r="W1431" i="11"/>
  <c r="W1432" i="11"/>
  <c r="W1433" i="11"/>
  <c r="W1434" i="11"/>
  <c r="W1435" i="11"/>
  <c r="W1436" i="11"/>
  <c r="W1437" i="11"/>
  <c r="W1438" i="11"/>
  <c r="Z1438" i="11" s="1"/>
  <c r="W1439" i="11"/>
  <c r="W1440" i="11"/>
  <c r="W1441" i="11"/>
  <c r="X1441" i="11" s="1"/>
  <c r="W1442" i="11"/>
  <c r="Z1442" i="11" s="1"/>
  <c r="W1443" i="11"/>
  <c r="W1444" i="11"/>
  <c r="W1445" i="11"/>
  <c r="W1446" i="11"/>
  <c r="Z1446" i="11" s="1"/>
  <c r="W1447" i="11"/>
  <c r="X1447" i="11" s="1"/>
  <c r="W1448" i="11"/>
  <c r="W1449" i="11"/>
  <c r="X1449" i="11" s="1"/>
  <c r="W1450" i="11"/>
  <c r="Z1450" i="11" s="1"/>
  <c r="W1451" i="11"/>
  <c r="W1452" i="11"/>
  <c r="W1453" i="11"/>
  <c r="W1454" i="11"/>
  <c r="Z1454" i="11" s="1"/>
  <c r="W1455" i="11"/>
  <c r="X1455" i="11" s="1"/>
  <c r="W1456" i="11"/>
  <c r="W1457" i="11"/>
  <c r="W1458" i="11"/>
  <c r="X1458" i="11" s="1"/>
  <c r="W1459" i="11"/>
  <c r="W1460" i="11"/>
  <c r="W1461" i="11"/>
  <c r="W1462" i="11"/>
  <c r="W1463" i="11"/>
  <c r="W1464" i="11"/>
  <c r="X1464" i="11" s="1"/>
  <c r="W1465" i="11"/>
  <c r="W1466" i="11"/>
  <c r="Z1466" i="11" s="1"/>
  <c r="W1467" i="11"/>
  <c r="W1468" i="11"/>
  <c r="W1469" i="11"/>
  <c r="W1470" i="11"/>
  <c r="Z1470" i="11" s="1"/>
  <c r="W1471" i="11"/>
  <c r="Z1471" i="11" s="1"/>
  <c r="W1472" i="11"/>
  <c r="W1473" i="11"/>
  <c r="X1473" i="11" s="1"/>
  <c r="W1474" i="11"/>
  <c r="Z1474" i="11" s="1"/>
  <c r="W1476" i="11"/>
  <c r="W1479" i="11"/>
  <c r="W1480" i="11"/>
  <c r="W1481" i="11"/>
  <c r="X1481" i="11" s="1"/>
  <c r="W1482" i="11"/>
  <c r="Z1482" i="11" s="1"/>
  <c r="W1484" i="11"/>
  <c r="W1487" i="11"/>
  <c r="W1488" i="11"/>
  <c r="W1489" i="11"/>
  <c r="W1490" i="11"/>
  <c r="Z1490" i="11" s="1"/>
  <c r="W1492" i="11"/>
  <c r="W1495" i="11"/>
  <c r="Z1495" i="11" s="1"/>
  <c r="W1496" i="11"/>
  <c r="W1497" i="11"/>
  <c r="W1498" i="11"/>
  <c r="Z1498" i="11" s="1"/>
  <c r="W1500" i="11"/>
  <c r="W1503" i="11"/>
  <c r="Z1503" i="11" s="1"/>
  <c r="W1504" i="11"/>
  <c r="W1505" i="11"/>
  <c r="X1505" i="11" s="1"/>
  <c r="W1506" i="11"/>
  <c r="X1506" i="11" s="1"/>
  <c r="W1507" i="11"/>
  <c r="W1508" i="11"/>
  <c r="W1511" i="11"/>
  <c r="W1512" i="11"/>
  <c r="W1513" i="11"/>
  <c r="X1513" i="11" s="1"/>
  <c r="W1514" i="11"/>
  <c r="Z1514" i="11" s="1"/>
  <c r="W1516" i="11"/>
  <c r="W1517" i="11"/>
  <c r="W1518" i="11"/>
  <c r="Z1518" i="11" s="1"/>
  <c r="W1519" i="11"/>
  <c r="W1520" i="11"/>
  <c r="Z1520" i="11" s="1"/>
  <c r="W1521" i="11"/>
  <c r="W1522" i="11"/>
  <c r="Z1522" i="11" s="1"/>
  <c r="W1523" i="11"/>
  <c r="Z1523" i="11" s="1"/>
  <c r="W1524" i="11"/>
  <c r="W1525" i="11"/>
  <c r="W1526" i="11"/>
  <c r="W1527" i="11"/>
  <c r="W1528" i="11"/>
  <c r="W1529" i="11"/>
  <c r="W1530" i="11"/>
  <c r="Z1530" i="11" s="1"/>
  <c r="W1531" i="11"/>
  <c r="Z1531" i="11" s="1"/>
  <c r="W1532" i="11"/>
  <c r="W1533" i="11"/>
  <c r="Z1533" i="11" s="1"/>
  <c r="W1534" i="11"/>
  <c r="W1535" i="11"/>
  <c r="W1536" i="11"/>
  <c r="W1537" i="11"/>
  <c r="Z1537" i="11" s="1"/>
  <c r="W1538" i="11"/>
  <c r="Z1538" i="11" s="1"/>
  <c r="W1539" i="11"/>
  <c r="X1539" i="11" s="1"/>
  <c r="W1540" i="11"/>
  <c r="W1541" i="11"/>
  <c r="X1541" i="11" s="1"/>
  <c r="W1542" i="11"/>
  <c r="Z1542" i="11" s="1"/>
  <c r="W1543" i="11"/>
  <c r="W1544" i="11"/>
  <c r="X1544" i="11" s="1"/>
  <c r="W1545" i="11"/>
  <c r="X1545" i="11" s="1"/>
  <c r="W1546" i="11"/>
  <c r="Z1546" i="11" s="1"/>
  <c r="W1547" i="11"/>
  <c r="Z1547" i="11" s="1"/>
  <c r="W1548" i="11"/>
  <c r="W1549" i="11"/>
  <c r="W1550" i="11"/>
  <c r="Z1550" i="11" s="1"/>
  <c r="W1551" i="11"/>
  <c r="W1552" i="11"/>
  <c r="Z1552" i="11" s="1"/>
  <c r="W1553" i="11"/>
  <c r="W1554" i="11"/>
  <c r="Z1554" i="11" s="1"/>
  <c r="W1555" i="11"/>
  <c r="X1555" i="11" s="1"/>
  <c r="W1556" i="11"/>
  <c r="W1557" i="11"/>
  <c r="Z1557" i="11" s="1"/>
  <c r="W1558" i="11"/>
  <c r="X1558" i="11" s="1"/>
  <c r="W1559" i="11"/>
  <c r="W1560" i="11"/>
  <c r="W1561" i="11"/>
  <c r="W1562" i="11"/>
  <c r="Z1562" i="11" s="1"/>
  <c r="W1563" i="11"/>
  <c r="W1564" i="11"/>
  <c r="W1565" i="11"/>
  <c r="W1566" i="11"/>
  <c r="Z1566" i="11" s="1"/>
  <c r="W1567" i="11"/>
  <c r="W1568" i="11"/>
  <c r="Z1568" i="11" s="1"/>
  <c r="W1569" i="11"/>
  <c r="Z1569" i="11" s="1"/>
  <c r="W1570" i="11"/>
  <c r="X1570" i="11" s="1"/>
  <c r="W1571" i="11"/>
  <c r="W1572" i="11"/>
  <c r="W1573" i="11"/>
  <c r="Z1573" i="11" s="1"/>
  <c r="W1574" i="11"/>
  <c r="Z1574" i="11" s="1"/>
  <c r="W1575" i="11"/>
  <c r="X1575" i="11" s="1"/>
  <c r="W1576" i="11"/>
  <c r="X1576" i="11" s="1"/>
  <c r="W1577" i="11"/>
  <c r="W1578" i="11"/>
  <c r="Z1578" i="11" s="1"/>
  <c r="W1579" i="11"/>
  <c r="Z1579" i="11" s="1"/>
  <c r="W1580" i="11"/>
  <c r="W1583" i="11"/>
  <c r="W1584" i="11"/>
  <c r="Z1584" i="11" s="1"/>
  <c r="W1585" i="11"/>
  <c r="W1586" i="11"/>
  <c r="Z1586" i="11" s="1"/>
  <c r="W1588" i="11"/>
  <c r="W1591" i="11"/>
  <c r="Z1591" i="11" s="1"/>
  <c r="W1592" i="11"/>
  <c r="X1592" i="11" s="1"/>
  <c r="W1593" i="11"/>
  <c r="Z1593" i="11" s="1"/>
  <c r="W1594" i="11"/>
  <c r="Z1594" i="11" s="1"/>
  <c r="W1596" i="11"/>
  <c r="W1599" i="11"/>
  <c r="Z1599" i="11" s="1"/>
  <c r="W1600" i="11"/>
  <c r="W1601" i="11"/>
  <c r="Z1601" i="11" s="1"/>
  <c r="W1602" i="11"/>
  <c r="Z1602" i="11" s="1"/>
  <c r="W1604" i="11"/>
  <c r="W1607" i="11"/>
  <c r="X1607" i="11" s="1"/>
  <c r="W1608" i="11"/>
  <c r="Z1608" i="11" s="1"/>
  <c r="W1609" i="11"/>
  <c r="W1610" i="11"/>
  <c r="Z1610" i="11" s="1"/>
  <c r="W1612" i="11"/>
  <c r="W1615" i="11"/>
  <c r="W1616" i="11"/>
  <c r="X1616" i="11" s="1"/>
  <c r="W1617" i="11"/>
  <c r="Z1617" i="11" s="1"/>
  <c r="W1618" i="11"/>
  <c r="Z1618" i="11" s="1"/>
  <c r="W1620" i="11"/>
  <c r="W1622" i="11"/>
  <c r="X1622" i="11" s="1"/>
  <c r="W1623" i="11"/>
  <c r="W1624" i="11"/>
  <c r="X1624" i="11" s="1"/>
  <c r="W1625" i="11"/>
  <c r="Z1625" i="11" s="1"/>
  <c r="W1626" i="11"/>
  <c r="Z1626" i="11" s="1"/>
  <c r="W1627" i="11"/>
  <c r="X1627" i="11" s="1"/>
  <c r="W1628" i="11"/>
  <c r="W1629" i="11"/>
  <c r="W1630" i="11"/>
  <c r="W1631" i="11"/>
  <c r="W1632" i="11"/>
  <c r="X1632" i="11" s="1"/>
  <c r="W1633" i="11"/>
  <c r="Z1633" i="11" s="1"/>
  <c r="W1634" i="11"/>
  <c r="Z1634" i="11" s="1"/>
  <c r="W1635" i="11"/>
  <c r="W1636" i="11"/>
  <c r="W1637" i="11"/>
  <c r="W1638" i="11"/>
  <c r="X1638" i="11" s="1"/>
  <c r="W1639" i="11"/>
  <c r="W1640" i="11"/>
  <c r="Z1640" i="11" s="1"/>
  <c r="W1641" i="11"/>
  <c r="X1641" i="11" s="1"/>
  <c r="W1642" i="11"/>
  <c r="W1643" i="11"/>
  <c r="W1644" i="11"/>
  <c r="W1645" i="11"/>
  <c r="W1646" i="11"/>
  <c r="Z1646" i="11" s="1"/>
  <c r="W1647" i="11"/>
  <c r="W1648" i="11"/>
  <c r="X1648" i="11" s="1"/>
  <c r="W1649" i="11"/>
  <c r="Z1649" i="11" s="1"/>
  <c r="W1650" i="11"/>
  <c r="W1651" i="11"/>
  <c r="W1652" i="11"/>
  <c r="W1653" i="11"/>
  <c r="Z1653" i="11" s="1"/>
  <c r="W1654" i="11"/>
  <c r="Z1654" i="11" s="1"/>
  <c r="W1655" i="11"/>
  <c r="W1656" i="11"/>
  <c r="Z1656" i="11" s="1"/>
  <c r="W1657" i="11"/>
  <c r="W1658" i="11"/>
  <c r="X1658" i="11" s="1"/>
  <c r="W1659" i="11"/>
  <c r="W1660" i="11"/>
  <c r="W1661" i="11"/>
  <c r="W1662" i="11"/>
  <c r="Z1662" i="11" s="1"/>
  <c r="W1663" i="11"/>
  <c r="W1664" i="11"/>
  <c r="Z1664" i="11" s="1"/>
  <c r="W1665" i="11"/>
  <c r="W1666" i="11"/>
  <c r="Z1666" i="11" s="1"/>
  <c r="W1667" i="11"/>
  <c r="Z1667" i="11" s="1"/>
  <c r="W1668" i="11"/>
  <c r="W1669" i="11"/>
  <c r="Z1669" i="11" s="1"/>
  <c r="W1670" i="11"/>
  <c r="X1670" i="11" s="1"/>
  <c r="W1671" i="11"/>
  <c r="W1672" i="11"/>
  <c r="Z1672" i="11" s="1"/>
  <c r="W1673" i="11"/>
  <c r="Z1673" i="11" s="1"/>
  <c r="W1674" i="11"/>
  <c r="W1675" i="11"/>
  <c r="Z1675" i="11" s="1"/>
  <c r="W1676" i="11"/>
  <c r="W1677" i="11"/>
  <c r="X1677" i="11" s="1"/>
  <c r="W1678" i="11"/>
  <c r="W1679" i="11"/>
  <c r="W1680" i="11"/>
  <c r="X1680" i="11" s="1"/>
  <c r="W1681" i="11"/>
  <c r="W1682" i="11"/>
  <c r="W1683" i="11"/>
  <c r="W1684" i="11"/>
  <c r="W1687" i="11"/>
  <c r="W1688" i="11"/>
  <c r="Z1688" i="11" s="1"/>
  <c r="W1689" i="11"/>
  <c r="W1690" i="11"/>
  <c r="W1692" i="11"/>
  <c r="W1695" i="11"/>
  <c r="X1695" i="11" s="1"/>
  <c r="W1696" i="11"/>
  <c r="X1696" i="11" s="1"/>
  <c r="W1697" i="11"/>
  <c r="Z1697" i="11" s="1"/>
  <c r="W1698" i="11"/>
  <c r="W1699" i="11"/>
  <c r="W1700" i="11"/>
  <c r="W1701" i="11"/>
  <c r="W1703" i="11"/>
  <c r="W1704" i="11"/>
  <c r="W1705" i="11"/>
  <c r="W1706" i="11"/>
  <c r="W1708" i="11"/>
  <c r="W1711" i="11"/>
  <c r="W1712" i="11"/>
  <c r="W1713" i="11"/>
  <c r="Z1713" i="11" s="1"/>
  <c r="W1714" i="11"/>
  <c r="Z1714" i="11" s="1"/>
  <c r="W1716" i="11"/>
  <c r="W1719" i="11"/>
  <c r="W1720" i="11"/>
  <c r="W1721" i="11"/>
  <c r="Z1721" i="11" s="1"/>
  <c r="W1722" i="11"/>
  <c r="Z1722" i="11" s="1"/>
  <c r="W1724" i="11"/>
  <c r="W1727" i="11"/>
  <c r="W1728" i="11"/>
  <c r="W1729" i="11"/>
  <c r="W1730" i="11"/>
  <c r="X1730" i="11" s="1"/>
  <c r="W1731" i="11"/>
  <c r="W1732" i="11"/>
  <c r="W1733" i="11"/>
  <c r="W1734" i="11"/>
  <c r="Z1734" i="11" s="1"/>
  <c r="W1735" i="11"/>
  <c r="W1736" i="11"/>
  <c r="W1737" i="11"/>
  <c r="W1738" i="11"/>
  <c r="Z1738" i="11" s="1"/>
  <c r="W1739" i="11"/>
  <c r="X1739" i="11" s="1"/>
  <c r="W1740" i="11"/>
  <c r="W1741" i="11"/>
  <c r="W1742" i="11"/>
  <c r="Z1742" i="11" s="1"/>
  <c r="W1743" i="11"/>
  <c r="W1744" i="11"/>
  <c r="W1745" i="11"/>
  <c r="W1746" i="11"/>
  <c r="X1746" i="11" s="1"/>
  <c r="W1747" i="11"/>
  <c r="W1748" i="11"/>
  <c r="W1749" i="11"/>
  <c r="W1750" i="11"/>
  <c r="W1751" i="11"/>
  <c r="W1752" i="11"/>
  <c r="W1753" i="11"/>
  <c r="W1754" i="11"/>
  <c r="Z1754" i="11" s="1"/>
  <c r="W1755" i="11"/>
  <c r="Z1755" i="11" s="1"/>
  <c r="W1756" i="11"/>
  <c r="W1757" i="11"/>
  <c r="W1758" i="11"/>
  <c r="W1759" i="11"/>
  <c r="W1760" i="11"/>
  <c r="X1760" i="11" s="1"/>
  <c r="W1761" i="11"/>
  <c r="X1761" i="11" s="1"/>
  <c r="W1762" i="11"/>
  <c r="X1762" i="11" s="1"/>
  <c r="W1763" i="11"/>
  <c r="W1764" i="11"/>
  <c r="W1765" i="11"/>
  <c r="W1766" i="11"/>
  <c r="W1767" i="11"/>
  <c r="W1768" i="11"/>
  <c r="Z1768" i="11" s="1"/>
  <c r="W1769" i="11"/>
  <c r="Z1769" i="11" s="1"/>
  <c r="W1770" i="11"/>
  <c r="Z1770" i="11" s="1"/>
  <c r="W1771" i="11"/>
  <c r="X1771" i="11" s="1"/>
  <c r="W1772" i="11"/>
  <c r="W1773" i="11"/>
  <c r="W1774" i="11"/>
  <c r="X1774" i="11" s="1"/>
  <c r="W1775" i="11"/>
  <c r="W1776" i="11"/>
  <c r="Z1776" i="11" s="1"/>
  <c r="W1777" i="11"/>
  <c r="Z1777" i="11" s="1"/>
  <c r="W1778" i="11"/>
  <c r="Z1778" i="11" s="1"/>
  <c r="W1779" i="11"/>
  <c r="W1780" i="11"/>
  <c r="W1781" i="11"/>
  <c r="W1782" i="11"/>
  <c r="Z1782" i="11" s="1"/>
  <c r="W1783" i="11"/>
  <c r="W1784" i="11"/>
  <c r="X1784" i="11" s="1"/>
  <c r="W1785" i="11"/>
  <c r="Z1785" i="11" s="1"/>
  <c r="W1786" i="11"/>
  <c r="X1786" i="11" s="1"/>
  <c r="W1787" i="11"/>
  <c r="W1788" i="11"/>
  <c r="W1789" i="11"/>
  <c r="W1791" i="11"/>
  <c r="X1791" i="11" s="1"/>
  <c r="W1792" i="11"/>
  <c r="X1792" i="11" s="1"/>
  <c r="W1793" i="11"/>
  <c r="Z1793" i="11" s="1"/>
  <c r="W1794" i="11"/>
  <c r="X1794" i="11" s="1"/>
  <c r="W1796" i="11"/>
  <c r="W1799" i="11"/>
  <c r="X1799" i="11" s="1"/>
  <c r="W1800" i="11"/>
  <c r="Z1800" i="11" s="1"/>
  <c r="W1801" i="11"/>
  <c r="Z1801" i="11" s="1"/>
  <c r="W1802" i="11"/>
  <c r="Z1802" i="11" s="1"/>
  <c r="W1804" i="11"/>
  <c r="W1807" i="11"/>
  <c r="W1808" i="11"/>
  <c r="Z1808" i="11" s="1"/>
  <c r="W1809" i="11"/>
  <c r="Z1809" i="11" s="1"/>
  <c r="W1810" i="11"/>
  <c r="Z1810" i="11" s="1"/>
  <c r="W1812" i="11"/>
  <c r="W1815" i="11"/>
  <c r="W1816" i="11"/>
  <c r="Z1816" i="11" s="1"/>
  <c r="W1817" i="11"/>
  <c r="Z1817" i="11" s="1"/>
  <c r="W1818" i="11"/>
  <c r="X1818" i="11" s="1"/>
  <c r="W1819" i="11"/>
  <c r="W1820" i="11"/>
  <c r="W1823" i="11"/>
  <c r="X1823" i="11" s="1"/>
  <c r="W1824" i="11"/>
  <c r="Z1824" i="11" s="1"/>
  <c r="W1825" i="11"/>
  <c r="Z1825" i="11" s="1"/>
  <c r="W1826" i="11"/>
  <c r="Z1826" i="11" s="1"/>
  <c r="W1828" i="11"/>
  <c r="W1831" i="11"/>
  <c r="Z1831" i="11" s="1"/>
  <c r="W1832" i="11"/>
  <c r="W1833" i="11"/>
  <c r="Z1833" i="11" s="1"/>
  <c r="W1834" i="11"/>
  <c r="X1834" i="11" s="1"/>
  <c r="W1835" i="11"/>
  <c r="W1836" i="11"/>
  <c r="W1837" i="11"/>
  <c r="W1838" i="11"/>
  <c r="X1838" i="11" s="1"/>
  <c r="W1839" i="11"/>
  <c r="W1840" i="11"/>
  <c r="Z1840" i="11" s="1"/>
  <c r="W1841" i="11"/>
  <c r="X1841" i="11" s="1"/>
  <c r="W1842" i="11"/>
  <c r="X1842" i="11" s="1"/>
  <c r="W1843" i="11"/>
  <c r="W1844" i="11"/>
  <c r="W1845" i="11"/>
  <c r="W1846" i="11"/>
  <c r="X1846" i="11" s="1"/>
  <c r="W1847" i="11"/>
  <c r="W1848" i="11"/>
  <c r="Z1848" i="11" s="1"/>
  <c r="W1849" i="11"/>
  <c r="Z1849" i="11" s="1"/>
  <c r="W1850" i="11"/>
  <c r="Z1850" i="11" s="1"/>
  <c r="W1851" i="11"/>
  <c r="W1852" i="11"/>
  <c r="W1853" i="11"/>
  <c r="W1854" i="11"/>
  <c r="W1855" i="11"/>
  <c r="W1856" i="11"/>
  <c r="Z1856" i="11" s="1"/>
  <c r="W1857" i="11"/>
  <c r="X1857" i="11" s="1"/>
  <c r="W1858" i="11"/>
  <c r="X1858" i="11" s="1"/>
  <c r="W1859" i="11"/>
  <c r="W1860" i="11"/>
  <c r="W1861" i="11"/>
  <c r="W1862" i="11"/>
  <c r="X1862" i="11" s="1"/>
  <c r="W1863" i="11"/>
  <c r="Z1863" i="11" s="1"/>
  <c r="W1864" i="11"/>
  <c r="X1864" i="11" s="1"/>
  <c r="W1865" i="11"/>
  <c r="W1866" i="11"/>
  <c r="Z1866" i="11" s="1"/>
  <c r="W1867" i="11"/>
  <c r="W1868" i="11"/>
  <c r="W1869" i="11"/>
  <c r="W1870" i="11"/>
  <c r="Z1870" i="11" s="1"/>
  <c r="W1871" i="11"/>
  <c r="Z1871" i="11" s="1"/>
  <c r="W1872" i="11"/>
  <c r="Z1872" i="11" s="1"/>
  <c r="W1873" i="11"/>
  <c r="W1874" i="11"/>
  <c r="X1874" i="11" s="1"/>
  <c r="W1875" i="11"/>
  <c r="W1876" i="11"/>
  <c r="W1877" i="11"/>
  <c r="W1878" i="11"/>
  <c r="W1879" i="11"/>
  <c r="Z1879" i="11" s="1"/>
  <c r="W1880" i="11"/>
  <c r="Z1880" i="11" s="1"/>
  <c r="W1881" i="11"/>
  <c r="W1882" i="11"/>
  <c r="X1882" i="11" s="1"/>
  <c r="W1883" i="11"/>
  <c r="W1884" i="11"/>
  <c r="W1885" i="11"/>
  <c r="W1886" i="11"/>
  <c r="Z1886" i="11" s="1"/>
  <c r="W1887" i="11"/>
  <c r="W1888" i="11"/>
  <c r="X1888" i="11" s="1"/>
  <c r="W1889" i="11"/>
  <c r="Z1889" i="11" s="1"/>
  <c r="W1890" i="11"/>
  <c r="Z1890" i="11" s="1"/>
  <c r="W1891" i="11"/>
  <c r="W1892" i="11"/>
  <c r="W1893" i="11"/>
  <c r="W1894" i="11"/>
  <c r="X1894" i="11" s="1"/>
  <c r="W1895" i="11"/>
  <c r="W1896" i="11"/>
  <c r="W1897" i="11"/>
  <c r="Z1897" i="11" s="1"/>
  <c r="W1898" i="11"/>
  <c r="Z1898" i="11" s="1"/>
  <c r="W1900" i="11"/>
  <c r="W1903" i="11"/>
  <c r="W1904" i="11"/>
  <c r="Z1904" i="11" s="1"/>
  <c r="W1905" i="11"/>
  <c r="W1906" i="11"/>
  <c r="W1908" i="11"/>
  <c r="W1911" i="11"/>
  <c r="X1911" i="11" s="1"/>
  <c r="W1912" i="11"/>
  <c r="Z1912" i="11" s="1"/>
  <c r="W1913" i="11"/>
  <c r="W1914" i="11"/>
  <c r="X1914" i="11" s="1"/>
  <c r="W1916" i="11"/>
  <c r="W1919" i="11"/>
  <c r="W1920" i="11"/>
  <c r="Z1920" i="11" s="1"/>
  <c r="W1921" i="11"/>
  <c r="Z1921" i="11" s="1"/>
  <c r="W1922" i="11"/>
  <c r="W1924" i="11"/>
  <c r="W1927" i="11"/>
  <c r="W1928" i="11"/>
  <c r="X1928" i="11" s="1"/>
  <c r="W1929" i="11"/>
  <c r="Z1929" i="11" s="1"/>
  <c r="W1930" i="11"/>
  <c r="W1932" i="11"/>
  <c r="W1935" i="11"/>
  <c r="X1935" i="11" s="1"/>
  <c r="W1936" i="11"/>
  <c r="W1937" i="11"/>
  <c r="W1938" i="11"/>
  <c r="W1939" i="11"/>
  <c r="W1940" i="11"/>
  <c r="W1941" i="11"/>
  <c r="W1942" i="11"/>
  <c r="X1942" i="11" s="1"/>
  <c r="W1943" i="11"/>
  <c r="W1944" i="11"/>
  <c r="Z1944" i="11" s="1"/>
  <c r="W1945" i="11"/>
  <c r="Z1945" i="11" s="1"/>
  <c r="W1946" i="11"/>
  <c r="W1947" i="11"/>
  <c r="Z1947" i="11" s="1"/>
  <c r="W1948" i="11"/>
  <c r="W1949" i="11"/>
  <c r="Z1949" i="11" s="1"/>
  <c r="W1950" i="11"/>
  <c r="Z1950" i="11" s="1"/>
  <c r="W1951" i="11"/>
  <c r="W1952" i="11"/>
  <c r="W1953" i="11"/>
  <c r="Z1953" i="11" s="1"/>
  <c r="W1954" i="11"/>
  <c r="W1955" i="11"/>
  <c r="W1956" i="11"/>
  <c r="W1957" i="11"/>
  <c r="W1958" i="11"/>
  <c r="Z1958" i="11" s="1"/>
  <c r="W1959" i="11"/>
  <c r="W1960" i="11"/>
  <c r="W1961" i="11"/>
  <c r="Z1961" i="11" s="1"/>
  <c r="W1962" i="11"/>
  <c r="Z1962" i="11" s="1"/>
  <c r="W1963" i="11"/>
  <c r="W1964" i="11"/>
  <c r="W1965" i="11"/>
  <c r="W1966" i="11"/>
  <c r="Z1966" i="11" s="1"/>
  <c r="W1967" i="11"/>
  <c r="Z1967" i="11" s="1"/>
  <c r="W1968" i="11"/>
  <c r="X1968" i="11" s="1"/>
  <c r="W1969" i="11"/>
  <c r="X1969" i="11" s="1"/>
  <c r="W1970" i="11"/>
  <c r="W1971" i="11"/>
  <c r="Z1971" i="11" s="1"/>
  <c r="W1972" i="11"/>
  <c r="W1973" i="11"/>
  <c r="Z1973" i="11" s="1"/>
  <c r="W1974" i="11"/>
  <c r="Z1974" i="11" s="1"/>
  <c r="W1975" i="11"/>
  <c r="W1976" i="11"/>
  <c r="W1977" i="11"/>
  <c r="Z1977" i="11" s="1"/>
  <c r="W1978" i="11"/>
  <c r="Z1978" i="11" s="1"/>
  <c r="W1979" i="11"/>
  <c r="Z1979" i="11" s="1"/>
  <c r="W1980" i="11"/>
  <c r="W1981" i="11"/>
  <c r="Z1981" i="11" s="1"/>
  <c r="W1982" i="11"/>
  <c r="X1982" i="11" s="1"/>
  <c r="W1983" i="11"/>
  <c r="W1984" i="11"/>
  <c r="X1984" i="11" s="1"/>
  <c r="W1985" i="11"/>
  <c r="W1986" i="11"/>
  <c r="Z1986" i="11" s="1"/>
  <c r="W1987" i="11"/>
  <c r="Z1987" i="11" s="1"/>
  <c r="W1988" i="11"/>
  <c r="W1989" i="11"/>
  <c r="W1990" i="11"/>
  <c r="Z1990" i="11" s="1"/>
  <c r="W1991" i="11"/>
  <c r="W1992" i="11"/>
  <c r="Z1992" i="11" s="1"/>
  <c r="W1993" i="11"/>
  <c r="W1994" i="11"/>
  <c r="W1995" i="11"/>
  <c r="W1996" i="11"/>
  <c r="W1997" i="11"/>
  <c r="Z1997" i="11" s="1"/>
  <c r="W1998" i="11"/>
  <c r="Z1998" i="11" s="1"/>
  <c r="W1999" i="11"/>
  <c r="W2000" i="11"/>
  <c r="W2001" i="11"/>
  <c r="W2002" i="11"/>
  <c r="W2004" i="11"/>
  <c r="W2007" i="11"/>
  <c r="Z2007" i="11" s="1"/>
  <c r="W2008" i="11"/>
  <c r="Z2008" i="11" s="1"/>
  <c r="W2009" i="11"/>
  <c r="W2010" i="11"/>
  <c r="W2011" i="11"/>
  <c r="W2012" i="11"/>
  <c r="W2015" i="11"/>
  <c r="W2016" i="11"/>
  <c r="Z2016" i="11" s="1"/>
  <c r="W2017" i="11"/>
  <c r="Z2017" i="11" s="1"/>
  <c r="W2018" i="11"/>
  <c r="W2020" i="11"/>
  <c r="W2023" i="11"/>
  <c r="W2024" i="11"/>
  <c r="Z2024" i="11" s="1"/>
  <c r="W2025" i="11"/>
  <c r="W2026" i="11"/>
  <c r="W2028" i="11"/>
  <c r="W2031" i="11"/>
  <c r="X2031" i="11" s="1"/>
  <c r="W2032" i="11"/>
  <c r="Z2032" i="11" s="1"/>
  <c r="W2033" i="11"/>
  <c r="Z2033" i="11" s="1"/>
  <c r="W2034" i="11"/>
  <c r="Z2034" i="11" s="1"/>
  <c r="W2036" i="11"/>
  <c r="W2039" i="11"/>
  <c r="X2039" i="11" s="1"/>
  <c r="W2040" i="11"/>
  <c r="Z2040" i="11" s="1"/>
  <c r="W2041" i="11"/>
  <c r="Z2041" i="11" s="1"/>
  <c r="W2042" i="11"/>
  <c r="W2043" i="11"/>
  <c r="W2044" i="11"/>
  <c r="W2045" i="11"/>
  <c r="W2046" i="11"/>
  <c r="Z2046" i="11" s="1"/>
  <c r="W2047" i="11"/>
  <c r="Z2047" i="11" s="1"/>
  <c r="W2048" i="11"/>
  <c r="Z2048" i="11" s="1"/>
  <c r="W2049" i="11"/>
  <c r="X2049" i="11" s="1"/>
  <c r="W2050" i="11"/>
  <c r="W2051" i="11"/>
  <c r="Z2051" i="11" s="1"/>
  <c r="W2052" i="11"/>
  <c r="W2053" i="11"/>
  <c r="W2054" i="11"/>
  <c r="X2054" i="11" s="1"/>
  <c r="W2055" i="11"/>
  <c r="W2056" i="11"/>
  <c r="X2056" i="11" s="1"/>
  <c r="W2057" i="11"/>
  <c r="W2058" i="11"/>
  <c r="W2059" i="11"/>
  <c r="Z2059" i="11" s="1"/>
  <c r="W2060" i="11"/>
  <c r="W2061" i="11"/>
  <c r="W2062" i="11"/>
  <c r="Z2062" i="11" s="1"/>
  <c r="W2063" i="11"/>
  <c r="X2063" i="11" s="1"/>
  <c r="W2064" i="11"/>
  <c r="Z2064" i="11" s="1"/>
  <c r="W2065" i="11"/>
  <c r="W2066" i="11"/>
  <c r="X2066" i="11" s="1"/>
  <c r="W2067" i="11"/>
  <c r="W2068" i="11"/>
  <c r="W2069" i="11"/>
  <c r="W2070" i="11"/>
  <c r="W2071" i="11"/>
  <c r="W2072" i="11"/>
  <c r="W2073" i="11"/>
  <c r="Z2073" i="11" s="1"/>
  <c r="W2074" i="11"/>
  <c r="Z2074" i="11" s="1"/>
  <c r="W2075" i="11"/>
  <c r="W2076" i="11"/>
  <c r="W2077" i="11"/>
  <c r="W2078" i="11"/>
  <c r="Z2078" i="11" s="1"/>
  <c r="W2079" i="11"/>
  <c r="W2080" i="11"/>
  <c r="W2081" i="11"/>
  <c r="Z2081" i="11" s="1"/>
  <c r="W2082" i="11"/>
  <c r="W2083" i="11"/>
  <c r="Z2083" i="11" s="1"/>
  <c r="W2084" i="11"/>
  <c r="W2085" i="11"/>
  <c r="W2086" i="11"/>
  <c r="W2087" i="11"/>
  <c r="X2087" i="11" s="1"/>
  <c r="W2088" i="11"/>
  <c r="W2089" i="11"/>
  <c r="W2090" i="11"/>
  <c r="W2091" i="11"/>
  <c r="W2092" i="11"/>
  <c r="W2093" i="11"/>
  <c r="W2094" i="11"/>
  <c r="X2094" i="11" s="1"/>
  <c r="W2095" i="11"/>
  <c r="W2096" i="11"/>
  <c r="W2097" i="11"/>
  <c r="X2097" i="11" s="1"/>
  <c r="W2098" i="11"/>
  <c r="W2099" i="11"/>
  <c r="W2100" i="11"/>
  <c r="W2101" i="11"/>
  <c r="X2101" i="11" s="1"/>
  <c r="W2102" i="11"/>
  <c r="X2102" i="11" s="1"/>
  <c r="W2103" i="11"/>
  <c r="X2103" i="11" s="1"/>
  <c r="W2104" i="11"/>
  <c r="Z2104" i="11" s="1"/>
  <c r="W2105" i="11"/>
  <c r="W2106" i="11"/>
  <c r="X2106" i="11" s="1"/>
  <c r="W2108" i="11"/>
  <c r="W2111" i="11"/>
  <c r="W2112" i="11"/>
  <c r="W2113" i="11"/>
  <c r="X2113" i="11" s="1"/>
  <c r="W2114" i="11"/>
  <c r="W2116" i="11"/>
  <c r="W2119" i="11"/>
  <c r="W2120" i="11"/>
  <c r="W2121" i="11"/>
  <c r="Z2121" i="11" s="1"/>
  <c r="W2122" i="11"/>
  <c r="W2124" i="11"/>
  <c r="W2127" i="11"/>
  <c r="W2128" i="11"/>
  <c r="W2129" i="11"/>
  <c r="W2130" i="11"/>
  <c r="W2132" i="11"/>
  <c r="W2135" i="11"/>
  <c r="Z2135" i="11" s="1"/>
  <c r="W2136" i="11"/>
  <c r="W2137" i="11"/>
  <c r="W2138" i="11"/>
  <c r="W2139" i="11"/>
  <c r="W2140" i="11"/>
  <c r="W2143" i="11"/>
  <c r="W2144" i="11"/>
  <c r="Z2144" i="11" s="1"/>
  <c r="W2145" i="11"/>
  <c r="X2145" i="11" s="1"/>
  <c r="W2146" i="11"/>
  <c r="Z2146" i="11" s="1"/>
  <c r="W2147" i="11"/>
  <c r="Z2147" i="11" s="1"/>
  <c r="W2148" i="11"/>
  <c r="W2149" i="11"/>
  <c r="Z2149" i="11" s="1"/>
  <c r="W2150" i="11"/>
  <c r="Z2150" i="11" s="1"/>
  <c r="W2151" i="11"/>
  <c r="W2152" i="11"/>
  <c r="W2153" i="11"/>
  <c r="W2154" i="11"/>
  <c r="W2155" i="11"/>
  <c r="X2155" i="11" s="1"/>
  <c r="W2156" i="11"/>
  <c r="W2157" i="11"/>
  <c r="X2157" i="11" s="1"/>
  <c r="W2158" i="11"/>
  <c r="Z2158" i="11" s="1"/>
  <c r="W2159" i="11"/>
  <c r="W2160" i="11"/>
  <c r="W2161" i="11"/>
  <c r="Z2161" i="11" s="1"/>
  <c r="W2162" i="11"/>
  <c r="Z2162" i="11" s="1"/>
  <c r="W2163" i="11"/>
  <c r="Z2163" i="11" s="1"/>
  <c r="W2164" i="11"/>
  <c r="W2165" i="11"/>
  <c r="W2166" i="11"/>
  <c r="Z2166" i="11" s="1"/>
  <c r="W2167" i="11"/>
  <c r="W2168" i="11"/>
  <c r="W2169" i="11"/>
  <c r="Z2169" i="11" s="1"/>
  <c r="W2170" i="11"/>
  <c r="W2171" i="11"/>
  <c r="Z2171" i="11" s="1"/>
  <c r="W2172" i="11"/>
  <c r="W2173" i="11"/>
  <c r="Z2173" i="11" s="1"/>
  <c r="W2174" i="11"/>
  <c r="Z2174" i="11" s="1"/>
  <c r="W2175" i="11"/>
  <c r="W2176" i="11"/>
  <c r="W2177" i="11"/>
  <c r="Z2177" i="11" s="1"/>
  <c r="W2178" i="11"/>
  <c r="W2179" i="11"/>
  <c r="Z2179" i="11" s="1"/>
  <c r="W2180" i="11"/>
  <c r="W2181" i="11"/>
  <c r="W2182" i="11"/>
  <c r="Z2182" i="11" s="1"/>
  <c r="W2183" i="11"/>
  <c r="W2184" i="11"/>
  <c r="W2185" i="11"/>
  <c r="W2186" i="11"/>
  <c r="W2187" i="11"/>
  <c r="X2187" i="11" s="1"/>
  <c r="W2188" i="11"/>
  <c r="W2189" i="11"/>
  <c r="Z2189" i="11" s="1"/>
  <c r="W2190" i="11"/>
  <c r="X2190" i="11" s="1"/>
  <c r="W2191" i="11"/>
  <c r="W2192" i="11"/>
  <c r="Z2192" i="11" s="1"/>
  <c r="W2193" i="11"/>
  <c r="X2193" i="11" s="1"/>
  <c r="W2194" i="11"/>
  <c r="W2195" i="11"/>
  <c r="Z2195" i="11" s="1"/>
  <c r="W2196" i="11"/>
  <c r="W2197" i="11"/>
  <c r="Z2197" i="11" s="1"/>
  <c r="W2198" i="11"/>
  <c r="Z2198" i="11" s="1"/>
  <c r="W2199" i="11"/>
  <c r="Z2199" i="11" s="1"/>
  <c r="W2200" i="11"/>
  <c r="X2200" i="11" s="1"/>
  <c r="W2201" i="11"/>
  <c r="W2202" i="11"/>
  <c r="Z2202" i="11" s="1"/>
  <c r="W2203" i="11"/>
  <c r="Z2203" i="11" s="1"/>
  <c r="W2204" i="11"/>
  <c r="W2205" i="11"/>
  <c r="W2206" i="11"/>
  <c r="Z2206" i="11" s="1"/>
  <c r="W2207" i="11"/>
  <c r="W2208" i="11"/>
  <c r="W2209" i="11"/>
  <c r="Z2209" i="11" s="1"/>
  <c r="W2210" i="11"/>
  <c r="Z2210" i="11" s="1"/>
  <c r="W2211" i="11"/>
  <c r="Z2211" i="11" s="1"/>
  <c r="W2212" i="11"/>
  <c r="W2213" i="11"/>
  <c r="X2213" i="11" s="1"/>
  <c r="W2216" i="11"/>
  <c r="Z2216" i="11" s="1"/>
  <c r="W2217" i="11"/>
  <c r="X2217" i="11" s="1"/>
  <c r="W2218" i="11"/>
  <c r="Z2218" i="11" s="1"/>
  <c r="W2219" i="11"/>
  <c r="W2221" i="11"/>
  <c r="W2224" i="11"/>
  <c r="W2225" i="11"/>
  <c r="W2226" i="11"/>
  <c r="X2226" i="11" s="1"/>
  <c r="W2227" i="11"/>
  <c r="X2227" i="11" s="1"/>
  <c r="W2229" i="11"/>
  <c r="Z2229" i="11" s="1"/>
  <c r="W2232" i="11"/>
  <c r="W2233" i="11"/>
  <c r="Z2233" i="11" s="1"/>
  <c r="W2234" i="11"/>
  <c r="Z2234" i="11" s="1"/>
  <c r="W2235" i="11"/>
  <c r="X2235" i="11" s="1"/>
  <c r="W2237" i="11"/>
  <c r="Z2237" i="11" s="1"/>
  <c r="W2240" i="11"/>
  <c r="W2241" i="11"/>
  <c r="W2242" i="11"/>
  <c r="Z2242" i="11" s="1"/>
  <c r="W2243" i="11"/>
  <c r="Z2243" i="11" s="1"/>
  <c r="W2245" i="11"/>
  <c r="X2245" i="11" s="1"/>
  <c r="W2248" i="11"/>
  <c r="X2248" i="11" s="1"/>
  <c r="W2249" i="11"/>
  <c r="Z2249" i="11" s="1"/>
  <c r="W2250" i="11"/>
  <c r="X2250" i="11" s="1"/>
  <c r="W2251" i="11"/>
  <c r="W2252" i="11"/>
  <c r="W2253" i="11"/>
  <c r="X2253" i="11" s="1"/>
  <c r="W2254" i="11"/>
  <c r="W2255" i="11"/>
  <c r="W2256" i="11"/>
  <c r="W2257" i="11"/>
  <c r="X2257" i="11" s="1"/>
  <c r="W2258" i="11"/>
  <c r="Z2258" i="11" s="1"/>
  <c r="W2259" i="11"/>
  <c r="W2260" i="11"/>
  <c r="W2261" i="11"/>
  <c r="Z2261" i="11" s="1"/>
  <c r="W2262" i="11"/>
  <c r="W2263" i="11"/>
  <c r="W2264" i="11"/>
  <c r="W2265" i="11"/>
  <c r="W2266" i="11"/>
  <c r="Z2266" i="11" s="1"/>
  <c r="W2267" i="11"/>
  <c r="W2268" i="11"/>
  <c r="W2269" i="11"/>
  <c r="X2269" i="11" s="1"/>
  <c r="W2270" i="11"/>
  <c r="W2271" i="11"/>
  <c r="W2272" i="11"/>
  <c r="W2273" i="11"/>
  <c r="X2273" i="11" s="1"/>
  <c r="W2274" i="11"/>
  <c r="Z2274" i="11" s="1"/>
  <c r="W2275" i="11"/>
  <c r="Z2275" i="11" s="1"/>
  <c r="W2276" i="11"/>
  <c r="W2277" i="11"/>
  <c r="Z2277" i="11" s="1"/>
  <c r="W2278" i="11"/>
  <c r="X2278" i="11" s="1"/>
  <c r="W2279" i="11"/>
  <c r="W2280" i="11"/>
  <c r="W2281" i="11"/>
  <c r="Z2281" i="11" s="1"/>
  <c r="W2282" i="11"/>
  <c r="W2283" i="11"/>
  <c r="Z2283" i="11" s="1"/>
  <c r="W2284" i="11"/>
  <c r="W2285" i="11"/>
  <c r="W2286" i="11"/>
  <c r="X2286" i="11" s="1"/>
  <c r="W2287" i="11"/>
  <c r="Z2287" i="11" s="1"/>
  <c r="W2288" i="11"/>
  <c r="Z2288" i="11" s="1"/>
  <c r="W2289" i="11"/>
  <c r="Z2289" i="11" s="1"/>
  <c r="W2290" i="11"/>
  <c r="W2291" i="11"/>
  <c r="W2292" i="11"/>
  <c r="W2293" i="11"/>
  <c r="Z2293" i="11" s="1"/>
  <c r="W2294" i="11"/>
  <c r="X2294" i="11" s="1"/>
  <c r="W2295" i="11"/>
  <c r="X2295" i="11" s="1"/>
  <c r="W2296" i="11"/>
  <c r="W2297" i="11"/>
  <c r="X2297" i="11" s="1"/>
  <c r="W2298" i="11"/>
  <c r="W2299" i="11"/>
  <c r="Z2299" i="11" s="1"/>
  <c r="W2300" i="11"/>
  <c r="W2301" i="11"/>
  <c r="W2302" i="11"/>
  <c r="X2302" i="11" s="1"/>
  <c r="W2303" i="11"/>
  <c r="W2304" i="11"/>
  <c r="W2305" i="11"/>
  <c r="X2305" i="11" s="1"/>
  <c r="W2306" i="11"/>
  <c r="W2307" i="11"/>
  <c r="X2307" i="11" s="1"/>
  <c r="W2308" i="11"/>
  <c r="W2309" i="11"/>
  <c r="W2310" i="11"/>
  <c r="X2310" i="11" s="1"/>
  <c r="W2311" i="11"/>
  <c r="X2311" i="11" s="1"/>
  <c r="W2312" i="11"/>
  <c r="W2313" i="11"/>
  <c r="Z2313" i="11" s="1"/>
  <c r="W2314" i="11"/>
  <c r="W2315" i="11"/>
  <c r="W2317" i="11"/>
  <c r="W2320" i="11"/>
  <c r="W2321" i="11"/>
  <c r="Z2321" i="11" s="1"/>
  <c r="W2322" i="11"/>
  <c r="W2323" i="11"/>
  <c r="X2323" i="11" s="1"/>
  <c r="W2325" i="11"/>
  <c r="Z2325" i="11" s="1"/>
  <c r="W2328" i="11"/>
  <c r="X2328" i="11" s="1"/>
  <c r="W2329" i="11"/>
  <c r="X2329" i="11" s="1"/>
  <c r="W2330" i="11"/>
  <c r="W2331" i="11"/>
  <c r="W2333" i="11"/>
  <c r="Z2333" i="11" s="1"/>
  <c r="W2336" i="11"/>
  <c r="W2337" i="11"/>
  <c r="Z2337" i="11" s="1"/>
  <c r="W2338" i="11"/>
  <c r="X2338" i="11" s="1"/>
  <c r="W2339" i="11"/>
  <c r="W2340" i="11"/>
  <c r="W2341" i="11"/>
  <c r="Z2341" i="11" s="1"/>
  <c r="W2344" i="11"/>
  <c r="Z2344" i="11" s="1"/>
  <c r="W2345" i="11"/>
  <c r="W2346" i="11"/>
  <c r="Z2346" i="11" s="1"/>
  <c r="W2347" i="11"/>
  <c r="X2347" i="11" s="1"/>
  <c r="W2349" i="11"/>
  <c r="W2352" i="11"/>
  <c r="W2353" i="11"/>
  <c r="X2353" i="11" s="1"/>
  <c r="W2354" i="11"/>
  <c r="Z2354" i="11" s="1"/>
  <c r="W2355" i="11"/>
  <c r="Z2355" i="11" s="1"/>
  <c r="W2357" i="11"/>
  <c r="W2358" i="11"/>
  <c r="Z2358" i="11" s="1"/>
  <c r="W2359" i="11"/>
  <c r="W2360" i="11"/>
  <c r="W2361" i="11"/>
  <c r="Z2361" i="11" s="1"/>
  <c r="W2362" i="11"/>
  <c r="Z2362" i="11" s="1"/>
  <c r="W2363" i="11"/>
  <c r="Z2363" i="11" s="1"/>
  <c r="W2364" i="11"/>
  <c r="W2365" i="11"/>
  <c r="Z2365" i="11" s="1"/>
  <c r="W2366" i="11"/>
  <c r="W2367" i="11"/>
  <c r="W2368" i="11"/>
  <c r="W2369" i="11"/>
  <c r="X2369" i="11" s="1"/>
  <c r="W2370" i="11"/>
  <c r="Z2370" i="11" s="1"/>
  <c r="W2371" i="11"/>
  <c r="Z2371" i="11" s="1"/>
  <c r="W2372" i="11"/>
  <c r="W2373" i="11"/>
  <c r="W2374" i="11"/>
  <c r="Z2374" i="11" s="1"/>
  <c r="W2375" i="11"/>
  <c r="W2376" i="11"/>
  <c r="Z2376" i="11" s="1"/>
  <c r="W2377" i="11"/>
  <c r="W2378" i="11"/>
  <c r="X2378" i="11" s="1"/>
  <c r="W2379" i="11"/>
  <c r="Z2379" i="11" s="1"/>
  <c r="W2380" i="11"/>
  <c r="W2381" i="11"/>
  <c r="W2382" i="11"/>
  <c r="W2383" i="11"/>
  <c r="W2384" i="11"/>
  <c r="Z2384" i="11" s="1"/>
  <c r="W2385" i="11"/>
  <c r="X2385" i="11" s="1"/>
  <c r="W2386" i="11"/>
  <c r="Z2386" i="11" s="1"/>
  <c r="W2387" i="11"/>
  <c r="X2387" i="11" s="1"/>
  <c r="W2388" i="11"/>
  <c r="W2389" i="11"/>
  <c r="W2390" i="11"/>
  <c r="X2390" i="11" s="1"/>
  <c r="W2391" i="11"/>
  <c r="W2392" i="11"/>
  <c r="X2392" i="11" s="1"/>
  <c r="W2393" i="11"/>
  <c r="Z2393" i="11" s="1"/>
  <c r="W2394" i="11"/>
  <c r="Z2394" i="11" s="1"/>
  <c r="W2395" i="11"/>
  <c r="Z2395" i="11" s="1"/>
  <c r="W2396" i="11"/>
  <c r="W2397" i="11"/>
  <c r="Z2397" i="11" s="1"/>
  <c r="W2398" i="11"/>
  <c r="X2398" i="11" s="1"/>
  <c r="W2399" i="11"/>
  <c r="W2400" i="11"/>
  <c r="Z2400" i="11" s="1"/>
  <c r="W2401" i="11"/>
  <c r="Z2401" i="11" s="1"/>
  <c r="W2402" i="11"/>
  <c r="Z2402" i="11" s="1"/>
  <c r="W2403" i="11"/>
  <c r="Z2403" i="11" s="1"/>
  <c r="W2404" i="11"/>
  <c r="W2405" i="11"/>
  <c r="X2405" i="11" s="1"/>
  <c r="W2406" i="11"/>
  <c r="W2407" i="11"/>
  <c r="Z2407" i="11" s="1"/>
  <c r="W2408" i="11"/>
  <c r="Z2408" i="11" s="1"/>
  <c r="W2409" i="11"/>
  <c r="Z2409" i="11" s="1"/>
  <c r="W2410" i="11"/>
  <c r="Z2410" i="11" s="1"/>
  <c r="W2411" i="11"/>
  <c r="Z2411" i="11" s="1"/>
  <c r="W2412" i="11"/>
  <c r="W2413" i="11"/>
  <c r="Z2413" i="11" s="1"/>
  <c r="W2414" i="11"/>
  <c r="Z2414" i="11" s="1"/>
  <c r="W2415" i="11"/>
  <c r="W2416" i="11"/>
  <c r="Z2416" i="11" s="1"/>
  <c r="W2417" i="11"/>
  <c r="Z2417" i="11" s="1"/>
  <c r="W2418" i="11"/>
  <c r="W2419" i="11"/>
  <c r="Z2419" i="11" s="1"/>
  <c r="W2421" i="11"/>
  <c r="X2421" i="11" s="1"/>
  <c r="W2424" i="11"/>
  <c r="Z2424" i="11" s="1"/>
  <c r="W2425" i="11"/>
  <c r="W2426" i="11"/>
  <c r="W2427" i="11"/>
  <c r="W2429" i="11"/>
  <c r="W2432" i="11"/>
  <c r="Z2432" i="11" s="1"/>
  <c r="W2433" i="11"/>
  <c r="W2434" i="11"/>
  <c r="W2435" i="11"/>
  <c r="X2435" i="11" s="1"/>
  <c r="W2437" i="11"/>
  <c r="Z2437" i="11" s="1"/>
  <c r="W2440" i="11"/>
  <c r="W2441" i="11"/>
  <c r="W2442" i="11"/>
  <c r="W2443" i="11"/>
  <c r="Z2443" i="11" s="1"/>
  <c r="W2445" i="11"/>
  <c r="Z2445" i="11" s="1"/>
  <c r="W2448" i="11"/>
  <c r="W2449" i="11"/>
  <c r="W2450" i="11"/>
  <c r="W2451" i="11"/>
  <c r="W2453" i="11"/>
  <c r="W2454" i="11"/>
  <c r="X2454" i="11" s="1"/>
  <c r="W2456" i="11"/>
  <c r="X2456" i="11" s="1"/>
  <c r="W2457" i="11"/>
  <c r="W2458" i="11"/>
  <c r="W2459" i="11"/>
  <c r="W2461" i="11"/>
  <c r="W2462" i="11"/>
  <c r="Z2462" i="11" s="1"/>
  <c r="W2463" i="11"/>
  <c r="W2464" i="11"/>
  <c r="W2465" i="11"/>
  <c r="W2466" i="11"/>
  <c r="W2467" i="11"/>
  <c r="W2468" i="11"/>
  <c r="W2469" i="11"/>
  <c r="W2470" i="11"/>
  <c r="Z2470" i="11" s="1"/>
  <c r="W2471" i="11"/>
  <c r="W2472" i="11"/>
  <c r="W2473" i="11"/>
  <c r="Z2473" i="11" s="1"/>
  <c r="W2474" i="11"/>
  <c r="W2475" i="11"/>
  <c r="W2476" i="11"/>
  <c r="W2477" i="11"/>
  <c r="W2478" i="11"/>
  <c r="X2478" i="11" s="1"/>
  <c r="W2479" i="11"/>
  <c r="W2480" i="11"/>
  <c r="W2481" i="11"/>
  <c r="W2482" i="11"/>
  <c r="W2483" i="11"/>
  <c r="W2484" i="11"/>
  <c r="W2485" i="11"/>
  <c r="W2486" i="11"/>
  <c r="Z2486" i="11" s="1"/>
  <c r="W2487" i="11"/>
  <c r="W2488" i="11"/>
  <c r="W2489" i="11"/>
  <c r="W2490" i="11"/>
  <c r="W2491" i="11"/>
  <c r="W2492" i="11"/>
  <c r="W2493" i="11"/>
  <c r="W2494" i="11"/>
  <c r="Z2494" i="11" s="1"/>
  <c r="W2495" i="11"/>
  <c r="W2496" i="11"/>
  <c r="W2497" i="11"/>
  <c r="Z2497" i="11" s="1"/>
  <c r="W2498" i="11"/>
  <c r="W2499" i="11"/>
  <c r="W2500" i="11"/>
  <c r="W2501" i="11"/>
  <c r="X2501" i="11" s="1"/>
  <c r="W2502" i="11"/>
  <c r="X2502" i="11" s="1"/>
  <c r="W2503" i="11"/>
  <c r="W2504" i="11"/>
  <c r="W2505" i="11"/>
  <c r="W2506" i="11"/>
  <c r="W2507" i="11"/>
  <c r="W2508" i="11"/>
  <c r="W2509" i="11"/>
  <c r="W2510" i="11"/>
  <c r="X2510" i="11" s="1"/>
  <c r="W2511" i="11"/>
  <c r="W2512" i="11"/>
  <c r="Z2512" i="11" s="1"/>
  <c r="W2513" i="11"/>
  <c r="Z2513" i="11" s="1"/>
  <c r="W2514" i="11"/>
  <c r="W2515" i="11"/>
  <c r="W2516" i="11"/>
  <c r="W2517" i="11"/>
  <c r="W2518" i="11"/>
  <c r="X2518" i="11" s="1"/>
  <c r="W2519" i="11"/>
  <c r="W2520" i="11"/>
  <c r="W2521" i="11"/>
  <c r="Z2521" i="11" s="1"/>
  <c r="W2522" i="11"/>
  <c r="X2522" i="11" s="1"/>
  <c r="W2523" i="11"/>
  <c r="W2524" i="11"/>
  <c r="W2525" i="11"/>
  <c r="Z2525" i="11" s="1"/>
  <c r="W2528" i="11"/>
  <c r="Z2528" i="11" s="1"/>
  <c r="W2529" i="11"/>
  <c r="Z2529" i="11" s="1"/>
  <c r="W2530" i="11"/>
  <c r="W2531" i="11"/>
  <c r="Z2531" i="11" s="1"/>
  <c r="W2532" i="11"/>
  <c r="W2533" i="11"/>
  <c r="Z2533" i="11" s="1"/>
  <c r="W2536" i="11"/>
  <c r="W2537" i="11"/>
  <c r="W2538" i="11"/>
  <c r="W2539" i="11"/>
  <c r="W2541" i="11"/>
  <c r="W2544" i="11"/>
  <c r="W2545" i="11"/>
  <c r="W2546" i="11"/>
  <c r="W2547" i="11"/>
  <c r="X2547" i="11" s="1"/>
  <c r="W2549" i="11"/>
  <c r="Z2549" i="11" s="1"/>
  <c r="W2552" i="11"/>
  <c r="Z2552" i="11" s="1"/>
  <c r="W2553" i="11"/>
  <c r="W2554" i="11"/>
  <c r="W2555" i="11"/>
  <c r="Z2555" i="11" s="1"/>
  <c r="W2557" i="11"/>
  <c r="W2560" i="11"/>
  <c r="W2561" i="11"/>
  <c r="W2562" i="11"/>
  <c r="Z2562" i="11" s="1"/>
  <c r="W2563" i="11"/>
  <c r="W2565" i="11"/>
  <c r="Z2565" i="11" s="1"/>
  <c r="W2567" i="11"/>
  <c r="Z2567" i="11" s="1"/>
  <c r="W2568" i="11"/>
  <c r="W2569" i="11"/>
  <c r="X2569" i="11" s="1"/>
  <c r="W2570" i="11"/>
  <c r="W2571" i="11"/>
  <c r="W2572" i="11"/>
  <c r="W2573" i="11"/>
  <c r="X2573" i="11" s="1"/>
  <c r="W2574" i="11"/>
  <c r="Z2574" i="11" s="1"/>
  <c r="W2575" i="11"/>
  <c r="W2576" i="11"/>
  <c r="W2577" i="11"/>
  <c r="W2578" i="11"/>
  <c r="W2579" i="11"/>
  <c r="Z2579" i="11" s="1"/>
  <c r="W2580" i="11"/>
  <c r="W2581" i="11"/>
  <c r="Z2581" i="11" s="1"/>
  <c r="W2582" i="11"/>
  <c r="X2582" i="11" s="1"/>
  <c r="W2583" i="11"/>
  <c r="W2584" i="11"/>
  <c r="W2585" i="11"/>
  <c r="W2586" i="11"/>
  <c r="W2587" i="11"/>
  <c r="X2587" i="11" s="1"/>
  <c r="W2588" i="11"/>
  <c r="W2589" i="11"/>
  <c r="Z2589" i="11" s="1"/>
  <c r="W2590" i="11"/>
  <c r="Z2590" i="11" s="1"/>
  <c r="W2591" i="11"/>
  <c r="W2592" i="11"/>
  <c r="X2592" i="11" s="1"/>
  <c r="W2593" i="11"/>
  <c r="W2594" i="11"/>
  <c r="W2595" i="11"/>
  <c r="W2596" i="11"/>
  <c r="W2597" i="11"/>
  <c r="Z2597" i="11" s="1"/>
  <c r="W2598" i="11"/>
  <c r="X2598" i="11" s="1"/>
  <c r="W2599" i="11"/>
  <c r="X2599" i="11" s="1"/>
  <c r="W2600" i="11"/>
  <c r="W2601" i="11"/>
  <c r="W2602" i="11"/>
  <c r="X2602" i="11" s="1"/>
  <c r="W2603" i="11"/>
  <c r="W2604" i="11"/>
  <c r="W2605" i="11"/>
  <c r="X2605" i="11" s="1"/>
  <c r="W2606" i="11"/>
  <c r="Z2606" i="11" s="1"/>
  <c r="W2607" i="11"/>
  <c r="W2608" i="11"/>
  <c r="Z2608" i="11" s="1"/>
  <c r="W2609" i="11"/>
  <c r="W2610" i="11"/>
  <c r="X2610" i="11" s="1"/>
  <c r="W2611" i="11"/>
  <c r="Z2611" i="11" s="1"/>
  <c r="W2612" i="11"/>
  <c r="W2613" i="11"/>
  <c r="Z2613" i="11" s="1"/>
  <c r="W2614" i="11"/>
  <c r="Z2614" i="11" s="1"/>
  <c r="W2615" i="11"/>
  <c r="W2616" i="11"/>
  <c r="W2617" i="11"/>
  <c r="W2618" i="11"/>
  <c r="Z2618" i="11" s="1"/>
  <c r="W2619" i="11"/>
  <c r="Z2619" i="11" s="1"/>
  <c r="W2620" i="11"/>
  <c r="W2621" i="11"/>
  <c r="Z2621" i="11" s="1"/>
  <c r="W2622" i="11"/>
  <c r="X2622" i="11" s="1"/>
  <c r="W2623" i="11"/>
  <c r="W2624" i="11"/>
  <c r="W2625" i="11"/>
  <c r="W2626" i="11"/>
  <c r="W2627" i="11"/>
  <c r="W2628" i="11"/>
  <c r="W2629" i="11"/>
  <c r="Z2629" i="11" s="1"/>
  <c r="W2632" i="11"/>
  <c r="W2633" i="11"/>
  <c r="W2634" i="11"/>
  <c r="Z2634" i="11" s="1"/>
  <c r="W2635" i="11"/>
  <c r="X2635" i="11" s="1"/>
  <c r="W2640" i="11"/>
  <c r="W2641" i="11"/>
  <c r="W2642" i="11"/>
  <c r="W2643" i="11"/>
  <c r="W2648" i="11"/>
  <c r="X2648" i="11" s="1"/>
  <c r="W2649" i="11"/>
  <c r="W2650" i="11"/>
  <c r="Z2650" i="11" s="1"/>
  <c r="W2651" i="11"/>
  <c r="Z2651" i="11" s="1"/>
  <c r="W2656" i="11"/>
  <c r="W2657" i="11"/>
  <c r="W2658" i="11"/>
  <c r="X2658" i="11" s="1"/>
  <c r="W2659" i="11"/>
  <c r="W2664" i="11"/>
  <c r="W2665" i="11"/>
  <c r="Z2665" i="11" s="1"/>
  <c r="W2666" i="11"/>
  <c r="W2667" i="11"/>
  <c r="Z2667" i="11" s="1"/>
  <c r="W2672" i="11"/>
  <c r="W2673" i="11"/>
  <c r="W2674" i="11"/>
  <c r="W2675" i="11"/>
  <c r="W2676" i="11"/>
  <c r="W2677" i="11"/>
  <c r="W2678" i="11"/>
  <c r="Z2678" i="11" s="1"/>
  <c r="W2679" i="11"/>
  <c r="W2680" i="11"/>
  <c r="W2681" i="11"/>
  <c r="W2682" i="11"/>
  <c r="W2683" i="11"/>
  <c r="W2684" i="11"/>
  <c r="W2685" i="11"/>
  <c r="W2686" i="11"/>
  <c r="W2687" i="11"/>
  <c r="W2688" i="11"/>
  <c r="W2689" i="11"/>
  <c r="Z2689" i="11" s="1"/>
  <c r="W2690" i="11"/>
  <c r="W2691" i="11"/>
  <c r="W2692" i="11"/>
  <c r="W2693" i="11"/>
  <c r="Z2693" i="11" s="1"/>
  <c r="W2694" i="11"/>
  <c r="W2695" i="11"/>
  <c r="W2696" i="11"/>
  <c r="W2697" i="11"/>
  <c r="W2698" i="11"/>
  <c r="Z2698" i="11" s="1"/>
  <c r="W2699" i="11"/>
  <c r="W2700" i="11"/>
  <c r="W2701" i="11"/>
  <c r="W2702" i="11"/>
  <c r="X2702" i="11" s="1"/>
  <c r="W2703" i="11"/>
  <c r="W2704" i="11"/>
  <c r="W2705" i="11"/>
  <c r="X2705" i="11" s="1"/>
  <c r="W2706" i="11"/>
  <c r="W2707" i="11"/>
  <c r="W2708" i="11"/>
  <c r="W2709" i="11"/>
  <c r="Z2709" i="11" s="1"/>
  <c r="W2710" i="11"/>
  <c r="X2710" i="11" s="1"/>
  <c r="W2711" i="11"/>
  <c r="W2712" i="11"/>
  <c r="W2713" i="11"/>
  <c r="W2714" i="11"/>
  <c r="W2715" i="11"/>
  <c r="W2716" i="11"/>
  <c r="W2717" i="11"/>
  <c r="Z2717" i="11" s="1"/>
  <c r="W2718" i="11"/>
  <c r="W2719" i="11"/>
  <c r="W2720" i="11"/>
  <c r="Z2720" i="11" s="1"/>
  <c r="W2721" i="11"/>
  <c r="W2722" i="11"/>
  <c r="W2723" i="11"/>
  <c r="W2724" i="11"/>
  <c r="W2725" i="11"/>
  <c r="W2726" i="11"/>
  <c r="X2726" i="11" s="1"/>
  <c r="W2727" i="11"/>
  <c r="W2728" i="11"/>
  <c r="W2729" i="11"/>
  <c r="Z2729" i="11" s="1"/>
  <c r="W2730" i="11"/>
  <c r="W2731" i="11"/>
  <c r="W2732" i="11"/>
  <c r="W2733" i="11"/>
  <c r="Z2733" i="11" s="1"/>
  <c r="W2734" i="11"/>
  <c r="W2736" i="11"/>
  <c r="W2737" i="11"/>
  <c r="W2738" i="11"/>
  <c r="X2738" i="11" s="1"/>
  <c r="W2739" i="11"/>
  <c r="Z2739" i="11" s="1"/>
  <c r="W2740" i="11"/>
  <c r="W2741" i="11"/>
  <c r="Z2741" i="11" s="1"/>
  <c r="W2744" i="11"/>
  <c r="Z2744" i="11" s="1"/>
  <c r="W2745" i="11"/>
  <c r="W2746" i="11"/>
  <c r="X2746" i="11" s="1"/>
  <c r="W2747" i="11"/>
  <c r="W2749" i="11"/>
  <c r="W2752" i="11"/>
  <c r="W2753" i="11"/>
  <c r="Z2753" i="11" s="1"/>
  <c r="W2754" i="11"/>
  <c r="W2755" i="11"/>
  <c r="Z2755" i="11" s="1"/>
  <c r="W2757" i="11"/>
  <c r="X2757" i="11" s="1"/>
  <c r="W2760" i="11"/>
  <c r="X2760" i="11" s="1"/>
  <c r="W2761" i="11"/>
  <c r="Z2761" i="11" s="1"/>
  <c r="W2762" i="11"/>
  <c r="W2763" i="11"/>
  <c r="Z2763" i="11" s="1"/>
  <c r="W2765" i="11"/>
  <c r="W2768" i="11"/>
  <c r="W2769" i="11"/>
  <c r="W2770" i="11"/>
  <c r="Z2770" i="11" s="1"/>
  <c r="W2771" i="11"/>
  <c r="Z2771" i="11" s="1"/>
  <c r="W2773" i="11"/>
  <c r="Z2773" i="11" s="1"/>
  <c r="W2776" i="11"/>
  <c r="W2777" i="11"/>
  <c r="W2778" i="11"/>
  <c r="W2779" i="11"/>
  <c r="Z2779" i="11" s="1"/>
  <c r="W2780" i="11"/>
  <c r="W2781" i="11"/>
  <c r="W2782" i="11"/>
  <c r="W2783" i="11"/>
  <c r="W2784" i="11"/>
  <c r="W2785" i="11"/>
  <c r="X2785" i="11" s="1"/>
  <c r="W2786" i="11"/>
  <c r="Z2786" i="11" s="1"/>
  <c r="W2787" i="11"/>
  <c r="W2788" i="11"/>
  <c r="W2789" i="11"/>
  <c r="W2790" i="11"/>
  <c r="X2790" i="11" s="1"/>
  <c r="W2791" i="11"/>
  <c r="W2792" i="11"/>
  <c r="W2793" i="11"/>
  <c r="X2793" i="11" s="1"/>
  <c r="W2794" i="11"/>
  <c r="W2795" i="11"/>
  <c r="W2796" i="11"/>
  <c r="W2797" i="11"/>
  <c r="Z2797" i="11" s="1"/>
  <c r="W2798" i="11"/>
  <c r="W2799" i="11"/>
  <c r="W2800" i="11"/>
  <c r="W2801" i="11"/>
  <c r="W2802" i="11"/>
  <c r="W2803" i="11"/>
  <c r="Z2803" i="11" s="1"/>
  <c r="W2804" i="11"/>
  <c r="W2805" i="11"/>
  <c r="Z2805" i="11" s="1"/>
  <c r="W2806" i="11"/>
  <c r="W2807" i="11"/>
  <c r="W2808" i="11"/>
  <c r="X2808" i="11" s="1"/>
  <c r="W2809" i="11"/>
  <c r="W2810" i="11"/>
  <c r="X2810" i="11" s="1"/>
  <c r="W2811" i="11"/>
  <c r="W2812" i="11"/>
  <c r="W2813" i="11"/>
  <c r="X2813" i="11" s="1"/>
  <c r="W2814" i="11"/>
  <c r="X2814" i="11" s="1"/>
  <c r="W2815" i="11"/>
  <c r="W2816" i="11"/>
  <c r="W2817" i="11"/>
  <c r="Z2817" i="11" s="1"/>
  <c r="W2818" i="11"/>
  <c r="Z2818" i="11" s="1"/>
  <c r="W2819" i="11"/>
  <c r="Z2819" i="11" s="1"/>
  <c r="W2820" i="11"/>
  <c r="W2821" i="11"/>
  <c r="X2821" i="11" s="1"/>
  <c r="W2822" i="11"/>
  <c r="X2822" i="11" s="1"/>
  <c r="W2823" i="11"/>
  <c r="W2824" i="11"/>
  <c r="W2825" i="11"/>
  <c r="Z2825" i="11" s="1"/>
  <c r="W2826" i="11"/>
  <c r="X2826" i="11" s="1"/>
  <c r="W2827" i="11"/>
  <c r="Z2827" i="11" s="1"/>
  <c r="W2828" i="11"/>
  <c r="W2829" i="11"/>
  <c r="W2830" i="11"/>
  <c r="W2831" i="11"/>
  <c r="W2832" i="11"/>
  <c r="W2833" i="11"/>
  <c r="Z2833" i="11" s="1"/>
  <c r="W2834" i="11"/>
  <c r="Z2834" i="11" s="1"/>
  <c r="W2835" i="11"/>
  <c r="Z2835" i="11" s="1"/>
  <c r="W2836" i="11"/>
  <c r="W2837" i="11"/>
  <c r="Z2837" i="11" s="1"/>
  <c r="W2838" i="11"/>
  <c r="X2838" i="11" s="1"/>
  <c r="W2839" i="11"/>
  <c r="W2840" i="11"/>
  <c r="Z2840" i="11" s="1"/>
  <c r="W2841" i="11"/>
  <c r="Z2841" i="11" s="1"/>
  <c r="W2842" i="11"/>
  <c r="W2843" i="11"/>
  <c r="X2843" i="11" s="1"/>
  <c r="W2845" i="11"/>
  <c r="Z2845" i="11" s="1"/>
  <c r="W2848" i="11"/>
  <c r="W2849" i="11"/>
  <c r="Z2849" i="11" s="1"/>
  <c r="W2850" i="11"/>
  <c r="W2851" i="11"/>
  <c r="Z2851" i="11" s="1"/>
  <c r="W2853" i="11"/>
  <c r="Z2853" i="11" s="1"/>
  <c r="W2856" i="11"/>
  <c r="Z2856" i="11" s="1"/>
  <c r="W2857" i="11"/>
  <c r="Z2857" i="11" s="1"/>
  <c r="W2858" i="11"/>
  <c r="W2859" i="11"/>
  <c r="X2859" i="11" s="1"/>
  <c r="W2861" i="11"/>
  <c r="X2861" i="11" s="1"/>
  <c r="W2864" i="11"/>
  <c r="Z2864" i="11" s="1"/>
  <c r="W2865" i="11"/>
  <c r="Z2865" i="11" s="1"/>
  <c r="W2866" i="11"/>
  <c r="X2866" i="11" s="1"/>
  <c r="W2867" i="11"/>
  <c r="Z2867" i="11" s="1"/>
  <c r="W2868" i="11"/>
  <c r="W2869" i="11"/>
  <c r="W2872" i="11"/>
  <c r="Z2872" i="11" s="1"/>
  <c r="W2873" i="11"/>
  <c r="W2874" i="11"/>
  <c r="W2875" i="11"/>
  <c r="W2877" i="11"/>
  <c r="W2880" i="11"/>
  <c r="Z2880" i="11" s="1"/>
  <c r="W2881" i="11"/>
  <c r="Z2881" i="11" s="1"/>
  <c r="W2882" i="11"/>
  <c r="W2883" i="11"/>
  <c r="Z2883" i="11" s="1"/>
  <c r="W2884" i="11"/>
  <c r="W2885" i="11"/>
  <c r="W2886" i="11"/>
  <c r="X2886" i="11" s="1"/>
  <c r="W2887" i="11"/>
  <c r="W2888" i="11"/>
  <c r="W2889" i="11"/>
  <c r="Z2889" i="11" s="1"/>
  <c r="W2890" i="11"/>
  <c r="W2891" i="11"/>
  <c r="Z2891" i="11" s="1"/>
  <c r="W2892" i="11"/>
  <c r="W2893" i="11"/>
  <c r="Z2893" i="11" s="1"/>
  <c r="W2894" i="11"/>
  <c r="W2895" i="11"/>
  <c r="W2896" i="11"/>
  <c r="W2897" i="11"/>
  <c r="Z2897" i="11" s="1"/>
  <c r="W2898" i="11"/>
  <c r="W2899" i="11"/>
  <c r="X2899" i="11" s="1"/>
  <c r="W2900" i="11"/>
  <c r="W2901" i="11"/>
  <c r="Z2901" i="11" s="1"/>
  <c r="W2902" i="11"/>
  <c r="Z2902" i="11" s="1"/>
  <c r="W2903" i="11"/>
  <c r="W2904" i="11"/>
  <c r="W2905" i="11"/>
  <c r="W2906" i="11"/>
  <c r="X2906" i="11" s="1"/>
  <c r="W2907" i="11"/>
  <c r="Z2907" i="11" s="1"/>
  <c r="W2908" i="11"/>
  <c r="W2909" i="11"/>
  <c r="Z2909" i="11" s="1"/>
  <c r="W2910" i="11"/>
  <c r="X2910" i="11" s="1"/>
  <c r="W2911" i="11"/>
  <c r="W2912" i="11"/>
  <c r="W2913" i="11"/>
  <c r="Z2913" i="11" s="1"/>
  <c r="W2914" i="11"/>
  <c r="Z2914" i="11" s="1"/>
  <c r="W2915" i="11"/>
  <c r="Z2915" i="11" s="1"/>
  <c r="W2916" i="11"/>
  <c r="W2917" i="11"/>
  <c r="W2918" i="11"/>
  <c r="Z2918" i="11" s="1"/>
  <c r="W2919" i="11"/>
  <c r="W2920" i="11"/>
  <c r="W2921" i="11"/>
  <c r="W2922" i="11"/>
  <c r="W2923" i="11"/>
  <c r="Z2923" i="11" s="1"/>
  <c r="W2924" i="11"/>
  <c r="W2925" i="11"/>
  <c r="Z2925" i="11" s="1"/>
  <c r="W2926" i="11"/>
  <c r="X2926" i="11" s="1"/>
  <c r="W2927" i="11"/>
  <c r="W2928" i="11"/>
  <c r="W2929" i="11"/>
  <c r="Z2929" i="11" s="1"/>
  <c r="W2930" i="11"/>
  <c r="W2931" i="11"/>
  <c r="Z2931" i="11" s="1"/>
  <c r="W2932" i="11"/>
  <c r="W2933" i="11"/>
  <c r="W2934" i="11"/>
  <c r="X2934" i="11" s="1"/>
  <c r="W2935" i="11"/>
  <c r="W2936" i="11"/>
  <c r="W2937" i="11"/>
  <c r="Z2937" i="11" s="1"/>
  <c r="W2938" i="11"/>
  <c r="X2938" i="11" s="1"/>
  <c r="W2939" i="11"/>
  <c r="Z2939" i="11" s="1"/>
  <c r="W2940" i="11"/>
  <c r="W2941" i="11"/>
  <c r="X2941" i="11" s="1"/>
  <c r="W2942" i="11"/>
  <c r="W2943" i="11"/>
  <c r="W2944" i="11"/>
  <c r="W2945" i="11"/>
  <c r="W2946" i="11"/>
  <c r="W2947" i="11"/>
  <c r="Z2947" i="11" s="1"/>
  <c r="W2949" i="11"/>
  <c r="Z2949" i="11" s="1"/>
  <c r="W2952" i="11"/>
  <c r="W2953" i="11"/>
  <c r="W2954" i="11"/>
  <c r="W2955" i="11"/>
  <c r="X2955" i="11" s="1"/>
  <c r="W2957" i="11"/>
  <c r="Z2957" i="11" s="1"/>
  <c r="W2960" i="11"/>
  <c r="W2961" i="11"/>
  <c r="X2961" i="11" s="1"/>
  <c r="W2962" i="11"/>
  <c r="W2963" i="11"/>
  <c r="Z2963" i="11" s="1"/>
  <c r="W2965" i="11"/>
  <c r="Z2965" i="11" s="1"/>
  <c r="W2968" i="11"/>
  <c r="W2969" i="11"/>
  <c r="X2969" i="11" s="1"/>
  <c r="W2970" i="11"/>
  <c r="Z2970" i="11" s="1"/>
  <c r="W2971" i="11"/>
  <c r="W2973" i="11"/>
  <c r="W2976" i="11"/>
  <c r="Z2976" i="11" s="1"/>
  <c r="W2977" i="11"/>
  <c r="W2978" i="11"/>
  <c r="Z2978" i="11" s="1"/>
  <c r="W2979" i="11"/>
  <c r="X2979" i="11" s="1"/>
  <c r="W2981" i="11"/>
  <c r="Z2981" i="11" s="1"/>
  <c r="W2984" i="11"/>
  <c r="W2985" i="11"/>
  <c r="W2986" i="11"/>
  <c r="Z2986" i="11" s="1"/>
  <c r="W2987" i="11"/>
  <c r="W2988" i="11"/>
  <c r="W2989" i="11"/>
  <c r="X2989" i="11" s="1"/>
  <c r="W2990" i="11"/>
  <c r="X2990" i="11" s="1"/>
  <c r="W2991" i="11"/>
  <c r="W2992" i="11"/>
  <c r="Z2992" i="11" s="1"/>
  <c r="W2993" i="11"/>
  <c r="X2993" i="11" s="1"/>
  <c r="W2994" i="11"/>
  <c r="Z2994" i="11" s="1"/>
  <c r="W2995" i="11"/>
  <c r="W2996" i="11"/>
  <c r="W2997" i="11"/>
  <c r="Z2997" i="11" s="1"/>
  <c r="W2998" i="11"/>
  <c r="W2999" i="11"/>
  <c r="W3000" i="11"/>
  <c r="Z3000" i="11" s="1"/>
  <c r="W3001" i="11"/>
  <c r="Z3001" i="11" s="1"/>
  <c r="W3002" i="11"/>
  <c r="Z3002" i="11" s="1"/>
  <c r="W3003" i="11"/>
  <c r="W3004" i="11"/>
  <c r="W3005" i="11"/>
  <c r="Z3005" i="11" s="1"/>
  <c r="W3006" i="11"/>
  <c r="W3007" i="11"/>
  <c r="W3008" i="11"/>
  <c r="X3008" i="11" s="1"/>
  <c r="W3009" i="11"/>
  <c r="Z3009" i="11" s="1"/>
  <c r="W3010" i="11"/>
  <c r="Z3010" i="11" s="1"/>
  <c r="W3011" i="11"/>
  <c r="W3012" i="11"/>
  <c r="W3013" i="11"/>
  <c r="Z3013" i="11" s="1"/>
  <c r="W3014" i="11"/>
  <c r="W3015" i="11"/>
  <c r="W3016" i="11"/>
  <c r="W3017" i="11"/>
  <c r="W3018" i="11"/>
  <c r="X3018" i="11" s="1"/>
  <c r="W3019" i="11"/>
  <c r="W3020" i="11"/>
  <c r="W3021" i="11"/>
  <c r="Z3021" i="11" s="1"/>
  <c r="W3022" i="11"/>
  <c r="W3023" i="11"/>
  <c r="W3024" i="11"/>
  <c r="W3025" i="11"/>
  <c r="X3025" i="11" s="1"/>
  <c r="W3026" i="11"/>
  <c r="Z3026" i="11" s="1"/>
  <c r="W3027" i="11"/>
  <c r="W3028" i="11"/>
  <c r="W3029" i="11"/>
  <c r="W3030" i="11"/>
  <c r="W3031" i="11"/>
  <c r="W3032" i="11"/>
  <c r="W3033" i="11"/>
  <c r="Z3033" i="11" s="1"/>
  <c r="W3034" i="11"/>
  <c r="X3034" i="11" s="1"/>
  <c r="W3035" i="11"/>
  <c r="W3036" i="11"/>
  <c r="W3037" i="11"/>
  <c r="X3037" i="11" s="1"/>
  <c r="W3038" i="11"/>
  <c r="W3039" i="11"/>
  <c r="W3040" i="11"/>
  <c r="Z3040" i="11" s="1"/>
  <c r="W3041" i="11"/>
  <c r="Z3041" i="11" s="1"/>
  <c r="W3042" i="11"/>
  <c r="Z3042" i="11" s="1"/>
  <c r="W3043" i="11"/>
  <c r="W3044" i="11"/>
  <c r="W3045" i="11"/>
  <c r="W3046" i="11"/>
  <c r="W3047" i="11"/>
  <c r="W3048" i="11"/>
  <c r="W3049" i="11"/>
  <c r="Z3049" i="11" s="1"/>
  <c r="W3050" i="11"/>
  <c r="X3050" i="11" s="1"/>
  <c r="W3051" i="11"/>
  <c r="W3053" i="11"/>
  <c r="X3053" i="11" s="1"/>
  <c r="W3056" i="11"/>
  <c r="W3057" i="11"/>
  <c r="X3057" i="11" s="1"/>
  <c r="W3058" i="11"/>
  <c r="Z3058" i="11" s="1"/>
  <c r="W3059" i="11"/>
  <c r="Z3059" i="11" s="1"/>
  <c r="W3060" i="11"/>
  <c r="W3061" i="11"/>
  <c r="Z3061" i="11" s="1"/>
  <c r="W3064" i="11"/>
  <c r="W3065" i="11"/>
  <c r="W3066" i="11"/>
  <c r="Z3066" i="11" s="1"/>
  <c r="W3067" i="11"/>
  <c r="W3069" i="11"/>
  <c r="Z3069" i="11" s="1"/>
  <c r="W3072" i="11"/>
  <c r="W3073" i="11"/>
  <c r="Z3073" i="11" s="1"/>
  <c r="W3074" i="11"/>
  <c r="X3074" i="11" s="1"/>
  <c r="W3075" i="11"/>
  <c r="Z3075" i="11" s="1"/>
  <c r="W3077" i="11"/>
  <c r="X3077" i="11" s="1"/>
  <c r="W3080" i="11"/>
  <c r="X3080" i="11" s="1"/>
  <c r="W3081" i="11"/>
  <c r="Z3081" i="11" s="1"/>
  <c r="W3082" i="11"/>
  <c r="X3082" i="11" s="1"/>
  <c r="W3083" i="11"/>
  <c r="X3083" i="11" s="1"/>
  <c r="W3085" i="11"/>
  <c r="W3088" i="11"/>
  <c r="Z3088" i="11" s="1"/>
  <c r="W3089" i="11"/>
  <c r="W3090" i="11"/>
  <c r="X3090" i="11" s="1"/>
  <c r="W3091" i="11"/>
  <c r="W3092" i="11"/>
  <c r="W3093" i="11"/>
  <c r="Z3093" i="11" s="1"/>
  <c r="W3094" i="11"/>
  <c r="W3095" i="11"/>
  <c r="W3096" i="11"/>
  <c r="Z3096" i="11" s="1"/>
  <c r="W3097" i="11"/>
  <c r="W3098" i="11"/>
  <c r="Z3098" i="11" s="1"/>
  <c r="W3099" i="11"/>
  <c r="Z3099" i="11" s="1"/>
  <c r="W3100" i="11"/>
  <c r="W3101" i="11"/>
  <c r="X3101" i="11" s="1"/>
  <c r="W3102" i="11"/>
  <c r="W3103" i="11"/>
  <c r="W3104" i="11"/>
  <c r="Z3104" i="11" s="1"/>
  <c r="W3105" i="11"/>
  <c r="Z3105" i="11" s="1"/>
  <c r="W3106" i="11"/>
  <c r="Z3106" i="11" s="1"/>
  <c r="W3107" i="11"/>
  <c r="W3108" i="11"/>
  <c r="W3109" i="11"/>
  <c r="X3109" i="11" s="1"/>
  <c r="W3110" i="11"/>
  <c r="X3110" i="11" s="1"/>
  <c r="W3111" i="11"/>
  <c r="W3112" i="11"/>
  <c r="W3113" i="11"/>
  <c r="Z3113" i="11" s="1"/>
  <c r="W3114" i="11"/>
  <c r="Z3114" i="11" s="1"/>
  <c r="W3115" i="11"/>
  <c r="Z3115" i="11" s="1"/>
  <c r="W3116" i="11"/>
  <c r="W3117" i="11"/>
  <c r="X3117" i="11" s="1"/>
  <c r="W3118" i="11"/>
  <c r="W3119" i="11"/>
  <c r="W3120" i="11"/>
  <c r="Z3120" i="11" s="1"/>
  <c r="W3121" i="11"/>
  <c r="Z3121" i="11" s="1"/>
  <c r="W3122" i="11"/>
  <c r="Z3122" i="11" s="1"/>
  <c r="W3123" i="11"/>
  <c r="W3124" i="11"/>
  <c r="W3125" i="11"/>
  <c r="Z3125" i="11" s="1"/>
  <c r="W3126" i="11"/>
  <c r="W3127" i="11"/>
  <c r="W3128" i="11"/>
  <c r="W3129" i="11"/>
  <c r="Z3129" i="11" s="1"/>
  <c r="W3130" i="11"/>
  <c r="Z3130" i="11" s="1"/>
  <c r="W3131" i="11"/>
  <c r="Z3131" i="11" s="1"/>
  <c r="W3132" i="11"/>
  <c r="W3133" i="11"/>
  <c r="Z3133" i="11" s="1"/>
  <c r="W3134" i="11"/>
  <c r="X3134" i="11" s="1"/>
  <c r="W3135" i="11"/>
  <c r="W3136" i="11"/>
  <c r="X3136" i="11" s="1"/>
  <c r="W3137" i="11"/>
  <c r="Z3137" i="11" s="1"/>
  <c r="W3138" i="11"/>
  <c r="Z3138" i="11" s="1"/>
  <c r="W3139" i="11"/>
  <c r="Z3139" i="11" s="1"/>
  <c r="W3140" i="11"/>
  <c r="W3141" i="11"/>
  <c r="Z3141" i="11" s="1"/>
  <c r="W3142" i="11"/>
  <c r="W3143" i="11"/>
  <c r="W3144" i="11"/>
  <c r="Z3144" i="11" s="1"/>
  <c r="W3145" i="11"/>
  <c r="X3145" i="11" s="1"/>
  <c r="W3146" i="11"/>
  <c r="Z3146" i="11" s="1"/>
  <c r="W3147" i="11"/>
  <c r="Z3147" i="11" s="1"/>
  <c r="W3148" i="11"/>
  <c r="W3149" i="11"/>
  <c r="Z3149" i="11" s="1"/>
  <c r="W3150" i="11"/>
  <c r="W3151" i="11"/>
  <c r="W3152" i="11"/>
  <c r="W3153" i="11"/>
  <c r="W3154" i="11"/>
  <c r="Z3154" i="11" s="1"/>
  <c r="W3155" i="11"/>
  <c r="Z3155" i="11" s="1"/>
  <c r="W3157" i="11"/>
  <c r="X3157" i="11" s="1"/>
  <c r="W3160" i="11"/>
  <c r="W3161" i="11"/>
  <c r="W3162" i="11"/>
  <c r="W3163" i="11"/>
  <c r="X3163" i="11" s="1"/>
  <c r="W3165" i="11"/>
  <c r="X3165" i="11" s="1"/>
  <c r="W3168" i="11"/>
  <c r="Z3168" i="11" s="1"/>
  <c r="W3169" i="11"/>
  <c r="W3170" i="11"/>
  <c r="W3171" i="11"/>
  <c r="Z3171" i="11" s="1"/>
  <c r="W3173" i="11"/>
  <c r="Z3173" i="11" s="1"/>
  <c r="W3176" i="11"/>
  <c r="Z3176" i="11" s="1"/>
  <c r="W3177" i="11"/>
  <c r="Z3177" i="11" s="1"/>
  <c r="W3178" i="11"/>
  <c r="W3179" i="11"/>
  <c r="W3181" i="11"/>
  <c r="Z3181" i="11" s="1"/>
  <c r="W3182" i="11"/>
  <c r="W3184" i="11"/>
  <c r="Z3184" i="11" s="1"/>
  <c r="W3185" i="11"/>
  <c r="Z3185" i="11" s="1"/>
  <c r="W3186" i="11"/>
  <c r="W3187" i="11"/>
  <c r="Z3187" i="11" s="1"/>
  <c r="W3188" i="11"/>
  <c r="W3189" i="11"/>
  <c r="Z3189" i="11" s="1"/>
  <c r="W3192" i="11"/>
  <c r="Z3192" i="11" s="1"/>
  <c r="W3193" i="11"/>
  <c r="Z3193" i="11" s="1"/>
  <c r="W3194" i="11"/>
  <c r="W3195" i="11"/>
  <c r="W3197" i="11"/>
  <c r="W3198" i="11"/>
  <c r="W3199" i="11"/>
  <c r="W3200" i="11"/>
  <c r="W3201" i="11"/>
  <c r="W3202" i="11"/>
  <c r="W3203" i="11"/>
  <c r="X3203" i="11" s="1"/>
  <c r="W3204" i="11"/>
  <c r="W3205" i="11"/>
  <c r="X3205" i="11" s="1"/>
  <c r="W3206" i="11"/>
  <c r="X3206" i="11" s="1"/>
  <c r="W3207" i="11"/>
  <c r="W3208" i="11"/>
  <c r="W3209" i="11"/>
  <c r="W3210" i="11"/>
  <c r="Z3210" i="11" s="1"/>
  <c r="W3211" i="11"/>
  <c r="W3212" i="11"/>
  <c r="W3213" i="11"/>
  <c r="X3213" i="11" s="1"/>
  <c r="W3214" i="11"/>
  <c r="W3215" i="11"/>
  <c r="W3216" i="11"/>
  <c r="W3217" i="11"/>
  <c r="W3218" i="11"/>
  <c r="X3218" i="11" s="1"/>
  <c r="W3219" i="11"/>
  <c r="W3220" i="11"/>
  <c r="W3221" i="11"/>
  <c r="Z3221" i="11" s="1"/>
  <c r="W3222" i="11"/>
  <c r="Z3222" i="11" s="1"/>
  <c r="W3223" i="11"/>
  <c r="W3224" i="11"/>
  <c r="Z3224" i="11" s="1"/>
  <c r="W3225" i="11"/>
  <c r="W3226" i="11"/>
  <c r="Z3226" i="11" s="1"/>
  <c r="W3227" i="11"/>
  <c r="W3228" i="11"/>
  <c r="W3229" i="11"/>
  <c r="Z3229" i="11" s="1"/>
  <c r="W3230" i="11"/>
  <c r="Z3230" i="11" s="1"/>
  <c r="W3231" i="11"/>
  <c r="W3232" i="11"/>
  <c r="W3233" i="11"/>
  <c r="W3234" i="11"/>
  <c r="X3234" i="11" s="1"/>
  <c r="W3235" i="11"/>
  <c r="W3236" i="11"/>
  <c r="W3237" i="11"/>
  <c r="W3238" i="11"/>
  <c r="W3239" i="11"/>
  <c r="W3240" i="11"/>
  <c r="W3241" i="11"/>
  <c r="W3242" i="11"/>
  <c r="Z3242" i="11" s="1"/>
  <c r="W3243" i="11"/>
  <c r="W3244" i="11"/>
  <c r="W3245" i="11"/>
  <c r="Z3245" i="11" s="1"/>
  <c r="W3246" i="11"/>
  <c r="W3247" i="11"/>
  <c r="W3248" i="11"/>
  <c r="W3249" i="11"/>
  <c r="W3250" i="11"/>
  <c r="Z3250" i="11" s="1"/>
  <c r="W3251" i="11"/>
  <c r="W3252" i="11"/>
  <c r="W3253" i="11"/>
  <c r="Z3253" i="11" s="1"/>
  <c r="W3254" i="11"/>
  <c r="W3255" i="11"/>
  <c r="W3256" i="11"/>
  <c r="Z3256" i="11" s="1"/>
  <c r="W3257" i="11"/>
  <c r="W3258" i="11"/>
  <c r="Z3258" i="11" s="1"/>
  <c r="W3259" i="11"/>
  <c r="W3261" i="11"/>
  <c r="W3264" i="11"/>
  <c r="W3265" i="11"/>
  <c r="W3266" i="11"/>
  <c r="X3266" i="11" s="1"/>
  <c r="W3267" i="11"/>
  <c r="Z3267" i="11" s="1"/>
  <c r="W3269" i="11"/>
  <c r="Z3269" i="11" s="1"/>
  <c r="W3272" i="11"/>
  <c r="W3273" i="11"/>
  <c r="W3274" i="11"/>
  <c r="X3274" i="11" s="1"/>
  <c r="W3275" i="11"/>
  <c r="W3277" i="11"/>
  <c r="X3277" i="11" s="1"/>
  <c r="W3280" i="11"/>
  <c r="Z3280" i="11" s="1"/>
  <c r="W3281" i="11"/>
  <c r="Z3281" i="11" s="1"/>
  <c r="W3282" i="11"/>
  <c r="Z3282" i="11" s="1"/>
  <c r="W3283" i="11"/>
  <c r="X3283" i="11" s="1"/>
  <c r="W3285" i="11"/>
  <c r="X3285" i="11" s="1"/>
  <c r="W3288" i="11"/>
  <c r="Z3288" i="11" s="1"/>
  <c r="W3289" i="11"/>
  <c r="W3290" i="11"/>
  <c r="Z3290" i="11" s="1"/>
  <c r="W3291" i="11"/>
  <c r="W3293" i="11"/>
  <c r="X3293" i="11" s="1"/>
  <c r="W3296" i="11"/>
  <c r="Z3296" i="11" s="1"/>
  <c r="W3297" i="11"/>
  <c r="X3297" i="11" s="1"/>
  <c r="W3298" i="11"/>
  <c r="Z3298" i="11" s="1"/>
  <c r="W3299" i="11"/>
  <c r="W3301" i="11"/>
  <c r="Z3301" i="11" s="1"/>
  <c r="W3302" i="11"/>
  <c r="W3303" i="11"/>
  <c r="W3304" i="11"/>
  <c r="X3304" i="11" s="1"/>
  <c r="W3305" i="11"/>
  <c r="W3306" i="11"/>
  <c r="Z3306" i="11" s="1"/>
  <c r="W3307" i="11"/>
  <c r="W3308" i="11"/>
  <c r="W3309" i="11"/>
  <c r="Z3309" i="11" s="1"/>
  <c r="W3310" i="11"/>
  <c r="W3311" i="11"/>
  <c r="Z3311" i="11" s="1"/>
  <c r="W3312" i="11"/>
  <c r="W3313" i="11"/>
  <c r="W3314" i="11"/>
  <c r="Z3314" i="11" s="1"/>
  <c r="W3315" i="11"/>
  <c r="W3316" i="11"/>
  <c r="W3317" i="11"/>
  <c r="Z3317" i="11" s="1"/>
  <c r="W3318" i="11"/>
  <c r="W3319" i="11"/>
  <c r="W3320" i="11"/>
  <c r="Z3320" i="11" s="1"/>
  <c r="W3321" i="11"/>
  <c r="W3322" i="11"/>
  <c r="Z3322" i="11" s="1"/>
  <c r="W3323" i="11"/>
  <c r="Z3323" i="11" s="1"/>
  <c r="W3324" i="11"/>
  <c r="W3325" i="11"/>
  <c r="X3325" i="11" s="1"/>
  <c r="W3326" i="11"/>
  <c r="W3327" i="11"/>
  <c r="W3328" i="11"/>
  <c r="Z3328" i="11" s="1"/>
  <c r="W3329" i="11"/>
  <c r="Z3329" i="11" s="1"/>
  <c r="W3330" i="11"/>
  <c r="X3330" i="11" s="1"/>
  <c r="W3331" i="11"/>
  <c r="X3331" i="11" s="1"/>
  <c r="W3332" i="11"/>
  <c r="W3333" i="11"/>
  <c r="W3334" i="11"/>
  <c r="W3335" i="11"/>
  <c r="W3336" i="11"/>
  <c r="W3337" i="11"/>
  <c r="W3338" i="11"/>
  <c r="W3339" i="11"/>
  <c r="Z3339" i="11" s="1"/>
  <c r="W3340" i="11"/>
  <c r="W3341" i="11"/>
  <c r="X3341" i="11" s="1"/>
  <c r="W3342" i="11"/>
  <c r="W3343" i="11"/>
  <c r="W3344" i="11"/>
  <c r="W3345" i="11"/>
  <c r="W3346" i="11"/>
  <c r="W3347" i="11"/>
  <c r="Z3347" i="11" s="1"/>
  <c r="W3348" i="11"/>
  <c r="W3349" i="11"/>
  <c r="Z3349" i="11" s="1"/>
  <c r="W3350" i="11"/>
  <c r="W3351" i="11"/>
  <c r="W3352" i="11"/>
  <c r="Z3352" i="11" s="1"/>
  <c r="W3353" i="11"/>
  <c r="W3354" i="11"/>
  <c r="W3355" i="11"/>
  <c r="X3355" i="11" s="1"/>
  <c r="W3356" i="11"/>
  <c r="W3357" i="11"/>
  <c r="W3358" i="11"/>
  <c r="W3359" i="11"/>
  <c r="W3360" i="11"/>
  <c r="Z3360" i="11" s="1"/>
  <c r="W3361" i="11"/>
  <c r="W3362" i="11"/>
  <c r="X3362" i="11" s="1"/>
  <c r="W3363" i="11"/>
  <c r="X3363" i="11" s="1"/>
  <c r="W3364" i="11"/>
  <c r="W3365" i="11"/>
  <c r="Z3365" i="11" s="1"/>
  <c r="W3368" i="11"/>
  <c r="W3369" i="11"/>
  <c r="W3370" i="11"/>
  <c r="Z3370" i="11" s="1"/>
  <c r="W3371" i="11"/>
  <c r="W3373" i="11"/>
  <c r="W3376" i="11"/>
  <c r="W3377" i="11"/>
  <c r="W3378" i="11"/>
  <c r="Z3378" i="11" s="1"/>
  <c r="W3379" i="11"/>
  <c r="Z3379" i="11" s="1"/>
  <c r="W3380" i="11"/>
  <c r="W3381" i="11"/>
  <c r="Z3381" i="11" s="1"/>
  <c r="W3384" i="11"/>
  <c r="W3385" i="11"/>
  <c r="Z3385" i="11" s="1"/>
  <c r="W3386" i="11"/>
  <c r="W3387" i="11"/>
  <c r="Z3387" i="11" s="1"/>
  <c r="W3389" i="11"/>
  <c r="W3392" i="11"/>
  <c r="W3393" i="11"/>
  <c r="X3393" i="11" s="1"/>
  <c r="W3394" i="11"/>
  <c r="X3394" i="11" s="1"/>
  <c r="W3395" i="11"/>
  <c r="X3395" i="11" s="1"/>
  <c r="W3397" i="11"/>
  <c r="X3397" i="11" s="1"/>
  <c r="W3400" i="11"/>
  <c r="X3400" i="11" s="1"/>
  <c r="W3401" i="11"/>
  <c r="W3402" i="11"/>
  <c r="Z3402" i="11" s="1"/>
  <c r="W3403" i="11"/>
  <c r="W3405" i="11"/>
  <c r="Z3405" i="11" s="1"/>
  <c r="W3407" i="11"/>
  <c r="W3408" i="11"/>
  <c r="Z3408" i="11" s="1"/>
  <c r="W3409" i="11"/>
  <c r="W3410" i="11"/>
  <c r="X3410" i="11" s="1"/>
  <c r="W3411" i="11"/>
  <c r="X3411" i="11" s="1"/>
  <c r="W3412" i="11"/>
  <c r="W3413" i="11"/>
  <c r="Z3413" i="11" s="1"/>
  <c r="W3414" i="11"/>
  <c r="W3415" i="11"/>
  <c r="W3416" i="11"/>
  <c r="Z3416" i="11" s="1"/>
  <c r="W3417" i="11"/>
  <c r="W3418" i="11"/>
  <c r="W3419" i="11"/>
  <c r="W3420" i="11"/>
  <c r="W3421" i="11"/>
  <c r="X3421" i="11" s="1"/>
  <c r="W3422" i="11"/>
  <c r="X3422" i="11" s="1"/>
  <c r="W3423" i="11"/>
  <c r="W3424" i="11"/>
  <c r="X3424" i="11" s="1"/>
  <c r="W3425" i="11"/>
  <c r="W3426" i="11"/>
  <c r="W3427" i="11"/>
  <c r="X3427" i="11" s="1"/>
  <c r="W3428" i="11"/>
  <c r="W3429" i="11"/>
  <c r="W3430" i="11"/>
  <c r="W3431" i="11"/>
  <c r="X3431" i="11" s="1"/>
  <c r="W3432" i="11"/>
  <c r="W3433" i="11"/>
  <c r="W3434" i="11"/>
  <c r="W3435" i="11"/>
  <c r="W3436" i="11"/>
  <c r="W3437" i="11"/>
  <c r="W3438" i="11"/>
  <c r="X3438" i="11" s="1"/>
  <c r="W3439" i="11"/>
  <c r="W3440" i="11"/>
  <c r="W3441" i="11"/>
  <c r="X3441" i="11" s="1"/>
  <c r="W3442" i="11"/>
  <c r="Z3442" i="11" s="1"/>
  <c r="W3443" i="11"/>
  <c r="Z3443" i="11" s="1"/>
  <c r="W3444" i="11"/>
  <c r="W3445" i="11"/>
  <c r="Z3445" i="11" s="1"/>
  <c r="W3446" i="11"/>
  <c r="W3447" i="11"/>
  <c r="W3448" i="11"/>
  <c r="Z3448" i="11" s="1"/>
  <c r="W3449" i="11"/>
  <c r="W3450" i="11"/>
  <c r="Z3450" i="11" s="1"/>
  <c r="W3451" i="11"/>
  <c r="W3452" i="11"/>
  <c r="W3453" i="11"/>
  <c r="Z3453" i="11" s="1"/>
  <c r="W3454" i="11"/>
  <c r="W3455" i="11"/>
  <c r="W3456" i="11"/>
  <c r="W3457" i="11"/>
  <c r="W3458" i="11"/>
  <c r="Z3458" i="11" s="1"/>
  <c r="W3459" i="11"/>
  <c r="W3460" i="11"/>
  <c r="W3461" i="11"/>
  <c r="X3461" i="11" s="1"/>
  <c r="W3462" i="11"/>
  <c r="W3463" i="11"/>
  <c r="Z3463" i="11" s="1"/>
  <c r="W3464" i="11"/>
  <c r="X3464" i="11" s="1"/>
  <c r="W3465" i="11"/>
  <c r="W3466" i="11"/>
  <c r="X3466" i="11" s="1"/>
  <c r="W3467" i="11"/>
  <c r="Z3467" i="11" s="1"/>
  <c r="W3468" i="11"/>
  <c r="W3469" i="11"/>
  <c r="W3472" i="11"/>
  <c r="Z3472" i="11" s="1"/>
  <c r="W3473" i="11"/>
  <c r="W3474" i="11"/>
  <c r="Z3474" i="11" s="1"/>
  <c r="W3475" i="11"/>
  <c r="Z3475" i="11" s="1"/>
  <c r="W3477" i="11"/>
  <c r="Z3477" i="11" s="1"/>
  <c r="W3480" i="11"/>
  <c r="X3480" i="11" s="1"/>
  <c r="W3481" i="11"/>
  <c r="W3482" i="11"/>
  <c r="Z3482" i="11" s="1"/>
  <c r="W3483" i="11"/>
  <c r="X3483" i="11" s="1"/>
  <c r="W3485" i="11"/>
  <c r="Z3485" i="11" s="1"/>
  <c r="W3488" i="11"/>
  <c r="X3488" i="11" s="1"/>
  <c r="W3489" i="11"/>
  <c r="W3490" i="11"/>
  <c r="Z3490" i="11" s="1"/>
  <c r="W3491" i="11"/>
  <c r="X3491" i="11" s="1"/>
  <c r="W3493" i="11"/>
  <c r="Z3493" i="11" s="1"/>
  <c r="W3496" i="11"/>
  <c r="Z3496" i="11" s="1"/>
  <c r="W3497" i="11"/>
  <c r="W3498" i="11"/>
  <c r="Z3498" i="11" s="1"/>
  <c r="W3499" i="11"/>
  <c r="W3501" i="11"/>
  <c r="Z3501" i="11" s="1"/>
  <c r="W3504" i="11"/>
  <c r="Z3504" i="11" s="1"/>
  <c r="W3505" i="11"/>
  <c r="Z3505" i="11" s="1"/>
  <c r="W3506" i="11"/>
  <c r="W3507" i="11"/>
  <c r="X3507" i="11" s="1"/>
  <c r="W3508" i="11"/>
  <c r="W3509" i="11"/>
  <c r="X3509" i="11" s="1"/>
  <c r="W3512" i="11"/>
  <c r="Z3512" i="11" s="1"/>
  <c r="W3513" i="11"/>
  <c r="Z3513" i="11" s="1"/>
  <c r="W3514" i="11"/>
  <c r="W3515" i="11"/>
  <c r="Z3515" i="11" s="1"/>
  <c r="W3516" i="11"/>
  <c r="W3517" i="11"/>
  <c r="X3517" i="11" s="1"/>
  <c r="W3518" i="11"/>
  <c r="X3518" i="11" s="1"/>
  <c r="W3519" i="11"/>
  <c r="W3520" i="11"/>
  <c r="Z3520" i="11" s="1"/>
  <c r="W3521" i="11"/>
  <c r="W3522" i="11"/>
  <c r="W3523" i="11"/>
  <c r="W3524" i="11"/>
  <c r="W3525" i="11"/>
  <c r="Z3525" i="11" s="1"/>
  <c r="W3526" i="11"/>
  <c r="X3526" i="11" s="1"/>
  <c r="W3527" i="11"/>
  <c r="W3528" i="11"/>
  <c r="W3529" i="11"/>
  <c r="W3530" i="11"/>
  <c r="W3531" i="11"/>
  <c r="Z3531" i="11" s="1"/>
  <c r="W3532" i="11"/>
  <c r="W3533" i="11"/>
  <c r="X3533" i="11" s="1"/>
  <c r="W3534" i="11"/>
  <c r="W3535" i="11"/>
  <c r="W3536" i="11"/>
  <c r="Z3536" i="11" s="1"/>
  <c r="W3537" i="11"/>
  <c r="W3538" i="11"/>
  <c r="W3539" i="11"/>
  <c r="W3540" i="11"/>
  <c r="W3541" i="11"/>
  <c r="Z3541" i="11" s="1"/>
  <c r="W3542" i="11"/>
  <c r="Z3542" i="11" s="1"/>
  <c r="W3543" i="11"/>
  <c r="W3544" i="11"/>
  <c r="W3545" i="11"/>
  <c r="Z3545" i="11" s="1"/>
  <c r="W3546" i="11"/>
  <c r="Z3546" i="11" s="1"/>
  <c r="W3547" i="11"/>
  <c r="W3548" i="11"/>
  <c r="W3549" i="11"/>
  <c r="Z3549" i="11" s="1"/>
  <c r="W3550" i="11"/>
  <c r="W3551" i="11"/>
  <c r="W3552" i="11"/>
  <c r="W3553" i="11"/>
  <c r="W3554" i="11"/>
  <c r="Z3554" i="11" s="1"/>
  <c r="W3555" i="11"/>
  <c r="W3556" i="11"/>
  <c r="W3557" i="11"/>
  <c r="Z3557" i="11" s="1"/>
  <c r="W3558" i="11"/>
  <c r="W3559" i="11"/>
  <c r="W3560" i="11"/>
  <c r="X3560" i="11" s="1"/>
  <c r="W3561" i="11"/>
  <c r="W3562" i="11"/>
  <c r="X3562" i="11" s="1"/>
  <c r="W3563" i="11"/>
  <c r="W3564" i="11"/>
  <c r="W3565" i="11"/>
  <c r="Z3565" i="11" s="1"/>
  <c r="W3566" i="11"/>
  <c r="Z3566" i="11" s="1"/>
  <c r="W3567" i="11"/>
  <c r="Z3567" i="11" s="1"/>
  <c r="W3568" i="11"/>
  <c r="Z3568" i="11" s="1"/>
  <c r="W3569" i="11"/>
  <c r="W3570" i="11"/>
  <c r="W3571" i="11"/>
  <c r="W3572" i="11"/>
  <c r="W3573" i="11"/>
  <c r="Z3573" i="11" s="1"/>
  <c r="W3574" i="11"/>
  <c r="W3576" i="11"/>
  <c r="Z3576" i="11" s="1"/>
  <c r="W3577" i="11"/>
  <c r="W3578" i="11"/>
  <c r="Z3578" i="11" s="1"/>
  <c r="W3579" i="11"/>
  <c r="Z3579" i="11" s="1"/>
  <c r="W3581" i="11"/>
  <c r="W3584" i="11"/>
  <c r="X3584" i="11" s="1"/>
  <c r="W3585" i="11"/>
  <c r="W3586" i="11"/>
  <c r="X3586" i="11" s="1"/>
  <c r="W3587" i="11"/>
  <c r="Z3587" i="11" s="1"/>
  <c r="W3589" i="11"/>
  <c r="W3592" i="11"/>
  <c r="Z3592" i="11" s="1"/>
  <c r="W3593" i="11"/>
  <c r="W3594" i="11"/>
  <c r="X3594" i="11" s="1"/>
  <c r="W3595" i="11"/>
  <c r="Z3595" i="11" s="1"/>
  <c r="W3597" i="11"/>
  <c r="Z3597" i="11" s="1"/>
  <c r="W3600" i="11"/>
  <c r="Z3600" i="11" s="1"/>
  <c r="W3601" i="11"/>
  <c r="Z3601" i="11" s="1"/>
  <c r="W3602" i="11"/>
  <c r="W3603" i="11"/>
  <c r="Z3603" i="11" s="1"/>
  <c r="W3605" i="11"/>
  <c r="X3605" i="11" s="1"/>
  <c r="W3608" i="11"/>
  <c r="Z3608" i="11" s="1"/>
  <c r="W3609" i="11"/>
  <c r="W3610" i="11"/>
  <c r="Z3610" i="11" s="1"/>
  <c r="W3611" i="11"/>
  <c r="W3613" i="11"/>
  <c r="X3613" i="11" s="1"/>
  <c r="W3616" i="11"/>
  <c r="W3617" i="11"/>
  <c r="W3618" i="11"/>
  <c r="X3618" i="11" s="1"/>
  <c r="W3619" i="11"/>
  <c r="W3620" i="11"/>
  <c r="W3621" i="11"/>
  <c r="W3622" i="11"/>
  <c r="W3623" i="11"/>
  <c r="W3624" i="11"/>
  <c r="W3625" i="11"/>
  <c r="W3626" i="11"/>
  <c r="Z3626" i="11" s="1"/>
  <c r="W3627" i="11"/>
  <c r="W3628" i="11"/>
  <c r="W3629" i="11"/>
  <c r="Z3629" i="11" s="1"/>
  <c r="W3630" i="11"/>
  <c r="Z3630" i="11" s="1"/>
  <c r="W3631" i="11"/>
  <c r="W3632" i="11"/>
  <c r="W3633" i="11"/>
  <c r="W3634" i="11"/>
  <c r="W3635" i="11"/>
  <c r="W3636" i="11"/>
  <c r="W3637" i="11"/>
  <c r="Z3637" i="11" s="1"/>
  <c r="W3638" i="11"/>
  <c r="W3639" i="11"/>
  <c r="W3640" i="11"/>
  <c r="X3640" i="11" s="1"/>
  <c r="W3641" i="11"/>
  <c r="W3642" i="11"/>
  <c r="Z3642" i="11" s="1"/>
  <c r="W3643" i="11"/>
  <c r="W3644" i="11"/>
  <c r="W3645" i="11"/>
  <c r="Z3645" i="11" s="1"/>
  <c r="W3646" i="11"/>
  <c r="W3647" i="11"/>
  <c r="W3648" i="11"/>
  <c r="W3649" i="11"/>
  <c r="X3649" i="11" s="1"/>
  <c r="W3650" i="11"/>
  <c r="Z3650" i="11" s="1"/>
  <c r="W3651" i="11"/>
  <c r="W3652" i="11"/>
  <c r="W3653" i="11"/>
  <c r="Z3653" i="11" s="1"/>
  <c r="W3654" i="11"/>
  <c r="W3655" i="11"/>
  <c r="W3656" i="11"/>
  <c r="Z3656" i="11" s="1"/>
  <c r="W3657" i="11"/>
  <c r="W3658" i="11"/>
  <c r="X3658" i="11" s="1"/>
  <c r="W3659" i="11"/>
  <c r="W3660" i="11"/>
  <c r="W3661" i="11"/>
  <c r="X3661" i="11" s="1"/>
  <c r="W3662" i="11"/>
  <c r="W3663" i="11"/>
  <c r="W3664" i="11"/>
  <c r="X3664" i="11" s="1"/>
  <c r="W3665" i="11"/>
  <c r="W3666" i="11"/>
  <c r="Z3666" i="11" s="1"/>
  <c r="W3667" i="11"/>
  <c r="Z3667" i="11" s="1"/>
  <c r="W3668" i="11"/>
  <c r="W3669" i="11"/>
  <c r="Z3669" i="11" s="1"/>
  <c r="W3670" i="11"/>
  <c r="X3670" i="11" s="1"/>
  <c r="W3671" i="11"/>
  <c r="W3672" i="11"/>
  <c r="X3672" i="11" s="1"/>
  <c r="W3673" i="11"/>
  <c r="W3674" i="11"/>
  <c r="W3675" i="11"/>
  <c r="W3676" i="11"/>
  <c r="W3677" i="11"/>
  <c r="Z3677" i="11" s="1"/>
  <c r="W3678" i="11"/>
  <c r="W3679" i="11"/>
  <c r="W3680" i="11"/>
  <c r="W3681" i="11"/>
  <c r="W3682" i="11"/>
  <c r="W3683" i="11"/>
  <c r="W3685" i="11"/>
  <c r="Z3685" i="11" s="1"/>
  <c r="W3688" i="11"/>
  <c r="W3689" i="11"/>
  <c r="W3690" i="11"/>
  <c r="Z3690" i="11" s="1"/>
  <c r="W3691" i="11"/>
  <c r="X3691" i="11" s="1"/>
  <c r="W3692" i="11"/>
  <c r="W3693" i="11"/>
  <c r="X3693" i="11" s="1"/>
  <c r="W3696" i="11"/>
  <c r="X3696" i="11" s="1"/>
  <c r="W3697" i="11"/>
  <c r="W3698" i="11"/>
  <c r="Z3698" i="11" s="1"/>
  <c r="W3699" i="11"/>
  <c r="X3699" i="11" s="1"/>
  <c r="W3701" i="11"/>
  <c r="W3704" i="11"/>
  <c r="Z3704" i="11" s="1"/>
  <c r="W3705" i="11"/>
  <c r="W3706" i="11"/>
  <c r="W3707" i="11"/>
  <c r="Z3707" i="11" s="1"/>
  <c r="W3709" i="11"/>
  <c r="X3709" i="11" s="1"/>
  <c r="W3712" i="11"/>
  <c r="Z3712" i="11" s="1"/>
  <c r="W3713" i="11"/>
  <c r="W3714" i="11"/>
  <c r="W3715" i="11"/>
  <c r="Z3715" i="11" s="1"/>
  <c r="W3717" i="11"/>
  <c r="Z3717" i="11" s="1"/>
  <c r="W3720" i="11"/>
  <c r="Z3720" i="11" s="1"/>
  <c r="W3721" i="11"/>
  <c r="W3722" i="11"/>
  <c r="W3723" i="11"/>
  <c r="X3723" i="11" s="1"/>
  <c r="W3724" i="11"/>
  <c r="W3725" i="11"/>
  <c r="X3725" i="11" s="1"/>
  <c r="W3726" i="11"/>
  <c r="W3727" i="11"/>
  <c r="W3728" i="11"/>
  <c r="X3728" i="11" s="1"/>
  <c r="W3729" i="11"/>
  <c r="X3729" i="11" s="1"/>
  <c r="W3730" i="11"/>
  <c r="W3731" i="11"/>
  <c r="W3732" i="11"/>
  <c r="W3733" i="11"/>
  <c r="Z3733" i="11" s="1"/>
  <c r="W3734" i="11"/>
  <c r="W3735" i="11"/>
  <c r="X3735" i="11" s="1"/>
  <c r="W3736" i="11"/>
  <c r="Z3736" i="11" s="1"/>
  <c r="W3737" i="11"/>
  <c r="W3738" i="11"/>
  <c r="W3739" i="11"/>
  <c r="Z3739" i="11" s="1"/>
  <c r="W3740" i="11"/>
  <c r="W3741" i="11"/>
  <c r="X3741" i="11" s="1"/>
  <c r="W3742" i="11"/>
  <c r="W3743" i="11"/>
  <c r="W3744" i="11"/>
  <c r="Z3744" i="11" s="1"/>
  <c r="W3745" i="11"/>
  <c r="X3745" i="11" s="1"/>
  <c r="W3746" i="11"/>
  <c r="Z3746" i="11" s="1"/>
  <c r="W3747" i="11"/>
  <c r="Z3747" i="11" s="1"/>
  <c r="W3748" i="11"/>
  <c r="W3749" i="11"/>
  <c r="Z3749" i="11" s="1"/>
  <c r="W3750" i="11"/>
  <c r="W3751" i="11"/>
  <c r="W3752" i="11"/>
  <c r="Z3752" i="11" s="1"/>
  <c r="W3753" i="11"/>
  <c r="Z3753" i="11" s="1"/>
  <c r="W3754" i="11"/>
  <c r="X3754" i="11" s="1"/>
  <c r="W3755" i="11"/>
  <c r="W3756" i="11"/>
  <c r="W3757" i="11"/>
  <c r="Z3757" i="11" s="1"/>
  <c r="W3758" i="11"/>
  <c r="W3759" i="11"/>
  <c r="W3760" i="11"/>
  <c r="W3761" i="11"/>
  <c r="W3762" i="11"/>
  <c r="Z3762" i="11" s="1"/>
  <c r="W3763" i="11"/>
  <c r="W3764" i="11"/>
  <c r="W3765" i="11"/>
  <c r="Z3765" i="11" s="1"/>
  <c r="W3766" i="11"/>
  <c r="W3767" i="11"/>
  <c r="W3768" i="11"/>
  <c r="W3769" i="11"/>
  <c r="W3770" i="11"/>
  <c r="Z3770" i="11" s="1"/>
  <c r="W3771" i="11"/>
  <c r="Z3771" i="11" s="1"/>
  <c r="W3772" i="11"/>
  <c r="W3773" i="11"/>
  <c r="Z3773" i="11" s="1"/>
  <c r="W3774" i="11"/>
  <c r="W3775" i="11"/>
  <c r="W3776" i="11"/>
  <c r="W3777" i="11"/>
  <c r="W3778" i="11"/>
  <c r="X3778" i="11" s="1"/>
  <c r="W3779" i="11"/>
  <c r="W3780" i="11"/>
  <c r="W3781" i="11"/>
  <c r="Z3781" i="11" s="1"/>
  <c r="W3782" i="11"/>
  <c r="W3783" i="11"/>
  <c r="W3784" i="11"/>
  <c r="X3784" i="11" s="1"/>
  <c r="W3785" i="11"/>
  <c r="W3786" i="11"/>
  <c r="X3786" i="11" s="1"/>
  <c r="W3787" i="11"/>
  <c r="X3787" i="11" s="1"/>
  <c r="W3788" i="11"/>
  <c r="W3790" i="11"/>
  <c r="W3793" i="11"/>
  <c r="W3794" i="11"/>
  <c r="Z3794" i="11" s="1"/>
  <c r="W3795" i="11"/>
  <c r="W3796" i="11"/>
  <c r="W3798" i="11"/>
  <c r="Z3798" i="11" s="1"/>
  <c r="W3801" i="11"/>
  <c r="Z3801" i="11" s="1"/>
  <c r="W3802" i="11"/>
  <c r="W3803" i="11"/>
  <c r="Z3803" i="11" s="1"/>
  <c r="W3804" i="11"/>
  <c r="W3806" i="11"/>
  <c r="W3809" i="11"/>
  <c r="W3810" i="11"/>
  <c r="W3811" i="11"/>
  <c r="Z3811" i="11" s="1"/>
  <c r="W3812" i="11"/>
  <c r="W3814" i="11"/>
  <c r="W3817" i="11"/>
  <c r="W3818" i="11"/>
  <c r="Z3818" i="11" s="1"/>
  <c r="W3819" i="11"/>
  <c r="W3820" i="11"/>
  <c r="W3822" i="11"/>
  <c r="W3825" i="11"/>
  <c r="W3826" i="11"/>
  <c r="W3827" i="11"/>
  <c r="X3827" i="11" s="1"/>
  <c r="W3828" i="11"/>
  <c r="W3829" i="11"/>
  <c r="Z3829" i="11" s="1"/>
  <c r="W3830" i="11"/>
  <c r="Z3830" i="11" s="1"/>
  <c r="W3831" i="11"/>
  <c r="W3832" i="11"/>
  <c r="Z3832" i="11" s="1"/>
  <c r="W3833" i="11"/>
  <c r="W3834" i="11"/>
  <c r="W3835" i="11"/>
  <c r="W3836" i="11"/>
  <c r="W3837" i="11"/>
  <c r="W3838" i="11"/>
  <c r="W3839" i="11"/>
  <c r="W3840" i="11"/>
  <c r="Z3840" i="11" s="1"/>
  <c r="W3841" i="11"/>
  <c r="X3841" i="11" s="1"/>
  <c r="W3842" i="11"/>
  <c r="X3842" i="11" s="1"/>
  <c r="W3843" i="11"/>
  <c r="X3843" i="11" s="1"/>
  <c r="W3844" i="11"/>
  <c r="W3845" i="11"/>
  <c r="W3846" i="11"/>
  <c r="W3847" i="11"/>
  <c r="W3848" i="11"/>
  <c r="W3849" i="11"/>
  <c r="X3849" i="11" s="1"/>
  <c r="W3850" i="11"/>
  <c r="W3851" i="11"/>
  <c r="X3851" i="11" s="1"/>
  <c r="W3852" i="11"/>
  <c r="W3853" i="11"/>
  <c r="X3853" i="11" s="1"/>
  <c r="W3854" i="11"/>
  <c r="W3855" i="11"/>
  <c r="W3856" i="11"/>
  <c r="W3857" i="11"/>
  <c r="W3858" i="11"/>
  <c r="Z3858" i="11" s="1"/>
  <c r="W3859" i="11"/>
  <c r="Z3859" i="11" s="1"/>
  <c r="W3860" i="11"/>
  <c r="W3861" i="11"/>
  <c r="W3862" i="11"/>
  <c r="W3863" i="11"/>
  <c r="W3864" i="11"/>
  <c r="W3865" i="11"/>
  <c r="X3865" i="11" s="1"/>
  <c r="W3866" i="11"/>
  <c r="Z3866" i="11" s="1"/>
  <c r="W3867" i="11"/>
  <c r="Z3867" i="11" s="1"/>
  <c r="W3868" i="11"/>
  <c r="W3869" i="11"/>
  <c r="Z3869" i="11" s="1"/>
  <c r="W3870" i="11"/>
  <c r="W3871" i="11"/>
  <c r="W3872" i="11"/>
  <c r="Z3872" i="11" s="1"/>
  <c r="W3873" i="11"/>
  <c r="W3874" i="11"/>
  <c r="Z3874" i="11" s="1"/>
  <c r="W3875" i="11"/>
  <c r="Z3875" i="11" s="1"/>
  <c r="W3876" i="11"/>
  <c r="W3877" i="11"/>
  <c r="Z3877" i="11" s="1"/>
  <c r="W3878" i="11"/>
  <c r="X3878" i="11" s="1"/>
  <c r="W3879" i="11"/>
  <c r="W3880" i="11"/>
  <c r="Z3880" i="11" s="1"/>
  <c r="W3881" i="11"/>
  <c r="W3882" i="11"/>
  <c r="Z3882" i="11" s="1"/>
  <c r="W3883" i="11"/>
  <c r="W3884" i="11"/>
  <c r="W3885" i="11"/>
  <c r="Z3885" i="11" s="1"/>
  <c r="W3886" i="11"/>
  <c r="Z3886" i="11" s="1"/>
  <c r="W3887" i="11"/>
  <c r="W3888" i="11"/>
  <c r="W3889" i="11"/>
  <c r="Z3889" i="11" s="1"/>
  <c r="V385" i="54"/>
  <c r="W383" i="54"/>
  <c r="X383" i="54" s="1"/>
  <c r="W375" i="54"/>
  <c r="X375" i="54" s="1"/>
  <c r="W372" i="54"/>
  <c r="X372" i="54" s="1"/>
  <c r="W364" i="54"/>
  <c r="X364" i="54" s="1"/>
  <c r="W365" i="54"/>
  <c r="X365" i="54" s="1"/>
  <c r="W353" i="54"/>
  <c r="X353" i="54" s="1"/>
  <c r="W352" i="54"/>
  <c r="X352" i="54" s="1"/>
  <c r="V391" i="54"/>
  <c r="V440" i="54"/>
  <c r="W276" i="54"/>
  <c r="X276" i="54" s="1"/>
  <c r="C45" i="36"/>
  <c r="I46" i="60"/>
  <c r="I47" i="60"/>
  <c r="M47" i="60"/>
  <c r="I48" i="60"/>
  <c r="K47" i="60"/>
  <c r="L47" i="60"/>
  <c r="E47" i="60"/>
  <c r="K48" i="60"/>
  <c r="L48" i="60"/>
  <c r="E48" i="60"/>
  <c r="M48" i="60"/>
  <c r="E46" i="60"/>
  <c r="M46" i="60"/>
  <c r="L46" i="60"/>
  <c r="K46" i="60"/>
  <c r="D42" i="35"/>
  <c r="D53" i="35"/>
  <c r="D52" i="35"/>
  <c r="H42" i="35"/>
  <c r="H52" i="35"/>
  <c r="H53" i="35"/>
  <c r="L42" i="35"/>
  <c r="L53" i="35"/>
  <c r="L52" i="35"/>
  <c r="P42" i="35"/>
  <c r="P53" i="35"/>
  <c r="P52" i="35"/>
  <c r="T42" i="35"/>
  <c r="T52" i="35"/>
  <c r="T53" i="35"/>
  <c r="W42" i="35"/>
  <c r="W53" i="35"/>
  <c r="W52" i="35"/>
  <c r="Y42" i="35"/>
  <c r="Y53" i="35"/>
  <c r="Y52" i="35"/>
  <c r="AC42" i="35"/>
  <c r="AC53" i="35"/>
  <c r="AC52" i="35"/>
  <c r="E5" i="35"/>
  <c r="C42" i="35"/>
  <c r="C52" i="35"/>
  <c r="C53" i="35"/>
  <c r="AB5" i="35"/>
  <c r="I5" i="35"/>
  <c r="G42" i="35"/>
  <c r="G53" i="35"/>
  <c r="I53" i="35"/>
  <c r="G52" i="35"/>
  <c r="M5" i="35"/>
  <c r="K42" i="35"/>
  <c r="K53" i="35"/>
  <c r="M53" i="35"/>
  <c r="K52" i="35"/>
  <c r="Q5" i="35"/>
  <c r="O42" i="35"/>
  <c r="O53" i="35"/>
  <c r="Q53" i="35"/>
  <c r="O52" i="35"/>
  <c r="U5" i="35"/>
  <c r="S42" i="35"/>
  <c r="S52" i="35"/>
  <c r="S53" i="35"/>
  <c r="U53" i="35"/>
  <c r="X5" i="35"/>
  <c r="Z5" i="35"/>
  <c r="E6" i="35"/>
  <c r="AB6" i="35"/>
  <c r="I6" i="35"/>
  <c r="M6" i="35"/>
  <c r="Q6" i="35"/>
  <c r="U6" i="35"/>
  <c r="X6" i="35"/>
  <c r="Z6" i="35"/>
  <c r="E7" i="35"/>
  <c r="AB7" i="35"/>
  <c r="I7" i="35"/>
  <c r="M7" i="35"/>
  <c r="Q7" i="35"/>
  <c r="U7" i="35"/>
  <c r="X7" i="35"/>
  <c r="Z7" i="35"/>
  <c r="E8" i="35"/>
  <c r="AB8" i="35"/>
  <c r="I8" i="35"/>
  <c r="M8" i="35"/>
  <c r="Q8" i="35"/>
  <c r="U8" i="35"/>
  <c r="X8" i="35"/>
  <c r="Z8" i="35"/>
  <c r="E9" i="35"/>
  <c r="AB9" i="35"/>
  <c r="I9" i="35"/>
  <c r="M9" i="35"/>
  <c r="Q9" i="35"/>
  <c r="U9" i="35"/>
  <c r="X9" i="35"/>
  <c r="Z9" i="35"/>
  <c r="E10" i="35"/>
  <c r="AB10" i="35"/>
  <c r="I10" i="35"/>
  <c r="M10" i="35"/>
  <c r="Q10" i="35"/>
  <c r="U10" i="35"/>
  <c r="X10" i="35"/>
  <c r="Z10" i="35"/>
  <c r="E11" i="35"/>
  <c r="AB11" i="35"/>
  <c r="I11" i="35"/>
  <c r="M11" i="35"/>
  <c r="Q11" i="35"/>
  <c r="U11" i="35"/>
  <c r="X11" i="35"/>
  <c r="Z11" i="35"/>
  <c r="E12" i="35"/>
  <c r="AB12" i="35"/>
  <c r="I12" i="35"/>
  <c r="M12" i="35"/>
  <c r="Q12" i="35"/>
  <c r="U12" i="35"/>
  <c r="X12" i="35"/>
  <c r="Z12" i="35"/>
  <c r="E13" i="35"/>
  <c r="AB13" i="35"/>
  <c r="I13" i="35"/>
  <c r="M13" i="35"/>
  <c r="Q13" i="35"/>
  <c r="U13" i="35"/>
  <c r="X13" i="35"/>
  <c r="Z13" i="35"/>
  <c r="E14" i="35"/>
  <c r="AB14" i="35"/>
  <c r="I14" i="35"/>
  <c r="M14" i="35"/>
  <c r="Q14" i="35"/>
  <c r="U14" i="35"/>
  <c r="X14" i="35"/>
  <c r="Z14" i="35"/>
  <c r="E15" i="35"/>
  <c r="AB15" i="35"/>
  <c r="I15" i="35"/>
  <c r="M15" i="35"/>
  <c r="Q15" i="35"/>
  <c r="U15" i="35"/>
  <c r="X15" i="35"/>
  <c r="Z15" i="35"/>
  <c r="E16" i="35"/>
  <c r="AB16" i="35"/>
  <c r="I16" i="35"/>
  <c r="M16" i="35"/>
  <c r="Q16" i="35"/>
  <c r="U16" i="35"/>
  <c r="X16" i="35"/>
  <c r="Z16" i="35"/>
  <c r="E17" i="35"/>
  <c r="AB17" i="35"/>
  <c r="I17" i="35"/>
  <c r="M17" i="35"/>
  <c r="Q17" i="35"/>
  <c r="U17" i="35"/>
  <c r="X17" i="35"/>
  <c r="Z17" i="35"/>
  <c r="E18" i="35"/>
  <c r="AB18" i="35"/>
  <c r="I18" i="35"/>
  <c r="M18" i="35"/>
  <c r="Q18" i="35"/>
  <c r="U18" i="35"/>
  <c r="X18" i="35"/>
  <c r="Z18" i="35"/>
  <c r="E19" i="35"/>
  <c r="AB19" i="35"/>
  <c r="I19" i="35"/>
  <c r="M19" i="35"/>
  <c r="Q19" i="35"/>
  <c r="U19" i="35"/>
  <c r="X19" i="35"/>
  <c r="Z19" i="35"/>
  <c r="E20" i="35"/>
  <c r="AB20" i="35"/>
  <c r="I20" i="35"/>
  <c r="M20" i="35"/>
  <c r="Q20" i="35"/>
  <c r="U20" i="35"/>
  <c r="X20" i="35"/>
  <c r="Z20" i="35"/>
  <c r="E21" i="35"/>
  <c r="AB21" i="35"/>
  <c r="I21" i="35"/>
  <c r="M21" i="35"/>
  <c r="Q21" i="35"/>
  <c r="U21" i="35"/>
  <c r="X21" i="35"/>
  <c r="Z21" i="35"/>
  <c r="E22" i="35"/>
  <c r="AB22" i="35"/>
  <c r="I22" i="35"/>
  <c r="M22" i="35"/>
  <c r="Q22" i="35"/>
  <c r="U22" i="35"/>
  <c r="X22" i="35"/>
  <c r="Z22" i="35"/>
  <c r="E23" i="35"/>
  <c r="AB23" i="35"/>
  <c r="I23" i="35"/>
  <c r="M23" i="35"/>
  <c r="Q23" i="35"/>
  <c r="U23" i="35"/>
  <c r="X23" i="35"/>
  <c r="Z23" i="35"/>
  <c r="E24" i="35"/>
  <c r="AB24" i="35"/>
  <c r="I24" i="35"/>
  <c r="M24" i="35"/>
  <c r="Q24" i="35"/>
  <c r="U24" i="35"/>
  <c r="X24" i="35"/>
  <c r="Z24" i="35"/>
  <c r="E25" i="35"/>
  <c r="AB25" i="35"/>
  <c r="I25" i="35"/>
  <c r="M25" i="35"/>
  <c r="Q25" i="35"/>
  <c r="U25" i="35"/>
  <c r="X25" i="35"/>
  <c r="Z25" i="35"/>
  <c r="E26" i="35"/>
  <c r="AB26" i="35"/>
  <c r="I26" i="35"/>
  <c r="M26" i="35"/>
  <c r="Q26" i="35"/>
  <c r="U26" i="35"/>
  <c r="X26" i="35"/>
  <c r="Z26" i="35"/>
  <c r="E27" i="35"/>
  <c r="AB27" i="35"/>
  <c r="I27" i="35"/>
  <c r="M27" i="35"/>
  <c r="Q27" i="35"/>
  <c r="U27" i="35"/>
  <c r="X27" i="35"/>
  <c r="Z27" i="35"/>
  <c r="E28" i="35"/>
  <c r="AB28" i="35"/>
  <c r="I28" i="35"/>
  <c r="M28" i="35"/>
  <c r="Q28" i="35"/>
  <c r="U28" i="35"/>
  <c r="X28" i="35"/>
  <c r="Z28" i="35"/>
  <c r="E29" i="35"/>
  <c r="AB29" i="35"/>
  <c r="I29" i="35"/>
  <c r="M29" i="35"/>
  <c r="Q29" i="35"/>
  <c r="U29" i="35"/>
  <c r="X29" i="35"/>
  <c r="Z29" i="35"/>
  <c r="E30" i="35"/>
  <c r="AB30" i="35"/>
  <c r="I30" i="35"/>
  <c r="M30" i="35"/>
  <c r="Q30" i="35"/>
  <c r="U30" i="35"/>
  <c r="X30" i="35"/>
  <c r="Z30" i="35"/>
  <c r="E31" i="35"/>
  <c r="AB31" i="35"/>
  <c r="I31" i="35"/>
  <c r="M31" i="35"/>
  <c r="Q31" i="35"/>
  <c r="U31" i="35"/>
  <c r="X31" i="35"/>
  <c r="Z31" i="35"/>
  <c r="E32" i="35"/>
  <c r="AB32" i="35"/>
  <c r="I32" i="35"/>
  <c r="M32" i="35"/>
  <c r="Q32" i="35"/>
  <c r="U32" i="35"/>
  <c r="X32" i="35"/>
  <c r="Z32" i="35"/>
  <c r="E33" i="35"/>
  <c r="AB33" i="35"/>
  <c r="I33" i="35"/>
  <c r="M33" i="35"/>
  <c r="Q33" i="35"/>
  <c r="U33" i="35"/>
  <c r="X33" i="35"/>
  <c r="Z33" i="35"/>
  <c r="E34" i="35"/>
  <c r="AB34" i="35"/>
  <c r="I34" i="35"/>
  <c r="M34" i="35"/>
  <c r="Q34" i="35"/>
  <c r="U34" i="35"/>
  <c r="X34" i="35"/>
  <c r="Z34" i="35"/>
  <c r="E35" i="35"/>
  <c r="AB35" i="35"/>
  <c r="I35" i="35"/>
  <c r="M35" i="35"/>
  <c r="Q35" i="35"/>
  <c r="U35" i="35"/>
  <c r="X35" i="35"/>
  <c r="Z35" i="35"/>
  <c r="E36" i="35"/>
  <c r="AB36" i="35"/>
  <c r="I36" i="35"/>
  <c r="M36" i="35"/>
  <c r="Q36" i="35"/>
  <c r="U36" i="35"/>
  <c r="X36" i="35"/>
  <c r="Z36" i="35"/>
  <c r="E37" i="35"/>
  <c r="AB37" i="35"/>
  <c r="I37" i="35"/>
  <c r="M37" i="35"/>
  <c r="Q37" i="35"/>
  <c r="U37" i="35"/>
  <c r="X37" i="35"/>
  <c r="Z37" i="35"/>
  <c r="E38" i="35"/>
  <c r="AB38" i="35"/>
  <c r="I38" i="35"/>
  <c r="M38" i="35"/>
  <c r="Q38" i="35"/>
  <c r="U38" i="35"/>
  <c r="X38" i="35"/>
  <c r="Z38" i="35"/>
  <c r="E39" i="35"/>
  <c r="AB39" i="35"/>
  <c r="I39" i="35"/>
  <c r="M39" i="35"/>
  <c r="Q39" i="35"/>
  <c r="U39" i="35"/>
  <c r="X39" i="35"/>
  <c r="Z39" i="35"/>
  <c r="E40" i="35"/>
  <c r="AB40" i="35"/>
  <c r="I40" i="35"/>
  <c r="M40" i="35"/>
  <c r="Q40" i="35"/>
  <c r="U40" i="35"/>
  <c r="X40" i="35"/>
  <c r="Z40" i="35"/>
  <c r="E41" i="35"/>
  <c r="AB41" i="35"/>
  <c r="X41" i="35"/>
  <c r="I41" i="35"/>
  <c r="M41" i="35"/>
  <c r="Q41" i="35"/>
  <c r="U41" i="35"/>
  <c r="E43" i="35"/>
  <c r="AB43" i="35"/>
  <c r="I43" i="35"/>
  <c r="M43" i="35"/>
  <c r="Q43" i="35"/>
  <c r="U43" i="35"/>
  <c r="X43" i="35"/>
  <c r="Z43" i="35"/>
  <c r="E44" i="35"/>
  <c r="AB44" i="35"/>
  <c r="I44" i="35"/>
  <c r="M44" i="35"/>
  <c r="Q44" i="35"/>
  <c r="U44" i="35"/>
  <c r="X44" i="35"/>
  <c r="Z44" i="35"/>
  <c r="E45" i="35"/>
  <c r="AB45" i="35"/>
  <c r="I45" i="35"/>
  <c r="M45" i="35"/>
  <c r="Q45" i="35"/>
  <c r="U45" i="35"/>
  <c r="X45" i="35"/>
  <c r="Z45" i="35"/>
  <c r="E46" i="35"/>
  <c r="AB46" i="35"/>
  <c r="I46" i="35"/>
  <c r="M46" i="35"/>
  <c r="Q46" i="35"/>
  <c r="U46" i="35"/>
  <c r="X46" i="35"/>
  <c r="Z46" i="35"/>
  <c r="E47" i="35"/>
  <c r="AB47" i="35"/>
  <c r="I47" i="35"/>
  <c r="M47" i="35"/>
  <c r="Q47" i="35"/>
  <c r="U47" i="35"/>
  <c r="X47" i="35"/>
  <c r="Z47" i="35"/>
  <c r="AA48" i="35"/>
  <c r="J49" i="33"/>
  <c r="K49" i="33" s="1"/>
  <c r="E49" i="35"/>
  <c r="AB49" i="35"/>
  <c r="I49" i="35"/>
  <c r="M49" i="35"/>
  <c r="Q49" i="35"/>
  <c r="U49" i="35"/>
  <c r="X49" i="35"/>
  <c r="Z49" i="35"/>
  <c r="E50" i="35"/>
  <c r="AB50" i="35"/>
  <c r="I50" i="35"/>
  <c r="M50" i="35"/>
  <c r="Q50" i="35"/>
  <c r="U50" i="35"/>
  <c r="X50" i="35"/>
  <c r="Z50" i="35"/>
  <c r="E51" i="35"/>
  <c r="AB51" i="35"/>
  <c r="I51" i="35"/>
  <c r="M51" i="35"/>
  <c r="Q51" i="35"/>
  <c r="U51" i="35"/>
  <c r="X51" i="35"/>
  <c r="Z51" i="35"/>
  <c r="E64" i="54"/>
  <c r="E65" i="54"/>
  <c r="E66" i="54"/>
  <c r="E67" i="54"/>
  <c r="E68" i="54"/>
  <c r="E69" i="54"/>
  <c r="E70" i="54"/>
  <c r="E71" i="54"/>
  <c r="E63" i="54"/>
  <c r="B18" i="34"/>
  <c r="B17" i="34"/>
  <c r="C334" i="54"/>
  <c r="C114" i="54" s="1"/>
  <c r="C63" i="54"/>
  <c r="C64" i="54"/>
  <c r="C65" i="54"/>
  <c r="C66" i="54"/>
  <c r="C67" i="54"/>
  <c r="C68" i="54"/>
  <c r="C69" i="54"/>
  <c r="C70" i="54"/>
  <c r="C71" i="54"/>
  <c r="C344" i="54"/>
  <c r="C21" i="54" s="1"/>
  <c r="C349" i="54"/>
  <c r="C350" i="54"/>
  <c r="C351" i="54"/>
  <c r="C352" i="54"/>
  <c r="C353" i="54"/>
  <c r="C354" i="54"/>
  <c r="C355" i="54"/>
  <c r="C356" i="54"/>
  <c r="C357" i="54"/>
  <c r="C358" i="54"/>
  <c r="C359" i="54"/>
  <c r="C36" i="54" s="1"/>
  <c r="C360" i="54"/>
  <c r="C361" i="54"/>
  <c r="C362" i="54"/>
  <c r="C363" i="54"/>
  <c r="C364" i="54"/>
  <c r="C365" i="54"/>
  <c r="C366" i="54"/>
  <c r="C367" i="54"/>
  <c r="C44" i="54" s="1"/>
  <c r="C368" i="54"/>
  <c r="C369" i="54"/>
  <c r="C370" i="54"/>
  <c r="C371" i="54"/>
  <c r="C372" i="54"/>
  <c r="C373" i="54"/>
  <c r="C374" i="54"/>
  <c r="C375" i="54"/>
  <c r="C376" i="54"/>
  <c r="C377" i="54"/>
  <c r="C378" i="54"/>
  <c r="C379" i="54"/>
  <c r="C380" i="54"/>
  <c r="C381" i="54"/>
  <c r="C382" i="54"/>
  <c r="C59" i="54" s="1"/>
  <c r="C383" i="54"/>
  <c r="C60" i="54" s="1"/>
  <c r="C384" i="54"/>
  <c r="C61" i="54" s="1"/>
  <c r="C348" i="54"/>
  <c r="C390" i="54"/>
  <c r="C389" i="54"/>
  <c r="C415" i="54"/>
  <c r="C416" i="54"/>
  <c r="C417" i="54"/>
  <c r="C418" i="54"/>
  <c r="C419" i="54"/>
  <c r="C420" i="54"/>
  <c r="C421" i="54"/>
  <c r="C422" i="54"/>
  <c r="C423" i="54"/>
  <c r="C424" i="54"/>
  <c r="C425" i="54"/>
  <c r="C426" i="54"/>
  <c r="C427" i="54"/>
  <c r="C428" i="54"/>
  <c r="C429" i="54"/>
  <c r="C430" i="54"/>
  <c r="C431" i="54"/>
  <c r="C432" i="54"/>
  <c r="C433" i="54"/>
  <c r="C434" i="54"/>
  <c r="C435" i="54"/>
  <c r="C436" i="54"/>
  <c r="C437" i="54"/>
  <c r="C438" i="54"/>
  <c r="C439" i="54"/>
  <c r="C414" i="54"/>
  <c r="C396" i="54"/>
  <c r="C397" i="54"/>
  <c r="C398" i="54"/>
  <c r="C410" i="54"/>
  <c r="C395" i="54"/>
  <c r="I6" i="60"/>
  <c r="I7" i="60"/>
  <c r="I8" i="60"/>
  <c r="I9" i="60"/>
  <c r="I10" i="60"/>
  <c r="I11" i="60"/>
  <c r="I12" i="60"/>
  <c r="I13" i="60"/>
  <c r="I14" i="60"/>
  <c r="I15" i="60"/>
  <c r="I16" i="60"/>
  <c r="I17" i="60"/>
  <c r="I18" i="60"/>
  <c r="I19" i="60"/>
  <c r="I20" i="60"/>
  <c r="I21" i="60"/>
  <c r="I22" i="60"/>
  <c r="I23" i="60"/>
  <c r="I24" i="60"/>
  <c r="I25" i="60"/>
  <c r="I26" i="60"/>
  <c r="I27" i="60"/>
  <c r="I28" i="60"/>
  <c r="I29" i="60"/>
  <c r="I30" i="60"/>
  <c r="I31" i="60"/>
  <c r="I32" i="60"/>
  <c r="I33" i="60"/>
  <c r="I34" i="60"/>
  <c r="I35" i="60"/>
  <c r="I36" i="60"/>
  <c r="I37" i="60"/>
  <c r="I38" i="60"/>
  <c r="I39" i="60"/>
  <c r="I40" i="60"/>
  <c r="I41" i="60"/>
  <c r="I5" i="60"/>
  <c r="D42" i="60"/>
  <c r="C42" i="60"/>
  <c r="L15" i="30"/>
  <c r="L13" i="30"/>
  <c r="L16" i="30"/>
  <c r="L17" i="30"/>
  <c r="L14" i="30"/>
  <c r="P3" i="54"/>
  <c r="F415" i="54"/>
  <c r="F416" i="54"/>
  <c r="F417" i="54"/>
  <c r="F418" i="54"/>
  <c r="F419" i="54"/>
  <c r="F420" i="54"/>
  <c r="F421" i="54"/>
  <c r="F422" i="54"/>
  <c r="F423" i="54"/>
  <c r="F424" i="54"/>
  <c r="F425" i="54"/>
  <c r="F426" i="54"/>
  <c r="F427" i="54"/>
  <c r="F428" i="54"/>
  <c r="F429" i="54"/>
  <c r="F430" i="54"/>
  <c r="F431" i="54"/>
  <c r="F432" i="54"/>
  <c r="F433" i="54"/>
  <c r="F434" i="54"/>
  <c r="F435" i="54"/>
  <c r="F436" i="54"/>
  <c r="F437" i="54"/>
  <c r="F438" i="54"/>
  <c r="F439" i="54"/>
  <c r="F414" i="54"/>
  <c r="F396" i="54"/>
  <c r="F397" i="54"/>
  <c r="F398" i="54"/>
  <c r="F395" i="54"/>
  <c r="B420" i="54"/>
  <c r="B368" i="54"/>
  <c r="C12" i="64"/>
  <c r="L420" i="54" s="1"/>
  <c r="W412" i="54"/>
  <c r="W387" i="54"/>
  <c r="D440" i="54"/>
  <c r="D17" i="54" s="1"/>
  <c r="E440" i="54"/>
  <c r="E17" i="54" s="1"/>
  <c r="G440" i="54"/>
  <c r="G17" i="54" s="1"/>
  <c r="E6" i="60"/>
  <c r="E7" i="60"/>
  <c r="E8" i="60"/>
  <c r="E9" i="60"/>
  <c r="E10" i="60"/>
  <c r="E11" i="60"/>
  <c r="E12" i="60"/>
  <c r="E13" i="60"/>
  <c r="E14" i="60"/>
  <c r="E15" i="60"/>
  <c r="E16" i="60"/>
  <c r="E17" i="60"/>
  <c r="E18" i="60"/>
  <c r="E19" i="60"/>
  <c r="E20" i="60"/>
  <c r="E21" i="60"/>
  <c r="E22" i="60"/>
  <c r="E23" i="60"/>
  <c r="E24" i="60"/>
  <c r="E25" i="60"/>
  <c r="E26" i="60"/>
  <c r="E27" i="60"/>
  <c r="E28" i="60"/>
  <c r="E29" i="60"/>
  <c r="E30" i="60"/>
  <c r="E31" i="60"/>
  <c r="E32" i="60"/>
  <c r="E33" i="60"/>
  <c r="E34" i="60"/>
  <c r="E35" i="60"/>
  <c r="E36" i="60"/>
  <c r="E37" i="60"/>
  <c r="E38" i="60"/>
  <c r="E39" i="60"/>
  <c r="E40" i="60"/>
  <c r="E41" i="60"/>
  <c r="E5" i="60"/>
  <c r="C19" i="64"/>
  <c r="L427" i="54" s="1"/>
  <c r="T427" i="54" s="1"/>
  <c r="B427" i="54"/>
  <c r="P440" i="54"/>
  <c r="Q440" i="54"/>
  <c r="R440" i="54"/>
  <c r="S440" i="54"/>
  <c r="B414" i="54"/>
  <c r="B415" i="54"/>
  <c r="B416" i="54"/>
  <c r="B417" i="54"/>
  <c r="B418" i="54"/>
  <c r="B419" i="54"/>
  <c r="B421" i="54"/>
  <c r="B422" i="54"/>
  <c r="B423" i="54"/>
  <c r="B424" i="54"/>
  <c r="B425" i="54"/>
  <c r="B426" i="54"/>
  <c r="B428" i="54"/>
  <c r="B429" i="54"/>
  <c r="B430" i="54"/>
  <c r="B431" i="54"/>
  <c r="B432" i="54"/>
  <c r="B433" i="54"/>
  <c r="B434" i="54"/>
  <c r="B435" i="54"/>
  <c r="B436" i="54"/>
  <c r="B437" i="54"/>
  <c r="B438" i="54"/>
  <c r="B439" i="54"/>
  <c r="T413" i="54"/>
  <c r="L413" i="54"/>
  <c r="E6" i="63"/>
  <c r="W396" i="54" s="1"/>
  <c r="J6" i="63"/>
  <c r="E7" i="63"/>
  <c r="W397" i="54" s="1"/>
  <c r="J7" i="63"/>
  <c r="E8" i="63"/>
  <c r="W398" i="54" s="1"/>
  <c r="J8" i="63"/>
  <c r="E5" i="63"/>
  <c r="W395" i="54" s="1"/>
  <c r="J5" i="63"/>
  <c r="B396" i="54"/>
  <c r="B397" i="54"/>
  <c r="B398" i="54"/>
  <c r="B406" i="54"/>
  <c r="B407" i="54"/>
  <c r="B408" i="54"/>
  <c r="B409" i="54"/>
  <c r="B395" i="54"/>
  <c r="T394" i="54"/>
  <c r="E8" i="62"/>
  <c r="F8" i="62"/>
  <c r="G8" i="62"/>
  <c r="E32" i="64"/>
  <c r="F32" i="64"/>
  <c r="G32" i="64"/>
  <c r="F9" i="63"/>
  <c r="G9" i="63"/>
  <c r="H9" i="63"/>
  <c r="L9" i="63"/>
  <c r="M9" i="63"/>
  <c r="K9" i="63"/>
  <c r="J28" i="21"/>
  <c r="K28" i="21"/>
  <c r="L28" i="21"/>
  <c r="C31" i="64"/>
  <c r="L439" i="54" s="1"/>
  <c r="N439" i="54" s="1"/>
  <c r="C30" i="64"/>
  <c r="L438" i="54" s="1"/>
  <c r="N438" i="54" s="1"/>
  <c r="C29" i="64"/>
  <c r="L437" i="54" s="1"/>
  <c r="M437" i="54" s="1"/>
  <c r="O437" i="54" s="1"/>
  <c r="C28" i="64"/>
  <c r="L436" i="54" s="1"/>
  <c r="N436" i="54" s="1"/>
  <c r="C27" i="64"/>
  <c r="L435" i="54" s="1"/>
  <c r="T435" i="54" s="1"/>
  <c r="AB435" i="54" s="1"/>
  <c r="AE435" i="54" s="1"/>
  <c r="C26" i="64"/>
  <c r="L434" i="54" s="1"/>
  <c r="T434" i="54" s="1"/>
  <c r="AB434" i="54" s="1"/>
  <c r="AE434" i="54" s="1"/>
  <c r="C25" i="64"/>
  <c r="L433" i="54" s="1"/>
  <c r="N433" i="54" s="1"/>
  <c r="C24" i="64"/>
  <c r="L432" i="54" s="1"/>
  <c r="M432" i="54" s="1"/>
  <c r="C23" i="64"/>
  <c r="L431" i="54" s="1"/>
  <c r="C22" i="64"/>
  <c r="L430" i="54" s="1"/>
  <c r="T430" i="54" s="1"/>
  <c r="AB430" i="54" s="1"/>
  <c r="AE430" i="54" s="1"/>
  <c r="C21" i="64"/>
  <c r="L429" i="54" s="1"/>
  <c r="T429" i="54" s="1"/>
  <c r="AB429" i="54" s="1"/>
  <c r="AE429" i="54" s="1"/>
  <c r="C20" i="64"/>
  <c r="L428" i="54" s="1"/>
  <c r="L426" i="54"/>
  <c r="M426" i="54" s="1"/>
  <c r="C17" i="64"/>
  <c r="L425" i="54" s="1"/>
  <c r="N425" i="54" s="1"/>
  <c r="C16" i="64"/>
  <c r="L424" i="54" s="1"/>
  <c r="N424" i="54" s="1"/>
  <c r="C15" i="64"/>
  <c r="L423" i="54" s="1"/>
  <c r="C14" i="64"/>
  <c r="L422" i="54" s="1"/>
  <c r="T422" i="54" s="1"/>
  <c r="AB422" i="54" s="1"/>
  <c r="AE422" i="54" s="1"/>
  <c r="C13" i="64"/>
  <c r="L421" i="54" s="1"/>
  <c r="M421" i="54" s="1"/>
  <c r="C11" i="64"/>
  <c r="L419" i="54" s="1"/>
  <c r="T419" i="54" s="1"/>
  <c r="AB419" i="54" s="1"/>
  <c r="AE419" i="54" s="1"/>
  <c r="C10" i="64"/>
  <c r="L418" i="54" s="1"/>
  <c r="M418" i="54" s="1"/>
  <c r="H418" i="54" s="1"/>
  <c r="C9" i="64"/>
  <c r="L417" i="54" s="1"/>
  <c r="M417" i="54" s="1"/>
  <c r="C8" i="64"/>
  <c r="L416" i="54" s="1"/>
  <c r="N416" i="54" s="1"/>
  <c r="C7" i="64"/>
  <c r="L415" i="54" s="1"/>
  <c r="T415" i="54" s="1"/>
  <c r="AB415" i="54" s="1"/>
  <c r="AE415" i="54" s="1"/>
  <c r="C6" i="64"/>
  <c r="L414" i="54" s="1"/>
  <c r="U34" i="21"/>
  <c r="V34" i="21" s="1"/>
  <c r="W34" i="21" s="1"/>
  <c r="B389" i="54"/>
  <c r="B390" i="54"/>
  <c r="Z391" i="54"/>
  <c r="Y391" i="54"/>
  <c r="S391" i="54"/>
  <c r="R391" i="54"/>
  <c r="Q391" i="54"/>
  <c r="P391" i="54"/>
  <c r="E391" i="54"/>
  <c r="D391" i="54"/>
  <c r="F390" i="54"/>
  <c r="F389" i="54"/>
  <c r="T388" i="54"/>
  <c r="L388" i="54"/>
  <c r="D7" i="62"/>
  <c r="W390" i="54" s="1"/>
  <c r="X390" i="54" s="1"/>
  <c r="D6" i="62"/>
  <c r="C6" i="62" s="1"/>
  <c r="L389" i="54" s="1"/>
  <c r="N389" i="54" s="1"/>
  <c r="G391" i="54"/>
  <c r="L43" i="33"/>
  <c r="M320" i="54"/>
  <c r="E20" i="36"/>
  <c r="L306" i="54"/>
  <c r="N306" i="54" s="1"/>
  <c r="E52" i="36"/>
  <c r="E30" i="36"/>
  <c r="L317" i="54"/>
  <c r="T317" i="54" s="1"/>
  <c r="AB317" i="54" s="1"/>
  <c r="AE317" i="54" s="1"/>
  <c r="L305" i="54"/>
  <c r="N305" i="54" s="1"/>
  <c r="L300" i="54"/>
  <c r="N300" i="54" s="1"/>
  <c r="G32" i="56"/>
  <c r="F31" i="56"/>
  <c r="E31" i="56" s="1"/>
  <c r="C31" i="56" s="1"/>
  <c r="L384" i="54" s="1"/>
  <c r="F30" i="56"/>
  <c r="E30" i="56" s="1"/>
  <c r="C30" i="56" s="1"/>
  <c r="L383" i="54" s="1"/>
  <c r="F29" i="56"/>
  <c r="W381" i="54" s="1"/>
  <c r="X381" i="54" s="1"/>
  <c r="F28" i="56"/>
  <c r="E28" i="56" s="1"/>
  <c r="C28" i="56" s="1"/>
  <c r="L380" i="54" s="1"/>
  <c r="F27" i="56"/>
  <c r="E27" i="56" s="1"/>
  <c r="C27" i="56" s="1"/>
  <c r="L379" i="54" s="1"/>
  <c r="F26" i="56"/>
  <c r="W378" i="54" s="1"/>
  <c r="X378" i="54" s="1"/>
  <c r="F25" i="56"/>
  <c r="E25" i="56" s="1"/>
  <c r="C25" i="56" s="1"/>
  <c r="L376" i="54" s="1"/>
  <c r="F24" i="56"/>
  <c r="E24" i="56"/>
  <c r="C24" i="56" s="1"/>
  <c r="L375" i="54" s="1"/>
  <c r="F23" i="56"/>
  <c r="W374" i="54" s="1"/>
  <c r="X374" i="54" s="1"/>
  <c r="E23" i="56"/>
  <c r="C23" i="56" s="1"/>
  <c r="L374" i="54" s="1"/>
  <c r="F22" i="56"/>
  <c r="E22" i="56" s="1"/>
  <c r="C22" i="56" s="1"/>
  <c r="L372" i="54" s="1"/>
  <c r="F21" i="56"/>
  <c r="W371" i="54" s="1"/>
  <c r="X371" i="54" s="1"/>
  <c r="F20" i="56"/>
  <c r="W370" i="54" s="1"/>
  <c r="X370" i="54" s="1"/>
  <c r="F19" i="56"/>
  <c r="W369" i="54" s="1"/>
  <c r="X369" i="54" s="1"/>
  <c r="F18" i="56"/>
  <c r="W367" i="54" s="1"/>
  <c r="X367" i="54" s="1"/>
  <c r="F17" i="56"/>
  <c r="W366" i="54" s="1"/>
  <c r="X366" i="54" s="1"/>
  <c r="F16" i="56"/>
  <c r="E16" i="56"/>
  <c r="C16" i="56" s="1"/>
  <c r="L365" i="54" s="1"/>
  <c r="F15" i="56"/>
  <c r="E15" i="56"/>
  <c r="C15" i="56" s="1"/>
  <c r="L364" i="54" s="1"/>
  <c r="F14" i="56"/>
  <c r="E14" i="56" s="1"/>
  <c r="C14" i="56" s="1"/>
  <c r="L363" i="54" s="1"/>
  <c r="F13" i="56"/>
  <c r="W362" i="54" s="1"/>
  <c r="X362" i="54" s="1"/>
  <c r="F12" i="56"/>
  <c r="E12" i="56" s="1"/>
  <c r="C12" i="56" s="1"/>
  <c r="L361" i="54" s="1"/>
  <c r="F11" i="56"/>
  <c r="W360" i="54" s="1"/>
  <c r="X360" i="54" s="1"/>
  <c r="F10" i="56"/>
  <c r="W359" i="54" s="1"/>
  <c r="X359" i="54" s="1"/>
  <c r="F9" i="56"/>
  <c r="W358" i="54" s="1"/>
  <c r="X358" i="54" s="1"/>
  <c r="E9" i="56"/>
  <c r="C9" i="56" s="1"/>
  <c r="L358" i="54" s="1"/>
  <c r="F8" i="56"/>
  <c r="E8" i="56" s="1"/>
  <c r="C8" i="56" s="1"/>
  <c r="L357" i="54" s="1"/>
  <c r="F7" i="56"/>
  <c r="E7" i="56" s="1"/>
  <c r="C7" i="56" s="1"/>
  <c r="L355" i="54" s="1"/>
  <c r="F6" i="56"/>
  <c r="E6" i="56" s="1"/>
  <c r="C6" i="56" s="1"/>
  <c r="F5" i="56"/>
  <c r="E5" i="56"/>
  <c r="C5" i="56" s="1"/>
  <c r="L352" i="54" s="1"/>
  <c r="D32" i="56"/>
  <c r="O382" i="54"/>
  <c r="N382" i="54"/>
  <c r="M382" i="54"/>
  <c r="L382" i="54"/>
  <c r="T382" i="54" s="1"/>
  <c r="AB382" i="54" s="1"/>
  <c r="AE382" i="54" s="1"/>
  <c r="O377" i="54"/>
  <c r="N377" i="54"/>
  <c r="M377" i="54"/>
  <c r="U377" i="54" s="1"/>
  <c r="AC377" i="54" s="1"/>
  <c r="AF377" i="54" s="1"/>
  <c r="L377" i="54"/>
  <c r="T377" i="54" s="1"/>
  <c r="AB377" i="54" s="1"/>
  <c r="AE377" i="54" s="1"/>
  <c r="O373" i="54"/>
  <c r="N373" i="54"/>
  <c r="M373" i="54"/>
  <c r="U373" i="54" s="1"/>
  <c r="AC373" i="54" s="1"/>
  <c r="AF373" i="54" s="1"/>
  <c r="L373" i="54"/>
  <c r="O368" i="54"/>
  <c r="N368" i="54"/>
  <c r="M368" i="54"/>
  <c r="U368" i="54" s="1"/>
  <c r="AC368" i="54" s="1"/>
  <c r="AF368" i="54" s="1"/>
  <c r="L368" i="54"/>
  <c r="T368" i="54" s="1"/>
  <c r="AB368" i="54" s="1"/>
  <c r="AE368" i="54" s="1"/>
  <c r="O356" i="54"/>
  <c r="N356" i="54"/>
  <c r="M356" i="54"/>
  <c r="U356" i="54" s="1"/>
  <c r="AC356" i="54" s="1"/>
  <c r="AF356" i="54" s="1"/>
  <c r="L356" i="54"/>
  <c r="O354" i="54"/>
  <c r="N354" i="54"/>
  <c r="M354" i="54"/>
  <c r="L354" i="54"/>
  <c r="T354" i="54" s="1"/>
  <c r="AB354" i="54" s="1"/>
  <c r="AE354" i="54" s="1"/>
  <c r="L349" i="54"/>
  <c r="M349" i="54"/>
  <c r="N349" i="54"/>
  <c r="O349" i="54"/>
  <c r="L350" i="54"/>
  <c r="M350" i="54"/>
  <c r="N350" i="54"/>
  <c r="O350" i="54"/>
  <c r="L351" i="54"/>
  <c r="M351" i="54"/>
  <c r="N351" i="54"/>
  <c r="O351" i="54"/>
  <c r="M348" i="54"/>
  <c r="N348" i="54"/>
  <c r="O348" i="54"/>
  <c r="L348" i="54"/>
  <c r="E42" i="33"/>
  <c r="D42" i="33" s="1"/>
  <c r="M42" i="33"/>
  <c r="U14" i="21"/>
  <c r="N4" i="21"/>
  <c r="M4" i="21"/>
  <c r="I4" i="21"/>
  <c r="H4" i="21"/>
  <c r="I22" i="30"/>
  <c r="H30" i="30"/>
  <c r="G30" i="30"/>
  <c r="F30" i="30"/>
  <c r="E30" i="30"/>
  <c r="D30" i="30"/>
  <c r="C30" i="30"/>
  <c r="H29" i="30"/>
  <c r="G29" i="30"/>
  <c r="F29" i="30"/>
  <c r="E29" i="30"/>
  <c r="D29" i="30"/>
  <c r="C29" i="30"/>
  <c r="H28" i="30"/>
  <c r="G28" i="30"/>
  <c r="F28" i="30"/>
  <c r="E28" i="30"/>
  <c r="D28" i="30"/>
  <c r="C28" i="30"/>
  <c r="I27" i="30"/>
  <c r="I26" i="30"/>
  <c r="I25" i="30"/>
  <c r="I24" i="30"/>
  <c r="I23" i="30"/>
  <c r="K13" i="30"/>
  <c r="K14" i="30"/>
  <c r="K15" i="30"/>
  <c r="C31" i="30"/>
  <c r="K17" i="30"/>
  <c r="G31" i="30"/>
  <c r="H31" i="30"/>
  <c r="K16" i="30"/>
  <c r="D31" i="30"/>
  <c r="I30" i="30"/>
  <c r="E31" i="30"/>
  <c r="I29" i="30"/>
  <c r="I28" i="30"/>
  <c r="F31" i="30"/>
  <c r="D32" i="30"/>
  <c r="C32" i="30"/>
  <c r="E32" i="30"/>
  <c r="F32" i="30"/>
  <c r="G32" i="30"/>
  <c r="H32" i="30"/>
  <c r="D334" i="54"/>
  <c r="D10" i="54" s="1"/>
  <c r="E334" i="54"/>
  <c r="I31" i="30"/>
  <c r="I32" i="30"/>
  <c r="V344" i="54"/>
  <c r="Y64" i="54"/>
  <c r="Z64" i="54"/>
  <c r="Y65" i="54"/>
  <c r="Z65" i="54"/>
  <c r="Y66" i="54"/>
  <c r="Z66" i="54"/>
  <c r="Y67" i="54"/>
  <c r="Z67" i="54"/>
  <c r="Y68" i="54"/>
  <c r="Z68" i="54"/>
  <c r="Y69" i="54"/>
  <c r="Z69" i="54"/>
  <c r="Y70" i="54"/>
  <c r="Z70" i="54"/>
  <c r="Y71" i="54"/>
  <c r="Z71" i="54"/>
  <c r="Z63" i="54"/>
  <c r="Y63" i="54"/>
  <c r="I32" i="56"/>
  <c r="H32" i="56"/>
  <c r="F32" i="56" s="1"/>
  <c r="P65" i="54"/>
  <c r="K6" i="60"/>
  <c r="L6" i="60"/>
  <c r="M6" i="60"/>
  <c r="K7" i="60"/>
  <c r="L7" i="60"/>
  <c r="M7" i="60"/>
  <c r="K8" i="60"/>
  <c r="L8" i="60"/>
  <c r="M8" i="60"/>
  <c r="K9" i="60"/>
  <c r="L9" i="60"/>
  <c r="M9" i="60"/>
  <c r="K10" i="60"/>
  <c r="L10" i="60"/>
  <c r="M10" i="60"/>
  <c r="K11" i="60"/>
  <c r="L11" i="60"/>
  <c r="M11" i="60"/>
  <c r="K12" i="60"/>
  <c r="L12" i="60"/>
  <c r="M12" i="60"/>
  <c r="K13" i="60"/>
  <c r="L13" i="60"/>
  <c r="M13" i="60"/>
  <c r="K14" i="60"/>
  <c r="L14" i="60"/>
  <c r="M14" i="60"/>
  <c r="K15" i="60"/>
  <c r="L15" i="60"/>
  <c r="M15" i="60"/>
  <c r="K16" i="60"/>
  <c r="L16" i="60"/>
  <c r="M16" i="60"/>
  <c r="K17" i="60"/>
  <c r="L17" i="60"/>
  <c r="M17" i="60"/>
  <c r="K18" i="60"/>
  <c r="L18" i="60"/>
  <c r="M18" i="60"/>
  <c r="K19" i="60"/>
  <c r="L19" i="60"/>
  <c r="M19" i="60"/>
  <c r="K20" i="60"/>
  <c r="L20" i="60"/>
  <c r="M20" i="60"/>
  <c r="K21" i="60"/>
  <c r="L21" i="60"/>
  <c r="M21" i="60"/>
  <c r="K22" i="60"/>
  <c r="L22" i="60"/>
  <c r="M22" i="60"/>
  <c r="K23" i="60"/>
  <c r="L23" i="60"/>
  <c r="M23" i="60"/>
  <c r="K24" i="60"/>
  <c r="L24" i="60"/>
  <c r="M24" i="60"/>
  <c r="K25" i="60"/>
  <c r="L25" i="60"/>
  <c r="M25" i="60"/>
  <c r="K26" i="60"/>
  <c r="L26" i="60"/>
  <c r="M26" i="60"/>
  <c r="K27" i="60"/>
  <c r="L27" i="60"/>
  <c r="M27" i="60"/>
  <c r="K28" i="60"/>
  <c r="L28" i="60"/>
  <c r="M28" i="60"/>
  <c r="K29" i="60"/>
  <c r="L29" i="60"/>
  <c r="M29" i="60"/>
  <c r="K30" i="60"/>
  <c r="L30" i="60"/>
  <c r="M30" i="60"/>
  <c r="K31" i="60"/>
  <c r="L31" i="60"/>
  <c r="M31" i="60"/>
  <c r="K32" i="60"/>
  <c r="L32" i="60"/>
  <c r="M32" i="60"/>
  <c r="K33" i="60"/>
  <c r="L33" i="60"/>
  <c r="M33" i="60"/>
  <c r="K34" i="60"/>
  <c r="L34" i="60"/>
  <c r="M34" i="60"/>
  <c r="K35" i="60"/>
  <c r="L35" i="60"/>
  <c r="M35" i="60"/>
  <c r="K36" i="60"/>
  <c r="L36" i="60"/>
  <c r="M36" i="60"/>
  <c r="K37" i="60"/>
  <c r="L37" i="60"/>
  <c r="M37" i="60"/>
  <c r="K38" i="60"/>
  <c r="L38" i="60"/>
  <c r="M38" i="60"/>
  <c r="K39" i="60"/>
  <c r="L39" i="60"/>
  <c r="M39" i="60"/>
  <c r="K40" i="60"/>
  <c r="L40" i="60"/>
  <c r="M40" i="60"/>
  <c r="K41" i="60"/>
  <c r="L41" i="60"/>
  <c r="M41" i="60"/>
  <c r="L5" i="60"/>
  <c r="M5" i="60"/>
  <c r="K5" i="60"/>
  <c r="H42" i="60"/>
  <c r="L42" i="60"/>
  <c r="I42" i="60"/>
  <c r="G42" i="60"/>
  <c r="E42" i="60"/>
  <c r="W342" i="54"/>
  <c r="X342" i="54" s="1"/>
  <c r="W343" i="54"/>
  <c r="X343" i="54" s="1"/>
  <c r="W341" i="54"/>
  <c r="X341" i="54" s="1"/>
  <c r="W336" i="54"/>
  <c r="X336" i="54" s="1"/>
  <c r="W337" i="54"/>
  <c r="X337" i="54" s="1"/>
  <c r="W338" i="54"/>
  <c r="X338" i="54" s="1"/>
  <c r="W339" i="54"/>
  <c r="X339" i="54" s="1"/>
  <c r="W340" i="54"/>
  <c r="X340" i="54" s="1"/>
  <c r="W335" i="54"/>
  <c r="X335" i="54" s="1"/>
  <c r="V334" i="54"/>
  <c r="W333" i="54"/>
  <c r="X333" i="54" s="1"/>
  <c r="W298" i="54"/>
  <c r="X298" i="54" s="1"/>
  <c r="W299" i="54"/>
  <c r="X299" i="54" s="1"/>
  <c r="W300" i="54"/>
  <c r="X300" i="54" s="1"/>
  <c r="W301" i="54"/>
  <c r="X301" i="54" s="1"/>
  <c r="W302" i="54"/>
  <c r="X302" i="54" s="1"/>
  <c r="W303" i="54"/>
  <c r="X303" i="54" s="1"/>
  <c r="W304" i="54"/>
  <c r="X304" i="54" s="1"/>
  <c r="W305" i="54"/>
  <c r="X305" i="54" s="1"/>
  <c r="W306" i="54"/>
  <c r="X306" i="54" s="1"/>
  <c r="W307" i="54"/>
  <c r="X307" i="54" s="1"/>
  <c r="W308" i="54"/>
  <c r="X308" i="54" s="1"/>
  <c r="W309" i="54"/>
  <c r="X309" i="54" s="1"/>
  <c r="W310" i="54"/>
  <c r="X310" i="54" s="1"/>
  <c r="W311" i="54"/>
  <c r="X311" i="54" s="1"/>
  <c r="W312" i="54"/>
  <c r="X312" i="54" s="1"/>
  <c r="W313" i="54"/>
  <c r="X313" i="54" s="1"/>
  <c r="W314" i="54"/>
  <c r="X314" i="54" s="1"/>
  <c r="W315" i="54"/>
  <c r="X315" i="54" s="1"/>
  <c r="W316" i="54"/>
  <c r="X316" i="54" s="1"/>
  <c r="W317" i="54"/>
  <c r="X317" i="54" s="1"/>
  <c r="W318" i="54"/>
  <c r="X318" i="54" s="1"/>
  <c r="W319" i="54"/>
  <c r="X319" i="54" s="1"/>
  <c r="W320" i="54"/>
  <c r="X320" i="54" s="1"/>
  <c r="W321" i="54"/>
  <c r="X321" i="54" s="1"/>
  <c r="W322" i="54"/>
  <c r="X322" i="54" s="1"/>
  <c r="W323" i="54"/>
  <c r="X323" i="54" s="1"/>
  <c r="W324" i="54"/>
  <c r="X324" i="54" s="1"/>
  <c r="W325" i="54"/>
  <c r="X325" i="54" s="1"/>
  <c r="W326" i="54"/>
  <c r="X326" i="54" s="1"/>
  <c r="W327" i="54"/>
  <c r="X327" i="54" s="1"/>
  <c r="W328" i="54"/>
  <c r="X328" i="54" s="1"/>
  <c r="W329" i="54"/>
  <c r="X329" i="54" s="1"/>
  <c r="W330" i="54"/>
  <c r="X330" i="54" s="1"/>
  <c r="W331" i="54"/>
  <c r="X331" i="54" s="1"/>
  <c r="W332" i="54"/>
  <c r="X332" i="54" s="1"/>
  <c r="W297" i="54"/>
  <c r="X297" i="54" s="1"/>
  <c r="V294" i="54"/>
  <c r="W255" i="54"/>
  <c r="X255" i="54" s="1"/>
  <c r="V284" i="54"/>
  <c r="V163" i="54"/>
  <c r="L343" i="54"/>
  <c r="M343" i="54"/>
  <c r="M342" i="54"/>
  <c r="L342" i="54"/>
  <c r="L336" i="54"/>
  <c r="M336" i="54"/>
  <c r="L337" i="54"/>
  <c r="M337" i="54"/>
  <c r="L339" i="54"/>
  <c r="M339" i="54"/>
  <c r="L335" i="54"/>
  <c r="M335" i="54"/>
  <c r="L340" i="54"/>
  <c r="M340" i="54"/>
  <c r="W286" i="54"/>
  <c r="X286" i="54" s="1"/>
  <c r="W287" i="54"/>
  <c r="X287" i="54" s="1"/>
  <c r="W288" i="54"/>
  <c r="X288" i="54" s="1"/>
  <c r="W289" i="54"/>
  <c r="X289" i="54" s="1"/>
  <c r="W290" i="54"/>
  <c r="X290" i="54" s="1"/>
  <c r="W291" i="54"/>
  <c r="X291" i="54" s="1"/>
  <c r="W292" i="54"/>
  <c r="X292" i="54" s="1"/>
  <c r="W293" i="54"/>
  <c r="X293" i="54" s="1"/>
  <c r="W285" i="54"/>
  <c r="X285" i="54" s="1"/>
  <c r="W248" i="54"/>
  <c r="X248" i="54" s="1"/>
  <c r="W249" i="54"/>
  <c r="X249" i="54" s="1"/>
  <c r="W250" i="54"/>
  <c r="X250" i="54" s="1"/>
  <c r="W251" i="54"/>
  <c r="X251" i="54" s="1"/>
  <c r="W252" i="54"/>
  <c r="X252" i="54" s="1"/>
  <c r="W253" i="54"/>
  <c r="X253" i="54" s="1"/>
  <c r="W254" i="54"/>
  <c r="X254" i="54" s="1"/>
  <c r="W256" i="54"/>
  <c r="X256" i="54" s="1"/>
  <c r="W257" i="54"/>
  <c r="X257" i="54" s="1"/>
  <c r="W258" i="54"/>
  <c r="X258" i="54" s="1"/>
  <c r="W259" i="54"/>
  <c r="X259" i="54" s="1"/>
  <c r="W260" i="54"/>
  <c r="X260" i="54" s="1"/>
  <c r="W261" i="54"/>
  <c r="X261" i="54" s="1"/>
  <c r="W262" i="54"/>
  <c r="X262" i="54" s="1"/>
  <c r="W263" i="54"/>
  <c r="X263" i="54" s="1"/>
  <c r="W264" i="54"/>
  <c r="X264" i="54" s="1"/>
  <c r="W265" i="54"/>
  <c r="X265" i="54" s="1"/>
  <c r="W266" i="54"/>
  <c r="X266" i="54" s="1"/>
  <c r="W267" i="54"/>
  <c r="X267" i="54" s="1"/>
  <c r="W268" i="54"/>
  <c r="X268" i="54" s="1"/>
  <c r="W269" i="54"/>
  <c r="X269" i="54" s="1"/>
  <c r="W270" i="54"/>
  <c r="X270" i="54" s="1"/>
  <c r="W271" i="54"/>
  <c r="X271" i="54" s="1"/>
  <c r="W272" i="54"/>
  <c r="X272" i="54" s="1"/>
  <c r="W273" i="54"/>
  <c r="X273" i="54" s="1"/>
  <c r="W274" i="54"/>
  <c r="X274" i="54" s="1"/>
  <c r="W275" i="54"/>
  <c r="X275" i="54" s="1"/>
  <c r="W277" i="54"/>
  <c r="X277" i="54" s="1"/>
  <c r="W278" i="54"/>
  <c r="X278" i="54" s="1"/>
  <c r="W279" i="54"/>
  <c r="X279" i="54" s="1"/>
  <c r="W280" i="54"/>
  <c r="X280" i="54" s="1"/>
  <c r="W281" i="54"/>
  <c r="X281" i="54" s="1"/>
  <c r="W282" i="54"/>
  <c r="X282" i="54" s="1"/>
  <c r="W283" i="54"/>
  <c r="X283" i="54" s="1"/>
  <c r="W247" i="54"/>
  <c r="X247" i="54" s="1"/>
  <c r="I35" i="30"/>
  <c r="H43" i="30"/>
  <c r="G43" i="30"/>
  <c r="F43" i="30"/>
  <c r="E43" i="30"/>
  <c r="D43" i="30"/>
  <c r="C43" i="30"/>
  <c r="H42" i="30"/>
  <c r="G42" i="30"/>
  <c r="F42" i="30"/>
  <c r="E42" i="30"/>
  <c r="D42" i="30"/>
  <c r="C42" i="30"/>
  <c r="C45" i="30"/>
  <c r="H41" i="30"/>
  <c r="G41" i="30"/>
  <c r="F41" i="30"/>
  <c r="E41" i="30"/>
  <c r="E44" i="30"/>
  <c r="D41" i="30"/>
  <c r="C41" i="30"/>
  <c r="E45" i="30"/>
  <c r="D53" i="21"/>
  <c r="L298" i="54"/>
  <c r="N298" i="54" s="1"/>
  <c r="L299" i="54"/>
  <c r="N299" i="54" s="1"/>
  <c r="M301" i="54"/>
  <c r="U301" i="54" s="1"/>
  <c r="AC301" i="54" s="1"/>
  <c r="AF301" i="54" s="1"/>
  <c r="L302" i="54"/>
  <c r="T302" i="54" s="1"/>
  <c r="AB302" i="54" s="1"/>
  <c r="AE302" i="54" s="1"/>
  <c r="L303" i="54"/>
  <c r="T303" i="54" s="1"/>
  <c r="AB303" i="54" s="1"/>
  <c r="AE303" i="54" s="1"/>
  <c r="M304" i="54"/>
  <c r="U304" i="54" s="1"/>
  <c r="AC304" i="54" s="1"/>
  <c r="AF304" i="54" s="1"/>
  <c r="L307" i="54"/>
  <c r="N307" i="54" s="1"/>
  <c r="L308" i="54"/>
  <c r="T308" i="54" s="1"/>
  <c r="AB308" i="54" s="1"/>
  <c r="AE308" i="54" s="1"/>
  <c r="L309" i="54"/>
  <c r="T309" i="54" s="1"/>
  <c r="AB309" i="54" s="1"/>
  <c r="AE309" i="54" s="1"/>
  <c r="L310" i="54"/>
  <c r="L311" i="54"/>
  <c r="T311" i="54" s="1"/>
  <c r="AB311" i="54" s="1"/>
  <c r="AE311" i="54" s="1"/>
  <c r="L314" i="54"/>
  <c r="T314" i="54" s="1"/>
  <c r="AB314" i="54" s="1"/>
  <c r="AE314" i="54" s="1"/>
  <c r="L316" i="54"/>
  <c r="L318" i="54"/>
  <c r="T318" i="54" s="1"/>
  <c r="AB318" i="54" s="1"/>
  <c r="AE318" i="54" s="1"/>
  <c r="L319" i="54"/>
  <c r="L321" i="54"/>
  <c r="N321" i="54" s="1"/>
  <c r="L322" i="54"/>
  <c r="T322" i="54" s="1"/>
  <c r="AB322" i="54" s="1"/>
  <c r="AE322" i="54" s="1"/>
  <c r="M323" i="54"/>
  <c r="O323" i="54" s="1"/>
  <c r="L324" i="54"/>
  <c r="N324" i="54" s="1"/>
  <c r="L325" i="54"/>
  <c r="T325" i="54" s="1"/>
  <c r="AB325" i="54" s="1"/>
  <c r="AE325" i="54" s="1"/>
  <c r="L326" i="54"/>
  <c r="N326" i="54" s="1"/>
  <c r="L327" i="54"/>
  <c r="N327" i="54" s="1"/>
  <c r="M328" i="54"/>
  <c r="U328" i="54" s="1"/>
  <c r="AC328" i="54" s="1"/>
  <c r="AF328" i="54" s="1"/>
  <c r="M329" i="54"/>
  <c r="O329" i="54" s="1"/>
  <c r="M331" i="54"/>
  <c r="M332" i="54"/>
  <c r="M333" i="54"/>
  <c r="M297" i="54"/>
  <c r="U297" i="54" s="1"/>
  <c r="AC297" i="54" s="1"/>
  <c r="L304" i="54"/>
  <c r="T304" i="54" s="1"/>
  <c r="AB304" i="54" s="1"/>
  <c r="AE304" i="54" s="1"/>
  <c r="M318" i="54"/>
  <c r="O318" i="54" s="1"/>
  <c r="M308" i="54"/>
  <c r="O308" i="54" s="1"/>
  <c r="L329" i="54"/>
  <c r="T329" i="54" s="1"/>
  <c r="AB329" i="54" s="1"/>
  <c r="AE329" i="54" s="1"/>
  <c r="L331" i="54"/>
  <c r="T331" i="54" s="1"/>
  <c r="AB331" i="54" s="1"/>
  <c r="AE331" i="54" s="1"/>
  <c r="L315" i="54"/>
  <c r="N315" i="54" s="1"/>
  <c r="M315" i="54"/>
  <c r="O315" i="54" s="1"/>
  <c r="M307" i="54"/>
  <c r="O307" i="54" s="1"/>
  <c r="M312" i="54"/>
  <c r="L312" i="54"/>
  <c r="N312" i="54" s="1"/>
  <c r="M316" i="54"/>
  <c r="U316" i="54" s="1"/>
  <c r="AC316" i="54" s="1"/>
  <c r="AF316" i="54" s="1"/>
  <c r="L330" i="54"/>
  <c r="T330" i="54" s="1"/>
  <c r="AB330" i="54" s="1"/>
  <c r="AE330" i="54" s="1"/>
  <c r="M330" i="54"/>
  <c r="U330" i="54" s="1"/>
  <c r="AC330" i="54" s="1"/>
  <c r="AF330" i="54" s="1"/>
  <c r="M322" i="54"/>
  <c r="U322" i="54" s="1"/>
  <c r="AC322" i="54" s="1"/>
  <c r="AF322" i="54" s="1"/>
  <c r="M314" i="54"/>
  <c r="O314" i="54" s="1"/>
  <c r="M298" i="54"/>
  <c r="U298" i="54" s="1"/>
  <c r="AC298" i="54" s="1"/>
  <c r="AF298" i="54" s="1"/>
  <c r="I493" i="54"/>
  <c r="J493" i="54" s="1"/>
  <c r="J15" i="30"/>
  <c r="J14" i="30"/>
  <c r="J13" i="30"/>
  <c r="J16" i="30"/>
  <c r="I40" i="30"/>
  <c r="I39" i="30"/>
  <c r="I38" i="30"/>
  <c r="I37" i="30"/>
  <c r="I36" i="30"/>
  <c r="AD40" i="35"/>
  <c r="B40" i="35"/>
  <c r="K53" i="36"/>
  <c r="C52" i="36"/>
  <c r="C48" i="36"/>
  <c r="E6" i="36"/>
  <c r="E28" i="36"/>
  <c r="E44" i="36"/>
  <c r="Q69" i="54"/>
  <c r="P69" i="54"/>
  <c r="I587" i="54"/>
  <c r="J587" i="54" s="1"/>
  <c r="I576" i="54"/>
  <c r="J576" i="54" s="1"/>
  <c r="O44" i="21"/>
  <c r="P44" i="21"/>
  <c r="Q44" i="21"/>
  <c r="I42" i="21"/>
  <c r="N53" i="21"/>
  <c r="Z4" i="11"/>
  <c r="Y4" i="11"/>
  <c r="V4" i="11"/>
  <c r="X4" i="11"/>
  <c r="B13" i="21"/>
  <c r="E48" i="35"/>
  <c r="B6" i="34"/>
  <c r="D54" i="30"/>
  <c r="E54" i="30"/>
  <c r="F54" i="30"/>
  <c r="G54" i="30"/>
  <c r="H54" i="30"/>
  <c r="D55" i="30"/>
  <c r="D57" i="30"/>
  <c r="E55" i="30"/>
  <c r="E57" i="30"/>
  <c r="F55" i="30"/>
  <c r="G55" i="30"/>
  <c r="H55" i="30"/>
  <c r="H58" i="30"/>
  <c r="D56" i="30"/>
  <c r="E56" i="30"/>
  <c r="F56" i="30"/>
  <c r="G56" i="30"/>
  <c r="G57" i="30"/>
  <c r="H56" i="30"/>
  <c r="C56" i="30"/>
  <c r="C55" i="30"/>
  <c r="C54" i="30"/>
  <c r="I49" i="30"/>
  <c r="I50" i="30"/>
  <c r="I51" i="30"/>
  <c r="I52" i="30"/>
  <c r="I53" i="30"/>
  <c r="I48" i="30"/>
  <c r="I13" i="30"/>
  <c r="I16" i="30"/>
  <c r="I14" i="30"/>
  <c r="I15" i="30"/>
  <c r="P67" i="54"/>
  <c r="Q67" i="54"/>
  <c r="P68" i="54"/>
  <c r="Q68" i="54"/>
  <c r="AB48" i="35"/>
  <c r="AD48" i="35"/>
  <c r="AD19" i="35"/>
  <c r="B9" i="21"/>
  <c r="B301" i="54"/>
  <c r="B251" i="54"/>
  <c r="B210" i="54"/>
  <c r="B170" i="54"/>
  <c r="B130" i="54"/>
  <c r="O4" i="21"/>
  <c r="P4" i="21"/>
  <c r="K4" i="21"/>
  <c r="D42" i="21"/>
  <c r="U13" i="21"/>
  <c r="V13" i="21"/>
  <c r="W13" i="21" s="1"/>
  <c r="Y42" i="21"/>
  <c r="O50" i="21"/>
  <c r="O51" i="21"/>
  <c r="P51" i="21"/>
  <c r="O52" i="21"/>
  <c r="P52" i="21"/>
  <c r="Q52" i="21"/>
  <c r="H42" i="21"/>
  <c r="AB4" i="11"/>
  <c r="AA4" i="11"/>
  <c r="N3" i="54"/>
  <c r="O3" i="54"/>
  <c r="Q3" i="54"/>
  <c r="R3" i="54"/>
  <c r="S3" i="54"/>
  <c r="T3" i="54"/>
  <c r="U3" i="54"/>
  <c r="T4" i="54"/>
  <c r="T24" i="54"/>
  <c r="P63" i="54"/>
  <c r="Q63" i="54"/>
  <c r="R63" i="54"/>
  <c r="S63" i="54"/>
  <c r="P64" i="54"/>
  <c r="Q64" i="54"/>
  <c r="R64" i="54"/>
  <c r="S64" i="54"/>
  <c r="Q65" i="54"/>
  <c r="R65" i="54"/>
  <c r="S65" i="54"/>
  <c r="P66" i="54"/>
  <c r="Q66" i="54"/>
  <c r="R66" i="54"/>
  <c r="S66" i="54"/>
  <c r="R67" i="54"/>
  <c r="S67" i="54"/>
  <c r="R68" i="54"/>
  <c r="S68" i="54"/>
  <c r="R69" i="54"/>
  <c r="S69" i="54"/>
  <c r="P70" i="54"/>
  <c r="P292" i="54" s="1"/>
  <c r="Q70" i="54"/>
  <c r="R70" i="54"/>
  <c r="S70" i="54"/>
  <c r="P71" i="54"/>
  <c r="Q71" i="54"/>
  <c r="R71" i="54"/>
  <c r="S71" i="54"/>
  <c r="T125" i="54"/>
  <c r="T165" i="54"/>
  <c r="R166" i="54"/>
  <c r="R75" i="54" s="1"/>
  <c r="S166" i="54"/>
  <c r="R167" i="54"/>
  <c r="R76" i="54" s="1"/>
  <c r="S167" i="54"/>
  <c r="S76" i="54" s="1"/>
  <c r="R168" i="54"/>
  <c r="R77" i="54" s="1"/>
  <c r="S168" i="54"/>
  <c r="S77" i="54" s="1"/>
  <c r="R169" i="54"/>
  <c r="R78" i="54" s="1"/>
  <c r="S169" i="54"/>
  <c r="S78" i="54" s="1"/>
  <c r="R170" i="54"/>
  <c r="R79" i="54" s="1"/>
  <c r="S170" i="54"/>
  <c r="S79" i="54" s="1"/>
  <c r="R171" i="54"/>
  <c r="R80" i="54" s="1"/>
  <c r="S171" i="54"/>
  <c r="S80" i="54" s="1"/>
  <c r="R172" i="54"/>
  <c r="R81" i="54" s="1"/>
  <c r="S172" i="54"/>
  <c r="S81" i="54" s="1"/>
  <c r="R173" i="54"/>
  <c r="R82" i="54" s="1"/>
  <c r="S173" i="54"/>
  <c r="S82" i="54" s="1"/>
  <c r="R174" i="54"/>
  <c r="R83" i="54" s="1"/>
  <c r="S174" i="54"/>
  <c r="S83" i="54" s="1"/>
  <c r="R175" i="54"/>
  <c r="S175" i="54"/>
  <c r="R176" i="54"/>
  <c r="S176" i="54"/>
  <c r="R177" i="54"/>
  <c r="S177" i="54"/>
  <c r="R178" i="54"/>
  <c r="S178" i="54"/>
  <c r="R179" i="54"/>
  <c r="S179" i="54"/>
  <c r="R180" i="54"/>
  <c r="S180" i="54"/>
  <c r="R181" i="54"/>
  <c r="S181" i="54"/>
  <c r="R182" i="54"/>
  <c r="S182" i="54"/>
  <c r="R183" i="54"/>
  <c r="S183" i="54"/>
  <c r="R184" i="54"/>
  <c r="S184" i="54"/>
  <c r="R185" i="54"/>
  <c r="S185" i="54"/>
  <c r="R186" i="54"/>
  <c r="S186" i="54"/>
  <c r="R187" i="54"/>
  <c r="S187" i="54"/>
  <c r="R188" i="54"/>
  <c r="S188" i="54"/>
  <c r="R189" i="54"/>
  <c r="S189" i="54"/>
  <c r="R190" i="54"/>
  <c r="S190" i="54"/>
  <c r="R191" i="54"/>
  <c r="S191" i="54"/>
  <c r="R192" i="54"/>
  <c r="S192" i="54"/>
  <c r="R193" i="54"/>
  <c r="S193" i="54"/>
  <c r="R194" i="54"/>
  <c r="S194" i="54"/>
  <c r="R195" i="54"/>
  <c r="S195" i="54"/>
  <c r="R196" i="54"/>
  <c r="S196" i="54"/>
  <c r="R197" i="54"/>
  <c r="S197" i="54"/>
  <c r="R198" i="54"/>
  <c r="S198" i="54"/>
  <c r="R199" i="54"/>
  <c r="S199" i="54"/>
  <c r="R200" i="54"/>
  <c r="S200" i="54"/>
  <c r="R201" i="54"/>
  <c r="S201" i="54"/>
  <c r="R202" i="54"/>
  <c r="S202" i="54"/>
  <c r="T205" i="54"/>
  <c r="R243" i="54"/>
  <c r="R7" i="54" s="1"/>
  <c r="S243" i="54"/>
  <c r="S7" i="54" s="1"/>
  <c r="T347" i="54"/>
  <c r="P385" i="54"/>
  <c r="P13" i="54" s="1"/>
  <c r="Q385" i="54"/>
  <c r="Q13" i="54" s="1"/>
  <c r="R385" i="54"/>
  <c r="R13" i="54" s="1"/>
  <c r="S385" i="54"/>
  <c r="S13" i="54" s="1"/>
  <c r="T246" i="54"/>
  <c r="R284" i="54"/>
  <c r="R9" i="54" s="1"/>
  <c r="S284" i="54"/>
  <c r="S9" i="54" s="1"/>
  <c r="R294" i="54"/>
  <c r="R20" i="54" s="1"/>
  <c r="S294" i="54"/>
  <c r="S20" i="54" s="1"/>
  <c r="T296" i="54"/>
  <c r="P334" i="54"/>
  <c r="P10" i="54" s="1"/>
  <c r="Q334" i="54"/>
  <c r="Q10" i="54" s="1"/>
  <c r="R334" i="54"/>
  <c r="R10" i="54" s="1"/>
  <c r="S334" i="54"/>
  <c r="S10" i="54" s="1"/>
  <c r="P344" i="54"/>
  <c r="P21" i="54" s="1"/>
  <c r="Q344" i="54"/>
  <c r="Q21" i="54" s="1"/>
  <c r="R344" i="54"/>
  <c r="R21" i="54" s="1"/>
  <c r="S344" i="54"/>
  <c r="S21" i="54" s="1"/>
  <c r="P480" i="54"/>
  <c r="Q480" i="54"/>
  <c r="R480" i="54"/>
  <c r="S480" i="54"/>
  <c r="P490" i="54"/>
  <c r="Q490" i="54"/>
  <c r="R490" i="54"/>
  <c r="S490" i="54"/>
  <c r="P530" i="54"/>
  <c r="Q530" i="54"/>
  <c r="P540" i="54"/>
  <c r="Q540" i="54"/>
  <c r="P580" i="54"/>
  <c r="Q580" i="54"/>
  <c r="P590" i="54"/>
  <c r="Q590" i="54"/>
  <c r="P630" i="54"/>
  <c r="Q630" i="54"/>
  <c r="P640" i="54"/>
  <c r="Q640" i="54"/>
  <c r="Y243" i="54"/>
  <c r="Z243" i="54"/>
  <c r="Y385" i="54"/>
  <c r="Z385" i="54"/>
  <c r="Y284" i="54"/>
  <c r="Z284" i="54"/>
  <c r="Y294" i="54"/>
  <c r="Z294" i="54"/>
  <c r="Y334" i="54"/>
  <c r="Y122" i="54" s="1"/>
  <c r="Z334" i="54"/>
  <c r="Z122" i="54" s="1"/>
  <c r="Y344" i="54"/>
  <c r="Z344" i="54"/>
  <c r="O48" i="21"/>
  <c r="P48" i="21"/>
  <c r="Q48" i="21"/>
  <c r="O49" i="21"/>
  <c r="P49" i="21"/>
  <c r="Q49" i="21"/>
  <c r="J48" i="21"/>
  <c r="K48" i="21"/>
  <c r="L48" i="21"/>
  <c r="J49" i="21"/>
  <c r="K49" i="21"/>
  <c r="L49" i="21"/>
  <c r="U48" i="21"/>
  <c r="V48" i="21"/>
  <c r="W48" i="21"/>
  <c r="U49" i="21"/>
  <c r="V49" i="21" s="1"/>
  <c r="W49" i="21" s="1"/>
  <c r="B20" i="21"/>
  <c r="M42" i="21"/>
  <c r="N42" i="21"/>
  <c r="B7" i="34"/>
  <c r="B48" i="33"/>
  <c r="B49" i="33"/>
  <c r="F49" i="21"/>
  <c r="G49" i="21"/>
  <c r="F48" i="21"/>
  <c r="G48" i="21"/>
  <c r="B48" i="21"/>
  <c r="B49" i="21"/>
  <c r="B46" i="36"/>
  <c r="B47" i="36"/>
  <c r="I48" i="35"/>
  <c r="M48" i="35"/>
  <c r="Q48" i="35"/>
  <c r="U48" i="35"/>
  <c r="B47" i="35"/>
  <c r="B49" i="35"/>
  <c r="B50" i="35"/>
  <c r="I586" i="54"/>
  <c r="J586" i="54" s="1"/>
  <c r="I585" i="54"/>
  <c r="J585" i="54" s="1"/>
  <c r="B585" i="54"/>
  <c r="B586" i="54"/>
  <c r="I536" i="54"/>
  <c r="J536" i="54" s="1"/>
  <c r="I535" i="54"/>
  <c r="J535" i="54" s="1"/>
  <c r="B535" i="54"/>
  <c r="B536" i="54"/>
  <c r="I635" i="54"/>
  <c r="J635" i="54" s="1"/>
  <c r="I636" i="54"/>
  <c r="J636" i="54" s="1"/>
  <c r="B635" i="54"/>
  <c r="B636" i="54"/>
  <c r="I486" i="54"/>
  <c r="J486" i="54" s="1"/>
  <c r="I485" i="54"/>
  <c r="J485" i="54" s="1"/>
  <c r="B485" i="54"/>
  <c r="B486" i="54"/>
  <c r="G339" i="54"/>
  <c r="G340" i="54"/>
  <c r="B339" i="54"/>
  <c r="B340" i="54"/>
  <c r="B289" i="54"/>
  <c r="B290" i="54"/>
  <c r="G289" i="54"/>
  <c r="G290" i="54"/>
  <c r="G291" i="54"/>
  <c r="G292" i="54"/>
  <c r="G293" i="54"/>
  <c r="E243" i="54"/>
  <c r="I66" i="30"/>
  <c r="I65" i="30"/>
  <c r="I64" i="30"/>
  <c r="I63" i="30"/>
  <c r="I62" i="30"/>
  <c r="I61" i="30"/>
  <c r="H69" i="30"/>
  <c r="H68" i="30"/>
  <c r="H67" i="30"/>
  <c r="G67" i="30"/>
  <c r="G68" i="30"/>
  <c r="G69" i="30"/>
  <c r="H13" i="30"/>
  <c r="H16" i="30"/>
  <c r="H15" i="30"/>
  <c r="H14" i="30"/>
  <c r="F69" i="30"/>
  <c r="E69" i="30"/>
  <c r="D69" i="30"/>
  <c r="C69" i="30"/>
  <c r="F68" i="30"/>
  <c r="E68" i="30"/>
  <c r="E71" i="30"/>
  <c r="D68" i="30"/>
  <c r="C68" i="30"/>
  <c r="F67" i="30"/>
  <c r="F71" i="30"/>
  <c r="E67" i="30"/>
  <c r="D67" i="30"/>
  <c r="C67" i="30"/>
  <c r="M41" i="33"/>
  <c r="B469" i="54"/>
  <c r="I469" i="54"/>
  <c r="J469" i="54" s="1"/>
  <c r="B519" i="54"/>
  <c r="I519" i="54"/>
  <c r="J519" i="54" s="1"/>
  <c r="B569" i="54"/>
  <c r="I569" i="54"/>
  <c r="J569" i="54" s="1"/>
  <c r="B619" i="54"/>
  <c r="I619" i="54"/>
  <c r="J619" i="54" s="1"/>
  <c r="J9" i="21"/>
  <c r="K9" i="21"/>
  <c r="L9" i="21"/>
  <c r="B384" i="54"/>
  <c r="B383" i="54"/>
  <c r="B382" i="54"/>
  <c r="B381" i="54"/>
  <c r="B380" i="54"/>
  <c r="B379" i="54"/>
  <c r="B378" i="54"/>
  <c r="B377" i="54"/>
  <c r="B376" i="54"/>
  <c r="B375" i="54"/>
  <c r="B374" i="54"/>
  <c r="B373" i="54"/>
  <c r="B372" i="54"/>
  <c r="B371" i="54"/>
  <c r="B370" i="54"/>
  <c r="B369" i="54"/>
  <c r="B367" i="54"/>
  <c r="B366" i="54"/>
  <c r="B365" i="54"/>
  <c r="B364" i="54"/>
  <c r="B363" i="54"/>
  <c r="B362" i="54"/>
  <c r="B361" i="54"/>
  <c r="B360" i="54"/>
  <c r="B359" i="54"/>
  <c r="B358" i="54"/>
  <c r="B357" i="54"/>
  <c r="B356" i="54"/>
  <c r="B355" i="54"/>
  <c r="B354" i="54"/>
  <c r="B353" i="54"/>
  <c r="B352" i="54"/>
  <c r="B351" i="54"/>
  <c r="B350" i="54"/>
  <c r="B349" i="54"/>
  <c r="B348" i="54"/>
  <c r="E385" i="54"/>
  <c r="D385" i="54"/>
  <c r="D13" i="54" s="1"/>
  <c r="F384" i="54"/>
  <c r="F383" i="54"/>
  <c r="F382" i="54"/>
  <c r="F381" i="54"/>
  <c r="F380" i="54"/>
  <c r="F379" i="54"/>
  <c r="F378" i="54"/>
  <c r="F377" i="54"/>
  <c r="F376" i="54"/>
  <c r="F375" i="54"/>
  <c r="F374" i="54"/>
  <c r="F373" i="54"/>
  <c r="F372" i="54"/>
  <c r="F371" i="54"/>
  <c r="F370" i="54"/>
  <c r="F369" i="54"/>
  <c r="F368" i="54"/>
  <c r="F367" i="54"/>
  <c r="F366" i="54"/>
  <c r="F365" i="54"/>
  <c r="F364" i="54"/>
  <c r="F363" i="54"/>
  <c r="F362" i="54"/>
  <c r="F361" i="54"/>
  <c r="F360" i="54"/>
  <c r="F359" i="54"/>
  <c r="F358" i="54"/>
  <c r="F357" i="54"/>
  <c r="F356" i="54"/>
  <c r="F355" i="54"/>
  <c r="F353" i="54"/>
  <c r="F352" i="54"/>
  <c r="L347" i="54"/>
  <c r="E37" i="36"/>
  <c r="E35" i="36"/>
  <c r="E29" i="36"/>
  <c r="E26" i="36"/>
  <c r="E16" i="36"/>
  <c r="E8" i="36"/>
  <c r="E50" i="36"/>
  <c r="H3" i="54"/>
  <c r="C41" i="36"/>
  <c r="AD6" i="35"/>
  <c r="I489" i="54"/>
  <c r="J489" i="54" s="1"/>
  <c r="I488" i="54"/>
  <c r="J488" i="54" s="1"/>
  <c r="I487" i="54"/>
  <c r="J487" i="54" s="1"/>
  <c r="I484" i="54"/>
  <c r="J484" i="54" s="1"/>
  <c r="I483" i="54"/>
  <c r="J483" i="54" s="1"/>
  <c r="I482" i="54"/>
  <c r="J482" i="54" s="1"/>
  <c r="I481" i="54"/>
  <c r="J481" i="54" s="1"/>
  <c r="I479" i="54"/>
  <c r="J479" i="54" s="1"/>
  <c r="I478" i="54"/>
  <c r="J478" i="54" s="1"/>
  <c r="I477" i="54"/>
  <c r="J477" i="54" s="1"/>
  <c r="I476" i="54"/>
  <c r="J476" i="54" s="1"/>
  <c r="I475" i="54"/>
  <c r="J475" i="54" s="1"/>
  <c r="I474" i="54"/>
  <c r="J474" i="54" s="1"/>
  <c r="I473" i="54"/>
  <c r="J473" i="54" s="1"/>
  <c r="I472" i="54"/>
  <c r="J472" i="54" s="1"/>
  <c r="I471" i="54"/>
  <c r="J471" i="54" s="1"/>
  <c r="I470" i="54"/>
  <c r="J470" i="54" s="1"/>
  <c r="I468" i="54"/>
  <c r="J468" i="54" s="1"/>
  <c r="I467" i="54"/>
  <c r="J467" i="54" s="1"/>
  <c r="I466" i="54"/>
  <c r="J466" i="54" s="1"/>
  <c r="I465" i="54"/>
  <c r="J465" i="54" s="1"/>
  <c r="I464" i="54"/>
  <c r="J464" i="54" s="1"/>
  <c r="I463" i="54"/>
  <c r="J463" i="54" s="1"/>
  <c r="I462" i="54"/>
  <c r="J462" i="54" s="1"/>
  <c r="I461" i="54"/>
  <c r="J461" i="54" s="1"/>
  <c r="I460" i="54"/>
  <c r="J460" i="54" s="1"/>
  <c r="I459" i="54"/>
  <c r="J459" i="54" s="1"/>
  <c r="I458" i="54"/>
  <c r="J458" i="54" s="1"/>
  <c r="I457" i="54"/>
  <c r="J457" i="54" s="1"/>
  <c r="I456" i="54"/>
  <c r="J456" i="54" s="1"/>
  <c r="I455" i="54"/>
  <c r="J455" i="54" s="1"/>
  <c r="I454" i="54"/>
  <c r="J454" i="54" s="1"/>
  <c r="I453" i="54"/>
  <c r="J453" i="54" s="1"/>
  <c r="I452" i="54"/>
  <c r="J452" i="54" s="1"/>
  <c r="I451" i="54"/>
  <c r="J451" i="54" s="1"/>
  <c r="I450" i="54"/>
  <c r="J450" i="54" s="1"/>
  <c r="I449" i="54"/>
  <c r="J449" i="54" s="1"/>
  <c r="I448" i="54"/>
  <c r="J448" i="54" s="1"/>
  <c r="I447" i="54"/>
  <c r="J447" i="54" s="1"/>
  <c r="I446" i="54"/>
  <c r="J446" i="54" s="1"/>
  <c r="I445" i="54"/>
  <c r="J445" i="54" s="1"/>
  <c r="I444" i="54"/>
  <c r="J444" i="54" s="1"/>
  <c r="I539" i="54"/>
  <c r="J539" i="54" s="1"/>
  <c r="I538" i="54"/>
  <c r="J538" i="54" s="1"/>
  <c r="I537" i="54"/>
  <c r="J537" i="54" s="1"/>
  <c r="I534" i="54"/>
  <c r="J534" i="54" s="1"/>
  <c r="I533" i="54"/>
  <c r="J533" i="54" s="1"/>
  <c r="I532" i="54"/>
  <c r="J532" i="54" s="1"/>
  <c r="I531" i="54"/>
  <c r="J531" i="54" s="1"/>
  <c r="I529" i="54"/>
  <c r="J529" i="54" s="1"/>
  <c r="I528" i="54"/>
  <c r="J528" i="54" s="1"/>
  <c r="I527" i="54"/>
  <c r="J527" i="54" s="1"/>
  <c r="I526" i="54"/>
  <c r="J526" i="54" s="1"/>
  <c r="I525" i="54"/>
  <c r="J525" i="54" s="1"/>
  <c r="I524" i="54"/>
  <c r="J524" i="54" s="1"/>
  <c r="I523" i="54"/>
  <c r="J523" i="54" s="1"/>
  <c r="I522" i="54"/>
  <c r="J522" i="54" s="1"/>
  <c r="I521" i="54"/>
  <c r="J521" i="54" s="1"/>
  <c r="I520" i="54"/>
  <c r="J520" i="54" s="1"/>
  <c r="I518" i="54"/>
  <c r="J518" i="54" s="1"/>
  <c r="I517" i="54"/>
  <c r="J517" i="54" s="1"/>
  <c r="I516" i="54"/>
  <c r="J516" i="54" s="1"/>
  <c r="I515" i="54"/>
  <c r="J515" i="54" s="1"/>
  <c r="I514" i="54"/>
  <c r="J514" i="54" s="1"/>
  <c r="I513" i="54"/>
  <c r="J513" i="54" s="1"/>
  <c r="I512" i="54"/>
  <c r="J512" i="54" s="1"/>
  <c r="I511" i="54"/>
  <c r="J511" i="54" s="1"/>
  <c r="I510" i="54"/>
  <c r="J510" i="54" s="1"/>
  <c r="I509" i="54"/>
  <c r="J509" i="54" s="1"/>
  <c r="I508" i="54"/>
  <c r="J508" i="54" s="1"/>
  <c r="I507" i="54"/>
  <c r="J507" i="54" s="1"/>
  <c r="I506" i="54"/>
  <c r="J506" i="54" s="1"/>
  <c r="I505" i="54"/>
  <c r="J505" i="54" s="1"/>
  <c r="I504" i="54"/>
  <c r="J504" i="54" s="1"/>
  <c r="I503" i="54"/>
  <c r="J503" i="54" s="1"/>
  <c r="I502" i="54"/>
  <c r="J502" i="54" s="1"/>
  <c r="I501" i="54"/>
  <c r="J501" i="54" s="1"/>
  <c r="I500" i="54"/>
  <c r="J500" i="54" s="1"/>
  <c r="I499" i="54"/>
  <c r="J499" i="54" s="1"/>
  <c r="I498" i="54"/>
  <c r="J498" i="54" s="1"/>
  <c r="I497" i="54"/>
  <c r="J497" i="54" s="1"/>
  <c r="I496" i="54"/>
  <c r="J496" i="54" s="1"/>
  <c r="I495" i="54"/>
  <c r="J495" i="54" s="1"/>
  <c r="I494" i="54"/>
  <c r="J494" i="54" s="1"/>
  <c r="I589" i="54"/>
  <c r="J589" i="54" s="1"/>
  <c r="I588" i="54"/>
  <c r="J588" i="54" s="1"/>
  <c r="I584" i="54"/>
  <c r="J584" i="54" s="1"/>
  <c r="I583" i="54"/>
  <c r="J583" i="54" s="1"/>
  <c r="I582" i="54"/>
  <c r="J582" i="54" s="1"/>
  <c r="I581" i="54"/>
  <c r="J581" i="54" s="1"/>
  <c r="I579" i="54"/>
  <c r="J579" i="54" s="1"/>
  <c r="I578" i="54"/>
  <c r="J578" i="54" s="1"/>
  <c r="I577" i="54"/>
  <c r="J577" i="54" s="1"/>
  <c r="I575" i="54"/>
  <c r="J575" i="54" s="1"/>
  <c r="I574" i="54"/>
  <c r="J574" i="54" s="1"/>
  <c r="I573" i="54"/>
  <c r="J573" i="54" s="1"/>
  <c r="I572" i="54"/>
  <c r="J572" i="54" s="1"/>
  <c r="I571" i="54"/>
  <c r="J571" i="54" s="1"/>
  <c r="I570" i="54"/>
  <c r="J570" i="54" s="1"/>
  <c r="I568" i="54"/>
  <c r="J568" i="54" s="1"/>
  <c r="I567" i="54"/>
  <c r="J567" i="54" s="1"/>
  <c r="I566" i="54"/>
  <c r="J566" i="54" s="1"/>
  <c r="I565" i="54"/>
  <c r="J565" i="54" s="1"/>
  <c r="I564" i="54"/>
  <c r="J564" i="54" s="1"/>
  <c r="I563" i="54"/>
  <c r="J563" i="54" s="1"/>
  <c r="I562" i="54"/>
  <c r="J562" i="54" s="1"/>
  <c r="I561" i="54"/>
  <c r="J561" i="54" s="1"/>
  <c r="I560" i="54"/>
  <c r="J560" i="54" s="1"/>
  <c r="I559" i="54"/>
  <c r="J559" i="54" s="1"/>
  <c r="I558" i="54"/>
  <c r="J558" i="54" s="1"/>
  <c r="I557" i="54"/>
  <c r="J557" i="54" s="1"/>
  <c r="I556" i="54"/>
  <c r="J556" i="54" s="1"/>
  <c r="I555" i="54"/>
  <c r="J555" i="54" s="1"/>
  <c r="I554" i="54"/>
  <c r="J554" i="54" s="1"/>
  <c r="I553" i="54"/>
  <c r="J553" i="54" s="1"/>
  <c r="I552" i="54"/>
  <c r="J552" i="54" s="1"/>
  <c r="I551" i="54"/>
  <c r="J551" i="54" s="1"/>
  <c r="I550" i="54"/>
  <c r="J550" i="54" s="1"/>
  <c r="I549" i="54"/>
  <c r="J549" i="54" s="1"/>
  <c r="I548" i="54"/>
  <c r="J548" i="54" s="1"/>
  <c r="I547" i="54"/>
  <c r="J547" i="54" s="1"/>
  <c r="I546" i="54"/>
  <c r="J546" i="54" s="1"/>
  <c r="I545" i="54"/>
  <c r="J545" i="54" s="1"/>
  <c r="I544" i="54"/>
  <c r="J544" i="54" s="1"/>
  <c r="I543" i="54"/>
  <c r="J543" i="54" s="1"/>
  <c r="I639" i="54"/>
  <c r="J639" i="54" s="1"/>
  <c r="I638" i="54"/>
  <c r="J638" i="54" s="1"/>
  <c r="I637" i="54"/>
  <c r="J637" i="54" s="1"/>
  <c r="I634" i="54"/>
  <c r="J634" i="54" s="1"/>
  <c r="I633" i="54"/>
  <c r="J633" i="54" s="1"/>
  <c r="I632" i="54"/>
  <c r="J632" i="54" s="1"/>
  <c r="I631" i="54"/>
  <c r="J631" i="54" s="1"/>
  <c r="I629" i="54"/>
  <c r="J629" i="54" s="1"/>
  <c r="I628" i="54"/>
  <c r="J628" i="54" s="1"/>
  <c r="I627" i="54"/>
  <c r="J627" i="54" s="1"/>
  <c r="I626" i="54"/>
  <c r="J626" i="54" s="1"/>
  <c r="I625" i="54"/>
  <c r="J625" i="54" s="1"/>
  <c r="I624" i="54"/>
  <c r="J624" i="54" s="1"/>
  <c r="I623" i="54"/>
  <c r="J623" i="54" s="1"/>
  <c r="I622" i="54"/>
  <c r="J622" i="54" s="1"/>
  <c r="I621" i="54"/>
  <c r="J621" i="54" s="1"/>
  <c r="I620" i="54"/>
  <c r="J620" i="54" s="1"/>
  <c r="I618" i="54"/>
  <c r="J618" i="54" s="1"/>
  <c r="I617" i="54"/>
  <c r="J617" i="54" s="1"/>
  <c r="I616" i="54"/>
  <c r="J616" i="54" s="1"/>
  <c r="I615" i="54"/>
  <c r="J615" i="54" s="1"/>
  <c r="I614" i="54"/>
  <c r="J614" i="54" s="1"/>
  <c r="I613" i="54"/>
  <c r="J613" i="54" s="1"/>
  <c r="I612" i="54"/>
  <c r="J612" i="54" s="1"/>
  <c r="I611" i="54"/>
  <c r="J611" i="54" s="1"/>
  <c r="I610" i="54"/>
  <c r="J610" i="54" s="1"/>
  <c r="I609" i="54"/>
  <c r="J609" i="54" s="1"/>
  <c r="I608" i="54"/>
  <c r="J608" i="54" s="1"/>
  <c r="I607" i="54"/>
  <c r="J607" i="54" s="1"/>
  <c r="I606" i="54"/>
  <c r="J606" i="54" s="1"/>
  <c r="I605" i="54"/>
  <c r="J605" i="54" s="1"/>
  <c r="I604" i="54"/>
  <c r="J604" i="54" s="1"/>
  <c r="I603" i="54"/>
  <c r="J603" i="54" s="1"/>
  <c r="I602" i="54"/>
  <c r="J602" i="54" s="1"/>
  <c r="I601" i="54"/>
  <c r="J601" i="54" s="1"/>
  <c r="I600" i="54"/>
  <c r="J600" i="54" s="1"/>
  <c r="I599" i="54"/>
  <c r="J599" i="54" s="1"/>
  <c r="I598" i="54"/>
  <c r="J598" i="54" s="1"/>
  <c r="I597" i="54"/>
  <c r="J597" i="54" s="1"/>
  <c r="I596" i="54"/>
  <c r="J596" i="54" s="1"/>
  <c r="I595" i="54"/>
  <c r="J595" i="54" s="1"/>
  <c r="I594" i="54"/>
  <c r="J594" i="54" s="1"/>
  <c r="I593" i="54"/>
  <c r="J593" i="54" s="1"/>
  <c r="I443" i="54"/>
  <c r="J443" i="54" s="1"/>
  <c r="F490" i="54"/>
  <c r="F540" i="54"/>
  <c r="F590" i="54"/>
  <c r="F630" i="54"/>
  <c r="F580" i="54"/>
  <c r="F530" i="54"/>
  <c r="F480" i="54"/>
  <c r="F640" i="54"/>
  <c r="D490" i="54"/>
  <c r="J5" i="21"/>
  <c r="K5" i="21"/>
  <c r="J6" i="21"/>
  <c r="K6" i="21"/>
  <c r="L6" i="21"/>
  <c r="J7" i="21"/>
  <c r="K7" i="21"/>
  <c r="L7" i="21"/>
  <c r="J8" i="21"/>
  <c r="K8" i="21"/>
  <c r="L8" i="21"/>
  <c r="I53" i="21"/>
  <c r="G301" i="54"/>
  <c r="F301" i="54" s="1"/>
  <c r="B8" i="36"/>
  <c r="B9" i="35"/>
  <c r="B8" i="33"/>
  <c r="G251" i="54"/>
  <c r="F251" i="54" s="1"/>
  <c r="B153" i="54"/>
  <c r="D170" i="54"/>
  <c r="G170" i="54" s="1"/>
  <c r="A18" i="34"/>
  <c r="A17" i="34"/>
  <c r="A16" i="34"/>
  <c r="A15" i="34"/>
  <c r="D3" i="33"/>
  <c r="G3" i="33" s="1"/>
  <c r="B52" i="33"/>
  <c r="B51" i="33"/>
  <c r="B50" i="33"/>
  <c r="B47" i="33"/>
  <c r="B46" i="33"/>
  <c r="B45" i="33"/>
  <c r="B44" i="33"/>
  <c r="B40" i="33"/>
  <c r="B39" i="33"/>
  <c r="B38" i="33"/>
  <c r="B37" i="33"/>
  <c r="B36" i="33"/>
  <c r="B35" i="33"/>
  <c r="B34" i="33"/>
  <c r="B33" i="33"/>
  <c r="B32" i="33"/>
  <c r="B31" i="33"/>
  <c r="B30" i="33"/>
  <c r="B29" i="33"/>
  <c r="B28" i="33"/>
  <c r="B27" i="33"/>
  <c r="B26" i="33"/>
  <c r="B25" i="33"/>
  <c r="B24" i="33"/>
  <c r="B23" i="33"/>
  <c r="B22" i="33"/>
  <c r="B21" i="33"/>
  <c r="B20" i="33"/>
  <c r="B19" i="33"/>
  <c r="B18" i="33"/>
  <c r="B17" i="33"/>
  <c r="B16" i="33"/>
  <c r="B15" i="33"/>
  <c r="B14" i="33"/>
  <c r="B13" i="33"/>
  <c r="B12" i="33"/>
  <c r="B11" i="33"/>
  <c r="B10" i="33"/>
  <c r="B9" i="33"/>
  <c r="B7" i="33"/>
  <c r="B6" i="33"/>
  <c r="B5" i="33"/>
  <c r="B4" i="33"/>
  <c r="B52" i="21"/>
  <c r="B51" i="21"/>
  <c r="B50" i="21"/>
  <c r="B47" i="21"/>
  <c r="B46" i="21"/>
  <c r="B45" i="21"/>
  <c r="B44" i="21"/>
  <c r="B41" i="21"/>
  <c r="B40" i="21"/>
  <c r="B39" i="21"/>
  <c r="B38" i="21"/>
  <c r="B37" i="21"/>
  <c r="B36" i="21"/>
  <c r="B35" i="21"/>
  <c r="B34" i="21"/>
  <c r="B33" i="21"/>
  <c r="B32" i="21"/>
  <c r="B31" i="21"/>
  <c r="B30" i="21"/>
  <c r="B29" i="21"/>
  <c r="B28" i="21"/>
  <c r="B27" i="21"/>
  <c r="B26" i="21"/>
  <c r="B25" i="21"/>
  <c r="B24" i="21"/>
  <c r="B23" i="21"/>
  <c r="B22" i="21"/>
  <c r="B21" i="21"/>
  <c r="B19" i="21"/>
  <c r="B18" i="21"/>
  <c r="B17" i="21"/>
  <c r="B16" i="21"/>
  <c r="B15" i="21"/>
  <c r="B14" i="21"/>
  <c r="B12" i="21"/>
  <c r="B11" i="21"/>
  <c r="B10" i="21"/>
  <c r="B8" i="21"/>
  <c r="B7" i="21"/>
  <c r="B6" i="21"/>
  <c r="B5" i="21"/>
  <c r="B51" i="36"/>
  <c r="B50" i="36"/>
  <c r="B49" i="36"/>
  <c r="B45" i="36"/>
  <c r="B44" i="36"/>
  <c r="B43" i="36"/>
  <c r="B42" i="36"/>
  <c r="B40" i="36"/>
  <c r="B39" i="36"/>
  <c r="B38" i="36"/>
  <c r="B37" i="36"/>
  <c r="B36" i="36"/>
  <c r="B35" i="36"/>
  <c r="B34" i="36"/>
  <c r="B33" i="36"/>
  <c r="B32" i="36"/>
  <c r="B31" i="36"/>
  <c r="B30" i="36"/>
  <c r="B29" i="36"/>
  <c r="B28" i="36"/>
  <c r="B27" i="36"/>
  <c r="B26" i="36"/>
  <c r="B25" i="36"/>
  <c r="B24" i="36"/>
  <c r="B23" i="36"/>
  <c r="B22" i="36"/>
  <c r="B21" i="36"/>
  <c r="B20" i="36"/>
  <c r="B19" i="36"/>
  <c r="B18" i="36"/>
  <c r="B17" i="36"/>
  <c r="B16" i="36"/>
  <c r="B15" i="36"/>
  <c r="B14" i="36"/>
  <c r="B13" i="36"/>
  <c r="B12" i="36"/>
  <c r="B11" i="36"/>
  <c r="B10" i="36"/>
  <c r="B9" i="36"/>
  <c r="B7" i="36"/>
  <c r="B6" i="36"/>
  <c r="B5" i="36"/>
  <c r="B4" i="36"/>
  <c r="B51" i="35"/>
  <c r="B46" i="35"/>
  <c r="B45" i="35"/>
  <c r="B44" i="35"/>
  <c r="B43" i="35"/>
  <c r="B41" i="35"/>
  <c r="B39" i="35"/>
  <c r="B38" i="35"/>
  <c r="B37" i="35"/>
  <c r="B36" i="35"/>
  <c r="B35" i="35"/>
  <c r="B34" i="35"/>
  <c r="B33" i="35"/>
  <c r="B32" i="35"/>
  <c r="B31" i="35"/>
  <c r="B30" i="35"/>
  <c r="B29" i="35"/>
  <c r="B28" i="35"/>
  <c r="B27" i="35"/>
  <c r="B26" i="35"/>
  <c r="B25" i="35"/>
  <c r="B24" i="35"/>
  <c r="B23" i="35"/>
  <c r="B22" i="35"/>
  <c r="B21" i="35"/>
  <c r="B20" i="35"/>
  <c r="B19" i="35"/>
  <c r="B18" i="35"/>
  <c r="B17" i="35"/>
  <c r="B16" i="35"/>
  <c r="B15" i="35"/>
  <c r="B14" i="35"/>
  <c r="B13" i="35"/>
  <c r="B12" i="35"/>
  <c r="B11" i="35"/>
  <c r="B10" i="35"/>
  <c r="B8" i="35"/>
  <c r="B7" i="35"/>
  <c r="B6" i="35"/>
  <c r="B5" i="35"/>
  <c r="G3" i="54"/>
  <c r="F3" i="54"/>
  <c r="E3" i="54"/>
  <c r="D3" i="54"/>
  <c r="C3" i="54"/>
  <c r="M3" i="54"/>
  <c r="L3" i="54"/>
  <c r="B593" i="54"/>
  <c r="B594" i="54"/>
  <c r="B595" i="54"/>
  <c r="B596" i="54"/>
  <c r="B598" i="54"/>
  <c r="B599" i="54"/>
  <c r="B600" i="54"/>
  <c r="B601" i="54"/>
  <c r="B602" i="54"/>
  <c r="B603" i="54"/>
  <c r="B604" i="54"/>
  <c r="B605" i="54"/>
  <c r="B606" i="54"/>
  <c r="B607" i="54"/>
  <c r="B608" i="54"/>
  <c r="B609" i="54"/>
  <c r="B610" i="54"/>
  <c r="B611" i="54"/>
  <c r="B612" i="54"/>
  <c r="B613" i="54"/>
  <c r="B614" i="54"/>
  <c r="B615" i="54"/>
  <c r="B616" i="54"/>
  <c r="B617" i="54"/>
  <c r="B618" i="54"/>
  <c r="B620" i="54"/>
  <c r="B621" i="54"/>
  <c r="B622" i="54"/>
  <c r="B623" i="54"/>
  <c r="B624" i="54"/>
  <c r="B625" i="54"/>
  <c r="B626" i="54"/>
  <c r="B627" i="54"/>
  <c r="B628" i="54"/>
  <c r="B629" i="54"/>
  <c r="B630" i="54"/>
  <c r="B631" i="54"/>
  <c r="B632" i="54"/>
  <c r="B633" i="54"/>
  <c r="B634" i="54"/>
  <c r="B637" i="54"/>
  <c r="B638" i="54"/>
  <c r="B639" i="54"/>
  <c r="B640" i="54"/>
  <c r="B543" i="54"/>
  <c r="B544" i="54"/>
  <c r="B545" i="54"/>
  <c r="B546" i="54"/>
  <c r="B548" i="54"/>
  <c r="B549" i="54"/>
  <c r="B550" i="54"/>
  <c r="B551" i="54"/>
  <c r="B552" i="54"/>
  <c r="B553" i="54"/>
  <c r="B554" i="54"/>
  <c r="B555" i="54"/>
  <c r="B556" i="54"/>
  <c r="B557" i="54"/>
  <c r="B558" i="54"/>
  <c r="B559" i="54"/>
  <c r="B560" i="54"/>
  <c r="B561" i="54"/>
  <c r="B562" i="54"/>
  <c r="B563" i="54"/>
  <c r="B564" i="54"/>
  <c r="B565" i="54"/>
  <c r="B566" i="54"/>
  <c r="B567" i="54"/>
  <c r="B568" i="54"/>
  <c r="B570" i="54"/>
  <c r="B571" i="54"/>
  <c r="B572" i="54"/>
  <c r="B573" i="54"/>
  <c r="B574" i="54"/>
  <c r="B575" i="54"/>
  <c r="B576" i="54"/>
  <c r="B577" i="54"/>
  <c r="B578" i="54"/>
  <c r="B579" i="54"/>
  <c r="B580" i="54"/>
  <c r="B581" i="54"/>
  <c r="B582" i="54"/>
  <c r="B583" i="54"/>
  <c r="B584" i="54"/>
  <c r="B587" i="54"/>
  <c r="B588" i="54"/>
  <c r="B589" i="54"/>
  <c r="B590" i="54"/>
  <c r="B493" i="54"/>
  <c r="B494" i="54"/>
  <c r="B495" i="54"/>
  <c r="B496" i="54"/>
  <c r="B498" i="54"/>
  <c r="B499" i="54"/>
  <c r="B500" i="54"/>
  <c r="B501" i="54"/>
  <c r="B502" i="54"/>
  <c r="B503" i="54"/>
  <c r="B504" i="54"/>
  <c r="B505" i="54"/>
  <c r="B506" i="54"/>
  <c r="B507" i="54"/>
  <c r="B508" i="54"/>
  <c r="B509" i="54"/>
  <c r="B510" i="54"/>
  <c r="B511" i="54"/>
  <c r="B512" i="54"/>
  <c r="B513" i="54"/>
  <c r="B514" i="54"/>
  <c r="B515" i="54"/>
  <c r="B516" i="54"/>
  <c r="B517" i="54"/>
  <c r="B518" i="54"/>
  <c r="B520" i="54"/>
  <c r="B521" i="54"/>
  <c r="B522" i="54"/>
  <c r="B523" i="54"/>
  <c r="B524" i="54"/>
  <c r="B525" i="54"/>
  <c r="B526" i="54"/>
  <c r="B527" i="54"/>
  <c r="B528" i="54"/>
  <c r="B529" i="54"/>
  <c r="B530" i="54"/>
  <c r="B531" i="54"/>
  <c r="B532" i="54"/>
  <c r="B533" i="54"/>
  <c r="B534" i="54"/>
  <c r="B537" i="54"/>
  <c r="B538" i="54"/>
  <c r="B539" i="54"/>
  <c r="B540" i="54"/>
  <c r="B443" i="54"/>
  <c r="B444" i="54"/>
  <c r="B445" i="54"/>
  <c r="B446" i="54"/>
  <c r="B448" i="54"/>
  <c r="B449" i="54"/>
  <c r="B450" i="54"/>
  <c r="B451" i="54"/>
  <c r="B452" i="54"/>
  <c r="B453" i="54"/>
  <c r="B454" i="54"/>
  <c r="B455" i="54"/>
  <c r="B456" i="54"/>
  <c r="B457" i="54"/>
  <c r="B458" i="54"/>
  <c r="B459" i="54"/>
  <c r="B460" i="54"/>
  <c r="B461" i="54"/>
  <c r="B462" i="54"/>
  <c r="B463" i="54"/>
  <c r="B464" i="54"/>
  <c r="B465" i="54"/>
  <c r="B466" i="54"/>
  <c r="B467" i="54"/>
  <c r="B468" i="54"/>
  <c r="B470" i="54"/>
  <c r="B471" i="54"/>
  <c r="B472" i="54"/>
  <c r="B473" i="54"/>
  <c r="B474" i="54"/>
  <c r="B475" i="54"/>
  <c r="B476" i="54"/>
  <c r="B477" i="54"/>
  <c r="B478" i="54"/>
  <c r="B479" i="54"/>
  <c r="B480" i="54"/>
  <c r="B481" i="54"/>
  <c r="B482" i="54"/>
  <c r="B483" i="54"/>
  <c r="B484" i="54"/>
  <c r="B487" i="54"/>
  <c r="B488" i="54"/>
  <c r="B489" i="54"/>
  <c r="B490" i="54"/>
  <c r="B343" i="54"/>
  <c r="B342" i="54"/>
  <c r="B341" i="54"/>
  <c r="B338" i="54"/>
  <c r="B337" i="54"/>
  <c r="B336" i="54"/>
  <c r="B335" i="54"/>
  <c r="B333" i="54"/>
  <c r="B332" i="54"/>
  <c r="B331" i="54"/>
  <c r="B330" i="54"/>
  <c r="B329" i="54"/>
  <c r="B328" i="54"/>
  <c r="B327" i="54"/>
  <c r="B326" i="54"/>
  <c r="B325" i="54"/>
  <c r="B324" i="54"/>
  <c r="B323" i="54"/>
  <c r="B322" i="54"/>
  <c r="B321" i="54"/>
  <c r="B320" i="54"/>
  <c r="B319" i="54"/>
  <c r="B318" i="54"/>
  <c r="B317" i="54"/>
  <c r="B316" i="54"/>
  <c r="B315" i="54"/>
  <c r="B314" i="54"/>
  <c r="B313" i="54"/>
  <c r="B312" i="54"/>
  <c r="B311" i="54"/>
  <c r="B310" i="54"/>
  <c r="B309" i="54"/>
  <c r="B308" i="54"/>
  <c r="B307" i="54"/>
  <c r="B306" i="54"/>
  <c r="B305" i="54"/>
  <c r="B304" i="54"/>
  <c r="B303" i="54"/>
  <c r="B302" i="54"/>
  <c r="B300" i="54"/>
  <c r="B299" i="54"/>
  <c r="B298" i="54"/>
  <c r="B297" i="54"/>
  <c r="B293" i="54"/>
  <c r="B292" i="54"/>
  <c r="B291" i="54"/>
  <c r="B288" i="54"/>
  <c r="B287" i="54"/>
  <c r="B286" i="54"/>
  <c r="B285" i="54"/>
  <c r="B283" i="54"/>
  <c r="B282" i="54"/>
  <c r="B281" i="54"/>
  <c r="B280" i="54"/>
  <c r="B279" i="54"/>
  <c r="B278" i="54"/>
  <c r="B277" i="54"/>
  <c r="B276" i="54"/>
  <c r="B275" i="54"/>
  <c r="B274" i="54"/>
  <c r="B273" i="54"/>
  <c r="B272" i="54"/>
  <c r="B271" i="54"/>
  <c r="B270" i="54"/>
  <c r="B269" i="54"/>
  <c r="B268" i="54"/>
  <c r="B267" i="54"/>
  <c r="B266" i="54"/>
  <c r="B265" i="54"/>
  <c r="B264" i="54"/>
  <c r="B263" i="54"/>
  <c r="B262" i="54"/>
  <c r="B261" i="54"/>
  <c r="B260" i="54"/>
  <c r="B259" i="54"/>
  <c r="B258" i="54"/>
  <c r="B257" i="54"/>
  <c r="B256" i="54"/>
  <c r="B255" i="54"/>
  <c r="B254" i="54"/>
  <c r="B253" i="54"/>
  <c r="B252" i="54"/>
  <c r="B250" i="54"/>
  <c r="B249" i="54"/>
  <c r="B248" i="54"/>
  <c r="B247" i="54"/>
  <c r="B242" i="54"/>
  <c r="B241" i="54"/>
  <c r="B240" i="54"/>
  <c r="B239" i="54"/>
  <c r="B238" i="54"/>
  <c r="B237" i="54"/>
  <c r="B236" i="54"/>
  <c r="B235" i="54"/>
  <c r="B234" i="54"/>
  <c r="B233" i="54"/>
  <c r="B232" i="54"/>
  <c r="B231" i="54"/>
  <c r="B230" i="54"/>
  <c r="B229" i="54"/>
  <c r="B228" i="54"/>
  <c r="B227" i="54"/>
  <c r="B226" i="54"/>
  <c r="B225" i="54"/>
  <c r="B224" i="54"/>
  <c r="B223" i="54"/>
  <c r="B222" i="54"/>
  <c r="B221" i="54"/>
  <c r="B220" i="54"/>
  <c r="B219" i="54"/>
  <c r="B218" i="54"/>
  <c r="B217" i="54"/>
  <c r="B216" i="54"/>
  <c r="B215" i="54"/>
  <c r="B214" i="54"/>
  <c r="B213" i="54"/>
  <c r="B212" i="54"/>
  <c r="B211" i="54"/>
  <c r="B209" i="54"/>
  <c r="B208" i="54"/>
  <c r="B207" i="54"/>
  <c r="B206" i="54"/>
  <c r="B202" i="54"/>
  <c r="B201" i="54"/>
  <c r="B200" i="54"/>
  <c r="B199" i="54"/>
  <c r="B198" i="54"/>
  <c r="B197" i="54"/>
  <c r="B196" i="54"/>
  <c r="B195" i="54"/>
  <c r="B194" i="54"/>
  <c r="B193" i="54"/>
  <c r="B192" i="54"/>
  <c r="B191" i="54"/>
  <c r="B190" i="54"/>
  <c r="B189" i="54"/>
  <c r="B188" i="54"/>
  <c r="B187" i="54"/>
  <c r="B186" i="54"/>
  <c r="B185" i="54"/>
  <c r="B184" i="54"/>
  <c r="B183" i="54"/>
  <c r="B182" i="54"/>
  <c r="B181" i="54"/>
  <c r="B180" i="54"/>
  <c r="B179" i="54"/>
  <c r="B178" i="54"/>
  <c r="B177" i="54"/>
  <c r="B176" i="54"/>
  <c r="B175" i="54"/>
  <c r="B174" i="54"/>
  <c r="B173" i="54"/>
  <c r="B172" i="54"/>
  <c r="B171" i="54"/>
  <c r="B169" i="54"/>
  <c r="B168" i="54"/>
  <c r="B167" i="54"/>
  <c r="B166" i="54"/>
  <c r="B162" i="54"/>
  <c r="B161" i="54"/>
  <c r="B160" i="54"/>
  <c r="B159" i="54"/>
  <c r="B158" i="54"/>
  <c r="B157" i="54"/>
  <c r="B156" i="54"/>
  <c r="B155" i="54"/>
  <c r="B154" i="54"/>
  <c r="B152" i="54"/>
  <c r="B151" i="54"/>
  <c r="B150" i="54"/>
  <c r="B149" i="54"/>
  <c r="B148" i="54"/>
  <c r="B147" i="54"/>
  <c r="B146" i="54"/>
  <c r="B145" i="54"/>
  <c r="B144" i="54"/>
  <c r="B143" i="54"/>
  <c r="B142" i="54"/>
  <c r="B141" i="54"/>
  <c r="B140" i="54"/>
  <c r="B139" i="54"/>
  <c r="B138" i="54"/>
  <c r="B137" i="54"/>
  <c r="B136" i="54"/>
  <c r="B135" i="54"/>
  <c r="B134" i="54"/>
  <c r="B133" i="54"/>
  <c r="B132" i="54"/>
  <c r="B131" i="54"/>
  <c r="B129" i="54"/>
  <c r="B128" i="54"/>
  <c r="B127" i="54"/>
  <c r="B126" i="54"/>
  <c r="L125" i="54"/>
  <c r="S53" i="21"/>
  <c r="F82" i="30"/>
  <c r="E82" i="30"/>
  <c r="D82" i="30"/>
  <c r="C82" i="30"/>
  <c r="G82" i="30"/>
  <c r="F81" i="30"/>
  <c r="F83" i="30"/>
  <c r="E81" i="30"/>
  <c r="D81" i="30"/>
  <c r="C81" i="30"/>
  <c r="F80" i="30"/>
  <c r="F84" i="30"/>
  <c r="E80" i="30"/>
  <c r="D80" i="30"/>
  <c r="C80" i="30"/>
  <c r="C84" i="30"/>
  <c r="G79" i="30"/>
  <c r="G78" i="30"/>
  <c r="G77" i="30"/>
  <c r="G76" i="30"/>
  <c r="G75" i="30"/>
  <c r="G74" i="30"/>
  <c r="G210" i="54"/>
  <c r="F210" i="54" s="1"/>
  <c r="C130" i="54"/>
  <c r="G62" i="33"/>
  <c r="H42" i="33"/>
  <c r="G42" i="33" s="1"/>
  <c r="E284" i="54"/>
  <c r="E9" i="54" s="1"/>
  <c r="C284" i="54"/>
  <c r="C9" i="54" s="1"/>
  <c r="C10" i="54"/>
  <c r="J52" i="21"/>
  <c r="K52" i="21"/>
  <c r="L52" i="21"/>
  <c r="J51" i="21"/>
  <c r="J50" i="21"/>
  <c r="K50" i="21"/>
  <c r="L50" i="21"/>
  <c r="J47" i="21"/>
  <c r="K47" i="21"/>
  <c r="L47" i="21"/>
  <c r="J46" i="21"/>
  <c r="K46" i="21"/>
  <c r="J45" i="21"/>
  <c r="K45" i="21"/>
  <c r="L45" i="21"/>
  <c r="J44" i="21"/>
  <c r="K44" i="21"/>
  <c r="L44" i="21"/>
  <c r="J41" i="21"/>
  <c r="K41" i="21"/>
  <c r="L41" i="21"/>
  <c r="J40" i="21"/>
  <c r="K40" i="21"/>
  <c r="L40" i="21"/>
  <c r="J39" i="21"/>
  <c r="K39" i="21"/>
  <c r="L39" i="21"/>
  <c r="J38" i="21"/>
  <c r="K38" i="21"/>
  <c r="L38" i="21"/>
  <c r="J37" i="21"/>
  <c r="K37" i="21"/>
  <c r="L37" i="21"/>
  <c r="J36" i="21"/>
  <c r="K36" i="21"/>
  <c r="L36" i="21"/>
  <c r="J35" i="21"/>
  <c r="K35" i="21"/>
  <c r="L35" i="21"/>
  <c r="J34" i="21"/>
  <c r="K34" i="21"/>
  <c r="L34" i="21"/>
  <c r="J33" i="21"/>
  <c r="K33" i="21"/>
  <c r="L33" i="21"/>
  <c r="J32" i="21"/>
  <c r="K32" i="21"/>
  <c r="L32" i="21"/>
  <c r="J31" i="21"/>
  <c r="K31" i="21"/>
  <c r="L31" i="21"/>
  <c r="J30" i="21"/>
  <c r="K30" i="21"/>
  <c r="L30" i="21"/>
  <c r="J29" i="21"/>
  <c r="K29" i="21"/>
  <c r="L29" i="21"/>
  <c r="J27" i="21"/>
  <c r="K27" i="21"/>
  <c r="L27" i="21"/>
  <c r="J26" i="21"/>
  <c r="K26" i="21"/>
  <c r="L26" i="21"/>
  <c r="J25" i="21"/>
  <c r="K25" i="21"/>
  <c r="L25" i="21"/>
  <c r="J24" i="21"/>
  <c r="K24" i="21"/>
  <c r="L24" i="21"/>
  <c r="J23" i="21"/>
  <c r="K23" i="21"/>
  <c r="L23" i="21"/>
  <c r="J22" i="21"/>
  <c r="K22" i="21"/>
  <c r="L22" i="21"/>
  <c r="J21" i="21"/>
  <c r="K21" i="21"/>
  <c r="L21" i="21"/>
  <c r="J20" i="21"/>
  <c r="K20" i="21"/>
  <c r="L20" i="21"/>
  <c r="J19" i="21"/>
  <c r="K19" i="21"/>
  <c r="L19" i="21"/>
  <c r="J18" i="21"/>
  <c r="K18" i="21"/>
  <c r="L18" i="21"/>
  <c r="J17" i="21"/>
  <c r="K17" i="21"/>
  <c r="L17" i="21"/>
  <c r="J16" i="21"/>
  <c r="K16" i="21"/>
  <c r="L16" i="21"/>
  <c r="J15" i="21"/>
  <c r="K15" i="21"/>
  <c r="L15" i="21"/>
  <c r="J14" i="21"/>
  <c r="K14" i="21"/>
  <c r="L14" i="21"/>
  <c r="J13" i="21"/>
  <c r="K13" i="21"/>
  <c r="L13" i="21"/>
  <c r="J12" i="21"/>
  <c r="K12" i="21"/>
  <c r="L12" i="21"/>
  <c r="J11" i="21"/>
  <c r="K11" i="21"/>
  <c r="L11" i="21"/>
  <c r="J10" i="21"/>
  <c r="K10" i="21"/>
  <c r="L10" i="21"/>
  <c r="O47" i="21"/>
  <c r="P47" i="21"/>
  <c r="Q47" i="21"/>
  <c r="O46" i="21"/>
  <c r="P46" i="21"/>
  <c r="Q46" i="21"/>
  <c r="O45" i="21"/>
  <c r="P45" i="21"/>
  <c r="Q45" i="21"/>
  <c r="F134" i="30"/>
  <c r="E134" i="30"/>
  <c r="D134" i="30"/>
  <c r="C134" i="30"/>
  <c r="F133" i="30"/>
  <c r="F135" i="30"/>
  <c r="E133" i="30"/>
  <c r="E136" i="30"/>
  <c r="D133" i="30"/>
  <c r="C133" i="30"/>
  <c r="F132" i="30"/>
  <c r="E132" i="30"/>
  <c r="D132" i="30"/>
  <c r="C132" i="30"/>
  <c r="G131" i="30"/>
  <c r="G130" i="30"/>
  <c r="G129" i="30"/>
  <c r="G128" i="30"/>
  <c r="G127" i="30"/>
  <c r="G126" i="30"/>
  <c r="F121" i="30"/>
  <c r="E121" i="30"/>
  <c r="D121" i="30"/>
  <c r="C121" i="30"/>
  <c r="G121" i="30"/>
  <c r="F120" i="30"/>
  <c r="E120" i="30"/>
  <c r="D120" i="30"/>
  <c r="C120" i="30"/>
  <c r="F119" i="30"/>
  <c r="F122" i="30"/>
  <c r="E119" i="30"/>
  <c r="D119" i="30"/>
  <c r="D123" i="30"/>
  <c r="C119" i="30"/>
  <c r="G119" i="30"/>
  <c r="G118" i="30"/>
  <c r="G117" i="30"/>
  <c r="G116" i="30"/>
  <c r="G115" i="30"/>
  <c r="G114" i="30"/>
  <c r="G113" i="30"/>
  <c r="F108" i="30"/>
  <c r="E108" i="30"/>
  <c r="G108" i="30"/>
  <c r="D108" i="30"/>
  <c r="C108" i="30"/>
  <c r="F107" i="30"/>
  <c r="E107" i="30"/>
  <c r="D107" i="30"/>
  <c r="C107" i="30"/>
  <c r="F106" i="30"/>
  <c r="E106" i="30"/>
  <c r="G106" i="30"/>
  <c r="D106" i="30"/>
  <c r="D110" i="30"/>
  <c r="C106" i="30"/>
  <c r="G105" i="30"/>
  <c r="G104" i="30"/>
  <c r="G103" i="30"/>
  <c r="G102" i="30"/>
  <c r="G101" i="30"/>
  <c r="G100" i="30"/>
  <c r="F95" i="30"/>
  <c r="E95" i="30"/>
  <c r="D95" i="30"/>
  <c r="C95" i="30"/>
  <c r="F94" i="30"/>
  <c r="E94" i="30"/>
  <c r="D94" i="30"/>
  <c r="C94" i="30"/>
  <c r="C97" i="30"/>
  <c r="F93" i="30"/>
  <c r="E93" i="30"/>
  <c r="E97" i="30"/>
  <c r="D93" i="30"/>
  <c r="C93" i="30"/>
  <c r="G92" i="30"/>
  <c r="G91" i="30"/>
  <c r="G90" i="30"/>
  <c r="G89" i="30"/>
  <c r="G88" i="30"/>
  <c r="G87" i="30"/>
  <c r="G15" i="30"/>
  <c r="G14" i="30"/>
  <c r="G13" i="30"/>
  <c r="L296" i="54"/>
  <c r="L246" i="54"/>
  <c r="L205" i="54"/>
  <c r="L165" i="54"/>
  <c r="D202" i="54"/>
  <c r="D162" i="54" s="1"/>
  <c r="D201" i="54"/>
  <c r="D161" i="54" s="1"/>
  <c r="D200" i="54"/>
  <c r="D160" i="54" s="1"/>
  <c r="D198" i="54"/>
  <c r="D158" i="54" s="1"/>
  <c r="D197" i="54"/>
  <c r="D157" i="54" s="1"/>
  <c r="D196" i="54"/>
  <c r="D156" i="54" s="1"/>
  <c r="D194" i="54"/>
  <c r="D154" i="54" s="1"/>
  <c r="D193" i="54"/>
  <c r="D153" i="54" s="1"/>
  <c r="D192" i="54"/>
  <c r="D152" i="54" s="1"/>
  <c r="L24" i="54"/>
  <c r="L4" i="54"/>
  <c r="D176" i="54"/>
  <c r="D136" i="54" s="1"/>
  <c r="D195" i="54"/>
  <c r="D199" i="54"/>
  <c r="D159" i="54" s="1"/>
  <c r="D180" i="54"/>
  <c r="G180" i="54" s="1"/>
  <c r="D174" i="54"/>
  <c r="D134" i="54" s="1"/>
  <c r="D178" i="54"/>
  <c r="G178" i="54" s="1"/>
  <c r="D182" i="54"/>
  <c r="D142" i="54" s="1"/>
  <c r="D186" i="54"/>
  <c r="G186" i="54" s="1"/>
  <c r="D184" i="54"/>
  <c r="D190" i="54"/>
  <c r="D150" i="54" s="1"/>
  <c r="D175" i="54"/>
  <c r="G175" i="54" s="1"/>
  <c r="D179" i="54"/>
  <c r="G179" i="54" s="1"/>
  <c r="D183" i="54"/>
  <c r="D143" i="54" s="1"/>
  <c r="D187" i="54"/>
  <c r="D147" i="54" s="1"/>
  <c r="D191" i="54"/>
  <c r="G191" i="54" s="1"/>
  <c r="D188" i="54"/>
  <c r="D148" i="54" s="1"/>
  <c r="D177" i="54"/>
  <c r="G177" i="54" s="1"/>
  <c r="D181" i="54"/>
  <c r="D141" i="54" s="1"/>
  <c r="D185" i="54"/>
  <c r="D145" i="54" s="1"/>
  <c r="D189" i="54"/>
  <c r="G189" i="54" s="1"/>
  <c r="D169" i="54"/>
  <c r="G169" i="54" s="1"/>
  <c r="D166" i="54"/>
  <c r="D171" i="54"/>
  <c r="D131" i="54" s="1"/>
  <c r="D167" i="54"/>
  <c r="G167" i="54" s="1"/>
  <c r="D172" i="54"/>
  <c r="G172" i="54" s="1"/>
  <c r="D168" i="54"/>
  <c r="G168" i="54" s="1"/>
  <c r="D173" i="54"/>
  <c r="G173" i="54" s="1"/>
  <c r="E51" i="36"/>
  <c r="E32" i="36"/>
  <c r="E53" i="21"/>
  <c r="C53" i="21"/>
  <c r="F52" i="21"/>
  <c r="G52" i="21"/>
  <c r="F51" i="21"/>
  <c r="F50" i="21"/>
  <c r="G50" i="21"/>
  <c r="F47" i="21"/>
  <c r="G47" i="21"/>
  <c r="F46" i="21"/>
  <c r="G46" i="21"/>
  <c r="F45" i="21"/>
  <c r="G45" i="21"/>
  <c r="F44" i="21"/>
  <c r="G44" i="21"/>
  <c r="L77" i="33"/>
  <c r="E344" i="54"/>
  <c r="E21" i="54" s="1"/>
  <c r="D344" i="54"/>
  <c r="D21" i="54" s="1"/>
  <c r="G343" i="54"/>
  <c r="F343" i="54" s="1"/>
  <c r="G342" i="54"/>
  <c r="G341" i="54"/>
  <c r="G338" i="54"/>
  <c r="G337" i="54"/>
  <c r="G336" i="54"/>
  <c r="G333" i="54"/>
  <c r="G332" i="54"/>
  <c r="G331" i="54"/>
  <c r="G330" i="54"/>
  <c r="F330" i="54" s="1"/>
  <c r="G329" i="54"/>
  <c r="F329" i="54" s="1"/>
  <c r="G328" i="54"/>
  <c r="F328" i="54" s="1"/>
  <c r="G326" i="54"/>
  <c r="G325" i="54"/>
  <c r="G324" i="54"/>
  <c r="F324" i="54" s="1"/>
  <c r="G323" i="54"/>
  <c r="F323" i="54" s="1"/>
  <c r="G322" i="54"/>
  <c r="F322" i="54" s="1"/>
  <c r="G321" i="54"/>
  <c r="F321" i="54" s="1"/>
  <c r="G320" i="54"/>
  <c r="F320" i="54" s="1"/>
  <c r="G319" i="54"/>
  <c r="F319" i="54" s="1"/>
  <c r="G318" i="54"/>
  <c r="F318" i="54" s="1"/>
  <c r="G317" i="54"/>
  <c r="F317" i="54" s="1"/>
  <c r="G312" i="54"/>
  <c r="F312" i="54" s="1"/>
  <c r="G309" i="54"/>
  <c r="F309" i="54" s="1"/>
  <c r="G315" i="54"/>
  <c r="F315" i="54" s="1"/>
  <c r="G313" i="54"/>
  <c r="F313" i="54" s="1"/>
  <c r="G305" i="54"/>
  <c r="F305" i="54" s="1"/>
  <c r="G303" i="54"/>
  <c r="F303" i="54" s="1"/>
  <c r="G300" i="54"/>
  <c r="F300" i="54" s="1"/>
  <c r="G299" i="54"/>
  <c r="F299" i="54" s="1"/>
  <c r="G298" i="54"/>
  <c r="F298" i="54" s="1"/>
  <c r="G297" i="54"/>
  <c r="F297" i="54" s="1"/>
  <c r="G316" i="54"/>
  <c r="F316" i="54" s="1"/>
  <c r="G314" i="54"/>
  <c r="F314" i="54" s="1"/>
  <c r="G327" i="54"/>
  <c r="F327" i="54" s="1"/>
  <c r="G273" i="54"/>
  <c r="F273" i="54" s="1"/>
  <c r="G262" i="54"/>
  <c r="F262" i="54" s="1"/>
  <c r="G259" i="54"/>
  <c r="F259" i="54" s="1"/>
  <c r="D71" i="54"/>
  <c r="D70" i="54"/>
  <c r="D69" i="54"/>
  <c r="D66" i="54"/>
  <c r="D65" i="54"/>
  <c r="D64" i="54"/>
  <c r="D63" i="54"/>
  <c r="G280" i="54"/>
  <c r="F280" i="54" s="1"/>
  <c r="G288" i="54"/>
  <c r="G287" i="54"/>
  <c r="G286" i="54"/>
  <c r="G114" i="54" s="1"/>
  <c r="G285" i="54"/>
  <c r="G302" i="54"/>
  <c r="F302" i="54" s="1"/>
  <c r="G306" i="54"/>
  <c r="G308" i="54"/>
  <c r="F308" i="54" s="1"/>
  <c r="G311" i="54"/>
  <c r="G304" i="54"/>
  <c r="F304" i="54" s="1"/>
  <c r="G307" i="54"/>
  <c r="F307" i="54" s="1"/>
  <c r="G310" i="54"/>
  <c r="F310" i="54" s="1"/>
  <c r="G335" i="54"/>
  <c r="C294" i="54"/>
  <c r="D294" i="54"/>
  <c r="D20" i="54" s="1"/>
  <c r="E41" i="33"/>
  <c r="D41" i="33"/>
  <c r="E7" i="36"/>
  <c r="E5" i="36"/>
  <c r="U7" i="21"/>
  <c r="V7" i="21"/>
  <c r="W7" i="21" s="1"/>
  <c r="U6" i="21"/>
  <c r="V6" i="21" s="1"/>
  <c r="W6" i="21" s="1"/>
  <c r="U27" i="21"/>
  <c r="V27" i="21" s="1"/>
  <c r="W27" i="21" s="1"/>
  <c r="U5" i="21"/>
  <c r="V5" i="21"/>
  <c r="U23" i="21"/>
  <c r="V23" i="21"/>
  <c r="W23" i="21" s="1"/>
  <c r="U11" i="21"/>
  <c r="U10" i="21"/>
  <c r="V10" i="21" s="1"/>
  <c r="W10" i="21" s="1"/>
  <c r="U46" i="21"/>
  <c r="V46" i="21" s="1"/>
  <c r="W46" i="21" s="1"/>
  <c r="U41" i="21"/>
  <c r="V41" i="21" s="1"/>
  <c r="W41" i="21" s="1"/>
  <c r="V14" i="21"/>
  <c r="W14" i="21"/>
  <c r="U35" i="21"/>
  <c r="V35" i="21" s="1"/>
  <c r="W35" i="21" s="1"/>
  <c r="U17" i="21"/>
  <c r="V17" i="21" s="1"/>
  <c r="W17" i="21" s="1"/>
  <c r="U50" i="21"/>
  <c r="V50" i="21"/>
  <c r="W50" i="21" s="1"/>
  <c r="U18" i="21"/>
  <c r="V18" i="21" s="1"/>
  <c r="W18" i="21" s="1"/>
  <c r="U52" i="21"/>
  <c r="V52" i="21" s="1"/>
  <c r="W52" i="21" s="1"/>
  <c r="U26" i="21"/>
  <c r="V26" i="21"/>
  <c r="W26" i="21" s="1"/>
  <c r="U31" i="21"/>
  <c r="V31" i="21" s="1"/>
  <c r="W31" i="21" s="1"/>
  <c r="U28" i="21"/>
  <c r="V28" i="21" s="1"/>
  <c r="W28" i="21" s="1"/>
  <c r="U15" i="21"/>
  <c r="V15" i="21" s="1"/>
  <c r="W15" i="21" s="1"/>
  <c r="U51" i="21"/>
  <c r="V51" i="21" s="1"/>
  <c r="W51" i="21" s="1"/>
  <c r="U36" i="21"/>
  <c r="V36" i="21"/>
  <c r="W36" i="21" s="1"/>
  <c r="U20" i="21"/>
  <c r="V20" i="21" s="1"/>
  <c r="W20" i="21" s="1"/>
  <c r="U47" i="21"/>
  <c r="V47" i="21" s="1"/>
  <c r="W47" i="21" s="1"/>
  <c r="U25" i="21"/>
  <c r="V25" i="21"/>
  <c r="W25" i="21" s="1"/>
  <c r="U22" i="21"/>
  <c r="V22" i="21" s="1"/>
  <c r="W22" i="21" s="1"/>
  <c r="U45" i="21"/>
  <c r="V45" i="21" s="1"/>
  <c r="W45" i="21" s="1"/>
  <c r="U9" i="21"/>
  <c r="V9" i="21" s="1"/>
  <c r="W9" i="21" s="1"/>
  <c r="U37" i="21"/>
  <c r="V37" i="21" s="1"/>
  <c r="W37" i="21" s="1"/>
  <c r="U32" i="21"/>
  <c r="V32" i="21"/>
  <c r="W32" i="21" s="1"/>
  <c r="U16" i="21"/>
  <c r="V16" i="21" s="1"/>
  <c r="W16" i="21" s="1"/>
  <c r="U30" i="21"/>
  <c r="V30" i="21" s="1"/>
  <c r="W30" i="21" s="1"/>
  <c r="U8" i="21"/>
  <c r="V8" i="21" s="1"/>
  <c r="W8" i="21" s="1"/>
  <c r="U39" i="21"/>
  <c r="V39" i="21" s="1"/>
  <c r="W39" i="21" s="1"/>
  <c r="U19" i="21"/>
  <c r="V19" i="21" s="1"/>
  <c r="W19" i="21" s="1"/>
  <c r="U21" i="21"/>
  <c r="V21" i="21" s="1"/>
  <c r="W21" i="21" s="1"/>
  <c r="U24" i="21"/>
  <c r="V24" i="21"/>
  <c r="W24" i="21" s="1"/>
  <c r="U29" i="21"/>
  <c r="V29" i="21" s="1"/>
  <c r="W29" i="21" s="1"/>
  <c r="U33" i="21"/>
  <c r="V33" i="21" s="1"/>
  <c r="W33" i="21" s="1"/>
  <c r="U38" i="21"/>
  <c r="V38" i="21" s="1"/>
  <c r="W38" i="21" s="1"/>
  <c r="U44" i="21"/>
  <c r="V44" i="21"/>
  <c r="W44" i="21" s="1"/>
  <c r="U40" i="21"/>
  <c r="V40" i="21"/>
  <c r="W40" i="21" s="1"/>
  <c r="U12" i="21"/>
  <c r="V12" i="21"/>
  <c r="W12" i="21" s="1"/>
  <c r="L53" i="33"/>
  <c r="L54" i="33"/>
  <c r="H53" i="21"/>
  <c r="G247" i="54"/>
  <c r="F247" i="54" s="1"/>
  <c r="G258" i="54"/>
  <c r="F258" i="54" s="1"/>
  <c r="G270" i="54"/>
  <c r="F270" i="54" s="1"/>
  <c r="G274" i="54"/>
  <c r="F274" i="54" s="1"/>
  <c r="G264" i="54"/>
  <c r="F264" i="54" s="1"/>
  <c r="G283" i="54"/>
  <c r="F283" i="54" s="1"/>
  <c r="G261" i="54"/>
  <c r="F261" i="54" s="1"/>
  <c r="G248" i="54"/>
  <c r="F248" i="54" s="1"/>
  <c r="G253" i="54"/>
  <c r="F253" i="54" s="1"/>
  <c r="G250" i="54"/>
  <c r="F250" i="54" s="1"/>
  <c r="G260" i="54"/>
  <c r="F260" i="54" s="1"/>
  <c r="G271" i="54"/>
  <c r="F271" i="54" s="1"/>
  <c r="G282" i="54"/>
  <c r="F282" i="54" s="1"/>
  <c r="G281" i="54"/>
  <c r="F281" i="54" s="1"/>
  <c r="G263" i="54"/>
  <c r="F263" i="54" s="1"/>
  <c r="G257" i="54"/>
  <c r="F257" i="54" s="1"/>
  <c r="G269" i="54"/>
  <c r="F269" i="54" s="1"/>
  <c r="G256" i="54"/>
  <c r="F256" i="54" s="1"/>
  <c r="G278" i="54"/>
  <c r="F278" i="54" s="1"/>
  <c r="G254" i="54"/>
  <c r="F254" i="54" s="1"/>
  <c r="G252" i="54"/>
  <c r="F252" i="54" s="1"/>
  <c r="G272" i="54"/>
  <c r="F272" i="54" s="1"/>
  <c r="G267" i="54"/>
  <c r="F267" i="54" s="1"/>
  <c r="G277" i="54"/>
  <c r="F277" i="54" s="1"/>
  <c r="G268" i="54"/>
  <c r="F268" i="54" s="1"/>
  <c r="G279" i="54"/>
  <c r="F279" i="54" s="1"/>
  <c r="G255" i="54"/>
  <c r="G276" i="54"/>
  <c r="G265" i="54"/>
  <c r="F265" i="54" s="1"/>
  <c r="G249" i="54"/>
  <c r="F249" i="54" s="1"/>
  <c r="G275" i="54"/>
  <c r="F275" i="54" s="1"/>
  <c r="G266" i="54"/>
  <c r="F266" i="54" s="1"/>
  <c r="D243" i="54"/>
  <c r="D7" i="54" s="1"/>
  <c r="D284" i="54"/>
  <c r="D9" i="54" s="1"/>
  <c r="G232" i="54"/>
  <c r="G238" i="54"/>
  <c r="G223" i="54"/>
  <c r="G226" i="54"/>
  <c r="G230" i="54"/>
  <c r="G235" i="54"/>
  <c r="G214" i="54"/>
  <c r="F214" i="54" s="1"/>
  <c r="G236" i="54"/>
  <c r="G219" i="54"/>
  <c r="G213" i="54"/>
  <c r="F213" i="54" s="1"/>
  <c r="G229" i="54"/>
  <c r="G215" i="54"/>
  <c r="G208" i="54"/>
  <c r="F208" i="54" s="1"/>
  <c r="G242" i="54"/>
  <c r="G237" i="54"/>
  <c r="G224" i="54"/>
  <c r="G212" i="54"/>
  <c r="F212" i="54" s="1"/>
  <c r="G231" i="54"/>
  <c r="G218" i="54"/>
  <c r="G240" i="54"/>
  <c r="G211" i="54"/>
  <c r="F211" i="54" s="1"/>
  <c r="G216" i="54"/>
  <c r="G220" i="54"/>
  <c r="G241" i="54"/>
  <c r="G228" i="54"/>
  <c r="G233" i="54"/>
  <c r="G221" i="54"/>
  <c r="G217" i="54"/>
  <c r="G209" i="54"/>
  <c r="F209" i="54" s="1"/>
  <c r="G234" i="54"/>
  <c r="G222" i="54"/>
  <c r="G227" i="54"/>
  <c r="G239" i="54"/>
  <c r="G207" i="54"/>
  <c r="F207" i="54" s="1"/>
  <c r="G225" i="54"/>
  <c r="C243" i="54"/>
  <c r="G206" i="54"/>
  <c r="F206" i="54" s="1"/>
  <c r="C141" i="54"/>
  <c r="C160" i="54"/>
  <c r="C137" i="54"/>
  <c r="C149" i="54"/>
  <c r="C131" i="54"/>
  <c r="C153" i="54"/>
  <c r="C143" i="54"/>
  <c r="C138" i="54"/>
  <c r="C158" i="54"/>
  <c r="C139" i="54"/>
  <c r="C133" i="54"/>
  <c r="C140" i="54"/>
  <c r="C144" i="54"/>
  <c r="C162" i="54"/>
  <c r="C152" i="54"/>
  <c r="C159" i="54"/>
  <c r="C127" i="54"/>
  <c r="C142" i="54"/>
  <c r="C136" i="54"/>
  <c r="C154" i="54"/>
  <c r="C150" i="54"/>
  <c r="C156" i="54"/>
  <c r="C161" i="54"/>
  <c r="C145" i="54"/>
  <c r="C146" i="54"/>
  <c r="C128" i="54"/>
  <c r="C129" i="54"/>
  <c r="C157" i="54"/>
  <c r="C151" i="54"/>
  <c r="C155" i="54"/>
  <c r="C147" i="54"/>
  <c r="C132" i="54"/>
  <c r="C135" i="54"/>
  <c r="C148" i="54"/>
  <c r="C134" i="54"/>
  <c r="E294" i="54"/>
  <c r="E20" i="54" s="1"/>
  <c r="E130" i="54"/>
  <c r="E147" i="54"/>
  <c r="E152" i="54"/>
  <c r="E162" i="54"/>
  <c r="E129" i="54"/>
  <c r="E131" i="54"/>
  <c r="E149" i="54"/>
  <c r="E159" i="54"/>
  <c r="E142" i="54"/>
  <c r="E134" i="54"/>
  <c r="E153" i="54"/>
  <c r="E158" i="54"/>
  <c r="E145" i="54"/>
  <c r="E151" i="54"/>
  <c r="E127" i="54"/>
  <c r="E146" i="54"/>
  <c r="E136" i="54"/>
  <c r="E156" i="54"/>
  <c r="E148" i="54"/>
  <c r="E157" i="54"/>
  <c r="E132" i="54"/>
  <c r="E144" i="54"/>
  <c r="E137" i="54"/>
  <c r="E150" i="54"/>
  <c r="E161" i="54"/>
  <c r="E160" i="54"/>
  <c r="E154" i="54"/>
  <c r="E128" i="54"/>
  <c r="E143" i="54"/>
  <c r="E139" i="54"/>
  <c r="E138" i="54"/>
  <c r="E155" i="54"/>
  <c r="E140" i="54"/>
  <c r="E133" i="54"/>
  <c r="E135" i="54"/>
  <c r="E141" i="54"/>
  <c r="E203" i="54"/>
  <c r="E126" i="54"/>
  <c r="C203" i="54"/>
  <c r="C6" i="54" s="1"/>
  <c r="C126" i="54"/>
  <c r="E47" i="36"/>
  <c r="G70" i="30"/>
  <c r="C42" i="21"/>
  <c r="AD13" i="35"/>
  <c r="AD29" i="35"/>
  <c r="AD33" i="35"/>
  <c r="AD21" i="35"/>
  <c r="AD32" i="35"/>
  <c r="AD17" i="35"/>
  <c r="AD34" i="35"/>
  <c r="AD27" i="35"/>
  <c r="AD15" i="35"/>
  <c r="AD18" i="35"/>
  <c r="BG13" i="5"/>
  <c r="BF16" i="5"/>
  <c r="BE14" i="5"/>
  <c r="BG15" i="5"/>
  <c r="BG17" i="5"/>
  <c r="BG19" i="5"/>
  <c r="BD11" i="5"/>
  <c r="BD17" i="5"/>
  <c r="BG10" i="5"/>
  <c r="BF9" i="5"/>
  <c r="BC15" i="5"/>
  <c r="BC13" i="5"/>
  <c r="BE24" i="5"/>
  <c r="BG18" i="5"/>
  <c r="BD14" i="5"/>
  <c r="BF23" i="5"/>
  <c r="BE12" i="5"/>
  <c r="BF20" i="5"/>
  <c r="BC11" i="5"/>
  <c r="BF25" i="5"/>
  <c r="BE11" i="5"/>
  <c r="BC22" i="5"/>
  <c r="BG24" i="5"/>
  <c r="BD12" i="5"/>
  <c r="BD28" i="5"/>
  <c r="BE9" i="5"/>
  <c r="BD16" i="5"/>
  <c r="BC10" i="5"/>
  <c r="BF17" i="5"/>
  <c r="BC17" i="5"/>
  <c r="BF19" i="5"/>
  <c r="BG14" i="5"/>
  <c r="BE28" i="5"/>
  <c r="BC19" i="5"/>
  <c r="BC28" i="5"/>
  <c r="BC18" i="5"/>
  <c r="BE20" i="5"/>
  <c r="BE19" i="5"/>
  <c r="BD18" i="5"/>
  <c r="BG27" i="5"/>
  <c r="BC24" i="5"/>
  <c r="BC20" i="5"/>
  <c r="BC9" i="5"/>
  <c r="BD13" i="5"/>
  <c r="BF12" i="5"/>
  <c r="BF11" i="5"/>
  <c r="BE13" i="5"/>
  <c r="BE25" i="5"/>
  <c r="BD8" i="5"/>
  <c r="BG20" i="5"/>
  <c r="BC25" i="5"/>
  <c r="BE22" i="5"/>
  <c r="BD19" i="5"/>
  <c r="BE10" i="5"/>
  <c r="BC21" i="5"/>
  <c r="BE26" i="5"/>
  <c r="BD25" i="5"/>
  <c r="BE15" i="5"/>
  <c r="BE18" i="5"/>
  <c r="BF22" i="5"/>
  <c r="BD20" i="5"/>
  <c r="BE8" i="5"/>
  <c r="BG21" i="5"/>
  <c r="BE23" i="5"/>
  <c r="BF14" i="5"/>
  <c r="BG25" i="5"/>
  <c r="BF8" i="5"/>
  <c r="BF10" i="5"/>
  <c r="BC16" i="5"/>
  <c r="BD27" i="5"/>
  <c r="BD9" i="5"/>
  <c r="BG26" i="5"/>
  <c r="BF28" i="5"/>
  <c r="BG9" i="5"/>
  <c r="BE21" i="5"/>
  <c r="BD23" i="5"/>
  <c r="BD10" i="5"/>
  <c r="BC12" i="5"/>
  <c r="BC27" i="5"/>
  <c r="BD24" i="5"/>
  <c r="BC23" i="5"/>
  <c r="BF15" i="5"/>
  <c r="BF21" i="5"/>
  <c r="BD21" i="5"/>
  <c r="BC26" i="5"/>
  <c r="BC14" i="5"/>
  <c r="BG8" i="5"/>
  <c r="BG16" i="5"/>
  <c r="BF27" i="5"/>
  <c r="BE27" i="5"/>
  <c r="BG23" i="5"/>
  <c r="BD26" i="5"/>
  <c r="BF18" i="5"/>
  <c r="BD15" i="5"/>
  <c r="BG22" i="5"/>
  <c r="BG11" i="5"/>
  <c r="BF26" i="5"/>
  <c r="BE16" i="5"/>
  <c r="BF24" i="5"/>
  <c r="BG28" i="5"/>
  <c r="BG12" i="5"/>
  <c r="BE17" i="5"/>
  <c r="BD22" i="5"/>
  <c r="BF13" i="5"/>
  <c r="C71" i="30"/>
  <c r="E122" i="30"/>
  <c r="E23" i="36"/>
  <c r="E40" i="36"/>
  <c r="E15" i="36"/>
  <c r="G71" i="30"/>
  <c r="E21" i="36"/>
  <c r="E42" i="36"/>
  <c r="E10" i="36"/>
  <c r="E27" i="36"/>
  <c r="E19" i="36"/>
  <c r="AD23" i="35"/>
  <c r="E38" i="36"/>
  <c r="E14" i="36"/>
  <c r="E13" i="36"/>
  <c r="E11" i="36"/>
  <c r="E4" i="36"/>
  <c r="AD28" i="35"/>
  <c r="E22" i="36"/>
  <c r="E31" i="36"/>
  <c r="E39" i="36"/>
  <c r="E45" i="36"/>
  <c r="E123" i="30"/>
  <c r="D122" i="30"/>
  <c r="S42" i="21"/>
  <c r="G58" i="30"/>
  <c r="C58" i="30"/>
  <c r="C135" i="30"/>
  <c r="G93" i="30"/>
  <c r="G17" i="30"/>
  <c r="C57" i="30"/>
  <c r="I56" i="30"/>
  <c r="H57" i="30"/>
  <c r="E84" i="30"/>
  <c r="C110" i="30"/>
  <c r="D109" i="30"/>
  <c r="D70" i="30"/>
  <c r="E83" i="30"/>
  <c r="C70" i="30"/>
  <c r="G95" i="30"/>
  <c r="E96" i="30"/>
  <c r="G120" i="30"/>
  <c r="G107" i="30"/>
  <c r="D71" i="30"/>
  <c r="C109" i="30"/>
  <c r="C136" i="30"/>
  <c r="F97" i="30"/>
  <c r="F96" i="30"/>
  <c r="G132" i="30"/>
  <c r="AD20" i="35"/>
  <c r="AD5" i="35"/>
  <c r="U52" i="35"/>
  <c r="AD22" i="35"/>
  <c r="AD30" i="35"/>
  <c r="E46" i="36"/>
  <c r="E36" i="36"/>
  <c r="E17" i="36"/>
  <c r="E9" i="36"/>
  <c r="E43" i="36"/>
  <c r="E25" i="36"/>
  <c r="E33" i="36"/>
  <c r="T335" i="54"/>
  <c r="L323" i="54"/>
  <c r="N323" i="54" s="1"/>
  <c r="M319" i="54"/>
  <c r="U319" i="54" s="1"/>
  <c r="AC319" i="54" s="1"/>
  <c r="AF319" i="54" s="1"/>
  <c r="M303" i="54"/>
  <c r="U303" i="54" s="1"/>
  <c r="AC303" i="54" s="1"/>
  <c r="AF303" i="54" s="1"/>
  <c r="M302" i="54"/>
  <c r="O302" i="54" s="1"/>
  <c r="L301" i="54"/>
  <c r="T301" i="54" s="1"/>
  <c r="AB301" i="54" s="1"/>
  <c r="AE301" i="54" s="1"/>
  <c r="L328" i="54"/>
  <c r="N328" i="54" s="1"/>
  <c r="M326" i="54"/>
  <c r="O326" i="54" s="1"/>
  <c r="M325" i="54"/>
  <c r="E18" i="36"/>
  <c r="M313" i="54"/>
  <c r="U313" i="54" s="1"/>
  <c r="AC313" i="54" s="1"/>
  <c r="AF313" i="54" s="1"/>
  <c r="M327" i="54"/>
  <c r="O327" i="54" s="1"/>
  <c r="E34" i="36"/>
  <c r="E52" i="35"/>
  <c r="M52" i="35"/>
  <c r="Q52" i="35"/>
  <c r="AD31" i="35"/>
  <c r="AD25" i="35"/>
  <c r="AD10" i="35"/>
  <c r="AD14" i="35"/>
  <c r="AD38" i="35"/>
  <c r="Q42" i="35"/>
  <c r="AD11" i="35"/>
  <c r="AD26" i="35"/>
  <c r="AD16" i="35"/>
  <c r="AD24" i="35"/>
  <c r="AD51" i="35"/>
  <c r="D480" i="54"/>
  <c r="M53" i="21"/>
  <c r="L332" i="54"/>
  <c r="T332" i="54" s="1"/>
  <c r="AB332" i="54" s="1"/>
  <c r="AE332" i="54" s="1"/>
  <c r="L333" i="54"/>
  <c r="M324" i="54"/>
  <c r="U324" i="54" s="1"/>
  <c r="AC324" i="54" s="1"/>
  <c r="AF324" i="54" s="1"/>
  <c r="M321" i="54"/>
  <c r="T310" i="54"/>
  <c r="AB310" i="54" s="1"/>
  <c r="AE310" i="54" s="1"/>
  <c r="N310" i="54"/>
  <c r="M311" i="54"/>
  <c r="U311" i="54" s="1"/>
  <c r="AC311" i="54" s="1"/>
  <c r="AF311" i="54" s="1"/>
  <c r="M310" i="54"/>
  <c r="U310" i="54" s="1"/>
  <c r="AC310" i="54" s="1"/>
  <c r="AF310" i="54" s="1"/>
  <c r="M309" i="54"/>
  <c r="U309" i="54" s="1"/>
  <c r="AC309" i="54" s="1"/>
  <c r="AF309" i="54" s="1"/>
  <c r="M306" i="54"/>
  <c r="U306" i="54" s="1"/>
  <c r="AC306" i="54" s="1"/>
  <c r="AF306" i="54" s="1"/>
  <c r="L297" i="54"/>
  <c r="N297" i="54" s="1"/>
  <c r="M299" i="54"/>
  <c r="U299" i="54" s="1"/>
  <c r="AC299" i="54" s="1"/>
  <c r="AF299" i="54" s="1"/>
  <c r="I52" i="35"/>
  <c r="AD35" i="35"/>
  <c r="AD12" i="35"/>
  <c r="AB52" i="35"/>
  <c r="AD47" i="35"/>
  <c r="T2063" i="11"/>
  <c r="BC8" i="5"/>
  <c r="T823" i="11"/>
  <c r="M42" i="60"/>
  <c r="U42" i="35"/>
  <c r="AB42" i="35"/>
  <c r="X42" i="35"/>
  <c r="M42" i="35"/>
  <c r="K42" i="60"/>
  <c r="AD44" i="35"/>
  <c r="AD43" i="35"/>
  <c r="AD36" i="35"/>
  <c r="AD39" i="35"/>
  <c r="AD9" i="35"/>
  <c r="AD7" i="35"/>
  <c r="AD50" i="35"/>
  <c r="AD45" i="35"/>
  <c r="AD52" i="35"/>
  <c r="Z52" i="35"/>
  <c r="X52" i="35"/>
  <c r="AD8" i="35"/>
  <c r="AD37" i="35"/>
  <c r="AD46" i="35"/>
  <c r="AD49" i="35"/>
  <c r="E42" i="35"/>
  <c r="H41" i="33"/>
  <c r="G41" i="33" s="1"/>
  <c r="C41" i="33" s="1"/>
  <c r="F136" i="30"/>
  <c r="I54" i="30"/>
  <c r="C96" i="30"/>
  <c r="E135" i="30"/>
  <c r="E70" i="30"/>
  <c r="C83" i="30"/>
  <c r="F109" i="30"/>
  <c r="I71" i="30"/>
  <c r="I69" i="30"/>
  <c r="H71" i="30"/>
  <c r="I55" i="30"/>
  <c r="E58" i="30"/>
  <c r="G80" i="30"/>
  <c r="G81" i="30"/>
  <c r="F45" i="30"/>
  <c r="H45" i="30"/>
  <c r="C123" i="30"/>
  <c r="G123" i="30"/>
  <c r="F123" i="30"/>
  <c r="G133" i="30"/>
  <c r="G45" i="30"/>
  <c r="C44" i="30"/>
  <c r="G94" i="30"/>
  <c r="H17" i="30"/>
  <c r="G134" i="30"/>
  <c r="D58" i="30"/>
  <c r="J17" i="30"/>
  <c r="I42" i="30"/>
  <c r="I43" i="30"/>
  <c r="G16" i="30"/>
  <c r="D44" i="30"/>
  <c r="I57" i="30"/>
  <c r="D96" i="30"/>
  <c r="G96" i="30"/>
  <c r="C122" i="30"/>
  <c r="G122" i="30"/>
  <c r="F57" i="30"/>
  <c r="I41" i="30"/>
  <c r="F44" i="30"/>
  <c r="D45" i="30"/>
  <c r="E110" i="30"/>
  <c r="G110" i="30"/>
  <c r="I67" i="30"/>
  <c r="D83" i="30"/>
  <c r="F58" i="30"/>
  <c r="F110" i="30"/>
  <c r="G44" i="30"/>
  <c r="H44" i="30"/>
  <c r="D135" i="30"/>
  <c r="G135" i="30"/>
  <c r="D97" i="30"/>
  <c r="G97" i="30"/>
  <c r="I17" i="30"/>
  <c r="D136" i="30"/>
  <c r="G136" i="30"/>
  <c r="F70" i="30"/>
  <c r="D84" i="30"/>
  <c r="G84" i="30"/>
  <c r="E109" i="30"/>
  <c r="G109" i="30"/>
  <c r="H70" i="30"/>
  <c r="I68" i="30"/>
  <c r="B9" i="34"/>
  <c r="B13" i="34"/>
  <c r="G83" i="30"/>
  <c r="I45" i="30"/>
  <c r="I44" i="30"/>
  <c r="I70" i="30"/>
  <c r="I58" i="30"/>
  <c r="Z203" i="54"/>
  <c r="Y203" i="54"/>
  <c r="G60" i="33"/>
  <c r="I60" i="33" s="1"/>
  <c r="AB53" i="35"/>
  <c r="AD53" i="35"/>
  <c r="F61" i="33"/>
  <c r="B14" i="34"/>
  <c r="V7" i="35"/>
  <c r="V15" i="35"/>
  <c r="V23" i="35"/>
  <c r="V31" i="35"/>
  <c r="V39" i="35"/>
  <c r="V47" i="35"/>
  <c r="V50" i="35"/>
  <c r="V52" i="35"/>
  <c r="V10" i="35"/>
  <c r="V18" i="35"/>
  <c r="V26" i="35"/>
  <c r="V34" i="35"/>
  <c r="V5" i="35"/>
  <c r="V13" i="35"/>
  <c r="V21" i="35"/>
  <c r="V29" i="35"/>
  <c r="V37" i="35"/>
  <c r="V45" i="35"/>
  <c r="V8" i="35"/>
  <c r="V16" i="35"/>
  <c r="V24" i="35"/>
  <c r="V32" i="35"/>
  <c r="V40" i="35"/>
  <c r="V51" i="35"/>
  <c r="V11" i="35"/>
  <c r="V19" i="35"/>
  <c r="V27" i="35"/>
  <c r="V35" i="35"/>
  <c r="V43" i="35"/>
  <c r="V6" i="35"/>
  <c r="V14" i="35"/>
  <c r="V22" i="35"/>
  <c r="V30" i="35"/>
  <c r="V38" i="35"/>
  <c r="V46" i="35"/>
  <c r="V49" i="35"/>
  <c r="V9" i="35"/>
  <c r="V17" i="35"/>
  <c r="V25" i="35"/>
  <c r="V33" i="35"/>
  <c r="V12" i="35"/>
  <c r="V20" i="35"/>
  <c r="V28" i="35"/>
  <c r="V36" i="35"/>
  <c r="V44" i="35"/>
  <c r="J6" i="35"/>
  <c r="J14" i="35"/>
  <c r="J22" i="35"/>
  <c r="J30" i="35"/>
  <c r="J38" i="35"/>
  <c r="J46" i="35"/>
  <c r="J49" i="35"/>
  <c r="J9" i="35"/>
  <c r="J17" i="35"/>
  <c r="J25" i="35"/>
  <c r="J33" i="35"/>
  <c r="J52" i="35"/>
  <c r="J12" i="35"/>
  <c r="J20" i="35"/>
  <c r="J28" i="35"/>
  <c r="J36" i="35"/>
  <c r="J44" i="35"/>
  <c r="J5" i="35"/>
  <c r="J7" i="35"/>
  <c r="J15" i="35"/>
  <c r="J23" i="35"/>
  <c r="J31" i="35"/>
  <c r="J39" i="35"/>
  <c r="J47" i="35"/>
  <c r="J50" i="35"/>
  <c r="J10" i="35"/>
  <c r="J18" i="35"/>
  <c r="J26" i="35"/>
  <c r="J34" i="35"/>
  <c r="J13" i="35"/>
  <c r="J21" i="35"/>
  <c r="J29" i="35"/>
  <c r="J37" i="35"/>
  <c r="J45" i="35"/>
  <c r="J8" i="35"/>
  <c r="J16" i="35"/>
  <c r="J24" i="35"/>
  <c r="J32" i="35"/>
  <c r="J40" i="35"/>
  <c r="J51" i="35"/>
  <c r="J11" i="35"/>
  <c r="J19" i="35"/>
  <c r="J27" i="35"/>
  <c r="J35" i="35"/>
  <c r="J43" i="35"/>
  <c r="R13" i="35"/>
  <c r="R21" i="35"/>
  <c r="R29" i="35"/>
  <c r="R37" i="35"/>
  <c r="R45" i="35"/>
  <c r="R42" i="35"/>
  <c r="R8" i="35"/>
  <c r="R16" i="35"/>
  <c r="R24" i="35"/>
  <c r="R32" i="35"/>
  <c r="R40" i="35"/>
  <c r="R51" i="35"/>
  <c r="R11" i="35"/>
  <c r="R19" i="35"/>
  <c r="R27" i="35"/>
  <c r="R35" i="35"/>
  <c r="R43" i="35"/>
  <c r="R6" i="35"/>
  <c r="R14" i="35"/>
  <c r="R22" i="35"/>
  <c r="R30" i="35"/>
  <c r="R38" i="35"/>
  <c r="R46" i="35"/>
  <c r="R49" i="35"/>
  <c r="R5" i="35"/>
  <c r="R9" i="35"/>
  <c r="R17" i="35"/>
  <c r="R25" i="35"/>
  <c r="R33" i="35"/>
  <c r="R12" i="35"/>
  <c r="R20" i="35"/>
  <c r="R28" i="35"/>
  <c r="R36" i="35"/>
  <c r="R44" i="35"/>
  <c r="R7" i="35"/>
  <c r="R15" i="35"/>
  <c r="R23" i="35"/>
  <c r="R31" i="35"/>
  <c r="R39" i="35"/>
  <c r="R47" i="35"/>
  <c r="R50" i="35"/>
  <c r="R10" i="35"/>
  <c r="R18" i="35"/>
  <c r="R26" i="35"/>
  <c r="R34" i="35"/>
  <c r="R52" i="35"/>
  <c r="AD42" i="35"/>
  <c r="AD41" i="35"/>
  <c r="I42" i="35"/>
  <c r="V41" i="35"/>
  <c r="V53" i="35"/>
  <c r="Z53" i="35"/>
  <c r="J53" i="35"/>
  <c r="R53" i="35"/>
  <c r="X53" i="35"/>
  <c r="E53" i="35"/>
  <c r="F53" i="35"/>
  <c r="J42" i="35"/>
  <c r="R41" i="35"/>
  <c r="V42" i="35"/>
  <c r="Z42" i="35"/>
  <c r="Z41" i="35"/>
  <c r="J41" i="35"/>
  <c r="I61" i="33"/>
  <c r="F5" i="35"/>
  <c r="F6" i="35"/>
  <c r="F8" i="35"/>
  <c r="F9" i="35"/>
  <c r="F10" i="35"/>
  <c r="F11" i="35"/>
  <c r="F13" i="35"/>
  <c r="F14" i="35"/>
  <c r="F16" i="35"/>
  <c r="F17" i="35"/>
  <c r="F18" i="35"/>
  <c r="F19" i="35"/>
  <c r="F21" i="35"/>
  <c r="F22" i="35"/>
  <c r="F24" i="35"/>
  <c r="F25" i="35"/>
  <c r="F26" i="35"/>
  <c r="F27" i="35"/>
  <c r="F29" i="35"/>
  <c r="F30" i="35"/>
  <c r="F32" i="35"/>
  <c r="F33" i="35"/>
  <c r="F34" i="35"/>
  <c r="F35" i="35"/>
  <c r="F37" i="35"/>
  <c r="F38" i="35"/>
  <c r="F40" i="35"/>
  <c r="F41" i="35"/>
  <c r="F43" i="35"/>
  <c r="F44" i="35"/>
  <c r="F46" i="35"/>
  <c r="F47" i="35"/>
  <c r="F50" i="35"/>
  <c r="F51" i="35"/>
  <c r="F42" i="35"/>
  <c r="F52" i="35"/>
  <c r="F60" i="33"/>
  <c r="E61" i="33"/>
  <c r="F49" i="35"/>
  <c r="F39" i="35"/>
  <c r="F31" i="35"/>
  <c r="F23" i="35"/>
  <c r="F15" i="35"/>
  <c r="F7" i="35"/>
  <c r="F45" i="35"/>
  <c r="F36" i="35"/>
  <c r="F28" i="35"/>
  <c r="F20" i="35"/>
  <c r="F12" i="35"/>
  <c r="E60" i="33"/>
  <c r="E32" i="33" s="1"/>
  <c r="H61" i="33"/>
  <c r="G61" i="33"/>
  <c r="D61" i="33"/>
  <c r="O53" i="21"/>
  <c r="F53" i="21"/>
  <c r="G53" i="21"/>
  <c r="P50" i="21"/>
  <c r="Q50" i="21"/>
  <c r="N9" i="35"/>
  <c r="AA9" i="35"/>
  <c r="J8" i="33"/>
  <c r="M8" i="33" s="1"/>
  <c r="N25" i="35"/>
  <c r="AA25" i="35"/>
  <c r="J24" i="33"/>
  <c r="K24" i="33" s="1"/>
  <c r="N50" i="35"/>
  <c r="AA50" i="35"/>
  <c r="J51" i="33"/>
  <c r="K51" i="33" s="1"/>
  <c r="N16" i="35"/>
  <c r="AA16" i="35"/>
  <c r="J15" i="33"/>
  <c r="K15" i="33" s="1"/>
  <c r="N32" i="35"/>
  <c r="AA32" i="35"/>
  <c r="J31" i="33"/>
  <c r="K31" i="33" s="1"/>
  <c r="N49" i="35"/>
  <c r="AA49" i="35"/>
  <c r="J50" i="33"/>
  <c r="K50" i="33" s="1"/>
  <c r="N41" i="35"/>
  <c r="AA41" i="35"/>
  <c r="J40" i="33"/>
  <c r="K40" i="33" s="1"/>
  <c r="N7" i="35"/>
  <c r="AA7" i="35"/>
  <c r="J6" i="33"/>
  <c r="K6" i="33" s="1"/>
  <c r="N11" i="35"/>
  <c r="AA11" i="35"/>
  <c r="J10" i="33"/>
  <c r="M10" i="33" s="1"/>
  <c r="N27" i="35"/>
  <c r="AA27" i="35"/>
  <c r="J26" i="33"/>
  <c r="M26" i="33" s="1"/>
  <c r="N44" i="35"/>
  <c r="AA44" i="35"/>
  <c r="J45" i="33"/>
  <c r="K45" i="33" s="1"/>
  <c r="N18" i="35"/>
  <c r="AA18" i="35"/>
  <c r="J17" i="33"/>
  <c r="K17" i="33" s="1"/>
  <c r="N34" i="35"/>
  <c r="AA34" i="35"/>
  <c r="J33" i="33"/>
  <c r="K33" i="33" s="1"/>
  <c r="N53" i="35"/>
  <c r="AA53" i="35"/>
  <c r="N21" i="35"/>
  <c r="AA21" i="35"/>
  <c r="J20" i="33"/>
  <c r="M20" i="33" s="1"/>
  <c r="N39" i="35"/>
  <c r="AA39" i="35"/>
  <c r="J38" i="33"/>
  <c r="K38" i="33" s="1"/>
  <c r="N13" i="35"/>
  <c r="AA13" i="35"/>
  <c r="J12" i="33"/>
  <c r="J73" i="33" s="1"/>
  <c r="K73" i="33" s="1"/>
  <c r="N29" i="35"/>
  <c r="AA29" i="35"/>
  <c r="J28" i="33"/>
  <c r="M28" i="33" s="1"/>
  <c r="N46" i="35"/>
  <c r="AA46" i="35"/>
  <c r="J47" i="33"/>
  <c r="K47" i="33" s="1"/>
  <c r="N20" i="35"/>
  <c r="AA20" i="35"/>
  <c r="J19" i="33"/>
  <c r="K19" i="33" s="1"/>
  <c r="N36" i="35"/>
  <c r="AA36" i="35"/>
  <c r="J35" i="33"/>
  <c r="M35" i="33" s="1"/>
  <c r="N28" i="35"/>
  <c r="AA28" i="35"/>
  <c r="J27" i="33"/>
  <c r="K27" i="33" s="1"/>
  <c r="N51" i="35"/>
  <c r="AA51" i="35"/>
  <c r="J52" i="33"/>
  <c r="M52" i="33" s="1"/>
  <c r="N43" i="35"/>
  <c r="AA43" i="35"/>
  <c r="J44" i="33"/>
  <c r="M44" i="33" s="1"/>
  <c r="N15" i="35"/>
  <c r="AA15" i="35"/>
  <c r="J14" i="33"/>
  <c r="K14" i="33" s="1"/>
  <c r="N31" i="35"/>
  <c r="AA31" i="35"/>
  <c r="J30" i="33"/>
  <c r="M30" i="33" s="1"/>
  <c r="N6" i="35"/>
  <c r="AA6" i="35"/>
  <c r="J5" i="33"/>
  <c r="M5" i="33" s="1"/>
  <c r="N22" i="35"/>
  <c r="AA22" i="35"/>
  <c r="J21" i="33"/>
  <c r="M21" i="33" s="1"/>
  <c r="N38" i="35"/>
  <c r="AA38" i="35"/>
  <c r="J37" i="33"/>
  <c r="M37" i="33" s="1"/>
  <c r="N45" i="35"/>
  <c r="AA45" i="35"/>
  <c r="J46" i="33"/>
  <c r="K46" i="33" s="1"/>
  <c r="N17" i="35"/>
  <c r="AA17" i="35"/>
  <c r="J16" i="33"/>
  <c r="K16" i="33" s="1"/>
  <c r="N33" i="35"/>
  <c r="AA33" i="35"/>
  <c r="J32" i="33"/>
  <c r="M32" i="33" s="1"/>
  <c r="N8" i="35"/>
  <c r="AA8" i="35"/>
  <c r="J7" i="33"/>
  <c r="M7" i="33" s="1"/>
  <c r="N24" i="35"/>
  <c r="AA24" i="35"/>
  <c r="J23" i="33"/>
  <c r="M23" i="33" s="1"/>
  <c r="N40" i="35"/>
  <c r="AA40" i="35"/>
  <c r="J39" i="33"/>
  <c r="K39" i="33" s="1"/>
  <c r="N12" i="35"/>
  <c r="AA12" i="35"/>
  <c r="J11" i="33"/>
  <c r="M11" i="33" s="1"/>
  <c r="N30" i="35"/>
  <c r="AA30" i="35"/>
  <c r="J29" i="33"/>
  <c r="K29" i="33" s="1"/>
  <c r="N47" i="35"/>
  <c r="AA47" i="35"/>
  <c r="J48" i="33"/>
  <c r="K48" i="33" s="1"/>
  <c r="N19" i="35"/>
  <c r="AA19" i="35"/>
  <c r="J18" i="33"/>
  <c r="K18" i="33" s="1"/>
  <c r="F18" i="33" s="1"/>
  <c r="N35" i="35"/>
  <c r="AA35" i="35"/>
  <c r="J34" i="33"/>
  <c r="M34" i="33" s="1"/>
  <c r="N10" i="35"/>
  <c r="AA10" i="35"/>
  <c r="J9" i="33"/>
  <c r="K9" i="33" s="1"/>
  <c r="N26" i="35"/>
  <c r="AA26" i="35"/>
  <c r="J25" i="33"/>
  <c r="K25" i="33" s="1"/>
  <c r="N52" i="35"/>
  <c r="AA52" i="35"/>
  <c r="N42" i="35"/>
  <c r="AA42" i="35"/>
  <c r="N37" i="35"/>
  <c r="AA37" i="35"/>
  <c r="J36" i="33"/>
  <c r="M36" i="33" s="1"/>
  <c r="N14" i="35"/>
  <c r="AA14" i="35"/>
  <c r="J13" i="33"/>
  <c r="M13" i="33" s="1"/>
  <c r="N5" i="35"/>
  <c r="AA5" i="35"/>
  <c r="J4" i="33"/>
  <c r="M4" i="33" s="1"/>
  <c r="N23" i="35"/>
  <c r="AA23" i="35"/>
  <c r="J22" i="33"/>
  <c r="K22" i="33" s="1"/>
  <c r="Q51" i="21"/>
  <c r="G51" i="21"/>
  <c r="W432" i="54"/>
  <c r="X432" i="54" s="1"/>
  <c r="C7" i="62"/>
  <c r="L390" i="54" s="1"/>
  <c r="W389" i="54"/>
  <c r="D8" i="62"/>
  <c r="T2928" i="11"/>
  <c r="V11" i="21"/>
  <c r="W11" i="21" s="1"/>
  <c r="T3064" i="11"/>
  <c r="C53" i="36"/>
  <c r="E48" i="36"/>
  <c r="M338" i="54"/>
  <c r="L338" i="54"/>
  <c r="M341" i="54"/>
  <c r="E49" i="36"/>
  <c r="K51" i="21"/>
  <c r="L51" i="21"/>
  <c r="J53" i="21"/>
  <c r="L341" i="54"/>
  <c r="M300" i="54"/>
  <c r="O300" i="54" s="1"/>
  <c r="L313" i="54"/>
  <c r="E24" i="36"/>
  <c r="M305" i="54"/>
  <c r="M317" i="54"/>
  <c r="E12" i="36"/>
  <c r="L320" i="54"/>
  <c r="N320" i="54" s="1"/>
  <c r="L5" i="21"/>
  <c r="K42" i="21"/>
  <c r="L42" i="21"/>
  <c r="L46" i="21"/>
  <c r="K53" i="21"/>
  <c r="L53" i="21"/>
  <c r="J42" i="21"/>
  <c r="P53" i="21"/>
  <c r="Q53" i="21"/>
  <c r="T2968" i="11"/>
  <c r="T2992" i="11"/>
  <c r="T3240" i="11"/>
  <c r="T155" i="11"/>
  <c r="T415" i="11"/>
  <c r="T1752" i="11"/>
  <c r="T1823" i="11"/>
  <c r="T1943" i="11"/>
  <c r="T2944" i="11"/>
  <c r="T648" i="11"/>
  <c r="T1839" i="11"/>
  <c r="T432" i="11"/>
  <c r="T2568" i="11"/>
  <c r="T831" i="11"/>
  <c r="T3040" i="11"/>
  <c r="T664" i="11"/>
  <c r="T1855" i="11"/>
  <c r="T863" i="11"/>
  <c r="T3056" i="11"/>
  <c r="T712" i="11"/>
  <c r="T1863" i="11"/>
  <c r="T920" i="11"/>
  <c r="T3024" i="11"/>
  <c r="T1711" i="11"/>
  <c r="T2808" i="11"/>
  <c r="T1735" i="11"/>
  <c r="T2864" i="11"/>
  <c r="T1584" i="11"/>
  <c r="T2111" i="11"/>
  <c r="T1751" i="11"/>
  <c r="T2896" i="11"/>
  <c r="T1600" i="11"/>
  <c r="T1775" i="11"/>
  <c r="T1935" i="11"/>
  <c r="T312" i="11"/>
  <c r="T1375" i="11"/>
  <c r="T2840" i="11"/>
  <c r="T1472" i="11"/>
  <c r="T2560" i="11"/>
  <c r="T1816" i="11"/>
  <c r="T3048" i="11"/>
  <c r="T2848" i="11"/>
  <c r="T760" i="11"/>
  <c r="T2224" i="11"/>
  <c r="T1143" i="11"/>
  <c r="T1832" i="11"/>
  <c r="T1495" i="11"/>
  <c r="T2856" i="11"/>
  <c r="T2232" i="11"/>
  <c r="T1151" i="11"/>
  <c r="T2480" i="11"/>
  <c r="T2832" i="11"/>
  <c r="T1072" i="11"/>
  <c r="T2880" i="11"/>
  <c r="T2144" i="11"/>
  <c r="T2976" i="11"/>
  <c r="T1159" i="11"/>
  <c r="T2191" i="11"/>
  <c r="T2904" i="11"/>
  <c r="T1536" i="11"/>
  <c r="T1791" i="11"/>
  <c r="T2168" i="11"/>
  <c r="T727" i="11"/>
  <c r="T2143" i="11"/>
  <c r="T2912" i="11"/>
  <c r="T2176" i="11"/>
  <c r="T216" i="11"/>
  <c r="T2624" i="11"/>
  <c r="T511" i="11"/>
  <c r="T270" i="11"/>
  <c r="T2960" i="11"/>
  <c r="T1456" i="11"/>
  <c r="T2200" i="11"/>
  <c r="T527" i="11"/>
  <c r="T1343" i="11"/>
  <c r="T2384" i="11"/>
  <c r="T3008" i="11"/>
  <c r="T206" i="11"/>
  <c r="T2752" i="11"/>
  <c r="T1552" i="11"/>
  <c r="T2208" i="11"/>
  <c r="T3032" i="11"/>
  <c r="T3480" i="11"/>
  <c r="T103" i="11"/>
  <c r="T784" i="11"/>
  <c r="T1247" i="11"/>
  <c r="T864" i="11"/>
  <c r="T1927" i="11"/>
  <c r="T2776" i="11"/>
  <c r="T17" i="11"/>
  <c r="T3152" i="11"/>
  <c r="T3208" i="11"/>
  <c r="T392" i="11"/>
  <c r="T111" i="11"/>
  <c r="T800" i="11"/>
  <c r="T2352" i="11"/>
  <c r="T447" i="11"/>
  <c r="T2768" i="11"/>
  <c r="T3200" i="11"/>
  <c r="T3080" i="11"/>
  <c r="T3280" i="11"/>
  <c r="T3830" i="11"/>
  <c r="T2592" i="11"/>
  <c r="T567" i="11"/>
  <c r="T1271" i="11"/>
  <c r="T2032" i="11"/>
  <c r="T2784" i="11"/>
  <c r="T3072" i="11"/>
  <c r="T3216" i="11"/>
  <c r="T431" i="11"/>
  <c r="T871" i="11"/>
  <c r="T3112" i="11"/>
  <c r="T1559" i="11"/>
  <c r="T71" i="11"/>
  <c r="T471" i="11"/>
  <c r="T903" i="11"/>
  <c r="T1695" i="11"/>
  <c r="T2615" i="11"/>
  <c r="T591" i="11"/>
  <c r="T887" i="11"/>
  <c r="T1279" i="11"/>
  <c r="T1696" i="11"/>
  <c r="T2080" i="11"/>
  <c r="T2984" i="11"/>
  <c r="T544" i="11"/>
  <c r="T2792" i="11"/>
  <c r="T3096" i="11"/>
  <c r="T1015" i="11"/>
  <c r="T3128" i="11"/>
  <c r="T1063" i="11"/>
  <c r="T2952" i="11"/>
  <c r="T1912" i="11"/>
  <c r="T1287" i="11"/>
  <c r="T623" i="11"/>
  <c r="T1887" i="11"/>
  <c r="T2096" i="11"/>
  <c r="T560" i="11"/>
  <c r="T3104" i="11"/>
  <c r="T3232" i="11"/>
  <c r="T1055" i="11"/>
  <c r="T3144" i="11"/>
  <c r="T3304" i="11"/>
  <c r="T3000" i="11"/>
  <c r="T1703" i="11"/>
  <c r="T1920" i="11"/>
  <c r="T1295" i="11"/>
  <c r="T191" i="11"/>
  <c r="T647" i="11"/>
  <c r="T1895" i="11"/>
  <c r="T2696" i="11"/>
  <c r="T3120" i="11"/>
  <c r="T3312" i="11"/>
  <c r="T2872" i="11"/>
  <c r="T3016" i="11"/>
  <c r="T688" i="11"/>
  <c r="T935" i="11"/>
  <c r="T1191" i="11"/>
  <c r="T1903" i="11"/>
  <c r="T304" i="11"/>
  <c r="T3136" i="11"/>
  <c r="T3176" i="11"/>
  <c r="T2936" i="11"/>
  <c r="T303" i="11"/>
  <c r="T1215" i="11"/>
  <c r="T1968" i="11"/>
  <c r="T1568" i="11"/>
  <c r="T407" i="11"/>
  <c r="T824" i="11"/>
  <c r="T1911" i="11"/>
  <c r="T9" i="11"/>
  <c r="T2744" i="11"/>
  <c r="T2816" i="11"/>
  <c r="T3752" i="11"/>
  <c r="T318" i="11"/>
  <c r="T167" i="11"/>
  <c r="T743" i="11"/>
  <c r="T1423" i="11"/>
  <c r="T1671" i="11"/>
  <c r="T279" i="11"/>
  <c r="T375" i="11"/>
  <c r="T1951" i="11"/>
  <c r="T968" i="11"/>
  <c r="T1376" i="11"/>
  <c r="T368" i="11"/>
  <c r="T951" i="11"/>
  <c r="T1128" i="11"/>
  <c r="T703" i="11"/>
  <c r="T1847" i="11"/>
  <c r="T719" i="11"/>
  <c r="T896" i="11"/>
  <c r="T1888" i="11"/>
  <c r="T2112" i="11"/>
  <c r="T359" i="11"/>
  <c r="T879" i="11"/>
  <c r="T1103" i="11"/>
  <c r="T3248" i="11"/>
  <c r="T2167" i="11"/>
  <c r="T3512" i="11"/>
  <c r="T2736" i="11"/>
  <c r="T1176" i="11"/>
  <c r="T2664" i="11"/>
  <c r="T1039" i="11"/>
  <c r="T3720" i="11"/>
  <c r="T983" i="11"/>
  <c r="T2136" i="11"/>
  <c r="T999" i="11"/>
  <c r="T2175" i="11"/>
  <c r="T1623" i="11"/>
  <c r="T1208" i="11"/>
  <c r="T1783" i="11"/>
  <c r="T2135" i="11"/>
  <c r="T3400" i="11"/>
  <c r="T2800" i="11"/>
  <c r="T1936" i="11"/>
  <c r="T2824" i="11"/>
  <c r="T1350" i="11"/>
  <c r="T3368" i="11"/>
  <c r="T984" i="11"/>
  <c r="T399" i="11"/>
  <c r="T744" i="11"/>
  <c r="T1319" i="11"/>
  <c r="T87" i="11"/>
  <c r="T247" i="11"/>
  <c r="T559" i="11"/>
  <c r="T767" i="11"/>
  <c r="T1727" i="11"/>
  <c r="T296" i="11"/>
  <c r="T256" i="11"/>
  <c r="T1000" i="11"/>
  <c r="T1712" i="11"/>
  <c r="T1784" i="11"/>
  <c r="T1919" i="11"/>
  <c r="T2288" i="11"/>
  <c r="T808" i="11"/>
  <c r="T680" i="11"/>
  <c r="T1808" i="11"/>
  <c r="T1767" i="11"/>
  <c r="T2079" i="11"/>
  <c r="T1446" i="11"/>
  <c r="T3416" i="11"/>
  <c r="T479" i="11"/>
  <c r="T1647" i="11"/>
  <c r="T3432" i="11"/>
  <c r="T1991" i="11"/>
  <c r="T2008" i="11"/>
  <c r="T3456" i="11"/>
  <c r="T3680" i="11"/>
  <c r="T3726" i="11"/>
  <c r="T24" i="11"/>
  <c r="T456" i="11"/>
  <c r="T575" i="11"/>
  <c r="T1016" i="11"/>
  <c r="T176" i="11"/>
  <c r="T927" i="11"/>
  <c r="T1232" i="11"/>
  <c r="T63" i="11"/>
  <c r="T1831" i="11"/>
  <c r="T1048" i="11"/>
  <c r="T1280" i="11"/>
  <c r="T672" i="11"/>
  <c r="T1599" i="11"/>
  <c r="T1558" i="11"/>
  <c r="T775" i="11"/>
  <c r="T1551" i="11"/>
  <c r="T3488" i="11"/>
  <c r="T2432" i="11"/>
  <c r="T2544" i="11"/>
  <c r="T1799" i="11"/>
  <c r="T3696" i="11"/>
  <c r="T2920" i="11"/>
  <c r="T3168" i="11"/>
  <c r="T3798" i="11"/>
  <c r="T3184" i="11"/>
  <c r="T3592" i="11"/>
  <c r="T2552" i="11"/>
  <c r="T3088" i="11"/>
  <c r="T422" i="11"/>
  <c r="T1520" i="11"/>
  <c r="T160" i="11"/>
  <c r="T360" i="11"/>
  <c r="T583" i="11"/>
  <c r="T1032" i="11"/>
  <c r="T47" i="11"/>
  <c r="T2056" i="11"/>
  <c r="T1087" i="11"/>
  <c r="T1312" i="11"/>
  <c r="T1743" i="11"/>
  <c r="T1479" i="11"/>
  <c r="T1615" i="11"/>
  <c r="T1967" i="11"/>
  <c r="T2312" i="11"/>
  <c r="T1574" i="11"/>
  <c r="T439" i="11"/>
  <c r="T1871" i="11"/>
  <c r="T3496" i="11"/>
  <c r="T2151" i="11"/>
  <c r="T2440" i="11"/>
  <c r="T2600" i="11"/>
  <c r="T1856" i="11"/>
  <c r="T2616" i="11"/>
  <c r="T2728" i="11"/>
  <c r="T3448" i="11"/>
  <c r="T1160" i="11"/>
  <c r="T1815" i="11"/>
  <c r="T1807" i="11"/>
  <c r="T3712" i="11"/>
  <c r="T702" i="11"/>
  <c r="T976" i="11"/>
  <c r="T391" i="11"/>
  <c r="T168" i="11"/>
  <c r="T807" i="11"/>
  <c r="T975" i="11"/>
  <c r="T367" i="11"/>
  <c r="T919" i="11"/>
  <c r="T1439" i="11"/>
  <c r="T2128" i="11"/>
  <c r="T1664" i="11"/>
  <c r="T1759" i="11"/>
  <c r="T2047" i="11"/>
  <c r="T2368" i="11"/>
  <c r="T1992" i="11"/>
  <c r="T655" i="11"/>
  <c r="T2119" i="11"/>
  <c r="T3392" i="11"/>
  <c r="T880" i="11"/>
  <c r="T2448" i="11"/>
  <c r="T3544" i="11"/>
  <c r="T1200" i="11"/>
  <c r="T1928" i="11"/>
  <c r="T3360" i="11"/>
  <c r="T3736" i="11"/>
  <c r="T3568" i="11"/>
  <c r="T232" i="11"/>
  <c r="T535" i="11"/>
  <c r="T751" i="11"/>
  <c r="T991" i="11"/>
  <c r="T1327" i="11"/>
  <c r="T543" i="11"/>
  <c r="T455" i="11"/>
  <c r="T856" i="11"/>
  <c r="T992" i="11"/>
  <c r="T286" i="11"/>
  <c r="T752" i="11"/>
  <c r="T1959" i="11"/>
  <c r="T1800" i="11"/>
  <c r="T1879" i="11"/>
  <c r="T2055" i="11"/>
  <c r="T791" i="11"/>
  <c r="T735" i="11"/>
  <c r="T2248" i="11"/>
  <c r="T1342" i="11"/>
  <c r="T2456" i="11"/>
  <c r="T2632" i="11"/>
  <c r="T1631" i="11"/>
  <c r="T3424" i="11"/>
  <c r="T1983" i="11"/>
  <c r="T3336" i="11"/>
  <c r="T1944" i="11"/>
  <c r="T2888" i="11"/>
  <c r="T3608" i="11"/>
  <c r="T576" i="11"/>
  <c r="T343" i="11"/>
  <c r="T600" i="11"/>
  <c r="T728" i="11"/>
  <c r="T902" i="11"/>
  <c r="T1008" i="11"/>
  <c r="T1231" i="11"/>
  <c r="T1728" i="11"/>
  <c r="T847" i="11"/>
  <c r="T55" i="11"/>
  <c r="T816" i="11"/>
  <c r="T1792" i="11"/>
  <c r="T1040" i="11"/>
  <c r="T1719" i="11"/>
  <c r="T1007" i="11"/>
  <c r="T2279" i="11"/>
  <c r="T759" i="11"/>
  <c r="T1023" i="11"/>
  <c r="T1543" i="11"/>
  <c r="T2760" i="11"/>
  <c r="T2400" i="11"/>
  <c r="T1999" i="11"/>
  <c r="T2024" i="11"/>
  <c r="T1952" i="11"/>
  <c r="T2576" i="11"/>
  <c r="T3862" i="11"/>
  <c r="T11" i="11"/>
  <c r="T75" i="11"/>
  <c r="T151" i="11"/>
  <c r="T310" i="11"/>
  <c r="T112" i="11"/>
  <c r="T152" i="11"/>
  <c r="T351" i="11"/>
  <c r="T464" i="11"/>
  <c r="T78" i="11"/>
  <c r="T159" i="11"/>
  <c r="T319" i="11"/>
  <c r="T40" i="11"/>
  <c r="T383" i="11"/>
  <c r="T736" i="11"/>
  <c r="T815" i="11"/>
  <c r="T1192" i="11"/>
  <c r="T1175" i="11"/>
  <c r="T632" i="11"/>
  <c r="T960" i="11"/>
  <c r="T1127" i="11"/>
  <c r="T1183" i="11"/>
  <c r="T1056" i="11"/>
  <c r="T1391" i="11"/>
  <c r="T839" i="11"/>
  <c r="T1206" i="11"/>
  <c r="T1527" i="11"/>
  <c r="T1663" i="11"/>
  <c r="T1335" i="11"/>
  <c r="T832" i="11"/>
  <c r="T1455" i="11"/>
  <c r="T1607" i="11"/>
  <c r="T2000" i="11"/>
  <c r="T2240" i="11"/>
  <c r="T1567" i="11"/>
  <c r="T2031" i="11"/>
  <c r="T2272" i="11"/>
  <c r="T2408" i="11"/>
  <c r="T1840" i="11"/>
  <c r="T2256" i="11"/>
  <c r="T1975" i="11"/>
  <c r="T2464" i="11"/>
  <c r="T3102" i="11"/>
  <c r="T3344" i="11"/>
  <c r="T91" i="11"/>
  <c r="T135" i="11"/>
  <c r="T262" i="11"/>
  <c r="T288" i="11"/>
  <c r="T94" i="11"/>
  <c r="T208" i="11"/>
  <c r="T72" i="11"/>
  <c r="T199" i="11"/>
  <c r="T830" i="11"/>
  <c r="T671" i="11"/>
  <c r="T1095" i="11"/>
  <c r="T248" i="11"/>
  <c r="T1064" i="11"/>
  <c r="T423" i="11"/>
  <c r="T1111" i="11"/>
  <c r="T1248" i="11"/>
  <c r="T1424" i="11"/>
  <c r="T1680" i="11"/>
  <c r="T1199" i="11"/>
  <c r="T1392" i="11"/>
  <c r="T1535" i="11"/>
  <c r="T183" i="11"/>
  <c r="T2376" i="11"/>
  <c r="T2040" i="11"/>
  <c r="T1760" i="11"/>
  <c r="T1862" i="11"/>
  <c r="T2296" i="11"/>
  <c r="T1736" i="11"/>
  <c r="T2159" i="11"/>
  <c r="T2366" i="11"/>
  <c r="T2472" i="11"/>
  <c r="T2416" i="11"/>
  <c r="T2504" i="11"/>
  <c r="T3536" i="11"/>
  <c r="T3320" i="11"/>
  <c r="T3272" i="11"/>
  <c r="T2608" i="11"/>
  <c r="T3704" i="11"/>
  <c r="T3870" i="11"/>
  <c r="T3640" i="11"/>
  <c r="T3688" i="11"/>
  <c r="T102" i="11"/>
  <c r="T200" i="11"/>
  <c r="T32" i="11"/>
  <c r="T174" i="11"/>
  <c r="T203" i="11"/>
  <c r="T295" i="11"/>
  <c r="T398" i="11"/>
  <c r="T215" i="11"/>
  <c r="T88" i="11"/>
  <c r="T255" i="11"/>
  <c r="T95" i="11"/>
  <c r="T776" i="11"/>
  <c r="T959" i="11"/>
  <c r="T1150" i="11"/>
  <c r="T79" i="11"/>
  <c r="T911" i="11"/>
  <c r="T1119" i="11"/>
  <c r="T264" i="11"/>
  <c r="T904" i="11"/>
  <c r="T1440" i="11"/>
  <c r="T1575" i="11"/>
  <c r="T1224" i="11"/>
  <c r="T1359" i="11"/>
  <c r="T1648" i="11"/>
  <c r="T1136" i="11"/>
  <c r="T1744" i="11"/>
  <c r="T1960" i="11"/>
  <c r="T2088" i="11"/>
  <c r="T551" i="11"/>
  <c r="T1984" i="11"/>
  <c r="T2152" i="11"/>
  <c r="T2328" i="11"/>
  <c r="T1864" i="11"/>
  <c r="T2048" i="11"/>
  <c r="T2039" i="11"/>
  <c r="T2520" i="11"/>
  <c r="T3376" i="11"/>
  <c r="T3464" i="11"/>
  <c r="T3744" i="11"/>
  <c r="T3528" i="11"/>
  <c r="T3782" i="11"/>
  <c r="T223" i="11"/>
  <c r="T48" i="11"/>
  <c r="T278" i="11"/>
  <c r="T607" i="11"/>
  <c r="T327" i="11"/>
  <c r="T400" i="11"/>
  <c r="T231" i="11"/>
  <c r="T496" i="11"/>
  <c r="T639" i="11"/>
  <c r="T104" i="11"/>
  <c r="T608" i="11"/>
  <c r="T696" i="11"/>
  <c r="T687" i="11"/>
  <c r="T1144" i="11"/>
  <c r="T872" i="11"/>
  <c r="T1071" i="11"/>
  <c r="T1134" i="11"/>
  <c r="T519" i="11"/>
  <c r="T1079" i="11"/>
  <c r="T1168" i="11"/>
  <c r="T328" i="11"/>
  <c r="T1288" i="11"/>
  <c r="T1591" i="11"/>
  <c r="T944" i="11"/>
  <c r="T1047" i="11"/>
  <c r="T1263" i="11"/>
  <c r="T1408" i="11"/>
  <c r="T1583" i="11"/>
  <c r="T1135" i="11"/>
  <c r="T1239" i="11"/>
  <c r="T1383" i="11"/>
  <c r="T1519" i="11"/>
  <c r="T1688" i="11"/>
  <c r="T1872" i="11"/>
  <c r="T1880" i="11"/>
  <c r="T2023" i="11"/>
  <c r="T2336" i="11"/>
  <c r="T3014" i="11"/>
  <c r="T2536" i="11"/>
  <c r="T3472" i="11"/>
  <c r="T3328" i="11"/>
  <c r="T3520" i="11"/>
  <c r="T3855" i="11"/>
  <c r="T3774" i="11"/>
  <c r="T3632" i="11"/>
  <c r="T3878" i="11"/>
  <c r="T3790" i="11"/>
  <c r="T3854" i="11"/>
  <c r="T3542" i="11"/>
  <c r="T54" i="11"/>
  <c r="T239" i="11"/>
  <c r="T64" i="11"/>
  <c r="T184" i="11"/>
  <c r="T224" i="11"/>
  <c r="T615" i="11"/>
  <c r="T127" i="11"/>
  <c r="T487" i="11"/>
  <c r="T704" i="11"/>
  <c r="T912" i="11"/>
  <c r="T1152" i="11"/>
  <c r="T679" i="11"/>
  <c r="T768" i="11"/>
  <c r="T1096" i="11"/>
  <c r="T967" i="11"/>
  <c r="T1344" i="11"/>
  <c r="T1014" i="11"/>
  <c r="T1328" i="11"/>
  <c r="T1463" i="11"/>
  <c r="T1080" i="11"/>
  <c r="T1438" i="11"/>
  <c r="T1630" i="11"/>
  <c r="T1031" i="11"/>
  <c r="T1566" i="11"/>
  <c r="T1360" i="11"/>
  <c r="T2103" i="11"/>
  <c r="T2280" i="11"/>
  <c r="T2398" i="11"/>
  <c r="T2072" i="11"/>
  <c r="T2160" i="11"/>
  <c r="T2016" i="11"/>
  <c r="T1655" i="11"/>
  <c r="T2095" i="11"/>
  <c r="T1518" i="11"/>
  <c r="T2071" i="11"/>
  <c r="T2528" i="11"/>
  <c r="T2496" i="11"/>
  <c r="T3310" i="11"/>
  <c r="T3359" i="11"/>
  <c r="T3576" i="11"/>
  <c r="T3584" i="11"/>
  <c r="T3670" i="11"/>
  <c r="T3560" i="11"/>
  <c r="T128" i="11"/>
  <c r="T271" i="11"/>
  <c r="T80" i="11"/>
  <c r="T207" i="11"/>
  <c r="T240" i="11"/>
  <c r="T62" i="11"/>
  <c r="T120" i="11"/>
  <c r="T424" i="11"/>
  <c r="T143" i="11"/>
  <c r="T616" i="11"/>
  <c r="T711" i="11"/>
  <c r="T495" i="11"/>
  <c r="T599" i="11"/>
  <c r="T783" i="11"/>
  <c r="T936" i="11"/>
  <c r="T663" i="11"/>
  <c r="T1223" i="11"/>
  <c r="T1351" i="11"/>
  <c r="T1639" i="11"/>
  <c r="T1104" i="11"/>
  <c r="T1487" i="11"/>
  <c r="T1616" i="11"/>
  <c r="T1704" i="11"/>
  <c r="T895" i="11"/>
  <c r="T1102" i="11"/>
  <c r="T1768" i="11"/>
  <c r="T1824" i="11"/>
  <c r="T1904" i="11"/>
  <c r="T2064" i="11"/>
  <c r="T1776" i="11"/>
  <c r="T2183" i="11"/>
  <c r="T1240" i="11"/>
  <c r="T848" i="11"/>
  <c r="T1687" i="11"/>
  <c r="T2104" i="11"/>
  <c r="T2360" i="11"/>
  <c r="T1622" i="11"/>
  <c r="T1894" i="11"/>
  <c r="T2512" i="11"/>
  <c r="T2702" i="11"/>
  <c r="T3264" i="11"/>
  <c r="T3327" i="11"/>
  <c r="T3408" i="11"/>
  <c r="T3616" i="11"/>
  <c r="T3806" i="11"/>
  <c r="T3672" i="11"/>
  <c r="T3814" i="11"/>
  <c r="T3728" i="11"/>
  <c r="T70" i="11"/>
  <c r="T144" i="11"/>
  <c r="T287" i="11"/>
  <c r="T96" i="11"/>
  <c r="T311" i="11"/>
  <c r="T631" i="11"/>
  <c r="T263" i="11"/>
  <c r="T136" i="11"/>
  <c r="T8" i="11"/>
  <c r="T280" i="11"/>
  <c r="T734" i="11"/>
  <c r="T888" i="11"/>
  <c r="T463" i="11"/>
  <c r="T1167" i="11"/>
  <c r="T952" i="11"/>
  <c r="T1088" i="11"/>
  <c r="T695" i="11"/>
  <c r="T630" i="11"/>
  <c r="T840" i="11"/>
  <c r="T943" i="11"/>
  <c r="T1367" i="11"/>
  <c r="T1503" i="11"/>
  <c r="T1632" i="11"/>
  <c r="T1112" i="11"/>
  <c r="T1471" i="11"/>
  <c r="T792" i="11"/>
  <c r="T1303" i="11"/>
  <c r="T1431" i="11"/>
  <c r="T2304" i="11"/>
  <c r="T2216" i="11"/>
  <c r="T2087" i="11"/>
  <c r="T1896" i="11"/>
  <c r="T2424" i="11"/>
  <c r="T3504" i="11"/>
  <c r="T3296" i="11"/>
  <c r="T2584" i="11"/>
  <c r="T3352" i="11"/>
  <c r="T3407" i="11"/>
  <c r="T3624" i="11"/>
  <c r="T3552" i="11"/>
  <c r="T3656" i="11"/>
  <c r="T3664" i="11"/>
  <c r="T3838" i="11"/>
  <c r="T3600" i="11"/>
  <c r="T3758" i="11"/>
  <c r="T3822" i="11"/>
  <c r="T3886" i="11"/>
  <c r="T3648" i="11"/>
  <c r="T86" i="11"/>
  <c r="T190" i="11"/>
  <c r="T119" i="11"/>
  <c r="T336" i="11"/>
  <c r="T640" i="11"/>
  <c r="T175" i="11"/>
  <c r="T272" i="11"/>
  <c r="T584" i="11"/>
  <c r="T182" i="11"/>
  <c r="T335" i="11"/>
  <c r="T56" i="11"/>
  <c r="T192" i="11"/>
  <c r="T782" i="11"/>
  <c r="T928" i="11"/>
  <c r="T799" i="11"/>
  <c r="T1024" i="11"/>
  <c r="T1255" i="11"/>
  <c r="T1407" i="11"/>
  <c r="T1216" i="11"/>
  <c r="T1184" i="11"/>
  <c r="T1504" i="11"/>
  <c r="T855" i="11"/>
  <c r="T1207" i="11"/>
  <c r="T1488" i="11"/>
  <c r="T1120" i="11"/>
  <c r="T1399" i="11"/>
  <c r="T2184" i="11"/>
  <c r="T2344" i="11"/>
  <c r="T2120" i="11"/>
  <c r="T2264" i="11"/>
  <c r="T2007" i="11"/>
  <c r="T2127" i="11"/>
  <c r="T1262" i="11"/>
  <c r="T2320" i="11"/>
  <c r="T3222" i="11"/>
  <c r="T2015" i="11"/>
  <c r="T2990" i="11"/>
  <c r="T3440" i="11"/>
  <c r="T3255" i="11"/>
  <c r="T3384" i="11"/>
  <c r="T3311" i="11"/>
  <c r="T3760" i="11"/>
  <c r="T3846" i="11"/>
  <c r="T3768" i="11"/>
  <c r="T3832" i="11"/>
  <c r="T590" i="11"/>
  <c r="T478" i="11"/>
  <c r="T374" i="11"/>
  <c r="T502" i="11"/>
  <c r="T568" i="11"/>
  <c r="T582" i="11"/>
  <c r="T926" i="11"/>
  <c r="T720" i="11"/>
  <c r="T1046" i="11"/>
  <c r="T1110" i="11"/>
  <c r="T1336" i="11"/>
  <c r="T1464" i="11"/>
  <c r="T1480" i="11"/>
  <c r="T1750" i="11"/>
  <c r="T1878" i="11"/>
  <c r="T1950" i="11"/>
  <c r="T39" i="11"/>
  <c r="T352" i="11"/>
  <c r="T480" i="11"/>
  <c r="T376" i="11"/>
  <c r="T504" i="11"/>
  <c r="T390" i="11"/>
  <c r="T918" i="11"/>
  <c r="T656" i="11"/>
  <c r="T790" i="11"/>
  <c r="T1304" i="11"/>
  <c r="T1246" i="11"/>
  <c r="T1296" i="11"/>
  <c r="T1512" i="11"/>
  <c r="T1142" i="11"/>
  <c r="T1766" i="11"/>
  <c r="T1734" i="11"/>
  <c r="T382" i="11"/>
  <c r="T510" i="11"/>
  <c r="T406" i="11"/>
  <c r="T520" i="11"/>
  <c r="T822" i="11"/>
  <c r="T910" i="11"/>
  <c r="T1118" i="11"/>
  <c r="T1368" i="11"/>
  <c r="T1496" i="11"/>
  <c r="T1624" i="11"/>
  <c r="T1256" i="11"/>
  <c r="T1544" i="11"/>
  <c r="T1782" i="11"/>
  <c r="T2070" i="11"/>
  <c r="T1678" i="11"/>
  <c r="T1158" i="11"/>
  <c r="T1742" i="11"/>
  <c r="T1854" i="11"/>
  <c r="T10" i="11"/>
  <c r="T42" i="11"/>
  <c r="T384" i="11"/>
  <c r="T512" i="11"/>
  <c r="T408" i="11"/>
  <c r="T1320" i="11"/>
  <c r="T1576" i="11"/>
  <c r="T1966" i="11"/>
  <c r="T1758" i="11"/>
  <c r="T414" i="11"/>
  <c r="T592" i="11"/>
  <c r="T536" i="11"/>
  <c r="T518" i="11"/>
  <c r="T488" i="11"/>
  <c r="T526" i="11"/>
  <c r="T1006" i="11"/>
  <c r="T1264" i="11"/>
  <c r="T1400" i="11"/>
  <c r="T1528" i="11"/>
  <c r="T1656" i="11"/>
  <c r="T1352" i="11"/>
  <c r="T1608" i="11"/>
  <c r="T1942" i="11"/>
  <c r="T1774" i="11"/>
  <c r="T1886" i="11"/>
  <c r="T2114" i="11"/>
  <c r="T2150" i="11"/>
  <c r="T2192" i="11"/>
  <c r="T3047" i="11"/>
  <c r="T2887" i="11"/>
  <c r="T18" i="11"/>
  <c r="T7" i="11"/>
  <c r="T416" i="11"/>
  <c r="T440" i="11"/>
  <c r="T528" i="11"/>
  <c r="T624" i="11"/>
  <c r="T1054" i="11"/>
  <c r="T1384" i="11"/>
  <c r="T1640" i="11"/>
  <c r="T1254" i="11"/>
  <c r="T1870" i="11"/>
  <c r="T1230" i="11"/>
  <c r="T1974" i="11"/>
  <c r="T15" i="11"/>
  <c r="T470" i="11"/>
  <c r="T552" i="11"/>
  <c r="T1038" i="11"/>
  <c r="T806" i="11"/>
  <c r="T1214" i="11"/>
  <c r="T1432" i="11"/>
  <c r="T1560" i="11"/>
  <c r="T1416" i="11"/>
  <c r="T1672" i="11"/>
  <c r="T1272" i="11"/>
  <c r="T1846" i="11"/>
  <c r="T3023" i="11"/>
  <c r="T2903" i="11"/>
  <c r="T26" i="11"/>
  <c r="T23" i="11"/>
  <c r="T344" i="11"/>
  <c r="T320" i="11"/>
  <c r="T448" i="11"/>
  <c r="T472" i="11"/>
  <c r="T1022" i="11"/>
  <c r="T1126" i="11"/>
  <c r="T1222" i="11"/>
  <c r="T1238" i="11"/>
  <c r="T1448" i="11"/>
  <c r="C51" i="54" l="1"/>
  <c r="C43" i="54"/>
  <c r="C35" i="54"/>
  <c r="G116" i="54"/>
  <c r="F173" i="54"/>
  <c r="F32" i="54" s="1"/>
  <c r="G32" i="54"/>
  <c r="G82" i="54"/>
  <c r="F175" i="54"/>
  <c r="G34" i="54"/>
  <c r="G84" i="54"/>
  <c r="F289" i="54"/>
  <c r="G117" i="54"/>
  <c r="C52" i="54"/>
  <c r="C28" i="54"/>
  <c r="F168" i="54"/>
  <c r="G77" i="54"/>
  <c r="C27" i="54"/>
  <c r="F285" i="54"/>
  <c r="G113" i="54"/>
  <c r="F172" i="54"/>
  <c r="G81" i="54"/>
  <c r="F177" i="54"/>
  <c r="G36" i="54"/>
  <c r="G86" i="54"/>
  <c r="E110" i="54"/>
  <c r="E28" i="54"/>
  <c r="C58" i="54"/>
  <c r="C50" i="54"/>
  <c r="C42" i="54"/>
  <c r="C34" i="54"/>
  <c r="C26" i="54"/>
  <c r="G76" i="54"/>
  <c r="G45" i="54"/>
  <c r="G95" i="54"/>
  <c r="F170" i="54"/>
  <c r="F29" i="54" s="1"/>
  <c r="G29" i="54"/>
  <c r="G79" i="54"/>
  <c r="C57" i="54"/>
  <c r="C49" i="54"/>
  <c r="C41" i="54"/>
  <c r="C33" i="54"/>
  <c r="F287" i="54"/>
  <c r="G115" i="54"/>
  <c r="F191" i="54"/>
  <c r="G50" i="54"/>
  <c r="G100" i="54"/>
  <c r="F293" i="54"/>
  <c r="G121" i="54"/>
  <c r="C56" i="54"/>
  <c r="C48" i="54"/>
  <c r="C40" i="54"/>
  <c r="C32" i="54"/>
  <c r="F178" i="54"/>
  <c r="G37" i="54"/>
  <c r="G87" i="54"/>
  <c r="F292" i="54"/>
  <c r="G120" i="54"/>
  <c r="C55" i="54"/>
  <c r="C47" i="54"/>
  <c r="C39" i="54"/>
  <c r="C31" i="54"/>
  <c r="F169" i="54"/>
  <c r="G78" i="54"/>
  <c r="F291" i="54"/>
  <c r="G119" i="54"/>
  <c r="C25" i="54"/>
  <c r="C54" i="54"/>
  <c r="C46" i="54"/>
  <c r="C38" i="54"/>
  <c r="C30" i="54"/>
  <c r="G48" i="54"/>
  <c r="G98" i="54"/>
  <c r="F179" i="54"/>
  <c r="G88" i="54"/>
  <c r="G38" i="54"/>
  <c r="F180" i="54"/>
  <c r="G39" i="54"/>
  <c r="G89" i="54"/>
  <c r="F290" i="54"/>
  <c r="G118" i="54"/>
  <c r="F410" i="54"/>
  <c r="C53" i="54"/>
  <c r="C45" i="54"/>
  <c r="C37" i="54"/>
  <c r="C29" i="54"/>
  <c r="G3889" i="11"/>
  <c r="U3889" i="11" s="1"/>
  <c r="Y3889" i="11" s="1"/>
  <c r="G3881" i="11"/>
  <c r="T3881" i="11" s="1"/>
  <c r="G3873" i="11"/>
  <c r="G3865" i="11"/>
  <c r="U3865" i="11" s="1"/>
  <c r="G3857" i="11"/>
  <c r="G3849" i="11"/>
  <c r="G3841" i="11"/>
  <c r="G3833" i="11"/>
  <c r="U3833" i="11" s="1"/>
  <c r="Y3833" i="11" s="1"/>
  <c r="G3825" i="11"/>
  <c r="G3817" i="11"/>
  <c r="U3817" i="11" s="1"/>
  <c r="Y3817" i="11" s="1"/>
  <c r="G3809" i="11"/>
  <c r="G3801" i="11"/>
  <c r="G3793" i="11"/>
  <c r="G3785" i="11"/>
  <c r="U3785" i="11" s="1"/>
  <c r="Y3785" i="11" s="1"/>
  <c r="G3777" i="11"/>
  <c r="G3769" i="11"/>
  <c r="G3761" i="11"/>
  <c r="G3753" i="11"/>
  <c r="G3745" i="11"/>
  <c r="U3745" i="11" s="1"/>
  <c r="Y3745" i="11" s="1"/>
  <c r="G3737" i="11"/>
  <c r="U3737" i="11" s="1"/>
  <c r="G3729" i="11"/>
  <c r="U3729" i="11" s="1"/>
  <c r="G3721" i="11"/>
  <c r="U3721" i="11" s="1"/>
  <c r="Y3721" i="11" s="1"/>
  <c r="G3713" i="11"/>
  <c r="U3713" i="11" s="1"/>
  <c r="G3705" i="11"/>
  <c r="G3697" i="11"/>
  <c r="G3689" i="11"/>
  <c r="U3689" i="11" s="1"/>
  <c r="Y3689" i="11" s="1"/>
  <c r="G3681" i="11"/>
  <c r="G3673" i="11"/>
  <c r="G3665" i="11"/>
  <c r="G3657" i="11"/>
  <c r="U3657" i="11" s="1"/>
  <c r="V3657" i="11" s="1"/>
  <c r="G3649" i="11"/>
  <c r="G3641" i="11"/>
  <c r="U3641" i="11" s="1"/>
  <c r="Y3641" i="11" s="1"/>
  <c r="G3633" i="11"/>
  <c r="U3633" i="11" s="1"/>
  <c r="Y3633" i="11" s="1"/>
  <c r="G3625" i="11"/>
  <c r="U3625" i="11" s="1"/>
  <c r="Y3625" i="11" s="1"/>
  <c r="G3617" i="11"/>
  <c r="U3617" i="11" s="1"/>
  <c r="V3617" i="11" s="1"/>
  <c r="G3609" i="11"/>
  <c r="G3601" i="11"/>
  <c r="U3601" i="11" s="1"/>
  <c r="G3593" i="11"/>
  <c r="U3593" i="11" s="1"/>
  <c r="Y3593" i="11" s="1"/>
  <c r="G3585" i="11"/>
  <c r="G3577" i="11"/>
  <c r="U3577" i="11" s="1"/>
  <c r="Y3577" i="11" s="1"/>
  <c r="G3569" i="11"/>
  <c r="U3569" i="11" s="1"/>
  <c r="V3569" i="11" s="1"/>
  <c r="G3561" i="11"/>
  <c r="U3561" i="11" s="1"/>
  <c r="V3561" i="11" s="1"/>
  <c r="G3553" i="11"/>
  <c r="G3545" i="11"/>
  <c r="T3545" i="11" s="1"/>
  <c r="G3537" i="11"/>
  <c r="U3537" i="11" s="1"/>
  <c r="Y3537" i="11" s="1"/>
  <c r="G3529" i="11"/>
  <c r="U3529" i="11" s="1"/>
  <c r="Y3529" i="11" s="1"/>
  <c r="G3521" i="11"/>
  <c r="T3521" i="11" s="1"/>
  <c r="G3513" i="11"/>
  <c r="U3513" i="11" s="1"/>
  <c r="V3513" i="11" s="1"/>
  <c r="G3505" i="11"/>
  <c r="U3505" i="11" s="1"/>
  <c r="Y3505" i="11" s="1"/>
  <c r="G3497" i="11"/>
  <c r="G3489" i="11"/>
  <c r="T3489" i="11" s="1"/>
  <c r="G3481" i="11"/>
  <c r="U3481" i="11" s="1"/>
  <c r="G3473" i="11"/>
  <c r="G3465" i="11"/>
  <c r="T3465" i="11" s="1"/>
  <c r="G3457" i="11"/>
  <c r="U3457" i="11" s="1"/>
  <c r="G3449" i="11"/>
  <c r="U3449" i="11" s="1"/>
  <c r="V3449" i="11" s="1"/>
  <c r="G3441" i="11"/>
  <c r="G3433" i="11"/>
  <c r="G3425" i="11"/>
  <c r="G3417" i="11"/>
  <c r="G3409" i="11"/>
  <c r="U3409" i="11" s="1"/>
  <c r="G3401" i="11"/>
  <c r="G3393" i="11"/>
  <c r="G3385" i="11"/>
  <c r="T3385" i="11" s="1"/>
  <c r="G3377" i="11"/>
  <c r="U3377" i="11" s="1"/>
  <c r="Y3377" i="11" s="1"/>
  <c r="G3369" i="11"/>
  <c r="U3369" i="11" s="1"/>
  <c r="Y3369" i="11" s="1"/>
  <c r="G3361" i="11"/>
  <c r="G3353" i="11"/>
  <c r="U3353" i="11" s="1"/>
  <c r="G3345" i="11"/>
  <c r="G3337" i="11"/>
  <c r="U3337" i="11" s="1"/>
  <c r="Y3337" i="11" s="1"/>
  <c r="G3329" i="11"/>
  <c r="G3321" i="11"/>
  <c r="U3321" i="11" s="1"/>
  <c r="V3321" i="11" s="1"/>
  <c r="G3313" i="11"/>
  <c r="G3305" i="11"/>
  <c r="U3305" i="11" s="1"/>
  <c r="Y3305" i="11" s="1"/>
  <c r="G3297" i="11"/>
  <c r="T3297" i="11" s="1"/>
  <c r="G3289" i="11"/>
  <c r="U3289" i="11" s="1"/>
  <c r="G3281" i="11"/>
  <c r="G3273" i="11"/>
  <c r="T3273" i="11" s="1"/>
  <c r="G3265" i="11"/>
  <c r="U3265" i="11" s="1"/>
  <c r="G3257" i="11"/>
  <c r="U3257" i="11" s="1"/>
  <c r="Y3257" i="11" s="1"/>
  <c r="G3249" i="11"/>
  <c r="U3249" i="11" s="1"/>
  <c r="Y3249" i="11" s="1"/>
  <c r="G3241" i="11"/>
  <c r="U3241" i="11" s="1"/>
  <c r="Y3241" i="11" s="1"/>
  <c r="G3233" i="11"/>
  <c r="G3225" i="11"/>
  <c r="U3225" i="11" s="1"/>
  <c r="G3217" i="11"/>
  <c r="U3217" i="11" s="1"/>
  <c r="G3209" i="11"/>
  <c r="U3209" i="11" s="1"/>
  <c r="V3209" i="11" s="1"/>
  <c r="G3201" i="11"/>
  <c r="G3193" i="11"/>
  <c r="G3185" i="11"/>
  <c r="G3177" i="11"/>
  <c r="U3177" i="11" s="1"/>
  <c r="Y3177" i="11" s="1"/>
  <c r="G3169" i="11"/>
  <c r="G3161" i="11"/>
  <c r="U3161" i="11" s="1"/>
  <c r="G3153" i="11"/>
  <c r="T3153" i="11" s="1"/>
  <c r="G3145" i="11"/>
  <c r="U3145" i="11" s="1"/>
  <c r="V3145" i="11" s="1"/>
  <c r="G3137" i="11"/>
  <c r="U3137" i="11" s="1"/>
  <c r="G3129" i="11"/>
  <c r="U3129" i="11" s="1"/>
  <c r="V3129" i="11" s="1"/>
  <c r="G3121" i="11"/>
  <c r="G3113" i="11"/>
  <c r="U3113" i="11" s="1"/>
  <c r="V3113" i="11" s="1"/>
  <c r="G3105" i="11"/>
  <c r="G3097" i="11"/>
  <c r="G3089" i="11"/>
  <c r="G3081" i="11"/>
  <c r="U3081" i="11" s="1"/>
  <c r="Y3081" i="11" s="1"/>
  <c r="G3073" i="11"/>
  <c r="U3073" i="11" s="1"/>
  <c r="G3065" i="11"/>
  <c r="G3057" i="11"/>
  <c r="G3049" i="11"/>
  <c r="G3041" i="11"/>
  <c r="G3033" i="11"/>
  <c r="U3033" i="11" s="1"/>
  <c r="G3025" i="11"/>
  <c r="G3017" i="11"/>
  <c r="U3017" i="11" s="1"/>
  <c r="V3017" i="11" s="1"/>
  <c r="G3009" i="11"/>
  <c r="U3009" i="11" s="1"/>
  <c r="G3001" i="11"/>
  <c r="U3001" i="11" s="1"/>
  <c r="V3001" i="11" s="1"/>
  <c r="G2993" i="11"/>
  <c r="U2993" i="11" s="1"/>
  <c r="Y2993" i="11" s="1"/>
  <c r="G2985" i="11"/>
  <c r="G2977" i="11"/>
  <c r="G2969" i="11"/>
  <c r="U2969" i="11" s="1"/>
  <c r="G2961" i="11"/>
  <c r="U2961" i="11" s="1"/>
  <c r="G2953" i="11"/>
  <c r="G2945" i="11"/>
  <c r="U2945" i="11" s="1"/>
  <c r="G2937" i="11"/>
  <c r="G2929" i="11"/>
  <c r="G2921" i="11"/>
  <c r="G2913" i="11"/>
  <c r="G2905" i="11"/>
  <c r="G2897" i="11"/>
  <c r="G2889" i="11"/>
  <c r="G2881" i="11"/>
  <c r="G2873" i="11"/>
  <c r="G2865" i="11"/>
  <c r="G2857" i="11"/>
  <c r="G2849" i="11"/>
  <c r="G2841" i="11"/>
  <c r="U2841" i="11" s="1"/>
  <c r="G2833" i="11"/>
  <c r="U2833" i="11" s="1"/>
  <c r="G2825" i="11"/>
  <c r="G2817" i="11"/>
  <c r="G2809" i="11"/>
  <c r="G2801" i="11"/>
  <c r="G2793" i="11"/>
  <c r="U2793" i="11" s="1"/>
  <c r="V2793" i="11" s="1"/>
  <c r="AA2793" i="11" s="1"/>
  <c r="G2785" i="11"/>
  <c r="U2785" i="11" s="1"/>
  <c r="Y2785" i="11" s="1"/>
  <c r="G2777" i="11"/>
  <c r="U2777" i="11" s="1"/>
  <c r="V2777" i="11" s="1"/>
  <c r="G2769" i="11"/>
  <c r="G2761" i="11"/>
  <c r="U2761" i="11" s="1"/>
  <c r="Y2761" i="11" s="1"/>
  <c r="G2753" i="11"/>
  <c r="G2745" i="11"/>
  <c r="U2745" i="11" s="1"/>
  <c r="Y2745" i="11" s="1"/>
  <c r="G2737" i="11"/>
  <c r="U2737" i="11" s="1"/>
  <c r="Y2737" i="11" s="1"/>
  <c r="G2729" i="11"/>
  <c r="U2729" i="11" s="1"/>
  <c r="V2729" i="11" s="1"/>
  <c r="G2721" i="11"/>
  <c r="G2713" i="11"/>
  <c r="G2705" i="11"/>
  <c r="U2705" i="11" s="1"/>
  <c r="G2697" i="11"/>
  <c r="G2689" i="11"/>
  <c r="G2681" i="11"/>
  <c r="G2673" i="11"/>
  <c r="U2673" i="11" s="1"/>
  <c r="V2673" i="11" s="1"/>
  <c r="G2665" i="11"/>
  <c r="T2665" i="11" s="1"/>
  <c r="G2657" i="11"/>
  <c r="U2657" i="11" s="1"/>
  <c r="Y2657" i="11" s="1"/>
  <c r="G2649" i="11"/>
  <c r="G2641" i="11"/>
  <c r="U2641" i="11" s="1"/>
  <c r="V2641" i="11" s="1"/>
  <c r="G2633" i="11"/>
  <c r="U2633" i="11" s="1"/>
  <c r="Y2633" i="11" s="1"/>
  <c r="G2625" i="11"/>
  <c r="G2617" i="11"/>
  <c r="U2617" i="11" s="1"/>
  <c r="G2609" i="11"/>
  <c r="G2601" i="11"/>
  <c r="U2601" i="11" s="1"/>
  <c r="V2601" i="11" s="1"/>
  <c r="G2593" i="11"/>
  <c r="G2585" i="11"/>
  <c r="G2577" i="11"/>
  <c r="T2577" i="11" s="1"/>
  <c r="G2569" i="11"/>
  <c r="G2561" i="11"/>
  <c r="G2553" i="11"/>
  <c r="U2553" i="11" s="1"/>
  <c r="Y2553" i="11" s="1"/>
  <c r="G2545" i="11"/>
  <c r="G2537" i="11"/>
  <c r="G2529" i="11"/>
  <c r="U2529" i="11" s="1"/>
  <c r="Y2529" i="11" s="1"/>
  <c r="AB2529" i="11" s="1"/>
  <c r="G2521" i="11"/>
  <c r="U2521" i="11" s="1"/>
  <c r="G2513" i="11"/>
  <c r="G2505" i="11"/>
  <c r="G2497" i="11"/>
  <c r="G2489" i="11"/>
  <c r="G2481" i="11"/>
  <c r="G2473" i="11"/>
  <c r="G2465" i="11"/>
  <c r="G2457" i="11"/>
  <c r="G2449" i="11"/>
  <c r="G2441" i="11"/>
  <c r="G2433" i="11"/>
  <c r="G2425" i="11"/>
  <c r="G2417" i="11"/>
  <c r="G2409" i="11"/>
  <c r="G2401" i="11"/>
  <c r="G2393" i="11"/>
  <c r="G2385" i="11"/>
  <c r="G2377" i="11"/>
  <c r="G2369" i="11"/>
  <c r="G2361" i="11"/>
  <c r="G2353" i="11"/>
  <c r="G2345" i="11"/>
  <c r="G2337" i="11"/>
  <c r="G2329" i="11"/>
  <c r="G2321" i="11"/>
  <c r="G2313" i="11"/>
  <c r="G2305" i="11"/>
  <c r="G2297" i="11"/>
  <c r="G2289" i="11"/>
  <c r="G2281" i="11"/>
  <c r="U2281" i="11" s="1"/>
  <c r="Y2281" i="11" s="1"/>
  <c r="AB2281" i="11" s="1"/>
  <c r="G2273" i="11"/>
  <c r="G2265" i="11"/>
  <c r="G2257" i="11"/>
  <c r="G2249" i="11"/>
  <c r="G2241" i="11"/>
  <c r="G2233" i="11"/>
  <c r="G2225" i="11"/>
  <c r="G2217" i="11"/>
  <c r="G2209" i="11"/>
  <c r="G2201" i="11"/>
  <c r="G2193" i="11"/>
  <c r="G2185" i="11"/>
  <c r="G2177" i="11"/>
  <c r="G2169" i="11"/>
  <c r="G2161" i="11"/>
  <c r="G2153" i="11"/>
  <c r="G2145" i="11"/>
  <c r="G2137" i="11"/>
  <c r="G2129" i="11"/>
  <c r="G2121" i="11"/>
  <c r="G2113" i="11"/>
  <c r="G2105" i="11"/>
  <c r="G2097" i="11"/>
  <c r="G2089" i="11"/>
  <c r="G2081" i="11"/>
  <c r="G2073" i="11"/>
  <c r="G2065" i="11"/>
  <c r="G2057" i="11"/>
  <c r="G2049" i="11"/>
  <c r="G2041" i="11"/>
  <c r="G2033" i="11"/>
  <c r="G2025" i="11"/>
  <c r="G2017" i="11"/>
  <c r="G2009" i="11"/>
  <c r="G2001" i="11"/>
  <c r="G1993" i="11"/>
  <c r="G1985" i="11"/>
  <c r="G1977" i="11"/>
  <c r="G1969" i="11"/>
  <c r="G1961" i="11"/>
  <c r="G1953" i="11"/>
  <c r="G1945" i="11"/>
  <c r="G1937" i="11"/>
  <c r="G1929" i="11"/>
  <c r="G1921" i="11"/>
  <c r="G1913" i="11"/>
  <c r="G1905" i="11"/>
  <c r="G1897" i="11"/>
  <c r="G1889" i="11"/>
  <c r="G1881" i="11"/>
  <c r="G1873" i="11"/>
  <c r="G1865" i="11"/>
  <c r="G1857" i="11"/>
  <c r="G1849" i="11"/>
  <c r="G1841" i="11"/>
  <c r="G1833" i="11"/>
  <c r="G1825" i="11"/>
  <c r="G1817" i="11"/>
  <c r="G1809" i="11"/>
  <c r="G1801" i="11"/>
  <c r="G1793" i="11"/>
  <c r="G1785" i="11"/>
  <c r="G1777" i="11"/>
  <c r="G1769" i="11"/>
  <c r="G1761" i="11"/>
  <c r="G1753" i="11"/>
  <c r="G1745" i="11"/>
  <c r="G1737" i="11"/>
  <c r="G1729" i="11"/>
  <c r="G1721" i="11"/>
  <c r="G1713" i="11"/>
  <c r="G1705" i="11"/>
  <c r="G1697" i="11"/>
  <c r="G1689" i="11"/>
  <c r="G1681" i="11"/>
  <c r="G1673" i="11"/>
  <c r="G1665" i="11"/>
  <c r="G1657" i="11"/>
  <c r="G1649" i="11"/>
  <c r="G1641" i="11"/>
  <c r="G1633" i="11"/>
  <c r="G1625" i="11"/>
  <c r="G1617" i="11"/>
  <c r="G1609" i="11"/>
  <c r="G1601" i="11"/>
  <c r="G1593" i="11"/>
  <c r="G1585" i="11"/>
  <c r="G1577" i="11"/>
  <c r="G1569" i="11"/>
  <c r="G1561" i="11"/>
  <c r="G1553" i="11"/>
  <c r="G1545" i="11"/>
  <c r="G1537" i="11"/>
  <c r="G1529" i="11"/>
  <c r="G1521" i="11"/>
  <c r="G1513" i="11"/>
  <c r="G1505" i="11"/>
  <c r="G1497" i="11"/>
  <c r="G1489" i="11"/>
  <c r="G1481" i="11"/>
  <c r="G1473" i="11"/>
  <c r="G1465" i="11"/>
  <c r="G1457" i="11"/>
  <c r="G1449" i="11"/>
  <c r="G1441" i="11"/>
  <c r="G1433" i="11"/>
  <c r="G1425" i="11"/>
  <c r="G1417" i="11"/>
  <c r="G1409" i="11"/>
  <c r="G1401" i="11"/>
  <c r="G1393" i="11"/>
  <c r="G1385" i="11"/>
  <c r="G1377" i="11"/>
  <c r="G1369" i="11"/>
  <c r="G1361" i="11"/>
  <c r="G1353" i="11"/>
  <c r="G1345" i="11"/>
  <c r="G1337" i="11"/>
  <c r="G1329" i="11"/>
  <c r="G1321" i="11"/>
  <c r="G1313" i="11"/>
  <c r="G1305" i="11"/>
  <c r="G1297" i="11"/>
  <c r="G1289" i="11"/>
  <c r="G1281" i="11"/>
  <c r="G1273" i="11"/>
  <c r="G1265" i="11"/>
  <c r="G1257" i="11"/>
  <c r="G1249" i="11"/>
  <c r="U1249" i="11" s="1"/>
  <c r="V1249" i="11" s="1"/>
  <c r="G1241" i="11"/>
  <c r="G1233" i="11"/>
  <c r="G1225" i="11"/>
  <c r="G1217" i="11"/>
  <c r="G1209" i="11"/>
  <c r="G1201" i="11"/>
  <c r="G1193" i="11"/>
  <c r="G1185" i="11"/>
  <c r="G1177" i="11"/>
  <c r="T1177" i="11" s="1"/>
  <c r="G1169" i="11"/>
  <c r="G1161" i="11"/>
  <c r="G1153" i="11"/>
  <c r="G1145" i="11"/>
  <c r="G1137" i="11"/>
  <c r="G1129" i="11"/>
  <c r="G1121" i="11"/>
  <c r="G1113" i="11"/>
  <c r="G1105" i="11"/>
  <c r="G1097" i="11"/>
  <c r="G1089" i="11"/>
  <c r="G1081" i="11"/>
  <c r="G1073" i="11"/>
  <c r="G1065" i="11"/>
  <c r="G1057" i="11"/>
  <c r="G1049" i="11"/>
  <c r="G1041" i="11"/>
  <c r="G1033" i="11"/>
  <c r="G1025" i="11"/>
  <c r="G1017" i="11"/>
  <c r="G1009" i="11"/>
  <c r="G1001" i="11"/>
  <c r="G993" i="11"/>
  <c r="G985" i="11"/>
  <c r="G977" i="11"/>
  <c r="G969" i="11"/>
  <c r="G961" i="11"/>
  <c r="G953" i="11"/>
  <c r="G945" i="11"/>
  <c r="G937" i="11"/>
  <c r="G929" i="11"/>
  <c r="G921" i="11"/>
  <c r="G913" i="11"/>
  <c r="G905" i="11"/>
  <c r="G897" i="11"/>
  <c r="G889" i="11"/>
  <c r="G881" i="11"/>
  <c r="G873" i="11"/>
  <c r="G865" i="11"/>
  <c r="G857" i="11"/>
  <c r="G849" i="11"/>
  <c r="G841" i="11"/>
  <c r="G833" i="11"/>
  <c r="G825" i="11"/>
  <c r="G817" i="11"/>
  <c r="G809" i="11"/>
  <c r="G801" i="11"/>
  <c r="G793" i="11"/>
  <c r="G785" i="11"/>
  <c r="G777" i="11"/>
  <c r="G769" i="11"/>
  <c r="G761" i="11"/>
  <c r="G753" i="11"/>
  <c r="G745" i="11"/>
  <c r="G737" i="11"/>
  <c r="U737" i="11" s="1"/>
  <c r="V737" i="11" s="1"/>
  <c r="G729" i="11"/>
  <c r="G721" i="11"/>
  <c r="G713" i="11"/>
  <c r="G705" i="11"/>
  <c r="G697" i="11"/>
  <c r="G689" i="11"/>
  <c r="G681" i="11"/>
  <c r="G673" i="11"/>
  <c r="G665" i="11"/>
  <c r="G657" i="11"/>
  <c r="G649" i="11"/>
  <c r="G641" i="11"/>
  <c r="G633" i="11"/>
  <c r="G625" i="11"/>
  <c r="G617" i="11"/>
  <c r="G609" i="11"/>
  <c r="G601" i="11"/>
  <c r="G593" i="11"/>
  <c r="G585" i="11"/>
  <c r="G577" i="11"/>
  <c r="G569" i="11"/>
  <c r="G561" i="11"/>
  <c r="G553" i="11"/>
  <c r="G545" i="11"/>
  <c r="G537" i="11"/>
  <c r="G529" i="11"/>
  <c r="G521" i="11"/>
  <c r="G513" i="11"/>
  <c r="G505" i="11"/>
  <c r="G497" i="11"/>
  <c r="G489" i="11"/>
  <c r="G481" i="11"/>
  <c r="G473" i="11"/>
  <c r="G465" i="11"/>
  <c r="G457" i="11"/>
  <c r="G449" i="11"/>
  <c r="G441" i="11"/>
  <c r="G433" i="11"/>
  <c r="G425" i="11"/>
  <c r="G417" i="11"/>
  <c r="G409" i="11"/>
  <c r="G401" i="11"/>
  <c r="G393" i="11"/>
  <c r="G385" i="11"/>
  <c r="G377" i="11"/>
  <c r="G369" i="11"/>
  <c r="G361" i="11"/>
  <c r="G353" i="11"/>
  <c r="G345" i="11"/>
  <c r="G337" i="11"/>
  <c r="G329" i="11"/>
  <c r="G321" i="11"/>
  <c r="G313" i="11"/>
  <c r="G305" i="11"/>
  <c r="G297" i="11"/>
  <c r="U297" i="11" s="1"/>
  <c r="Y297" i="11" s="1"/>
  <c r="G289" i="11"/>
  <c r="G281" i="11"/>
  <c r="G273" i="11"/>
  <c r="G265" i="11"/>
  <c r="G257" i="11"/>
  <c r="G249" i="11"/>
  <c r="G241" i="11"/>
  <c r="G233" i="11"/>
  <c r="G225" i="11"/>
  <c r="G217" i="11"/>
  <c r="G209" i="11"/>
  <c r="G201" i="11"/>
  <c r="G193" i="11"/>
  <c r="G185" i="11"/>
  <c r="G177" i="11"/>
  <c r="G169" i="11"/>
  <c r="G161" i="11"/>
  <c r="G153" i="11"/>
  <c r="G145" i="11"/>
  <c r="G137" i="11"/>
  <c r="G129" i="11"/>
  <c r="G121" i="11"/>
  <c r="G113" i="11"/>
  <c r="G105" i="11"/>
  <c r="G97" i="11"/>
  <c r="G89" i="11"/>
  <c r="G81" i="11"/>
  <c r="G73" i="11"/>
  <c r="G65" i="11"/>
  <c r="G57" i="11"/>
  <c r="G49" i="11"/>
  <c r="G41" i="11"/>
  <c r="G33" i="11"/>
  <c r="G25" i="11"/>
  <c r="U25" i="11" s="1"/>
  <c r="F255" i="54"/>
  <c r="F276" i="54"/>
  <c r="P293" i="54"/>
  <c r="P121" i="54" s="1"/>
  <c r="Q285" i="54"/>
  <c r="Q113" i="54" s="1"/>
  <c r="Q290" i="54"/>
  <c r="Q118" i="54" s="1"/>
  <c r="P286" i="54"/>
  <c r="P114" i="54" s="1"/>
  <c r="Q288" i="54"/>
  <c r="Q116" i="54" s="1"/>
  <c r="P285" i="54"/>
  <c r="P113" i="54" s="1"/>
  <c r="P290" i="54"/>
  <c r="P118" i="54" s="1"/>
  <c r="P288" i="54"/>
  <c r="P116" i="54" s="1"/>
  <c r="Q289" i="54"/>
  <c r="Q117" i="54" s="1"/>
  <c r="P291" i="54"/>
  <c r="P119" i="54" s="1"/>
  <c r="P287" i="54"/>
  <c r="P115" i="54" s="1"/>
  <c r="Q292" i="54"/>
  <c r="Q120" i="54" s="1"/>
  <c r="P289" i="54"/>
  <c r="P117" i="54" s="1"/>
  <c r="Q291" i="54"/>
  <c r="Q119" i="54" s="1"/>
  <c r="Q293" i="54"/>
  <c r="Q121" i="54" s="1"/>
  <c r="Q286" i="54"/>
  <c r="Q114" i="54" s="1"/>
  <c r="Q287" i="54"/>
  <c r="Q115" i="54" s="1"/>
  <c r="O343" i="54"/>
  <c r="N343" i="54"/>
  <c r="T342" i="54"/>
  <c r="O322" i="54"/>
  <c r="R157" i="54"/>
  <c r="R56" i="54"/>
  <c r="R106" i="54"/>
  <c r="S160" i="54"/>
  <c r="S59" i="54"/>
  <c r="S109" i="54"/>
  <c r="S156" i="54"/>
  <c r="S55" i="54"/>
  <c r="S105" i="54"/>
  <c r="S152" i="54"/>
  <c r="S51" i="54"/>
  <c r="S101" i="54"/>
  <c r="S148" i="54"/>
  <c r="S47" i="54"/>
  <c r="S97" i="54"/>
  <c r="S144" i="54"/>
  <c r="S43" i="54"/>
  <c r="S93" i="54"/>
  <c r="S140" i="54"/>
  <c r="S39" i="54"/>
  <c r="S89" i="54"/>
  <c r="S136" i="54"/>
  <c r="S35" i="54"/>
  <c r="S85" i="54"/>
  <c r="R161" i="54"/>
  <c r="R60" i="54"/>
  <c r="R110" i="54"/>
  <c r="R160" i="54"/>
  <c r="R59" i="54"/>
  <c r="R109" i="54"/>
  <c r="R156" i="54"/>
  <c r="R55" i="54"/>
  <c r="R105" i="54"/>
  <c r="R152" i="54"/>
  <c r="R51" i="54"/>
  <c r="R101" i="54"/>
  <c r="R148" i="54"/>
  <c r="R47" i="54"/>
  <c r="R97" i="54"/>
  <c r="R144" i="54"/>
  <c r="R43" i="54"/>
  <c r="R93" i="54"/>
  <c r="R140" i="54"/>
  <c r="R39" i="54"/>
  <c r="R89" i="54"/>
  <c r="R136" i="54"/>
  <c r="R35" i="54"/>
  <c r="R85" i="54"/>
  <c r="S159" i="54"/>
  <c r="S108" i="54"/>
  <c r="S58" i="54"/>
  <c r="S155" i="54"/>
  <c r="S104" i="54"/>
  <c r="S54" i="54"/>
  <c r="S151" i="54"/>
  <c r="S100" i="54"/>
  <c r="S50" i="54"/>
  <c r="S147" i="54"/>
  <c r="S46" i="54"/>
  <c r="S96" i="54"/>
  <c r="S143" i="54"/>
  <c r="S42" i="54"/>
  <c r="S92" i="54"/>
  <c r="S139" i="54"/>
  <c r="S38" i="54"/>
  <c r="S88" i="54"/>
  <c r="S135" i="54"/>
  <c r="S34" i="54"/>
  <c r="S84" i="54"/>
  <c r="R153" i="54"/>
  <c r="R52" i="54"/>
  <c r="R102" i="54"/>
  <c r="R141" i="54"/>
  <c r="R90" i="54"/>
  <c r="R40" i="54"/>
  <c r="R159" i="54"/>
  <c r="R108" i="54"/>
  <c r="R58" i="54"/>
  <c r="R155" i="54"/>
  <c r="R104" i="54"/>
  <c r="R54" i="54"/>
  <c r="R151" i="54"/>
  <c r="R100" i="54"/>
  <c r="R50" i="54"/>
  <c r="R147" i="54"/>
  <c r="R96" i="54"/>
  <c r="R46" i="54"/>
  <c r="R143" i="54"/>
  <c r="R92" i="54"/>
  <c r="R42" i="54"/>
  <c r="R139" i="54"/>
  <c r="R88" i="54"/>
  <c r="R38" i="54"/>
  <c r="R135" i="54"/>
  <c r="R84" i="54"/>
  <c r="R34" i="54"/>
  <c r="R149" i="54"/>
  <c r="R98" i="54"/>
  <c r="R48" i="54"/>
  <c r="R137" i="54"/>
  <c r="R86" i="54"/>
  <c r="R36" i="54"/>
  <c r="S162" i="54"/>
  <c r="S111" i="54"/>
  <c r="S61" i="54"/>
  <c r="S158" i="54"/>
  <c r="S107" i="54"/>
  <c r="S57" i="54"/>
  <c r="S154" i="54"/>
  <c r="S103" i="54"/>
  <c r="S53" i="54"/>
  <c r="S150" i="54"/>
  <c r="S99" i="54"/>
  <c r="S49" i="54"/>
  <c r="S146" i="54"/>
  <c r="S95" i="54"/>
  <c r="S45" i="54"/>
  <c r="S142" i="54"/>
  <c r="S91" i="54"/>
  <c r="S41" i="54"/>
  <c r="S138" i="54"/>
  <c r="S87" i="54"/>
  <c r="S37" i="54"/>
  <c r="S25" i="54"/>
  <c r="S75" i="54"/>
  <c r="R145" i="54"/>
  <c r="R94" i="54"/>
  <c r="R44" i="54"/>
  <c r="R162" i="54"/>
  <c r="R61" i="54"/>
  <c r="R111" i="54"/>
  <c r="R158" i="54"/>
  <c r="R57" i="54"/>
  <c r="R107" i="54"/>
  <c r="R154" i="54"/>
  <c r="R53" i="54"/>
  <c r="R103" i="54"/>
  <c r="R150" i="54"/>
  <c r="R49" i="54"/>
  <c r="R99" i="54"/>
  <c r="R146" i="54"/>
  <c r="R45" i="54"/>
  <c r="R95" i="54"/>
  <c r="R142" i="54"/>
  <c r="R41" i="54"/>
  <c r="R91" i="54"/>
  <c r="R138" i="54"/>
  <c r="R37" i="54"/>
  <c r="R87" i="54"/>
  <c r="S161" i="54"/>
  <c r="S60" i="54"/>
  <c r="S110" i="54"/>
  <c r="S157" i="54"/>
  <c r="S56" i="54"/>
  <c r="S106" i="54"/>
  <c r="S153" i="54"/>
  <c r="S52" i="54"/>
  <c r="S102" i="54"/>
  <c r="S149" i="54"/>
  <c r="S98" i="54"/>
  <c r="S48" i="54"/>
  <c r="S145" i="54"/>
  <c r="S94" i="54"/>
  <c r="S44" i="54"/>
  <c r="S141" i="54"/>
  <c r="S40" i="54"/>
  <c r="S90" i="54"/>
  <c r="S137" i="54"/>
  <c r="S36" i="54"/>
  <c r="S86" i="54"/>
  <c r="F233" i="54"/>
  <c r="F93" i="54" s="1"/>
  <c r="F239" i="54"/>
  <c r="F99" i="54" s="1"/>
  <c r="F228" i="54"/>
  <c r="F88" i="54" s="1"/>
  <c r="F219" i="54"/>
  <c r="F79" i="54" s="1"/>
  <c r="F232" i="54"/>
  <c r="F92" i="54" s="1"/>
  <c r="F326" i="54"/>
  <c r="F106" i="54" s="1"/>
  <c r="F337" i="54"/>
  <c r="F117" i="54" s="1"/>
  <c r="N339" i="54"/>
  <c r="E10" i="54"/>
  <c r="E11" i="54" s="1"/>
  <c r="E114" i="54"/>
  <c r="E122" i="54" s="1"/>
  <c r="U348" i="54"/>
  <c r="T350" i="54"/>
  <c r="F336" i="54"/>
  <c r="F116" i="54" s="1"/>
  <c r="U350" i="54"/>
  <c r="F325" i="54"/>
  <c r="F105" i="54" s="1"/>
  <c r="F339" i="54"/>
  <c r="F119" i="54" s="1"/>
  <c r="F227" i="54"/>
  <c r="F87" i="54" s="1"/>
  <c r="T338" i="54"/>
  <c r="F222" i="54"/>
  <c r="F82" i="54" s="1"/>
  <c r="F220" i="54"/>
  <c r="F80" i="54" s="1"/>
  <c r="F237" i="54"/>
  <c r="F97" i="54" s="1"/>
  <c r="F341" i="54"/>
  <c r="F121" i="54" s="1"/>
  <c r="N337" i="54"/>
  <c r="F231" i="54"/>
  <c r="F151" i="54" s="1"/>
  <c r="O339" i="54"/>
  <c r="F236" i="54"/>
  <c r="F96" i="54" s="1"/>
  <c r="O337" i="54"/>
  <c r="U338" i="54"/>
  <c r="F234" i="54"/>
  <c r="F94" i="54" s="1"/>
  <c r="F216" i="54"/>
  <c r="F76" i="54" s="1"/>
  <c r="F242" i="54"/>
  <c r="F102" i="54" s="1"/>
  <c r="F235" i="54"/>
  <c r="F95" i="54" s="1"/>
  <c r="F335" i="54"/>
  <c r="F115" i="54" s="1"/>
  <c r="F342" i="54"/>
  <c r="F70" i="54" s="1"/>
  <c r="O340" i="54"/>
  <c r="O336" i="54"/>
  <c r="U351" i="54"/>
  <c r="U349" i="54"/>
  <c r="F338" i="54"/>
  <c r="F118" i="54" s="1"/>
  <c r="T341" i="54"/>
  <c r="AB335" i="54"/>
  <c r="AE335" i="54" s="1"/>
  <c r="F230" i="54"/>
  <c r="F90" i="54" s="1"/>
  <c r="F331" i="54"/>
  <c r="F111" i="54" s="1"/>
  <c r="E7" i="54"/>
  <c r="E103" i="54"/>
  <c r="N340" i="54"/>
  <c r="T336" i="54"/>
  <c r="T351" i="54"/>
  <c r="T349" i="54"/>
  <c r="N431" i="54"/>
  <c r="F241" i="54"/>
  <c r="F101" i="54" s="1"/>
  <c r="N333" i="54"/>
  <c r="C7" i="54"/>
  <c r="C8" i="54" s="1"/>
  <c r="F217" i="54"/>
  <c r="F240" i="54"/>
  <c r="F100" i="54" s="1"/>
  <c r="F215" i="54"/>
  <c r="F75" i="54" s="1"/>
  <c r="F226" i="54"/>
  <c r="F332" i="54"/>
  <c r="E13" i="54"/>
  <c r="E104" i="54"/>
  <c r="U333" i="54"/>
  <c r="U335" i="54"/>
  <c r="T348" i="54"/>
  <c r="F238" i="54"/>
  <c r="F98" i="54" s="1"/>
  <c r="F224" i="54"/>
  <c r="F225" i="54"/>
  <c r="F85" i="54" s="1"/>
  <c r="F221" i="54"/>
  <c r="F81" i="54" s="1"/>
  <c r="F218" i="54"/>
  <c r="F78" i="54" s="1"/>
  <c r="F229" i="54"/>
  <c r="F89" i="54" s="1"/>
  <c r="F223" i="54"/>
  <c r="F83" i="54" s="1"/>
  <c r="F333" i="54"/>
  <c r="F113" i="54" s="1"/>
  <c r="F340" i="54"/>
  <c r="F120" i="54" s="1"/>
  <c r="N335" i="54"/>
  <c r="N352" i="54"/>
  <c r="R132" i="54"/>
  <c r="R31" i="54"/>
  <c r="R128" i="54"/>
  <c r="R27" i="54"/>
  <c r="S132" i="54"/>
  <c r="S31" i="54"/>
  <c r="S131" i="54"/>
  <c r="S30" i="54"/>
  <c r="S127" i="54"/>
  <c r="S26" i="54"/>
  <c r="S128" i="54"/>
  <c r="S27" i="54"/>
  <c r="R131" i="54"/>
  <c r="R30" i="54"/>
  <c r="R127" i="54"/>
  <c r="R26" i="54"/>
  <c r="S134" i="54"/>
  <c r="S33" i="54"/>
  <c r="S130" i="54"/>
  <c r="S29" i="54"/>
  <c r="R134" i="54"/>
  <c r="R33" i="54"/>
  <c r="R130" i="54"/>
  <c r="R29" i="54"/>
  <c r="R126" i="54"/>
  <c r="R25" i="54"/>
  <c r="T305" i="54"/>
  <c r="AB305" i="54" s="1"/>
  <c r="AE305" i="54" s="1"/>
  <c r="S133" i="54"/>
  <c r="S32" i="54"/>
  <c r="S129" i="54"/>
  <c r="S28" i="54"/>
  <c r="R133" i="54"/>
  <c r="R32" i="54"/>
  <c r="R129" i="54"/>
  <c r="R28" i="54"/>
  <c r="E18" i="56"/>
  <c r="C18" i="56" s="1"/>
  <c r="L367" i="54" s="1"/>
  <c r="E26" i="56"/>
  <c r="C26" i="56" s="1"/>
  <c r="L378" i="54" s="1"/>
  <c r="W355" i="54"/>
  <c r="X355" i="54" s="1"/>
  <c r="W363" i="54"/>
  <c r="X363" i="54" s="1"/>
  <c r="W379" i="54"/>
  <c r="X379" i="54" s="1"/>
  <c r="W384" i="54"/>
  <c r="X384" i="54" s="1"/>
  <c r="E10" i="56"/>
  <c r="C10" i="56" s="1"/>
  <c r="L359" i="54" s="1"/>
  <c r="T359" i="54" s="1"/>
  <c r="AB359" i="54" s="1"/>
  <c r="AE359" i="54" s="1"/>
  <c r="E13" i="56"/>
  <c r="C13" i="56" s="1"/>
  <c r="L362" i="54" s="1"/>
  <c r="M362" i="54" s="1"/>
  <c r="H362" i="54" s="1"/>
  <c r="I362" i="54" s="1"/>
  <c r="J362" i="54" s="1"/>
  <c r="E21" i="56"/>
  <c r="C21" i="56" s="1"/>
  <c r="L371" i="54" s="1"/>
  <c r="E29" i="56"/>
  <c r="C29" i="56" s="1"/>
  <c r="L381" i="54" s="1"/>
  <c r="W357" i="54"/>
  <c r="X357" i="54" s="1"/>
  <c r="W376" i="54"/>
  <c r="X376" i="54" s="1"/>
  <c r="W361" i="54"/>
  <c r="X361" i="54" s="1"/>
  <c r="E11" i="56"/>
  <c r="C11" i="56" s="1"/>
  <c r="L360" i="54" s="1"/>
  <c r="N360" i="54" s="1"/>
  <c r="E19" i="56"/>
  <c r="C19" i="56" s="1"/>
  <c r="L369" i="54" s="1"/>
  <c r="M369" i="54" s="1"/>
  <c r="H369" i="54" s="1"/>
  <c r="I369" i="54" s="1"/>
  <c r="J369" i="54" s="1"/>
  <c r="W380" i="54"/>
  <c r="X380" i="54" s="1"/>
  <c r="E17" i="56"/>
  <c r="C17" i="56" s="1"/>
  <c r="L366" i="54" s="1"/>
  <c r="E20" i="56"/>
  <c r="C20" i="56" s="1"/>
  <c r="L370" i="54" s="1"/>
  <c r="F31" i="33"/>
  <c r="C42" i="33"/>
  <c r="H317" i="54"/>
  <c r="I317" i="54" s="1"/>
  <c r="J317" i="54" s="1"/>
  <c r="J70" i="33"/>
  <c r="K70" i="33" s="1"/>
  <c r="H342" i="54"/>
  <c r="O298" i="54"/>
  <c r="M47" i="33"/>
  <c r="N342" i="54"/>
  <c r="T324" i="54"/>
  <c r="AB324" i="54" s="1"/>
  <c r="AE324" i="54" s="1"/>
  <c r="N311" i="54"/>
  <c r="O333" i="54"/>
  <c r="N301" i="54"/>
  <c r="E14" i="54"/>
  <c r="M45" i="33"/>
  <c r="N317" i="54"/>
  <c r="D14" i="54"/>
  <c r="G14" i="54"/>
  <c r="O313" i="54"/>
  <c r="J75" i="33"/>
  <c r="K75" i="33" s="1"/>
  <c r="F75" i="33" s="1"/>
  <c r="G190" i="54"/>
  <c r="U343" i="54"/>
  <c r="G63" i="54"/>
  <c r="D135" i="54"/>
  <c r="G351" i="54"/>
  <c r="G28" i="54" s="1"/>
  <c r="H349" i="54"/>
  <c r="N341" i="54"/>
  <c r="D128" i="54"/>
  <c r="M31" i="33"/>
  <c r="G67" i="54"/>
  <c r="C72" i="54"/>
  <c r="H348" i="54"/>
  <c r="K52" i="33"/>
  <c r="F52" i="33" s="1"/>
  <c r="U329" i="54"/>
  <c r="AC329" i="54" s="1"/>
  <c r="AF329" i="54" s="1"/>
  <c r="M16" i="33"/>
  <c r="H351" i="54"/>
  <c r="F137" i="54"/>
  <c r="H350" i="54"/>
  <c r="G66" i="54"/>
  <c r="G202" i="54"/>
  <c r="U308" i="54"/>
  <c r="AC308" i="54" s="1"/>
  <c r="AF308" i="54" s="1"/>
  <c r="K34" i="33"/>
  <c r="F34" i="33" s="1"/>
  <c r="W391" i="54"/>
  <c r="X391" i="54" s="1"/>
  <c r="D149" i="54"/>
  <c r="O304" i="54"/>
  <c r="G64" i="54"/>
  <c r="M33" i="33"/>
  <c r="M38" i="33"/>
  <c r="K23" i="33"/>
  <c r="F23" i="33" s="1"/>
  <c r="M6" i="33"/>
  <c r="U318" i="54"/>
  <c r="AC318" i="54" s="1"/>
  <c r="AF318" i="54" s="1"/>
  <c r="T312" i="54"/>
  <c r="AB312" i="54" s="1"/>
  <c r="AE312" i="54" s="1"/>
  <c r="T337" i="54"/>
  <c r="E22" i="54"/>
  <c r="H315" i="54"/>
  <c r="I315" i="54" s="1"/>
  <c r="J315" i="54" s="1"/>
  <c r="F391" i="54"/>
  <c r="F14" i="54" s="1"/>
  <c r="G192" i="54"/>
  <c r="U337" i="54"/>
  <c r="G128" i="54"/>
  <c r="O319" i="54"/>
  <c r="F186" i="54"/>
  <c r="G349" i="54"/>
  <c r="G26" i="54" s="1"/>
  <c r="K36" i="33"/>
  <c r="O297" i="54"/>
  <c r="S11" i="54"/>
  <c r="K44" i="33"/>
  <c r="F44" i="33" s="1"/>
  <c r="K13" i="33"/>
  <c r="F13" i="33" s="1"/>
  <c r="D130" i="54"/>
  <c r="H325" i="54"/>
  <c r="I325" i="54" s="1"/>
  <c r="J325" i="54" s="1"/>
  <c r="D22" i="54"/>
  <c r="H382" i="54"/>
  <c r="I382" i="54" s="1"/>
  <c r="J382" i="54" s="1"/>
  <c r="M15" i="33"/>
  <c r="H341" i="54"/>
  <c r="D146" i="54"/>
  <c r="N325" i="54"/>
  <c r="K32" i="33"/>
  <c r="I32" i="33" s="1"/>
  <c r="O303" i="54"/>
  <c r="F140" i="54"/>
  <c r="G70" i="54"/>
  <c r="G171" i="54"/>
  <c r="S22" i="54"/>
  <c r="G174" i="54"/>
  <c r="G134" i="54" s="1"/>
  <c r="C20" i="54"/>
  <c r="C22" i="54" s="1"/>
  <c r="G135" i="54"/>
  <c r="T352" i="54"/>
  <c r="AB352" i="54" s="1"/>
  <c r="AE352" i="54" s="1"/>
  <c r="F311" i="54"/>
  <c r="C11" i="54"/>
  <c r="M46" i="33"/>
  <c r="H305" i="54"/>
  <c r="I305" i="54" s="1"/>
  <c r="J305" i="54" s="1"/>
  <c r="G129" i="54"/>
  <c r="G185" i="54"/>
  <c r="H354" i="54"/>
  <c r="H368" i="54"/>
  <c r="I368" i="54" s="1"/>
  <c r="J368" i="54" s="1"/>
  <c r="H377" i="54"/>
  <c r="I377" i="54" s="1"/>
  <c r="J377" i="54" s="1"/>
  <c r="U382" i="54"/>
  <c r="AC382" i="54" s="1"/>
  <c r="AF382" i="54" s="1"/>
  <c r="M24" i="33"/>
  <c r="G130" i="54"/>
  <c r="G193" i="54"/>
  <c r="D133" i="54"/>
  <c r="G354" i="54"/>
  <c r="F354" i="54" s="1"/>
  <c r="D139" i="54"/>
  <c r="M48" i="33"/>
  <c r="M27" i="33"/>
  <c r="M51" i="33"/>
  <c r="G149" i="54"/>
  <c r="H356" i="54"/>
  <c r="I356" i="54" s="1"/>
  <c r="J356" i="54" s="1"/>
  <c r="H373" i="54"/>
  <c r="I373" i="54" s="1"/>
  <c r="J373" i="54" s="1"/>
  <c r="F133" i="54"/>
  <c r="M352" i="54"/>
  <c r="J71" i="33"/>
  <c r="K71" i="33" s="1"/>
  <c r="J74" i="33"/>
  <c r="K74" i="33" s="1"/>
  <c r="F74" i="33" s="1"/>
  <c r="K4" i="33"/>
  <c r="F4" i="33" s="1"/>
  <c r="D137" i="54"/>
  <c r="D72" i="54"/>
  <c r="G65" i="54"/>
  <c r="G350" i="54"/>
  <c r="G27" i="54" s="1"/>
  <c r="I630" i="54"/>
  <c r="J630" i="54" s="1"/>
  <c r="I530" i="54"/>
  <c r="J530" i="54" s="1"/>
  <c r="U317" i="54"/>
  <c r="AC317" i="54" s="1"/>
  <c r="AF317" i="54" s="1"/>
  <c r="K12" i="33"/>
  <c r="M19" i="33"/>
  <c r="H343" i="54"/>
  <c r="G334" i="54"/>
  <c r="D127" i="54"/>
  <c r="K8" i="33"/>
  <c r="J76" i="33"/>
  <c r="K76" i="33" s="1"/>
  <c r="I76" i="33" s="1"/>
  <c r="M14" i="33"/>
  <c r="K5" i="33"/>
  <c r="K21" i="33"/>
  <c r="M50" i="33"/>
  <c r="O310" i="54"/>
  <c r="G176" i="54"/>
  <c r="N303" i="54"/>
  <c r="R22" i="54"/>
  <c r="H310" i="54"/>
  <c r="I310" i="54" s="1"/>
  <c r="J310" i="54" s="1"/>
  <c r="O317" i="54"/>
  <c r="J72" i="33"/>
  <c r="K72" i="33" s="1"/>
  <c r="K7" i="33"/>
  <c r="M17" i="33"/>
  <c r="T356" i="54"/>
  <c r="AB356" i="54" s="1"/>
  <c r="AE356" i="54" s="1"/>
  <c r="T373" i="54"/>
  <c r="AB373" i="54" s="1"/>
  <c r="AE373" i="54" s="1"/>
  <c r="G196" i="54"/>
  <c r="F286" i="54"/>
  <c r="F64" i="54" s="1"/>
  <c r="G344" i="54"/>
  <c r="G21" i="54" s="1"/>
  <c r="G199" i="54"/>
  <c r="G71" i="54"/>
  <c r="T343" i="54"/>
  <c r="G133" i="54"/>
  <c r="K10" i="33"/>
  <c r="M12" i="33"/>
  <c r="M39" i="33"/>
  <c r="O299" i="54"/>
  <c r="U341" i="54"/>
  <c r="M9" i="33"/>
  <c r="G181" i="54"/>
  <c r="D140" i="54"/>
  <c r="E163" i="54"/>
  <c r="C163" i="54"/>
  <c r="F306" i="54"/>
  <c r="F130" i="54"/>
  <c r="D11" i="54"/>
  <c r="T339" i="54"/>
  <c r="F71" i="54"/>
  <c r="F167" i="54"/>
  <c r="G127" i="54"/>
  <c r="M25" i="33"/>
  <c r="G188" i="54"/>
  <c r="G151" i="54"/>
  <c r="D129" i="54"/>
  <c r="H331" i="54"/>
  <c r="I331" i="54" s="1"/>
  <c r="J331" i="54" s="1"/>
  <c r="G348" i="54"/>
  <c r="H308" i="54"/>
  <c r="I308" i="54" s="1"/>
  <c r="J308" i="54" s="1"/>
  <c r="N336" i="54"/>
  <c r="G243" i="54"/>
  <c r="U305" i="54"/>
  <c r="AC305" i="54" s="1"/>
  <c r="AF305" i="54" s="1"/>
  <c r="K28" i="33"/>
  <c r="M22" i="33"/>
  <c r="K35" i="33"/>
  <c r="F35" i="33" s="1"/>
  <c r="M18" i="33"/>
  <c r="U323" i="54"/>
  <c r="AC323" i="54" s="1"/>
  <c r="AF323" i="54" s="1"/>
  <c r="U354" i="54"/>
  <c r="AC354" i="54" s="1"/>
  <c r="AF354" i="54" s="1"/>
  <c r="F189" i="54"/>
  <c r="G183" i="54"/>
  <c r="G140" i="54"/>
  <c r="G139" i="54"/>
  <c r="G284" i="54"/>
  <c r="G9" i="54" s="1"/>
  <c r="G201" i="54"/>
  <c r="T328" i="54"/>
  <c r="AB328" i="54" s="1"/>
  <c r="AE328" i="54" s="1"/>
  <c r="H298" i="54"/>
  <c r="I298" i="54" s="1"/>
  <c r="J298" i="54" s="1"/>
  <c r="G182" i="54"/>
  <c r="G132" i="54"/>
  <c r="R11" i="54"/>
  <c r="H319" i="54"/>
  <c r="I319" i="54" s="1"/>
  <c r="J319" i="54" s="1"/>
  <c r="G68" i="54"/>
  <c r="G198" i="54"/>
  <c r="O305" i="54"/>
  <c r="G69" i="54"/>
  <c r="T320" i="54"/>
  <c r="AB320" i="54" s="1"/>
  <c r="AE320" i="54" s="1"/>
  <c r="K11" i="33"/>
  <c r="I11" i="33" s="1"/>
  <c r="K37" i="33"/>
  <c r="M40" i="33"/>
  <c r="O341" i="54"/>
  <c r="F49" i="33"/>
  <c r="G137" i="54"/>
  <c r="T298" i="54"/>
  <c r="AB298" i="54" s="1"/>
  <c r="AE298" i="54" s="1"/>
  <c r="U331" i="54"/>
  <c r="AC331" i="54" s="1"/>
  <c r="AF331" i="54" s="1"/>
  <c r="H312" i="54"/>
  <c r="I312" i="54" s="1"/>
  <c r="J312" i="54" s="1"/>
  <c r="U300" i="54"/>
  <c r="AC300" i="54" s="1"/>
  <c r="AF300" i="54" s="1"/>
  <c r="K26" i="33"/>
  <c r="F26" i="33" s="1"/>
  <c r="U302" i="54"/>
  <c r="AC302" i="54" s="1"/>
  <c r="AF302" i="54" s="1"/>
  <c r="K30" i="33"/>
  <c r="F30" i="33" s="1"/>
  <c r="K20" i="33"/>
  <c r="F20" i="33" s="1"/>
  <c r="W284" i="54"/>
  <c r="X284" i="54" s="1"/>
  <c r="G146" i="54"/>
  <c r="W334" i="54"/>
  <c r="X334" i="54" s="1"/>
  <c r="G187" i="54"/>
  <c r="D151" i="54"/>
  <c r="T299" i="54"/>
  <c r="AB299" i="54" s="1"/>
  <c r="AE299" i="54" s="1"/>
  <c r="G200" i="54"/>
  <c r="H322" i="54"/>
  <c r="I322" i="54" s="1"/>
  <c r="J322" i="54" s="1"/>
  <c r="F440" i="54"/>
  <c r="F17" i="54" s="1"/>
  <c r="M29" i="33"/>
  <c r="W344" i="54"/>
  <c r="X344" i="54" s="1"/>
  <c r="M49" i="33"/>
  <c r="G197" i="54"/>
  <c r="N331" i="54"/>
  <c r="H299" i="54"/>
  <c r="I299" i="54" s="1"/>
  <c r="J299" i="54" s="1"/>
  <c r="N330" i="54"/>
  <c r="E62" i="54"/>
  <c r="I640" i="54"/>
  <c r="J640" i="54" s="1"/>
  <c r="C391" i="54"/>
  <c r="C14" i="54" s="1"/>
  <c r="J9" i="63"/>
  <c r="I5" i="63" s="1"/>
  <c r="E9" i="63"/>
  <c r="D8" i="63" s="1"/>
  <c r="N409" i="54"/>
  <c r="M407" i="54"/>
  <c r="W425" i="54"/>
  <c r="X425" i="54" s="1"/>
  <c r="W428" i="54"/>
  <c r="X428" i="54" s="1"/>
  <c r="W436" i="54"/>
  <c r="X436" i="54" s="1"/>
  <c r="W421" i="54"/>
  <c r="X421" i="54" s="1"/>
  <c r="W430" i="54"/>
  <c r="X430" i="54" s="1"/>
  <c r="W414" i="54"/>
  <c r="X414" i="54" s="1"/>
  <c r="W423" i="54"/>
  <c r="X423" i="54" s="1"/>
  <c r="W434" i="54"/>
  <c r="X434" i="54" s="1"/>
  <c r="W418" i="54"/>
  <c r="X418" i="54" s="1"/>
  <c r="W429" i="54"/>
  <c r="X429" i="54" s="1"/>
  <c r="W438" i="54"/>
  <c r="X438" i="54" s="1"/>
  <c r="W437" i="54"/>
  <c r="X437" i="54" s="1"/>
  <c r="W415" i="54"/>
  <c r="X415" i="54" s="1"/>
  <c r="W422" i="54"/>
  <c r="X422" i="54" s="1"/>
  <c r="W426" i="54"/>
  <c r="X426" i="54" s="1"/>
  <c r="D32" i="64"/>
  <c r="W433" i="54"/>
  <c r="X433" i="54" s="1"/>
  <c r="U3777" i="11"/>
  <c r="V3777" i="11" s="1"/>
  <c r="T3777" i="11"/>
  <c r="U689" i="11"/>
  <c r="Y689" i="11" s="1"/>
  <c r="T689" i="11"/>
  <c r="G3799" i="11"/>
  <c r="W3799" i="11"/>
  <c r="Z3799" i="11" s="1"/>
  <c r="G3710" i="11"/>
  <c r="W3710" i="11"/>
  <c r="X3710" i="11" s="1"/>
  <c r="G3606" i="11"/>
  <c r="W3606" i="11"/>
  <c r="X3606" i="11" s="1"/>
  <c r="G3398" i="11"/>
  <c r="W3398" i="11"/>
  <c r="Z3398" i="11" s="1"/>
  <c r="G3366" i="11"/>
  <c r="W3366" i="11"/>
  <c r="X3366" i="11" s="1"/>
  <c r="G3078" i="11"/>
  <c r="W3078" i="11"/>
  <c r="Z3078" i="11" s="1"/>
  <c r="G2566" i="11"/>
  <c r="W2566" i="11"/>
  <c r="Z2566" i="11" s="1"/>
  <c r="G2534" i="11"/>
  <c r="W2534" i="11"/>
  <c r="X2534" i="11" s="1"/>
  <c r="G2438" i="11"/>
  <c r="W2438" i="11"/>
  <c r="X2438" i="11" s="1"/>
  <c r="G2350" i="11"/>
  <c r="W2350" i="11"/>
  <c r="Z2350" i="11" s="1"/>
  <c r="G2318" i="11"/>
  <c r="W2318" i="11"/>
  <c r="Z2318" i="11" s="1"/>
  <c r="G2214" i="11"/>
  <c r="W2214" i="11"/>
  <c r="Z2214" i="11" s="1"/>
  <c r="T3873" i="11"/>
  <c r="U3873" i="11"/>
  <c r="Y3873" i="11" s="1"/>
  <c r="U3841" i="11"/>
  <c r="Y3841" i="11" s="1"/>
  <c r="T3841" i="11"/>
  <c r="U3809" i="11"/>
  <c r="Y3809" i="11" s="1"/>
  <c r="T3809" i="11"/>
  <c r="U3769" i="11"/>
  <c r="Y3769" i="11" s="1"/>
  <c r="T3769" i="11"/>
  <c r="T3761" i="11"/>
  <c r="U3761" i="11"/>
  <c r="Y3761" i="11" s="1"/>
  <c r="T3753" i="11"/>
  <c r="U3753" i="11"/>
  <c r="V3753" i="11" s="1"/>
  <c r="T3681" i="11"/>
  <c r="U3681" i="11"/>
  <c r="V3681" i="11" s="1"/>
  <c r="U3673" i="11"/>
  <c r="Y3673" i="11" s="1"/>
  <c r="T3673" i="11"/>
  <c r="U3665" i="11"/>
  <c r="Y3665" i="11" s="1"/>
  <c r="T3665" i="11"/>
  <c r="U3609" i="11"/>
  <c r="V3609" i="11" s="1"/>
  <c r="T3609" i="11"/>
  <c r="U3585" i="11"/>
  <c r="Y3585" i="11" s="1"/>
  <c r="T3585" i="11"/>
  <c r="U3553" i="11"/>
  <c r="Y3553" i="11" s="1"/>
  <c r="T3553" i="11"/>
  <c r="U3497" i="11"/>
  <c r="V3497" i="11" s="1"/>
  <c r="T3497" i="11"/>
  <c r="U3473" i="11"/>
  <c r="V3473" i="11" s="1"/>
  <c r="T3473" i="11"/>
  <c r="U3433" i="11"/>
  <c r="Y3433" i="11" s="1"/>
  <c r="T3433" i="11"/>
  <c r="U3425" i="11"/>
  <c r="V3425" i="11" s="1"/>
  <c r="T3425" i="11"/>
  <c r="U3417" i="11"/>
  <c r="Y3417" i="11" s="1"/>
  <c r="T3417" i="11"/>
  <c r="T3401" i="11"/>
  <c r="U3401" i="11"/>
  <c r="V3401" i="11" s="1"/>
  <c r="U3393" i="11"/>
  <c r="Y3393" i="11" s="1"/>
  <c r="T3393" i="11"/>
  <c r="U3361" i="11"/>
  <c r="Y3361" i="11" s="1"/>
  <c r="T3361" i="11"/>
  <c r="U3345" i="11"/>
  <c r="V3345" i="11" s="1"/>
  <c r="T3345" i="11"/>
  <c r="U3313" i="11"/>
  <c r="Y3313" i="11" s="1"/>
  <c r="T3313" i="11"/>
  <c r="U3281" i="11"/>
  <c r="Y3281" i="11" s="1"/>
  <c r="T3281" i="11"/>
  <c r="U3233" i="11"/>
  <c r="Y3233" i="11" s="1"/>
  <c r="T3233" i="11"/>
  <c r="U3201" i="11"/>
  <c r="Y3201" i="11" s="1"/>
  <c r="T3201" i="11"/>
  <c r="U3193" i="11"/>
  <c r="V3193" i="11" s="1"/>
  <c r="T3193" i="11"/>
  <c r="U3169" i="11"/>
  <c r="V3169" i="11" s="1"/>
  <c r="T3169" i="11"/>
  <c r="T3121" i="11"/>
  <c r="U3121" i="11"/>
  <c r="Y3121" i="11" s="1"/>
  <c r="U3105" i="11"/>
  <c r="V3105" i="11" s="1"/>
  <c r="T3105" i="11"/>
  <c r="U3097" i="11"/>
  <c r="Y3097" i="11" s="1"/>
  <c r="T3097" i="11"/>
  <c r="T3089" i="11"/>
  <c r="U3089" i="11"/>
  <c r="Y3089" i="11" s="1"/>
  <c r="U3065" i="11"/>
  <c r="Y3065" i="11" s="1"/>
  <c r="T3065" i="11"/>
  <c r="T3057" i="11"/>
  <c r="U3057" i="11"/>
  <c r="V3057" i="11" s="1"/>
  <c r="T3049" i="11"/>
  <c r="U3049" i="11"/>
  <c r="Y3049" i="11" s="1"/>
  <c r="U3025" i="11"/>
  <c r="Y3025" i="11" s="1"/>
  <c r="T3025" i="11"/>
  <c r="U2953" i="11"/>
  <c r="V2953" i="11" s="1"/>
  <c r="T2953" i="11"/>
  <c r="U2937" i="11"/>
  <c r="Y2937" i="11" s="1"/>
  <c r="T2937" i="11"/>
  <c r="U2929" i="11"/>
  <c r="V2929" i="11" s="1"/>
  <c r="T2929" i="11"/>
  <c r="T2921" i="11"/>
  <c r="U2921" i="11"/>
  <c r="V2921" i="11" s="1"/>
  <c r="U2913" i="11"/>
  <c r="V2913" i="11" s="1"/>
  <c r="T2913" i="11"/>
  <c r="U2905" i="11"/>
  <c r="Y2905" i="11" s="1"/>
  <c r="T2905" i="11"/>
  <c r="U2897" i="11"/>
  <c r="V2897" i="11" s="1"/>
  <c r="T2897" i="11"/>
  <c r="T2889" i="11"/>
  <c r="U2889" i="11"/>
  <c r="V2889" i="11" s="1"/>
  <c r="U2881" i="11"/>
  <c r="V2881" i="11" s="1"/>
  <c r="T2881" i="11"/>
  <c r="U2873" i="11"/>
  <c r="Y2873" i="11" s="1"/>
  <c r="T2873" i="11"/>
  <c r="T2857" i="11"/>
  <c r="U2857" i="11"/>
  <c r="V2857" i="11" s="1"/>
  <c r="U2849" i="11"/>
  <c r="Y2849" i="11" s="1"/>
  <c r="T2849" i="11"/>
  <c r="U2825" i="11"/>
  <c r="Y2825" i="11" s="1"/>
  <c r="T2825" i="11"/>
  <c r="U2817" i="11"/>
  <c r="V2817" i="11" s="1"/>
  <c r="T2817" i="11"/>
  <c r="U2809" i="11"/>
  <c r="Y2809" i="11" s="1"/>
  <c r="T2809" i="11"/>
  <c r="U2681" i="11"/>
  <c r="Y2681" i="11" s="1"/>
  <c r="T2681" i="11"/>
  <c r="U2569" i="11"/>
  <c r="Y2569" i="11" s="1"/>
  <c r="T2569" i="11"/>
  <c r="T2537" i="11"/>
  <c r="U2537" i="11"/>
  <c r="Y2537" i="11" s="1"/>
  <c r="U2193" i="11"/>
  <c r="Y2193" i="11" s="1"/>
  <c r="T2193" i="11"/>
  <c r="U2121" i="11"/>
  <c r="V2121" i="11" s="1"/>
  <c r="T2121" i="11"/>
  <c r="U2113" i="11"/>
  <c r="V2113" i="11" s="1"/>
  <c r="AA2113" i="11" s="1"/>
  <c r="T2113" i="11"/>
  <c r="U2009" i="11"/>
  <c r="Y2009" i="11" s="1"/>
  <c r="T2009" i="11"/>
  <c r="U1977" i="11"/>
  <c r="Y1977" i="11" s="1"/>
  <c r="T1977" i="11"/>
  <c r="T1849" i="11"/>
  <c r="U1849" i="11"/>
  <c r="V1849" i="11" s="1"/>
  <c r="U1809" i="11"/>
  <c r="V1809" i="11" s="1"/>
  <c r="T1809" i="11"/>
  <c r="U1793" i="11"/>
  <c r="Y1793" i="11" s="1"/>
  <c r="T1793" i="11"/>
  <c r="U1745" i="11"/>
  <c r="V1745" i="11" s="1"/>
  <c r="T1745" i="11"/>
  <c r="U1657" i="11"/>
  <c r="Y1657" i="11" s="1"/>
  <c r="T1657" i="11"/>
  <c r="U1593" i="11"/>
  <c r="Y1593" i="11" s="1"/>
  <c r="T1593" i="11"/>
  <c r="T1569" i="11"/>
  <c r="U1569" i="11"/>
  <c r="V1569" i="11" s="1"/>
  <c r="U1553" i="11"/>
  <c r="V1553" i="11" s="1"/>
  <c r="T1553" i="11"/>
  <c r="U1521" i="11"/>
  <c r="V1521" i="11" s="1"/>
  <c r="T1521" i="11"/>
  <c r="U1497" i="11"/>
  <c r="V1497" i="11" s="1"/>
  <c r="T1497" i="11"/>
  <c r="U1489" i="11"/>
  <c r="V1489" i="11" s="1"/>
  <c r="T1489" i="11"/>
  <c r="U1473" i="11"/>
  <c r="V1473" i="11" s="1"/>
  <c r="AA1473" i="11" s="1"/>
  <c r="T1473" i="11"/>
  <c r="U1441" i="11"/>
  <c r="Y1441" i="11" s="1"/>
  <c r="T1441" i="11"/>
  <c r="T1433" i="11"/>
  <c r="U1433" i="11"/>
  <c r="Y1433" i="11" s="1"/>
  <c r="T1401" i="11"/>
  <c r="U1401" i="11"/>
  <c r="Y1401" i="11" s="1"/>
  <c r="AB1401" i="11" s="1"/>
  <c r="U1393" i="11"/>
  <c r="Y1393" i="11" s="1"/>
  <c r="T1393" i="11"/>
  <c r="U1377" i="11"/>
  <c r="Y1377" i="11" s="1"/>
  <c r="T1377" i="11"/>
  <c r="U1369" i="11"/>
  <c r="Y1369" i="11" s="1"/>
  <c r="T1369" i="11"/>
  <c r="U1297" i="11"/>
  <c r="Y1297" i="11" s="1"/>
  <c r="AB1297" i="11" s="1"/>
  <c r="T1297" i="11"/>
  <c r="U1257" i="11"/>
  <c r="Y1257" i="11" s="1"/>
  <c r="T1257" i="11"/>
  <c r="U1145" i="11"/>
  <c r="V1145" i="11" s="1"/>
  <c r="T1145" i="11"/>
  <c r="U1097" i="11"/>
  <c r="V1097" i="11" s="1"/>
  <c r="T1097" i="11"/>
  <c r="U777" i="11"/>
  <c r="Y777" i="11" s="1"/>
  <c r="T777" i="11"/>
  <c r="U585" i="11"/>
  <c r="Y585" i="11" s="1"/>
  <c r="T585" i="11"/>
  <c r="U441" i="11"/>
  <c r="Y441" i="11" s="1"/>
  <c r="T441" i="11"/>
  <c r="U417" i="11"/>
  <c r="Y417" i="11" s="1"/>
  <c r="T417" i="11"/>
  <c r="U385" i="11"/>
  <c r="V385" i="11" s="1"/>
  <c r="T385" i="11"/>
  <c r="U377" i="11"/>
  <c r="Y377" i="11" s="1"/>
  <c r="T377" i="11"/>
  <c r="U321" i="11"/>
  <c r="Y321" i="11" s="1"/>
  <c r="T321" i="11"/>
  <c r="U273" i="11"/>
  <c r="Y273" i="11" s="1"/>
  <c r="T273" i="11"/>
  <c r="U225" i="11"/>
  <c r="V225" i="11" s="1"/>
  <c r="T225" i="11"/>
  <c r="U209" i="11"/>
  <c r="Y209" i="11" s="1"/>
  <c r="T209" i="11"/>
  <c r="U153" i="11"/>
  <c r="V153" i="11" s="1"/>
  <c r="T153" i="11"/>
  <c r="U129" i="11"/>
  <c r="Y129" i="11" s="1"/>
  <c r="T129" i="11"/>
  <c r="U113" i="11"/>
  <c r="Y113" i="11" s="1"/>
  <c r="T113" i="11"/>
  <c r="U97" i="11"/>
  <c r="Y97" i="11" s="1"/>
  <c r="T97" i="11"/>
  <c r="U89" i="11"/>
  <c r="Y89" i="11" s="1"/>
  <c r="T89" i="11"/>
  <c r="U49" i="11"/>
  <c r="V49" i="11" s="1"/>
  <c r="T49" i="11"/>
  <c r="U33" i="11"/>
  <c r="Y33" i="11" s="1"/>
  <c r="T33" i="11"/>
  <c r="G3166" i="11"/>
  <c r="W3166" i="11"/>
  <c r="Z3166" i="11" s="1"/>
  <c r="G2558" i="11"/>
  <c r="U2558" i="11" s="1"/>
  <c r="V2558" i="11" s="1"/>
  <c r="W2558" i="11"/>
  <c r="Z2558" i="11" s="1"/>
  <c r="G2526" i="11"/>
  <c r="W2526" i="11"/>
  <c r="Z2526" i="11" s="1"/>
  <c r="U2470" i="11"/>
  <c r="Y2470" i="11" s="1"/>
  <c r="AB2470" i="11" s="1"/>
  <c r="T2470" i="11"/>
  <c r="G2222" i="11"/>
  <c r="W2222" i="11"/>
  <c r="Z2222" i="11" s="1"/>
  <c r="T2726" i="11"/>
  <c r="T2790" i="11"/>
  <c r="T3678" i="11"/>
  <c r="T3094" i="11"/>
  <c r="T2310" i="11"/>
  <c r="T2382" i="11"/>
  <c r="T3662" i="11"/>
  <c r="T2737" i="11"/>
  <c r="T2886" i="11"/>
  <c r="T2390" i="11"/>
  <c r="T2518" i="11"/>
  <c r="T2718" i="11"/>
  <c r="T2657" i="11"/>
  <c r="T3593" i="11"/>
  <c r="T3449" i="11"/>
  <c r="T3289" i="11"/>
  <c r="T3657" i="11"/>
  <c r="T3353" i="11"/>
  <c r="T2281" i="11"/>
  <c r="T3833" i="11"/>
  <c r="T2945" i="11"/>
  <c r="T2833" i="11"/>
  <c r="W2854" i="11"/>
  <c r="Z2854" i="11" s="1"/>
  <c r="U2894" i="11"/>
  <c r="V2894" i="11" s="1"/>
  <c r="U2665" i="11"/>
  <c r="Y2665" i="11" s="1"/>
  <c r="AB2665" i="11" s="1"/>
  <c r="U2577" i="11"/>
  <c r="V2577" i="11" s="1"/>
  <c r="U3438" i="11"/>
  <c r="V3438" i="11" s="1"/>
  <c r="T3438" i="11"/>
  <c r="G2662" i="11"/>
  <c r="W2662" i="11"/>
  <c r="Z2662" i="11" s="1"/>
  <c r="U2606" i="11"/>
  <c r="Y2606" i="11" s="1"/>
  <c r="AB2606" i="11" s="1"/>
  <c r="T2606" i="11"/>
  <c r="U2326" i="11"/>
  <c r="V2326" i="11" s="1"/>
  <c r="T2326" i="11"/>
  <c r="T2785" i="11"/>
  <c r="T2582" i="11"/>
  <c r="T2745" i="11"/>
  <c r="T3702" i="11"/>
  <c r="T3646" i="11"/>
  <c r="T2798" i="11"/>
  <c r="T2254" i="11"/>
  <c r="T3879" i="11"/>
  <c r="T3238" i="11"/>
  <c r="T3198" i="11"/>
  <c r="T2614" i="11"/>
  <c r="T3326" i="11"/>
  <c r="T3038" i="11"/>
  <c r="T2406" i="11"/>
  <c r="T3462" i="11"/>
  <c r="T2529" i="11"/>
  <c r="T3321" i="11"/>
  <c r="T3817" i="11"/>
  <c r="T3865" i="11"/>
  <c r="T3513" i="11"/>
  <c r="T2969" i="11"/>
  <c r="T3161" i="11"/>
  <c r="T3689" i="11"/>
  <c r="W2326" i="11"/>
  <c r="Z2326" i="11" s="1"/>
  <c r="U3881" i="11"/>
  <c r="Y3881" i="11" s="1"/>
  <c r="U3545" i="11"/>
  <c r="Y3545" i="11" s="1"/>
  <c r="U3297" i="11"/>
  <c r="V3297" i="11" s="1"/>
  <c r="U3153" i="11"/>
  <c r="Y3153" i="11" s="1"/>
  <c r="G3807" i="11"/>
  <c r="W3807" i="11"/>
  <c r="Z3807" i="11" s="1"/>
  <c r="G3686" i="11"/>
  <c r="W3686" i="11"/>
  <c r="Z3686" i="11" s="1"/>
  <c r="U3622" i="11"/>
  <c r="Y3622" i="11" s="1"/>
  <c r="T3622" i="11"/>
  <c r="G3590" i="11"/>
  <c r="W3590" i="11"/>
  <c r="X3590" i="11" s="1"/>
  <c r="G3502" i="11"/>
  <c r="W3502" i="11"/>
  <c r="Z3502" i="11" s="1"/>
  <c r="G3486" i="11"/>
  <c r="W3486" i="11"/>
  <c r="Z3486" i="11" s="1"/>
  <c r="U3454" i="11"/>
  <c r="Y3454" i="11" s="1"/>
  <c r="T3454" i="11"/>
  <c r="G3406" i="11"/>
  <c r="W3406" i="11"/>
  <c r="Z3406" i="11" s="1"/>
  <c r="G3390" i="11"/>
  <c r="W3390" i="11"/>
  <c r="Z3390" i="11" s="1"/>
  <c r="G3382" i="11"/>
  <c r="W3382" i="11"/>
  <c r="Z3382" i="11" s="1"/>
  <c r="U3358" i="11"/>
  <c r="V3358" i="11" s="1"/>
  <c r="T3358" i="11"/>
  <c r="U3302" i="11"/>
  <c r="Y3302" i="11" s="1"/>
  <c r="T3302" i="11"/>
  <c r="G3262" i="11"/>
  <c r="W3262" i="11"/>
  <c r="X3262" i="11" s="1"/>
  <c r="G2774" i="11"/>
  <c r="W2774" i="11"/>
  <c r="X2774" i="11" s="1"/>
  <c r="G2750" i="11"/>
  <c r="W2750" i="11"/>
  <c r="Z2750" i="11" s="1"/>
  <c r="G2742" i="11"/>
  <c r="W2742" i="11"/>
  <c r="Z2742" i="11" s="1"/>
  <c r="U2678" i="11"/>
  <c r="Y2678" i="11" s="1"/>
  <c r="AB2678" i="11" s="1"/>
  <c r="T2678" i="11"/>
  <c r="G2550" i="11"/>
  <c r="W2550" i="11"/>
  <c r="X2550" i="11" s="1"/>
  <c r="T2777" i="11"/>
  <c r="T2793" i="11"/>
  <c r="T3526" i="11"/>
  <c r="T2838" i="11"/>
  <c r="T3342" i="11"/>
  <c r="T3046" i="11"/>
  <c r="T3182" i="11"/>
  <c r="T3030" i="11"/>
  <c r="T2910" i="11"/>
  <c r="T2710" i="11"/>
  <c r="T3654" i="11"/>
  <c r="T3601" i="11"/>
  <c r="T2705" i="11"/>
  <c r="T2278" i="11"/>
  <c r="T3713" i="11"/>
  <c r="T3561" i="11"/>
  <c r="T3617" i="11"/>
  <c r="T2617" i="11"/>
  <c r="T2521" i="11"/>
  <c r="T3721" i="11"/>
  <c r="T2374" i="11"/>
  <c r="T3369" i="11"/>
  <c r="T3505" i="11"/>
  <c r="T2686" i="11"/>
  <c r="T3457" i="11"/>
  <c r="T3129" i="11"/>
  <c r="T2414" i="11"/>
  <c r="W3278" i="11"/>
  <c r="X3278" i="11" s="1"/>
  <c r="U3489" i="11"/>
  <c r="Y3489" i="11" s="1"/>
  <c r="U503" i="11"/>
  <c r="Y503" i="11" s="1"/>
  <c r="T503" i="11"/>
  <c r="G3294" i="11"/>
  <c r="W3294" i="11"/>
  <c r="Z3294" i="11" s="1"/>
  <c r="G3270" i="11"/>
  <c r="W3270" i="11"/>
  <c r="Z3270" i="11" s="1"/>
  <c r="U3246" i="11"/>
  <c r="Y3246" i="11" s="1"/>
  <c r="T3246" i="11"/>
  <c r="G2246" i="11"/>
  <c r="W2246" i="11"/>
  <c r="X2246" i="11" s="1"/>
  <c r="T3630" i="11"/>
  <c r="T3254" i="11"/>
  <c r="T3214" i="11"/>
  <c r="T2942" i="11"/>
  <c r="T2918" i="11"/>
  <c r="T3558" i="11"/>
  <c r="T2902" i="11"/>
  <c r="T3318" i="11"/>
  <c r="T2262" i="11"/>
  <c r="T2502" i="11"/>
  <c r="T1311" i="11"/>
  <c r="T3110" i="11"/>
  <c r="T3374" i="11"/>
  <c r="T2729" i="11"/>
  <c r="T2841" i="11"/>
  <c r="T3537" i="11"/>
  <c r="T2782" i="11"/>
  <c r="T2641" i="11"/>
  <c r="T3750" i="11"/>
  <c r="T3577" i="11"/>
  <c r="T3641" i="11"/>
  <c r="T3033" i="11"/>
  <c r="T3017" i="11"/>
  <c r="T3001" i="11"/>
  <c r="T3113" i="11"/>
  <c r="T3225" i="11"/>
  <c r="T3209" i="11"/>
  <c r="U3385" i="11"/>
  <c r="Y3385" i="11" s="1"/>
  <c r="U1177" i="11"/>
  <c r="V1177" i="11" s="1"/>
  <c r="G3815" i="11"/>
  <c r="W3815" i="11"/>
  <c r="Z3815" i="11" s="1"/>
  <c r="G3718" i="11"/>
  <c r="W3718" i="11"/>
  <c r="Z3718" i="11" s="1"/>
  <c r="G3694" i="11"/>
  <c r="W3694" i="11"/>
  <c r="X3694" i="11" s="1"/>
  <c r="G3598" i="11"/>
  <c r="W3598" i="11"/>
  <c r="X3598" i="11" s="1"/>
  <c r="G3582" i="11"/>
  <c r="W3582" i="11"/>
  <c r="X3582" i="11" s="1"/>
  <c r="G3478" i="11"/>
  <c r="W3478" i="11"/>
  <c r="X3478" i="11" s="1"/>
  <c r="G3286" i="11"/>
  <c r="W3286" i="11"/>
  <c r="X3286" i="11" s="1"/>
  <c r="G3174" i="11"/>
  <c r="W3174" i="11"/>
  <c r="Z3174" i="11" s="1"/>
  <c r="G3062" i="11"/>
  <c r="W3062" i="11"/>
  <c r="Z3062" i="11" s="1"/>
  <c r="G2958" i="11"/>
  <c r="W2958" i="11"/>
  <c r="Z2958" i="11" s="1"/>
  <c r="G2862" i="11"/>
  <c r="W2862" i="11"/>
  <c r="X2862" i="11" s="1"/>
  <c r="G2646" i="11"/>
  <c r="W2646" i="11"/>
  <c r="X2646" i="11" s="1"/>
  <c r="G2542" i="11"/>
  <c r="W2542" i="11"/>
  <c r="Z2542" i="11" s="1"/>
  <c r="U2510" i="11"/>
  <c r="Y2510" i="11" s="1"/>
  <c r="T2510" i="11"/>
  <c r="U2454" i="11"/>
  <c r="Y2454" i="11" s="1"/>
  <c r="T2454" i="11"/>
  <c r="G2430" i="11"/>
  <c r="W2430" i="11"/>
  <c r="X2430" i="11" s="1"/>
  <c r="G2334" i="11"/>
  <c r="W2334" i="11"/>
  <c r="Z2334" i="11" s="1"/>
  <c r="T3086" i="11"/>
  <c r="T2926" i="11"/>
  <c r="T2478" i="11"/>
  <c r="T2598" i="11"/>
  <c r="T2854" i="11"/>
  <c r="T3638" i="11"/>
  <c r="T3257" i="11"/>
  <c r="T3377" i="11"/>
  <c r="T3305" i="11"/>
  <c r="T3217" i="11"/>
  <c r="T3145" i="11"/>
  <c r="T3081" i="11"/>
  <c r="T3889" i="11"/>
  <c r="W3086" i="11"/>
  <c r="Z3086" i="11" s="1"/>
  <c r="AB3086" i="11" s="1"/>
  <c r="W2422" i="11"/>
  <c r="Z2422" i="11" s="1"/>
  <c r="AB2422" i="11" s="1"/>
  <c r="U3766" i="11"/>
  <c r="V3766" i="11" s="1"/>
  <c r="U3273" i="11"/>
  <c r="Y3273" i="11" s="1"/>
  <c r="G3614" i="11"/>
  <c r="W3614" i="11"/>
  <c r="X3614" i="11" s="1"/>
  <c r="U3446" i="11"/>
  <c r="V3446" i="11" s="1"/>
  <c r="T3446" i="11"/>
  <c r="G2982" i="11"/>
  <c r="W2982" i="11"/>
  <c r="Z2982" i="11" s="1"/>
  <c r="G2974" i="11"/>
  <c r="W2974" i="11"/>
  <c r="X2974" i="11" s="1"/>
  <c r="G2950" i="11"/>
  <c r="W2950" i="11"/>
  <c r="X2950" i="11" s="1"/>
  <c r="G2870" i="11"/>
  <c r="W2870" i="11"/>
  <c r="X2870" i="11" s="1"/>
  <c r="G2446" i="11"/>
  <c r="W2446" i="11"/>
  <c r="X2446" i="11" s="1"/>
  <c r="T2934" i="11"/>
  <c r="T2814" i="11"/>
  <c r="T3150" i="11"/>
  <c r="T3430" i="11"/>
  <c r="T3569" i="11"/>
  <c r="T2294" i="11"/>
  <c r="T3337" i="11"/>
  <c r="T3073" i="11"/>
  <c r="T2462" i="11"/>
  <c r="T2806" i="11"/>
  <c r="T2486" i="11"/>
  <c r="T3783" i="11"/>
  <c r="T2206" i="11"/>
  <c r="T2758" i="11"/>
  <c r="T3734" i="11"/>
  <c r="T3022" i="11"/>
  <c r="T3126" i="11"/>
  <c r="T3510" i="11"/>
  <c r="T3134" i="11"/>
  <c r="T2198" i="11"/>
  <c r="T3550" i="11"/>
  <c r="T2553" i="11"/>
  <c r="T2601" i="11"/>
  <c r="T2358" i="11"/>
  <c r="T3534" i="11"/>
  <c r="T3249" i="11"/>
  <c r="T3265" i="11"/>
  <c r="T2761" i="11"/>
  <c r="T3745" i="11"/>
  <c r="T2993" i="11"/>
  <c r="T3529" i="11"/>
  <c r="W3702" i="11"/>
  <c r="Z3702" i="11" s="1"/>
  <c r="W3374" i="11"/>
  <c r="Z3374" i="11" s="1"/>
  <c r="AB3374" i="11" s="1"/>
  <c r="W2758" i="11"/>
  <c r="Z2758" i="11" s="1"/>
  <c r="U3521" i="11"/>
  <c r="Y3521" i="11" s="1"/>
  <c r="G3823" i="11"/>
  <c r="W3823" i="11"/>
  <c r="X3823" i="11" s="1"/>
  <c r="G3791" i="11"/>
  <c r="W3791" i="11"/>
  <c r="Z3791" i="11" s="1"/>
  <c r="G3494" i="11"/>
  <c r="W3494" i="11"/>
  <c r="Z3494" i="11" s="1"/>
  <c r="G3470" i="11"/>
  <c r="W3470" i="11"/>
  <c r="X3470" i="11" s="1"/>
  <c r="T3350" i="11"/>
  <c r="U3350" i="11"/>
  <c r="Y3350" i="11" s="1"/>
  <c r="U3278" i="11"/>
  <c r="Y3278" i="11" s="1"/>
  <c r="T3278" i="11"/>
  <c r="G3190" i="11"/>
  <c r="W3190" i="11"/>
  <c r="X3190" i="11" s="1"/>
  <c r="G3158" i="11"/>
  <c r="W3158" i="11"/>
  <c r="X3158" i="11" s="1"/>
  <c r="G3070" i="11"/>
  <c r="W3070" i="11"/>
  <c r="Z3070" i="11" s="1"/>
  <c r="G3054" i="11"/>
  <c r="W3054" i="11"/>
  <c r="Z3054" i="11" s="1"/>
  <c r="G2966" i="11"/>
  <c r="W2966" i="11"/>
  <c r="X2966" i="11" s="1"/>
  <c r="G2878" i="11"/>
  <c r="W2878" i="11"/>
  <c r="Z2878" i="11" s="1"/>
  <c r="G2846" i="11"/>
  <c r="W2846" i="11"/>
  <c r="Z2846" i="11" s="1"/>
  <c r="G2766" i="11"/>
  <c r="W2766" i="11"/>
  <c r="X2766" i="11" s="1"/>
  <c r="G2670" i="11"/>
  <c r="W2670" i="11"/>
  <c r="X2670" i="11" s="1"/>
  <c r="G2654" i="11"/>
  <c r="U2654" i="11" s="1"/>
  <c r="Y2654" i="11" s="1"/>
  <c r="W2654" i="11"/>
  <c r="Z2654" i="11" s="1"/>
  <c r="G2638" i="11"/>
  <c r="W2638" i="11"/>
  <c r="X2638" i="11" s="1"/>
  <c r="G2630" i="11"/>
  <c r="W2630" i="11"/>
  <c r="Z2630" i="11" s="1"/>
  <c r="G2342" i="11"/>
  <c r="W2342" i="11"/>
  <c r="Z2342" i="11" s="1"/>
  <c r="U2270" i="11"/>
  <c r="Y2270" i="11" s="1"/>
  <c r="T2270" i="11"/>
  <c r="G2238" i="11"/>
  <c r="W2238" i="11"/>
  <c r="X2238" i="11" s="1"/>
  <c r="T2574" i="11"/>
  <c r="T3518" i="11"/>
  <c r="T3574" i="11"/>
  <c r="T3206" i="11"/>
  <c r="T3785" i="11"/>
  <c r="T3409" i="11"/>
  <c r="T2494" i="11"/>
  <c r="T2422" i="11"/>
  <c r="T2590" i="11"/>
  <c r="T3118" i="11"/>
  <c r="T2830" i="11"/>
  <c r="T2230" i="11"/>
  <c r="T3566" i="11"/>
  <c r="T3334" i="11"/>
  <c r="T3142" i="11"/>
  <c r="T2998" i="11"/>
  <c r="T3006" i="11"/>
  <c r="T3230" i="11"/>
  <c r="T2822" i="11"/>
  <c r="T2286" i="11"/>
  <c r="T3729" i="11"/>
  <c r="T3422" i="11"/>
  <c r="T3775" i="11"/>
  <c r="T3633" i="11"/>
  <c r="T3737" i="11"/>
  <c r="T3241" i="11"/>
  <c r="T2622" i="11"/>
  <c r="T2734" i="11"/>
  <c r="T3137" i="11"/>
  <c r="T3177" i="11"/>
  <c r="T3481" i="11"/>
  <c r="T3625" i="11"/>
  <c r="T3009" i="11"/>
  <c r="T2961" i="11"/>
  <c r="W3510" i="11"/>
  <c r="X3510" i="11" s="1"/>
  <c r="W2230" i="11"/>
  <c r="Z2230" i="11" s="1"/>
  <c r="AB2230" i="11" s="1"/>
  <c r="U3465" i="11"/>
  <c r="Y3465" i="11" s="1"/>
  <c r="T25" i="11"/>
  <c r="G3740" i="11"/>
  <c r="G3156" i="11"/>
  <c r="G2764" i="11"/>
  <c r="U2764" i="11" s="1"/>
  <c r="V2764" i="11" s="1"/>
  <c r="G2604" i="11"/>
  <c r="G2548" i="11"/>
  <c r="G2476" i="11"/>
  <c r="G2404" i="11"/>
  <c r="U2404" i="11" s="1"/>
  <c r="G2348" i="11"/>
  <c r="G2292" i="11"/>
  <c r="G2618" i="11"/>
  <c r="U2618" i="11" s="1"/>
  <c r="Y2618" i="11" s="1"/>
  <c r="AB2618" i="11" s="1"/>
  <c r="G2570" i="11"/>
  <c r="G2554" i="11"/>
  <c r="G2506" i="11"/>
  <c r="G2490" i="11"/>
  <c r="G2442" i="11"/>
  <c r="G2426" i="11"/>
  <c r="G2378" i="11"/>
  <c r="G2362" i="11"/>
  <c r="G2314" i="11"/>
  <c r="G2298" i="11"/>
  <c r="G2250" i="11"/>
  <c r="G2234" i="11"/>
  <c r="G2194" i="11"/>
  <c r="U2194" i="11" s="1"/>
  <c r="V2194" i="11" s="1"/>
  <c r="G2178" i="11"/>
  <c r="G2162" i="11"/>
  <c r="G2146" i="11"/>
  <c r="G2130" i="11"/>
  <c r="G2098" i="11"/>
  <c r="G2082" i="11"/>
  <c r="G2066" i="11"/>
  <c r="U2066" i="11" s="1"/>
  <c r="V2066" i="11" s="1"/>
  <c r="AA2066" i="11" s="1"/>
  <c r="G2050" i="11"/>
  <c r="G2034" i="11"/>
  <c r="G2018" i="11"/>
  <c r="G2002" i="11"/>
  <c r="G1986" i="11"/>
  <c r="T1986" i="11" s="1"/>
  <c r="G1970" i="11"/>
  <c r="G1954" i="11"/>
  <c r="G1938" i="11"/>
  <c r="U1938" i="11" s="1"/>
  <c r="Y1938" i="11" s="1"/>
  <c r="G1922" i="11"/>
  <c r="G1906" i="11"/>
  <c r="G1890" i="11"/>
  <c r="G1874" i="11"/>
  <c r="G1858" i="11"/>
  <c r="G1842" i="11"/>
  <c r="G1826" i="11"/>
  <c r="G1810" i="11"/>
  <c r="G1794" i="11"/>
  <c r="G1778" i="11"/>
  <c r="G1762" i="11"/>
  <c r="G1746" i="11"/>
  <c r="G1730" i="11"/>
  <c r="G1714" i="11"/>
  <c r="G1698" i="11"/>
  <c r="G1682" i="11"/>
  <c r="U1682" i="11" s="1"/>
  <c r="Y1682" i="11" s="1"/>
  <c r="G1666" i="11"/>
  <c r="G1650" i="11"/>
  <c r="G1634" i="11"/>
  <c r="G1618" i="11"/>
  <c r="G1602" i="11"/>
  <c r="G1586" i="11"/>
  <c r="G1570" i="11"/>
  <c r="G1554" i="11"/>
  <c r="G1522" i="11"/>
  <c r="G1426" i="11"/>
  <c r="G1394" i="11"/>
  <c r="G1298" i="11"/>
  <c r="G1266" i="11"/>
  <c r="G1170" i="11"/>
  <c r="G1138" i="11"/>
  <c r="G1042" i="11"/>
  <c r="U1042" i="11" s="1"/>
  <c r="Y1042" i="11" s="1"/>
  <c r="G1010" i="11"/>
  <c r="G914" i="11"/>
  <c r="G882" i="11"/>
  <c r="G786" i="11"/>
  <c r="G754" i="11"/>
  <c r="G658" i="11"/>
  <c r="G626" i="11"/>
  <c r="G530" i="11"/>
  <c r="G498" i="11"/>
  <c r="G402" i="11"/>
  <c r="G370" i="11"/>
  <c r="G274" i="11"/>
  <c r="G242" i="11"/>
  <c r="T2404" i="11"/>
  <c r="U1986" i="11"/>
  <c r="V1986" i="11" s="1"/>
  <c r="T3224" i="11"/>
  <c r="W27" i="11"/>
  <c r="Z27" i="11" s="1"/>
  <c r="G27" i="11"/>
  <c r="T1447" i="11"/>
  <c r="T1679" i="11"/>
  <c r="T2488" i="11"/>
  <c r="T1511" i="11"/>
  <c r="W2348" i="11"/>
  <c r="Z2348" i="11" s="1"/>
  <c r="W2548" i="11"/>
  <c r="Z2548" i="11" s="1"/>
  <c r="T297" i="11"/>
  <c r="T3192" i="11"/>
  <c r="W2764" i="11"/>
  <c r="Z2764" i="11" s="1"/>
  <c r="T3288" i="11"/>
  <c r="T3256" i="11"/>
  <c r="T3160" i="11"/>
  <c r="W3156" i="11"/>
  <c r="X3156" i="11" s="1"/>
  <c r="G139" i="11"/>
  <c r="G3884" i="11"/>
  <c r="U3884" i="11" s="1"/>
  <c r="Y3884" i="11" s="1"/>
  <c r="G3876" i="11"/>
  <c r="G3868" i="11"/>
  <c r="G3860" i="11"/>
  <c r="G3844" i="11"/>
  <c r="G3836" i="11"/>
  <c r="G3828" i="11"/>
  <c r="G3820" i="11"/>
  <c r="G3812" i="11"/>
  <c r="G3796" i="11"/>
  <c r="G3788" i="11"/>
  <c r="G3780" i="11"/>
  <c r="G3772" i="11"/>
  <c r="G3764" i="11"/>
  <c r="G3756" i="11"/>
  <c r="U3756" i="11" s="1"/>
  <c r="Y3756" i="11" s="1"/>
  <c r="G3748" i="11"/>
  <c r="G3732" i="11"/>
  <c r="G3724" i="11"/>
  <c r="G3716" i="11"/>
  <c r="G3708" i="11"/>
  <c r="U3708" i="11" s="1"/>
  <c r="Y3708" i="11" s="1"/>
  <c r="G3700" i="11"/>
  <c r="G3692" i="11"/>
  <c r="U3692" i="11" s="1"/>
  <c r="V3692" i="11" s="1"/>
  <c r="G3684" i="11"/>
  <c r="G3676" i="11"/>
  <c r="U3676" i="11" s="1"/>
  <c r="Y3676" i="11" s="1"/>
  <c r="G3668" i="11"/>
  <c r="G3660" i="11"/>
  <c r="U3660" i="11" s="1"/>
  <c r="Y3660" i="11" s="1"/>
  <c r="G3652" i="11"/>
  <c r="G3644" i="11"/>
  <c r="U3644" i="11" s="1"/>
  <c r="V3644" i="11" s="1"/>
  <c r="G3636" i="11"/>
  <c r="G3628" i="11"/>
  <c r="U3628" i="11" s="1"/>
  <c r="Y3628" i="11" s="1"/>
  <c r="G3620" i="11"/>
  <c r="G3612" i="11"/>
  <c r="G3604" i="11"/>
  <c r="G3596" i="11"/>
  <c r="U3596" i="11" s="1"/>
  <c r="V3596" i="11" s="1"/>
  <c r="G3588" i="11"/>
  <c r="G3580" i="11"/>
  <c r="U3580" i="11" s="1"/>
  <c r="Y3580" i="11" s="1"/>
  <c r="G3572" i="11"/>
  <c r="G3564" i="11"/>
  <c r="G3556" i="11"/>
  <c r="G3548" i="11"/>
  <c r="U3548" i="11" s="1"/>
  <c r="Y3548" i="11" s="1"/>
  <c r="G3540" i="11"/>
  <c r="G3532" i="11"/>
  <c r="G3524" i="11"/>
  <c r="G3516" i="11"/>
  <c r="U3516" i="11" s="1"/>
  <c r="Y3516" i="11" s="1"/>
  <c r="G3508" i="11"/>
  <c r="G3500" i="11"/>
  <c r="U3500" i="11" s="1"/>
  <c r="Y3500" i="11" s="1"/>
  <c r="G3492" i="11"/>
  <c r="G3484" i="11"/>
  <c r="G3476" i="11"/>
  <c r="G3468" i="11"/>
  <c r="U3468" i="11" s="1"/>
  <c r="Y3468" i="11" s="1"/>
  <c r="G3460" i="11"/>
  <c r="G3452" i="11"/>
  <c r="U3452" i="11" s="1"/>
  <c r="Y3452" i="11" s="1"/>
  <c r="G3444" i="11"/>
  <c r="G3436" i="11"/>
  <c r="U3436" i="11" s="1"/>
  <c r="Y3436" i="11" s="1"/>
  <c r="G3428" i="11"/>
  <c r="G3420" i="11"/>
  <c r="U3420" i="11" s="1"/>
  <c r="V3420" i="11" s="1"/>
  <c r="G3412" i="11"/>
  <c r="G3404" i="11"/>
  <c r="U3404" i="11" s="1"/>
  <c r="V3404" i="11" s="1"/>
  <c r="G3396" i="11"/>
  <c r="G3388" i="11"/>
  <c r="U3388" i="11" s="1"/>
  <c r="Y3388" i="11" s="1"/>
  <c r="G3380" i="11"/>
  <c r="G3372" i="11"/>
  <c r="G3364" i="11"/>
  <c r="G3356" i="11"/>
  <c r="U3356" i="11" s="1"/>
  <c r="V3356" i="11" s="1"/>
  <c r="G3348" i="11"/>
  <c r="G3340" i="11"/>
  <c r="G3332" i="11"/>
  <c r="G3324" i="11"/>
  <c r="U3324" i="11" s="1"/>
  <c r="Y3324" i="11" s="1"/>
  <c r="G3316" i="11"/>
  <c r="G3308" i="11"/>
  <c r="U3308" i="11" s="1"/>
  <c r="Y3308" i="11" s="1"/>
  <c r="G3300" i="11"/>
  <c r="G3292" i="11"/>
  <c r="U3292" i="11" s="1"/>
  <c r="Y3292" i="11" s="1"/>
  <c r="G3284" i="11"/>
  <c r="G3276" i="11"/>
  <c r="G3268" i="11"/>
  <c r="G3260" i="11"/>
  <c r="G3252" i="11"/>
  <c r="G3244" i="11"/>
  <c r="G3236" i="11"/>
  <c r="G3228" i="11"/>
  <c r="U3228" i="11" s="1"/>
  <c r="Y3228" i="11" s="1"/>
  <c r="G3220" i="11"/>
  <c r="G3212" i="11"/>
  <c r="U3212" i="11" s="1"/>
  <c r="Y3212" i="11" s="1"/>
  <c r="G3204" i="11"/>
  <c r="G3196" i="11"/>
  <c r="G3188" i="11"/>
  <c r="G3180" i="11"/>
  <c r="U3180" i="11" s="1"/>
  <c r="V3180" i="11" s="1"/>
  <c r="G3172" i="11"/>
  <c r="G3164" i="11"/>
  <c r="G3148" i="11"/>
  <c r="U3148" i="11" s="1"/>
  <c r="Y3148" i="11" s="1"/>
  <c r="G3140" i="11"/>
  <c r="G3132" i="11"/>
  <c r="G3124" i="11"/>
  <c r="G3116" i="11"/>
  <c r="U3116" i="11" s="1"/>
  <c r="Y3116" i="11" s="1"/>
  <c r="G3108" i="11"/>
  <c r="G3100" i="11"/>
  <c r="U3100" i="11" s="1"/>
  <c r="V3100" i="11" s="1"/>
  <c r="G3092" i="11"/>
  <c r="G3084" i="11"/>
  <c r="U3084" i="11" s="1"/>
  <c r="Y3084" i="11" s="1"/>
  <c r="G3076" i="11"/>
  <c r="G3068" i="11"/>
  <c r="U3068" i="11" s="1"/>
  <c r="Y3068" i="11" s="1"/>
  <c r="G3060" i="11"/>
  <c r="G3052" i="11"/>
  <c r="U3052" i="11" s="1"/>
  <c r="Y3052" i="11" s="1"/>
  <c r="G3044" i="11"/>
  <c r="G3036" i="11"/>
  <c r="G3028" i="11"/>
  <c r="G3020" i="11"/>
  <c r="U3020" i="11" s="1"/>
  <c r="V3020" i="11" s="1"/>
  <c r="G3012" i="11"/>
  <c r="G3004" i="11"/>
  <c r="G2996" i="11"/>
  <c r="G2988" i="11"/>
  <c r="G2980" i="11"/>
  <c r="G2972" i="11"/>
  <c r="U2972" i="11" s="1"/>
  <c r="Y2972" i="11" s="1"/>
  <c r="G2964" i="11"/>
  <c r="G2956" i="11"/>
  <c r="U2956" i="11" s="1"/>
  <c r="Y2956" i="11" s="1"/>
  <c r="G2948" i="11"/>
  <c r="G2940" i="11"/>
  <c r="U2940" i="11" s="1"/>
  <c r="Y2940" i="11" s="1"/>
  <c r="S3890" i="11"/>
  <c r="G2932" i="11"/>
  <c r="G2924" i="11"/>
  <c r="U2924" i="11" s="1"/>
  <c r="Y2924" i="11" s="1"/>
  <c r="G2916" i="11"/>
  <c r="G2908" i="11"/>
  <c r="G2900" i="11"/>
  <c r="G2892" i="11"/>
  <c r="G2884" i="11"/>
  <c r="G2876" i="11"/>
  <c r="U2876" i="11" s="1"/>
  <c r="Y2876" i="11" s="1"/>
  <c r="G2868" i="11"/>
  <c r="G2860" i="11"/>
  <c r="G2852" i="11"/>
  <c r="G2844" i="11"/>
  <c r="G2836" i="11"/>
  <c r="G2828" i="11"/>
  <c r="U2828" i="11" s="1"/>
  <c r="Y2828" i="11" s="1"/>
  <c r="G2820" i="11"/>
  <c r="G2812" i="11"/>
  <c r="U2812" i="11" s="1"/>
  <c r="V2812" i="11" s="1"/>
  <c r="G2804" i="11"/>
  <c r="G2796" i="11"/>
  <c r="U2796" i="11" s="1"/>
  <c r="V2796" i="11" s="1"/>
  <c r="G2788" i="11"/>
  <c r="G2780" i="11"/>
  <c r="U2780" i="11" s="1"/>
  <c r="V2780" i="11" s="1"/>
  <c r="G2772" i="11"/>
  <c r="G2756" i="11"/>
  <c r="G2748" i="11"/>
  <c r="U2748" i="11" s="1"/>
  <c r="Y2748" i="11" s="1"/>
  <c r="G2740" i="11"/>
  <c r="G2732" i="11"/>
  <c r="U2732" i="11" s="1"/>
  <c r="V2732" i="11" s="1"/>
  <c r="G2724" i="11"/>
  <c r="G2716" i="11"/>
  <c r="G2708" i="11"/>
  <c r="G2700" i="11"/>
  <c r="G2692" i="11"/>
  <c r="G2684" i="11"/>
  <c r="G2676" i="11"/>
  <c r="G2668" i="11"/>
  <c r="G2660" i="11"/>
  <c r="G2652" i="11"/>
  <c r="G2644" i="11"/>
  <c r="G2636" i="11"/>
  <c r="G2628" i="11"/>
  <c r="G2620" i="11"/>
  <c r="G2612" i="11"/>
  <c r="G2596" i="11"/>
  <c r="G2588" i="11"/>
  <c r="G2580" i="11"/>
  <c r="G2572" i="11"/>
  <c r="G2564" i="11"/>
  <c r="G2556" i="11"/>
  <c r="G2540" i="11"/>
  <c r="G2532" i="11"/>
  <c r="G2524" i="11"/>
  <c r="G2516" i="11"/>
  <c r="G2508" i="11"/>
  <c r="G2500" i="11"/>
  <c r="G2492" i="11"/>
  <c r="G2484" i="11"/>
  <c r="G2468" i="11"/>
  <c r="U2468" i="11" s="1"/>
  <c r="Y2468" i="11" s="1"/>
  <c r="G2460" i="11"/>
  <c r="G2452" i="11"/>
  <c r="U2452" i="11" s="1"/>
  <c r="Y2452" i="11" s="1"/>
  <c r="G2444" i="11"/>
  <c r="G2436" i="11"/>
  <c r="G2428" i="11"/>
  <c r="G2420" i="11"/>
  <c r="G2412" i="11"/>
  <c r="G2396" i="11"/>
  <c r="G2388" i="11"/>
  <c r="G2380" i="11"/>
  <c r="G2372" i="11"/>
  <c r="G2364" i="11"/>
  <c r="G2356" i="11"/>
  <c r="G2340" i="11"/>
  <c r="G2332" i="11"/>
  <c r="G2324" i="11"/>
  <c r="G2316" i="11"/>
  <c r="G2308" i="11"/>
  <c r="G2300" i="11"/>
  <c r="G2284" i="11"/>
  <c r="G2276" i="11"/>
  <c r="G2268" i="11"/>
  <c r="G2260" i="11"/>
  <c r="G2252" i="11"/>
  <c r="G2244" i="11"/>
  <c r="G2236" i="11"/>
  <c r="G2228" i="11"/>
  <c r="G2220" i="11"/>
  <c r="G2212" i="11"/>
  <c r="U2212" i="11" s="1"/>
  <c r="V2212" i="11" s="1"/>
  <c r="G2204" i="11"/>
  <c r="G3779" i="11"/>
  <c r="G3771" i="11"/>
  <c r="G3763" i="11"/>
  <c r="G3755" i="11"/>
  <c r="G3747" i="11"/>
  <c r="G3739" i="11"/>
  <c r="G3731" i="11"/>
  <c r="G3723" i="11"/>
  <c r="G3715" i="11"/>
  <c r="G3707" i="11"/>
  <c r="G3699" i="11"/>
  <c r="G3691" i="11"/>
  <c r="G3683" i="11"/>
  <c r="G3675" i="11"/>
  <c r="G3667" i="11"/>
  <c r="G3659" i="11"/>
  <c r="G3651" i="11"/>
  <c r="G3643" i="11"/>
  <c r="G3635" i="11"/>
  <c r="G3627" i="11"/>
  <c r="G3619" i="11"/>
  <c r="G3611" i="11"/>
  <c r="G3603" i="11"/>
  <c r="G3595" i="11"/>
  <c r="G3587" i="11"/>
  <c r="G3579" i="11"/>
  <c r="G3571" i="11"/>
  <c r="G3563" i="11"/>
  <c r="G3555" i="11"/>
  <c r="G3547" i="11"/>
  <c r="G3539" i="11"/>
  <c r="G3531" i="11"/>
  <c r="G3523" i="11"/>
  <c r="G3515" i="11"/>
  <c r="G3507" i="11"/>
  <c r="G3499" i="11"/>
  <c r="G3491" i="11"/>
  <c r="G3483" i="11"/>
  <c r="G3475" i="11"/>
  <c r="G3467" i="11"/>
  <c r="G3459" i="11"/>
  <c r="G3451" i="11"/>
  <c r="G3443" i="11"/>
  <c r="G3435" i="11"/>
  <c r="G3427" i="11"/>
  <c r="G3419" i="11"/>
  <c r="G3411" i="11"/>
  <c r="G3403" i="11"/>
  <c r="G3395" i="11"/>
  <c r="G3387" i="11"/>
  <c r="G3379" i="11"/>
  <c r="G3371" i="11"/>
  <c r="G3363" i="11"/>
  <c r="G3355" i="11"/>
  <c r="G3347" i="11"/>
  <c r="G3339" i="11"/>
  <c r="G3331" i="11"/>
  <c r="G3323" i="11"/>
  <c r="G3315" i="11"/>
  <c r="G3307" i="11"/>
  <c r="G3299" i="11"/>
  <c r="G3291" i="11"/>
  <c r="G3283" i="11"/>
  <c r="G3275" i="11"/>
  <c r="G3267" i="11"/>
  <c r="G3259" i="11"/>
  <c r="G3251" i="11"/>
  <c r="G3243" i="11"/>
  <c r="G3235" i="11"/>
  <c r="G3227" i="11"/>
  <c r="G3219" i="11"/>
  <c r="G3211" i="11"/>
  <c r="G3203" i="11"/>
  <c r="G3195" i="11"/>
  <c r="G3187" i="11"/>
  <c r="G3179" i="11"/>
  <c r="G3171" i="11"/>
  <c r="G3163" i="11"/>
  <c r="G3155" i="11"/>
  <c r="G3147" i="11"/>
  <c r="G3139" i="11"/>
  <c r="G3131" i="11"/>
  <c r="G3123" i="11"/>
  <c r="G3115" i="11"/>
  <c r="G3107" i="11"/>
  <c r="G3099" i="11"/>
  <c r="G3091" i="11"/>
  <c r="G3083" i="11"/>
  <c r="G3075" i="11"/>
  <c r="G3067" i="11"/>
  <c r="G3059" i="11"/>
  <c r="G3051" i="11"/>
  <c r="G3043" i="11"/>
  <c r="G3035" i="11"/>
  <c r="G3027" i="11"/>
  <c r="G3019" i="11"/>
  <c r="G3011" i="11"/>
  <c r="G3003" i="11"/>
  <c r="G2995" i="11"/>
  <c r="G2987" i="11"/>
  <c r="G2979" i="11"/>
  <c r="G2971" i="11"/>
  <c r="G2963" i="11"/>
  <c r="G2955" i="11"/>
  <c r="G2947" i="11"/>
  <c r="G2939" i="11"/>
  <c r="G2931" i="11"/>
  <c r="G2923" i="11"/>
  <c r="G2915" i="11"/>
  <c r="G2907" i="11"/>
  <c r="G2899" i="11"/>
  <c r="G2891" i="11"/>
  <c r="G2883" i="11"/>
  <c r="G2875" i="11"/>
  <c r="G2867" i="11"/>
  <c r="G2859" i="11"/>
  <c r="G2851" i="11"/>
  <c r="G2843" i="11"/>
  <c r="G2835" i="11"/>
  <c r="G2827" i="11"/>
  <c r="G2819" i="11"/>
  <c r="G2811" i="11"/>
  <c r="G2803" i="11"/>
  <c r="G2795" i="11"/>
  <c r="G2787" i="11"/>
  <c r="G2779" i="11"/>
  <c r="G2771" i="11"/>
  <c r="G2763" i="11"/>
  <c r="G2755" i="11"/>
  <c r="G2747" i="11"/>
  <c r="G2739" i="11"/>
  <c r="G2731" i="11"/>
  <c r="G2723" i="11"/>
  <c r="G2715" i="11"/>
  <c r="G2707" i="11"/>
  <c r="G2699" i="11"/>
  <c r="G2691" i="11"/>
  <c r="G2683" i="11"/>
  <c r="G2675" i="11"/>
  <c r="G2667" i="11"/>
  <c r="G2659" i="11"/>
  <c r="G2651" i="11"/>
  <c r="G2643" i="11"/>
  <c r="G2635" i="11"/>
  <c r="G2627" i="11"/>
  <c r="G2619" i="11"/>
  <c r="G2611" i="11"/>
  <c r="G2603" i="11"/>
  <c r="G2595" i="11"/>
  <c r="G2587" i="11"/>
  <c r="G2579" i="11"/>
  <c r="G2571" i="11"/>
  <c r="G2563" i="11"/>
  <c r="G2555" i="11"/>
  <c r="G2547" i="11"/>
  <c r="G2539" i="11"/>
  <c r="G2531" i="11"/>
  <c r="G2523" i="11"/>
  <c r="G2515" i="11"/>
  <c r="G2507" i="11"/>
  <c r="G2499" i="11"/>
  <c r="G2491" i="11"/>
  <c r="G2483" i="11"/>
  <c r="G2475" i="11"/>
  <c r="G2467" i="11"/>
  <c r="G2459" i="11"/>
  <c r="G2451" i="11"/>
  <c r="G2443" i="11"/>
  <c r="G2435" i="11"/>
  <c r="G2427" i="11"/>
  <c r="G2419" i="11"/>
  <c r="G2411" i="11"/>
  <c r="G2403" i="11"/>
  <c r="G2395" i="11"/>
  <c r="G2387" i="11"/>
  <c r="G2379" i="11"/>
  <c r="G2371" i="11"/>
  <c r="G2363" i="11"/>
  <c r="G2355" i="11"/>
  <c r="G2347" i="11"/>
  <c r="G2339" i="11"/>
  <c r="G2331" i="11"/>
  <c r="G2323" i="11"/>
  <c r="T2670" i="11"/>
  <c r="U2670" i="11"/>
  <c r="Y2670" i="11" s="1"/>
  <c r="O3890" i="11"/>
  <c r="O28" i="21"/>
  <c r="P28" i="21" s="1"/>
  <c r="Q28" i="21" s="1"/>
  <c r="O27" i="21"/>
  <c r="P27" i="21" s="1"/>
  <c r="Q27" i="21" s="1"/>
  <c r="O7" i="21"/>
  <c r="P7" i="21" s="1"/>
  <c r="Q7" i="21" s="1"/>
  <c r="G2188" i="11"/>
  <c r="G2180" i="11"/>
  <c r="G2172" i="11"/>
  <c r="G2164" i="11"/>
  <c r="G2156" i="11"/>
  <c r="G2148" i="11"/>
  <c r="G2140" i="11"/>
  <c r="G2132" i="11"/>
  <c r="G2124" i="11"/>
  <c r="G2116" i="11"/>
  <c r="G2108" i="11"/>
  <c r="G2100" i="11"/>
  <c r="G2092" i="11"/>
  <c r="G2084" i="11"/>
  <c r="G2076" i="11"/>
  <c r="G2068" i="11"/>
  <c r="G2060" i="11"/>
  <c r="G2052" i="11"/>
  <c r="G2044" i="11"/>
  <c r="G2036" i="11"/>
  <c r="G2028" i="11"/>
  <c r="G2020" i="11"/>
  <c r="G2012" i="11"/>
  <c r="G2004" i="11"/>
  <c r="G1996" i="11"/>
  <c r="G1988" i="11"/>
  <c r="G1980" i="11"/>
  <c r="G1972" i="11"/>
  <c r="G1964" i="11"/>
  <c r="G1956" i="11"/>
  <c r="G1948" i="11"/>
  <c r="G1940" i="11"/>
  <c r="G1932" i="11"/>
  <c r="G1924" i="11"/>
  <c r="G1916" i="11"/>
  <c r="G1908" i="11"/>
  <c r="G1900" i="11"/>
  <c r="G1892" i="11"/>
  <c r="G1884" i="11"/>
  <c r="G1876" i="11"/>
  <c r="G1868" i="11"/>
  <c r="G1860" i="11"/>
  <c r="G1852" i="11"/>
  <c r="G1844" i="11"/>
  <c r="G1836" i="11"/>
  <c r="G1828" i="11"/>
  <c r="G1820" i="11"/>
  <c r="G1812" i="11"/>
  <c r="G1804" i="11"/>
  <c r="G1796" i="11"/>
  <c r="G1788" i="11"/>
  <c r="G1780" i="11"/>
  <c r="G1772" i="11"/>
  <c r="G1764" i="11"/>
  <c r="G1756" i="11"/>
  <c r="G1748" i="11"/>
  <c r="G1740" i="11"/>
  <c r="G1732" i="11"/>
  <c r="G1724" i="11"/>
  <c r="G1716" i="11"/>
  <c r="G1708" i="11"/>
  <c r="G1700" i="11"/>
  <c r="G1692" i="11"/>
  <c r="G1684" i="11"/>
  <c r="G1676" i="11"/>
  <c r="G1668" i="11"/>
  <c r="O36" i="21"/>
  <c r="P36" i="21" s="1"/>
  <c r="Q36" i="21" s="1"/>
  <c r="O13" i="21"/>
  <c r="P13" i="21" s="1"/>
  <c r="Q13" i="21" s="1"/>
  <c r="O16" i="21"/>
  <c r="P16" i="21" s="1"/>
  <c r="Q16" i="21" s="1"/>
  <c r="O40" i="21"/>
  <c r="P40" i="21" s="1"/>
  <c r="Q40" i="21" s="1"/>
  <c r="O37" i="21"/>
  <c r="P37" i="21" s="1"/>
  <c r="Q37" i="21" s="1"/>
  <c r="G1660" i="11"/>
  <c r="G1652" i="11"/>
  <c r="G1644" i="11"/>
  <c r="G1636" i="11"/>
  <c r="G1628" i="11"/>
  <c r="G1620" i="11"/>
  <c r="G1612" i="11"/>
  <c r="G1604" i="11"/>
  <c r="G1596" i="11"/>
  <c r="G1588" i="11"/>
  <c r="G1580" i="11"/>
  <c r="G1572" i="11"/>
  <c r="G1564" i="11"/>
  <c r="G1556" i="11"/>
  <c r="G1548" i="11"/>
  <c r="G1540" i="11"/>
  <c r="G1532" i="11"/>
  <c r="G1524" i="11"/>
  <c r="G1516" i="11"/>
  <c r="G1508" i="11"/>
  <c r="G1500" i="11"/>
  <c r="G1492" i="11"/>
  <c r="G1484" i="11"/>
  <c r="G1476" i="11"/>
  <c r="G1468" i="11"/>
  <c r="G1460" i="11"/>
  <c r="G1452" i="11"/>
  <c r="G1444" i="11"/>
  <c r="G1436" i="11"/>
  <c r="G1428" i="11"/>
  <c r="G1420" i="11"/>
  <c r="G1412" i="11"/>
  <c r="G1404" i="11"/>
  <c r="G1396" i="11"/>
  <c r="G1388" i="11"/>
  <c r="G1380" i="11"/>
  <c r="G1372" i="11"/>
  <c r="G1364" i="11"/>
  <c r="G1356" i="11"/>
  <c r="G1348" i="11"/>
  <c r="G1340" i="11"/>
  <c r="G1332" i="11"/>
  <c r="G1324" i="11"/>
  <c r="G1316" i="11"/>
  <c r="G1308" i="11"/>
  <c r="G1300" i="11"/>
  <c r="G1292" i="11"/>
  <c r="G1284" i="11"/>
  <c r="G1276" i="11"/>
  <c r="G1268" i="11"/>
  <c r="G1260" i="11"/>
  <c r="G1252" i="11"/>
  <c r="G1244" i="11"/>
  <c r="G1236" i="11"/>
  <c r="G1228" i="11"/>
  <c r="G1220" i="11"/>
  <c r="G1212" i="11"/>
  <c r="G1204" i="11"/>
  <c r="G1196" i="11"/>
  <c r="G1188" i="11"/>
  <c r="G1180" i="11"/>
  <c r="G1172" i="11"/>
  <c r="G1164" i="11"/>
  <c r="G1156" i="11"/>
  <c r="G1148" i="11"/>
  <c r="G1140" i="11"/>
  <c r="G1132" i="11"/>
  <c r="G1124" i="11"/>
  <c r="G1116" i="11"/>
  <c r="G1108" i="11"/>
  <c r="G1100" i="11"/>
  <c r="G1092" i="11"/>
  <c r="G1084" i="11"/>
  <c r="G1076" i="11"/>
  <c r="G1068" i="11"/>
  <c r="G1060" i="11"/>
  <c r="G1052" i="11"/>
  <c r="G1044" i="11"/>
  <c r="G1036" i="11"/>
  <c r="G1028" i="11"/>
  <c r="G1020" i="11"/>
  <c r="G1012" i="11"/>
  <c r="G1004" i="11"/>
  <c r="G996" i="11"/>
  <c r="G988" i="11"/>
  <c r="G980" i="11"/>
  <c r="G972" i="11"/>
  <c r="G964" i="11"/>
  <c r="G956" i="11"/>
  <c r="G948" i="11"/>
  <c r="G940" i="11"/>
  <c r="G932" i="11"/>
  <c r="G924" i="11"/>
  <c r="G916" i="11"/>
  <c r="G908" i="11"/>
  <c r="G900" i="11"/>
  <c r="G892" i="11"/>
  <c r="G884" i="11"/>
  <c r="G876" i="11"/>
  <c r="G868" i="11"/>
  <c r="G860" i="11"/>
  <c r="G852" i="11"/>
  <c r="G844" i="11"/>
  <c r="G836" i="11"/>
  <c r="G828" i="11"/>
  <c r="G820" i="11"/>
  <c r="G812" i="11"/>
  <c r="G804" i="11"/>
  <c r="G796" i="11"/>
  <c r="G788" i="11"/>
  <c r="G780" i="11"/>
  <c r="G772" i="11"/>
  <c r="G764" i="11"/>
  <c r="G756" i="11"/>
  <c r="G748" i="11"/>
  <c r="G740" i="11"/>
  <c r="G732" i="11"/>
  <c r="G724" i="11"/>
  <c r="G716" i="11"/>
  <c r="G708" i="11"/>
  <c r="G700" i="11"/>
  <c r="G692" i="11"/>
  <c r="G684" i="11"/>
  <c r="G676" i="11"/>
  <c r="G668" i="11"/>
  <c r="G660" i="11"/>
  <c r="G652" i="11"/>
  <c r="G644" i="11"/>
  <c r="G636" i="11"/>
  <c r="G628" i="11"/>
  <c r="G620" i="11"/>
  <c r="G612" i="11"/>
  <c r="G604" i="11"/>
  <c r="G596" i="11"/>
  <c r="G588" i="11"/>
  <c r="G580" i="11"/>
  <c r="G572" i="11"/>
  <c r="G564" i="11"/>
  <c r="G556" i="11"/>
  <c r="G548" i="11"/>
  <c r="G540" i="11"/>
  <c r="G532" i="11"/>
  <c r="G524" i="11"/>
  <c r="G516" i="11"/>
  <c r="G508" i="11"/>
  <c r="G500" i="11"/>
  <c r="G492" i="11"/>
  <c r="G484" i="11"/>
  <c r="G476" i="11"/>
  <c r="G468" i="11"/>
  <c r="G460" i="11"/>
  <c r="G452" i="11"/>
  <c r="G444" i="11"/>
  <c r="G436" i="11"/>
  <c r="G428" i="11"/>
  <c r="G420" i="11"/>
  <c r="G412" i="11"/>
  <c r="G404" i="11"/>
  <c r="G396" i="11"/>
  <c r="G388" i="11"/>
  <c r="G380" i="11"/>
  <c r="G372" i="11"/>
  <c r="G364" i="11"/>
  <c r="G356" i="11"/>
  <c r="G348" i="11"/>
  <c r="G340" i="11"/>
  <c r="G332" i="11"/>
  <c r="G324" i="11"/>
  <c r="G316" i="11"/>
  <c r="G308" i="11"/>
  <c r="G300" i="11"/>
  <c r="G292" i="11"/>
  <c r="G284" i="11"/>
  <c r="G276" i="11"/>
  <c r="G268" i="11"/>
  <c r="G260" i="11"/>
  <c r="G252" i="11"/>
  <c r="G244" i="11"/>
  <c r="G236" i="11"/>
  <c r="G228" i="11"/>
  <c r="G220" i="11"/>
  <c r="G212" i="11"/>
  <c r="G204" i="11"/>
  <c r="G196" i="11"/>
  <c r="G188" i="11"/>
  <c r="G180" i="11"/>
  <c r="G172" i="11"/>
  <c r="G164" i="11"/>
  <c r="G156" i="11"/>
  <c r="G148" i="11"/>
  <c r="G140" i="11"/>
  <c r="G132" i="11"/>
  <c r="G124" i="11"/>
  <c r="G116" i="11"/>
  <c r="G108" i="11"/>
  <c r="G100" i="11"/>
  <c r="G92" i="11"/>
  <c r="G84" i="11"/>
  <c r="G76" i="11"/>
  <c r="G68" i="11"/>
  <c r="G60" i="11"/>
  <c r="G52" i="11"/>
  <c r="G44" i="11"/>
  <c r="G36" i="11"/>
  <c r="G28" i="11"/>
  <c r="G20" i="11"/>
  <c r="G2196" i="11"/>
  <c r="G2315" i="11"/>
  <c r="G2307" i="11"/>
  <c r="G2299" i="11"/>
  <c r="G2291" i="11"/>
  <c r="G2283" i="11"/>
  <c r="G2275" i="11"/>
  <c r="G2267" i="11"/>
  <c r="G2259" i="11"/>
  <c r="G2251" i="11"/>
  <c r="G2243" i="11"/>
  <c r="G2235" i="11"/>
  <c r="G2227" i="11"/>
  <c r="G2219" i="11"/>
  <c r="G2211" i="11"/>
  <c r="G2203" i="11"/>
  <c r="G2195" i="11"/>
  <c r="G2187" i="11"/>
  <c r="G2179" i="11"/>
  <c r="G2171" i="11"/>
  <c r="G2163" i="11"/>
  <c r="G2155" i="11"/>
  <c r="G2147" i="11"/>
  <c r="G2139" i="11"/>
  <c r="G2131" i="11"/>
  <c r="G2123" i="11"/>
  <c r="G2115" i="11"/>
  <c r="G2107" i="11"/>
  <c r="G2099" i="11"/>
  <c r="G2091" i="11"/>
  <c r="G2083" i="11"/>
  <c r="G2075" i="11"/>
  <c r="G2067" i="11"/>
  <c r="G2059" i="11"/>
  <c r="G2051" i="11"/>
  <c r="G2043" i="11"/>
  <c r="G2035" i="11"/>
  <c r="G2027" i="11"/>
  <c r="G2019" i="11"/>
  <c r="G2011" i="11"/>
  <c r="G2003" i="11"/>
  <c r="G1995" i="11"/>
  <c r="G1987" i="11"/>
  <c r="G1979" i="11"/>
  <c r="G1971" i="11"/>
  <c r="G1963" i="11"/>
  <c r="G1955" i="11"/>
  <c r="G1947" i="11"/>
  <c r="G1939" i="11"/>
  <c r="G1931" i="11"/>
  <c r="G1923" i="11"/>
  <c r="G1915" i="11"/>
  <c r="G1907" i="11"/>
  <c r="G1899" i="11"/>
  <c r="G1891" i="11"/>
  <c r="G1883" i="11"/>
  <c r="G1875" i="11"/>
  <c r="G1867" i="11"/>
  <c r="G1859" i="11"/>
  <c r="G1851" i="11"/>
  <c r="G1843" i="11"/>
  <c r="G1835" i="11"/>
  <c r="G1827" i="11"/>
  <c r="G1819" i="11"/>
  <c r="G1811" i="11"/>
  <c r="G1803" i="11"/>
  <c r="G1795" i="11"/>
  <c r="G1787" i="11"/>
  <c r="G1779" i="11"/>
  <c r="G1771" i="11"/>
  <c r="G1763" i="11"/>
  <c r="G1755" i="11"/>
  <c r="G1747" i="11"/>
  <c r="G1739" i="11"/>
  <c r="G1731" i="11"/>
  <c r="G1723" i="11"/>
  <c r="G1715" i="11"/>
  <c r="G1707" i="11"/>
  <c r="G1699" i="11"/>
  <c r="G1691" i="11"/>
  <c r="G1683" i="11"/>
  <c r="G1675" i="11"/>
  <c r="G1667" i="11"/>
  <c r="G1659" i="11"/>
  <c r="G1651" i="11"/>
  <c r="G1643" i="11"/>
  <c r="G1635" i="11"/>
  <c r="G1627" i="11"/>
  <c r="G1619" i="11"/>
  <c r="G1611" i="11"/>
  <c r="G1603" i="11"/>
  <c r="G1595" i="11"/>
  <c r="G1587" i="11"/>
  <c r="G1579" i="11"/>
  <c r="G1571" i="11"/>
  <c r="G1563" i="11"/>
  <c r="G1555" i="11"/>
  <c r="G1547" i="11"/>
  <c r="G1539" i="11"/>
  <c r="G1531" i="11"/>
  <c r="G1523" i="11"/>
  <c r="G1515" i="11"/>
  <c r="G1507" i="11"/>
  <c r="G1499" i="11"/>
  <c r="G1491" i="11"/>
  <c r="G1483" i="11"/>
  <c r="G1475" i="11"/>
  <c r="G1467" i="11"/>
  <c r="G1459" i="11"/>
  <c r="G1451" i="11"/>
  <c r="G1443" i="11"/>
  <c r="G1435" i="11"/>
  <c r="G1427" i="11"/>
  <c r="G1419" i="11"/>
  <c r="G1411" i="11"/>
  <c r="G1403" i="11"/>
  <c r="G1395" i="11"/>
  <c r="G1387" i="11"/>
  <c r="G1379" i="11"/>
  <c r="G1371" i="11"/>
  <c r="G1363" i="11"/>
  <c r="G1355" i="11"/>
  <c r="G1347" i="11"/>
  <c r="G1339" i="11"/>
  <c r="G1331" i="11"/>
  <c r="G1323" i="11"/>
  <c r="G1315" i="11"/>
  <c r="G1307" i="11"/>
  <c r="G1299" i="11"/>
  <c r="G1291" i="11"/>
  <c r="G1283" i="11"/>
  <c r="G1275" i="11"/>
  <c r="G1267" i="11"/>
  <c r="G1259" i="11"/>
  <c r="G1251" i="11"/>
  <c r="G1243" i="11"/>
  <c r="G1235" i="11"/>
  <c r="G1227" i="11"/>
  <c r="G1219" i="11"/>
  <c r="G1211" i="11"/>
  <c r="G1203" i="11"/>
  <c r="G1195" i="11"/>
  <c r="G1187" i="11"/>
  <c r="G1179" i="11"/>
  <c r="G1171" i="11"/>
  <c r="G1163" i="11"/>
  <c r="G1155" i="11"/>
  <c r="G1147" i="11"/>
  <c r="G1139" i="11"/>
  <c r="G1131" i="11"/>
  <c r="G1123" i="11"/>
  <c r="G1115" i="11"/>
  <c r="G1107" i="11"/>
  <c r="G1099" i="11"/>
  <c r="G1091" i="11"/>
  <c r="G1083" i="11"/>
  <c r="G1075" i="11"/>
  <c r="G1067" i="11"/>
  <c r="G1059" i="11"/>
  <c r="G1051" i="11"/>
  <c r="G1043" i="11"/>
  <c r="G1035" i="11"/>
  <c r="G1027" i="11"/>
  <c r="G1019" i="11"/>
  <c r="G3885" i="11"/>
  <c r="G3877" i="11"/>
  <c r="G3869" i="11"/>
  <c r="G3861" i="11"/>
  <c r="G3853" i="11"/>
  <c r="G3845" i="11"/>
  <c r="G3837" i="11"/>
  <c r="G3829" i="11"/>
  <c r="G3821" i="11"/>
  <c r="U3821" i="11" s="1"/>
  <c r="V3821" i="11" s="1"/>
  <c r="G3813" i="11"/>
  <c r="U3813" i="11" s="1"/>
  <c r="Y3813" i="11" s="1"/>
  <c r="G3805" i="11"/>
  <c r="G3797" i="11"/>
  <c r="G3789" i="11"/>
  <c r="T3789" i="11" s="1"/>
  <c r="G3781" i="11"/>
  <c r="G3773" i="11"/>
  <c r="G2189" i="11"/>
  <c r="G2181" i="11"/>
  <c r="G2173" i="11"/>
  <c r="G2165" i="11"/>
  <c r="G2157" i="11"/>
  <c r="G2149" i="11"/>
  <c r="G2141" i="11"/>
  <c r="G1011" i="11"/>
  <c r="G1003" i="11"/>
  <c r="G995" i="11"/>
  <c r="G987" i="11"/>
  <c r="G979" i="11"/>
  <c r="G971" i="11"/>
  <c r="G963" i="11"/>
  <c r="G955" i="11"/>
  <c r="G947" i="11"/>
  <c r="G939" i="11"/>
  <c r="G931" i="11"/>
  <c r="G923" i="11"/>
  <c r="G915" i="11"/>
  <c r="G907" i="11"/>
  <c r="G899" i="11"/>
  <c r="G891" i="11"/>
  <c r="G883" i="11"/>
  <c r="G875" i="11"/>
  <c r="G867" i="11"/>
  <c r="G859" i="11"/>
  <c r="G851" i="11"/>
  <c r="G843" i="11"/>
  <c r="G835" i="11"/>
  <c r="G827" i="11"/>
  <c r="G819" i="11"/>
  <c r="G811" i="11"/>
  <c r="G803" i="11"/>
  <c r="G795" i="11"/>
  <c r="G787" i="11"/>
  <c r="G779" i="11"/>
  <c r="G771" i="11"/>
  <c r="G763" i="11"/>
  <c r="G755" i="11"/>
  <c r="G747" i="11"/>
  <c r="G739" i="11"/>
  <c r="G731" i="11"/>
  <c r="G723" i="11"/>
  <c r="G715" i="11"/>
  <c r="G707" i="11"/>
  <c r="G699" i="11"/>
  <c r="G691" i="11"/>
  <c r="G683" i="11"/>
  <c r="G675" i="11"/>
  <c r="G667" i="11"/>
  <c r="G659" i="11"/>
  <c r="G651" i="11"/>
  <c r="G643" i="11"/>
  <c r="G635" i="11"/>
  <c r="G627" i="11"/>
  <c r="G619" i="11"/>
  <c r="G611" i="11"/>
  <c r="G603" i="11"/>
  <c r="G595" i="11"/>
  <c r="G587" i="11"/>
  <c r="G579" i="11"/>
  <c r="G571" i="11"/>
  <c r="G563" i="11"/>
  <c r="G555" i="11"/>
  <c r="G547" i="11"/>
  <c r="G539" i="11"/>
  <c r="G531" i="11"/>
  <c r="G523" i="11"/>
  <c r="G515" i="11"/>
  <c r="G507" i="11"/>
  <c r="G499" i="11"/>
  <c r="G491" i="11"/>
  <c r="G483" i="11"/>
  <c r="G475" i="11"/>
  <c r="G467" i="11"/>
  <c r="G459" i="11"/>
  <c r="G451" i="11"/>
  <c r="G443" i="11"/>
  <c r="G435" i="11"/>
  <c r="G427" i="11"/>
  <c r="G419" i="11"/>
  <c r="G411" i="11"/>
  <c r="G403" i="11"/>
  <c r="G395" i="11"/>
  <c r="G387" i="11"/>
  <c r="G379" i="11"/>
  <c r="G371" i="11"/>
  <c r="G363" i="11"/>
  <c r="G355" i="11"/>
  <c r="G347" i="11"/>
  <c r="G339" i="11"/>
  <c r="G2133" i="11"/>
  <c r="G2125" i="11"/>
  <c r="G2117" i="11"/>
  <c r="G2109" i="11"/>
  <c r="G2101" i="11"/>
  <c r="G2093" i="11"/>
  <c r="G2085" i="11"/>
  <c r="G2077" i="11"/>
  <c r="G2069" i="11"/>
  <c r="G2061" i="11"/>
  <c r="G2053" i="11"/>
  <c r="G2045" i="11"/>
  <c r="G2037" i="11"/>
  <c r="G2029" i="11"/>
  <c r="G2021" i="11"/>
  <c r="G2013" i="11"/>
  <c r="U2013" i="11" s="1"/>
  <c r="V2013" i="11" s="1"/>
  <c r="G2005" i="11"/>
  <c r="G1997" i="11"/>
  <c r="G1989" i="11"/>
  <c r="U1989" i="11" s="1"/>
  <c r="V1989" i="11" s="1"/>
  <c r="G1981" i="11"/>
  <c r="G1973" i="11"/>
  <c r="U1973" i="11" s="1"/>
  <c r="V1973" i="11" s="1"/>
  <c r="G1965" i="11"/>
  <c r="G1957" i="11"/>
  <c r="G1949" i="11"/>
  <c r="U1949" i="11" s="1"/>
  <c r="V1949" i="11" s="1"/>
  <c r="G1941" i="11"/>
  <c r="G1933" i="11"/>
  <c r="G1925" i="11"/>
  <c r="G1917" i="11"/>
  <c r="G1909" i="11"/>
  <c r="G1901" i="11"/>
  <c r="G1893" i="11"/>
  <c r="G1885" i="11"/>
  <c r="G1877" i="11"/>
  <c r="G1869" i="11"/>
  <c r="G1861" i="11"/>
  <c r="G1853" i="11"/>
  <c r="G1845" i="11"/>
  <c r="U1845" i="11" s="1"/>
  <c r="Y1845" i="11" s="1"/>
  <c r="G1837" i="11"/>
  <c r="U1837" i="11" s="1"/>
  <c r="Y1837" i="11" s="1"/>
  <c r="G1829" i="11"/>
  <c r="G1821" i="11"/>
  <c r="G1813" i="11"/>
  <c r="G1805" i="11"/>
  <c r="G1797" i="11"/>
  <c r="G1789" i="11"/>
  <c r="G1781" i="11"/>
  <c r="G1773" i="11"/>
  <c r="G1765" i="11"/>
  <c r="G1757" i="11"/>
  <c r="G1749" i="11"/>
  <c r="G1741" i="11"/>
  <c r="G1733" i="11"/>
  <c r="G1725" i="11"/>
  <c r="G1717" i="11"/>
  <c r="G1709" i="11"/>
  <c r="G1701" i="11"/>
  <c r="G1693" i="11"/>
  <c r="G1685" i="11"/>
  <c r="G1677" i="11"/>
  <c r="G1669" i="11"/>
  <c r="U1669" i="11" s="1"/>
  <c r="Y1669" i="11" s="1"/>
  <c r="AB1669" i="11" s="1"/>
  <c r="G1661" i="11"/>
  <c r="G1653" i="11"/>
  <c r="G1645" i="11"/>
  <c r="U1645" i="11" s="1"/>
  <c r="Y1645" i="11" s="1"/>
  <c r="G1637" i="11"/>
  <c r="G1629" i="11"/>
  <c r="G1621" i="11"/>
  <c r="U1621" i="11" s="1"/>
  <c r="V1621" i="11" s="1"/>
  <c r="G1613" i="11"/>
  <c r="G1605" i="11"/>
  <c r="G1597" i="11"/>
  <c r="G1589" i="11"/>
  <c r="G1581" i="11"/>
  <c r="G1573" i="11"/>
  <c r="G331" i="11"/>
  <c r="G323" i="11"/>
  <c r="G315" i="11"/>
  <c r="G307" i="11"/>
  <c r="G299" i="11"/>
  <c r="G291" i="11"/>
  <c r="G283" i="11"/>
  <c r="G275" i="11"/>
  <c r="G267" i="11"/>
  <c r="G259" i="11"/>
  <c r="G251" i="11"/>
  <c r="G243" i="11"/>
  <c r="G235" i="11"/>
  <c r="G227" i="11"/>
  <c r="G219" i="11"/>
  <c r="G211" i="11"/>
  <c r="G195" i="11"/>
  <c r="G187" i="11"/>
  <c r="G179" i="11"/>
  <c r="G171" i="11"/>
  <c r="G163" i="11"/>
  <c r="G147" i="11"/>
  <c r="G131" i="11"/>
  <c r="G123" i="11"/>
  <c r="G115" i="11"/>
  <c r="G107" i="11"/>
  <c r="G99" i="11"/>
  <c r="G83" i="11"/>
  <c r="G67" i="11"/>
  <c r="G59" i="11"/>
  <c r="G51" i="11"/>
  <c r="G43" i="11"/>
  <c r="G35" i="11"/>
  <c r="G19" i="11"/>
  <c r="G1565" i="11"/>
  <c r="G1557" i="11"/>
  <c r="U1557" i="11" s="1"/>
  <c r="Y1557" i="11" s="1"/>
  <c r="AB1557" i="11" s="1"/>
  <c r="G1549" i="11"/>
  <c r="U1549" i="11" s="1"/>
  <c r="V1549" i="11" s="1"/>
  <c r="G1541" i="11"/>
  <c r="G1533" i="11"/>
  <c r="G1525" i="11"/>
  <c r="G1517" i="11"/>
  <c r="G1509" i="11"/>
  <c r="G1501" i="11"/>
  <c r="G1493" i="11"/>
  <c r="G1485" i="11"/>
  <c r="G1477" i="11"/>
  <c r="G1469" i="11"/>
  <c r="G1461" i="11"/>
  <c r="G1453" i="11"/>
  <c r="G1445" i="11"/>
  <c r="G1437" i="11"/>
  <c r="G1429" i="11"/>
  <c r="G1421" i="11"/>
  <c r="G1413" i="11"/>
  <c r="G1405" i="11"/>
  <c r="G1397" i="11"/>
  <c r="G1389" i="11"/>
  <c r="G1381" i="11"/>
  <c r="G1373" i="11"/>
  <c r="G1365" i="11"/>
  <c r="G1357" i="11"/>
  <c r="G1349" i="11"/>
  <c r="G1341" i="11"/>
  <c r="G1333" i="11"/>
  <c r="G1325" i="11"/>
  <c r="G1317" i="11"/>
  <c r="G1309" i="11"/>
  <c r="G1301" i="11"/>
  <c r="G1293" i="11"/>
  <c r="G1285" i="11"/>
  <c r="G1277" i="11"/>
  <c r="G1269" i="11"/>
  <c r="G1261" i="11"/>
  <c r="G1253" i="11"/>
  <c r="G1245" i="11"/>
  <c r="G1237" i="11"/>
  <c r="G1229" i="11"/>
  <c r="G1221" i="11"/>
  <c r="G1213" i="11"/>
  <c r="G1205" i="11"/>
  <c r="G1197" i="11"/>
  <c r="G1189" i="11"/>
  <c r="G1181" i="11"/>
  <c r="G1173" i="11"/>
  <c r="G1165" i="11"/>
  <c r="G1157" i="11"/>
  <c r="G1149" i="11"/>
  <c r="G1141" i="11"/>
  <c r="G1133" i="11"/>
  <c r="G1125" i="11"/>
  <c r="G1117" i="11"/>
  <c r="G1109" i="11"/>
  <c r="G1101" i="11"/>
  <c r="G1093" i="11"/>
  <c r="G1085" i="11"/>
  <c r="G1077" i="11"/>
  <c r="G1069" i="11"/>
  <c r="G1061" i="11"/>
  <c r="G1053" i="11"/>
  <c r="G1045" i="11"/>
  <c r="G1037" i="11"/>
  <c r="G1029" i="11"/>
  <c r="G1021" i="11"/>
  <c r="G1013" i="11"/>
  <c r="G1005" i="11"/>
  <c r="G997" i="11"/>
  <c r="G989" i="11"/>
  <c r="G981" i="11"/>
  <c r="U981" i="11" s="1"/>
  <c r="V981" i="11" s="1"/>
  <c r="G973" i="11"/>
  <c r="G965" i="11"/>
  <c r="G957" i="11"/>
  <c r="G949" i="11"/>
  <c r="G941" i="11"/>
  <c r="G933" i="11"/>
  <c r="G925" i="11"/>
  <c r="G917" i="11"/>
  <c r="G909" i="11"/>
  <c r="G901" i="11"/>
  <c r="G893" i="11"/>
  <c r="G885" i="11"/>
  <c r="G877" i="11"/>
  <c r="G869" i="11"/>
  <c r="G861" i="11"/>
  <c r="G853" i="11"/>
  <c r="G845" i="11"/>
  <c r="G837" i="11"/>
  <c r="G829" i="11"/>
  <c r="G821" i="11"/>
  <c r="G813" i="11"/>
  <c r="G805" i="11"/>
  <c r="G797" i="11"/>
  <c r="G789" i="11"/>
  <c r="G781" i="11"/>
  <c r="G773" i="11"/>
  <c r="G765" i="11"/>
  <c r="G757" i="11"/>
  <c r="G749" i="11"/>
  <c r="G741" i="11"/>
  <c r="G733" i="11"/>
  <c r="G725" i="11"/>
  <c r="G717" i="11"/>
  <c r="G709" i="11"/>
  <c r="G701" i="11"/>
  <c r="G693" i="11"/>
  <c r="G685" i="11"/>
  <c r="G677" i="11"/>
  <c r="G669" i="11"/>
  <c r="G661" i="11"/>
  <c r="G653" i="11"/>
  <c r="G645" i="11"/>
  <c r="G637" i="11"/>
  <c r="G629" i="11"/>
  <c r="G621" i="11"/>
  <c r="G613" i="11"/>
  <c r="G605" i="11"/>
  <c r="G597" i="11"/>
  <c r="G589" i="11"/>
  <c r="G581" i="11"/>
  <c r="G573" i="11"/>
  <c r="G565" i="11"/>
  <c r="G557" i="11"/>
  <c r="G549" i="11"/>
  <c r="G541" i="11"/>
  <c r="G533" i="11"/>
  <c r="G525" i="11"/>
  <c r="G517" i="11"/>
  <c r="G509" i="11"/>
  <c r="G501" i="11"/>
  <c r="G493" i="11"/>
  <c r="G485" i="11"/>
  <c r="G477" i="11"/>
  <c r="G469" i="11"/>
  <c r="G461" i="11"/>
  <c r="G453" i="11"/>
  <c r="G445" i="11"/>
  <c r="G437" i="11"/>
  <c r="G429" i="11"/>
  <c r="G421" i="11"/>
  <c r="G413" i="11"/>
  <c r="G405" i="11"/>
  <c r="G397" i="11"/>
  <c r="G389" i="11"/>
  <c r="G381" i="11"/>
  <c r="G373" i="11"/>
  <c r="G365" i="11"/>
  <c r="G357" i="11"/>
  <c r="G349" i="11"/>
  <c r="G341" i="11"/>
  <c r="G333" i="11"/>
  <c r="G325" i="11"/>
  <c r="G317" i="11"/>
  <c r="G309" i="11"/>
  <c r="G301" i="11"/>
  <c r="G293" i="11"/>
  <c r="G285" i="11"/>
  <c r="G277" i="11"/>
  <c r="G269" i="11"/>
  <c r="G261" i="11"/>
  <c r="G253" i="11"/>
  <c r="G245" i="11"/>
  <c r="G237" i="11"/>
  <c r="G229" i="11"/>
  <c r="G221" i="11"/>
  <c r="G213" i="11"/>
  <c r="G205" i="11"/>
  <c r="G197" i="11"/>
  <c r="G189" i="11"/>
  <c r="G181" i="11"/>
  <c r="G173" i="11"/>
  <c r="G165" i="11"/>
  <c r="G157" i="11"/>
  <c r="G149" i="11"/>
  <c r="G141" i="11"/>
  <c r="G133" i="11"/>
  <c r="G125" i="11"/>
  <c r="G117" i="11"/>
  <c r="G109" i="11"/>
  <c r="G101" i="11"/>
  <c r="G93" i="11"/>
  <c r="G85" i="11"/>
  <c r="G77" i="11"/>
  <c r="G69" i="11"/>
  <c r="G61" i="11"/>
  <c r="G53" i="11"/>
  <c r="G45" i="11"/>
  <c r="G37" i="11"/>
  <c r="G29" i="11"/>
  <c r="G21" i="11"/>
  <c r="G13" i="11"/>
  <c r="G5" i="11"/>
  <c r="G3882" i="11"/>
  <c r="G3874" i="11"/>
  <c r="G3866" i="11"/>
  <c r="G3858" i="11"/>
  <c r="G3850" i="11"/>
  <c r="G3842" i="11"/>
  <c r="G3834" i="11"/>
  <c r="G3826" i="11"/>
  <c r="G3818" i="11"/>
  <c r="G3810" i="11"/>
  <c r="G3802" i="11"/>
  <c r="G3794" i="11"/>
  <c r="G3786" i="11"/>
  <c r="G3778" i="11"/>
  <c r="G3770" i="11"/>
  <c r="G3762" i="11"/>
  <c r="G3754" i="11"/>
  <c r="G3746" i="11"/>
  <c r="G3738" i="11"/>
  <c r="G3730" i="11"/>
  <c r="G3722" i="11"/>
  <c r="G3714" i="11"/>
  <c r="G3706" i="11"/>
  <c r="G3698" i="11"/>
  <c r="G3690" i="11"/>
  <c r="G3682" i="11"/>
  <c r="G3674" i="11"/>
  <c r="G3666" i="11"/>
  <c r="G3658" i="11"/>
  <c r="G3650" i="11"/>
  <c r="G3642" i="11"/>
  <c r="G3634" i="11"/>
  <c r="G3626" i="11"/>
  <c r="G3618" i="11"/>
  <c r="G3610" i="11"/>
  <c r="G3602" i="11"/>
  <c r="G3594" i="11"/>
  <c r="G3586" i="11"/>
  <c r="G3578" i="11"/>
  <c r="G3570" i="11"/>
  <c r="G3562" i="11"/>
  <c r="G3554" i="11"/>
  <c r="G3546" i="11"/>
  <c r="G3538" i="11"/>
  <c r="G3530" i="11"/>
  <c r="G3522" i="11"/>
  <c r="G3514" i="11"/>
  <c r="G3506" i="11"/>
  <c r="G3498" i="11"/>
  <c r="G3490" i="11"/>
  <c r="G3482" i="11"/>
  <c r="G3474" i="11"/>
  <c r="G3466" i="11"/>
  <c r="G3458" i="11"/>
  <c r="G3450" i="11"/>
  <c r="G3442" i="11"/>
  <c r="G3434" i="11"/>
  <c r="G3426" i="11"/>
  <c r="G3418" i="11"/>
  <c r="G3410" i="11"/>
  <c r="G3402" i="11"/>
  <c r="G3394" i="11"/>
  <c r="G3386" i="11"/>
  <c r="G3378" i="11"/>
  <c r="G3370" i="11"/>
  <c r="G3362" i="11"/>
  <c r="G3354" i="11"/>
  <c r="G3346" i="11"/>
  <c r="G3338" i="11"/>
  <c r="G3330" i="11"/>
  <c r="G3322" i="11"/>
  <c r="G3314" i="11"/>
  <c r="G3306" i="11"/>
  <c r="G3298" i="11"/>
  <c r="G3290" i="11"/>
  <c r="G3282" i="11"/>
  <c r="G3274" i="11"/>
  <c r="G3266" i="11"/>
  <c r="G3258" i="11"/>
  <c r="G3250" i="11"/>
  <c r="G3242" i="11"/>
  <c r="G3234" i="11"/>
  <c r="G3226" i="11"/>
  <c r="G3218" i="11"/>
  <c r="G3210" i="11"/>
  <c r="G3202" i="11"/>
  <c r="G3194" i="11"/>
  <c r="G3186" i="11"/>
  <c r="G3178" i="11"/>
  <c r="G3170" i="11"/>
  <c r="G3162" i="11"/>
  <c r="G3154" i="11"/>
  <c r="G3146" i="11"/>
  <c r="G3138" i="11"/>
  <c r="G3130" i="11"/>
  <c r="G3122" i="11"/>
  <c r="G3114" i="11"/>
  <c r="G3106" i="11"/>
  <c r="G3098" i="11"/>
  <c r="G3090" i="11"/>
  <c r="G3082" i="11"/>
  <c r="G3074" i="11"/>
  <c r="G3066" i="11"/>
  <c r="G3058" i="11"/>
  <c r="G3050" i="11"/>
  <c r="G3042" i="11"/>
  <c r="G3034" i="11"/>
  <c r="G3026" i="11"/>
  <c r="G3018" i="11"/>
  <c r="G3010" i="11"/>
  <c r="G3002" i="11"/>
  <c r="G2994" i="11"/>
  <c r="G2986" i="11"/>
  <c r="G2978" i="11"/>
  <c r="G2970" i="11"/>
  <c r="G2962" i="11"/>
  <c r="G2954" i="11"/>
  <c r="G2946" i="11"/>
  <c r="G2938" i="11"/>
  <c r="G2930" i="11"/>
  <c r="G2922" i="11"/>
  <c r="G2914" i="11"/>
  <c r="G2906" i="11"/>
  <c r="G2898" i="11"/>
  <c r="G2890" i="11"/>
  <c r="G2882" i="11"/>
  <c r="G2874" i="11"/>
  <c r="G2866" i="11"/>
  <c r="G2858" i="11"/>
  <c r="G2850" i="11"/>
  <c r="G2842" i="11"/>
  <c r="G2834" i="11"/>
  <c r="G2826" i="11"/>
  <c r="G2818" i="11"/>
  <c r="G2810" i="11"/>
  <c r="G2802" i="11"/>
  <c r="G2794" i="11"/>
  <c r="G2786" i="11"/>
  <c r="G2778" i="11"/>
  <c r="G2770" i="11"/>
  <c r="G2762" i="11"/>
  <c r="G2754" i="11"/>
  <c r="G2746" i="11"/>
  <c r="G2738" i="11"/>
  <c r="G2730" i="11"/>
  <c r="G2706" i="11"/>
  <c r="G2698" i="11"/>
  <c r="G2674" i="11"/>
  <c r="G2666" i="11"/>
  <c r="G2642" i="11"/>
  <c r="G2634" i="11"/>
  <c r="G2626" i="11"/>
  <c r="G2610" i="11"/>
  <c r="G2602" i="11"/>
  <c r="G2594" i="11"/>
  <c r="G2586" i="11"/>
  <c r="G2578" i="11"/>
  <c r="G2562" i="11"/>
  <c r="G2546" i="11"/>
  <c r="G2538" i="11"/>
  <c r="G2530" i="11"/>
  <c r="G2522" i="11"/>
  <c r="G2514" i="11"/>
  <c r="G2498" i="11"/>
  <c r="G2482" i="11"/>
  <c r="G2474" i="11"/>
  <c r="G2466" i="11"/>
  <c r="G2458" i="11"/>
  <c r="G2450" i="11"/>
  <c r="G2434" i="11"/>
  <c r="G2418" i="11"/>
  <c r="G2410" i="11"/>
  <c r="G2402" i="11"/>
  <c r="G2394" i="11"/>
  <c r="G2386" i="11"/>
  <c r="G2370" i="11"/>
  <c r="G2354" i="11"/>
  <c r="G2346" i="11"/>
  <c r="G2338" i="11"/>
  <c r="G2330" i="11"/>
  <c r="G2322" i="11"/>
  <c r="G2306" i="11"/>
  <c r="G2290" i="11"/>
  <c r="G2282" i="11"/>
  <c r="G2274" i="11"/>
  <c r="G2266" i="11"/>
  <c r="G2258" i="11"/>
  <c r="G2242" i="11"/>
  <c r="G2226" i="11"/>
  <c r="G2218" i="11"/>
  <c r="G2210" i="11"/>
  <c r="G2202" i="11"/>
  <c r="G2186" i="11"/>
  <c r="G2170" i="11"/>
  <c r="G2154" i="11"/>
  <c r="G2138" i="11"/>
  <c r="G2122" i="11"/>
  <c r="G2106" i="11"/>
  <c r="G2090" i="11"/>
  <c r="G2074" i="11"/>
  <c r="G2058" i="11"/>
  <c r="G2042" i="11"/>
  <c r="G2026" i="11"/>
  <c r="G2010" i="11"/>
  <c r="G1994" i="11"/>
  <c r="G1978" i="11"/>
  <c r="G1962" i="11"/>
  <c r="G1946" i="11"/>
  <c r="G1930" i="11"/>
  <c r="G1914" i="11"/>
  <c r="G1898" i="11"/>
  <c r="G1882" i="11"/>
  <c r="G1866" i="11"/>
  <c r="G1850" i="11"/>
  <c r="G1834" i="11"/>
  <c r="G1818" i="11"/>
  <c r="G1802" i="11"/>
  <c r="G1786" i="11"/>
  <c r="G1770" i="11"/>
  <c r="G1754" i="11"/>
  <c r="G1738" i="11"/>
  <c r="G1722" i="11"/>
  <c r="G1706" i="11"/>
  <c r="G1690" i="11"/>
  <c r="G1674" i="11"/>
  <c r="G1658" i="11"/>
  <c r="G1642" i="11"/>
  <c r="G1626" i="11"/>
  <c r="G1610" i="11"/>
  <c r="G1594" i="11"/>
  <c r="G1578" i="11"/>
  <c r="G1562" i="11"/>
  <c r="G1546" i="11"/>
  <c r="G1538" i="11"/>
  <c r="G1530" i="11"/>
  <c r="G1514" i="11"/>
  <c r="G1506" i="11"/>
  <c r="G1498" i="11"/>
  <c r="G1490" i="11"/>
  <c r="G1482" i="11"/>
  <c r="G1474" i="11"/>
  <c r="G1466" i="11"/>
  <c r="G1458" i="11"/>
  <c r="G1450" i="11"/>
  <c r="G1442" i="11"/>
  <c r="G1434" i="11"/>
  <c r="G1418" i="11"/>
  <c r="G1410" i="11"/>
  <c r="G1402" i="11"/>
  <c r="G1386" i="11"/>
  <c r="G1378" i="11"/>
  <c r="G1370" i="11"/>
  <c r="G1362" i="11"/>
  <c r="G1354" i="11"/>
  <c r="G1346" i="11"/>
  <c r="G1338" i="11"/>
  <c r="G1330" i="11"/>
  <c r="G1322" i="11"/>
  <c r="G1314" i="11"/>
  <c r="G1306" i="11"/>
  <c r="G1290" i="11"/>
  <c r="G1282" i="11"/>
  <c r="G1274" i="11"/>
  <c r="G1258" i="11"/>
  <c r="G1250" i="11"/>
  <c r="G1242" i="11"/>
  <c r="G1234" i="11"/>
  <c r="G1226" i="11"/>
  <c r="G1218" i="11"/>
  <c r="G1210" i="11"/>
  <c r="G1202" i="11"/>
  <c r="G1194" i="11"/>
  <c r="G1186" i="11"/>
  <c r="G1178" i="11"/>
  <c r="G1162" i="11"/>
  <c r="G1154" i="11"/>
  <c r="G1146" i="11"/>
  <c r="G1130" i="11"/>
  <c r="G1122" i="11"/>
  <c r="G1114" i="11"/>
  <c r="G1106" i="11"/>
  <c r="G1098" i="11"/>
  <c r="G1090" i="11"/>
  <c r="G1082" i="11"/>
  <c r="G1074" i="11"/>
  <c r="G1066" i="11"/>
  <c r="G1058" i="11"/>
  <c r="G1050" i="11"/>
  <c r="G1034" i="11"/>
  <c r="G1026" i="11"/>
  <c r="G1018" i="11"/>
  <c r="G1002" i="11"/>
  <c r="G994" i="11"/>
  <c r="G986" i="11"/>
  <c r="G978" i="11"/>
  <c r="G970" i="11"/>
  <c r="G962" i="11"/>
  <c r="G954" i="11"/>
  <c r="G946" i="11"/>
  <c r="G938" i="11"/>
  <c r="G930" i="11"/>
  <c r="G922" i="11"/>
  <c r="G906" i="11"/>
  <c r="G898" i="11"/>
  <c r="G890" i="11"/>
  <c r="G874" i="11"/>
  <c r="G866" i="11"/>
  <c r="G858" i="11"/>
  <c r="G850" i="11"/>
  <c r="G842" i="11"/>
  <c r="G834" i="11"/>
  <c r="G826" i="11"/>
  <c r="G818" i="11"/>
  <c r="G810" i="11"/>
  <c r="G802" i="11"/>
  <c r="G794" i="11"/>
  <c r="G778" i="11"/>
  <c r="G770" i="11"/>
  <c r="G762" i="11"/>
  <c r="G746" i="11"/>
  <c r="G738" i="11"/>
  <c r="G730" i="11"/>
  <c r="G722" i="11"/>
  <c r="G714" i="11"/>
  <c r="G706" i="11"/>
  <c r="G698" i="11"/>
  <c r="G690" i="11"/>
  <c r="G682" i="11"/>
  <c r="G674" i="11"/>
  <c r="G666" i="11"/>
  <c r="G650" i="11"/>
  <c r="G642" i="11"/>
  <c r="G634" i="11"/>
  <c r="G618" i="11"/>
  <c r="G610" i="11"/>
  <c r="G602" i="11"/>
  <c r="G594" i="11"/>
  <c r="G586" i="11"/>
  <c r="G578" i="11"/>
  <c r="G570" i="11"/>
  <c r="G562" i="11"/>
  <c r="G554" i="11"/>
  <c r="G546" i="11"/>
  <c r="G538" i="11"/>
  <c r="G522" i="11"/>
  <c r="G514" i="11"/>
  <c r="G506" i="11"/>
  <c r="G490" i="11"/>
  <c r="G482" i="11"/>
  <c r="G474" i="11"/>
  <c r="G466" i="11"/>
  <c r="G458" i="11"/>
  <c r="G450" i="11"/>
  <c r="G442" i="11"/>
  <c r="G434" i="11"/>
  <c r="G426" i="11"/>
  <c r="G418" i="11"/>
  <c r="G410" i="11"/>
  <c r="G394" i="11"/>
  <c r="G386" i="11"/>
  <c r="G378" i="11"/>
  <c r="G362" i="11"/>
  <c r="G354" i="11"/>
  <c r="G346" i="11"/>
  <c r="G338" i="11"/>
  <c r="G330" i="11"/>
  <c r="G322" i="11"/>
  <c r="G314" i="11"/>
  <c r="G306" i="11"/>
  <c r="G298" i="11"/>
  <c r="G290" i="11"/>
  <c r="G282" i="11"/>
  <c r="G266" i="11"/>
  <c r="G258" i="11"/>
  <c r="G250" i="11"/>
  <c r="G234" i="11"/>
  <c r="G226" i="11"/>
  <c r="G218" i="11"/>
  <c r="G210" i="11"/>
  <c r="G202" i="11"/>
  <c r="G194" i="11"/>
  <c r="G186" i="11"/>
  <c r="G178" i="11"/>
  <c r="G170" i="11"/>
  <c r="G162" i="11"/>
  <c r="G154" i="11"/>
  <c r="G146" i="11"/>
  <c r="G138" i="11"/>
  <c r="G130" i="11"/>
  <c r="G122" i="11"/>
  <c r="G114" i="11"/>
  <c r="G106" i="11"/>
  <c r="G98" i="11"/>
  <c r="G90" i="11"/>
  <c r="G82" i="11"/>
  <c r="G74" i="11"/>
  <c r="G66" i="11"/>
  <c r="G58" i="11"/>
  <c r="G50" i="11"/>
  <c r="G34" i="11"/>
  <c r="M429" i="54"/>
  <c r="H429" i="54" s="1"/>
  <c r="I429" i="54" s="1"/>
  <c r="J429" i="54" s="1"/>
  <c r="T428" i="54"/>
  <c r="AB428" i="54" s="1"/>
  <c r="AE428" i="54" s="1"/>
  <c r="M428" i="54"/>
  <c r="U428" i="54" s="1"/>
  <c r="AC428" i="54" s="1"/>
  <c r="AF428" i="54" s="1"/>
  <c r="W417" i="54"/>
  <c r="X417" i="54" s="1"/>
  <c r="C32" i="64"/>
  <c r="W427" i="54"/>
  <c r="W419" i="54"/>
  <c r="X419" i="54" s="1"/>
  <c r="W420" i="54"/>
  <c r="W431" i="54"/>
  <c r="X431" i="54" s="1"/>
  <c r="W435" i="54"/>
  <c r="X435" i="54" s="1"/>
  <c r="W439" i="54"/>
  <c r="X439" i="54" s="1"/>
  <c r="W416" i="54"/>
  <c r="X416" i="54" s="1"/>
  <c r="W424" i="54"/>
  <c r="X424" i="54" s="1"/>
  <c r="M438" i="54"/>
  <c r="H438" i="54" s="1"/>
  <c r="I438" i="54" s="1"/>
  <c r="J438" i="54" s="1"/>
  <c r="T425" i="54"/>
  <c r="AB425" i="54" s="1"/>
  <c r="AE425" i="54" s="1"/>
  <c r="M425" i="54"/>
  <c r="H425" i="54" s="1"/>
  <c r="I425" i="54" s="1"/>
  <c r="J425" i="54" s="1"/>
  <c r="N429" i="54"/>
  <c r="M430" i="54"/>
  <c r="H430" i="54" s="1"/>
  <c r="I430" i="54" s="1"/>
  <c r="J430" i="54" s="1"/>
  <c r="N430" i="54"/>
  <c r="N422" i="54"/>
  <c r="N437" i="54"/>
  <c r="N419" i="54"/>
  <c r="T438" i="54"/>
  <c r="AB438" i="54" s="1"/>
  <c r="AE438" i="54" s="1"/>
  <c r="M419" i="54"/>
  <c r="O419" i="54" s="1"/>
  <c r="N427" i="54"/>
  <c r="M427" i="54"/>
  <c r="H427" i="54" s="1"/>
  <c r="I427" i="54" s="1"/>
  <c r="J427" i="54" s="1"/>
  <c r="T437" i="54"/>
  <c r="AB437" i="54" s="1"/>
  <c r="AE437" i="54" s="1"/>
  <c r="M433" i="54"/>
  <c r="H433" i="54" s="1"/>
  <c r="I433" i="54" s="1"/>
  <c r="J433" i="54" s="1"/>
  <c r="N415" i="54"/>
  <c r="N417" i="54"/>
  <c r="N418" i="54"/>
  <c r="T426" i="54"/>
  <c r="AB426" i="54" s="1"/>
  <c r="AE426" i="54" s="1"/>
  <c r="T432" i="54"/>
  <c r="AB432" i="54" s="1"/>
  <c r="AE432" i="54" s="1"/>
  <c r="U417" i="54"/>
  <c r="AC417" i="54" s="1"/>
  <c r="AF417" i="54" s="1"/>
  <c r="O417" i="54"/>
  <c r="T417" i="54"/>
  <c r="AB417" i="54" s="1"/>
  <c r="AE417" i="54" s="1"/>
  <c r="T414" i="54"/>
  <c r="AB414" i="54" s="1"/>
  <c r="AE414" i="54" s="1"/>
  <c r="M414" i="54"/>
  <c r="H414" i="54" s="1"/>
  <c r="I414" i="54" s="1"/>
  <c r="J414" i="54" s="1"/>
  <c r="H417" i="54"/>
  <c r="I417" i="54" s="1"/>
  <c r="J417" i="54" s="1"/>
  <c r="T433" i="54"/>
  <c r="AB433" i="54" s="1"/>
  <c r="AE433" i="54" s="1"/>
  <c r="N414" i="54"/>
  <c r="M416" i="54"/>
  <c r="U416" i="54" s="1"/>
  <c r="AC416" i="54" s="1"/>
  <c r="AF416" i="54" s="1"/>
  <c r="T418" i="54"/>
  <c r="AB418" i="54" s="1"/>
  <c r="AE418" i="54" s="1"/>
  <c r="M422" i="54"/>
  <c r="H422" i="54" s="1"/>
  <c r="I422" i="54" s="1"/>
  <c r="J422" i="54" s="1"/>
  <c r="N428" i="54"/>
  <c r="O432" i="54"/>
  <c r="U432" i="54"/>
  <c r="M439" i="54"/>
  <c r="H439" i="54" s="1"/>
  <c r="I439" i="54" s="1"/>
  <c r="J439" i="54" s="1"/>
  <c r="N432" i="54"/>
  <c r="T439" i="54"/>
  <c r="AB439" i="54" s="1"/>
  <c r="AE439" i="54" s="1"/>
  <c r="M436" i="54"/>
  <c r="H436" i="54" s="1"/>
  <c r="I436" i="54" s="1"/>
  <c r="J436" i="54" s="1"/>
  <c r="N421" i="54"/>
  <c r="H432" i="54"/>
  <c r="T436" i="54"/>
  <c r="AB436" i="54" s="1"/>
  <c r="AE436" i="54" s="1"/>
  <c r="L440" i="54"/>
  <c r="L17" i="54" s="1"/>
  <c r="H426" i="54"/>
  <c r="I426" i="54" s="1"/>
  <c r="J426" i="54" s="1"/>
  <c r="O426" i="54"/>
  <c r="U426" i="54"/>
  <c r="AC426" i="54" s="1"/>
  <c r="AF426" i="54" s="1"/>
  <c r="H421" i="54"/>
  <c r="I421" i="54" s="1"/>
  <c r="J421" i="54" s="1"/>
  <c r="O421" i="54"/>
  <c r="U421" i="54"/>
  <c r="AC421" i="54" s="1"/>
  <c r="AF421" i="54" s="1"/>
  <c r="N426" i="54"/>
  <c r="M415" i="54"/>
  <c r="T421" i="54"/>
  <c r="AB421" i="54" s="1"/>
  <c r="AE421" i="54" s="1"/>
  <c r="M431" i="54"/>
  <c r="M434" i="54"/>
  <c r="M420" i="54"/>
  <c r="N434" i="54"/>
  <c r="N420" i="54"/>
  <c r="T416" i="54"/>
  <c r="AB416" i="54" s="1"/>
  <c r="AE416" i="54" s="1"/>
  <c r="T431" i="54"/>
  <c r="T420" i="54"/>
  <c r="C8" i="62"/>
  <c r="N390" i="54"/>
  <c r="N391" i="54" s="1"/>
  <c r="N14" i="54" s="1"/>
  <c r="T390" i="54"/>
  <c r="AB390" i="54" s="1"/>
  <c r="AE390" i="54" s="1"/>
  <c r="M390" i="54"/>
  <c r="O390" i="54" s="1"/>
  <c r="B19" i="34"/>
  <c r="C56" i="33" s="1"/>
  <c r="U42" i="21"/>
  <c r="V53" i="21"/>
  <c r="W53" i="21" s="1"/>
  <c r="V42" i="21"/>
  <c r="W42" i="21" s="1"/>
  <c r="W5" i="21"/>
  <c r="U53" i="21"/>
  <c r="W294" i="54"/>
  <c r="X294" i="54" s="1"/>
  <c r="F76" i="33"/>
  <c r="F45" i="33"/>
  <c r="F24" i="33"/>
  <c r="H60" i="33"/>
  <c r="H27" i="33" s="1"/>
  <c r="E24" i="33"/>
  <c r="E51" i="33"/>
  <c r="E71" i="33"/>
  <c r="E34" i="33"/>
  <c r="N338" i="54"/>
  <c r="H338" i="54"/>
  <c r="O338" i="54"/>
  <c r="U340" i="54"/>
  <c r="H340" i="54"/>
  <c r="H337" i="54"/>
  <c r="T340" i="54"/>
  <c r="H336" i="54"/>
  <c r="U336" i="54"/>
  <c r="L344" i="54"/>
  <c r="L21" i="54" s="1"/>
  <c r="H335" i="54"/>
  <c r="O335" i="54"/>
  <c r="T333" i="54"/>
  <c r="H333" i="54"/>
  <c r="N332" i="54"/>
  <c r="H332" i="54"/>
  <c r="I332" i="54" s="1"/>
  <c r="J332" i="54" s="1"/>
  <c r="T306" i="54"/>
  <c r="AB306" i="54" s="1"/>
  <c r="AE306" i="54" s="1"/>
  <c r="O312" i="54"/>
  <c r="U312" i="54"/>
  <c r="AC312" i="54" s="1"/>
  <c r="AF312" i="54" s="1"/>
  <c r="Z299" i="11"/>
  <c r="O316" i="54"/>
  <c r="X1141" i="11"/>
  <c r="Y759" i="11"/>
  <c r="Y504" i="11"/>
  <c r="V743" i="11"/>
  <c r="N329" i="54"/>
  <c r="O331" i="54"/>
  <c r="H329" i="54"/>
  <c r="I329" i="54" s="1"/>
  <c r="J329" i="54" s="1"/>
  <c r="O311" i="54"/>
  <c r="V1031" i="11"/>
  <c r="N318" i="54"/>
  <c r="H323" i="54"/>
  <c r="I323" i="54" s="1"/>
  <c r="J323" i="54" s="1"/>
  <c r="U327" i="54"/>
  <c r="AC327" i="54" s="1"/>
  <c r="AF327" i="54" s="1"/>
  <c r="H327" i="54"/>
  <c r="I327" i="54" s="1"/>
  <c r="J327" i="54" s="1"/>
  <c r="H320" i="54"/>
  <c r="I320" i="54" s="1"/>
  <c r="J320" i="54" s="1"/>
  <c r="O328" i="54"/>
  <c r="H300" i="54"/>
  <c r="I300" i="54" s="1"/>
  <c r="O324" i="54"/>
  <c r="H304" i="54"/>
  <c r="I304" i="54" s="1"/>
  <c r="J304" i="54" s="1"/>
  <c r="H318" i="54"/>
  <c r="I318" i="54" s="1"/>
  <c r="J318" i="54" s="1"/>
  <c r="U326" i="54"/>
  <c r="AC326" i="54" s="1"/>
  <c r="AF326" i="54" s="1"/>
  <c r="T307" i="54"/>
  <c r="AB307" i="54" s="1"/>
  <c r="AE307" i="54" s="1"/>
  <c r="H326" i="54"/>
  <c r="I326" i="54" s="1"/>
  <c r="J326" i="54" s="1"/>
  <c r="T326" i="54"/>
  <c r="AB326" i="54" s="1"/>
  <c r="AE326" i="54" s="1"/>
  <c r="T319" i="54"/>
  <c r="AB319" i="54" s="1"/>
  <c r="AE319" i="54" s="1"/>
  <c r="T327" i="54"/>
  <c r="AB327" i="54" s="1"/>
  <c r="AE327" i="54" s="1"/>
  <c r="N308" i="54"/>
  <c r="T300" i="54"/>
  <c r="AB300" i="54" s="1"/>
  <c r="AE300" i="54" s="1"/>
  <c r="U315" i="54"/>
  <c r="AC315" i="54" s="1"/>
  <c r="AF315" i="54" s="1"/>
  <c r="N319" i="54"/>
  <c r="T315" i="54"/>
  <c r="AB315" i="54" s="1"/>
  <c r="AE315" i="54" s="1"/>
  <c r="N304" i="54"/>
  <c r="U314" i="54"/>
  <c r="AC314" i="54" s="1"/>
  <c r="AF314" i="54" s="1"/>
  <c r="H321" i="54"/>
  <c r="I321" i="54" s="1"/>
  <c r="J321" i="54" s="1"/>
  <c r="T323" i="54"/>
  <c r="AB323" i="54" s="1"/>
  <c r="AE323" i="54" s="1"/>
  <c r="T321" i="54"/>
  <c r="AB321" i="54" s="1"/>
  <c r="AE321" i="54" s="1"/>
  <c r="V3248" i="11"/>
  <c r="Y2777" i="11"/>
  <c r="Y1527" i="11"/>
  <c r="V1640" i="11"/>
  <c r="V2792" i="11"/>
  <c r="Y127" i="11"/>
  <c r="Y1087" i="11"/>
  <c r="Y903" i="11"/>
  <c r="X549" i="11"/>
  <c r="Y2512" i="11"/>
  <c r="AB2512" i="11" s="1"/>
  <c r="V2864" i="11"/>
  <c r="Y1896" i="11"/>
  <c r="V1760" i="11"/>
  <c r="AA1760" i="11" s="1"/>
  <c r="V456" i="11"/>
  <c r="X45" i="11"/>
  <c r="V3006" i="11"/>
  <c r="E41" i="36"/>
  <c r="E53" i="36" s="1"/>
  <c r="C55" i="33" s="1"/>
  <c r="H303" i="54"/>
  <c r="I303" i="54" s="1"/>
  <c r="J303" i="54" s="1"/>
  <c r="H302" i="54"/>
  <c r="I302" i="54" s="1"/>
  <c r="J302" i="54" s="1"/>
  <c r="N302" i="54"/>
  <c r="H311" i="54"/>
  <c r="I311" i="54" s="1"/>
  <c r="J311" i="54" s="1"/>
  <c r="N314" i="54"/>
  <c r="H314" i="54"/>
  <c r="I314" i="54" s="1"/>
  <c r="J314" i="54" s="1"/>
  <c r="O321" i="54"/>
  <c r="U339" i="54"/>
  <c r="H309" i="54"/>
  <c r="I309" i="54" s="1"/>
  <c r="J309" i="54" s="1"/>
  <c r="U325" i="54"/>
  <c r="AC325" i="54" s="1"/>
  <c r="AF325" i="54" s="1"/>
  <c r="O320" i="54"/>
  <c r="U307" i="54"/>
  <c r="AC307" i="54" s="1"/>
  <c r="AF307" i="54" s="1"/>
  <c r="H330" i="54"/>
  <c r="I330" i="54" s="1"/>
  <c r="J330" i="54" s="1"/>
  <c r="N309" i="54"/>
  <c r="U320" i="54"/>
  <c r="AC320" i="54" s="1"/>
  <c r="AF320" i="54" s="1"/>
  <c r="H301" i="54"/>
  <c r="I301" i="54" s="1"/>
  <c r="J301" i="54" s="1"/>
  <c r="O325" i="54"/>
  <c r="O301" i="54"/>
  <c r="H328" i="54"/>
  <c r="I328" i="54" s="1"/>
  <c r="J328" i="54" s="1"/>
  <c r="M344" i="54"/>
  <c r="M21" i="54" s="1"/>
  <c r="H306" i="54"/>
  <c r="I306" i="54" s="1"/>
  <c r="J306" i="54" s="1"/>
  <c r="O330" i="54"/>
  <c r="N322" i="54"/>
  <c r="U321" i="54"/>
  <c r="AC321" i="54" s="1"/>
  <c r="AF321" i="54" s="1"/>
  <c r="O306" i="54"/>
  <c r="H307" i="54"/>
  <c r="I307" i="54" s="1"/>
  <c r="J307" i="54" s="1"/>
  <c r="H339" i="54"/>
  <c r="Y3134" i="11"/>
  <c r="Y1431" i="11"/>
  <c r="Z507" i="11"/>
  <c r="V79" i="11"/>
  <c r="V720" i="11"/>
  <c r="V15" i="11"/>
  <c r="V3376" i="11"/>
  <c r="Y184" i="11"/>
  <c r="AB184" i="11" s="1"/>
  <c r="Y3672" i="11"/>
  <c r="Y768" i="11"/>
  <c r="Y640" i="11"/>
  <c r="Y2198" i="11"/>
  <c r="AB2198" i="11" s="1"/>
  <c r="Y2600" i="11"/>
  <c r="Y1319" i="11"/>
  <c r="AB1319" i="11" s="1"/>
  <c r="V2448" i="11"/>
  <c r="Y2920" i="11"/>
  <c r="V3432" i="11"/>
  <c r="Y1015" i="11"/>
  <c r="V2032" i="11"/>
  <c r="X483" i="11"/>
  <c r="X147" i="11"/>
  <c r="Y3518" i="11"/>
  <c r="V1215" i="11"/>
  <c r="AA1215" i="11" s="1"/>
  <c r="X515" i="11"/>
  <c r="Z229" i="11"/>
  <c r="V1344" i="11"/>
  <c r="V2462" i="11"/>
  <c r="V472" i="11"/>
  <c r="Y3504" i="11"/>
  <c r="AB3504" i="11" s="1"/>
  <c r="Y96" i="11"/>
  <c r="AB96" i="11" s="1"/>
  <c r="Y944" i="11"/>
  <c r="V3560" i="11"/>
  <c r="AA3560" i="11" s="1"/>
  <c r="V231" i="11"/>
  <c r="Y1599" i="11"/>
  <c r="AB1599" i="11" s="1"/>
  <c r="Y2312" i="11"/>
  <c r="Y1727" i="11"/>
  <c r="V567" i="11"/>
  <c r="V3176" i="11"/>
  <c r="Y3048" i="11"/>
  <c r="Y2992" i="11"/>
  <c r="AB2992" i="11" s="1"/>
  <c r="X1483" i="11"/>
  <c r="Z467" i="11"/>
  <c r="V1655" i="11"/>
  <c r="V3630" i="11"/>
  <c r="V2574" i="11"/>
  <c r="V535" i="11"/>
  <c r="V2400" i="11"/>
  <c r="Y3304" i="11"/>
  <c r="V3120" i="11"/>
  <c r="X1973" i="11"/>
  <c r="H297" i="54"/>
  <c r="I297" i="54" s="1"/>
  <c r="J297" i="54" s="1"/>
  <c r="V520" i="11"/>
  <c r="V1583" i="11"/>
  <c r="V1919" i="11"/>
  <c r="V1999" i="11"/>
  <c r="V2696" i="11"/>
  <c r="V887" i="11"/>
  <c r="X2133" i="11"/>
  <c r="X693" i="11"/>
  <c r="T297" i="54"/>
  <c r="AB297" i="54" s="1"/>
  <c r="AE297" i="54" s="1"/>
  <c r="Y1232" i="11"/>
  <c r="AB1232" i="11" s="1"/>
  <c r="Y2128" i="11"/>
  <c r="Y2336" i="11"/>
  <c r="V2736" i="11"/>
  <c r="Y1552" i="11"/>
  <c r="AB1552" i="11" s="1"/>
  <c r="Z2435" i="11"/>
  <c r="E13" i="33"/>
  <c r="E15" i="33"/>
  <c r="E14" i="33"/>
  <c r="E26" i="33"/>
  <c r="E5" i="33"/>
  <c r="E28" i="33"/>
  <c r="E47" i="33"/>
  <c r="E49" i="33"/>
  <c r="E75" i="33"/>
  <c r="H22" i="33"/>
  <c r="E18" i="33"/>
  <c r="E8" i="33"/>
  <c r="E16" i="33"/>
  <c r="E39" i="33"/>
  <c r="E50" i="33"/>
  <c r="E45" i="33"/>
  <c r="E23" i="33"/>
  <c r="E31" i="33"/>
  <c r="D31" i="33" s="1"/>
  <c r="L274" i="54" s="1"/>
  <c r="E21" i="33"/>
  <c r="E25" i="33"/>
  <c r="E38" i="33"/>
  <c r="E36" i="33"/>
  <c r="E48" i="33"/>
  <c r="E70" i="33"/>
  <c r="E7" i="33"/>
  <c r="H33" i="33"/>
  <c r="D18" i="33"/>
  <c r="L261" i="54" s="1"/>
  <c r="E76" i="33"/>
  <c r="E35" i="33"/>
  <c r="E27" i="33"/>
  <c r="E17" i="33"/>
  <c r="E11" i="33"/>
  <c r="E19" i="33"/>
  <c r="E46" i="33"/>
  <c r="E40" i="33"/>
  <c r="E73" i="33"/>
  <c r="E37" i="33"/>
  <c r="E12" i="33"/>
  <c r="F22" i="33"/>
  <c r="H45" i="33"/>
  <c r="E9" i="33"/>
  <c r="F71" i="33"/>
  <c r="F10" i="33"/>
  <c r="E29" i="33"/>
  <c r="F39" i="33"/>
  <c r="F38" i="33"/>
  <c r="F25" i="33"/>
  <c r="E44" i="33"/>
  <c r="F21" i="33"/>
  <c r="F37" i="33"/>
  <c r="E22" i="33"/>
  <c r="F33" i="33"/>
  <c r="F51" i="33"/>
  <c r="F19" i="33"/>
  <c r="F27" i="33"/>
  <c r="F70" i="33"/>
  <c r="F9" i="33"/>
  <c r="F8" i="33"/>
  <c r="F6" i="33"/>
  <c r="F11" i="33"/>
  <c r="F40" i="33"/>
  <c r="F5" i="33"/>
  <c r="F46" i="33"/>
  <c r="F28" i="33"/>
  <c r="F47" i="33"/>
  <c r="F50" i="33"/>
  <c r="F29" i="33"/>
  <c r="F16" i="33"/>
  <c r="F7" i="33"/>
  <c r="E30" i="33"/>
  <c r="E74" i="33"/>
  <c r="E10" i="33"/>
  <c r="F15" i="33"/>
  <c r="F36" i="33"/>
  <c r="E33" i="33"/>
  <c r="E6" i="33"/>
  <c r="F17" i="33"/>
  <c r="E4" i="33"/>
  <c r="E52" i="33"/>
  <c r="E72" i="33"/>
  <c r="I49" i="33"/>
  <c r="I26" i="33"/>
  <c r="I37" i="33"/>
  <c r="I27" i="33"/>
  <c r="I28" i="33"/>
  <c r="I9" i="33"/>
  <c r="I31" i="33"/>
  <c r="I40" i="33"/>
  <c r="I39" i="33"/>
  <c r="I6" i="33"/>
  <c r="I7" i="33"/>
  <c r="I45" i="33"/>
  <c r="I46" i="33"/>
  <c r="I50" i="33"/>
  <c r="I38" i="33"/>
  <c r="I5" i="33"/>
  <c r="I29" i="33"/>
  <c r="I18" i="33"/>
  <c r="I33" i="33"/>
  <c r="I17" i="33"/>
  <c r="I8" i="33"/>
  <c r="I22" i="33"/>
  <c r="I51" i="33"/>
  <c r="I36" i="33"/>
  <c r="I24" i="33"/>
  <c r="I25" i="33"/>
  <c r="I16" i="33"/>
  <c r="I10" i="33"/>
  <c r="I19" i="33"/>
  <c r="I4" i="33"/>
  <c r="I71" i="33"/>
  <c r="I52" i="33"/>
  <c r="I15" i="33"/>
  <c r="I70" i="33"/>
  <c r="I21" i="33"/>
  <c r="I23" i="33"/>
  <c r="E20" i="33"/>
  <c r="I75" i="33"/>
  <c r="I47" i="33"/>
  <c r="F72" i="33"/>
  <c r="T369" i="54"/>
  <c r="AB369" i="54" s="1"/>
  <c r="AE369" i="54" s="1"/>
  <c r="T379" i="54"/>
  <c r="AB379" i="54" s="1"/>
  <c r="AE379" i="54" s="1"/>
  <c r="N379" i="54"/>
  <c r="M379" i="54"/>
  <c r="U379" i="54" s="1"/>
  <c r="AC379" i="54" s="1"/>
  <c r="AF379" i="54" s="1"/>
  <c r="L353" i="54"/>
  <c r="N375" i="54"/>
  <c r="T375" i="54"/>
  <c r="AB375" i="54" s="1"/>
  <c r="AE375" i="54" s="1"/>
  <c r="M375" i="54"/>
  <c r="N355" i="54"/>
  <c r="T355" i="54"/>
  <c r="AB355" i="54" s="1"/>
  <c r="AE355" i="54" s="1"/>
  <c r="M355" i="54"/>
  <c r="T363" i="54"/>
  <c r="AB363" i="54" s="1"/>
  <c r="AE363" i="54" s="1"/>
  <c r="M363" i="54"/>
  <c r="H363" i="54" s="1"/>
  <c r="I363" i="54" s="1"/>
  <c r="J363" i="54" s="1"/>
  <c r="N363" i="54"/>
  <c r="T372" i="54"/>
  <c r="AB372" i="54" s="1"/>
  <c r="AE372" i="54" s="1"/>
  <c r="M372" i="54"/>
  <c r="H372" i="54" s="1"/>
  <c r="I372" i="54" s="1"/>
  <c r="J372" i="54" s="1"/>
  <c r="N372" i="54"/>
  <c r="N383" i="54"/>
  <c r="M383" i="54"/>
  <c r="H383" i="54" s="1"/>
  <c r="I383" i="54" s="1"/>
  <c r="J383" i="54" s="1"/>
  <c r="T383" i="54"/>
  <c r="AB383" i="54" s="1"/>
  <c r="AE383" i="54" s="1"/>
  <c r="N365" i="54"/>
  <c r="T365" i="54"/>
  <c r="AB365" i="54" s="1"/>
  <c r="AE365" i="54" s="1"/>
  <c r="M365" i="54"/>
  <c r="T366" i="54"/>
  <c r="AB366" i="54" s="1"/>
  <c r="AE366" i="54" s="1"/>
  <c r="N366" i="54"/>
  <c r="M366" i="54"/>
  <c r="H366" i="54" s="1"/>
  <c r="I366" i="54" s="1"/>
  <c r="J366" i="54" s="1"/>
  <c r="M376" i="54"/>
  <c r="H376" i="54" s="1"/>
  <c r="I376" i="54" s="1"/>
  <c r="J376" i="54" s="1"/>
  <c r="N376" i="54"/>
  <c r="T376" i="54"/>
  <c r="AB376" i="54" s="1"/>
  <c r="AE376" i="54" s="1"/>
  <c r="M357" i="54"/>
  <c r="H357" i="54" s="1"/>
  <c r="I357" i="54" s="1"/>
  <c r="J357" i="54" s="1"/>
  <c r="T357" i="54"/>
  <c r="AB357" i="54" s="1"/>
  <c r="AE357" i="54" s="1"/>
  <c r="N357" i="54"/>
  <c r="T361" i="54"/>
  <c r="AB361" i="54" s="1"/>
  <c r="AE361" i="54" s="1"/>
  <c r="M361" i="54"/>
  <c r="U361" i="54" s="1"/>
  <c r="AC361" i="54" s="1"/>
  <c r="AF361" i="54" s="1"/>
  <c r="N361" i="54"/>
  <c r="N380" i="54"/>
  <c r="T380" i="54"/>
  <c r="AB380" i="54" s="1"/>
  <c r="AE380" i="54" s="1"/>
  <c r="M380" i="54"/>
  <c r="M364" i="54"/>
  <c r="H364" i="54" s="1"/>
  <c r="I364" i="54" s="1"/>
  <c r="J364" i="54" s="1"/>
  <c r="T364" i="54"/>
  <c r="AB364" i="54" s="1"/>
  <c r="AE364" i="54" s="1"/>
  <c r="N364" i="54"/>
  <c r="M374" i="54"/>
  <c r="N374" i="54"/>
  <c r="T374" i="54"/>
  <c r="AB374" i="54" s="1"/>
  <c r="AE374" i="54" s="1"/>
  <c r="T384" i="54"/>
  <c r="AB384" i="54" s="1"/>
  <c r="AE384" i="54" s="1"/>
  <c r="M384" i="54"/>
  <c r="H384" i="54" s="1"/>
  <c r="I384" i="54" s="1"/>
  <c r="J384" i="54" s="1"/>
  <c r="N384" i="54"/>
  <c r="N370" i="54"/>
  <c r="T370" i="54"/>
  <c r="AB370" i="54" s="1"/>
  <c r="AE370" i="54" s="1"/>
  <c r="M370" i="54"/>
  <c r="H370" i="54" s="1"/>
  <c r="I370" i="54" s="1"/>
  <c r="J370" i="54" s="1"/>
  <c r="N358" i="54"/>
  <c r="M358" i="54"/>
  <c r="H358" i="54" s="1"/>
  <c r="I358" i="54" s="1"/>
  <c r="J358" i="54" s="1"/>
  <c r="T358" i="54"/>
  <c r="AB358" i="54" s="1"/>
  <c r="AE358" i="54" s="1"/>
  <c r="N367" i="54"/>
  <c r="T367" i="54"/>
  <c r="AB367" i="54" s="1"/>
  <c r="AE367" i="54" s="1"/>
  <c r="M367" i="54"/>
  <c r="H367" i="54" s="1"/>
  <c r="I367" i="54" s="1"/>
  <c r="J367" i="54" s="1"/>
  <c r="T378" i="54"/>
  <c r="AB378" i="54" s="1"/>
  <c r="AE378" i="54" s="1"/>
  <c r="N378" i="54"/>
  <c r="M378" i="54"/>
  <c r="H378" i="54" s="1"/>
  <c r="I378" i="54" s="1"/>
  <c r="J378" i="54" s="1"/>
  <c r="N362" i="54"/>
  <c r="M371" i="54"/>
  <c r="T371" i="54"/>
  <c r="AB371" i="54" s="1"/>
  <c r="AE371" i="54" s="1"/>
  <c r="N371" i="54"/>
  <c r="M381" i="54"/>
  <c r="H381" i="54" s="1"/>
  <c r="I381" i="54" s="1"/>
  <c r="J381" i="54" s="1"/>
  <c r="N381" i="54"/>
  <c r="T381" i="54"/>
  <c r="AB381" i="54" s="1"/>
  <c r="AE381" i="54" s="1"/>
  <c r="X2325" i="11"/>
  <c r="Z1291" i="11"/>
  <c r="Z1163" i="11"/>
  <c r="X1795" i="11"/>
  <c r="X1997" i="11"/>
  <c r="X3115" i="11"/>
  <c r="X2611" i="11"/>
  <c r="Z1357" i="11"/>
  <c r="X3099" i="11"/>
  <c r="X2619" i="11"/>
  <c r="Z3283" i="11"/>
  <c r="X2243" i="11"/>
  <c r="Z1147" i="11"/>
  <c r="Z2115" i="11"/>
  <c r="X43" i="11"/>
  <c r="S72" i="54"/>
  <c r="I580" i="54"/>
  <c r="J580" i="54" s="1"/>
  <c r="I418" i="54"/>
  <c r="J418" i="54" s="1"/>
  <c r="U418" i="54"/>
  <c r="F48" i="33"/>
  <c r="I48" i="33"/>
  <c r="O418" i="54"/>
  <c r="F73" i="33"/>
  <c r="I73" i="33"/>
  <c r="F139" i="54"/>
  <c r="T313" i="54"/>
  <c r="L334" i="54"/>
  <c r="N313" i="54"/>
  <c r="H437" i="54"/>
  <c r="I437" i="54" s="1"/>
  <c r="J437" i="54" s="1"/>
  <c r="U437" i="54"/>
  <c r="AC437" i="54" s="1"/>
  <c r="AF437" i="54" s="1"/>
  <c r="I72" i="33"/>
  <c r="H313" i="54"/>
  <c r="I313" i="54" s="1"/>
  <c r="J313" i="54" s="1"/>
  <c r="L391" i="54"/>
  <c r="L14" i="54" s="1"/>
  <c r="T389" i="54"/>
  <c r="M389" i="54"/>
  <c r="H389" i="54" s="1"/>
  <c r="I14" i="33"/>
  <c r="F14" i="33"/>
  <c r="F129" i="54"/>
  <c r="F284" i="54"/>
  <c r="F9" i="54" s="1"/>
  <c r="D126" i="54"/>
  <c r="G166" i="54"/>
  <c r="D203" i="54"/>
  <c r="G184" i="54"/>
  <c r="D144" i="54"/>
  <c r="D155" i="54"/>
  <c r="G195" i="54"/>
  <c r="G104" i="54" s="1"/>
  <c r="N435" i="54"/>
  <c r="M435" i="54"/>
  <c r="N423" i="54"/>
  <c r="T423" i="54"/>
  <c r="M423" i="54"/>
  <c r="F127" i="54"/>
  <c r="M334" i="54"/>
  <c r="F198" i="54"/>
  <c r="F57" i="54" s="1"/>
  <c r="G158" i="54"/>
  <c r="O342" i="54"/>
  <c r="U342" i="54"/>
  <c r="M424" i="54"/>
  <c r="H424" i="54" s="1"/>
  <c r="I424" i="54" s="1"/>
  <c r="J424" i="54" s="1"/>
  <c r="T424" i="54"/>
  <c r="AB424" i="54" s="1"/>
  <c r="AE424" i="54" s="1"/>
  <c r="N316" i="54"/>
  <c r="T316" i="54"/>
  <c r="AB316" i="54" s="1"/>
  <c r="AE316" i="54" s="1"/>
  <c r="H316" i="54"/>
  <c r="I316" i="54" s="1"/>
  <c r="J316" i="54" s="1"/>
  <c r="O309" i="54"/>
  <c r="G138" i="54"/>
  <c r="F65" i="54"/>
  <c r="E72" i="54"/>
  <c r="F128" i="54"/>
  <c r="G294" i="54"/>
  <c r="F132" i="54"/>
  <c r="G156" i="54"/>
  <c r="G194" i="54"/>
  <c r="H324" i="54"/>
  <c r="I324" i="54" s="1"/>
  <c r="J324" i="54" s="1"/>
  <c r="C385" i="54"/>
  <c r="X389" i="54"/>
  <c r="F197" i="54"/>
  <c r="F56" i="54" s="1"/>
  <c r="F288" i="54"/>
  <c r="F135" i="54"/>
  <c r="D138" i="54"/>
  <c r="D132" i="54"/>
  <c r="O332" i="54"/>
  <c r="U332" i="54"/>
  <c r="C440" i="54"/>
  <c r="C17" i="54" s="1"/>
  <c r="Y72" i="54"/>
  <c r="E6" i="54"/>
  <c r="E8" i="54" s="1"/>
  <c r="I480" i="54"/>
  <c r="J480" i="54" s="1"/>
  <c r="I590" i="54"/>
  <c r="J590" i="54" s="1"/>
  <c r="R72" i="54"/>
  <c r="I540" i="54"/>
  <c r="J540" i="54" s="1"/>
  <c r="I490" i="54"/>
  <c r="J490" i="54" s="1"/>
  <c r="Q72" i="54"/>
  <c r="S126" i="54"/>
  <c r="S203" i="54"/>
  <c r="S6" i="54" s="1"/>
  <c r="S8" i="54" s="1"/>
  <c r="P120" i="54"/>
  <c r="P72" i="54"/>
  <c r="R203" i="54"/>
  <c r="R6" i="54" s="1"/>
  <c r="R8" i="54" s="1"/>
  <c r="V1616" i="11"/>
  <c r="AA1616" i="11" s="1"/>
  <c r="X29" i="11"/>
  <c r="V423" i="11"/>
  <c r="V495" i="11"/>
  <c r="AF297" i="54"/>
  <c r="Z72" i="54"/>
  <c r="X3739" i="11"/>
  <c r="X3771" i="11"/>
  <c r="Y2926" i="11"/>
  <c r="Y47" i="11"/>
  <c r="Y2576" i="11"/>
  <c r="Y2838" i="11"/>
  <c r="Y1703" i="11"/>
  <c r="V631" i="11"/>
  <c r="X2379" i="11"/>
  <c r="V2824" i="11"/>
  <c r="Y3080" i="11"/>
  <c r="V271" i="11"/>
  <c r="V1967" i="11"/>
  <c r="V935" i="11"/>
  <c r="X2437" i="11"/>
  <c r="Z1595" i="11"/>
  <c r="Z477" i="11"/>
  <c r="X283" i="11"/>
  <c r="V3094" i="11"/>
  <c r="V399" i="11"/>
  <c r="Y1991" i="11"/>
  <c r="Z509" i="11"/>
  <c r="X1293" i="11"/>
  <c r="Y2216" i="11"/>
  <c r="AB2216" i="11" s="1"/>
  <c r="Z149" i="11"/>
  <c r="Y1264" i="11"/>
  <c r="V3592" i="11"/>
  <c r="V1192" i="11"/>
  <c r="Y3336" i="11"/>
  <c r="X2773" i="11"/>
  <c r="X291" i="11"/>
  <c r="X11" i="11"/>
  <c r="V144" i="11"/>
  <c r="X1485" i="11"/>
  <c r="V671" i="11"/>
  <c r="Y3782" i="11"/>
  <c r="Y3790" i="11"/>
  <c r="X2371" i="11"/>
  <c r="Z1723" i="11"/>
  <c r="V3142" i="11"/>
  <c r="X1109" i="11"/>
  <c r="X2915" i="11"/>
  <c r="V39" i="11"/>
  <c r="Y559" i="11"/>
  <c r="Z3395" i="11"/>
  <c r="X1907" i="11"/>
  <c r="Z1125" i="11"/>
  <c r="X1979" i="11"/>
  <c r="Y1623" i="11"/>
  <c r="Y2632" i="11"/>
  <c r="V10" i="11"/>
  <c r="V1104" i="11"/>
  <c r="V551" i="11"/>
  <c r="V592" i="11"/>
  <c r="Y1303" i="11"/>
  <c r="Y1399" i="11"/>
  <c r="AB1399" i="11" s="1"/>
  <c r="Y1904" i="11"/>
  <c r="AB1904" i="11" s="1"/>
  <c r="X699" i="11"/>
  <c r="V327" i="11"/>
  <c r="X2565" i="11"/>
  <c r="X2589" i="11"/>
  <c r="X2965" i="11"/>
  <c r="Z3117" i="11"/>
  <c r="X2403" i="11"/>
  <c r="Z2573" i="11"/>
  <c r="X3267" i="11"/>
  <c r="X2883" i="11"/>
  <c r="X3075" i="11"/>
  <c r="Y376" i="11"/>
  <c r="Y3822" i="11"/>
  <c r="V71" i="11"/>
  <c r="Y62" i="54"/>
  <c r="V512" i="11"/>
  <c r="Z62" i="54"/>
  <c r="Y1184" i="11"/>
  <c r="AB1184" i="11" s="1"/>
  <c r="Y3814" i="11"/>
  <c r="Y1744" i="11"/>
  <c r="Y3870" i="11"/>
  <c r="V3806" i="11"/>
  <c r="V983" i="11"/>
  <c r="AA983" i="11" s="1"/>
  <c r="V1256" i="11"/>
  <c r="AA1256" i="11" s="1"/>
  <c r="Y3854" i="11"/>
  <c r="V8" i="11"/>
  <c r="Y1880" i="11"/>
  <c r="AB1880" i="11" s="1"/>
  <c r="Y224" i="11"/>
  <c r="AB224" i="11" s="1"/>
  <c r="V895" i="11"/>
  <c r="AA895" i="11" s="1"/>
  <c r="V751" i="11"/>
  <c r="V480" i="11"/>
  <c r="Y3774" i="11"/>
  <c r="V24" i="11"/>
  <c r="Y1576" i="11"/>
  <c r="V1384" i="11"/>
  <c r="V3886" i="11"/>
  <c r="V3838" i="11"/>
  <c r="Y2256" i="11"/>
  <c r="V679" i="11"/>
  <c r="AA679" i="11" s="1"/>
  <c r="Y1327" i="11"/>
  <c r="Y1216" i="11"/>
  <c r="AB1216" i="11" s="1"/>
  <c r="Y615" i="11"/>
  <c r="V1432" i="11"/>
  <c r="Y1320" i="11"/>
  <c r="AB1320" i="11" s="1"/>
  <c r="V959" i="11"/>
  <c r="Y1840" i="11"/>
  <c r="AB1840" i="11" s="1"/>
  <c r="Y1447" i="11"/>
  <c r="V1088" i="11"/>
  <c r="V1687" i="11"/>
  <c r="Y568" i="11"/>
  <c r="V2376" i="11"/>
  <c r="Y3448" i="11"/>
  <c r="AB3448" i="11" s="1"/>
  <c r="V2056" i="11"/>
  <c r="AA2056" i="11" s="1"/>
  <c r="V904" i="11"/>
  <c r="AA904" i="11" s="1"/>
  <c r="Y2614" i="11"/>
  <c r="AB2614" i="11" s="1"/>
  <c r="Y919" i="11"/>
  <c r="V2200" i="11"/>
  <c r="AA2200" i="11" s="1"/>
  <c r="V200" i="11"/>
  <c r="Y1263" i="11"/>
  <c r="Y1047" i="11"/>
  <c r="V1391" i="11"/>
  <c r="Y143" i="11"/>
  <c r="V55" i="11"/>
  <c r="Y2502" i="11"/>
  <c r="Y536" i="11"/>
  <c r="V128" i="11"/>
  <c r="Y2288" i="11"/>
  <c r="AB2288" i="11" s="1"/>
  <c r="V1032" i="11"/>
  <c r="Y1920" i="11"/>
  <c r="AB1920" i="11" s="1"/>
  <c r="Z1771" i="11"/>
  <c r="Y80" i="11"/>
  <c r="V3758" i="11"/>
  <c r="Y111" i="11"/>
  <c r="X779" i="11"/>
  <c r="Y3624" i="11"/>
  <c r="V3328" i="11"/>
  <c r="V3696" i="11"/>
  <c r="AA3696" i="11" s="1"/>
  <c r="V1903" i="11"/>
  <c r="Y3128" i="11"/>
  <c r="V1984" i="11"/>
  <c r="AA1984" i="11" s="1"/>
  <c r="Y3736" i="11"/>
  <c r="AB3736" i="11" s="1"/>
  <c r="V3736" i="11"/>
  <c r="V3584" i="11"/>
  <c r="AA3584" i="11" s="1"/>
  <c r="Y3584" i="11"/>
  <c r="Y3526" i="11"/>
  <c r="V3526" i="11"/>
  <c r="AA3526" i="11" s="1"/>
  <c r="Y3512" i="11"/>
  <c r="AB3512" i="11" s="1"/>
  <c r="V3512" i="11"/>
  <c r="V3384" i="11"/>
  <c r="Y3384" i="11"/>
  <c r="Y3342" i="11"/>
  <c r="V3342" i="11"/>
  <c r="Y3256" i="11"/>
  <c r="AB3256" i="11" s="1"/>
  <c r="V3256" i="11"/>
  <c r="Y3014" i="11"/>
  <c r="V3014" i="11"/>
  <c r="Y3000" i="11"/>
  <c r="AB3000" i="11" s="1"/>
  <c r="V3000" i="11"/>
  <c r="V2758" i="11"/>
  <c r="Y2758" i="11"/>
  <c r="Y2705" i="11"/>
  <c r="V2705" i="11"/>
  <c r="AA2705" i="11" s="1"/>
  <c r="V2608" i="11"/>
  <c r="Y2608" i="11"/>
  <c r="AB2608" i="11" s="1"/>
  <c r="Y2472" i="11"/>
  <c r="V2472" i="11"/>
  <c r="Y2408" i="11"/>
  <c r="AB2408" i="11" s="1"/>
  <c r="V2408" i="11"/>
  <c r="Y2344" i="11"/>
  <c r="AB2344" i="11" s="1"/>
  <c r="V2344" i="11"/>
  <c r="Y2294" i="11"/>
  <c r="V2294" i="11"/>
  <c r="AA2294" i="11" s="1"/>
  <c r="Y2206" i="11"/>
  <c r="AB2206" i="11" s="1"/>
  <c r="V2206" i="11"/>
  <c r="Y1824" i="11"/>
  <c r="AB1824" i="11" s="1"/>
  <c r="V1824" i="11"/>
  <c r="V1800" i="11"/>
  <c r="Y1800" i="11"/>
  <c r="AB1800" i="11" s="1"/>
  <c r="V1767" i="11"/>
  <c r="Y1767" i="11"/>
  <c r="Y1607" i="11"/>
  <c r="V1607" i="11"/>
  <c r="AA1607" i="11" s="1"/>
  <c r="Y1591" i="11"/>
  <c r="AB1591" i="11" s="1"/>
  <c r="V1591" i="11"/>
  <c r="Y1535" i="11"/>
  <c r="V1535" i="11"/>
  <c r="V1495" i="11"/>
  <c r="Y1495" i="11"/>
  <c r="AB1495" i="11" s="1"/>
  <c r="Y1224" i="11"/>
  <c r="V1224" i="11"/>
  <c r="Y1096" i="11"/>
  <c r="AB1096" i="11" s="1"/>
  <c r="V1096" i="11"/>
  <c r="Y1023" i="11"/>
  <c r="AB1023" i="11" s="1"/>
  <c r="V1023" i="11"/>
  <c r="Y967" i="11"/>
  <c r="V967" i="11"/>
  <c r="V952" i="11"/>
  <c r="Y952" i="11"/>
  <c r="V736" i="11"/>
  <c r="Y736" i="11"/>
  <c r="Y575" i="11"/>
  <c r="V575" i="11"/>
  <c r="V391" i="11"/>
  <c r="Y391" i="11"/>
  <c r="Y135" i="11"/>
  <c r="V135" i="11"/>
  <c r="Y2728" i="11"/>
  <c r="V2728" i="11"/>
  <c r="V1287" i="11"/>
  <c r="Y1287" i="11"/>
  <c r="AB1287" i="11" s="1"/>
  <c r="Y263" i="11"/>
  <c r="V263" i="11"/>
  <c r="Y42" i="11"/>
  <c r="V42" i="11"/>
  <c r="Y3878" i="11"/>
  <c r="V3878" i="11"/>
  <c r="AA3878" i="11" s="1"/>
  <c r="Y3846" i="11"/>
  <c r="V3846" i="11"/>
  <c r="V3086" i="11"/>
  <c r="Y2744" i="11"/>
  <c r="AB2744" i="11" s="1"/>
  <c r="V2886" i="11"/>
  <c r="AA2886" i="11" s="1"/>
  <c r="Y2830" i="11"/>
  <c r="V2830" i="11"/>
  <c r="V3214" i="11"/>
  <c r="V2582" i="11"/>
  <c r="AA2582" i="11" s="1"/>
  <c r="V2872" i="11"/>
  <c r="V2120" i="11"/>
  <c r="Y3664" i="11"/>
  <c r="V2854" i="11"/>
  <c r="Y2664" i="11"/>
  <c r="X2651" i="11"/>
  <c r="V2784" i="11"/>
  <c r="Y2840" i="11"/>
  <c r="AB2840" i="11" s="1"/>
  <c r="V415" i="11"/>
  <c r="V1519" i="11"/>
  <c r="Y3296" i="11"/>
  <c r="AB3296" i="11" s="1"/>
  <c r="Y239" i="11"/>
  <c r="Y1479" i="11"/>
  <c r="V1279" i="11"/>
  <c r="AA1279" i="11" s="1"/>
  <c r="V3646" i="11"/>
  <c r="Y3744" i="11"/>
  <c r="AB3744" i="11" s="1"/>
  <c r="Z2955" i="11"/>
  <c r="Z1475" i="11"/>
  <c r="X1755" i="11"/>
  <c r="X1915" i="11"/>
  <c r="Z189" i="11"/>
  <c r="V3264" i="11"/>
  <c r="Y3632" i="11"/>
  <c r="V2936" i="11"/>
  <c r="Z157" i="11"/>
  <c r="X651" i="11"/>
  <c r="X1669" i="11"/>
  <c r="Z1739" i="11"/>
  <c r="V3192" i="11"/>
  <c r="Y264" i="11"/>
  <c r="AB264" i="11" s="1"/>
  <c r="V40" i="11"/>
  <c r="Y3030" i="11"/>
  <c r="Z2323" i="11"/>
  <c r="X245" i="11"/>
  <c r="Y2486" i="11"/>
  <c r="AB2486" i="11" s="1"/>
  <c r="Y1680" i="11"/>
  <c r="V3640" i="11"/>
  <c r="AA3640" i="11" s="1"/>
  <c r="V2160" i="11"/>
  <c r="Y2064" i="11"/>
  <c r="AB2064" i="11" s="1"/>
  <c r="V136" i="11"/>
  <c r="Z2213" i="11"/>
  <c r="V2320" i="11"/>
  <c r="V167" i="11"/>
  <c r="X1307" i="11"/>
  <c r="Y1199" i="11"/>
  <c r="Y1288" i="11"/>
  <c r="Y2016" i="11"/>
  <c r="AB2016" i="11" s="1"/>
  <c r="Y2641" i="11"/>
  <c r="Z2979" i="11"/>
  <c r="V320" i="11"/>
  <c r="AA320" i="11" s="1"/>
  <c r="Y1352" i="11"/>
  <c r="V375" i="11"/>
  <c r="X277" i="11"/>
  <c r="Y2942" i="11"/>
  <c r="Y463" i="11"/>
  <c r="V2984" i="11"/>
  <c r="X3187" i="11"/>
  <c r="Y416" i="11"/>
  <c r="V240" i="11"/>
  <c r="AA240" i="11" s="1"/>
  <c r="V2518" i="11"/>
  <c r="AA2518" i="11" s="1"/>
  <c r="V223" i="11"/>
  <c r="Y2406" i="11"/>
  <c r="V487" i="11"/>
  <c r="V2814" i="11"/>
  <c r="AA2814" i="11" s="1"/>
  <c r="Y3568" i="11"/>
  <c r="AB3568" i="11" s="1"/>
  <c r="Y63" i="11"/>
  <c r="V3240" i="11"/>
  <c r="V464" i="11"/>
  <c r="AA464" i="11" s="1"/>
  <c r="V1383" i="11"/>
  <c r="X1523" i="11"/>
  <c r="Y120" i="11"/>
  <c r="V807" i="11"/>
  <c r="X2867" i="11"/>
  <c r="V208" i="11"/>
  <c r="V1280" i="11"/>
  <c r="AA1280" i="11" s="1"/>
  <c r="V527" i="11"/>
  <c r="Y1480" i="11"/>
  <c r="V1223" i="11"/>
  <c r="V87" i="11"/>
  <c r="Y2544" i="11"/>
  <c r="Z811" i="11"/>
  <c r="X803" i="11"/>
  <c r="Z13" i="11"/>
  <c r="Z301" i="11"/>
  <c r="Y1776" i="11"/>
  <c r="AB1776" i="11" s="1"/>
  <c r="V1239" i="11"/>
  <c r="V2232" i="11"/>
  <c r="Z1555" i="11"/>
  <c r="X541" i="11"/>
  <c r="Z133" i="11"/>
  <c r="X317" i="11"/>
  <c r="Z243" i="11"/>
  <c r="Z957" i="11"/>
  <c r="V1214" i="11"/>
  <c r="AA1214" i="11" s="1"/>
  <c r="V1663" i="11"/>
  <c r="Y1983" i="11"/>
  <c r="V951" i="11"/>
  <c r="AA951" i="11" s="1"/>
  <c r="Y1799" i="11"/>
  <c r="Y3312" i="11"/>
  <c r="Z2155" i="11"/>
  <c r="X1067" i="11"/>
  <c r="Y2494" i="11"/>
  <c r="AB2494" i="11" s="1"/>
  <c r="Y3656" i="11"/>
  <c r="AB3656" i="11" s="1"/>
  <c r="Z3691" i="11"/>
  <c r="X2179" i="11"/>
  <c r="X1301" i="11"/>
  <c r="Z2405" i="11"/>
  <c r="Z435" i="11"/>
  <c r="Y1639" i="11"/>
  <c r="V2248" i="11"/>
  <c r="AA2248" i="11" s="1"/>
  <c r="Y1343" i="11"/>
  <c r="Y1758" i="11"/>
  <c r="Y1038" i="11"/>
  <c r="V1608" i="11"/>
  <c r="V152" i="11"/>
  <c r="AA152" i="11" s="1"/>
  <c r="V1455" i="11"/>
  <c r="AA1455" i="11" s="1"/>
  <c r="V56" i="11"/>
  <c r="V3230" i="11"/>
  <c r="Y1871" i="11"/>
  <c r="AB1871" i="11" s="1"/>
  <c r="V680" i="11"/>
  <c r="Y871" i="11"/>
  <c r="Y1927" i="11"/>
  <c r="X707" i="11"/>
  <c r="Z1331" i="11"/>
  <c r="X117" i="11"/>
  <c r="Z2157" i="11"/>
  <c r="Y1024" i="11"/>
  <c r="AB1024" i="11" s="1"/>
  <c r="V1768" i="11"/>
  <c r="V2902" i="11"/>
  <c r="Y1759" i="11"/>
  <c r="V3144" i="11"/>
  <c r="Z3355" i="11"/>
  <c r="X683" i="11"/>
  <c r="X1533" i="11"/>
  <c r="X1069" i="11"/>
  <c r="X2149" i="11"/>
  <c r="Y1734" i="11"/>
  <c r="AB1734" i="11" s="1"/>
  <c r="V3542" i="11"/>
  <c r="V3654" i="11"/>
  <c r="Y2088" i="11"/>
  <c r="V2272" i="11"/>
  <c r="Y2888" i="11"/>
  <c r="Y1735" i="11"/>
  <c r="Z2003" i="11"/>
  <c r="X731" i="11"/>
  <c r="Z2131" i="11"/>
  <c r="Z389" i="11"/>
  <c r="X3171" i="11"/>
  <c r="Y408" i="11"/>
  <c r="V2422" i="11"/>
  <c r="V2040" i="11"/>
  <c r="Y519" i="11"/>
  <c r="V1328" i="11"/>
  <c r="V607" i="11"/>
  <c r="X2341" i="11"/>
  <c r="X355" i="11"/>
  <c r="X1557" i="11"/>
  <c r="Z1541" i="11"/>
  <c r="Y1854" i="11"/>
  <c r="V695" i="11"/>
  <c r="V839" i="11"/>
  <c r="V999" i="11"/>
  <c r="Y2136" i="11"/>
  <c r="Y1271" i="11"/>
  <c r="X1971" i="11"/>
  <c r="Z1363" i="11"/>
  <c r="Y1711" i="11"/>
  <c r="V1496" i="11"/>
  <c r="V1736" i="11"/>
  <c r="Y1471" i="11"/>
  <c r="AB1471" i="11" s="1"/>
  <c r="Y439" i="11"/>
  <c r="V343" i="11"/>
  <c r="V2358" i="11"/>
  <c r="V2976" i="11"/>
  <c r="X2445" i="11"/>
  <c r="X1179" i="11"/>
  <c r="Z2269" i="11"/>
  <c r="Z2795" i="11"/>
  <c r="X2795" i="11"/>
  <c r="X1659" i="11"/>
  <c r="Z1659" i="11"/>
  <c r="Z1013" i="11"/>
  <c r="X1013" i="11"/>
  <c r="X667" i="11"/>
  <c r="Z667" i="11"/>
  <c r="X539" i="11"/>
  <c r="Z539" i="11"/>
  <c r="Z397" i="11"/>
  <c r="X397" i="11"/>
  <c r="Z219" i="11"/>
  <c r="X219" i="11"/>
  <c r="Z203" i="11"/>
  <c r="X203" i="11"/>
  <c r="Z187" i="11"/>
  <c r="X187" i="11"/>
  <c r="X171" i="11"/>
  <c r="Z171" i="11"/>
  <c r="Z155" i="11"/>
  <c r="X155" i="11"/>
  <c r="V3160" i="11"/>
  <c r="Y3160" i="11"/>
  <c r="V2848" i="11"/>
  <c r="Y2848" i="11"/>
  <c r="V1456" i="11"/>
  <c r="Y1456" i="11"/>
  <c r="Y1160" i="11"/>
  <c r="V1160" i="11"/>
  <c r="V1446" i="11"/>
  <c r="Y1446" i="11"/>
  <c r="AB1446" i="11" s="1"/>
  <c r="Z2315" i="11"/>
  <c r="X2315" i="11"/>
  <c r="Z1299" i="11"/>
  <c r="X1299" i="11"/>
  <c r="X421" i="11"/>
  <c r="Z421" i="11"/>
  <c r="X195" i="11"/>
  <c r="Z195" i="11"/>
  <c r="Z85" i="11"/>
  <c r="X85" i="11"/>
  <c r="Z53" i="11"/>
  <c r="X53" i="11"/>
  <c r="Z35" i="11"/>
  <c r="X35" i="11"/>
  <c r="V3558" i="11"/>
  <c r="V2184" i="11"/>
  <c r="Y2536" i="11"/>
  <c r="Y280" i="11"/>
  <c r="AB280" i="11" s="1"/>
  <c r="V455" i="11"/>
  <c r="Y727" i="11"/>
  <c r="Z101" i="11"/>
  <c r="X237" i="11"/>
  <c r="X1171" i="11"/>
  <c r="Z3611" i="11"/>
  <c r="X3611" i="11"/>
  <c r="X3315" i="11"/>
  <c r="Z3315" i="11"/>
  <c r="Z3307" i="11"/>
  <c r="X3307" i="11"/>
  <c r="X3299" i="11"/>
  <c r="Z3299" i="11"/>
  <c r="Z2451" i="11"/>
  <c r="X2451" i="11"/>
  <c r="Z2205" i="11"/>
  <c r="X2205" i="11"/>
  <c r="Z2181" i="11"/>
  <c r="X2181" i="11"/>
  <c r="Z2165" i="11"/>
  <c r="X2165" i="11"/>
  <c r="Z2021" i="11"/>
  <c r="X2021" i="11"/>
  <c r="Z1995" i="11"/>
  <c r="X1995" i="11"/>
  <c r="X1963" i="11"/>
  <c r="Z1963" i="11"/>
  <c r="Z1955" i="11"/>
  <c r="X1955" i="11"/>
  <c r="Z1939" i="11"/>
  <c r="X1939" i="11"/>
  <c r="Z1829" i="11"/>
  <c r="X1829" i="11"/>
  <c r="Z1811" i="11"/>
  <c r="X1811" i="11"/>
  <c r="Z1709" i="11"/>
  <c r="X1709" i="11"/>
  <c r="Z1691" i="11"/>
  <c r="X1691" i="11"/>
  <c r="Z1565" i="11"/>
  <c r="X1565" i="11"/>
  <c r="Z1549" i="11"/>
  <c r="X1549" i="11"/>
  <c r="Z1525" i="11"/>
  <c r="X1525" i="11"/>
  <c r="X1517" i="11"/>
  <c r="Z1517" i="11"/>
  <c r="Z1499" i="11"/>
  <c r="X1499" i="11"/>
  <c r="X1389" i="11"/>
  <c r="Z1389" i="11"/>
  <c r="X1355" i="11"/>
  <c r="Z1355" i="11"/>
  <c r="Z1347" i="11"/>
  <c r="X1347" i="11"/>
  <c r="Z1323" i="11"/>
  <c r="X1323" i="11"/>
  <c r="X1315" i="11"/>
  <c r="Z1315" i="11"/>
  <c r="Z1230" i="11"/>
  <c r="X1230" i="11"/>
  <c r="X1206" i="11"/>
  <c r="Z1206" i="11"/>
  <c r="X1197" i="11"/>
  <c r="Z1197" i="11"/>
  <c r="Z987" i="11"/>
  <c r="X987" i="11"/>
  <c r="X942" i="11"/>
  <c r="Z942" i="11"/>
  <c r="Z885" i="11"/>
  <c r="X885" i="11"/>
  <c r="Z867" i="11"/>
  <c r="X867" i="11"/>
  <c r="Z757" i="11"/>
  <c r="X757" i="11"/>
  <c r="Z723" i="11"/>
  <c r="X723" i="11"/>
  <c r="X715" i="11"/>
  <c r="Z715" i="11"/>
  <c r="Z691" i="11"/>
  <c r="X691" i="11"/>
  <c r="Z675" i="11"/>
  <c r="X675" i="11"/>
  <c r="X630" i="11"/>
  <c r="Z630" i="11"/>
  <c r="X614" i="11"/>
  <c r="AA614" i="11" s="1"/>
  <c r="Z614" i="11"/>
  <c r="X590" i="11"/>
  <c r="Z590" i="11"/>
  <c r="AB590" i="11" s="1"/>
  <c r="Z565" i="11"/>
  <c r="X565" i="11"/>
  <c r="X437" i="11"/>
  <c r="Z437" i="11"/>
  <c r="V3400" i="11"/>
  <c r="AA3400" i="11" s="1"/>
  <c r="Y3400" i="11"/>
  <c r="V2760" i="11"/>
  <c r="AA2760" i="11" s="1"/>
  <c r="Y2760" i="11"/>
  <c r="V2382" i="11"/>
  <c r="Y2382" i="11"/>
  <c r="Y1951" i="11"/>
  <c r="V1951" i="11"/>
  <c r="Y1511" i="11"/>
  <c r="V1511" i="11"/>
  <c r="V1159" i="11"/>
  <c r="Y1159" i="11"/>
  <c r="AB1159" i="11" s="1"/>
  <c r="Y1143" i="11"/>
  <c r="AB1143" i="11" s="1"/>
  <c r="V1143" i="11"/>
  <c r="Y968" i="11"/>
  <c r="AB968" i="11" s="1"/>
  <c r="V968" i="11"/>
  <c r="Y855" i="11"/>
  <c r="V855" i="11"/>
  <c r="Y623" i="11"/>
  <c r="V623" i="11"/>
  <c r="V576" i="11"/>
  <c r="AA576" i="11" s="1"/>
  <c r="Y576" i="11"/>
  <c r="Y311" i="11"/>
  <c r="V311" i="11"/>
  <c r="Y279" i="11"/>
  <c r="V279" i="11"/>
  <c r="V3670" i="11"/>
  <c r="AA3670" i="11" s="1"/>
  <c r="Y3288" i="11"/>
  <c r="AB3288" i="11" s="1"/>
  <c r="X2827" i="11"/>
  <c r="Y510" i="11"/>
  <c r="AB510" i="11" s="1"/>
  <c r="V424" i="11"/>
  <c r="Y928" i="11"/>
  <c r="V3374" i="11"/>
  <c r="V872" i="11"/>
  <c r="V248" i="11"/>
  <c r="Z523" i="11"/>
  <c r="X739" i="11"/>
  <c r="X2579" i="11"/>
  <c r="X2851" i="11"/>
  <c r="X2963" i="11"/>
  <c r="Z1611" i="11"/>
  <c r="X1371" i="11"/>
  <c r="X2173" i="11"/>
  <c r="X3131" i="11"/>
  <c r="X701" i="11"/>
  <c r="Z749" i="11"/>
  <c r="X1021" i="11"/>
  <c r="X3155" i="11"/>
  <c r="X3147" i="11"/>
  <c r="Z1501" i="11"/>
  <c r="Z3045" i="11"/>
  <c r="X3045" i="11"/>
  <c r="X2725" i="11"/>
  <c r="Z2725" i="11"/>
  <c r="Y440" i="11"/>
  <c r="AB440" i="11" s="1"/>
  <c r="X2771" i="11"/>
  <c r="X1333" i="11"/>
  <c r="X3323" i="11"/>
  <c r="X2533" i="11"/>
  <c r="X3475" i="11"/>
  <c r="X1693" i="11"/>
  <c r="Z547" i="11"/>
  <c r="X1339" i="11"/>
  <c r="X2189" i="11"/>
  <c r="X1341" i="11"/>
  <c r="X717" i="11"/>
  <c r="X1573" i="11"/>
  <c r="Z339" i="11"/>
  <c r="Z1139" i="11"/>
  <c r="X3139" i="11"/>
  <c r="X3373" i="11"/>
  <c r="Z3373" i="11"/>
  <c r="Z2493" i="11"/>
  <c r="X2493" i="11"/>
  <c r="X2259" i="11"/>
  <c r="Z2259" i="11"/>
  <c r="V2790" i="11"/>
  <c r="AA2790" i="11" s="1"/>
  <c r="V1750" i="11"/>
  <c r="V1416" i="11"/>
  <c r="Y1512" i="11"/>
  <c r="V2918" i="11"/>
  <c r="V711" i="11"/>
  <c r="Y767" i="11"/>
  <c r="V3104" i="11"/>
  <c r="V2384" i="11"/>
  <c r="Z2587" i="11"/>
  <c r="Z3491" i="11"/>
  <c r="X2197" i="11"/>
  <c r="X1949" i="11"/>
  <c r="X1099" i="11"/>
  <c r="X1581" i="11"/>
  <c r="X1181" i="11"/>
  <c r="Z2685" i="11"/>
  <c r="X2685" i="11"/>
  <c r="Z2251" i="11"/>
  <c r="X2251" i="11"/>
  <c r="X2065" i="11"/>
  <c r="Z2065" i="11"/>
  <c r="Z1651" i="11"/>
  <c r="X1651" i="11"/>
  <c r="Y790" i="11"/>
  <c r="Y943" i="11"/>
  <c r="Y471" i="11"/>
  <c r="Z3483" i="11"/>
  <c r="X1947" i="11"/>
  <c r="Z659" i="11"/>
  <c r="X1987" i="11"/>
  <c r="Z357" i="11"/>
  <c r="Z3341" i="11"/>
  <c r="X1981" i="11"/>
  <c r="Z227" i="11"/>
  <c r="X1813" i="11"/>
  <c r="Y2990" i="11"/>
  <c r="Y1056" i="11"/>
  <c r="AB1056" i="11" s="1"/>
  <c r="Y2398" i="11"/>
  <c r="X381" i="11"/>
  <c r="X3803" i="11"/>
  <c r="Z3779" i="11"/>
  <c r="X3779" i="11"/>
  <c r="Z3763" i="11"/>
  <c r="X3763" i="11"/>
  <c r="X3755" i="11"/>
  <c r="Z3755" i="11"/>
  <c r="Z3731" i="11"/>
  <c r="X3731" i="11"/>
  <c r="X3333" i="11"/>
  <c r="Z3333" i="11"/>
  <c r="X3123" i="11"/>
  <c r="Z3123" i="11"/>
  <c r="X3107" i="11"/>
  <c r="Z3107" i="11"/>
  <c r="Z3091" i="11"/>
  <c r="X3091" i="11"/>
  <c r="Z2627" i="11"/>
  <c r="X2627" i="11"/>
  <c r="Z2603" i="11"/>
  <c r="X2603" i="11"/>
  <c r="X2595" i="11"/>
  <c r="Z2595" i="11"/>
  <c r="Z2571" i="11"/>
  <c r="X2571" i="11"/>
  <c r="Z2563" i="11"/>
  <c r="X2563" i="11"/>
  <c r="Z2453" i="11"/>
  <c r="X2453" i="11"/>
  <c r="Z2005" i="11"/>
  <c r="X2005" i="11"/>
  <c r="Z1989" i="11"/>
  <c r="X1989" i="11"/>
  <c r="Z1965" i="11"/>
  <c r="X1965" i="11"/>
  <c r="Z1957" i="11"/>
  <c r="X1957" i="11"/>
  <c r="X1941" i="11"/>
  <c r="Z1941" i="11"/>
  <c r="Z1923" i="11"/>
  <c r="X1923" i="11"/>
  <c r="Z1373" i="11"/>
  <c r="X1373" i="11"/>
  <c r="Z1365" i="11"/>
  <c r="X1365" i="11"/>
  <c r="Z1349" i="11"/>
  <c r="X1349" i="11"/>
  <c r="Z1325" i="11"/>
  <c r="X1325" i="11"/>
  <c r="Z1317" i="11"/>
  <c r="X1317" i="11"/>
  <c r="Z1309" i="11"/>
  <c r="X1309" i="11"/>
  <c r="Z1155" i="11"/>
  <c r="X1155" i="11"/>
  <c r="Z1131" i="11"/>
  <c r="X1131" i="11"/>
  <c r="Z1123" i="11"/>
  <c r="X1123" i="11"/>
  <c r="X1115" i="11"/>
  <c r="Z1115" i="11"/>
  <c r="Z1107" i="11"/>
  <c r="X1107" i="11"/>
  <c r="X1054" i="11"/>
  <c r="AA1054" i="11" s="1"/>
  <c r="Z1054" i="11"/>
  <c r="X1046" i="11"/>
  <c r="AA1046" i="11" s="1"/>
  <c r="Z1046" i="11"/>
  <c r="Z989" i="11"/>
  <c r="X989" i="11"/>
  <c r="Z971" i="11"/>
  <c r="X971" i="11"/>
  <c r="X869" i="11"/>
  <c r="Z869" i="11"/>
  <c r="Z851" i="11"/>
  <c r="X851" i="11"/>
  <c r="Z741" i="11"/>
  <c r="X741" i="11"/>
  <c r="Z733" i="11"/>
  <c r="X733" i="11"/>
  <c r="Z725" i="11"/>
  <c r="X725" i="11"/>
  <c r="X709" i="11"/>
  <c r="Z709" i="11"/>
  <c r="Z685" i="11"/>
  <c r="X685" i="11"/>
  <c r="Z677" i="11"/>
  <c r="X677" i="11"/>
  <c r="Z531" i="11"/>
  <c r="X531" i="11"/>
  <c r="X499" i="11"/>
  <c r="Z499" i="11"/>
  <c r="Z491" i="11"/>
  <c r="X491" i="11"/>
  <c r="X475" i="11"/>
  <c r="Z475" i="11"/>
  <c r="Z422" i="11"/>
  <c r="X422" i="11"/>
  <c r="X406" i="11"/>
  <c r="Z406" i="11"/>
  <c r="AB406" i="11" s="1"/>
  <c r="Z382" i="11"/>
  <c r="X382" i="11"/>
  <c r="AA382" i="11" s="1"/>
  <c r="X366" i="11"/>
  <c r="Z366" i="11"/>
  <c r="V3742" i="11"/>
  <c r="Y3742" i="11"/>
  <c r="V3616" i="11"/>
  <c r="Y3616" i="11"/>
  <c r="Y1863" i="11"/>
  <c r="AB1863" i="11" s="1"/>
  <c r="V1863" i="11"/>
  <c r="Y1839" i="11"/>
  <c r="V1839" i="11"/>
  <c r="X3451" i="11"/>
  <c r="Z3451" i="11"/>
  <c r="Z3435" i="11"/>
  <c r="X3435" i="11"/>
  <c r="Z2789" i="11"/>
  <c r="X2789" i="11"/>
  <c r="Z2659" i="11"/>
  <c r="X2659" i="11"/>
  <c r="Z2301" i="11"/>
  <c r="X2301" i="11"/>
  <c r="Z1763" i="11"/>
  <c r="X1763" i="11"/>
  <c r="Z1685" i="11"/>
  <c r="X1685" i="11"/>
  <c r="X1645" i="11"/>
  <c r="Z1645" i="11"/>
  <c r="Z1435" i="11"/>
  <c r="X1435" i="11"/>
  <c r="Z1283" i="11"/>
  <c r="X1283" i="11"/>
  <c r="Z827" i="11"/>
  <c r="X827" i="11"/>
  <c r="Z349" i="11"/>
  <c r="X349" i="11"/>
  <c r="Z205" i="11"/>
  <c r="X205" i="11"/>
  <c r="Z165" i="11"/>
  <c r="X165" i="11"/>
  <c r="V3729" i="11"/>
  <c r="AA3729" i="11" s="1"/>
  <c r="Y3729" i="11"/>
  <c r="V3702" i="11"/>
  <c r="Y3702" i="11"/>
  <c r="Y3520" i="11"/>
  <c r="AB3520" i="11" s="1"/>
  <c r="V3520" i="11"/>
  <c r="V3392" i="11"/>
  <c r="Y3392" i="11"/>
  <c r="Y3334" i="11"/>
  <c r="V3334" i="11"/>
  <c r="V3136" i="11"/>
  <c r="AA3136" i="11" s="1"/>
  <c r="Y3136" i="11"/>
  <c r="V2880" i="11"/>
  <c r="Y2880" i="11"/>
  <c r="AB2880" i="11" s="1"/>
  <c r="V2262" i="11"/>
  <c r="Y2262" i="11"/>
  <c r="Y2152" i="11"/>
  <c r="V2152" i="11"/>
  <c r="V1887" i="11"/>
  <c r="Y1887" i="11"/>
  <c r="Y1191" i="11"/>
  <c r="V1191" i="11"/>
  <c r="AA1191" i="11" s="1"/>
  <c r="V1135" i="11"/>
  <c r="Y1135" i="11"/>
  <c r="V815" i="11"/>
  <c r="Y815" i="11"/>
  <c r="V656" i="11"/>
  <c r="Y656" i="11"/>
  <c r="Y599" i="11"/>
  <c r="V599" i="11"/>
  <c r="Y552" i="11"/>
  <c r="V552" i="11"/>
  <c r="V3184" i="11"/>
  <c r="Y3112" i="11"/>
  <c r="Y3056" i="11"/>
  <c r="X1405" i="11"/>
  <c r="Z2861" i="11"/>
  <c r="X3715" i="11"/>
  <c r="X2229" i="11"/>
  <c r="Z3077" i="11"/>
  <c r="Z787" i="11"/>
  <c r="X2195" i="11"/>
  <c r="X2779" i="11"/>
  <c r="X309" i="11"/>
  <c r="Z2235" i="11"/>
  <c r="X1531" i="11"/>
  <c r="X2397" i="11"/>
  <c r="X1675" i="11"/>
  <c r="Z1037" i="11"/>
  <c r="X2797" i="11"/>
  <c r="X3587" i="11"/>
  <c r="X3795" i="11"/>
  <c r="Z3795" i="11"/>
  <c r="Z3621" i="11"/>
  <c r="X3621" i="11"/>
  <c r="Z3291" i="11"/>
  <c r="X3291" i="11"/>
  <c r="Z2971" i="11"/>
  <c r="X2971" i="11"/>
  <c r="Z2787" i="11"/>
  <c r="X2787" i="11"/>
  <c r="Z2701" i="11"/>
  <c r="X2701" i="11"/>
  <c r="X2509" i="11"/>
  <c r="Z2509" i="11"/>
  <c r="X2485" i="11"/>
  <c r="Z2485" i="11"/>
  <c r="X2461" i="11"/>
  <c r="Z2461" i="11"/>
  <c r="Z2267" i="11"/>
  <c r="X2267" i="11"/>
  <c r="X1931" i="11"/>
  <c r="Z1931" i="11"/>
  <c r="Z1683" i="11"/>
  <c r="X1683" i="11"/>
  <c r="X1061" i="11"/>
  <c r="Z1061" i="11"/>
  <c r="Z1045" i="11"/>
  <c r="X1045" i="11"/>
  <c r="Z1029" i="11"/>
  <c r="X1029" i="11"/>
  <c r="X1005" i="11"/>
  <c r="Z1005" i="11"/>
  <c r="X211" i="11"/>
  <c r="Z211" i="11"/>
  <c r="Z77" i="11"/>
  <c r="X77" i="11"/>
  <c r="Z69" i="11"/>
  <c r="X69" i="11"/>
  <c r="X61" i="11"/>
  <c r="Z61" i="11"/>
  <c r="Y3360" i="11"/>
  <c r="AB3360" i="11" s="1"/>
  <c r="V3360" i="11"/>
  <c r="Y2710" i="11"/>
  <c r="V2710" i="11"/>
  <c r="AA2710" i="11" s="1"/>
  <c r="V1872" i="11"/>
  <c r="Y1872" i="11"/>
  <c r="AB1872" i="11" s="1"/>
  <c r="Y1712" i="11"/>
  <c r="V1712" i="11"/>
  <c r="Y1071" i="11"/>
  <c r="V1071" i="11"/>
  <c r="X3059" i="11"/>
  <c r="X1707" i="11"/>
  <c r="X2739" i="11"/>
  <c r="Z2517" i="11"/>
  <c r="X2517" i="11"/>
  <c r="X2469" i="11"/>
  <c r="Z2469" i="11"/>
  <c r="Z1701" i="11"/>
  <c r="X1701" i="11"/>
  <c r="X1381" i="11"/>
  <c r="Z1381" i="11"/>
  <c r="Y1111" i="11"/>
  <c r="Y1575" i="11"/>
  <c r="Y3022" i="11"/>
  <c r="V3768" i="11"/>
  <c r="Y3198" i="11"/>
  <c r="Y3734" i="11"/>
  <c r="V663" i="11"/>
  <c r="V3488" i="11"/>
  <c r="AA3488" i="11" s="1"/>
  <c r="Y1671" i="11"/>
  <c r="Y2800" i="11"/>
  <c r="Y1959" i="11"/>
  <c r="V2168" i="11"/>
  <c r="V3032" i="11"/>
  <c r="V2904" i="11"/>
  <c r="Z3083" i="11"/>
  <c r="Z3397" i="11"/>
  <c r="X1909" i="11"/>
  <c r="Z2187" i="11"/>
  <c r="Z2843" i="11"/>
  <c r="X819" i="11"/>
  <c r="X2211" i="11"/>
  <c r="Z2123" i="11"/>
  <c r="Z93" i="11"/>
  <c r="X325" i="11"/>
  <c r="X405" i="11"/>
  <c r="X197" i="11"/>
  <c r="X2125" i="11"/>
  <c r="Z1803" i="11"/>
  <c r="X883" i="11"/>
  <c r="Z1725" i="11"/>
  <c r="X645" i="11"/>
  <c r="Z2421" i="11"/>
  <c r="X1821" i="11"/>
  <c r="Z1627" i="11"/>
  <c r="X2549" i="11"/>
  <c r="X2037" i="11"/>
  <c r="X2203" i="11"/>
  <c r="Z3029" i="11"/>
  <c r="X3029" i="11"/>
  <c r="Z2811" i="11"/>
  <c r="X2811" i="11"/>
  <c r="Z2677" i="11"/>
  <c r="X2677" i="11"/>
  <c r="X2477" i="11"/>
  <c r="Z2477" i="11"/>
  <c r="Z2291" i="11"/>
  <c r="X2291" i="11"/>
  <c r="Z1643" i="11"/>
  <c r="X1643" i="11"/>
  <c r="Z1635" i="11"/>
  <c r="X1635" i="11"/>
  <c r="X1509" i="11"/>
  <c r="Z1509" i="11"/>
  <c r="Z1491" i="11"/>
  <c r="X1491" i="11"/>
  <c r="Y2822" i="11"/>
  <c r="Y2464" i="11"/>
  <c r="V1255" i="11"/>
  <c r="V2702" i="11"/>
  <c r="AA2702" i="11" s="1"/>
  <c r="Y2310" i="11"/>
  <c r="V704" i="11"/>
  <c r="AA704" i="11" s="1"/>
  <c r="V2254" i="11"/>
  <c r="V3430" i="11"/>
  <c r="Y3496" i="11"/>
  <c r="AB3496" i="11" s="1"/>
  <c r="Y3534" i="11"/>
  <c r="Y3368" i="11"/>
  <c r="Y1895" i="11"/>
  <c r="Y511" i="11"/>
  <c r="X1547" i="11"/>
  <c r="X1515" i="11"/>
  <c r="X3685" i="11"/>
  <c r="X2293" i="11"/>
  <c r="Z3427" i="11"/>
  <c r="X563" i="11"/>
  <c r="X843" i="11"/>
  <c r="X2147" i="11"/>
  <c r="Z2307" i="11"/>
  <c r="X2819" i="11"/>
  <c r="Z269" i="11"/>
  <c r="X413" i="11"/>
  <c r="Z347" i="11"/>
  <c r="Z773" i="11"/>
  <c r="Z2917" i="11"/>
  <c r="X2917" i="11"/>
  <c r="Z2381" i="11"/>
  <c r="X2381" i="11"/>
  <c r="Z1571" i="11"/>
  <c r="X1571" i="11"/>
  <c r="V2928" i="11"/>
  <c r="Y2928" i="11"/>
  <c r="V2856" i="11"/>
  <c r="Y2856" i="11"/>
  <c r="AB2856" i="11" s="1"/>
  <c r="V1935" i="11"/>
  <c r="AA1935" i="11" s="1"/>
  <c r="Y1935" i="11"/>
  <c r="Y1743" i="11"/>
  <c r="V1743" i="11"/>
  <c r="Y191" i="11"/>
  <c r="V191" i="11"/>
  <c r="Z2389" i="11"/>
  <c r="X2389" i="11"/>
  <c r="Z2373" i="11"/>
  <c r="X2373" i="11"/>
  <c r="Z2357" i="11"/>
  <c r="X2357" i="11"/>
  <c r="Z2339" i="11"/>
  <c r="X2339" i="11"/>
  <c r="Z1085" i="11"/>
  <c r="X1085" i="11"/>
  <c r="X838" i="11"/>
  <c r="Z838" i="11"/>
  <c r="X782" i="11"/>
  <c r="Z782" i="11"/>
  <c r="Y7" i="11"/>
  <c r="Y3326" i="11"/>
  <c r="Y288" i="11"/>
  <c r="AB288" i="11" s="1"/>
  <c r="V2280" i="11"/>
  <c r="V3046" i="11"/>
  <c r="V3118" i="11"/>
  <c r="V1168" i="11"/>
  <c r="V1408" i="11"/>
  <c r="Y2598" i="11"/>
  <c r="V3416" i="11"/>
  <c r="V2776" i="11"/>
  <c r="Y1600" i="11"/>
  <c r="Z261" i="11"/>
  <c r="X1653" i="11"/>
  <c r="X2141" i="11"/>
  <c r="Z557" i="11"/>
  <c r="Z2501" i="11"/>
  <c r="X2693" i="11"/>
  <c r="Z2253" i="11"/>
  <c r="X2163" i="11"/>
  <c r="X2555" i="11"/>
  <c r="X2531" i="11"/>
  <c r="X1579" i="11"/>
  <c r="Z109" i="11"/>
  <c r="X213" i="11"/>
  <c r="X285" i="11"/>
  <c r="X365" i="11"/>
  <c r="X429" i="11"/>
  <c r="Z1933" i="11"/>
  <c r="X2261" i="11"/>
  <c r="Z1619" i="11"/>
  <c r="X861" i="11"/>
  <c r="X115" i="11"/>
  <c r="X2277" i="11"/>
  <c r="X163" i="11"/>
  <c r="X2413" i="11"/>
  <c r="X2299" i="11"/>
  <c r="X1667" i="11"/>
  <c r="X877" i="11"/>
  <c r="Z1597" i="11"/>
  <c r="X2885" i="11"/>
  <c r="Z2885" i="11"/>
  <c r="Z2019" i="11"/>
  <c r="X2019" i="11"/>
  <c r="Z1563" i="11"/>
  <c r="X1563" i="11"/>
  <c r="Z1387" i="11"/>
  <c r="X1387" i="11"/>
  <c r="Z1277" i="11"/>
  <c r="X1277" i="11"/>
  <c r="V3440" i="11"/>
  <c r="Y3440" i="11"/>
  <c r="Y23" i="11"/>
  <c r="V2192" i="11"/>
  <c r="Y2726" i="11"/>
  <c r="V1095" i="11"/>
  <c r="AA1095" i="11" s="1"/>
  <c r="Y1152" i="11"/>
  <c r="Y1127" i="11"/>
  <c r="Y3544" i="11"/>
  <c r="Y479" i="11"/>
  <c r="Y3232" i="11"/>
  <c r="Y2224" i="11"/>
  <c r="V648" i="11"/>
  <c r="X2275" i="11"/>
  <c r="X2525" i="11"/>
  <c r="X2717" i="11"/>
  <c r="Z1677" i="11"/>
  <c r="Z2013" i="11"/>
  <c r="X755" i="11"/>
  <c r="Z859" i="11"/>
  <c r="X2171" i="11"/>
  <c r="Z2635" i="11"/>
  <c r="X293" i="11"/>
  <c r="X373" i="11"/>
  <c r="X453" i="11"/>
  <c r="Z37" i="11"/>
  <c r="X2733" i="11"/>
  <c r="X2365" i="11"/>
  <c r="X139" i="11"/>
  <c r="X979" i="11"/>
  <c r="Z179" i="11"/>
  <c r="X1195" i="11"/>
  <c r="X1189" i="11"/>
  <c r="X1827" i="11"/>
  <c r="X997" i="11"/>
  <c r="X1053" i="11"/>
  <c r="Z1539" i="11"/>
  <c r="AB695" i="11"/>
  <c r="V1464" i="11"/>
  <c r="AA1464" i="11" s="1"/>
  <c r="V384" i="11"/>
  <c r="AA384" i="11" s="1"/>
  <c r="Y1296" i="11"/>
  <c r="V1136" i="11"/>
  <c r="V2390" i="11"/>
  <c r="AA2390" i="11" s="1"/>
  <c r="V3182" i="11"/>
  <c r="Y3536" i="11"/>
  <c r="AB3536" i="11" s="1"/>
  <c r="V848" i="11"/>
  <c r="V3238" i="11"/>
  <c r="V1207" i="11"/>
  <c r="Y1064" i="11"/>
  <c r="AB1064" i="11" s="1"/>
  <c r="V1392" i="11"/>
  <c r="V48" i="11"/>
  <c r="Y351" i="11"/>
  <c r="V3704" i="11"/>
  <c r="Y1351" i="11"/>
  <c r="V1504" i="11"/>
  <c r="V1463" i="11"/>
  <c r="Y632" i="11"/>
  <c r="V3310" i="11"/>
  <c r="V2264" i="11"/>
  <c r="V776" i="11"/>
  <c r="V687" i="11"/>
  <c r="V1888" i="11"/>
  <c r="AA1888" i="11" s="1"/>
  <c r="Y1647" i="11"/>
  <c r="V703" i="11"/>
  <c r="Y1831" i="11"/>
  <c r="AB1831" i="11" s="1"/>
  <c r="Y2440" i="11"/>
  <c r="V879" i="11"/>
  <c r="AA879" i="11" s="1"/>
  <c r="Y1968" i="11"/>
  <c r="V3480" i="11"/>
  <c r="AA3480" i="11" s="1"/>
  <c r="Y447" i="11"/>
  <c r="Y3224" i="11"/>
  <c r="AB3224" i="11" s="1"/>
  <c r="Y2480" i="11"/>
  <c r="V3040" i="11"/>
  <c r="V2968" i="11"/>
  <c r="X2613" i="11"/>
  <c r="Z1083" i="11"/>
  <c r="X2581" i="11"/>
  <c r="X517" i="11"/>
  <c r="X2667" i="11"/>
  <c r="X2803" i="11"/>
  <c r="X2835" i="11"/>
  <c r="X2891" i="11"/>
  <c r="X2931" i="11"/>
  <c r="Z2117" i="11"/>
  <c r="X955" i="11"/>
  <c r="X323" i="11"/>
  <c r="X2283" i="11"/>
  <c r="V624" i="11"/>
  <c r="V319" i="11"/>
  <c r="V832" i="11"/>
  <c r="V936" i="11"/>
  <c r="Y2910" i="11"/>
  <c r="V2528" i="11"/>
  <c r="V2230" i="11"/>
  <c r="Y3760" i="11"/>
  <c r="V3678" i="11"/>
  <c r="V1079" i="11"/>
  <c r="Y3038" i="11"/>
  <c r="V3566" i="11"/>
  <c r="Y1335" i="11"/>
  <c r="V175" i="11"/>
  <c r="Y1807" i="11"/>
  <c r="V3608" i="11"/>
  <c r="V1063" i="11"/>
  <c r="Y2096" i="11"/>
  <c r="X2597" i="11"/>
  <c r="Z3725" i="11"/>
  <c r="X2411" i="11"/>
  <c r="X3579" i="11"/>
  <c r="X579" i="11"/>
  <c r="Z2547" i="11"/>
  <c r="Z2387" i="11"/>
  <c r="X2333" i="11"/>
  <c r="Z2605" i="11"/>
  <c r="X2443" i="11"/>
  <c r="Z451" i="11"/>
  <c r="X2035" i="11"/>
  <c r="X1613" i="11"/>
  <c r="X1165" i="11"/>
  <c r="Z3163" i="11"/>
  <c r="Y119" i="11"/>
  <c r="V287" i="11"/>
  <c r="Y1367" i="11"/>
  <c r="Y2416" i="11"/>
  <c r="AB2416" i="11" s="1"/>
  <c r="V1360" i="11"/>
  <c r="AA1360" i="11" s="1"/>
  <c r="Y2782" i="11"/>
  <c r="V2352" i="11"/>
  <c r="V3096" i="11"/>
  <c r="Y831" i="11"/>
  <c r="V1855" i="11"/>
  <c r="V2568" i="11"/>
  <c r="X3707" i="11"/>
  <c r="X2355" i="11"/>
  <c r="X493" i="11"/>
  <c r="X525" i="11"/>
  <c r="X1569" i="11"/>
  <c r="X643" i="11"/>
  <c r="Z771" i="11"/>
  <c r="Z2899" i="11"/>
  <c r="X2939" i="11"/>
  <c r="Z2227" i="11"/>
  <c r="X853" i="11"/>
  <c r="X1403" i="11"/>
  <c r="X661" i="11"/>
  <c r="Z315" i="11"/>
  <c r="Z3101" i="11"/>
  <c r="Z1101" i="11"/>
  <c r="Z973" i="11"/>
  <c r="AA2102" i="11"/>
  <c r="AB1574" i="11"/>
  <c r="AA918" i="11"/>
  <c r="AA806" i="11"/>
  <c r="AB478" i="11"/>
  <c r="AB414" i="11"/>
  <c r="Y960" i="11"/>
  <c r="AB960" i="11" s="1"/>
  <c r="V1120" i="11"/>
  <c r="V1248" i="11"/>
  <c r="V1544" i="11"/>
  <c r="AA1544" i="11" s="1"/>
  <c r="V1448" i="11"/>
  <c r="V2504" i="11"/>
  <c r="V1632" i="11"/>
  <c r="AA1632" i="11" s="1"/>
  <c r="Y2798" i="11"/>
  <c r="Y3352" i="11"/>
  <c r="AB3352" i="11" s="1"/>
  <c r="Y400" i="11"/>
  <c r="V584" i="11"/>
  <c r="V2072" i="11"/>
  <c r="V1543" i="11"/>
  <c r="V2024" i="11"/>
  <c r="V775" i="11"/>
  <c r="V791" i="11"/>
  <c r="AA791" i="11" s="1"/>
  <c r="V1007" i="11"/>
  <c r="Y3720" i="11"/>
  <c r="AB3720" i="11" s="1"/>
  <c r="V2952" i="11"/>
  <c r="Y3208" i="11"/>
  <c r="V431" i="11"/>
  <c r="Y1559" i="11"/>
  <c r="Y1775" i="11"/>
  <c r="Z174" i="11"/>
  <c r="AB174" i="11" s="1"/>
  <c r="X2629" i="11"/>
  <c r="X2709" i="11"/>
  <c r="Z2245" i="11"/>
  <c r="Z2989" i="11"/>
  <c r="Z1275" i="11"/>
  <c r="X341" i="11"/>
  <c r="X469" i="11"/>
  <c r="X2621" i="11"/>
  <c r="X2363" i="11"/>
  <c r="X259" i="11"/>
  <c r="X2395" i="11"/>
  <c r="X1133" i="11"/>
  <c r="Z307" i="11"/>
  <c r="V1672" i="11"/>
  <c r="V2590" i="11"/>
  <c r="V272" i="11"/>
  <c r="V2366" i="11"/>
  <c r="V295" i="11"/>
  <c r="V3464" i="11"/>
  <c r="AA3464" i="11" s="1"/>
  <c r="V3110" i="11"/>
  <c r="AA3110" i="11" s="1"/>
  <c r="V3552" i="11"/>
  <c r="V207" i="11"/>
  <c r="Y1704" i="11"/>
  <c r="Y3222" i="11"/>
  <c r="AB3222" i="11" s="1"/>
  <c r="V3648" i="11"/>
  <c r="V1151" i="11"/>
  <c r="X1797" i="11"/>
  <c r="X501" i="11"/>
  <c r="X2947" i="11"/>
  <c r="X275" i="11"/>
  <c r="Z3203" i="11"/>
  <c r="V2592" i="11"/>
  <c r="AA2592" i="11" s="1"/>
  <c r="V616" i="11"/>
  <c r="Y1407" i="11"/>
  <c r="V359" i="11"/>
  <c r="V1808" i="11"/>
  <c r="V303" i="11"/>
  <c r="V1832" i="11"/>
  <c r="X2237" i="11"/>
  <c r="X2923" i="11"/>
  <c r="Z198" i="11"/>
  <c r="X533" i="11"/>
  <c r="X1925" i="11"/>
  <c r="X2907" i="11"/>
  <c r="X2755" i="11"/>
  <c r="X485" i="11"/>
  <c r="Z190" i="11"/>
  <c r="X131" i="11"/>
  <c r="X2419" i="11"/>
  <c r="X1117" i="11"/>
  <c r="X3629" i="11"/>
  <c r="X214" i="11"/>
  <c r="Z267" i="11"/>
  <c r="X1149" i="11"/>
  <c r="X1157" i="11"/>
  <c r="O20" i="21"/>
  <c r="P20" i="21" s="1"/>
  <c r="Q20" i="21" s="1"/>
  <c r="O31" i="21"/>
  <c r="P31" i="21" s="1"/>
  <c r="Q31" i="21" s="1"/>
  <c r="O17" i="21"/>
  <c r="P17" i="21" s="1"/>
  <c r="Q17" i="21" s="1"/>
  <c r="O24" i="21"/>
  <c r="P24" i="21" s="1"/>
  <c r="Q24" i="21" s="1"/>
  <c r="O10" i="21"/>
  <c r="P10" i="21" s="1"/>
  <c r="Q10" i="21" s="1"/>
  <c r="O21" i="21"/>
  <c r="P21" i="21" s="1"/>
  <c r="Q21" i="21" s="1"/>
  <c r="O22" i="21"/>
  <c r="P22" i="21" s="1"/>
  <c r="Q22" i="21" s="1"/>
  <c r="U3857" i="11"/>
  <c r="V3857" i="11" s="1"/>
  <c r="T3857" i="11"/>
  <c r="T3772" i="11"/>
  <c r="U3772" i="11"/>
  <c r="Y3772" i="11" s="1"/>
  <c r="T3564" i="11"/>
  <c r="U3564" i="11"/>
  <c r="U2988" i="11"/>
  <c r="Y2988" i="11" s="1"/>
  <c r="T2988" i="11"/>
  <c r="U2908" i="11"/>
  <c r="Y2908" i="11" s="1"/>
  <c r="T2908" i="11"/>
  <c r="T2302" i="11"/>
  <c r="U2302" i="11"/>
  <c r="U530" i="11"/>
  <c r="T530" i="11"/>
  <c r="U3319" i="11"/>
  <c r="V3319" i="11" s="1"/>
  <c r="T3319" i="11"/>
  <c r="U1998" i="11"/>
  <c r="V1998" i="11" s="1"/>
  <c r="T1998" i="11"/>
  <c r="V26" i="11"/>
  <c r="AA26" i="11" s="1"/>
  <c r="T2839" i="11"/>
  <c r="T2991" i="11"/>
  <c r="T2166" i="11"/>
  <c r="T2823" i="11"/>
  <c r="T3015" i="11"/>
  <c r="T3231" i="11"/>
  <c r="T1982" i="11"/>
  <c r="T2927" i="11"/>
  <c r="T737" i="11"/>
  <c r="T3500" i="11"/>
  <c r="T3580" i="11"/>
  <c r="T2633" i="11"/>
  <c r="T3767" i="11"/>
  <c r="T3335" i="11"/>
  <c r="T3631" i="11"/>
  <c r="T3548" i="11"/>
  <c r="T3840" i="11"/>
  <c r="T3404" i="11"/>
  <c r="X2763" i="11"/>
  <c r="T2940" i="11"/>
  <c r="O6" i="21"/>
  <c r="P6" i="21" s="1"/>
  <c r="Q6" i="21" s="1"/>
  <c r="O25" i="21"/>
  <c r="P25" i="21" s="1"/>
  <c r="Q25" i="21" s="1"/>
  <c r="O23" i="21"/>
  <c r="P23" i="21" s="1"/>
  <c r="Q23" i="21" s="1"/>
  <c r="U3612" i="11"/>
  <c r="V3612" i="11" s="1"/>
  <c r="T3612" i="11"/>
  <c r="U3372" i="11"/>
  <c r="V3372" i="11" s="1"/>
  <c r="T3372" i="11"/>
  <c r="T2362" i="11"/>
  <c r="U2362" i="11"/>
  <c r="U3864" i="11"/>
  <c r="V3864" i="11" s="1"/>
  <c r="T3864" i="11"/>
  <c r="U2271" i="11"/>
  <c r="V2271" i="11" s="1"/>
  <c r="T2271" i="11"/>
  <c r="V2694" i="11"/>
  <c r="V95" i="11"/>
  <c r="T2895" i="11"/>
  <c r="T2102" i="11"/>
  <c r="T3199" i="11"/>
  <c r="T3223" i="11"/>
  <c r="T1592" i="11"/>
  <c r="T3676" i="11"/>
  <c r="T3292" i="11"/>
  <c r="T3884" i="11"/>
  <c r="T3228" i="11"/>
  <c r="T2764" i="11"/>
  <c r="T1720" i="11"/>
  <c r="T3463" i="11"/>
  <c r="T3567" i="11"/>
  <c r="T3308" i="11"/>
  <c r="T3052" i="11"/>
  <c r="T2972" i="11"/>
  <c r="T3020" i="11"/>
  <c r="T3148" i="11"/>
  <c r="T3084" i="11"/>
  <c r="X2051" i="11"/>
  <c r="O39" i="21"/>
  <c r="P39" i="21" s="1"/>
  <c r="Q39" i="21" s="1"/>
  <c r="O38" i="21"/>
  <c r="P38" i="21" s="1"/>
  <c r="Q38" i="21" s="1"/>
  <c r="T3825" i="11"/>
  <c r="U3825" i="11"/>
  <c r="V3825" i="11" s="1"/>
  <c r="U3484" i="11"/>
  <c r="T3484" i="11"/>
  <c r="T2892" i="11"/>
  <c r="U2892" i="11"/>
  <c r="Y2892" i="11" s="1"/>
  <c r="U2623" i="11"/>
  <c r="Y2623" i="11" s="1"/>
  <c r="T2623" i="11"/>
  <c r="U2407" i="11"/>
  <c r="V2407" i="11" s="1"/>
  <c r="T2407" i="11"/>
  <c r="V2070" i="11"/>
  <c r="T2831" i="11"/>
  <c r="T3135" i="11"/>
  <c r="T2618" i="11"/>
  <c r="T3127" i="11"/>
  <c r="T2807" i="11"/>
  <c r="T3660" i="11"/>
  <c r="T3516" i="11"/>
  <c r="T1682" i="11"/>
  <c r="T2924" i="11"/>
  <c r="T3708" i="11"/>
  <c r="T2956" i="11"/>
  <c r="T2311" i="11"/>
  <c r="T3068" i="11"/>
  <c r="T3628" i="11"/>
  <c r="T2876" i="11"/>
  <c r="O15" i="21"/>
  <c r="P15" i="21" s="1"/>
  <c r="Q15" i="21" s="1"/>
  <c r="O41" i="21"/>
  <c r="P41" i="21" s="1"/>
  <c r="Q41" i="21" s="1"/>
  <c r="U3793" i="11"/>
  <c r="Y3793" i="11" s="1"/>
  <c r="T3793" i="11"/>
  <c r="U3740" i="11"/>
  <c r="V3740" i="11" s="1"/>
  <c r="T3740" i="11"/>
  <c r="T3340" i="11"/>
  <c r="U3340" i="11"/>
  <c r="V3340" i="11" s="1"/>
  <c r="T3004" i="11"/>
  <c r="U3004" i="11"/>
  <c r="Y3004" i="11" s="1"/>
  <c r="U2713" i="11"/>
  <c r="T2713" i="11"/>
  <c r="U2783" i="11"/>
  <c r="V2783" i="11" s="1"/>
  <c r="T2783" i="11"/>
  <c r="T2468" i="11"/>
  <c r="T1938" i="11"/>
  <c r="T3356" i="11"/>
  <c r="Y2078" i="11"/>
  <c r="AB2078" i="11" s="1"/>
  <c r="V1175" i="11"/>
  <c r="V639" i="11"/>
  <c r="V1415" i="11"/>
  <c r="T3247" i="11"/>
  <c r="T3239" i="11"/>
  <c r="T2943" i="11"/>
  <c r="T3103" i="11"/>
  <c r="T2066" i="11"/>
  <c r="T16" i="11"/>
  <c r="T3095" i="11"/>
  <c r="T2078" i="11"/>
  <c r="T3751" i="11"/>
  <c r="T3647" i="11"/>
  <c r="T3756" i="11"/>
  <c r="T3420" i="11"/>
  <c r="T3596" i="11"/>
  <c r="T3351" i="11"/>
  <c r="T3212" i="11"/>
  <c r="T3743" i="11"/>
  <c r="T3447" i="11"/>
  <c r="T2194" i="11"/>
  <c r="T2796" i="11"/>
  <c r="T3324" i="11"/>
  <c r="T3452" i="11"/>
  <c r="T1848" i="11"/>
  <c r="T2094" i="11"/>
  <c r="T1042" i="11"/>
  <c r="T2392" i="11"/>
  <c r="X3443" i="11"/>
  <c r="O35" i="21"/>
  <c r="P35" i="21" s="1"/>
  <c r="Q35" i="21" s="1"/>
  <c r="O32" i="21"/>
  <c r="P32" i="21" s="1"/>
  <c r="Q32" i="21" s="1"/>
  <c r="U3244" i="11"/>
  <c r="V3244" i="11" s="1"/>
  <c r="T3244" i="11"/>
  <c r="U3036" i="11"/>
  <c r="V3036" i="11" s="1"/>
  <c r="T3036" i="11"/>
  <c r="U2844" i="11"/>
  <c r="V2844" i="11" s="1"/>
  <c r="T2844" i="11"/>
  <c r="U1554" i="11"/>
  <c r="T1554" i="11"/>
  <c r="U3784" i="11"/>
  <c r="V3784" i="11" s="1"/>
  <c r="AA3784" i="11" s="1"/>
  <c r="T3784" i="11"/>
  <c r="U3671" i="11"/>
  <c r="Y3671" i="11" s="1"/>
  <c r="T3671" i="11"/>
  <c r="U2399" i="11"/>
  <c r="Y2399" i="11" s="1"/>
  <c r="T2399" i="11"/>
  <c r="U2359" i="11"/>
  <c r="Y2359" i="11" s="1"/>
  <c r="T2359" i="11"/>
  <c r="V31" i="11"/>
  <c r="Y1200" i="11"/>
  <c r="AB1200" i="11" s="1"/>
  <c r="V3712" i="11"/>
  <c r="T2199" i="11"/>
  <c r="T3215" i="11"/>
  <c r="T2694" i="11"/>
  <c r="T3207" i="11"/>
  <c r="T2654" i="11"/>
  <c r="T2815" i="11"/>
  <c r="T2452" i="11"/>
  <c r="T3039" i="11"/>
  <c r="T3031" i="11"/>
  <c r="T2182" i="11"/>
  <c r="T3519" i="11"/>
  <c r="T3639" i="11"/>
  <c r="T3727" i="11"/>
  <c r="T3888" i="11"/>
  <c r="T3679" i="11"/>
  <c r="T2054" i="11"/>
  <c r="T1249" i="11"/>
  <c r="T3180" i="11"/>
  <c r="T2673" i="11"/>
  <c r="T1976" i="11"/>
  <c r="T3100" i="11"/>
  <c r="T1415" i="11"/>
  <c r="Z3459" i="11"/>
  <c r="X3459" i="11"/>
  <c r="Z3419" i="11"/>
  <c r="X3419" i="11"/>
  <c r="X3403" i="11"/>
  <c r="Z3403" i="11"/>
  <c r="X3275" i="11"/>
  <c r="Z3275" i="11"/>
  <c r="Z2973" i="11"/>
  <c r="X2973" i="11"/>
  <c r="X2829" i="11"/>
  <c r="Z2829" i="11"/>
  <c r="Z2781" i="11"/>
  <c r="X2781" i="11"/>
  <c r="X2427" i="11"/>
  <c r="Z2427" i="11"/>
  <c r="Z2317" i="11"/>
  <c r="X2317" i="11"/>
  <c r="Z2309" i="11"/>
  <c r="X2309" i="11"/>
  <c r="Z2285" i="11"/>
  <c r="X2285" i="11"/>
  <c r="X2107" i="11"/>
  <c r="Z2107" i="11"/>
  <c r="Z2099" i="11"/>
  <c r="X2099" i="11"/>
  <c r="Z2091" i="11"/>
  <c r="X2091" i="11"/>
  <c r="Z2075" i="11"/>
  <c r="X2075" i="11"/>
  <c r="Z2067" i="11"/>
  <c r="X2067" i="11"/>
  <c r="Z2043" i="11"/>
  <c r="X2043" i="11"/>
  <c r="Z1805" i="11"/>
  <c r="X1805" i="11"/>
  <c r="Z1787" i="11"/>
  <c r="X1787" i="11"/>
  <c r="Z1779" i="11"/>
  <c r="X1779" i="11"/>
  <c r="X1747" i="11"/>
  <c r="Z1747" i="11"/>
  <c r="Z1731" i="11"/>
  <c r="X1731" i="11"/>
  <c r="Z1661" i="11"/>
  <c r="X1661" i="11"/>
  <c r="Z1637" i="11"/>
  <c r="X1637" i="11"/>
  <c r="X1629" i="11"/>
  <c r="Z1629" i="11"/>
  <c r="Z1621" i="11"/>
  <c r="X1621" i="11"/>
  <c r="Z1603" i="11"/>
  <c r="X1603" i="11"/>
  <c r="X1493" i="11"/>
  <c r="Z1493" i="11"/>
  <c r="Z1467" i="11"/>
  <c r="X1467" i="11"/>
  <c r="Z1459" i="11"/>
  <c r="X1459" i="11"/>
  <c r="Z1451" i="11"/>
  <c r="X1451" i="11"/>
  <c r="X1443" i="11"/>
  <c r="Z1443" i="11"/>
  <c r="Z1427" i="11"/>
  <c r="X1427" i="11"/>
  <c r="Z1419" i="11"/>
  <c r="X1419" i="11"/>
  <c r="Z1411" i="11"/>
  <c r="X1411" i="11"/>
  <c r="Z1334" i="11"/>
  <c r="X1334" i="11"/>
  <c r="Z1173" i="11"/>
  <c r="X1173" i="11"/>
  <c r="Z1091" i="11"/>
  <c r="X1091" i="11"/>
  <c r="Z981" i="11"/>
  <c r="X981" i="11"/>
  <c r="X963" i="11"/>
  <c r="Z963" i="11"/>
  <c r="Z835" i="11"/>
  <c r="X835" i="11"/>
  <c r="Z795" i="11"/>
  <c r="X795" i="11"/>
  <c r="Z734" i="11"/>
  <c r="X734" i="11"/>
  <c r="Z694" i="11"/>
  <c r="X694" i="11"/>
  <c r="Z669" i="11"/>
  <c r="X669" i="11"/>
  <c r="Z459" i="11"/>
  <c r="X459" i="11"/>
  <c r="Z331" i="11"/>
  <c r="X331" i="11"/>
  <c r="Z221" i="11"/>
  <c r="X221" i="11"/>
  <c r="Z181" i="11"/>
  <c r="X181" i="11"/>
  <c r="Z173" i="11"/>
  <c r="X173" i="11"/>
  <c r="Z19" i="11"/>
  <c r="X19" i="11"/>
  <c r="O29" i="21"/>
  <c r="P29" i="21" s="1"/>
  <c r="Q29" i="21" s="1"/>
  <c r="T3532" i="11"/>
  <c r="U3532" i="11"/>
  <c r="T3260" i="11"/>
  <c r="U3260" i="11"/>
  <c r="Y3260" i="11" s="1"/>
  <c r="U3164" i="11"/>
  <c r="V3164" i="11" s="1"/>
  <c r="T3164" i="11"/>
  <c r="T3132" i="11"/>
  <c r="U3132" i="11"/>
  <c r="V3132" i="11" s="1"/>
  <c r="U2519" i="11"/>
  <c r="Y2519" i="11" s="1"/>
  <c r="T2519" i="11"/>
  <c r="V2104" i="11"/>
  <c r="Y1848" i="11"/>
  <c r="AB1848" i="11" s="1"/>
  <c r="T2911" i="11"/>
  <c r="T2558" i="11"/>
  <c r="T3151" i="11"/>
  <c r="T3143" i="11"/>
  <c r="T3007" i="11"/>
  <c r="T2919" i="11"/>
  <c r="T2999" i="11"/>
  <c r="T31" i="11"/>
  <c r="T3644" i="11"/>
  <c r="T3455" i="11"/>
  <c r="T3692" i="11"/>
  <c r="T3663" i="11"/>
  <c r="T3735" i="11"/>
  <c r="T3551" i="11"/>
  <c r="T2212" i="11"/>
  <c r="T3559" i="11"/>
  <c r="T3388" i="11"/>
  <c r="T3468" i="11"/>
  <c r="T2732" i="11"/>
  <c r="T2828" i="11"/>
  <c r="T3116" i="11"/>
  <c r="O26" i="21"/>
  <c r="P26" i="21" s="1"/>
  <c r="Q26" i="21" s="1"/>
  <c r="O12" i="21"/>
  <c r="P12" i="21" s="1"/>
  <c r="Q12" i="21" s="1"/>
  <c r="O18" i="21"/>
  <c r="P18" i="21" s="1"/>
  <c r="Q18" i="21" s="1"/>
  <c r="O14" i="21"/>
  <c r="P14" i="21" s="1"/>
  <c r="Q14" i="21" s="1"/>
  <c r="O8" i="21"/>
  <c r="P8" i="21" s="1"/>
  <c r="Q8" i="21" s="1"/>
  <c r="O5" i="21"/>
  <c r="P5" i="21" s="1"/>
  <c r="Q5" i="21" s="1"/>
  <c r="O34" i="21"/>
  <c r="P34" i="21" s="1"/>
  <c r="Q34" i="21" s="1"/>
  <c r="O33" i="21"/>
  <c r="P33" i="21" s="1"/>
  <c r="Q33" i="21" s="1"/>
  <c r="O19" i="21"/>
  <c r="P19" i="21" s="1"/>
  <c r="Q19" i="21" s="1"/>
  <c r="O9" i="21"/>
  <c r="P9" i="21" s="1"/>
  <c r="Q9" i="21" s="1"/>
  <c r="O30" i="21"/>
  <c r="P30" i="21" s="1"/>
  <c r="Q30" i="21" s="1"/>
  <c r="T3276" i="11"/>
  <c r="U3276" i="11"/>
  <c r="T3196" i="11"/>
  <c r="U3196" i="11"/>
  <c r="V3196" i="11" s="1"/>
  <c r="T1810" i="11"/>
  <c r="U1810" i="11"/>
  <c r="U3343" i="11"/>
  <c r="V3343" i="11" s="1"/>
  <c r="T3343" i="11"/>
  <c r="U2791" i="11"/>
  <c r="V2791" i="11" s="1"/>
  <c r="T2791" i="11"/>
  <c r="U2303" i="11"/>
  <c r="Y2303" i="11" s="1"/>
  <c r="T2303" i="11"/>
  <c r="V1952" i="11"/>
  <c r="T3119" i="11"/>
  <c r="T1990" i="11"/>
  <c r="T3111" i="11"/>
  <c r="T2935" i="11"/>
  <c r="T3848" i="11"/>
  <c r="T2046" i="11"/>
  <c r="T3535" i="11"/>
  <c r="T3423" i="11"/>
  <c r="T2780" i="11"/>
  <c r="T2748" i="11"/>
  <c r="T3436" i="11"/>
  <c r="T2812" i="11"/>
  <c r="X3467" i="11"/>
  <c r="O11" i="21"/>
  <c r="P11" i="21" s="1"/>
  <c r="Q11" i="21" s="1"/>
  <c r="X2083" i="11"/>
  <c r="X2059" i="11"/>
  <c r="AB991" i="11"/>
  <c r="K3890" i="11"/>
  <c r="G3852" i="11"/>
  <c r="U3852" i="11" s="1"/>
  <c r="G3804" i="11"/>
  <c r="T3804" i="11" s="1"/>
  <c r="G2720" i="11"/>
  <c r="T2720" i="11" s="1"/>
  <c r="G2712" i="11"/>
  <c r="U2712" i="11" s="1"/>
  <c r="G2704" i="11"/>
  <c r="G2688" i="11"/>
  <c r="T2688" i="11" s="1"/>
  <c r="G2680" i="11"/>
  <c r="U2680" i="11" s="1"/>
  <c r="G2672" i="11"/>
  <c r="G2656" i="11"/>
  <c r="T2656" i="11" s="1"/>
  <c r="G2648" i="11"/>
  <c r="G2640" i="11"/>
  <c r="T2640" i="11" s="1"/>
  <c r="T3887" i="11"/>
  <c r="U3887" i="11"/>
  <c r="Y3887" i="11" s="1"/>
  <c r="T3871" i="11"/>
  <c r="U3871" i="11"/>
  <c r="V3871" i="11" s="1"/>
  <c r="U3863" i="11"/>
  <c r="V3863" i="11" s="1"/>
  <c r="T3863" i="11"/>
  <c r="U3847" i="11"/>
  <c r="Y3847" i="11" s="1"/>
  <c r="T3847" i="11"/>
  <c r="T3839" i="11"/>
  <c r="U3839" i="11"/>
  <c r="V3839" i="11" s="1"/>
  <c r="T3831" i="11"/>
  <c r="U3831" i="11"/>
  <c r="V3831" i="11" s="1"/>
  <c r="U3823" i="11"/>
  <c r="Y3823" i="11" s="1"/>
  <c r="T3823" i="11"/>
  <c r="T3807" i="11"/>
  <c r="U3807" i="11"/>
  <c r="Y3807" i="11" s="1"/>
  <c r="U3799" i="11"/>
  <c r="V3799" i="11" s="1"/>
  <c r="T3799" i="11"/>
  <c r="AA471" i="11"/>
  <c r="G3883" i="11"/>
  <c r="G3875" i="11"/>
  <c r="G3867" i="11"/>
  <c r="G3859" i="11"/>
  <c r="G3851" i="11"/>
  <c r="G3843" i="11"/>
  <c r="G3835" i="11"/>
  <c r="G3827" i="11"/>
  <c r="G3819" i="11"/>
  <c r="G3811" i="11"/>
  <c r="G3803" i="11"/>
  <c r="G3795" i="11"/>
  <c r="G3787" i="11"/>
  <c r="Z3861" i="11"/>
  <c r="X3861" i="11"/>
  <c r="Z3651" i="11"/>
  <c r="X3651" i="11"/>
  <c r="Z3019" i="11"/>
  <c r="X3019" i="11"/>
  <c r="Z2995" i="11"/>
  <c r="X2995" i="11"/>
  <c r="X2749" i="11"/>
  <c r="Z2749" i="11"/>
  <c r="Z2699" i="11"/>
  <c r="X2699" i="11"/>
  <c r="Z2483" i="11"/>
  <c r="X2483" i="11"/>
  <c r="Z2475" i="11"/>
  <c r="X2475" i="11"/>
  <c r="Z2011" i="11"/>
  <c r="X2011" i="11"/>
  <c r="X1901" i="11"/>
  <c r="Z1901" i="11"/>
  <c r="Z1853" i="11"/>
  <c r="X1853" i="11"/>
  <c r="Z1507" i="11"/>
  <c r="X1507" i="11"/>
  <c r="Z1245" i="11"/>
  <c r="X1245" i="11"/>
  <c r="Z1187" i="11"/>
  <c r="X1187" i="11"/>
  <c r="X1035" i="11"/>
  <c r="Z1035" i="11"/>
  <c r="Z917" i="11"/>
  <c r="X917" i="11"/>
  <c r="Z875" i="11"/>
  <c r="X875" i="11"/>
  <c r="Z605" i="11"/>
  <c r="X605" i="11"/>
  <c r="X3627" i="11"/>
  <c r="Z3627" i="11"/>
  <c r="Z3499" i="11"/>
  <c r="X3499" i="11"/>
  <c r="X3197" i="11"/>
  <c r="Z3197" i="11"/>
  <c r="Z3043" i="11"/>
  <c r="X3043" i="11"/>
  <c r="X2731" i="11"/>
  <c r="Z2731" i="11"/>
  <c r="X2691" i="11"/>
  <c r="Z2691" i="11"/>
  <c r="X2541" i="11"/>
  <c r="Z2541" i="11"/>
  <c r="X2459" i="11"/>
  <c r="Z2459" i="11"/>
  <c r="Z2331" i="11"/>
  <c r="X2331" i="11"/>
  <c r="Z1869" i="11"/>
  <c r="X1869" i="11"/>
  <c r="X1845" i="11"/>
  <c r="Z1845" i="11"/>
  <c r="Z1589" i="11"/>
  <c r="X1589" i="11"/>
  <c r="X1237" i="11"/>
  <c r="Z1237" i="11"/>
  <c r="Z1213" i="11"/>
  <c r="X1213" i="11"/>
  <c r="Z1077" i="11"/>
  <c r="X1077" i="11"/>
  <c r="X933" i="11"/>
  <c r="Z933" i="11"/>
  <c r="Z893" i="11"/>
  <c r="X893" i="11"/>
  <c r="Z411" i="11"/>
  <c r="X411" i="11"/>
  <c r="X318" i="11"/>
  <c r="Z318" i="11"/>
  <c r="Z278" i="11"/>
  <c r="X278" i="11"/>
  <c r="X99" i="11"/>
  <c r="Z99" i="11"/>
  <c r="Y3280" i="11"/>
  <c r="AB3280" i="11" s="1"/>
  <c r="V3280" i="11"/>
  <c r="Y2616" i="11"/>
  <c r="V2616" i="11"/>
  <c r="Y2552" i="11"/>
  <c r="AB2552" i="11" s="1"/>
  <c r="V2552" i="11"/>
  <c r="Y2488" i="11"/>
  <c r="V2488" i="11"/>
  <c r="Y2080" i="11"/>
  <c r="V2080" i="11"/>
  <c r="Y1751" i="11"/>
  <c r="V1751" i="11"/>
  <c r="Y1695" i="11"/>
  <c r="V1695" i="11"/>
  <c r="AA1695" i="11" s="1"/>
  <c r="V1080" i="11"/>
  <c r="Y1080" i="11"/>
  <c r="Y863" i="11"/>
  <c r="V863" i="11"/>
  <c r="V647" i="11"/>
  <c r="Y647" i="11"/>
  <c r="V103" i="11"/>
  <c r="Y103" i="11"/>
  <c r="Y32" i="11"/>
  <c r="V32" i="11"/>
  <c r="Y2150" i="11"/>
  <c r="AB2150" i="11" s="1"/>
  <c r="V2150" i="11"/>
  <c r="Y1766" i="11"/>
  <c r="V1766" i="11"/>
  <c r="V1566" i="11"/>
  <c r="Y1566" i="11"/>
  <c r="AB1566" i="11" s="1"/>
  <c r="V1526" i="11"/>
  <c r="Y1526" i="11"/>
  <c r="Y1430" i="11"/>
  <c r="V1430" i="11"/>
  <c r="AA1430" i="11" s="1"/>
  <c r="Y1358" i="11"/>
  <c r="AB1358" i="11" s="1"/>
  <c r="V1358" i="11"/>
  <c r="Y1246" i="11"/>
  <c r="V1246" i="11"/>
  <c r="AA1246" i="11" s="1"/>
  <c r="Y398" i="11"/>
  <c r="V398" i="11"/>
  <c r="AA398" i="11" s="1"/>
  <c r="V310" i="11"/>
  <c r="AA310" i="11" s="1"/>
  <c r="Y310" i="11"/>
  <c r="Y926" i="11"/>
  <c r="Y1046" i="11"/>
  <c r="V406" i="11"/>
  <c r="V910" i="11"/>
  <c r="V1982" i="11"/>
  <c r="AA1982" i="11" s="1"/>
  <c r="V1272" i="11"/>
  <c r="V18" i="11"/>
  <c r="V2806" i="11"/>
  <c r="Y1022" i="11"/>
  <c r="AB1022" i="11" s="1"/>
  <c r="V518" i="11"/>
  <c r="V2520" i="11"/>
  <c r="V70" i="11"/>
  <c r="V1574" i="11"/>
  <c r="V2456" i="11"/>
  <c r="AA2456" i="11" s="1"/>
  <c r="X3387" i="11"/>
  <c r="X371" i="11"/>
  <c r="Z371" i="11"/>
  <c r="X83" i="11"/>
  <c r="Z83" i="11"/>
  <c r="Y3152" i="11"/>
  <c r="V3152" i="11"/>
  <c r="V3088" i="11"/>
  <c r="Y3088" i="11"/>
  <c r="AB3088" i="11" s="1"/>
  <c r="Y2768" i="11"/>
  <c r="V2768" i="11"/>
  <c r="Y2360" i="11"/>
  <c r="V2360" i="11"/>
  <c r="Y2296" i="11"/>
  <c r="V2296" i="11"/>
  <c r="Y1815" i="11"/>
  <c r="V1815" i="11"/>
  <c r="Y1439" i="11"/>
  <c r="V1439" i="11"/>
  <c r="Y1144" i="11"/>
  <c r="AB1144" i="11" s="1"/>
  <c r="V1144" i="11"/>
  <c r="Y927" i="11"/>
  <c r="V927" i="11"/>
  <c r="Y583" i="11"/>
  <c r="V583" i="11"/>
  <c r="Y367" i="11"/>
  <c r="V367" i="11"/>
  <c r="V3888" i="11"/>
  <c r="Y3888" i="11"/>
  <c r="V2062" i="11"/>
  <c r="Y2062" i="11"/>
  <c r="AB2062" i="11" s="1"/>
  <c r="V1662" i="11"/>
  <c r="Y1662" i="11"/>
  <c r="AB1662" i="11" s="1"/>
  <c r="Y1558" i="11"/>
  <c r="V1558" i="11"/>
  <c r="AA1558" i="11" s="1"/>
  <c r="V1470" i="11"/>
  <c r="Y1470" i="11"/>
  <c r="AB1470" i="11" s="1"/>
  <c r="V1318" i="11"/>
  <c r="Y1318" i="11"/>
  <c r="AB1318" i="11" s="1"/>
  <c r="Y1230" i="11"/>
  <c r="V1230" i="11"/>
  <c r="V998" i="11"/>
  <c r="Y998" i="11"/>
  <c r="Y630" i="11"/>
  <c r="V630" i="11"/>
  <c r="Y574" i="11"/>
  <c r="V574" i="11"/>
  <c r="AA574" i="11" s="1"/>
  <c r="Y422" i="11"/>
  <c r="V422" i="11"/>
  <c r="V198" i="11"/>
  <c r="AA198" i="11" s="1"/>
  <c r="Y198" i="11"/>
  <c r="V590" i="11"/>
  <c r="V1592" i="11"/>
  <c r="AA1592" i="11" s="1"/>
  <c r="Y1878" i="11"/>
  <c r="V352" i="11"/>
  <c r="Y1678" i="11"/>
  <c r="V1870" i="11"/>
  <c r="V2166" i="11"/>
  <c r="V1126" i="11"/>
  <c r="AA1126" i="11" s="1"/>
  <c r="Y488" i="11"/>
  <c r="Y2102" i="11"/>
  <c r="V2934" i="11"/>
  <c r="AA2934" i="11" s="1"/>
  <c r="Y1567" i="11"/>
  <c r="V1630" i="11"/>
  <c r="V72" i="11"/>
  <c r="Z2859" i="11"/>
  <c r="X3571" i="11"/>
  <c r="Z3571" i="11"/>
  <c r="X3563" i="11"/>
  <c r="Z3563" i="11"/>
  <c r="Z3555" i="11"/>
  <c r="X3555" i="11"/>
  <c r="Z3547" i="11"/>
  <c r="X3547" i="11"/>
  <c r="X3539" i="11"/>
  <c r="Z3539" i="11"/>
  <c r="X3523" i="11"/>
  <c r="Z3523" i="11"/>
  <c r="X3469" i="11"/>
  <c r="Z3469" i="11"/>
  <c r="Z3429" i="11"/>
  <c r="X3429" i="11"/>
  <c r="Z3259" i="11"/>
  <c r="X3259" i="11"/>
  <c r="Z3251" i="11"/>
  <c r="X3251" i="11"/>
  <c r="Z3243" i="11"/>
  <c r="X3243" i="11"/>
  <c r="X3235" i="11"/>
  <c r="Z3235" i="11"/>
  <c r="Z3227" i="11"/>
  <c r="X3227" i="11"/>
  <c r="Z3219" i="11"/>
  <c r="X3219" i="11"/>
  <c r="Z3211" i="11"/>
  <c r="X3211" i="11"/>
  <c r="Z3195" i="11"/>
  <c r="X3195" i="11"/>
  <c r="Z3067" i="11"/>
  <c r="X3067" i="11"/>
  <c r="Z2875" i="11"/>
  <c r="X2875" i="11"/>
  <c r="Z2765" i="11"/>
  <c r="X2765" i="11"/>
  <c r="Z2747" i="11"/>
  <c r="X2747" i="11"/>
  <c r="Z2557" i="11"/>
  <c r="X2557" i="11"/>
  <c r="X3683" i="11"/>
  <c r="Z3683" i="11"/>
  <c r="Z3389" i="11"/>
  <c r="X3389" i="11"/>
  <c r="Z3261" i="11"/>
  <c r="X3261" i="11"/>
  <c r="Z3027" i="11"/>
  <c r="X3027" i="11"/>
  <c r="X2723" i="11"/>
  <c r="Z2723" i="11"/>
  <c r="Z2643" i="11"/>
  <c r="X2643" i="11"/>
  <c r="Z2491" i="11"/>
  <c r="X2491" i="11"/>
  <c r="X2467" i="11"/>
  <c r="Z2467" i="11"/>
  <c r="Z1861" i="11"/>
  <c r="X1861" i="11"/>
  <c r="X1837" i="11"/>
  <c r="Z1837" i="11"/>
  <c r="Z1229" i="11"/>
  <c r="X1229" i="11"/>
  <c r="X1205" i="11"/>
  <c r="Z1205" i="11"/>
  <c r="Z1051" i="11"/>
  <c r="X1051" i="11"/>
  <c r="Z949" i="11"/>
  <c r="X949" i="11"/>
  <c r="Z901" i="11"/>
  <c r="X901" i="11"/>
  <c r="Z629" i="11"/>
  <c r="X629" i="11"/>
  <c r="Z589" i="11"/>
  <c r="X589" i="11"/>
  <c r="Z573" i="11"/>
  <c r="X573" i="11"/>
  <c r="Z379" i="11"/>
  <c r="X379" i="11"/>
  <c r="Z107" i="11"/>
  <c r="X107" i="11"/>
  <c r="Y3024" i="11"/>
  <c r="V3024" i="11"/>
  <c r="V86" i="11"/>
  <c r="AA86" i="11" s="1"/>
  <c r="Y86" i="11"/>
  <c r="V1950" i="11"/>
  <c r="V1110" i="11"/>
  <c r="AA1110" i="11" s="1"/>
  <c r="Y1118" i="11"/>
  <c r="V1254" i="11"/>
  <c r="AA1254" i="11" s="1"/>
  <c r="V1990" i="11"/>
  <c r="Y1400" i="11"/>
  <c r="Y1119" i="11"/>
  <c r="Y2054" i="11"/>
  <c r="V3832" i="11"/>
  <c r="Y3126" i="11"/>
  <c r="V3600" i="11"/>
  <c r="V1311" i="11"/>
  <c r="Z3659" i="11"/>
  <c r="X3659" i="11"/>
  <c r="Z3619" i="11"/>
  <c r="X3619" i="11"/>
  <c r="X2523" i="11"/>
  <c r="Z2523" i="11"/>
  <c r="X2139" i="11"/>
  <c r="Z2139" i="11"/>
  <c r="Z2029" i="11"/>
  <c r="X2029" i="11"/>
  <c r="Z1261" i="11"/>
  <c r="X1261" i="11"/>
  <c r="Z1059" i="11"/>
  <c r="X1059" i="11"/>
  <c r="Z1003" i="11"/>
  <c r="X1003" i="11"/>
  <c r="Z765" i="11"/>
  <c r="X765" i="11"/>
  <c r="Z621" i="11"/>
  <c r="X621" i="11"/>
  <c r="X581" i="11"/>
  <c r="Z581" i="11"/>
  <c r="X419" i="11"/>
  <c r="Z419" i="11"/>
  <c r="X262" i="11"/>
  <c r="Z262" i="11"/>
  <c r="X125" i="11"/>
  <c r="Z125" i="11"/>
  <c r="Z5" i="11"/>
  <c r="X5" i="11"/>
  <c r="Y2208" i="11"/>
  <c r="V2208" i="11"/>
  <c r="V2144" i="11"/>
  <c r="Y2144" i="11"/>
  <c r="AB2144" i="11" s="1"/>
  <c r="V1911" i="11"/>
  <c r="AA1911" i="11" s="1"/>
  <c r="Y1911" i="11"/>
  <c r="Y1719" i="11"/>
  <c r="V1719" i="11"/>
  <c r="Y1183" i="11"/>
  <c r="V1183" i="11"/>
  <c r="V888" i="11"/>
  <c r="Y888" i="11"/>
  <c r="V2190" i="11"/>
  <c r="AA2190" i="11" s="1"/>
  <c r="Y2190" i="11"/>
  <c r="Y2094" i="11"/>
  <c r="V2094" i="11"/>
  <c r="AA2094" i="11" s="1"/>
  <c r="Y1958" i="11"/>
  <c r="AB1958" i="11" s="1"/>
  <c r="V1958" i="11"/>
  <c r="V1646" i="11"/>
  <c r="Y1646" i="11"/>
  <c r="AB1646" i="11" s="1"/>
  <c r="V1342" i="11"/>
  <c r="Y1342" i="11"/>
  <c r="AB1342" i="11" s="1"/>
  <c r="V1262" i="11"/>
  <c r="Y1262" i="11"/>
  <c r="V942" i="11"/>
  <c r="Y942" i="11"/>
  <c r="Y894" i="11"/>
  <c r="V894" i="11"/>
  <c r="AA894" i="11" s="1"/>
  <c r="Y798" i="11"/>
  <c r="V798" i="11"/>
  <c r="AA798" i="11" s="1"/>
  <c r="Y678" i="11"/>
  <c r="V678" i="11"/>
  <c r="AA678" i="11" s="1"/>
  <c r="V598" i="11"/>
  <c r="Y598" i="11"/>
  <c r="AB598" i="11" s="1"/>
  <c r="Y366" i="11"/>
  <c r="V366" i="11"/>
  <c r="V270" i="11"/>
  <c r="Y270" i="11"/>
  <c r="AB270" i="11" s="1"/>
  <c r="Y214" i="11"/>
  <c r="AB214" i="11" s="1"/>
  <c r="V214" i="11"/>
  <c r="V166" i="11"/>
  <c r="Y166" i="11"/>
  <c r="AB166" i="11" s="1"/>
  <c r="V478" i="11"/>
  <c r="V390" i="11"/>
  <c r="Y822" i="11"/>
  <c r="Y1782" i="11"/>
  <c r="AB1782" i="11" s="1"/>
  <c r="Y806" i="11"/>
  <c r="Y918" i="11"/>
  <c r="Y470" i="11"/>
  <c r="V414" i="11"/>
  <c r="V1006" i="11"/>
  <c r="AA1006" i="11" s="1"/>
  <c r="V1528" i="11"/>
  <c r="V1975" i="11"/>
  <c r="V2046" i="11"/>
  <c r="V183" i="11"/>
  <c r="V2424" i="11"/>
  <c r="Y3344" i="11"/>
  <c r="Z1011" i="11"/>
  <c r="Z3837" i="11"/>
  <c r="X3837" i="11"/>
  <c r="Z3643" i="11"/>
  <c r="X3643" i="11"/>
  <c r="Z3179" i="11"/>
  <c r="X3179" i="11"/>
  <c r="X3011" i="11"/>
  <c r="Z3011" i="11"/>
  <c r="Z2987" i="11"/>
  <c r="X2987" i="11"/>
  <c r="Z2707" i="11"/>
  <c r="X2707" i="11"/>
  <c r="Z2675" i="11"/>
  <c r="X2675" i="11"/>
  <c r="Z2507" i="11"/>
  <c r="X2507" i="11"/>
  <c r="X1893" i="11"/>
  <c r="Z1893" i="11"/>
  <c r="Z1397" i="11"/>
  <c r="X1397" i="11"/>
  <c r="Z1253" i="11"/>
  <c r="X1253" i="11"/>
  <c r="Z1027" i="11"/>
  <c r="X1027" i="11"/>
  <c r="Z613" i="11"/>
  <c r="X613" i="11"/>
  <c r="X555" i="11"/>
  <c r="Z555" i="11"/>
  <c r="Z445" i="11"/>
  <c r="X445" i="11"/>
  <c r="Z403" i="11"/>
  <c r="X403" i="11"/>
  <c r="X302" i="11"/>
  <c r="Z302" i="11"/>
  <c r="Z67" i="11"/>
  <c r="X67" i="11"/>
  <c r="Y3408" i="11"/>
  <c r="AB3408" i="11" s="1"/>
  <c r="V3408" i="11"/>
  <c r="V2112" i="11"/>
  <c r="Y2112" i="11"/>
  <c r="V2048" i="11"/>
  <c r="Y2048" i="11"/>
  <c r="AB2048" i="11" s="1"/>
  <c r="V1847" i="11"/>
  <c r="Y1847" i="11"/>
  <c r="Y1656" i="11"/>
  <c r="AB1656" i="11" s="1"/>
  <c r="V1656" i="11"/>
  <c r="Y1503" i="11"/>
  <c r="AB1503" i="11" s="1"/>
  <c r="V1503" i="11"/>
  <c r="Y1247" i="11"/>
  <c r="V1247" i="11"/>
  <c r="Y215" i="11"/>
  <c r="V215" i="11"/>
  <c r="Y159" i="11"/>
  <c r="V159" i="11"/>
  <c r="AA159" i="11" s="1"/>
  <c r="Y88" i="11"/>
  <c r="AB88" i="11" s="1"/>
  <c r="V88" i="11"/>
  <c r="Y1942" i="11"/>
  <c r="V1942" i="11"/>
  <c r="AA1942" i="11" s="1"/>
  <c r="Y1862" i="11"/>
  <c r="V1862" i="11"/>
  <c r="AA1862" i="11" s="1"/>
  <c r="Y1774" i="11"/>
  <c r="V1774" i="11"/>
  <c r="AA1774" i="11" s="1"/>
  <c r="Y1518" i="11"/>
  <c r="AB1518" i="11" s="1"/>
  <c r="V1518" i="11"/>
  <c r="Y1422" i="11"/>
  <c r="V1422" i="11"/>
  <c r="AA1422" i="11" s="1"/>
  <c r="V1310" i="11"/>
  <c r="Y1310" i="11"/>
  <c r="AB1310" i="11" s="1"/>
  <c r="V1134" i="11"/>
  <c r="AA1134" i="11" s="1"/>
  <c r="Y1134" i="11"/>
  <c r="V814" i="11"/>
  <c r="AA814" i="11" s="1"/>
  <c r="Y814" i="11"/>
  <c r="V726" i="11"/>
  <c r="Y726" i="11"/>
  <c r="Y606" i="11"/>
  <c r="AB606" i="11" s="1"/>
  <c r="V606" i="11"/>
  <c r="Y526" i="11"/>
  <c r="AB526" i="11" s="1"/>
  <c r="V526" i="11"/>
  <c r="Y294" i="11"/>
  <c r="AB294" i="11" s="1"/>
  <c r="V294" i="11"/>
  <c r="V2182" i="11"/>
  <c r="Y382" i="11"/>
  <c r="V1742" i="11"/>
  <c r="Y1974" i="11"/>
  <c r="AB1974" i="11" s="1"/>
  <c r="V1142" i="11"/>
  <c r="Y1886" i="11"/>
  <c r="AB1886" i="11" s="1"/>
  <c r="V1014" i="11"/>
  <c r="Y2584" i="11"/>
  <c r="Y3318" i="11"/>
  <c r="Y255" i="11"/>
  <c r="Z3845" i="11"/>
  <c r="X3845" i="11"/>
  <c r="X3675" i="11"/>
  <c r="Z3675" i="11"/>
  <c r="Z3635" i="11"/>
  <c r="X3635" i="11"/>
  <c r="Z3371" i="11"/>
  <c r="X3371" i="11"/>
  <c r="Z3051" i="11"/>
  <c r="X3051" i="11"/>
  <c r="Z3003" i="11"/>
  <c r="X3003" i="11"/>
  <c r="X2515" i="11"/>
  <c r="Z2515" i="11"/>
  <c r="Z2349" i="11"/>
  <c r="X2349" i="11"/>
  <c r="Z2221" i="11"/>
  <c r="X2221" i="11"/>
  <c r="X1885" i="11"/>
  <c r="Z1885" i="11"/>
  <c r="X1717" i="11"/>
  <c r="Z1717" i="11"/>
  <c r="Z1043" i="11"/>
  <c r="X1043" i="11"/>
  <c r="Z925" i="11"/>
  <c r="X925" i="11"/>
  <c r="Z637" i="11"/>
  <c r="X637" i="11"/>
  <c r="Z395" i="11"/>
  <c r="X395" i="11"/>
  <c r="Z363" i="11"/>
  <c r="X363" i="11"/>
  <c r="Z235" i="11"/>
  <c r="X235" i="11"/>
  <c r="X91" i="11"/>
  <c r="Z91" i="11"/>
  <c r="Z51" i="11"/>
  <c r="X51" i="11"/>
  <c r="Y3752" i="11"/>
  <c r="AB3752" i="11" s="1"/>
  <c r="V3752" i="11"/>
  <c r="Y2392" i="11"/>
  <c r="V2392" i="11"/>
  <c r="AA2392" i="11" s="1"/>
  <c r="V2328" i="11"/>
  <c r="AA2328" i="11" s="1"/>
  <c r="Y2328" i="11"/>
  <c r="V1783" i="11"/>
  <c r="Y1783" i="11"/>
  <c r="V1631" i="11"/>
  <c r="Y1631" i="11"/>
  <c r="Y1846" i="11"/>
  <c r="V1846" i="11"/>
  <c r="AA1846" i="11" s="1"/>
  <c r="Y1622" i="11"/>
  <c r="V1622" i="11"/>
  <c r="AA1622" i="11" s="1"/>
  <c r="Y1454" i="11"/>
  <c r="AB1454" i="11" s="1"/>
  <c r="V1454" i="11"/>
  <c r="V1206" i="11"/>
  <c r="Y1206" i="11"/>
  <c r="Y1150" i="11"/>
  <c r="V1150" i="11"/>
  <c r="V1102" i="11"/>
  <c r="Y1102" i="11"/>
  <c r="AB1102" i="11" s="1"/>
  <c r="V734" i="11"/>
  <c r="Y734" i="11"/>
  <c r="V622" i="11"/>
  <c r="Y622" i="11"/>
  <c r="AB622" i="11" s="1"/>
  <c r="Y278" i="11"/>
  <c r="V278" i="11"/>
  <c r="V206" i="11"/>
  <c r="Y206" i="11"/>
  <c r="AB206" i="11" s="1"/>
  <c r="Y158" i="11"/>
  <c r="AB158" i="11" s="1"/>
  <c r="V158" i="11"/>
  <c r="Y78" i="11"/>
  <c r="V78" i="11"/>
  <c r="V502" i="11"/>
  <c r="V1336" i="11"/>
  <c r="AA1336" i="11" s="1"/>
  <c r="V1966" i="11"/>
  <c r="Y528" i="11"/>
  <c r="AB528" i="11" s="1"/>
  <c r="Y1054" i="11"/>
  <c r="V830" i="11"/>
  <c r="V3688" i="11"/>
  <c r="V1438" i="11"/>
  <c r="V182" i="11"/>
  <c r="AA182" i="11" s="1"/>
  <c r="Y608" i="11"/>
  <c r="Y614" i="11"/>
  <c r="X59" i="11"/>
  <c r="Z3035" i="11"/>
  <c r="X3035" i="11"/>
  <c r="X2715" i="11"/>
  <c r="Z2715" i="11"/>
  <c r="X2683" i="11"/>
  <c r="Z2683" i="11"/>
  <c r="X2499" i="11"/>
  <c r="Z2499" i="11"/>
  <c r="Z1877" i="11"/>
  <c r="X1877" i="11"/>
  <c r="Z1819" i="11"/>
  <c r="X1819" i="11"/>
  <c r="X1699" i="11"/>
  <c r="Z1699" i="11"/>
  <c r="Z1379" i="11"/>
  <c r="X1379" i="11"/>
  <c r="X1269" i="11"/>
  <c r="Z1269" i="11"/>
  <c r="Z1221" i="11"/>
  <c r="X1221" i="11"/>
  <c r="Z1019" i="11"/>
  <c r="X1019" i="11"/>
  <c r="Z995" i="11"/>
  <c r="X995" i="11"/>
  <c r="X941" i="11"/>
  <c r="Z941" i="11"/>
  <c r="X909" i="11"/>
  <c r="Z909" i="11"/>
  <c r="X747" i="11"/>
  <c r="Z747" i="11"/>
  <c r="Z597" i="11"/>
  <c r="X597" i="11"/>
  <c r="Z427" i="11"/>
  <c r="X427" i="11"/>
  <c r="X387" i="11"/>
  <c r="Z387" i="11"/>
  <c r="Z253" i="11"/>
  <c r="X253" i="11"/>
  <c r="Z75" i="11"/>
  <c r="X75" i="11"/>
  <c r="V3574" i="11"/>
  <c r="Y3574" i="11"/>
  <c r="V2896" i="11"/>
  <c r="Y2896" i="11"/>
  <c r="Y2832" i="11"/>
  <c r="V2832" i="11"/>
  <c r="V2176" i="11"/>
  <c r="Y2176" i="11"/>
  <c r="Y1943" i="11"/>
  <c r="V1943" i="11"/>
  <c r="Y1879" i="11"/>
  <c r="AB1879" i="11" s="1"/>
  <c r="V1879" i="11"/>
  <c r="V1375" i="11"/>
  <c r="Y1375" i="11"/>
  <c r="Y1055" i="11"/>
  <c r="AB1055" i="11" s="1"/>
  <c r="V1055" i="11"/>
  <c r="V824" i="11"/>
  <c r="Y824" i="11"/>
  <c r="Y735" i="11"/>
  <c r="V735" i="11"/>
  <c r="Y672" i="11"/>
  <c r="V672" i="11"/>
  <c r="Y407" i="11"/>
  <c r="V407" i="11"/>
  <c r="Y3840" i="11"/>
  <c r="AB3840" i="11" s="1"/>
  <c r="V3840" i="11"/>
  <c r="V1838" i="11"/>
  <c r="AA1838" i="11" s="1"/>
  <c r="Y1838" i="11"/>
  <c r="V1534" i="11"/>
  <c r="Y1534" i="11"/>
  <c r="V1326" i="11"/>
  <c r="Y1326" i="11"/>
  <c r="V1238" i="11"/>
  <c r="Y1238" i="11"/>
  <c r="AB1238" i="11" s="1"/>
  <c r="Y934" i="11"/>
  <c r="V934" i="11"/>
  <c r="AA934" i="11" s="1"/>
  <c r="V782" i="11"/>
  <c r="Y782" i="11"/>
  <c r="V702" i="11"/>
  <c r="AA702" i="11" s="1"/>
  <c r="Y702" i="11"/>
  <c r="Y318" i="11"/>
  <c r="V318" i="11"/>
  <c r="Y262" i="11"/>
  <c r="V262" i="11"/>
  <c r="V62" i="11"/>
  <c r="Y448" i="11"/>
  <c r="Y799" i="11"/>
  <c r="V94" i="11"/>
  <c r="AA94" i="11" s="1"/>
  <c r="V174" i="11"/>
  <c r="AA174" i="11" s="1"/>
  <c r="Y1894" i="11"/>
  <c r="V696" i="11"/>
  <c r="V991" i="11"/>
  <c r="Y494" i="11"/>
  <c r="Z789" i="11"/>
  <c r="Z2539" i="11"/>
  <c r="X2539" i="11"/>
  <c r="X2429" i="11"/>
  <c r="Z2429" i="11"/>
  <c r="Z2219" i="11"/>
  <c r="X2219" i="11"/>
  <c r="X2109" i="11"/>
  <c r="Z2109" i="11"/>
  <c r="X2093" i="11"/>
  <c r="Z2093" i="11"/>
  <c r="Z2085" i="11"/>
  <c r="X2085" i="11"/>
  <c r="Z2077" i="11"/>
  <c r="X2077" i="11"/>
  <c r="Z2069" i="11"/>
  <c r="X2069" i="11"/>
  <c r="Z2061" i="11"/>
  <c r="X2061" i="11"/>
  <c r="X2053" i="11"/>
  <c r="Z2053" i="11"/>
  <c r="X2045" i="11"/>
  <c r="Z2045" i="11"/>
  <c r="Z2027" i="11"/>
  <c r="X2027" i="11"/>
  <c r="X1917" i="11"/>
  <c r="Z1917" i="11"/>
  <c r="Z1859" i="11"/>
  <c r="X1859" i="11"/>
  <c r="Z1843" i="11"/>
  <c r="X1843" i="11"/>
  <c r="Z1789" i="11"/>
  <c r="X1789" i="11"/>
  <c r="X1757" i="11"/>
  <c r="Z1757" i="11"/>
  <c r="Z1741" i="11"/>
  <c r="X1741" i="11"/>
  <c r="Z1733" i="11"/>
  <c r="X1733" i="11"/>
  <c r="Z1715" i="11"/>
  <c r="X1715" i="11"/>
  <c r="X1587" i="11"/>
  <c r="Z1587" i="11"/>
  <c r="Z1477" i="11"/>
  <c r="X1477" i="11"/>
  <c r="Z1453" i="11"/>
  <c r="X1453" i="11"/>
  <c r="Z1413" i="11"/>
  <c r="X1413" i="11"/>
  <c r="Z1395" i="11"/>
  <c r="X1395" i="11"/>
  <c r="Z1285" i="11"/>
  <c r="X1285" i="11"/>
  <c r="Z1267" i="11"/>
  <c r="X1267" i="11"/>
  <c r="Z1259" i="11"/>
  <c r="X1259" i="11"/>
  <c r="Z1203" i="11"/>
  <c r="X1203" i="11"/>
  <c r="Z1118" i="11"/>
  <c r="X1118" i="11"/>
  <c r="AA1118" i="11" s="1"/>
  <c r="X1075" i="11"/>
  <c r="Z1075" i="11"/>
  <c r="Z947" i="11"/>
  <c r="X947" i="11"/>
  <c r="X939" i="11"/>
  <c r="Z939" i="11"/>
  <c r="X923" i="11"/>
  <c r="Z923" i="11"/>
  <c r="Z915" i="11"/>
  <c r="X915" i="11"/>
  <c r="Z899" i="11"/>
  <c r="X899" i="11"/>
  <c r="Z891" i="11"/>
  <c r="X891" i="11"/>
  <c r="Z845" i="11"/>
  <c r="X845" i="11"/>
  <c r="Z837" i="11"/>
  <c r="X837" i="11"/>
  <c r="Z829" i="11"/>
  <c r="X829" i="11"/>
  <c r="X821" i="11"/>
  <c r="Z821" i="11"/>
  <c r="Z813" i="11"/>
  <c r="X813" i="11"/>
  <c r="Z805" i="11"/>
  <c r="X805" i="11"/>
  <c r="Z797" i="11"/>
  <c r="X797" i="11"/>
  <c r="Z781" i="11"/>
  <c r="X781" i="11"/>
  <c r="Z763" i="11"/>
  <c r="X763" i="11"/>
  <c r="X635" i="11"/>
  <c r="Z635" i="11"/>
  <c r="X627" i="11"/>
  <c r="Z627" i="11"/>
  <c r="Z619" i="11"/>
  <c r="X619" i="11"/>
  <c r="X611" i="11"/>
  <c r="Z611" i="11"/>
  <c r="Z603" i="11"/>
  <c r="X603" i="11"/>
  <c r="Z595" i="11"/>
  <c r="X595" i="11"/>
  <c r="Z587" i="11"/>
  <c r="X587" i="11"/>
  <c r="Z571" i="11"/>
  <c r="X571" i="11"/>
  <c r="X518" i="11"/>
  <c r="Z518" i="11"/>
  <c r="AB518" i="11" s="1"/>
  <c r="X494" i="11"/>
  <c r="AA494" i="11" s="1"/>
  <c r="Z494" i="11"/>
  <c r="Z470" i="11"/>
  <c r="X470" i="11"/>
  <c r="AA470" i="11" s="1"/>
  <c r="X461" i="11"/>
  <c r="Z461" i="11"/>
  <c r="Z443" i="11"/>
  <c r="X443" i="11"/>
  <c r="Z333" i="11"/>
  <c r="X333" i="11"/>
  <c r="Z251" i="11"/>
  <c r="X251" i="11"/>
  <c r="X141" i="11"/>
  <c r="Z141" i="11"/>
  <c r="Z123" i="11"/>
  <c r="X123" i="11"/>
  <c r="Z2347" i="11"/>
  <c r="Z2101" i="11"/>
  <c r="AA2598" i="11"/>
  <c r="V3072" i="11"/>
  <c r="Y3072" i="11"/>
  <c r="Y3008" i="11"/>
  <c r="V3008" i="11"/>
  <c r="AA3008" i="11" s="1"/>
  <c r="V2816" i="11"/>
  <c r="Y2816" i="11"/>
  <c r="V1823" i="11"/>
  <c r="AA1823" i="11" s="1"/>
  <c r="Y1823" i="11"/>
  <c r="Y1791" i="11"/>
  <c r="V1791" i="11"/>
  <c r="AA1791" i="11" s="1"/>
  <c r="AA1447" i="11"/>
  <c r="AB2902" i="11"/>
  <c r="Y3200" i="11"/>
  <c r="V2944" i="11"/>
  <c r="Y3456" i="11"/>
  <c r="X3379" i="11"/>
  <c r="Z3507" i="11"/>
  <c r="U3880" i="11"/>
  <c r="U3872" i="11"/>
  <c r="T3872" i="11"/>
  <c r="U3856" i="11"/>
  <c r="T3856" i="11"/>
  <c r="G3824" i="11"/>
  <c r="W3824" i="11"/>
  <c r="Z3824" i="11" s="1"/>
  <c r="G3816" i="11"/>
  <c r="W3816" i="11"/>
  <c r="Z3816" i="11" s="1"/>
  <c r="G3808" i="11"/>
  <c r="W3808" i="11"/>
  <c r="X3808" i="11" s="1"/>
  <c r="G3800" i="11"/>
  <c r="W3800" i="11"/>
  <c r="X3800" i="11" s="1"/>
  <c r="G3792" i="11"/>
  <c r="W3792" i="11"/>
  <c r="X3792" i="11" s="1"/>
  <c r="U3776" i="11"/>
  <c r="T3776" i="11"/>
  <c r="Z2869" i="11"/>
  <c r="X2869" i="11"/>
  <c r="G3719" i="11"/>
  <c r="W3719" i="11"/>
  <c r="X3719" i="11" s="1"/>
  <c r="G3711" i="11"/>
  <c r="W3711" i="11"/>
  <c r="X3711" i="11" s="1"/>
  <c r="G3703" i="11"/>
  <c r="W3703" i="11"/>
  <c r="X3703" i="11" s="1"/>
  <c r="G3695" i="11"/>
  <c r="W3695" i="11"/>
  <c r="X3695" i="11" s="1"/>
  <c r="G3687" i="11"/>
  <c r="W3687" i="11"/>
  <c r="X3687" i="11" s="1"/>
  <c r="G3615" i="11"/>
  <c r="W3615" i="11"/>
  <c r="Z3615" i="11" s="1"/>
  <c r="G3607" i="11"/>
  <c r="W3607" i="11"/>
  <c r="X3607" i="11" s="1"/>
  <c r="G3599" i="11"/>
  <c r="W3599" i="11"/>
  <c r="X3599" i="11" s="1"/>
  <c r="G3591" i="11"/>
  <c r="W3591" i="11"/>
  <c r="Z3591" i="11" s="1"/>
  <c r="G3583" i="11"/>
  <c r="W3583" i="11"/>
  <c r="Z3583" i="11" s="1"/>
  <c r="G3575" i="11"/>
  <c r="W3575" i="11"/>
  <c r="X3575" i="11" s="1"/>
  <c r="G3511" i="11"/>
  <c r="W3511" i="11"/>
  <c r="X3511" i="11" s="1"/>
  <c r="G3503" i="11"/>
  <c r="W3503" i="11"/>
  <c r="Z3503" i="11" s="1"/>
  <c r="G3495" i="11"/>
  <c r="W3495" i="11"/>
  <c r="Z3495" i="11" s="1"/>
  <c r="G3487" i="11"/>
  <c r="W3487" i="11"/>
  <c r="X3487" i="11" s="1"/>
  <c r="G3479" i="11"/>
  <c r="W3479" i="11"/>
  <c r="Z3479" i="11" s="1"/>
  <c r="G3471" i="11"/>
  <c r="W3471" i="11"/>
  <c r="Z3471" i="11" s="1"/>
  <c r="G3399" i="11"/>
  <c r="W3399" i="11"/>
  <c r="Z3399" i="11" s="1"/>
  <c r="G3391" i="11"/>
  <c r="W3391" i="11"/>
  <c r="Z3391" i="11" s="1"/>
  <c r="G3383" i="11"/>
  <c r="W3383" i="11"/>
  <c r="X3383" i="11" s="1"/>
  <c r="G3375" i="11"/>
  <c r="W3375" i="11"/>
  <c r="Z3375" i="11" s="1"/>
  <c r="G3367" i="11"/>
  <c r="W3367" i="11"/>
  <c r="Z3367" i="11" s="1"/>
  <c r="G3295" i="11"/>
  <c r="W3295" i="11"/>
  <c r="X3295" i="11" s="1"/>
  <c r="G3287" i="11"/>
  <c r="W3287" i="11"/>
  <c r="X3287" i="11" s="1"/>
  <c r="G3279" i="11"/>
  <c r="W3279" i="11"/>
  <c r="Z3279" i="11" s="1"/>
  <c r="G3271" i="11"/>
  <c r="W3271" i="11"/>
  <c r="Z3271" i="11" s="1"/>
  <c r="G3263" i="11"/>
  <c r="W3263" i="11"/>
  <c r="X3263" i="11" s="1"/>
  <c r="G3191" i="11"/>
  <c r="W3191" i="11"/>
  <c r="Z3191" i="11" s="1"/>
  <c r="G3183" i="11"/>
  <c r="W3183" i="11"/>
  <c r="Z3183" i="11" s="1"/>
  <c r="G3175" i="11"/>
  <c r="W3175" i="11"/>
  <c r="X3175" i="11" s="1"/>
  <c r="G3167" i="11"/>
  <c r="W3167" i="11"/>
  <c r="X3167" i="11" s="1"/>
  <c r="G3159" i="11"/>
  <c r="W3159" i="11"/>
  <c r="X3159" i="11" s="1"/>
  <c r="G3087" i="11"/>
  <c r="W3087" i="11"/>
  <c r="Z3087" i="11" s="1"/>
  <c r="G3079" i="11"/>
  <c r="W3079" i="11"/>
  <c r="X3079" i="11" s="1"/>
  <c r="G3071" i="11"/>
  <c r="W3071" i="11"/>
  <c r="X3071" i="11" s="1"/>
  <c r="G3063" i="11"/>
  <c r="W3063" i="11"/>
  <c r="X3063" i="11" s="1"/>
  <c r="G3055" i="11"/>
  <c r="W3055" i="11"/>
  <c r="Z3055" i="11" s="1"/>
  <c r="G2983" i="11"/>
  <c r="W2983" i="11"/>
  <c r="X2983" i="11" s="1"/>
  <c r="G2975" i="11"/>
  <c r="W2975" i="11"/>
  <c r="X2975" i="11" s="1"/>
  <c r="G2967" i="11"/>
  <c r="W2967" i="11"/>
  <c r="X2967" i="11" s="1"/>
  <c r="G2959" i="11"/>
  <c r="W2959" i="11"/>
  <c r="X2959" i="11" s="1"/>
  <c r="G2951" i="11"/>
  <c r="W2951" i="11"/>
  <c r="X2951" i="11" s="1"/>
  <c r="G2879" i="11"/>
  <c r="W2879" i="11"/>
  <c r="Z2879" i="11" s="1"/>
  <c r="G2871" i="11"/>
  <c r="W2871" i="11"/>
  <c r="X2871" i="11" s="1"/>
  <c r="G2863" i="11"/>
  <c r="W2863" i="11"/>
  <c r="Z2863" i="11" s="1"/>
  <c r="G2855" i="11"/>
  <c r="W2855" i="11"/>
  <c r="Z2855" i="11" s="1"/>
  <c r="G2847" i="11"/>
  <c r="W2847" i="11"/>
  <c r="Z2847" i="11" s="1"/>
  <c r="G2775" i="11"/>
  <c r="W2775" i="11"/>
  <c r="X2775" i="11" s="1"/>
  <c r="G2767" i="11"/>
  <c r="W2767" i="11"/>
  <c r="X2767" i="11" s="1"/>
  <c r="G2759" i="11"/>
  <c r="W2759" i="11"/>
  <c r="Z2759" i="11" s="1"/>
  <c r="G2751" i="11"/>
  <c r="W2751" i="11"/>
  <c r="X2751" i="11" s="1"/>
  <c r="G2743" i="11"/>
  <c r="W2743" i="11"/>
  <c r="Z2743" i="11" s="1"/>
  <c r="G2735" i="11"/>
  <c r="W2735" i="11"/>
  <c r="Z2735" i="11" s="1"/>
  <c r="G2671" i="11"/>
  <c r="T2671" i="11" s="1"/>
  <c r="W2671" i="11"/>
  <c r="Z2671" i="11" s="1"/>
  <c r="G2663" i="11"/>
  <c r="T2663" i="11" s="1"/>
  <c r="W2663" i="11"/>
  <c r="Z2663" i="11" s="1"/>
  <c r="G2655" i="11"/>
  <c r="W2655" i="11"/>
  <c r="X2655" i="11" s="1"/>
  <c r="G2647" i="11"/>
  <c r="U2647" i="11" s="1"/>
  <c r="Y2647" i="11" s="1"/>
  <c r="W2647" i="11"/>
  <c r="X2647" i="11" s="1"/>
  <c r="G2639" i="11"/>
  <c r="U2639" i="11" s="1"/>
  <c r="V2639" i="11" s="1"/>
  <c r="W2639" i="11"/>
  <c r="X2639" i="11" s="1"/>
  <c r="G2631" i="11"/>
  <c r="T2631" i="11" s="1"/>
  <c r="W2631" i="11"/>
  <c r="X2631" i="11" s="1"/>
  <c r="U2583" i="11"/>
  <c r="Y2583" i="11" s="1"/>
  <c r="T2583" i="11"/>
  <c r="U2575" i="11"/>
  <c r="Y2575" i="11" s="1"/>
  <c r="T2575" i="11"/>
  <c r="U2567" i="11"/>
  <c r="Y2567" i="11" s="1"/>
  <c r="T2567" i="11"/>
  <c r="G2559" i="11"/>
  <c r="W2559" i="11"/>
  <c r="X2559" i="11" s="1"/>
  <c r="G2551" i="11"/>
  <c r="W2551" i="11"/>
  <c r="Z2551" i="11" s="1"/>
  <c r="G2543" i="11"/>
  <c r="W2543" i="11"/>
  <c r="X2543" i="11" s="1"/>
  <c r="G2535" i="11"/>
  <c r="W2535" i="11"/>
  <c r="Z2535" i="11" s="1"/>
  <c r="G2527" i="11"/>
  <c r="W2527" i="11"/>
  <c r="Z2527" i="11" s="1"/>
  <c r="U2503" i="11"/>
  <c r="V2503" i="11" s="1"/>
  <c r="T2503" i="11"/>
  <c r="G2455" i="11"/>
  <c r="W2455" i="11"/>
  <c r="X2455" i="11" s="1"/>
  <c r="G2447" i="11"/>
  <c r="W2447" i="11"/>
  <c r="Z2447" i="11" s="1"/>
  <c r="G2439" i="11"/>
  <c r="W2439" i="11"/>
  <c r="Z2439" i="11" s="1"/>
  <c r="G2431" i="11"/>
  <c r="W2431" i="11"/>
  <c r="X2431" i="11" s="1"/>
  <c r="G2423" i="11"/>
  <c r="W2423" i="11"/>
  <c r="X2423" i="11" s="1"/>
  <c r="U2367" i="11"/>
  <c r="V2367" i="11" s="1"/>
  <c r="T2367" i="11"/>
  <c r="G2351" i="11"/>
  <c r="W2351" i="11"/>
  <c r="X2351" i="11" s="1"/>
  <c r="G2343" i="11"/>
  <c r="W2343" i="11"/>
  <c r="Z2343" i="11" s="1"/>
  <c r="G2335" i="11"/>
  <c r="W2335" i="11"/>
  <c r="X2335" i="11" s="1"/>
  <c r="G2327" i="11"/>
  <c r="W2327" i="11"/>
  <c r="X2327" i="11" s="1"/>
  <c r="G2319" i="11"/>
  <c r="W2319" i="11"/>
  <c r="Z2319" i="11" s="1"/>
  <c r="U2287" i="11"/>
  <c r="V2287" i="11" s="1"/>
  <c r="T2287" i="11"/>
  <c r="G2247" i="11"/>
  <c r="W2247" i="11"/>
  <c r="X2247" i="11" s="1"/>
  <c r="G2239" i="11"/>
  <c r="W2239" i="11"/>
  <c r="X2239" i="11" s="1"/>
  <c r="G2231" i="11"/>
  <c r="W2231" i="11"/>
  <c r="Z2231" i="11" s="1"/>
  <c r="G2223" i="11"/>
  <c r="W2223" i="11"/>
  <c r="Z2223" i="11" s="1"/>
  <c r="G2215" i="11"/>
  <c r="W2215" i="11"/>
  <c r="Z2215" i="11" s="1"/>
  <c r="U2174" i="11"/>
  <c r="T2174" i="11"/>
  <c r="G2142" i="11"/>
  <c r="W2142" i="11"/>
  <c r="X2142" i="11" s="1"/>
  <c r="G2134" i="11"/>
  <c r="W2134" i="11"/>
  <c r="Z2134" i="11" s="1"/>
  <c r="G2126" i="11"/>
  <c r="W2126" i="11"/>
  <c r="Z2126" i="11" s="1"/>
  <c r="G2118" i="11"/>
  <c r="W2118" i="11"/>
  <c r="Z2118" i="11" s="1"/>
  <c r="G2110" i="11"/>
  <c r="W2110" i="11"/>
  <c r="Z2110" i="11" s="1"/>
  <c r="U2086" i="11"/>
  <c r="T2086" i="11"/>
  <c r="G2038" i="11"/>
  <c r="W2038" i="11"/>
  <c r="Z2038" i="11" s="1"/>
  <c r="G2030" i="11"/>
  <c r="W2030" i="11"/>
  <c r="X2030" i="11" s="1"/>
  <c r="G2022" i="11"/>
  <c r="W2022" i="11"/>
  <c r="X2022" i="11" s="1"/>
  <c r="G2014" i="11"/>
  <c r="W2014" i="11"/>
  <c r="Z2014" i="11" s="1"/>
  <c r="G2006" i="11"/>
  <c r="W2006" i="11"/>
  <c r="Z2006" i="11" s="1"/>
  <c r="G1934" i="11"/>
  <c r="W1934" i="11"/>
  <c r="Z1934" i="11" s="1"/>
  <c r="G1926" i="11"/>
  <c r="W1926" i="11"/>
  <c r="Z1926" i="11" s="1"/>
  <c r="G1918" i="11"/>
  <c r="W1918" i="11"/>
  <c r="Z1918" i="11" s="1"/>
  <c r="G1910" i="11"/>
  <c r="W1910" i="11"/>
  <c r="Z1910" i="11" s="1"/>
  <c r="G1902" i="11"/>
  <c r="W1902" i="11"/>
  <c r="Z1902" i="11" s="1"/>
  <c r="G1830" i="11"/>
  <c r="W1830" i="11"/>
  <c r="Z1830" i="11" s="1"/>
  <c r="G1822" i="11"/>
  <c r="W1822" i="11"/>
  <c r="Z1822" i="11" s="1"/>
  <c r="G1814" i="11"/>
  <c r="W1814" i="11"/>
  <c r="X1814" i="11" s="1"/>
  <c r="G1806" i="11"/>
  <c r="W1806" i="11"/>
  <c r="Z1806" i="11" s="1"/>
  <c r="G1798" i="11"/>
  <c r="W1798" i="11"/>
  <c r="Z1798" i="11" s="1"/>
  <c r="G1790" i="11"/>
  <c r="W1790" i="11"/>
  <c r="Z1790" i="11" s="1"/>
  <c r="G1726" i="11"/>
  <c r="W1726" i="11"/>
  <c r="Z1726" i="11" s="1"/>
  <c r="G1718" i="11"/>
  <c r="W1718" i="11"/>
  <c r="Z1718" i="11" s="1"/>
  <c r="G1710" i="11"/>
  <c r="W1710" i="11"/>
  <c r="Z1710" i="11" s="1"/>
  <c r="G1702" i="11"/>
  <c r="W1702" i="11"/>
  <c r="Z1702" i="11" s="1"/>
  <c r="G1694" i="11"/>
  <c r="W1694" i="11"/>
  <c r="X1694" i="11" s="1"/>
  <c r="G1686" i="11"/>
  <c r="W1686" i="11"/>
  <c r="Z1686" i="11" s="1"/>
  <c r="U1654" i="11"/>
  <c r="T1654" i="11"/>
  <c r="U1638" i="11"/>
  <c r="T1638" i="11"/>
  <c r="G1614" i="11"/>
  <c r="W1614" i="11"/>
  <c r="Z1614" i="11" s="1"/>
  <c r="G1606" i="11"/>
  <c r="W1606" i="11"/>
  <c r="Z1606" i="11" s="1"/>
  <c r="G1598" i="11"/>
  <c r="W1598" i="11"/>
  <c r="Z1598" i="11" s="1"/>
  <c r="G1590" i="11"/>
  <c r="W1590" i="11"/>
  <c r="X1590" i="11" s="1"/>
  <c r="G1582" i="11"/>
  <c r="W1582" i="11"/>
  <c r="X1582" i="11" s="1"/>
  <c r="T1550" i="11"/>
  <c r="U1550" i="11"/>
  <c r="U1542" i="11"/>
  <c r="Y1542" i="11" s="1"/>
  <c r="AB1542" i="11" s="1"/>
  <c r="T1542" i="11"/>
  <c r="G1510" i="11"/>
  <c r="W1510" i="11"/>
  <c r="X1510" i="11" s="1"/>
  <c r="G1502" i="11"/>
  <c r="W1502" i="11"/>
  <c r="X1502" i="11" s="1"/>
  <c r="G1494" i="11"/>
  <c r="W1494" i="11"/>
  <c r="X1494" i="11" s="1"/>
  <c r="G1486" i="11"/>
  <c r="W1486" i="11"/>
  <c r="Z1486" i="11" s="1"/>
  <c r="G1478" i="11"/>
  <c r="W1478" i="11"/>
  <c r="Z1478" i="11" s="1"/>
  <c r="U1462" i="11"/>
  <c r="T1462" i="11"/>
  <c r="G1406" i="11"/>
  <c r="W1406" i="11"/>
  <c r="X1406" i="11" s="1"/>
  <c r="G1398" i="11"/>
  <c r="W1398" i="11"/>
  <c r="X1398" i="11" s="1"/>
  <c r="G1390" i="11"/>
  <c r="W1390" i="11"/>
  <c r="Z1390" i="11" s="1"/>
  <c r="G1382" i="11"/>
  <c r="W1382" i="11"/>
  <c r="Z1382" i="11" s="1"/>
  <c r="G1374" i="11"/>
  <c r="W1374" i="11"/>
  <c r="X1374" i="11" s="1"/>
  <c r="U1366" i="11"/>
  <c r="T1366" i="11"/>
  <c r="U1334" i="11"/>
  <c r="T1334" i="11"/>
  <c r="G1302" i="11"/>
  <c r="W1302" i="11"/>
  <c r="X1302" i="11" s="1"/>
  <c r="G1294" i="11"/>
  <c r="W1294" i="11"/>
  <c r="G1286" i="11"/>
  <c r="W1286" i="11"/>
  <c r="Z1286" i="11" s="1"/>
  <c r="G1278" i="11"/>
  <c r="W1278" i="11"/>
  <c r="G1270" i="11"/>
  <c r="W1270" i="11"/>
  <c r="X1270" i="11" s="1"/>
  <c r="G1198" i="11"/>
  <c r="W1198" i="11"/>
  <c r="X1198" i="11" s="1"/>
  <c r="G1190" i="11"/>
  <c r="W1190" i="11"/>
  <c r="X1190" i="11" s="1"/>
  <c r="G1182" i="11"/>
  <c r="W1182" i="11"/>
  <c r="G1174" i="11"/>
  <c r="W1174" i="11"/>
  <c r="Z1174" i="11" s="1"/>
  <c r="G1166" i="11"/>
  <c r="W1166" i="11"/>
  <c r="X1166" i="11" s="1"/>
  <c r="G1094" i="11"/>
  <c r="W1094" i="11"/>
  <c r="X1094" i="11" s="1"/>
  <c r="G1086" i="11"/>
  <c r="W1086" i="11"/>
  <c r="Z1086" i="11" s="1"/>
  <c r="G1078" i="11"/>
  <c r="W1078" i="11"/>
  <c r="Z1078" i="11" s="1"/>
  <c r="G1070" i="11"/>
  <c r="W1070" i="11"/>
  <c r="Z1070" i="11" s="1"/>
  <c r="G1062" i="11"/>
  <c r="W1062" i="11"/>
  <c r="X1062" i="11" s="1"/>
  <c r="G990" i="11"/>
  <c r="W990" i="11"/>
  <c r="X990" i="11" s="1"/>
  <c r="G982" i="11"/>
  <c r="W982" i="11"/>
  <c r="Z982" i="11" s="1"/>
  <c r="G974" i="11"/>
  <c r="W974" i="11"/>
  <c r="X974" i="11" s="1"/>
  <c r="G966" i="11"/>
  <c r="W966" i="11"/>
  <c r="X966" i="11" s="1"/>
  <c r="G958" i="11"/>
  <c r="W958" i="11"/>
  <c r="X958" i="11" s="1"/>
  <c r="G950" i="11"/>
  <c r="W950" i="11"/>
  <c r="X950" i="11" s="1"/>
  <c r="G886" i="11"/>
  <c r="W886" i="11"/>
  <c r="Z886" i="11" s="1"/>
  <c r="G878" i="11"/>
  <c r="W878" i="11"/>
  <c r="Z878" i="11" s="1"/>
  <c r="G870" i="11"/>
  <c r="W870" i="11"/>
  <c r="X870" i="11" s="1"/>
  <c r="G862" i="11"/>
  <c r="W862" i="11"/>
  <c r="X862" i="11" s="1"/>
  <c r="G854" i="11"/>
  <c r="W854" i="11"/>
  <c r="X854" i="11" s="1"/>
  <c r="G846" i="11"/>
  <c r="W846" i="11"/>
  <c r="Z846" i="11" s="1"/>
  <c r="U838" i="11"/>
  <c r="V838" i="11" s="1"/>
  <c r="T838" i="11"/>
  <c r="G774" i="11"/>
  <c r="W774" i="11"/>
  <c r="X774" i="11" s="1"/>
  <c r="G766" i="11"/>
  <c r="W766" i="11"/>
  <c r="X766" i="11" s="1"/>
  <c r="G758" i="11"/>
  <c r="W758" i="11"/>
  <c r="G750" i="11"/>
  <c r="W750" i="11"/>
  <c r="X750" i="11" s="1"/>
  <c r="G742" i="11"/>
  <c r="W742" i="11"/>
  <c r="U718" i="11"/>
  <c r="T718" i="11"/>
  <c r="U694" i="11"/>
  <c r="T694" i="11"/>
  <c r="U686" i="11"/>
  <c r="T686" i="11"/>
  <c r="G670" i="11"/>
  <c r="W670" i="11"/>
  <c r="G662" i="11"/>
  <c r="W662" i="11"/>
  <c r="X662" i="11" s="1"/>
  <c r="G654" i="11"/>
  <c r="W654" i="11"/>
  <c r="Z654" i="11" s="1"/>
  <c r="G646" i="11"/>
  <c r="W646" i="11"/>
  <c r="X646" i="11" s="1"/>
  <c r="G638" i="11"/>
  <c r="W638" i="11"/>
  <c r="Z638" i="11" s="1"/>
  <c r="G566" i="11"/>
  <c r="W566" i="11"/>
  <c r="G558" i="11"/>
  <c r="W558" i="11"/>
  <c r="G550" i="11"/>
  <c r="W550" i="11"/>
  <c r="Z550" i="11" s="1"/>
  <c r="G542" i="11"/>
  <c r="W542" i="11"/>
  <c r="G534" i="11"/>
  <c r="W534" i="11"/>
  <c r="Z534" i="11" s="1"/>
  <c r="G462" i="11"/>
  <c r="W462" i="11"/>
  <c r="G454" i="11"/>
  <c r="W454" i="11"/>
  <c r="Z454" i="11" s="1"/>
  <c r="G446" i="11"/>
  <c r="W446" i="11"/>
  <c r="G438" i="11"/>
  <c r="W438" i="11"/>
  <c r="Z438" i="11" s="1"/>
  <c r="G430" i="11"/>
  <c r="W430" i="11"/>
  <c r="X430" i="11" s="1"/>
  <c r="G358" i="11"/>
  <c r="W358" i="11"/>
  <c r="X358" i="11" s="1"/>
  <c r="G350" i="11"/>
  <c r="W350" i="11"/>
  <c r="X350" i="11" s="1"/>
  <c r="G342" i="11"/>
  <c r="W342" i="11"/>
  <c r="G334" i="11"/>
  <c r="W334" i="11"/>
  <c r="Z334" i="11" s="1"/>
  <c r="G326" i="11"/>
  <c r="W326" i="11"/>
  <c r="Z326" i="11" s="1"/>
  <c r="U302" i="11"/>
  <c r="T302" i="11"/>
  <c r="G254" i="11"/>
  <c r="W254" i="11"/>
  <c r="G246" i="11"/>
  <c r="W246" i="11"/>
  <c r="Z246" i="11" s="1"/>
  <c r="G238" i="11"/>
  <c r="W238" i="11"/>
  <c r="X238" i="11" s="1"/>
  <c r="G230" i="11"/>
  <c r="W230" i="11"/>
  <c r="G222" i="11"/>
  <c r="W222" i="11"/>
  <c r="Z222" i="11" s="1"/>
  <c r="G150" i="11"/>
  <c r="W150" i="11"/>
  <c r="X150" i="11" s="1"/>
  <c r="G142" i="11"/>
  <c r="W142" i="11"/>
  <c r="X142" i="11" s="1"/>
  <c r="G134" i="11"/>
  <c r="W134" i="11"/>
  <c r="G126" i="11"/>
  <c r="W126" i="11"/>
  <c r="X126" i="11" s="1"/>
  <c r="G118" i="11"/>
  <c r="W118" i="11"/>
  <c r="Z118" i="11" s="1"/>
  <c r="G110" i="11"/>
  <c r="W110" i="11"/>
  <c r="X110" i="11" s="1"/>
  <c r="G46" i="11"/>
  <c r="W46" i="11"/>
  <c r="X46" i="11" s="1"/>
  <c r="G38" i="11"/>
  <c r="W38" i="11"/>
  <c r="Z38" i="11" s="1"/>
  <c r="G30" i="11"/>
  <c r="W30" i="11"/>
  <c r="X30" i="11" s="1"/>
  <c r="G22" i="11"/>
  <c r="W22" i="11"/>
  <c r="Z22" i="11" s="1"/>
  <c r="G14" i="11"/>
  <c r="W14" i="11"/>
  <c r="Z14" i="11" s="1"/>
  <c r="G6" i="11"/>
  <c r="W6" i="11"/>
  <c r="X6" i="11" s="1"/>
  <c r="U3885" i="11"/>
  <c r="Y3885" i="11" s="1"/>
  <c r="T3885" i="11"/>
  <c r="U3877" i="11"/>
  <c r="V3877" i="11" s="1"/>
  <c r="T3877" i="11"/>
  <c r="U3845" i="11"/>
  <c r="V3845" i="11" s="1"/>
  <c r="T3845" i="11"/>
  <c r="U3789" i="11"/>
  <c r="Y3789" i="11" s="1"/>
  <c r="U1917" i="11"/>
  <c r="T1917" i="11"/>
  <c r="U1901" i="11"/>
  <c r="T1901" i="11"/>
  <c r="U1821" i="11"/>
  <c r="T1821" i="11"/>
  <c r="U1741" i="11"/>
  <c r="T1741" i="11"/>
  <c r="Z3701" i="11"/>
  <c r="X3701" i="11"/>
  <c r="Z3237" i="11"/>
  <c r="X3237" i="11"/>
  <c r="Z2877" i="11"/>
  <c r="X2877" i="11"/>
  <c r="T2479" i="11"/>
  <c r="T3439" i="11"/>
  <c r="T3415" i="11"/>
  <c r="T1845" i="11"/>
  <c r="T3623" i="11"/>
  <c r="T814" i="11"/>
  <c r="T1430" i="11"/>
  <c r="T2255" i="11"/>
  <c r="T2463" i="11"/>
  <c r="T2375" i="11"/>
  <c r="T2799" i="11"/>
  <c r="T2471" i="11"/>
  <c r="T1526" i="11"/>
  <c r="T1422" i="11"/>
  <c r="T710" i="11"/>
  <c r="X3581" i="11"/>
  <c r="Z3581" i="11"/>
  <c r="Z2933" i="11"/>
  <c r="X2933" i="11"/>
  <c r="T3303" i="11"/>
  <c r="T2415" i="11"/>
  <c r="T2062" i="11"/>
  <c r="T2158" i="11"/>
  <c r="T1326" i="11"/>
  <c r="T2263" i="11"/>
  <c r="X3589" i="11"/>
  <c r="Z3589" i="11"/>
  <c r="Z3437" i="11"/>
  <c r="X3437" i="11"/>
  <c r="Z3085" i="11"/>
  <c r="X3085" i="11"/>
  <c r="X1899" i="11"/>
  <c r="Z1899" i="11"/>
  <c r="Z1891" i="11"/>
  <c r="X1891" i="11"/>
  <c r="Z1883" i="11"/>
  <c r="X1883" i="11"/>
  <c r="Z1875" i="11"/>
  <c r="X1875" i="11"/>
  <c r="Z1867" i="11"/>
  <c r="X1867" i="11"/>
  <c r="Z1851" i="11"/>
  <c r="X1851" i="11"/>
  <c r="Z1835" i="11"/>
  <c r="X1835" i="11"/>
  <c r="Z1781" i="11"/>
  <c r="X1781" i="11"/>
  <c r="Z1773" i="11"/>
  <c r="X1773" i="11"/>
  <c r="Z1765" i="11"/>
  <c r="X1765" i="11"/>
  <c r="Z1749" i="11"/>
  <c r="X1749" i="11"/>
  <c r="X1605" i="11"/>
  <c r="Z1605" i="11"/>
  <c r="X1469" i="11"/>
  <c r="Z1469" i="11"/>
  <c r="Z1461" i="11"/>
  <c r="X1461" i="11"/>
  <c r="Z1445" i="11"/>
  <c r="X1445" i="11"/>
  <c r="X1437" i="11"/>
  <c r="Z1437" i="11"/>
  <c r="Z1429" i="11"/>
  <c r="X1429" i="11"/>
  <c r="Z1421" i="11"/>
  <c r="X1421" i="11"/>
  <c r="Z1251" i="11"/>
  <c r="X1251" i="11"/>
  <c r="Z1243" i="11"/>
  <c r="X1243" i="11"/>
  <c r="Z1235" i="11"/>
  <c r="X1235" i="11"/>
  <c r="Z1227" i="11"/>
  <c r="X1227" i="11"/>
  <c r="Z1219" i="11"/>
  <c r="X1219" i="11"/>
  <c r="Z1211" i="11"/>
  <c r="X1211" i="11"/>
  <c r="Z1093" i="11"/>
  <c r="X1093" i="11"/>
  <c r="Z965" i="11"/>
  <c r="X965" i="11"/>
  <c r="Z931" i="11"/>
  <c r="X931" i="11"/>
  <c r="Z907" i="11"/>
  <c r="X907" i="11"/>
  <c r="Z653" i="11"/>
  <c r="X653" i="11"/>
  <c r="X21" i="11"/>
  <c r="Z21" i="11"/>
  <c r="T3431" i="11"/>
  <c r="T1470" i="11"/>
  <c r="T1670" i="11"/>
  <c r="T486" i="11"/>
  <c r="T1958" i="11"/>
  <c r="T1549" i="11"/>
  <c r="T894" i="11"/>
  <c r="T574" i="11"/>
  <c r="T198" i="11"/>
  <c r="T1645" i="11"/>
  <c r="T2391" i="11"/>
  <c r="T678" i="11"/>
  <c r="T1662" i="11"/>
  <c r="T2487" i="11"/>
  <c r="T1838" i="11"/>
  <c r="T1646" i="11"/>
  <c r="T366" i="11"/>
  <c r="T214" i="11"/>
  <c r="T3813" i="11"/>
  <c r="T294" i="11"/>
  <c r="T158" i="11"/>
  <c r="T1949" i="11"/>
  <c r="T598" i="11"/>
  <c r="T3543" i="11"/>
  <c r="T1030" i="11"/>
  <c r="T3759" i="11"/>
  <c r="T3527" i="11"/>
  <c r="T1669" i="11"/>
  <c r="T1358" i="11"/>
  <c r="T2190" i="11"/>
  <c r="T2599" i="11"/>
  <c r="T2013" i="11"/>
  <c r="T1973" i="11"/>
  <c r="T1989" i="11"/>
  <c r="T494" i="11"/>
  <c r="T1621" i="11"/>
  <c r="T166" i="11"/>
  <c r="T2495" i="11"/>
  <c r="T2511" i="11"/>
  <c r="T2591" i="11"/>
  <c r="T622" i="11"/>
  <c r="T1534" i="11"/>
  <c r="T1454" i="11"/>
  <c r="T2295" i="11"/>
  <c r="T726" i="11"/>
  <c r="T3821" i="11"/>
  <c r="T606" i="11"/>
  <c r="X3357" i="11"/>
  <c r="Z3357" i="11"/>
  <c r="T3655" i="11"/>
  <c r="T942" i="11"/>
  <c r="T1310" i="11"/>
  <c r="T2207" i="11"/>
  <c r="T1557" i="11"/>
  <c r="T2607" i="11"/>
  <c r="T798" i="11"/>
  <c r="T1837" i="11"/>
  <c r="T614" i="11"/>
  <c r="T934" i="11"/>
  <c r="T998" i="11"/>
  <c r="T2383" i="11"/>
  <c r="T1414" i="11"/>
  <c r="T1318" i="11"/>
  <c r="T981" i="11"/>
  <c r="G3765" i="11"/>
  <c r="G3757" i="11"/>
  <c r="G3749" i="11"/>
  <c r="G3741" i="11"/>
  <c r="G3733" i="11"/>
  <c r="G3725" i="11"/>
  <c r="G3717" i="11"/>
  <c r="G3709" i="11"/>
  <c r="G3701" i="11"/>
  <c r="G3693" i="11"/>
  <c r="G3685" i="11"/>
  <c r="G3677" i="11"/>
  <c r="G3669" i="11"/>
  <c r="G3661" i="11"/>
  <c r="G3653" i="11"/>
  <c r="G3645" i="11"/>
  <c r="G3637" i="11"/>
  <c r="G3629" i="11"/>
  <c r="G3621" i="11"/>
  <c r="G3613" i="11"/>
  <c r="G3605" i="11"/>
  <c r="G3597" i="11"/>
  <c r="G3589" i="11"/>
  <c r="G3581" i="11"/>
  <c r="G3573" i="11"/>
  <c r="G3565" i="11"/>
  <c r="G3557" i="11"/>
  <c r="G3549" i="11"/>
  <c r="G3541" i="11"/>
  <c r="G3533" i="11"/>
  <c r="G3525" i="11"/>
  <c r="G3517" i="11"/>
  <c r="G3509" i="11"/>
  <c r="G3501" i="11"/>
  <c r="G3493" i="11"/>
  <c r="G3485" i="11"/>
  <c r="G3477" i="11"/>
  <c r="G3469" i="11"/>
  <c r="G3461" i="11"/>
  <c r="G3453" i="11"/>
  <c r="G3445" i="11"/>
  <c r="G3437" i="11"/>
  <c r="G3429" i="11"/>
  <c r="G3421" i="11"/>
  <c r="G3413" i="11"/>
  <c r="G3405" i="11"/>
  <c r="G3397" i="11"/>
  <c r="G3389" i="11"/>
  <c r="G3381" i="11"/>
  <c r="G3373" i="11"/>
  <c r="G3365" i="11"/>
  <c r="G3357" i="11"/>
  <c r="G3349" i="11"/>
  <c r="G3341" i="11"/>
  <c r="G3333" i="11"/>
  <c r="G3325" i="11"/>
  <c r="G3317" i="11"/>
  <c r="G3309" i="11"/>
  <c r="G3301" i="11"/>
  <c r="G3293" i="11"/>
  <c r="G3285" i="11"/>
  <c r="G3277" i="11"/>
  <c r="G3269" i="11"/>
  <c r="G3261" i="11"/>
  <c r="G3253" i="11"/>
  <c r="G3245" i="11"/>
  <c r="G3237" i="11"/>
  <c r="G3229" i="11"/>
  <c r="G3221" i="11"/>
  <c r="G3213" i="11"/>
  <c r="G3205" i="11"/>
  <c r="G3197" i="11"/>
  <c r="G3189" i="11"/>
  <c r="G3181" i="11"/>
  <c r="G3173" i="11"/>
  <c r="G3165" i="11"/>
  <c r="G3157" i="11"/>
  <c r="G3149" i="11"/>
  <c r="G3141" i="11"/>
  <c r="G3133" i="11"/>
  <c r="G3125" i="11"/>
  <c r="G3117" i="11"/>
  <c r="G3109" i="11"/>
  <c r="G3101" i="11"/>
  <c r="G3093" i="11"/>
  <c r="G3085" i="11"/>
  <c r="G3077" i="11"/>
  <c r="G3069" i="11"/>
  <c r="G3061" i="11"/>
  <c r="G3053" i="11"/>
  <c r="G3045" i="11"/>
  <c r="G3037" i="11"/>
  <c r="G3029" i="11"/>
  <c r="G3021" i="11"/>
  <c r="G3013" i="11"/>
  <c r="G3005" i="11"/>
  <c r="G2997" i="11"/>
  <c r="G2989" i="11"/>
  <c r="G2981" i="11"/>
  <c r="G2973" i="11"/>
  <c r="G2965" i="11"/>
  <c r="G2957" i="11"/>
  <c r="G2949" i="11"/>
  <c r="G2941" i="11"/>
  <c r="G2933" i="11"/>
  <c r="G2925" i="11"/>
  <c r="G2917" i="11"/>
  <c r="G2909" i="11"/>
  <c r="G2901" i="11"/>
  <c r="G2893" i="11"/>
  <c r="G2885" i="11"/>
  <c r="G2877" i="11"/>
  <c r="G2869" i="11"/>
  <c r="G2861" i="11"/>
  <c r="G2853" i="11"/>
  <c r="G2845" i="11"/>
  <c r="G2837" i="11"/>
  <c r="G2829" i="11"/>
  <c r="G2821" i="11"/>
  <c r="G2813" i="11"/>
  <c r="G2805" i="11"/>
  <c r="G2797" i="11"/>
  <c r="G2789" i="11"/>
  <c r="G2781" i="11"/>
  <c r="G2773" i="11"/>
  <c r="G2765" i="11"/>
  <c r="G2757" i="11"/>
  <c r="G2749" i="11"/>
  <c r="G2741" i="11"/>
  <c r="G2733" i="11"/>
  <c r="G2725" i="11"/>
  <c r="G2717" i="11"/>
  <c r="G2709" i="11"/>
  <c r="G2701" i="11"/>
  <c r="G2693" i="11"/>
  <c r="G2685" i="11"/>
  <c r="G2677" i="11"/>
  <c r="G2669" i="11"/>
  <c r="G2661" i="11"/>
  <c r="G2653" i="11"/>
  <c r="G2645" i="11"/>
  <c r="G2637" i="11"/>
  <c r="G2629" i="11"/>
  <c r="G2621" i="11"/>
  <c r="G2613" i="11"/>
  <c r="G2605" i="11"/>
  <c r="G2597" i="11"/>
  <c r="G2589" i="11"/>
  <c r="G2581" i="11"/>
  <c r="G2573" i="11"/>
  <c r="G2565" i="11"/>
  <c r="G2557" i="11"/>
  <c r="G2549" i="11"/>
  <c r="G2541" i="11"/>
  <c r="G2533" i="11"/>
  <c r="G2525" i="11"/>
  <c r="G2517" i="11"/>
  <c r="G2509" i="11"/>
  <c r="G2501" i="11"/>
  <c r="G2493" i="11"/>
  <c r="G2485" i="11"/>
  <c r="G2477" i="11"/>
  <c r="G2469" i="11"/>
  <c r="G2461" i="11"/>
  <c r="G2453" i="11"/>
  <c r="G2445" i="11"/>
  <c r="G2437" i="11"/>
  <c r="G2429" i="11"/>
  <c r="G2421" i="11"/>
  <c r="G2413" i="11"/>
  <c r="G2405" i="11"/>
  <c r="G2397" i="11"/>
  <c r="G2389" i="11"/>
  <c r="G2381" i="11"/>
  <c r="G2373" i="11"/>
  <c r="G2365" i="11"/>
  <c r="G2357" i="11"/>
  <c r="G2349" i="11"/>
  <c r="G2341" i="11"/>
  <c r="G2333" i="11"/>
  <c r="G2325" i="11"/>
  <c r="G2317" i="11"/>
  <c r="G2309" i="11"/>
  <c r="G2301" i="11"/>
  <c r="G2293" i="11"/>
  <c r="G2285" i="11"/>
  <c r="G2277" i="11"/>
  <c r="G2269" i="11"/>
  <c r="G2261" i="11"/>
  <c r="G2253" i="11"/>
  <c r="G2245" i="11"/>
  <c r="G2237" i="11"/>
  <c r="G2229" i="11"/>
  <c r="G2221" i="11"/>
  <c r="G2213" i="11"/>
  <c r="G2205" i="11"/>
  <c r="G2197" i="11"/>
  <c r="E3890" i="11"/>
  <c r="G2722" i="11"/>
  <c r="T2722" i="11" s="1"/>
  <c r="G2714" i="11"/>
  <c r="G2690" i="11"/>
  <c r="U2690" i="11" s="1"/>
  <c r="G2682" i="11"/>
  <c r="G2658" i="11"/>
  <c r="G2650" i="11"/>
  <c r="U2650" i="11" s="1"/>
  <c r="U2727" i="11"/>
  <c r="Y2727" i="11" s="1"/>
  <c r="T2727" i="11"/>
  <c r="T2719" i="11"/>
  <c r="U2719" i="11"/>
  <c r="Y2719" i="11" s="1"/>
  <c r="T2711" i="11"/>
  <c r="U2711" i="11"/>
  <c r="Y2711" i="11" s="1"/>
  <c r="U2703" i="11"/>
  <c r="V2703" i="11" s="1"/>
  <c r="T2703" i="11"/>
  <c r="U2695" i="11"/>
  <c r="V2695" i="11" s="1"/>
  <c r="T2695" i="11"/>
  <c r="T2687" i="11"/>
  <c r="U2687" i="11"/>
  <c r="V2687" i="11" s="1"/>
  <c r="T2679" i="11"/>
  <c r="U2679" i="11"/>
  <c r="V2679" i="11" s="1"/>
  <c r="U2704" i="11"/>
  <c r="T2704" i="11"/>
  <c r="U2648" i="11"/>
  <c r="T2648" i="11"/>
  <c r="U2658" i="11"/>
  <c r="W2669" i="11"/>
  <c r="W2661" i="11"/>
  <c r="W2653" i="11"/>
  <c r="W2645" i="11"/>
  <c r="W2637" i="11"/>
  <c r="Y3424" i="11"/>
  <c r="V3424" i="11"/>
  <c r="AA3424" i="11" s="1"/>
  <c r="Y3064" i="11"/>
  <c r="V3064" i="11"/>
  <c r="Y1615" i="11"/>
  <c r="V1615" i="11"/>
  <c r="Y1231" i="11"/>
  <c r="V1231" i="11"/>
  <c r="AA1231" i="11" s="1"/>
  <c r="Y383" i="11"/>
  <c r="V383" i="11"/>
  <c r="Y335" i="11"/>
  <c r="V335" i="11"/>
  <c r="Y151" i="11"/>
  <c r="V151" i="11"/>
  <c r="Y112" i="11"/>
  <c r="V112" i="11"/>
  <c r="Y3510" i="11"/>
  <c r="Y3462" i="11"/>
  <c r="Y655" i="11"/>
  <c r="AB655" i="11" s="1"/>
  <c r="Y2624" i="11"/>
  <c r="V2624" i="11"/>
  <c r="Y2240" i="11"/>
  <c r="V2240" i="11"/>
  <c r="Y1423" i="11"/>
  <c r="AB1423" i="11" s="1"/>
  <c r="V1423" i="11"/>
  <c r="Y1304" i="11"/>
  <c r="V1304" i="11"/>
  <c r="AA1304" i="11" s="1"/>
  <c r="Y1039" i="11"/>
  <c r="V1039" i="11"/>
  <c r="V728" i="11"/>
  <c r="Y728" i="11"/>
  <c r="Y496" i="11"/>
  <c r="V496" i="11"/>
  <c r="V344" i="11"/>
  <c r="Y344" i="11"/>
  <c r="AB344" i="11" s="1"/>
  <c r="Y286" i="11"/>
  <c r="AB286" i="11" s="1"/>
  <c r="V286" i="11"/>
  <c r="Y54" i="11"/>
  <c r="AB54" i="11" s="1"/>
  <c r="V54" i="11"/>
  <c r="V374" i="11"/>
  <c r="V16" i="11"/>
  <c r="V1624" i="11"/>
  <c r="AA1624" i="11" s="1"/>
  <c r="V1560" i="11"/>
  <c r="Y1359" i="11"/>
  <c r="V1158" i="11"/>
  <c r="AA1158" i="11" s="1"/>
  <c r="Y190" i="11"/>
  <c r="V783" i="11"/>
  <c r="V2432" i="11"/>
  <c r="Y3472" i="11"/>
  <c r="AB3472" i="11" s="1"/>
  <c r="V3472" i="11"/>
  <c r="V3168" i="11"/>
  <c r="Y3168" i="11"/>
  <c r="AB3168" i="11" s="1"/>
  <c r="V1222" i="11"/>
  <c r="Y1222" i="11"/>
  <c r="Y911" i="11"/>
  <c r="V911" i="11"/>
  <c r="Y64" i="11"/>
  <c r="V64" i="11"/>
  <c r="V582" i="11"/>
  <c r="V2114" i="11"/>
  <c r="V1551" i="11"/>
  <c r="V3016" i="11"/>
  <c r="Y3016" i="11"/>
  <c r="V2912" i="11"/>
  <c r="Y2912" i="11"/>
  <c r="V2368" i="11"/>
  <c r="Y2368" i="11"/>
  <c r="Y2008" i="11"/>
  <c r="AB2008" i="11" s="1"/>
  <c r="V2008" i="11"/>
  <c r="V1487" i="11"/>
  <c r="Y1487" i="11"/>
  <c r="Y1112" i="11"/>
  <c r="V1112" i="11"/>
  <c r="AA1112" i="11" s="1"/>
  <c r="V102" i="11"/>
  <c r="Y102" i="11"/>
  <c r="V3728" i="11"/>
  <c r="AA3728" i="11" s="1"/>
  <c r="V2304" i="11"/>
  <c r="Y1103" i="11"/>
  <c r="Y543" i="11"/>
  <c r="V1048" i="11"/>
  <c r="V591" i="11"/>
  <c r="AA591" i="11" s="1"/>
  <c r="Y2960" i="11"/>
  <c r="V3528" i="11"/>
  <c r="Y3528" i="11"/>
  <c r="V3272" i="11"/>
  <c r="Y3272" i="11"/>
  <c r="V3216" i="11"/>
  <c r="Y3216" i="11"/>
  <c r="Y2560" i="11"/>
  <c r="V2560" i="11"/>
  <c r="V2496" i="11"/>
  <c r="Y2496" i="11"/>
  <c r="Y2286" i="11"/>
  <c r="V2286" i="11"/>
  <c r="V1679" i="11"/>
  <c r="Y1679" i="11"/>
  <c r="Y1350" i="11"/>
  <c r="V1350" i="11"/>
  <c r="Y1295" i="11"/>
  <c r="V1295" i="11"/>
  <c r="Y1240" i="11"/>
  <c r="V1240" i="11"/>
  <c r="Y902" i="11"/>
  <c r="V902" i="11"/>
  <c r="V847" i="11"/>
  <c r="Y847" i="11"/>
  <c r="AB847" i="11" s="1"/>
  <c r="Y719" i="11"/>
  <c r="V719" i="11"/>
  <c r="Y486" i="11"/>
  <c r="AB486" i="11" s="1"/>
  <c r="V486" i="11"/>
  <c r="V1368" i="11"/>
  <c r="AA1368" i="11" s="1"/>
  <c r="Y2998" i="11"/>
  <c r="Y1167" i="11"/>
  <c r="Y710" i="11"/>
  <c r="V3576" i="11"/>
  <c r="Y3576" i="11"/>
  <c r="Y3206" i="11"/>
  <c r="V3206" i="11"/>
  <c r="AA3206" i="11" s="1"/>
  <c r="Y3150" i="11"/>
  <c r="V3150" i="11"/>
  <c r="V3102" i="11"/>
  <c r="Y3102" i="11"/>
  <c r="Y2808" i="11"/>
  <c r="V2808" i="11"/>
  <c r="AA2808" i="11" s="1"/>
  <c r="Y2752" i="11"/>
  <c r="V2752" i="11"/>
  <c r="V2414" i="11"/>
  <c r="Y2414" i="11"/>
  <c r="AB2414" i="11" s="1"/>
  <c r="Y1688" i="11"/>
  <c r="AB1688" i="11" s="1"/>
  <c r="V1688" i="11"/>
  <c r="Y1414" i="11"/>
  <c r="AB1414" i="11" s="1"/>
  <c r="V1414" i="11"/>
  <c r="V1030" i="11"/>
  <c r="AA1030" i="11" s="1"/>
  <c r="Y1030" i="11"/>
  <c r="Y975" i="11"/>
  <c r="AB975" i="11" s="1"/>
  <c r="V975" i="11"/>
  <c r="Y247" i="11"/>
  <c r="V247" i="11"/>
  <c r="AA247" i="11" s="1"/>
  <c r="Y199" i="11"/>
  <c r="V199" i="11"/>
  <c r="Y1670" i="11"/>
  <c r="Y3320" i="11"/>
  <c r="AB3320" i="11" s="1"/>
  <c r="V2478" i="11"/>
  <c r="V3254" i="11"/>
  <c r="Z3709" i="11"/>
  <c r="Z2941" i="11"/>
  <c r="X3133" i="11"/>
  <c r="X3565" i="11"/>
  <c r="X3381" i="11"/>
  <c r="X3549" i="11"/>
  <c r="X3885" i="11"/>
  <c r="X2981" i="11"/>
  <c r="X3069" i="11"/>
  <c r="X3749" i="11"/>
  <c r="X3765" i="11"/>
  <c r="X3005" i="11"/>
  <c r="Z2813" i="11"/>
  <c r="X2997" i="11"/>
  <c r="X3485" i="11"/>
  <c r="X3253" i="11"/>
  <c r="X3125" i="11"/>
  <c r="X3229" i="11"/>
  <c r="Z3213" i="11"/>
  <c r="X3365" i="11"/>
  <c r="Z2757" i="11"/>
  <c r="X3061" i="11"/>
  <c r="Z3037" i="11"/>
  <c r="Z3293" i="11"/>
  <c r="X3445" i="11"/>
  <c r="X3597" i="11"/>
  <c r="Z3613" i="11"/>
  <c r="Z3461" i="11"/>
  <c r="X3525" i="11"/>
  <c r="X2853" i="11"/>
  <c r="X3269" i="11"/>
  <c r="X2169" i="11"/>
  <c r="X3317" i="11"/>
  <c r="X1990" i="11"/>
  <c r="X1414" i="11"/>
  <c r="X1342" i="11"/>
  <c r="X1886" i="11"/>
  <c r="AA1886" i="11" s="1"/>
  <c r="X1310" i="11"/>
  <c r="X2046" i="11"/>
  <c r="Z1670" i="11"/>
  <c r="X1782" i="11"/>
  <c r="AA1782" i="11" s="1"/>
  <c r="X2182" i="11"/>
  <c r="AB200" i="11"/>
  <c r="Z2582" i="11"/>
  <c r="AB2582" i="11" s="1"/>
  <c r="Z2838" i="11"/>
  <c r="V3680" i="11"/>
  <c r="Z2822" i="11"/>
  <c r="Z2790" i="11"/>
  <c r="AB2192" i="11"/>
  <c r="Z2702" i="11"/>
  <c r="AB2702" i="11" s="1"/>
  <c r="AA3664" i="11"/>
  <c r="Y3848" i="11"/>
  <c r="AB1672" i="11"/>
  <c r="AB1408" i="11"/>
  <c r="V3662" i="11"/>
  <c r="X2574" i="11"/>
  <c r="Z2934" i="11"/>
  <c r="AB2934" i="11" s="1"/>
  <c r="Z2518" i="11"/>
  <c r="AB2518" i="11" s="1"/>
  <c r="Z2622" i="11"/>
  <c r="Z2814" i="11"/>
  <c r="Z1110" i="11"/>
  <c r="AB1110" i="11" s="1"/>
  <c r="X3830" i="11"/>
  <c r="X3886" i="11"/>
  <c r="X3667" i="11"/>
  <c r="X3347" i="11"/>
  <c r="X1446" i="11"/>
  <c r="Z3526" i="11"/>
  <c r="X2174" i="11"/>
  <c r="X3630" i="11"/>
  <c r="X1974" i="11"/>
  <c r="AA1974" i="11" s="1"/>
  <c r="Z1638" i="11"/>
  <c r="Z3843" i="11"/>
  <c r="Z1246" i="11"/>
  <c r="Z2294" i="11"/>
  <c r="Z3331" i="11"/>
  <c r="X3339" i="11"/>
  <c r="AB3566" i="11"/>
  <c r="X1318" i="11"/>
  <c r="X3859" i="11"/>
  <c r="Z2710" i="11"/>
  <c r="Z2886" i="11"/>
  <c r="AB2886" i="11" s="1"/>
  <c r="Z3851" i="11"/>
  <c r="Z1254" i="11"/>
  <c r="AB1254" i="11" s="1"/>
  <c r="Z3206" i="11"/>
  <c r="X3798" i="11"/>
  <c r="Z2478" i="11"/>
  <c r="Z2726" i="11"/>
  <c r="Z2926" i="11"/>
  <c r="X2614" i="11"/>
  <c r="AA2614" i="11" s="1"/>
  <c r="Z2286" i="11"/>
  <c r="Z2454" i="11"/>
  <c r="X3222" i="11"/>
  <c r="AA3222" i="11" s="1"/>
  <c r="Z3518" i="11"/>
  <c r="Z1862" i="11"/>
  <c r="Z2910" i="11"/>
  <c r="Z2502" i="11"/>
  <c r="Z3422" i="11"/>
  <c r="X2918" i="11"/>
  <c r="X3230" i="11"/>
  <c r="X3531" i="11"/>
  <c r="X3515" i="11"/>
  <c r="X3747" i="11"/>
  <c r="Z2510" i="11"/>
  <c r="X2166" i="11"/>
  <c r="Z3438" i="11"/>
  <c r="X2902" i="11"/>
  <c r="Z1006" i="11"/>
  <c r="Z3411" i="11"/>
  <c r="Z3363" i="11"/>
  <c r="X1470" i="11"/>
  <c r="Z3110" i="11"/>
  <c r="AB3110" i="11" s="1"/>
  <c r="G12" i="11"/>
  <c r="D3890" i="11"/>
  <c r="X3566" i="11"/>
  <c r="Z3109" i="11"/>
  <c r="Z1846" i="11"/>
  <c r="Z2990" i="11"/>
  <c r="Z1982" i="11"/>
  <c r="AB1982" i="11" s="1"/>
  <c r="Z918" i="11"/>
  <c r="V823" i="11"/>
  <c r="X1518" i="11"/>
  <c r="X286" i="11"/>
  <c r="Z1558" i="11"/>
  <c r="Z798" i="11"/>
  <c r="F3890" i="11"/>
  <c r="X3542" i="11"/>
  <c r="Z3870" i="11"/>
  <c r="X3870" i="11"/>
  <c r="AA3870" i="11" s="1"/>
  <c r="X3862" i="11"/>
  <c r="Z3862" i="11"/>
  <c r="X3854" i="11"/>
  <c r="Z3854" i="11"/>
  <c r="Z3846" i="11"/>
  <c r="X3846" i="11"/>
  <c r="X3838" i="11"/>
  <c r="Z3838" i="11"/>
  <c r="Z3822" i="11"/>
  <c r="X3822" i="11"/>
  <c r="Z3814" i="11"/>
  <c r="X3814" i="11"/>
  <c r="X3806" i="11"/>
  <c r="Z3806" i="11"/>
  <c r="AB3806" i="11" s="1"/>
  <c r="X3790" i="11"/>
  <c r="AA3790" i="11" s="1"/>
  <c r="Z3790" i="11"/>
  <c r="Z3782" i="11"/>
  <c r="X3782" i="11"/>
  <c r="AA3782" i="11" s="1"/>
  <c r="Z3774" i="11"/>
  <c r="X3774" i="11"/>
  <c r="AA3774" i="11" s="1"/>
  <c r="Z3766" i="11"/>
  <c r="X3766" i="11"/>
  <c r="Z3758" i="11"/>
  <c r="AB3758" i="11" s="1"/>
  <c r="X3758" i="11"/>
  <c r="Z3750" i="11"/>
  <c r="X3750" i="11"/>
  <c r="X3742" i="11"/>
  <c r="Z3742" i="11"/>
  <c r="Z3734" i="11"/>
  <c r="X3734" i="11"/>
  <c r="AA3734" i="11" s="1"/>
  <c r="Z3726" i="11"/>
  <c r="X3726" i="11"/>
  <c r="Z3678" i="11"/>
  <c r="AB3678" i="11" s="1"/>
  <c r="X3678" i="11"/>
  <c r="X3662" i="11"/>
  <c r="Z3662" i="11"/>
  <c r="AB3662" i="11" s="1"/>
  <c r="X3654" i="11"/>
  <c r="Z3654" i="11"/>
  <c r="AB3654" i="11" s="1"/>
  <c r="Z3646" i="11"/>
  <c r="X3646" i="11"/>
  <c r="Z3638" i="11"/>
  <c r="X3638" i="11"/>
  <c r="Z3622" i="11"/>
  <c r="X3622" i="11"/>
  <c r="Z3574" i="11"/>
  <c r="X3574" i="11"/>
  <c r="Z3558" i="11"/>
  <c r="AB3558" i="11" s="1"/>
  <c r="X3558" i="11"/>
  <c r="X3550" i="11"/>
  <c r="Z3550" i="11"/>
  <c r="Z3534" i="11"/>
  <c r="X3534" i="11"/>
  <c r="AA3534" i="11" s="1"/>
  <c r="X3462" i="11"/>
  <c r="Z3462" i="11"/>
  <c r="Z3454" i="11"/>
  <c r="X3454" i="11"/>
  <c r="Z3446" i="11"/>
  <c r="X3446" i="11"/>
  <c r="Z3430" i="11"/>
  <c r="AB3430" i="11" s="1"/>
  <c r="X3430" i="11"/>
  <c r="Z3414" i="11"/>
  <c r="X3414" i="11"/>
  <c r="Z3358" i="11"/>
  <c r="X3358" i="11"/>
  <c r="Z3350" i="11"/>
  <c r="X3350" i="11"/>
  <c r="Z3342" i="11"/>
  <c r="X3342" i="11"/>
  <c r="Z3334" i="11"/>
  <c r="X3334" i="11"/>
  <c r="Z3326" i="11"/>
  <c r="X3326" i="11"/>
  <c r="Z3318" i="11"/>
  <c r="X3318" i="11"/>
  <c r="AA3318" i="11" s="1"/>
  <c r="Z3310" i="11"/>
  <c r="AB3310" i="11" s="1"/>
  <c r="X3310" i="11"/>
  <c r="X3302" i="11"/>
  <c r="Z3302" i="11"/>
  <c r="Z3254" i="11"/>
  <c r="AB3254" i="11" s="1"/>
  <c r="X3254" i="11"/>
  <c r="Z3246" i="11"/>
  <c r="X3246" i="11"/>
  <c r="Z3238" i="11"/>
  <c r="AB3238" i="11" s="1"/>
  <c r="X3238" i="11"/>
  <c r="Z3214" i="11"/>
  <c r="AB3214" i="11" s="1"/>
  <c r="X3214" i="11"/>
  <c r="Z3198" i="11"/>
  <c r="X3198" i="11"/>
  <c r="Z3182" i="11"/>
  <c r="AB3182" i="11" s="1"/>
  <c r="X3182" i="11"/>
  <c r="Z3150" i="11"/>
  <c r="X3150" i="11"/>
  <c r="Z3142" i="11"/>
  <c r="AB3142" i="11" s="1"/>
  <c r="X3142" i="11"/>
  <c r="X3126" i="11"/>
  <c r="Z3126" i="11"/>
  <c r="Z3118" i="11"/>
  <c r="AB3118" i="11" s="1"/>
  <c r="X3118" i="11"/>
  <c r="Z3102" i="11"/>
  <c r="X3102" i="11"/>
  <c r="Z3094" i="11"/>
  <c r="AB3094" i="11" s="1"/>
  <c r="X3094" i="11"/>
  <c r="Z3046" i="11"/>
  <c r="AB3046" i="11" s="1"/>
  <c r="X3046" i="11"/>
  <c r="Z3038" i="11"/>
  <c r="X3038" i="11"/>
  <c r="AA3038" i="11" s="1"/>
  <c r="Z3030" i="11"/>
  <c r="X3030" i="11"/>
  <c r="AA3030" i="11" s="1"/>
  <c r="Z3022" i="11"/>
  <c r="X3022" i="11"/>
  <c r="AA3022" i="11" s="1"/>
  <c r="Z3014" i="11"/>
  <c r="X3014" i="11"/>
  <c r="X3006" i="11"/>
  <c r="Z3006" i="11"/>
  <c r="AB3006" i="11" s="1"/>
  <c r="Z2998" i="11"/>
  <c r="X2998" i="11"/>
  <c r="AA2998" i="11" s="1"/>
  <c r="Z2942" i="11"/>
  <c r="X2942" i="11"/>
  <c r="AA2942" i="11" s="1"/>
  <c r="Z2894" i="11"/>
  <c r="X2894" i="11"/>
  <c r="Z2830" i="11"/>
  <c r="X2830" i="11"/>
  <c r="Z2806" i="11"/>
  <c r="AB2806" i="11" s="1"/>
  <c r="X2806" i="11"/>
  <c r="Z2798" i="11"/>
  <c r="X2798" i="11"/>
  <c r="Z2782" i="11"/>
  <c r="X2782" i="11"/>
  <c r="Z2734" i="11"/>
  <c r="X2734" i="11"/>
  <c r="Z2718" i="11"/>
  <c r="X2718" i="11"/>
  <c r="Z2694" i="11"/>
  <c r="AB2694" i="11" s="1"/>
  <c r="X2694" i="11"/>
  <c r="Z2686" i="11"/>
  <c r="X2686" i="11"/>
  <c r="Z3670" i="11"/>
  <c r="AB3670" i="11" s="1"/>
  <c r="Z3878" i="11"/>
  <c r="Z3134" i="11"/>
  <c r="X2486" i="11"/>
  <c r="AA2486" i="11" s="1"/>
  <c r="X2374" i="11"/>
  <c r="Z182" i="11"/>
  <c r="X270" i="11"/>
  <c r="Z310" i="11"/>
  <c r="X390" i="11"/>
  <c r="X478" i="11"/>
  <c r="X2198" i="11"/>
  <c r="AA2198" i="11" s="1"/>
  <c r="X486" i="11"/>
  <c r="X2494" i="11"/>
  <c r="AA2494" i="11" s="1"/>
  <c r="X2678" i="11"/>
  <c r="Z2598" i="11"/>
  <c r="X526" i="11"/>
  <c r="X582" i="11"/>
  <c r="X622" i="11"/>
  <c r="Z1030" i="11"/>
  <c r="X1102" i="11"/>
  <c r="X1646" i="11"/>
  <c r="Z574" i="11"/>
  <c r="X1950" i="11"/>
  <c r="X2414" i="11"/>
  <c r="Z2190" i="11"/>
  <c r="Z2094" i="11"/>
  <c r="Z934" i="11"/>
  <c r="Z86" i="11"/>
  <c r="Z1894" i="11"/>
  <c r="X718" i="11"/>
  <c r="X2150" i="11"/>
  <c r="X1654" i="11"/>
  <c r="X1358" i="11"/>
  <c r="Z790" i="11"/>
  <c r="Z2054" i="11"/>
  <c r="X2078" i="11"/>
  <c r="AA2078" i="11" s="1"/>
  <c r="Z2102" i="11"/>
  <c r="X1454" i="11"/>
  <c r="X1550" i="11"/>
  <c r="Z2398" i="11"/>
  <c r="Z2310" i="11"/>
  <c r="X1366" i="11"/>
  <c r="Z894" i="11"/>
  <c r="X2158" i="11"/>
  <c r="X2462" i="11"/>
  <c r="X606" i="11"/>
  <c r="X1966" i="11"/>
  <c r="X2062" i="11"/>
  <c r="X158" i="11"/>
  <c r="X54" i="11"/>
  <c r="X1566" i="11"/>
  <c r="X1542" i="11"/>
  <c r="Z2390" i="11"/>
  <c r="Z1838" i="11"/>
  <c r="X2406" i="11"/>
  <c r="AA2406" i="11" s="1"/>
  <c r="Z2406" i="11"/>
  <c r="Z2382" i="11"/>
  <c r="X2382" i="11"/>
  <c r="X2366" i="11"/>
  <c r="Z2366" i="11"/>
  <c r="X2270" i="11"/>
  <c r="Z2270" i="11"/>
  <c r="X2262" i="11"/>
  <c r="Z2262" i="11"/>
  <c r="X2254" i="11"/>
  <c r="Z2254" i="11"/>
  <c r="AB2254" i="11" s="1"/>
  <c r="X2086" i="11"/>
  <c r="Z2086" i="11"/>
  <c r="Z2070" i="11"/>
  <c r="AB2070" i="11" s="1"/>
  <c r="X2070" i="11"/>
  <c r="X1878" i="11"/>
  <c r="AA1878" i="11" s="1"/>
  <c r="Z1878" i="11"/>
  <c r="Z1854" i="11"/>
  <c r="X1854" i="11"/>
  <c r="AA1854" i="11" s="1"/>
  <c r="Z1766" i="11"/>
  <c r="X1766" i="11"/>
  <c r="X1758" i="11"/>
  <c r="Z1758" i="11"/>
  <c r="X1750" i="11"/>
  <c r="Z1750" i="11"/>
  <c r="AB1750" i="11" s="1"/>
  <c r="Z1678" i="11"/>
  <c r="X1678" i="11"/>
  <c r="AA1678" i="11" s="1"/>
  <c r="Z1630" i="11"/>
  <c r="AB1630" i="11" s="1"/>
  <c r="X1630" i="11"/>
  <c r="X1534" i="11"/>
  <c r="Z1534" i="11"/>
  <c r="X1526" i="11"/>
  <c r="Z1526" i="11"/>
  <c r="Z1462" i="11"/>
  <c r="X1462" i="11"/>
  <c r="Z1326" i="11"/>
  <c r="X1326" i="11"/>
  <c r="Z1262" i="11"/>
  <c r="X1262" i="11"/>
  <c r="X1222" i="11"/>
  <c r="Z1222" i="11"/>
  <c r="Z1150" i="11"/>
  <c r="X1150" i="11"/>
  <c r="Z1038" i="11"/>
  <c r="X1038" i="11"/>
  <c r="AA1038" i="11" s="1"/>
  <c r="Z998" i="11"/>
  <c r="X998" i="11"/>
  <c r="Z926" i="11"/>
  <c r="X926" i="11"/>
  <c r="AA926" i="11" s="1"/>
  <c r="X910" i="11"/>
  <c r="Z910" i="11"/>
  <c r="AB910" i="11" s="1"/>
  <c r="Z902" i="11"/>
  <c r="X902" i="11"/>
  <c r="Z830" i="11"/>
  <c r="X830" i="11"/>
  <c r="Z822" i="11"/>
  <c r="X822" i="11"/>
  <c r="Z726" i="11"/>
  <c r="X726" i="11"/>
  <c r="X710" i="11"/>
  <c r="AA710" i="11" s="1"/>
  <c r="Z710" i="11"/>
  <c r="X102" i="11"/>
  <c r="Z102" i="11"/>
  <c r="Z78" i="11"/>
  <c r="X78" i="11"/>
  <c r="X62" i="11"/>
  <c r="Z62" i="11"/>
  <c r="AB62" i="11" s="1"/>
  <c r="X2606" i="11"/>
  <c r="X166" i="11"/>
  <c r="X206" i="11"/>
  <c r="X294" i="11"/>
  <c r="X374" i="11"/>
  <c r="X414" i="11"/>
  <c r="X2470" i="11"/>
  <c r="X2590" i="11"/>
  <c r="X502" i="11"/>
  <c r="X510" i="11"/>
  <c r="AA510" i="11" s="1"/>
  <c r="X598" i="11"/>
  <c r="X1958" i="11"/>
  <c r="Z1134" i="11"/>
  <c r="Z678" i="11"/>
  <c r="Z806" i="11"/>
  <c r="Z1214" i="11"/>
  <c r="Z94" i="11"/>
  <c r="AB94" i="11" s="1"/>
  <c r="Z398" i="11"/>
  <c r="X1438" i="11"/>
  <c r="X1998" i="11"/>
  <c r="Z1942" i="11"/>
  <c r="Z1622" i="11"/>
  <c r="X1574" i="11"/>
  <c r="Z1430" i="11"/>
  <c r="X1870" i="11"/>
  <c r="X2206" i="11"/>
  <c r="Z1158" i="11"/>
  <c r="AB1158" i="11" s="1"/>
  <c r="X1014" i="11"/>
  <c r="Z1126" i="11"/>
  <c r="Z702" i="11"/>
  <c r="Z814" i="11"/>
  <c r="Z1350" i="11"/>
  <c r="X1238" i="11"/>
  <c r="Z2302" i="11"/>
  <c r="Z2278" i="11"/>
  <c r="Z686" i="11"/>
  <c r="X2358" i="11"/>
  <c r="X1022" i="11"/>
  <c r="X1142" i="11"/>
  <c r="X1662" i="11"/>
  <c r="X70" i="11"/>
  <c r="X1742" i="11"/>
  <c r="Z1422" i="11"/>
  <c r="Z1774" i="11"/>
  <c r="X1734" i="11"/>
  <c r="AA1734" i="11" s="1"/>
  <c r="X3603" i="11"/>
  <c r="AA1575" i="11"/>
  <c r="X3867" i="11"/>
  <c r="X3595" i="11"/>
  <c r="X3875" i="11"/>
  <c r="Z3215" i="11"/>
  <c r="X3215" i="11"/>
  <c r="X1647" i="11"/>
  <c r="Z1647" i="11"/>
  <c r="Z1335" i="11"/>
  <c r="X1335" i="11"/>
  <c r="AA1335" i="11" s="1"/>
  <c r="Z1207" i="11"/>
  <c r="X1207" i="11"/>
  <c r="Z1079" i="11"/>
  <c r="X1079" i="11"/>
  <c r="X1063" i="11"/>
  <c r="Z1063" i="11"/>
  <c r="X959" i="11"/>
  <c r="Z959" i="11"/>
  <c r="AB959" i="11" s="1"/>
  <c r="Z863" i="11"/>
  <c r="X863" i="11"/>
  <c r="X831" i="11"/>
  <c r="AA831" i="11" s="1"/>
  <c r="Z831" i="11"/>
  <c r="X767" i="11"/>
  <c r="AA767" i="11" s="1"/>
  <c r="Z767" i="11"/>
  <c r="X663" i="11"/>
  <c r="Z663" i="11"/>
  <c r="X583" i="11"/>
  <c r="Z583" i="11"/>
  <c r="Z511" i="11"/>
  <c r="X511" i="11"/>
  <c r="AA511" i="11" s="1"/>
  <c r="Z455" i="11"/>
  <c r="X455" i="11"/>
  <c r="X447" i="11"/>
  <c r="Z447" i="11"/>
  <c r="Z391" i="11"/>
  <c r="X391" i="11"/>
  <c r="Z383" i="11"/>
  <c r="X383" i="11"/>
  <c r="Z367" i="11"/>
  <c r="X367" i="11"/>
  <c r="Z359" i="11"/>
  <c r="AB359" i="11" s="1"/>
  <c r="X359" i="11"/>
  <c r="Z343" i="11"/>
  <c r="AB343" i="11" s="1"/>
  <c r="X343" i="11"/>
  <c r="Z335" i="11"/>
  <c r="X335" i="11"/>
  <c r="X287" i="11"/>
  <c r="Z287" i="11"/>
  <c r="Z263" i="11"/>
  <c r="X263" i="11"/>
  <c r="Z239" i="11"/>
  <c r="X239" i="11"/>
  <c r="AA239" i="11" s="1"/>
  <c r="X223" i="11"/>
  <c r="Z223" i="11"/>
  <c r="X199" i="11"/>
  <c r="Z199" i="11"/>
  <c r="Z191" i="11"/>
  <c r="X191" i="11"/>
  <c r="Z175" i="11"/>
  <c r="X175" i="11"/>
  <c r="Z135" i="11"/>
  <c r="X135" i="11"/>
  <c r="X119" i="11"/>
  <c r="Z119" i="11"/>
  <c r="Z111" i="11"/>
  <c r="X111" i="11"/>
  <c r="AA111" i="11" s="1"/>
  <c r="Z87" i="11"/>
  <c r="AB87" i="11" s="1"/>
  <c r="X87" i="11"/>
  <c r="Z79" i="11"/>
  <c r="AB79" i="11" s="1"/>
  <c r="X79" i="11"/>
  <c r="Z63" i="11"/>
  <c r="X63" i="11"/>
  <c r="AA63" i="11" s="1"/>
  <c r="X55" i="11"/>
  <c r="Z55" i="11"/>
  <c r="AB55" i="11" s="1"/>
  <c r="Z47" i="11"/>
  <c r="X47" i="11"/>
  <c r="AA47" i="11" s="1"/>
  <c r="X39" i="11"/>
  <c r="Z39" i="11"/>
  <c r="AB39" i="11" s="1"/>
  <c r="X7" i="11"/>
  <c r="AA7" i="11" s="1"/>
  <c r="Z7" i="11"/>
  <c r="Y1992" i="11"/>
  <c r="AB1992" i="11" s="1"/>
  <c r="V1992" i="11"/>
  <c r="V1976" i="11"/>
  <c r="Y1976" i="11"/>
  <c r="V1960" i="11"/>
  <c r="Y1960" i="11"/>
  <c r="Y1944" i="11"/>
  <c r="V1944" i="11"/>
  <c r="V1936" i="11"/>
  <c r="Y1936" i="11"/>
  <c r="Y1928" i="11"/>
  <c r="V1928" i="11"/>
  <c r="Y1912" i="11"/>
  <c r="AB1912" i="11" s="1"/>
  <c r="V1912" i="11"/>
  <c r="Y1864" i="11"/>
  <c r="V1864" i="11"/>
  <c r="AA1864" i="11" s="1"/>
  <c r="Y1856" i="11"/>
  <c r="AB1856" i="11" s="1"/>
  <c r="V1856" i="11"/>
  <c r="V1816" i="11"/>
  <c r="Y1816" i="11"/>
  <c r="AB1816" i="11" s="1"/>
  <c r="V1792" i="11"/>
  <c r="Y1792" i="11"/>
  <c r="V1784" i="11"/>
  <c r="Y1784" i="11"/>
  <c r="Y1752" i="11"/>
  <c r="V1752" i="11"/>
  <c r="Y1728" i="11"/>
  <c r="V1728" i="11"/>
  <c r="V1720" i="11"/>
  <c r="Y1720" i="11"/>
  <c r="Y1696" i="11"/>
  <c r="V1696" i="11"/>
  <c r="V1664" i="11"/>
  <c r="Y1664" i="11"/>
  <c r="AB1664" i="11" s="1"/>
  <c r="V1648" i="11"/>
  <c r="Y1648" i="11"/>
  <c r="Y1584" i="11"/>
  <c r="AB1584" i="11" s="1"/>
  <c r="V1584" i="11"/>
  <c r="Y1568" i="11"/>
  <c r="AB1568" i="11" s="1"/>
  <c r="V1568" i="11"/>
  <c r="Y1536" i="11"/>
  <c r="V1536" i="11"/>
  <c r="V1520" i="11"/>
  <c r="Y1520" i="11"/>
  <c r="AB1520" i="11" s="1"/>
  <c r="V1488" i="11"/>
  <c r="Y1488" i="11"/>
  <c r="Y1472" i="11"/>
  <c r="V1472" i="11"/>
  <c r="V1440" i="11"/>
  <c r="Y1440" i="11"/>
  <c r="V1424" i="11"/>
  <c r="Y1424" i="11"/>
  <c r="V1376" i="11"/>
  <c r="Y1376" i="11"/>
  <c r="Y1312" i="11"/>
  <c r="V1312" i="11"/>
  <c r="Y1208" i="11"/>
  <c r="V1208" i="11"/>
  <c r="AA1208" i="11" s="1"/>
  <c r="Y1176" i="11"/>
  <c r="V1176" i="11"/>
  <c r="AA1176" i="11" s="1"/>
  <c r="Y1128" i="11"/>
  <c r="V1128" i="11"/>
  <c r="Y1072" i="11"/>
  <c r="V1072" i="11"/>
  <c r="V1040" i="11"/>
  <c r="Y1040" i="11"/>
  <c r="Y1016" i="11"/>
  <c r="AB1016" i="11" s="1"/>
  <c r="V1016" i="11"/>
  <c r="Y1008" i="11"/>
  <c r="V1008" i="11"/>
  <c r="Y1000" i="11"/>
  <c r="AB1000" i="11" s="1"/>
  <c r="V1000" i="11"/>
  <c r="Y992" i="11"/>
  <c r="AB992" i="11" s="1"/>
  <c r="V992" i="11"/>
  <c r="V984" i="11"/>
  <c r="Y984" i="11"/>
  <c r="V976" i="11"/>
  <c r="Y976" i="11"/>
  <c r="AB976" i="11" s="1"/>
  <c r="Y920" i="11"/>
  <c r="V920" i="11"/>
  <c r="V912" i="11"/>
  <c r="Y912" i="11"/>
  <c r="V896" i="11"/>
  <c r="Y896" i="11"/>
  <c r="Y880" i="11"/>
  <c r="V880" i="11"/>
  <c r="Y864" i="11"/>
  <c r="V864" i="11"/>
  <c r="Y856" i="11"/>
  <c r="AB856" i="11" s="1"/>
  <c r="V856" i="11"/>
  <c r="Y840" i="11"/>
  <c r="V840" i="11"/>
  <c r="V816" i="11"/>
  <c r="AA816" i="11" s="1"/>
  <c r="Y816" i="11"/>
  <c r="Y808" i="11"/>
  <c r="V808" i="11"/>
  <c r="V800" i="11"/>
  <c r="Y800" i="11"/>
  <c r="Y792" i="11"/>
  <c r="AB792" i="11" s="1"/>
  <c r="V792" i="11"/>
  <c r="Y784" i="11"/>
  <c r="V784" i="11"/>
  <c r="Y760" i="11"/>
  <c r="V760" i="11"/>
  <c r="V752" i="11"/>
  <c r="Y752" i="11"/>
  <c r="Y744" i="11"/>
  <c r="V744" i="11"/>
  <c r="Y712" i="11"/>
  <c r="V712" i="11"/>
  <c r="V688" i="11"/>
  <c r="Y688" i="11"/>
  <c r="Y664" i="11"/>
  <c r="V664" i="11"/>
  <c r="V600" i="11"/>
  <c r="Y600" i="11"/>
  <c r="Y560" i="11"/>
  <c r="V560" i="11"/>
  <c r="Y544" i="11"/>
  <c r="V544" i="11"/>
  <c r="V432" i="11"/>
  <c r="Y432" i="11"/>
  <c r="V392" i="11"/>
  <c r="Y392" i="11"/>
  <c r="V368" i="11"/>
  <c r="Y368" i="11"/>
  <c r="AB368" i="11" s="1"/>
  <c r="Y360" i="11"/>
  <c r="V360" i="11"/>
  <c r="Y336" i="11"/>
  <c r="AB336" i="11" s="1"/>
  <c r="V336" i="11"/>
  <c r="Y328" i="11"/>
  <c r="AB328" i="11" s="1"/>
  <c r="V328" i="11"/>
  <c r="Y312" i="11"/>
  <c r="V312" i="11"/>
  <c r="AA312" i="11" s="1"/>
  <c r="Y304" i="11"/>
  <c r="V304" i="11"/>
  <c r="V296" i="11"/>
  <c r="Y296" i="11"/>
  <c r="V256" i="11"/>
  <c r="Y256" i="11"/>
  <c r="AB256" i="11" s="1"/>
  <c r="V232" i="11"/>
  <c r="Y232" i="11"/>
  <c r="AB232" i="11" s="1"/>
  <c r="V216" i="11"/>
  <c r="AA216" i="11" s="1"/>
  <c r="Y216" i="11"/>
  <c r="Y192" i="11"/>
  <c r="V192" i="11"/>
  <c r="Y176" i="11"/>
  <c r="V176" i="11"/>
  <c r="Y168" i="11"/>
  <c r="AB168" i="11" s="1"/>
  <c r="V168" i="11"/>
  <c r="V160" i="11"/>
  <c r="Y160" i="11"/>
  <c r="Y104" i="11"/>
  <c r="V104" i="11"/>
  <c r="AA1351" i="11"/>
  <c r="AB1175" i="11"/>
  <c r="Z679" i="11"/>
  <c r="AB679" i="11" s="1"/>
  <c r="Z159" i="11"/>
  <c r="Z247" i="11"/>
  <c r="X1503" i="11"/>
  <c r="AA439" i="11"/>
  <c r="AB415" i="11"/>
  <c r="AB1007" i="11"/>
  <c r="X3877" i="11"/>
  <c r="AB1967" i="11"/>
  <c r="Z3157" i="11"/>
  <c r="X3805" i="11"/>
  <c r="AB2462" i="11"/>
  <c r="X415" i="11"/>
  <c r="Z1127" i="11"/>
  <c r="Z1231" i="11"/>
  <c r="Z791" i="11"/>
  <c r="AB791" i="11" s="1"/>
  <c r="X1591" i="11"/>
  <c r="X3311" i="11"/>
  <c r="Z439" i="11"/>
  <c r="X1175" i="11"/>
  <c r="Z3661" i="11"/>
  <c r="Z983" i="11"/>
  <c r="AB983" i="11" s="1"/>
  <c r="X655" i="11"/>
  <c r="AA655" i="11" s="1"/>
  <c r="Z3693" i="11"/>
  <c r="X2287" i="11"/>
  <c r="Z3735" i="11"/>
  <c r="X695" i="11"/>
  <c r="X975" i="11"/>
  <c r="Z1823" i="11"/>
  <c r="Z471" i="11"/>
  <c r="Z1455" i="11"/>
  <c r="AB1455" i="11" s="1"/>
  <c r="X3781" i="11"/>
  <c r="Z2087" i="11"/>
  <c r="X991" i="11"/>
  <c r="X1039" i="11"/>
  <c r="Z2031" i="11"/>
  <c r="X3567" i="11"/>
  <c r="X3463" i="11"/>
  <c r="AB3704" i="11"/>
  <c r="AB1192" i="11"/>
  <c r="AB72" i="11"/>
  <c r="AB8" i="11"/>
  <c r="M409" i="54"/>
  <c r="O409" i="54" s="1"/>
  <c r="AA1352" i="11"/>
  <c r="AB3608" i="11"/>
  <c r="AB2046" i="11"/>
  <c r="AB1272" i="11"/>
  <c r="AB1608" i="11"/>
  <c r="AB2574" i="11"/>
  <c r="AB248" i="11"/>
  <c r="AB1088" i="11"/>
  <c r="AB1142" i="11"/>
  <c r="T409" i="54"/>
  <c r="AA1576" i="11"/>
  <c r="AB2104" i="11"/>
  <c r="AB1048" i="11"/>
  <c r="AA3304" i="11"/>
  <c r="AB1990" i="11"/>
  <c r="AB1768" i="11"/>
  <c r="X1249" i="11"/>
  <c r="X209" i="11"/>
  <c r="X1321" i="11"/>
  <c r="Z753" i="11"/>
  <c r="Z3649" i="11"/>
  <c r="X1129" i="11"/>
  <c r="X969" i="11"/>
  <c r="Z2145" i="11"/>
  <c r="AA1894" i="11"/>
  <c r="Z1505" i="11"/>
  <c r="Z2257" i="11"/>
  <c r="Z1513" i="11"/>
  <c r="Z2305" i="11"/>
  <c r="Z2217" i="11"/>
  <c r="Z1761" i="11"/>
  <c r="Z3025" i="11"/>
  <c r="Z3729" i="11"/>
  <c r="Z3145" i="11"/>
  <c r="X2473" i="11"/>
  <c r="M408" i="54"/>
  <c r="X865" i="11"/>
  <c r="X249" i="11"/>
  <c r="Z3881" i="11"/>
  <c r="X3881" i="11"/>
  <c r="X3809" i="11"/>
  <c r="Z3809" i="11"/>
  <c r="Z3793" i="11"/>
  <c r="X3793" i="11"/>
  <c r="Z3785" i="11"/>
  <c r="X3785" i="11"/>
  <c r="X3777" i="11"/>
  <c r="Z3777" i="11"/>
  <c r="X3737" i="11"/>
  <c r="Z3737" i="11"/>
  <c r="Z3697" i="11"/>
  <c r="X3697" i="11"/>
  <c r="X3657" i="11"/>
  <c r="Z3657" i="11"/>
  <c r="Z3633" i="11"/>
  <c r="X3633" i="11"/>
  <c r="Z3577" i="11"/>
  <c r="X3577" i="11"/>
  <c r="Z3569" i="11"/>
  <c r="X3569" i="11"/>
  <c r="X3473" i="11"/>
  <c r="Z3473" i="11"/>
  <c r="X3417" i="11"/>
  <c r="Z3417" i="11"/>
  <c r="Z3409" i="11"/>
  <c r="X3409" i="11"/>
  <c r="Z3401" i="11"/>
  <c r="X3401" i="11"/>
  <c r="Z3305" i="11"/>
  <c r="X3305" i="11"/>
  <c r="Z3265" i="11"/>
  <c r="X3265" i="11"/>
  <c r="Z3257" i="11"/>
  <c r="X3257" i="11"/>
  <c r="Z3201" i="11"/>
  <c r="X3201" i="11"/>
  <c r="Z3169" i="11"/>
  <c r="X3169" i="11"/>
  <c r="Z3161" i="11"/>
  <c r="X3161" i="11"/>
  <c r="Z3153" i="11"/>
  <c r="X3153" i="11"/>
  <c r="Z3097" i="11"/>
  <c r="X3097" i="11"/>
  <c r="X3089" i="11"/>
  <c r="Z3089" i="11"/>
  <c r="Z3065" i="11"/>
  <c r="X3065" i="11"/>
  <c r="Z3017" i="11"/>
  <c r="X3017" i="11"/>
  <c r="X2985" i="11"/>
  <c r="Z2985" i="11"/>
  <c r="Z2977" i="11"/>
  <c r="X2977" i="11"/>
  <c r="X2953" i="11"/>
  <c r="Z2953" i="11"/>
  <c r="Z2921" i="11"/>
  <c r="X2921" i="11"/>
  <c r="X2905" i="11"/>
  <c r="Z2905" i="11"/>
  <c r="X2873" i="11"/>
  <c r="Z2873" i="11"/>
  <c r="Z2713" i="11"/>
  <c r="X2713" i="11"/>
  <c r="Z2593" i="11"/>
  <c r="X2593" i="11"/>
  <c r="X2577" i="11"/>
  <c r="Z2577" i="11"/>
  <c r="X2553" i="11"/>
  <c r="Z2553" i="11"/>
  <c r="Z2537" i="11"/>
  <c r="X2537" i="11"/>
  <c r="Z2505" i="11"/>
  <c r="X2505" i="11"/>
  <c r="Z2489" i="11"/>
  <c r="X2489" i="11"/>
  <c r="Z2449" i="11"/>
  <c r="X2449" i="11"/>
  <c r="Z2425" i="11"/>
  <c r="X2425" i="11"/>
  <c r="Z2377" i="11"/>
  <c r="X2377" i="11"/>
  <c r="X2265" i="11"/>
  <c r="Z2265" i="11"/>
  <c r="X2241" i="11"/>
  <c r="Z2241" i="11"/>
  <c r="Z2225" i="11"/>
  <c r="X2225" i="11"/>
  <c r="Z2201" i="11"/>
  <c r="X2201" i="11"/>
  <c r="Z2153" i="11"/>
  <c r="X2153" i="11"/>
  <c r="Z2105" i="11"/>
  <c r="X2105" i="11"/>
  <c r="X2057" i="11"/>
  <c r="Z2057" i="11"/>
  <c r="Z2025" i="11"/>
  <c r="X2025" i="11"/>
  <c r="X2009" i="11"/>
  <c r="Z2009" i="11"/>
  <c r="X1993" i="11"/>
  <c r="Z1993" i="11"/>
  <c r="X1985" i="11"/>
  <c r="Z1985" i="11"/>
  <c r="Z1937" i="11"/>
  <c r="X1937" i="11"/>
  <c r="Z1913" i="11"/>
  <c r="X1913" i="11"/>
  <c r="Z1905" i="11"/>
  <c r="X1905" i="11"/>
  <c r="Z1881" i="11"/>
  <c r="X1881" i="11"/>
  <c r="Z1873" i="11"/>
  <c r="X1873" i="11"/>
  <c r="Z1865" i="11"/>
  <c r="X1865" i="11"/>
  <c r="Z1753" i="11"/>
  <c r="X1753" i="11"/>
  <c r="Z1745" i="11"/>
  <c r="X1745" i="11"/>
  <c r="X1737" i="11"/>
  <c r="Z1737" i="11"/>
  <c r="X1729" i="11"/>
  <c r="Z1729" i="11"/>
  <c r="Z1705" i="11"/>
  <c r="X1705" i="11"/>
  <c r="Z1689" i="11"/>
  <c r="X1689" i="11"/>
  <c r="X1681" i="11"/>
  <c r="Z1681" i="11"/>
  <c r="Z1665" i="11"/>
  <c r="X1665" i="11"/>
  <c r="Z1657" i="11"/>
  <c r="X1657" i="11"/>
  <c r="X1609" i="11"/>
  <c r="Z1609" i="11"/>
  <c r="X1585" i="11"/>
  <c r="Z1585" i="11"/>
  <c r="Z1577" i="11"/>
  <c r="X1577" i="11"/>
  <c r="Z1561" i="11"/>
  <c r="X1561" i="11"/>
  <c r="X1553" i="11"/>
  <c r="Z1553" i="11"/>
  <c r="Z1529" i="11"/>
  <c r="X1529" i="11"/>
  <c r="Z1521" i="11"/>
  <c r="X1521" i="11"/>
  <c r="X1497" i="11"/>
  <c r="Z1497" i="11"/>
  <c r="Z1489" i="11"/>
  <c r="X1489" i="11"/>
  <c r="X1465" i="11"/>
  <c r="Z1465" i="11"/>
  <c r="Z1457" i="11"/>
  <c r="X1457" i="11"/>
  <c r="X1433" i="11"/>
  <c r="Z1433" i="11"/>
  <c r="X1425" i="11"/>
  <c r="Z1425" i="11"/>
  <c r="X1417" i="11"/>
  <c r="Z1417" i="11"/>
  <c r="X1393" i="11"/>
  <c r="Z1393" i="11"/>
  <c r="Z1353" i="11"/>
  <c r="X1353" i="11"/>
  <c r="Z1233" i="11"/>
  <c r="X1233" i="11"/>
  <c r="X1217" i="11"/>
  <c r="Z1217" i="11"/>
  <c r="X1193" i="11"/>
  <c r="Z1193" i="11"/>
  <c r="Z1177" i="11"/>
  <c r="X1177" i="11"/>
  <c r="Z1153" i="11"/>
  <c r="X1153" i="11"/>
  <c r="Z1145" i="11"/>
  <c r="X1145" i="11"/>
  <c r="Z1137" i="11"/>
  <c r="X1137" i="11"/>
  <c r="Z1113" i="11"/>
  <c r="X1113" i="11"/>
  <c r="Z1105" i="11"/>
  <c r="X1105" i="11"/>
  <c r="Z1097" i="11"/>
  <c r="X1097" i="11"/>
  <c r="Z1089" i="11"/>
  <c r="X1089" i="11"/>
  <c r="X1081" i="11"/>
  <c r="Z1081" i="11"/>
  <c r="Z1073" i="11"/>
  <c r="X1073" i="11"/>
  <c r="Z1065" i="11"/>
  <c r="X1065" i="11"/>
  <c r="Z1057" i="11"/>
  <c r="X1057" i="11"/>
  <c r="X1041" i="11"/>
  <c r="Z1041" i="11"/>
  <c r="Z1033" i="11"/>
  <c r="X1033" i="11"/>
  <c r="Z1025" i="11"/>
  <c r="X1025" i="11"/>
  <c r="X1009" i="11"/>
  <c r="Z1009" i="11"/>
  <c r="Z1001" i="11"/>
  <c r="X1001" i="11"/>
  <c r="Z993" i="11"/>
  <c r="X993" i="11"/>
  <c r="Z977" i="11"/>
  <c r="X977" i="11"/>
  <c r="Z961" i="11"/>
  <c r="X961" i="11"/>
  <c r="X937" i="11"/>
  <c r="Z937" i="11"/>
  <c r="X929" i="11"/>
  <c r="Z929" i="11"/>
  <c r="X913" i="11"/>
  <c r="Z913" i="11"/>
  <c r="X905" i="11"/>
  <c r="Z905" i="11"/>
  <c r="Z889" i="11"/>
  <c r="X889" i="11"/>
  <c r="X873" i="11"/>
  <c r="Z873" i="11"/>
  <c r="Z857" i="11"/>
  <c r="X857" i="11"/>
  <c r="Z841" i="11"/>
  <c r="X841" i="11"/>
  <c r="Z769" i="11"/>
  <c r="X769" i="11"/>
  <c r="X745" i="11"/>
  <c r="Z745" i="11"/>
  <c r="Z729" i="11"/>
  <c r="X729" i="11"/>
  <c r="Z713" i="11"/>
  <c r="X713" i="11"/>
  <c r="Z697" i="11"/>
  <c r="X697" i="11"/>
  <c r="Z681" i="11"/>
  <c r="X681" i="11"/>
  <c r="Z641" i="11"/>
  <c r="X641" i="11"/>
  <c r="Z625" i="11"/>
  <c r="X625" i="11"/>
  <c r="Z601" i="11"/>
  <c r="X601" i="11"/>
  <c r="Z593" i="11"/>
  <c r="X593" i="11"/>
  <c r="Z577" i="11"/>
  <c r="X577" i="11"/>
  <c r="Z569" i="11"/>
  <c r="X569" i="11"/>
  <c r="Z521" i="11"/>
  <c r="X521" i="11"/>
  <c r="Z513" i="11"/>
  <c r="X513" i="11"/>
  <c r="Z505" i="11"/>
  <c r="X505" i="11"/>
  <c r="Z497" i="11"/>
  <c r="X497" i="11"/>
  <c r="X489" i="11"/>
  <c r="Z489" i="11"/>
  <c r="X473" i="11"/>
  <c r="Z473" i="11"/>
  <c r="X457" i="11"/>
  <c r="Z457" i="11"/>
  <c r="X449" i="11"/>
  <c r="Z449" i="11"/>
  <c r="Z433" i="11"/>
  <c r="X433" i="11"/>
  <c r="Z409" i="11"/>
  <c r="X409" i="11"/>
  <c r="Z401" i="11"/>
  <c r="X401" i="11"/>
  <c r="Z393" i="11"/>
  <c r="X393" i="11"/>
  <c r="Z385" i="11"/>
  <c r="X385" i="11"/>
  <c r="Z377" i="11"/>
  <c r="X377" i="11"/>
  <c r="Z369" i="11"/>
  <c r="X369" i="11"/>
  <c r="Z345" i="11"/>
  <c r="X345" i="11"/>
  <c r="Z337" i="11"/>
  <c r="X337" i="11"/>
  <c r="Z329" i="11"/>
  <c r="X329" i="11"/>
  <c r="Z313" i="11"/>
  <c r="X313" i="11"/>
  <c r="Z257" i="11"/>
  <c r="X257" i="11"/>
  <c r="Z241" i="11"/>
  <c r="X241" i="11"/>
  <c r="Z217" i="11"/>
  <c r="X217" i="11"/>
  <c r="X193" i="11"/>
  <c r="Z193" i="11"/>
  <c r="X161" i="11"/>
  <c r="Z161" i="11"/>
  <c r="Z153" i="11"/>
  <c r="X153" i="11"/>
  <c r="Z129" i="11"/>
  <c r="X129" i="11"/>
  <c r="X121" i="11"/>
  <c r="Z121" i="11"/>
  <c r="Z113" i="11"/>
  <c r="X113" i="11"/>
  <c r="Z97" i="11"/>
  <c r="X97" i="11"/>
  <c r="X89" i="11"/>
  <c r="Z89" i="11"/>
  <c r="Z81" i="11"/>
  <c r="X81" i="11"/>
  <c r="X73" i="11"/>
  <c r="Z73" i="11"/>
  <c r="Z57" i="11"/>
  <c r="X57" i="11"/>
  <c r="X41" i="11"/>
  <c r="Z41" i="11"/>
  <c r="Z9" i="11"/>
  <c r="X9" i="11"/>
  <c r="Y3862" i="11"/>
  <c r="V3862" i="11"/>
  <c r="Y3830" i="11"/>
  <c r="AB3830" i="11" s="1"/>
  <c r="V3830" i="11"/>
  <c r="Y3798" i="11"/>
  <c r="AB3798" i="11" s="1"/>
  <c r="V3798" i="11"/>
  <c r="Y3750" i="11"/>
  <c r="V3750" i="11"/>
  <c r="Y3726" i="11"/>
  <c r="V3726" i="11"/>
  <c r="V3638" i="11"/>
  <c r="Y3638" i="11"/>
  <c r="Y3550" i="11"/>
  <c r="V3550" i="11"/>
  <c r="Y3422" i="11"/>
  <c r="V3422" i="11"/>
  <c r="AA3422" i="11" s="1"/>
  <c r="Y3414" i="11"/>
  <c r="V3414" i="11"/>
  <c r="Y2734" i="11"/>
  <c r="V2734" i="11"/>
  <c r="Y2718" i="11"/>
  <c r="V2718" i="11"/>
  <c r="V2686" i="11"/>
  <c r="Y2686" i="11"/>
  <c r="V2622" i="11"/>
  <c r="AA2622" i="11" s="1"/>
  <c r="Y2622" i="11"/>
  <c r="Y2374" i="11"/>
  <c r="V2374" i="11"/>
  <c r="Y2278" i="11"/>
  <c r="V2278" i="11"/>
  <c r="AA2278" i="11" s="1"/>
  <c r="Y2158" i="11"/>
  <c r="V2158" i="11"/>
  <c r="X3385" i="11"/>
  <c r="X3049" i="11"/>
  <c r="X2289" i="11"/>
  <c r="X897" i="11"/>
  <c r="X1401" i="11"/>
  <c r="X1537" i="11"/>
  <c r="X3545" i="11"/>
  <c r="X417" i="11"/>
  <c r="X3193" i="11"/>
  <c r="Z2793" i="11"/>
  <c r="AB2376" i="11"/>
  <c r="X1297" i="11"/>
  <c r="X881" i="11"/>
  <c r="X3121" i="11"/>
  <c r="X921" i="11"/>
  <c r="X1409" i="11"/>
  <c r="Z1545" i="11"/>
  <c r="Z3393" i="11"/>
  <c r="X3505" i="11"/>
  <c r="X3513" i="11"/>
  <c r="Z705" i="11"/>
  <c r="X145" i="11"/>
  <c r="X3801" i="11"/>
  <c r="X3129" i="11"/>
  <c r="Z945" i="11"/>
  <c r="Z1441" i="11"/>
  <c r="X721" i="11"/>
  <c r="Z3297" i="11"/>
  <c r="X265" i="11"/>
  <c r="X1281" i="11"/>
  <c r="AB1248" i="11"/>
  <c r="AB1136" i="11"/>
  <c r="X1697" i="11"/>
  <c r="X953" i="11"/>
  <c r="Z1449" i="11"/>
  <c r="Z1017" i="11"/>
  <c r="X3281" i="11"/>
  <c r="X985" i="11"/>
  <c r="X2689" i="11"/>
  <c r="X17" i="11"/>
  <c r="Z2193" i="11"/>
  <c r="X3329" i="11"/>
  <c r="Z3865" i="11"/>
  <c r="Z1473" i="11"/>
  <c r="X1049" i="11"/>
  <c r="X1617" i="11"/>
  <c r="Z2369" i="11"/>
  <c r="X177" i="11"/>
  <c r="X185" i="11"/>
  <c r="Z1305" i="11"/>
  <c r="Z657" i="11"/>
  <c r="Z585" i="11"/>
  <c r="AA2910" i="11"/>
  <c r="Z1481" i="11"/>
  <c r="X1201" i="11"/>
  <c r="X1121" i="11"/>
  <c r="Z1169" i="11"/>
  <c r="Z2273" i="11"/>
  <c r="Z1969" i="11"/>
  <c r="X2865" i="11"/>
  <c r="X2233" i="11"/>
  <c r="T407" i="54"/>
  <c r="AB16" i="11"/>
  <c r="AB3600" i="11"/>
  <c r="AB3630" i="11"/>
  <c r="AA3518" i="11"/>
  <c r="AA1680" i="11"/>
  <c r="AB1438" i="11"/>
  <c r="AA790" i="11"/>
  <c r="AB3328" i="11"/>
  <c r="Z3827" i="11"/>
  <c r="X3413" i="11"/>
  <c r="Z3741" i="11"/>
  <c r="Z3277" i="11"/>
  <c r="Z3605" i="11"/>
  <c r="X3677" i="11"/>
  <c r="Z3205" i="11"/>
  <c r="X3541" i="11"/>
  <c r="X2845" i="11"/>
  <c r="X2925" i="11"/>
  <c r="X2957" i="11"/>
  <c r="Z3421" i="11"/>
  <c r="Z3853" i="11"/>
  <c r="Z3053" i="11"/>
  <c r="Z2821" i="11"/>
  <c r="X2741" i="11"/>
  <c r="X2805" i="11"/>
  <c r="X3821" i="11"/>
  <c r="X3813" i="11"/>
  <c r="X3021" i="11"/>
  <c r="X3645" i="11"/>
  <c r="X3093" i="11"/>
  <c r="Z3285" i="11"/>
  <c r="Z3325" i="11"/>
  <c r="X3189" i="11"/>
  <c r="Z3165" i="11"/>
  <c r="X3557" i="11"/>
  <c r="X3453" i="11"/>
  <c r="X3477" i="11"/>
  <c r="X3797" i="11"/>
  <c r="X3173" i="11"/>
  <c r="X3309" i="11"/>
  <c r="X3245" i="11"/>
  <c r="X3717" i="11"/>
  <c r="X3829" i="11"/>
  <c r="X3773" i="11"/>
  <c r="X3733" i="11"/>
  <c r="X3221" i="11"/>
  <c r="X3349" i="11"/>
  <c r="X3757" i="11"/>
  <c r="X2909" i="11"/>
  <c r="X2893" i="11"/>
  <c r="X3869" i="11"/>
  <c r="X3493" i="11"/>
  <c r="X3301" i="11"/>
  <c r="X3573" i="11"/>
  <c r="Z3533" i="11"/>
  <c r="X3501" i="11"/>
  <c r="X3789" i="11"/>
  <c r="X3181" i="11"/>
  <c r="Z3517" i="11"/>
  <c r="X2837" i="11"/>
  <c r="X2901" i="11"/>
  <c r="X2949" i="11"/>
  <c r="X3637" i="11"/>
  <c r="X3013" i="11"/>
  <c r="X3669" i="11"/>
  <c r="X3141" i="11"/>
  <c r="X3149" i="11"/>
  <c r="X3653" i="11"/>
  <c r="Z3509" i="11"/>
  <c r="X3405" i="11"/>
  <c r="X3160" i="11"/>
  <c r="Z3160" i="11"/>
  <c r="AB3886" i="11"/>
  <c r="AB2590" i="11"/>
  <c r="AB3230" i="11"/>
  <c r="AB2400" i="11"/>
  <c r="AA2822" i="11"/>
  <c r="AB208" i="11"/>
  <c r="AB1640" i="11"/>
  <c r="AB502" i="11"/>
  <c r="AB1950" i="11"/>
  <c r="Z2624" i="11"/>
  <c r="X2624" i="11"/>
  <c r="V2000" i="11"/>
  <c r="Y2000" i="11"/>
  <c r="AB1104" i="11"/>
  <c r="AB1120" i="11"/>
  <c r="AA2310" i="11"/>
  <c r="AA632" i="11"/>
  <c r="AB40" i="11"/>
  <c r="AB1168" i="11"/>
  <c r="AB3832" i="11"/>
  <c r="AA1127" i="11"/>
  <c r="AA1799" i="11"/>
  <c r="AB1870" i="11"/>
  <c r="AB390" i="11"/>
  <c r="AA190" i="11"/>
  <c r="AA2838" i="11"/>
  <c r="X3753" i="11"/>
  <c r="AA1670" i="11"/>
  <c r="Z3745" i="11"/>
  <c r="Z3441" i="11"/>
  <c r="X3601" i="11"/>
  <c r="X3889" i="11"/>
  <c r="Z2785" i="11"/>
  <c r="Z2961" i="11"/>
  <c r="AA1111" i="11"/>
  <c r="AA2502" i="11"/>
  <c r="AA2990" i="11"/>
  <c r="Y2063" i="11"/>
  <c r="Z3873" i="11"/>
  <c r="X3873" i="11"/>
  <c r="Z3857" i="11"/>
  <c r="X3857" i="11"/>
  <c r="X3833" i="11"/>
  <c r="Z3833" i="11"/>
  <c r="Z3825" i="11"/>
  <c r="X3825" i="11"/>
  <c r="Z3817" i="11"/>
  <c r="X3817" i="11"/>
  <c r="Z3769" i="11"/>
  <c r="X3769" i="11"/>
  <c r="Z3761" i="11"/>
  <c r="X3761" i="11"/>
  <c r="X3721" i="11"/>
  <c r="Z3721" i="11"/>
  <c r="Z3713" i="11"/>
  <c r="X3713" i="11"/>
  <c r="X3705" i="11"/>
  <c r="Z3705" i="11"/>
  <c r="X3689" i="11"/>
  <c r="Z3689" i="11"/>
  <c r="X3681" i="11"/>
  <c r="Z3681" i="11"/>
  <c r="Z3673" i="11"/>
  <c r="X3673" i="11"/>
  <c r="Z3665" i="11"/>
  <c r="X3665" i="11"/>
  <c r="X3641" i="11"/>
  <c r="Z3641" i="11"/>
  <c r="Z3625" i="11"/>
  <c r="X3625" i="11"/>
  <c r="Z3617" i="11"/>
  <c r="X3617" i="11"/>
  <c r="X3609" i="11"/>
  <c r="Z3609" i="11"/>
  <c r="Z3593" i="11"/>
  <c r="X3593" i="11"/>
  <c r="Z3585" i="11"/>
  <c r="X3585" i="11"/>
  <c r="X3561" i="11"/>
  <c r="Z3561" i="11"/>
  <c r="X3553" i="11"/>
  <c r="Z3553" i="11"/>
  <c r="X3537" i="11"/>
  <c r="Z3537" i="11"/>
  <c r="AB3537" i="11" s="1"/>
  <c r="Z3529" i="11"/>
  <c r="X3529" i="11"/>
  <c r="Z3521" i="11"/>
  <c r="X3521" i="11"/>
  <c r="Z3497" i="11"/>
  <c r="X3497" i="11"/>
  <c r="Z3489" i="11"/>
  <c r="X3489" i="11"/>
  <c r="X3481" i="11"/>
  <c r="Z3481" i="11"/>
  <c r="X3465" i="11"/>
  <c r="Z3465" i="11"/>
  <c r="Z3457" i="11"/>
  <c r="X3457" i="11"/>
  <c r="X3449" i="11"/>
  <c r="Z3449" i="11"/>
  <c r="X3433" i="11"/>
  <c r="Z3433" i="11"/>
  <c r="Z3425" i="11"/>
  <c r="X3425" i="11"/>
  <c r="X3377" i="11"/>
  <c r="Z3377" i="11"/>
  <c r="Z3369" i="11"/>
  <c r="X3369" i="11"/>
  <c r="Z3361" i="11"/>
  <c r="X3361" i="11"/>
  <c r="X3353" i="11"/>
  <c r="Z3353" i="11"/>
  <c r="Z3345" i="11"/>
  <c r="X3345" i="11"/>
  <c r="X3337" i="11"/>
  <c r="Z3337" i="11"/>
  <c r="Z3321" i="11"/>
  <c r="X3321" i="11"/>
  <c r="Z3313" i="11"/>
  <c r="X3313" i="11"/>
  <c r="Z3289" i="11"/>
  <c r="X3289" i="11"/>
  <c r="Z3273" i="11"/>
  <c r="X3273" i="11"/>
  <c r="X3249" i="11"/>
  <c r="Z3249" i="11"/>
  <c r="Z3241" i="11"/>
  <c r="X3241" i="11"/>
  <c r="X3233" i="11"/>
  <c r="Z3233" i="11"/>
  <c r="X3225" i="11"/>
  <c r="Z3225" i="11"/>
  <c r="Z3217" i="11"/>
  <c r="X3217" i="11"/>
  <c r="X3209" i="11"/>
  <c r="Z3209" i="11"/>
  <c r="Z3849" i="11"/>
  <c r="Z3841" i="11"/>
  <c r="Z2945" i="11"/>
  <c r="X2945" i="11"/>
  <c r="Z2809" i="11"/>
  <c r="X2809" i="11"/>
  <c r="Z2801" i="11"/>
  <c r="X2801" i="11"/>
  <c r="X2777" i="11"/>
  <c r="Z2777" i="11"/>
  <c r="Z2769" i="11"/>
  <c r="X2769" i="11"/>
  <c r="Z2745" i="11"/>
  <c r="X2745" i="11"/>
  <c r="Z2737" i="11"/>
  <c r="X2737" i="11"/>
  <c r="Z2721" i="11"/>
  <c r="X2721" i="11"/>
  <c r="Z2697" i="11"/>
  <c r="X2697" i="11"/>
  <c r="X2681" i="11"/>
  <c r="Z2681" i="11"/>
  <c r="Z2673" i="11"/>
  <c r="X2673" i="11"/>
  <c r="X2657" i="11"/>
  <c r="Z2657" i="11"/>
  <c r="Z2649" i="11"/>
  <c r="X2649" i="11"/>
  <c r="Z2641" i="11"/>
  <c r="X2641" i="11"/>
  <c r="Z2633" i="11"/>
  <c r="X2633" i="11"/>
  <c r="Z2625" i="11"/>
  <c r="X2625" i="11"/>
  <c r="Z2617" i="11"/>
  <c r="X2617" i="11"/>
  <c r="Z2609" i="11"/>
  <c r="X2609" i="11"/>
  <c r="X2601" i="11"/>
  <c r="Z2601" i="11"/>
  <c r="X2585" i="11"/>
  <c r="Z2585" i="11"/>
  <c r="Z2561" i="11"/>
  <c r="X2561" i="11"/>
  <c r="Z2545" i="11"/>
  <c r="X2545" i="11"/>
  <c r="Z2481" i="11"/>
  <c r="X2481" i="11"/>
  <c r="X2465" i="11"/>
  <c r="Z2465" i="11"/>
  <c r="Z2457" i="11"/>
  <c r="X2457" i="11"/>
  <c r="X2441" i="11"/>
  <c r="Z2441" i="11"/>
  <c r="Z2433" i="11"/>
  <c r="X2433" i="11"/>
  <c r="Z2345" i="11"/>
  <c r="X2345" i="11"/>
  <c r="X2185" i="11"/>
  <c r="Z2185" i="11"/>
  <c r="X2137" i="11"/>
  <c r="Z2137" i="11"/>
  <c r="Z2129" i="11"/>
  <c r="X2129" i="11"/>
  <c r="Z2089" i="11"/>
  <c r="X2089" i="11"/>
  <c r="X2001" i="11"/>
  <c r="Z2001" i="11"/>
  <c r="Z1385" i="11"/>
  <c r="X1385" i="11"/>
  <c r="Z1369" i="11"/>
  <c r="X1369" i="11"/>
  <c r="Z1361" i="11"/>
  <c r="X1361" i="11"/>
  <c r="Z1337" i="11"/>
  <c r="X1337" i="11"/>
  <c r="Z1329" i="11"/>
  <c r="X1329" i="11"/>
  <c r="Z1313" i="11"/>
  <c r="X1313" i="11"/>
  <c r="Z1273" i="11"/>
  <c r="X1273" i="11"/>
  <c r="X1225" i="11"/>
  <c r="Z1225" i="11"/>
  <c r="Z833" i="11"/>
  <c r="X833" i="11"/>
  <c r="Z825" i="11"/>
  <c r="X825" i="11"/>
  <c r="X673" i="11"/>
  <c r="Z673" i="11"/>
  <c r="Z665" i="11"/>
  <c r="X665" i="11"/>
  <c r="X649" i="11"/>
  <c r="Z649" i="11"/>
  <c r="X633" i="11"/>
  <c r="Z633" i="11"/>
  <c r="X617" i="11"/>
  <c r="Z617" i="11"/>
  <c r="X609" i="11"/>
  <c r="Z609" i="11"/>
  <c r="X561" i="11"/>
  <c r="Z561" i="11"/>
  <c r="Z553" i="11"/>
  <c r="X553" i="11"/>
  <c r="Z545" i="11"/>
  <c r="X545" i="11"/>
  <c r="X529" i="11"/>
  <c r="Z529" i="11"/>
  <c r="Z481" i="11"/>
  <c r="X481" i="11"/>
  <c r="Z465" i="11"/>
  <c r="X465" i="11"/>
  <c r="Z441" i="11"/>
  <c r="X441" i="11"/>
  <c r="X425" i="11"/>
  <c r="Z425" i="11"/>
  <c r="Z353" i="11"/>
  <c r="X353" i="11"/>
  <c r="X305" i="11"/>
  <c r="Z305" i="11"/>
  <c r="Z297" i="11"/>
  <c r="X297" i="11"/>
  <c r="Z289" i="11"/>
  <c r="X289" i="11"/>
  <c r="X273" i="11"/>
  <c r="Z273" i="11"/>
  <c r="Z233" i="11"/>
  <c r="X233" i="11"/>
  <c r="Z225" i="11"/>
  <c r="X225" i="11"/>
  <c r="Z169" i="11"/>
  <c r="X169" i="11"/>
  <c r="X137" i="11"/>
  <c r="Z137" i="11"/>
  <c r="Z105" i="11"/>
  <c r="X105" i="11"/>
  <c r="Z65" i="11"/>
  <c r="X65" i="11"/>
  <c r="Z49" i="11"/>
  <c r="X49" i="11"/>
  <c r="X33" i="11"/>
  <c r="Z33" i="11"/>
  <c r="Z25" i="11"/>
  <c r="X25" i="11"/>
  <c r="X2513" i="11"/>
  <c r="X2161" i="11"/>
  <c r="Z2993" i="11"/>
  <c r="X2281" i="11"/>
  <c r="X3177" i="11"/>
  <c r="X1593" i="11"/>
  <c r="X1625" i="11"/>
  <c r="X2017" i="11"/>
  <c r="X1889" i="11"/>
  <c r="X1817" i="11"/>
  <c r="X1161" i="11"/>
  <c r="X2209" i="11"/>
  <c r="X2321" i="11"/>
  <c r="X1953" i="11"/>
  <c r="X1673" i="11"/>
  <c r="X801" i="11"/>
  <c r="X2929" i="11"/>
  <c r="X2841" i="11"/>
  <c r="X2897" i="11"/>
  <c r="X777" i="11"/>
  <c r="X2761" i="11"/>
  <c r="X2889" i="11"/>
  <c r="X2937" i="11"/>
  <c r="X321" i="11"/>
  <c r="X2417" i="11"/>
  <c r="X3001" i="11"/>
  <c r="X3033" i="11"/>
  <c r="X3073" i="11"/>
  <c r="X3105" i="11"/>
  <c r="X1921" i="11"/>
  <c r="X2033" i="11"/>
  <c r="X1769" i="11"/>
  <c r="Z2385" i="11"/>
  <c r="X1777" i="11"/>
  <c r="X1185" i="11"/>
  <c r="X1793" i="11"/>
  <c r="X2313" i="11"/>
  <c r="X1345" i="11"/>
  <c r="X849" i="11"/>
  <c r="X2817" i="11"/>
  <c r="Z1209" i="11"/>
  <c r="X761" i="11"/>
  <c r="X2521" i="11"/>
  <c r="Z2329" i="11"/>
  <c r="X2081" i="11"/>
  <c r="Z689" i="11"/>
  <c r="X2393" i="11"/>
  <c r="X3185" i="11"/>
  <c r="Z1641" i="11"/>
  <c r="X1649" i="11"/>
  <c r="X1601" i="11"/>
  <c r="X1633" i="11"/>
  <c r="X3137" i="11"/>
  <c r="Z2049" i="11"/>
  <c r="Z2297" i="11"/>
  <c r="X1897" i="11"/>
  <c r="X1833" i="11"/>
  <c r="X1785" i="11"/>
  <c r="X1825" i="11"/>
  <c r="X1713" i="11"/>
  <c r="X1977" i="11"/>
  <c r="X1945" i="11"/>
  <c r="X2857" i="11"/>
  <c r="X737" i="11"/>
  <c r="X2881" i="11"/>
  <c r="X2337" i="11"/>
  <c r="X2753" i="11"/>
  <c r="X2497" i="11"/>
  <c r="X2913" i="11"/>
  <c r="Z2705" i="11"/>
  <c r="Z1841" i="11"/>
  <c r="Z1265" i="11"/>
  <c r="Z785" i="11"/>
  <c r="Z201" i="11"/>
  <c r="X2249" i="11"/>
  <c r="X2361" i="11"/>
  <c r="Z2969" i="11"/>
  <c r="X3009" i="11"/>
  <c r="X3041" i="11"/>
  <c r="X3081" i="11"/>
  <c r="X3113" i="11"/>
  <c r="X1929" i="11"/>
  <c r="X2041" i="11"/>
  <c r="Z3057" i="11"/>
  <c r="X2401" i="11"/>
  <c r="X1849" i="11"/>
  <c r="X1801" i="11"/>
  <c r="X1809" i="11"/>
  <c r="X2073" i="11"/>
  <c r="X1721" i="11"/>
  <c r="X2833" i="11"/>
  <c r="Z1289" i="11"/>
  <c r="X1241" i="11"/>
  <c r="X2177" i="11"/>
  <c r="Z1257" i="11"/>
  <c r="X2665" i="11"/>
  <c r="Z2569" i="11"/>
  <c r="X2529" i="11"/>
  <c r="Z2113" i="11"/>
  <c r="Z2353" i="11"/>
  <c r="Z2097" i="11"/>
  <c r="Z1857" i="11"/>
  <c r="Z1377" i="11"/>
  <c r="X537" i="11"/>
  <c r="X2409" i="11"/>
  <c r="X1961" i="11"/>
  <c r="X2849" i="11"/>
  <c r="X793" i="11"/>
  <c r="X817" i="11"/>
  <c r="X2121" i="11"/>
  <c r="X809" i="11"/>
  <c r="X2729" i="11"/>
  <c r="X2825" i="11"/>
  <c r="Z361" i="11"/>
  <c r="X281" i="11"/>
  <c r="AB2032" i="11"/>
  <c r="AB2424" i="11"/>
  <c r="AB3592" i="11"/>
  <c r="X3312" i="11"/>
  <c r="Z3312" i="11"/>
  <c r="X2792" i="11"/>
  <c r="Z2792" i="11"/>
  <c r="Z2368" i="11"/>
  <c r="X2368" i="11"/>
  <c r="Z2296" i="11"/>
  <c r="X2296" i="11"/>
  <c r="Z2280" i="11"/>
  <c r="X2280" i="11"/>
  <c r="X2272" i="11"/>
  <c r="Z2272" i="11"/>
  <c r="X1896" i="11"/>
  <c r="Z1896" i="11"/>
  <c r="Z1832" i="11"/>
  <c r="X1832" i="11"/>
  <c r="Z1600" i="11"/>
  <c r="X1600" i="11"/>
  <c r="Z1432" i="11"/>
  <c r="X1432" i="11"/>
  <c r="Z1264" i="11"/>
  <c r="X1264" i="11"/>
  <c r="X1224" i="11"/>
  <c r="Z1224" i="11"/>
  <c r="X1160" i="11"/>
  <c r="Z1160" i="11"/>
  <c r="Z1152" i="11"/>
  <c r="X1152" i="11"/>
  <c r="X1080" i="11"/>
  <c r="Z1080" i="11"/>
  <c r="X608" i="11"/>
  <c r="Z608" i="11"/>
  <c r="Z400" i="11"/>
  <c r="X400" i="11"/>
  <c r="X360" i="11"/>
  <c r="Z360" i="11"/>
  <c r="Z272" i="11"/>
  <c r="X272" i="11"/>
  <c r="X192" i="11"/>
  <c r="Z192" i="11"/>
  <c r="X136" i="11"/>
  <c r="Z136" i="11"/>
  <c r="Z128" i="11"/>
  <c r="X128" i="11"/>
  <c r="X32" i="11"/>
  <c r="Z32" i="11"/>
  <c r="V25" i="11"/>
  <c r="Y25" i="11"/>
  <c r="V17" i="11"/>
  <c r="Y17" i="11"/>
  <c r="Y9" i="11"/>
  <c r="V9" i="11"/>
  <c r="AB2040" i="11"/>
  <c r="AB2024" i="11"/>
  <c r="X976" i="11"/>
  <c r="Z1792" i="11"/>
  <c r="AA3672" i="11"/>
  <c r="AB3184" i="11"/>
  <c r="AB1032" i="11"/>
  <c r="X232" i="11"/>
  <c r="X3472" i="11"/>
  <c r="X1216" i="11"/>
  <c r="AA1216" i="11" s="1"/>
  <c r="Z1864" i="11"/>
  <c r="AB2528" i="11"/>
  <c r="Z312" i="11"/>
  <c r="AB2872" i="11"/>
  <c r="X2048" i="11"/>
  <c r="X1776" i="11"/>
  <c r="AB2432" i="11"/>
  <c r="AB1808" i="11"/>
  <c r="AB3416" i="11"/>
  <c r="AB3192" i="11"/>
  <c r="AB3120" i="11"/>
  <c r="AB2864" i="11"/>
  <c r="AA3080" i="11"/>
  <c r="AB3712" i="11"/>
  <c r="AB3040" i="11"/>
  <c r="AA1968" i="11"/>
  <c r="AB3542" i="11"/>
  <c r="AB70" i="11"/>
  <c r="Y3855" i="11"/>
  <c r="V3855" i="11"/>
  <c r="Y3783" i="11"/>
  <c r="V3783" i="11"/>
  <c r="V3767" i="11"/>
  <c r="Y3767" i="11"/>
  <c r="Y3759" i="11"/>
  <c r="V3759" i="11"/>
  <c r="Y3751" i="11"/>
  <c r="V3751" i="11"/>
  <c r="Y3743" i="11"/>
  <c r="V3743" i="11"/>
  <c r="V3735" i="11"/>
  <c r="Y3735" i="11"/>
  <c r="Y3727" i="11"/>
  <c r="V3727" i="11"/>
  <c r="V3679" i="11"/>
  <c r="Y3679" i="11"/>
  <c r="Y3663" i="11"/>
  <c r="V3663" i="11"/>
  <c r="Y3655" i="11"/>
  <c r="V3655" i="11"/>
  <c r="Y3647" i="11"/>
  <c r="V3647" i="11"/>
  <c r="V3639" i="11"/>
  <c r="Y3639" i="11"/>
  <c r="V3631" i="11"/>
  <c r="Y3631" i="11"/>
  <c r="Y3623" i="11"/>
  <c r="V3623" i="11"/>
  <c r="Y3567" i="11"/>
  <c r="V3567" i="11"/>
  <c r="V3551" i="11"/>
  <c r="Y3551" i="11"/>
  <c r="V3543" i="11"/>
  <c r="Y3543" i="11"/>
  <c r="Y3535" i="11"/>
  <c r="V3535" i="11"/>
  <c r="V3527" i="11"/>
  <c r="Y3527" i="11"/>
  <c r="Y3519" i="11"/>
  <c r="V3519" i="11"/>
  <c r="Y3463" i="11"/>
  <c r="V3463" i="11"/>
  <c r="V3447" i="11"/>
  <c r="Y3447" i="11"/>
  <c r="Y3439" i="11"/>
  <c r="V3439" i="11"/>
  <c r="V3431" i="11"/>
  <c r="Y3431" i="11"/>
  <c r="Y3423" i="11"/>
  <c r="V3423" i="11"/>
  <c r="V3415" i="11"/>
  <c r="Y3415" i="11"/>
  <c r="Y3407" i="11"/>
  <c r="V3407" i="11"/>
  <c r="V3359" i="11"/>
  <c r="Y3359" i="11"/>
  <c r="V3351" i="11"/>
  <c r="Y3351" i="11"/>
  <c r="Y3335" i="11"/>
  <c r="V3335" i="11"/>
  <c r="V3327" i="11"/>
  <c r="Y3327" i="11"/>
  <c r="Y3311" i="11"/>
  <c r="V3311" i="11"/>
  <c r="V3303" i="11"/>
  <c r="Y3303" i="11"/>
  <c r="V3247" i="11"/>
  <c r="Y3247" i="11"/>
  <c r="Y3239" i="11"/>
  <c r="V3239" i="11"/>
  <c r="V3231" i="11"/>
  <c r="Y3231" i="11"/>
  <c r="Y3223" i="11"/>
  <c r="V3223" i="11"/>
  <c r="V3215" i="11"/>
  <c r="Y3215" i="11"/>
  <c r="Y3207" i="11"/>
  <c r="V3207" i="11"/>
  <c r="V3199" i="11"/>
  <c r="Y3199" i="11"/>
  <c r="Y3151" i="11"/>
  <c r="V3151" i="11"/>
  <c r="Y3143" i="11"/>
  <c r="V3143" i="11"/>
  <c r="Y3135" i="11"/>
  <c r="V3135" i="11"/>
  <c r="Y3127" i="11"/>
  <c r="V3127" i="11"/>
  <c r="V3119" i="11"/>
  <c r="Y3119" i="11"/>
  <c r="Y3111" i="11"/>
  <c r="V3111" i="11"/>
  <c r="V3103" i="11"/>
  <c r="Y3103" i="11"/>
  <c r="Y3095" i="11"/>
  <c r="V3095" i="11"/>
  <c r="V3047" i="11"/>
  <c r="Y3047" i="11"/>
  <c r="V3039" i="11"/>
  <c r="Y3039" i="11"/>
  <c r="Y3031" i="11"/>
  <c r="V3031" i="11"/>
  <c r="V3023" i="11"/>
  <c r="Y3023" i="11"/>
  <c r="V3015" i="11"/>
  <c r="Y3015" i="11"/>
  <c r="Y3007" i="11"/>
  <c r="V3007" i="11"/>
  <c r="Y2999" i="11"/>
  <c r="V2999" i="11"/>
  <c r="Y2991" i="11"/>
  <c r="V2991" i="11"/>
  <c r="Y2943" i="11"/>
  <c r="V2943" i="11"/>
  <c r="Y2935" i="11"/>
  <c r="V2935" i="11"/>
  <c r="V2927" i="11"/>
  <c r="Y2927" i="11"/>
  <c r="Y2919" i="11"/>
  <c r="V2919" i="11"/>
  <c r="V2911" i="11"/>
  <c r="Y2911" i="11"/>
  <c r="Y2903" i="11"/>
  <c r="V2903" i="11"/>
  <c r="V2895" i="11"/>
  <c r="Y2895" i="11"/>
  <c r="V2887" i="11"/>
  <c r="Y2887" i="11"/>
  <c r="Y2839" i="11"/>
  <c r="V2839" i="11"/>
  <c r="Y2831" i="11"/>
  <c r="V2831" i="11"/>
  <c r="V2823" i="11"/>
  <c r="Y2823" i="11"/>
  <c r="V2815" i="11"/>
  <c r="Y2815" i="11"/>
  <c r="V2807" i="11"/>
  <c r="Y2807" i="11"/>
  <c r="Y2607" i="11"/>
  <c r="V2607" i="11"/>
  <c r="V2591" i="11"/>
  <c r="Y2591" i="11"/>
  <c r="Y2511" i="11"/>
  <c r="V2511" i="11"/>
  <c r="V2487" i="11"/>
  <c r="Y2487" i="11"/>
  <c r="Y2479" i="11"/>
  <c r="V2479" i="11"/>
  <c r="Y2471" i="11"/>
  <c r="V2471" i="11"/>
  <c r="Y2391" i="11"/>
  <c r="V2391" i="11"/>
  <c r="V2383" i="11"/>
  <c r="Y2383" i="11"/>
  <c r="Y2375" i="11"/>
  <c r="V2375" i="11"/>
  <c r="Y2311" i="11"/>
  <c r="V2311" i="11"/>
  <c r="Y2199" i="11"/>
  <c r="AB2199" i="11" s="1"/>
  <c r="V2199" i="11"/>
  <c r="V2183" i="11"/>
  <c r="Y2183" i="11"/>
  <c r="V2175" i="11"/>
  <c r="Y2175" i="11"/>
  <c r="Y2159" i="11"/>
  <c r="V2159" i="11"/>
  <c r="Y2151" i="11"/>
  <c r="V2151" i="11"/>
  <c r="V2135" i="11"/>
  <c r="Y2135" i="11"/>
  <c r="Y2127" i="11"/>
  <c r="V2127" i="11"/>
  <c r="Y2103" i="11"/>
  <c r="V2103" i="11"/>
  <c r="V2095" i="11"/>
  <c r="Y2095" i="11"/>
  <c r="Y2087" i="11"/>
  <c r="V2087" i="11"/>
  <c r="Y2071" i="11"/>
  <c r="V2071" i="11"/>
  <c r="V2055" i="11"/>
  <c r="Y2055" i="11"/>
  <c r="Y2039" i="11"/>
  <c r="V2039" i="11"/>
  <c r="Y2031" i="11"/>
  <c r="V2031" i="11"/>
  <c r="V2023" i="11"/>
  <c r="Y2023" i="11"/>
  <c r="V2015" i="11"/>
  <c r="Y2015" i="11"/>
  <c r="V2007" i="11"/>
  <c r="Y2007" i="11"/>
  <c r="AB2007" i="11" s="1"/>
  <c r="V203" i="11"/>
  <c r="Y203" i="11"/>
  <c r="V75" i="11"/>
  <c r="Y75" i="11"/>
  <c r="AB1014" i="11"/>
  <c r="AA2054" i="11"/>
  <c r="AA376" i="11"/>
  <c r="AB3104" i="11"/>
  <c r="X3810" i="11"/>
  <c r="Z3810" i="11"/>
  <c r="Z3802" i="11"/>
  <c r="X3802" i="11"/>
  <c r="Z3570" i="11"/>
  <c r="X3570" i="11"/>
  <c r="Z3386" i="11"/>
  <c r="X3386" i="11"/>
  <c r="Z1698" i="11"/>
  <c r="X1698" i="11"/>
  <c r="Z1434" i="11"/>
  <c r="X1434" i="11"/>
  <c r="X1378" i="11"/>
  <c r="Z1378" i="11"/>
  <c r="X1130" i="11"/>
  <c r="Z1130" i="11"/>
  <c r="X922" i="11"/>
  <c r="Z922" i="11"/>
  <c r="Z10" i="11"/>
  <c r="X10" i="11"/>
  <c r="V3879" i="11"/>
  <c r="Y3879" i="11"/>
  <c r="Y3775" i="11"/>
  <c r="V3775" i="11"/>
  <c r="Y3559" i="11"/>
  <c r="V3559" i="11"/>
  <c r="V3455" i="11"/>
  <c r="Y3455" i="11"/>
  <c r="Y3255" i="11"/>
  <c r="V3255" i="11"/>
  <c r="Y2799" i="11"/>
  <c r="V2799" i="11"/>
  <c r="Y2615" i="11"/>
  <c r="V2615" i="11"/>
  <c r="V2599" i="11"/>
  <c r="Y2599" i="11"/>
  <c r="Y2495" i="11"/>
  <c r="V2495" i="11"/>
  <c r="V2463" i="11"/>
  <c r="Y2463" i="11"/>
  <c r="V2415" i="11"/>
  <c r="Y2415" i="11"/>
  <c r="Y2295" i="11"/>
  <c r="V2295" i="11"/>
  <c r="V2279" i="11"/>
  <c r="Y2279" i="11"/>
  <c r="Y2263" i="11"/>
  <c r="V2263" i="11"/>
  <c r="Y2255" i="11"/>
  <c r="V2255" i="11"/>
  <c r="V2207" i="11"/>
  <c r="Y2207" i="11"/>
  <c r="Y2191" i="11"/>
  <c r="V2191" i="11"/>
  <c r="Y2167" i="11"/>
  <c r="V2167" i="11"/>
  <c r="Y2143" i="11"/>
  <c r="V2143" i="11"/>
  <c r="V2119" i="11"/>
  <c r="Y2119" i="11"/>
  <c r="Y2111" i="11"/>
  <c r="V2111" i="11"/>
  <c r="Y2079" i="11"/>
  <c r="V2079" i="11"/>
  <c r="Y2047" i="11"/>
  <c r="V2047" i="11"/>
  <c r="Y155" i="11"/>
  <c r="V155" i="11"/>
  <c r="Y91" i="11"/>
  <c r="V91" i="11"/>
  <c r="V11" i="11"/>
  <c r="Y11" i="11"/>
  <c r="AB2358" i="11"/>
  <c r="X3712" i="11"/>
  <c r="X3192" i="11"/>
  <c r="X2512" i="11"/>
  <c r="X3000" i="11"/>
  <c r="X1992" i="11"/>
  <c r="Z1928" i="11"/>
  <c r="Z3488" i="11"/>
  <c r="X2608" i="11"/>
  <c r="X3352" i="11"/>
  <c r="X3144" i="11"/>
  <c r="Z3400" i="11"/>
  <c r="X2720" i="11"/>
  <c r="Z3640" i="11"/>
  <c r="AB1966" i="11"/>
  <c r="AB374" i="11"/>
  <c r="AA2726" i="11"/>
  <c r="AA2926" i="11"/>
  <c r="AB2166" i="11"/>
  <c r="AA2063" i="11"/>
  <c r="AB2918" i="11"/>
  <c r="X954" i="11"/>
  <c r="X1466" i="11"/>
  <c r="X3250" i="11"/>
  <c r="X2074" i="11"/>
  <c r="X3610" i="11"/>
  <c r="AA3134" i="11"/>
  <c r="AA2398" i="11"/>
  <c r="Z1506" i="11"/>
  <c r="X1978" i="11"/>
  <c r="Z3586" i="11"/>
  <c r="Z3234" i="11"/>
  <c r="X3306" i="11"/>
  <c r="X1514" i="11"/>
  <c r="X2986" i="11"/>
  <c r="Z394" i="11"/>
  <c r="Z3754" i="11"/>
  <c r="X2242" i="11"/>
  <c r="Z2226" i="11"/>
  <c r="X1546" i="11"/>
  <c r="Z3034" i="11"/>
  <c r="X3794" i="11"/>
  <c r="Z2378" i="11"/>
  <c r="Z186" i="11"/>
  <c r="X2562" i="11"/>
  <c r="Z3074" i="11"/>
  <c r="X3642" i="11"/>
  <c r="Z258" i="11"/>
  <c r="Z1882" i="11"/>
  <c r="Z3786" i="11"/>
  <c r="Z2250" i="11"/>
  <c r="X3114" i="11"/>
  <c r="X3858" i="11"/>
  <c r="Z3562" i="11"/>
  <c r="X2698" i="11"/>
  <c r="Z1658" i="11"/>
  <c r="X1738" i="11"/>
  <c r="Z890" i="11"/>
  <c r="X1402" i="11"/>
  <c r="X3770" i="11"/>
  <c r="AB1742" i="11"/>
  <c r="AB582" i="11"/>
  <c r="X3850" i="11"/>
  <c r="Z3850" i="11"/>
  <c r="Z3834" i="11"/>
  <c r="X3834" i="11"/>
  <c r="Z3826" i="11"/>
  <c r="X3826" i="11"/>
  <c r="X3738" i="11"/>
  <c r="Z3738" i="11"/>
  <c r="X3730" i="11"/>
  <c r="Z3730" i="11"/>
  <c r="X3722" i="11"/>
  <c r="Z3722" i="11"/>
  <c r="Z3714" i="11"/>
  <c r="X3714" i="11"/>
  <c r="X3706" i="11"/>
  <c r="Z3706" i="11"/>
  <c r="X3682" i="11"/>
  <c r="Z3682" i="11"/>
  <c r="Z3674" i="11"/>
  <c r="X3674" i="11"/>
  <c r="Z3634" i="11"/>
  <c r="X3634" i="11"/>
  <c r="Z3602" i="11"/>
  <c r="X3602" i="11"/>
  <c r="X3538" i="11"/>
  <c r="Z3538" i="11"/>
  <c r="Z3530" i="11"/>
  <c r="X3530" i="11"/>
  <c r="Z3522" i="11"/>
  <c r="X3522" i="11"/>
  <c r="Z3514" i="11"/>
  <c r="X3514" i="11"/>
  <c r="Z3506" i="11"/>
  <c r="X3506" i="11"/>
  <c r="X3434" i="11"/>
  <c r="Z3434" i="11"/>
  <c r="Z3426" i="11"/>
  <c r="X3426" i="11"/>
  <c r="Z3418" i="11"/>
  <c r="X3418" i="11"/>
  <c r="X3354" i="11"/>
  <c r="Z3354" i="11"/>
  <c r="Z3346" i="11"/>
  <c r="X3346" i="11"/>
  <c r="Z3338" i="11"/>
  <c r="X3338" i="11"/>
  <c r="X3202" i="11"/>
  <c r="Z3202" i="11"/>
  <c r="X3194" i="11"/>
  <c r="Z3194" i="11"/>
  <c r="Z3186" i="11"/>
  <c r="X3186" i="11"/>
  <c r="Z3178" i="11"/>
  <c r="X3178" i="11"/>
  <c r="Z3170" i="11"/>
  <c r="X3170" i="11"/>
  <c r="X3162" i="11"/>
  <c r="Z3162" i="11"/>
  <c r="X2962" i="11"/>
  <c r="Z2962" i="11"/>
  <c r="Z2954" i="11"/>
  <c r="X2954" i="11"/>
  <c r="X2946" i="11"/>
  <c r="Z2946" i="11"/>
  <c r="Z2930" i="11"/>
  <c r="X2930" i="11"/>
  <c r="Z2922" i="11"/>
  <c r="X2922" i="11"/>
  <c r="Z2898" i="11"/>
  <c r="X2898" i="11"/>
  <c r="Z2890" i="11"/>
  <c r="X2890" i="11"/>
  <c r="Z2882" i="11"/>
  <c r="X2882" i="11"/>
  <c r="Z2874" i="11"/>
  <c r="X2874" i="11"/>
  <c r="Z2858" i="11"/>
  <c r="X2858" i="11"/>
  <c r="X2850" i="11"/>
  <c r="Z2850" i="11"/>
  <c r="X2842" i="11"/>
  <c r="Z2842" i="11"/>
  <c r="X2802" i="11"/>
  <c r="Z2802" i="11"/>
  <c r="Z2794" i="11"/>
  <c r="X2794" i="11"/>
  <c r="Z2778" i="11"/>
  <c r="X2778" i="11"/>
  <c r="X2762" i="11"/>
  <c r="Z2762" i="11"/>
  <c r="X2754" i="11"/>
  <c r="Z2754" i="11"/>
  <c r="Z2730" i="11"/>
  <c r="X2730" i="11"/>
  <c r="Z2722" i="11"/>
  <c r="X2722" i="11"/>
  <c r="X2714" i="11"/>
  <c r="Z2714" i="11"/>
  <c r="X2706" i="11"/>
  <c r="Z2706" i="11"/>
  <c r="Z2690" i="11"/>
  <c r="X2690" i="11"/>
  <c r="Z2682" i="11"/>
  <c r="X2682" i="11"/>
  <c r="Z2674" i="11"/>
  <c r="X2674" i="11"/>
  <c r="X2666" i="11"/>
  <c r="Z2666" i="11"/>
  <c r="Z2642" i="11"/>
  <c r="X2642" i="11"/>
  <c r="Z2626" i="11"/>
  <c r="X2626" i="11"/>
  <c r="Z2594" i="11"/>
  <c r="X2594" i="11"/>
  <c r="Z2586" i="11"/>
  <c r="X2586" i="11"/>
  <c r="Z2578" i="11"/>
  <c r="X2578" i="11"/>
  <c r="Z2570" i="11"/>
  <c r="X2570" i="11"/>
  <c r="Z2554" i="11"/>
  <c r="X2554" i="11"/>
  <c r="Z2546" i="11"/>
  <c r="X2546" i="11"/>
  <c r="X2538" i="11"/>
  <c r="Z2538" i="11"/>
  <c r="X2530" i="11"/>
  <c r="Z2530" i="11"/>
  <c r="X2514" i="11"/>
  <c r="Z2514" i="11"/>
  <c r="X2506" i="11"/>
  <c r="Z2506" i="11"/>
  <c r="Z2498" i="11"/>
  <c r="X2498" i="11"/>
  <c r="X2490" i="11"/>
  <c r="Z2490" i="11"/>
  <c r="X2482" i="11"/>
  <c r="Z2482" i="11"/>
  <c r="X2474" i="11"/>
  <c r="Z2474" i="11"/>
  <c r="X2466" i="11"/>
  <c r="Z2466" i="11"/>
  <c r="Z2458" i="11"/>
  <c r="X2458" i="11"/>
  <c r="Z2450" i="11"/>
  <c r="X2450" i="11"/>
  <c r="Z2442" i="11"/>
  <c r="X2442" i="11"/>
  <c r="Z2434" i="11"/>
  <c r="X2434" i="11"/>
  <c r="X2426" i="11"/>
  <c r="Z2426" i="11"/>
  <c r="Z2418" i="11"/>
  <c r="X2418" i="11"/>
  <c r="Z2330" i="11"/>
  <c r="X2330" i="11"/>
  <c r="Z2322" i="11"/>
  <c r="X2322" i="11"/>
  <c r="X2314" i="11"/>
  <c r="Z2314" i="11"/>
  <c r="Z2306" i="11"/>
  <c r="X2306" i="11"/>
  <c r="Z2298" i="11"/>
  <c r="X2298" i="11"/>
  <c r="X2290" i="11"/>
  <c r="Z2290" i="11"/>
  <c r="Z2282" i="11"/>
  <c r="X2282" i="11"/>
  <c r="X2194" i="11"/>
  <c r="Z2194" i="11"/>
  <c r="X2186" i="11"/>
  <c r="Z2186" i="11"/>
  <c r="X2178" i="11"/>
  <c r="Z2178" i="11"/>
  <c r="Z2170" i="11"/>
  <c r="X2170" i="11"/>
  <c r="Z2154" i="11"/>
  <c r="X2154" i="11"/>
  <c r="Z2138" i="11"/>
  <c r="X2138" i="11"/>
  <c r="Z2130" i="11"/>
  <c r="X2130" i="11"/>
  <c r="Z2122" i="11"/>
  <c r="X2122" i="11"/>
  <c r="Z2114" i="11"/>
  <c r="X2114" i="11"/>
  <c r="X2098" i="11"/>
  <c r="Z2098" i="11"/>
  <c r="X2090" i="11"/>
  <c r="Z2090" i="11"/>
  <c r="X2082" i="11"/>
  <c r="Z2082" i="11"/>
  <c r="X2058" i="11"/>
  <c r="Z2058" i="11"/>
  <c r="Z2050" i="11"/>
  <c r="X2050" i="11"/>
  <c r="Z2042" i="11"/>
  <c r="X2042" i="11"/>
  <c r="X2026" i="11"/>
  <c r="Z2026" i="11"/>
  <c r="X2018" i="11"/>
  <c r="Z2018" i="11"/>
  <c r="Z2010" i="11"/>
  <c r="X2010" i="11"/>
  <c r="X2002" i="11"/>
  <c r="Z2002" i="11"/>
  <c r="Z1994" i="11"/>
  <c r="X1994" i="11"/>
  <c r="Z1970" i="11"/>
  <c r="X1970" i="11"/>
  <c r="Z1954" i="11"/>
  <c r="X1954" i="11"/>
  <c r="Z1946" i="11"/>
  <c r="X1946" i="11"/>
  <c r="X1938" i="11"/>
  <c r="Z1938" i="11"/>
  <c r="X1930" i="11"/>
  <c r="Z1930" i="11"/>
  <c r="Z1922" i="11"/>
  <c r="X1922" i="11"/>
  <c r="Z1906" i="11"/>
  <c r="X1906" i="11"/>
  <c r="Z1706" i="11"/>
  <c r="X1706" i="11"/>
  <c r="Z1690" i="11"/>
  <c r="X1690" i="11"/>
  <c r="Z1682" i="11"/>
  <c r="X1682" i="11"/>
  <c r="Z1674" i="11"/>
  <c r="X1674" i="11"/>
  <c r="X1650" i="11"/>
  <c r="Z1650" i="11"/>
  <c r="X1642" i="11"/>
  <c r="Z1642" i="11"/>
  <c r="X1362" i="11"/>
  <c r="Z1362" i="11"/>
  <c r="Z1354" i="11"/>
  <c r="X1354" i="11"/>
  <c r="Z1338" i="11"/>
  <c r="X1338" i="11"/>
  <c r="X1330" i="11"/>
  <c r="Z1330" i="11"/>
  <c r="Z1322" i="11"/>
  <c r="X1322" i="11"/>
  <c r="Z1314" i="11"/>
  <c r="X1314" i="11"/>
  <c r="X1298" i="11"/>
  <c r="Z1298" i="11"/>
  <c r="Z1282" i="11"/>
  <c r="X1282" i="11"/>
  <c r="Z1266" i="11"/>
  <c r="X1266" i="11"/>
  <c r="X1258" i="11"/>
  <c r="Z1258" i="11"/>
  <c r="X1250" i="11"/>
  <c r="Z1250" i="11"/>
  <c r="Z1242" i="11"/>
  <c r="X1242" i="11"/>
  <c r="Z1234" i="11"/>
  <c r="X1234" i="11"/>
  <c r="Z1226" i="11"/>
  <c r="X1226" i="11"/>
  <c r="Z1218" i="11"/>
  <c r="X1218" i="11"/>
  <c r="Z1178" i="11"/>
  <c r="X1178" i="11"/>
  <c r="Z1170" i="11"/>
  <c r="X1170" i="11"/>
  <c r="X1162" i="11"/>
  <c r="Z1162" i="11"/>
  <c r="Z1154" i="11"/>
  <c r="X1154" i="11"/>
  <c r="X1146" i="11"/>
  <c r="Z1146" i="11"/>
  <c r="Z1138" i="11"/>
  <c r="X1138" i="11"/>
  <c r="Z1122" i="11"/>
  <c r="X1122" i="11"/>
  <c r="Z1114" i="11"/>
  <c r="X1114" i="11"/>
  <c r="X1106" i="11"/>
  <c r="Z1106" i="11"/>
  <c r="X1082" i="11"/>
  <c r="Z1082" i="11"/>
  <c r="X1058" i="11"/>
  <c r="Z1058" i="11"/>
  <c r="Z1050" i="11"/>
  <c r="X1050" i="11"/>
  <c r="Z1042" i="11"/>
  <c r="X1042" i="11"/>
  <c r="X1034" i="11"/>
  <c r="Z1034" i="11"/>
  <c r="X1010" i="11"/>
  <c r="Z1010" i="11"/>
  <c r="X1002" i="11"/>
  <c r="Z1002" i="11"/>
  <c r="Z858" i="11"/>
  <c r="X858" i="11"/>
  <c r="Z850" i="11"/>
  <c r="X850" i="11"/>
  <c r="Z834" i="11"/>
  <c r="X834" i="11"/>
  <c r="Z810" i="11"/>
  <c r="X810" i="11"/>
  <c r="Z802" i="11"/>
  <c r="X802" i="11"/>
  <c r="X794" i="11"/>
  <c r="Z794" i="11"/>
  <c r="X786" i="11"/>
  <c r="Z786" i="11"/>
  <c r="Z778" i="11"/>
  <c r="X778" i="11"/>
  <c r="Z770" i="11"/>
  <c r="X770" i="11"/>
  <c r="Z762" i="11"/>
  <c r="X762" i="11"/>
  <c r="X754" i="11"/>
  <c r="Z754" i="11"/>
  <c r="Z746" i="11"/>
  <c r="X746" i="11"/>
  <c r="Z722" i="11"/>
  <c r="X722" i="11"/>
  <c r="Z690" i="11"/>
  <c r="X690" i="11"/>
  <c r="X682" i="11"/>
  <c r="Z682" i="11"/>
  <c r="Z666" i="11"/>
  <c r="X666" i="11"/>
  <c r="X658" i="11"/>
  <c r="Z658" i="11"/>
  <c r="Z642" i="11"/>
  <c r="X642" i="11"/>
  <c r="Z634" i="11"/>
  <c r="X634" i="11"/>
  <c r="Z626" i="11"/>
  <c r="X626" i="11"/>
  <c r="Z618" i="11"/>
  <c r="X618" i="11"/>
  <c r="Z602" i="11"/>
  <c r="X602" i="11"/>
  <c r="Z586" i="11"/>
  <c r="X586" i="11"/>
  <c r="Z578" i="11"/>
  <c r="X578" i="11"/>
  <c r="X570" i="11"/>
  <c r="Z570" i="11"/>
  <c r="Z554" i="11"/>
  <c r="X554" i="11"/>
  <c r="Z546" i="11"/>
  <c r="X546" i="11"/>
  <c r="Z538" i="11"/>
  <c r="X538" i="11"/>
  <c r="X530" i="11"/>
  <c r="Z530" i="11"/>
  <c r="Z514" i="11"/>
  <c r="X514" i="11"/>
  <c r="Z482" i="11"/>
  <c r="X482" i="11"/>
  <c r="Z474" i="11"/>
  <c r="X474" i="11"/>
  <c r="Z466" i="11"/>
  <c r="X466" i="11"/>
  <c r="Z458" i="11"/>
  <c r="X458" i="11"/>
  <c r="Z450" i="11"/>
  <c r="X450" i="11"/>
  <c r="X434" i="11"/>
  <c r="Z434" i="11"/>
  <c r="X426" i="11"/>
  <c r="Z426" i="11"/>
  <c r="X418" i="11"/>
  <c r="Z418" i="11"/>
  <c r="Z410" i="11"/>
  <c r="X410" i="11"/>
  <c r="X402" i="11"/>
  <c r="Z402" i="11"/>
  <c r="Z386" i="11"/>
  <c r="X386" i="11"/>
  <c r="Z378" i="11"/>
  <c r="X378" i="11"/>
  <c r="Z370" i="11"/>
  <c r="X370" i="11"/>
  <c r="Z362" i="11"/>
  <c r="X362" i="11"/>
  <c r="Z354" i="11"/>
  <c r="X354" i="11"/>
  <c r="Z346" i="11"/>
  <c r="X346" i="11"/>
  <c r="Z330" i="11"/>
  <c r="X330" i="11"/>
  <c r="Z322" i="11"/>
  <c r="X322" i="11"/>
  <c r="Z306" i="11"/>
  <c r="X306" i="11"/>
  <c r="Z298" i="11"/>
  <c r="X298" i="11"/>
  <c r="Z282" i="11"/>
  <c r="X282" i="11"/>
  <c r="Z274" i="11"/>
  <c r="X274" i="11"/>
  <c r="X266" i="11"/>
  <c r="Z266" i="11"/>
  <c r="X250" i="11"/>
  <c r="Z250" i="11"/>
  <c r="Z226" i="11"/>
  <c r="X226" i="11"/>
  <c r="Z218" i="11"/>
  <c r="X218" i="11"/>
  <c r="Z210" i="11"/>
  <c r="X210" i="11"/>
  <c r="Z202" i="11"/>
  <c r="X202" i="11"/>
  <c r="Z194" i="11"/>
  <c r="X194" i="11"/>
  <c r="X178" i="11"/>
  <c r="Z178" i="11"/>
  <c r="Z170" i="11"/>
  <c r="X170" i="11"/>
  <c r="X162" i="11"/>
  <c r="Z162" i="11"/>
  <c r="Z154" i="11"/>
  <c r="X154" i="11"/>
  <c r="Z146" i="11"/>
  <c r="X146" i="11"/>
  <c r="Z138" i="11"/>
  <c r="X138" i="11"/>
  <c r="Z130" i="11"/>
  <c r="X130" i="11"/>
  <c r="X114" i="11"/>
  <c r="Z114" i="11"/>
  <c r="X98" i="11"/>
  <c r="Z98" i="11"/>
  <c r="X82" i="11"/>
  <c r="Z82" i="11"/>
  <c r="Z74" i="11"/>
  <c r="X74" i="11"/>
  <c r="X58" i="11"/>
  <c r="Z58" i="11"/>
  <c r="Z50" i="11"/>
  <c r="X50" i="11"/>
  <c r="Z42" i="11"/>
  <c r="X42" i="11"/>
  <c r="Z18" i="11"/>
  <c r="X18" i="11"/>
  <c r="X338" i="11"/>
  <c r="X1714" i="11"/>
  <c r="X2202" i="11"/>
  <c r="Z962" i="11"/>
  <c r="X3298" i="11"/>
  <c r="X2234" i="11"/>
  <c r="X1186" i="11"/>
  <c r="Z1818" i="11"/>
  <c r="X986" i="11"/>
  <c r="X3322" i="11"/>
  <c r="X3818" i="11"/>
  <c r="X866" i="11"/>
  <c r="X898" i="11"/>
  <c r="X930" i="11"/>
  <c r="Z1746" i="11"/>
  <c r="X2258" i="11"/>
  <c r="X3002" i="11"/>
  <c r="X3042" i="11"/>
  <c r="Z3082" i="11"/>
  <c r="X3122" i="11"/>
  <c r="X3866" i="11"/>
  <c r="Z3394" i="11"/>
  <c r="Z3274" i="11"/>
  <c r="Z1066" i="11"/>
  <c r="Z1346" i="11"/>
  <c r="X2634" i="11"/>
  <c r="Z2738" i="11"/>
  <c r="Z2602" i="11"/>
  <c r="X1986" i="11"/>
  <c r="Z842" i="11"/>
  <c r="Z650" i="11"/>
  <c r="X2034" i="11"/>
  <c r="X2146" i="11"/>
  <c r="Z3618" i="11"/>
  <c r="Z3330" i="11"/>
  <c r="X1594" i="11"/>
  <c r="Z290" i="11"/>
  <c r="X3746" i="11"/>
  <c r="X3498" i="11"/>
  <c r="X3474" i="11"/>
  <c r="X3874" i="11"/>
  <c r="X1866" i="11"/>
  <c r="X3282" i="11"/>
  <c r="X1890" i="11"/>
  <c r="X3442" i="11"/>
  <c r="X2402" i="11"/>
  <c r="Z978" i="11"/>
  <c r="X1410" i="11"/>
  <c r="X1442" i="11"/>
  <c r="X1482" i="11"/>
  <c r="X1522" i="11"/>
  <c r="X1554" i="11"/>
  <c r="X3258" i="11"/>
  <c r="X3650" i="11"/>
  <c r="X1474" i="11"/>
  <c r="X3058" i="11"/>
  <c r="Z2610" i="11"/>
  <c r="Z1306" i="11"/>
  <c r="X234" i="11"/>
  <c r="Z2338" i="11"/>
  <c r="X522" i="11"/>
  <c r="Z2866" i="11"/>
  <c r="X2834" i="11"/>
  <c r="Z3842" i="11"/>
  <c r="X2994" i="11"/>
  <c r="X2786" i="11"/>
  <c r="Z2066" i="11"/>
  <c r="Z3594" i="11"/>
  <c r="X3210" i="11"/>
  <c r="X1722" i="11"/>
  <c r="Z1874" i="11"/>
  <c r="X3290" i="11"/>
  <c r="Z1786" i="11"/>
  <c r="X3698" i="11"/>
  <c r="X1826" i="11"/>
  <c r="X1850" i="11"/>
  <c r="X2346" i="11"/>
  <c r="X3546" i="11"/>
  <c r="X1018" i="11"/>
  <c r="X1202" i="11"/>
  <c r="X1802" i="11"/>
  <c r="X3402" i="11"/>
  <c r="X3882" i="11"/>
  <c r="X874" i="11"/>
  <c r="X906" i="11"/>
  <c r="X938" i="11"/>
  <c r="X1754" i="11"/>
  <c r="X2266" i="11"/>
  <c r="X2970" i="11"/>
  <c r="X3010" i="11"/>
  <c r="Z3050" i="11"/>
  <c r="X3098" i="11"/>
  <c r="X3130" i="11"/>
  <c r="X3690" i="11"/>
  <c r="X2274" i="11"/>
  <c r="X1098" i="11"/>
  <c r="X1618" i="11"/>
  <c r="X1610" i="11"/>
  <c r="Z498" i="11"/>
  <c r="X1962" i="11"/>
  <c r="Z506" i="11"/>
  <c r="Z122" i="11"/>
  <c r="X1274" i="11"/>
  <c r="Z738" i="11"/>
  <c r="X3482" i="11"/>
  <c r="X2914" i="11"/>
  <c r="X3578" i="11"/>
  <c r="Z1794" i="11"/>
  <c r="X3154" i="11"/>
  <c r="X1810" i="11"/>
  <c r="X3370" i="11"/>
  <c r="X3458" i="11"/>
  <c r="X3450" i="11"/>
  <c r="Z1858" i="11"/>
  <c r="X3146" i="11"/>
  <c r="X1418" i="11"/>
  <c r="X1450" i="11"/>
  <c r="X1490" i="11"/>
  <c r="X1530" i="11"/>
  <c r="X1562" i="11"/>
  <c r="Z3266" i="11"/>
  <c r="Z3658" i="11"/>
  <c r="X1602" i="11"/>
  <c r="X1778" i="11"/>
  <c r="X1634" i="11"/>
  <c r="X610" i="11"/>
  <c r="X3762" i="11"/>
  <c r="X3626" i="11"/>
  <c r="Z698" i="11"/>
  <c r="X90" i="11"/>
  <c r="Z314" i="11"/>
  <c r="Z490" i="11"/>
  <c r="X2162" i="11"/>
  <c r="X1666" i="11"/>
  <c r="Z3410" i="11"/>
  <c r="Z3362" i="11"/>
  <c r="X2818" i="11"/>
  <c r="Z2106" i="11"/>
  <c r="X2210" i="11"/>
  <c r="X2770" i="11"/>
  <c r="Z1730" i="11"/>
  <c r="X1898" i="11"/>
  <c r="X3666" i="11"/>
  <c r="Z1834" i="11"/>
  <c r="X3314" i="11"/>
  <c r="X2410" i="11"/>
  <c r="X2218" i="11"/>
  <c r="X2354" i="11"/>
  <c r="X3226" i="11"/>
  <c r="X3554" i="11"/>
  <c r="X1026" i="11"/>
  <c r="X994" i="11"/>
  <c r="X882" i="11"/>
  <c r="X914" i="11"/>
  <c r="X946" i="11"/>
  <c r="Z1762" i="11"/>
  <c r="X2362" i="11"/>
  <c r="X2978" i="11"/>
  <c r="Z3018" i="11"/>
  <c r="X3066" i="11"/>
  <c r="X3106" i="11"/>
  <c r="X3242" i="11"/>
  <c r="X3026" i="11"/>
  <c r="Z3778" i="11"/>
  <c r="X1586" i="11"/>
  <c r="X2370" i="11"/>
  <c r="X1578" i="11"/>
  <c r="X1626" i="11"/>
  <c r="Z714" i="11"/>
  <c r="Z26" i="11"/>
  <c r="Z562" i="11"/>
  <c r="X442" i="11"/>
  <c r="Z2810" i="11"/>
  <c r="Z594" i="11"/>
  <c r="Z706" i="11"/>
  <c r="Z2522" i="11"/>
  <c r="X3490" i="11"/>
  <c r="Z970" i="11"/>
  <c r="X3138" i="11"/>
  <c r="X1386" i="11"/>
  <c r="X3378" i="11"/>
  <c r="Z3466" i="11"/>
  <c r="X1370" i="11"/>
  <c r="Z1842" i="11"/>
  <c r="X1394" i="11"/>
  <c r="X1426" i="11"/>
  <c r="Z1458" i="11"/>
  <c r="X1498" i="11"/>
  <c r="X1538" i="11"/>
  <c r="Z1570" i="11"/>
  <c r="Z3090" i="11"/>
  <c r="X1770" i="11"/>
  <c r="X826" i="11"/>
  <c r="Z2826" i="11"/>
  <c r="X2618" i="11"/>
  <c r="X2650" i="11"/>
  <c r="X730" i="11"/>
  <c r="X674" i="11"/>
  <c r="Z2938" i="11"/>
  <c r="Z1290" i="11"/>
  <c r="Z1090" i="11"/>
  <c r="Z1914" i="11"/>
  <c r="Z818" i="11"/>
  <c r="X2394" i="11"/>
  <c r="X2386" i="11"/>
  <c r="Z2658" i="11"/>
  <c r="Z34" i="11"/>
  <c r="Z2746" i="11"/>
  <c r="Z242" i="11"/>
  <c r="Z1210" i="11"/>
  <c r="Z66" i="11"/>
  <c r="Z2906" i="11"/>
  <c r="Z3218" i="11"/>
  <c r="X1194" i="11"/>
  <c r="Z1074" i="11"/>
  <c r="Z106" i="11"/>
  <c r="AB2182" i="11"/>
  <c r="X3088" i="11"/>
  <c r="X2744" i="11"/>
  <c r="X1944" i="11"/>
  <c r="X3840" i="11"/>
  <c r="X3504" i="11"/>
  <c r="X2288" i="11"/>
  <c r="X3408" i="11"/>
  <c r="X3608" i="11"/>
  <c r="X3704" i="11"/>
  <c r="X3736" i="11"/>
  <c r="Z1696" i="11"/>
  <c r="Z3672" i="11"/>
  <c r="Z3480" i="11"/>
  <c r="X16" i="11"/>
  <c r="X88" i="11"/>
  <c r="X184" i="11"/>
  <c r="X224" i="11"/>
  <c r="X256" i="11"/>
  <c r="Z296" i="11"/>
  <c r="X336" i="11"/>
  <c r="X392" i="11"/>
  <c r="Z1592" i="11"/>
  <c r="Z1624" i="11"/>
  <c r="X1768" i="11"/>
  <c r="X2024" i="11"/>
  <c r="X3744" i="11"/>
  <c r="X968" i="11"/>
  <c r="Z1784" i="11"/>
  <c r="X1824" i="11"/>
  <c r="X1856" i="11"/>
  <c r="Z1888" i="11"/>
  <c r="Z3136" i="11"/>
  <c r="X3296" i="11"/>
  <c r="Z3784" i="11"/>
  <c r="X3872" i="11"/>
  <c r="Z2392" i="11"/>
  <c r="Z376" i="11"/>
  <c r="X3512" i="11"/>
  <c r="X1024" i="11"/>
  <c r="X1056" i="11"/>
  <c r="X1000" i="11"/>
  <c r="Z1112" i="11"/>
  <c r="Z1544" i="11"/>
  <c r="Z3464" i="11"/>
  <c r="Z1424" i="11"/>
  <c r="X1376" i="11"/>
  <c r="X8" i="11"/>
  <c r="X792" i="11"/>
  <c r="X344" i="11"/>
  <c r="Z904" i="11"/>
  <c r="Z1280" i="11"/>
  <c r="Z2760" i="11"/>
  <c r="Z1368" i="11"/>
  <c r="X856" i="11"/>
  <c r="X2864" i="11"/>
  <c r="X1672" i="11"/>
  <c r="X2040" i="11"/>
  <c r="X1248" i="11"/>
  <c r="X1552" i="11"/>
  <c r="X2992" i="11"/>
  <c r="X3520" i="11"/>
  <c r="X1272" i="11"/>
  <c r="Z1360" i="11"/>
  <c r="X3040" i="11"/>
  <c r="X2880" i="11"/>
  <c r="Z2592" i="11"/>
  <c r="X3888" i="11"/>
  <c r="Z3888" i="11"/>
  <c r="Z3864" i="11"/>
  <c r="X3864" i="11"/>
  <c r="X3856" i="11"/>
  <c r="Z3856" i="11"/>
  <c r="X3848" i="11"/>
  <c r="Z3848" i="11"/>
  <c r="X3776" i="11"/>
  <c r="Z3776" i="11"/>
  <c r="Z3768" i="11"/>
  <c r="X3768" i="11"/>
  <c r="X3760" i="11"/>
  <c r="Z3760" i="11"/>
  <c r="X3688" i="11"/>
  <c r="Z3688" i="11"/>
  <c r="X3680" i="11"/>
  <c r="Z3680" i="11"/>
  <c r="Z3648" i="11"/>
  <c r="X3648" i="11"/>
  <c r="X3632" i="11"/>
  <c r="Z3632" i="11"/>
  <c r="Z3624" i="11"/>
  <c r="X3624" i="11"/>
  <c r="Z3616" i="11"/>
  <c r="X3616" i="11"/>
  <c r="Z3552" i="11"/>
  <c r="X3552" i="11"/>
  <c r="Z3544" i="11"/>
  <c r="X3544" i="11"/>
  <c r="Z3528" i="11"/>
  <c r="X3528" i="11"/>
  <c r="Z3456" i="11"/>
  <c r="X3456" i="11"/>
  <c r="Z3440" i="11"/>
  <c r="X3440" i="11"/>
  <c r="X3432" i="11"/>
  <c r="Z3432" i="11"/>
  <c r="X3392" i="11"/>
  <c r="Z3392" i="11"/>
  <c r="Z3384" i="11"/>
  <c r="X3384" i="11"/>
  <c r="Z3376" i="11"/>
  <c r="X3376" i="11"/>
  <c r="Z3368" i="11"/>
  <c r="X3368" i="11"/>
  <c r="Z3344" i="11"/>
  <c r="X3344" i="11"/>
  <c r="Z3336" i="11"/>
  <c r="X3336" i="11"/>
  <c r="Z3272" i="11"/>
  <c r="X3272" i="11"/>
  <c r="Z3264" i="11"/>
  <c r="X3264" i="11"/>
  <c r="X3248" i="11"/>
  <c r="Z3248" i="11"/>
  <c r="Z3240" i="11"/>
  <c r="X3240" i="11"/>
  <c r="Z3232" i="11"/>
  <c r="X3232" i="11"/>
  <c r="Z3216" i="11"/>
  <c r="X3216" i="11"/>
  <c r="Z3208" i="11"/>
  <c r="X3208" i="11"/>
  <c r="Z3200" i="11"/>
  <c r="X3200" i="11"/>
  <c r="X3152" i="11"/>
  <c r="Z3152" i="11"/>
  <c r="Z3128" i="11"/>
  <c r="X3128" i="11"/>
  <c r="X3112" i="11"/>
  <c r="Z3112" i="11"/>
  <c r="Z3072" i="11"/>
  <c r="X3072" i="11"/>
  <c r="X3064" i="11"/>
  <c r="Z3064" i="11"/>
  <c r="Z3056" i="11"/>
  <c r="X3056" i="11"/>
  <c r="X3048" i="11"/>
  <c r="Z3048" i="11"/>
  <c r="Z3032" i="11"/>
  <c r="X3032" i="11"/>
  <c r="X3024" i="11"/>
  <c r="Z3024" i="11"/>
  <c r="X3016" i="11"/>
  <c r="Z3016" i="11"/>
  <c r="Z2984" i="11"/>
  <c r="X2984" i="11"/>
  <c r="X2968" i="11"/>
  <c r="Z2968" i="11"/>
  <c r="X2960" i="11"/>
  <c r="Z2960" i="11"/>
  <c r="X2952" i="11"/>
  <c r="Z2952" i="11"/>
  <c r="X2944" i="11"/>
  <c r="Z2944" i="11"/>
  <c r="Z2936" i="11"/>
  <c r="X2936" i="11"/>
  <c r="X2928" i="11"/>
  <c r="Z2928" i="11"/>
  <c r="X2920" i="11"/>
  <c r="Z2920" i="11"/>
  <c r="Z2912" i="11"/>
  <c r="X2912" i="11"/>
  <c r="X2904" i="11"/>
  <c r="Z2904" i="11"/>
  <c r="X2896" i="11"/>
  <c r="Z2896" i="11"/>
  <c r="Z2888" i="11"/>
  <c r="X2888" i="11"/>
  <c r="Z2848" i="11"/>
  <c r="X2848" i="11"/>
  <c r="X2832" i="11"/>
  <c r="Z2832" i="11"/>
  <c r="Z2824" i="11"/>
  <c r="X2824" i="11"/>
  <c r="X2816" i="11"/>
  <c r="Z2816" i="11"/>
  <c r="Z2800" i="11"/>
  <c r="X2800" i="11"/>
  <c r="X2784" i="11"/>
  <c r="Z2784" i="11"/>
  <c r="Z2776" i="11"/>
  <c r="X2776" i="11"/>
  <c r="X2768" i="11"/>
  <c r="Z2768" i="11"/>
  <c r="X2752" i="11"/>
  <c r="Z2752" i="11"/>
  <c r="Z2736" i="11"/>
  <c r="X2736" i="11"/>
  <c r="X2728" i="11"/>
  <c r="Z2728" i="11"/>
  <c r="Z2712" i="11"/>
  <c r="X2712" i="11"/>
  <c r="Z2704" i="11"/>
  <c r="X2704" i="11"/>
  <c r="Z2696" i="11"/>
  <c r="X2696" i="11"/>
  <c r="X2688" i="11"/>
  <c r="Z2688" i="11"/>
  <c r="Z2680" i="11"/>
  <c r="X2680" i="11"/>
  <c r="Z2672" i="11"/>
  <c r="X2672" i="11"/>
  <c r="X2664" i="11"/>
  <c r="Z2664" i="11"/>
  <c r="Z2656" i="11"/>
  <c r="X2656" i="11"/>
  <c r="X2640" i="11"/>
  <c r="Z2640" i="11"/>
  <c r="Z2632" i="11"/>
  <c r="X2632" i="11"/>
  <c r="Z2616" i="11"/>
  <c r="X2616" i="11"/>
  <c r="Z2600" i="11"/>
  <c r="X2600" i="11"/>
  <c r="X2584" i="11"/>
  <c r="Z2584" i="11"/>
  <c r="Z2576" i="11"/>
  <c r="X2576" i="11"/>
  <c r="X2568" i="11"/>
  <c r="Z2568" i="11"/>
  <c r="Z2560" i="11"/>
  <c r="X2560" i="11"/>
  <c r="Z2544" i="11"/>
  <c r="X2544" i="11"/>
  <c r="X2536" i="11"/>
  <c r="Z2536" i="11"/>
  <c r="X2520" i="11"/>
  <c r="Z2520" i="11"/>
  <c r="Z2504" i="11"/>
  <c r="X2504" i="11"/>
  <c r="X2496" i="11"/>
  <c r="Z2496" i="11"/>
  <c r="Z2488" i="11"/>
  <c r="X2488" i="11"/>
  <c r="Z2480" i="11"/>
  <c r="X2480" i="11"/>
  <c r="X2472" i="11"/>
  <c r="Z2472" i="11"/>
  <c r="Z2464" i="11"/>
  <c r="X2464" i="11"/>
  <c r="Z2448" i="11"/>
  <c r="X2448" i="11"/>
  <c r="Z2440" i="11"/>
  <c r="X2440" i="11"/>
  <c r="AA2440" i="11" s="1"/>
  <c r="Z2360" i="11"/>
  <c r="X2360" i="11"/>
  <c r="X2352" i="11"/>
  <c r="Z2352" i="11"/>
  <c r="Z2336" i="11"/>
  <c r="X2336" i="11"/>
  <c r="X2320" i="11"/>
  <c r="Z2320" i="11"/>
  <c r="X2312" i="11"/>
  <c r="Z2312" i="11"/>
  <c r="X2304" i="11"/>
  <c r="Z2304" i="11"/>
  <c r="X2264" i="11"/>
  <c r="Z2264" i="11"/>
  <c r="Z2256" i="11"/>
  <c r="X2256" i="11"/>
  <c r="Z2240" i="11"/>
  <c r="X2240" i="11"/>
  <c r="Z2232" i="11"/>
  <c r="X2232" i="11"/>
  <c r="X2224" i="11"/>
  <c r="Z2224" i="11"/>
  <c r="X2208" i="11"/>
  <c r="Z2208" i="11"/>
  <c r="X2184" i="11"/>
  <c r="Z2184" i="11"/>
  <c r="Z2176" i="11"/>
  <c r="X2176" i="11"/>
  <c r="Z2168" i="11"/>
  <c r="X2168" i="11"/>
  <c r="X2160" i="11"/>
  <c r="Z2160" i="11"/>
  <c r="Z2152" i="11"/>
  <c r="X2152" i="11"/>
  <c r="Z2136" i="11"/>
  <c r="X2136" i="11"/>
  <c r="Z2128" i="11"/>
  <c r="X2128" i="11"/>
  <c r="Z2120" i="11"/>
  <c r="X2120" i="11"/>
  <c r="X2112" i="11"/>
  <c r="Z2112" i="11"/>
  <c r="X2096" i="11"/>
  <c r="Z2096" i="11"/>
  <c r="Z2088" i="11"/>
  <c r="X2088" i="11"/>
  <c r="X2080" i="11"/>
  <c r="Z2080" i="11"/>
  <c r="Z2072" i="11"/>
  <c r="X2072" i="11"/>
  <c r="Z2000" i="11"/>
  <c r="X2000" i="11"/>
  <c r="Z1976" i="11"/>
  <c r="X1976" i="11"/>
  <c r="Z1960" i="11"/>
  <c r="X1960" i="11"/>
  <c r="X1952" i="11"/>
  <c r="Z1952" i="11"/>
  <c r="X1936" i="11"/>
  <c r="Z1936" i="11"/>
  <c r="X1752" i="11"/>
  <c r="Z1752" i="11"/>
  <c r="X1744" i="11"/>
  <c r="Z1744" i="11"/>
  <c r="X1736" i="11"/>
  <c r="Z1736" i="11"/>
  <c r="X1728" i="11"/>
  <c r="Z1728" i="11"/>
  <c r="Z1720" i="11"/>
  <c r="X1720" i="11"/>
  <c r="Z1712" i="11"/>
  <c r="X1712" i="11"/>
  <c r="Z1704" i="11"/>
  <c r="X1704" i="11"/>
  <c r="X1560" i="11"/>
  <c r="Z1560" i="11"/>
  <c r="Z1536" i="11"/>
  <c r="X1536" i="11"/>
  <c r="Z1528" i="11"/>
  <c r="X1528" i="11"/>
  <c r="Z1512" i="11"/>
  <c r="X1512" i="11"/>
  <c r="Z1504" i="11"/>
  <c r="X1504" i="11"/>
  <c r="X1496" i="11"/>
  <c r="Z1496" i="11"/>
  <c r="AB1496" i="11" s="1"/>
  <c r="X1488" i="11"/>
  <c r="Z1488" i="11"/>
  <c r="Z1480" i="11"/>
  <c r="X1480" i="11"/>
  <c r="Z1472" i="11"/>
  <c r="X1472" i="11"/>
  <c r="Z1456" i="11"/>
  <c r="X1456" i="11"/>
  <c r="Z1448" i="11"/>
  <c r="X1448" i="11"/>
  <c r="X1440" i="11"/>
  <c r="Z1440" i="11"/>
  <c r="Z1416" i="11"/>
  <c r="X1416" i="11"/>
  <c r="X1400" i="11"/>
  <c r="Z1400" i="11"/>
  <c r="Z1392" i="11"/>
  <c r="X1392" i="11"/>
  <c r="Z1384" i="11"/>
  <c r="X1384" i="11"/>
  <c r="Z1344" i="11"/>
  <c r="X1344" i="11"/>
  <c r="Z1328" i="11"/>
  <c r="X1328" i="11"/>
  <c r="Z1312" i="11"/>
  <c r="X1312" i="11"/>
  <c r="Z1296" i="11"/>
  <c r="X1296" i="11"/>
  <c r="X1288" i="11"/>
  <c r="Z1288" i="11"/>
  <c r="Z952" i="11"/>
  <c r="X952" i="11"/>
  <c r="Z944" i="11"/>
  <c r="X944" i="11"/>
  <c r="Z936" i="11"/>
  <c r="X936" i="11"/>
  <c r="Z928" i="11"/>
  <c r="X928" i="11"/>
  <c r="X920" i="11"/>
  <c r="Z920" i="11"/>
  <c r="Z912" i="11"/>
  <c r="X912" i="11"/>
  <c r="Z888" i="11"/>
  <c r="X888" i="11"/>
  <c r="X880" i="11"/>
  <c r="Z880" i="11"/>
  <c r="X872" i="11"/>
  <c r="Z872" i="11"/>
  <c r="X864" i="11"/>
  <c r="Z864" i="11"/>
  <c r="X848" i="11"/>
  <c r="Z848" i="11"/>
  <c r="X840" i="11"/>
  <c r="Z840" i="11"/>
  <c r="Z832" i="11"/>
  <c r="X832" i="11"/>
  <c r="Z824" i="11"/>
  <c r="X824" i="11"/>
  <c r="Z808" i="11"/>
  <c r="X808" i="11"/>
  <c r="Z800" i="11"/>
  <c r="X800" i="11"/>
  <c r="X784" i="11"/>
  <c r="Z784" i="11"/>
  <c r="X776" i="11"/>
  <c r="Z776" i="11"/>
  <c r="X768" i="11"/>
  <c r="Z768" i="11"/>
  <c r="Z760" i="11"/>
  <c r="X760" i="11"/>
  <c r="Z752" i="11"/>
  <c r="X752" i="11"/>
  <c r="X744" i="11"/>
  <c r="Z744" i="11"/>
  <c r="X736" i="11"/>
  <c r="Z736" i="11"/>
  <c r="Z728" i="11"/>
  <c r="X728" i="11"/>
  <c r="Z720" i="11"/>
  <c r="X720" i="11"/>
  <c r="Z712" i="11"/>
  <c r="X712" i="11"/>
  <c r="X696" i="11"/>
  <c r="Z696" i="11"/>
  <c r="X688" i="11"/>
  <c r="Z688" i="11"/>
  <c r="Z680" i="11"/>
  <c r="X680" i="11"/>
  <c r="Z672" i="11"/>
  <c r="X672" i="11"/>
  <c r="X664" i="11"/>
  <c r="Z664" i="11"/>
  <c r="X656" i="11"/>
  <c r="Z656" i="11"/>
  <c r="X648" i="11"/>
  <c r="Z648" i="11"/>
  <c r="X640" i="11"/>
  <c r="Z640" i="11"/>
  <c r="X624" i="11"/>
  <c r="Z624" i="11"/>
  <c r="Z616" i="11"/>
  <c r="X616" i="11"/>
  <c r="X592" i="11"/>
  <c r="Z592" i="11"/>
  <c r="Z584" i="11"/>
  <c r="X584" i="11"/>
  <c r="Z568" i="11"/>
  <c r="X568" i="11"/>
  <c r="Z560" i="11"/>
  <c r="X560" i="11"/>
  <c r="X552" i="11"/>
  <c r="Z552" i="11"/>
  <c r="Z544" i="11"/>
  <c r="X544" i="11"/>
  <c r="X536" i="11"/>
  <c r="Z536" i="11"/>
  <c r="X520" i="11"/>
  <c r="Z520" i="11"/>
  <c r="Z512" i="11"/>
  <c r="AB512" i="11" s="1"/>
  <c r="X512" i="11"/>
  <c r="Z504" i="11"/>
  <c r="X504" i="11"/>
  <c r="AA504" i="11" s="1"/>
  <c r="Z496" i="11"/>
  <c r="X496" i="11"/>
  <c r="Z488" i="11"/>
  <c r="X488" i="11"/>
  <c r="X480" i="11"/>
  <c r="Z480" i="11"/>
  <c r="Z472" i="11"/>
  <c r="X472" i="11"/>
  <c r="X456" i="11"/>
  <c r="Z456" i="11"/>
  <c r="X448" i="11"/>
  <c r="Z448" i="11"/>
  <c r="Z432" i="11"/>
  <c r="X432" i="11"/>
  <c r="Z424" i="11"/>
  <c r="X424" i="11"/>
  <c r="Z416" i="11"/>
  <c r="X416" i="11"/>
  <c r="X408" i="11"/>
  <c r="Z408" i="11"/>
  <c r="X352" i="11"/>
  <c r="Z352" i="11"/>
  <c r="AB352" i="11" s="1"/>
  <c r="X304" i="11"/>
  <c r="Z304" i="11"/>
  <c r="X176" i="11"/>
  <c r="Z176" i="11"/>
  <c r="X160" i="11"/>
  <c r="Z160" i="11"/>
  <c r="Z144" i="11"/>
  <c r="X144" i="11"/>
  <c r="X120" i="11"/>
  <c r="Z120" i="11"/>
  <c r="Z112" i="11"/>
  <c r="X112" i="11"/>
  <c r="Z104" i="11"/>
  <c r="X104" i="11"/>
  <c r="X80" i="11"/>
  <c r="Z80" i="11"/>
  <c r="Z64" i="11"/>
  <c r="X64" i="11"/>
  <c r="Z56" i="11"/>
  <c r="X56" i="11"/>
  <c r="X48" i="11"/>
  <c r="Z48" i="11"/>
  <c r="Z24" i="11"/>
  <c r="X24" i="11"/>
  <c r="AB3096" i="11"/>
  <c r="X1912" i="11"/>
  <c r="X3096" i="11"/>
  <c r="X2432" i="11"/>
  <c r="X1688" i="11"/>
  <c r="X3496" i="11"/>
  <c r="Z3560" i="11"/>
  <c r="X1608" i="11"/>
  <c r="Z2056" i="11"/>
  <c r="X1800" i="11"/>
  <c r="X1840" i="11"/>
  <c r="X1872" i="11"/>
  <c r="X2400" i="11"/>
  <c r="X3280" i="11"/>
  <c r="X3320" i="11"/>
  <c r="X3576" i="11"/>
  <c r="Z3696" i="11"/>
  <c r="X208" i="11"/>
  <c r="X1184" i="11"/>
  <c r="X1904" i="11"/>
  <c r="X1128" i="11"/>
  <c r="X2416" i="11"/>
  <c r="X1072" i="11"/>
  <c r="Z1464" i="11"/>
  <c r="X3256" i="11"/>
  <c r="X1520" i="11"/>
  <c r="X3448" i="11"/>
  <c r="X2976" i="11"/>
  <c r="Z2200" i="11"/>
  <c r="Z1648" i="11"/>
  <c r="Z1176" i="11"/>
  <c r="Z576" i="11"/>
  <c r="X600" i="11"/>
  <c r="X3328" i="11"/>
  <c r="X3720" i="11"/>
  <c r="X1584" i="11"/>
  <c r="X40" i="11"/>
  <c r="Z152" i="11"/>
  <c r="X200" i="11"/>
  <c r="Z240" i="11"/>
  <c r="X280" i="11"/>
  <c r="Z320" i="11"/>
  <c r="X368" i="11"/>
  <c r="X2104" i="11"/>
  <c r="X3360" i="11"/>
  <c r="X2384" i="11"/>
  <c r="X3568" i="11"/>
  <c r="X1232" i="11"/>
  <c r="X3832" i="11"/>
  <c r="X984" i="11"/>
  <c r="X1064" i="11"/>
  <c r="X1200" i="11"/>
  <c r="X1192" i="11"/>
  <c r="X1168" i="11"/>
  <c r="X1144" i="11"/>
  <c r="X1088" i="11"/>
  <c r="X3224" i="11"/>
  <c r="X2840" i="11"/>
  <c r="X2192" i="11"/>
  <c r="X3536" i="11"/>
  <c r="Z2456" i="11"/>
  <c r="X2216" i="11"/>
  <c r="Z1304" i="11"/>
  <c r="Z896" i="11"/>
  <c r="Z816" i="11"/>
  <c r="AB3144" i="11"/>
  <c r="AB2384" i="11"/>
  <c r="X3176" i="11"/>
  <c r="X1568" i="11"/>
  <c r="X3656" i="11"/>
  <c r="X3752" i="11"/>
  <c r="Z2248" i="11"/>
  <c r="X1920" i="11"/>
  <c r="X2064" i="11"/>
  <c r="X2016" i="11"/>
  <c r="X2008" i="11"/>
  <c r="Z1576" i="11"/>
  <c r="Z1616" i="11"/>
  <c r="Z1680" i="11"/>
  <c r="X1808" i="11"/>
  <c r="X1848" i="11"/>
  <c r="X1880" i="11"/>
  <c r="X2408" i="11"/>
  <c r="X3288" i="11"/>
  <c r="Z3584" i="11"/>
  <c r="Z3664" i="11"/>
  <c r="X3880" i="11"/>
  <c r="X1640" i="11"/>
  <c r="X264" i="11"/>
  <c r="Z1208" i="11"/>
  <c r="X1048" i="11"/>
  <c r="X2424" i="11"/>
  <c r="X3416" i="11"/>
  <c r="Z2808" i="11"/>
  <c r="Z2648" i="11"/>
  <c r="X2144" i="11"/>
  <c r="Z1968" i="11"/>
  <c r="X1320" i="11"/>
  <c r="AA1320" i="11" s="1"/>
  <c r="AB3176" i="11"/>
  <c r="AB2976" i="11"/>
  <c r="X2552" i="11"/>
  <c r="X3184" i="11"/>
  <c r="X1408" i="11"/>
  <c r="Z3728" i="11"/>
  <c r="X3592" i="11"/>
  <c r="X3600" i="11"/>
  <c r="X2032" i="11"/>
  <c r="X1664" i="11"/>
  <c r="Z1632" i="11"/>
  <c r="X2376" i="11"/>
  <c r="X72" i="11"/>
  <c r="X168" i="11"/>
  <c r="Z216" i="11"/>
  <c r="X248" i="11"/>
  <c r="X288" i="11"/>
  <c r="X328" i="11"/>
  <c r="Z384" i="11"/>
  <c r="Z1256" i="11"/>
  <c r="X960" i="11"/>
  <c r="X992" i="11"/>
  <c r="Z3304" i="11"/>
  <c r="X1656" i="11"/>
  <c r="X1008" i="11"/>
  <c r="X1016" i="11"/>
  <c r="X1104" i="11"/>
  <c r="X1136" i="11"/>
  <c r="Z1984" i="11"/>
  <c r="Z3424" i="11"/>
  <c r="X2528" i="11"/>
  <c r="X2872" i="11"/>
  <c r="X2856" i="11"/>
  <c r="X440" i="11"/>
  <c r="X528" i="11"/>
  <c r="X96" i="11"/>
  <c r="Z3008" i="11"/>
  <c r="Z2328" i="11"/>
  <c r="Z1336" i="11"/>
  <c r="Z1240" i="11"/>
  <c r="Z464" i="11"/>
  <c r="X3168" i="11"/>
  <c r="X1816" i="11"/>
  <c r="X1040" i="11"/>
  <c r="X1032" i="11"/>
  <c r="X1120" i="11"/>
  <c r="X1096" i="11"/>
  <c r="Z3080" i="11"/>
  <c r="X2344" i="11"/>
  <c r="X3104" i="11"/>
  <c r="X3120" i="11"/>
  <c r="Z1760" i="11"/>
  <c r="Z1352" i="11"/>
  <c r="Z704" i="11"/>
  <c r="Z632" i="11"/>
  <c r="X3887" i="11"/>
  <c r="Z3887" i="11"/>
  <c r="Z3879" i="11"/>
  <c r="X3879" i="11"/>
  <c r="Z3871" i="11"/>
  <c r="X3871" i="11"/>
  <c r="X3863" i="11"/>
  <c r="Z3863" i="11"/>
  <c r="Z3855" i="11"/>
  <c r="X3855" i="11"/>
  <c r="Z3847" i="11"/>
  <c r="X3847" i="11"/>
  <c r="Z3839" i="11"/>
  <c r="X3839" i="11"/>
  <c r="Z3831" i="11"/>
  <c r="X3831" i="11"/>
  <c r="Z3783" i="11"/>
  <c r="X3783" i="11"/>
  <c r="Z3775" i="11"/>
  <c r="X3775" i="11"/>
  <c r="Z3767" i="11"/>
  <c r="X3767" i="11"/>
  <c r="Z3759" i="11"/>
  <c r="X3759" i="11"/>
  <c r="X3751" i="11"/>
  <c r="Z3751" i="11"/>
  <c r="Z3743" i="11"/>
  <c r="X3743" i="11"/>
  <c r="Z3727" i="11"/>
  <c r="X3727" i="11"/>
  <c r="Z3679" i="11"/>
  <c r="X3679" i="11"/>
  <c r="Z3671" i="11"/>
  <c r="X3671" i="11"/>
  <c r="Z3663" i="11"/>
  <c r="X3663" i="11"/>
  <c r="Z3655" i="11"/>
  <c r="X3655" i="11"/>
  <c r="Z3647" i="11"/>
  <c r="X3647" i="11"/>
  <c r="X3639" i="11"/>
  <c r="Z3639" i="11"/>
  <c r="Z3631" i="11"/>
  <c r="X3631" i="11"/>
  <c r="Z3623" i="11"/>
  <c r="X3623" i="11"/>
  <c r="X3559" i="11"/>
  <c r="Z3559" i="11"/>
  <c r="Z3551" i="11"/>
  <c r="X3551" i="11"/>
  <c r="Z3543" i="11"/>
  <c r="X3543" i="11"/>
  <c r="X3535" i="11"/>
  <c r="Z3535" i="11"/>
  <c r="Z3527" i="11"/>
  <c r="X3527" i="11"/>
  <c r="Z3519" i="11"/>
  <c r="X3519" i="11"/>
  <c r="Z3455" i="11"/>
  <c r="X3455" i="11"/>
  <c r="Z3447" i="11"/>
  <c r="X3447" i="11"/>
  <c r="X3439" i="11"/>
  <c r="Z3439" i="11"/>
  <c r="X3423" i="11"/>
  <c r="Z3423" i="11"/>
  <c r="Z3415" i="11"/>
  <c r="X3415" i="11"/>
  <c r="Z3407" i="11"/>
  <c r="X3407" i="11"/>
  <c r="Z3359" i="11"/>
  <c r="X3359" i="11"/>
  <c r="X3351" i="11"/>
  <c r="Z3351" i="11"/>
  <c r="X3343" i="11"/>
  <c r="Z3343" i="11"/>
  <c r="Z3335" i="11"/>
  <c r="X3335" i="11"/>
  <c r="X3327" i="11"/>
  <c r="Z3327" i="11"/>
  <c r="Z3319" i="11"/>
  <c r="X3319" i="11"/>
  <c r="Z3303" i="11"/>
  <c r="X3303" i="11"/>
  <c r="Z3255" i="11"/>
  <c r="X3255" i="11"/>
  <c r="Z3247" i="11"/>
  <c r="X3247" i="11"/>
  <c r="Z3239" i="11"/>
  <c r="X3239" i="11"/>
  <c r="X3231" i="11"/>
  <c r="Z3231" i="11"/>
  <c r="Z3223" i="11"/>
  <c r="X3223" i="11"/>
  <c r="X3207" i="11"/>
  <c r="Z3207" i="11"/>
  <c r="Z3199" i="11"/>
  <c r="X3199" i="11"/>
  <c r="X3151" i="11"/>
  <c r="Z3151" i="11"/>
  <c r="Z3143" i="11"/>
  <c r="X3143" i="11"/>
  <c r="Z3135" i="11"/>
  <c r="X3135" i="11"/>
  <c r="X3127" i="11"/>
  <c r="Z3127" i="11"/>
  <c r="Z3119" i="11"/>
  <c r="X3119" i="11"/>
  <c r="Z3111" i="11"/>
  <c r="X3111" i="11"/>
  <c r="X3103" i="11"/>
  <c r="Z3103" i="11"/>
  <c r="X3095" i="11"/>
  <c r="Z3095" i="11"/>
  <c r="Z3047" i="11"/>
  <c r="X3047" i="11"/>
  <c r="X3039" i="11"/>
  <c r="Z3039" i="11"/>
  <c r="Z3031" i="11"/>
  <c r="X3031" i="11"/>
  <c r="Z3023" i="11"/>
  <c r="X3023" i="11"/>
  <c r="X3015" i="11"/>
  <c r="Z3015" i="11"/>
  <c r="X3007" i="11"/>
  <c r="Z3007" i="11"/>
  <c r="Z2999" i="11"/>
  <c r="X2999" i="11"/>
  <c r="Z2991" i="11"/>
  <c r="X2991" i="11"/>
  <c r="Z3431" i="11"/>
  <c r="X1599" i="11"/>
  <c r="X2407" i="11"/>
  <c r="Z1351" i="11"/>
  <c r="Z1791" i="11"/>
  <c r="X1007" i="11"/>
  <c r="X1143" i="11"/>
  <c r="X847" i="11"/>
  <c r="Z2599" i="11"/>
  <c r="Z1695" i="11"/>
  <c r="X1471" i="11"/>
  <c r="Z1607" i="11"/>
  <c r="Z1799" i="11"/>
  <c r="Z1935" i="11"/>
  <c r="X1023" i="11"/>
  <c r="X1159" i="11"/>
  <c r="Z1215" i="11"/>
  <c r="X2199" i="11"/>
  <c r="Z2943" i="11"/>
  <c r="X2943" i="11"/>
  <c r="X2935" i="11"/>
  <c r="Z2935" i="11"/>
  <c r="X2927" i="11"/>
  <c r="Z2927" i="11"/>
  <c r="X2919" i="11"/>
  <c r="Z2919" i="11"/>
  <c r="X2911" i="11"/>
  <c r="Z2911" i="11"/>
  <c r="X2903" i="11"/>
  <c r="Z2903" i="11"/>
  <c r="X2895" i="11"/>
  <c r="Z2895" i="11"/>
  <c r="Z2887" i="11"/>
  <c r="X2887" i="11"/>
  <c r="X2839" i="11"/>
  <c r="Z2839" i="11"/>
  <c r="X2831" i="11"/>
  <c r="Z2831" i="11"/>
  <c r="Z2823" i="11"/>
  <c r="X2823" i="11"/>
  <c r="Z2815" i="11"/>
  <c r="X2815" i="11"/>
  <c r="Z2807" i="11"/>
  <c r="X2807" i="11"/>
  <c r="Z2799" i="11"/>
  <c r="X2799" i="11"/>
  <c r="Z2791" i="11"/>
  <c r="X2791" i="11"/>
  <c r="Z2783" i="11"/>
  <c r="X2783" i="11"/>
  <c r="X2727" i="11"/>
  <c r="Z2727" i="11"/>
  <c r="Z2719" i="11"/>
  <c r="X2719" i="11"/>
  <c r="Z2711" i="11"/>
  <c r="X2711" i="11"/>
  <c r="Z2703" i="11"/>
  <c r="X2703" i="11"/>
  <c r="X2695" i="11"/>
  <c r="Z2695" i="11"/>
  <c r="Z2687" i="11"/>
  <c r="X2687" i="11"/>
  <c r="Z2679" i="11"/>
  <c r="X2679" i="11"/>
  <c r="X2623" i="11"/>
  <c r="Z2623" i="11"/>
  <c r="Z2615" i="11"/>
  <c r="X2615" i="11"/>
  <c r="Z2607" i="11"/>
  <c r="X2607" i="11"/>
  <c r="Z2591" i="11"/>
  <c r="X2591" i="11"/>
  <c r="Z2583" i="11"/>
  <c r="X2583" i="11"/>
  <c r="Z2575" i="11"/>
  <c r="X2575" i="11"/>
  <c r="X2519" i="11"/>
  <c r="Z2519" i="11"/>
  <c r="Z2511" i="11"/>
  <c r="X2511" i="11"/>
  <c r="Z2503" i="11"/>
  <c r="X2503" i="11"/>
  <c r="X2495" i="11"/>
  <c r="Z2495" i="11"/>
  <c r="X2487" i="11"/>
  <c r="Z2487" i="11"/>
  <c r="X2479" i="11"/>
  <c r="Z2479" i="11"/>
  <c r="Z2471" i="11"/>
  <c r="X2471" i="11"/>
  <c r="Z2463" i="11"/>
  <c r="X2463" i="11"/>
  <c r="Z2415" i="11"/>
  <c r="X2415" i="11"/>
  <c r="X2399" i="11"/>
  <c r="Z2399" i="11"/>
  <c r="X2391" i="11"/>
  <c r="Z2391" i="11"/>
  <c r="X2383" i="11"/>
  <c r="Z2383" i="11"/>
  <c r="X2375" i="11"/>
  <c r="Z2375" i="11"/>
  <c r="X2367" i="11"/>
  <c r="Z2367" i="11"/>
  <c r="Z2359" i="11"/>
  <c r="X2359" i="11"/>
  <c r="Z2303" i="11"/>
  <c r="X2303" i="11"/>
  <c r="Z2279" i="11"/>
  <c r="X2279" i="11"/>
  <c r="X2271" i="11"/>
  <c r="Z2271" i="11"/>
  <c r="Z2263" i="11"/>
  <c r="X2263" i="11"/>
  <c r="Z2255" i="11"/>
  <c r="X2255" i="11"/>
  <c r="Z2207" i="11"/>
  <c r="X2207" i="11"/>
  <c r="Z2191" i="11"/>
  <c r="X2191" i="11"/>
  <c r="Z2183" i="11"/>
  <c r="X2183" i="11"/>
  <c r="X2175" i="11"/>
  <c r="Z2175" i="11"/>
  <c r="Z2167" i="11"/>
  <c r="X2167" i="11"/>
  <c r="X2159" i="11"/>
  <c r="Z2159" i="11"/>
  <c r="X2151" i="11"/>
  <c r="Z2151" i="11"/>
  <c r="Z2143" i="11"/>
  <c r="X2143" i="11"/>
  <c r="Z2127" i="11"/>
  <c r="X2127" i="11"/>
  <c r="Z2119" i="11"/>
  <c r="X2119" i="11"/>
  <c r="X2111" i="11"/>
  <c r="Z2111" i="11"/>
  <c r="X2095" i="11"/>
  <c r="Z2095" i="11"/>
  <c r="Z2079" i="11"/>
  <c r="X2079" i="11"/>
  <c r="Z2071" i="11"/>
  <c r="X2071" i="11"/>
  <c r="Z2055" i="11"/>
  <c r="X2055" i="11"/>
  <c r="Z2023" i="11"/>
  <c r="X2023" i="11"/>
  <c r="Z2015" i="11"/>
  <c r="X2015" i="11"/>
  <c r="X1999" i="11"/>
  <c r="Z1999" i="11"/>
  <c r="X1991" i="11"/>
  <c r="Z1991" i="11"/>
  <c r="X1983" i="11"/>
  <c r="Z1983" i="11"/>
  <c r="Z1975" i="11"/>
  <c r="X1975" i="11"/>
  <c r="X1959" i="11"/>
  <c r="Z1959" i="11"/>
  <c r="Z1951" i="11"/>
  <c r="X1951" i="11"/>
  <c r="Z1943" i="11"/>
  <c r="X1943" i="11"/>
  <c r="Z1927" i="11"/>
  <c r="X1927" i="11"/>
  <c r="Z1919" i="11"/>
  <c r="X1919" i="11"/>
  <c r="Z1903" i="11"/>
  <c r="X1903" i="11"/>
  <c r="X1895" i="11"/>
  <c r="Z1895" i="11"/>
  <c r="Z1887" i="11"/>
  <c r="X1887" i="11"/>
  <c r="Z1855" i="11"/>
  <c r="X1855" i="11"/>
  <c r="Z1847" i="11"/>
  <c r="X1847" i="11"/>
  <c r="Z1839" i="11"/>
  <c r="X1839" i="11"/>
  <c r="X1815" i="11"/>
  <c r="Z1815" i="11"/>
  <c r="X1807" i="11"/>
  <c r="AA1807" i="11" s="1"/>
  <c r="Z1807" i="11"/>
  <c r="Z1783" i="11"/>
  <c r="X1783" i="11"/>
  <c r="Z1775" i="11"/>
  <c r="X1775" i="11"/>
  <c r="X1767" i="11"/>
  <c r="Z1767" i="11"/>
  <c r="X1759" i="11"/>
  <c r="Z1759" i="11"/>
  <c r="X1751" i="11"/>
  <c r="Z1751" i="11"/>
  <c r="Z1743" i="11"/>
  <c r="X1743" i="11"/>
  <c r="Z1735" i="11"/>
  <c r="X1735" i="11"/>
  <c r="Z1727" i="11"/>
  <c r="X1727" i="11"/>
  <c r="X1719" i="11"/>
  <c r="Z1719" i="11"/>
  <c r="X1711" i="11"/>
  <c r="Z1711" i="11"/>
  <c r="X1703" i="11"/>
  <c r="Z1703" i="11"/>
  <c r="Z1687" i="11"/>
  <c r="X1687" i="11"/>
  <c r="Z1679" i="11"/>
  <c r="X1679" i="11"/>
  <c r="Z1671" i="11"/>
  <c r="X1671" i="11"/>
  <c r="Z1663" i="11"/>
  <c r="X1663" i="11"/>
  <c r="Z1655" i="11"/>
  <c r="X1655" i="11"/>
  <c r="Z1639" i="11"/>
  <c r="X1639" i="11"/>
  <c r="X1631" i="11"/>
  <c r="Z1631" i="11"/>
  <c r="Z1623" i="11"/>
  <c r="X1623" i="11"/>
  <c r="Z1615" i="11"/>
  <c r="X1615" i="11"/>
  <c r="Z1583" i="11"/>
  <c r="X1583" i="11"/>
  <c r="Z1567" i="11"/>
  <c r="X1567" i="11"/>
  <c r="Z1559" i="11"/>
  <c r="X1559" i="11"/>
  <c r="Z1551" i="11"/>
  <c r="X1551" i="11"/>
  <c r="Z1543" i="11"/>
  <c r="X1543" i="11"/>
  <c r="Z1535" i="11"/>
  <c r="X1535" i="11"/>
  <c r="Z1527" i="11"/>
  <c r="X1527" i="11"/>
  <c r="Z1519" i="11"/>
  <c r="X1519" i="11"/>
  <c r="Z1511" i="11"/>
  <c r="X1511" i="11"/>
  <c r="Z1487" i="11"/>
  <c r="X1487" i="11"/>
  <c r="X1479" i="11"/>
  <c r="Z1479" i="11"/>
  <c r="Z1463" i="11"/>
  <c r="X1463" i="11"/>
  <c r="Z1439" i="11"/>
  <c r="X1439" i="11"/>
  <c r="Z1431" i="11"/>
  <c r="X1431" i="11"/>
  <c r="Z1415" i="11"/>
  <c r="X1415" i="11"/>
  <c r="Z1407" i="11"/>
  <c r="X1407" i="11"/>
  <c r="X1391" i="11"/>
  <c r="Z1391" i="11"/>
  <c r="Z1383" i="11"/>
  <c r="X1383" i="11"/>
  <c r="X1375" i="11"/>
  <c r="Z1375" i="11"/>
  <c r="X1367" i="11"/>
  <c r="Z1367" i="11"/>
  <c r="Z1359" i="11"/>
  <c r="X1359" i="11"/>
  <c r="X1343" i="11"/>
  <c r="Z1343" i="11"/>
  <c r="X1327" i="11"/>
  <c r="Z1327" i="11"/>
  <c r="Z1311" i="11"/>
  <c r="X1311" i="11"/>
  <c r="Z1303" i="11"/>
  <c r="X1303" i="11"/>
  <c r="X1295" i="11"/>
  <c r="Z1295" i="11"/>
  <c r="X1271" i="11"/>
  <c r="Z1271" i="11"/>
  <c r="Z1263" i="11"/>
  <c r="X1263" i="11"/>
  <c r="Z1255" i="11"/>
  <c r="X1255" i="11"/>
  <c r="Z1247" i="11"/>
  <c r="X1247" i="11"/>
  <c r="Z1239" i="11"/>
  <c r="X1239" i="11"/>
  <c r="Z1223" i="11"/>
  <c r="X1223" i="11"/>
  <c r="Z1199" i="11"/>
  <c r="X1199" i="11"/>
  <c r="Z1183" i="11"/>
  <c r="X1183" i="11"/>
  <c r="Z1167" i="11"/>
  <c r="X1167" i="11"/>
  <c r="X1151" i="11"/>
  <c r="Z1151" i="11"/>
  <c r="Z1135" i="11"/>
  <c r="X1135" i="11"/>
  <c r="X1119" i="11"/>
  <c r="Z1119" i="11"/>
  <c r="Z1103" i="11"/>
  <c r="X1103" i="11"/>
  <c r="X1087" i="11"/>
  <c r="Z1087" i="11"/>
  <c r="X1071" i="11"/>
  <c r="Z1071" i="11"/>
  <c r="Z1047" i="11"/>
  <c r="X1047" i="11"/>
  <c r="X1031" i="11"/>
  <c r="Z1031" i="11"/>
  <c r="Z1015" i="11"/>
  <c r="X1015" i="11"/>
  <c r="Z999" i="11"/>
  <c r="X999" i="11"/>
  <c r="Z967" i="11"/>
  <c r="X967" i="11"/>
  <c r="Z943" i="11"/>
  <c r="X943" i="11"/>
  <c r="Z935" i="11"/>
  <c r="X935" i="11"/>
  <c r="Z927" i="11"/>
  <c r="X927" i="11"/>
  <c r="X919" i="11"/>
  <c r="Z919" i="11"/>
  <c r="Z911" i="11"/>
  <c r="X911" i="11"/>
  <c r="X903" i="11"/>
  <c r="Z903" i="11"/>
  <c r="X887" i="11"/>
  <c r="Z887" i="11"/>
  <c r="X871" i="11"/>
  <c r="Z871" i="11"/>
  <c r="X855" i="11"/>
  <c r="Z855" i="11"/>
  <c r="Z839" i="11"/>
  <c r="X839" i="11"/>
  <c r="Z823" i="11"/>
  <c r="X823" i="11"/>
  <c r="Z815" i="11"/>
  <c r="X815" i="11"/>
  <c r="Z807" i="11"/>
  <c r="X807" i="11"/>
  <c r="Z799" i="11"/>
  <c r="X799" i="11"/>
  <c r="Z783" i="11"/>
  <c r="X783" i="11"/>
  <c r="X775" i="11"/>
  <c r="Z775" i="11"/>
  <c r="X759" i="11"/>
  <c r="Z759" i="11"/>
  <c r="X751" i="11"/>
  <c r="Z751" i="11"/>
  <c r="X743" i="11"/>
  <c r="Z743" i="11"/>
  <c r="Z735" i="11"/>
  <c r="X735" i="11"/>
  <c r="X727" i="11"/>
  <c r="Z727" i="11"/>
  <c r="Z719" i="11"/>
  <c r="X719" i="11"/>
  <c r="Z711" i="11"/>
  <c r="X711" i="11"/>
  <c r="Z703" i="11"/>
  <c r="X703" i="11"/>
  <c r="X687" i="11"/>
  <c r="Z687" i="11"/>
  <c r="Z671" i="11"/>
  <c r="X671" i="11"/>
  <c r="X647" i="11"/>
  <c r="Z647" i="11"/>
  <c r="Z639" i="11"/>
  <c r="X639" i="11"/>
  <c r="X631" i="11"/>
  <c r="Z631" i="11"/>
  <c r="Z623" i="11"/>
  <c r="X623" i="11"/>
  <c r="X615" i="11"/>
  <c r="Z615" i="11"/>
  <c r="X607" i="11"/>
  <c r="Z607" i="11"/>
  <c r="Z599" i="11"/>
  <c r="X599" i="11"/>
  <c r="Z575" i="11"/>
  <c r="X575" i="11"/>
  <c r="Z567" i="11"/>
  <c r="X567" i="11"/>
  <c r="X559" i="11"/>
  <c r="Z559" i="11"/>
  <c r="Z551" i="11"/>
  <c r="X551" i="11"/>
  <c r="Z543" i="11"/>
  <c r="X543" i="11"/>
  <c r="Z535" i="11"/>
  <c r="X535" i="11"/>
  <c r="X527" i="11"/>
  <c r="Z527" i="11"/>
  <c r="X519" i="11"/>
  <c r="Z519" i="11"/>
  <c r="X503" i="11"/>
  <c r="Z503" i="11"/>
  <c r="X495" i="11"/>
  <c r="Z495" i="11"/>
  <c r="X487" i="11"/>
  <c r="Z487" i="11"/>
  <c r="Z479" i="11"/>
  <c r="X479" i="11"/>
  <c r="X463" i="11"/>
  <c r="Z463" i="11"/>
  <c r="Z431" i="11"/>
  <c r="X431" i="11"/>
  <c r="Z423" i="11"/>
  <c r="X423" i="11"/>
  <c r="Z407" i="11"/>
  <c r="X407" i="11"/>
  <c r="Z399" i="11"/>
  <c r="X399" i="11"/>
  <c r="Z375" i="11"/>
  <c r="X375" i="11"/>
  <c r="Z351" i="11"/>
  <c r="X351" i="11"/>
  <c r="Z327" i="11"/>
  <c r="X327" i="11"/>
  <c r="Z319" i="11"/>
  <c r="X319" i="11"/>
  <c r="Z311" i="11"/>
  <c r="X311" i="11"/>
  <c r="Z303" i="11"/>
  <c r="X303" i="11"/>
  <c r="Z295" i="11"/>
  <c r="X295" i="11"/>
  <c r="Z279" i="11"/>
  <c r="X279" i="11"/>
  <c r="Z271" i="11"/>
  <c r="X271" i="11"/>
  <c r="X255" i="11"/>
  <c r="Z255" i="11"/>
  <c r="Z231" i="11"/>
  <c r="X231" i="11"/>
  <c r="Z215" i="11"/>
  <c r="X215" i="11"/>
  <c r="X207" i="11"/>
  <c r="Z207" i="11"/>
  <c r="X183" i="11"/>
  <c r="Z183" i="11"/>
  <c r="Z167" i="11"/>
  <c r="X167" i="11"/>
  <c r="Z151" i="11"/>
  <c r="X151" i="11"/>
  <c r="Z143" i="11"/>
  <c r="X143" i="11"/>
  <c r="Z127" i="11"/>
  <c r="X127" i="11"/>
  <c r="Z103" i="11"/>
  <c r="X103" i="11"/>
  <c r="Z95" i="11"/>
  <c r="X95" i="11"/>
  <c r="Z71" i="11"/>
  <c r="X71" i="11"/>
  <c r="Z31" i="11"/>
  <c r="AB31" i="11" s="1"/>
  <c r="X31" i="11"/>
  <c r="Z23" i="11"/>
  <c r="X23" i="11"/>
  <c r="Z15" i="11"/>
  <c r="X15" i="11"/>
  <c r="X1879" i="11"/>
  <c r="X2135" i="11"/>
  <c r="X1831" i="11"/>
  <c r="X1055" i="11"/>
  <c r="Z1191" i="11"/>
  <c r="Z1911" i="11"/>
  <c r="X2047" i="11"/>
  <c r="Z2295" i="11"/>
  <c r="Z1447" i="11"/>
  <c r="Z2039" i="11"/>
  <c r="X1863" i="11"/>
  <c r="X1495" i="11"/>
  <c r="Z2103" i="11"/>
  <c r="Z951" i="11"/>
  <c r="Z591" i="11"/>
  <c r="Z2063" i="11"/>
  <c r="X1871" i="11"/>
  <c r="Z1095" i="11"/>
  <c r="X1287" i="11"/>
  <c r="Z2311" i="11"/>
  <c r="X1399" i="11"/>
  <c r="Z879" i="11"/>
  <c r="Z1575" i="11"/>
  <c r="Z1279" i="11"/>
  <c r="X2567" i="11"/>
  <c r="Z1111" i="11"/>
  <c r="X1967" i="11"/>
  <c r="X2007" i="11"/>
  <c r="X1423" i="11"/>
  <c r="X1319" i="11"/>
  <c r="Z895" i="11"/>
  <c r="Z3883" i="11"/>
  <c r="X3883" i="11"/>
  <c r="X3835" i="11"/>
  <c r="Z3835" i="11"/>
  <c r="Z3819" i="11"/>
  <c r="X3819" i="11"/>
  <c r="Z3723" i="11"/>
  <c r="Z3699" i="11"/>
  <c r="X3811" i="11"/>
  <c r="Z3787" i="11"/>
  <c r="Z3884" i="11"/>
  <c r="X3884" i="11"/>
  <c r="X3876" i="11"/>
  <c r="Z3876" i="11"/>
  <c r="Z3868" i="11"/>
  <c r="X3868" i="11"/>
  <c r="Z3860" i="11"/>
  <c r="X3860" i="11"/>
  <c r="Z3852" i="11"/>
  <c r="X3852" i="11"/>
  <c r="Z3844" i="11"/>
  <c r="X3844" i="11"/>
  <c r="X3836" i="11"/>
  <c r="Z3836" i="11"/>
  <c r="X3828" i="11"/>
  <c r="Z3828" i="11"/>
  <c r="Z3820" i="11"/>
  <c r="X3820" i="11"/>
  <c r="X3812" i="11"/>
  <c r="Z3812" i="11"/>
  <c r="Z3804" i="11"/>
  <c r="X3804" i="11"/>
  <c r="X3796" i="11"/>
  <c r="Z3796" i="11"/>
  <c r="Z3788" i="11"/>
  <c r="X3788" i="11"/>
  <c r="X3780" i="11"/>
  <c r="Z3780" i="11"/>
  <c r="Z3772" i="11"/>
  <c r="X3772" i="11"/>
  <c r="Z3764" i="11"/>
  <c r="X3764" i="11"/>
  <c r="X3756" i="11"/>
  <c r="Z3756" i="11"/>
  <c r="X3748" i="11"/>
  <c r="Z3748" i="11"/>
  <c r="X3740" i="11"/>
  <c r="Z3740" i="11"/>
  <c r="Z3732" i="11"/>
  <c r="X3732" i="11"/>
  <c r="Z3724" i="11"/>
  <c r="X3724" i="11"/>
  <c r="Z3716" i="11"/>
  <c r="X3716" i="11"/>
  <c r="Z3708" i="11"/>
  <c r="X3708" i="11"/>
  <c r="Z3700" i="11"/>
  <c r="X3700" i="11"/>
  <c r="Z3692" i="11"/>
  <c r="X3692" i="11"/>
  <c r="Z3684" i="11"/>
  <c r="X3684" i="11"/>
  <c r="Z3676" i="11"/>
  <c r="X3676" i="11"/>
  <c r="Z3668" i="11"/>
  <c r="X3668" i="11"/>
  <c r="X3660" i="11"/>
  <c r="Z3660" i="11"/>
  <c r="Z3652" i="11"/>
  <c r="X3652" i="11"/>
  <c r="Z3644" i="11"/>
  <c r="X3644" i="11"/>
  <c r="Z3636" i="11"/>
  <c r="X3636" i="11"/>
  <c r="Z3628" i="11"/>
  <c r="X3628" i="11"/>
  <c r="Z3620" i="11"/>
  <c r="X3620" i="11"/>
  <c r="X3612" i="11"/>
  <c r="Z3612" i="11"/>
  <c r="Z3604" i="11"/>
  <c r="X3604" i="11"/>
  <c r="X3596" i="11"/>
  <c r="Z3596" i="11"/>
  <c r="X3588" i="11"/>
  <c r="Z3588" i="11"/>
  <c r="Z3580" i="11"/>
  <c r="X3580" i="11"/>
  <c r="Z3572" i="11"/>
  <c r="X3572" i="11"/>
  <c r="X3564" i="11"/>
  <c r="Z3564" i="11"/>
  <c r="Z3556" i="11"/>
  <c r="X3556" i="11"/>
  <c r="Z3548" i="11"/>
  <c r="X3548" i="11"/>
  <c r="Z3540" i="11"/>
  <c r="X3540" i="11"/>
  <c r="Z3532" i="11"/>
  <c r="X3532" i="11"/>
  <c r="X3524" i="11"/>
  <c r="Z3524" i="11"/>
  <c r="Z3516" i="11"/>
  <c r="X3516" i="11"/>
  <c r="Z3508" i="11"/>
  <c r="X3508" i="11"/>
  <c r="Z3500" i="11"/>
  <c r="X3500" i="11"/>
  <c r="X3492" i="11"/>
  <c r="Z3492" i="11"/>
  <c r="Z3484" i="11"/>
  <c r="X3484" i="11"/>
  <c r="Z3476" i="11"/>
  <c r="X3476" i="11"/>
  <c r="Z3468" i="11"/>
  <c r="X3468" i="11"/>
  <c r="Z3460" i="11"/>
  <c r="X3460" i="11"/>
  <c r="X3452" i="11"/>
  <c r="Z3452" i="11"/>
  <c r="Z3444" i="11"/>
  <c r="X3444" i="11"/>
  <c r="X3436" i="11"/>
  <c r="Z3436" i="11"/>
  <c r="X3428" i="11"/>
  <c r="Z3428" i="11"/>
  <c r="X3420" i="11"/>
  <c r="Z3420" i="11"/>
  <c r="X3412" i="11"/>
  <c r="Z3412" i="11"/>
  <c r="Z3404" i="11"/>
  <c r="X3404" i="11"/>
  <c r="Z3396" i="11"/>
  <c r="X3396" i="11"/>
  <c r="Z3388" i="11"/>
  <c r="X3388" i="11"/>
  <c r="X3380" i="11"/>
  <c r="Z3380" i="11"/>
  <c r="Z3372" i="11"/>
  <c r="X3372" i="11"/>
  <c r="X3364" i="11"/>
  <c r="Z3364" i="11"/>
  <c r="Z3356" i="11"/>
  <c r="X3356" i="11"/>
  <c r="X3348" i="11"/>
  <c r="Z3348" i="11"/>
  <c r="Z3340" i="11"/>
  <c r="X3340" i="11"/>
  <c r="X3332" i="11"/>
  <c r="Z3332" i="11"/>
  <c r="X3324" i="11"/>
  <c r="Z3324" i="11"/>
  <c r="X3316" i="11"/>
  <c r="Z3316" i="11"/>
  <c r="X3308" i="11"/>
  <c r="Z3308" i="11"/>
  <c r="X3300" i="11"/>
  <c r="Z3300" i="11"/>
  <c r="Z3292" i="11"/>
  <c r="X3292" i="11"/>
  <c r="Z3284" i="11"/>
  <c r="X3284" i="11"/>
  <c r="X3276" i="11"/>
  <c r="Z3276" i="11"/>
  <c r="X3268" i="11"/>
  <c r="Z3268" i="11"/>
  <c r="Z3260" i="11"/>
  <c r="X3260" i="11"/>
  <c r="X3252" i="11"/>
  <c r="Z3252" i="11"/>
  <c r="Z3244" i="11"/>
  <c r="X3244" i="11"/>
  <c r="Z3236" i="11"/>
  <c r="X3236" i="11"/>
  <c r="Z3228" i="11"/>
  <c r="X3228" i="11"/>
  <c r="X3220" i="11"/>
  <c r="Z3220" i="11"/>
  <c r="Z3212" i="11"/>
  <c r="X3212" i="11"/>
  <c r="X3204" i="11"/>
  <c r="Z3204" i="11"/>
  <c r="Z3196" i="11"/>
  <c r="X3196" i="11"/>
  <c r="Z3188" i="11"/>
  <c r="X3188" i="11"/>
  <c r="Z3180" i="11"/>
  <c r="X3180" i="11"/>
  <c r="Z3172" i="11"/>
  <c r="X3172" i="11"/>
  <c r="X3164" i="11"/>
  <c r="Z3164" i="11"/>
  <c r="X3148" i="11"/>
  <c r="Z3148" i="11"/>
  <c r="X3140" i="11"/>
  <c r="Z3140" i="11"/>
  <c r="Z3132" i="11"/>
  <c r="X3132" i="11"/>
  <c r="Z3124" i="11"/>
  <c r="X3124" i="11"/>
  <c r="Z3116" i="11"/>
  <c r="X3116" i="11"/>
  <c r="X3108" i="11"/>
  <c r="Z3108" i="11"/>
  <c r="Z3100" i="11"/>
  <c r="X3100" i="11"/>
  <c r="X3092" i="11"/>
  <c r="Z3092" i="11"/>
  <c r="Z3084" i="11"/>
  <c r="X3084" i="11"/>
  <c r="Z3076" i="11"/>
  <c r="X3076" i="11"/>
  <c r="Z3068" i="11"/>
  <c r="X3068" i="11"/>
  <c r="Z3060" i="11"/>
  <c r="X3060" i="11"/>
  <c r="X3052" i="11"/>
  <c r="Z3052" i="11"/>
  <c r="Z3044" i="11"/>
  <c r="X3044" i="11"/>
  <c r="Z3036" i="11"/>
  <c r="X3036" i="11"/>
  <c r="Z3028" i="11"/>
  <c r="X3028" i="11"/>
  <c r="Z3020" i="11"/>
  <c r="X3020" i="11"/>
  <c r="Z3012" i="11"/>
  <c r="X3012" i="11"/>
  <c r="X3004" i="11"/>
  <c r="Z3004" i="11"/>
  <c r="Z2996" i="11"/>
  <c r="X2996" i="11"/>
  <c r="Z2988" i="11"/>
  <c r="X2988" i="11"/>
  <c r="Z2980" i="11"/>
  <c r="X2980" i="11"/>
  <c r="Z2972" i="11"/>
  <c r="X2972" i="11"/>
  <c r="X2964" i="11"/>
  <c r="Z2964" i="11"/>
  <c r="X2956" i="11"/>
  <c r="Z2956" i="11"/>
  <c r="Z2948" i="11"/>
  <c r="X2948" i="11"/>
  <c r="X2940" i="11"/>
  <c r="Z2940" i="11"/>
  <c r="X2932" i="11"/>
  <c r="Z2932" i="11"/>
  <c r="X2924" i="11"/>
  <c r="Z2924" i="11"/>
  <c r="X2916" i="11"/>
  <c r="Z2916" i="11"/>
  <c r="Z2908" i="11"/>
  <c r="X2908" i="11"/>
  <c r="X2900" i="11"/>
  <c r="Z2900" i="11"/>
  <c r="X2892" i="11"/>
  <c r="Z2892" i="11"/>
  <c r="Z2884" i="11"/>
  <c r="X2884" i="11"/>
  <c r="X2876" i="11"/>
  <c r="Z2876" i="11"/>
  <c r="Z2868" i="11"/>
  <c r="X2868" i="11"/>
  <c r="X2860" i="11"/>
  <c r="Z2860" i="11"/>
  <c r="X2852" i="11"/>
  <c r="Z2852" i="11"/>
  <c r="Z2844" i="11"/>
  <c r="X2844" i="11"/>
  <c r="X2836" i="11"/>
  <c r="Z2836" i="11"/>
  <c r="Z2828" i="11"/>
  <c r="X2828" i="11"/>
  <c r="X2820" i="11"/>
  <c r="Z2820" i="11"/>
  <c r="Z2812" i="11"/>
  <c r="X2812" i="11"/>
  <c r="X2804" i="11"/>
  <c r="Z2804" i="11"/>
  <c r="Z2796" i="11"/>
  <c r="X2796" i="11"/>
  <c r="X2788" i="11"/>
  <c r="Z2788" i="11"/>
  <c r="X2780" i="11"/>
  <c r="Z2780" i="11"/>
  <c r="Z2772" i="11"/>
  <c r="X2772" i="11"/>
  <c r="Z2756" i="11"/>
  <c r="X2756" i="11"/>
  <c r="X2748" i="11"/>
  <c r="Z2748" i="11"/>
  <c r="X2740" i="11"/>
  <c r="Z2740" i="11"/>
  <c r="X2732" i="11"/>
  <c r="Z2732" i="11"/>
  <c r="Z2724" i="11"/>
  <c r="X2724" i="11"/>
  <c r="X2716" i="11"/>
  <c r="Z2716" i="11"/>
  <c r="Z2708" i="11"/>
  <c r="X2708" i="11"/>
  <c r="Z2700" i="11"/>
  <c r="X2700" i="11"/>
  <c r="X2692" i="11"/>
  <c r="Z2692" i="11"/>
  <c r="X2684" i="11"/>
  <c r="Z2684" i="11"/>
  <c r="X2676" i="11"/>
  <c r="Z2676" i="11"/>
  <c r="X2668" i="11"/>
  <c r="Z2668" i="11"/>
  <c r="Z2660" i="11"/>
  <c r="X2660" i="11"/>
  <c r="X2652" i="11"/>
  <c r="Z2652" i="11"/>
  <c r="Z2644" i="11"/>
  <c r="X2644" i="11"/>
  <c r="Z2636" i="11"/>
  <c r="X2636" i="11"/>
  <c r="Z2628" i="11"/>
  <c r="X2628" i="11"/>
  <c r="X2620" i="11"/>
  <c r="Z2620" i="11"/>
  <c r="Z2612" i="11"/>
  <c r="X2612" i="11"/>
  <c r="X2604" i="11"/>
  <c r="Z2604" i="11"/>
  <c r="X2596" i="11"/>
  <c r="Z2596" i="11"/>
  <c r="Z2588" i="11"/>
  <c r="X2588" i="11"/>
  <c r="X2580" i="11"/>
  <c r="Z2580" i="11"/>
  <c r="X2572" i="11"/>
  <c r="Z2572" i="11"/>
  <c r="X2564" i="11"/>
  <c r="Z2564" i="11"/>
  <c r="X2556" i="11"/>
  <c r="Z2556" i="11"/>
  <c r="Z2540" i="11"/>
  <c r="X2540" i="11"/>
  <c r="Z2532" i="11"/>
  <c r="X2532" i="11"/>
  <c r="Z2524" i="11"/>
  <c r="X2524" i="11"/>
  <c r="X2516" i="11"/>
  <c r="Z2516" i="11"/>
  <c r="X2508" i="11"/>
  <c r="Z2508" i="11"/>
  <c r="X2500" i="11"/>
  <c r="Z2500" i="11"/>
  <c r="Z2492" i="11"/>
  <c r="X2492" i="11"/>
  <c r="Z2484" i="11"/>
  <c r="X2484" i="11"/>
  <c r="X2476" i="11"/>
  <c r="Z2476" i="11"/>
  <c r="X2468" i="11"/>
  <c r="Z2468" i="11"/>
  <c r="Z2460" i="11"/>
  <c r="X2460" i="11"/>
  <c r="Z2452" i="11"/>
  <c r="X2452" i="11"/>
  <c r="X2444" i="11"/>
  <c r="Z2444" i="11"/>
  <c r="Z2436" i="11"/>
  <c r="X2436" i="11"/>
  <c r="Z2428" i="11"/>
  <c r="X2428" i="11"/>
  <c r="Z2420" i="11"/>
  <c r="X2420" i="11"/>
  <c r="X2412" i="11"/>
  <c r="Z2412" i="11"/>
  <c r="Z2404" i="11"/>
  <c r="X2404" i="11"/>
  <c r="X2396" i="11"/>
  <c r="Z2396" i="11"/>
  <c r="X2388" i="11"/>
  <c r="Z2388" i="11"/>
  <c r="X2380" i="11"/>
  <c r="Z2380" i="11"/>
  <c r="Z2372" i="11"/>
  <c r="X2372" i="11"/>
  <c r="Z2364" i="11"/>
  <c r="X2364" i="11"/>
  <c r="Z2356" i="11"/>
  <c r="X2356" i="11"/>
  <c r="Z2340" i="11"/>
  <c r="X2340" i="11"/>
  <c r="X2332" i="11"/>
  <c r="Z2332" i="11"/>
  <c r="Z2324" i="11"/>
  <c r="X2324" i="11"/>
  <c r="Z2316" i="11"/>
  <c r="X2316" i="11"/>
  <c r="X2308" i="11"/>
  <c r="Z2308" i="11"/>
  <c r="X2300" i="11"/>
  <c r="Z2300" i="11"/>
  <c r="X2292" i="11"/>
  <c r="Z2292" i="11"/>
  <c r="Z2284" i="11"/>
  <c r="X2284" i="11"/>
  <c r="Z2276" i="11"/>
  <c r="X2276" i="11"/>
  <c r="Z2268" i="11"/>
  <c r="X2268" i="11"/>
  <c r="X2260" i="11"/>
  <c r="Z2260" i="11"/>
  <c r="Z2252" i="11"/>
  <c r="X2252" i="11"/>
  <c r="Z2244" i="11"/>
  <c r="X2244" i="11"/>
  <c r="Z2236" i="11"/>
  <c r="X2236" i="11"/>
  <c r="Z2228" i="11"/>
  <c r="X2228" i="11"/>
  <c r="X2220" i="11"/>
  <c r="Z2220" i="11"/>
  <c r="Z2212" i="11"/>
  <c r="X2212" i="11"/>
  <c r="X2204" i="11"/>
  <c r="Z2204" i="11"/>
  <c r="Z2196" i="11"/>
  <c r="X2196" i="11"/>
  <c r="Z2188" i="11"/>
  <c r="X2188" i="11"/>
  <c r="X2180" i="11"/>
  <c r="Z2180" i="11"/>
  <c r="Z2172" i="11"/>
  <c r="X2172" i="11"/>
  <c r="Z2164" i="11"/>
  <c r="X2164" i="11"/>
  <c r="Z2156" i="11"/>
  <c r="X2156" i="11"/>
  <c r="X2148" i="11"/>
  <c r="Z2148" i="11"/>
  <c r="Z2140" i="11"/>
  <c r="X2140" i="11"/>
  <c r="Z2132" i="11"/>
  <c r="X2132" i="11"/>
  <c r="Z2124" i="11"/>
  <c r="X2124" i="11"/>
  <c r="Z2116" i="11"/>
  <c r="X2116" i="11"/>
  <c r="Z2108" i="11"/>
  <c r="X2108" i="11"/>
  <c r="Z2100" i="11"/>
  <c r="X2100" i="11"/>
  <c r="X2092" i="11"/>
  <c r="Z2092" i="11"/>
  <c r="Z2084" i="11"/>
  <c r="X2084" i="11"/>
  <c r="Z2076" i="11"/>
  <c r="X2076" i="11"/>
  <c r="Z2068" i="11"/>
  <c r="X2068" i="11"/>
  <c r="X2060" i="11"/>
  <c r="Z2060" i="11"/>
  <c r="Z2052" i="11"/>
  <c r="X2052" i="11"/>
  <c r="Z2044" i="11"/>
  <c r="X2044" i="11"/>
  <c r="X2036" i="11"/>
  <c r="Z2036" i="11"/>
  <c r="Z2028" i="11"/>
  <c r="X2028" i="11"/>
  <c r="Z2020" i="11"/>
  <c r="X2020" i="11"/>
  <c r="Z2012" i="11"/>
  <c r="X2012" i="11"/>
  <c r="X2004" i="11"/>
  <c r="Z2004" i="11"/>
  <c r="X1996" i="11"/>
  <c r="Z1996" i="11"/>
  <c r="Z1988" i="11"/>
  <c r="X1988" i="11"/>
  <c r="X1980" i="11"/>
  <c r="Z1980" i="11"/>
  <c r="X1972" i="11"/>
  <c r="Z1972" i="11"/>
  <c r="Z1964" i="11"/>
  <c r="X1964" i="11"/>
  <c r="Z1956" i="11"/>
  <c r="X1956" i="11"/>
  <c r="X1948" i="11"/>
  <c r="Z1948" i="11"/>
  <c r="Z1940" i="11"/>
  <c r="X1940" i="11"/>
  <c r="Z1932" i="11"/>
  <c r="X1932" i="11"/>
  <c r="Z1924" i="11"/>
  <c r="X1924" i="11"/>
  <c r="Z1916" i="11"/>
  <c r="X1916" i="11"/>
  <c r="Z1908" i="11"/>
  <c r="X1908" i="11"/>
  <c r="Z1900" i="11"/>
  <c r="X1900" i="11"/>
  <c r="Z1892" i="11"/>
  <c r="X1892" i="11"/>
  <c r="X1884" i="11"/>
  <c r="Z1884" i="11"/>
  <c r="Z1876" i="11"/>
  <c r="X1876" i="11"/>
  <c r="X1868" i="11"/>
  <c r="Z1868" i="11"/>
  <c r="X1860" i="11"/>
  <c r="Z1860" i="11"/>
  <c r="Z1852" i="11"/>
  <c r="X1852" i="11"/>
  <c r="Z1844" i="11"/>
  <c r="X1844" i="11"/>
  <c r="Z1836" i="11"/>
  <c r="X1836" i="11"/>
  <c r="X1828" i="11"/>
  <c r="Z1828" i="11"/>
  <c r="Z1820" i="11"/>
  <c r="X1820" i="11"/>
  <c r="Z1812" i="11"/>
  <c r="X1812" i="11"/>
  <c r="X1804" i="11"/>
  <c r="Z1804" i="11"/>
  <c r="X1796" i="11"/>
  <c r="Z1796" i="11"/>
  <c r="X1788" i="11"/>
  <c r="Z1788" i="11"/>
  <c r="X1780" i="11"/>
  <c r="Z1780" i="11"/>
  <c r="X1772" i="11"/>
  <c r="Z1772" i="11"/>
  <c r="X1764" i="11"/>
  <c r="Z1764" i="11"/>
  <c r="X1756" i="11"/>
  <c r="Z1756" i="11"/>
  <c r="Z1748" i="11"/>
  <c r="X1748" i="11"/>
  <c r="Z1740" i="11"/>
  <c r="X1740" i="11"/>
  <c r="Z1732" i="11"/>
  <c r="X1732" i="11"/>
  <c r="Z1724" i="11"/>
  <c r="X1724" i="11"/>
  <c r="Z1716" i="11"/>
  <c r="X1716" i="11"/>
  <c r="X1708" i="11"/>
  <c r="Z1708" i="11"/>
  <c r="Z1700" i="11"/>
  <c r="X1700" i="11"/>
  <c r="Z1692" i="11"/>
  <c r="X1692" i="11"/>
  <c r="Z1684" i="11"/>
  <c r="X1684" i="11"/>
  <c r="Z1676" i="11"/>
  <c r="X1676" i="11"/>
  <c r="Z1668" i="11"/>
  <c r="X1668" i="11"/>
  <c r="Z1660" i="11"/>
  <c r="X1660" i="11"/>
  <c r="X1652" i="11"/>
  <c r="Z1652" i="11"/>
  <c r="Z1644" i="11"/>
  <c r="X1644" i="11"/>
  <c r="X1636" i="11"/>
  <c r="Z1636" i="11"/>
  <c r="X1628" i="11"/>
  <c r="Z1628" i="11"/>
  <c r="Z1620" i="11"/>
  <c r="X1620" i="11"/>
  <c r="X1612" i="11"/>
  <c r="Z1612" i="11"/>
  <c r="X1604" i="11"/>
  <c r="Z1604" i="11"/>
  <c r="Z1596" i="11"/>
  <c r="X1596" i="11"/>
  <c r="X1588" i="11"/>
  <c r="Z1588" i="11"/>
  <c r="Z1580" i="11"/>
  <c r="X1580" i="11"/>
  <c r="Z1572" i="11"/>
  <c r="X1572" i="11"/>
  <c r="Z1564" i="11"/>
  <c r="X1564" i="11"/>
  <c r="X1556" i="11"/>
  <c r="Z1556" i="11"/>
  <c r="X1548" i="11"/>
  <c r="Z1548" i="11"/>
  <c r="Z1540" i="11"/>
  <c r="X1540" i="11"/>
  <c r="Z1532" i="11"/>
  <c r="X1532" i="11"/>
  <c r="Z1524" i="11"/>
  <c r="X1524" i="11"/>
  <c r="X1516" i="11"/>
  <c r="Z1516" i="11"/>
  <c r="X1508" i="11"/>
  <c r="Z1508" i="11"/>
  <c r="Z1500" i="11"/>
  <c r="X1500" i="11"/>
  <c r="X1492" i="11"/>
  <c r="Z1492" i="11"/>
  <c r="Z1484" i="11"/>
  <c r="X1484" i="11"/>
  <c r="X1476" i="11"/>
  <c r="Z1476" i="11"/>
  <c r="X1468" i="11"/>
  <c r="Z1468" i="11"/>
  <c r="X1460" i="11"/>
  <c r="Z1460" i="11"/>
  <c r="Z1452" i="11"/>
  <c r="X1452" i="11"/>
  <c r="X1444" i="11"/>
  <c r="Z1444" i="11"/>
  <c r="Z1436" i="11"/>
  <c r="X1436" i="11"/>
  <c r="X1428" i="11"/>
  <c r="Z1428" i="11"/>
  <c r="Z1420" i="11"/>
  <c r="X1420" i="11"/>
  <c r="X1412" i="11"/>
  <c r="Z1412" i="11"/>
  <c r="Z1404" i="11"/>
  <c r="X1404" i="11"/>
  <c r="X1396" i="11"/>
  <c r="Z1396" i="11"/>
  <c r="X1388" i="11"/>
  <c r="Z1388" i="11"/>
  <c r="Z1380" i="11"/>
  <c r="X1380" i="11"/>
  <c r="Z1372" i="11"/>
  <c r="X1372" i="11"/>
  <c r="Z1364" i="11"/>
  <c r="X1364" i="11"/>
  <c r="Z1356" i="11"/>
  <c r="X1356" i="11"/>
  <c r="Z1348" i="11"/>
  <c r="X1348" i="11"/>
  <c r="X1340" i="11"/>
  <c r="Z1340" i="11"/>
  <c r="Z1332" i="11"/>
  <c r="X1332" i="11"/>
  <c r="Z1324" i="11"/>
  <c r="X1324" i="11"/>
  <c r="X1316" i="11"/>
  <c r="Z1316" i="11"/>
  <c r="Z1308" i="11"/>
  <c r="X1308" i="11"/>
  <c r="Z1300" i="11"/>
  <c r="X1300" i="11"/>
  <c r="Z1292" i="11"/>
  <c r="X1292" i="11"/>
  <c r="Z1284" i="11"/>
  <c r="X1284" i="11"/>
  <c r="Z1276" i="11"/>
  <c r="X1276" i="11"/>
  <c r="Z1268" i="11"/>
  <c r="X1268" i="11"/>
  <c r="X1260" i="11"/>
  <c r="Z1260" i="11"/>
  <c r="Z1252" i="11"/>
  <c r="X1252" i="11"/>
  <c r="Z1244" i="11"/>
  <c r="X1244" i="11"/>
  <c r="Z1236" i="11"/>
  <c r="X1236" i="11"/>
  <c r="Z1228" i="11"/>
  <c r="X1228" i="11"/>
  <c r="X1220" i="11"/>
  <c r="Z1220" i="11"/>
  <c r="Z1212" i="11"/>
  <c r="X1212" i="11"/>
  <c r="Z1204" i="11"/>
  <c r="X1204" i="11"/>
  <c r="Z1196" i="11"/>
  <c r="X1196" i="11"/>
  <c r="Z1188" i="11"/>
  <c r="X1188" i="11"/>
  <c r="Z1180" i="11"/>
  <c r="X1180" i="11"/>
  <c r="Z1172" i="11"/>
  <c r="X1172" i="11"/>
  <c r="X1164" i="11"/>
  <c r="Z1164" i="11"/>
  <c r="Z1156" i="11"/>
  <c r="X1156" i="11"/>
  <c r="X1148" i="11"/>
  <c r="Z1148" i="11"/>
  <c r="X1140" i="11"/>
  <c r="Z1140" i="11"/>
  <c r="Z1132" i="11"/>
  <c r="X1132" i="11"/>
  <c r="X1124" i="11"/>
  <c r="Z1124" i="11"/>
  <c r="X1116" i="11"/>
  <c r="Z1116" i="11"/>
  <c r="Z1108" i="11"/>
  <c r="X1108" i="11"/>
  <c r="Z1100" i="11"/>
  <c r="X1100" i="11"/>
  <c r="Z1092" i="11"/>
  <c r="X1092" i="11"/>
  <c r="X1084" i="11"/>
  <c r="Z1084" i="11"/>
  <c r="X1076" i="11"/>
  <c r="Z1076" i="11"/>
  <c r="X1068" i="11"/>
  <c r="Z1068" i="11"/>
  <c r="X1060" i="11"/>
  <c r="Z1060" i="11"/>
  <c r="X1052" i="11"/>
  <c r="Z1052" i="11"/>
  <c r="Z1044" i="11"/>
  <c r="X1044" i="11"/>
  <c r="Z1036" i="11"/>
  <c r="X1036" i="11"/>
  <c r="X1028" i="11"/>
  <c r="Z1028" i="11"/>
  <c r="Z1020" i="11"/>
  <c r="X1020" i="11"/>
  <c r="Z1012" i="11"/>
  <c r="X1012" i="11"/>
  <c r="Z1004" i="11"/>
  <c r="X1004" i="11"/>
  <c r="X996" i="11"/>
  <c r="Z996" i="11"/>
  <c r="Z988" i="11"/>
  <c r="X988" i="11"/>
  <c r="X980" i="11"/>
  <c r="Z980" i="11"/>
  <c r="X972" i="11"/>
  <c r="Z972" i="11"/>
  <c r="Z964" i="11"/>
  <c r="X964" i="11"/>
  <c r="X956" i="11"/>
  <c r="Z956" i="11"/>
  <c r="X948" i="11"/>
  <c r="Z948" i="11"/>
  <c r="Z940" i="11"/>
  <c r="X940" i="11"/>
  <c r="X932" i="11"/>
  <c r="Z932" i="11"/>
  <c r="Z924" i="11"/>
  <c r="X924" i="11"/>
  <c r="Z916" i="11"/>
  <c r="X916" i="11"/>
  <c r="Z908" i="11"/>
  <c r="X908" i="11"/>
  <c r="X900" i="11"/>
  <c r="Z900" i="11"/>
  <c r="X892" i="11"/>
  <c r="Z892" i="11"/>
  <c r="Z884" i="11"/>
  <c r="X884" i="11"/>
  <c r="Z876" i="11"/>
  <c r="X876" i="11"/>
  <c r="Z868" i="11"/>
  <c r="X868" i="11"/>
  <c r="Z860" i="11"/>
  <c r="X860" i="11"/>
  <c r="Z852" i="11"/>
  <c r="X852" i="11"/>
  <c r="Z844" i="11"/>
  <c r="X844" i="11"/>
  <c r="X836" i="11"/>
  <c r="Z836" i="11"/>
  <c r="Z828" i="11"/>
  <c r="X828" i="11"/>
  <c r="X820" i="11"/>
  <c r="Z820" i="11"/>
  <c r="Z812" i="11"/>
  <c r="X812" i="11"/>
  <c r="Z804" i="11"/>
  <c r="X804" i="11"/>
  <c r="X796" i="11"/>
  <c r="Z796" i="11"/>
  <c r="Z788" i="11"/>
  <c r="X788" i="11"/>
  <c r="X780" i="11"/>
  <c r="Z780" i="11"/>
  <c r="Z772" i="11"/>
  <c r="X772" i="11"/>
  <c r="Z764" i="11"/>
  <c r="X764" i="11"/>
  <c r="X756" i="11"/>
  <c r="Z756" i="11"/>
  <c r="Z748" i="11"/>
  <c r="X748" i="11"/>
  <c r="X740" i="11"/>
  <c r="Z740" i="11"/>
  <c r="Z732" i="11"/>
  <c r="X732" i="11"/>
  <c r="X724" i="11"/>
  <c r="Z724" i="11"/>
  <c r="X716" i="11"/>
  <c r="Z716" i="11"/>
  <c r="X708" i="11"/>
  <c r="Z708" i="11"/>
  <c r="Z700" i="11"/>
  <c r="X700" i="11"/>
  <c r="Z692" i="11"/>
  <c r="X692" i="11"/>
  <c r="X684" i="11"/>
  <c r="Z684" i="11"/>
  <c r="X676" i="11"/>
  <c r="Z676" i="11"/>
  <c r="Z668" i="11"/>
  <c r="X668" i="11"/>
  <c r="Z660" i="11"/>
  <c r="X660" i="11"/>
  <c r="Z652" i="11"/>
  <c r="X652" i="11"/>
  <c r="X644" i="11"/>
  <c r="Z644" i="11"/>
  <c r="Z636" i="11"/>
  <c r="X636" i="11"/>
  <c r="Z628" i="11"/>
  <c r="X628" i="11"/>
  <c r="Z620" i="11"/>
  <c r="X620" i="11"/>
  <c r="X612" i="11"/>
  <c r="Z612" i="11"/>
  <c r="Z604" i="11"/>
  <c r="X604" i="11"/>
  <c r="Z596" i="11"/>
  <c r="X596" i="11"/>
  <c r="Z588" i="11"/>
  <c r="X588" i="11"/>
  <c r="Z580" i="11"/>
  <c r="X580" i="11"/>
  <c r="X572" i="11"/>
  <c r="Z572" i="11"/>
  <c r="Z564" i="11"/>
  <c r="X564" i="11"/>
  <c r="X556" i="11"/>
  <c r="Z556" i="11"/>
  <c r="Z548" i="11"/>
  <c r="X548" i="11"/>
  <c r="Z540" i="11"/>
  <c r="X540" i="11"/>
  <c r="Z532" i="11"/>
  <c r="X532" i="11"/>
  <c r="X524" i="11"/>
  <c r="Z524" i="11"/>
  <c r="Z516" i="11"/>
  <c r="X516" i="11"/>
  <c r="Z508" i="11"/>
  <c r="X508" i="11"/>
  <c r="Z500" i="11"/>
  <c r="X500" i="11"/>
  <c r="Z492" i="11"/>
  <c r="X492" i="11"/>
  <c r="Z484" i="11"/>
  <c r="X484" i="11"/>
  <c r="Z476" i="11"/>
  <c r="X476" i="11"/>
  <c r="X468" i="11"/>
  <c r="Z468" i="11"/>
  <c r="Z460" i="11"/>
  <c r="X460" i="11"/>
  <c r="Z452" i="11"/>
  <c r="X452" i="11"/>
  <c r="X444" i="11"/>
  <c r="Z444" i="11"/>
  <c r="X436" i="11"/>
  <c r="Z436" i="11"/>
  <c r="Z428" i="11"/>
  <c r="X428" i="11"/>
  <c r="X420" i="11"/>
  <c r="Z420" i="11"/>
  <c r="X412" i="11"/>
  <c r="Z412" i="11"/>
  <c r="Z404" i="11"/>
  <c r="X404" i="11"/>
  <c r="X396" i="11"/>
  <c r="Z396" i="11"/>
  <c r="Z388" i="11"/>
  <c r="X388" i="11"/>
  <c r="Z380" i="11"/>
  <c r="X380" i="11"/>
  <c r="X372" i="11"/>
  <c r="Z372" i="11"/>
  <c r="X364" i="11"/>
  <c r="Z364" i="11"/>
  <c r="Z356" i="11"/>
  <c r="X356" i="11"/>
  <c r="Z348" i="11"/>
  <c r="X348" i="11"/>
  <c r="X340" i="11"/>
  <c r="Z340" i="11"/>
  <c r="Z332" i="11"/>
  <c r="X332" i="11"/>
  <c r="X324" i="11"/>
  <c r="Z324" i="11"/>
  <c r="Z316" i="11"/>
  <c r="X316" i="11"/>
  <c r="Z308" i="11"/>
  <c r="X308" i="11"/>
  <c r="X300" i="11"/>
  <c r="Z300" i="11"/>
  <c r="X292" i="11"/>
  <c r="Z292" i="11"/>
  <c r="X284" i="11"/>
  <c r="Z284" i="11"/>
  <c r="Z276" i="11"/>
  <c r="X276" i="11"/>
  <c r="X268" i="11"/>
  <c r="Z268" i="11"/>
  <c r="X260" i="11"/>
  <c r="Z260" i="11"/>
  <c r="Z252" i="11"/>
  <c r="X252" i="11"/>
  <c r="Z244" i="11"/>
  <c r="X244" i="11"/>
  <c r="X236" i="11"/>
  <c r="Z236" i="11"/>
  <c r="Z228" i="11"/>
  <c r="X228" i="11"/>
  <c r="X220" i="11"/>
  <c r="Z220" i="11"/>
  <c r="Z212" i="11"/>
  <c r="X212" i="11"/>
  <c r="X204" i="11"/>
  <c r="Z204" i="11"/>
  <c r="X196" i="11"/>
  <c r="Z196" i="11"/>
  <c r="Z188" i="11"/>
  <c r="X188" i="11"/>
  <c r="X180" i="11"/>
  <c r="Z180" i="11"/>
  <c r="Z172" i="11"/>
  <c r="X172" i="11"/>
  <c r="Z164" i="11"/>
  <c r="X164" i="11"/>
  <c r="Z156" i="11"/>
  <c r="X156" i="11"/>
  <c r="Z148" i="11"/>
  <c r="X148" i="11"/>
  <c r="Z140" i="11"/>
  <c r="X140" i="11"/>
  <c r="Z132" i="11"/>
  <c r="X132" i="11"/>
  <c r="X124" i="11"/>
  <c r="Z124" i="11"/>
  <c r="Z116" i="11"/>
  <c r="X116" i="11"/>
  <c r="X108" i="11"/>
  <c r="Z108" i="11"/>
  <c r="Z100" i="11"/>
  <c r="X100" i="11"/>
  <c r="Z92" i="11"/>
  <c r="X92" i="11"/>
  <c r="Z84" i="11"/>
  <c r="X84" i="11"/>
  <c r="Z76" i="11"/>
  <c r="X76" i="11"/>
  <c r="Z68" i="11"/>
  <c r="X68" i="11"/>
  <c r="Z60" i="11"/>
  <c r="X60" i="11"/>
  <c r="X52" i="11"/>
  <c r="Z52" i="11"/>
  <c r="Z44" i="11"/>
  <c r="X44" i="11"/>
  <c r="Z36" i="11"/>
  <c r="X36" i="11"/>
  <c r="Z28" i="11"/>
  <c r="X28" i="11"/>
  <c r="Z20" i="11"/>
  <c r="X20" i="11"/>
  <c r="Z12" i="11"/>
  <c r="X12" i="11"/>
  <c r="Y3865" i="11"/>
  <c r="V3865" i="11"/>
  <c r="V3785" i="11"/>
  <c r="V3737" i="11"/>
  <c r="Y3737" i="11"/>
  <c r="Y3713" i="11"/>
  <c r="V3713" i="11"/>
  <c r="Y3601" i="11"/>
  <c r="V3601" i="11"/>
  <c r="Y3481" i="11"/>
  <c r="V3481" i="11"/>
  <c r="Y3457" i="11"/>
  <c r="V3457" i="11"/>
  <c r="Y3409" i="11"/>
  <c r="V3409" i="11"/>
  <c r="V3353" i="11"/>
  <c r="Y3353" i="11"/>
  <c r="V3337" i="11"/>
  <c r="Y3289" i="11"/>
  <c r="V3289" i="11"/>
  <c r="Y3265" i="11"/>
  <c r="V3225" i="11"/>
  <c r="Y3225" i="11"/>
  <c r="Y3217" i="11"/>
  <c r="V3217" i="11"/>
  <c r="Y3161" i="11"/>
  <c r="V3161" i="11"/>
  <c r="Y3137" i="11"/>
  <c r="V3137" i="11"/>
  <c r="V3081" i="11"/>
  <c r="Y3073" i="11"/>
  <c r="V3073" i="11"/>
  <c r="Y3033" i="11"/>
  <c r="V3033" i="11"/>
  <c r="Y3009" i="11"/>
  <c r="V3009" i="11"/>
  <c r="Y2969" i="11"/>
  <c r="V2969" i="11"/>
  <c r="V2961" i="11"/>
  <c r="Y2961" i="11"/>
  <c r="Y2945" i="11"/>
  <c r="V2945" i="11"/>
  <c r="V2841" i="11"/>
  <c r="Y2841" i="11"/>
  <c r="Y2833" i="11"/>
  <c r="V2833" i="11"/>
  <c r="Y2617" i="11"/>
  <c r="V2617" i="11"/>
  <c r="Y2521" i="11"/>
  <c r="V2521" i="11"/>
  <c r="V3537" i="11"/>
  <c r="V3577" i="11"/>
  <c r="Y3321" i="11"/>
  <c r="V3265" i="11"/>
  <c r="V2553" i="11" l="1"/>
  <c r="Y3449" i="11"/>
  <c r="V3833" i="11"/>
  <c r="AA3321" i="11"/>
  <c r="V3641" i="11"/>
  <c r="Y3129" i="11"/>
  <c r="AB3129" i="11" s="1"/>
  <c r="Y3513" i="11"/>
  <c r="V3889" i="11"/>
  <c r="AA3889" i="11" s="1"/>
  <c r="V3249" i="11"/>
  <c r="V2529" i="11"/>
  <c r="AA2529" i="11" s="1"/>
  <c r="Y1249" i="11"/>
  <c r="AB1249" i="11" s="1"/>
  <c r="V3745" i="11"/>
  <c r="V2657" i="11"/>
  <c r="AA2657" i="11" s="1"/>
  <c r="AA737" i="11"/>
  <c r="Y737" i="11"/>
  <c r="AB737" i="11" s="1"/>
  <c r="Y3617" i="11"/>
  <c r="AB3617" i="11" s="1"/>
  <c r="V2785" i="11"/>
  <c r="AA2785" i="11" s="1"/>
  <c r="V3633" i="11"/>
  <c r="AA3633" i="11" s="1"/>
  <c r="Y2793" i="11"/>
  <c r="AB2793" i="11" s="1"/>
  <c r="V3305" i="11"/>
  <c r="AA3305" i="11" s="1"/>
  <c r="V3241" i="11"/>
  <c r="AA3241" i="11" s="1"/>
  <c r="Y3561" i="11"/>
  <c r="AB3561" i="11" s="1"/>
  <c r="V3625" i="11"/>
  <c r="AA3625" i="11" s="1"/>
  <c r="AA3561" i="11"/>
  <c r="Y2601" i="11"/>
  <c r="AB2601" i="11" s="1"/>
  <c r="V297" i="11"/>
  <c r="AA297" i="11" s="1"/>
  <c r="V2281" i="11"/>
  <c r="AA2281" i="11" s="1"/>
  <c r="Y2729" i="11"/>
  <c r="AB2729" i="11" s="1"/>
  <c r="V3369" i="11"/>
  <c r="AA3369" i="11" s="1"/>
  <c r="V3689" i="11"/>
  <c r="AA3689" i="11" s="1"/>
  <c r="V3177" i="11"/>
  <c r="AA3177" i="11" s="1"/>
  <c r="V3817" i="11"/>
  <c r="AA3817" i="11" s="1"/>
  <c r="Y3113" i="11"/>
  <c r="AB3113" i="11" s="1"/>
  <c r="AB3369" i="11"/>
  <c r="F45" i="54"/>
  <c r="V2993" i="11"/>
  <c r="AA2993" i="11" s="1"/>
  <c r="Y3569" i="11"/>
  <c r="AB3569" i="11" s="1"/>
  <c r="V3377" i="11"/>
  <c r="AA3377" i="11" s="1"/>
  <c r="Y2673" i="11"/>
  <c r="AB2673" i="11" s="1"/>
  <c r="Y3001" i="11"/>
  <c r="AB3001" i="11" s="1"/>
  <c r="V2737" i="11"/>
  <c r="AA2737" i="11" s="1"/>
  <c r="V3505" i="11"/>
  <c r="AA3505" i="11" s="1"/>
  <c r="V3257" i="11"/>
  <c r="AA3257" i="11" s="1"/>
  <c r="V2745" i="11"/>
  <c r="AA2745" i="11" s="1"/>
  <c r="Y3017" i="11"/>
  <c r="AB3017" i="11" s="1"/>
  <c r="V2633" i="11"/>
  <c r="AA2633" i="11" s="1"/>
  <c r="V3721" i="11"/>
  <c r="AA3721" i="11" s="1"/>
  <c r="V2761" i="11"/>
  <c r="AA2761" i="11" s="1"/>
  <c r="Y3209" i="11"/>
  <c r="AB3209" i="11" s="1"/>
  <c r="V3529" i="11"/>
  <c r="AA3529" i="11" s="1"/>
  <c r="V3593" i="11"/>
  <c r="AA3593" i="11" s="1"/>
  <c r="Y3657" i="11"/>
  <c r="AB3657" i="11" s="1"/>
  <c r="Y3145" i="11"/>
  <c r="AB3145" i="11" s="1"/>
  <c r="G46" i="54"/>
  <c r="G96" i="54"/>
  <c r="F199" i="54"/>
  <c r="F58" i="54" s="1"/>
  <c r="G108" i="54"/>
  <c r="G58" i="54"/>
  <c r="G51" i="54"/>
  <c r="G101" i="54"/>
  <c r="F50" i="54"/>
  <c r="F36" i="54"/>
  <c r="G42" i="54"/>
  <c r="G92" i="54"/>
  <c r="G148" i="54"/>
  <c r="G97" i="54"/>
  <c r="G47" i="54"/>
  <c r="G80" i="54"/>
  <c r="G30" i="54"/>
  <c r="F202" i="54"/>
  <c r="F61" i="54" s="1"/>
  <c r="G111" i="54"/>
  <c r="G61" i="54"/>
  <c r="G83" i="54"/>
  <c r="G41" i="54"/>
  <c r="G91" i="54"/>
  <c r="F149" i="54"/>
  <c r="F48" i="54"/>
  <c r="G72" i="54"/>
  <c r="G33" i="54"/>
  <c r="F39" i="54"/>
  <c r="G31" i="54"/>
  <c r="G93" i="54"/>
  <c r="G43" i="54"/>
  <c r="G55" i="54"/>
  <c r="G105" i="54"/>
  <c r="F31" i="54"/>
  <c r="F34" i="54"/>
  <c r="F190" i="54"/>
  <c r="F49" i="54" s="1"/>
  <c r="G99" i="54"/>
  <c r="G49" i="54"/>
  <c r="G122" i="54"/>
  <c r="G25" i="54"/>
  <c r="G75" i="54"/>
  <c r="F200" i="54"/>
  <c r="F59" i="54" s="1"/>
  <c r="G59" i="54"/>
  <c r="G109" i="54"/>
  <c r="G57" i="54"/>
  <c r="G107" i="54"/>
  <c r="G60" i="54"/>
  <c r="G110" i="54"/>
  <c r="F176" i="54"/>
  <c r="F35" i="54" s="1"/>
  <c r="G85" i="54"/>
  <c r="G35" i="54"/>
  <c r="F38" i="54"/>
  <c r="F37" i="54"/>
  <c r="F181" i="54"/>
  <c r="F40" i="54" s="1"/>
  <c r="G40" i="54"/>
  <c r="G90" i="54"/>
  <c r="G145" i="54"/>
  <c r="G44" i="54"/>
  <c r="G94" i="54"/>
  <c r="G54" i="54"/>
  <c r="G53" i="54"/>
  <c r="G103" i="54"/>
  <c r="G106" i="54"/>
  <c r="G56" i="54"/>
  <c r="F193" i="54"/>
  <c r="G102" i="54"/>
  <c r="G52" i="54"/>
  <c r="T2712" i="11"/>
  <c r="U2682" i="11"/>
  <c r="Y2682" i="11" s="1"/>
  <c r="T2682" i="11"/>
  <c r="T57" i="11"/>
  <c r="U57" i="11"/>
  <c r="U121" i="11"/>
  <c r="T121" i="11"/>
  <c r="U185" i="11"/>
  <c r="T185" i="11"/>
  <c r="U249" i="11"/>
  <c r="T249" i="11"/>
  <c r="U313" i="11"/>
  <c r="T313" i="11"/>
  <c r="U505" i="11"/>
  <c r="T505" i="11"/>
  <c r="U569" i="11"/>
  <c r="T569" i="11"/>
  <c r="U633" i="11"/>
  <c r="T633" i="11"/>
  <c r="U697" i="11"/>
  <c r="T697" i="11"/>
  <c r="U761" i="11"/>
  <c r="T761" i="11"/>
  <c r="U825" i="11"/>
  <c r="T825" i="11"/>
  <c r="U889" i="11"/>
  <c r="T889" i="11"/>
  <c r="U953" i="11"/>
  <c r="T953" i="11"/>
  <c r="U1017" i="11"/>
  <c r="T1017" i="11"/>
  <c r="U1081" i="11"/>
  <c r="T1081" i="11"/>
  <c r="U1209" i="11"/>
  <c r="T1209" i="11"/>
  <c r="U1273" i="11"/>
  <c r="T1273" i="11"/>
  <c r="U1337" i="11"/>
  <c r="T1337" i="11"/>
  <c r="U1465" i="11"/>
  <c r="T1465" i="11"/>
  <c r="U1529" i="11"/>
  <c r="T1529" i="11"/>
  <c r="U1721" i="11"/>
  <c r="T1721" i="11"/>
  <c r="U1785" i="11"/>
  <c r="T1785" i="11"/>
  <c r="U1913" i="11"/>
  <c r="T1913" i="11"/>
  <c r="U2041" i="11"/>
  <c r="T2041" i="11"/>
  <c r="U2105" i="11"/>
  <c r="T2105" i="11"/>
  <c r="U2169" i="11"/>
  <c r="T2169" i="11"/>
  <c r="U2233" i="11"/>
  <c r="T2233" i="11"/>
  <c r="U2297" i="11"/>
  <c r="T2297" i="11"/>
  <c r="U2361" i="11"/>
  <c r="T2361" i="11"/>
  <c r="U2425" i="11"/>
  <c r="T2425" i="11"/>
  <c r="U2489" i="11"/>
  <c r="T2489" i="11"/>
  <c r="U3705" i="11"/>
  <c r="T3705" i="11"/>
  <c r="U65" i="11"/>
  <c r="T65" i="11"/>
  <c r="U193" i="11"/>
  <c r="T193" i="11"/>
  <c r="U257" i="11"/>
  <c r="T257" i="11"/>
  <c r="U449" i="11"/>
  <c r="T449" i="11"/>
  <c r="U513" i="11"/>
  <c r="T513" i="11"/>
  <c r="U577" i="11"/>
  <c r="T577" i="11"/>
  <c r="U641" i="11"/>
  <c r="T641" i="11"/>
  <c r="U705" i="11"/>
  <c r="T705" i="11"/>
  <c r="U769" i="11"/>
  <c r="T769" i="11"/>
  <c r="U833" i="11"/>
  <c r="T833" i="11"/>
  <c r="U897" i="11"/>
  <c r="T897" i="11"/>
  <c r="U961" i="11"/>
  <c r="T961" i="11"/>
  <c r="U1025" i="11"/>
  <c r="T1025" i="11"/>
  <c r="U1089" i="11"/>
  <c r="T1089" i="11"/>
  <c r="U1153" i="11"/>
  <c r="T1153" i="11"/>
  <c r="U1217" i="11"/>
  <c r="T1217" i="11"/>
  <c r="U1281" i="11"/>
  <c r="T1281" i="11"/>
  <c r="U1345" i="11"/>
  <c r="T1345" i="11"/>
  <c r="U1409" i="11"/>
  <c r="T1409" i="11"/>
  <c r="U1537" i="11"/>
  <c r="T1537" i="11"/>
  <c r="U1601" i="11"/>
  <c r="T1601" i="11"/>
  <c r="U1665" i="11"/>
  <c r="T1665" i="11"/>
  <c r="U1729" i="11"/>
  <c r="T1729" i="11"/>
  <c r="U1857" i="11"/>
  <c r="T1857" i="11"/>
  <c r="U1921" i="11"/>
  <c r="T1921" i="11"/>
  <c r="U1985" i="11"/>
  <c r="T1985" i="11"/>
  <c r="U2049" i="11"/>
  <c r="T2049" i="11"/>
  <c r="U2177" i="11"/>
  <c r="T2177" i="11"/>
  <c r="U2241" i="11"/>
  <c r="T2241" i="11"/>
  <c r="U2305" i="11"/>
  <c r="T2305" i="11"/>
  <c r="U2369" i="11"/>
  <c r="T2369" i="11"/>
  <c r="U2433" i="11"/>
  <c r="T2433" i="11"/>
  <c r="U2497" i="11"/>
  <c r="T2497" i="11"/>
  <c r="U2561" i="11"/>
  <c r="T2561" i="11"/>
  <c r="U2625" i="11"/>
  <c r="T2625" i="11"/>
  <c r="U2689" i="11"/>
  <c r="T2689" i="11"/>
  <c r="U2753" i="11"/>
  <c r="T2753" i="11"/>
  <c r="U3329" i="11"/>
  <c r="T3329" i="11"/>
  <c r="U3649" i="11"/>
  <c r="T3649" i="11"/>
  <c r="U73" i="11"/>
  <c r="T73" i="11"/>
  <c r="U137" i="11"/>
  <c r="T137" i="11"/>
  <c r="U201" i="11"/>
  <c r="T201" i="11"/>
  <c r="U265" i="11"/>
  <c r="T265" i="11"/>
  <c r="U329" i="11"/>
  <c r="T329" i="11"/>
  <c r="U393" i="11"/>
  <c r="T393" i="11"/>
  <c r="U457" i="11"/>
  <c r="T457" i="11"/>
  <c r="U521" i="11"/>
  <c r="T521" i="11"/>
  <c r="U649" i="11"/>
  <c r="T649" i="11"/>
  <c r="U713" i="11"/>
  <c r="T713" i="11"/>
  <c r="U841" i="11"/>
  <c r="T841" i="11"/>
  <c r="U905" i="11"/>
  <c r="T905" i="11"/>
  <c r="U969" i="11"/>
  <c r="T969" i="11"/>
  <c r="U1033" i="11"/>
  <c r="T1033" i="11"/>
  <c r="U1161" i="11"/>
  <c r="T1161" i="11"/>
  <c r="U1225" i="11"/>
  <c r="T1225" i="11"/>
  <c r="U1289" i="11"/>
  <c r="T1289" i="11"/>
  <c r="U1353" i="11"/>
  <c r="T1353" i="11"/>
  <c r="U1417" i="11"/>
  <c r="T1417" i="11"/>
  <c r="U1481" i="11"/>
  <c r="T1481" i="11"/>
  <c r="U1545" i="11"/>
  <c r="T1545" i="11"/>
  <c r="U1609" i="11"/>
  <c r="T1609" i="11"/>
  <c r="U1673" i="11"/>
  <c r="T1673" i="11"/>
  <c r="U1737" i="11"/>
  <c r="T1737" i="11"/>
  <c r="U1801" i="11"/>
  <c r="T1801" i="11"/>
  <c r="U1865" i="11"/>
  <c r="T1865" i="11"/>
  <c r="U1929" i="11"/>
  <c r="T1929" i="11"/>
  <c r="U1993" i="11"/>
  <c r="T1993" i="11"/>
  <c r="U2057" i="11"/>
  <c r="T2057" i="11"/>
  <c r="U2185" i="11"/>
  <c r="T2185" i="11"/>
  <c r="U2249" i="11"/>
  <c r="T2249" i="11"/>
  <c r="U2313" i="11"/>
  <c r="T2313" i="11"/>
  <c r="U2377" i="11"/>
  <c r="T2377" i="11"/>
  <c r="U2441" i="11"/>
  <c r="T2441" i="11"/>
  <c r="U2505" i="11"/>
  <c r="T2505" i="11"/>
  <c r="U2697" i="11"/>
  <c r="T2697" i="11"/>
  <c r="U3849" i="11"/>
  <c r="T3849" i="11"/>
  <c r="U81" i="11"/>
  <c r="T81" i="11"/>
  <c r="U145" i="11"/>
  <c r="T145" i="11"/>
  <c r="U337" i="11"/>
  <c r="T337" i="11"/>
  <c r="U401" i="11"/>
  <c r="T401" i="11"/>
  <c r="U465" i="11"/>
  <c r="T465" i="11"/>
  <c r="U529" i="11"/>
  <c r="T529" i="11"/>
  <c r="U593" i="11"/>
  <c r="T593" i="11"/>
  <c r="U657" i="11"/>
  <c r="T657" i="11"/>
  <c r="U721" i="11"/>
  <c r="T721" i="11"/>
  <c r="U785" i="11"/>
  <c r="T785" i="11"/>
  <c r="U849" i="11"/>
  <c r="T849" i="11"/>
  <c r="U913" i="11"/>
  <c r="T913" i="11"/>
  <c r="U977" i="11"/>
  <c r="T977" i="11"/>
  <c r="T1041" i="11"/>
  <c r="U1041" i="11"/>
  <c r="U1105" i="11"/>
  <c r="T1105" i="11"/>
  <c r="U1169" i="11"/>
  <c r="T1169" i="11"/>
  <c r="U1233" i="11"/>
  <c r="T1233" i="11"/>
  <c r="U1361" i="11"/>
  <c r="T1361" i="11"/>
  <c r="U1425" i="11"/>
  <c r="T1425" i="11"/>
  <c r="U1617" i="11"/>
  <c r="T1617" i="11"/>
  <c r="U1681" i="11"/>
  <c r="T1681" i="11"/>
  <c r="U1873" i="11"/>
  <c r="T1873" i="11"/>
  <c r="U1937" i="11"/>
  <c r="T1937" i="11"/>
  <c r="U2001" i="11"/>
  <c r="T2001" i="11"/>
  <c r="U2065" i="11"/>
  <c r="T2065" i="11"/>
  <c r="U2129" i="11"/>
  <c r="T2129" i="11"/>
  <c r="U2257" i="11"/>
  <c r="T2257" i="11"/>
  <c r="U2321" i="11"/>
  <c r="T2321" i="11"/>
  <c r="U2385" i="11"/>
  <c r="T2385" i="11"/>
  <c r="U2449" i="11"/>
  <c r="T2449" i="11"/>
  <c r="U2513" i="11"/>
  <c r="T2513" i="11"/>
  <c r="U2769" i="11"/>
  <c r="T2769" i="11"/>
  <c r="U217" i="11"/>
  <c r="T217" i="11"/>
  <c r="U281" i="11"/>
  <c r="T281" i="11"/>
  <c r="U345" i="11"/>
  <c r="T345" i="11"/>
  <c r="U409" i="11"/>
  <c r="T409" i="11"/>
  <c r="U473" i="11"/>
  <c r="T473" i="11"/>
  <c r="U537" i="11"/>
  <c r="T537" i="11"/>
  <c r="U601" i="11"/>
  <c r="T601" i="11"/>
  <c r="U665" i="11"/>
  <c r="T665" i="11"/>
  <c r="U729" i="11"/>
  <c r="T729" i="11"/>
  <c r="U793" i="11"/>
  <c r="T793" i="11"/>
  <c r="U857" i="11"/>
  <c r="T857" i="11"/>
  <c r="U921" i="11"/>
  <c r="T921" i="11"/>
  <c r="U985" i="11"/>
  <c r="T985" i="11"/>
  <c r="U1049" i="11"/>
  <c r="T1049" i="11"/>
  <c r="U1113" i="11"/>
  <c r="T1113" i="11"/>
  <c r="U1241" i="11"/>
  <c r="T1241" i="11"/>
  <c r="U1305" i="11"/>
  <c r="T1305" i="11"/>
  <c r="U1561" i="11"/>
  <c r="T1561" i="11"/>
  <c r="U1625" i="11"/>
  <c r="T1625" i="11"/>
  <c r="U1689" i="11"/>
  <c r="T1689" i="11"/>
  <c r="U1753" i="11"/>
  <c r="T1753" i="11"/>
  <c r="U1817" i="11"/>
  <c r="T1817" i="11"/>
  <c r="U1881" i="11"/>
  <c r="T1881" i="11"/>
  <c r="U1945" i="11"/>
  <c r="T1945" i="11"/>
  <c r="U2073" i="11"/>
  <c r="T2073" i="11"/>
  <c r="U2137" i="11"/>
  <c r="T2137" i="11"/>
  <c r="U2201" i="11"/>
  <c r="T2201" i="11"/>
  <c r="U2265" i="11"/>
  <c r="T2265" i="11"/>
  <c r="U2329" i="11"/>
  <c r="T2329" i="11"/>
  <c r="U2393" i="11"/>
  <c r="T2393" i="11"/>
  <c r="U2457" i="11"/>
  <c r="T2457" i="11"/>
  <c r="U2585" i="11"/>
  <c r="T2585" i="11"/>
  <c r="U2649" i="11"/>
  <c r="T2649" i="11"/>
  <c r="U3801" i="11"/>
  <c r="T3801" i="11"/>
  <c r="U161" i="11"/>
  <c r="T161" i="11"/>
  <c r="U289" i="11"/>
  <c r="T289" i="11"/>
  <c r="U353" i="11"/>
  <c r="T353" i="11"/>
  <c r="U481" i="11"/>
  <c r="T481" i="11"/>
  <c r="U545" i="11"/>
  <c r="T545" i="11"/>
  <c r="U609" i="11"/>
  <c r="T609" i="11"/>
  <c r="U673" i="11"/>
  <c r="T673" i="11"/>
  <c r="U801" i="11"/>
  <c r="T801" i="11"/>
  <c r="U865" i="11"/>
  <c r="T865" i="11"/>
  <c r="U929" i="11"/>
  <c r="T929" i="11"/>
  <c r="U993" i="11"/>
  <c r="T993" i="11"/>
  <c r="U1057" i="11"/>
  <c r="T1057" i="11"/>
  <c r="U1121" i="11"/>
  <c r="T1121" i="11"/>
  <c r="U1185" i="11"/>
  <c r="T1185" i="11"/>
  <c r="U1313" i="11"/>
  <c r="T1313" i="11"/>
  <c r="U1505" i="11"/>
  <c r="T1505" i="11"/>
  <c r="U1633" i="11"/>
  <c r="T1633" i="11"/>
  <c r="U1697" i="11"/>
  <c r="T1697" i="11"/>
  <c r="U1761" i="11"/>
  <c r="T1761" i="11"/>
  <c r="U1825" i="11"/>
  <c r="T1825" i="11"/>
  <c r="U1889" i="11"/>
  <c r="T1889" i="11"/>
  <c r="U1953" i="11"/>
  <c r="T1953" i="11"/>
  <c r="U2017" i="11"/>
  <c r="T2017" i="11"/>
  <c r="U2081" i="11"/>
  <c r="T2081" i="11"/>
  <c r="U2145" i="11"/>
  <c r="T2145" i="11"/>
  <c r="U2209" i="11"/>
  <c r="T2209" i="11"/>
  <c r="U2273" i="11"/>
  <c r="T2273" i="11"/>
  <c r="U2337" i="11"/>
  <c r="T2337" i="11"/>
  <c r="U2401" i="11"/>
  <c r="T2401" i="11"/>
  <c r="U2465" i="11"/>
  <c r="T2465" i="11"/>
  <c r="U2593" i="11"/>
  <c r="T2593" i="11"/>
  <c r="U2721" i="11"/>
  <c r="T2721" i="11"/>
  <c r="U2977" i="11"/>
  <c r="T2977" i="11"/>
  <c r="U3041" i="11"/>
  <c r="T3041" i="11"/>
  <c r="T2690" i="11"/>
  <c r="U2720" i="11"/>
  <c r="Y2720" i="11" s="1"/>
  <c r="U41" i="11"/>
  <c r="T41" i="11"/>
  <c r="U105" i="11"/>
  <c r="T105" i="11"/>
  <c r="U169" i="11"/>
  <c r="T169" i="11"/>
  <c r="U233" i="11"/>
  <c r="T233" i="11"/>
  <c r="U361" i="11"/>
  <c r="T361" i="11"/>
  <c r="U425" i="11"/>
  <c r="T425" i="11"/>
  <c r="U489" i="11"/>
  <c r="T489" i="11"/>
  <c r="U553" i="11"/>
  <c r="T553" i="11"/>
  <c r="U617" i="11"/>
  <c r="T617" i="11"/>
  <c r="U681" i="11"/>
  <c r="T681" i="11"/>
  <c r="U745" i="11"/>
  <c r="T745" i="11"/>
  <c r="U809" i="11"/>
  <c r="T809" i="11"/>
  <c r="U873" i="11"/>
  <c r="T873" i="11"/>
  <c r="U937" i="11"/>
  <c r="T937" i="11"/>
  <c r="U1001" i="11"/>
  <c r="T1001" i="11"/>
  <c r="U1065" i="11"/>
  <c r="T1065" i="11"/>
  <c r="U1129" i="11"/>
  <c r="T1129" i="11"/>
  <c r="U1193" i="11"/>
  <c r="T1193" i="11"/>
  <c r="U1321" i="11"/>
  <c r="T1321" i="11"/>
  <c r="U1385" i="11"/>
  <c r="T1385" i="11"/>
  <c r="U1449" i="11"/>
  <c r="T1449" i="11"/>
  <c r="U1513" i="11"/>
  <c r="T1513" i="11"/>
  <c r="U1577" i="11"/>
  <c r="T1577" i="11"/>
  <c r="U1641" i="11"/>
  <c r="T1641" i="11"/>
  <c r="U1705" i="11"/>
  <c r="T1705" i="11"/>
  <c r="U1769" i="11"/>
  <c r="T1769" i="11"/>
  <c r="U1833" i="11"/>
  <c r="T1833" i="11"/>
  <c r="U1897" i="11"/>
  <c r="T1897" i="11"/>
  <c r="U1961" i="11"/>
  <c r="T1961" i="11"/>
  <c r="U2025" i="11"/>
  <c r="T2025" i="11"/>
  <c r="U2089" i="11"/>
  <c r="T2089" i="11"/>
  <c r="U2153" i="11"/>
  <c r="T2153" i="11"/>
  <c r="U2217" i="11"/>
  <c r="T2217" i="11"/>
  <c r="U2345" i="11"/>
  <c r="T2345" i="11"/>
  <c r="U2409" i="11"/>
  <c r="T2409" i="11"/>
  <c r="U2473" i="11"/>
  <c r="T2473" i="11"/>
  <c r="U2985" i="11"/>
  <c r="T2985" i="11"/>
  <c r="U177" i="11"/>
  <c r="T177" i="11"/>
  <c r="U241" i="11"/>
  <c r="T241" i="11"/>
  <c r="U305" i="11"/>
  <c r="T305" i="11"/>
  <c r="U369" i="11"/>
  <c r="T369" i="11"/>
  <c r="U433" i="11"/>
  <c r="T433" i="11"/>
  <c r="U497" i="11"/>
  <c r="T497" i="11"/>
  <c r="U561" i="11"/>
  <c r="T561" i="11"/>
  <c r="U625" i="11"/>
  <c r="T625" i="11"/>
  <c r="U753" i="11"/>
  <c r="T753" i="11"/>
  <c r="U817" i="11"/>
  <c r="T817" i="11"/>
  <c r="U881" i="11"/>
  <c r="T881" i="11"/>
  <c r="U945" i="11"/>
  <c r="T945" i="11"/>
  <c r="U1009" i="11"/>
  <c r="T1009" i="11"/>
  <c r="U1073" i="11"/>
  <c r="T1073" i="11"/>
  <c r="U1137" i="11"/>
  <c r="T1137" i="11"/>
  <c r="U1201" i="11"/>
  <c r="T1201" i="11"/>
  <c r="U1265" i="11"/>
  <c r="T1265" i="11"/>
  <c r="U1329" i="11"/>
  <c r="T1329" i="11"/>
  <c r="U1457" i="11"/>
  <c r="T1457" i="11"/>
  <c r="U1585" i="11"/>
  <c r="T1585" i="11"/>
  <c r="U1649" i="11"/>
  <c r="T1649" i="11"/>
  <c r="U1713" i="11"/>
  <c r="T1713" i="11"/>
  <c r="U1777" i="11"/>
  <c r="T1777" i="11"/>
  <c r="U1841" i="11"/>
  <c r="T1841" i="11"/>
  <c r="U1905" i="11"/>
  <c r="T1905" i="11"/>
  <c r="U1969" i="11"/>
  <c r="T1969" i="11"/>
  <c r="U2033" i="11"/>
  <c r="T2033" i="11"/>
  <c r="U2097" i="11"/>
  <c r="T2097" i="11"/>
  <c r="U2161" i="11"/>
  <c r="T2161" i="11"/>
  <c r="U2225" i="11"/>
  <c r="T2225" i="11"/>
  <c r="U2289" i="11"/>
  <c r="T2289" i="11"/>
  <c r="U2353" i="11"/>
  <c r="T2353" i="11"/>
  <c r="U2417" i="11"/>
  <c r="T2417" i="11"/>
  <c r="U2481" i="11"/>
  <c r="T2481" i="11"/>
  <c r="U2545" i="11"/>
  <c r="T2545" i="11"/>
  <c r="U2609" i="11"/>
  <c r="T2609" i="11"/>
  <c r="U2801" i="11"/>
  <c r="T2801" i="11"/>
  <c r="U2865" i="11"/>
  <c r="T2865" i="11"/>
  <c r="U3185" i="11"/>
  <c r="T3185" i="11"/>
  <c r="U3441" i="11"/>
  <c r="T3441" i="11"/>
  <c r="U3697" i="11"/>
  <c r="T3697" i="11"/>
  <c r="I8" i="63"/>
  <c r="C8" i="63" s="1"/>
  <c r="L398" i="54" s="1"/>
  <c r="D6" i="63"/>
  <c r="I6" i="63"/>
  <c r="D7" i="63"/>
  <c r="I7" i="63"/>
  <c r="Q122" i="54"/>
  <c r="Q294" i="54"/>
  <c r="Q20" i="54" s="1"/>
  <c r="Q22" i="54" s="1"/>
  <c r="P122" i="54"/>
  <c r="AC343" i="54"/>
  <c r="AF343" i="54" s="1"/>
  <c r="AB343" i="54"/>
  <c r="AE343" i="54" s="1"/>
  <c r="AB342" i="54"/>
  <c r="AE342" i="54" s="1"/>
  <c r="I343" i="54"/>
  <c r="J343" i="54" s="1"/>
  <c r="AB341" i="54"/>
  <c r="AE341" i="54" s="1"/>
  <c r="R112" i="54"/>
  <c r="S112" i="54"/>
  <c r="I34" i="33"/>
  <c r="F136" i="54"/>
  <c r="D35" i="33"/>
  <c r="L278" i="54" s="1"/>
  <c r="T278" i="54" s="1"/>
  <c r="AB278" i="54" s="1"/>
  <c r="AE278" i="54" s="1"/>
  <c r="I44" i="33"/>
  <c r="F63" i="54"/>
  <c r="T360" i="54"/>
  <c r="AB360" i="54" s="1"/>
  <c r="AE360" i="54" s="1"/>
  <c r="M360" i="54"/>
  <c r="S163" i="54"/>
  <c r="R163" i="54"/>
  <c r="S62" i="54"/>
  <c r="N369" i="54"/>
  <c r="N359" i="54"/>
  <c r="M359" i="54"/>
  <c r="H359" i="54" s="1"/>
  <c r="I359" i="54" s="1"/>
  <c r="J359" i="54" s="1"/>
  <c r="I13" i="33"/>
  <c r="N344" i="54"/>
  <c r="N21" i="54" s="1"/>
  <c r="F174" i="54"/>
  <c r="F33" i="54" s="1"/>
  <c r="F67" i="54"/>
  <c r="F69" i="54"/>
  <c r="G136" i="54"/>
  <c r="I35" i="33"/>
  <c r="F146" i="54"/>
  <c r="AB333" i="54"/>
  <c r="AE333" i="54" s="1"/>
  <c r="I340" i="54"/>
  <c r="J340" i="54" s="1"/>
  <c r="F351" i="54"/>
  <c r="F28" i="54" s="1"/>
  <c r="AB349" i="54"/>
  <c r="AE349" i="54" s="1"/>
  <c r="AC340" i="54"/>
  <c r="AF340" i="54" s="1"/>
  <c r="AB431" i="54"/>
  <c r="AE431" i="54" s="1"/>
  <c r="AC432" i="54"/>
  <c r="AF432" i="54" s="1"/>
  <c r="F349" i="54"/>
  <c r="F108" i="54" s="1"/>
  <c r="F138" i="54"/>
  <c r="AC349" i="54"/>
  <c r="AF349" i="54" s="1"/>
  <c r="F91" i="54"/>
  <c r="AC348" i="54"/>
  <c r="AF348" i="54" s="1"/>
  <c r="M10" i="54"/>
  <c r="AC339" i="54"/>
  <c r="AF339" i="54" s="1"/>
  <c r="I335" i="54"/>
  <c r="J335" i="54" s="1"/>
  <c r="F243" i="54"/>
  <c r="F68" i="54"/>
  <c r="AB348" i="54"/>
  <c r="AE348" i="54" s="1"/>
  <c r="AB351" i="54"/>
  <c r="AE351" i="54" s="1"/>
  <c r="AC350" i="54"/>
  <c r="AF350" i="54" s="1"/>
  <c r="I338" i="54"/>
  <c r="J338" i="54" s="1"/>
  <c r="I432" i="54"/>
  <c r="J432" i="54" s="1"/>
  <c r="AB339" i="54"/>
  <c r="AE339" i="54" s="1"/>
  <c r="AB337" i="54"/>
  <c r="AE337" i="54" s="1"/>
  <c r="I342" i="54"/>
  <c r="J342" i="54" s="1"/>
  <c r="AC351" i="54"/>
  <c r="AF351" i="54" s="1"/>
  <c r="L10" i="54"/>
  <c r="AC336" i="54"/>
  <c r="AF336" i="54" s="1"/>
  <c r="AC341" i="54"/>
  <c r="AF341" i="54" s="1"/>
  <c r="F350" i="54"/>
  <c r="F27" i="54" s="1"/>
  <c r="O352" i="54"/>
  <c r="AC335" i="54"/>
  <c r="AF335" i="54" s="1"/>
  <c r="AB336" i="54"/>
  <c r="AE336" i="54" s="1"/>
  <c r="I336" i="54"/>
  <c r="J336" i="54" s="1"/>
  <c r="G7" i="54"/>
  <c r="G10" i="54"/>
  <c r="G11" i="54" s="1"/>
  <c r="I341" i="54"/>
  <c r="J341" i="54" s="1"/>
  <c r="F86" i="54"/>
  <c r="AB338" i="54"/>
  <c r="AE338" i="54" s="1"/>
  <c r="AB340" i="54"/>
  <c r="AE340" i="54" s="1"/>
  <c r="F344" i="54"/>
  <c r="F21" i="54" s="1"/>
  <c r="AC337" i="54"/>
  <c r="AF337" i="54" s="1"/>
  <c r="AC333" i="54"/>
  <c r="AF333" i="54" s="1"/>
  <c r="AC338" i="54"/>
  <c r="AF338" i="54" s="1"/>
  <c r="C13" i="54"/>
  <c r="I333" i="54"/>
  <c r="J333" i="54" s="1"/>
  <c r="I337" i="54"/>
  <c r="J337" i="54" s="1"/>
  <c r="H431" i="54"/>
  <c r="R62" i="54"/>
  <c r="AB350" i="54"/>
  <c r="AE350" i="54" s="1"/>
  <c r="G150" i="54"/>
  <c r="A1" i="64"/>
  <c r="A1" i="65"/>
  <c r="A1" i="62"/>
  <c r="A1" i="56"/>
  <c r="A1" i="63"/>
  <c r="I348" i="54"/>
  <c r="J348" i="54" s="1"/>
  <c r="T362" i="54"/>
  <c r="AB362" i="54" s="1"/>
  <c r="AE362" i="54" s="1"/>
  <c r="W385" i="54"/>
  <c r="X385" i="54" s="1"/>
  <c r="E32" i="56"/>
  <c r="C32" i="56"/>
  <c r="I74" i="33"/>
  <c r="I77" i="33" s="1"/>
  <c r="F32" i="33"/>
  <c r="D32" i="33" s="1"/>
  <c r="L275" i="54" s="1"/>
  <c r="T275" i="54" s="1"/>
  <c r="AB275" i="54" s="1"/>
  <c r="AE275" i="54" s="1"/>
  <c r="I30" i="33"/>
  <c r="K77" i="33"/>
  <c r="D30" i="33"/>
  <c r="L273" i="54" s="1"/>
  <c r="T273" i="54" s="1"/>
  <c r="AB273" i="54" s="1"/>
  <c r="AE273" i="54" s="1"/>
  <c r="AB409" i="54"/>
  <c r="AE409" i="54" s="1"/>
  <c r="AB407" i="54"/>
  <c r="AE407" i="54" s="1"/>
  <c r="O344" i="54"/>
  <c r="O21" i="54" s="1"/>
  <c r="V3233" i="11"/>
  <c r="Y2881" i="11"/>
  <c r="AB2881" i="11" s="1"/>
  <c r="Y3681" i="11"/>
  <c r="V3521" i="11"/>
  <c r="AA3521" i="11" s="1"/>
  <c r="X3486" i="11"/>
  <c r="I20" i="33"/>
  <c r="I351" i="54"/>
  <c r="J351" i="54" s="1"/>
  <c r="V89" i="11"/>
  <c r="AA89" i="11" s="1"/>
  <c r="AB3809" i="11"/>
  <c r="V3281" i="11"/>
  <c r="AA3281" i="11" s="1"/>
  <c r="G159" i="54"/>
  <c r="G162" i="54"/>
  <c r="F162" i="54"/>
  <c r="I350" i="54"/>
  <c r="J350" i="54" s="1"/>
  <c r="K53" i="33"/>
  <c r="K43" i="33"/>
  <c r="I354" i="54"/>
  <c r="J354" i="54" s="1"/>
  <c r="Z3158" i="11"/>
  <c r="F12" i="33"/>
  <c r="F334" i="54"/>
  <c r="I349" i="54"/>
  <c r="J349" i="54" s="1"/>
  <c r="I12" i="33"/>
  <c r="G152" i="54"/>
  <c r="F192" i="54"/>
  <c r="F51" i="54" s="1"/>
  <c r="Y1989" i="11"/>
  <c r="AB1989" i="11" s="1"/>
  <c r="G131" i="54"/>
  <c r="F171" i="54"/>
  <c r="F30" i="54" s="1"/>
  <c r="D49" i="33"/>
  <c r="L290" i="54" s="1"/>
  <c r="L118" i="54" s="1"/>
  <c r="U352" i="54"/>
  <c r="F188" i="54"/>
  <c r="F47" i="54" s="1"/>
  <c r="M53" i="33"/>
  <c r="H352" i="54"/>
  <c r="G153" i="54"/>
  <c r="F185" i="54"/>
  <c r="F44" i="54" s="1"/>
  <c r="H361" i="54"/>
  <c r="O379" i="54"/>
  <c r="F196" i="54"/>
  <c r="F55" i="54" s="1"/>
  <c r="M43" i="33"/>
  <c r="G141" i="54"/>
  <c r="B1" i="5"/>
  <c r="A1" i="21"/>
  <c r="A1" i="30"/>
  <c r="A1" i="11"/>
  <c r="M226" i="54" s="1"/>
  <c r="F187" i="54"/>
  <c r="F46" i="54" s="1"/>
  <c r="G147" i="54"/>
  <c r="A1" i="33"/>
  <c r="H379" i="54"/>
  <c r="I379" i="54" s="1"/>
  <c r="J379" i="54" s="1"/>
  <c r="D45" i="33"/>
  <c r="L286" i="54" s="1"/>
  <c r="F182" i="54"/>
  <c r="F41" i="54" s="1"/>
  <c r="G142" i="54"/>
  <c r="F348" i="54"/>
  <c r="G385" i="54"/>
  <c r="G143" i="54"/>
  <c r="F183" i="54"/>
  <c r="F42" i="54" s="1"/>
  <c r="G157" i="54"/>
  <c r="G160" i="54"/>
  <c r="F141" i="54"/>
  <c r="O361" i="54"/>
  <c r="G161" i="54"/>
  <c r="F201" i="54"/>
  <c r="F60" i="54" s="1"/>
  <c r="X2548" i="11"/>
  <c r="Y1849" i="11"/>
  <c r="AB1849" i="11" s="1"/>
  <c r="X2654" i="11"/>
  <c r="X2566" i="11"/>
  <c r="Z2774" i="11"/>
  <c r="X2958" i="11"/>
  <c r="X3718" i="11"/>
  <c r="X2326" i="11"/>
  <c r="AA2326" i="11" s="1"/>
  <c r="Y2194" i="11"/>
  <c r="AB2194" i="11" s="1"/>
  <c r="V3676" i="11"/>
  <c r="AA3676" i="11" s="1"/>
  <c r="Y2780" i="11"/>
  <c r="AB2780" i="11" s="1"/>
  <c r="X2318" i="11"/>
  <c r="X3686" i="11"/>
  <c r="Z2550" i="11"/>
  <c r="Y3420" i="11"/>
  <c r="AB3420" i="11" s="1"/>
  <c r="Y2889" i="11"/>
  <c r="V3089" i="11"/>
  <c r="AA3089" i="11" s="1"/>
  <c r="X2558" i="11"/>
  <c r="AA2558" i="11" s="1"/>
  <c r="X2878" i="11"/>
  <c r="X3382" i="11"/>
  <c r="Y2577" i="11"/>
  <c r="AB2577" i="11" s="1"/>
  <c r="AA2577" i="11"/>
  <c r="V3292" i="11"/>
  <c r="Y2212" i="11"/>
  <c r="AB2212" i="11" s="1"/>
  <c r="Z3606" i="11"/>
  <c r="Z3478" i="11"/>
  <c r="Z3470" i="11"/>
  <c r="Y2921" i="11"/>
  <c r="V3548" i="11"/>
  <c r="AA3548" i="11" s="1"/>
  <c r="Z2974" i="11"/>
  <c r="Y1145" i="11"/>
  <c r="AB1145" i="11" s="1"/>
  <c r="V2849" i="11"/>
  <c r="AA2849" i="11" s="1"/>
  <c r="V1377" i="11"/>
  <c r="AA1377" i="11" s="1"/>
  <c r="V1657" i="11"/>
  <c r="AA1657" i="11" s="1"/>
  <c r="Z2246" i="11"/>
  <c r="V321" i="11"/>
  <c r="AA321" i="11" s="1"/>
  <c r="V1441" i="11"/>
  <c r="AA1441" i="11" s="1"/>
  <c r="V3756" i="11"/>
  <c r="AA3756" i="11" s="1"/>
  <c r="V3809" i="11"/>
  <c r="AA3809" i="11" s="1"/>
  <c r="V3025" i="11"/>
  <c r="V3273" i="11"/>
  <c r="V2972" i="11"/>
  <c r="V3433" i="11"/>
  <c r="AA3433" i="11" s="1"/>
  <c r="V3465" i="11"/>
  <c r="AA3465" i="11" s="1"/>
  <c r="Y1521" i="11"/>
  <c r="AB1521" i="11" s="1"/>
  <c r="Y3100" i="11"/>
  <c r="AB3100" i="11" s="1"/>
  <c r="V3585" i="11"/>
  <c r="AA3585" i="11" s="1"/>
  <c r="Y3777" i="11"/>
  <c r="Y3169" i="11"/>
  <c r="AB3169" i="11" s="1"/>
  <c r="X2758" i="11"/>
  <c r="AA2758" i="11" s="1"/>
  <c r="Y153" i="11"/>
  <c r="V441" i="11"/>
  <c r="Y981" i="11"/>
  <c r="AB981" i="11" s="1"/>
  <c r="V2681" i="11"/>
  <c r="AA2681" i="11" s="1"/>
  <c r="AB3393" i="11"/>
  <c r="V2510" i="11"/>
  <c r="AA2510" i="11" s="1"/>
  <c r="AA3169" i="11"/>
  <c r="X2348" i="11"/>
  <c r="Z3156" i="11"/>
  <c r="D5" i="63"/>
  <c r="U409" i="54"/>
  <c r="N407" i="54"/>
  <c r="C6" i="63"/>
  <c r="L396" i="54" s="1"/>
  <c r="M396" i="54" s="1"/>
  <c r="H396" i="54" s="1"/>
  <c r="I396" i="54" s="1"/>
  <c r="J396" i="54" s="1"/>
  <c r="AB2654" i="11"/>
  <c r="V1938" i="11"/>
  <c r="AA1938" i="11" s="1"/>
  <c r="V1682" i="11"/>
  <c r="AA1682" i="11" s="1"/>
  <c r="V2654" i="11"/>
  <c r="Y2066" i="11"/>
  <c r="Y2558" i="11"/>
  <c r="AB2558" i="11" s="1"/>
  <c r="Y2121" i="11"/>
  <c r="AB2121" i="11" s="1"/>
  <c r="V1669" i="11"/>
  <c r="AA1669" i="11" s="1"/>
  <c r="V1557" i="11"/>
  <c r="AA1557" i="11" s="1"/>
  <c r="Y2326" i="11"/>
  <c r="AB2326" i="11" s="1"/>
  <c r="V2665" i="11"/>
  <c r="V2270" i="11"/>
  <c r="AA2270" i="11" s="1"/>
  <c r="V1042" i="11"/>
  <c r="AA1042" i="11" s="1"/>
  <c r="V3393" i="11"/>
  <c r="AA3393" i="11" s="1"/>
  <c r="Y3356" i="11"/>
  <c r="V3228" i="11"/>
  <c r="V3065" i="11"/>
  <c r="AA3065" i="11" s="1"/>
  <c r="V3884" i="11"/>
  <c r="AA3884" i="11" s="1"/>
  <c r="V129" i="11"/>
  <c r="Y1973" i="11"/>
  <c r="AB1973" i="11" s="1"/>
  <c r="V2569" i="11"/>
  <c r="AA2569" i="11" s="1"/>
  <c r="Y2913" i="11"/>
  <c r="AB2913" i="11" s="1"/>
  <c r="V3361" i="11"/>
  <c r="AA3361" i="11" s="1"/>
  <c r="Y3438" i="11"/>
  <c r="AB3438" i="11" s="1"/>
  <c r="V3553" i="11"/>
  <c r="AA3553" i="11" s="1"/>
  <c r="V417" i="11"/>
  <c r="AA417" i="11" s="1"/>
  <c r="Y3020" i="11"/>
  <c r="AB3020" i="11" s="1"/>
  <c r="Y2953" i="11"/>
  <c r="Y3425" i="11"/>
  <c r="AB3425" i="11" s="1"/>
  <c r="Y3446" i="11"/>
  <c r="AB3446" i="11" s="1"/>
  <c r="Z3823" i="11"/>
  <c r="AB3823" i="11" s="1"/>
  <c r="X3070" i="11"/>
  <c r="V1433" i="11"/>
  <c r="AA1433" i="11" s="1"/>
  <c r="Z2534" i="11"/>
  <c r="V2670" i="11"/>
  <c r="AA2670" i="11" s="1"/>
  <c r="V3545" i="11"/>
  <c r="AA3545" i="11" s="1"/>
  <c r="Y3404" i="11"/>
  <c r="AB3404" i="11" s="1"/>
  <c r="V3121" i="11"/>
  <c r="AA3121" i="11" s="1"/>
  <c r="V1645" i="11"/>
  <c r="AA1645" i="11" s="1"/>
  <c r="V2828" i="11"/>
  <c r="AA2828" i="11" s="1"/>
  <c r="V3516" i="11"/>
  <c r="AA3516" i="11" s="1"/>
  <c r="V3673" i="11"/>
  <c r="AA3673" i="11" s="1"/>
  <c r="Y1497" i="11"/>
  <c r="V1593" i="11"/>
  <c r="Y1809" i="11"/>
  <c r="AB1809" i="11" s="1"/>
  <c r="Y1097" i="11"/>
  <c r="V3148" i="11"/>
  <c r="AA3148" i="11" s="1"/>
  <c r="V3881" i="11"/>
  <c r="AA3881" i="11" s="1"/>
  <c r="V1369" i="11"/>
  <c r="AA1369" i="11" s="1"/>
  <c r="Y49" i="11"/>
  <c r="AB49" i="11" s="1"/>
  <c r="V689" i="11"/>
  <c r="AA689" i="11" s="1"/>
  <c r="V3622" i="11"/>
  <c r="AA3622" i="11" s="1"/>
  <c r="X3294" i="11"/>
  <c r="Z3614" i="11"/>
  <c r="V3769" i="11"/>
  <c r="AA3769" i="11" s="1"/>
  <c r="V273" i="11"/>
  <c r="AA273" i="11" s="1"/>
  <c r="Y3358" i="11"/>
  <c r="AB3358" i="11" s="1"/>
  <c r="V3084" i="11"/>
  <c r="AA3084" i="11" s="1"/>
  <c r="V2825" i="11"/>
  <c r="AA2825" i="11" s="1"/>
  <c r="AB1369" i="11"/>
  <c r="V3454" i="11"/>
  <c r="AA3454" i="11" s="1"/>
  <c r="Z2950" i="11"/>
  <c r="V1845" i="11"/>
  <c r="AA1845" i="11" s="1"/>
  <c r="V2454" i="11"/>
  <c r="AA2454" i="11" s="1"/>
  <c r="V2956" i="11"/>
  <c r="Y2113" i="11"/>
  <c r="AB2113" i="11" s="1"/>
  <c r="Z3286" i="11"/>
  <c r="AB3350" i="11"/>
  <c r="V3660" i="11"/>
  <c r="AA3660" i="11" s="1"/>
  <c r="Y3596" i="11"/>
  <c r="AB3596" i="11" s="1"/>
  <c r="Z3694" i="11"/>
  <c r="X2526" i="11"/>
  <c r="X2750" i="11"/>
  <c r="V3212" i="11"/>
  <c r="AA3212" i="11" s="1"/>
  <c r="Z2862" i="11"/>
  <c r="Y3821" i="11"/>
  <c r="AB3821" i="11" s="1"/>
  <c r="V3468" i="11"/>
  <c r="Z2238" i="11"/>
  <c r="X2214" i="11"/>
  <c r="X3398" i="11"/>
  <c r="Z2638" i="11"/>
  <c r="V1837" i="11"/>
  <c r="AA1837" i="11" s="1"/>
  <c r="X2846" i="11"/>
  <c r="V3350" i="11"/>
  <c r="AA3350" i="11" s="1"/>
  <c r="AB1845" i="11"/>
  <c r="Y2817" i="11"/>
  <c r="AB2817" i="11" s="1"/>
  <c r="X27" i="11"/>
  <c r="V3052" i="11"/>
  <c r="AA3052" i="11" s="1"/>
  <c r="X3702" i="11"/>
  <c r="Y2732" i="11"/>
  <c r="V2618" i="11"/>
  <c r="AA2618" i="11" s="1"/>
  <c r="V2748" i="11"/>
  <c r="Y3497" i="11"/>
  <c r="AB3497" i="11" s="1"/>
  <c r="Y3297" i="11"/>
  <c r="AB3297" i="11" s="1"/>
  <c r="V33" i="11"/>
  <c r="AA33" i="11" s="1"/>
  <c r="Y3609" i="11"/>
  <c r="AB3609" i="11" s="1"/>
  <c r="V2193" i="11"/>
  <c r="AA2193" i="11" s="1"/>
  <c r="Y2897" i="11"/>
  <c r="AB2897" i="11" s="1"/>
  <c r="V3313" i="11"/>
  <c r="Y3473" i="11"/>
  <c r="AB3473" i="11" s="1"/>
  <c r="V1393" i="11"/>
  <c r="AA1393" i="11" s="1"/>
  <c r="V585" i="11"/>
  <c r="AA585" i="11" s="1"/>
  <c r="V1257" i="11"/>
  <c r="AA1257" i="11" s="1"/>
  <c r="Y1553" i="11"/>
  <c r="AB1553" i="11" s="1"/>
  <c r="V1977" i="11"/>
  <c r="AA1977" i="11" s="1"/>
  <c r="Y1621" i="11"/>
  <c r="AB1621" i="11" s="1"/>
  <c r="Y2929" i="11"/>
  <c r="AB2929" i="11" s="1"/>
  <c r="V3097" i="11"/>
  <c r="AA3097" i="11" s="1"/>
  <c r="Y3193" i="11"/>
  <c r="AB3193" i="11" s="1"/>
  <c r="V3873" i="11"/>
  <c r="AA3873" i="11" s="1"/>
  <c r="V97" i="11"/>
  <c r="AA97" i="11" s="1"/>
  <c r="Y1473" i="11"/>
  <c r="AB1473" i="11" s="1"/>
  <c r="Y1745" i="11"/>
  <c r="V3489" i="11"/>
  <c r="V377" i="11"/>
  <c r="AA377" i="11" s="1"/>
  <c r="X2854" i="11"/>
  <c r="AA2854" i="11" s="1"/>
  <c r="Z3510" i="11"/>
  <c r="AB3510" i="11" s="1"/>
  <c r="V2678" i="11"/>
  <c r="AA2678" i="11" s="1"/>
  <c r="V2537" i="11"/>
  <c r="V209" i="11"/>
  <c r="AA209" i="11" s="1"/>
  <c r="V3841" i="11"/>
  <c r="V2809" i="11"/>
  <c r="AA2809" i="11" s="1"/>
  <c r="V2606" i="11"/>
  <c r="AA2606" i="11" s="1"/>
  <c r="V3116" i="11"/>
  <c r="AA3116" i="11" s="1"/>
  <c r="X2982" i="11"/>
  <c r="V2452" i="11"/>
  <c r="AA2452" i="11" s="1"/>
  <c r="Y2764" i="11"/>
  <c r="AB2764" i="11" s="1"/>
  <c r="X2422" i="11"/>
  <c r="AA2422" i="11" s="1"/>
  <c r="Z2446" i="11"/>
  <c r="Y3345" i="11"/>
  <c r="AB3345" i="11" s="1"/>
  <c r="V3665" i="11"/>
  <c r="AA3665" i="11" s="1"/>
  <c r="Y385" i="11"/>
  <c r="AB385" i="11" s="1"/>
  <c r="V2470" i="11"/>
  <c r="AA2470" i="11" s="1"/>
  <c r="V2937" i="11"/>
  <c r="AA2937" i="11" s="1"/>
  <c r="V3385" i="11"/>
  <c r="AA3385" i="11" s="1"/>
  <c r="X2764" i="11"/>
  <c r="AA2764" i="11" s="1"/>
  <c r="V3302" i="11"/>
  <c r="AA3302" i="11" s="1"/>
  <c r="V777" i="11"/>
  <c r="AA777" i="11" s="1"/>
  <c r="Y1489" i="11"/>
  <c r="AB1489" i="11" s="1"/>
  <c r="V1793" i="11"/>
  <c r="AA1793" i="11" s="1"/>
  <c r="V1297" i="11"/>
  <c r="AA1297" i="11" s="1"/>
  <c r="V2009" i="11"/>
  <c r="AA2009" i="11" s="1"/>
  <c r="V2873" i="11"/>
  <c r="V2905" i="11"/>
  <c r="AA2905" i="11" s="1"/>
  <c r="Y3105" i="11"/>
  <c r="AB3105" i="11" s="1"/>
  <c r="V2940" i="11"/>
  <c r="V3068" i="11"/>
  <c r="AA3068" i="11" s="1"/>
  <c r="Y225" i="11"/>
  <c r="AB225" i="11" s="1"/>
  <c r="V113" i="11"/>
  <c r="AA113" i="11" s="1"/>
  <c r="V3813" i="11"/>
  <c r="V2468" i="11"/>
  <c r="V3201" i="11"/>
  <c r="V3417" i="11"/>
  <c r="AA3417" i="11" s="1"/>
  <c r="AA3497" i="11"/>
  <c r="X3270" i="11"/>
  <c r="V3278" i="11"/>
  <c r="AA3278" i="11" s="1"/>
  <c r="Z2870" i="11"/>
  <c r="Y3057" i="11"/>
  <c r="AB3057" i="11" s="1"/>
  <c r="V1401" i="11"/>
  <c r="AA1401" i="11" s="1"/>
  <c r="Y1569" i="11"/>
  <c r="AB1569" i="11" s="1"/>
  <c r="Y2013" i="11"/>
  <c r="Y2812" i="11"/>
  <c r="X2742" i="11"/>
  <c r="X3054" i="11"/>
  <c r="X3406" i="11"/>
  <c r="Z3598" i="11"/>
  <c r="Z2646" i="11"/>
  <c r="X2630" i="11"/>
  <c r="Z3366" i="11"/>
  <c r="X3791" i="11"/>
  <c r="Z2438" i="11"/>
  <c r="AB3246" i="11"/>
  <c r="X3086" i="11"/>
  <c r="AA3086" i="11" s="1"/>
  <c r="Z3278" i="11"/>
  <c r="AB3278" i="11" s="1"/>
  <c r="V3324" i="11"/>
  <c r="AA3324" i="11" s="1"/>
  <c r="V3761" i="11"/>
  <c r="AA3761" i="11" s="1"/>
  <c r="V3580" i="11"/>
  <c r="AA3580" i="11" s="1"/>
  <c r="Z2766" i="11"/>
  <c r="Z2430" i="11"/>
  <c r="X3174" i="11"/>
  <c r="V2876" i="11"/>
  <c r="V3246" i="11"/>
  <c r="AA3246" i="11" s="1"/>
  <c r="V3153" i="11"/>
  <c r="AA3153" i="11" s="1"/>
  <c r="X3799" i="11"/>
  <c r="AA3799" i="11" s="1"/>
  <c r="Y1177" i="11"/>
  <c r="AB1177" i="11" s="1"/>
  <c r="Y3644" i="11"/>
  <c r="AB3644" i="11" s="1"/>
  <c r="V3708" i="11"/>
  <c r="AA3708" i="11" s="1"/>
  <c r="V3452" i="11"/>
  <c r="AA3452" i="11" s="1"/>
  <c r="X2662" i="11"/>
  <c r="Z3590" i="11"/>
  <c r="Y1949" i="11"/>
  <c r="AB1949" i="11" s="1"/>
  <c r="V3388" i="11"/>
  <c r="V3436" i="11"/>
  <c r="AA3436" i="11" s="1"/>
  <c r="Z3190" i="11"/>
  <c r="Y2857" i="11"/>
  <c r="AB2857" i="11" s="1"/>
  <c r="Z3710" i="11"/>
  <c r="V3049" i="11"/>
  <c r="AA3049" i="11" s="1"/>
  <c r="Y3401" i="11"/>
  <c r="Y3753" i="11"/>
  <c r="AB3753" i="11" s="1"/>
  <c r="X3815" i="11"/>
  <c r="V3628" i="11"/>
  <c r="AA3628" i="11" s="1"/>
  <c r="V3500" i="11"/>
  <c r="AA3500" i="11" s="1"/>
  <c r="X3374" i="11"/>
  <c r="AA3374" i="11" s="1"/>
  <c r="X3807" i="11"/>
  <c r="V2924" i="11"/>
  <c r="X3062" i="11"/>
  <c r="Y3692" i="11"/>
  <c r="AB3692" i="11" s="1"/>
  <c r="X3494" i="11"/>
  <c r="X3390" i="11"/>
  <c r="X3502" i="11"/>
  <c r="Y3766" i="11"/>
  <c r="AB3766" i="11" s="1"/>
  <c r="V3308" i="11"/>
  <c r="AA3308" i="11" s="1"/>
  <c r="X2350" i="11"/>
  <c r="X3078" i="11"/>
  <c r="X3166" i="11"/>
  <c r="Y2894" i="11"/>
  <c r="AB2894" i="11" s="1"/>
  <c r="X2542" i="11"/>
  <c r="Z2670" i="11"/>
  <c r="Y2796" i="11"/>
  <c r="AB2796" i="11" s="1"/>
  <c r="Z3582" i="11"/>
  <c r="Z2966" i="11"/>
  <c r="AB2926" i="11"/>
  <c r="V503" i="11"/>
  <c r="AA503" i="11" s="1"/>
  <c r="X2334" i="11"/>
  <c r="Z3262" i="11"/>
  <c r="Y3180" i="11"/>
  <c r="AB3180" i="11" s="1"/>
  <c r="X2342" i="11"/>
  <c r="Y1986" i="11"/>
  <c r="AB1986" i="11" s="1"/>
  <c r="X2230" i="11"/>
  <c r="AA2230" i="11" s="1"/>
  <c r="X2222" i="11"/>
  <c r="Y2404" i="11"/>
  <c r="V2404" i="11"/>
  <c r="AA2404" i="11" s="1"/>
  <c r="U626" i="11"/>
  <c r="T626" i="11"/>
  <c r="U1138" i="11"/>
  <c r="T1138" i="11"/>
  <c r="U1570" i="11"/>
  <c r="T1570" i="11"/>
  <c r="U1698" i="11"/>
  <c r="T1698" i="11"/>
  <c r="U1826" i="11"/>
  <c r="T1826" i="11"/>
  <c r="U1954" i="11"/>
  <c r="T1954" i="11"/>
  <c r="U2082" i="11"/>
  <c r="T2082" i="11"/>
  <c r="U2250" i="11"/>
  <c r="T2250" i="11"/>
  <c r="T2506" i="11"/>
  <c r="U2506" i="11"/>
  <c r="U2548" i="11"/>
  <c r="T2548" i="11"/>
  <c r="U2974" i="11"/>
  <c r="T2974" i="11"/>
  <c r="U2246" i="11"/>
  <c r="T2246" i="11"/>
  <c r="G3890" i="11"/>
  <c r="U658" i="11"/>
  <c r="T658" i="11"/>
  <c r="U1170" i="11"/>
  <c r="T1170" i="11"/>
  <c r="U1586" i="11"/>
  <c r="T1586" i="11"/>
  <c r="U1714" i="11"/>
  <c r="T1714" i="11"/>
  <c r="U1842" i="11"/>
  <c r="T1842" i="11"/>
  <c r="U1970" i="11"/>
  <c r="T1970" i="11"/>
  <c r="U2098" i="11"/>
  <c r="T2098" i="11"/>
  <c r="U2298" i="11"/>
  <c r="T2298" i="11"/>
  <c r="U2554" i="11"/>
  <c r="T2554" i="11"/>
  <c r="U2604" i="11"/>
  <c r="T2604" i="11"/>
  <c r="U2342" i="11"/>
  <c r="T2342" i="11"/>
  <c r="U2966" i="11"/>
  <c r="T2966" i="11"/>
  <c r="U3190" i="11"/>
  <c r="T3190" i="11"/>
  <c r="U3494" i="11"/>
  <c r="T3494" i="11"/>
  <c r="U2334" i="11"/>
  <c r="T2334" i="11"/>
  <c r="U2542" i="11"/>
  <c r="T2542" i="11"/>
  <c r="U3062" i="11"/>
  <c r="T3062" i="11"/>
  <c r="U3582" i="11"/>
  <c r="T3582" i="11"/>
  <c r="U3815" i="11"/>
  <c r="T3815" i="11"/>
  <c r="U3262" i="11"/>
  <c r="T3262" i="11"/>
  <c r="U3390" i="11"/>
  <c r="T3390" i="11"/>
  <c r="U3502" i="11"/>
  <c r="T3502" i="11"/>
  <c r="U2222" i="11"/>
  <c r="T2222" i="11"/>
  <c r="U3166" i="11"/>
  <c r="T3166" i="11"/>
  <c r="U2350" i="11"/>
  <c r="T2350" i="11"/>
  <c r="U3078" i="11"/>
  <c r="T3078" i="11"/>
  <c r="U3710" i="11"/>
  <c r="T3710" i="11"/>
  <c r="T2647" i="11"/>
  <c r="T2680" i="11"/>
  <c r="U2671" i="11"/>
  <c r="V2671" i="11" s="1"/>
  <c r="U242" i="11"/>
  <c r="T242" i="11"/>
  <c r="U754" i="11"/>
  <c r="T754" i="11"/>
  <c r="U1266" i="11"/>
  <c r="T1266" i="11"/>
  <c r="U1602" i="11"/>
  <c r="T1602" i="11"/>
  <c r="U1730" i="11"/>
  <c r="T1730" i="11"/>
  <c r="U1858" i="11"/>
  <c r="T1858" i="11"/>
  <c r="U2130" i="11"/>
  <c r="T2130" i="11"/>
  <c r="U2314" i="11"/>
  <c r="T2314" i="11"/>
  <c r="U2570" i="11"/>
  <c r="T2570" i="11"/>
  <c r="U2446" i="11"/>
  <c r="T2446" i="11"/>
  <c r="U2982" i="11"/>
  <c r="T2982" i="11"/>
  <c r="U274" i="11"/>
  <c r="T274" i="11"/>
  <c r="U786" i="11"/>
  <c r="T786" i="11"/>
  <c r="U1298" i="11"/>
  <c r="T1298" i="11"/>
  <c r="U1618" i="11"/>
  <c r="T1618" i="11"/>
  <c r="U1746" i="11"/>
  <c r="T1746" i="11"/>
  <c r="U1874" i="11"/>
  <c r="T1874" i="11"/>
  <c r="U2002" i="11"/>
  <c r="T2002" i="11"/>
  <c r="U2146" i="11"/>
  <c r="T2146" i="11"/>
  <c r="U3156" i="11"/>
  <c r="T3156" i="11"/>
  <c r="U2630" i="11"/>
  <c r="T2630" i="11"/>
  <c r="U2766" i="11"/>
  <c r="T2766" i="11"/>
  <c r="U3054" i="11"/>
  <c r="T3054" i="11"/>
  <c r="U3791" i="11"/>
  <c r="T3791" i="11"/>
  <c r="U2430" i="11"/>
  <c r="T2430" i="11"/>
  <c r="U2646" i="11"/>
  <c r="T2646" i="11"/>
  <c r="U3174" i="11"/>
  <c r="T3174" i="11"/>
  <c r="U3598" i="11"/>
  <c r="T3598" i="11"/>
  <c r="U2742" i="11"/>
  <c r="T2742" i="11"/>
  <c r="U3406" i="11"/>
  <c r="T3406" i="11"/>
  <c r="U3590" i="11"/>
  <c r="T3590" i="11"/>
  <c r="U2662" i="11"/>
  <c r="T2662" i="11"/>
  <c r="U2438" i="11"/>
  <c r="T2438" i="11"/>
  <c r="U3366" i="11"/>
  <c r="T3366" i="11"/>
  <c r="T2658" i="11"/>
  <c r="U370" i="11"/>
  <c r="T370" i="11"/>
  <c r="U882" i="11"/>
  <c r="T882" i="11"/>
  <c r="U1394" i="11"/>
  <c r="T1394" i="11"/>
  <c r="U1634" i="11"/>
  <c r="T1634" i="11"/>
  <c r="U1762" i="11"/>
  <c r="T1762" i="11"/>
  <c r="U1890" i="11"/>
  <c r="T1890" i="11"/>
  <c r="U2018" i="11"/>
  <c r="T2018" i="11"/>
  <c r="U2162" i="11"/>
  <c r="T2162" i="11"/>
  <c r="U2378" i="11"/>
  <c r="T2378" i="11"/>
  <c r="U2292" i="11"/>
  <c r="T2292" i="11"/>
  <c r="U2870" i="11"/>
  <c r="T2870" i="11"/>
  <c r="U3270" i="11"/>
  <c r="T3270" i="11"/>
  <c r="U2640" i="11"/>
  <c r="V2640" i="11" s="1"/>
  <c r="U2688" i="11"/>
  <c r="Y2688" i="11" s="1"/>
  <c r="AB2688" i="11" s="1"/>
  <c r="AA981" i="11"/>
  <c r="U402" i="11"/>
  <c r="T402" i="11"/>
  <c r="U914" i="11"/>
  <c r="T914" i="11"/>
  <c r="U1426" i="11"/>
  <c r="T1426" i="11"/>
  <c r="U1650" i="11"/>
  <c r="T1650" i="11"/>
  <c r="U1778" i="11"/>
  <c r="T1778" i="11"/>
  <c r="U1906" i="11"/>
  <c r="T1906" i="11"/>
  <c r="U2034" i="11"/>
  <c r="T2034" i="11"/>
  <c r="U2178" i="11"/>
  <c r="T2178" i="11"/>
  <c r="U2426" i="11"/>
  <c r="T2426" i="11"/>
  <c r="U2348" i="11"/>
  <c r="T2348" i="11"/>
  <c r="U2238" i="11"/>
  <c r="T2238" i="11"/>
  <c r="U2638" i="11"/>
  <c r="T2638" i="11"/>
  <c r="U2846" i="11"/>
  <c r="T2846" i="11"/>
  <c r="U3070" i="11"/>
  <c r="T3070" i="11"/>
  <c r="U2862" i="11"/>
  <c r="T2862" i="11"/>
  <c r="U3286" i="11"/>
  <c r="T3286" i="11"/>
  <c r="U3694" i="11"/>
  <c r="T3694" i="11"/>
  <c r="U2750" i="11"/>
  <c r="T2750" i="11"/>
  <c r="U2526" i="11"/>
  <c r="T2526" i="11"/>
  <c r="U2214" i="11"/>
  <c r="T2214" i="11"/>
  <c r="U2534" i="11"/>
  <c r="T2534" i="11"/>
  <c r="U3398" i="11"/>
  <c r="T3398" i="11"/>
  <c r="U498" i="11"/>
  <c r="T498" i="11"/>
  <c r="U1010" i="11"/>
  <c r="T1010" i="11"/>
  <c r="U1522" i="11"/>
  <c r="T1522" i="11"/>
  <c r="U1666" i="11"/>
  <c r="T1666" i="11"/>
  <c r="U1794" i="11"/>
  <c r="T1794" i="11"/>
  <c r="U1922" i="11"/>
  <c r="T1922" i="11"/>
  <c r="U2050" i="11"/>
  <c r="T2050" i="11"/>
  <c r="U2442" i="11"/>
  <c r="T2442" i="11"/>
  <c r="U2950" i="11"/>
  <c r="T2950" i="11"/>
  <c r="U3614" i="11"/>
  <c r="T3614" i="11"/>
  <c r="U3294" i="11"/>
  <c r="T3294" i="11"/>
  <c r="U2234" i="11"/>
  <c r="T2234" i="11"/>
  <c r="U2490" i="11"/>
  <c r="T2490" i="11"/>
  <c r="U2476" i="11"/>
  <c r="T2476" i="11"/>
  <c r="U2878" i="11"/>
  <c r="T2878" i="11"/>
  <c r="U3158" i="11"/>
  <c r="T3158" i="11"/>
  <c r="U3470" i="11"/>
  <c r="T3470" i="11"/>
  <c r="T2958" i="11"/>
  <c r="U2958" i="11"/>
  <c r="U3478" i="11"/>
  <c r="T3478" i="11"/>
  <c r="U3718" i="11"/>
  <c r="T3718" i="11"/>
  <c r="U2550" i="11"/>
  <c r="T2550" i="11"/>
  <c r="T2774" i="11"/>
  <c r="U2774" i="11"/>
  <c r="U3382" i="11"/>
  <c r="T3382" i="11"/>
  <c r="U3486" i="11"/>
  <c r="T3486" i="11"/>
  <c r="U3686" i="11"/>
  <c r="T3686" i="11"/>
  <c r="U2318" i="11"/>
  <c r="T2318" i="11"/>
  <c r="U2566" i="11"/>
  <c r="T2566" i="11"/>
  <c r="U3606" i="11"/>
  <c r="T3606" i="11"/>
  <c r="U2656" i="11"/>
  <c r="V2656" i="11" s="1"/>
  <c r="T3852" i="11"/>
  <c r="U2631" i="11"/>
  <c r="V2631" i="11" s="1"/>
  <c r="AA2631" i="11" s="1"/>
  <c r="T2672" i="11"/>
  <c r="U2363" i="11"/>
  <c r="T2363" i="11"/>
  <c r="U2427" i="11"/>
  <c r="T2427" i="11"/>
  <c r="T2491" i="11"/>
  <c r="U2491" i="11"/>
  <c r="U2555" i="11"/>
  <c r="T2555" i="11"/>
  <c r="U2619" i="11"/>
  <c r="T2619" i="11"/>
  <c r="U2683" i="11"/>
  <c r="T2683" i="11"/>
  <c r="U2747" i="11"/>
  <c r="T2747" i="11"/>
  <c r="T2811" i="11"/>
  <c r="U2811" i="11"/>
  <c r="U2875" i="11"/>
  <c r="T2875" i="11"/>
  <c r="U2939" i="11"/>
  <c r="T2939" i="11"/>
  <c r="T3003" i="11"/>
  <c r="U3003" i="11"/>
  <c r="U3067" i="11"/>
  <c r="T3067" i="11"/>
  <c r="U3131" i="11"/>
  <c r="T3131" i="11"/>
  <c r="U3195" i="11"/>
  <c r="T3195" i="11"/>
  <c r="U3259" i="11"/>
  <c r="T3259" i="11"/>
  <c r="U3323" i="11"/>
  <c r="T3323" i="11"/>
  <c r="T3387" i="11"/>
  <c r="U3387" i="11"/>
  <c r="U3451" i="11"/>
  <c r="T3451" i="11"/>
  <c r="U3515" i="11"/>
  <c r="T3515" i="11"/>
  <c r="U3579" i="11"/>
  <c r="T3579" i="11"/>
  <c r="U3643" i="11"/>
  <c r="T3643" i="11"/>
  <c r="U3707" i="11"/>
  <c r="T3707" i="11"/>
  <c r="U3771" i="11"/>
  <c r="T3771" i="11"/>
  <c r="U2252" i="11"/>
  <c r="T2252" i="11"/>
  <c r="U2324" i="11"/>
  <c r="T2324" i="11"/>
  <c r="U2396" i="11"/>
  <c r="T2396" i="11"/>
  <c r="U2540" i="11"/>
  <c r="T2540" i="11"/>
  <c r="U2620" i="11"/>
  <c r="T2620" i="11"/>
  <c r="U2684" i="11"/>
  <c r="T2684" i="11"/>
  <c r="U2820" i="11"/>
  <c r="T2820" i="11"/>
  <c r="U2884" i="11"/>
  <c r="T2884" i="11"/>
  <c r="U3204" i="11"/>
  <c r="T3204" i="11"/>
  <c r="U3268" i="11"/>
  <c r="T3268" i="11"/>
  <c r="U3332" i="11"/>
  <c r="T3332" i="11"/>
  <c r="U3396" i="11"/>
  <c r="T3396" i="11"/>
  <c r="U3460" i="11"/>
  <c r="T3460" i="11"/>
  <c r="U3524" i="11"/>
  <c r="T3524" i="11"/>
  <c r="U3588" i="11"/>
  <c r="T3588" i="11"/>
  <c r="U3652" i="11"/>
  <c r="T3652" i="11"/>
  <c r="U3716" i="11"/>
  <c r="T3716" i="11"/>
  <c r="U3788" i="11"/>
  <c r="T3788" i="11"/>
  <c r="U3868" i="11"/>
  <c r="T3868" i="11"/>
  <c r="T2371" i="11"/>
  <c r="U2371" i="11"/>
  <c r="U2435" i="11"/>
  <c r="T2435" i="11"/>
  <c r="U2499" i="11"/>
  <c r="T2499" i="11"/>
  <c r="U2563" i="11"/>
  <c r="T2563" i="11"/>
  <c r="U2627" i="11"/>
  <c r="T2627" i="11"/>
  <c r="U2691" i="11"/>
  <c r="T2691" i="11"/>
  <c r="U2755" i="11"/>
  <c r="T2755" i="11"/>
  <c r="U2819" i="11"/>
  <c r="T2819" i="11"/>
  <c r="U2883" i="11"/>
  <c r="T2883" i="11"/>
  <c r="U2947" i="11"/>
  <c r="T2947" i="11"/>
  <c r="U3011" i="11"/>
  <c r="T3011" i="11"/>
  <c r="U3075" i="11"/>
  <c r="T3075" i="11"/>
  <c r="U3139" i="11"/>
  <c r="T3139" i="11"/>
  <c r="U3203" i="11"/>
  <c r="T3203" i="11"/>
  <c r="T3267" i="11"/>
  <c r="U3267" i="11"/>
  <c r="T3331" i="11"/>
  <c r="U3331" i="11"/>
  <c r="U3395" i="11"/>
  <c r="T3395" i="11"/>
  <c r="U3459" i="11"/>
  <c r="T3459" i="11"/>
  <c r="U3523" i="11"/>
  <c r="T3523" i="11"/>
  <c r="U3587" i="11"/>
  <c r="T3587" i="11"/>
  <c r="U3651" i="11"/>
  <c r="T3651" i="11"/>
  <c r="U3715" i="11"/>
  <c r="T3715" i="11"/>
  <c r="U3779" i="11"/>
  <c r="T3779" i="11"/>
  <c r="U2260" i="11"/>
  <c r="T2260" i="11"/>
  <c r="U2332" i="11"/>
  <c r="T2332" i="11"/>
  <c r="U2412" i="11"/>
  <c r="T2412" i="11"/>
  <c r="U2484" i="11"/>
  <c r="T2484" i="11"/>
  <c r="U2556" i="11"/>
  <c r="T2556" i="11"/>
  <c r="U2628" i="11"/>
  <c r="T2628" i="11"/>
  <c r="U2692" i="11"/>
  <c r="T2692" i="11"/>
  <c r="U2756" i="11"/>
  <c r="T2756" i="11"/>
  <c r="U2948" i="11"/>
  <c r="T2948" i="11"/>
  <c r="U3012" i="11"/>
  <c r="T3012" i="11"/>
  <c r="U3076" i="11"/>
  <c r="T3076" i="11"/>
  <c r="U3140" i="11"/>
  <c r="T3140" i="11"/>
  <c r="T3724" i="11"/>
  <c r="U3724" i="11"/>
  <c r="U3796" i="11"/>
  <c r="T3796" i="11"/>
  <c r="T3876" i="11"/>
  <c r="U3876" i="11"/>
  <c r="U27" i="11"/>
  <c r="T27" i="11"/>
  <c r="U2379" i="11"/>
  <c r="T2379" i="11"/>
  <c r="T2443" i="11"/>
  <c r="U2443" i="11"/>
  <c r="U2507" i="11"/>
  <c r="T2507" i="11"/>
  <c r="U2571" i="11"/>
  <c r="T2571" i="11"/>
  <c r="U2635" i="11"/>
  <c r="T2635" i="11"/>
  <c r="U2699" i="11"/>
  <c r="T2699" i="11"/>
  <c r="U2763" i="11"/>
  <c r="T2763" i="11"/>
  <c r="U2827" i="11"/>
  <c r="T2827" i="11"/>
  <c r="U2891" i="11"/>
  <c r="T2891" i="11"/>
  <c r="U2955" i="11"/>
  <c r="T2955" i="11"/>
  <c r="U3019" i="11"/>
  <c r="T3019" i="11"/>
  <c r="U3083" i="11"/>
  <c r="T3083" i="11"/>
  <c r="U3147" i="11"/>
  <c r="T3147" i="11"/>
  <c r="U3211" i="11"/>
  <c r="T3211" i="11"/>
  <c r="T3275" i="11"/>
  <c r="U3275" i="11"/>
  <c r="U3339" i="11"/>
  <c r="T3339" i="11"/>
  <c r="U3403" i="11"/>
  <c r="T3403" i="11"/>
  <c r="U3467" i="11"/>
  <c r="T3467" i="11"/>
  <c r="U3531" i="11"/>
  <c r="T3531" i="11"/>
  <c r="U3595" i="11"/>
  <c r="T3595" i="11"/>
  <c r="T3659" i="11"/>
  <c r="U3659" i="11"/>
  <c r="U3723" i="11"/>
  <c r="T3723" i="11"/>
  <c r="U2204" i="11"/>
  <c r="T2204" i="11"/>
  <c r="U2268" i="11"/>
  <c r="T2268" i="11"/>
  <c r="U2340" i="11"/>
  <c r="T2340" i="11"/>
  <c r="U2420" i="11"/>
  <c r="T2420" i="11"/>
  <c r="U2492" i="11"/>
  <c r="T2492" i="11"/>
  <c r="U2564" i="11"/>
  <c r="T2564" i="11"/>
  <c r="U2636" i="11"/>
  <c r="T2636" i="11"/>
  <c r="U2700" i="11"/>
  <c r="T2700" i="11"/>
  <c r="U2772" i="11"/>
  <c r="T2772" i="11"/>
  <c r="U2836" i="11"/>
  <c r="T2836" i="11"/>
  <c r="U2900" i="11"/>
  <c r="T2900" i="11"/>
  <c r="U3220" i="11"/>
  <c r="T3220" i="11"/>
  <c r="U3284" i="11"/>
  <c r="T3284" i="11"/>
  <c r="U3348" i="11"/>
  <c r="T3348" i="11"/>
  <c r="U3412" i="11"/>
  <c r="T3412" i="11"/>
  <c r="U3476" i="11"/>
  <c r="T3476" i="11"/>
  <c r="U3540" i="11"/>
  <c r="T3540" i="11"/>
  <c r="U3604" i="11"/>
  <c r="T3604" i="11"/>
  <c r="U3668" i="11"/>
  <c r="T3668" i="11"/>
  <c r="U3732" i="11"/>
  <c r="T3732" i="11"/>
  <c r="U3812" i="11"/>
  <c r="T3812" i="11"/>
  <c r="U2323" i="11"/>
  <c r="T2323" i="11"/>
  <c r="T2387" i="11"/>
  <c r="U2387" i="11"/>
  <c r="U2451" i="11"/>
  <c r="T2451" i="11"/>
  <c r="T2515" i="11"/>
  <c r="U2515" i="11"/>
  <c r="U2579" i="11"/>
  <c r="T2579" i="11"/>
  <c r="U2643" i="11"/>
  <c r="T2643" i="11"/>
  <c r="U2707" i="11"/>
  <c r="T2707" i="11"/>
  <c r="U2771" i="11"/>
  <c r="T2771" i="11"/>
  <c r="U2835" i="11"/>
  <c r="T2835" i="11"/>
  <c r="U2899" i="11"/>
  <c r="T2899" i="11"/>
  <c r="U2963" i="11"/>
  <c r="T2963" i="11"/>
  <c r="U3027" i="11"/>
  <c r="T3027" i="11"/>
  <c r="U3091" i="11"/>
  <c r="T3091" i="11"/>
  <c r="U3155" i="11"/>
  <c r="T3155" i="11"/>
  <c r="U3219" i="11"/>
  <c r="T3219" i="11"/>
  <c r="U3283" i="11"/>
  <c r="T3283" i="11"/>
  <c r="U3347" i="11"/>
  <c r="T3347" i="11"/>
  <c r="U3411" i="11"/>
  <c r="T3411" i="11"/>
  <c r="U3475" i="11"/>
  <c r="T3475" i="11"/>
  <c r="U3539" i="11"/>
  <c r="T3539" i="11"/>
  <c r="U3603" i="11"/>
  <c r="T3603" i="11"/>
  <c r="U3667" i="11"/>
  <c r="T3667" i="11"/>
  <c r="U3731" i="11"/>
  <c r="T3731" i="11"/>
  <c r="U2276" i="11"/>
  <c r="T2276" i="11"/>
  <c r="U2356" i="11"/>
  <c r="T2356" i="11"/>
  <c r="U2428" i="11"/>
  <c r="T2428" i="11"/>
  <c r="U2500" i="11"/>
  <c r="T2500" i="11"/>
  <c r="T2572" i="11"/>
  <c r="U2572" i="11"/>
  <c r="U2644" i="11"/>
  <c r="T2644" i="11"/>
  <c r="U2708" i="11"/>
  <c r="T2708" i="11"/>
  <c r="U2964" i="11"/>
  <c r="T2964" i="11"/>
  <c r="U3028" i="11"/>
  <c r="T3028" i="11"/>
  <c r="U3092" i="11"/>
  <c r="T3092" i="11"/>
  <c r="U3748" i="11"/>
  <c r="T3748" i="11"/>
  <c r="U3820" i="11"/>
  <c r="T3820" i="11"/>
  <c r="U139" i="11"/>
  <c r="T139" i="11"/>
  <c r="U2331" i="11"/>
  <c r="T2331" i="11"/>
  <c r="U2395" i="11"/>
  <c r="T2395" i="11"/>
  <c r="U2459" i="11"/>
  <c r="T2459" i="11"/>
  <c r="U2523" i="11"/>
  <c r="T2523" i="11"/>
  <c r="T2587" i="11"/>
  <c r="U2587" i="11"/>
  <c r="U2651" i="11"/>
  <c r="T2651" i="11"/>
  <c r="U2715" i="11"/>
  <c r="T2715" i="11"/>
  <c r="U2779" i="11"/>
  <c r="T2779" i="11"/>
  <c r="U2843" i="11"/>
  <c r="T2843" i="11"/>
  <c r="U2907" i="11"/>
  <c r="T2907" i="11"/>
  <c r="U2971" i="11"/>
  <c r="T2971" i="11"/>
  <c r="U3035" i="11"/>
  <c r="T3035" i="11"/>
  <c r="U3099" i="11"/>
  <c r="T3099" i="11"/>
  <c r="U3163" i="11"/>
  <c r="T3163" i="11"/>
  <c r="T3227" i="11"/>
  <c r="U3227" i="11"/>
  <c r="T3291" i="11"/>
  <c r="U3291" i="11"/>
  <c r="U3355" i="11"/>
  <c r="T3355" i="11"/>
  <c r="U3419" i="11"/>
  <c r="T3419" i="11"/>
  <c r="U3483" i="11"/>
  <c r="T3483" i="11"/>
  <c r="T3547" i="11"/>
  <c r="U3547" i="11"/>
  <c r="U3611" i="11"/>
  <c r="T3611" i="11"/>
  <c r="U3675" i="11"/>
  <c r="T3675" i="11"/>
  <c r="T3739" i="11"/>
  <c r="U3739" i="11"/>
  <c r="U2220" i="11"/>
  <c r="T2220" i="11"/>
  <c r="U2284" i="11"/>
  <c r="T2284" i="11"/>
  <c r="U2364" i="11"/>
  <c r="T2364" i="11"/>
  <c r="U2436" i="11"/>
  <c r="T2436" i="11"/>
  <c r="U2508" i="11"/>
  <c r="T2508" i="11"/>
  <c r="U2580" i="11"/>
  <c r="T2580" i="11"/>
  <c r="U2652" i="11"/>
  <c r="T2652" i="11"/>
  <c r="U2716" i="11"/>
  <c r="T2716" i="11"/>
  <c r="U2788" i="11"/>
  <c r="T2788" i="11"/>
  <c r="T2852" i="11"/>
  <c r="U2852" i="11"/>
  <c r="T2916" i="11"/>
  <c r="U2916" i="11"/>
  <c r="U3172" i="11"/>
  <c r="T3172" i="11"/>
  <c r="U3236" i="11"/>
  <c r="T3236" i="11"/>
  <c r="U3300" i="11"/>
  <c r="T3300" i="11"/>
  <c r="U3364" i="11"/>
  <c r="T3364" i="11"/>
  <c r="U3428" i="11"/>
  <c r="T3428" i="11"/>
  <c r="U3492" i="11"/>
  <c r="T3492" i="11"/>
  <c r="U3556" i="11"/>
  <c r="T3556" i="11"/>
  <c r="U3620" i="11"/>
  <c r="T3620" i="11"/>
  <c r="U3684" i="11"/>
  <c r="T3684" i="11"/>
  <c r="T3828" i="11"/>
  <c r="U3828" i="11"/>
  <c r="U2339" i="11"/>
  <c r="T2339" i="11"/>
  <c r="T2403" i="11"/>
  <c r="U2403" i="11"/>
  <c r="U2467" i="11"/>
  <c r="T2467" i="11"/>
  <c r="U2531" i="11"/>
  <c r="T2531" i="11"/>
  <c r="T2595" i="11"/>
  <c r="U2595" i="11"/>
  <c r="U2659" i="11"/>
  <c r="T2659" i="11"/>
  <c r="U2723" i="11"/>
  <c r="T2723" i="11"/>
  <c r="U2787" i="11"/>
  <c r="T2787" i="11"/>
  <c r="U2851" i="11"/>
  <c r="T2851" i="11"/>
  <c r="U2915" i="11"/>
  <c r="T2915" i="11"/>
  <c r="U2979" i="11"/>
  <c r="T2979" i="11"/>
  <c r="U3043" i="11"/>
  <c r="T3043" i="11"/>
  <c r="T3107" i="11"/>
  <c r="U3107" i="11"/>
  <c r="T3171" i="11"/>
  <c r="U3171" i="11"/>
  <c r="U3235" i="11"/>
  <c r="T3235" i="11"/>
  <c r="U3299" i="11"/>
  <c r="T3299" i="11"/>
  <c r="U3363" i="11"/>
  <c r="T3363" i="11"/>
  <c r="U3427" i="11"/>
  <c r="T3427" i="11"/>
  <c r="U3491" i="11"/>
  <c r="T3491" i="11"/>
  <c r="U3555" i="11"/>
  <c r="T3555" i="11"/>
  <c r="U3619" i="11"/>
  <c r="T3619" i="11"/>
  <c r="U3683" i="11"/>
  <c r="T3683" i="11"/>
  <c r="U3747" i="11"/>
  <c r="T3747" i="11"/>
  <c r="U2228" i="11"/>
  <c r="T2228" i="11"/>
  <c r="U2300" i="11"/>
  <c r="T2300" i="11"/>
  <c r="U2372" i="11"/>
  <c r="T2372" i="11"/>
  <c r="U2444" i="11"/>
  <c r="T2444" i="11"/>
  <c r="U2516" i="11"/>
  <c r="T2516" i="11"/>
  <c r="U2588" i="11"/>
  <c r="T2588" i="11"/>
  <c r="U2660" i="11"/>
  <c r="T2660" i="11"/>
  <c r="U2724" i="11"/>
  <c r="T2724" i="11"/>
  <c r="U2860" i="11"/>
  <c r="T2860" i="11"/>
  <c r="U2980" i="11"/>
  <c r="T2980" i="11"/>
  <c r="T3044" i="11"/>
  <c r="U3044" i="11"/>
  <c r="U3108" i="11"/>
  <c r="T3108" i="11"/>
  <c r="U3764" i="11"/>
  <c r="T3764" i="11"/>
  <c r="U3836" i="11"/>
  <c r="T3836" i="11"/>
  <c r="U2347" i="11"/>
  <c r="T2347" i="11"/>
  <c r="U2411" i="11"/>
  <c r="T2411" i="11"/>
  <c r="U2475" i="11"/>
  <c r="T2475" i="11"/>
  <c r="U2539" i="11"/>
  <c r="T2539" i="11"/>
  <c r="U2603" i="11"/>
  <c r="T2603" i="11"/>
  <c r="T2667" i="11"/>
  <c r="U2667" i="11"/>
  <c r="U2731" i="11"/>
  <c r="T2731" i="11"/>
  <c r="U2795" i="11"/>
  <c r="T2795" i="11"/>
  <c r="U2859" i="11"/>
  <c r="T2859" i="11"/>
  <c r="T2923" i="11"/>
  <c r="U2923" i="11"/>
  <c r="U2987" i="11"/>
  <c r="T2987" i="11"/>
  <c r="U3051" i="11"/>
  <c r="T3051" i="11"/>
  <c r="U3115" i="11"/>
  <c r="T3115" i="11"/>
  <c r="U3179" i="11"/>
  <c r="T3179" i="11"/>
  <c r="T3243" i="11"/>
  <c r="U3243" i="11"/>
  <c r="T3307" i="11"/>
  <c r="U3307" i="11"/>
  <c r="U3371" i="11"/>
  <c r="T3371" i="11"/>
  <c r="U3435" i="11"/>
  <c r="T3435" i="11"/>
  <c r="T3499" i="11"/>
  <c r="U3499" i="11"/>
  <c r="U3563" i="11"/>
  <c r="T3563" i="11"/>
  <c r="U3627" i="11"/>
  <c r="T3627" i="11"/>
  <c r="U3691" i="11"/>
  <c r="T3691" i="11"/>
  <c r="U3755" i="11"/>
  <c r="T3755" i="11"/>
  <c r="U2236" i="11"/>
  <c r="T2236" i="11"/>
  <c r="U2308" i="11"/>
  <c r="T2308" i="11"/>
  <c r="U2380" i="11"/>
  <c r="T2380" i="11"/>
  <c r="U2524" i="11"/>
  <c r="T2524" i="11"/>
  <c r="U2596" i="11"/>
  <c r="T2596" i="11"/>
  <c r="U2668" i="11"/>
  <c r="T2668" i="11"/>
  <c r="U2804" i="11"/>
  <c r="T2804" i="11"/>
  <c r="U2868" i="11"/>
  <c r="T2868" i="11"/>
  <c r="U2932" i="11"/>
  <c r="T2932" i="11"/>
  <c r="T3188" i="11"/>
  <c r="U3188" i="11"/>
  <c r="U3252" i="11"/>
  <c r="T3252" i="11"/>
  <c r="U3316" i="11"/>
  <c r="T3316" i="11"/>
  <c r="U3380" i="11"/>
  <c r="T3380" i="11"/>
  <c r="U3444" i="11"/>
  <c r="T3444" i="11"/>
  <c r="U3508" i="11"/>
  <c r="T3508" i="11"/>
  <c r="U3572" i="11"/>
  <c r="T3572" i="11"/>
  <c r="U3636" i="11"/>
  <c r="T3636" i="11"/>
  <c r="U3700" i="11"/>
  <c r="T3700" i="11"/>
  <c r="U3844" i="11"/>
  <c r="T3844" i="11"/>
  <c r="U2355" i="11"/>
  <c r="T2355" i="11"/>
  <c r="T2419" i="11"/>
  <c r="U2419" i="11"/>
  <c r="U2483" i="11"/>
  <c r="T2483" i="11"/>
  <c r="U2547" i="11"/>
  <c r="T2547" i="11"/>
  <c r="U2611" i="11"/>
  <c r="T2611" i="11"/>
  <c r="U2675" i="11"/>
  <c r="T2675" i="11"/>
  <c r="U2739" i="11"/>
  <c r="T2739" i="11"/>
  <c r="U2803" i="11"/>
  <c r="T2803" i="11"/>
  <c r="U2867" i="11"/>
  <c r="T2867" i="11"/>
  <c r="U2931" i="11"/>
  <c r="T2931" i="11"/>
  <c r="U2995" i="11"/>
  <c r="T2995" i="11"/>
  <c r="U3059" i="11"/>
  <c r="T3059" i="11"/>
  <c r="U3123" i="11"/>
  <c r="T3123" i="11"/>
  <c r="U3187" i="11"/>
  <c r="T3187" i="11"/>
  <c r="U3251" i="11"/>
  <c r="T3251" i="11"/>
  <c r="U3315" i="11"/>
  <c r="T3315" i="11"/>
  <c r="U3379" i="11"/>
  <c r="T3379" i="11"/>
  <c r="U3443" i="11"/>
  <c r="T3443" i="11"/>
  <c r="U3507" i="11"/>
  <c r="T3507" i="11"/>
  <c r="U3571" i="11"/>
  <c r="T3571" i="11"/>
  <c r="U3635" i="11"/>
  <c r="T3635" i="11"/>
  <c r="U3699" i="11"/>
  <c r="T3699" i="11"/>
  <c r="U3763" i="11"/>
  <c r="T3763" i="11"/>
  <c r="U2244" i="11"/>
  <c r="T2244" i="11"/>
  <c r="U2316" i="11"/>
  <c r="T2316" i="11"/>
  <c r="U2388" i="11"/>
  <c r="T2388" i="11"/>
  <c r="U2460" i="11"/>
  <c r="T2460" i="11"/>
  <c r="T2532" i="11"/>
  <c r="U2532" i="11"/>
  <c r="U2612" i="11"/>
  <c r="T2612" i="11"/>
  <c r="U2676" i="11"/>
  <c r="T2676" i="11"/>
  <c r="U2740" i="11"/>
  <c r="T2740" i="11"/>
  <c r="T2996" i="11"/>
  <c r="U2996" i="11"/>
  <c r="U3060" i="11"/>
  <c r="T3060" i="11"/>
  <c r="U3124" i="11"/>
  <c r="T3124" i="11"/>
  <c r="U3780" i="11"/>
  <c r="T3780" i="11"/>
  <c r="U3860" i="11"/>
  <c r="T3860" i="11"/>
  <c r="Y1549" i="11"/>
  <c r="AB1549" i="11" s="1"/>
  <c r="U2714" i="11"/>
  <c r="Y2714" i="11" s="1"/>
  <c r="T2714" i="11"/>
  <c r="U2672" i="11"/>
  <c r="Y2672" i="11" s="1"/>
  <c r="T2650" i="11"/>
  <c r="U2722" i="11"/>
  <c r="Y2722" i="11" s="1"/>
  <c r="AB2722" i="11" s="1"/>
  <c r="T2639" i="11"/>
  <c r="U58" i="11"/>
  <c r="T58" i="11"/>
  <c r="U122" i="11"/>
  <c r="T122" i="11"/>
  <c r="U186" i="11"/>
  <c r="T186" i="11"/>
  <c r="U258" i="11"/>
  <c r="T258" i="11"/>
  <c r="U330" i="11"/>
  <c r="T330" i="11"/>
  <c r="U410" i="11"/>
  <c r="T410" i="11"/>
  <c r="U474" i="11"/>
  <c r="T474" i="11"/>
  <c r="U554" i="11"/>
  <c r="T554" i="11"/>
  <c r="U618" i="11"/>
  <c r="T618" i="11"/>
  <c r="U698" i="11"/>
  <c r="T698" i="11"/>
  <c r="U770" i="11"/>
  <c r="T770" i="11"/>
  <c r="U842" i="11"/>
  <c r="T842" i="11"/>
  <c r="U922" i="11"/>
  <c r="T922" i="11"/>
  <c r="U986" i="11"/>
  <c r="T986" i="11"/>
  <c r="U1066" i="11"/>
  <c r="T1066" i="11"/>
  <c r="U1130" i="11"/>
  <c r="T1130" i="11"/>
  <c r="U1210" i="11"/>
  <c r="T1210" i="11"/>
  <c r="U1282" i="11"/>
  <c r="T1282" i="11"/>
  <c r="U1354" i="11"/>
  <c r="T1354" i="11"/>
  <c r="U1434" i="11"/>
  <c r="T1434" i="11"/>
  <c r="U1498" i="11"/>
  <c r="T1498" i="11"/>
  <c r="U1594" i="11"/>
  <c r="T1594" i="11"/>
  <c r="U1722" i="11"/>
  <c r="T1722" i="11"/>
  <c r="U1850" i="11"/>
  <c r="T1850" i="11"/>
  <c r="U1978" i="11"/>
  <c r="T1978" i="11"/>
  <c r="U2106" i="11"/>
  <c r="T2106" i="11"/>
  <c r="U2218" i="11"/>
  <c r="T2218" i="11"/>
  <c r="U2306" i="11"/>
  <c r="T2306" i="11"/>
  <c r="U2394" i="11"/>
  <c r="T2394" i="11"/>
  <c r="U2474" i="11"/>
  <c r="T2474" i="11"/>
  <c r="U2562" i="11"/>
  <c r="T2562" i="11"/>
  <c r="U2642" i="11"/>
  <c r="T2642" i="11"/>
  <c r="U2754" i="11"/>
  <c r="T2754" i="11"/>
  <c r="U2818" i="11"/>
  <c r="T2818" i="11"/>
  <c r="U2882" i="11"/>
  <c r="T2882" i="11"/>
  <c r="U2946" i="11"/>
  <c r="T2946" i="11"/>
  <c r="U3010" i="11"/>
  <c r="T3010" i="11"/>
  <c r="U3074" i="11"/>
  <c r="T3074" i="11"/>
  <c r="U3138" i="11"/>
  <c r="T3138" i="11"/>
  <c r="U3202" i="11"/>
  <c r="T3202" i="11"/>
  <c r="U3266" i="11"/>
  <c r="T3266" i="11"/>
  <c r="U3330" i="11"/>
  <c r="T3330" i="11"/>
  <c r="U3394" i="11"/>
  <c r="T3394" i="11"/>
  <c r="U3458" i="11"/>
  <c r="T3458" i="11"/>
  <c r="U3522" i="11"/>
  <c r="T3522" i="11"/>
  <c r="U3586" i="11"/>
  <c r="T3586" i="11"/>
  <c r="U3650" i="11"/>
  <c r="T3650" i="11"/>
  <c r="U3714" i="11"/>
  <c r="T3714" i="11"/>
  <c r="U3778" i="11"/>
  <c r="T3778" i="11"/>
  <c r="U3842" i="11"/>
  <c r="T3842" i="11"/>
  <c r="U21" i="11"/>
  <c r="T21" i="11"/>
  <c r="U85" i="11"/>
  <c r="T85" i="11"/>
  <c r="U149" i="11"/>
  <c r="T149" i="11"/>
  <c r="U213" i="11"/>
  <c r="T213" i="11"/>
  <c r="U277" i="11"/>
  <c r="T277" i="11"/>
  <c r="U341" i="11"/>
  <c r="T341" i="11"/>
  <c r="U405" i="11"/>
  <c r="T405" i="11"/>
  <c r="U469" i="11"/>
  <c r="T469" i="11"/>
  <c r="U533" i="11"/>
  <c r="T533" i="11"/>
  <c r="U597" i="11"/>
  <c r="T597" i="11"/>
  <c r="U661" i="11"/>
  <c r="T661" i="11"/>
  <c r="U725" i="11"/>
  <c r="T725" i="11"/>
  <c r="U789" i="11"/>
  <c r="T789" i="11"/>
  <c r="U853" i="11"/>
  <c r="T853" i="11"/>
  <c r="U917" i="11"/>
  <c r="T917" i="11"/>
  <c r="U1045" i="11"/>
  <c r="T1045" i="11"/>
  <c r="U1109" i="11"/>
  <c r="T1109" i="11"/>
  <c r="U1173" i="11"/>
  <c r="T1173" i="11"/>
  <c r="U1237" i="11"/>
  <c r="T1237" i="11"/>
  <c r="U1301" i="11"/>
  <c r="T1301" i="11"/>
  <c r="U1365" i="11"/>
  <c r="T1365" i="11"/>
  <c r="U1429" i="11"/>
  <c r="T1429" i="11"/>
  <c r="U1493" i="11"/>
  <c r="T1493" i="11"/>
  <c r="U83" i="11"/>
  <c r="T83" i="11"/>
  <c r="U171" i="11"/>
  <c r="T171" i="11"/>
  <c r="U243" i="11"/>
  <c r="T243" i="11"/>
  <c r="U307" i="11"/>
  <c r="T307" i="11"/>
  <c r="U1605" i="11"/>
  <c r="T1605" i="11"/>
  <c r="U1733" i="11"/>
  <c r="T1733" i="11"/>
  <c r="U1797" i="11"/>
  <c r="T1797" i="11"/>
  <c r="U1861" i="11"/>
  <c r="T1861" i="11"/>
  <c r="U1925" i="11"/>
  <c r="T1925" i="11"/>
  <c r="U2053" i="11"/>
  <c r="T2053" i="11"/>
  <c r="U2117" i="11"/>
  <c r="T2117" i="11"/>
  <c r="U379" i="11"/>
  <c r="T379" i="11"/>
  <c r="U443" i="11"/>
  <c r="T443" i="11"/>
  <c r="U507" i="11"/>
  <c r="T507" i="11"/>
  <c r="U571" i="11"/>
  <c r="T571" i="11"/>
  <c r="U635" i="11"/>
  <c r="T635" i="11"/>
  <c r="U699" i="11"/>
  <c r="T699" i="11"/>
  <c r="U763" i="11"/>
  <c r="T763" i="11"/>
  <c r="U827" i="11"/>
  <c r="T827" i="11"/>
  <c r="U891" i="11"/>
  <c r="T891" i="11"/>
  <c r="U955" i="11"/>
  <c r="T955" i="11"/>
  <c r="U2141" i="11"/>
  <c r="T2141" i="11"/>
  <c r="U3781" i="11"/>
  <c r="T3781" i="11"/>
  <c r="U1035" i="11"/>
  <c r="T1035" i="11"/>
  <c r="U1099" i="11"/>
  <c r="T1099" i="11"/>
  <c r="U1163" i="11"/>
  <c r="T1163" i="11"/>
  <c r="U1227" i="11"/>
  <c r="T1227" i="11"/>
  <c r="U1291" i="11"/>
  <c r="T1291" i="11"/>
  <c r="U1355" i="11"/>
  <c r="T1355" i="11"/>
  <c r="U1419" i="11"/>
  <c r="T1419" i="11"/>
  <c r="U1483" i="11"/>
  <c r="T1483" i="11"/>
  <c r="U1547" i="11"/>
  <c r="T1547" i="11"/>
  <c r="U1611" i="11"/>
  <c r="T1611" i="11"/>
  <c r="U1675" i="11"/>
  <c r="T1675" i="11"/>
  <c r="U1739" i="11"/>
  <c r="T1739" i="11"/>
  <c r="U1803" i="11"/>
  <c r="T1803" i="11"/>
  <c r="U1867" i="11"/>
  <c r="T1867" i="11"/>
  <c r="U1931" i="11"/>
  <c r="T1931" i="11"/>
  <c r="U1995" i="11"/>
  <c r="T1995" i="11"/>
  <c r="T2059" i="11"/>
  <c r="U2059" i="11"/>
  <c r="U2123" i="11"/>
  <c r="T2123" i="11"/>
  <c r="U2187" i="11"/>
  <c r="T2187" i="11"/>
  <c r="T2251" i="11"/>
  <c r="U2251" i="11"/>
  <c r="U2315" i="11"/>
  <c r="T2315" i="11"/>
  <c r="U68" i="11"/>
  <c r="T68" i="11"/>
  <c r="U132" i="11"/>
  <c r="T132" i="11"/>
  <c r="U196" i="11"/>
  <c r="T196" i="11"/>
  <c r="U260" i="11"/>
  <c r="T260" i="11"/>
  <c r="U324" i="11"/>
  <c r="T324" i="11"/>
  <c r="U388" i="11"/>
  <c r="T388" i="11"/>
  <c r="U452" i="11"/>
  <c r="T452" i="11"/>
  <c r="U516" i="11"/>
  <c r="T516" i="11"/>
  <c r="U580" i="11"/>
  <c r="T580" i="11"/>
  <c r="U644" i="11"/>
  <c r="T644" i="11"/>
  <c r="U708" i="11"/>
  <c r="T708" i="11"/>
  <c r="U772" i="11"/>
  <c r="T772" i="11"/>
  <c r="U836" i="11"/>
  <c r="T836" i="11"/>
  <c r="U900" i="11"/>
  <c r="T900" i="11"/>
  <c r="U964" i="11"/>
  <c r="T964" i="11"/>
  <c r="U1028" i="11"/>
  <c r="T1028" i="11"/>
  <c r="U1092" i="11"/>
  <c r="T1092" i="11"/>
  <c r="U1156" i="11"/>
  <c r="T1156" i="11"/>
  <c r="U1220" i="11"/>
  <c r="T1220" i="11"/>
  <c r="U1284" i="11"/>
  <c r="T1284" i="11"/>
  <c r="U1348" i="11"/>
  <c r="T1348" i="11"/>
  <c r="U1412" i="11"/>
  <c r="T1412" i="11"/>
  <c r="U1476" i="11"/>
  <c r="T1476" i="11"/>
  <c r="U1540" i="11"/>
  <c r="T1540" i="11"/>
  <c r="U1604" i="11"/>
  <c r="T1604" i="11"/>
  <c r="U82" i="11"/>
  <c r="T82" i="11"/>
  <c r="U146" i="11"/>
  <c r="T146" i="11"/>
  <c r="U210" i="11"/>
  <c r="T210" i="11"/>
  <c r="U290" i="11"/>
  <c r="T290" i="11"/>
  <c r="U354" i="11"/>
  <c r="T354" i="11"/>
  <c r="U434" i="11"/>
  <c r="T434" i="11"/>
  <c r="U506" i="11"/>
  <c r="T506" i="11"/>
  <c r="U578" i="11"/>
  <c r="T578" i="11"/>
  <c r="U650" i="11"/>
  <c r="T650" i="11"/>
  <c r="U722" i="11"/>
  <c r="T722" i="11"/>
  <c r="U802" i="11"/>
  <c r="T802" i="11"/>
  <c r="U866" i="11"/>
  <c r="T866" i="11"/>
  <c r="U946" i="11"/>
  <c r="T946" i="11"/>
  <c r="U1018" i="11"/>
  <c r="T1018" i="11"/>
  <c r="U1090" i="11"/>
  <c r="T1090" i="11"/>
  <c r="U1162" i="11"/>
  <c r="T1162" i="11"/>
  <c r="U1234" i="11"/>
  <c r="T1234" i="11"/>
  <c r="U1314" i="11"/>
  <c r="T1314" i="11"/>
  <c r="U1378" i="11"/>
  <c r="T1378" i="11"/>
  <c r="U1458" i="11"/>
  <c r="T1458" i="11"/>
  <c r="U1530" i="11"/>
  <c r="T1530" i="11"/>
  <c r="U1642" i="11"/>
  <c r="T1642" i="11"/>
  <c r="U1770" i="11"/>
  <c r="T1770" i="11"/>
  <c r="T1898" i="11"/>
  <c r="U1898" i="11"/>
  <c r="U2026" i="11"/>
  <c r="T2026" i="11"/>
  <c r="U2154" i="11"/>
  <c r="T2154" i="11"/>
  <c r="U2258" i="11"/>
  <c r="T2258" i="11"/>
  <c r="U2338" i="11"/>
  <c r="T2338" i="11"/>
  <c r="U2418" i="11"/>
  <c r="T2418" i="11"/>
  <c r="U2514" i="11"/>
  <c r="T2514" i="11"/>
  <c r="U2594" i="11"/>
  <c r="T2594" i="11"/>
  <c r="U2698" i="11"/>
  <c r="T2698" i="11"/>
  <c r="U2778" i="11"/>
  <c r="T2778" i="11"/>
  <c r="U2842" i="11"/>
  <c r="T2842" i="11"/>
  <c r="U2906" i="11"/>
  <c r="T2906" i="11"/>
  <c r="U2970" i="11"/>
  <c r="T2970" i="11"/>
  <c r="U3034" i="11"/>
  <c r="T3034" i="11"/>
  <c r="U3098" i="11"/>
  <c r="T3098" i="11"/>
  <c r="U3162" i="11"/>
  <c r="T3162" i="11"/>
  <c r="U3226" i="11"/>
  <c r="T3226" i="11"/>
  <c r="U3290" i="11"/>
  <c r="T3290" i="11"/>
  <c r="U3354" i="11"/>
  <c r="T3354" i="11"/>
  <c r="U3418" i="11"/>
  <c r="T3418" i="11"/>
  <c r="U3482" i="11"/>
  <c r="T3482" i="11"/>
  <c r="U3546" i="11"/>
  <c r="T3546" i="11"/>
  <c r="U3610" i="11"/>
  <c r="T3610" i="11"/>
  <c r="U3674" i="11"/>
  <c r="T3674" i="11"/>
  <c r="U3738" i="11"/>
  <c r="T3738" i="11"/>
  <c r="U3802" i="11"/>
  <c r="T3802" i="11"/>
  <c r="U3866" i="11"/>
  <c r="T3866" i="11"/>
  <c r="U45" i="11"/>
  <c r="T45" i="11"/>
  <c r="U109" i="11"/>
  <c r="T109" i="11"/>
  <c r="U173" i="11"/>
  <c r="T173" i="11"/>
  <c r="U237" i="11"/>
  <c r="T237" i="11"/>
  <c r="U301" i="11"/>
  <c r="T301" i="11"/>
  <c r="U365" i="11"/>
  <c r="T365" i="11"/>
  <c r="U429" i="11"/>
  <c r="T429" i="11"/>
  <c r="U493" i="11"/>
  <c r="T493" i="11"/>
  <c r="U557" i="11"/>
  <c r="T557" i="11"/>
  <c r="U621" i="11"/>
  <c r="T621" i="11"/>
  <c r="U685" i="11"/>
  <c r="T685" i="11"/>
  <c r="U749" i="11"/>
  <c r="T749" i="11"/>
  <c r="U813" i="11"/>
  <c r="T813" i="11"/>
  <c r="U877" i="11"/>
  <c r="T877" i="11"/>
  <c r="U941" i="11"/>
  <c r="T941" i="11"/>
  <c r="U1005" i="11"/>
  <c r="T1005" i="11"/>
  <c r="U1069" i="11"/>
  <c r="T1069" i="11"/>
  <c r="U1133" i="11"/>
  <c r="T1133" i="11"/>
  <c r="U1197" i="11"/>
  <c r="T1197" i="11"/>
  <c r="U1261" i="11"/>
  <c r="T1261" i="11"/>
  <c r="U1325" i="11"/>
  <c r="T1325" i="11"/>
  <c r="U1389" i="11"/>
  <c r="T1389" i="11"/>
  <c r="U1453" i="11"/>
  <c r="T1453" i="11"/>
  <c r="U1517" i="11"/>
  <c r="T1517" i="11"/>
  <c r="U35" i="11"/>
  <c r="T35" i="11"/>
  <c r="U115" i="11"/>
  <c r="T115" i="11"/>
  <c r="U195" i="11"/>
  <c r="T195" i="11"/>
  <c r="U267" i="11"/>
  <c r="T267" i="11"/>
  <c r="U331" i="11"/>
  <c r="T331" i="11"/>
  <c r="U1629" i="11"/>
  <c r="T1629" i="11"/>
  <c r="U1693" i="11"/>
  <c r="T1693" i="11"/>
  <c r="U1757" i="11"/>
  <c r="T1757" i="11"/>
  <c r="U1885" i="11"/>
  <c r="T1885" i="11"/>
  <c r="U2077" i="11"/>
  <c r="T2077" i="11"/>
  <c r="U339" i="11"/>
  <c r="T339" i="11"/>
  <c r="U403" i="11"/>
  <c r="T403" i="11"/>
  <c r="U467" i="11"/>
  <c r="T467" i="11"/>
  <c r="U531" i="11"/>
  <c r="T531" i="11"/>
  <c r="U595" i="11"/>
  <c r="T595" i="11"/>
  <c r="U659" i="11"/>
  <c r="T659" i="11"/>
  <c r="U723" i="11"/>
  <c r="T723" i="11"/>
  <c r="U787" i="11"/>
  <c r="T787" i="11"/>
  <c r="U851" i="11"/>
  <c r="T851" i="11"/>
  <c r="U915" i="11"/>
  <c r="T915" i="11"/>
  <c r="U979" i="11"/>
  <c r="T979" i="11"/>
  <c r="U2165" i="11"/>
  <c r="T2165" i="11"/>
  <c r="U3805" i="11"/>
  <c r="T3805" i="11"/>
  <c r="U3869" i="11"/>
  <c r="T3869" i="11"/>
  <c r="U1059" i="11"/>
  <c r="T1059" i="11"/>
  <c r="U1123" i="11"/>
  <c r="T1123" i="11"/>
  <c r="U1187" i="11"/>
  <c r="T1187" i="11"/>
  <c r="U1251" i="11"/>
  <c r="T1251" i="11"/>
  <c r="U50" i="11"/>
  <c r="T50" i="11"/>
  <c r="U114" i="11"/>
  <c r="T114" i="11"/>
  <c r="U178" i="11"/>
  <c r="T178" i="11"/>
  <c r="U250" i="11"/>
  <c r="T250" i="11"/>
  <c r="U322" i="11"/>
  <c r="T322" i="11"/>
  <c r="U394" i="11"/>
  <c r="T394" i="11"/>
  <c r="U466" i="11"/>
  <c r="T466" i="11"/>
  <c r="U546" i="11"/>
  <c r="T546" i="11"/>
  <c r="U610" i="11"/>
  <c r="T610" i="11"/>
  <c r="U690" i="11"/>
  <c r="T690" i="11"/>
  <c r="U762" i="11"/>
  <c r="T762" i="11"/>
  <c r="U834" i="11"/>
  <c r="T834" i="11"/>
  <c r="U906" i="11"/>
  <c r="T906" i="11"/>
  <c r="U978" i="11"/>
  <c r="T978" i="11"/>
  <c r="U1058" i="11"/>
  <c r="T1058" i="11"/>
  <c r="U1122" i="11"/>
  <c r="T1122" i="11"/>
  <c r="U1202" i="11"/>
  <c r="T1202" i="11"/>
  <c r="U1274" i="11"/>
  <c r="T1274" i="11"/>
  <c r="U1346" i="11"/>
  <c r="T1346" i="11"/>
  <c r="U1418" i="11"/>
  <c r="T1418" i="11"/>
  <c r="U1490" i="11"/>
  <c r="T1490" i="11"/>
  <c r="U1578" i="11"/>
  <c r="T1578" i="11"/>
  <c r="U1706" i="11"/>
  <c r="T1706" i="11"/>
  <c r="U1834" i="11"/>
  <c r="T1834" i="11"/>
  <c r="U1962" i="11"/>
  <c r="T1962" i="11"/>
  <c r="U2090" i="11"/>
  <c r="T2090" i="11"/>
  <c r="U2210" i="11"/>
  <c r="T2210" i="11"/>
  <c r="U2290" i="11"/>
  <c r="T2290" i="11"/>
  <c r="U2386" i="11"/>
  <c r="T2386" i="11"/>
  <c r="U2466" i="11"/>
  <c r="T2466" i="11"/>
  <c r="U2546" i="11"/>
  <c r="T2546" i="11"/>
  <c r="U2634" i="11"/>
  <c r="T2634" i="11"/>
  <c r="U2746" i="11"/>
  <c r="T2746" i="11"/>
  <c r="U2810" i="11"/>
  <c r="T2810" i="11"/>
  <c r="U2874" i="11"/>
  <c r="T2874" i="11"/>
  <c r="U2938" i="11"/>
  <c r="T2938" i="11"/>
  <c r="U3002" i="11"/>
  <c r="T3002" i="11"/>
  <c r="U3066" i="11"/>
  <c r="T3066" i="11"/>
  <c r="U3130" i="11"/>
  <c r="T3130" i="11"/>
  <c r="U3194" i="11"/>
  <c r="T3194" i="11"/>
  <c r="U3258" i="11"/>
  <c r="T3258" i="11"/>
  <c r="U3322" i="11"/>
  <c r="T3322" i="11"/>
  <c r="U3386" i="11"/>
  <c r="T3386" i="11"/>
  <c r="U3450" i="11"/>
  <c r="T3450" i="11"/>
  <c r="U3514" i="11"/>
  <c r="T3514" i="11"/>
  <c r="U3578" i="11"/>
  <c r="T3578" i="11"/>
  <c r="U3642" i="11"/>
  <c r="T3642" i="11"/>
  <c r="U3706" i="11"/>
  <c r="T3706" i="11"/>
  <c r="U3770" i="11"/>
  <c r="T3770" i="11"/>
  <c r="U3834" i="11"/>
  <c r="T3834" i="11"/>
  <c r="U13" i="11"/>
  <c r="T13" i="11"/>
  <c r="U77" i="11"/>
  <c r="T77" i="11"/>
  <c r="U141" i="11"/>
  <c r="T141" i="11"/>
  <c r="U205" i="11"/>
  <c r="T205" i="11"/>
  <c r="U269" i="11"/>
  <c r="T269" i="11"/>
  <c r="U333" i="11"/>
  <c r="T333" i="11"/>
  <c r="U397" i="11"/>
  <c r="T397" i="11"/>
  <c r="U461" i="11"/>
  <c r="T461" i="11"/>
  <c r="U525" i="11"/>
  <c r="T525" i="11"/>
  <c r="U589" i="11"/>
  <c r="T589" i="11"/>
  <c r="U653" i="11"/>
  <c r="T653" i="11"/>
  <c r="U717" i="11"/>
  <c r="T717" i="11"/>
  <c r="U781" i="11"/>
  <c r="T781" i="11"/>
  <c r="U845" i="11"/>
  <c r="T845" i="11"/>
  <c r="U909" i="11"/>
  <c r="T909" i="11"/>
  <c r="U973" i="11"/>
  <c r="T973" i="11"/>
  <c r="U1037" i="11"/>
  <c r="T1037" i="11"/>
  <c r="U1101" i="11"/>
  <c r="T1101" i="11"/>
  <c r="U1165" i="11"/>
  <c r="T1165" i="11"/>
  <c r="U1229" i="11"/>
  <c r="T1229" i="11"/>
  <c r="U1293" i="11"/>
  <c r="T1293" i="11"/>
  <c r="U1357" i="11"/>
  <c r="T1357" i="11"/>
  <c r="U1421" i="11"/>
  <c r="T1421" i="11"/>
  <c r="U1485" i="11"/>
  <c r="T1485" i="11"/>
  <c r="U67" i="11"/>
  <c r="T67" i="11"/>
  <c r="U163" i="11"/>
  <c r="T163" i="11"/>
  <c r="U235" i="11"/>
  <c r="T235" i="11"/>
  <c r="U299" i="11"/>
  <c r="T299" i="11"/>
  <c r="U1597" i="11"/>
  <c r="T1597" i="11"/>
  <c r="U1661" i="11"/>
  <c r="T1661" i="11"/>
  <c r="U1725" i="11"/>
  <c r="T1725" i="11"/>
  <c r="U1789" i="11"/>
  <c r="T1789" i="11"/>
  <c r="U1853" i="11"/>
  <c r="T1853" i="11"/>
  <c r="U1981" i="11"/>
  <c r="T1981" i="11"/>
  <c r="U2045" i="11"/>
  <c r="T2045" i="11"/>
  <c r="U2109" i="11"/>
  <c r="T2109" i="11"/>
  <c r="U371" i="11"/>
  <c r="T371" i="11"/>
  <c r="U435" i="11"/>
  <c r="T435" i="11"/>
  <c r="U499" i="11"/>
  <c r="T499" i="11"/>
  <c r="U563" i="11"/>
  <c r="T563" i="11"/>
  <c r="U627" i="11"/>
  <c r="T627" i="11"/>
  <c r="U691" i="11"/>
  <c r="T691" i="11"/>
  <c r="U755" i="11"/>
  <c r="T755" i="11"/>
  <c r="U819" i="11"/>
  <c r="T819" i="11"/>
  <c r="U883" i="11"/>
  <c r="T883" i="11"/>
  <c r="U947" i="11"/>
  <c r="T947" i="11"/>
  <c r="U1011" i="11"/>
  <c r="T1011" i="11"/>
  <c r="U3773" i="11"/>
  <c r="T3773" i="11"/>
  <c r="U3837" i="11"/>
  <c r="T3837" i="11"/>
  <c r="U1027" i="11"/>
  <c r="T1027" i="11"/>
  <c r="U1091" i="11"/>
  <c r="T1091" i="11"/>
  <c r="U1155" i="11"/>
  <c r="T1155" i="11"/>
  <c r="U1219" i="11"/>
  <c r="T1219" i="11"/>
  <c r="U1283" i="11"/>
  <c r="T1283" i="11"/>
  <c r="U1347" i="11"/>
  <c r="T1347" i="11"/>
  <c r="U1411" i="11"/>
  <c r="T1411" i="11"/>
  <c r="U1475" i="11"/>
  <c r="T1475" i="11"/>
  <c r="U1539" i="11"/>
  <c r="T1539" i="11"/>
  <c r="U1603" i="11"/>
  <c r="T1603" i="11"/>
  <c r="U1667" i="11"/>
  <c r="T1667" i="11"/>
  <c r="U1731" i="11"/>
  <c r="T1731" i="11"/>
  <c r="U1795" i="11"/>
  <c r="T1795" i="11"/>
  <c r="U1859" i="11"/>
  <c r="T1859" i="11"/>
  <c r="U1923" i="11"/>
  <c r="T1923" i="11"/>
  <c r="U1987" i="11"/>
  <c r="T1987" i="11"/>
  <c r="U2051" i="11"/>
  <c r="T2051" i="11"/>
  <c r="U2115" i="11"/>
  <c r="T2115" i="11"/>
  <c r="T2179" i="11"/>
  <c r="U2179" i="11"/>
  <c r="T2243" i="11"/>
  <c r="U2243" i="11"/>
  <c r="T2307" i="11"/>
  <c r="U2307" i="11"/>
  <c r="U60" i="11"/>
  <c r="T60" i="11"/>
  <c r="U124" i="11"/>
  <c r="T124" i="11"/>
  <c r="U188" i="11"/>
  <c r="T188" i="11"/>
  <c r="U252" i="11"/>
  <c r="T252" i="11"/>
  <c r="U316" i="11"/>
  <c r="T316" i="11"/>
  <c r="U380" i="11"/>
  <c r="T380" i="11"/>
  <c r="U444" i="11"/>
  <c r="T444" i="11"/>
  <c r="U508" i="11"/>
  <c r="T508" i="11"/>
  <c r="U572" i="11"/>
  <c r="T572" i="11"/>
  <c r="U636" i="11"/>
  <c r="T636" i="11"/>
  <c r="U700" i="11"/>
  <c r="T700" i="11"/>
  <c r="U764" i="11"/>
  <c r="T764" i="11"/>
  <c r="U828" i="11"/>
  <c r="T828" i="11"/>
  <c r="U892" i="11"/>
  <c r="T892" i="11"/>
  <c r="U956" i="11"/>
  <c r="T956" i="11"/>
  <c r="U1020" i="11"/>
  <c r="T1020" i="11"/>
  <c r="U1084" i="11"/>
  <c r="T1084" i="11"/>
  <c r="U1148" i="11"/>
  <c r="T1148" i="11"/>
  <c r="U1212" i="11"/>
  <c r="T1212" i="11"/>
  <c r="U1276" i="11"/>
  <c r="T1276" i="11"/>
  <c r="U1340" i="11"/>
  <c r="T1340" i="11"/>
  <c r="U1404" i="11"/>
  <c r="T1404" i="11"/>
  <c r="U1468" i="11"/>
  <c r="T1468" i="11"/>
  <c r="U1532" i="11"/>
  <c r="T1532" i="11"/>
  <c r="U1596" i="11"/>
  <c r="T1596" i="11"/>
  <c r="U1660" i="11"/>
  <c r="T1660" i="11"/>
  <c r="U1676" i="11"/>
  <c r="T1676" i="11"/>
  <c r="U1740" i="11"/>
  <c r="T1740" i="11"/>
  <c r="U1804" i="11"/>
  <c r="T1804" i="11"/>
  <c r="U1868" i="11"/>
  <c r="T1868" i="11"/>
  <c r="U1932" i="11"/>
  <c r="T1932" i="11"/>
  <c r="U1996" i="11"/>
  <c r="T1996" i="11"/>
  <c r="U2060" i="11"/>
  <c r="T2060" i="11"/>
  <c r="U2124" i="11"/>
  <c r="T2124" i="11"/>
  <c r="T2188" i="11"/>
  <c r="U2188" i="11"/>
  <c r="U1684" i="11"/>
  <c r="T1684" i="11"/>
  <c r="U1748" i="11"/>
  <c r="T1748" i="11"/>
  <c r="U1812" i="11"/>
  <c r="T1812" i="11"/>
  <c r="T1876" i="11"/>
  <c r="U1876" i="11"/>
  <c r="U1940" i="11"/>
  <c r="T1940" i="11"/>
  <c r="U2004" i="11"/>
  <c r="T2004" i="11"/>
  <c r="U2068" i="11"/>
  <c r="T2068" i="11"/>
  <c r="U2132" i="11"/>
  <c r="T2132" i="11"/>
  <c r="U66" i="11"/>
  <c r="T66" i="11"/>
  <c r="U130" i="11"/>
  <c r="T130" i="11"/>
  <c r="U194" i="11"/>
  <c r="T194" i="11"/>
  <c r="U266" i="11"/>
  <c r="T266" i="11"/>
  <c r="U338" i="11"/>
  <c r="T338" i="11"/>
  <c r="U418" i="11"/>
  <c r="T418" i="11"/>
  <c r="U482" i="11"/>
  <c r="T482" i="11"/>
  <c r="U562" i="11"/>
  <c r="T562" i="11"/>
  <c r="U634" i="11"/>
  <c r="T634" i="11"/>
  <c r="U706" i="11"/>
  <c r="T706" i="11"/>
  <c r="U778" i="11"/>
  <c r="T778" i="11"/>
  <c r="U850" i="11"/>
  <c r="T850" i="11"/>
  <c r="U930" i="11"/>
  <c r="T930" i="11"/>
  <c r="U994" i="11"/>
  <c r="T994" i="11"/>
  <c r="U1074" i="11"/>
  <c r="T1074" i="11"/>
  <c r="U1146" i="11"/>
  <c r="T1146" i="11"/>
  <c r="U1218" i="11"/>
  <c r="T1218" i="11"/>
  <c r="U1290" i="11"/>
  <c r="T1290" i="11"/>
  <c r="U1362" i="11"/>
  <c r="T1362" i="11"/>
  <c r="U1442" i="11"/>
  <c r="T1442" i="11"/>
  <c r="U1506" i="11"/>
  <c r="T1506" i="11"/>
  <c r="U1610" i="11"/>
  <c r="T1610" i="11"/>
  <c r="U1738" i="11"/>
  <c r="T1738" i="11"/>
  <c r="T1866" i="11"/>
  <c r="U1866" i="11"/>
  <c r="U1994" i="11"/>
  <c r="T1994" i="11"/>
  <c r="U2122" i="11"/>
  <c r="T2122" i="11"/>
  <c r="U2226" i="11"/>
  <c r="T2226" i="11"/>
  <c r="U2322" i="11"/>
  <c r="T2322" i="11"/>
  <c r="U2402" i="11"/>
  <c r="T2402" i="11"/>
  <c r="U2482" i="11"/>
  <c r="T2482" i="11"/>
  <c r="U2578" i="11"/>
  <c r="T2578" i="11"/>
  <c r="U2666" i="11"/>
  <c r="T2666" i="11"/>
  <c r="U2762" i="11"/>
  <c r="T2762" i="11"/>
  <c r="U2826" i="11"/>
  <c r="T2826" i="11"/>
  <c r="U2890" i="11"/>
  <c r="T2890" i="11"/>
  <c r="U2954" i="11"/>
  <c r="T2954" i="11"/>
  <c r="U3018" i="11"/>
  <c r="T3018" i="11"/>
  <c r="U3082" i="11"/>
  <c r="T3082" i="11"/>
  <c r="U3146" i="11"/>
  <c r="T3146" i="11"/>
  <c r="U3210" i="11"/>
  <c r="T3210" i="11"/>
  <c r="U3274" i="11"/>
  <c r="T3274" i="11"/>
  <c r="U3338" i="11"/>
  <c r="T3338" i="11"/>
  <c r="U3402" i="11"/>
  <c r="T3402" i="11"/>
  <c r="U3466" i="11"/>
  <c r="T3466" i="11"/>
  <c r="U3530" i="11"/>
  <c r="T3530" i="11"/>
  <c r="U3594" i="11"/>
  <c r="T3594" i="11"/>
  <c r="U3658" i="11"/>
  <c r="T3658" i="11"/>
  <c r="U3722" i="11"/>
  <c r="T3722" i="11"/>
  <c r="U3786" i="11"/>
  <c r="T3786" i="11"/>
  <c r="U3850" i="11"/>
  <c r="T3850" i="11"/>
  <c r="U29" i="11"/>
  <c r="T29" i="11"/>
  <c r="U93" i="11"/>
  <c r="T93" i="11"/>
  <c r="U157" i="11"/>
  <c r="T157" i="11"/>
  <c r="U221" i="11"/>
  <c r="T221" i="11"/>
  <c r="U285" i="11"/>
  <c r="T285" i="11"/>
  <c r="U349" i="11"/>
  <c r="T349" i="11"/>
  <c r="U413" i="11"/>
  <c r="T413" i="11"/>
  <c r="U477" i="11"/>
  <c r="T477" i="11"/>
  <c r="U541" i="11"/>
  <c r="T541" i="11"/>
  <c r="U605" i="11"/>
  <c r="T605" i="11"/>
  <c r="U669" i="11"/>
  <c r="T669" i="11"/>
  <c r="U733" i="11"/>
  <c r="T733" i="11"/>
  <c r="U797" i="11"/>
  <c r="T797" i="11"/>
  <c r="U861" i="11"/>
  <c r="T861" i="11"/>
  <c r="U925" i="11"/>
  <c r="T925" i="11"/>
  <c r="U989" i="11"/>
  <c r="T989" i="11"/>
  <c r="U1053" i="11"/>
  <c r="T1053" i="11"/>
  <c r="U1117" i="11"/>
  <c r="T1117" i="11"/>
  <c r="U1181" i="11"/>
  <c r="T1181" i="11"/>
  <c r="U1245" i="11"/>
  <c r="T1245" i="11"/>
  <c r="U1309" i="11"/>
  <c r="T1309" i="11"/>
  <c r="U1373" i="11"/>
  <c r="T1373" i="11"/>
  <c r="U1437" i="11"/>
  <c r="T1437" i="11"/>
  <c r="U1501" i="11"/>
  <c r="T1501" i="11"/>
  <c r="U1565" i="11"/>
  <c r="T1565" i="11"/>
  <c r="U99" i="11"/>
  <c r="T99" i="11"/>
  <c r="U179" i="11"/>
  <c r="T179" i="11"/>
  <c r="U251" i="11"/>
  <c r="T251" i="11"/>
  <c r="U315" i="11"/>
  <c r="T315" i="11"/>
  <c r="U1613" i="11"/>
  <c r="T1613" i="11"/>
  <c r="U1677" i="11"/>
  <c r="T1677" i="11"/>
  <c r="U1805" i="11"/>
  <c r="T1805" i="11"/>
  <c r="U1869" i="11"/>
  <c r="T1869" i="11"/>
  <c r="U1933" i="11"/>
  <c r="T1933" i="11"/>
  <c r="U1997" i="11"/>
  <c r="T1997" i="11"/>
  <c r="U2061" i="11"/>
  <c r="T2061" i="11"/>
  <c r="U2125" i="11"/>
  <c r="T2125" i="11"/>
  <c r="U387" i="11"/>
  <c r="T387" i="11"/>
  <c r="U451" i="11"/>
  <c r="T451" i="11"/>
  <c r="U515" i="11"/>
  <c r="T515" i="11"/>
  <c r="U579" i="11"/>
  <c r="T579" i="11"/>
  <c r="U643" i="11"/>
  <c r="T643" i="11"/>
  <c r="U707" i="11"/>
  <c r="T707" i="11"/>
  <c r="U771" i="11"/>
  <c r="T771" i="11"/>
  <c r="U835" i="11"/>
  <c r="T835" i="11"/>
  <c r="U899" i="11"/>
  <c r="T899" i="11"/>
  <c r="U963" i="11"/>
  <c r="T963" i="11"/>
  <c r="U2149" i="11"/>
  <c r="T2149" i="11"/>
  <c r="U3853" i="11"/>
  <c r="T3853" i="11"/>
  <c r="U1043" i="11"/>
  <c r="T1043" i="11"/>
  <c r="U1107" i="11"/>
  <c r="T1107" i="11"/>
  <c r="U1171" i="11"/>
  <c r="T1171" i="11"/>
  <c r="U1235" i="11"/>
  <c r="T1235" i="11"/>
  <c r="U1299" i="11"/>
  <c r="T1299" i="11"/>
  <c r="U1363" i="11"/>
  <c r="T1363" i="11"/>
  <c r="T1427" i="11"/>
  <c r="U1427" i="11"/>
  <c r="U1491" i="11"/>
  <c r="T1491" i="11"/>
  <c r="U1555" i="11"/>
  <c r="T1555" i="11"/>
  <c r="U1619" i="11"/>
  <c r="T1619" i="11"/>
  <c r="U1683" i="11"/>
  <c r="T1683" i="11"/>
  <c r="U1747" i="11"/>
  <c r="T1747" i="11"/>
  <c r="T1811" i="11"/>
  <c r="U1811" i="11"/>
  <c r="U1875" i="11"/>
  <c r="T1875" i="11"/>
  <c r="U1939" i="11"/>
  <c r="T1939" i="11"/>
  <c r="U2003" i="11"/>
  <c r="T2003" i="11"/>
  <c r="U2067" i="11"/>
  <c r="T2067" i="11"/>
  <c r="T2131" i="11"/>
  <c r="U2131" i="11"/>
  <c r="U2195" i="11"/>
  <c r="T2195" i="11"/>
  <c r="U2259" i="11"/>
  <c r="T2259" i="11"/>
  <c r="U2196" i="11"/>
  <c r="T2196" i="11"/>
  <c r="U76" i="11"/>
  <c r="T76" i="11"/>
  <c r="U140" i="11"/>
  <c r="T140" i="11"/>
  <c r="U204" i="11"/>
  <c r="T204" i="11"/>
  <c r="U268" i="11"/>
  <c r="T268" i="11"/>
  <c r="U332" i="11"/>
  <c r="T332" i="11"/>
  <c r="U396" i="11"/>
  <c r="T396" i="11"/>
  <c r="U460" i="11"/>
  <c r="T460" i="11"/>
  <c r="U524" i="11"/>
  <c r="T524" i="11"/>
  <c r="U588" i="11"/>
  <c r="T588" i="11"/>
  <c r="U652" i="11"/>
  <c r="T652" i="11"/>
  <c r="U716" i="11"/>
  <c r="T716" i="11"/>
  <c r="U780" i="11"/>
  <c r="T780" i="11"/>
  <c r="U844" i="11"/>
  <c r="T844" i="11"/>
  <c r="U908" i="11"/>
  <c r="T908" i="11"/>
  <c r="U972" i="11"/>
  <c r="T972" i="11"/>
  <c r="U1036" i="11"/>
  <c r="T1036" i="11"/>
  <c r="U1100" i="11"/>
  <c r="T1100" i="11"/>
  <c r="U1164" i="11"/>
  <c r="T1164" i="11"/>
  <c r="U1228" i="11"/>
  <c r="T1228" i="11"/>
  <c r="U1292" i="11"/>
  <c r="T1292" i="11"/>
  <c r="U1356" i="11"/>
  <c r="T1356" i="11"/>
  <c r="U1420" i="11"/>
  <c r="T1420" i="11"/>
  <c r="U1484" i="11"/>
  <c r="T1484" i="11"/>
  <c r="U1548" i="11"/>
  <c r="T1548" i="11"/>
  <c r="U1612" i="11"/>
  <c r="T1612" i="11"/>
  <c r="U1692" i="11"/>
  <c r="T1692" i="11"/>
  <c r="U1756" i="11"/>
  <c r="T1756" i="11"/>
  <c r="U1820" i="11"/>
  <c r="T1820" i="11"/>
  <c r="U1884" i="11"/>
  <c r="T1884" i="11"/>
  <c r="U1948" i="11"/>
  <c r="T1948" i="11"/>
  <c r="U2012" i="11"/>
  <c r="T2012" i="11"/>
  <c r="U2076" i="11"/>
  <c r="T2076" i="11"/>
  <c r="U2140" i="11"/>
  <c r="T2140" i="11"/>
  <c r="U74" i="11"/>
  <c r="T74" i="11"/>
  <c r="U138" i="11"/>
  <c r="T138" i="11"/>
  <c r="U202" i="11"/>
  <c r="T202" i="11"/>
  <c r="U282" i="11"/>
  <c r="T282" i="11"/>
  <c r="U346" i="11"/>
  <c r="T346" i="11"/>
  <c r="U426" i="11"/>
  <c r="T426" i="11"/>
  <c r="U490" i="11"/>
  <c r="T490" i="11"/>
  <c r="U570" i="11"/>
  <c r="T570" i="11"/>
  <c r="U642" i="11"/>
  <c r="T642" i="11"/>
  <c r="U714" i="11"/>
  <c r="T714" i="11"/>
  <c r="U794" i="11"/>
  <c r="T794" i="11"/>
  <c r="U858" i="11"/>
  <c r="T858" i="11"/>
  <c r="U938" i="11"/>
  <c r="T938" i="11"/>
  <c r="U1002" i="11"/>
  <c r="T1002" i="11"/>
  <c r="U1082" i="11"/>
  <c r="T1082" i="11"/>
  <c r="U1154" i="11"/>
  <c r="T1154" i="11"/>
  <c r="U1226" i="11"/>
  <c r="T1226" i="11"/>
  <c r="U1306" i="11"/>
  <c r="T1306" i="11"/>
  <c r="U1370" i="11"/>
  <c r="T1370" i="11"/>
  <c r="U1450" i="11"/>
  <c r="T1450" i="11"/>
  <c r="U1514" i="11"/>
  <c r="T1514" i="11"/>
  <c r="U1626" i="11"/>
  <c r="T1626" i="11"/>
  <c r="U1754" i="11"/>
  <c r="T1754" i="11"/>
  <c r="U1882" i="11"/>
  <c r="T1882" i="11"/>
  <c r="U2010" i="11"/>
  <c r="T2010" i="11"/>
  <c r="U2138" i="11"/>
  <c r="T2138" i="11"/>
  <c r="U2242" i="11"/>
  <c r="T2242" i="11"/>
  <c r="U2330" i="11"/>
  <c r="T2330" i="11"/>
  <c r="U2410" i="11"/>
  <c r="T2410" i="11"/>
  <c r="U2498" i="11"/>
  <c r="T2498" i="11"/>
  <c r="U2586" i="11"/>
  <c r="T2586" i="11"/>
  <c r="U2674" i="11"/>
  <c r="T2674" i="11"/>
  <c r="U2770" i="11"/>
  <c r="T2770" i="11"/>
  <c r="U2834" i="11"/>
  <c r="T2834" i="11"/>
  <c r="U2898" i="11"/>
  <c r="T2898" i="11"/>
  <c r="U2962" i="11"/>
  <c r="T2962" i="11"/>
  <c r="U3026" i="11"/>
  <c r="T3026" i="11"/>
  <c r="U3090" i="11"/>
  <c r="T3090" i="11"/>
  <c r="U3154" i="11"/>
  <c r="T3154" i="11"/>
  <c r="U3218" i="11"/>
  <c r="T3218" i="11"/>
  <c r="U3282" i="11"/>
  <c r="T3282" i="11"/>
  <c r="U3346" i="11"/>
  <c r="T3346" i="11"/>
  <c r="U3410" i="11"/>
  <c r="T3410" i="11"/>
  <c r="U3474" i="11"/>
  <c r="T3474" i="11"/>
  <c r="U3538" i="11"/>
  <c r="T3538" i="11"/>
  <c r="U3602" i="11"/>
  <c r="T3602" i="11"/>
  <c r="U3666" i="11"/>
  <c r="T3666" i="11"/>
  <c r="U3730" i="11"/>
  <c r="T3730" i="11"/>
  <c r="U3794" i="11"/>
  <c r="T3794" i="11"/>
  <c r="U3858" i="11"/>
  <c r="T3858" i="11"/>
  <c r="U37" i="11"/>
  <c r="T37" i="11"/>
  <c r="U101" i="11"/>
  <c r="T101" i="11"/>
  <c r="U165" i="11"/>
  <c r="T165" i="11"/>
  <c r="U229" i="11"/>
  <c r="T229" i="11"/>
  <c r="U293" i="11"/>
  <c r="T293" i="11"/>
  <c r="U357" i="11"/>
  <c r="T357" i="11"/>
  <c r="U421" i="11"/>
  <c r="T421" i="11"/>
  <c r="U485" i="11"/>
  <c r="T485" i="11"/>
  <c r="U549" i="11"/>
  <c r="T549" i="11"/>
  <c r="U613" i="11"/>
  <c r="T613" i="11"/>
  <c r="U677" i="11"/>
  <c r="T677" i="11"/>
  <c r="U741" i="11"/>
  <c r="T741" i="11"/>
  <c r="U805" i="11"/>
  <c r="T805" i="11"/>
  <c r="U869" i="11"/>
  <c r="T869" i="11"/>
  <c r="U933" i="11"/>
  <c r="T933" i="11"/>
  <c r="U997" i="11"/>
  <c r="T997" i="11"/>
  <c r="U1061" i="11"/>
  <c r="T1061" i="11"/>
  <c r="U1125" i="11"/>
  <c r="T1125" i="11"/>
  <c r="U1189" i="11"/>
  <c r="T1189" i="11"/>
  <c r="U1253" i="11"/>
  <c r="T1253" i="11"/>
  <c r="U1317" i="11"/>
  <c r="T1317" i="11"/>
  <c r="U1381" i="11"/>
  <c r="T1381" i="11"/>
  <c r="U1445" i="11"/>
  <c r="T1445" i="11"/>
  <c r="U1509" i="11"/>
  <c r="T1509" i="11"/>
  <c r="U19" i="11"/>
  <c r="T19" i="11"/>
  <c r="U107" i="11"/>
  <c r="T107" i="11"/>
  <c r="U187" i="11"/>
  <c r="T187" i="11"/>
  <c r="U259" i="11"/>
  <c r="T259" i="11"/>
  <c r="U323" i="11"/>
  <c r="T323" i="11"/>
  <c r="U1685" i="11"/>
  <c r="T1685" i="11"/>
  <c r="U1749" i="11"/>
  <c r="T1749" i="11"/>
  <c r="U1813" i="11"/>
  <c r="T1813" i="11"/>
  <c r="U1877" i="11"/>
  <c r="T1877" i="11"/>
  <c r="U1941" i="11"/>
  <c r="T1941" i="11"/>
  <c r="U2005" i="11"/>
  <c r="T2005" i="11"/>
  <c r="U2069" i="11"/>
  <c r="T2069" i="11"/>
  <c r="U2133" i="11"/>
  <c r="T2133" i="11"/>
  <c r="U395" i="11"/>
  <c r="T395" i="11"/>
  <c r="U459" i="11"/>
  <c r="T459" i="11"/>
  <c r="U523" i="11"/>
  <c r="T523" i="11"/>
  <c r="U587" i="11"/>
  <c r="T587" i="11"/>
  <c r="U651" i="11"/>
  <c r="T651" i="11"/>
  <c r="U715" i="11"/>
  <c r="T715" i="11"/>
  <c r="U779" i="11"/>
  <c r="T779" i="11"/>
  <c r="U843" i="11"/>
  <c r="T843" i="11"/>
  <c r="U907" i="11"/>
  <c r="T907" i="11"/>
  <c r="U971" i="11"/>
  <c r="T971" i="11"/>
  <c r="U2157" i="11"/>
  <c r="T2157" i="11"/>
  <c r="U3797" i="11"/>
  <c r="T3797" i="11"/>
  <c r="U3861" i="11"/>
  <c r="T3861" i="11"/>
  <c r="U1051" i="11"/>
  <c r="T1051" i="11"/>
  <c r="U1115" i="11"/>
  <c r="T1115" i="11"/>
  <c r="U1179" i="11"/>
  <c r="T1179" i="11"/>
  <c r="U1243" i="11"/>
  <c r="T1243" i="11"/>
  <c r="U1307" i="11"/>
  <c r="T1307" i="11"/>
  <c r="U1371" i="11"/>
  <c r="T1371" i="11"/>
  <c r="U1435" i="11"/>
  <c r="T1435" i="11"/>
  <c r="U1499" i="11"/>
  <c r="T1499" i="11"/>
  <c r="U1563" i="11"/>
  <c r="T1563" i="11"/>
  <c r="U1627" i="11"/>
  <c r="T1627" i="11"/>
  <c r="U1691" i="11"/>
  <c r="T1691" i="11"/>
  <c r="U1755" i="11"/>
  <c r="T1755" i="11"/>
  <c r="U1819" i="11"/>
  <c r="T1819" i="11"/>
  <c r="U1883" i="11"/>
  <c r="T1883" i="11"/>
  <c r="U1947" i="11"/>
  <c r="T1947" i="11"/>
  <c r="U2011" i="11"/>
  <c r="T2011" i="11"/>
  <c r="U2075" i="11"/>
  <c r="T2075" i="11"/>
  <c r="T2139" i="11"/>
  <c r="U2139" i="11"/>
  <c r="T2203" i="11"/>
  <c r="U2203" i="11"/>
  <c r="U2267" i="11"/>
  <c r="T2267" i="11"/>
  <c r="U20" i="11"/>
  <c r="T20" i="11"/>
  <c r="U84" i="11"/>
  <c r="T84" i="11"/>
  <c r="U148" i="11"/>
  <c r="T148" i="11"/>
  <c r="U212" i="11"/>
  <c r="T212" i="11"/>
  <c r="U276" i="11"/>
  <c r="T276" i="11"/>
  <c r="U340" i="11"/>
  <c r="T340" i="11"/>
  <c r="U404" i="11"/>
  <c r="T404" i="11"/>
  <c r="U468" i="11"/>
  <c r="T468" i="11"/>
  <c r="U532" i="11"/>
  <c r="T532" i="11"/>
  <c r="U596" i="11"/>
  <c r="T596" i="11"/>
  <c r="U660" i="11"/>
  <c r="T660" i="11"/>
  <c r="U724" i="11"/>
  <c r="T724" i="11"/>
  <c r="U788" i="11"/>
  <c r="T788" i="11"/>
  <c r="U852" i="11"/>
  <c r="T852" i="11"/>
  <c r="U916" i="11"/>
  <c r="T916" i="11"/>
  <c r="U980" i="11"/>
  <c r="T980" i="11"/>
  <c r="U1044" i="11"/>
  <c r="T1044" i="11"/>
  <c r="U1108" i="11"/>
  <c r="T1108" i="11"/>
  <c r="U1172" i="11"/>
  <c r="T1172" i="11"/>
  <c r="U1236" i="11"/>
  <c r="T1236" i="11"/>
  <c r="U1300" i="11"/>
  <c r="T1300" i="11"/>
  <c r="U1364" i="11"/>
  <c r="T1364" i="11"/>
  <c r="U1428" i="11"/>
  <c r="T1428" i="11"/>
  <c r="U1492" i="11"/>
  <c r="T1492" i="11"/>
  <c r="U1556" i="11"/>
  <c r="T1556" i="11"/>
  <c r="U1620" i="11"/>
  <c r="T1620" i="11"/>
  <c r="U1700" i="11"/>
  <c r="T1700" i="11"/>
  <c r="U1764" i="11"/>
  <c r="T1764" i="11"/>
  <c r="U1828" i="11"/>
  <c r="T1828" i="11"/>
  <c r="U1892" i="11"/>
  <c r="T1892" i="11"/>
  <c r="T1956" i="11"/>
  <c r="U1956" i="11"/>
  <c r="U2020" i="11"/>
  <c r="T2020" i="11"/>
  <c r="U2084" i="11"/>
  <c r="T2084" i="11"/>
  <c r="U2148" i="11"/>
  <c r="T2148" i="11"/>
  <c r="U1315" i="11"/>
  <c r="T1315" i="11"/>
  <c r="T1379" i="11"/>
  <c r="U1379" i="11"/>
  <c r="U1443" i="11"/>
  <c r="T1443" i="11"/>
  <c r="U1507" i="11"/>
  <c r="T1507" i="11"/>
  <c r="U1571" i="11"/>
  <c r="T1571" i="11"/>
  <c r="U1635" i="11"/>
  <c r="T1635" i="11"/>
  <c r="U1699" i="11"/>
  <c r="T1699" i="11"/>
  <c r="U1763" i="11"/>
  <c r="T1763" i="11"/>
  <c r="U1827" i="11"/>
  <c r="T1827" i="11"/>
  <c r="U1891" i="11"/>
  <c r="T1891" i="11"/>
  <c r="U1955" i="11"/>
  <c r="T1955" i="11"/>
  <c r="T2019" i="11"/>
  <c r="U2019" i="11"/>
  <c r="U2083" i="11"/>
  <c r="T2083" i="11"/>
  <c r="U2147" i="11"/>
  <c r="T2147" i="11"/>
  <c r="U2211" i="11"/>
  <c r="T2211" i="11"/>
  <c r="U2275" i="11"/>
  <c r="T2275" i="11"/>
  <c r="U28" i="11"/>
  <c r="T28" i="11"/>
  <c r="U92" i="11"/>
  <c r="T92" i="11"/>
  <c r="U156" i="11"/>
  <c r="T156" i="11"/>
  <c r="U220" i="11"/>
  <c r="T220" i="11"/>
  <c r="U284" i="11"/>
  <c r="T284" i="11"/>
  <c r="U348" i="11"/>
  <c r="T348" i="11"/>
  <c r="U412" i="11"/>
  <c r="T412" i="11"/>
  <c r="U476" i="11"/>
  <c r="T476" i="11"/>
  <c r="U540" i="11"/>
  <c r="T540" i="11"/>
  <c r="U604" i="11"/>
  <c r="T604" i="11"/>
  <c r="U668" i="11"/>
  <c r="T668" i="11"/>
  <c r="U732" i="11"/>
  <c r="T732" i="11"/>
  <c r="U796" i="11"/>
  <c r="T796" i="11"/>
  <c r="U860" i="11"/>
  <c r="T860" i="11"/>
  <c r="U924" i="11"/>
  <c r="T924" i="11"/>
  <c r="U988" i="11"/>
  <c r="T988" i="11"/>
  <c r="U1052" i="11"/>
  <c r="T1052" i="11"/>
  <c r="U1116" i="11"/>
  <c r="T1116" i="11"/>
  <c r="U1180" i="11"/>
  <c r="T1180" i="11"/>
  <c r="U1244" i="11"/>
  <c r="T1244" i="11"/>
  <c r="U1308" i="11"/>
  <c r="T1308" i="11"/>
  <c r="U1372" i="11"/>
  <c r="T1372" i="11"/>
  <c r="U1436" i="11"/>
  <c r="T1436" i="11"/>
  <c r="U1500" i="11"/>
  <c r="T1500" i="11"/>
  <c r="U1564" i="11"/>
  <c r="T1564" i="11"/>
  <c r="U1628" i="11"/>
  <c r="T1628" i="11"/>
  <c r="U1708" i="11"/>
  <c r="T1708" i="11"/>
  <c r="U1772" i="11"/>
  <c r="T1772" i="11"/>
  <c r="U1836" i="11"/>
  <c r="T1836" i="11"/>
  <c r="U1900" i="11"/>
  <c r="T1900" i="11"/>
  <c r="U1964" i="11"/>
  <c r="T1964" i="11"/>
  <c r="U2028" i="11"/>
  <c r="T2028" i="11"/>
  <c r="U2092" i="11"/>
  <c r="T2092" i="11"/>
  <c r="U2156" i="11"/>
  <c r="T2156" i="11"/>
  <c r="U90" i="11"/>
  <c r="T90" i="11"/>
  <c r="U154" i="11"/>
  <c r="T154" i="11"/>
  <c r="U218" i="11"/>
  <c r="T218" i="11"/>
  <c r="U298" i="11"/>
  <c r="T298" i="11"/>
  <c r="U362" i="11"/>
  <c r="T362" i="11"/>
  <c r="U442" i="11"/>
  <c r="T442" i="11"/>
  <c r="U514" i="11"/>
  <c r="T514" i="11"/>
  <c r="U586" i="11"/>
  <c r="T586" i="11"/>
  <c r="U666" i="11"/>
  <c r="T666" i="11"/>
  <c r="U730" i="11"/>
  <c r="T730" i="11"/>
  <c r="U810" i="11"/>
  <c r="T810" i="11"/>
  <c r="U874" i="11"/>
  <c r="T874" i="11"/>
  <c r="U954" i="11"/>
  <c r="T954" i="11"/>
  <c r="U1026" i="11"/>
  <c r="T1026" i="11"/>
  <c r="U1098" i="11"/>
  <c r="T1098" i="11"/>
  <c r="U1178" i="11"/>
  <c r="T1178" i="11"/>
  <c r="T1242" i="11"/>
  <c r="U1242" i="11"/>
  <c r="T1322" i="11"/>
  <c r="U1322" i="11"/>
  <c r="U1386" i="11"/>
  <c r="T1386" i="11"/>
  <c r="U1466" i="11"/>
  <c r="T1466" i="11"/>
  <c r="U1538" i="11"/>
  <c r="T1538" i="11"/>
  <c r="U1658" i="11"/>
  <c r="T1658" i="11"/>
  <c r="U1786" i="11"/>
  <c r="T1786" i="11"/>
  <c r="U1914" i="11"/>
  <c r="T1914" i="11"/>
  <c r="U2042" i="11"/>
  <c r="T2042" i="11"/>
  <c r="U2170" i="11"/>
  <c r="T2170" i="11"/>
  <c r="U2266" i="11"/>
  <c r="T2266" i="11"/>
  <c r="U2346" i="11"/>
  <c r="T2346" i="11"/>
  <c r="U2434" i="11"/>
  <c r="T2434" i="11"/>
  <c r="U2522" i="11"/>
  <c r="T2522" i="11"/>
  <c r="U2602" i="11"/>
  <c r="T2602" i="11"/>
  <c r="U2706" i="11"/>
  <c r="T2706" i="11"/>
  <c r="U2786" i="11"/>
  <c r="T2786" i="11"/>
  <c r="U2850" i="11"/>
  <c r="T2850" i="11"/>
  <c r="U2914" i="11"/>
  <c r="T2914" i="11"/>
  <c r="U2978" i="11"/>
  <c r="T2978" i="11"/>
  <c r="U3042" i="11"/>
  <c r="T3042" i="11"/>
  <c r="U3106" i="11"/>
  <c r="T3106" i="11"/>
  <c r="U3170" i="11"/>
  <c r="T3170" i="11"/>
  <c r="U3234" i="11"/>
  <c r="T3234" i="11"/>
  <c r="U3298" i="11"/>
  <c r="T3298" i="11"/>
  <c r="U3362" i="11"/>
  <c r="T3362" i="11"/>
  <c r="U3426" i="11"/>
  <c r="T3426" i="11"/>
  <c r="U3490" i="11"/>
  <c r="T3490" i="11"/>
  <c r="U3554" i="11"/>
  <c r="T3554" i="11"/>
  <c r="U3618" i="11"/>
  <c r="T3618" i="11"/>
  <c r="U3682" i="11"/>
  <c r="T3682" i="11"/>
  <c r="U3746" i="11"/>
  <c r="T3746" i="11"/>
  <c r="U3810" i="11"/>
  <c r="T3810" i="11"/>
  <c r="U3874" i="11"/>
  <c r="T3874" i="11"/>
  <c r="U53" i="11"/>
  <c r="T53" i="11"/>
  <c r="U117" i="11"/>
  <c r="T117" i="11"/>
  <c r="U181" i="11"/>
  <c r="T181" i="11"/>
  <c r="U245" i="11"/>
  <c r="T245" i="11"/>
  <c r="U309" i="11"/>
  <c r="T309" i="11"/>
  <c r="U373" i="11"/>
  <c r="T373" i="11"/>
  <c r="U437" i="11"/>
  <c r="T437" i="11"/>
  <c r="U501" i="11"/>
  <c r="T501" i="11"/>
  <c r="U565" i="11"/>
  <c r="T565" i="11"/>
  <c r="U629" i="11"/>
  <c r="T629" i="11"/>
  <c r="U693" i="11"/>
  <c r="T693" i="11"/>
  <c r="U757" i="11"/>
  <c r="T757" i="11"/>
  <c r="U821" i="11"/>
  <c r="T821" i="11"/>
  <c r="U885" i="11"/>
  <c r="T885" i="11"/>
  <c r="U949" i="11"/>
  <c r="T949" i="11"/>
  <c r="U1013" i="11"/>
  <c r="T1013" i="11"/>
  <c r="U1077" i="11"/>
  <c r="T1077" i="11"/>
  <c r="U1141" i="11"/>
  <c r="T1141" i="11"/>
  <c r="U1205" i="11"/>
  <c r="T1205" i="11"/>
  <c r="U1269" i="11"/>
  <c r="T1269" i="11"/>
  <c r="U1333" i="11"/>
  <c r="T1333" i="11"/>
  <c r="U1397" i="11"/>
  <c r="T1397" i="11"/>
  <c r="U1461" i="11"/>
  <c r="T1461" i="11"/>
  <c r="U1525" i="11"/>
  <c r="T1525" i="11"/>
  <c r="U43" i="11"/>
  <c r="T43" i="11"/>
  <c r="U123" i="11"/>
  <c r="T123" i="11"/>
  <c r="U211" i="11"/>
  <c r="T211" i="11"/>
  <c r="U275" i="11"/>
  <c r="T275" i="11"/>
  <c r="U1573" i="11"/>
  <c r="T1573" i="11"/>
  <c r="U1637" i="11"/>
  <c r="T1637" i="11"/>
  <c r="U1701" i="11"/>
  <c r="T1701" i="11"/>
  <c r="U1765" i="11"/>
  <c r="T1765" i="11"/>
  <c r="U1829" i="11"/>
  <c r="T1829" i="11"/>
  <c r="U1893" i="11"/>
  <c r="T1893" i="11"/>
  <c r="U1957" i="11"/>
  <c r="T1957" i="11"/>
  <c r="U2021" i="11"/>
  <c r="T2021" i="11"/>
  <c r="U2085" i="11"/>
  <c r="T2085" i="11"/>
  <c r="U347" i="11"/>
  <c r="T347" i="11"/>
  <c r="U411" i="11"/>
  <c r="T411" i="11"/>
  <c r="U475" i="11"/>
  <c r="T475" i="11"/>
  <c r="U539" i="11"/>
  <c r="T539" i="11"/>
  <c r="U603" i="11"/>
  <c r="T603" i="11"/>
  <c r="U667" i="11"/>
  <c r="T667" i="11"/>
  <c r="U731" i="11"/>
  <c r="T731" i="11"/>
  <c r="U795" i="11"/>
  <c r="T795" i="11"/>
  <c r="U859" i="11"/>
  <c r="T859" i="11"/>
  <c r="U923" i="11"/>
  <c r="T923" i="11"/>
  <c r="U987" i="11"/>
  <c r="T987" i="11"/>
  <c r="U2173" i="11"/>
  <c r="T2173" i="11"/>
  <c r="U1067" i="11"/>
  <c r="T1067" i="11"/>
  <c r="U1131" i="11"/>
  <c r="T1131" i="11"/>
  <c r="U1195" i="11"/>
  <c r="T1195" i="11"/>
  <c r="U1259" i="11"/>
  <c r="T1259" i="11"/>
  <c r="U1323" i="11"/>
  <c r="T1323" i="11"/>
  <c r="U1387" i="11"/>
  <c r="T1387" i="11"/>
  <c r="U1451" i="11"/>
  <c r="T1451" i="11"/>
  <c r="U1515" i="11"/>
  <c r="T1515" i="11"/>
  <c r="U1579" i="11"/>
  <c r="T1579" i="11"/>
  <c r="U1643" i="11"/>
  <c r="T1643" i="11"/>
  <c r="U1707" i="11"/>
  <c r="T1707" i="11"/>
  <c r="U1771" i="11"/>
  <c r="T1771" i="11"/>
  <c r="U1835" i="11"/>
  <c r="T1835" i="11"/>
  <c r="U1899" i="11"/>
  <c r="T1899" i="11"/>
  <c r="U1963" i="11"/>
  <c r="T1963" i="11"/>
  <c r="U2027" i="11"/>
  <c r="T2027" i="11"/>
  <c r="T2091" i="11"/>
  <c r="U2091" i="11"/>
  <c r="U2155" i="11"/>
  <c r="T2155" i="11"/>
  <c r="T2219" i="11"/>
  <c r="U2219" i="11"/>
  <c r="U2283" i="11"/>
  <c r="T2283" i="11"/>
  <c r="U36" i="11"/>
  <c r="T36" i="11"/>
  <c r="U100" i="11"/>
  <c r="T100" i="11"/>
  <c r="U164" i="11"/>
  <c r="T164" i="11"/>
  <c r="U228" i="11"/>
  <c r="T228" i="11"/>
  <c r="U292" i="11"/>
  <c r="T292" i="11"/>
  <c r="U356" i="11"/>
  <c r="T356" i="11"/>
  <c r="U420" i="11"/>
  <c r="T420" i="11"/>
  <c r="U484" i="11"/>
  <c r="T484" i="11"/>
  <c r="U548" i="11"/>
  <c r="T548" i="11"/>
  <c r="U612" i="11"/>
  <c r="T612" i="11"/>
  <c r="U676" i="11"/>
  <c r="T676" i="11"/>
  <c r="U740" i="11"/>
  <c r="T740" i="11"/>
  <c r="U804" i="11"/>
  <c r="T804" i="11"/>
  <c r="U868" i="11"/>
  <c r="T868" i="11"/>
  <c r="U932" i="11"/>
  <c r="T932" i="11"/>
  <c r="U996" i="11"/>
  <c r="T996" i="11"/>
  <c r="U1060" i="11"/>
  <c r="T1060" i="11"/>
  <c r="U1124" i="11"/>
  <c r="T1124" i="11"/>
  <c r="U1188" i="11"/>
  <c r="T1188" i="11"/>
  <c r="U1252" i="11"/>
  <c r="T1252" i="11"/>
  <c r="U1316" i="11"/>
  <c r="T1316" i="11"/>
  <c r="U1380" i="11"/>
  <c r="T1380" i="11"/>
  <c r="U1444" i="11"/>
  <c r="T1444" i="11"/>
  <c r="U1508" i="11"/>
  <c r="T1508" i="11"/>
  <c r="U1572" i="11"/>
  <c r="T1572" i="11"/>
  <c r="U1636" i="11"/>
  <c r="T1636" i="11"/>
  <c r="U1716" i="11"/>
  <c r="T1716" i="11"/>
  <c r="U1780" i="11"/>
  <c r="T1780" i="11"/>
  <c r="U1844" i="11"/>
  <c r="T1844" i="11"/>
  <c r="U1908" i="11"/>
  <c r="T1908" i="11"/>
  <c r="U1972" i="11"/>
  <c r="T1972" i="11"/>
  <c r="U2036" i="11"/>
  <c r="T2036" i="11"/>
  <c r="U2100" i="11"/>
  <c r="T2100" i="11"/>
  <c r="U2164" i="11"/>
  <c r="T2164" i="11"/>
  <c r="U98" i="11"/>
  <c r="T98" i="11"/>
  <c r="U162" i="11"/>
  <c r="T162" i="11"/>
  <c r="U226" i="11"/>
  <c r="T226" i="11"/>
  <c r="U306" i="11"/>
  <c r="T306" i="11"/>
  <c r="U378" i="11"/>
  <c r="T378" i="11"/>
  <c r="U450" i="11"/>
  <c r="T450" i="11"/>
  <c r="U522" i="11"/>
  <c r="T522" i="11"/>
  <c r="U594" i="11"/>
  <c r="T594" i="11"/>
  <c r="U674" i="11"/>
  <c r="T674" i="11"/>
  <c r="U738" i="11"/>
  <c r="T738" i="11"/>
  <c r="U818" i="11"/>
  <c r="T818" i="11"/>
  <c r="U890" i="11"/>
  <c r="T890" i="11"/>
  <c r="U962" i="11"/>
  <c r="T962" i="11"/>
  <c r="U1034" i="11"/>
  <c r="T1034" i="11"/>
  <c r="U1106" i="11"/>
  <c r="T1106" i="11"/>
  <c r="U1186" i="11"/>
  <c r="T1186" i="11"/>
  <c r="U1250" i="11"/>
  <c r="T1250" i="11"/>
  <c r="U1330" i="11"/>
  <c r="T1330" i="11"/>
  <c r="U1402" i="11"/>
  <c r="T1402" i="11"/>
  <c r="U1474" i="11"/>
  <c r="T1474" i="11"/>
  <c r="U1546" i="11"/>
  <c r="T1546" i="11"/>
  <c r="U1674" i="11"/>
  <c r="T1674" i="11"/>
  <c r="U1802" i="11"/>
  <c r="T1802" i="11"/>
  <c r="U1930" i="11"/>
  <c r="T1930" i="11"/>
  <c r="U2058" i="11"/>
  <c r="T2058" i="11"/>
  <c r="U2186" i="11"/>
  <c r="T2186" i="11"/>
  <c r="T2274" i="11"/>
  <c r="U2274" i="11"/>
  <c r="U2354" i="11"/>
  <c r="T2354" i="11"/>
  <c r="U2450" i="11"/>
  <c r="T2450" i="11"/>
  <c r="U2530" i="11"/>
  <c r="T2530" i="11"/>
  <c r="U2610" i="11"/>
  <c r="T2610" i="11"/>
  <c r="U2730" i="11"/>
  <c r="T2730" i="11"/>
  <c r="U2794" i="11"/>
  <c r="T2794" i="11"/>
  <c r="U2858" i="11"/>
  <c r="T2858" i="11"/>
  <c r="U2922" i="11"/>
  <c r="T2922" i="11"/>
  <c r="U2986" i="11"/>
  <c r="T2986" i="11"/>
  <c r="U3050" i="11"/>
  <c r="T3050" i="11"/>
  <c r="U3114" i="11"/>
  <c r="T3114" i="11"/>
  <c r="U3178" i="11"/>
  <c r="T3178" i="11"/>
  <c r="U3242" i="11"/>
  <c r="T3242" i="11"/>
  <c r="U3306" i="11"/>
  <c r="T3306" i="11"/>
  <c r="U3370" i="11"/>
  <c r="T3370" i="11"/>
  <c r="U3434" i="11"/>
  <c r="T3434" i="11"/>
  <c r="U3498" i="11"/>
  <c r="T3498" i="11"/>
  <c r="U3562" i="11"/>
  <c r="T3562" i="11"/>
  <c r="U3626" i="11"/>
  <c r="T3626" i="11"/>
  <c r="U3690" i="11"/>
  <c r="T3690" i="11"/>
  <c r="U3754" i="11"/>
  <c r="T3754" i="11"/>
  <c r="U3818" i="11"/>
  <c r="T3818" i="11"/>
  <c r="U3882" i="11"/>
  <c r="T3882" i="11"/>
  <c r="U61" i="11"/>
  <c r="T61" i="11"/>
  <c r="U125" i="11"/>
  <c r="T125" i="11"/>
  <c r="U189" i="11"/>
  <c r="T189" i="11"/>
  <c r="U253" i="11"/>
  <c r="T253" i="11"/>
  <c r="U317" i="11"/>
  <c r="T317" i="11"/>
  <c r="U381" i="11"/>
  <c r="T381" i="11"/>
  <c r="U445" i="11"/>
  <c r="T445" i="11"/>
  <c r="U509" i="11"/>
  <c r="T509" i="11"/>
  <c r="U573" i="11"/>
  <c r="T573" i="11"/>
  <c r="U637" i="11"/>
  <c r="T637" i="11"/>
  <c r="U701" i="11"/>
  <c r="T701" i="11"/>
  <c r="U765" i="11"/>
  <c r="T765" i="11"/>
  <c r="U829" i="11"/>
  <c r="T829" i="11"/>
  <c r="U893" i="11"/>
  <c r="T893" i="11"/>
  <c r="U957" i="11"/>
  <c r="T957" i="11"/>
  <c r="U1021" i="11"/>
  <c r="T1021" i="11"/>
  <c r="U1085" i="11"/>
  <c r="T1085" i="11"/>
  <c r="U1149" i="11"/>
  <c r="T1149" i="11"/>
  <c r="U1213" i="11"/>
  <c r="T1213" i="11"/>
  <c r="U1277" i="11"/>
  <c r="T1277" i="11"/>
  <c r="U1341" i="11"/>
  <c r="T1341" i="11"/>
  <c r="U1405" i="11"/>
  <c r="T1405" i="11"/>
  <c r="U1469" i="11"/>
  <c r="T1469" i="11"/>
  <c r="U1533" i="11"/>
  <c r="T1533" i="11"/>
  <c r="U51" i="11"/>
  <c r="T51" i="11"/>
  <c r="U131" i="11"/>
  <c r="T131" i="11"/>
  <c r="U219" i="11"/>
  <c r="T219" i="11"/>
  <c r="U283" i="11"/>
  <c r="T283" i="11"/>
  <c r="U1581" i="11"/>
  <c r="T1581" i="11"/>
  <c r="U1709" i="11"/>
  <c r="T1709" i="11"/>
  <c r="U1773" i="11"/>
  <c r="T1773" i="11"/>
  <c r="U1965" i="11"/>
  <c r="T1965" i="11"/>
  <c r="U2029" i="11"/>
  <c r="T2029" i="11"/>
  <c r="U2093" i="11"/>
  <c r="T2093" i="11"/>
  <c r="U355" i="11"/>
  <c r="T355" i="11"/>
  <c r="U419" i="11"/>
  <c r="T419" i="11"/>
  <c r="U483" i="11"/>
  <c r="T483" i="11"/>
  <c r="U547" i="11"/>
  <c r="T547" i="11"/>
  <c r="U611" i="11"/>
  <c r="T611" i="11"/>
  <c r="U675" i="11"/>
  <c r="T675" i="11"/>
  <c r="T739" i="11"/>
  <c r="U739" i="11"/>
  <c r="U803" i="11"/>
  <c r="T803" i="11"/>
  <c r="U867" i="11"/>
  <c r="T867" i="11"/>
  <c r="U931" i="11"/>
  <c r="T931" i="11"/>
  <c r="U995" i="11"/>
  <c r="T995" i="11"/>
  <c r="U2181" i="11"/>
  <c r="T2181" i="11"/>
  <c r="U1075" i="11"/>
  <c r="T1075" i="11"/>
  <c r="U1139" i="11"/>
  <c r="T1139" i="11"/>
  <c r="U1203" i="11"/>
  <c r="T1203" i="11"/>
  <c r="U1267" i="11"/>
  <c r="T1267" i="11"/>
  <c r="U1331" i="11"/>
  <c r="T1331" i="11"/>
  <c r="U1395" i="11"/>
  <c r="T1395" i="11"/>
  <c r="U1459" i="11"/>
  <c r="T1459" i="11"/>
  <c r="U1523" i="11"/>
  <c r="T1523" i="11"/>
  <c r="U1587" i="11"/>
  <c r="T1587" i="11"/>
  <c r="U1651" i="11"/>
  <c r="T1651" i="11"/>
  <c r="U1715" i="11"/>
  <c r="T1715" i="11"/>
  <c r="U1779" i="11"/>
  <c r="T1779" i="11"/>
  <c r="U1843" i="11"/>
  <c r="T1843" i="11"/>
  <c r="U1907" i="11"/>
  <c r="T1907" i="11"/>
  <c r="U1971" i="11"/>
  <c r="T1971" i="11"/>
  <c r="T2035" i="11"/>
  <c r="U2035" i="11"/>
  <c r="U2099" i="11"/>
  <c r="T2099" i="11"/>
  <c r="U2163" i="11"/>
  <c r="T2163" i="11"/>
  <c r="U2227" i="11"/>
  <c r="T2227" i="11"/>
  <c r="U2291" i="11"/>
  <c r="T2291" i="11"/>
  <c r="U44" i="11"/>
  <c r="T44" i="11"/>
  <c r="U108" i="11"/>
  <c r="T108" i="11"/>
  <c r="U172" i="11"/>
  <c r="T172" i="11"/>
  <c r="U236" i="11"/>
  <c r="T236" i="11"/>
  <c r="U300" i="11"/>
  <c r="T300" i="11"/>
  <c r="U364" i="11"/>
  <c r="T364" i="11"/>
  <c r="U428" i="11"/>
  <c r="T428" i="11"/>
  <c r="U492" i="11"/>
  <c r="T492" i="11"/>
  <c r="U556" i="11"/>
  <c r="T556" i="11"/>
  <c r="U620" i="11"/>
  <c r="T620" i="11"/>
  <c r="U684" i="11"/>
  <c r="T684" i="11"/>
  <c r="U748" i="11"/>
  <c r="T748" i="11"/>
  <c r="U812" i="11"/>
  <c r="T812" i="11"/>
  <c r="U876" i="11"/>
  <c r="T876" i="11"/>
  <c r="U940" i="11"/>
  <c r="T940" i="11"/>
  <c r="U1004" i="11"/>
  <c r="T1004" i="11"/>
  <c r="U1068" i="11"/>
  <c r="T1068" i="11"/>
  <c r="U1132" i="11"/>
  <c r="T1132" i="11"/>
  <c r="U1196" i="11"/>
  <c r="T1196" i="11"/>
  <c r="U1260" i="11"/>
  <c r="T1260" i="11"/>
  <c r="U1324" i="11"/>
  <c r="T1324" i="11"/>
  <c r="U1388" i="11"/>
  <c r="T1388" i="11"/>
  <c r="U1452" i="11"/>
  <c r="T1452" i="11"/>
  <c r="U1516" i="11"/>
  <c r="T1516" i="11"/>
  <c r="U1580" i="11"/>
  <c r="T1580" i="11"/>
  <c r="U1644" i="11"/>
  <c r="T1644" i="11"/>
  <c r="U1724" i="11"/>
  <c r="T1724" i="11"/>
  <c r="T1788" i="11"/>
  <c r="U1788" i="11"/>
  <c r="U1852" i="11"/>
  <c r="T1852" i="11"/>
  <c r="U1916" i="11"/>
  <c r="T1916" i="11"/>
  <c r="T1980" i="11"/>
  <c r="U1980" i="11"/>
  <c r="U2044" i="11"/>
  <c r="T2044" i="11"/>
  <c r="T2108" i="11"/>
  <c r="U2108" i="11"/>
  <c r="U2172" i="11"/>
  <c r="T2172" i="11"/>
  <c r="U34" i="11"/>
  <c r="T34" i="11"/>
  <c r="U106" i="11"/>
  <c r="T106" i="11"/>
  <c r="U170" i="11"/>
  <c r="T170" i="11"/>
  <c r="U234" i="11"/>
  <c r="T234" i="11"/>
  <c r="U314" i="11"/>
  <c r="T314" i="11"/>
  <c r="U386" i="11"/>
  <c r="T386" i="11"/>
  <c r="T458" i="11"/>
  <c r="U458" i="11"/>
  <c r="U538" i="11"/>
  <c r="T538" i="11"/>
  <c r="U602" i="11"/>
  <c r="T602" i="11"/>
  <c r="U682" i="11"/>
  <c r="T682" i="11"/>
  <c r="U746" i="11"/>
  <c r="T746" i="11"/>
  <c r="U826" i="11"/>
  <c r="T826" i="11"/>
  <c r="U898" i="11"/>
  <c r="T898" i="11"/>
  <c r="U970" i="11"/>
  <c r="T970" i="11"/>
  <c r="U1050" i="11"/>
  <c r="T1050" i="11"/>
  <c r="U1114" i="11"/>
  <c r="T1114" i="11"/>
  <c r="U1194" i="11"/>
  <c r="T1194" i="11"/>
  <c r="U1258" i="11"/>
  <c r="T1258" i="11"/>
  <c r="U1338" i="11"/>
  <c r="T1338" i="11"/>
  <c r="U1410" i="11"/>
  <c r="T1410" i="11"/>
  <c r="U1482" i="11"/>
  <c r="T1482" i="11"/>
  <c r="U1562" i="11"/>
  <c r="T1562" i="11"/>
  <c r="U1690" i="11"/>
  <c r="T1690" i="11"/>
  <c r="U1818" i="11"/>
  <c r="T1818" i="11"/>
  <c r="U1946" i="11"/>
  <c r="T1946" i="11"/>
  <c r="U2074" i="11"/>
  <c r="T2074" i="11"/>
  <c r="U2202" i="11"/>
  <c r="T2202" i="11"/>
  <c r="U2282" i="11"/>
  <c r="T2282" i="11"/>
  <c r="U2370" i="11"/>
  <c r="T2370" i="11"/>
  <c r="U2458" i="11"/>
  <c r="T2458" i="11"/>
  <c r="U2538" i="11"/>
  <c r="T2538" i="11"/>
  <c r="U2626" i="11"/>
  <c r="T2626" i="11"/>
  <c r="U2738" i="11"/>
  <c r="T2738" i="11"/>
  <c r="U2802" i="11"/>
  <c r="T2802" i="11"/>
  <c r="U2866" i="11"/>
  <c r="T2866" i="11"/>
  <c r="U2930" i="11"/>
  <c r="T2930" i="11"/>
  <c r="U2994" i="11"/>
  <c r="T2994" i="11"/>
  <c r="U3058" i="11"/>
  <c r="T3058" i="11"/>
  <c r="U3122" i="11"/>
  <c r="T3122" i="11"/>
  <c r="U3186" i="11"/>
  <c r="T3186" i="11"/>
  <c r="U3250" i="11"/>
  <c r="T3250" i="11"/>
  <c r="U3314" i="11"/>
  <c r="T3314" i="11"/>
  <c r="U3378" i="11"/>
  <c r="T3378" i="11"/>
  <c r="U3442" i="11"/>
  <c r="T3442" i="11"/>
  <c r="U3506" i="11"/>
  <c r="T3506" i="11"/>
  <c r="U3570" i="11"/>
  <c r="T3570" i="11"/>
  <c r="U3634" i="11"/>
  <c r="T3634" i="11"/>
  <c r="U3698" i="11"/>
  <c r="T3698" i="11"/>
  <c r="U3762" i="11"/>
  <c r="T3762" i="11"/>
  <c r="U3826" i="11"/>
  <c r="T3826" i="11"/>
  <c r="U5" i="11"/>
  <c r="T5" i="11"/>
  <c r="U69" i="11"/>
  <c r="T69" i="11"/>
  <c r="U133" i="11"/>
  <c r="T133" i="11"/>
  <c r="U197" i="11"/>
  <c r="T197" i="11"/>
  <c r="U261" i="11"/>
  <c r="T261" i="11"/>
  <c r="U325" i="11"/>
  <c r="T325" i="11"/>
  <c r="U389" i="11"/>
  <c r="T389" i="11"/>
  <c r="U453" i="11"/>
  <c r="T453" i="11"/>
  <c r="U517" i="11"/>
  <c r="T517" i="11"/>
  <c r="U581" i="11"/>
  <c r="T581" i="11"/>
  <c r="U645" i="11"/>
  <c r="T645" i="11"/>
  <c r="U709" i="11"/>
  <c r="T709" i="11"/>
  <c r="U773" i="11"/>
  <c r="T773" i="11"/>
  <c r="U837" i="11"/>
  <c r="T837" i="11"/>
  <c r="U901" i="11"/>
  <c r="T901" i="11"/>
  <c r="U965" i="11"/>
  <c r="T965" i="11"/>
  <c r="U1029" i="11"/>
  <c r="T1029" i="11"/>
  <c r="U1093" i="11"/>
  <c r="T1093" i="11"/>
  <c r="U1157" i="11"/>
  <c r="T1157" i="11"/>
  <c r="U1221" i="11"/>
  <c r="T1221" i="11"/>
  <c r="U1285" i="11"/>
  <c r="T1285" i="11"/>
  <c r="U1349" i="11"/>
  <c r="T1349" i="11"/>
  <c r="U1413" i="11"/>
  <c r="T1413" i="11"/>
  <c r="U1477" i="11"/>
  <c r="T1477" i="11"/>
  <c r="U1541" i="11"/>
  <c r="T1541" i="11"/>
  <c r="U59" i="11"/>
  <c r="T59" i="11"/>
  <c r="U147" i="11"/>
  <c r="T147" i="11"/>
  <c r="U227" i="11"/>
  <c r="T227" i="11"/>
  <c r="U291" i="11"/>
  <c r="T291" i="11"/>
  <c r="U1589" i="11"/>
  <c r="T1589" i="11"/>
  <c r="U1653" i="11"/>
  <c r="T1653" i="11"/>
  <c r="U1717" i="11"/>
  <c r="T1717" i="11"/>
  <c r="U1781" i="11"/>
  <c r="T1781" i="11"/>
  <c r="U1909" i="11"/>
  <c r="T1909" i="11"/>
  <c r="U2037" i="11"/>
  <c r="T2037" i="11"/>
  <c r="U2101" i="11"/>
  <c r="T2101" i="11"/>
  <c r="U363" i="11"/>
  <c r="T363" i="11"/>
  <c r="U427" i="11"/>
  <c r="T427" i="11"/>
  <c r="U491" i="11"/>
  <c r="T491" i="11"/>
  <c r="U555" i="11"/>
  <c r="T555" i="11"/>
  <c r="U619" i="11"/>
  <c r="T619" i="11"/>
  <c r="U683" i="11"/>
  <c r="T683" i="11"/>
  <c r="U747" i="11"/>
  <c r="T747" i="11"/>
  <c r="U811" i="11"/>
  <c r="T811" i="11"/>
  <c r="U875" i="11"/>
  <c r="T875" i="11"/>
  <c r="U939" i="11"/>
  <c r="T939" i="11"/>
  <c r="U1003" i="11"/>
  <c r="T1003" i="11"/>
  <c r="U2189" i="11"/>
  <c r="T2189" i="11"/>
  <c r="U3829" i="11"/>
  <c r="T3829" i="11"/>
  <c r="U1019" i="11"/>
  <c r="T1019" i="11"/>
  <c r="U1083" i="11"/>
  <c r="T1083" i="11"/>
  <c r="U1147" i="11"/>
  <c r="T1147" i="11"/>
  <c r="U1211" i="11"/>
  <c r="T1211" i="11"/>
  <c r="U1275" i="11"/>
  <c r="T1275" i="11"/>
  <c r="U1339" i="11"/>
  <c r="T1339" i="11"/>
  <c r="U1403" i="11"/>
  <c r="T1403" i="11"/>
  <c r="U1467" i="11"/>
  <c r="T1467" i="11"/>
  <c r="U1531" i="11"/>
  <c r="T1531" i="11"/>
  <c r="U1595" i="11"/>
  <c r="T1595" i="11"/>
  <c r="U1659" i="11"/>
  <c r="T1659" i="11"/>
  <c r="U1723" i="11"/>
  <c r="T1723" i="11"/>
  <c r="U1787" i="11"/>
  <c r="T1787" i="11"/>
  <c r="U1851" i="11"/>
  <c r="T1851" i="11"/>
  <c r="U1915" i="11"/>
  <c r="T1915" i="11"/>
  <c r="T1979" i="11"/>
  <c r="U1979" i="11"/>
  <c r="U2043" i="11"/>
  <c r="T2043" i="11"/>
  <c r="T2107" i="11"/>
  <c r="U2107" i="11"/>
  <c r="U2171" i="11"/>
  <c r="T2171" i="11"/>
  <c r="U2235" i="11"/>
  <c r="T2235" i="11"/>
  <c r="U2299" i="11"/>
  <c r="T2299" i="11"/>
  <c r="U52" i="11"/>
  <c r="T52" i="11"/>
  <c r="U116" i="11"/>
  <c r="T116" i="11"/>
  <c r="U180" i="11"/>
  <c r="T180" i="11"/>
  <c r="U244" i="11"/>
  <c r="T244" i="11"/>
  <c r="U308" i="11"/>
  <c r="T308" i="11"/>
  <c r="U372" i="11"/>
  <c r="T372" i="11"/>
  <c r="U436" i="11"/>
  <c r="T436" i="11"/>
  <c r="U500" i="11"/>
  <c r="T500" i="11"/>
  <c r="U564" i="11"/>
  <c r="T564" i="11"/>
  <c r="U628" i="11"/>
  <c r="T628" i="11"/>
  <c r="U692" i="11"/>
  <c r="T692" i="11"/>
  <c r="U756" i="11"/>
  <c r="T756" i="11"/>
  <c r="U820" i="11"/>
  <c r="T820" i="11"/>
  <c r="U884" i="11"/>
  <c r="T884" i="11"/>
  <c r="U948" i="11"/>
  <c r="T948" i="11"/>
  <c r="U1012" i="11"/>
  <c r="T1012" i="11"/>
  <c r="U1076" i="11"/>
  <c r="T1076" i="11"/>
  <c r="U1140" i="11"/>
  <c r="T1140" i="11"/>
  <c r="U1204" i="11"/>
  <c r="T1204" i="11"/>
  <c r="U1268" i="11"/>
  <c r="T1268" i="11"/>
  <c r="U1332" i="11"/>
  <c r="T1332" i="11"/>
  <c r="U1396" i="11"/>
  <c r="T1396" i="11"/>
  <c r="U1460" i="11"/>
  <c r="T1460" i="11"/>
  <c r="U1524" i="11"/>
  <c r="T1524" i="11"/>
  <c r="U1588" i="11"/>
  <c r="T1588" i="11"/>
  <c r="U1652" i="11"/>
  <c r="T1652" i="11"/>
  <c r="U1668" i="11"/>
  <c r="T1668" i="11"/>
  <c r="U1732" i="11"/>
  <c r="T1732" i="11"/>
  <c r="T1796" i="11"/>
  <c r="U1796" i="11"/>
  <c r="U1860" i="11"/>
  <c r="T1860" i="11"/>
  <c r="U1924" i="11"/>
  <c r="T1924" i="11"/>
  <c r="U1988" i="11"/>
  <c r="T1988" i="11"/>
  <c r="U2052" i="11"/>
  <c r="T2052" i="11"/>
  <c r="U2116" i="11"/>
  <c r="T2116" i="11"/>
  <c r="U2180" i="11"/>
  <c r="T2180" i="11"/>
  <c r="H428" i="54"/>
  <c r="I428" i="54" s="1"/>
  <c r="J428" i="54" s="1"/>
  <c r="U429" i="54"/>
  <c r="AC429" i="54" s="1"/>
  <c r="AF429" i="54" s="1"/>
  <c r="O429" i="54"/>
  <c r="U425" i="54"/>
  <c r="AC425" i="54" s="1"/>
  <c r="AF425" i="54" s="1"/>
  <c r="W440" i="54"/>
  <c r="X440" i="54" s="1"/>
  <c r="O428" i="54"/>
  <c r="O425" i="54"/>
  <c r="U438" i="54"/>
  <c r="AC438" i="54" s="1"/>
  <c r="AF438" i="54" s="1"/>
  <c r="O438" i="54"/>
  <c r="U430" i="54"/>
  <c r="AC430" i="54" s="1"/>
  <c r="AF430" i="54" s="1"/>
  <c r="H419" i="54"/>
  <c r="I419" i="54" s="1"/>
  <c r="J419" i="54" s="1"/>
  <c r="U419" i="54"/>
  <c r="AC419" i="54" s="1"/>
  <c r="AF419" i="54" s="1"/>
  <c r="O430" i="54"/>
  <c r="O433" i="54"/>
  <c r="O427" i="54"/>
  <c r="U427" i="54"/>
  <c r="H416" i="54"/>
  <c r="I416" i="54" s="1"/>
  <c r="J416" i="54" s="1"/>
  <c r="U433" i="54"/>
  <c r="AC433" i="54" s="1"/>
  <c r="AF433" i="54" s="1"/>
  <c r="O416" i="54"/>
  <c r="U439" i="54"/>
  <c r="AC439" i="54" s="1"/>
  <c r="AF439" i="54" s="1"/>
  <c r="O439" i="54"/>
  <c r="O414" i="54"/>
  <c r="U414" i="54"/>
  <c r="AC414" i="54" s="1"/>
  <c r="AF414" i="54" s="1"/>
  <c r="U422" i="54"/>
  <c r="AC422" i="54" s="1"/>
  <c r="AF422" i="54" s="1"/>
  <c r="O422" i="54"/>
  <c r="O436" i="54"/>
  <c r="U436" i="54"/>
  <c r="AC436" i="54" s="1"/>
  <c r="AF436" i="54" s="1"/>
  <c r="N440" i="54"/>
  <c r="N17" i="54" s="1"/>
  <c r="O431" i="54"/>
  <c r="U431" i="54"/>
  <c r="H420" i="54"/>
  <c r="I420" i="54" s="1"/>
  <c r="J420" i="54" s="1"/>
  <c r="O420" i="54"/>
  <c r="U420" i="54"/>
  <c r="U415" i="54"/>
  <c r="AC415" i="54" s="1"/>
  <c r="AF415" i="54" s="1"/>
  <c r="O415" i="54"/>
  <c r="H415" i="54"/>
  <c r="I415" i="54" s="1"/>
  <c r="J415" i="54" s="1"/>
  <c r="H434" i="54"/>
  <c r="I434" i="54" s="1"/>
  <c r="J434" i="54" s="1"/>
  <c r="U434" i="54"/>
  <c r="AC434" i="54" s="1"/>
  <c r="AF434" i="54" s="1"/>
  <c r="O434" i="54"/>
  <c r="U390" i="54"/>
  <c r="AC390" i="54" s="1"/>
  <c r="AF390" i="54" s="1"/>
  <c r="H390" i="54"/>
  <c r="I390" i="54" s="1"/>
  <c r="J390" i="54" s="1"/>
  <c r="D76" i="33"/>
  <c r="H4" i="33"/>
  <c r="G4" i="33" s="1"/>
  <c r="M247" i="54" s="1"/>
  <c r="U247" i="54" s="1"/>
  <c r="AC247" i="54" s="1"/>
  <c r="AF247" i="54" s="1"/>
  <c r="H25" i="33"/>
  <c r="D24" i="33"/>
  <c r="L267" i="54" s="1"/>
  <c r="H9" i="33"/>
  <c r="G9" i="33" s="1"/>
  <c r="M252" i="54" s="1"/>
  <c r="U252" i="54" s="1"/>
  <c r="AC252" i="54" s="1"/>
  <c r="AF252" i="54" s="1"/>
  <c r="H8" i="33"/>
  <c r="G8" i="33" s="1"/>
  <c r="M251" i="54" s="1"/>
  <c r="U251" i="54" s="1"/>
  <c r="AC251" i="54" s="1"/>
  <c r="AF251" i="54" s="1"/>
  <c r="H44" i="33"/>
  <c r="G44" i="33" s="1"/>
  <c r="M285" i="54" s="1"/>
  <c r="M113" i="54" s="1"/>
  <c r="H24" i="33"/>
  <c r="G24" i="33" s="1"/>
  <c r="M267" i="54" s="1"/>
  <c r="U267" i="54" s="1"/>
  <c r="AC267" i="54" s="1"/>
  <c r="AF267" i="54" s="1"/>
  <c r="H46" i="33"/>
  <c r="G46" i="33" s="1"/>
  <c r="M287" i="54" s="1"/>
  <c r="H52" i="33"/>
  <c r="G52" i="33" s="1"/>
  <c r="M293" i="54" s="1"/>
  <c r="H47" i="33"/>
  <c r="G47" i="33" s="1"/>
  <c r="M288" i="54" s="1"/>
  <c r="H38" i="33"/>
  <c r="G38" i="33" s="1"/>
  <c r="M281" i="54" s="1"/>
  <c r="U281" i="54" s="1"/>
  <c r="AC281" i="54" s="1"/>
  <c r="AF281" i="54" s="1"/>
  <c r="H48" i="33"/>
  <c r="G48" i="33" s="1"/>
  <c r="H75" i="33"/>
  <c r="G75" i="33" s="1"/>
  <c r="H14" i="33"/>
  <c r="G14" i="33" s="1"/>
  <c r="M257" i="54" s="1"/>
  <c r="H20" i="33"/>
  <c r="H23" i="33"/>
  <c r="G23" i="33" s="1"/>
  <c r="M266" i="54" s="1"/>
  <c r="U266" i="54" s="1"/>
  <c r="AC266" i="54" s="1"/>
  <c r="AF266" i="54" s="1"/>
  <c r="H19" i="33"/>
  <c r="G19" i="33" s="1"/>
  <c r="M262" i="54" s="1"/>
  <c r="H28" i="33"/>
  <c r="G28" i="33" s="1"/>
  <c r="M271" i="54" s="1"/>
  <c r="H31" i="33"/>
  <c r="G31" i="33" s="1"/>
  <c r="M274" i="54" s="1"/>
  <c r="U274" i="54" s="1"/>
  <c r="AC274" i="54" s="1"/>
  <c r="AF274" i="54" s="1"/>
  <c r="H7" i="33"/>
  <c r="G7" i="33" s="1"/>
  <c r="M250" i="54" s="1"/>
  <c r="U250" i="54" s="1"/>
  <c r="AC250" i="54" s="1"/>
  <c r="AF250" i="54" s="1"/>
  <c r="H36" i="33"/>
  <c r="G36" i="33" s="1"/>
  <c r="M279" i="54" s="1"/>
  <c r="U279" i="54" s="1"/>
  <c r="AC279" i="54" s="1"/>
  <c r="AF279" i="54" s="1"/>
  <c r="H15" i="33"/>
  <c r="G15" i="33" s="1"/>
  <c r="M258" i="54" s="1"/>
  <c r="U258" i="54" s="1"/>
  <c r="AC258" i="54" s="1"/>
  <c r="AF258" i="54" s="1"/>
  <c r="H5" i="33"/>
  <c r="G5" i="33" s="1"/>
  <c r="M248" i="54" s="1"/>
  <c r="U248" i="54" s="1"/>
  <c r="AC248" i="54" s="1"/>
  <c r="AF248" i="54" s="1"/>
  <c r="D10" i="33"/>
  <c r="L253" i="54" s="1"/>
  <c r="T253" i="54" s="1"/>
  <c r="AB253" i="54" s="1"/>
  <c r="AE253" i="54" s="1"/>
  <c r="G27" i="33"/>
  <c r="M270" i="54" s="1"/>
  <c r="U270" i="54" s="1"/>
  <c r="AC270" i="54" s="1"/>
  <c r="AF270" i="54" s="1"/>
  <c r="D13" i="33"/>
  <c r="L256" i="54" s="1"/>
  <c r="H17" i="33"/>
  <c r="G17" i="33" s="1"/>
  <c r="M260" i="54" s="1"/>
  <c r="U260" i="54" s="1"/>
  <c r="AC260" i="54" s="1"/>
  <c r="AF260" i="54" s="1"/>
  <c r="H49" i="33"/>
  <c r="G49" i="33" s="1"/>
  <c r="M290" i="54" s="1"/>
  <c r="H35" i="33"/>
  <c r="H34" i="33"/>
  <c r="H72" i="33"/>
  <c r="G72" i="33" s="1"/>
  <c r="H39" i="33"/>
  <c r="H30" i="33"/>
  <c r="G30" i="33" s="1"/>
  <c r="M273" i="54" s="1"/>
  <c r="H6" i="33"/>
  <c r="G6" i="33" s="1"/>
  <c r="M249" i="54" s="1"/>
  <c r="H10" i="33"/>
  <c r="G10" i="33" s="1"/>
  <c r="M253" i="54" s="1"/>
  <c r="U253" i="54" s="1"/>
  <c r="AC253" i="54" s="1"/>
  <c r="AF253" i="54" s="1"/>
  <c r="H11" i="33"/>
  <c r="G11" i="33" s="1"/>
  <c r="M254" i="54" s="1"/>
  <c r="U254" i="54" s="1"/>
  <c r="AC254" i="54" s="1"/>
  <c r="AF254" i="54" s="1"/>
  <c r="H18" i="33"/>
  <c r="G18" i="33" s="1"/>
  <c r="M261" i="54" s="1"/>
  <c r="U261" i="54" s="1"/>
  <c r="AC261" i="54" s="1"/>
  <c r="AF261" i="54" s="1"/>
  <c r="H50" i="33"/>
  <c r="G50" i="33" s="1"/>
  <c r="M291" i="54" s="1"/>
  <c r="H16" i="33"/>
  <c r="G16" i="33" s="1"/>
  <c r="M259" i="54" s="1"/>
  <c r="H76" i="33"/>
  <c r="G76" i="33" s="1"/>
  <c r="C76" i="33" s="1"/>
  <c r="H51" i="33"/>
  <c r="G51" i="33" s="1"/>
  <c r="M292" i="54" s="1"/>
  <c r="H12" i="33"/>
  <c r="G12" i="33" s="1"/>
  <c r="M255" i="54" s="1"/>
  <c r="H32" i="33"/>
  <c r="G32" i="33" s="1"/>
  <c r="M275" i="54" s="1"/>
  <c r="H40" i="33"/>
  <c r="G40" i="33" s="1"/>
  <c r="M283" i="54" s="1"/>
  <c r="H70" i="33"/>
  <c r="G70" i="33" s="1"/>
  <c r="H26" i="33"/>
  <c r="G26" i="33" s="1"/>
  <c r="M269" i="54" s="1"/>
  <c r="H29" i="33"/>
  <c r="G29" i="33" s="1"/>
  <c r="M272" i="54" s="1"/>
  <c r="G33" i="33"/>
  <c r="M276" i="54" s="1"/>
  <c r="U276" i="54" s="1"/>
  <c r="AC276" i="54" s="1"/>
  <c r="AF276" i="54" s="1"/>
  <c r="D15" i="33"/>
  <c r="L258" i="54" s="1"/>
  <c r="T258" i="54" s="1"/>
  <c r="AB258" i="54" s="1"/>
  <c r="AE258" i="54" s="1"/>
  <c r="H21" i="33"/>
  <c r="G21" i="33" s="1"/>
  <c r="M264" i="54" s="1"/>
  <c r="U264" i="54" s="1"/>
  <c r="AC264" i="54" s="1"/>
  <c r="AF264" i="54" s="1"/>
  <c r="H13" i="33"/>
  <c r="G13" i="33" s="1"/>
  <c r="M256" i="54" s="1"/>
  <c r="U256" i="54" s="1"/>
  <c r="AC256" i="54" s="1"/>
  <c r="AF256" i="54" s="1"/>
  <c r="H73" i="33"/>
  <c r="G73" i="33" s="1"/>
  <c r="H74" i="33"/>
  <c r="H71" i="33"/>
  <c r="G71" i="33" s="1"/>
  <c r="H37" i="33"/>
  <c r="G37" i="33" s="1"/>
  <c r="M280" i="54" s="1"/>
  <c r="D34" i="33"/>
  <c r="L277" i="54" s="1"/>
  <c r="T277" i="54" s="1"/>
  <c r="AB277" i="54" s="1"/>
  <c r="AE277" i="54" s="1"/>
  <c r="D47" i="33"/>
  <c r="L288" i="54" s="1"/>
  <c r="L116" i="54" s="1"/>
  <c r="G22" i="33"/>
  <c r="M265" i="54" s="1"/>
  <c r="U265" i="54" s="1"/>
  <c r="AC265" i="54" s="1"/>
  <c r="AF265" i="54" s="1"/>
  <c r="D26" i="33"/>
  <c r="L269" i="54" s="1"/>
  <c r="T269" i="54" s="1"/>
  <c r="AB269" i="54" s="1"/>
  <c r="AE269" i="54" s="1"/>
  <c r="D51" i="33"/>
  <c r="L292" i="54" s="1"/>
  <c r="D11" i="33"/>
  <c r="L254" i="54" s="1"/>
  <c r="T254" i="54" s="1"/>
  <c r="AB254" i="54" s="1"/>
  <c r="AE254" i="54" s="1"/>
  <c r="D71" i="33"/>
  <c r="D17" i="33"/>
  <c r="L260" i="54" s="1"/>
  <c r="T260" i="54" s="1"/>
  <c r="AB260" i="54" s="1"/>
  <c r="AE260" i="54" s="1"/>
  <c r="AA3630" i="11"/>
  <c r="AA79" i="11"/>
  <c r="T344" i="54"/>
  <c r="T21" i="54" s="1"/>
  <c r="AA3006" i="11"/>
  <c r="AA1063" i="11"/>
  <c r="AA520" i="11"/>
  <c r="AA1973" i="11"/>
  <c r="AB3048" i="11"/>
  <c r="AB3134" i="11"/>
  <c r="O334" i="54"/>
  <c r="I339" i="54"/>
  <c r="J339" i="54" s="1"/>
  <c r="H344" i="54"/>
  <c r="AA2574" i="11"/>
  <c r="D5" i="33"/>
  <c r="L248" i="54" s="1"/>
  <c r="D38" i="33"/>
  <c r="L281" i="54" s="1"/>
  <c r="T281" i="54" s="1"/>
  <c r="AB281" i="54" s="1"/>
  <c r="AE281" i="54" s="1"/>
  <c r="D14" i="33"/>
  <c r="D19" i="33"/>
  <c r="L262" i="54" s="1"/>
  <c r="T262" i="54" s="1"/>
  <c r="AB262" i="54" s="1"/>
  <c r="AE262" i="54" s="1"/>
  <c r="D28" i="33"/>
  <c r="L271" i="54" s="1"/>
  <c r="T271" i="54" s="1"/>
  <c r="AB271" i="54" s="1"/>
  <c r="AE271" i="54" s="1"/>
  <c r="D74" i="33"/>
  <c r="D40" i="33"/>
  <c r="L283" i="54" s="1"/>
  <c r="T283" i="54" s="1"/>
  <c r="AB283" i="54" s="1"/>
  <c r="AE283" i="54" s="1"/>
  <c r="D75" i="33"/>
  <c r="D46" i="33"/>
  <c r="L287" i="54" s="1"/>
  <c r="D16" i="33"/>
  <c r="L259" i="54" s="1"/>
  <c r="T259" i="54" s="1"/>
  <c r="AB259" i="54" s="1"/>
  <c r="AE259" i="54" s="1"/>
  <c r="D8" i="33"/>
  <c r="L251" i="54" s="1"/>
  <c r="T251" i="54" s="1"/>
  <c r="AB251" i="54" s="1"/>
  <c r="AE251" i="54" s="1"/>
  <c r="D48" i="33"/>
  <c r="L289" i="54" s="1"/>
  <c r="L117" i="54" s="1"/>
  <c r="D36" i="33"/>
  <c r="L279" i="54" s="1"/>
  <c r="T279" i="54" s="1"/>
  <c r="AB279" i="54" s="1"/>
  <c r="AE279" i="54" s="1"/>
  <c r="D23" i="33"/>
  <c r="L266" i="54" s="1"/>
  <c r="T266" i="54" s="1"/>
  <c r="AB266" i="54" s="1"/>
  <c r="AE266" i="54" s="1"/>
  <c r="D21" i="33"/>
  <c r="L264" i="54" s="1"/>
  <c r="T264" i="54" s="1"/>
  <c r="AB264" i="54" s="1"/>
  <c r="AE264" i="54" s="1"/>
  <c r="D33" i="33"/>
  <c r="L276" i="54" s="1"/>
  <c r="T276" i="54" s="1"/>
  <c r="AB276" i="54" s="1"/>
  <c r="AE276" i="54" s="1"/>
  <c r="G45" i="33"/>
  <c r="M286" i="54" s="1"/>
  <c r="D7" i="33"/>
  <c r="L250" i="54" s="1"/>
  <c r="D37" i="33"/>
  <c r="L280" i="54" s="1"/>
  <c r="T280" i="54" s="1"/>
  <c r="AB280" i="54" s="1"/>
  <c r="AE280" i="54" s="1"/>
  <c r="G25" i="33"/>
  <c r="M268" i="54" s="1"/>
  <c r="U268" i="54" s="1"/>
  <c r="AC268" i="54" s="1"/>
  <c r="AF268" i="54" s="1"/>
  <c r="D70" i="33"/>
  <c r="D22" i="33"/>
  <c r="L265" i="54" s="1"/>
  <c r="D44" i="33"/>
  <c r="L285" i="54" s="1"/>
  <c r="D25" i="33"/>
  <c r="L268" i="54" s="1"/>
  <c r="T268" i="54" s="1"/>
  <c r="AB268" i="54" s="1"/>
  <c r="AE268" i="54" s="1"/>
  <c r="D50" i="33"/>
  <c r="L291" i="54" s="1"/>
  <c r="D73" i="33"/>
  <c r="D12" i="33"/>
  <c r="L255" i="54" s="1"/>
  <c r="T255" i="54" s="1"/>
  <c r="AB255" i="54" s="1"/>
  <c r="AE255" i="54" s="1"/>
  <c r="D39" i="33"/>
  <c r="D27" i="33"/>
  <c r="L270" i="54" s="1"/>
  <c r="T270" i="54" s="1"/>
  <c r="AB270" i="54" s="1"/>
  <c r="AE270" i="54" s="1"/>
  <c r="E53" i="33"/>
  <c r="D6" i="33"/>
  <c r="L249" i="54" s="1"/>
  <c r="T249" i="54" s="1"/>
  <c r="AB249" i="54" s="1"/>
  <c r="AE249" i="54" s="1"/>
  <c r="AB47" i="11"/>
  <c r="D29" i="33"/>
  <c r="L272" i="54" s="1"/>
  <c r="T272" i="54" s="1"/>
  <c r="AB272" i="54" s="1"/>
  <c r="AE272" i="54" s="1"/>
  <c r="D52" i="33"/>
  <c r="L293" i="54" s="1"/>
  <c r="F53" i="33"/>
  <c r="D4" i="33"/>
  <c r="L247" i="54" s="1"/>
  <c r="D9" i="33"/>
  <c r="L252" i="54" s="1"/>
  <c r="D20" i="33"/>
  <c r="E77" i="33"/>
  <c r="D72" i="33"/>
  <c r="AB2838" i="11"/>
  <c r="E43" i="33"/>
  <c r="F77" i="33"/>
  <c r="T261" i="54"/>
  <c r="AB261" i="54" s="1"/>
  <c r="AE261" i="54" s="1"/>
  <c r="O367" i="54"/>
  <c r="U367" i="54"/>
  <c r="AC367" i="54" s="1"/>
  <c r="AF367" i="54" s="1"/>
  <c r="H365" i="54"/>
  <c r="I365" i="54" s="1"/>
  <c r="J365" i="54" s="1"/>
  <c r="O365" i="54"/>
  <c r="U365" i="54"/>
  <c r="AC365" i="54" s="1"/>
  <c r="AF365" i="54" s="1"/>
  <c r="U360" i="54"/>
  <c r="AC360" i="54" s="1"/>
  <c r="AF360" i="54" s="1"/>
  <c r="O360" i="54"/>
  <c r="O362" i="54"/>
  <c r="U362" i="54"/>
  <c r="AC362" i="54" s="1"/>
  <c r="AF362" i="54" s="1"/>
  <c r="H374" i="54"/>
  <c r="I374" i="54" s="1"/>
  <c r="J374" i="54" s="1"/>
  <c r="O374" i="54"/>
  <c r="U374" i="54"/>
  <c r="AC374" i="54" s="1"/>
  <c r="AF374" i="54" s="1"/>
  <c r="U372" i="54"/>
  <c r="AC372" i="54" s="1"/>
  <c r="AF372" i="54" s="1"/>
  <c r="O372" i="54"/>
  <c r="U381" i="54"/>
  <c r="AC381" i="54" s="1"/>
  <c r="AF381" i="54" s="1"/>
  <c r="O381" i="54"/>
  <c r="H360" i="54"/>
  <c r="I360" i="54" s="1"/>
  <c r="J360" i="54" s="1"/>
  <c r="O369" i="54"/>
  <c r="U369" i="54"/>
  <c r="AC369" i="54" s="1"/>
  <c r="AF369" i="54" s="1"/>
  <c r="O376" i="54"/>
  <c r="U376" i="54"/>
  <c r="AC376" i="54" s="1"/>
  <c r="AF376" i="54" s="1"/>
  <c r="H355" i="54"/>
  <c r="I355" i="54" s="1"/>
  <c r="J355" i="54" s="1"/>
  <c r="O355" i="54"/>
  <c r="U355" i="54"/>
  <c r="AC355" i="54" s="1"/>
  <c r="AF355" i="54" s="1"/>
  <c r="M353" i="54"/>
  <c r="H353" i="54" s="1"/>
  <c r="T353" i="54"/>
  <c r="N353" i="54"/>
  <c r="L385" i="54"/>
  <c r="H375" i="54"/>
  <c r="I375" i="54" s="1"/>
  <c r="J375" i="54" s="1"/>
  <c r="U375" i="54"/>
  <c r="AC375" i="54" s="1"/>
  <c r="AF375" i="54" s="1"/>
  <c r="O375" i="54"/>
  <c r="O378" i="54"/>
  <c r="U378" i="54"/>
  <c r="AC378" i="54" s="1"/>
  <c r="AF378" i="54" s="1"/>
  <c r="O358" i="54"/>
  <c r="U358" i="54"/>
  <c r="AC358" i="54" s="1"/>
  <c r="AF358" i="54" s="1"/>
  <c r="U366" i="54"/>
  <c r="AC366" i="54" s="1"/>
  <c r="AF366" i="54" s="1"/>
  <c r="O366" i="54"/>
  <c r="O383" i="54"/>
  <c r="U383" i="54"/>
  <c r="AC383" i="54" s="1"/>
  <c r="AF383" i="54" s="1"/>
  <c r="O363" i="54"/>
  <c r="U363" i="54"/>
  <c r="AC363" i="54" s="1"/>
  <c r="AF363" i="54" s="1"/>
  <c r="U384" i="54"/>
  <c r="AC384" i="54" s="1"/>
  <c r="AF384" i="54" s="1"/>
  <c r="O384" i="54"/>
  <c r="U364" i="54"/>
  <c r="AC364" i="54" s="1"/>
  <c r="AF364" i="54" s="1"/>
  <c r="O364" i="54"/>
  <c r="U359" i="54"/>
  <c r="AC359" i="54" s="1"/>
  <c r="AF359" i="54" s="1"/>
  <c r="O370" i="54"/>
  <c r="U370" i="54"/>
  <c r="AC370" i="54" s="1"/>
  <c r="AF370" i="54" s="1"/>
  <c r="O357" i="54"/>
  <c r="U357" i="54"/>
  <c r="AC357" i="54" s="1"/>
  <c r="AF357" i="54" s="1"/>
  <c r="H371" i="54"/>
  <c r="I371" i="54" s="1"/>
  <c r="J371" i="54" s="1"/>
  <c r="O371" i="54"/>
  <c r="U371" i="54"/>
  <c r="AC371" i="54" s="1"/>
  <c r="AF371" i="54" s="1"/>
  <c r="H380" i="54"/>
  <c r="I380" i="54" s="1"/>
  <c r="J380" i="54" s="1"/>
  <c r="O380" i="54"/>
  <c r="U380" i="54"/>
  <c r="AC380" i="54" s="1"/>
  <c r="AF380" i="54" s="1"/>
  <c r="AC332" i="54"/>
  <c r="U334" i="54"/>
  <c r="F160" i="54"/>
  <c r="AC342" i="54"/>
  <c r="U344" i="54"/>
  <c r="U21" i="54" s="1"/>
  <c r="O389" i="54"/>
  <c r="U389" i="54"/>
  <c r="M391" i="54"/>
  <c r="T274" i="54"/>
  <c r="AB274" i="54" s="1"/>
  <c r="AE274" i="54" s="1"/>
  <c r="G154" i="54"/>
  <c r="F194" i="54"/>
  <c r="F53" i="54" s="1"/>
  <c r="T391" i="54"/>
  <c r="AB389" i="54"/>
  <c r="AE389" i="54" s="1"/>
  <c r="I361" i="54"/>
  <c r="J361" i="54" s="1"/>
  <c r="U423" i="54"/>
  <c r="AC423" i="54" s="1"/>
  <c r="AF423" i="54" s="1"/>
  <c r="M440" i="54"/>
  <c r="M17" i="54" s="1"/>
  <c r="H423" i="54"/>
  <c r="O423" i="54"/>
  <c r="G144" i="54"/>
  <c r="F184" i="54"/>
  <c r="F43" i="54" s="1"/>
  <c r="F43" i="33"/>
  <c r="AB423" i="54"/>
  <c r="AE423" i="54" s="1"/>
  <c r="T440" i="54"/>
  <c r="T17" i="54" s="1"/>
  <c r="D6" i="54"/>
  <c r="D8" i="54" s="1"/>
  <c r="D62" i="54"/>
  <c r="C62" i="54"/>
  <c r="F158" i="54"/>
  <c r="F166" i="54"/>
  <c r="F25" i="54" s="1"/>
  <c r="G126" i="54"/>
  <c r="G203" i="54"/>
  <c r="N334" i="54"/>
  <c r="H334" i="54"/>
  <c r="I53" i="33"/>
  <c r="N408" i="54"/>
  <c r="U435" i="54"/>
  <c r="AC435" i="54" s="1"/>
  <c r="AF435" i="54" s="1"/>
  <c r="O435" i="54"/>
  <c r="H435" i="54"/>
  <c r="I435" i="54" s="1"/>
  <c r="J435" i="54" s="1"/>
  <c r="D163" i="54"/>
  <c r="T286" i="54"/>
  <c r="T114" i="54" s="1"/>
  <c r="L64" i="54"/>
  <c r="J300" i="54"/>
  <c r="AC418" i="54"/>
  <c r="AF418" i="54" s="1"/>
  <c r="F66" i="54"/>
  <c r="F294" i="54"/>
  <c r="F20" i="54" s="1"/>
  <c r="G20" i="54"/>
  <c r="G22" i="54" s="1"/>
  <c r="AB313" i="54"/>
  <c r="T334" i="54"/>
  <c r="F157" i="54"/>
  <c r="O424" i="54"/>
  <c r="U424" i="54"/>
  <c r="AC424" i="54" s="1"/>
  <c r="AF424" i="54" s="1"/>
  <c r="F195" i="54"/>
  <c r="F54" i="54" s="1"/>
  <c r="G155" i="54"/>
  <c r="I389" i="54"/>
  <c r="J389" i="54" s="1"/>
  <c r="P294" i="54"/>
  <c r="P20" i="54" s="1"/>
  <c r="P22" i="54" s="1"/>
  <c r="AB3790" i="11"/>
  <c r="AA3142" i="11"/>
  <c r="X2855" i="11"/>
  <c r="Z2639" i="11"/>
  <c r="Z2951" i="11"/>
  <c r="X3367" i="11"/>
  <c r="X3271" i="11"/>
  <c r="X3399" i="11"/>
  <c r="AA3094" i="11"/>
  <c r="Z3175" i="11"/>
  <c r="X3583" i="11"/>
  <c r="AB726" i="11"/>
  <c r="AB239" i="11"/>
  <c r="AB3782" i="11"/>
  <c r="AB119" i="11"/>
  <c r="AA3566" i="11"/>
  <c r="AB3334" i="11"/>
  <c r="AB3822" i="11"/>
  <c r="Y3343" i="11"/>
  <c r="AB3343" i="11" s="1"/>
  <c r="Z1494" i="11"/>
  <c r="Z1166" i="11"/>
  <c r="AB630" i="11"/>
  <c r="Z2239" i="11"/>
  <c r="AA695" i="11"/>
  <c r="Z2327" i="11"/>
  <c r="X2447" i="11"/>
  <c r="Z2983" i="11"/>
  <c r="X3615" i="11"/>
  <c r="AB1758" i="11"/>
  <c r="X2535" i="11"/>
  <c r="X2671" i="11"/>
  <c r="X2759" i="11"/>
  <c r="Z3079" i="11"/>
  <c r="AA263" i="11"/>
  <c r="AB2782" i="11"/>
  <c r="AB3014" i="11"/>
  <c r="AB3342" i="11"/>
  <c r="X3495" i="11"/>
  <c r="Z3711" i="11"/>
  <c r="AA415" i="11"/>
  <c r="AA55" i="11"/>
  <c r="AB111" i="11"/>
  <c r="AB263" i="11"/>
  <c r="X222" i="11"/>
  <c r="AA1326" i="11"/>
  <c r="AB3878" i="11"/>
  <c r="AB2830" i="11"/>
  <c r="AA3806" i="11"/>
  <c r="AB2726" i="11"/>
  <c r="AA3542" i="11"/>
  <c r="Z3295" i="11"/>
  <c r="AB2822" i="11"/>
  <c r="AA3160" i="11"/>
  <c r="X2439" i="11"/>
  <c r="AB3160" i="11"/>
  <c r="AB767" i="11"/>
  <c r="AA3430" i="11"/>
  <c r="AB382" i="11"/>
  <c r="AA3046" i="11"/>
  <c r="AB2990" i="11"/>
  <c r="AB1127" i="11"/>
  <c r="AA3758" i="11"/>
  <c r="AB1854" i="11"/>
  <c r="AB3870" i="11"/>
  <c r="AA2206" i="11"/>
  <c r="AB2758" i="11"/>
  <c r="Y2844" i="11"/>
  <c r="AB2844" i="11" s="1"/>
  <c r="AA2830" i="11"/>
  <c r="Y2695" i="11"/>
  <c r="AB2695" i="11" s="1"/>
  <c r="AB2296" i="11"/>
  <c r="AA2902" i="11"/>
  <c r="AA1662" i="11"/>
  <c r="AA2806" i="11"/>
  <c r="Z3719" i="11"/>
  <c r="AB2910" i="11"/>
  <c r="AA318" i="11"/>
  <c r="Y3799" i="11"/>
  <c r="AB3799" i="11" s="1"/>
  <c r="AB1430" i="11"/>
  <c r="AB3038" i="11"/>
  <c r="AA1574" i="11"/>
  <c r="AB511" i="11"/>
  <c r="AA3558" i="11"/>
  <c r="AA630" i="11"/>
  <c r="AA959" i="11"/>
  <c r="AB2270" i="11"/>
  <c r="X2879" i="11"/>
  <c r="Z3607" i="11"/>
  <c r="Z3487" i="11"/>
  <c r="AA391" i="11"/>
  <c r="Z2351" i="11"/>
  <c r="AB3846" i="11"/>
  <c r="AB2294" i="11"/>
  <c r="AA3214" i="11"/>
  <c r="Z2975" i="11"/>
  <c r="X2847" i="11"/>
  <c r="AA526" i="11"/>
  <c r="AA3014" i="11"/>
  <c r="AA3342" i="11"/>
  <c r="AA1949" i="11"/>
  <c r="Z3159" i="11"/>
  <c r="AA166" i="11"/>
  <c r="X2014" i="11"/>
  <c r="AB1054" i="11"/>
  <c r="AA135" i="11"/>
  <c r="AB782" i="11"/>
  <c r="AB1230" i="11"/>
  <c r="X1710" i="11"/>
  <c r="AA942" i="11"/>
  <c r="AB2798" i="11"/>
  <c r="V3823" i="11"/>
  <c r="AA3823" i="11" s="1"/>
  <c r="AB1246" i="11"/>
  <c r="Y3863" i="11"/>
  <c r="AA1989" i="11"/>
  <c r="X118" i="11"/>
  <c r="V2892" i="11"/>
  <c r="AB391" i="11"/>
  <c r="AA2590" i="11"/>
  <c r="AB1038" i="11"/>
  <c r="AA1966" i="11"/>
  <c r="AA422" i="11"/>
  <c r="Z2559" i="11"/>
  <c r="X2663" i="11"/>
  <c r="Z3167" i="11"/>
  <c r="Z3263" i="11"/>
  <c r="X3816" i="11"/>
  <c r="V2583" i="11"/>
  <c r="AA2583" i="11" s="1"/>
  <c r="Y3340" i="11"/>
  <c r="AB3340" i="11" s="1"/>
  <c r="AA359" i="11"/>
  <c r="Z1094" i="11"/>
  <c r="Z966" i="11"/>
  <c r="AB3526" i="11"/>
  <c r="AB1206" i="11"/>
  <c r="X3391" i="11"/>
  <c r="AA1079" i="11"/>
  <c r="AB3302" i="11"/>
  <c r="AA3334" i="11"/>
  <c r="AA3846" i="11"/>
  <c r="AB3030" i="11"/>
  <c r="Z2631" i="11"/>
  <c r="Z3703" i="11"/>
  <c r="Y3612" i="11"/>
  <c r="AB3612" i="11" s="1"/>
  <c r="Y3825" i="11"/>
  <c r="AB3825" i="11" s="1"/>
  <c r="X3279" i="11"/>
  <c r="Y2271" i="11"/>
  <c r="AB2271" i="11" s="1"/>
  <c r="X2863" i="11"/>
  <c r="X3055" i="11"/>
  <c r="V3793" i="11"/>
  <c r="Z2543" i="11"/>
  <c r="X14" i="11"/>
  <c r="AA3574" i="11"/>
  <c r="X2126" i="11"/>
  <c r="AB278" i="11"/>
  <c r="AA3646" i="11"/>
  <c r="V3789" i="11"/>
  <c r="AA3789" i="11" s="1"/>
  <c r="AB198" i="11"/>
  <c r="AB262" i="11"/>
  <c r="V3004" i="11"/>
  <c r="AA3004" i="11" s="1"/>
  <c r="AB2406" i="11"/>
  <c r="X1686" i="11"/>
  <c r="X1806" i="11"/>
  <c r="V2303" i="11"/>
  <c r="AA2303" i="11" s="1"/>
  <c r="AA62" i="11"/>
  <c r="AA2896" i="11"/>
  <c r="Z854" i="11"/>
  <c r="Z766" i="11"/>
  <c r="Y2703" i="11"/>
  <c r="AA366" i="11"/>
  <c r="V2359" i="11"/>
  <c r="V2575" i="11"/>
  <c r="AA2575" i="11" s="1"/>
  <c r="AA2358" i="11"/>
  <c r="AA782" i="11"/>
  <c r="V2908" i="11"/>
  <c r="Y2407" i="11"/>
  <c r="AA2254" i="11"/>
  <c r="AB2382" i="11"/>
  <c r="AA1549" i="11"/>
  <c r="Y3857" i="11"/>
  <c r="AB3857" i="11" s="1"/>
  <c r="AA3416" i="11"/>
  <c r="V3807" i="11"/>
  <c r="AB3022" i="11"/>
  <c r="AA502" i="11"/>
  <c r="AA3102" i="11"/>
  <c r="V2719" i="11"/>
  <c r="AA2719" i="11" s="1"/>
  <c r="AA1039" i="11"/>
  <c r="Y3871" i="11"/>
  <c r="AA455" i="11"/>
  <c r="AA3310" i="11"/>
  <c r="AA2624" i="11"/>
  <c r="AB439" i="11"/>
  <c r="AB63" i="11"/>
  <c r="AA3654" i="11"/>
  <c r="AB3702" i="11"/>
  <c r="V3671" i="11"/>
  <c r="AA3671" i="11" s="1"/>
  <c r="AB2102" i="11"/>
  <c r="AB2262" i="11"/>
  <c r="AA87" i="11"/>
  <c r="AA1750" i="11"/>
  <c r="V1542" i="11"/>
  <c r="AA1542" i="11" s="1"/>
  <c r="AA590" i="11"/>
  <c r="Y1998" i="11"/>
  <c r="AB1998" i="11" s="1"/>
  <c r="AB1645" i="11"/>
  <c r="Y3164" i="11"/>
  <c r="AB3164" i="11" s="1"/>
  <c r="AA406" i="11"/>
  <c r="V3885" i="11"/>
  <c r="AB734" i="11"/>
  <c r="AB3257" i="11"/>
  <c r="AB7" i="11"/>
  <c r="AB814" i="11"/>
  <c r="AA1518" i="11"/>
  <c r="AB1567" i="11"/>
  <c r="Y3319" i="11"/>
  <c r="AB3319" i="11" s="1"/>
  <c r="V2988" i="11"/>
  <c r="AB398" i="11"/>
  <c r="AA2382" i="11"/>
  <c r="AA1990" i="11"/>
  <c r="AA367" i="11"/>
  <c r="AB422" i="11"/>
  <c r="AA70" i="11"/>
  <c r="AB190" i="11"/>
  <c r="V2399" i="11"/>
  <c r="AA2399" i="11" s="1"/>
  <c r="AA343" i="11"/>
  <c r="AB583" i="11"/>
  <c r="AA1526" i="11"/>
  <c r="AA1318" i="11"/>
  <c r="AB1862" i="11"/>
  <c r="AB942" i="11"/>
  <c r="Y2287" i="11"/>
  <c r="AB2287" i="11" s="1"/>
  <c r="V2623" i="11"/>
  <c r="AA2623" i="11" s="1"/>
  <c r="AB806" i="11"/>
  <c r="AB1534" i="11"/>
  <c r="AA2062" i="11"/>
  <c r="AA286" i="11"/>
  <c r="AA191" i="11"/>
  <c r="AB1046" i="11"/>
  <c r="Z1302" i="11"/>
  <c r="Z1814" i="11"/>
  <c r="AA1206" i="11"/>
  <c r="AA478" i="11"/>
  <c r="AB366" i="11"/>
  <c r="AA998" i="11"/>
  <c r="X3591" i="11"/>
  <c r="Z2959" i="11"/>
  <c r="Y3831" i="11"/>
  <c r="AB3831" i="11" s="1"/>
  <c r="AB2598" i="11"/>
  <c r="AB494" i="11"/>
  <c r="AA1230" i="11"/>
  <c r="X2735" i="11"/>
  <c r="X3087" i="11"/>
  <c r="X3503" i="11"/>
  <c r="Y3839" i="11"/>
  <c r="AB3839" i="11" s="1"/>
  <c r="Y3036" i="11"/>
  <c r="AB3036" i="11" s="1"/>
  <c r="Y3372" i="11"/>
  <c r="AB3372" i="11" s="1"/>
  <c r="AA663" i="11"/>
  <c r="AB1335" i="11"/>
  <c r="AB1030" i="11"/>
  <c r="AA838" i="11"/>
  <c r="Y2367" i="11"/>
  <c r="AB2367" i="11" s="1"/>
  <c r="AA175" i="11"/>
  <c r="Z2335" i="11"/>
  <c r="Y2783" i="11"/>
  <c r="X2215" i="11"/>
  <c r="AB203" i="11"/>
  <c r="AB1647" i="11"/>
  <c r="Z1270" i="11"/>
  <c r="AA3742" i="11"/>
  <c r="AA2918" i="11"/>
  <c r="AA2046" i="11"/>
  <c r="AB199" i="11"/>
  <c r="AA1621" i="11"/>
  <c r="V2519" i="11"/>
  <c r="AA1249" i="11"/>
  <c r="Z3687" i="11"/>
  <c r="AA287" i="11"/>
  <c r="AB614" i="11"/>
  <c r="AA518" i="11"/>
  <c r="AB471" i="11"/>
  <c r="AA2928" i="11"/>
  <c r="AA1503" i="11"/>
  <c r="AB831" i="11"/>
  <c r="AA78" i="11"/>
  <c r="Z774" i="11"/>
  <c r="AA910" i="11"/>
  <c r="Z1582" i="11"/>
  <c r="X2038" i="11"/>
  <c r="X1726" i="11"/>
  <c r="AB2190" i="11"/>
  <c r="AA1832" i="11"/>
  <c r="AA863" i="11"/>
  <c r="Z2751" i="11"/>
  <c r="X3824" i="11"/>
  <c r="V2567" i="11"/>
  <c r="Y2687" i="11"/>
  <c r="Y3132" i="11"/>
  <c r="Y3244" i="11"/>
  <c r="X334" i="11"/>
  <c r="X1718" i="11"/>
  <c r="Z1406" i="11"/>
  <c r="X1070" i="11"/>
  <c r="AB574" i="11"/>
  <c r="X1910" i="11"/>
  <c r="W3890" i="11"/>
  <c r="AA3845" i="11"/>
  <c r="AB1823" i="11"/>
  <c r="Z1502" i="11"/>
  <c r="Z1694" i="11"/>
  <c r="Z2247" i="11"/>
  <c r="Z3695" i="11"/>
  <c r="Z3800" i="11"/>
  <c r="X1078" i="11"/>
  <c r="Z3063" i="11"/>
  <c r="X3375" i="11"/>
  <c r="AB678" i="11"/>
  <c r="X1614" i="11"/>
  <c r="AB1838" i="11"/>
  <c r="AA2694" i="11"/>
  <c r="Z1374" i="11"/>
  <c r="AB318" i="11"/>
  <c r="AA734" i="11"/>
  <c r="Z358" i="11"/>
  <c r="AA1310" i="11"/>
  <c r="Z2647" i="11"/>
  <c r="Z2767" i="11"/>
  <c r="Z3599" i="11"/>
  <c r="V3887" i="11"/>
  <c r="AA3887" i="11" s="1"/>
  <c r="AA1553" i="11"/>
  <c r="V3772" i="11"/>
  <c r="AA3772" i="11" s="1"/>
  <c r="X638" i="11"/>
  <c r="X982" i="11"/>
  <c r="Z126" i="11"/>
  <c r="AA1150" i="11"/>
  <c r="Z2423" i="11"/>
  <c r="Z3071" i="11"/>
  <c r="X3471" i="11"/>
  <c r="Y2503" i="11"/>
  <c r="AB2503" i="11" s="1"/>
  <c r="V3847" i="11"/>
  <c r="AA3847" i="11" s="1"/>
  <c r="AA1175" i="11"/>
  <c r="AB367" i="11"/>
  <c r="Z110" i="11"/>
  <c r="Z2030" i="11"/>
  <c r="Z46" i="11"/>
  <c r="Z6" i="11"/>
  <c r="AA1438" i="11"/>
  <c r="AB1134" i="11"/>
  <c r="AB710" i="11"/>
  <c r="Z974" i="11"/>
  <c r="AA1630" i="11"/>
  <c r="X1174" i="11"/>
  <c r="X534" i="11"/>
  <c r="X438" i="11"/>
  <c r="Z2967" i="11"/>
  <c r="X3183" i="11"/>
  <c r="V2727" i="11"/>
  <c r="AA2727" i="11" s="1"/>
  <c r="Y3877" i="11"/>
  <c r="AB3877" i="11" s="1"/>
  <c r="AB3750" i="11"/>
  <c r="Y3196" i="11"/>
  <c r="Z990" i="11"/>
  <c r="X1382" i="11"/>
  <c r="X2006" i="11"/>
  <c r="Z862" i="11"/>
  <c r="AA214" i="11"/>
  <c r="Z2455" i="11"/>
  <c r="Z950" i="11"/>
  <c r="Z350" i="11"/>
  <c r="AB3574" i="11"/>
  <c r="AB1558" i="11"/>
  <c r="Y3784" i="11"/>
  <c r="AB1670" i="11"/>
  <c r="Y838" i="11"/>
  <c r="AB838" i="11" s="1"/>
  <c r="AA1358" i="11"/>
  <c r="X1790" i="11"/>
  <c r="X2527" i="11"/>
  <c r="X2231" i="11"/>
  <c r="X1934" i="11"/>
  <c r="AB702" i="11"/>
  <c r="X654" i="11"/>
  <c r="AB1262" i="11"/>
  <c r="AB1766" i="11"/>
  <c r="AA1566" i="11"/>
  <c r="Z1190" i="11"/>
  <c r="Z2142" i="11"/>
  <c r="Z30" i="11"/>
  <c r="X1902" i="11"/>
  <c r="Z662" i="11"/>
  <c r="AA390" i="11"/>
  <c r="Y3864" i="11"/>
  <c r="AB3864" i="11" s="1"/>
  <c r="Y3845" i="11"/>
  <c r="AB3845" i="11" s="1"/>
  <c r="Y3740" i="11"/>
  <c r="AB3740" i="11" s="1"/>
  <c r="Z430" i="11"/>
  <c r="X1286" i="11"/>
  <c r="X846" i="11"/>
  <c r="AB822" i="11"/>
  <c r="X1798" i="11"/>
  <c r="AA606" i="11"/>
  <c r="AB934" i="11"/>
  <c r="AA2166" i="11"/>
  <c r="AA3254" i="11"/>
  <c r="AA1207" i="11"/>
  <c r="AA830" i="11"/>
  <c r="AB2054" i="11"/>
  <c r="Y2791" i="11"/>
  <c r="AB2278" i="11"/>
  <c r="Z3575" i="11"/>
  <c r="AA583" i="11"/>
  <c r="AB863" i="11"/>
  <c r="Z150" i="11"/>
  <c r="Z2022" i="11"/>
  <c r="X886" i="11"/>
  <c r="X1830" i="11"/>
  <c r="AB78" i="11"/>
  <c r="AA158" i="11"/>
  <c r="AA622" i="11"/>
  <c r="X1606" i="11"/>
  <c r="Z1198" i="11"/>
  <c r="X2118" i="11"/>
  <c r="AB247" i="11"/>
  <c r="AB447" i="11"/>
  <c r="AA1142" i="11"/>
  <c r="X1926" i="11"/>
  <c r="X246" i="11"/>
  <c r="AB1150" i="11"/>
  <c r="X2110" i="11"/>
  <c r="X878" i="11"/>
  <c r="V2647" i="11"/>
  <c r="AA2647" i="11" s="1"/>
  <c r="X2319" i="11"/>
  <c r="Z1398" i="11"/>
  <c r="AB902" i="11"/>
  <c r="AB1526" i="11"/>
  <c r="AB1878" i="11"/>
  <c r="X1486" i="11"/>
  <c r="Z3792" i="11"/>
  <c r="AA32" i="11"/>
  <c r="V3260" i="11"/>
  <c r="AA3260" i="11" s="1"/>
  <c r="AA1742" i="11"/>
  <c r="X1598" i="11"/>
  <c r="Z1062" i="11"/>
  <c r="AA1454" i="11"/>
  <c r="X38" i="11"/>
  <c r="AA1646" i="11"/>
  <c r="AB3318" i="11"/>
  <c r="V3564" i="11"/>
  <c r="Y3564" i="11"/>
  <c r="AB3564" i="11" s="1"/>
  <c r="AB2510" i="11"/>
  <c r="O42" i="21"/>
  <c r="Y530" i="11"/>
  <c r="AB530" i="11" s="1"/>
  <c r="V530" i="11"/>
  <c r="AA530" i="11" s="1"/>
  <c r="T2655" i="11"/>
  <c r="Y2713" i="11"/>
  <c r="AB2713" i="11" s="1"/>
  <c r="V2713" i="11"/>
  <c r="AA2713" i="11" s="1"/>
  <c r="Y3484" i="11"/>
  <c r="V3484" i="11"/>
  <c r="AA3484" i="11" s="1"/>
  <c r="Y2302" i="11"/>
  <c r="AB2302" i="11" s="1"/>
  <c r="V2302" i="11"/>
  <c r="AA2302" i="11" s="1"/>
  <c r="AB3414" i="11"/>
  <c r="AB3454" i="11"/>
  <c r="AB1846" i="11"/>
  <c r="AB1350" i="11"/>
  <c r="AA374" i="11"/>
  <c r="U2663" i="11"/>
  <c r="Y3276" i="11"/>
  <c r="AB3276" i="11" s="1"/>
  <c r="V3276" i="11"/>
  <c r="V1554" i="11"/>
  <c r="AA1554" i="11" s="1"/>
  <c r="Y1554" i="11"/>
  <c r="AB1554" i="11" s="1"/>
  <c r="AA2894" i="11"/>
  <c r="AA3662" i="11"/>
  <c r="U2655" i="11"/>
  <c r="U3804" i="11"/>
  <c r="AA2718" i="11"/>
  <c r="AB3150" i="11"/>
  <c r="AA3150" i="11"/>
  <c r="AA582" i="11"/>
  <c r="Y3532" i="11"/>
  <c r="V3532" i="11"/>
  <c r="Y2362" i="11"/>
  <c r="AB2362" i="11" s="1"/>
  <c r="V2362" i="11"/>
  <c r="V1810" i="11"/>
  <c r="AA1810" i="11" s="1"/>
  <c r="Y1810" i="11"/>
  <c r="AB1810" i="11" s="1"/>
  <c r="U3803" i="11"/>
  <c r="T3803" i="11"/>
  <c r="T3867" i="11"/>
  <c r="U3867" i="11"/>
  <c r="T3811" i="11"/>
  <c r="U3811" i="11"/>
  <c r="T3875" i="11"/>
  <c r="U3875" i="11"/>
  <c r="AB2622" i="11"/>
  <c r="AA54" i="11"/>
  <c r="AB310" i="11"/>
  <c r="AA278" i="11"/>
  <c r="T3819" i="11"/>
  <c r="U3819" i="11"/>
  <c r="T3883" i="11"/>
  <c r="U3883" i="11"/>
  <c r="AB1657" i="11"/>
  <c r="AB3638" i="11"/>
  <c r="AB470" i="11"/>
  <c r="AB1837" i="11"/>
  <c r="AA270" i="11"/>
  <c r="AB798" i="11"/>
  <c r="T3827" i="11"/>
  <c r="U3827" i="11"/>
  <c r="AB3215" i="11"/>
  <c r="AB1622" i="11"/>
  <c r="AB1942" i="11"/>
  <c r="U3835" i="11"/>
  <c r="T3835" i="11"/>
  <c r="AA102" i="11"/>
  <c r="T3843" i="11"/>
  <c r="U3843" i="11"/>
  <c r="V3852" i="11"/>
  <c r="AA3852" i="11" s="1"/>
  <c r="Y3852" i="11"/>
  <c r="AB3852" i="11" s="1"/>
  <c r="U3787" i="11"/>
  <c r="T3787" i="11"/>
  <c r="T3851" i="11"/>
  <c r="U3851" i="11"/>
  <c r="T3795" i="11"/>
  <c r="U3795" i="11"/>
  <c r="T3859" i="11"/>
  <c r="U3859" i="11"/>
  <c r="X3479" i="11"/>
  <c r="Z3511" i="11"/>
  <c r="Y2679" i="11"/>
  <c r="V2711" i="11"/>
  <c r="X1822" i="11"/>
  <c r="X326" i="11"/>
  <c r="X1086" i="11"/>
  <c r="X2134" i="11"/>
  <c r="Z2871" i="11"/>
  <c r="Z238" i="11"/>
  <c r="AA1534" i="11"/>
  <c r="Z142" i="11"/>
  <c r="AB1894" i="11"/>
  <c r="AA1414" i="11"/>
  <c r="AA486" i="11"/>
  <c r="AA335" i="11"/>
  <c r="X2223" i="11"/>
  <c r="X2743" i="11"/>
  <c r="Z2775" i="11"/>
  <c r="Z3383" i="11"/>
  <c r="Y2639" i="11"/>
  <c r="AB3726" i="11"/>
  <c r="AA206" i="11"/>
  <c r="Z1510" i="11"/>
  <c r="AA262" i="11"/>
  <c r="Z3808" i="11"/>
  <c r="X3191" i="11"/>
  <c r="Z1590" i="11"/>
  <c r="X1702" i="11"/>
  <c r="X1918" i="11"/>
  <c r="X2551" i="11"/>
  <c r="Z2431" i="11"/>
  <c r="Z2655" i="11"/>
  <c r="Z3287" i="11"/>
  <c r="AB1422" i="11"/>
  <c r="X454" i="11"/>
  <c r="AA1222" i="11"/>
  <c r="AA1950" i="11"/>
  <c r="AA2734" i="11"/>
  <c r="X2343" i="11"/>
  <c r="X550" i="11"/>
  <c r="Z870" i="11"/>
  <c r="Z958" i="11"/>
  <c r="X1390" i="11"/>
  <c r="X1478" i="11"/>
  <c r="X22" i="11"/>
  <c r="Z646" i="11"/>
  <c r="Z750" i="11"/>
  <c r="AB1118" i="11"/>
  <c r="AA3462" i="11"/>
  <c r="AB3534" i="11"/>
  <c r="AA3854" i="11"/>
  <c r="AA991" i="11"/>
  <c r="AB1774" i="11"/>
  <c r="AB2310" i="11"/>
  <c r="AA1696" i="11"/>
  <c r="AB663" i="11"/>
  <c r="AA1766" i="11"/>
  <c r="AB790" i="11"/>
  <c r="AB1072" i="11"/>
  <c r="AA1784" i="11"/>
  <c r="AB1944" i="11"/>
  <c r="AB1376" i="11"/>
  <c r="AB287" i="11"/>
  <c r="AB1063" i="11"/>
  <c r="AB1039" i="11"/>
  <c r="AB3462" i="11"/>
  <c r="AB159" i="11"/>
  <c r="AB2942" i="11"/>
  <c r="AB3198" i="11"/>
  <c r="AA3510" i="11"/>
  <c r="AB3646" i="11"/>
  <c r="AB3734" i="11"/>
  <c r="AA2782" i="11"/>
  <c r="U2237" i="11"/>
  <c r="T2237" i="11"/>
  <c r="U2301" i="11"/>
  <c r="T2301" i="11"/>
  <c r="U2365" i="11"/>
  <c r="T2365" i="11"/>
  <c r="U2429" i="11"/>
  <c r="T2429" i="11"/>
  <c r="U2493" i="11"/>
  <c r="T2493" i="11"/>
  <c r="U2557" i="11"/>
  <c r="T2557" i="11"/>
  <c r="U2621" i="11"/>
  <c r="T2621" i="11"/>
  <c r="U2685" i="11"/>
  <c r="T2685" i="11"/>
  <c r="U2749" i="11"/>
  <c r="T2749" i="11"/>
  <c r="U2813" i="11"/>
  <c r="T2813" i="11"/>
  <c r="U2877" i="11"/>
  <c r="T2877" i="11"/>
  <c r="U2941" i="11"/>
  <c r="T2941" i="11"/>
  <c r="U3005" i="11"/>
  <c r="T3005" i="11"/>
  <c r="U3069" i="11"/>
  <c r="T3069" i="11"/>
  <c r="U3133" i="11"/>
  <c r="T3133" i="11"/>
  <c r="U3197" i="11"/>
  <c r="T3197" i="11"/>
  <c r="U3261" i="11"/>
  <c r="T3261" i="11"/>
  <c r="U3325" i="11"/>
  <c r="T3325" i="11"/>
  <c r="U3389" i="11"/>
  <c r="T3389" i="11"/>
  <c r="U3453" i="11"/>
  <c r="T3453" i="11"/>
  <c r="U3517" i="11"/>
  <c r="T3517" i="11"/>
  <c r="U3581" i="11"/>
  <c r="T3581" i="11"/>
  <c r="U3645" i="11"/>
  <c r="T3645" i="11"/>
  <c r="U3709" i="11"/>
  <c r="T3709" i="11"/>
  <c r="Y1741" i="11"/>
  <c r="V1741" i="11"/>
  <c r="U6" i="11"/>
  <c r="T6" i="11"/>
  <c r="U38" i="11"/>
  <c r="T38" i="11"/>
  <c r="U126" i="11"/>
  <c r="T126" i="11"/>
  <c r="U222" i="11"/>
  <c r="T222" i="11"/>
  <c r="U254" i="11"/>
  <c r="T254" i="11"/>
  <c r="U342" i="11"/>
  <c r="T342" i="11"/>
  <c r="U438" i="11"/>
  <c r="T438" i="11"/>
  <c r="U534" i="11"/>
  <c r="T534" i="11"/>
  <c r="U566" i="11"/>
  <c r="T566" i="11"/>
  <c r="U662" i="11"/>
  <c r="T662" i="11"/>
  <c r="V718" i="11"/>
  <c r="AA718" i="11" s="1"/>
  <c r="Y718" i="11"/>
  <c r="U766" i="11"/>
  <c r="T766" i="11"/>
  <c r="U854" i="11"/>
  <c r="T854" i="11"/>
  <c r="U886" i="11"/>
  <c r="T886" i="11"/>
  <c r="U974" i="11"/>
  <c r="T974" i="11"/>
  <c r="U1070" i="11"/>
  <c r="T1070" i="11"/>
  <c r="U1166" i="11"/>
  <c r="T1166" i="11"/>
  <c r="U1198" i="11"/>
  <c r="T1198" i="11"/>
  <c r="U1294" i="11"/>
  <c r="T1294" i="11"/>
  <c r="U1374" i="11"/>
  <c r="T1374" i="11"/>
  <c r="U1406" i="11"/>
  <c r="T1406" i="11"/>
  <c r="U1494" i="11"/>
  <c r="T1494" i="11"/>
  <c r="U1606" i="11"/>
  <c r="T1606" i="11"/>
  <c r="U1686" i="11"/>
  <c r="T1686" i="11"/>
  <c r="U1718" i="11"/>
  <c r="T1718" i="11"/>
  <c r="U1806" i="11"/>
  <c r="T1806" i="11"/>
  <c r="U1902" i="11"/>
  <c r="T1902" i="11"/>
  <c r="U1934" i="11"/>
  <c r="T1934" i="11"/>
  <c r="U2030" i="11"/>
  <c r="T2030" i="11"/>
  <c r="U2118" i="11"/>
  <c r="T2118" i="11"/>
  <c r="V2174" i="11"/>
  <c r="Y2174" i="11"/>
  <c r="U2239" i="11"/>
  <c r="T2239" i="11"/>
  <c r="U2327" i="11"/>
  <c r="T2327" i="11"/>
  <c r="U2447" i="11"/>
  <c r="T2447" i="11"/>
  <c r="U2535" i="11"/>
  <c r="T2535" i="11"/>
  <c r="U2759" i="11"/>
  <c r="T2759" i="11"/>
  <c r="U2855" i="11"/>
  <c r="T2855" i="11"/>
  <c r="U2951" i="11"/>
  <c r="T2951" i="11"/>
  <c r="U2983" i="11"/>
  <c r="T2983" i="11"/>
  <c r="U3079" i="11"/>
  <c r="T3079" i="11"/>
  <c r="U3175" i="11"/>
  <c r="T3175" i="11"/>
  <c r="U3271" i="11"/>
  <c r="T3271" i="11"/>
  <c r="U3367" i="11"/>
  <c r="T3367" i="11"/>
  <c r="U3399" i="11"/>
  <c r="T3399" i="11"/>
  <c r="U3495" i="11"/>
  <c r="T3495" i="11"/>
  <c r="U3583" i="11"/>
  <c r="T3583" i="11"/>
  <c r="U3615" i="11"/>
  <c r="T3615" i="11"/>
  <c r="U3711" i="11"/>
  <c r="T3711" i="11"/>
  <c r="U3792" i="11"/>
  <c r="T3792" i="11"/>
  <c r="U3824" i="11"/>
  <c r="T3824" i="11"/>
  <c r="AA3118" i="11"/>
  <c r="AA1470" i="11"/>
  <c r="AA3838" i="11"/>
  <c r="AB2790" i="11"/>
  <c r="U2245" i="11"/>
  <c r="T2245" i="11"/>
  <c r="U2309" i="11"/>
  <c r="T2309" i="11"/>
  <c r="U2373" i="11"/>
  <c r="T2373" i="11"/>
  <c r="U2437" i="11"/>
  <c r="T2437" i="11"/>
  <c r="U2501" i="11"/>
  <c r="T2501" i="11"/>
  <c r="U2565" i="11"/>
  <c r="T2565" i="11"/>
  <c r="U2629" i="11"/>
  <c r="T2629" i="11"/>
  <c r="U2693" i="11"/>
  <c r="T2693" i="11"/>
  <c r="U2757" i="11"/>
  <c r="T2757" i="11"/>
  <c r="U2821" i="11"/>
  <c r="T2821" i="11"/>
  <c r="U2885" i="11"/>
  <c r="T2885" i="11"/>
  <c r="U2949" i="11"/>
  <c r="T2949" i="11"/>
  <c r="U3013" i="11"/>
  <c r="T3013" i="11"/>
  <c r="U3077" i="11"/>
  <c r="T3077" i="11"/>
  <c r="U3141" i="11"/>
  <c r="T3141" i="11"/>
  <c r="U3205" i="11"/>
  <c r="T3205" i="11"/>
  <c r="U3269" i="11"/>
  <c r="T3269" i="11"/>
  <c r="U3333" i="11"/>
  <c r="T3333" i="11"/>
  <c r="U3397" i="11"/>
  <c r="T3397" i="11"/>
  <c r="U3461" i="11"/>
  <c r="T3461" i="11"/>
  <c r="U3525" i="11"/>
  <c r="T3525" i="11"/>
  <c r="U3589" i="11"/>
  <c r="T3589" i="11"/>
  <c r="U3653" i="11"/>
  <c r="T3653" i="11"/>
  <c r="U3717" i="11"/>
  <c r="T3717" i="11"/>
  <c r="Z134" i="11"/>
  <c r="X134" i="11"/>
  <c r="X230" i="11"/>
  <c r="Z230" i="11"/>
  <c r="X446" i="11"/>
  <c r="Z446" i="11"/>
  <c r="X542" i="11"/>
  <c r="Z542" i="11"/>
  <c r="X670" i="11"/>
  <c r="Z670" i="11"/>
  <c r="X742" i="11"/>
  <c r="Z742" i="11"/>
  <c r="V3880" i="11"/>
  <c r="AA3880" i="11" s="1"/>
  <c r="Y3880" i="11"/>
  <c r="AA2414" i="11"/>
  <c r="AB3518" i="11"/>
  <c r="AB1006" i="11"/>
  <c r="AA2070" i="11"/>
  <c r="AA383" i="11"/>
  <c r="U2253" i="11"/>
  <c r="T2253" i="11"/>
  <c r="U2317" i="11"/>
  <c r="T2317" i="11"/>
  <c r="U2381" i="11"/>
  <c r="T2381" i="11"/>
  <c r="U2445" i="11"/>
  <c r="T2445" i="11"/>
  <c r="U2509" i="11"/>
  <c r="T2509" i="11"/>
  <c r="U2573" i="11"/>
  <c r="T2573" i="11"/>
  <c r="U2637" i="11"/>
  <c r="T2637" i="11"/>
  <c r="U2701" i="11"/>
  <c r="T2701" i="11"/>
  <c r="U2765" i="11"/>
  <c r="T2765" i="11"/>
  <c r="U2829" i="11"/>
  <c r="T2829" i="11"/>
  <c r="U2893" i="11"/>
  <c r="T2893" i="11"/>
  <c r="U2957" i="11"/>
  <c r="T2957" i="11"/>
  <c r="U3021" i="11"/>
  <c r="T3021" i="11"/>
  <c r="U3085" i="11"/>
  <c r="T3085" i="11"/>
  <c r="U3149" i="11"/>
  <c r="T3149" i="11"/>
  <c r="U3213" i="11"/>
  <c r="T3213" i="11"/>
  <c r="U3277" i="11"/>
  <c r="T3277" i="11"/>
  <c r="U3341" i="11"/>
  <c r="T3341" i="11"/>
  <c r="U3405" i="11"/>
  <c r="T3405" i="11"/>
  <c r="U3469" i="11"/>
  <c r="T3469" i="11"/>
  <c r="U3533" i="11"/>
  <c r="T3533" i="11"/>
  <c r="U3597" i="11"/>
  <c r="T3597" i="11"/>
  <c r="U3661" i="11"/>
  <c r="T3661" i="11"/>
  <c r="U3725" i="11"/>
  <c r="T3725" i="11"/>
  <c r="Y1821" i="11"/>
  <c r="V1821" i="11"/>
  <c r="U14" i="11"/>
  <c r="T14" i="11"/>
  <c r="U46" i="11"/>
  <c r="T46" i="11"/>
  <c r="U134" i="11"/>
  <c r="T134" i="11"/>
  <c r="U230" i="11"/>
  <c r="T230" i="11"/>
  <c r="V302" i="11"/>
  <c r="Y302" i="11"/>
  <c r="U350" i="11"/>
  <c r="T350" i="11"/>
  <c r="U446" i="11"/>
  <c r="T446" i="11"/>
  <c r="U542" i="11"/>
  <c r="T542" i="11"/>
  <c r="U638" i="11"/>
  <c r="T638" i="11"/>
  <c r="U670" i="11"/>
  <c r="T670" i="11"/>
  <c r="U742" i="11"/>
  <c r="T742" i="11"/>
  <c r="U774" i="11"/>
  <c r="T774" i="11"/>
  <c r="U862" i="11"/>
  <c r="T862" i="11"/>
  <c r="U950" i="11"/>
  <c r="T950" i="11"/>
  <c r="U982" i="11"/>
  <c r="T982" i="11"/>
  <c r="U1078" i="11"/>
  <c r="T1078" i="11"/>
  <c r="U1174" i="11"/>
  <c r="T1174" i="11"/>
  <c r="U1270" i="11"/>
  <c r="T1270" i="11"/>
  <c r="U1302" i="11"/>
  <c r="T1302" i="11"/>
  <c r="U1382" i="11"/>
  <c r="T1382" i="11"/>
  <c r="Y1462" i="11"/>
  <c r="V1462" i="11"/>
  <c r="AA1462" i="11" s="1"/>
  <c r="U1502" i="11"/>
  <c r="T1502" i="11"/>
  <c r="U1582" i="11"/>
  <c r="T1582" i="11"/>
  <c r="U1614" i="11"/>
  <c r="T1614" i="11"/>
  <c r="U1694" i="11"/>
  <c r="T1694" i="11"/>
  <c r="U1726" i="11"/>
  <c r="T1726" i="11"/>
  <c r="U1814" i="11"/>
  <c r="T1814" i="11"/>
  <c r="U1910" i="11"/>
  <c r="T1910" i="11"/>
  <c r="U2006" i="11"/>
  <c r="T2006" i="11"/>
  <c r="U2038" i="11"/>
  <c r="T2038" i="11"/>
  <c r="U2126" i="11"/>
  <c r="T2126" i="11"/>
  <c r="U2215" i="11"/>
  <c r="T2215" i="11"/>
  <c r="U2247" i="11"/>
  <c r="T2247" i="11"/>
  <c r="U2335" i="11"/>
  <c r="T2335" i="11"/>
  <c r="U2423" i="11"/>
  <c r="T2423" i="11"/>
  <c r="U2455" i="11"/>
  <c r="T2455" i="11"/>
  <c r="U2543" i="11"/>
  <c r="T2543" i="11"/>
  <c r="U2735" i="11"/>
  <c r="T2735" i="11"/>
  <c r="U2767" i="11"/>
  <c r="T2767" i="11"/>
  <c r="U2863" i="11"/>
  <c r="T2863" i="11"/>
  <c r="U2959" i="11"/>
  <c r="T2959" i="11"/>
  <c r="U3055" i="11"/>
  <c r="T3055" i="11"/>
  <c r="U3087" i="11"/>
  <c r="T3087" i="11"/>
  <c r="U3183" i="11"/>
  <c r="T3183" i="11"/>
  <c r="U3279" i="11"/>
  <c r="T3279" i="11"/>
  <c r="U3375" i="11"/>
  <c r="T3375" i="11"/>
  <c r="U3471" i="11"/>
  <c r="T3471" i="11"/>
  <c r="U3503" i="11"/>
  <c r="T3503" i="11"/>
  <c r="U3591" i="11"/>
  <c r="T3591" i="11"/>
  <c r="U3687" i="11"/>
  <c r="T3687" i="11"/>
  <c r="U3719" i="11"/>
  <c r="T3719" i="11"/>
  <c r="U3800" i="11"/>
  <c r="T3800" i="11"/>
  <c r="AA3766" i="11"/>
  <c r="AB383" i="11"/>
  <c r="AA3446" i="11"/>
  <c r="AA3886" i="11"/>
  <c r="U2197" i="11"/>
  <c r="T2197" i="11"/>
  <c r="U2261" i="11"/>
  <c r="T2261" i="11"/>
  <c r="U2325" i="11"/>
  <c r="T2325" i="11"/>
  <c r="U2389" i="11"/>
  <c r="T2389" i="11"/>
  <c r="U2453" i="11"/>
  <c r="T2453" i="11"/>
  <c r="U2517" i="11"/>
  <c r="T2517" i="11"/>
  <c r="U2581" i="11"/>
  <c r="T2581" i="11"/>
  <c r="U2645" i="11"/>
  <c r="T2645" i="11"/>
  <c r="U2709" i="11"/>
  <c r="T2709" i="11"/>
  <c r="U2773" i="11"/>
  <c r="T2773" i="11"/>
  <c r="U2837" i="11"/>
  <c r="T2837" i="11"/>
  <c r="U2901" i="11"/>
  <c r="T2901" i="11"/>
  <c r="U2965" i="11"/>
  <c r="T2965" i="11"/>
  <c r="U3029" i="11"/>
  <c r="T3029" i="11"/>
  <c r="U3093" i="11"/>
  <c r="T3093" i="11"/>
  <c r="U3157" i="11"/>
  <c r="T3157" i="11"/>
  <c r="U3221" i="11"/>
  <c r="T3221" i="11"/>
  <c r="U3285" i="11"/>
  <c r="T3285" i="11"/>
  <c r="U3349" i="11"/>
  <c r="T3349" i="11"/>
  <c r="U3413" i="11"/>
  <c r="T3413" i="11"/>
  <c r="U3477" i="11"/>
  <c r="T3477" i="11"/>
  <c r="U3541" i="11"/>
  <c r="T3541" i="11"/>
  <c r="U3605" i="11"/>
  <c r="T3605" i="11"/>
  <c r="U3669" i="11"/>
  <c r="T3669" i="11"/>
  <c r="U3733" i="11"/>
  <c r="T3733" i="11"/>
  <c r="X1182" i="11"/>
  <c r="Z1182" i="11"/>
  <c r="Z1278" i="11"/>
  <c r="X1278" i="11"/>
  <c r="AA975" i="11"/>
  <c r="AB102" i="11"/>
  <c r="U2205" i="11"/>
  <c r="T2205" i="11"/>
  <c r="U2269" i="11"/>
  <c r="T2269" i="11"/>
  <c r="U2333" i="11"/>
  <c r="T2333" i="11"/>
  <c r="U2397" i="11"/>
  <c r="T2397" i="11"/>
  <c r="U2461" i="11"/>
  <c r="T2461" i="11"/>
  <c r="U2525" i="11"/>
  <c r="T2525" i="11"/>
  <c r="U2589" i="11"/>
  <c r="T2589" i="11"/>
  <c r="U2653" i="11"/>
  <c r="T2653" i="11"/>
  <c r="U2717" i="11"/>
  <c r="T2717" i="11"/>
  <c r="U2781" i="11"/>
  <c r="T2781" i="11"/>
  <c r="U2845" i="11"/>
  <c r="T2845" i="11"/>
  <c r="U2909" i="11"/>
  <c r="T2909" i="11"/>
  <c r="U2973" i="11"/>
  <c r="T2973" i="11"/>
  <c r="U3037" i="11"/>
  <c r="T3037" i="11"/>
  <c r="U3101" i="11"/>
  <c r="T3101" i="11"/>
  <c r="U3165" i="11"/>
  <c r="T3165" i="11"/>
  <c r="U3229" i="11"/>
  <c r="T3229" i="11"/>
  <c r="U3293" i="11"/>
  <c r="T3293" i="11"/>
  <c r="U3357" i="11"/>
  <c r="T3357" i="11"/>
  <c r="U3421" i="11"/>
  <c r="T3421" i="11"/>
  <c r="U3485" i="11"/>
  <c r="T3485" i="11"/>
  <c r="U3549" i="11"/>
  <c r="T3549" i="11"/>
  <c r="U3613" i="11"/>
  <c r="T3613" i="11"/>
  <c r="U3677" i="11"/>
  <c r="T3677" i="11"/>
  <c r="U3741" i="11"/>
  <c r="T3741" i="11"/>
  <c r="Y1901" i="11"/>
  <c r="V1901" i="11"/>
  <c r="U22" i="11"/>
  <c r="T22" i="11"/>
  <c r="U110" i="11"/>
  <c r="T110" i="11"/>
  <c r="U142" i="11"/>
  <c r="T142" i="11"/>
  <c r="U238" i="11"/>
  <c r="T238" i="11"/>
  <c r="U326" i="11"/>
  <c r="T326" i="11"/>
  <c r="U358" i="11"/>
  <c r="T358" i="11"/>
  <c r="U454" i="11"/>
  <c r="T454" i="11"/>
  <c r="U550" i="11"/>
  <c r="T550" i="11"/>
  <c r="U646" i="11"/>
  <c r="T646" i="11"/>
  <c r="Y686" i="11"/>
  <c r="AB686" i="11" s="1"/>
  <c r="V686" i="11"/>
  <c r="U750" i="11"/>
  <c r="T750" i="11"/>
  <c r="U870" i="11"/>
  <c r="T870" i="11"/>
  <c r="U958" i="11"/>
  <c r="T958" i="11"/>
  <c r="U990" i="11"/>
  <c r="T990" i="11"/>
  <c r="U1086" i="11"/>
  <c r="T1086" i="11"/>
  <c r="U1182" i="11"/>
  <c r="T1182" i="11"/>
  <c r="U1278" i="11"/>
  <c r="T1278" i="11"/>
  <c r="Y1334" i="11"/>
  <c r="V1334" i="11"/>
  <c r="U1390" i="11"/>
  <c r="T1390" i="11"/>
  <c r="U1478" i="11"/>
  <c r="T1478" i="11"/>
  <c r="U1510" i="11"/>
  <c r="T1510" i="11"/>
  <c r="U1590" i="11"/>
  <c r="T1590" i="11"/>
  <c r="Y1638" i="11"/>
  <c r="V1638" i="11"/>
  <c r="U1702" i="11"/>
  <c r="T1702" i="11"/>
  <c r="U1790" i="11"/>
  <c r="T1790" i="11"/>
  <c r="U1822" i="11"/>
  <c r="T1822" i="11"/>
  <c r="U1918" i="11"/>
  <c r="T1918" i="11"/>
  <c r="U2014" i="11"/>
  <c r="T2014" i="11"/>
  <c r="Y2086" i="11"/>
  <c r="V2086" i="11"/>
  <c r="U2134" i="11"/>
  <c r="T2134" i="11"/>
  <c r="U2223" i="11"/>
  <c r="T2223" i="11"/>
  <c r="U2343" i="11"/>
  <c r="T2343" i="11"/>
  <c r="U2431" i="11"/>
  <c r="T2431" i="11"/>
  <c r="U2551" i="11"/>
  <c r="T2551" i="11"/>
  <c r="U2743" i="11"/>
  <c r="T2743" i="11"/>
  <c r="U2775" i="11"/>
  <c r="T2775" i="11"/>
  <c r="U2871" i="11"/>
  <c r="T2871" i="11"/>
  <c r="U2967" i="11"/>
  <c r="T2967" i="11"/>
  <c r="U3063" i="11"/>
  <c r="T3063" i="11"/>
  <c r="U3159" i="11"/>
  <c r="T3159" i="11"/>
  <c r="U3191" i="11"/>
  <c r="T3191" i="11"/>
  <c r="U3287" i="11"/>
  <c r="T3287" i="11"/>
  <c r="U3383" i="11"/>
  <c r="T3383" i="11"/>
  <c r="U3479" i="11"/>
  <c r="T3479" i="11"/>
  <c r="U3511" i="11"/>
  <c r="T3511" i="11"/>
  <c r="U3599" i="11"/>
  <c r="T3599" i="11"/>
  <c r="U3695" i="11"/>
  <c r="T3695" i="11"/>
  <c r="U3808" i="11"/>
  <c r="T3808" i="11"/>
  <c r="Y3856" i="11"/>
  <c r="V3856" i="11"/>
  <c r="AB2710" i="11"/>
  <c r="AA2182" i="11"/>
  <c r="AB2718" i="11"/>
  <c r="U2213" i="11"/>
  <c r="T2213" i="11"/>
  <c r="U2277" i="11"/>
  <c r="T2277" i="11"/>
  <c r="U2341" i="11"/>
  <c r="T2341" i="11"/>
  <c r="U2405" i="11"/>
  <c r="T2405" i="11"/>
  <c r="U2469" i="11"/>
  <c r="T2469" i="11"/>
  <c r="U2533" i="11"/>
  <c r="T2533" i="11"/>
  <c r="U2597" i="11"/>
  <c r="T2597" i="11"/>
  <c r="U2661" i="11"/>
  <c r="T2661" i="11"/>
  <c r="U2725" i="11"/>
  <c r="T2725" i="11"/>
  <c r="U2789" i="11"/>
  <c r="T2789" i="11"/>
  <c r="U2853" i="11"/>
  <c r="T2853" i="11"/>
  <c r="U2917" i="11"/>
  <c r="T2917" i="11"/>
  <c r="U2981" i="11"/>
  <c r="T2981" i="11"/>
  <c r="U3045" i="11"/>
  <c r="T3045" i="11"/>
  <c r="U3109" i="11"/>
  <c r="T3109" i="11"/>
  <c r="U3173" i="11"/>
  <c r="T3173" i="11"/>
  <c r="U3237" i="11"/>
  <c r="T3237" i="11"/>
  <c r="U3301" i="11"/>
  <c r="T3301" i="11"/>
  <c r="U3365" i="11"/>
  <c r="T3365" i="11"/>
  <c r="U3429" i="11"/>
  <c r="T3429" i="11"/>
  <c r="U3493" i="11"/>
  <c r="T3493" i="11"/>
  <c r="U3557" i="11"/>
  <c r="T3557" i="11"/>
  <c r="U3621" i="11"/>
  <c r="T3621" i="11"/>
  <c r="U3685" i="11"/>
  <c r="T3685" i="11"/>
  <c r="U3749" i="11"/>
  <c r="T3749" i="11"/>
  <c r="Z462" i="11"/>
  <c r="X462" i="11"/>
  <c r="X558" i="11"/>
  <c r="Z558" i="11"/>
  <c r="Z758" i="11"/>
  <c r="X758" i="11"/>
  <c r="U2221" i="11"/>
  <c r="T2221" i="11"/>
  <c r="U2285" i="11"/>
  <c r="T2285" i="11"/>
  <c r="U2349" i="11"/>
  <c r="T2349" i="11"/>
  <c r="U2413" i="11"/>
  <c r="T2413" i="11"/>
  <c r="U2477" i="11"/>
  <c r="T2477" i="11"/>
  <c r="U2541" i="11"/>
  <c r="T2541" i="11"/>
  <c r="U2605" i="11"/>
  <c r="T2605" i="11"/>
  <c r="U2669" i="11"/>
  <c r="T2669" i="11"/>
  <c r="U2733" i="11"/>
  <c r="T2733" i="11"/>
  <c r="U2797" i="11"/>
  <c r="T2797" i="11"/>
  <c r="U2861" i="11"/>
  <c r="T2861" i="11"/>
  <c r="U2925" i="11"/>
  <c r="T2925" i="11"/>
  <c r="U2989" i="11"/>
  <c r="T2989" i="11"/>
  <c r="U3053" i="11"/>
  <c r="T3053" i="11"/>
  <c r="U3117" i="11"/>
  <c r="T3117" i="11"/>
  <c r="U3181" i="11"/>
  <c r="T3181" i="11"/>
  <c r="U3245" i="11"/>
  <c r="T3245" i="11"/>
  <c r="U3309" i="11"/>
  <c r="T3309" i="11"/>
  <c r="U3373" i="11"/>
  <c r="T3373" i="11"/>
  <c r="U3437" i="11"/>
  <c r="T3437" i="11"/>
  <c r="U3501" i="11"/>
  <c r="T3501" i="11"/>
  <c r="U3565" i="11"/>
  <c r="T3565" i="11"/>
  <c r="U3629" i="11"/>
  <c r="T3629" i="11"/>
  <c r="U3693" i="11"/>
  <c r="T3693" i="11"/>
  <c r="U3757" i="11"/>
  <c r="T3757" i="11"/>
  <c r="V1917" i="11"/>
  <c r="Y1917" i="11"/>
  <c r="U30" i="11"/>
  <c r="T30" i="11"/>
  <c r="U118" i="11"/>
  <c r="T118" i="11"/>
  <c r="U150" i="11"/>
  <c r="T150" i="11"/>
  <c r="U246" i="11"/>
  <c r="T246" i="11"/>
  <c r="U334" i="11"/>
  <c r="T334" i="11"/>
  <c r="U430" i="11"/>
  <c r="T430" i="11"/>
  <c r="U462" i="11"/>
  <c r="T462" i="11"/>
  <c r="U558" i="11"/>
  <c r="T558" i="11"/>
  <c r="U654" i="11"/>
  <c r="T654" i="11"/>
  <c r="V694" i="11"/>
  <c r="Y694" i="11"/>
  <c r="U758" i="11"/>
  <c r="T758" i="11"/>
  <c r="U846" i="11"/>
  <c r="T846" i="11"/>
  <c r="U878" i="11"/>
  <c r="T878" i="11"/>
  <c r="U966" i="11"/>
  <c r="T966" i="11"/>
  <c r="U1062" i="11"/>
  <c r="T1062" i="11"/>
  <c r="U1094" i="11"/>
  <c r="T1094" i="11"/>
  <c r="U1190" i="11"/>
  <c r="T1190" i="11"/>
  <c r="U1286" i="11"/>
  <c r="T1286" i="11"/>
  <c r="V1366" i="11"/>
  <c r="Y1366" i="11"/>
  <c r="U1398" i="11"/>
  <c r="T1398" i="11"/>
  <c r="U1486" i="11"/>
  <c r="T1486" i="11"/>
  <c r="U1598" i="11"/>
  <c r="T1598" i="11"/>
  <c r="V1654" i="11"/>
  <c r="AA1654" i="11" s="1"/>
  <c r="Y1654" i="11"/>
  <c r="U1710" i="11"/>
  <c r="T1710" i="11"/>
  <c r="U1798" i="11"/>
  <c r="T1798" i="11"/>
  <c r="U1830" i="11"/>
  <c r="T1830" i="11"/>
  <c r="U1926" i="11"/>
  <c r="T1926" i="11"/>
  <c r="U2022" i="11"/>
  <c r="T2022" i="11"/>
  <c r="U2110" i="11"/>
  <c r="T2110" i="11"/>
  <c r="U2142" i="11"/>
  <c r="T2142" i="11"/>
  <c r="U2231" i="11"/>
  <c r="T2231" i="11"/>
  <c r="U2319" i="11"/>
  <c r="T2319" i="11"/>
  <c r="U2351" i="11"/>
  <c r="T2351" i="11"/>
  <c r="U2439" i="11"/>
  <c r="T2439" i="11"/>
  <c r="U2527" i="11"/>
  <c r="T2527" i="11"/>
  <c r="U2559" i="11"/>
  <c r="T2559" i="11"/>
  <c r="U2751" i="11"/>
  <c r="T2751" i="11"/>
  <c r="U2847" i="11"/>
  <c r="T2847" i="11"/>
  <c r="U2879" i="11"/>
  <c r="T2879" i="11"/>
  <c r="U2975" i="11"/>
  <c r="T2975" i="11"/>
  <c r="U3071" i="11"/>
  <c r="T3071" i="11"/>
  <c r="U3167" i="11"/>
  <c r="T3167" i="11"/>
  <c r="U3263" i="11"/>
  <c r="T3263" i="11"/>
  <c r="U3295" i="11"/>
  <c r="T3295" i="11"/>
  <c r="U3391" i="11"/>
  <c r="T3391" i="11"/>
  <c r="U3487" i="11"/>
  <c r="T3487" i="11"/>
  <c r="U3575" i="11"/>
  <c r="T3575" i="11"/>
  <c r="U3607" i="11"/>
  <c r="T3607" i="11"/>
  <c r="U3703" i="11"/>
  <c r="T3703" i="11"/>
  <c r="Y3776" i="11"/>
  <c r="V3776" i="11"/>
  <c r="U3816" i="11"/>
  <c r="T3816" i="11"/>
  <c r="Y3872" i="11"/>
  <c r="V3872" i="11"/>
  <c r="U2229" i="11"/>
  <c r="T2229" i="11"/>
  <c r="U2293" i="11"/>
  <c r="T2293" i="11"/>
  <c r="U2357" i="11"/>
  <c r="T2357" i="11"/>
  <c r="U2421" i="11"/>
  <c r="T2421" i="11"/>
  <c r="U2485" i="11"/>
  <c r="T2485" i="11"/>
  <c r="U2549" i="11"/>
  <c r="T2549" i="11"/>
  <c r="U2613" i="11"/>
  <c r="T2613" i="11"/>
  <c r="U2677" i="11"/>
  <c r="T2677" i="11"/>
  <c r="U2741" i="11"/>
  <c r="T2741" i="11"/>
  <c r="U2805" i="11"/>
  <c r="T2805" i="11"/>
  <c r="U2869" i="11"/>
  <c r="T2869" i="11"/>
  <c r="U2933" i="11"/>
  <c r="T2933" i="11"/>
  <c r="U2997" i="11"/>
  <c r="T2997" i="11"/>
  <c r="U3061" i="11"/>
  <c r="T3061" i="11"/>
  <c r="U3125" i="11"/>
  <c r="T3125" i="11"/>
  <c r="U3189" i="11"/>
  <c r="T3189" i="11"/>
  <c r="U3253" i="11"/>
  <c r="T3253" i="11"/>
  <c r="U3317" i="11"/>
  <c r="T3317" i="11"/>
  <c r="U3381" i="11"/>
  <c r="T3381" i="11"/>
  <c r="U3445" i="11"/>
  <c r="T3445" i="11"/>
  <c r="U3509" i="11"/>
  <c r="T3509" i="11"/>
  <c r="U3573" i="11"/>
  <c r="T3573" i="11"/>
  <c r="U3637" i="11"/>
  <c r="T3637" i="11"/>
  <c r="U3701" i="11"/>
  <c r="T3701" i="11"/>
  <c r="U3765" i="11"/>
  <c r="T3765" i="11"/>
  <c r="Z254" i="11"/>
  <c r="X254" i="11"/>
  <c r="X342" i="11"/>
  <c r="Z342" i="11"/>
  <c r="Z566" i="11"/>
  <c r="X566" i="11"/>
  <c r="Z1294" i="11"/>
  <c r="X1294" i="11"/>
  <c r="Y1550" i="11"/>
  <c r="V1550" i="11"/>
  <c r="AA598" i="11"/>
  <c r="AA2366" i="11"/>
  <c r="AB2734" i="11"/>
  <c r="AA1240" i="11"/>
  <c r="AB1008" i="11"/>
  <c r="AA119" i="11"/>
  <c r="AB998" i="11"/>
  <c r="AB3576" i="11"/>
  <c r="AB2854" i="11"/>
  <c r="AA2150" i="11"/>
  <c r="AA1792" i="11"/>
  <c r="AA1591" i="11"/>
  <c r="AA199" i="11"/>
  <c r="AA2286" i="11"/>
  <c r="V2690" i="11"/>
  <c r="Y2690" i="11"/>
  <c r="AA2478" i="11"/>
  <c r="AB926" i="11"/>
  <c r="AA1998" i="11"/>
  <c r="AB2390" i="11"/>
  <c r="AB3854" i="11"/>
  <c r="AA3230" i="11"/>
  <c r="Z2637" i="11"/>
  <c r="X2637" i="11"/>
  <c r="AA414" i="11"/>
  <c r="AA3326" i="11"/>
  <c r="X2645" i="11"/>
  <c r="Z2645" i="11"/>
  <c r="AB1214" i="11"/>
  <c r="AB984" i="11"/>
  <c r="AB1128" i="11"/>
  <c r="AA294" i="11"/>
  <c r="AB223" i="11"/>
  <c r="AA3678" i="11"/>
  <c r="AB2502" i="11"/>
  <c r="AA3798" i="11"/>
  <c r="AA1446" i="11"/>
  <c r="AA1342" i="11"/>
  <c r="AA822" i="11"/>
  <c r="AB182" i="11"/>
  <c r="AB3102" i="11"/>
  <c r="AA3814" i="11"/>
  <c r="AB2094" i="11"/>
  <c r="AA1350" i="11"/>
  <c r="AB392" i="11"/>
  <c r="AB2478" i="11"/>
  <c r="AA1647" i="11"/>
  <c r="AB1326" i="11"/>
  <c r="AB2286" i="11"/>
  <c r="AB3774" i="11"/>
  <c r="AB2454" i="11"/>
  <c r="AB600" i="11"/>
  <c r="AA3726" i="11"/>
  <c r="AB1231" i="11"/>
  <c r="AB455" i="11"/>
  <c r="AB2366" i="11"/>
  <c r="AB2398" i="11"/>
  <c r="V2712" i="11"/>
  <c r="Y2712" i="11"/>
  <c r="V2680" i="11"/>
  <c r="Y2680" i="11"/>
  <c r="Y2704" i="11"/>
  <c r="V2704" i="11"/>
  <c r="Z2653" i="11"/>
  <c r="X2653" i="11"/>
  <c r="Z2661" i="11"/>
  <c r="X2661" i="11"/>
  <c r="Y2658" i="11"/>
  <c r="AB2658" i="11" s="1"/>
  <c r="V2658" i="11"/>
  <c r="Y2648" i="11"/>
  <c r="AB2648" i="11" s="1"/>
  <c r="V2648" i="11"/>
  <c r="Z2669" i="11"/>
  <c r="X2669" i="11"/>
  <c r="Y2650" i="11"/>
  <c r="V2650" i="11"/>
  <c r="AB2814" i="11"/>
  <c r="AB2705" i="11"/>
  <c r="AA1145" i="11"/>
  <c r="AA902" i="11"/>
  <c r="AB3326" i="11"/>
  <c r="AB3206" i="11"/>
  <c r="AB3312" i="11"/>
  <c r="AB3126" i="11"/>
  <c r="AA3126" i="11"/>
  <c r="AB1207" i="11"/>
  <c r="AA3750" i="11"/>
  <c r="AB918" i="11"/>
  <c r="AA296" i="11"/>
  <c r="AA3414" i="11"/>
  <c r="AB1040" i="11"/>
  <c r="AA1870" i="11"/>
  <c r="AB830" i="11"/>
  <c r="AA385" i="11"/>
  <c r="AB3633" i="11"/>
  <c r="P42" i="21"/>
  <c r="Q42" i="21" s="1"/>
  <c r="U12" i="11"/>
  <c r="T12" i="11"/>
  <c r="AA1758" i="11"/>
  <c r="AA896" i="11"/>
  <c r="AA3358" i="11"/>
  <c r="AA39" i="11"/>
  <c r="AB135" i="11"/>
  <c r="AA3822" i="11"/>
  <c r="AA1648" i="11"/>
  <c r="AB335" i="11"/>
  <c r="AA1424" i="11"/>
  <c r="AA223" i="11"/>
  <c r="AB1678" i="11"/>
  <c r="AB1079" i="11"/>
  <c r="AB3422" i="11"/>
  <c r="AA726" i="11"/>
  <c r="AA2374" i="11"/>
  <c r="AA1958" i="11"/>
  <c r="AA2798" i="11"/>
  <c r="AB2374" i="11"/>
  <c r="AA2462" i="11"/>
  <c r="AB3742" i="11"/>
  <c r="AB1222" i="11"/>
  <c r="AB3814" i="11"/>
  <c r="AA1022" i="11"/>
  <c r="AB1126" i="11"/>
  <c r="AA3182" i="11"/>
  <c r="AA3238" i="11"/>
  <c r="AA3198" i="11"/>
  <c r="AA1014" i="11"/>
  <c r="AA1262" i="11"/>
  <c r="AA1102" i="11"/>
  <c r="AA2262" i="11"/>
  <c r="AB894" i="11"/>
  <c r="AB3838" i="11"/>
  <c r="AA1238" i="11"/>
  <c r="AB86" i="11"/>
  <c r="AB2998" i="11"/>
  <c r="AA1928" i="11"/>
  <c r="AB175" i="11"/>
  <c r="AB191" i="11"/>
  <c r="AA447" i="11"/>
  <c r="AB3862" i="11"/>
  <c r="AB3233" i="11"/>
  <c r="T408" i="54"/>
  <c r="AB2833" i="11"/>
  <c r="AA3862" i="11"/>
  <c r="AB2009" i="11"/>
  <c r="AA1745" i="11"/>
  <c r="AB129" i="11"/>
  <c r="AB1080" i="11"/>
  <c r="AB3729" i="11"/>
  <c r="AA3550" i="11"/>
  <c r="AB3550" i="11"/>
  <c r="AB3881" i="11"/>
  <c r="AA3617" i="11"/>
  <c r="AB2158" i="11"/>
  <c r="AA3830" i="11"/>
  <c r="AA3001" i="11"/>
  <c r="AA232" i="11"/>
  <c r="AA3438" i="11"/>
  <c r="AB3841" i="11"/>
  <c r="AA3777" i="11"/>
  <c r="AA2158" i="11"/>
  <c r="AB3622" i="11"/>
  <c r="AB2641" i="11"/>
  <c r="AA1152" i="11"/>
  <c r="AA976" i="11"/>
  <c r="AB2686" i="11"/>
  <c r="AA2921" i="11"/>
  <c r="AA3425" i="11"/>
  <c r="AB3789" i="11"/>
  <c r="AA2686" i="11"/>
  <c r="AA3638" i="11"/>
  <c r="O408" i="54"/>
  <c r="U408" i="54"/>
  <c r="AA1489" i="11"/>
  <c r="AB417" i="11"/>
  <c r="N406" i="54"/>
  <c r="T406" i="54"/>
  <c r="AB406" i="54" s="1"/>
  <c r="M406" i="54"/>
  <c r="I9" i="63"/>
  <c r="C5" i="63"/>
  <c r="L395" i="54" s="1"/>
  <c r="U407" i="54"/>
  <c r="O407" i="54"/>
  <c r="AA1080" i="11"/>
  <c r="AB689" i="11"/>
  <c r="AB2168" i="11"/>
  <c r="AA225" i="11"/>
  <c r="AA1497" i="11"/>
  <c r="AA3821" i="11"/>
  <c r="AB1793" i="11"/>
  <c r="AB3593" i="11"/>
  <c r="AB1377" i="11"/>
  <c r="AB3813" i="11"/>
  <c r="AA17" i="11"/>
  <c r="AB113" i="11"/>
  <c r="AA1097" i="11"/>
  <c r="AB377" i="11"/>
  <c r="AB3885" i="11"/>
  <c r="AA153" i="11"/>
  <c r="AB1593" i="11"/>
  <c r="AB89" i="11"/>
  <c r="AB2624" i="11"/>
  <c r="AB1433" i="11"/>
  <c r="AA1569" i="11"/>
  <c r="AA2013" i="11"/>
  <c r="AA3877" i="11"/>
  <c r="AB1432" i="11"/>
  <c r="AA1160" i="11"/>
  <c r="AB297" i="11"/>
  <c r="AA1552" i="11"/>
  <c r="AB3240" i="11"/>
  <c r="AB2785" i="11"/>
  <c r="AB3585" i="11"/>
  <c r="AA2048" i="11"/>
  <c r="AA2272" i="11"/>
  <c r="AA1776" i="11"/>
  <c r="AB2792" i="11"/>
  <c r="AB2272" i="11"/>
  <c r="AB2928" i="11"/>
  <c r="AB2255" i="11"/>
  <c r="AA3472" i="11"/>
  <c r="AA2673" i="11"/>
  <c r="AA2777" i="11"/>
  <c r="AB3769" i="11"/>
  <c r="AA2728" i="11"/>
  <c r="AB585" i="11"/>
  <c r="AA2601" i="11"/>
  <c r="AB2633" i="11"/>
  <c r="AB2737" i="11"/>
  <c r="AA2792" i="11"/>
  <c r="AA3113" i="11"/>
  <c r="AB33" i="11"/>
  <c r="AB273" i="11"/>
  <c r="AA2641" i="11"/>
  <c r="AB3241" i="11"/>
  <c r="AA1809" i="11"/>
  <c r="AB2745" i="11"/>
  <c r="AA3825" i="11"/>
  <c r="AB864" i="11"/>
  <c r="AB608" i="11"/>
  <c r="AA608" i="11"/>
  <c r="AA1849" i="11"/>
  <c r="AB3641" i="11"/>
  <c r="AB2993" i="11"/>
  <c r="AB2777" i="11"/>
  <c r="AB3793" i="11"/>
  <c r="AB2776" i="11"/>
  <c r="AB441" i="11"/>
  <c r="AA2121" i="11"/>
  <c r="AA1177" i="11"/>
  <c r="AB192" i="11"/>
  <c r="AB1224" i="11"/>
  <c r="AA2296" i="11"/>
  <c r="AB1600" i="11"/>
  <c r="AB312" i="11"/>
  <c r="AB25" i="11"/>
  <c r="AB321" i="11"/>
  <c r="AA192" i="11"/>
  <c r="AA1224" i="11"/>
  <c r="AB1832" i="11"/>
  <c r="AB17" i="11"/>
  <c r="AA136" i="11"/>
  <c r="AB400" i="11"/>
  <c r="AB2280" i="11"/>
  <c r="AA3312" i="11"/>
  <c r="AA2960" i="11"/>
  <c r="AA3064" i="11"/>
  <c r="AB1792" i="11"/>
  <c r="AA25" i="11"/>
  <c r="AA272" i="11"/>
  <c r="AA1264" i="11"/>
  <c r="AB1896" i="11"/>
  <c r="AA2368" i="11"/>
  <c r="AB1864" i="11"/>
  <c r="AB1393" i="11"/>
  <c r="AA1521" i="11"/>
  <c r="AB272" i="11"/>
  <c r="AB1264" i="11"/>
  <c r="AA1896" i="11"/>
  <c r="AB2368" i="11"/>
  <c r="AA49" i="11"/>
  <c r="AB97" i="11"/>
  <c r="AA128" i="11"/>
  <c r="AB360" i="11"/>
  <c r="AA1432" i="11"/>
  <c r="AB3232" i="11"/>
  <c r="AA9" i="11"/>
  <c r="AB1257" i="11"/>
  <c r="AB1441" i="11"/>
  <c r="AB128" i="11"/>
  <c r="AA360" i="11"/>
  <c r="AB1152" i="11"/>
  <c r="AB9" i="11"/>
  <c r="AB209" i="11"/>
  <c r="AB777" i="11"/>
  <c r="AB1977" i="11"/>
  <c r="AB136" i="11"/>
  <c r="AA400" i="11"/>
  <c r="AB1160" i="11"/>
  <c r="AA1600" i="11"/>
  <c r="AA2280" i="11"/>
  <c r="AB32" i="11"/>
  <c r="AA3024" i="11"/>
  <c r="AA2287" i="11"/>
  <c r="AA3463" i="11"/>
  <c r="AA3567" i="11"/>
  <c r="AA2103" i="11"/>
  <c r="AA3215" i="11"/>
  <c r="AB3463" i="11"/>
  <c r="AB3567" i="11"/>
  <c r="AA2780" i="11"/>
  <c r="AB3016" i="11"/>
  <c r="AA203" i="11"/>
  <c r="AA2311" i="11"/>
  <c r="AA3431" i="11"/>
  <c r="AB1384" i="11"/>
  <c r="AB75" i="11"/>
  <c r="AA75" i="11"/>
  <c r="AA3311" i="11"/>
  <c r="AA2031" i="11"/>
  <c r="AA2087" i="11"/>
  <c r="AB3311" i="11"/>
  <c r="AB2031" i="11"/>
  <c r="AB2087" i="11"/>
  <c r="AB2135" i="11"/>
  <c r="AB3735" i="11"/>
  <c r="AB2063" i="11"/>
  <c r="AB3432" i="11"/>
  <c r="AB3024" i="11"/>
  <c r="AA2039" i="11"/>
  <c r="AA3735" i="11"/>
  <c r="AB1928" i="11"/>
  <c r="AA2608" i="11"/>
  <c r="AA1272" i="11"/>
  <c r="AB3112" i="11"/>
  <c r="AB888" i="11"/>
  <c r="AA91" i="11"/>
  <c r="AA2295" i="11"/>
  <c r="AA720" i="11"/>
  <c r="AA3840" i="11"/>
  <c r="AA3232" i="11"/>
  <c r="AA3152" i="11"/>
  <c r="AA1992" i="11"/>
  <c r="AA3000" i="11"/>
  <c r="AB91" i="11"/>
  <c r="AB2567" i="11"/>
  <c r="AB3640" i="11"/>
  <c r="AB3488" i="11"/>
  <c r="AB11" i="11"/>
  <c r="AA3192" i="11"/>
  <c r="AB2240" i="11"/>
  <c r="AA11" i="11"/>
  <c r="AB2047" i="11"/>
  <c r="AB3400" i="11"/>
  <c r="AA155" i="11"/>
  <c r="AA10" i="11"/>
  <c r="AA3144" i="11"/>
  <c r="AA3712" i="11"/>
  <c r="AB155" i="11"/>
  <c r="AA2599" i="11"/>
  <c r="AB10" i="11"/>
  <c r="AB2896" i="11"/>
  <c r="AA2776" i="11"/>
  <c r="AB2960" i="11"/>
  <c r="AA3352" i="11"/>
  <c r="AA2512" i="11"/>
  <c r="AA2224" i="11"/>
  <c r="AB2184" i="11"/>
  <c r="AA736" i="11"/>
  <c r="AB2488" i="11"/>
  <c r="AA3372" i="11"/>
  <c r="AA480" i="11"/>
  <c r="AB2968" i="11"/>
  <c r="AA2080" i="11"/>
  <c r="AB776" i="11"/>
  <c r="AA2976" i="11"/>
  <c r="AA2872" i="11"/>
  <c r="AA776" i="11"/>
  <c r="AB2080" i="11"/>
  <c r="AB1536" i="11"/>
  <c r="AA864" i="11"/>
  <c r="AA2480" i="11"/>
  <c r="AA3104" i="11"/>
  <c r="AA1712" i="11"/>
  <c r="AA1072" i="11"/>
  <c r="AB2832" i="11"/>
  <c r="AA3032" i="11"/>
  <c r="AB1736" i="11"/>
  <c r="AB1424" i="11"/>
  <c r="AA2472" i="11"/>
  <c r="AB2095" i="11"/>
  <c r="AB3064" i="11"/>
  <c r="AA96" i="11"/>
  <c r="AA888" i="11"/>
  <c r="AB2088" i="11"/>
  <c r="AB303" i="11"/>
  <c r="AB1456" i="11"/>
  <c r="AA1736" i="11"/>
  <c r="AB2023" i="11"/>
  <c r="AB2560" i="11"/>
  <c r="AA3208" i="11"/>
  <c r="AA3240" i="11"/>
  <c r="AA912" i="11"/>
  <c r="AB1559" i="11"/>
  <c r="AB2752" i="11"/>
  <c r="AB304" i="11"/>
  <c r="AA1440" i="11"/>
  <c r="AA872" i="11"/>
  <c r="AB2360" i="11"/>
  <c r="AB3628" i="11"/>
  <c r="AB1999" i="11"/>
  <c r="AA2687" i="11"/>
  <c r="AB895" i="11"/>
  <c r="AA1456" i="11"/>
  <c r="AA2816" i="11"/>
  <c r="AA2152" i="11"/>
  <c r="AA1024" i="11"/>
  <c r="AB768" i="11"/>
  <c r="AA18" i="11"/>
  <c r="AB607" i="11"/>
  <c r="AB495" i="11"/>
  <c r="AA815" i="11"/>
  <c r="AB871" i="11"/>
  <c r="AA1295" i="11"/>
  <c r="AA2783" i="11"/>
  <c r="AA2952" i="11"/>
  <c r="AB736" i="11"/>
  <c r="AB18" i="11"/>
  <c r="AB1682" i="11"/>
  <c r="AB3673" i="11"/>
  <c r="AA183" i="11"/>
  <c r="AA1535" i="11"/>
  <c r="AB735" i="11"/>
  <c r="AB3200" i="11"/>
  <c r="AB3008" i="11"/>
  <c r="AA2888" i="11"/>
  <c r="AA1376" i="11"/>
  <c r="AA2552" i="11"/>
  <c r="AB1616" i="11"/>
  <c r="AA3568" i="11"/>
  <c r="AA42" i="11"/>
  <c r="AA2114" i="11"/>
  <c r="AA1983" i="11"/>
  <c r="AA631" i="11"/>
  <c r="AA2944" i="11"/>
  <c r="AA2560" i="11"/>
  <c r="AB3072" i="11"/>
  <c r="AB1752" i="11"/>
  <c r="AB3032" i="11"/>
  <c r="AA3200" i="11"/>
  <c r="AA1752" i="11"/>
  <c r="AA784" i="11"/>
  <c r="AA1952" i="11"/>
  <c r="AB2072" i="11"/>
  <c r="AA2632" i="11"/>
  <c r="AA2736" i="11"/>
  <c r="AA3432" i="11"/>
  <c r="AA2112" i="11"/>
  <c r="AB42" i="11"/>
  <c r="AB2114" i="11"/>
  <c r="AA2194" i="11"/>
  <c r="AA3224" i="11"/>
  <c r="AB2224" i="11"/>
  <c r="AA2984" i="11"/>
  <c r="AB2912" i="11"/>
  <c r="AB2176" i="11"/>
  <c r="AA3016" i="11"/>
  <c r="AA2400" i="11"/>
  <c r="AB1360" i="11"/>
  <c r="AA2800" i="11"/>
  <c r="AA2912" i="11"/>
  <c r="AA2664" i="11"/>
  <c r="AB2576" i="11"/>
  <c r="AB26" i="11"/>
  <c r="AB1938" i="11"/>
  <c r="AA2607" i="11"/>
  <c r="AA2639" i="11"/>
  <c r="AB1295" i="11"/>
  <c r="AA432" i="11"/>
  <c r="AA2768" i="11"/>
  <c r="AB760" i="11"/>
  <c r="AA2832" i="11"/>
  <c r="AA2864" i="11"/>
  <c r="AA2920" i="11"/>
  <c r="AA2072" i="11"/>
  <c r="AA3512" i="11"/>
  <c r="AB1720" i="11"/>
  <c r="AA1986" i="11"/>
  <c r="AB1042" i="11"/>
  <c r="AB1807" i="11"/>
  <c r="AA935" i="11"/>
  <c r="AA2904" i="11"/>
  <c r="AA2336" i="11"/>
  <c r="AB632" i="11"/>
  <c r="AA2503" i="11"/>
  <c r="AB2159" i="11"/>
  <c r="AB1440" i="11"/>
  <c r="AA1088" i="11"/>
  <c r="AA2360" i="11"/>
  <c r="AA2088" i="11"/>
  <c r="AB952" i="11"/>
  <c r="AB1256" i="11"/>
  <c r="AB1336" i="11"/>
  <c r="AA3592" i="11"/>
  <c r="AB1576" i="11"/>
  <c r="AA1064" i="11"/>
  <c r="AA2416" i="11"/>
  <c r="AA1608" i="11"/>
  <c r="AB448" i="11"/>
  <c r="AB520" i="11"/>
  <c r="AB656" i="11"/>
  <c r="AA1344" i="11"/>
  <c r="AA1416" i="11"/>
  <c r="AB1728" i="11"/>
  <c r="AB1936" i="11"/>
  <c r="AA2000" i="11"/>
  <c r="AA2464" i="11"/>
  <c r="AA2544" i="11"/>
  <c r="AB2848" i="11"/>
  <c r="AA3392" i="11"/>
  <c r="AB3528" i="11"/>
  <c r="AA3688" i="11"/>
  <c r="AA3848" i="11"/>
  <c r="AA3704" i="11"/>
  <c r="AA3248" i="11"/>
  <c r="AA1504" i="11"/>
  <c r="AB2591" i="11"/>
  <c r="AB1663" i="11"/>
  <c r="AA992" i="11"/>
  <c r="AA168" i="11"/>
  <c r="AB3728" i="11"/>
  <c r="AA3288" i="11"/>
  <c r="AA2008" i="11"/>
  <c r="AA3176" i="11"/>
  <c r="AA984" i="11"/>
  <c r="AB320" i="11"/>
  <c r="AA3328" i="11"/>
  <c r="AA3320" i="11"/>
  <c r="AB3208" i="11"/>
  <c r="AA48" i="11"/>
  <c r="AB104" i="11"/>
  <c r="AA160" i="11"/>
  <c r="AA408" i="11"/>
  <c r="AA448" i="11"/>
  <c r="AB488" i="11"/>
  <c r="AB560" i="11"/>
  <c r="AA656" i="11"/>
  <c r="AA688" i="11"/>
  <c r="AA880" i="11"/>
  <c r="AB928" i="11"/>
  <c r="AA1288" i="11"/>
  <c r="AB1344" i="11"/>
  <c r="AB1416" i="11"/>
  <c r="AA1560" i="11"/>
  <c r="AA1936" i="11"/>
  <c r="AB2464" i="11"/>
  <c r="AB2544" i="11"/>
  <c r="AA3216" i="11"/>
  <c r="AA3264" i="11"/>
  <c r="AB3632" i="11"/>
  <c r="AB3760" i="11"/>
  <c r="AA1672" i="11"/>
  <c r="AA1472" i="11"/>
  <c r="AA792" i="11"/>
  <c r="AA1056" i="11"/>
  <c r="AA1768" i="11"/>
  <c r="AA184" i="11"/>
  <c r="AA3608" i="11"/>
  <c r="AA2992" i="11"/>
  <c r="AA1328" i="11"/>
  <c r="AA1128" i="11"/>
  <c r="AB2800" i="11"/>
  <c r="AA1120" i="11"/>
  <c r="AA2168" i="11"/>
  <c r="AB3424" i="11"/>
  <c r="AA2160" i="11"/>
  <c r="AB1312" i="11"/>
  <c r="AB2000" i="11"/>
  <c r="AA2304" i="11"/>
  <c r="AB1544" i="11"/>
  <c r="AB1943" i="11"/>
  <c r="AA919" i="11"/>
  <c r="AB1759" i="11"/>
  <c r="AA2703" i="11"/>
  <c r="AA1471" i="11"/>
  <c r="AB1391" i="11"/>
  <c r="AB887" i="11"/>
  <c r="AB487" i="11"/>
  <c r="AA1263" i="11"/>
  <c r="AA2191" i="11"/>
  <c r="AB423" i="11"/>
  <c r="AA3168" i="11"/>
  <c r="AB2352" i="11"/>
  <c r="AB1984" i="11"/>
  <c r="AA72" i="11"/>
  <c r="AA1408" i="11"/>
  <c r="AA2352" i="11"/>
  <c r="AB1208" i="11"/>
  <c r="AA2408" i="11"/>
  <c r="AA2016" i="11"/>
  <c r="AB816" i="11"/>
  <c r="AA3832" i="11"/>
  <c r="AA280" i="11"/>
  <c r="AA600" i="11"/>
  <c r="AB3136" i="11"/>
  <c r="AA1904" i="11"/>
  <c r="AA3280" i="11"/>
  <c r="AB3560" i="11"/>
  <c r="AA2144" i="11"/>
  <c r="AA56" i="11"/>
  <c r="AA112" i="11"/>
  <c r="AB176" i="11"/>
  <c r="AA416" i="11"/>
  <c r="AB456" i="11"/>
  <c r="AA496" i="11"/>
  <c r="AB536" i="11"/>
  <c r="AA568" i="11"/>
  <c r="AB624" i="11"/>
  <c r="AB664" i="11"/>
  <c r="AB696" i="11"/>
  <c r="AA808" i="11"/>
  <c r="AB848" i="11"/>
  <c r="AA936" i="11"/>
  <c r="AA1296" i="11"/>
  <c r="AA1384" i="11"/>
  <c r="AA1480" i="11"/>
  <c r="AA1512" i="11"/>
  <c r="AB1952" i="11"/>
  <c r="AB2312" i="11"/>
  <c r="AB2472" i="11"/>
  <c r="AA2504" i="11"/>
  <c r="AA2600" i="11"/>
  <c r="AB3264" i="11"/>
  <c r="AB3368" i="11"/>
  <c r="AA3632" i="11"/>
  <c r="AA3760" i="11"/>
  <c r="AA2488" i="11"/>
  <c r="AA2784" i="11"/>
  <c r="AA8" i="11"/>
  <c r="AB1888" i="11"/>
  <c r="AB1624" i="11"/>
  <c r="AA88" i="11"/>
  <c r="AA3408" i="11"/>
  <c r="AA1816" i="11"/>
  <c r="AB2816" i="11"/>
  <c r="AB728" i="11"/>
  <c r="AA1488" i="11"/>
  <c r="AA2496" i="11"/>
  <c r="AB2440" i="11"/>
  <c r="AB944" i="11"/>
  <c r="AA1032" i="11"/>
  <c r="AA1744" i="11"/>
  <c r="AB3128" i="11"/>
  <c r="AA3496" i="11"/>
  <c r="AB904" i="11"/>
  <c r="AB3216" i="11"/>
  <c r="AB2728" i="11"/>
  <c r="AA2120" i="11"/>
  <c r="AA1392" i="11"/>
  <c r="AB576" i="11"/>
  <c r="AB464" i="11"/>
  <c r="AA200" i="11"/>
  <c r="AA672" i="11"/>
  <c r="AA2424" i="11"/>
  <c r="AB2904" i="11"/>
  <c r="AA3448" i="11"/>
  <c r="AB2152" i="11"/>
  <c r="AA1040" i="11"/>
  <c r="AB1592" i="11"/>
  <c r="AA2528" i="11"/>
  <c r="AB216" i="11"/>
  <c r="AB3584" i="11"/>
  <c r="AA1568" i="11"/>
  <c r="AB1648" i="11"/>
  <c r="AB160" i="11"/>
  <c r="AB1375" i="11"/>
  <c r="AB3775" i="11"/>
  <c r="AA2839" i="11"/>
  <c r="AB2263" i="11"/>
  <c r="AA1303" i="11"/>
  <c r="AA607" i="11"/>
  <c r="AB2607" i="11"/>
  <c r="AA1359" i="11"/>
  <c r="AA2391" i="11"/>
  <c r="AA871" i="11"/>
  <c r="AB1527" i="11"/>
  <c r="AB2807" i="11"/>
  <c r="AB1975" i="11"/>
  <c r="AA2344" i="11"/>
  <c r="AA2936" i="11"/>
  <c r="AA1136" i="11"/>
  <c r="AB1968" i="11"/>
  <c r="AA264" i="11"/>
  <c r="AA1880" i="11"/>
  <c r="AA2096" i="11"/>
  <c r="AB896" i="11"/>
  <c r="AA1232" i="11"/>
  <c r="AB240" i="11"/>
  <c r="AA1184" i="11"/>
  <c r="AB56" i="11"/>
  <c r="AB112" i="11"/>
  <c r="AA176" i="11"/>
  <c r="AB416" i="11"/>
  <c r="AA536" i="11"/>
  <c r="AB568" i="11"/>
  <c r="AA624" i="11"/>
  <c r="AA664" i="11"/>
  <c r="AA696" i="11"/>
  <c r="AB1296" i="11"/>
  <c r="AB1480" i="11"/>
  <c r="AB1512" i="11"/>
  <c r="AB2504" i="11"/>
  <c r="AB2600" i="11"/>
  <c r="AA3272" i="11"/>
  <c r="AA3376" i="11"/>
  <c r="AA3440" i="11"/>
  <c r="AA3552" i="11"/>
  <c r="AA3648" i="11"/>
  <c r="AA3768" i="11"/>
  <c r="AA3864" i="11"/>
  <c r="AA2840" i="11"/>
  <c r="AA1856" i="11"/>
  <c r="AA16" i="11"/>
  <c r="AA2288" i="11"/>
  <c r="AB2936" i="11"/>
  <c r="AB1712" i="11"/>
  <c r="AA40" i="11"/>
  <c r="AB920" i="11"/>
  <c r="AB752" i="11"/>
  <c r="AA2376" i="11"/>
  <c r="AA1048" i="11"/>
  <c r="AA1200" i="11"/>
  <c r="AA848" i="11"/>
  <c r="AA3096" i="11"/>
  <c r="AA2024" i="11"/>
  <c r="AB1392" i="11"/>
  <c r="AB3680" i="11"/>
  <c r="AB24" i="11"/>
  <c r="AA2064" i="11"/>
  <c r="AB2160" i="11"/>
  <c r="AA2824" i="11"/>
  <c r="AB1760" i="11"/>
  <c r="AA3048" i="11"/>
  <c r="AA2576" i="11"/>
  <c r="AA768" i="11"/>
  <c r="AB2232" i="11"/>
  <c r="AA1312" i="11"/>
  <c r="AA1704" i="11"/>
  <c r="AA1096" i="11"/>
  <c r="AB3304" i="11"/>
  <c r="AA2192" i="11"/>
  <c r="AA368" i="11"/>
  <c r="AA3576" i="11"/>
  <c r="AA1912" i="11"/>
  <c r="AB48" i="11"/>
  <c r="AB408" i="11"/>
  <c r="AA488" i="11"/>
  <c r="AA560" i="11"/>
  <c r="AA616" i="11"/>
  <c r="AB688" i="11"/>
  <c r="AA728" i="11"/>
  <c r="AB840" i="11"/>
  <c r="AB880" i="11"/>
  <c r="AB1288" i="11"/>
  <c r="AB1560" i="11"/>
  <c r="AB3344" i="11"/>
  <c r="AB3624" i="11"/>
  <c r="AA344" i="11"/>
  <c r="AA1000" i="11"/>
  <c r="AA3296" i="11"/>
  <c r="AA224" i="11"/>
  <c r="AA3088" i="11"/>
  <c r="AA1895" i="11"/>
  <c r="AB2111" i="11"/>
  <c r="AB1535" i="11"/>
  <c r="AA535" i="11"/>
  <c r="AA623" i="11"/>
  <c r="AA1463" i="11"/>
  <c r="AB703" i="11"/>
  <c r="AA1255" i="11"/>
  <c r="AB479" i="11"/>
  <c r="AA1783" i="11"/>
  <c r="AB3080" i="11"/>
  <c r="AA2968" i="11"/>
  <c r="AA528" i="11"/>
  <c r="AA1104" i="11"/>
  <c r="AB384" i="11"/>
  <c r="AB1632" i="11"/>
  <c r="AA3072" i="11"/>
  <c r="AA1640" i="11"/>
  <c r="AA1848" i="11"/>
  <c r="AA1920" i="11"/>
  <c r="AB1304" i="11"/>
  <c r="AA1144" i="11"/>
  <c r="AB784" i="11"/>
  <c r="AA1520" i="11"/>
  <c r="AA208" i="11"/>
  <c r="AA1872" i="11"/>
  <c r="AA1688" i="11"/>
  <c r="AA2856" i="11"/>
  <c r="AB2696" i="11"/>
  <c r="AA64" i="11"/>
  <c r="AB120" i="11"/>
  <c r="AA424" i="11"/>
  <c r="AA472" i="11"/>
  <c r="AA544" i="11"/>
  <c r="AA584" i="11"/>
  <c r="AB640" i="11"/>
  <c r="AA712" i="11"/>
  <c r="AB744" i="11"/>
  <c r="AA824" i="11"/>
  <c r="AA944" i="11"/>
  <c r="AA1448" i="11"/>
  <c r="AA1528" i="11"/>
  <c r="AA1960" i="11"/>
  <c r="AB2208" i="11"/>
  <c r="AA2256" i="11"/>
  <c r="AB2320" i="11"/>
  <c r="AB2520" i="11"/>
  <c r="AB2568" i="11"/>
  <c r="AA2616" i="11"/>
  <c r="AB2824" i="11"/>
  <c r="AB3272" i="11"/>
  <c r="AB3376" i="11"/>
  <c r="AB3440" i="11"/>
  <c r="AB3552" i="11"/>
  <c r="AB3648" i="11"/>
  <c r="AB3768" i="11"/>
  <c r="AA3520" i="11"/>
  <c r="AA3128" i="11"/>
  <c r="AB1368" i="11"/>
  <c r="AB376" i="11"/>
  <c r="AA1824" i="11"/>
  <c r="AA392" i="11"/>
  <c r="AB3480" i="11"/>
  <c r="AA3504" i="11"/>
  <c r="AB2768" i="11"/>
  <c r="AB2112" i="11"/>
  <c r="AB704" i="11"/>
  <c r="AB3056" i="11"/>
  <c r="AA680" i="11"/>
  <c r="AB1744" i="11"/>
  <c r="AA3368" i="11"/>
  <c r="AB2128" i="11"/>
  <c r="AA960" i="11"/>
  <c r="AB2392" i="11"/>
  <c r="AA2128" i="11"/>
  <c r="AA3256" i="11"/>
  <c r="AB3248" i="11"/>
  <c r="AB808" i="11"/>
  <c r="AA120" i="11"/>
  <c r="AB936" i="11"/>
  <c r="AB1504" i="11"/>
  <c r="AB2480" i="11"/>
  <c r="AA3184" i="11"/>
  <c r="AB1680" i="11"/>
  <c r="AB1472" i="11"/>
  <c r="AB672" i="11"/>
  <c r="AB616" i="11"/>
  <c r="AA727" i="11"/>
  <c r="AB551" i="11"/>
  <c r="AA519" i="11"/>
  <c r="AA440" i="11"/>
  <c r="AA1016" i="11"/>
  <c r="AA328" i="11"/>
  <c r="AA1664" i="11"/>
  <c r="AA1808" i="11"/>
  <c r="AB2248" i="11"/>
  <c r="AA1168" i="11"/>
  <c r="AB152" i="11"/>
  <c r="AA1840" i="11"/>
  <c r="AA760" i="11"/>
  <c r="AB64" i="11"/>
  <c r="AA304" i="11"/>
  <c r="AB424" i="11"/>
  <c r="AB472" i="11"/>
  <c r="AB504" i="11"/>
  <c r="AB544" i="11"/>
  <c r="AB584" i="11"/>
  <c r="AA744" i="11"/>
  <c r="AB824" i="11"/>
  <c r="AB1448" i="11"/>
  <c r="AB1528" i="11"/>
  <c r="AB1960" i="11"/>
  <c r="AA2208" i="11"/>
  <c r="AB2256" i="11"/>
  <c r="AA2320" i="11"/>
  <c r="AA2520" i="11"/>
  <c r="AA2568" i="11"/>
  <c r="AB2616" i="11"/>
  <c r="AB2664" i="11"/>
  <c r="AA3336" i="11"/>
  <c r="AA3384" i="11"/>
  <c r="AA3616" i="11"/>
  <c r="AB3888" i="11"/>
  <c r="AB2760" i="11"/>
  <c r="AB3464" i="11"/>
  <c r="AB1784" i="11"/>
  <c r="AA336" i="11"/>
  <c r="AB3672" i="11"/>
  <c r="AA800" i="11"/>
  <c r="AB2784" i="11"/>
  <c r="AA840" i="11"/>
  <c r="AA752" i="11"/>
  <c r="AB2136" i="11"/>
  <c r="AB3336" i="11"/>
  <c r="AA575" i="11"/>
  <c r="AB1111" i="11"/>
  <c r="AB1679" i="11"/>
  <c r="AA3839" i="11"/>
  <c r="AB127" i="11"/>
  <c r="AA1871" i="11"/>
  <c r="AA1511" i="11"/>
  <c r="AA1767" i="11"/>
  <c r="AA1008" i="11"/>
  <c r="AA288" i="11"/>
  <c r="AA2032" i="11"/>
  <c r="AA2880" i="11"/>
  <c r="AB2808" i="11"/>
  <c r="AB3664" i="11"/>
  <c r="AA3752" i="11"/>
  <c r="AA2176" i="11"/>
  <c r="AB2456" i="11"/>
  <c r="AA1192" i="11"/>
  <c r="AB1464" i="11"/>
  <c r="AA1800" i="11"/>
  <c r="AA2432" i="11"/>
  <c r="AA2752" i="11"/>
  <c r="AA3112" i="11"/>
  <c r="AA144" i="11"/>
  <c r="AB480" i="11"/>
  <c r="AA512" i="11"/>
  <c r="AB552" i="11"/>
  <c r="AB592" i="11"/>
  <c r="AB648" i="11"/>
  <c r="AA832" i="11"/>
  <c r="AA952" i="11"/>
  <c r="AB1400" i="11"/>
  <c r="AA1536" i="11"/>
  <c r="AA1720" i="11"/>
  <c r="AB2264" i="11"/>
  <c r="AA2448" i="11"/>
  <c r="AB2536" i="11"/>
  <c r="AB2736" i="11"/>
  <c r="AB3384" i="11"/>
  <c r="AB3616" i="11"/>
  <c r="AA3888" i="11"/>
  <c r="AA3040" i="11"/>
  <c r="AB2952" i="11"/>
  <c r="AB1280" i="11"/>
  <c r="AA968" i="11"/>
  <c r="AB296" i="11"/>
  <c r="AB1696" i="11"/>
  <c r="AA1944" i="11"/>
  <c r="AA3120" i="11"/>
  <c r="AA2696" i="11"/>
  <c r="AA104" i="11"/>
  <c r="AA640" i="11"/>
  <c r="AB2496" i="11"/>
  <c r="AA2136" i="11"/>
  <c r="AB2328" i="11"/>
  <c r="AA928" i="11"/>
  <c r="AA3544" i="11"/>
  <c r="AB872" i="11"/>
  <c r="AA24" i="11"/>
  <c r="AA1728" i="11"/>
  <c r="AB912" i="11"/>
  <c r="AB2584" i="11"/>
  <c r="AA3720" i="11"/>
  <c r="AB80" i="11"/>
  <c r="AA2232" i="11"/>
  <c r="AA759" i="11"/>
  <c r="AA2487" i="11"/>
  <c r="AA527" i="11"/>
  <c r="AA927" i="11"/>
  <c r="AB1743" i="11"/>
  <c r="AB1487" i="11"/>
  <c r="AB255" i="11"/>
  <c r="AB1991" i="11"/>
  <c r="AB599" i="11"/>
  <c r="AA711" i="11"/>
  <c r="AA311" i="11"/>
  <c r="AB1352" i="11"/>
  <c r="AB800" i="11"/>
  <c r="AB1240" i="11"/>
  <c r="AA1656" i="11"/>
  <c r="AA248" i="11"/>
  <c r="AA3600" i="11"/>
  <c r="AB712" i="11"/>
  <c r="AB2984" i="11"/>
  <c r="AA3656" i="11"/>
  <c r="AA3536" i="11"/>
  <c r="AA2104" i="11"/>
  <c r="AA1584" i="11"/>
  <c r="AB2200" i="11"/>
  <c r="AA2384" i="11"/>
  <c r="AB2096" i="11"/>
  <c r="AB1176" i="11"/>
  <c r="AB3696" i="11"/>
  <c r="AB2056" i="11"/>
  <c r="AA80" i="11"/>
  <c r="AB144" i="11"/>
  <c r="AA352" i="11"/>
  <c r="AB432" i="11"/>
  <c r="AA552" i="11"/>
  <c r="AA592" i="11"/>
  <c r="AA648" i="11"/>
  <c r="AB680" i="11"/>
  <c r="AB720" i="11"/>
  <c r="AB832" i="11"/>
  <c r="AA920" i="11"/>
  <c r="AB1328" i="11"/>
  <c r="AA1400" i="11"/>
  <c r="AA1496" i="11"/>
  <c r="AB1976" i="11"/>
  <c r="AA2264" i="11"/>
  <c r="AB2448" i="11"/>
  <c r="AA2536" i="11"/>
  <c r="AB2632" i="11"/>
  <c r="AA2848" i="11"/>
  <c r="AB2944" i="11"/>
  <c r="AA3344" i="11"/>
  <c r="AB3392" i="11"/>
  <c r="AA3528" i="11"/>
  <c r="AA3624" i="11"/>
  <c r="AB3688" i="11"/>
  <c r="AB3848" i="11"/>
  <c r="AB2592" i="11"/>
  <c r="AA1248" i="11"/>
  <c r="AA3056" i="11"/>
  <c r="AB3152" i="11"/>
  <c r="AA3744" i="11"/>
  <c r="AA256" i="11"/>
  <c r="AA3736" i="11"/>
  <c r="AA2744" i="11"/>
  <c r="AA3456" i="11"/>
  <c r="AA1976" i="11"/>
  <c r="AB1704" i="11"/>
  <c r="AB3456" i="11"/>
  <c r="AA2312" i="11"/>
  <c r="AA2040" i="11"/>
  <c r="AA456" i="11"/>
  <c r="AB2336" i="11"/>
  <c r="AB2888" i="11"/>
  <c r="AB2120" i="11"/>
  <c r="AA2240" i="11"/>
  <c r="AA3360" i="11"/>
  <c r="AA2216" i="11"/>
  <c r="AB496" i="11"/>
  <c r="AA3680" i="11"/>
  <c r="AB3544" i="11"/>
  <c r="AA2184" i="11"/>
  <c r="AA856" i="11"/>
  <c r="AB2304" i="11"/>
  <c r="AB1112" i="11"/>
  <c r="AB2920" i="11"/>
  <c r="AB1488" i="11"/>
  <c r="AA2584" i="11"/>
  <c r="AA1879" i="11"/>
  <c r="AB71" i="11"/>
  <c r="AB143" i="11"/>
  <c r="AB271" i="11"/>
  <c r="AB311" i="11"/>
  <c r="AB375" i="11"/>
  <c r="AB431" i="11"/>
  <c r="AB823" i="11"/>
  <c r="AB927" i="11"/>
  <c r="AB999" i="11"/>
  <c r="AA1071" i="11"/>
  <c r="AB1135" i="11"/>
  <c r="AB1199" i="11"/>
  <c r="AB1583" i="11"/>
  <c r="AB1847" i="11"/>
  <c r="AB2055" i="11"/>
  <c r="AA2111" i="11"/>
  <c r="AB2183" i="11"/>
  <c r="AA2271" i="11"/>
  <c r="AA2375" i="11"/>
  <c r="AB2415" i="11"/>
  <c r="AB2463" i="11"/>
  <c r="AB2575" i="11"/>
  <c r="AB2711" i="11"/>
  <c r="AA2911" i="11"/>
  <c r="AB2943" i="11"/>
  <c r="AB1215" i="11"/>
  <c r="AA2407" i="11"/>
  <c r="AB2279" i="11"/>
  <c r="AA943" i="11"/>
  <c r="AB1703" i="11"/>
  <c r="AB1303" i="11"/>
  <c r="AB567" i="11"/>
  <c r="AB3007" i="11"/>
  <c r="AB3039" i="11"/>
  <c r="AB3103" i="11"/>
  <c r="AA3135" i="11"/>
  <c r="AB3207" i="11"/>
  <c r="AA3247" i="11"/>
  <c r="AA3319" i="11"/>
  <c r="AB3351" i="11"/>
  <c r="AA3415" i="11"/>
  <c r="AA3455" i="11"/>
  <c r="AA3527" i="11"/>
  <c r="AB3559" i="11"/>
  <c r="AB3639" i="11"/>
  <c r="AA3743" i="11"/>
  <c r="AA3879" i="11"/>
  <c r="AB1543" i="11"/>
  <c r="AB279" i="11"/>
  <c r="AA1239" i="11"/>
  <c r="AB1511" i="11"/>
  <c r="AA3775" i="11"/>
  <c r="AB855" i="11"/>
  <c r="AA351" i="11"/>
  <c r="AB1711" i="11"/>
  <c r="AB2295" i="11"/>
  <c r="AA15" i="11"/>
  <c r="AA95" i="11"/>
  <c r="AA151" i="11"/>
  <c r="AA215" i="11"/>
  <c r="AA279" i="11"/>
  <c r="AA319" i="11"/>
  <c r="AA399" i="11"/>
  <c r="AB463" i="11"/>
  <c r="AA671" i="11"/>
  <c r="AA839" i="11"/>
  <c r="AB1087" i="11"/>
  <c r="AB1151" i="11"/>
  <c r="AA1223" i="11"/>
  <c r="AA1407" i="11"/>
  <c r="AA1551" i="11"/>
  <c r="AA1655" i="11"/>
  <c r="AA1687" i="11"/>
  <c r="AA1727" i="11"/>
  <c r="AA1855" i="11"/>
  <c r="AA1919" i="11"/>
  <c r="AB1959" i="11"/>
  <c r="AA2071" i="11"/>
  <c r="AA2119" i="11"/>
  <c r="AA2279" i="11"/>
  <c r="AB2383" i="11"/>
  <c r="AA2471" i="11"/>
  <c r="AB2623" i="11"/>
  <c r="AA2815" i="11"/>
  <c r="AA2887" i="11"/>
  <c r="AB2919" i="11"/>
  <c r="AA1599" i="11"/>
  <c r="AA2143" i="11"/>
  <c r="AA2047" i="11"/>
  <c r="AA1959" i="11"/>
  <c r="AA2799" i="11"/>
  <c r="AA1367" i="11"/>
  <c r="AA719" i="11"/>
  <c r="AB1359" i="11"/>
  <c r="AA1159" i="11"/>
  <c r="AB1903" i="11"/>
  <c r="AA375" i="11"/>
  <c r="AA3255" i="11"/>
  <c r="AB215" i="11"/>
  <c r="AA3007" i="11"/>
  <c r="AA3039" i="11"/>
  <c r="AA3103" i="11"/>
  <c r="AB3135" i="11"/>
  <c r="AA3207" i="11"/>
  <c r="AB3247" i="11"/>
  <c r="AA3351" i="11"/>
  <c r="AB3415" i="11"/>
  <c r="AB3455" i="11"/>
  <c r="AB3527" i="11"/>
  <c r="AA3559" i="11"/>
  <c r="AA3639" i="11"/>
  <c r="AB3671" i="11"/>
  <c r="AB3743" i="11"/>
  <c r="AB3807" i="11"/>
  <c r="AB3847" i="11"/>
  <c r="AB3879" i="11"/>
  <c r="AA1831" i="11"/>
  <c r="AB503" i="11"/>
  <c r="AA639" i="11"/>
  <c r="AA1495" i="11"/>
  <c r="AA1383" i="11"/>
  <c r="AA551" i="11"/>
  <c r="AB2479" i="11"/>
  <c r="AA1559" i="11"/>
  <c r="AB543" i="11"/>
  <c r="AA559" i="11"/>
  <c r="AB711" i="11"/>
  <c r="AB327" i="11"/>
  <c r="AA431" i="11"/>
  <c r="AB1895" i="11"/>
  <c r="AA2175" i="11"/>
  <c r="AA327" i="11"/>
  <c r="AB1311" i="11"/>
  <c r="AB807" i="11"/>
  <c r="AB1735" i="11"/>
  <c r="AB15" i="11"/>
  <c r="AA463" i="11"/>
  <c r="AB671" i="11"/>
  <c r="AB839" i="11"/>
  <c r="AB935" i="11"/>
  <c r="AA1087" i="11"/>
  <c r="AA1151" i="11"/>
  <c r="AB1655" i="11"/>
  <c r="AA1759" i="11"/>
  <c r="AB1919" i="11"/>
  <c r="AB2071" i="11"/>
  <c r="AB2119" i="11"/>
  <c r="AB2471" i="11"/>
  <c r="AB2583" i="11"/>
  <c r="AB2719" i="11"/>
  <c r="AB2815" i="11"/>
  <c r="AB2887" i="11"/>
  <c r="AA2919" i="11"/>
  <c r="AB1519" i="11"/>
  <c r="AB3431" i="11"/>
  <c r="AA1999" i="11"/>
  <c r="AB1615" i="11"/>
  <c r="AA911" i="11"/>
  <c r="AA2591" i="11"/>
  <c r="AA1399" i="11"/>
  <c r="AA207" i="11"/>
  <c r="AB3015" i="11"/>
  <c r="AA3047" i="11"/>
  <c r="AA3111" i="11"/>
  <c r="AA3143" i="11"/>
  <c r="AA3223" i="11"/>
  <c r="AB3327" i="11"/>
  <c r="AA3359" i="11"/>
  <c r="AB3423" i="11"/>
  <c r="AB3535" i="11"/>
  <c r="AA3647" i="11"/>
  <c r="AA3679" i="11"/>
  <c r="AB3751" i="11"/>
  <c r="AA3783" i="11"/>
  <c r="AA3855" i="11"/>
  <c r="AB3887" i="11"/>
  <c r="AA743" i="11"/>
  <c r="AA903" i="11"/>
  <c r="AA231" i="11"/>
  <c r="AB519" i="11"/>
  <c r="AB1783" i="11"/>
  <c r="AA2255" i="11"/>
  <c r="AB783" i="11"/>
  <c r="AA2007" i="11"/>
  <c r="AA1951" i="11"/>
  <c r="AB943" i="11"/>
  <c r="AA1967" i="11"/>
  <c r="AB2103" i="11"/>
  <c r="AB1911" i="11"/>
  <c r="AA23" i="11"/>
  <c r="AA167" i="11"/>
  <c r="AA295" i="11"/>
  <c r="AA407" i="11"/>
  <c r="AA479" i="11"/>
  <c r="AB687" i="11"/>
  <c r="AB727" i="11"/>
  <c r="AB1031" i="11"/>
  <c r="AA1103" i="11"/>
  <c r="AA1167" i="11"/>
  <c r="AB1327" i="11"/>
  <c r="AA1415" i="11"/>
  <c r="AA1623" i="11"/>
  <c r="AA1887" i="11"/>
  <c r="AA2079" i="11"/>
  <c r="AA2127" i="11"/>
  <c r="AB2391" i="11"/>
  <c r="AB2727" i="11"/>
  <c r="AA2791" i="11"/>
  <c r="AA2823" i="11"/>
  <c r="AB2895" i="11"/>
  <c r="AB2927" i="11"/>
  <c r="AB1935" i="11"/>
  <c r="AB1767" i="11"/>
  <c r="AA1975" i="11"/>
  <c r="AA2207" i="11"/>
  <c r="AB719" i="11"/>
  <c r="AA1927" i="11"/>
  <c r="AB1407" i="11"/>
  <c r="AB623" i="11"/>
  <c r="AA3015" i="11"/>
  <c r="AB3047" i="11"/>
  <c r="AB3111" i="11"/>
  <c r="AB3143" i="11"/>
  <c r="AB3223" i="11"/>
  <c r="AB3255" i="11"/>
  <c r="AA3327" i="11"/>
  <c r="AB3359" i="11"/>
  <c r="AA3423" i="11"/>
  <c r="AA3535" i="11"/>
  <c r="AB3647" i="11"/>
  <c r="AB3679" i="11"/>
  <c r="AA3751" i="11"/>
  <c r="AB3783" i="11"/>
  <c r="AB3855" i="11"/>
  <c r="AB1479" i="11"/>
  <c r="AB1447" i="11"/>
  <c r="AA887" i="11"/>
  <c r="AA2167" i="11"/>
  <c r="AA807" i="11"/>
  <c r="AB1191" i="11"/>
  <c r="AB23" i="11"/>
  <c r="AB103" i="11"/>
  <c r="AB167" i="11"/>
  <c r="AB231" i="11"/>
  <c r="AB295" i="11"/>
  <c r="AB407" i="11"/>
  <c r="AA687" i="11"/>
  <c r="AA1031" i="11"/>
  <c r="AB1103" i="11"/>
  <c r="AB1167" i="11"/>
  <c r="AA1271" i="11"/>
  <c r="AB1623" i="11"/>
  <c r="AB1887" i="11"/>
  <c r="AB2079" i="11"/>
  <c r="AB2127" i="11"/>
  <c r="AB2207" i="11"/>
  <c r="AB2303" i="11"/>
  <c r="AB2359" i="11"/>
  <c r="AB2511" i="11"/>
  <c r="AB2823" i="11"/>
  <c r="AA2895" i="11"/>
  <c r="AA2927" i="11"/>
  <c r="AB1799" i="11"/>
  <c r="AA1143" i="11"/>
  <c r="AA1311" i="11"/>
  <c r="AB319" i="11"/>
  <c r="AB1927" i="11"/>
  <c r="AA1327" i="11"/>
  <c r="AA599" i="11"/>
  <c r="AB1815" i="11"/>
  <c r="AA775" i="11"/>
  <c r="AA1391" i="11"/>
  <c r="AB207" i="11"/>
  <c r="AA103" i="11"/>
  <c r="AA1615" i="11"/>
  <c r="AA495" i="11"/>
  <c r="AB95" i="11"/>
  <c r="AA2991" i="11"/>
  <c r="AA3023" i="11"/>
  <c r="AA3119" i="11"/>
  <c r="AB3151" i="11"/>
  <c r="AB3231" i="11"/>
  <c r="AA3335" i="11"/>
  <c r="AB3439" i="11"/>
  <c r="AA3543" i="11"/>
  <c r="AA3623" i="11"/>
  <c r="AA3655" i="11"/>
  <c r="AA3759" i="11"/>
  <c r="AA3831" i="11"/>
  <c r="AA1863" i="11"/>
  <c r="AA2367" i="11"/>
  <c r="AB1383" i="11"/>
  <c r="AB351" i="11"/>
  <c r="AA1543" i="11"/>
  <c r="AB2015" i="11"/>
  <c r="AA127" i="11"/>
  <c r="AA799" i="11"/>
  <c r="AB591" i="11"/>
  <c r="AB951" i="11"/>
  <c r="AB2599" i="11"/>
  <c r="AB1239" i="11"/>
  <c r="AA1527" i="11"/>
  <c r="AB1751" i="11"/>
  <c r="AB759" i="11"/>
  <c r="AB1727" i="11"/>
  <c r="AA1023" i="11"/>
  <c r="AB1431" i="11"/>
  <c r="AA1519" i="11"/>
  <c r="AA1287" i="11"/>
  <c r="AA1055" i="11"/>
  <c r="AA31" i="11"/>
  <c r="AA303" i="11"/>
  <c r="AB775" i="11"/>
  <c r="AB919" i="11"/>
  <c r="AA967" i="11"/>
  <c r="AA1047" i="11"/>
  <c r="AB1119" i="11"/>
  <c r="AA1183" i="11"/>
  <c r="AA1247" i="11"/>
  <c r="AB1343" i="11"/>
  <c r="AA1671" i="11"/>
  <c r="AA1839" i="11"/>
  <c r="AA1943" i="11"/>
  <c r="AB1983" i="11"/>
  <c r="AB2399" i="11"/>
  <c r="AB2487" i="11"/>
  <c r="AB2831" i="11"/>
  <c r="AB2903" i="11"/>
  <c r="AB2935" i="11"/>
  <c r="AB1607" i="11"/>
  <c r="AA1007" i="11"/>
  <c r="AA1751" i="11"/>
  <c r="AA1319" i="11"/>
  <c r="AB1855" i="11"/>
  <c r="AB535" i="11"/>
  <c r="AA1487" i="11"/>
  <c r="AB2991" i="11"/>
  <c r="AB3023" i="11"/>
  <c r="AB3119" i="11"/>
  <c r="AA3151" i="11"/>
  <c r="AA3231" i="11"/>
  <c r="AB3335" i="11"/>
  <c r="AA3439" i="11"/>
  <c r="AB3543" i="11"/>
  <c r="AB3623" i="11"/>
  <c r="AB3655" i="11"/>
  <c r="AB3759" i="11"/>
  <c r="AA3863" i="11"/>
  <c r="AA2159" i="11"/>
  <c r="AA1743" i="11"/>
  <c r="AB1263" i="11"/>
  <c r="AB1639" i="11"/>
  <c r="AA647" i="11"/>
  <c r="AB399" i="11"/>
  <c r="AB1687" i="11"/>
  <c r="AA2495" i="11"/>
  <c r="AA847" i="11"/>
  <c r="AA1719" i="11"/>
  <c r="AB1551" i="11"/>
  <c r="AB1279" i="11"/>
  <c r="AB1095" i="11"/>
  <c r="AB2039" i="11"/>
  <c r="AA255" i="11"/>
  <c r="AB967" i="11"/>
  <c r="AB1047" i="11"/>
  <c r="AA1119" i="11"/>
  <c r="AB1183" i="11"/>
  <c r="AA1343" i="11"/>
  <c r="AB1671" i="11"/>
  <c r="AB1839" i="11"/>
  <c r="AA2095" i="11"/>
  <c r="AB2143" i="11"/>
  <c r="AB2799" i="11"/>
  <c r="AA2831" i="11"/>
  <c r="AA2903" i="11"/>
  <c r="AA2935" i="11"/>
  <c r="AA2199" i="11"/>
  <c r="AB1791" i="11"/>
  <c r="AA1735" i="11"/>
  <c r="AA1703" i="11"/>
  <c r="AA423" i="11"/>
  <c r="AA1775" i="11"/>
  <c r="AB2375" i="11"/>
  <c r="AB1223" i="11"/>
  <c r="AB1775" i="11"/>
  <c r="AA1015" i="11"/>
  <c r="AB1415" i="11"/>
  <c r="AA1423" i="11"/>
  <c r="AB1367" i="11"/>
  <c r="AB2615" i="11"/>
  <c r="AB751" i="11"/>
  <c r="AA2463" i="11"/>
  <c r="AB1463" i="11"/>
  <c r="AA2999" i="11"/>
  <c r="AA3031" i="11"/>
  <c r="AB3095" i="11"/>
  <c r="AB3127" i="11"/>
  <c r="AA3199" i="11"/>
  <c r="AA3239" i="11"/>
  <c r="AA3303" i="11"/>
  <c r="AA3407" i="11"/>
  <c r="AA3447" i="11"/>
  <c r="AA3519" i="11"/>
  <c r="AA3551" i="11"/>
  <c r="AA3631" i="11"/>
  <c r="AA3663" i="11"/>
  <c r="AA3727" i="11"/>
  <c r="AA3767" i="11"/>
  <c r="AA3871" i="11"/>
  <c r="AA2015" i="11"/>
  <c r="AB815" i="11"/>
  <c r="AB1271" i="11"/>
  <c r="AB2167" i="11"/>
  <c r="AB559" i="11"/>
  <c r="AB631" i="11"/>
  <c r="AA2807" i="11"/>
  <c r="AB2191" i="11"/>
  <c r="AB1719" i="11"/>
  <c r="AA703" i="11"/>
  <c r="AB1951" i="11"/>
  <c r="AA1663" i="11"/>
  <c r="AB799" i="11"/>
  <c r="AA1375" i="11"/>
  <c r="AA1631" i="11"/>
  <c r="AB2175" i="11"/>
  <c r="AA1991" i="11"/>
  <c r="AA1815" i="11"/>
  <c r="AA567" i="11"/>
  <c r="AA543" i="11"/>
  <c r="AB1575" i="11"/>
  <c r="AA2135" i="11"/>
  <c r="AA71" i="11"/>
  <c r="AA143" i="11"/>
  <c r="AA271" i="11"/>
  <c r="AB615" i="11"/>
  <c r="AB647" i="11"/>
  <c r="AB743" i="11"/>
  <c r="AA823" i="11"/>
  <c r="AA999" i="11"/>
  <c r="AB1071" i="11"/>
  <c r="AA1135" i="11"/>
  <c r="AA1199" i="11"/>
  <c r="AA1439" i="11"/>
  <c r="AA1583" i="11"/>
  <c r="AA1679" i="11"/>
  <c r="AA1847" i="11"/>
  <c r="AA1903" i="11"/>
  <c r="AA2055" i="11"/>
  <c r="AB2151" i="11"/>
  <c r="AA2183" i="11"/>
  <c r="AA2415" i="11"/>
  <c r="AA2615" i="11"/>
  <c r="AA2679" i="11"/>
  <c r="AB2839" i="11"/>
  <c r="AB2911" i="11"/>
  <c r="AA2943" i="11"/>
  <c r="AB1351" i="11"/>
  <c r="AA1711" i="11"/>
  <c r="AB879" i="11"/>
  <c r="AA2151" i="11"/>
  <c r="AA1567" i="11"/>
  <c r="AA2263" i="11"/>
  <c r="AB1015" i="11"/>
  <c r="AA2383" i="11"/>
  <c r="AB911" i="11"/>
  <c r="AB151" i="11"/>
  <c r="AB527" i="11"/>
  <c r="AB1695" i="11"/>
  <c r="AA615" i="11"/>
  <c r="AA2695" i="11"/>
  <c r="AB2311" i="11"/>
  <c r="AA1479" i="11"/>
  <c r="AB639" i="11"/>
  <c r="AB2999" i="11"/>
  <c r="AB3031" i="11"/>
  <c r="AA3095" i="11"/>
  <c r="AA3127" i="11"/>
  <c r="AB3199" i="11"/>
  <c r="AB3239" i="11"/>
  <c r="AB3303" i="11"/>
  <c r="AA3343" i="11"/>
  <c r="AB3407" i="11"/>
  <c r="AB3447" i="11"/>
  <c r="AB3519" i="11"/>
  <c r="AB3551" i="11"/>
  <c r="AB3631" i="11"/>
  <c r="AB3663" i="11"/>
  <c r="AB3727" i="11"/>
  <c r="AB3767" i="11"/>
  <c r="AB903" i="11"/>
  <c r="AA751" i="11"/>
  <c r="AB2519" i="11"/>
  <c r="AA2479" i="11"/>
  <c r="AB1247" i="11"/>
  <c r="AB1439" i="11"/>
  <c r="AA2023" i="11"/>
  <c r="AB1255" i="11"/>
  <c r="AB2495" i="11"/>
  <c r="AB1631" i="11"/>
  <c r="AA1431" i="11"/>
  <c r="AA487" i="11"/>
  <c r="AA1639" i="11"/>
  <c r="AA2511" i="11"/>
  <c r="AA735" i="11"/>
  <c r="AA783" i="11"/>
  <c r="AA855" i="11"/>
  <c r="AB575" i="11"/>
  <c r="AB183" i="11"/>
  <c r="AA3129" i="11"/>
  <c r="AB3201" i="11"/>
  <c r="AB3289" i="11"/>
  <c r="AA3473" i="11"/>
  <c r="AB3513" i="11"/>
  <c r="AA3609" i="11"/>
  <c r="AA3737" i="11"/>
  <c r="AB3833" i="11"/>
  <c r="AA2521" i="11"/>
  <c r="AB2849" i="11"/>
  <c r="AA2881" i="11"/>
  <c r="AA2953" i="11"/>
  <c r="AB3033" i="11"/>
  <c r="AA3137" i="11"/>
  <c r="AB3265" i="11"/>
  <c r="AA3297" i="11"/>
  <c r="AA3337" i="11"/>
  <c r="AA3409" i="11"/>
  <c r="AA3449" i="11"/>
  <c r="AA3513" i="11"/>
  <c r="AB3745" i="11"/>
  <c r="AB3873" i="11"/>
  <c r="AB3052" i="11"/>
  <c r="AB3148" i="11"/>
  <c r="AA3420" i="11"/>
  <c r="AB2193" i="11"/>
  <c r="AA3265" i="11"/>
  <c r="AB2521" i="11"/>
  <c r="AB2617" i="11"/>
  <c r="AA2729" i="11"/>
  <c r="AB2825" i="11"/>
  <c r="AA2857" i="11"/>
  <c r="AB2961" i="11"/>
  <c r="AA3009" i="11"/>
  <c r="AB3065" i="11"/>
  <c r="AB3097" i="11"/>
  <c r="AB3137" i="11"/>
  <c r="AB3177" i="11"/>
  <c r="AA3209" i="11"/>
  <c r="AB3337" i="11"/>
  <c r="AB3409" i="11"/>
  <c r="AB3449" i="11"/>
  <c r="AA3481" i="11"/>
  <c r="AA3569" i="11"/>
  <c r="AA3745" i="11"/>
  <c r="AB3889" i="11"/>
  <c r="AB3084" i="11"/>
  <c r="AB3116" i="11"/>
  <c r="AA3180" i="11"/>
  <c r="AA3244" i="11"/>
  <c r="AB3516" i="11"/>
  <c r="AB3548" i="11"/>
  <c r="AA3644" i="11"/>
  <c r="AA2732" i="11"/>
  <c r="AB2828" i="11"/>
  <c r="AB2988" i="11"/>
  <c r="AB3388" i="11"/>
  <c r="AB2537" i="11"/>
  <c r="AA2833" i="11"/>
  <c r="AA2889" i="11"/>
  <c r="AA2929" i="11"/>
  <c r="AA2961" i="11"/>
  <c r="AB3009" i="11"/>
  <c r="AA3073" i="11"/>
  <c r="AA3217" i="11"/>
  <c r="AA3457" i="11"/>
  <c r="AB3481" i="11"/>
  <c r="AB3521" i="11"/>
  <c r="AB3625" i="11"/>
  <c r="AA3713" i="11"/>
  <c r="AB2452" i="11"/>
  <c r="AB3212" i="11"/>
  <c r="AB3308" i="11"/>
  <c r="AA3340" i="11"/>
  <c r="AB3580" i="11"/>
  <c r="AA3612" i="11"/>
  <c r="AB3676" i="11"/>
  <c r="AA3577" i="11"/>
  <c r="AB2569" i="11"/>
  <c r="AA2817" i="11"/>
  <c r="AA3033" i="11"/>
  <c r="AB3089" i="11"/>
  <c r="AB3161" i="11"/>
  <c r="AB3249" i="11"/>
  <c r="AB3361" i="11"/>
  <c r="AB3689" i="11"/>
  <c r="AB3785" i="11"/>
  <c r="AA2796" i="11"/>
  <c r="AB2924" i="11"/>
  <c r="AB2956" i="11"/>
  <c r="AA3020" i="11"/>
  <c r="AB3321" i="11"/>
  <c r="AA3537" i="11"/>
  <c r="AB2657" i="11"/>
  <c r="AB2761" i="11"/>
  <c r="AA2897" i="11"/>
  <c r="AA2969" i="11"/>
  <c r="AB3073" i="11"/>
  <c r="AA3105" i="11"/>
  <c r="AA3145" i="11"/>
  <c r="AB3217" i="11"/>
  <c r="AB3273" i="11"/>
  <c r="AB3305" i="11"/>
  <c r="AA3345" i="11"/>
  <c r="AB3377" i="11"/>
  <c r="AB3417" i="11"/>
  <c r="AB3457" i="11"/>
  <c r="AB3577" i="11"/>
  <c r="AA3681" i="11"/>
  <c r="AB3713" i="11"/>
  <c r="AA3753" i="11"/>
  <c r="AB2748" i="11"/>
  <c r="AA2812" i="11"/>
  <c r="AA2844" i="11"/>
  <c r="AB2876" i="11"/>
  <c r="AB2940" i="11"/>
  <c r="AB3004" i="11"/>
  <c r="AA3036" i="11"/>
  <c r="AA3404" i="11"/>
  <c r="AB3436" i="11"/>
  <c r="AB3708" i="11"/>
  <c r="AA3740" i="11"/>
  <c r="AB3772" i="11"/>
  <c r="AB3553" i="11"/>
  <c r="AB3665" i="11"/>
  <c r="AA3833" i="11"/>
  <c r="AB3884" i="11"/>
  <c r="AA2553" i="11"/>
  <c r="AB2841" i="11"/>
  <c r="AB2937" i="11"/>
  <c r="AB2969" i="11"/>
  <c r="AA3017" i="11"/>
  <c r="AB3049" i="11"/>
  <c r="AB3081" i="11"/>
  <c r="AB3121" i="11"/>
  <c r="AB3225" i="11"/>
  <c r="AB3313" i="11"/>
  <c r="AB3353" i="11"/>
  <c r="AB3489" i="11"/>
  <c r="AB3529" i="11"/>
  <c r="AA3857" i="11"/>
  <c r="AB2892" i="11"/>
  <c r="AB2908" i="11"/>
  <c r="AB2972" i="11"/>
  <c r="AA3100" i="11"/>
  <c r="AA3132" i="11"/>
  <c r="AB3468" i="11"/>
  <c r="AB3260" i="11"/>
  <c r="AB3292" i="11"/>
  <c r="AB3452" i="11"/>
  <c r="AA2617" i="11"/>
  <c r="AA2913" i="11"/>
  <c r="AA3641" i="11"/>
  <c r="AB2553" i="11"/>
  <c r="AB2681" i="11"/>
  <c r="AB2809" i="11"/>
  <c r="AA2841" i="11"/>
  <c r="AA2945" i="11"/>
  <c r="AB3025" i="11"/>
  <c r="AA3057" i="11"/>
  <c r="AA3081" i="11"/>
  <c r="AB3153" i="11"/>
  <c r="AA3193" i="11"/>
  <c r="AA3225" i="11"/>
  <c r="AB3281" i="11"/>
  <c r="AA3353" i="11"/>
  <c r="AB3385" i="11"/>
  <c r="AB3433" i="11"/>
  <c r="AB3465" i="11"/>
  <c r="AB3545" i="11"/>
  <c r="AA3601" i="11"/>
  <c r="AB3721" i="11"/>
  <c r="AB3761" i="11"/>
  <c r="AA3865" i="11"/>
  <c r="AA2212" i="11"/>
  <c r="AB2468" i="11"/>
  <c r="AB3068" i="11"/>
  <c r="AA3196" i="11"/>
  <c r="AB3500" i="11"/>
  <c r="AB3660" i="11"/>
  <c r="AB2873" i="11"/>
  <c r="AB2905" i="11"/>
  <c r="AB2945" i="11"/>
  <c r="AA3161" i="11"/>
  <c r="AA3249" i="11"/>
  <c r="AA3289" i="11"/>
  <c r="AA3401" i="11"/>
  <c r="AB3505" i="11"/>
  <c r="AB3601" i="11"/>
  <c r="AA3657" i="11"/>
  <c r="AB3737" i="11"/>
  <c r="AA3785" i="11"/>
  <c r="AB3817" i="11"/>
  <c r="AB3865" i="11"/>
  <c r="AA3164" i="11"/>
  <c r="AB3228" i="11"/>
  <c r="AB3324" i="11"/>
  <c r="AA3356" i="11"/>
  <c r="AA3596" i="11"/>
  <c r="AA3692" i="11"/>
  <c r="AB3756" i="11"/>
  <c r="F150" i="54" l="1"/>
  <c r="F159" i="54"/>
  <c r="V2682" i="11"/>
  <c r="O359" i="54"/>
  <c r="G35" i="33"/>
  <c r="M278" i="54" s="1"/>
  <c r="U278" i="54" s="1"/>
  <c r="AC278" i="54" s="1"/>
  <c r="AF278" i="54" s="1"/>
  <c r="I43" i="33"/>
  <c r="G62" i="54"/>
  <c r="G112" i="54"/>
  <c r="V2720" i="11"/>
  <c r="AA2720" i="11" s="1"/>
  <c r="M66" i="54"/>
  <c r="M116" i="54"/>
  <c r="L70" i="54"/>
  <c r="L120" i="54"/>
  <c r="T285" i="54"/>
  <c r="L113" i="54"/>
  <c r="O292" i="54"/>
  <c r="O70" i="54" s="1"/>
  <c r="M120" i="54"/>
  <c r="O293" i="54"/>
  <c r="O71" i="54" s="1"/>
  <c r="M121" i="54"/>
  <c r="F72" i="54"/>
  <c r="O287" i="54"/>
  <c r="M115" i="54"/>
  <c r="N286" i="54"/>
  <c r="N64" i="54" s="1"/>
  <c r="L114" i="54"/>
  <c r="U290" i="54"/>
  <c r="U118" i="54" s="1"/>
  <c r="M118" i="54"/>
  <c r="F153" i="54"/>
  <c r="F52" i="54"/>
  <c r="G20" i="33"/>
  <c r="M263" i="54" s="1"/>
  <c r="U263" i="54" s="1"/>
  <c r="AC263" i="54" s="1"/>
  <c r="AF263" i="54" s="1"/>
  <c r="I334" i="54"/>
  <c r="J334" i="54" s="1"/>
  <c r="T293" i="54"/>
  <c r="T121" i="54" s="1"/>
  <c r="L121" i="54"/>
  <c r="U291" i="54"/>
  <c r="M119" i="54"/>
  <c r="G34" i="33"/>
  <c r="C34" i="33" s="1"/>
  <c r="F26" i="54"/>
  <c r="N291" i="54"/>
  <c r="L119" i="54"/>
  <c r="O286" i="54"/>
  <c r="O114" i="54" s="1"/>
  <c r="M114" i="54"/>
  <c r="T287" i="54"/>
  <c r="L115" i="54"/>
  <c r="V3041" i="11"/>
  <c r="AA3041" i="11" s="1"/>
  <c r="Y3041" i="11"/>
  <c r="AB3041" i="11" s="1"/>
  <c r="V2465" i="11"/>
  <c r="AA2465" i="11" s="1"/>
  <c r="Y2465" i="11"/>
  <c r="AB2465" i="11" s="1"/>
  <c r="Y2209" i="11"/>
  <c r="AB2209" i="11" s="1"/>
  <c r="V2209" i="11"/>
  <c r="AA2209" i="11" s="1"/>
  <c r="Y1953" i="11"/>
  <c r="AB1953" i="11" s="1"/>
  <c r="V1953" i="11"/>
  <c r="AA1953" i="11" s="1"/>
  <c r="Y1697" i="11"/>
  <c r="AB1697" i="11" s="1"/>
  <c r="V1697" i="11"/>
  <c r="AA1697" i="11" s="1"/>
  <c r="Y1185" i="11"/>
  <c r="AB1185" i="11" s="1"/>
  <c r="V1185" i="11"/>
  <c r="AA1185" i="11" s="1"/>
  <c r="Y929" i="11"/>
  <c r="AB929" i="11" s="1"/>
  <c r="V929" i="11"/>
  <c r="AA929" i="11" s="1"/>
  <c r="Y609" i="11"/>
  <c r="AB609" i="11" s="1"/>
  <c r="V609" i="11"/>
  <c r="AA609" i="11" s="1"/>
  <c r="Y289" i="11"/>
  <c r="AB289" i="11" s="1"/>
  <c r="V289" i="11"/>
  <c r="AA289" i="11" s="1"/>
  <c r="V2361" i="11"/>
  <c r="AA2361" i="11" s="1"/>
  <c r="Y2361" i="11"/>
  <c r="AB2361" i="11" s="1"/>
  <c r="V2105" i="11"/>
  <c r="AA2105" i="11" s="1"/>
  <c r="Y2105" i="11"/>
  <c r="AB2105" i="11" s="1"/>
  <c r="V1721" i="11"/>
  <c r="AA1721" i="11" s="1"/>
  <c r="Y1721" i="11"/>
  <c r="AB1721" i="11" s="1"/>
  <c r="V1273" i="11"/>
  <c r="AA1273" i="11" s="1"/>
  <c r="Y1273" i="11"/>
  <c r="AB1273" i="11" s="1"/>
  <c r="Y953" i="11"/>
  <c r="AB953" i="11" s="1"/>
  <c r="V953" i="11"/>
  <c r="AA953" i="11" s="1"/>
  <c r="Y697" i="11"/>
  <c r="AB697" i="11" s="1"/>
  <c r="V697" i="11"/>
  <c r="AA697" i="11" s="1"/>
  <c r="V313" i="11"/>
  <c r="AA313" i="11" s="1"/>
  <c r="Y313" i="11"/>
  <c r="AB313" i="11" s="1"/>
  <c r="Y2865" i="11"/>
  <c r="AB2865" i="11" s="1"/>
  <c r="V2865" i="11"/>
  <c r="AA2865" i="11" s="1"/>
  <c r="Y2481" i="11"/>
  <c r="AB2481" i="11" s="1"/>
  <c r="V2481" i="11"/>
  <c r="AA2481" i="11" s="1"/>
  <c r="Y2225" i="11"/>
  <c r="AB2225" i="11" s="1"/>
  <c r="V2225" i="11"/>
  <c r="AA2225" i="11" s="1"/>
  <c r="V1969" i="11"/>
  <c r="AA1969" i="11" s="1"/>
  <c r="Y1969" i="11"/>
  <c r="AB1969" i="11" s="1"/>
  <c r="Y1713" i="11"/>
  <c r="AB1713" i="11" s="1"/>
  <c r="V1713" i="11"/>
  <c r="AA1713" i="11" s="1"/>
  <c r="Y1329" i="11"/>
  <c r="AB1329" i="11" s="1"/>
  <c r="V1329" i="11"/>
  <c r="AA1329" i="11" s="1"/>
  <c r="Y1073" i="11"/>
  <c r="AB1073" i="11" s="1"/>
  <c r="V1073" i="11"/>
  <c r="AA1073" i="11" s="1"/>
  <c r="Y817" i="11"/>
  <c r="AB817" i="11" s="1"/>
  <c r="V817" i="11"/>
  <c r="AA817" i="11" s="1"/>
  <c r="Y497" i="11"/>
  <c r="AB497" i="11" s="1"/>
  <c r="V497" i="11"/>
  <c r="AA497" i="11" s="1"/>
  <c r="V241" i="11"/>
  <c r="AA241" i="11" s="1"/>
  <c r="Y241" i="11"/>
  <c r="AB241" i="11" s="1"/>
  <c r="Y2985" i="11"/>
  <c r="AB2985" i="11" s="1"/>
  <c r="V2985" i="11"/>
  <c r="AA2985" i="11" s="1"/>
  <c r="Y2217" i="11"/>
  <c r="AB2217" i="11" s="1"/>
  <c r="V2217" i="11"/>
  <c r="AA2217" i="11" s="1"/>
  <c r="V1961" i="11"/>
  <c r="AA1961" i="11" s="1"/>
  <c r="Y1961" i="11"/>
  <c r="AB1961" i="11" s="1"/>
  <c r="V1705" i="11"/>
  <c r="AA1705" i="11" s="1"/>
  <c r="Y1705" i="11"/>
  <c r="AB1705" i="11" s="1"/>
  <c r="Y1449" i="11"/>
  <c r="AB1449" i="11" s="1"/>
  <c r="V1449" i="11"/>
  <c r="AA1449" i="11" s="1"/>
  <c r="Y1129" i="11"/>
  <c r="AB1129" i="11" s="1"/>
  <c r="V1129" i="11"/>
  <c r="AA1129" i="11" s="1"/>
  <c r="Y873" i="11"/>
  <c r="AB873" i="11" s="1"/>
  <c r="V873" i="11"/>
  <c r="AA873" i="11" s="1"/>
  <c r="Y617" i="11"/>
  <c r="AB617" i="11" s="1"/>
  <c r="V617" i="11"/>
  <c r="AA617" i="11" s="1"/>
  <c r="Y361" i="11"/>
  <c r="AB361" i="11" s="1"/>
  <c r="V361" i="11"/>
  <c r="AA361" i="11" s="1"/>
  <c r="V41" i="11"/>
  <c r="AA41" i="11" s="1"/>
  <c r="Y41" i="11"/>
  <c r="AB41" i="11" s="1"/>
  <c r="Y2585" i="11"/>
  <c r="AB2585" i="11" s="1"/>
  <c r="V2585" i="11"/>
  <c r="AA2585" i="11" s="1"/>
  <c r="Y2265" i="11"/>
  <c r="AB2265" i="11" s="1"/>
  <c r="V2265" i="11"/>
  <c r="AA2265" i="11" s="1"/>
  <c r="V1945" i="11"/>
  <c r="AA1945" i="11" s="1"/>
  <c r="Y1945" i="11"/>
  <c r="AB1945" i="11" s="1"/>
  <c r="V1689" i="11"/>
  <c r="AA1689" i="11" s="1"/>
  <c r="Y1689" i="11"/>
  <c r="AB1689" i="11" s="1"/>
  <c r="V1241" i="11"/>
  <c r="AA1241" i="11" s="1"/>
  <c r="Y1241" i="11"/>
  <c r="AB1241" i="11" s="1"/>
  <c r="V921" i="11"/>
  <c r="AA921" i="11" s="1"/>
  <c r="Y921" i="11"/>
  <c r="AB921" i="11" s="1"/>
  <c r="V665" i="11"/>
  <c r="AA665" i="11" s="1"/>
  <c r="Y665" i="11"/>
  <c r="AB665" i="11" s="1"/>
  <c r="Y409" i="11"/>
  <c r="AB409" i="11" s="1"/>
  <c r="V409" i="11"/>
  <c r="AA409" i="11" s="1"/>
  <c r="Y2769" i="11"/>
  <c r="AB2769" i="11" s="1"/>
  <c r="V2769" i="11"/>
  <c r="AA2769" i="11" s="1"/>
  <c r="Y2321" i="11"/>
  <c r="AB2321" i="11" s="1"/>
  <c r="V2321" i="11"/>
  <c r="AA2321" i="11" s="1"/>
  <c r="Y2001" i="11"/>
  <c r="AB2001" i="11" s="1"/>
  <c r="V2001" i="11"/>
  <c r="AA2001" i="11" s="1"/>
  <c r="V1617" i="11"/>
  <c r="AA1617" i="11" s="1"/>
  <c r="Y1617" i="11"/>
  <c r="AB1617" i="11" s="1"/>
  <c r="V1169" i="11"/>
  <c r="AA1169" i="11" s="1"/>
  <c r="Y1169" i="11"/>
  <c r="AB1169" i="11" s="1"/>
  <c r="V913" i="11"/>
  <c r="AA913" i="11" s="1"/>
  <c r="Y913" i="11"/>
  <c r="AB913" i="11" s="1"/>
  <c r="Y657" i="11"/>
  <c r="AB657" i="11" s="1"/>
  <c r="V657" i="11"/>
  <c r="AA657" i="11" s="1"/>
  <c r="V401" i="11"/>
  <c r="AA401" i="11" s="1"/>
  <c r="Y401" i="11"/>
  <c r="AB401" i="11" s="1"/>
  <c r="V2441" i="11"/>
  <c r="AA2441" i="11" s="1"/>
  <c r="Y2441" i="11"/>
  <c r="AB2441" i="11" s="1"/>
  <c r="Y2185" i="11"/>
  <c r="AB2185" i="11" s="1"/>
  <c r="V2185" i="11"/>
  <c r="AA2185" i="11" s="1"/>
  <c r="V1865" i="11"/>
  <c r="AA1865" i="11" s="1"/>
  <c r="Y1865" i="11"/>
  <c r="AB1865" i="11" s="1"/>
  <c r="V1609" i="11"/>
  <c r="AA1609" i="11" s="1"/>
  <c r="Y1609" i="11"/>
  <c r="AB1609" i="11" s="1"/>
  <c r="V1353" i="11"/>
  <c r="AA1353" i="11" s="1"/>
  <c r="Y1353" i="11"/>
  <c r="AB1353" i="11" s="1"/>
  <c r="Y1033" i="11"/>
  <c r="AB1033" i="11" s="1"/>
  <c r="V1033" i="11"/>
  <c r="AA1033" i="11" s="1"/>
  <c r="Y713" i="11"/>
  <c r="AB713" i="11" s="1"/>
  <c r="V713" i="11"/>
  <c r="AA713" i="11" s="1"/>
  <c r="Y393" i="11"/>
  <c r="AB393" i="11" s="1"/>
  <c r="V393" i="11"/>
  <c r="AA393" i="11" s="1"/>
  <c r="V137" i="11"/>
  <c r="AA137" i="11" s="1"/>
  <c r="Y137" i="11"/>
  <c r="AB137" i="11" s="1"/>
  <c r="Y3649" i="11"/>
  <c r="AB3649" i="11" s="1"/>
  <c r="V3649" i="11"/>
  <c r="AA3649" i="11" s="1"/>
  <c r="V2625" i="11"/>
  <c r="AA2625" i="11" s="1"/>
  <c r="Y2625" i="11"/>
  <c r="AB2625" i="11" s="1"/>
  <c r="V2369" i="11"/>
  <c r="AA2369" i="11" s="1"/>
  <c r="Y2369" i="11"/>
  <c r="AB2369" i="11" s="1"/>
  <c r="Y2049" i="11"/>
  <c r="AB2049" i="11" s="1"/>
  <c r="V2049" i="11"/>
  <c r="AA2049" i="11" s="1"/>
  <c r="V1729" i="11"/>
  <c r="AA1729" i="11" s="1"/>
  <c r="Y1729" i="11"/>
  <c r="AB1729" i="11" s="1"/>
  <c r="Y1409" i="11"/>
  <c r="AB1409" i="11" s="1"/>
  <c r="V1409" i="11"/>
  <c r="AA1409" i="11" s="1"/>
  <c r="V1153" i="11"/>
  <c r="AA1153" i="11" s="1"/>
  <c r="Y1153" i="11"/>
  <c r="AB1153" i="11" s="1"/>
  <c r="V897" i="11"/>
  <c r="AA897" i="11" s="1"/>
  <c r="Y897" i="11"/>
  <c r="AB897" i="11" s="1"/>
  <c r="Y641" i="11"/>
  <c r="AB641" i="11" s="1"/>
  <c r="V641" i="11"/>
  <c r="AA641" i="11" s="1"/>
  <c r="Y257" i="11"/>
  <c r="AB257" i="11" s="1"/>
  <c r="V257" i="11"/>
  <c r="AA257" i="11" s="1"/>
  <c r="Y2977" i="11"/>
  <c r="AB2977" i="11" s="1"/>
  <c r="V2977" i="11"/>
  <c r="AA2977" i="11" s="1"/>
  <c r="Y2401" i="11"/>
  <c r="AB2401" i="11" s="1"/>
  <c r="V2401" i="11"/>
  <c r="AA2401" i="11" s="1"/>
  <c r="V2145" i="11"/>
  <c r="AA2145" i="11" s="1"/>
  <c r="Y2145" i="11"/>
  <c r="AB2145" i="11" s="1"/>
  <c r="V1889" i="11"/>
  <c r="AA1889" i="11" s="1"/>
  <c r="Y1889" i="11"/>
  <c r="AB1889" i="11" s="1"/>
  <c r="V1633" i="11"/>
  <c r="AA1633" i="11" s="1"/>
  <c r="Y1633" i="11"/>
  <c r="AB1633" i="11" s="1"/>
  <c r="V1121" i="11"/>
  <c r="AA1121" i="11" s="1"/>
  <c r="Y1121" i="11"/>
  <c r="AB1121" i="11" s="1"/>
  <c r="V865" i="11"/>
  <c r="AA865" i="11" s="1"/>
  <c r="Y865" i="11"/>
  <c r="AB865" i="11" s="1"/>
  <c r="Y545" i="11"/>
  <c r="AB545" i="11" s="1"/>
  <c r="V545" i="11"/>
  <c r="AA545" i="11" s="1"/>
  <c r="V161" i="11"/>
  <c r="AA161" i="11" s="1"/>
  <c r="Y161" i="11"/>
  <c r="AB161" i="11" s="1"/>
  <c r="Y3705" i="11"/>
  <c r="AB3705" i="11" s="1"/>
  <c r="V3705" i="11"/>
  <c r="AA3705" i="11" s="1"/>
  <c r="Y2297" i="11"/>
  <c r="AB2297" i="11" s="1"/>
  <c r="V2297" i="11"/>
  <c r="AA2297" i="11" s="1"/>
  <c r="V2041" i="11"/>
  <c r="AA2041" i="11" s="1"/>
  <c r="Y2041" i="11"/>
  <c r="AB2041" i="11" s="1"/>
  <c r="Y1529" i="11"/>
  <c r="AB1529" i="11" s="1"/>
  <c r="V1529" i="11"/>
  <c r="AA1529" i="11" s="1"/>
  <c r="V1209" i="11"/>
  <c r="AA1209" i="11" s="1"/>
  <c r="Y1209" i="11"/>
  <c r="AB1209" i="11" s="1"/>
  <c r="V889" i="11"/>
  <c r="AA889" i="11" s="1"/>
  <c r="Y889" i="11"/>
  <c r="AB889" i="11" s="1"/>
  <c r="V633" i="11"/>
  <c r="AA633" i="11" s="1"/>
  <c r="Y633" i="11"/>
  <c r="AB633" i="11" s="1"/>
  <c r="V249" i="11"/>
  <c r="AA249" i="11" s="1"/>
  <c r="Y249" i="11"/>
  <c r="AB249" i="11" s="1"/>
  <c r="V3697" i="11"/>
  <c r="AA3697" i="11" s="1"/>
  <c r="Y3697" i="11"/>
  <c r="AB3697" i="11" s="1"/>
  <c r="Y2801" i="11"/>
  <c r="AB2801" i="11" s="1"/>
  <c r="V2801" i="11"/>
  <c r="AA2801" i="11" s="1"/>
  <c r="Y2417" i="11"/>
  <c r="AB2417" i="11" s="1"/>
  <c r="V2417" i="11"/>
  <c r="AA2417" i="11" s="1"/>
  <c r="V2161" i="11"/>
  <c r="AA2161" i="11" s="1"/>
  <c r="Y2161" i="11"/>
  <c r="AB2161" i="11" s="1"/>
  <c r="V1905" i="11"/>
  <c r="AA1905" i="11" s="1"/>
  <c r="Y1905" i="11"/>
  <c r="AB1905" i="11" s="1"/>
  <c r="V1649" i="11"/>
  <c r="AA1649" i="11" s="1"/>
  <c r="Y1649" i="11"/>
  <c r="AB1649" i="11" s="1"/>
  <c r="V1265" i="11"/>
  <c r="AA1265" i="11" s="1"/>
  <c r="Y1265" i="11"/>
  <c r="AB1265" i="11" s="1"/>
  <c r="Y1009" i="11"/>
  <c r="AB1009" i="11" s="1"/>
  <c r="V1009" i="11"/>
  <c r="AA1009" i="11" s="1"/>
  <c r="V753" i="11"/>
  <c r="AA753" i="11" s="1"/>
  <c r="Y753" i="11"/>
  <c r="AB753" i="11" s="1"/>
  <c r="V433" i="11"/>
  <c r="AA433" i="11" s="1"/>
  <c r="Y433" i="11"/>
  <c r="AB433" i="11" s="1"/>
  <c r="Y177" i="11"/>
  <c r="AB177" i="11" s="1"/>
  <c r="V177" i="11"/>
  <c r="AA177" i="11" s="1"/>
  <c r="Y2473" i="11"/>
  <c r="AB2473" i="11" s="1"/>
  <c r="V2473" i="11"/>
  <c r="AA2473" i="11" s="1"/>
  <c r="Y2153" i="11"/>
  <c r="AB2153" i="11" s="1"/>
  <c r="V2153" i="11"/>
  <c r="AA2153" i="11" s="1"/>
  <c r="Y1897" i="11"/>
  <c r="AB1897" i="11" s="1"/>
  <c r="V1897" i="11"/>
  <c r="AA1897" i="11" s="1"/>
  <c r="Y1641" i="11"/>
  <c r="AB1641" i="11" s="1"/>
  <c r="V1641" i="11"/>
  <c r="AA1641" i="11" s="1"/>
  <c r="Y1385" i="11"/>
  <c r="AB1385" i="11" s="1"/>
  <c r="V1385" i="11"/>
  <c r="AA1385" i="11" s="1"/>
  <c r="V1065" i="11"/>
  <c r="AA1065" i="11" s="1"/>
  <c r="Y1065" i="11"/>
  <c r="AB1065" i="11" s="1"/>
  <c r="V809" i="11"/>
  <c r="AA809" i="11" s="1"/>
  <c r="Y809" i="11"/>
  <c r="AB809" i="11" s="1"/>
  <c r="V553" i="11"/>
  <c r="AA553" i="11" s="1"/>
  <c r="Y553" i="11"/>
  <c r="AB553" i="11" s="1"/>
  <c r="V233" i="11"/>
  <c r="AA233" i="11" s="1"/>
  <c r="Y233" i="11"/>
  <c r="AB233" i="11" s="1"/>
  <c r="Y2457" i="11"/>
  <c r="AB2457" i="11" s="1"/>
  <c r="V2457" i="11"/>
  <c r="AA2457" i="11" s="1"/>
  <c r="Y2201" i="11"/>
  <c r="AB2201" i="11" s="1"/>
  <c r="V2201" i="11"/>
  <c r="AA2201" i="11" s="1"/>
  <c r="Y1881" i="11"/>
  <c r="AB1881" i="11" s="1"/>
  <c r="V1881" i="11"/>
  <c r="AA1881" i="11" s="1"/>
  <c r="Y1625" i="11"/>
  <c r="AB1625" i="11" s="1"/>
  <c r="V1625" i="11"/>
  <c r="AA1625" i="11" s="1"/>
  <c r="V1113" i="11"/>
  <c r="AA1113" i="11" s="1"/>
  <c r="Y1113" i="11"/>
  <c r="AB1113" i="11" s="1"/>
  <c r="Y857" i="11"/>
  <c r="AB857" i="11" s="1"/>
  <c r="V857" i="11"/>
  <c r="AA857" i="11" s="1"/>
  <c r="V601" i="11"/>
  <c r="AA601" i="11" s="1"/>
  <c r="Y601" i="11"/>
  <c r="AB601" i="11" s="1"/>
  <c r="V345" i="11"/>
  <c r="AA345" i="11" s="1"/>
  <c r="Y345" i="11"/>
  <c r="AB345" i="11" s="1"/>
  <c r="Y2513" i="11"/>
  <c r="AB2513" i="11" s="1"/>
  <c r="V2513" i="11"/>
  <c r="AA2513" i="11" s="1"/>
  <c r="V2257" i="11"/>
  <c r="AA2257" i="11" s="1"/>
  <c r="Y2257" i="11"/>
  <c r="AB2257" i="11" s="1"/>
  <c r="V1937" i="11"/>
  <c r="AA1937" i="11" s="1"/>
  <c r="Y1937" i="11"/>
  <c r="AB1937" i="11" s="1"/>
  <c r="Y1425" i="11"/>
  <c r="AB1425" i="11" s="1"/>
  <c r="V1425" i="11"/>
  <c r="AA1425" i="11" s="1"/>
  <c r="V1105" i="11"/>
  <c r="AA1105" i="11" s="1"/>
  <c r="Y1105" i="11"/>
  <c r="AB1105" i="11" s="1"/>
  <c r="Y849" i="11"/>
  <c r="AB849" i="11" s="1"/>
  <c r="V849" i="11"/>
  <c r="AA849" i="11" s="1"/>
  <c r="Y593" i="11"/>
  <c r="AB593" i="11" s="1"/>
  <c r="V593" i="11"/>
  <c r="AA593" i="11" s="1"/>
  <c r="V337" i="11"/>
  <c r="AA337" i="11" s="1"/>
  <c r="Y337" i="11"/>
  <c r="AB337" i="11" s="1"/>
  <c r="Y3849" i="11"/>
  <c r="AB3849" i="11" s="1"/>
  <c r="V3849" i="11"/>
  <c r="AA3849" i="11" s="1"/>
  <c r="Y2377" i="11"/>
  <c r="AB2377" i="11" s="1"/>
  <c r="V2377" i="11"/>
  <c r="AA2377" i="11" s="1"/>
  <c r="Y2057" i="11"/>
  <c r="AB2057" i="11" s="1"/>
  <c r="V2057" i="11"/>
  <c r="AA2057" i="11" s="1"/>
  <c r="Y1801" i="11"/>
  <c r="AB1801" i="11" s="1"/>
  <c r="V1801" i="11"/>
  <c r="AA1801" i="11" s="1"/>
  <c r="V1545" i="11"/>
  <c r="AA1545" i="11" s="1"/>
  <c r="Y1545" i="11"/>
  <c r="AB1545" i="11" s="1"/>
  <c r="Y1289" i="11"/>
  <c r="AB1289" i="11" s="1"/>
  <c r="V1289" i="11"/>
  <c r="AA1289" i="11" s="1"/>
  <c r="V969" i="11"/>
  <c r="AA969" i="11" s="1"/>
  <c r="Y969" i="11"/>
  <c r="AB969" i="11" s="1"/>
  <c r="V649" i="11"/>
  <c r="AA649" i="11" s="1"/>
  <c r="Y649" i="11"/>
  <c r="AB649" i="11" s="1"/>
  <c r="Y329" i="11"/>
  <c r="AB329" i="11" s="1"/>
  <c r="V329" i="11"/>
  <c r="AA329" i="11" s="1"/>
  <c r="V73" i="11"/>
  <c r="AA73" i="11" s="1"/>
  <c r="Y73" i="11"/>
  <c r="AB73" i="11" s="1"/>
  <c r="Y3329" i="11"/>
  <c r="AB3329" i="11" s="1"/>
  <c r="V3329" i="11"/>
  <c r="AA3329" i="11" s="1"/>
  <c r="V2561" i="11"/>
  <c r="AA2561" i="11" s="1"/>
  <c r="Y2561" i="11"/>
  <c r="AB2561" i="11" s="1"/>
  <c r="V2305" i="11"/>
  <c r="AA2305" i="11" s="1"/>
  <c r="Y2305" i="11"/>
  <c r="AB2305" i="11" s="1"/>
  <c r="Y1985" i="11"/>
  <c r="AB1985" i="11" s="1"/>
  <c r="V1985" i="11"/>
  <c r="AA1985" i="11" s="1"/>
  <c r="Y1665" i="11"/>
  <c r="AB1665" i="11" s="1"/>
  <c r="V1665" i="11"/>
  <c r="AA1665" i="11" s="1"/>
  <c r="Y1345" i="11"/>
  <c r="AB1345" i="11" s="1"/>
  <c r="V1345" i="11"/>
  <c r="AA1345" i="11" s="1"/>
  <c r="V1089" i="11"/>
  <c r="AA1089" i="11" s="1"/>
  <c r="Y1089" i="11"/>
  <c r="AB1089" i="11" s="1"/>
  <c r="Y833" i="11"/>
  <c r="AB833" i="11" s="1"/>
  <c r="V833" i="11"/>
  <c r="AA833" i="11" s="1"/>
  <c r="Y577" i="11"/>
  <c r="AB577" i="11" s="1"/>
  <c r="V577" i="11"/>
  <c r="AA577" i="11" s="1"/>
  <c r="Y193" i="11"/>
  <c r="AB193" i="11" s="1"/>
  <c r="V193" i="11"/>
  <c r="AA193" i="11" s="1"/>
  <c r="Y2721" i="11"/>
  <c r="AB2721" i="11" s="1"/>
  <c r="V2721" i="11"/>
  <c r="AA2721" i="11" s="1"/>
  <c r="Y2337" i="11"/>
  <c r="AB2337" i="11" s="1"/>
  <c r="V2337" i="11"/>
  <c r="AA2337" i="11" s="1"/>
  <c r="V2081" i="11"/>
  <c r="AA2081" i="11" s="1"/>
  <c r="Y2081" i="11"/>
  <c r="AB2081" i="11" s="1"/>
  <c r="Y1825" i="11"/>
  <c r="AB1825" i="11" s="1"/>
  <c r="V1825" i="11"/>
  <c r="AA1825" i="11" s="1"/>
  <c r="Y1505" i="11"/>
  <c r="AB1505" i="11" s="1"/>
  <c r="V1505" i="11"/>
  <c r="AA1505" i="11" s="1"/>
  <c r="Y1057" i="11"/>
  <c r="AB1057" i="11" s="1"/>
  <c r="V1057" i="11"/>
  <c r="AA1057" i="11" s="1"/>
  <c r="V801" i="11"/>
  <c r="AA801" i="11" s="1"/>
  <c r="Y801" i="11"/>
  <c r="AB801" i="11" s="1"/>
  <c r="Y481" i="11"/>
  <c r="AB481" i="11" s="1"/>
  <c r="V481" i="11"/>
  <c r="AA481" i="11" s="1"/>
  <c r="V1041" i="11"/>
  <c r="AA1041" i="11" s="1"/>
  <c r="Y1041" i="11"/>
  <c r="AB1041" i="11" s="1"/>
  <c r="Y2489" i="11"/>
  <c r="AB2489" i="11" s="1"/>
  <c r="V2489" i="11"/>
  <c r="AA2489" i="11" s="1"/>
  <c r="V2233" i="11"/>
  <c r="AA2233" i="11" s="1"/>
  <c r="Y2233" i="11"/>
  <c r="AB2233" i="11" s="1"/>
  <c r="V1913" i="11"/>
  <c r="AA1913" i="11" s="1"/>
  <c r="Y1913" i="11"/>
  <c r="AB1913" i="11" s="1"/>
  <c r="Y1465" i="11"/>
  <c r="AB1465" i="11" s="1"/>
  <c r="V1465" i="11"/>
  <c r="AA1465" i="11" s="1"/>
  <c r="Y1081" i="11"/>
  <c r="AB1081" i="11" s="1"/>
  <c r="V1081" i="11"/>
  <c r="AA1081" i="11" s="1"/>
  <c r="V825" i="11"/>
  <c r="AA825" i="11" s="1"/>
  <c r="Y825" i="11"/>
  <c r="AB825" i="11" s="1"/>
  <c r="V569" i="11"/>
  <c r="AA569" i="11" s="1"/>
  <c r="Y569" i="11"/>
  <c r="AB569" i="11" s="1"/>
  <c r="V185" i="11"/>
  <c r="AA185" i="11" s="1"/>
  <c r="Y185" i="11"/>
  <c r="AB185" i="11" s="1"/>
  <c r="V3441" i="11"/>
  <c r="AA3441" i="11" s="1"/>
  <c r="Y3441" i="11"/>
  <c r="AB3441" i="11" s="1"/>
  <c r="Y2609" i="11"/>
  <c r="AB2609" i="11" s="1"/>
  <c r="V2609" i="11"/>
  <c r="AA2609" i="11" s="1"/>
  <c r="Y2353" i="11"/>
  <c r="AB2353" i="11" s="1"/>
  <c r="V2353" i="11"/>
  <c r="AA2353" i="11" s="1"/>
  <c r="Y2097" i="11"/>
  <c r="AB2097" i="11" s="1"/>
  <c r="V2097" i="11"/>
  <c r="AA2097" i="11" s="1"/>
  <c r="Y1841" i="11"/>
  <c r="AB1841" i="11" s="1"/>
  <c r="V1841" i="11"/>
  <c r="AA1841" i="11" s="1"/>
  <c r="V1585" i="11"/>
  <c r="AA1585" i="11" s="1"/>
  <c r="Y1585" i="11"/>
  <c r="AB1585" i="11" s="1"/>
  <c r="Y1201" i="11"/>
  <c r="AB1201" i="11" s="1"/>
  <c r="V1201" i="11"/>
  <c r="AA1201" i="11" s="1"/>
  <c r="Y945" i="11"/>
  <c r="AB945" i="11" s="1"/>
  <c r="V945" i="11"/>
  <c r="AA945" i="11" s="1"/>
  <c r="Y625" i="11"/>
  <c r="AB625" i="11" s="1"/>
  <c r="V625" i="11"/>
  <c r="AA625" i="11" s="1"/>
  <c r="Y369" i="11"/>
  <c r="AB369" i="11" s="1"/>
  <c r="V369" i="11"/>
  <c r="AA369" i="11" s="1"/>
  <c r="V2409" i="11"/>
  <c r="AA2409" i="11" s="1"/>
  <c r="Y2409" i="11"/>
  <c r="AB2409" i="11" s="1"/>
  <c r="V2089" i="11"/>
  <c r="AA2089" i="11" s="1"/>
  <c r="Y2089" i="11"/>
  <c r="AB2089" i="11" s="1"/>
  <c r="Y1833" i="11"/>
  <c r="AB1833" i="11" s="1"/>
  <c r="V1833" i="11"/>
  <c r="AA1833" i="11" s="1"/>
  <c r="Y1577" i="11"/>
  <c r="AB1577" i="11" s="1"/>
  <c r="V1577" i="11"/>
  <c r="AA1577" i="11" s="1"/>
  <c r="V1321" i="11"/>
  <c r="AA1321" i="11" s="1"/>
  <c r="Y1321" i="11"/>
  <c r="AB1321" i="11" s="1"/>
  <c r="V1001" i="11"/>
  <c r="AA1001" i="11" s="1"/>
  <c r="Y1001" i="11"/>
  <c r="AB1001" i="11" s="1"/>
  <c r="Y745" i="11"/>
  <c r="AB745" i="11" s="1"/>
  <c r="V745" i="11"/>
  <c r="AA745" i="11" s="1"/>
  <c r="Y489" i="11"/>
  <c r="AB489" i="11" s="1"/>
  <c r="V489" i="11"/>
  <c r="AA489" i="11" s="1"/>
  <c r="V169" i="11"/>
  <c r="AA169" i="11" s="1"/>
  <c r="Y169" i="11"/>
  <c r="AB169" i="11" s="1"/>
  <c r="V3801" i="11"/>
  <c r="AA3801" i="11" s="1"/>
  <c r="Y3801" i="11"/>
  <c r="AB3801" i="11" s="1"/>
  <c r="V2393" i="11"/>
  <c r="AA2393" i="11" s="1"/>
  <c r="Y2393" i="11"/>
  <c r="AB2393" i="11" s="1"/>
  <c r="V2137" i="11"/>
  <c r="AA2137" i="11" s="1"/>
  <c r="Y2137" i="11"/>
  <c r="AB2137" i="11" s="1"/>
  <c r="Y1817" i="11"/>
  <c r="AB1817" i="11" s="1"/>
  <c r="V1817" i="11"/>
  <c r="AA1817" i="11" s="1"/>
  <c r="V1561" i="11"/>
  <c r="AA1561" i="11" s="1"/>
  <c r="Y1561" i="11"/>
  <c r="AB1561" i="11" s="1"/>
  <c r="V1049" i="11"/>
  <c r="AA1049" i="11" s="1"/>
  <c r="Y1049" i="11"/>
  <c r="AB1049" i="11" s="1"/>
  <c r="V793" i="11"/>
  <c r="AA793" i="11" s="1"/>
  <c r="Y793" i="11"/>
  <c r="AB793" i="11" s="1"/>
  <c r="Y537" i="11"/>
  <c r="AB537" i="11" s="1"/>
  <c r="V537" i="11"/>
  <c r="AA537" i="11" s="1"/>
  <c r="Y281" i="11"/>
  <c r="AB281" i="11" s="1"/>
  <c r="V281" i="11"/>
  <c r="AA281" i="11" s="1"/>
  <c r="V2449" i="11"/>
  <c r="AA2449" i="11" s="1"/>
  <c r="Y2449" i="11"/>
  <c r="AB2449" i="11" s="1"/>
  <c r="V2129" i="11"/>
  <c r="AA2129" i="11" s="1"/>
  <c r="Y2129" i="11"/>
  <c r="AB2129" i="11" s="1"/>
  <c r="Y1873" i="11"/>
  <c r="AB1873" i="11" s="1"/>
  <c r="V1873" i="11"/>
  <c r="AA1873" i="11" s="1"/>
  <c r="Y1361" i="11"/>
  <c r="AB1361" i="11" s="1"/>
  <c r="V1361" i="11"/>
  <c r="AA1361" i="11" s="1"/>
  <c r="Y785" i="11"/>
  <c r="AB785" i="11" s="1"/>
  <c r="V785" i="11"/>
  <c r="AA785" i="11" s="1"/>
  <c r="Y529" i="11"/>
  <c r="AB529" i="11" s="1"/>
  <c r="V529" i="11"/>
  <c r="AA529" i="11" s="1"/>
  <c r="V145" i="11"/>
  <c r="AA145" i="11" s="1"/>
  <c r="Y145" i="11"/>
  <c r="AB145" i="11" s="1"/>
  <c r="Y2697" i="11"/>
  <c r="AB2697" i="11" s="1"/>
  <c r="V2697" i="11"/>
  <c r="AA2697" i="11" s="1"/>
  <c r="Y2313" i="11"/>
  <c r="AB2313" i="11" s="1"/>
  <c r="V2313" i="11"/>
  <c r="AA2313" i="11" s="1"/>
  <c r="V1993" i="11"/>
  <c r="AA1993" i="11" s="1"/>
  <c r="Y1993" i="11"/>
  <c r="AB1993" i="11" s="1"/>
  <c r="Y1737" i="11"/>
  <c r="AB1737" i="11" s="1"/>
  <c r="V1737" i="11"/>
  <c r="AA1737" i="11" s="1"/>
  <c r="Y1481" i="11"/>
  <c r="AB1481" i="11" s="1"/>
  <c r="V1481" i="11"/>
  <c r="AA1481" i="11" s="1"/>
  <c r="V1225" i="11"/>
  <c r="AA1225" i="11" s="1"/>
  <c r="Y1225" i="11"/>
  <c r="AB1225" i="11" s="1"/>
  <c r="Y905" i="11"/>
  <c r="AB905" i="11" s="1"/>
  <c r="V905" i="11"/>
  <c r="AA905" i="11" s="1"/>
  <c r="V521" i="11"/>
  <c r="AA521" i="11" s="1"/>
  <c r="Y521" i="11"/>
  <c r="AB521" i="11" s="1"/>
  <c r="V265" i="11"/>
  <c r="AA265" i="11" s="1"/>
  <c r="Y265" i="11"/>
  <c r="AB265" i="11" s="1"/>
  <c r="Y2753" i="11"/>
  <c r="AB2753" i="11" s="1"/>
  <c r="V2753" i="11"/>
  <c r="AA2753" i="11" s="1"/>
  <c r="V2497" i="11"/>
  <c r="AA2497" i="11" s="1"/>
  <c r="Y2497" i="11"/>
  <c r="AB2497" i="11" s="1"/>
  <c r="Y2241" i="11"/>
  <c r="AB2241" i="11" s="1"/>
  <c r="V2241" i="11"/>
  <c r="AA2241" i="11" s="1"/>
  <c r="Y1921" i="11"/>
  <c r="AB1921" i="11" s="1"/>
  <c r="V1921" i="11"/>
  <c r="AA1921" i="11" s="1"/>
  <c r="V1601" i="11"/>
  <c r="AA1601" i="11" s="1"/>
  <c r="Y1601" i="11"/>
  <c r="AB1601" i="11" s="1"/>
  <c r="Y1281" i="11"/>
  <c r="AB1281" i="11" s="1"/>
  <c r="V1281" i="11"/>
  <c r="AA1281" i="11" s="1"/>
  <c r="Y1025" i="11"/>
  <c r="AB1025" i="11" s="1"/>
  <c r="V1025" i="11"/>
  <c r="AA1025" i="11" s="1"/>
  <c r="V769" i="11"/>
  <c r="AA769" i="11" s="1"/>
  <c r="Y769" i="11"/>
  <c r="AB769" i="11" s="1"/>
  <c r="Y513" i="11"/>
  <c r="AB513" i="11" s="1"/>
  <c r="V513" i="11"/>
  <c r="AA513" i="11" s="1"/>
  <c r="Y65" i="11"/>
  <c r="AB65" i="11" s="1"/>
  <c r="V65" i="11"/>
  <c r="AA65" i="11" s="1"/>
  <c r="V2593" i="11"/>
  <c r="AA2593" i="11" s="1"/>
  <c r="Y2593" i="11"/>
  <c r="AB2593" i="11" s="1"/>
  <c r="V2273" i="11"/>
  <c r="AA2273" i="11" s="1"/>
  <c r="Y2273" i="11"/>
  <c r="AB2273" i="11" s="1"/>
  <c r="V2017" i="11"/>
  <c r="AA2017" i="11" s="1"/>
  <c r="Y2017" i="11"/>
  <c r="AB2017" i="11" s="1"/>
  <c r="V1761" i="11"/>
  <c r="AA1761" i="11" s="1"/>
  <c r="Y1761" i="11"/>
  <c r="AB1761" i="11" s="1"/>
  <c r="V1313" i="11"/>
  <c r="AA1313" i="11" s="1"/>
  <c r="Y1313" i="11"/>
  <c r="AB1313" i="11" s="1"/>
  <c r="V993" i="11"/>
  <c r="AA993" i="11" s="1"/>
  <c r="Y993" i="11"/>
  <c r="AB993" i="11" s="1"/>
  <c r="Y673" i="11"/>
  <c r="AB673" i="11" s="1"/>
  <c r="V673" i="11"/>
  <c r="AA673" i="11" s="1"/>
  <c r="V353" i="11"/>
  <c r="AA353" i="11" s="1"/>
  <c r="Y353" i="11"/>
  <c r="AB353" i="11" s="1"/>
  <c r="Y2425" i="11"/>
  <c r="AB2425" i="11" s="1"/>
  <c r="V2425" i="11"/>
  <c r="AA2425" i="11" s="1"/>
  <c r="V2169" i="11"/>
  <c r="AA2169" i="11" s="1"/>
  <c r="Y2169" i="11"/>
  <c r="AB2169" i="11" s="1"/>
  <c r="Y1785" i="11"/>
  <c r="AB1785" i="11" s="1"/>
  <c r="V1785" i="11"/>
  <c r="AA1785" i="11" s="1"/>
  <c r="Y1337" i="11"/>
  <c r="AB1337" i="11" s="1"/>
  <c r="V1337" i="11"/>
  <c r="AA1337" i="11" s="1"/>
  <c r="V1017" i="11"/>
  <c r="AA1017" i="11" s="1"/>
  <c r="Y1017" i="11"/>
  <c r="AB1017" i="11" s="1"/>
  <c r="Y761" i="11"/>
  <c r="AB761" i="11" s="1"/>
  <c r="V761" i="11"/>
  <c r="AA761" i="11" s="1"/>
  <c r="V505" i="11"/>
  <c r="AA505" i="11" s="1"/>
  <c r="Y505" i="11"/>
  <c r="AB505" i="11" s="1"/>
  <c r="V121" i="11"/>
  <c r="AA121" i="11" s="1"/>
  <c r="Y121" i="11"/>
  <c r="AB121" i="11" s="1"/>
  <c r="Y3185" i="11"/>
  <c r="AB3185" i="11" s="1"/>
  <c r="V3185" i="11"/>
  <c r="AA3185" i="11" s="1"/>
  <c r="Y2545" i="11"/>
  <c r="AB2545" i="11" s="1"/>
  <c r="V2545" i="11"/>
  <c r="AA2545" i="11" s="1"/>
  <c r="V2289" i="11"/>
  <c r="AA2289" i="11" s="1"/>
  <c r="Y2289" i="11"/>
  <c r="AB2289" i="11" s="1"/>
  <c r="V2033" i="11"/>
  <c r="AA2033" i="11" s="1"/>
  <c r="Y2033" i="11"/>
  <c r="AB2033" i="11" s="1"/>
  <c r="Y1777" i="11"/>
  <c r="AB1777" i="11" s="1"/>
  <c r="V1777" i="11"/>
  <c r="AA1777" i="11" s="1"/>
  <c r="Y1457" i="11"/>
  <c r="AB1457" i="11" s="1"/>
  <c r="V1457" i="11"/>
  <c r="AA1457" i="11" s="1"/>
  <c r="V1137" i="11"/>
  <c r="AA1137" i="11" s="1"/>
  <c r="Y1137" i="11"/>
  <c r="AB1137" i="11" s="1"/>
  <c r="V881" i="11"/>
  <c r="AA881" i="11" s="1"/>
  <c r="Y881" i="11"/>
  <c r="AB881" i="11" s="1"/>
  <c r="Y561" i="11"/>
  <c r="AB561" i="11" s="1"/>
  <c r="V561" i="11"/>
  <c r="AA561" i="11" s="1"/>
  <c r="Y305" i="11"/>
  <c r="AB305" i="11" s="1"/>
  <c r="V305" i="11"/>
  <c r="AA305" i="11" s="1"/>
  <c r="Y2345" i="11"/>
  <c r="AB2345" i="11" s="1"/>
  <c r="V2345" i="11"/>
  <c r="AA2345" i="11" s="1"/>
  <c r="Y2025" i="11"/>
  <c r="AB2025" i="11" s="1"/>
  <c r="V2025" i="11"/>
  <c r="AA2025" i="11" s="1"/>
  <c r="V1769" i="11"/>
  <c r="AA1769" i="11" s="1"/>
  <c r="Y1769" i="11"/>
  <c r="AB1769" i="11" s="1"/>
  <c r="V1513" i="11"/>
  <c r="AA1513" i="11" s="1"/>
  <c r="Y1513" i="11"/>
  <c r="AB1513" i="11" s="1"/>
  <c r="V1193" i="11"/>
  <c r="AA1193" i="11" s="1"/>
  <c r="Y1193" i="11"/>
  <c r="AB1193" i="11" s="1"/>
  <c r="Y937" i="11"/>
  <c r="AB937" i="11" s="1"/>
  <c r="V937" i="11"/>
  <c r="AA937" i="11" s="1"/>
  <c r="V681" i="11"/>
  <c r="AA681" i="11" s="1"/>
  <c r="Y681" i="11"/>
  <c r="AB681" i="11" s="1"/>
  <c r="Y425" i="11"/>
  <c r="AB425" i="11" s="1"/>
  <c r="V425" i="11"/>
  <c r="AA425" i="11" s="1"/>
  <c r="V105" i="11"/>
  <c r="AA105" i="11" s="1"/>
  <c r="Y105" i="11"/>
  <c r="AB105" i="11" s="1"/>
  <c r="V2649" i="11"/>
  <c r="AA2649" i="11" s="1"/>
  <c r="Y2649" i="11"/>
  <c r="AB2649" i="11" s="1"/>
  <c r="Y2329" i="11"/>
  <c r="AB2329" i="11" s="1"/>
  <c r="V2329" i="11"/>
  <c r="AA2329" i="11" s="1"/>
  <c r="Y2073" i="11"/>
  <c r="AB2073" i="11" s="1"/>
  <c r="V2073" i="11"/>
  <c r="AA2073" i="11" s="1"/>
  <c r="V1753" i="11"/>
  <c r="AA1753" i="11" s="1"/>
  <c r="Y1753" i="11"/>
  <c r="AB1753" i="11" s="1"/>
  <c r="V1305" i="11"/>
  <c r="AA1305" i="11" s="1"/>
  <c r="Y1305" i="11"/>
  <c r="AB1305" i="11" s="1"/>
  <c r="V985" i="11"/>
  <c r="AA985" i="11" s="1"/>
  <c r="Y985" i="11"/>
  <c r="AB985" i="11" s="1"/>
  <c r="Y729" i="11"/>
  <c r="AB729" i="11" s="1"/>
  <c r="V729" i="11"/>
  <c r="AA729" i="11" s="1"/>
  <c r="Y473" i="11"/>
  <c r="AB473" i="11" s="1"/>
  <c r="V473" i="11"/>
  <c r="AA473" i="11" s="1"/>
  <c r="V217" i="11"/>
  <c r="AA217" i="11" s="1"/>
  <c r="Y217" i="11"/>
  <c r="AB217" i="11" s="1"/>
  <c r="Y2385" i="11"/>
  <c r="AB2385" i="11" s="1"/>
  <c r="V2385" i="11"/>
  <c r="AA2385" i="11" s="1"/>
  <c r="V2065" i="11"/>
  <c r="AA2065" i="11" s="1"/>
  <c r="Y2065" i="11"/>
  <c r="AB2065" i="11" s="1"/>
  <c r="V1681" i="11"/>
  <c r="AA1681" i="11" s="1"/>
  <c r="Y1681" i="11"/>
  <c r="AB1681" i="11" s="1"/>
  <c r="Y1233" i="11"/>
  <c r="AB1233" i="11" s="1"/>
  <c r="V1233" i="11"/>
  <c r="AA1233" i="11" s="1"/>
  <c r="V977" i="11"/>
  <c r="AA977" i="11" s="1"/>
  <c r="Y977" i="11"/>
  <c r="AB977" i="11" s="1"/>
  <c r="V721" i="11"/>
  <c r="AA721" i="11" s="1"/>
  <c r="Y721" i="11"/>
  <c r="AB721" i="11" s="1"/>
  <c r="Y465" i="11"/>
  <c r="AB465" i="11" s="1"/>
  <c r="V465" i="11"/>
  <c r="AA465" i="11" s="1"/>
  <c r="Y81" i="11"/>
  <c r="AB81" i="11" s="1"/>
  <c r="V81" i="11"/>
  <c r="AA81" i="11" s="1"/>
  <c r="V2505" i="11"/>
  <c r="AA2505" i="11" s="1"/>
  <c r="Y2505" i="11"/>
  <c r="AB2505" i="11" s="1"/>
  <c r="V2249" i="11"/>
  <c r="AA2249" i="11" s="1"/>
  <c r="Y2249" i="11"/>
  <c r="AB2249" i="11" s="1"/>
  <c r="V1929" i="11"/>
  <c r="AA1929" i="11" s="1"/>
  <c r="Y1929" i="11"/>
  <c r="AB1929" i="11" s="1"/>
  <c r="V1673" i="11"/>
  <c r="AA1673" i="11" s="1"/>
  <c r="Y1673" i="11"/>
  <c r="AB1673" i="11" s="1"/>
  <c r="V1417" i="11"/>
  <c r="AA1417" i="11" s="1"/>
  <c r="Y1417" i="11"/>
  <c r="AB1417" i="11" s="1"/>
  <c r="Y1161" i="11"/>
  <c r="AB1161" i="11" s="1"/>
  <c r="V1161" i="11"/>
  <c r="AA1161" i="11" s="1"/>
  <c r="V841" i="11"/>
  <c r="AA841" i="11" s="1"/>
  <c r="Y841" i="11"/>
  <c r="AB841" i="11" s="1"/>
  <c r="Y457" i="11"/>
  <c r="AB457" i="11" s="1"/>
  <c r="V457" i="11"/>
  <c r="AA457" i="11" s="1"/>
  <c r="V201" i="11"/>
  <c r="AA201" i="11" s="1"/>
  <c r="Y201" i="11"/>
  <c r="AB201" i="11" s="1"/>
  <c r="V2689" i="11"/>
  <c r="AA2689" i="11" s="1"/>
  <c r="Y2689" i="11"/>
  <c r="AB2689" i="11" s="1"/>
  <c r="Y2433" i="11"/>
  <c r="AB2433" i="11" s="1"/>
  <c r="V2433" i="11"/>
  <c r="AA2433" i="11" s="1"/>
  <c r="V2177" i="11"/>
  <c r="AA2177" i="11" s="1"/>
  <c r="Y2177" i="11"/>
  <c r="AB2177" i="11" s="1"/>
  <c r="Y1857" i="11"/>
  <c r="AB1857" i="11" s="1"/>
  <c r="V1857" i="11"/>
  <c r="AA1857" i="11" s="1"/>
  <c r="V1537" i="11"/>
  <c r="AA1537" i="11" s="1"/>
  <c r="Y1537" i="11"/>
  <c r="AB1537" i="11" s="1"/>
  <c r="V1217" i="11"/>
  <c r="AA1217" i="11" s="1"/>
  <c r="Y1217" i="11"/>
  <c r="AB1217" i="11" s="1"/>
  <c r="V961" i="11"/>
  <c r="AA961" i="11" s="1"/>
  <c r="Y961" i="11"/>
  <c r="AB961" i="11" s="1"/>
  <c r="Y705" i="11"/>
  <c r="AB705" i="11" s="1"/>
  <c r="V705" i="11"/>
  <c r="AA705" i="11" s="1"/>
  <c r="Y449" i="11"/>
  <c r="AB449" i="11" s="1"/>
  <c r="V449" i="11"/>
  <c r="AA449" i="11" s="1"/>
  <c r="V57" i="11"/>
  <c r="AA57" i="11" s="1"/>
  <c r="Y57" i="11"/>
  <c r="AB57" i="11" s="1"/>
  <c r="N410" i="54"/>
  <c r="C7" i="63"/>
  <c r="L397" i="54" s="1"/>
  <c r="M397" i="54" s="1"/>
  <c r="H397" i="54" s="1"/>
  <c r="I397" i="54" s="1"/>
  <c r="J397" i="54" s="1"/>
  <c r="M398" i="54"/>
  <c r="H398" i="54" s="1"/>
  <c r="I398" i="54" s="1"/>
  <c r="J398" i="54" s="1"/>
  <c r="N398" i="54"/>
  <c r="T398" i="54"/>
  <c r="AB398" i="54" s="1"/>
  <c r="AE398" i="54" s="1"/>
  <c r="T396" i="54"/>
  <c r="AB396" i="54" s="1"/>
  <c r="AE396" i="54" s="1"/>
  <c r="N396" i="54"/>
  <c r="N69" i="54"/>
  <c r="N119" i="54"/>
  <c r="O64" i="54"/>
  <c r="O65" i="54"/>
  <c r="O115" i="54"/>
  <c r="N290" i="54"/>
  <c r="L68" i="54"/>
  <c r="T290" i="54"/>
  <c r="T118" i="54" s="1"/>
  <c r="F22" i="54"/>
  <c r="G74" i="33"/>
  <c r="L233" i="54"/>
  <c r="T233" i="54" s="1"/>
  <c r="N385" i="54"/>
  <c r="N13" i="54" s="1"/>
  <c r="M207" i="54"/>
  <c r="AB344" i="54"/>
  <c r="H273" i="54"/>
  <c r="I273" i="54" s="1"/>
  <c r="J273" i="54" s="1"/>
  <c r="F134" i="54"/>
  <c r="F110" i="54"/>
  <c r="H10" i="54"/>
  <c r="I10" i="54" s="1"/>
  <c r="J10" i="54" s="1"/>
  <c r="U10" i="54"/>
  <c r="L13" i="54"/>
  <c r="N10" i="54"/>
  <c r="M14" i="54"/>
  <c r="G13" i="54"/>
  <c r="F109" i="54"/>
  <c r="O10" i="54"/>
  <c r="AC431" i="54"/>
  <c r="AF431" i="54" s="1"/>
  <c r="F385" i="54"/>
  <c r="F107" i="54"/>
  <c r="O391" i="54"/>
  <c r="F7" i="54"/>
  <c r="F103" i="54"/>
  <c r="F10" i="54"/>
  <c r="F11" i="54" s="1"/>
  <c r="F114" i="54"/>
  <c r="F122" i="54" s="1"/>
  <c r="I431" i="54"/>
  <c r="J431" i="54" s="1"/>
  <c r="T10" i="54"/>
  <c r="AB114" i="54"/>
  <c r="AE114" i="54" s="1"/>
  <c r="I352" i="54"/>
  <c r="J352" i="54" s="1"/>
  <c r="AC352" i="54"/>
  <c r="AF352" i="54" s="1"/>
  <c r="AB3681" i="11"/>
  <c r="AA3233" i="11"/>
  <c r="AB408" i="54"/>
  <c r="AE408" i="54" s="1"/>
  <c r="AC409" i="54"/>
  <c r="AF409" i="54" s="1"/>
  <c r="AC408" i="54"/>
  <c r="AF408" i="54" s="1"/>
  <c r="AC407" i="54"/>
  <c r="AF407" i="54" s="1"/>
  <c r="AA3273" i="11"/>
  <c r="M410" i="54"/>
  <c r="AE406" i="54"/>
  <c r="T410" i="54"/>
  <c r="AA3292" i="11"/>
  <c r="AB2066" i="11"/>
  <c r="K54" i="33"/>
  <c r="F148" i="54"/>
  <c r="M235" i="54"/>
  <c r="M237" i="54"/>
  <c r="AA2654" i="11"/>
  <c r="F152" i="54"/>
  <c r="AA2972" i="11"/>
  <c r="F145" i="54"/>
  <c r="F131" i="54"/>
  <c r="M54" i="33"/>
  <c r="L219" i="54"/>
  <c r="F156" i="54"/>
  <c r="T267" i="54"/>
  <c r="AB267" i="54" s="1"/>
  <c r="AE267" i="54" s="1"/>
  <c r="F143" i="54"/>
  <c r="F142" i="54"/>
  <c r="F161" i="54"/>
  <c r="F147" i="54"/>
  <c r="E28" i="21"/>
  <c r="F28" i="21" s="1"/>
  <c r="G28" i="21" s="1"/>
  <c r="E39" i="21"/>
  <c r="F39" i="21" s="1"/>
  <c r="G39" i="21" s="1"/>
  <c r="E16" i="21"/>
  <c r="F16" i="21" s="1"/>
  <c r="G16" i="21" s="1"/>
  <c r="E27" i="21"/>
  <c r="F27" i="21" s="1"/>
  <c r="G27" i="21" s="1"/>
  <c r="E14" i="21"/>
  <c r="F14" i="21" s="1"/>
  <c r="G14" i="21" s="1"/>
  <c r="E33" i="21"/>
  <c r="F33" i="21" s="1"/>
  <c r="G33" i="21" s="1"/>
  <c r="E8" i="21"/>
  <c r="F8" i="21" s="1"/>
  <c r="G8" i="21" s="1"/>
  <c r="E19" i="21"/>
  <c r="F19" i="21" s="1"/>
  <c r="G19" i="21" s="1"/>
  <c r="E17" i="21"/>
  <c r="F17" i="21" s="1"/>
  <c r="G17" i="21" s="1"/>
  <c r="E22" i="21"/>
  <c r="F22" i="21" s="1"/>
  <c r="G22" i="21" s="1"/>
  <c r="E32" i="21"/>
  <c r="F32" i="21" s="1"/>
  <c r="G32" i="21" s="1"/>
  <c r="E26" i="21"/>
  <c r="F26" i="21" s="1"/>
  <c r="G26" i="21" s="1"/>
  <c r="E13" i="21"/>
  <c r="F13" i="21" s="1"/>
  <c r="G13" i="21" s="1"/>
  <c r="E6" i="21"/>
  <c r="F6" i="21" s="1"/>
  <c r="G6" i="21" s="1"/>
  <c r="E34" i="21"/>
  <c r="F34" i="21" s="1"/>
  <c r="G34" i="21" s="1"/>
  <c r="E24" i="21"/>
  <c r="F24" i="21" s="1"/>
  <c r="G24" i="21" s="1"/>
  <c r="E38" i="21"/>
  <c r="F38" i="21" s="1"/>
  <c r="G38" i="21" s="1"/>
  <c r="E20" i="21"/>
  <c r="F20" i="21" s="1"/>
  <c r="G20" i="21" s="1"/>
  <c r="E25" i="21"/>
  <c r="F25" i="21" s="1"/>
  <c r="G25" i="21" s="1"/>
  <c r="E37" i="21"/>
  <c r="F37" i="21" s="1"/>
  <c r="G37" i="21" s="1"/>
  <c r="E29" i="21"/>
  <c r="F29" i="21" s="1"/>
  <c r="G29" i="21" s="1"/>
  <c r="E12" i="21"/>
  <c r="F12" i="21" s="1"/>
  <c r="G12" i="21" s="1"/>
  <c r="E5" i="21"/>
  <c r="E9" i="21"/>
  <c r="F9" i="21" s="1"/>
  <c r="G9" i="21" s="1"/>
  <c r="E36" i="21"/>
  <c r="F36" i="21" s="1"/>
  <c r="G36" i="21" s="1"/>
  <c r="E30" i="21"/>
  <c r="F30" i="21" s="1"/>
  <c r="G30" i="21" s="1"/>
  <c r="E15" i="21"/>
  <c r="F15" i="21" s="1"/>
  <c r="G15" i="21" s="1"/>
  <c r="E10" i="21"/>
  <c r="F10" i="21" s="1"/>
  <c r="G10" i="21" s="1"/>
  <c r="E23" i="21"/>
  <c r="F23" i="21" s="1"/>
  <c r="G23" i="21" s="1"/>
  <c r="E7" i="21"/>
  <c r="F7" i="21" s="1"/>
  <c r="G7" i="21" s="1"/>
  <c r="E18" i="21"/>
  <c r="F18" i="21" s="1"/>
  <c r="G18" i="21" s="1"/>
  <c r="E11" i="21"/>
  <c r="F11" i="21" s="1"/>
  <c r="G11" i="21" s="1"/>
  <c r="E35" i="21"/>
  <c r="F35" i="21" s="1"/>
  <c r="G35" i="21" s="1"/>
  <c r="E40" i="21"/>
  <c r="F40" i="21" s="1"/>
  <c r="G40" i="21" s="1"/>
  <c r="E31" i="21"/>
  <c r="F31" i="21" s="1"/>
  <c r="G31" i="21" s="1"/>
  <c r="E21" i="21"/>
  <c r="F21" i="21" s="1"/>
  <c r="G21" i="21" s="1"/>
  <c r="E41" i="21"/>
  <c r="F41" i="21" s="1"/>
  <c r="G41" i="21" s="1"/>
  <c r="A1" i="36"/>
  <c r="A1" i="35"/>
  <c r="A1" i="34"/>
  <c r="L232" i="54"/>
  <c r="AB2889" i="11"/>
  <c r="AB2921" i="11"/>
  <c r="AA3025" i="11"/>
  <c r="AB153" i="11"/>
  <c r="AA441" i="11"/>
  <c r="AB3777" i="11"/>
  <c r="AA3228" i="11"/>
  <c r="AB1497" i="11"/>
  <c r="AA2665" i="11"/>
  <c r="AA129" i="11"/>
  <c r="AB2953" i="11"/>
  <c r="AB3356" i="11"/>
  <c r="D9" i="63"/>
  <c r="AA2748" i="11"/>
  <c r="AA1593" i="11"/>
  <c r="AA3468" i="11"/>
  <c r="AB1097" i="11"/>
  <c r="AA2956" i="11"/>
  <c r="AB1745" i="11"/>
  <c r="AB2013" i="11"/>
  <c r="AA3702" i="11"/>
  <c r="M229" i="54"/>
  <c r="AA3841" i="11"/>
  <c r="AB2732" i="11"/>
  <c r="AA3201" i="11"/>
  <c r="AA3388" i="11"/>
  <c r="AA2924" i="11"/>
  <c r="AA3313" i="11"/>
  <c r="AA2876" i="11"/>
  <c r="AA3813" i="11"/>
  <c r="Y2656" i="11"/>
  <c r="AB2670" i="11"/>
  <c r="AB2812" i="11"/>
  <c r="AA3489" i="11"/>
  <c r="V2672" i="11"/>
  <c r="AA2940" i="11"/>
  <c r="V2722" i="11"/>
  <c r="AB2404" i="11"/>
  <c r="Y2640" i="11"/>
  <c r="Y2631" i="11"/>
  <c r="AA2873" i="11"/>
  <c r="AA2537" i="11"/>
  <c r="AA2468" i="11"/>
  <c r="M215" i="54"/>
  <c r="V2688" i="11"/>
  <c r="AA2688" i="11" s="1"/>
  <c r="V2714" i="11"/>
  <c r="AA3807" i="11"/>
  <c r="AB3401" i="11"/>
  <c r="Y2671" i="11"/>
  <c r="AA2671" i="11"/>
  <c r="Y2214" i="11"/>
  <c r="AB2214" i="11" s="1"/>
  <c r="V2214" i="11"/>
  <c r="AA2214" i="11" s="1"/>
  <c r="V3286" i="11"/>
  <c r="Y3286" i="11"/>
  <c r="AB3286" i="11" s="1"/>
  <c r="V2638" i="11"/>
  <c r="Y2638" i="11"/>
  <c r="AB2638" i="11" s="1"/>
  <c r="Y2178" i="11"/>
  <c r="V2178" i="11"/>
  <c r="V1650" i="11"/>
  <c r="AA1650" i="11" s="1"/>
  <c r="Y1650" i="11"/>
  <c r="AB1650" i="11" s="1"/>
  <c r="V2314" i="11"/>
  <c r="AA2314" i="11" s="1"/>
  <c r="Y2314" i="11"/>
  <c r="AB2314" i="11" s="1"/>
  <c r="Y1602" i="11"/>
  <c r="V1602" i="11"/>
  <c r="V3686" i="11"/>
  <c r="AA3686" i="11" s="1"/>
  <c r="Y3686" i="11"/>
  <c r="AB3686" i="11" s="1"/>
  <c r="V2550" i="11"/>
  <c r="AA2550" i="11" s="1"/>
  <c r="Y2550" i="11"/>
  <c r="AB2550" i="11" s="1"/>
  <c r="V3470" i="11"/>
  <c r="AA3470" i="11" s="1"/>
  <c r="Y3470" i="11"/>
  <c r="AB3470" i="11" s="1"/>
  <c r="Y2490" i="11"/>
  <c r="AB2490" i="11" s="1"/>
  <c r="V2490" i="11"/>
  <c r="AA2490" i="11" s="1"/>
  <c r="Y2442" i="11"/>
  <c r="AB2442" i="11" s="1"/>
  <c r="V2442" i="11"/>
  <c r="AA2442" i="11" s="1"/>
  <c r="Y1666" i="11"/>
  <c r="AB1666" i="11" s="1"/>
  <c r="V1666" i="11"/>
  <c r="AA1666" i="11" s="1"/>
  <c r="V2292" i="11"/>
  <c r="Y2292" i="11"/>
  <c r="Y1890" i="11"/>
  <c r="AB1890" i="11" s="1"/>
  <c r="V1890" i="11"/>
  <c r="V882" i="11"/>
  <c r="Y882" i="11"/>
  <c r="AB882" i="11" s="1"/>
  <c r="Y3366" i="11"/>
  <c r="AB3366" i="11" s="1"/>
  <c r="V3366" i="11"/>
  <c r="AA3366" i="11" s="1"/>
  <c r="Y3406" i="11"/>
  <c r="AB3406" i="11" s="1"/>
  <c r="V3406" i="11"/>
  <c r="AA3406" i="11" s="1"/>
  <c r="Y2646" i="11"/>
  <c r="AB2646" i="11" s="1"/>
  <c r="V2646" i="11"/>
  <c r="Y2766" i="11"/>
  <c r="AB2766" i="11" s="1"/>
  <c r="V2766" i="11"/>
  <c r="AA2766" i="11" s="1"/>
  <c r="V2002" i="11"/>
  <c r="Y2002" i="11"/>
  <c r="Y1298" i="11"/>
  <c r="AB1298" i="11" s="1"/>
  <c r="V1298" i="11"/>
  <c r="AA1298" i="11" s="1"/>
  <c r="V3078" i="11"/>
  <c r="Y3078" i="11"/>
  <c r="AB3078" i="11" s="1"/>
  <c r="V3502" i="11"/>
  <c r="AA3502" i="11" s="1"/>
  <c r="Y3502" i="11"/>
  <c r="Y3582" i="11"/>
  <c r="AB3582" i="11" s="1"/>
  <c r="V3582" i="11"/>
  <c r="AA3582" i="11" s="1"/>
  <c r="V3494" i="11"/>
  <c r="AA3494" i="11" s="1"/>
  <c r="Y3494" i="11"/>
  <c r="AB3494" i="11" s="1"/>
  <c r="Y2604" i="11"/>
  <c r="V2604" i="11"/>
  <c r="Y1970" i="11"/>
  <c r="V1970" i="11"/>
  <c r="Y1170" i="11"/>
  <c r="AB1170" i="11" s="1"/>
  <c r="V1170" i="11"/>
  <c r="AA1170" i="11" s="1"/>
  <c r="Y2974" i="11"/>
  <c r="V2974" i="11"/>
  <c r="AA2974" i="11" s="1"/>
  <c r="Y2082" i="11"/>
  <c r="V2082" i="11"/>
  <c r="Y1570" i="11"/>
  <c r="AB1570" i="11" s="1"/>
  <c r="V1570" i="11"/>
  <c r="AA1570" i="11" s="1"/>
  <c r="Y2526" i="11"/>
  <c r="AB2526" i="11" s="1"/>
  <c r="V2526" i="11"/>
  <c r="AA2526" i="11" s="1"/>
  <c r="Y2862" i="11"/>
  <c r="V2862" i="11"/>
  <c r="AA2862" i="11" s="1"/>
  <c r="Y2238" i="11"/>
  <c r="AB2238" i="11" s="1"/>
  <c r="V2238" i="11"/>
  <c r="AA2238" i="11" s="1"/>
  <c r="Y2034" i="11"/>
  <c r="AB2034" i="11" s="1"/>
  <c r="V2034" i="11"/>
  <c r="Y1426" i="11"/>
  <c r="AB1426" i="11" s="1"/>
  <c r="V1426" i="11"/>
  <c r="AA1426" i="11" s="1"/>
  <c r="V2982" i="11"/>
  <c r="AA2982" i="11" s="1"/>
  <c r="Y2982" i="11"/>
  <c r="AB2982" i="11" s="1"/>
  <c r="Y2130" i="11"/>
  <c r="V2130" i="11"/>
  <c r="V1266" i="11"/>
  <c r="AA1266" i="11" s="1"/>
  <c r="Y1266" i="11"/>
  <c r="AB1266" i="11" s="1"/>
  <c r="V3606" i="11"/>
  <c r="AA3606" i="11" s="1"/>
  <c r="Y3606" i="11"/>
  <c r="AB3606" i="11" s="1"/>
  <c r="Y3486" i="11"/>
  <c r="AB3486" i="11" s="1"/>
  <c r="V3486" i="11"/>
  <c r="AA3486" i="11" s="1"/>
  <c r="Y3718" i="11"/>
  <c r="AB3718" i="11" s="1"/>
  <c r="V3718" i="11"/>
  <c r="AA3718" i="11" s="1"/>
  <c r="Y3158" i="11"/>
  <c r="AB3158" i="11" s="1"/>
  <c r="V3158" i="11"/>
  <c r="Y2234" i="11"/>
  <c r="AB2234" i="11" s="1"/>
  <c r="V2234" i="11"/>
  <c r="V3294" i="11"/>
  <c r="AA3294" i="11" s="1"/>
  <c r="Y3294" i="11"/>
  <c r="AB3294" i="11" s="1"/>
  <c r="V2050" i="11"/>
  <c r="Y2050" i="11"/>
  <c r="V1522" i="11"/>
  <c r="AA1522" i="11" s="1"/>
  <c r="Y1522" i="11"/>
  <c r="AB1522" i="11" s="1"/>
  <c r="V2378" i="11"/>
  <c r="AA2378" i="11" s="1"/>
  <c r="Y2378" i="11"/>
  <c r="AB2378" i="11" s="1"/>
  <c r="Y1762" i="11"/>
  <c r="V1762" i="11"/>
  <c r="AA1762" i="11" s="1"/>
  <c r="V370" i="11"/>
  <c r="AA370" i="11" s="1"/>
  <c r="Y370" i="11"/>
  <c r="AB370" i="11" s="1"/>
  <c r="Y2438" i="11"/>
  <c r="AB2438" i="11" s="1"/>
  <c r="V2438" i="11"/>
  <c r="AA2438" i="11" s="1"/>
  <c r="Y2742" i="11"/>
  <c r="AB2742" i="11" s="1"/>
  <c r="V2742" i="11"/>
  <c r="AA2742" i="11" s="1"/>
  <c r="Y2430" i="11"/>
  <c r="AB2430" i="11" s="1"/>
  <c r="V2430" i="11"/>
  <c r="AA2430" i="11" s="1"/>
  <c r="Y2630" i="11"/>
  <c r="AB2630" i="11" s="1"/>
  <c r="V2630" i="11"/>
  <c r="AA2630" i="11" s="1"/>
  <c r="V1874" i="11"/>
  <c r="AA1874" i="11" s="1"/>
  <c r="Y1874" i="11"/>
  <c r="V786" i="11"/>
  <c r="AA786" i="11" s="1"/>
  <c r="Y786" i="11"/>
  <c r="AB786" i="11" s="1"/>
  <c r="V2350" i="11"/>
  <c r="Y2350" i="11"/>
  <c r="AB2350" i="11" s="1"/>
  <c r="V3390" i="11"/>
  <c r="AA3390" i="11" s="1"/>
  <c r="Y3390" i="11"/>
  <c r="AB3390" i="11" s="1"/>
  <c r="Y3062" i="11"/>
  <c r="AB3062" i="11" s="1"/>
  <c r="V3062" i="11"/>
  <c r="AA3062" i="11" s="1"/>
  <c r="V3190" i="11"/>
  <c r="AA3190" i="11" s="1"/>
  <c r="Y3190" i="11"/>
  <c r="AB3190" i="11" s="1"/>
  <c r="Y2554" i="11"/>
  <c r="V2554" i="11"/>
  <c r="Y1842" i="11"/>
  <c r="V1842" i="11"/>
  <c r="AA1842" i="11" s="1"/>
  <c r="Y658" i="11"/>
  <c r="V658" i="11"/>
  <c r="Y2548" i="11"/>
  <c r="V2548" i="11"/>
  <c r="Y1954" i="11"/>
  <c r="AB1954" i="11" s="1"/>
  <c r="V1954" i="11"/>
  <c r="AA1954" i="11" s="1"/>
  <c r="Y1138" i="11"/>
  <c r="AB1138" i="11" s="1"/>
  <c r="V1138" i="11"/>
  <c r="AA1138" i="11" s="1"/>
  <c r="Y3398" i="11"/>
  <c r="AB3398" i="11" s="1"/>
  <c r="V3398" i="11"/>
  <c r="V2750" i="11"/>
  <c r="AA2750" i="11" s="1"/>
  <c r="Y2750" i="11"/>
  <c r="AB2750" i="11" s="1"/>
  <c r="V3070" i="11"/>
  <c r="AA3070" i="11" s="1"/>
  <c r="Y3070" i="11"/>
  <c r="AB3070" i="11" s="1"/>
  <c r="V2348" i="11"/>
  <c r="Y2348" i="11"/>
  <c r="Y1906" i="11"/>
  <c r="V1906" i="11"/>
  <c r="Y914" i="11"/>
  <c r="AB914" i="11" s="1"/>
  <c r="V914" i="11"/>
  <c r="AA914" i="11" s="1"/>
  <c r="Y2446" i="11"/>
  <c r="AB2446" i="11" s="1"/>
  <c r="V2446" i="11"/>
  <c r="AA2446" i="11" s="1"/>
  <c r="V1858" i="11"/>
  <c r="AA1858" i="11" s="1"/>
  <c r="Y1858" i="11"/>
  <c r="Y754" i="11"/>
  <c r="AB754" i="11" s="1"/>
  <c r="V754" i="11"/>
  <c r="AA754" i="11" s="1"/>
  <c r="V2506" i="11"/>
  <c r="AA2506" i="11" s="1"/>
  <c r="Y2506" i="11"/>
  <c r="AB2506" i="11" s="1"/>
  <c r="Y2566" i="11"/>
  <c r="V2566" i="11"/>
  <c r="AA2566" i="11" s="1"/>
  <c r="V3382" i="11"/>
  <c r="Y3382" i="11"/>
  <c r="Y3478" i="11"/>
  <c r="AB3478" i="11" s="1"/>
  <c r="V3478" i="11"/>
  <c r="AA3478" i="11" s="1"/>
  <c r="Y2878" i="11"/>
  <c r="AB2878" i="11" s="1"/>
  <c r="V2878" i="11"/>
  <c r="AA2878" i="11" s="1"/>
  <c r="V3614" i="11"/>
  <c r="AA3614" i="11" s="1"/>
  <c r="Y3614" i="11"/>
  <c r="AB3614" i="11" s="1"/>
  <c r="V1922" i="11"/>
  <c r="AA1922" i="11" s="1"/>
  <c r="Y1922" i="11"/>
  <c r="V1010" i="11"/>
  <c r="AA1010" i="11" s="1"/>
  <c r="Y1010" i="11"/>
  <c r="AB1010" i="11" s="1"/>
  <c r="Y3270" i="11"/>
  <c r="V3270" i="11"/>
  <c r="AA3270" i="11" s="1"/>
  <c r="Y2162" i="11"/>
  <c r="AB2162" i="11" s="1"/>
  <c r="V2162" i="11"/>
  <c r="Y1634" i="11"/>
  <c r="AB1634" i="11" s="1"/>
  <c r="V1634" i="11"/>
  <c r="AA1634" i="11" s="1"/>
  <c r="Y2662" i="11"/>
  <c r="AB2662" i="11" s="1"/>
  <c r="V2662" i="11"/>
  <c r="AA2662" i="11" s="1"/>
  <c r="Y3598" i="11"/>
  <c r="V3598" i="11"/>
  <c r="V3791" i="11"/>
  <c r="Y3791" i="11"/>
  <c r="V3156" i="11"/>
  <c r="Y3156" i="11"/>
  <c r="Y1746" i="11"/>
  <c r="AB1746" i="11" s="1"/>
  <c r="V1746" i="11"/>
  <c r="AA1746" i="11" s="1"/>
  <c r="Y274" i="11"/>
  <c r="V274" i="11"/>
  <c r="Y3166" i="11"/>
  <c r="V3166" i="11"/>
  <c r="Y3262" i="11"/>
  <c r="V3262" i="11"/>
  <c r="AA3262" i="11" s="1"/>
  <c r="V2542" i="11"/>
  <c r="AA2542" i="11" s="1"/>
  <c r="Y2542" i="11"/>
  <c r="AB2542" i="11" s="1"/>
  <c r="Y2966" i="11"/>
  <c r="V2966" i="11"/>
  <c r="AA2966" i="11" s="1"/>
  <c r="Y2298" i="11"/>
  <c r="AB2298" i="11" s="1"/>
  <c r="V2298" i="11"/>
  <c r="Y1714" i="11"/>
  <c r="V1714" i="11"/>
  <c r="Y1826" i="11"/>
  <c r="AB1826" i="11" s="1"/>
  <c r="V1826" i="11"/>
  <c r="V626" i="11"/>
  <c r="Y626" i="11"/>
  <c r="Y2774" i="11"/>
  <c r="V2774" i="11"/>
  <c r="AA2774" i="11" s="1"/>
  <c r="V2958" i="11"/>
  <c r="AA2958" i="11" s="1"/>
  <c r="Y2958" i="11"/>
  <c r="AB2958" i="11" s="1"/>
  <c r="Y2534" i="11"/>
  <c r="V2534" i="11"/>
  <c r="AA2534" i="11" s="1"/>
  <c r="Y3694" i="11"/>
  <c r="AB3694" i="11" s="1"/>
  <c r="V3694" i="11"/>
  <c r="AA3694" i="11" s="1"/>
  <c r="Y2846" i="11"/>
  <c r="AB2846" i="11" s="1"/>
  <c r="V2846" i="11"/>
  <c r="AA2846" i="11" s="1"/>
  <c r="Y2426" i="11"/>
  <c r="AB2426" i="11" s="1"/>
  <c r="V2426" i="11"/>
  <c r="AA2426" i="11" s="1"/>
  <c r="Y1778" i="11"/>
  <c r="AB1778" i="11" s="1"/>
  <c r="V1778" i="11"/>
  <c r="AA1778" i="11" s="1"/>
  <c r="Y402" i="11"/>
  <c r="AB402" i="11" s="1"/>
  <c r="V402" i="11"/>
  <c r="AA402" i="11" s="1"/>
  <c r="Y2570" i="11"/>
  <c r="V2570" i="11"/>
  <c r="AA2570" i="11" s="1"/>
  <c r="V1730" i="11"/>
  <c r="AA1730" i="11" s="1"/>
  <c r="Y1730" i="11"/>
  <c r="Y242" i="11"/>
  <c r="V242" i="11"/>
  <c r="AA242" i="11" s="1"/>
  <c r="Y2318" i="11"/>
  <c r="AB2318" i="11" s="1"/>
  <c r="V2318" i="11"/>
  <c r="AA2318" i="11" s="1"/>
  <c r="Y2476" i="11"/>
  <c r="AB2476" i="11" s="1"/>
  <c r="V2476" i="11"/>
  <c r="AA2476" i="11" s="1"/>
  <c r="Y2950" i="11"/>
  <c r="AB2950" i="11" s="1"/>
  <c r="V2950" i="11"/>
  <c r="AA2950" i="11" s="1"/>
  <c r="Y1794" i="11"/>
  <c r="V1794" i="11"/>
  <c r="AA1794" i="11" s="1"/>
  <c r="Y498" i="11"/>
  <c r="AB498" i="11" s="1"/>
  <c r="V498" i="11"/>
  <c r="AA498" i="11" s="1"/>
  <c r="Y2870" i="11"/>
  <c r="AB2870" i="11" s="1"/>
  <c r="V2870" i="11"/>
  <c r="AA2870" i="11" s="1"/>
  <c r="V2018" i="11"/>
  <c r="Y2018" i="11"/>
  <c r="V1394" i="11"/>
  <c r="AA1394" i="11" s="1"/>
  <c r="Y1394" i="11"/>
  <c r="AB1394" i="11" s="1"/>
  <c r="V3590" i="11"/>
  <c r="AA3590" i="11" s="1"/>
  <c r="Y3590" i="11"/>
  <c r="AB3590" i="11" s="1"/>
  <c r="Y3174" i="11"/>
  <c r="AB3174" i="11" s="1"/>
  <c r="V3174" i="11"/>
  <c r="AA3174" i="11" s="1"/>
  <c r="V3054" i="11"/>
  <c r="AA3054" i="11" s="1"/>
  <c r="Y3054" i="11"/>
  <c r="AB3054" i="11" s="1"/>
  <c r="Y2146" i="11"/>
  <c r="V2146" i="11"/>
  <c r="AA2146" i="11" s="1"/>
  <c r="Y1618" i="11"/>
  <c r="V1618" i="11"/>
  <c r="Y3710" i="11"/>
  <c r="V3710" i="11"/>
  <c r="AA3710" i="11" s="1"/>
  <c r="Y2222" i="11"/>
  <c r="AB2222" i="11" s="1"/>
  <c r="V2222" i="11"/>
  <c r="AA2222" i="11" s="1"/>
  <c r="Y3815" i="11"/>
  <c r="V3815" i="11"/>
  <c r="V2334" i="11"/>
  <c r="AA2334" i="11" s="1"/>
  <c r="Y2334" i="11"/>
  <c r="AB2334" i="11" s="1"/>
  <c r="V2342" i="11"/>
  <c r="AA2342" i="11" s="1"/>
  <c r="Y2342" i="11"/>
  <c r="AB2342" i="11" s="1"/>
  <c r="Y2098" i="11"/>
  <c r="V2098" i="11"/>
  <c r="Y1586" i="11"/>
  <c r="AB1586" i="11" s="1"/>
  <c r="V1586" i="11"/>
  <c r="AA1586" i="11" s="1"/>
  <c r="Y2246" i="11"/>
  <c r="AB2246" i="11" s="1"/>
  <c r="V2246" i="11"/>
  <c r="AA2246" i="11" s="1"/>
  <c r="V2250" i="11"/>
  <c r="AA2250" i="11" s="1"/>
  <c r="Y2250" i="11"/>
  <c r="Y1698" i="11"/>
  <c r="AB1698" i="11" s="1"/>
  <c r="V1698" i="11"/>
  <c r="AA1698" i="11" s="1"/>
  <c r="Y3860" i="11"/>
  <c r="V3860" i="11"/>
  <c r="Y2244" i="11"/>
  <c r="V2244" i="11"/>
  <c r="Y3571" i="11"/>
  <c r="AB3571" i="11" s="1"/>
  <c r="V3571" i="11"/>
  <c r="AA3571" i="11" s="1"/>
  <c r="Y3315" i="11"/>
  <c r="AB3315" i="11" s="1"/>
  <c r="V3315" i="11"/>
  <c r="AA3315" i="11" s="1"/>
  <c r="Y3059" i="11"/>
  <c r="AB3059" i="11" s="1"/>
  <c r="V3059" i="11"/>
  <c r="AA3059" i="11" s="1"/>
  <c r="V2803" i="11"/>
  <c r="AA2803" i="11" s="1"/>
  <c r="Y2803" i="11"/>
  <c r="AB2803" i="11" s="1"/>
  <c r="V2547" i="11"/>
  <c r="AA2547" i="11" s="1"/>
  <c r="Y2547" i="11"/>
  <c r="AB2547" i="11" s="1"/>
  <c r="Y3636" i="11"/>
  <c r="AB3636" i="11" s="1"/>
  <c r="V3636" i="11"/>
  <c r="Y3380" i="11"/>
  <c r="V3380" i="11"/>
  <c r="V2932" i="11"/>
  <c r="Y2932" i="11"/>
  <c r="AB2932" i="11" s="1"/>
  <c r="Y2596" i="11"/>
  <c r="V2596" i="11"/>
  <c r="V2236" i="11"/>
  <c r="Y2236" i="11"/>
  <c r="V3563" i="11"/>
  <c r="AA3563" i="11" s="1"/>
  <c r="Y3563" i="11"/>
  <c r="AB3563" i="11" s="1"/>
  <c r="V3051" i="11"/>
  <c r="AA3051" i="11" s="1"/>
  <c r="Y3051" i="11"/>
  <c r="AB3051" i="11" s="1"/>
  <c r="Y2795" i="11"/>
  <c r="AB2795" i="11" s="1"/>
  <c r="V2795" i="11"/>
  <c r="AA2795" i="11" s="1"/>
  <c r="V2539" i="11"/>
  <c r="AA2539" i="11" s="1"/>
  <c r="Y2539" i="11"/>
  <c r="AB2539" i="11" s="1"/>
  <c r="V2660" i="11"/>
  <c r="Y2660" i="11"/>
  <c r="Y2372" i="11"/>
  <c r="V2372" i="11"/>
  <c r="V3683" i="11"/>
  <c r="AA3683" i="11" s="1"/>
  <c r="Y3683" i="11"/>
  <c r="AB3683" i="11" s="1"/>
  <c r="Y3427" i="11"/>
  <c r="AB3427" i="11" s="1"/>
  <c r="V3427" i="11"/>
  <c r="AA3427" i="11" s="1"/>
  <c r="Y2915" i="11"/>
  <c r="AB2915" i="11" s="1"/>
  <c r="V2915" i="11"/>
  <c r="AA2915" i="11" s="1"/>
  <c r="V2659" i="11"/>
  <c r="AA2659" i="11" s="1"/>
  <c r="Y2659" i="11"/>
  <c r="V3556" i="11"/>
  <c r="Y3556" i="11"/>
  <c r="V3300" i="11"/>
  <c r="Y3300" i="11"/>
  <c r="Y2580" i="11"/>
  <c r="V2580" i="11"/>
  <c r="V2284" i="11"/>
  <c r="Y2284" i="11"/>
  <c r="V3611" i="11"/>
  <c r="AA3611" i="11" s="1"/>
  <c r="Y3611" i="11"/>
  <c r="AB3611" i="11" s="1"/>
  <c r="Y3355" i="11"/>
  <c r="AB3355" i="11" s="1"/>
  <c r="V3355" i="11"/>
  <c r="AA3355" i="11" s="1"/>
  <c r="Y3099" i="11"/>
  <c r="AB3099" i="11" s="1"/>
  <c r="V3099" i="11"/>
  <c r="AA3099" i="11" s="1"/>
  <c r="V2843" i="11"/>
  <c r="AA2843" i="11" s="1"/>
  <c r="Y2843" i="11"/>
  <c r="AB2843" i="11" s="1"/>
  <c r="Y2331" i="11"/>
  <c r="V2331" i="11"/>
  <c r="AA2331" i="11" s="1"/>
  <c r="Y3820" i="11"/>
  <c r="V3820" i="11"/>
  <c r="V2964" i="11"/>
  <c r="Y2964" i="11"/>
  <c r="AB2964" i="11" s="1"/>
  <c r="Y2500" i="11"/>
  <c r="V2500" i="11"/>
  <c r="Y3731" i="11"/>
  <c r="AB3731" i="11" s="1"/>
  <c r="V3731" i="11"/>
  <c r="AA3731" i="11" s="1"/>
  <c r="V3475" i="11"/>
  <c r="AA3475" i="11" s="1"/>
  <c r="Y3475" i="11"/>
  <c r="AB3475" i="11" s="1"/>
  <c r="Y3219" i="11"/>
  <c r="AB3219" i="11" s="1"/>
  <c r="V3219" i="11"/>
  <c r="AA3219" i="11" s="1"/>
  <c r="Y2963" i="11"/>
  <c r="AB2963" i="11" s="1"/>
  <c r="V2963" i="11"/>
  <c r="AA2963" i="11" s="1"/>
  <c r="Y2707" i="11"/>
  <c r="AB2707" i="11" s="1"/>
  <c r="V2707" i="11"/>
  <c r="Y2451" i="11"/>
  <c r="AB2451" i="11" s="1"/>
  <c r="V2451" i="11"/>
  <c r="AA2451" i="11" s="1"/>
  <c r="Y3604" i="11"/>
  <c r="AB3604" i="11" s="1"/>
  <c r="V3604" i="11"/>
  <c r="Y3348" i="11"/>
  <c r="V3348" i="11"/>
  <c r="Y2836" i="11"/>
  <c r="AB2836" i="11" s="1"/>
  <c r="V2836" i="11"/>
  <c r="Y2564" i="11"/>
  <c r="V2564" i="11"/>
  <c r="Y2268" i="11"/>
  <c r="V2268" i="11"/>
  <c r="V3595" i="11"/>
  <c r="AA3595" i="11" s="1"/>
  <c r="Y3595" i="11"/>
  <c r="AB3595" i="11" s="1"/>
  <c r="Y3339" i="11"/>
  <c r="AB3339" i="11" s="1"/>
  <c r="V3339" i="11"/>
  <c r="V3083" i="11"/>
  <c r="AA3083" i="11" s="1"/>
  <c r="Y3083" i="11"/>
  <c r="AB3083" i="11" s="1"/>
  <c r="Y2827" i="11"/>
  <c r="AB2827" i="11" s="1"/>
  <c r="V2827" i="11"/>
  <c r="AA2827" i="11" s="1"/>
  <c r="V2571" i="11"/>
  <c r="AA2571" i="11" s="1"/>
  <c r="Y2571" i="11"/>
  <c r="AB2571" i="11" s="1"/>
  <c r="V3876" i="11"/>
  <c r="Y3876" i="11"/>
  <c r="Y3387" i="11"/>
  <c r="AB3387" i="11" s="1"/>
  <c r="V3387" i="11"/>
  <c r="AA3387" i="11" s="1"/>
  <c r="Y3499" i="11"/>
  <c r="AB3499" i="11" s="1"/>
  <c r="V3499" i="11"/>
  <c r="AA3499" i="11" s="1"/>
  <c r="Y3243" i="11"/>
  <c r="AB3243" i="11" s="1"/>
  <c r="V3243" i="11"/>
  <c r="AA3243" i="11" s="1"/>
  <c r="Y3107" i="11"/>
  <c r="AB3107" i="11" s="1"/>
  <c r="V3107" i="11"/>
  <c r="AA3107" i="11" s="1"/>
  <c r="Y2595" i="11"/>
  <c r="AB2595" i="11" s="1"/>
  <c r="V2595" i="11"/>
  <c r="AA2595" i="11" s="1"/>
  <c r="Y3828" i="11"/>
  <c r="V3828" i="11"/>
  <c r="Y3547" i="11"/>
  <c r="AB3547" i="11" s="1"/>
  <c r="V3547" i="11"/>
  <c r="AA3547" i="11" s="1"/>
  <c r="Y3291" i="11"/>
  <c r="AB3291" i="11" s="1"/>
  <c r="V3291" i="11"/>
  <c r="AA3291" i="11" s="1"/>
  <c r="Y2387" i="11"/>
  <c r="AB2387" i="11" s="1"/>
  <c r="V2387" i="11"/>
  <c r="AA2387" i="11" s="1"/>
  <c r="V3275" i="11"/>
  <c r="AA3275" i="11" s="1"/>
  <c r="Y3275" i="11"/>
  <c r="AB3275" i="11" s="1"/>
  <c r="V3076" i="11"/>
  <c r="Y3076" i="11"/>
  <c r="Y2692" i="11"/>
  <c r="V2692" i="11"/>
  <c r="V2412" i="11"/>
  <c r="Y2412" i="11"/>
  <c r="Y3715" i="11"/>
  <c r="AB3715" i="11" s="1"/>
  <c r="V3715" i="11"/>
  <c r="AA3715" i="11" s="1"/>
  <c r="Y3459" i="11"/>
  <c r="AB3459" i="11" s="1"/>
  <c r="V3459" i="11"/>
  <c r="AA3459" i="11" s="1"/>
  <c r="V3203" i="11"/>
  <c r="AA3203" i="11" s="1"/>
  <c r="Y3203" i="11"/>
  <c r="AB3203" i="11" s="1"/>
  <c r="Y2947" i="11"/>
  <c r="AB2947" i="11" s="1"/>
  <c r="V2947" i="11"/>
  <c r="AA2947" i="11" s="1"/>
  <c r="V2691" i="11"/>
  <c r="AA2691" i="11" s="1"/>
  <c r="Y2691" i="11"/>
  <c r="Y2435" i="11"/>
  <c r="AB2435" i="11" s="1"/>
  <c r="V2435" i="11"/>
  <c r="AA2435" i="11" s="1"/>
  <c r="V3788" i="11"/>
  <c r="Y3788" i="11"/>
  <c r="Y3524" i="11"/>
  <c r="V3524" i="11"/>
  <c r="V3268" i="11"/>
  <c r="Y3268" i="11"/>
  <c r="V2684" i="11"/>
  <c r="Y2684" i="11"/>
  <c r="V2324" i="11"/>
  <c r="Y2324" i="11"/>
  <c r="Y3643" i="11"/>
  <c r="AB3643" i="11" s="1"/>
  <c r="V3643" i="11"/>
  <c r="AA3643" i="11" s="1"/>
  <c r="Y3131" i="11"/>
  <c r="AB3131" i="11" s="1"/>
  <c r="V3131" i="11"/>
  <c r="AA3131" i="11" s="1"/>
  <c r="V2875" i="11"/>
  <c r="AA2875" i="11" s="1"/>
  <c r="Y2875" i="11"/>
  <c r="AB2875" i="11" s="1"/>
  <c r="Y2619" i="11"/>
  <c r="AB2619" i="11" s="1"/>
  <c r="V2619" i="11"/>
  <c r="AA2619" i="11" s="1"/>
  <c r="V2363" i="11"/>
  <c r="AA2363" i="11" s="1"/>
  <c r="Y2363" i="11"/>
  <c r="AB2363" i="11" s="1"/>
  <c r="Y3780" i="11"/>
  <c r="V3780" i="11"/>
  <c r="Y2740" i="11"/>
  <c r="V2740" i="11"/>
  <c r="V2460" i="11"/>
  <c r="Y2460" i="11"/>
  <c r="AB2460" i="11" s="1"/>
  <c r="Y3763" i="11"/>
  <c r="AB3763" i="11" s="1"/>
  <c r="V3763" i="11"/>
  <c r="AA3763" i="11" s="1"/>
  <c r="V3507" i="11"/>
  <c r="AA3507" i="11" s="1"/>
  <c r="Y3507" i="11"/>
  <c r="AB3507" i="11" s="1"/>
  <c r="Y3251" i="11"/>
  <c r="AB3251" i="11" s="1"/>
  <c r="V3251" i="11"/>
  <c r="AA3251" i="11" s="1"/>
  <c r="Y2995" i="11"/>
  <c r="AB2995" i="11" s="1"/>
  <c r="V2995" i="11"/>
  <c r="AA2995" i="11" s="1"/>
  <c r="V2739" i="11"/>
  <c r="AA2739" i="11" s="1"/>
  <c r="Y2739" i="11"/>
  <c r="AB2739" i="11" s="1"/>
  <c r="V2483" i="11"/>
  <c r="AA2483" i="11" s="1"/>
  <c r="Y2483" i="11"/>
  <c r="AB2483" i="11" s="1"/>
  <c r="Y3572" i="11"/>
  <c r="V3572" i="11"/>
  <c r="Y3316" i="11"/>
  <c r="V3316" i="11"/>
  <c r="Y2868" i="11"/>
  <c r="V2868" i="11"/>
  <c r="V2524" i="11"/>
  <c r="Y2524" i="11"/>
  <c r="AB2524" i="11" s="1"/>
  <c r="Y3755" i="11"/>
  <c r="AB3755" i="11" s="1"/>
  <c r="V3755" i="11"/>
  <c r="AA3755" i="11" s="1"/>
  <c r="V2987" i="11"/>
  <c r="AA2987" i="11" s="1"/>
  <c r="Y2987" i="11"/>
  <c r="AB2987" i="11" s="1"/>
  <c r="Y2731" i="11"/>
  <c r="AB2731" i="11" s="1"/>
  <c r="V2731" i="11"/>
  <c r="AA2731" i="11" s="1"/>
  <c r="Y2475" i="11"/>
  <c r="AB2475" i="11" s="1"/>
  <c r="V2475" i="11"/>
  <c r="AA2475" i="11" s="1"/>
  <c r="Y3836" i="11"/>
  <c r="V3836" i="11"/>
  <c r="Y2980" i="11"/>
  <c r="V2980" i="11"/>
  <c r="V2588" i="11"/>
  <c r="Y2588" i="11"/>
  <c r="Y2300" i="11"/>
  <c r="V2300" i="11"/>
  <c r="Y3619" i="11"/>
  <c r="AB3619" i="11" s="1"/>
  <c r="V3619" i="11"/>
  <c r="AA3619" i="11" s="1"/>
  <c r="Y3363" i="11"/>
  <c r="AB3363" i="11" s="1"/>
  <c r="V3363" i="11"/>
  <c r="AA3363" i="11" s="1"/>
  <c r="Y2851" i="11"/>
  <c r="AB2851" i="11" s="1"/>
  <c r="V2851" i="11"/>
  <c r="AA2851" i="11" s="1"/>
  <c r="Y2339" i="11"/>
  <c r="AB2339" i="11" s="1"/>
  <c r="V2339" i="11"/>
  <c r="AA2339" i="11" s="1"/>
  <c r="V3492" i="11"/>
  <c r="Y3492" i="11"/>
  <c r="Y3236" i="11"/>
  <c r="V3236" i="11"/>
  <c r="Y2788" i="11"/>
  <c r="V2788" i="11"/>
  <c r="V2508" i="11"/>
  <c r="Y2508" i="11"/>
  <c r="AB2508" i="11" s="1"/>
  <c r="Y2220" i="11"/>
  <c r="V2220" i="11"/>
  <c r="V3035" i="11"/>
  <c r="AA3035" i="11" s="1"/>
  <c r="Y3035" i="11"/>
  <c r="AB3035" i="11" s="1"/>
  <c r="Y2779" i="11"/>
  <c r="AB2779" i="11" s="1"/>
  <c r="V2779" i="11"/>
  <c r="AA2779" i="11" s="1"/>
  <c r="Y2523" i="11"/>
  <c r="AB2523" i="11" s="1"/>
  <c r="V2523" i="11"/>
  <c r="AA2523" i="11" s="1"/>
  <c r="Y3748" i="11"/>
  <c r="V3748" i="11"/>
  <c r="V2708" i="11"/>
  <c r="Y2708" i="11"/>
  <c r="Y2428" i="11"/>
  <c r="AB2428" i="11" s="1"/>
  <c r="V2428" i="11"/>
  <c r="V3667" i="11"/>
  <c r="AA3667" i="11" s="1"/>
  <c r="Y3667" i="11"/>
  <c r="AB3667" i="11" s="1"/>
  <c r="Y3411" i="11"/>
  <c r="AB3411" i="11" s="1"/>
  <c r="V3411" i="11"/>
  <c r="AA3411" i="11" s="1"/>
  <c r="V3155" i="11"/>
  <c r="AA3155" i="11" s="1"/>
  <c r="Y3155" i="11"/>
  <c r="AB3155" i="11" s="1"/>
  <c r="V2899" i="11"/>
  <c r="AA2899" i="11" s="1"/>
  <c r="Y2899" i="11"/>
  <c r="AB2899" i="11" s="1"/>
  <c r="Y2643" i="11"/>
  <c r="AB2643" i="11" s="1"/>
  <c r="V2643" i="11"/>
  <c r="V3812" i="11"/>
  <c r="Y3812" i="11"/>
  <c r="Y3540" i="11"/>
  <c r="V3540" i="11"/>
  <c r="V3284" i="11"/>
  <c r="Y3284" i="11"/>
  <c r="V2772" i="11"/>
  <c r="Y2772" i="11"/>
  <c r="Y2492" i="11"/>
  <c r="V2492" i="11"/>
  <c r="V2204" i="11"/>
  <c r="Y2204" i="11"/>
  <c r="AB2204" i="11" s="1"/>
  <c r="V3531" i="11"/>
  <c r="Y3531" i="11"/>
  <c r="AB3531" i="11" s="1"/>
  <c r="Y3019" i="11"/>
  <c r="AB3019" i="11" s="1"/>
  <c r="V3019" i="11"/>
  <c r="AA3019" i="11" s="1"/>
  <c r="Y2763" i="11"/>
  <c r="AB2763" i="11" s="1"/>
  <c r="V2763" i="11"/>
  <c r="AA2763" i="11" s="1"/>
  <c r="Y2507" i="11"/>
  <c r="AB2507" i="11" s="1"/>
  <c r="V2507" i="11"/>
  <c r="AA2507" i="11" s="1"/>
  <c r="V2371" i="11"/>
  <c r="AA2371" i="11" s="1"/>
  <c r="Y2371" i="11"/>
  <c r="AB2371" i="11" s="1"/>
  <c r="Y2811" i="11"/>
  <c r="AB2811" i="11" s="1"/>
  <c r="V2811" i="11"/>
  <c r="AA2811" i="11" s="1"/>
  <c r="V2419" i="11"/>
  <c r="AA2419" i="11" s="1"/>
  <c r="Y2419" i="11"/>
  <c r="AB2419" i="11" s="1"/>
  <c r="V2923" i="11"/>
  <c r="AA2923" i="11" s="1"/>
  <c r="Y2923" i="11"/>
  <c r="AB2923" i="11" s="1"/>
  <c r="Y2667" i="11"/>
  <c r="V2667" i="11"/>
  <c r="Y3739" i="11"/>
  <c r="AB3739" i="11" s="1"/>
  <c r="V3739" i="11"/>
  <c r="AA3739" i="11" s="1"/>
  <c r="Y3227" i="11"/>
  <c r="AB3227" i="11" s="1"/>
  <c r="V3227" i="11"/>
  <c r="AA3227" i="11" s="1"/>
  <c r="Y2443" i="11"/>
  <c r="AB2443" i="11" s="1"/>
  <c r="V2443" i="11"/>
  <c r="AA2443" i="11" s="1"/>
  <c r="V3796" i="11"/>
  <c r="Y3796" i="11"/>
  <c r="Y3012" i="11"/>
  <c r="V3012" i="11"/>
  <c r="V2628" i="11"/>
  <c r="AA2628" i="11" s="1"/>
  <c r="Y2628" i="11"/>
  <c r="V2332" i="11"/>
  <c r="Y2332" i="11"/>
  <c r="Y3651" i="11"/>
  <c r="AB3651" i="11" s="1"/>
  <c r="V3651" i="11"/>
  <c r="AA3651" i="11" s="1"/>
  <c r="V3395" i="11"/>
  <c r="AA3395" i="11" s="1"/>
  <c r="Y3395" i="11"/>
  <c r="AB3395" i="11" s="1"/>
  <c r="Y3139" i="11"/>
  <c r="V3139" i="11"/>
  <c r="Y2883" i="11"/>
  <c r="V2883" i="11"/>
  <c r="AA2883" i="11" s="1"/>
  <c r="V2627" i="11"/>
  <c r="AA2627" i="11" s="1"/>
  <c r="Y2627" i="11"/>
  <c r="AB2627" i="11" s="1"/>
  <c r="Y3716" i="11"/>
  <c r="V3716" i="11"/>
  <c r="Y3460" i="11"/>
  <c r="V3460" i="11"/>
  <c r="Y3204" i="11"/>
  <c r="V3204" i="11"/>
  <c r="Y2620" i="11"/>
  <c r="V2620" i="11"/>
  <c r="Y2252" i="11"/>
  <c r="V2252" i="11"/>
  <c r="Y3579" i="11"/>
  <c r="AB3579" i="11" s="1"/>
  <c r="V3579" i="11"/>
  <c r="AA3579" i="11" s="1"/>
  <c r="Y3323" i="11"/>
  <c r="AB3323" i="11" s="1"/>
  <c r="V3323" i="11"/>
  <c r="AA3323" i="11" s="1"/>
  <c r="Y3067" i="11"/>
  <c r="AB3067" i="11" s="1"/>
  <c r="V3067" i="11"/>
  <c r="AA3067" i="11" s="1"/>
  <c r="V2555" i="11"/>
  <c r="AA2555" i="11" s="1"/>
  <c r="Y2555" i="11"/>
  <c r="AB2555" i="11" s="1"/>
  <c r="Y3124" i="11"/>
  <c r="V3124" i="11"/>
  <c r="Y2676" i="11"/>
  <c r="V2676" i="11"/>
  <c r="AA2676" i="11" s="1"/>
  <c r="Y2388" i="11"/>
  <c r="V2388" i="11"/>
  <c r="Y3699" i="11"/>
  <c r="V3699" i="11"/>
  <c r="AA3699" i="11" s="1"/>
  <c r="V3443" i="11"/>
  <c r="AA3443" i="11" s="1"/>
  <c r="Y3443" i="11"/>
  <c r="AB3443" i="11" s="1"/>
  <c r="V3187" i="11"/>
  <c r="AA3187" i="11" s="1"/>
  <c r="Y3187" i="11"/>
  <c r="V2931" i="11"/>
  <c r="AA2931" i="11" s="1"/>
  <c r="Y2931" i="11"/>
  <c r="AB2931" i="11" s="1"/>
  <c r="V2675" i="11"/>
  <c r="AA2675" i="11" s="1"/>
  <c r="Y2675" i="11"/>
  <c r="V3844" i="11"/>
  <c r="Y3844" i="11"/>
  <c r="Y3508" i="11"/>
  <c r="V3508" i="11"/>
  <c r="Y3252" i="11"/>
  <c r="AB3252" i="11" s="1"/>
  <c r="V3252" i="11"/>
  <c r="Y2804" i="11"/>
  <c r="V2804" i="11"/>
  <c r="AA2804" i="11" s="1"/>
  <c r="V2380" i="11"/>
  <c r="Y2380" i="11"/>
  <c r="V3691" i="11"/>
  <c r="AA3691" i="11" s="1"/>
  <c r="Y3691" i="11"/>
  <c r="AB3691" i="11" s="1"/>
  <c r="Y3435" i="11"/>
  <c r="AB3435" i="11" s="1"/>
  <c r="V3435" i="11"/>
  <c r="AA3435" i="11" s="1"/>
  <c r="Y3179" i="11"/>
  <c r="AB3179" i="11" s="1"/>
  <c r="V3179" i="11"/>
  <c r="AA3179" i="11" s="1"/>
  <c r="Y2411" i="11"/>
  <c r="AB2411" i="11" s="1"/>
  <c r="V2411" i="11"/>
  <c r="AA2411" i="11" s="1"/>
  <c r="Y3764" i="11"/>
  <c r="V3764" i="11"/>
  <c r="V2860" i="11"/>
  <c r="AA2860" i="11" s="1"/>
  <c r="Y2860" i="11"/>
  <c r="Y2516" i="11"/>
  <c r="V2516" i="11"/>
  <c r="Y2228" i="11"/>
  <c r="V2228" i="11"/>
  <c r="V3555" i="11"/>
  <c r="AA3555" i="11" s="1"/>
  <c r="Y3555" i="11"/>
  <c r="AB3555" i="11" s="1"/>
  <c r="Y3299" i="11"/>
  <c r="AB3299" i="11" s="1"/>
  <c r="V3299" i="11"/>
  <c r="AA3299" i="11" s="1"/>
  <c r="V3043" i="11"/>
  <c r="AA3043" i="11" s="1"/>
  <c r="Y3043" i="11"/>
  <c r="AB3043" i="11" s="1"/>
  <c r="Y2787" i="11"/>
  <c r="AB2787" i="11" s="1"/>
  <c r="V2787" i="11"/>
  <c r="AA2787" i="11" s="1"/>
  <c r="V2531" i="11"/>
  <c r="AA2531" i="11" s="1"/>
  <c r="Y2531" i="11"/>
  <c r="AB2531" i="11" s="1"/>
  <c r="V3684" i="11"/>
  <c r="Y3684" i="11"/>
  <c r="Y3428" i="11"/>
  <c r="V3428" i="11"/>
  <c r="Y3172" i="11"/>
  <c r="V3172" i="11"/>
  <c r="Y2716" i="11"/>
  <c r="AB2716" i="11" s="1"/>
  <c r="V2716" i="11"/>
  <c r="Y2436" i="11"/>
  <c r="V2436" i="11"/>
  <c r="Y3483" i="11"/>
  <c r="AB3483" i="11" s="1"/>
  <c r="V3483" i="11"/>
  <c r="AA3483" i="11" s="1"/>
  <c r="Y2971" i="11"/>
  <c r="AB2971" i="11" s="1"/>
  <c r="V2971" i="11"/>
  <c r="AA2971" i="11" s="1"/>
  <c r="Y2715" i="11"/>
  <c r="AB2715" i="11" s="1"/>
  <c r="V2715" i="11"/>
  <c r="Y2459" i="11"/>
  <c r="AB2459" i="11" s="1"/>
  <c r="V2459" i="11"/>
  <c r="AA2459" i="11" s="1"/>
  <c r="V3092" i="11"/>
  <c r="Y3092" i="11"/>
  <c r="V2644" i="11"/>
  <c r="AA2644" i="11" s="1"/>
  <c r="Y2644" i="11"/>
  <c r="Y2356" i="11"/>
  <c r="V2356" i="11"/>
  <c r="Y3603" i="11"/>
  <c r="AB3603" i="11" s="1"/>
  <c r="V3603" i="11"/>
  <c r="AA3603" i="11" s="1"/>
  <c r="Y3347" i="11"/>
  <c r="AB3347" i="11" s="1"/>
  <c r="V3347" i="11"/>
  <c r="AA3347" i="11" s="1"/>
  <c r="Y3091" i="11"/>
  <c r="AB3091" i="11" s="1"/>
  <c r="V3091" i="11"/>
  <c r="AA3091" i="11" s="1"/>
  <c r="Y2835" i="11"/>
  <c r="AB2835" i="11" s="1"/>
  <c r="V2835" i="11"/>
  <c r="AA2835" i="11" s="1"/>
  <c r="Y2579" i="11"/>
  <c r="AB2579" i="11" s="1"/>
  <c r="V2579" i="11"/>
  <c r="AA2579" i="11" s="1"/>
  <c r="Y2323" i="11"/>
  <c r="AB2323" i="11" s="1"/>
  <c r="V2323" i="11"/>
  <c r="AA2323" i="11" s="1"/>
  <c r="V3732" i="11"/>
  <c r="Y3732" i="11"/>
  <c r="Y3476" i="11"/>
  <c r="V3476" i="11"/>
  <c r="V3220" i="11"/>
  <c r="AA3220" i="11" s="1"/>
  <c r="Y3220" i="11"/>
  <c r="Y2700" i="11"/>
  <c r="V2700" i="11"/>
  <c r="V2420" i="11"/>
  <c r="AA2420" i="11" s="1"/>
  <c r="Y2420" i="11"/>
  <c r="Y3723" i="11"/>
  <c r="AB3723" i="11" s="1"/>
  <c r="V3723" i="11"/>
  <c r="AA3723" i="11" s="1"/>
  <c r="V3467" i="11"/>
  <c r="AA3467" i="11" s="1"/>
  <c r="Y3467" i="11"/>
  <c r="AB3467" i="11" s="1"/>
  <c r="V3211" i="11"/>
  <c r="AA3211" i="11" s="1"/>
  <c r="Y3211" i="11"/>
  <c r="AB3211" i="11" s="1"/>
  <c r="Y2955" i="11"/>
  <c r="AB2955" i="11" s="1"/>
  <c r="V2955" i="11"/>
  <c r="AA2955" i="11" s="1"/>
  <c r="Y2699" i="11"/>
  <c r="AB2699" i="11" s="1"/>
  <c r="V2699" i="11"/>
  <c r="V3724" i="11"/>
  <c r="Y3724" i="11"/>
  <c r="AB3724" i="11" s="1"/>
  <c r="Y3331" i="11"/>
  <c r="AB3331" i="11" s="1"/>
  <c r="V3331" i="11"/>
  <c r="AA3331" i="11" s="1"/>
  <c r="Y3003" i="11"/>
  <c r="AB3003" i="11" s="1"/>
  <c r="V3003" i="11"/>
  <c r="AA3003" i="11" s="1"/>
  <c r="V2491" i="11"/>
  <c r="AA2491" i="11" s="1"/>
  <c r="Y2491" i="11"/>
  <c r="AB2491" i="11" s="1"/>
  <c r="Y3188" i="11"/>
  <c r="V3188" i="11"/>
  <c r="Y2916" i="11"/>
  <c r="V2916" i="11"/>
  <c r="Y2572" i="11"/>
  <c r="V2572" i="11"/>
  <c r="V2515" i="11"/>
  <c r="AA2515" i="11" s="1"/>
  <c r="Y2515" i="11"/>
  <c r="AB2515" i="11" s="1"/>
  <c r="V3659" i="11"/>
  <c r="AA3659" i="11" s="1"/>
  <c r="Y3659" i="11"/>
  <c r="AB3659" i="11" s="1"/>
  <c r="Y2948" i="11"/>
  <c r="V2948" i="11"/>
  <c r="Y2556" i="11"/>
  <c r="V2556" i="11"/>
  <c r="AA2556" i="11" s="1"/>
  <c r="Y2260" i="11"/>
  <c r="V2260" i="11"/>
  <c r="Y3587" i="11"/>
  <c r="AB3587" i="11" s="1"/>
  <c r="V3587" i="11"/>
  <c r="AA3587" i="11" s="1"/>
  <c r="Y3075" i="11"/>
  <c r="AB3075" i="11" s="1"/>
  <c r="V3075" i="11"/>
  <c r="AA3075" i="11" s="1"/>
  <c r="V2819" i="11"/>
  <c r="AA2819" i="11" s="1"/>
  <c r="Y2819" i="11"/>
  <c r="AB2819" i="11" s="1"/>
  <c r="Y2563" i="11"/>
  <c r="AB2563" i="11" s="1"/>
  <c r="V2563" i="11"/>
  <c r="AA2563" i="11" s="1"/>
  <c r="Y3652" i="11"/>
  <c r="V3652" i="11"/>
  <c r="Y3396" i="11"/>
  <c r="V3396" i="11"/>
  <c r="Y2884" i="11"/>
  <c r="V2884" i="11"/>
  <c r="V2540" i="11"/>
  <c r="Y2540" i="11"/>
  <c r="Y3771" i="11"/>
  <c r="AB3771" i="11" s="1"/>
  <c r="V3771" i="11"/>
  <c r="AA3771" i="11" s="1"/>
  <c r="V3515" i="11"/>
  <c r="AA3515" i="11" s="1"/>
  <c r="Y3515" i="11"/>
  <c r="AB3515" i="11" s="1"/>
  <c r="Y3259" i="11"/>
  <c r="AB3259" i="11" s="1"/>
  <c r="V3259" i="11"/>
  <c r="AA3259" i="11" s="1"/>
  <c r="Y2747" i="11"/>
  <c r="AB2747" i="11" s="1"/>
  <c r="V2747" i="11"/>
  <c r="AA2747" i="11" s="1"/>
  <c r="Y3060" i="11"/>
  <c r="AB3060" i="11" s="1"/>
  <c r="V3060" i="11"/>
  <c r="Y2612" i="11"/>
  <c r="V2612" i="11"/>
  <c r="AA2612" i="11" s="1"/>
  <c r="Y2316" i="11"/>
  <c r="V2316" i="11"/>
  <c r="Y3635" i="11"/>
  <c r="AB3635" i="11" s="1"/>
  <c r="V3635" i="11"/>
  <c r="AA3635" i="11" s="1"/>
  <c r="Y3379" i="11"/>
  <c r="AB3379" i="11" s="1"/>
  <c r="V3379" i="11"/>
  <c r="AA3379" i="11" s="1"/>
  <c r="Y3123" i="11"/>
  <c r="AB3123" i="11" s="1"/>
  <c r="V3123" i="11"/>
  <c r="AA3123" i="11" s="1"/>
  <c r="Y2867" i="11"/>
  <c r="AB2867" i="11" s="1"/>
  <c r="V2867" i="11"/>
  <c r="AA2867" i="11" s="1"/>
  <c r="Y2611" i="11"/>
  <c r="AB2611" i="11" s="1"/>
  <c r="V2611" i="11"/>
  <c r="AA2611" i="11" s="1"/>
  <c r="V2355" i="11"/>
  <c r="AA2355" i="11" s="1"/>
  <c r="Y2355" i="11"/>
  <c r="AB2355" i="11" s="1"/>
  <c r="Y3700" i="11"/>
  <c r="V3700" i="11"/>
  <c r="Y3444" i="11"/>
  <c r="V3444" i="11"/>
  <c r="V2668" i="11"/>
  <c r="Y2668" i="11"/>
  <c r="Y2308" i="11"/>
  <c r="V2308" i="11"/>
  <c r="V3627" i="11"/>
  <c r="AA3627" i="11" s="1"/>
  <c r="Y3627" i="11"/>
  <c r="AB3627" i="11" s="1"/>
  <c r="Y3371" i="11"/>
  <c r="AB3371" i="11" s="1"/>
  <c r="V3371" i="11"/>
  <c r="AA3371" i="11" s="1"/>
  <c r="Y3115" i="11"/>
  <c r="AB3115" i="11" s="1"/>
  <c r="V3115" i="11"/>
  <c r="AA3115" i="11" s="1"/>
  <c r="Y2859" i="11"/>
  <c r="AB2859" i="11" s="1"/>
  <c r="V2859" i="11"/>
  <c r="AA2859" i="11" s="1"/>
  <c r="Y2603" i="11"/>
  <c r="AB2603" i="11" s="1"/>
  <c r="V2603" i="11"/>
  <c r="AA2603" i="11" s="1"/>
  <c r="V2347" i="11"/>
  <c r="AA2347" i="11" s="1"/>
  <c r="Y2347" i="11"/>
  <c r="AB2347" i="11" s="1"/>
  <c r="V3108" i="11"/>
  <c r="Y3108" i="11"/>
  <c r="Y2724" i="11"/>
  <c r="V2724" i="11"/>
  <c r="AA2724" i="11" s="1"/>
  <c r="V2444" i="11"/>
  <c r="AA2444" i="11" s="1"/>
  <c r="Y2444" i="11"/>
  <c r="AB2444" i="11" s="1"/>
  <c r="Y3747" i="11"/>
  <c r="AB3747" i="11" s="1"/>
  <c r="V3747" i="11"/>
  <c r="AA3747" i="11" s="1"/>
  <c r="Y3491" i="11"/>
  <c r="AB3491" i="11" s="1"/>
  <c r="V3491" i="11"/>
  <c r="AA3491" i="11" s="1"/>
  <c r="Y3235" i="11"/>
  <c r="AB3235" i="11" s="1"/>
  <c r="V3235" i="11"/>
  <c r="AA3235" i="11" s="1"/>
  <c r="Y2979" i="11"/>
  <c r="AB2979" i="11" s="1"/>
  <c r="V2979" i="11"/>
  <c r="AA2979" i="11" s="1"/>
  <c r="Y2723" i="11"/>
  <c r="AB2723" i="11" s="1"/>
  <c r="V2723" i="11"/>
  <c r="AA2723" i="11" s="1"/>
  <c r="Y2467" i="11"/>
  <c r="AB2467" i="11" s="1"/>
  <c r="V2467" i="11"/>
  <c r="AA2467" i="11" s="1"/>
  <c r="V3620" i="11"/>
  <c r="AA3620" i="11" s="1"/>
  <c r="Y3620" i="11"/>
  <c r="Y3364" i="11"/>
  <c r="V3364" i="11"/>
  <c r="V2652" i="11"/>
  <c r="Y2652" i="11"/>
  <c r="Y2364" i="11"/>
  <c r="V2364" i="11"/>
  <c r="Y3675" i="11"/>
  <c r="AB3675" i="11" s="1"/>
  <c r="V3675" i="11"/>
  <c r="AA3675" i="11" s="1"/>
  <c r="Y3419" i="11"/>
  <c r="AB3419" i="11" s="1"/>
  <c r="V3419" i="11"/>
  <c r="AA3419" i="11" s="1"/>
  <c r="V3163" i="11"/>
  <c r="AA3163" i="11" s="1"/>
  <c r="Y3163" i="11"/>
  <c r="AB3163" i="11" s="1"/>
  <c r="Y2907" i="11"/>
  <c r="AB2907" i="11" s="1"/>
  <c r="V2907" i="11"/>
  <c r="AA2907" i="11" s="1"/>
  <c r="V2651" i="11"/>
  <c r="AA2651" i="11" s="1"/>
  <c r="Y2651" i="11"/>
  <c r="AB2651" i="11" s="1"/>
  <c r="Y2395" i="11"/>
  <c r="AB2395" i="11" s="1"/>
  <c r="V2395" i="11"/>
  <c r="AA2395" i="11" s="1"/>
  <c r="Y139" i="11"/>
  <c r="AB139" i="11" s="1"/>
  <c r="V139" i="11"/>
  <c r="Y3028" i="11"/>
  <c r="V3028" i="11"/>
  <c r="V2276" i="11"/>
  <c r="Y2276" i="11"/>
  <c r="Y3539" i="11"/>
  <c r="AB3539" i="11" s="1"/>
  <c r="V3539" i="11"/>
  <c r="AA3539" i="11" s="1"/>
  <c r="Y3283" i="11"/>
  <c r="AB3283" i="11" s="1"/>
  <c r="V3283" i="11"/>
  <c r="AA3283" i="11" s="1"/>
  <c r="Y3027" i="11"/>
  <c r="AB3027" i="11" s="1"/>
  <c r="V3027" i="11"/>
  <c r="AA3027" i="11" s="1"/>
  <c r="V2771" i="11"/>
  <c r="AA2771" i="11" s="1"/>
  <c r="Y2771" i="11"/>
  <c r="AB2771" i="11" s="1"/>
  <c r="V3668" i="11"/>
  <c r="AA3668" i="11" s="1"/>
  <c r="Y3668" i="11"/>
  <c r="Y3412" i="11"/>
  <c r="V3412" i="11"/>
  <c r="Y2900" i="11"/>
  <c r="V2900" i="11"/>
  <c r="V2636" i="11"/>
  <c r="Y2636" i="11"/>
  <c r="Y2340" i="11"/>
  <c r="V2340" i="11"/>
  <c r="Y3403" i="11"/>
  <c r="AB3403" i="11" s="1"/>
  <c r="V3403" i="11"/>
  <c r="AA3403" i="11" s="1"/>
  <c r="Y3147" i="11"/>
  <c r="AB3147" i="11" s="1"/>
  <c r="V3147" i="11"/>
  <c r="AA3147" i="11" s="1"/>
  <c r="Y2891" i="11"/>
  <c r="AB2891" i="11" s="1"/>
  <c r="V2891" i="11"/>
  <c r="AA2891" i="11" s="1"/>
  <c r="Y2635" i="11"/>
  <c r="AB2635" i="11" s="1"/>
  <c r="V2635" i="11"/>
  <c r="Y2379" i="11"/>
  <c r="AB2379" i="11" s="1"/>
  <c r="V2379" i="11"/>
  <c r="AA2379" i="11" s="1"/>
  <c r="V3267" i="11"/>
  <c r="AA3267" i="11" s="1"/>
  <c r="Y3267" i="11"/>
  <c r="AB3267" i="11" s="1"/>
  <c r="V2996" i="11"/>
  <c r="Y2996" i="11"/>
  <c r="Y2532" i="11"/>
  <c r="V2532" i="11"/>
  <c r="Y3307" i="11"/>
  <c r="AB3307" i="11" s="1"/>
  <c r="V3307" i="11"/>
  <c r="AA3307" i="11" s="1"/>
  <c r="Y3044" i="11"/>
  <c r="V3044" i="11"/>
  <c r="V3171" i="11"/>
  <c r="AA3171" i="11" s="1"/>
  <c r="Y3171" i="11"/>
  <c r="AB3171" i="11" s="1"/>
  <c r="Y2403" i="11"/>
  <c r="AB2403" i="11" s="1"/>
  <c r="V2403" i="11"/>
  <c r="AA2403" i="11" s="1"/>
  <c r="Y2852" i="11"/>
  <c r="AB2852" i="11" s="1"/>
  <c r="V2852" i="11"/>
  <c r="Y2587" i="11"/>
  <c r="AB2587" i="11" s="1"/>
  <c r="V2587" i="11"/>
  <c r="V27" i="11"/>
  <c r="AA27" i="11" s="1"/>
  <c r="Y27" i="11"/>
  <c r="AB27" i="11" s="1"/>
  <c r="V3140" i="11"/>
  <c r="AA3140" i="11" s="1"/>
  <c r="Y3140" i="11"/>
  <c r="V2756" i="11"/>
  <c r="Y2756" i="11"/>
  <c r="V2484" i="11"/>
  <c r="Y2484" i="11"/>
  <c r="Y3779" i="11"/>
  <c r="AB3779" i="11" s="1"/>
  <c r="V3779" i="11"/>
  <c r="AA3779" i="11" s="1"/>
  <c r="Y3523" i="11"/>
  <c r="AB3523" i="11" s="1"/>
  <c r="V3523" i="11"/>
  <c r="AA3523" i="11" s="1"/>
  <c r="Y3011" i="11"/>
  <c r="AB3011" i="11" s="1"/>
  <c r="V3011" i="11"/>
  <c r="AA3011" i="11" s="1"/>
  <c r="V2755" i="11"/>
  <c r="AA2755" i="11" s="1"/>
  <c r="Y2755" i="11"/>
  <c r="AB2755" i="11" s="1"/>
  <c r="V2499" i="11"/>
  <c r="AA2499" i="11" s="1"/>
  <c r="Y2499" i="11"/>
  <c r="AB2499" i="11" s="1"/>
  <c r="Y3868" i="11"/>
  <c r="V3868" i="11"/>
  <c r="V3588" i="11"/>
  <c r="Y3588" i="11"/>
  <c r="AB3588" i="11" s="1"/>
  <c r="Y3332" i="11"/>
  <c r="V3332" i="11"/>
  <c r="V2820" i="11"/>
  <c r="AA2820" i="11" s="1"/>
  <c r="Y2820" i="11"/>
  <c r="Y2396" i="11"/>
  <c r="V2396" i="11"/>
  <c r="V3707" i="11"/>
  <c r="AA3707" i="11" s="1"/>
  <c r="Y3707" i="11"/>
  <c r="AB3707" i="11" s="1"/>
  <c r="Y3451" i="11"/>
  <c r="AB3451" i="11" s="1"/>
  <c r="V3451" i="11"/>
  <c r="AA3451" i="11" s="1"/>
  <c r="Y3195" i="11"/>
  <c r="AB3195" i="11" s="1"/>
  <c r="V3195" i="11"/>
  <c r="AA3195" i="11" s="1"/>
  <c r="Y2939" i="11"/>
  <c r="AB2939" i="11" s="1"/>
  <c r="V2939" i="11"/>
  <c r="AA2939" i="11" s="1"/>
  <c r="Y2683" i="11"/>
  <c r="V2683" i="11"/>
  <c r="AA2683" i="11" s="1"/>
  <c r="Y2427" i="11"/>
  <c r="AB2427" i="11" s="1"/>
  <c r="V2427" i="11"/>
  <c r="AA2427" i="11" s="1"/>
  <c r="Y2180" i="11"/>
  <c r="V2180" i="11"/>
  <c r="Y2116" i="11"/>
  <c r="V2116" i="11"/>
  <c r="V2052" i="11"/>
  <c r="Y2052" i="11"/>
  <c r="Y1988" i="11"/>
  <c r="AB1988" i="11" s="1"/>
  <c r="V1988" i="11"/>
  <c r="Y1924" i="11"/>
  <c r="V1924" i="11"/>
  <c r="Y1860" i="11"/>
  <c r="V1860" i="11"/>
  <c r="V1796" i="11"/>
  <c r="Y1796" i="11"/>
  <c r="Y1732" i="11"/>
  <c r="V1732" i="11"/>
  <c r="AA1732" i="11" s="1"/>
  <c r="Y1668" i="11"/>
  <c r="V1668" i="11"/>
  <c r="Y1652" i="11"/>
  <c r="AB1652" i="11" s="1"/>
  <c r="V1652" i="11"/>
  <c r="V1588" i="11"/>
  <c r="AA1588" i="11" s="1"/>
  <c r="Y1588" i="11"/>
  <c r="AB1588" i="11" s="1"/>
  <c r="V1524" i="11"/>
  <c r="Y1524" i="11"/>
  <c r="V1460" i="11"/>
  <c r="Y1460" i="11"/>
  <c r="V1396" i="11"/>
  <c r="Y1396" i="11"/>
  <c r="V1332" i="11"/>
  <c r="Y1332" i="11"/>
  <c r="Y1268" i="11"/>
  <c r="V1268" i="11"/>
  <c r="AA1268" i="11" s="1"/>
  <c r="V1204" i="11"/>
  <c r="Y1204" i="11"/>
  <c r="V1140" i="11"/>
  <c r="Y1140" i="11"/>
  <c r="Y1076" i="11"/>
  <c r="V1076" i="11"/>
  <c r="AA1076" i="11" s="1"/>
  <c r="V1012" i="11"/>
  <c r="Y1012" i="11"/>
  <c r="AB1012" i="11" s="1"/>
  <c r="V948" i="11"/>
  <c r="Y948" i="11"/>
  <c r="Y884" i="11"/>
  <c r="V884" i="11"/>
  <c r="Y820" i="11"/>
  <c r="V820" i="11"/>
  <c r="Y756" i="11"/>
  <c r="V756" i="11"/>
  <c r="Y692" i="11"/>
  <c r="V692" i="11"/>
  <c r="AA692" i="11" s="1"/>
  <c r="V628" i="11"/>
  <c r="Y628" i="11"/>
  <c r="Y564" i="11"/>
  <c r="V564" i="11"/>
  <c r="V500" i="11"/>
  <c r="Y500" i="11"/>
  <c r="AB500" i="11" s="1"/>
  <c r="Y436" i="11"/>
  <c r="V436" i="11"/>
  <c r="V372" i="11"/>
  <c r="AA372" i="11" s="1"/>
  <c r="Y372" i="11"/>
  <c r="Y308" i="11"/>
  <c r="V308" i="11"/>
  <c r="V244" i="11"/>
  <c r="Y244" i="11"/>
  <c r="Y180" i="11"/>
  <c r="V180" i="11"/>
  <c r="Y116" i="11"/>
  <c r="V116" i="11"/>
  <c r="V52" i="11"/>
  <c r="Y52" i="11"/>
  <c r="V2299" i="11"/>
  <c r="AA2299" i="11" s="1"/>
  <c r="Y2299" i="11"/>
  <c r="V2235" i="11"/>
  <c r="Y2235" i="11"/>
  <c r="Y2171" i="11"/>
  <c r="V2171" i="11"/>
  <c r="Y2107" i="11"/>
  <c r="V2107" i="11"/>
  <c r="Y2043" i="11"/>
  <c r="AB2043" i="11" s="1"/>
  <c r="V2043" i="11"/>
  <c r="Y1979" i="11"/>
  <c r="V1979" i="11"/>
  <c r="Y1915" i="11"/>
  <c r="V1915" i="11"/>
  <c r="V1851" i="11"/>
  <c r="Y1851" i="11"/>
  <c r="Y1787" i="11"/>
  <c r="V1787" i="11"/>
  <c r="V1723" i="11"/>
  <c r="Y1723" i="11"/>
  <c r="AB1723" i="11" s="1"/>
  <c r="V1659" i="11"/>
  <c r="Y1659" i="11"/>
  <c r="Y1595" i="11"/>
  <c r="V1595" i="11"/>
  <c r="Y1531" i="11"/>
  <c r="V1531" i="11"/>
  <c r="V1467" i="11"/>
  <c r="AA1467" i="11" s="1"/>
  <c r="Y1467" i="11"/>
  <c r="V1403" i="11"/>
  <c r="Y1403" i="11"/>
  <c r="Y1339" i="11"/>
  <c r="V1339" i="11"/>
  <c r="V1275" i="11"/>
  <c r="Y1275" i="11"/>
  <c r="Y1211" i="11"/>
  <c r="V1211" i="11"/>
  <c r="AA1211" i="11" s="1"/>
  <c r="Y1147" i="11"/>
  <c r="V1147" i="11"/>
  <c r="Y1083" i="11"/>
  <c r="V1083" i="11"/>
  <c r="V1019" i="11"/>
  <c r="Y1019" i="11"/>
  <c r="V3829" i="11"/>
  <c r="Y3829" i="11"/>
  <c r="Y2189" i="11"/>
  <c r="AB2189" i="11" s="1"/>
  <c r="V2189" i="11"/>
  <c r="V1003" i="11"/>
  <c r="Y1003" i="11"/>
  <c r="AB1003" i="11" s="1"/>
  <c r="Y939" i="11"/>
  <c r="V939" i="11"/>
  <c r="Y875" i="11"/>
  <c r="V875" i="11"/>
  <c r="V811" i="11"/>
  <c r="Y811" i="11"/>
  <c r="Y747" i="11"/>
  <c r="V747" i="11"/>
  <c r="V683" i="11"/>
  <c r="Y683" i="11"/>
  <c r="V619" i="11"/>
  <c r="Y619" i="11"/>
  <c r="Y555" i="11"/>
  <c r="V555" i="11"/>
  <c r="Y491" i="11"/>
  <c r="V491" i="11"/>
  <c r="V427" i="11"/>
  <c r="Y427" i="11"/>
  <c r="Y363" i="11"/>
  <c r="V363" i="11"/>
  <c r="Y2101" i="11"/>
  <c r="V2101" i="11"/>
  <c r="V2037" i="11"/>
  <c r="Y2037" i="11"/>
  <c r="V1909" i="11"/>
  <c r="AA1909" i="11" s="1"/>
  <c r="Y1909" i="11"/>
  <c r="AB1909" i="11" s="1"/>
  <c r="V1781" i="11"/>
  <c r="AA1781" i="11" s="1"/>
  <c r="Y1781" i="11"/>
  <c r="AB1781" i="11" s="1"/>
  <c r="V1717" i="11"/>
  <c r="AA1717" i="11" s="1"/>
  <c r="Y1717" i="11"/>
  <c r="V1653" i="11"/>
  <c r="AA1653" i="11" s="1"/>
  <c r="Y1653" i="11"/>
  <c r="AB1653" i="11" s="1"/>
  <c r="Y1589" i="11"/>
  <c r="AB1589" i="11" s="1"/>
  <c r="V1589" i="11"/>
  <c r="Y291" i="11"/>
  <c r="AB291" i="11" s="1"/>
  <c r="V291" i="11"/>
  <c r="V227" i="11"/>
  <c r="Y227" i="11"/>
  <c r="V147" i="11"/>
  <c r="Y147" i="11"/>
  <c r="Y59" i="11"/>
  <c r="V59" i="11"/>
  <c r="Y1541" i="11"/>
  <c r="V1541" i="11"/>
  <c r="AA1541" i="11" s="1"/>
  <c r="Y1477" i="11"/>
  <c r="V1477" i="11"/>
  <c r="V1413" i="11"/>
  <c r="AA1413" i="11" s="1"/>
  <c r="Y1413" i="11"/>
  <c r="AB1413" i="11" s="1"/>
  <c r="V1349" i="11"/>
  <c r="AA1349" i="11" s="1"/>
  <c r="Y1349" i="11"/>
  <c r="AB1349" i="11" s="1"/>
  <c r="V1285" i="11"/>
  <c r="AA1285" i="11" s="1"/>
  <c r="Y1285" i="11"/>
  <c r="Y1221" i="11"/>
  <c r="AB1221" i="11" s="1"/>
  <c r="V1221" i="11"/>
  <c r="V1157" i="11"/>
  <c r="Y1157" i="11"/>
  <c r="V1093" i="11"/>
  <c r="Y1093" i="11"/>
  <c r="V1029" i="11"/>
  <c r="Y1029" i="11"/>
  <c r="AB1029" i="11" s="1"/>
  <c r="Y965" i="11"/>
  <c r="AB965" i="11" s="1"/>
  <c r="V965" i="11"/>
  <c r="Y901" i="11"/>
  <c r="V901" i="11"/>
  <c r="V837" i="11"/>
  <c r="AA837" i="11" s="1"/>
  <c r="Y837" i="11"/>
  <c r="AB837" i="11" s="1"/>
  <c r="Y773" i="11"/>
  <c r="AB773" i="11" s="1"/>
  <c r="V773" i="11"/>
  <c r="AA773" i="11" s="1"/>
  <c r="V709" i="11"/>
  <c r="AA709" i="11" s="1"/>
  <c r="Y709" i="11"/>
  <c r="Y645" i="11"/>
  <c r="AB645" i="11" s="1"/>
  <c r="V645" i="11"/>
  <c r="AA645" i="11" s="1"/>
  <c r="V581" i="11"/>
  <c r="AA581" i="11" s="1"/>
  <c r="Y581" i="11"/>
  <c r="AB581" i="11" s="1"/>
  <c r="Y517" i="11"/>
  <c r="V517" i="11"/>
  <c r="AA517" i="11" s="1"/>
  <c r="V453" i="11"/>
  <c r="Y453" i="11"/>
  <c r="Y389" i="11"/>
  <c r="AB389" i="11" s="1"/>
  <c r="V389" i="11"/>
  <c r="AA389" i="11" s="1"/>
  <c r="V325" i="11"/>
  <c r="Y325" i="11"/>
  <c r="V261" i="11"/>
  <c r="Y261" i="11"/>
  <c r="Y197" i="11"/>
  <c r="V197" i="11"/>
  <c r="V133" i="11"/>
  <c r="AA133" i="11" s="1"/>
  <c r="Y133" i="11"/>
  <c r="AB133" i="11" s="1"/>
  <c r="Y69" i="11"/>
  <c r="V69" i="11"/>
  <c r="V5" i="11"/>
  <c r="Y5" i="11"/>
  <c r="Y3826" i="11"/>
  <c r="V3826" i="11"/>
  <c r="Y3762" i="11"/>
  <c r="V3762" i="11"/>
  <c r="V3698" i="11"/>
  <c r="Y3698" i="11"/>
  <c r="AB3698" i="11" s="1"/>
  <c r="V3634" i="11"/>
  <c r="Y3634" i="11"/>
  <c r="V3570" i="11"/>
  <c r="Y3570" i="11"/>
  <c r="Y3506" i="11"/>
  <c r="V3506" i="11"/>
  <c r="V3442" i="11"/>
  <c r="Y3442" i="11"/>
  <c r="AB3442" i="11" s="1"/>
  <c r="Y3378" i="11"/>
  <c r="AB3378" i="11" s="1"/>
  <c r="V3378" i="11"/>
  <c r="V3314" i="11"/>
  <c r="Y3314" i="11"/>
  <c r="V3250" i="11"/>
  <c r="Y3250" i="11"/>
  <c r="AB3250" i="11" s="1"/>
  <c r="V3186" i="11"/>
  <c r="Y3186" i="11"/>
  <c r="Y3122" i="11"/>
  <c r="AB3122" i="11" s="1"/>
  <c r="V3122" i="11"/>
  <c r="AA3122" i="11" s="1"/>
  <c r="V3058" i="11"/>
  <c r="Y3058" i="11"/>
  <c r="Y2994" i="11"/>
  <c r="AB2994" i="11" s="1"/>
  <c r="V2994" i="11"/>
  <c r="Y2930" i="11"/>
  <c r="V2930" i="11"/>
  <c r="V2866" i="11"/>
  <c r="AA2866" i="11" s="1"/>
  <c r="Y2866" i="11"/>
  <c r="V2802" i="11"/>
  <c r="Y2802" i="11"/>
  <c r="Y2738" i="11"/>
  <c r="V2738" i="11"/>
  <c r="AA2738" i="11" s="1"/>
  <c r="Y2626" i="11"/>
  <c r="V2626" i="11"/>
  <c r="V2538" i="11"/>
  <c r="Y2538" i="11"/>
  <c r="Y2458" i="11"/>
  <c r="V2458" i="11"/>
  <c r="V2370" i="11"/>
  <c r="Y2370" i="11"/>
  <c r="AB2370" i="11" s="1"/>
  <c r="Y2282" i="11"/>
  <c r="AB2282" i="11" s="1"/>
  <c r="V2282" i="11"/>
  <c r="Y2202" i="11"/>
  <c r="V2202" i="11"/>
  <c r="Y2074" i="11"/>
  <c r="AB2074" i="11" s="1"/>
  <c r="V2074" i="11"/>
  <c r="Y1946" i="11"/>
  <c r="V1946" i="11"/>
  <c r="V1818" i="11"/>
  <c r="Y1818" i="11"/>
  <c r="Y1690" i="11"/>
  <c r="V1690" i="11"/>
  <c r="AA1690" i="11" s="1"/>
  <c r="V1562" i="11"/>
  <c r="Y1562" i="11"/>
  <c r="V1482" i="11"/>
  <c r="AA1482" i="11" s="1"/>
  <c r="Y1482" i="11"/>
  <c r="AB1482" i="11" s="1"/>
  <c r="Y1410" i="11"/>
  <c r="AB1410" i="11" s="1"/>
  <c r="V1410" i="11"/>
  <c r="AA1410" i="11" s="1"/>
  <c r="Y1338" i="11"/>
  <c r="AB1338" i="11" s="1"/>
  <c r="V1338" i="11"/>
  <c r="Y1258" i="11"/>
  <c r="AB1258" i="11" s="1"/>
  <c r="V1258" i="11"/>
  <c r="Y1194" i="11"/>
  <c r="AB1194" i="11" s="1"/>
  <c r="V1194" i="11"/>
  <c r="Y1114" i="11"/>
  <c r="V1114" i="11"/>
  <c r="Y1050" i="11"/>
  <c r="AB1050" i="11" s="1"/>
  <c r="V1050" i="11"/>
  <c r="AA1050" i="11" s="1"/>
  <c r="V970" i="11"/>
  <c r="AA970" i="11" s="1"/>
  <c r="Y970" i="11"/>
  <c r="Y898" i="11"/>
  <c r="AB898" i="11" s="1"/>
  <c r="V898" i="11"/>
  <c r="Y826" i="11"/>
  <c r="AB826" i="11" s="1"/>
  <c r="V826" i="11"/>
  <c r="Y746" i="11"/>
  <c r="AB746" i="11" s="1"/>
  <c r="V746" i="11"/>
  <c r="Y682" i="11"/>
  <c r="AB682" i="11" s="1"/>
  <c r="V682" i="11"/>
  <c r="Y602" i="11"/>
  <c r="AB602" i="11" s="1"/>
  <c r="V602" i="11"/>
  <c r="AA602" i="11" s="1"/>
  <c r="V538" i="11"/>
  <c r="AA538" i="11" s="1"/>
  <c r="Y538" i="11"/>
  <c r="AB538" i="11" s="1"/>
  <c r="Y458" i="11"/>
  <c r="V458" i="11"/>
  <c r="AA458" i="11" s="1"/>
  <c r="Y386" i="11"/>
  <c r="V386" i="11"/>
  <c r="Y314" i="11"/>
  <c r="V314" i="11"/>
  <c r="AA314" i="11" s="1"/>
  <c r="V234" i="11"/>
  <c r="Y234" i="11"/>
  <c r="AB234" i="11" s="1"/>
  <c r="Y170" i="11"/>
  <c r="V170" i="11"/>
  <c r="Y106" i="11"/>
  <c r="V106" i="11"/>
  <c r="Y34" i="11"/>
  <c r="V34" i="11"/>
  <c r="Y2172" i="11"/>
  <c r="V2172" i="11"/>
  <c r="AA2172" i="11" s="1"/>
  <c r="V2108" i="11"/>
  <c r="Y2108" i="11"/>
  <c r="V2044" i="11"/>
  <c r="Y2044" i="11"/>
  <c r="V1980" i="11"/>
  <c r="Y1980" i="11"/>
  <c r="AB1980" i="11" s="1"/>
  <c r="Y1916" i="11"/>
  <c r="V1916" i="11"/>
  <c r="AA1916" i="11" s="1"/>
  <c r="V1852" i="11"/>
  <c r="Y1852" i="11"/>
  <c r="AB1852" i="11" s="1"/>
  <c r="V1788" i="11"/>
  <c r="AA1788" i="11" s="1"/>
  <c r="Y1788" i="11"/>
  <c r="AB1788" i="11" s="1"/>
  <c r="Y1724" i="11"/>
  <c r="AB1724" i="11" s="1"/>
  <c r="V1724" i="11"/>
  <c r="AA1724" i="11" s="1"/>
  <c r="Y1644" i="11"/>
  <c r="V1644" i="11"/>
  <c r="V1580" i="11"/>
  <c r="Y1580" i="11"/>
  <c r="V1516" i="11"/>
  <c r="Y1516" i="11"/>
  <c r="Y1452" i="11"/>
  <c r="V1452" i="11"/>
  <c r="V1388" i="11"/>
  <c r="Y1388" i="11"/>
  <c r="Y1324" i="11"/>
  <c r="V1324" i="11"/>
  <c r="Y1260" i="11"/>
  <c r="V1260" i="11"/>
  <c r="V1196" i="11"/>
  <c r="Y1196" i="11"/>
  <c r="Y1132" i="11"/>
  <c r="V1132" i="11"/>
  <c r="Y1068" i="11"/>
  <c r="V1068" i="11"/>
  <c r="V1004" i="11"/>
  <c r="Y1004" i="11"/>
  <c r="V940" i="11"/>
  <c r="Y940" i="11"/>
  <c r="Y876" i="11"/>
  <c r="V876" i="11"/>
  <c r="Y812" i="11"/>
  <c r="V812" i="11"/>
  <c r="AA812" i="11" s="1"/>
  <c r="Y748" i="11"/>
  <c r="V748" i="11"/>
  <c r="AA748" i="11" s="1"/>
  <c r="V684" i="11"/>
  <c r="Y684" i="11"/>
  <c r="AB684" i="11" s="1"/>
  <c r="V620" i="11"/>
  <c r="Y620" i="11"/>
  <c r="Y556" i="11"/>
  <c r="AB556" i="11" s="1"/>
  <c r="V556" i="11"/>
  <c r="AA556" i="11" s="1"/>
  <c r="Y492" i="11"/>
  <c r="AB492" i="11" s="1"/>
  <c r="V492" i="11"/>
  <c r="V428" i="11"/>
  <c r="Y428" i="11"/>
  <c r="Y364" i="11"/>
  <c r="V364" i="11"/>
  <c r="V300" i="11"/>
  <c r="Y300" i="11"/>
  <c r="V236" i="11"/>
  <c r="Y236" i="11"/>
  <c r="Y172" i="11"/>
  <c r="V172" i="11"/>
  <c r="V108" i="11"/>
  <c r="Y108" i="11"/>
  <c r="AB108" i="11" s="1"/>
  <c r="V44" i="11"/>
  <c r="Y44" i="11"/>
  <c r="V2291" i="11"/>
  <c r="Y2291" i="11"/>
  <c r="Y2227" i="11"/>
  <c r="V2227" i="11"/>
  <c r="AA2227" i="11" s="1"/>
  <c r="V2163" i="11"/>
  <c r="Y2163" i="11"/>
  <c r="Y2099" i="11"/>
  <c r="AB2099" i="11" s="1"/>
  <c r="V2099" i="11"/>
  <c r="AA2099" i="11" s="1"/>
  <c r="Y2035" i="11"/>
  <c r="AB2035" i="11" s="1"/>
  <c r="V2035" i="11"/>
  <c r="V1971" i="11"/>
  <c r="Y1971" i="11"/>
  <c r="Y1907" i="11"/>
  <c r="V1907" i="11"/>
  <c r="V1843" i="11"/>
  <c r="Y1843" i="11"/>
  <c r="AB1843" i="11" s="1"/>
  <c r="Y1779" i="11"/>
  <c r="V1779" i="11"/>
  <c r="Y1715" i="11"/>
  <c r="V1715" i="11"/>
  <c r="Y1651" i="11"/>
  <c r="V1651" i="11"/>
  <c r="AA1651" i="11" s="1"/>
  <c r="Y1587" i="11"/>
  <c r="V1587" i="11"/>
  <c r="Y1523" i="11"/>
  <c r="AB1523" i="11" s="1"/>
  <c r="V1523" i="11"/>
  <c r="Y1459" i="11"/>
  <c r="V1459" i="11"/>
  <c r="Y1395" i="11"/>
  <c r="V1395" i="11"/>
  <c r="Y1331" i="11"/>
  <c r="V1331" i="11"/>
  <c r="Y1267" i="11"/>
  <c r="V1267" i="11"/>
  <c r="Y1203" i="11"/>
  <c r="V1203" i="11"/>
  <c r="AA1203" i="11" s="1"/>
  <c r="Y1139" i="11"/>
  <c r="V1139" i="11"/>
  <c r="Y1075" i="11"/>
  <c r="V1075" i="11"/>
  <c r="Y2181" i="11"/>
  <c r="V2181" i="11"/>
  <c r="V995" i="11"/>
  <c r="Y995" i="11"/>
  <c r="V931" i="11"/>
  <c r="Y931" i="11"/>
  <c r="V867" i="11"/>
  <c r="Y867" i="11"/>
  <c r="V803" i="11"/>
  <c r="Y803" i="11"/>
  <c r="V739" i="11"/>
  <c r="AA739" i="11" s="1"/>
  <c r="Y739" i="11"/>
  <c r="V675" i="11"/>
  <c r="Y675" i="11"/>
  <c r="Y611" i="11"/>
  <c r="V611" i="11"/>
  <c r="Y547" i="11"/>
  <c r="V547" i="11"/>
  <c r="V483" i="11"/>
  <c r="Y483" i="11"/>
  <c r="Y419" i="11"/>
  <c r="V419" i="11"/>
  <c r="Y355" i="11"/>
  <c r="V355" i="11"/>
  <c r="V2093" i="11"/>
  <c r="Y2093" i="11"/>
  <c r="Y2029" i="11"/>
  <c r="V2029" i="11"/>
  <c r="V1965" i="11"/>
  <c r="AA1965" i="11" s="1"/>
  <c r="Y1965" i="11"/>
  <c r="AB1965" i="11" s="1"/>
  <c r="Y1773" i="11"/>
  <c r="AB1773" i="11" s="1"/>
  <c r="V1773" i="11"/>
  <c r="AA1773" i="11" s="1"/>
  <c r="Y1709" i="11"/>
  <c r="AB1709" i="11" s="1"/>
  <c r="V1709" i="11"/>
  <c r="Y1581" i="11"/>
  <c r="AB1581" i="11" s="1"/>
  <c r="V1581" i="11"/>
  <c r="Y283" i="11"/>
  <c r="AB283" i="11" s="1"/>
  <c r="V283" i="11"/>
  <c r="V219" i="11"/>
  <c r="Y219" i="11"/>
  <c r="AB219" i="11" s="1"/>
  <c r="Y131" i="11"/>
  <c r="V131" i="11"/>
  <c r="V51" i="11"/>
  <c r="Y51" i="11"/>
  <c r="Y1533" i="11"/>
  <c r="AB1533" i="11" s="1"/>
  <c r="V1533" i="11"/>
  <c r="AA1533" i="11" s="1"/>
  <c r="Y1469" i="11"/>
  <c r="AB1469" i="11" s="1"/>
  <c r="V1469" i="11"/>
  <c r="Y1405" i="11"/>
  <c r="AB1405" i="11" s="1"/>
  <c r="V1405" i="11"/>
  <c r="Y1341" i="11"/>
  <c r="V1341" i="11"/>
  <c r="AA1341" i="11" s="1"/>
  <c r="V1277" i="11"/>
  <c r="AA1277" i="11" s="1"/>
  <c r="Y1277" i="11"/>
  <c r="AB1277" i="11" s="1"/>
  <c r="Y1213" i="11"/>
  <c r="V1213" i="11"/>
  <c r="Y1149" i="11"/>
  <c r="V1149" i="11"/>
  <c r="AA1149" i="11" s="1"/>
  <c r="Y1085" i="11"/>
  <c r="V1085" i="11"/>
  <c r="AA1085" i="11" s="1"/>
  <c r="V1021" i="11"/>
  <c r="Y1021" i="11"/>
  <c r="AB1021" i="11" s="1"/>
  <c r="Y957" i="11"/>
  <c r="AB957" i="11" s="1"/>
  <c r="V957" i="11"/>
  <c r="Y893" i="11"/>
  <c r="AB893" i="11" s="1"/>
  <c r="V893" i="11"/>
  <c r="Y829" i="11"/>
  <c r="AB829" i="11" s="1"/>
  <c r="V829" i="11"/>
  <c r="AA829" i="11" s="1"/>
  <c r="Y765" i="11"/>
  <c r="AB765" i="11" s="1"/>
  <c r="V765" i="11"/>
  <c r="Y701" i="11"/>
  <c r="AB701" i="11" s="1"/>
  <c r="V701" i="11"/>
  <c r="AA701" i="11" s="1"/>
  <c r="Y637" i="11"/>
  <c r="V637" i="11"/>
  <c r="Y573" i="11"/>
  <c r="AB573" i="11" s="1"/>
  <c r="V573" i="11"/>
  <c r="AA573" i="11" s="1"/>
  <c r="V509" i="11"/>
  <c r="Y509" i="11"/>
  <c r="AB509" i="11" s="1"/>
  <c r="Y445" i="11"/>
  <c r="AB445" i="11" s="1"/>
  <c r="V445" i="11"/>
  <c r="V381" i="11"/>
  <c r="AA381" i="11" s="1"/>
  <c r="Y381" i="11"/>
  <c r="V317" i="11"/>
  <c r="AA317" i="11" s="1"/>
  <c r="Y317" i="11"/>
  <c r="AB317" i="11" s="1"/>
  <c r="Y253" i="11"/>
  <c r="AB253" i="11" s="1"/>
  <c r="V253" i="11"/>
  <c r="AA253" i="11" s="1"/>
  <c r="Y189" i="11"/>
  <c r="V189" i="11"/>
  <c r="AA189" i="11" s="1"/>
  <c r="Y125" i="11"/>
  <c r="AB125" i="11" s="1"/>
  <c r="V125" i="11"/>
  <c r="V61" i="11"/>
  <c r="Y61" i="11"/>
  <c r="V3882" i="11"/>
  <c r="Y3882" i="11"/>
  <c r="AB3882" i="11" s="1"/>
  <c r="Y3818" i="11"/>
  <c r="AB3818" i="11" s="1"/>
  <c r="V3818" i="11"/>
  <c r="V3754" i="11"/>
  <c r="Y3754" i="11"/>
  <c r="Y3690" i="11"/>
  <c r="AB3690" i="11" s="1"/>
  <c r="V3690" i="11"/>
  <c r="Y3626" i="11"/>
  <c r="V3626" i="11"/>
  <c r="V3562" i="11"/>
  <c r="AA3562" i="11" s="1"/>
  <c r="Y3562" i="11"/>
  <c r="V3498" i="11"/>
  <c r="Y3498" i="11"/>
  <c r="Y3434" i="11"/>
  <c r="V3434" i="11"/>
  <c r="Y3370" i="11"/>
  <c r="AB3370" i="11" s="1"/>
  <c r="V3370" i="11"/>
  <c r="Y3306" i="11"/>
  <c r="AB3306" i="11" s="1"/>
  <c r="V3306" i="11"/>
  <c r="Y3242" i="11"/>
  <c r="AB3242" i="11" s="1"/>
  <c r="V3242" i="11"/>
  <c r="V3178" i="11"/>
  <c r="AA3178" i="11" s="1"/>
  <c r="Y3178" i="11"/>
  <c r="V3114" i="11"/>
  <c r="AA3114" i="11" s="1"/>
  <c r="Y3114" i="11"/>
  <c r="AB3114" i="11" s="1"/>
  <c r="Y3050" i="11"/>
  <c r="V3050" i="11"/>
  <c r="V2986" i="11"/>
  <c r="Y2986" i="11"/>
  <c r="AB2986" i="11" s="1"/>
  <c r="V2922" i="11"/>
  <c r="AA2922" i="11" s="1"/>
  <c r="Y2922" i="11"/>
  <c r="Y2858" i="11"/>
  <c r="V2858" i="11"/>
  <c r="Y2794" i="11"/>
  <c r="V2794" i="11"/>
  <c r="Y2730" i="11"/>
  <c r="V2730" i="11"/>
  <c r="Y2610" i="11"/>
  <c r="V2610" i="11"/>
  <c r="AA2610" i="11" s="1"/>
  <c r="V2530" i="11"/>
  <c r="Y2530" i="11"/>
  <c r="Y2450" i="11"/>
  <c r="V2450" i="11"/>
  <c r="V2354" i="11"/>
  <c r="Y2354" i="11"/>
  <c r="Y2274" i="11"/>
  <c r="V2274" i="11"/>
  <c r="Y2186" i="11"/>
  <c r="V2186" i="11"/>
  <c r="AA2186" i="11" s="1"/>
  <c r="V2058" i="11"/>
  <c r="Y2058" i="11"/>
  <c r="V1930" i="11"/>
  <c r="AA1930" i="11" s="1"/>
  <c r="Y1930" i="11"/>
  <c r="V1802" i="11"/>
  <c r="Y1802" i="11"/>
  <c r="AB1802" i="11" s="1"/>
  <c r="Y1674" i="11"/>
  <c r="AB1674" i="11" s="1"/>
  <c r="V1674" i="11"/>
  <c r="AA1674" i="11" s="1"/>
  <c r="V1546" i="11"/>
  <c r="Y1546" i="11"/>
  <c r="Y1474" i="11"/>
  <c r="AB1474" i="11" s="1"/>
  <c r="V1474" i="11"/>
  <c r="Y1402" i="11"/>
  <c r="AB1402" i="11" s="1"/>
  <c r="V1402" i="11"/>
  <c r="Y1330" i="11"/>
  <c r="AB1330" i="11" s="1"/>
  <c r="V1330" i="11"/>
  <c r="AA1330" i="11" s="1"/>
  <c r="Y1250" i="11"/>
  <c r="AB1250" i="11" s="1"/>
  <c r="V1250" i="11"/>
  <c r="V1186" i="11"/>
  <c r="Y1186" i="11"/>
  <c r="V1106" i="11"/>
  <c r="Y1106" i="11"/>
  <c r="Y1034" i="11"/>
  <c r="AB1034" i="11" s="1"/>
  <c r="V1034" i="11"/>
  <c r="AA1034" i="11" s="1"/>
  <c r="Y962" i="11"/>
  <c r="V962" i="11"/>
  <c r="AA962" i="11" s="1"/>
  <c r="Y890" i="11"/>
  <c r="V890" i="11"/>
  <c r="Y818" i="11"/>
  <c r="V818" i="11"/>
  <c r="AA818" i="11" s="1"/>
  <c r="V738" i="11"/>
  <c r="AA738" i="11" s="1"/>
  <c r="Y738" i="11"/>
  <c r="AB738" i="11" s="1"/>
  <c r="Y674" i="11"/>
  <c r="AB674" i="11" s="1"/>
  <c r="V674" i="11"/>
  <c r="Y594" i="11"/>
  <c r="V594" i="11"/>
  <c r="Y522" i="11"/>
  <c r="AB522" i="11" s="1"/>
  <c r="V522" i="11"/>
  <c r="V450" i="11"/>
  <c r="Y450" i="11"/>
  <c r="Y378" i="11"/>
  <c r="AB378" i="11" s="1"/>
  <c r="V378" i="11"/>
  <c r="AA378" i="11" s="1"/>
  <c r="V306" i="11"/>
  <c r="Y306" i="11"/>
  <c r="Y226" i="11"/>
  <c r="AB226" i="11" s="1"/>
  <c r="V226" i="11"/>
  <c r="V162" i="11"/>
  <c r="Y162" i="11"/>
  <c r="V98" i="11"/>
  <c r="Y98" i="11"/>
  <c r="Y2164" i="11"/>
  <c r="V2164" i="11"/>
  <c r="V2100" i="11"/>
  <c r="Y2100" i="11"/>
  <c r="V2036" i="11"/>
  <c r="Y2036" i="11"/>
  <c r="V1972" i="11"/>
  <c r="Y1972" i="11"/>
  <c r="V1908" i="11"/>
  <c r="Y1908" i="11"/>
  <c r="V1844" i="11"/>
  <c r="Y1844" i="11"/>
  <c r="AB1844" i="11" s="1"/>
  <c r="Y1780" i="11"/>
  <c r="AB1780" i="11" s="1"/>
  <c r="V1780" i="11"/>
  <c r="AA1780" i="11" s="1"/>
  <c r="Y1716" i="11"/>
  <c r="V1716" i="11"/>
  <c r="V1636" i="11"/>
  <c r="Y1636" i="11"/>
  <c r="V1572" i="11"/>
  <c r="Y1572" i="11"/>
  <c r="V1508" i="11"/>
  <c r="Y1508" i="11"/>
  <c r="V1444" i="11"/>
  <c r="Y1444" i="11"/>
  <c r="Y1380" i="11"/>
  <c r="V1380" i="11"/>
  <c r="V1316" i="11"/>
  <c r="Y1316" i="11"/>
  <c r="Y1252" i="11"/>
  <c r="V1252" i="11"/>
  <c r="Y1188" i="11"/>
  <c r="AB1188" i="11" s="1"/>
  <c r="V1188" i="11"/>
  <c r="Y1124" i="11"/>
  <c r="V1124" i="11"/>
  <c r="V1060" i="11"/>
  <c r="Y1060" i="11"/>
  <c r="Y996" i="11"/>
  <c r="V996" i="11"/>
  <c r="AA996" i="11" s="1"/>
  <c r="V932" i="11"/>
  <c r="Y932" i="11"/>
  <c r="Y868" i="11"/>
  <c r="V868" i="11"/>
  <c r="V804" i="11"/>
  <c r="AA804" i="11" s="1"/>
  <c r="Y804" i="11"/>
  <c r="Y740" i="11"/>
  <c r="V740" i="11"/>
  <c r="Y676" i="11"/>
  <c r="V676" i="11"/>
  <c r="AA676" i="11" s="1"/>
  <c r="Y612" i="11"/>
  <c r="V612" i="11"/>
  <c r="V548" i="11"/>
  <c r="Y548" i="11"/>
  <c r="V484" i="11"/>
  <c r="Y484" i="11"/>
  <c r="AB484" i="11" s="1"/>
  <c r="Y420" i="11"/>
  <c r="V420" i="11"/>
  <c r="Y356" i="11"/>
  <c r="V356" i="11"/>
  <c r="Y292" i="11"/>
  <c r="V292" i="11"/>
  <c r="Y228" i="11"/>
  <c r="V228" i="11"/>
  <c r="V164" i="11"/>
  <c r="Y164" i="11"/>
  <c r="Y100" i="11"/>
  <c r="V100" i="11"/>
  <c r="V36" i="11"/>
  <c r="Y36" i="11"/>
  <c r="AB36" i="11" s="1"/>
  <c r="V2283" i="11"/>
  <c r="AA2283" i="11" s="1"/>
  <c r="Y2283" i="11"/>
  <c r="Y2219" i="11"/>
  <c r="AB2219" i="11" s="1"/>
  <c r="V2219" i="11"/>
  <c r="AA2219" i="11" s="1"/>
  <c r="Y2155" i="11"/>
  <c r="AB2155" i="11" s="1"/>
  <c r="V2155" i="11"/>
  <c r="V2091" i="11"/>
  <c r="AA2091" i="11" s="1"/>
  <c r="Y2091" i="11"/>
  <c r="AB2091" i="11" s="1"/>
  <c r="V2027" i="11"/>
  <c r="AA2027" i="11" s="1"/>
  <c r="Y2027" i="11"/>
  <c r="V1963" i="11"/>
  <c r="Y1963" i="11"/>
  <c r="V1899" i="11"/>
  <c r="Y1899" i="11"/>
  <c r="V1835" i="11"/>
  <c r="Y1835" i="11"/>
  <c r="V1771" i="11"/>
  <c r="Y1771" i="11"/>
  <c r="V1707" i="11"/>
  <c r="Y1707" i="11"/>
  <c r="V1643" i="11"/>
  <c r="Y1643" i="11"/>
  <c r="V1579" i="11"/>
  <c r="Y1579" i="11"/>
  <c r="Y1515" i="11"/>
  <c r="V1515" i="11"/>
  <c r="Y1451" i="11"/>
  <c r="V1451" i="11"/>
  <c r="V1387" i="11"/>
  <c r="Y1387" i="11"/>
  <c r="Y1323" i="11"/>
  <c r="V1323" i="11"/>
  <c r="V1259" i="11"/>
  <c r="Y1259" i="11"/>
  <c r="Y1195" i="11"/>
  <c r="V1195" i="11"/>
  <c r="V1131" i="11"/>
  <c r="Y1131" i="11"/>
  <c r="Y1067" i="11"/>
  <c r="V1067" i="11"/>
  <c r="Y2173" i="11"/>
  <c r="V2173" i="11"/>
  <c r="Y987" i="11"/>
  <c r="V987" i="11"/>
  <c r="Y923" i="11"/>
  <c r="V923" i="11"/>
  <c r="Y859" i="11"/>
  <c r="V859" i="11"/>
  <c r="V795" i="11"/>
  <c r="Y795" i="11"/>
  <c r="Y731" i="11"/>
  <c r="V731" i="11"/>
  <c r="V667" i="11"/>
  <c r="Y667" i="11"/>
  <c r="Y603" i="11"/>
  <c r="V603" i="11"/>
  <c r="Y539" i="11"/>
  <c r="V539" i="11"/>
  <c r="Y475" i="11"/>
  <c r="V475" i="11"/>
  <c r="Y411" i="11"/>
  <c r="V411" i="11"/>
  <c r="V347" i="11"/>
  <c r="Y347" i="11"/>
  <c r="Y2085" i="11"/>
  <c r="V2085" i="11"/>
  <c r="AA2085" i="11" s="1"/>
  <c r="Y2021" i="11"/>
  <c r="V2021" i="11"/>
  <c r="AA2021" i="11" s="1"/>
  <c r="V1957" i="11"/>
  <c r="AA1957" i="11" s="1"/>
  <c r="Y1957" i="11"/>
  <c r="Y1893" i="11"/>
  <c r="V1893" i="11"/>
  <c r="AA1893" i="11" s="1"/>
  <c r="V1829" i="11"/>
  <c r="AA1829" i="11" s="1"/>
  <c r="Y1829" i="11"/>
  <c r="AB1829" i="11" s="1"/>
  <c r="V1765" i="11"/>
  <c r="AA1765" i="11" s="1"/>
  <c r="Y1765" i="11"/>
  <c r="AB1765" i="11" s="1"/>
  <c r="V1701" i="11"/>
  <c r="AA1701" i="11" s="1"/>
  <c r="Y1701" i="11"/>
  <c r="AB1701" i="11" s="1"/>
  <c r="V1637" i="11"/>
  <c r="Y1637" i="11"/>
  <c r="Y1573" i="11"/>
  <c r="V1573" i="11"/>
  <c r="AA1573" i="11" s="1"/>
  <c r="V275" i="11"/>
  <c r="Y275" i="11"/>
  <c r="V211" i="11"/>
  <c r="Y211" i="11"/>
  <c r="Y123" i="11"/>
  <c r="V123" i="11"/>
  <c r="V43" i="11"/>
  <c r="Y43" i="11"/>
  <c r="V1525" i="11"/>
  <c r="Y1525" i="11"/>
  <c r="V1461" i="11"/>
  <c r="AA1461" i="11" s="1"/>
  <c r="Y1461" i="11"/>
  <c r="V1397" i="11"/>
  <c r="AA1397" i="11" s="1"/>
  <c r="Y1397" i="11"/>
  <c r="AB1397" i="11" s="1"/>
  <c r="Y1333" i="11"/>
  <c r="V1333" i="11"/>
  <c r="AA1333" i="11" s="1"/>
  <c r="V1269" i="11"/>
  <c r="AA1269" i="11" s="1"/>
  <c r="Y1269" i="11"/>
  <c r="V1205" i="11"/>
  <c r="AA1205" i="11" s="1"/>
  <c r="Y1205" i="11"/>
  <c r="V1141" i="11"/>
  <c r="Y1141" i="11"/>
  <c r="Y1077" i="11"/>
  <c r="V1077" i="11"/>
  <c r="Y1013" i="11"/>
  <c r="AB1013" i="11" s="1"/>
  <c r="V1013" i="11"/>
  <c r="AA1013" i="11" s="1"/>
  <c r="Y949" i="11"/>
  <c r="V949" i="11"/>
  <c r="V885" i="11"/>
  <c r="Y885" i="11"/>
  <c r="V821" i="11"/>
  <c r="AA821" i="11" s="1"/>
  <c r="Y821" i="11"/>
  <c r="AB821" i="11" s="1"/>
  <c r="V757" i="11"/>
  <c r="AA757" i="11" s="1"/>
  <c r="Y757" i="11"/>
  <c r="AB757" i="11" s="1"/>
  <c r="V693" i="11"/>
  <c r="AA693" i="11" s="1"/>
  <c r="Y693" i="11"/>
  <c r="V629" i="11"/>
  <c r="AA629" i="11" s="1"/>
  <c r="Y629" i="11"/>
  <c r="AB629" i="11" s="1"/>
  <c r="V565" i="11"/>
  <c r="AA565" i="11" s="1"/>
  <c r="Y565" i="11"/>
  <c r="AB565" i="11" s="1"/>
  <c r="Y501" i="11"/>
  <c r="V501" i="11"/>
  <c r="Y437" i="11"/>
  <c r="V437" i="11"/>
  <c r="Y373" i="11"/>
  <c r="V373" i="11"/>
  <c r="AA373" i="11" s="1"/>
  <c r="V309" i="11"/>
  <c r="AA309" i="11" s="1"/>
  <c r="Y309" i="11"/>
  <c r="AB309" i="11" s="1"/>
  <c r="V245" i="11"/>
  <c r="AA245" i="11" s="1"/>
  <c r="Y245" i="11"/>
  <c r="AB245" i="11" s="1"/>
  <c r="Y181" i="11"/>
  <c r="V181" i="11"/>
  <c r="Y117" i="11"/>
  <c r="V117" i="11"/>
  <c r="AA117" i="11" s="1"/>
  <c r="V53" i="11"/>
  <c r="Y53" i="11"/>
  <c r="Y3874" i="11"/>
  <c r="AB3874" i="11" s="1"/>
  <c r="V3874" i="11"/>
  <c r="AA3874" i="11" s="1"/>
  <c r="V3810" i="11"/>
  <c r="AA3810" i="11" s="1"/>
  <c r="Y3810" i="11"/>
  <c r="Y3746" i="11"/>
  <c r="AB3746" i="11" s="1"/>
  <c r="V3746" i="11"/>
  <c r="Y3682" i="11"/>
  <c r="V3682" i="11"/>
  <c r="Y3618" i="11"/>
  <c r="V3618" i="11"/>
  <c r="Y3554" i="11"/>
  <c r="AB3554" i="11" s="1"/>
  <c r="V3554" i="11"/>
  <c r="Y3490" i="11"/>
  <c r="V3490" i="11"/>
  <c r="V3426" i="11"/>
  <c r="Y3426" i="11"/>
  <c r="V3362" i="11"/>
  <c r="AA3362" i="11" s="1"/>
  <c r="Y3362" i="11"/>
  <c r="V3298" i="11"/>
  <c r="Y3298" i="11"/>
  <c r="V3234" i="11"/>
  <c r="AA3234" i="11" s="1"/>
  <c r="Y3234" i="11"/>
  <c r="Y3170" i="11"/>
  <c r="V3170" i="11"/>
  <c r="Y3106" i="11"/>
  <c r="V3106" i="11"/>
  <c r="AA3106" i="11" s="1"/>
  <c r="V3042" i="11"/>
  <c r="Y3042" i="11"/>
  <c r="V2978" i="11"/>
  <c r="Y2978" i="11"/>
  <c r="AB2978" i="11" s="1"/>
  <c r="V2914" i="11"/>
  <c r="Y2914" i="11"/>
  <c r="AB2914" i="11" s="1"/>
  <c r="V2850" i="11"/>
  <c r="Y2850" i="11"/>
  <c r="Y2786" i="11"/>
  <c r="V2786" i="11"/>
  <c r="Y2706" i="11"/>
  <c r="V2706" i="11"/>
  <c r="Y2602" i="11"/>
  <c r="V2602" i="11"/>
  <c r="AA2602" i="11" s="1"/>
  <c r="Y2522" i="11"/>
  <c r="V2522" i="11"/>
  <c r="Y2434" i="11"/>
  <c r="V2434" i="11"/>
  <c r="Y2346" i="11"/>
  <c r="AB2346" i="11" s="1"/>
  <c r="V2346" i="11"/>
  <c r="Y2266" i="11"/>
  <c r="V2266" i="11"/>
  <c r="V2170" i="11"/>
  <c r="Y2170" i="11"/>
  <c r="Y2042" i="11"/>
  <c r="V2042" i="11"/>
  <c r="V1914" i="11"/>
  <c r="AA1914" i="11" s="1"/>
  <c r="Y1914" i="11"/>
  <c r="AB1914" i="11" s="1"/>
  <c r="V1786" i="11"/>
  <c r="AA1786" i="11" s="1"/>
  <c r="Y1786" i="11"/>
  <c r="V1658" i="11"/>
  <c r="Y1658" i="11"/>
  <c r="V1538" i="11"/>
  <c r="AA1538" i="11" s="1"/>
  <c r="Y1538" i="11"/>
  <c r="Y1466" i="11"/>
  <c r="AB1466" i="11" s="1"/>
  <c r="V1466" i="11"/>
  <c r="AA1466" i="11" s="1"/>
  <c r="V1386" i="11"/>
  <c r="Y1386" i="11"/>
  <c r="AB1386" i="11" s="1"/>
  <c r="Y1322" i="11"/>
  <c r="AB1322" i="11" s="1"/>
  <c r="V1322" i="11"/>
  <c r="Y1242" i="11"/>
  <c r="AB1242" i="11" s="1"/>
  <c r="V1242" i="11"/>
  <c r="V1178" i="11"/>
  <c r="AA1178" i="11" s="1"/>
  <c r="Y1178" i="11"/>
  <c r="AB1178" i="11" s="1"/>
  <c r="Y1098" i="11"/>
  <c r="AB1098" i="11" s="1"/>
  <c r="V1098" i="11"/>
  <c r="V1026" i="11"/>
  <c r="Y1026" i="11"/>
  <c r="AB1026" i="11" s="1"/>
  <c r="V954" i="11"/>
  <c r="AA954" i="11" s="1"/>
  <c r="Y954" i="11"/>
  <c r="AB954" i="11" s="1"/>
  <c r="V874" i="11"/>
  <c r="Y874" i="11"/>
  <c r="Y810" i="11"/>
  <c r="AB810" i="11" s="1"/>
  <c r="V810" i="11"/>
  <c r="AA810" i="11" s="1"/>
  <c r="V730" i="11"/>
  <c r="AA730" i="11" s="1"/>
  <c r="Y730" i="11"/>
  <c r="AB730" i="11" s="1"/>
  <c r="V666" i="11"/>
  <c r="AA666" i="11" s="1"/>
  <c r="Y666" i="11"/>
  <c r="V586" i="11"/>
  <c r="AA586" i="11" s="1"/>
  <c r="Y586" i="11"/>
  <c r="AB586" i="11" s="1"/>
  <c r="V514" i="11"/>
  <c r="AA514" i="11" s="1"/>
  <c r="Y514" i="11"/>
  <c r="V442" i="11"/>
  <c r="Y442" i="11"/>
  <c r="V362" i="11"/>
  <c r="AA362" i="11" s="1"/>
  <c r="Y362" i="11"/>
  <c r="Y298" i="11"/>
  <c r="V298" i="11"/>
  <c r="Y218" i="11"/>
  <c r="V218" i="11"/>
  <c r="AA218" i="11" s="1"/>
  <c r="Y154" i="11"/>
  <c r="V154" i="11"/>
  <c r="V90" i="11"/>
  <c r="Y90" i="11"/>
  <c r="V2156" i="11"/>
  <c r="Y2156" i="11"/>
  <c r="Y2092" i="11"/>
  <c r="V2092" i="11"/>
  <c r="Y2028" i="11"/>
  <c r="AB2028" i="11" s="1"/>
  <c r="V2028" i="11"/>
  <c r="AA2028" i="11" s="1"/>
  <c r="V1964" i="11"/>
  <c r="AA1964" i="11" s="1"/>
  <c r="Y1964" i="11"/>
  <c r="Y1900" i="11"/>
  <c r="AB1900" i="11" s="1"/>
  <c r="V1900" i="11"/>
  <c r="AA1900" i="11" s="1"/>
  <c r="V1836" i="11"/>
  <c r="AA1836" i="11" s="1"/>
  <c r="Y1836" i="11"/>
  <c r="AB1836" i="11" s="1"/>
  <c r="Y1772" i="11"/>
  <c r="AB1772" i="11" s="1"/>
  <c r="V1772" i="11"/>
  <c r="AA1772" i="11" s="1"/>
  <c r="V1708" i="11"/>
  <c r="AA1708" i="11" s="1"/>
  <c r="Y1708" i="11"/>
  <c r="Y1628" i="11"/>
  <c r="V1628" i="11"/>
  <c r="Y1564" i="11"/>
  <c r="V1564" i="11"/>
  <c r="Y1500" i="11"/>
  <c r="V1500" i="11"/>
  <c r="Y1436" i="11"/>
  <c r="V1436" i="11"/>
  <c r="V1372" i="11"/>
  <c r="Y1372" i="11"/>
  <c r="AB1372" i="11" s="1"/>
  <c r="Y1308" i="11"/>
  <c r="V1308" i="11"/>
  <c r="Y1244" i="11"/>
  <c r="V1244" i="11"/>
  <c r="V1180" i="11"/>
  <c r="AA1180" i="11" s="1"/>
  <c r="Y1180" i="11"/>
  <c r="V1116" i="11"/>
  <c r="Y1116" i="11"/>
  <c r="Y1052" i="11"/>
  <c r="AB1052" i="11" s="1"/>
  <c r="V1052" i="11"/>
  <c r="V988" i="11"/>
  <c r="Y988" i="11"/>
  <c r="AB988" i="11" s="1"/>
  <c r="Y924" i="11"/>
  <c r="V924" i="11"/>
  <c r="Y860" i="11"/>
  <c r="V860" i="11"/>
  <c r="V796" i="11"/>
  <c r="Y796" i="11"/>
  <c r="Y732" i="11"/>
  <c r="AB732" i="11" s="1"/>
  <c r="V732" i="11"/>
  <c r="Y668" i="11"/>
  <c r="AB668" i="11" s="1"/>
  <c r="V668" i="11"/>
  <c r="V604" i="11"/>
  <c r="Y604" i="11"/>
  <c r="V540" i="11"/>
  <c r="Y540" i="11"/>
  <c r="V476" i="11"/>
  <c r="Y476" i="11"/>
  <c r="Y412" i="11"/>
  <c r="V412" i="11"/>
  <c r="Y348" i="11"/>
  <c r="V348" i="11"/>
  <c r="Y284" i="11"/>
  <c r="AB284" i="11" s="1"/>
  <c r="V284" i="11"/>
  <c r="Y220" i="11"/>
  <c r="V220" i="11"/>
  <c r="V156" i="11"/>
  <c r="Y156" i="11"/>
  <c r="Y92" i="11"/>
  <c r="V92" i="11"/>
  <c r="Y28" i="11"/>
  <c r="V28" i="11"/>
  <c r="Y2275" i="11"/>
  <c r="AB2275" i="11" s="1"/>
  <c r="V2275" i="11"/>
  <c r="AA2275" i="11" s="1"/>
  <c r="Y2211" i="11"/>
  <c r="V2211" i="11"/>
  <c r="V2147" i="11"/>
  <c r="Y2147" i="11"/>
  <c r="Y2083" i="11"/>
  <c r="V2083" i="11"/>
  <c r="V2019" i="11"/>
  <c r="AA2019" i="11" s="1"/>
  <c r="Y2019" i="11"/>
  <c r="AB2019" i="11" s="1"/>
  <c r="V1955" i="11"/>
  <c r="Y1955" i="11"/>
  <c r="V1891" i="11"/>
  <c r="Y1891" i="11"/>
  <c r="V1827" i="11"/>
  <c r="Y1827" i="11"/>
  <c r="V1763" i="11"/>
  <c r="Y1763" i="11"/>
  <c r="V1699" i="11"/>
  <c r="Y1699" i="11"/>
  <c r="Y1635" i="11"/>
  <c r="V1635" i="11"/>
  <c r="Y1571" i="11"/>
  <c r="V1571" i="11"/>
  <c r="V1507" i="11"/>
  <c r="Y1507" i="11"/>
  <c r="V1443" i="11"/>
  <c r="Y1443" i="11"/>
  <c r="V1379" i="11"/>
  <c r="Y1379" i="11"/>
  <c r="V1315" i="11"/>
  <c r="Y1315" i="11"/>
  <c r="V2148" i="11"/>
  <c r="Y2148" i="11"/>
  <c r="V2084" i="11"/>
  <c r="Y2084" i="11"/>
  <c r="V2020" i="11"/>
  <c r="Y2020" i="11"/>
  <c r="Y1956" i="11"/>
  <c r="V1956" i="11"/>
  <c r="AA1956" i="11" s="1"/>
  <c r="Y1892" i="11"/>
  <c r="V1892" i="11"/>
  <c r="V1828" i="11"/>
  <c r="Y1828" i="11"/>
  <c r="Y1764" i="11"/>
  <c r="AB1764" i="11" s="1"/>
  <c r="V1764" i="11"/>
  <c r="V1700" i="11"/>
  <c r="AA1700" i="11" s="1"/>
  <c r="Y1700" i="11"/>
  <c r="V1620" i="11"/>
  <c r="AA1620" i="11" s="1"/>
  <c r="Y1620" i="11"/>
  <c r="Y1556" i="11"/>
  <c r="AB1556" i="11" s="1"/>
  <c r="V1556" i="11"/>
  <c r="Y1492" i="11"/>
  <c r="V1492" i="11"/>
  <c r="Y1428" i="11"/>
  <c r="V1428" i="11"/>
  <c r="AA1428" i="11" s="1"/>
  <c r="V1364" i="11"/>
  <c r="Y1364" i="11"/>
  <c r="AB1364" i="11" s="1"/>
  <c r="Y1300" i="11"/>
  <c r="V1300" i="11"/>
  <c r="Y1236" i="11"/>
  <c r="V1236" i="11"/>
  <c r="V1172" i="11"/>
  <c r="Y1172" i="11"/>
  <c r="Y1108" i="11"/>
  <c r="V1108" i="11"/>
  <c r="AA1108" i="11" s="1"/>
  <c r="V1044" i="11"/>
  <c r="Y1044" i="11"/>
  <c r="Y980" i="11"/>
  <c r="V980" i="11"/>
  <c r="Y916" i="11"/>
  <c r="V916" i="11"/>
  <c r="V852" i="11"/>
  <c r="Y852" i="11"/>
  <c r="V788" i="11"/>
  <c r="AA788" i="11" s="1"/>
  <c r="Y788" i="11"/>
  <c r="Y724" i="11"/>
  <c r="AB724" i="11" s="1"/>
  <c r="V724" i="11"/>
  <c r="V660" i="11"/>
  <c r="Y660" i="11"/>
  <c r="V596" i="11"/>
  <c r="Y596" i="11"/>
  <c r="V532" i="11"/>
  <c r="Y532" i="11"/>
  <c r="V468" i="11"/>
  <c r="Y468" i="11"/>
  <c r="V404" i="11"/>
  <c r="Y404" i="11"/>
  <c r="V340" i="11"/>
  <c r="Y340" i="11"/>
  <c r="V276" i="11"/>
  <c r="Y276" i="11"/>
  <c r="V212" i="11"/>
  <c r="Y212" i="11"/>
  <c r="V148" i="11"/>
  <c r="Y148" i="11"/>
  <c r="Y84" i="11"/>
  <c r="V84" i="11"/>
  <c r="AA84" i="11" s="1"/>
  <c r="Y20" i="11"/>
  <c r="V20" i="11"/>
  <c r="Y2267" i="11"/>
  <c r="AB2267" i="11" s="1"/>
  <c r="V2267" i="11"/>
  <c r="V2203" i="11"/>
  <c r="Y2203" i="11"/>
  <c r="V2139" i="11"/>
  <c r="Y2139" i="11"/>
  <c r="V2075" i="11"/>
  <c r="Y2075" i="11"/>
  <c r="V2011" i="11"/>
  <c r="Y2011" i="11"/>
  <c r="Y1947" i="11"/>
  <c r="V1947" i="11"/>
  <c r="V1883" i="11"/>
  <c r="Y1883" i="11"/>
  <c r="Y1819" i="11"/>
  <c r="V1819" i="11"/>
  <c r="Y1755" i="11"/>
  <c r="V1755" i="11"/>
  <c r="Y1691" i="11"/>
  <c r="V1691" i="11"/>
  <c r="Y1627" i="11"/>
  <c r="V1627" i="11"/>
  <c r="Y1563" i="11"/>
  <c r="AB1563" i="11" s="1"/>
  <c r="V1563" i="11"/>
  <c r="V1499" i="11"/>
  <c r="Y1499" i="11"/>
  <c r="Y1435" i="11"/>
  <c r="V1435" i="11"/>
  <c r="Y1371" i="11"/>
  <c r="V1371" i="11"/>
  <c r="V1307" i="11"/>
  <c r="Y1307" i="11"/>
  <c r="V1243" i="11"/>
  <c r="Y1243" i="11"/>
  <c r="V1179" i="11"/>
  <c r="Y1179" i="11"/>
  <c r="Y1115" i="11"/>
  <c r="V1115" i="11"/>
  <c r="V1051" i="11"/>
  <c r="Y1051" i="11"/>
  <c r="V3861" i="11"/>
  <c r="Y3861" i="11"/>
  <c r="Y3797" i="11"/>
  <c r="V3797" i="11"/>
  <c r="V2157" i="11"/>
  <c r="Y2157" i="11"/>
  <c r="Y971" i="11"/>
  <c r="V971" i="11"/>
  <c r="V907" i="11"/>
  <c r="Y907" i="11"/>
  <c r="AB907" i="11" s="1"/>
  <c r="Y843" i="11"/>
  <c r="V843" i="11"/>
  <c r="Y779" i="11"/>
  <c r="AB779" i="11" s="1"/>
  <c r="V779" i="11"/>
  <c r="Y715" i="11"/>
  <c r="V715" i="11"/>
  <c r="Y651" i="11"/>
  <c r="V651" i="11"/>
  <c r="V587" i="11"/>
  <c r="Y587" i="11"/>
  <c r="AB587" i="11" s="1"/>
  <c r="Y523" i="11"/>
  <c r="V523" i="11"/>
  <c r="V459" i="11"/>
  <c r="Y459" i="11"/>
  <c r="V395" i="11"/>
  <c r="Y395" i="11"/>
  <c r="V2133" i="11"/>
  <c r="Y2133" i="11"/>
  <c r="Y2069" i="11"/>
  <c r="V2069" i="11"/>
  <c r="AA2069" i="11" s="1"/>
  <c r="Y2005" i="11"/>
  <c r="V2005" i="11"/>
  <c r="V1941" i="11"/>
  <c r="AA1941" i="11" s="1"/>
  <c r="Y1941" i="11"/>
  <c r="AB1941" i="11" s="1"/>
  <c r="V1877" i="11"/>
  <c r="Y1877" i="11"/>
  <c r="AB1877" i="11" s="1"/>
  <c r="Y1813" i="11"/>
  <c r="AB1813" i="11" s="1"/>
  <c r="V1813" i="11"/>
  <c r="AA1813" i="11" s="1"/>
  <c r="V1749" i="11"/>
  <c r="AA1749" i="11" s="1"/>
  <c r="Y1749" i="11"/>
  <c r="AB1749" i="11" s="1"/>
  <c r="Y1685" i="11"/>
  <c r="AB1685" i="11" s="1"/>
  <c r="V1685" i="11"/>
  <c r="AA1685" i="11" s="1"/>
  <c r="Y323" i="11"/>
  <c r="V323" i="11"/>
  <c r="Y259" i="11"/>
  <c r="V259" i="11"/>
  <c r="Y187" i="11"/>
  <c r="V187" i="11"/>
  <c r="V107" i="11"/>
  <c r="AA107" i="11" s="1"/>
  <c r="Y107" i="11"/>
  <c r="V19" i="11"/>
  <c r="Y19" i="11"/>
  <c r="Y1509" i="11"/>
  <c r="AB1509" i="11" s="1"/>
  <c r="V1509" i="11"/>
  <c r="AA1509" i="11" s="1"/>
  <c r="V1445" i="11"/>
  <c r="AA1445" i="11" s="1"/>
  <c r="Y1445" i="11"/>
  <c r="V1381" i="11"/>
  <c r="AA1381" i="11" s="1"/>
  <c r="Y1381" i="11"/>
  <c r="AB1381" i="11" s="1"/>
  <c r="V1317" i="11"/>
  <c r="Y1317" i="11"/>
  <c r="AB1317" i="11" s="1"/>
  <c r="Y1253" i="11"/>
  <c r="AB1253" i="11" s="1"/>
  <c r="V1253" i="11"/>
  <c r="AA1253" i="11" s="1"/>
  <c r="Y1189" i="11"/>
  <c r="AB1189" i="11" s="1"/>
  <c r="V1189" i="11"/>
  <c r="Y1125" i="11"/>
  <c r="V1125" i="11"/>
  <c r="V1061" i="11"/>
  <c r="Y1061" i="11"/>
  <c r="Y997" i="11"/>
  <c r="AB997" i="11" s="1"/>
  <c r="V997" i="11"/>
  <c r="AA997" i="11" s="1"/>
  <c r="V933" i="11"/>
  <c r="Y933" i="11"/>
  <c r="Y869" i="11"/>
  <c r="V869" i="11"/>
  <c r="AA869" i="11" s="1"/>
  <c r="V805" i="11"/>
  <c r="AA805" i="11" s="1"/>
  <c r="Y805" i="11"/>
  <c r="AB805" i="11" s="1"/>
  <c r="Y741" i="11"/>
  <c r="AB741" i="11" s="1"/>
  <c r="V741" i="11"/>
  <c r="AA741" i="11" s="1"/>
  <c r="Y677" i="11"/>
  <c r="AB677" i="11" s="1"/>
  <c r="V677" i="11"/>
  <c r="AA677" i="11" s="1"/>
  <c r="V613" i="11"/>
  <c r="AA613" i="11" s="1"/>
  <c r="Y613" i="11"/>
  <c r="AB613" i="11" s="1"/>
  <c r="V549" i="11"/>
  <c r="AA549" i="11" s="1"/>
  <c r="Y549" i="11"/>
  <c r="AB549" i="11" s="1"/>
  <c r="Y485" i="11"/>
  <c r="V485" i="11"/>
  <c r="V421" i="11"/>
  <c r="AA421" i="11" s="1"/>
  <c r="Y421" i="11"/>
  <c r="V357" i="11"/>
  <c r="AA357" i="11" s="1"/>
  <c r="Y357" i="11"/>
  <c r="V293" i="11"/>
  <c r="AA293" i="11" s="1"/>
  <c r="Y293" i="11"/>
  <c r="AB293" i="11" s="1"/>
  <c r="V229" i="11"/>
  <c r="AA229" i="11" s="1"/>
  <c r="Y229" i="11"/>
  <c r="AB229" i="11" s="1"/>
  <c r="Y165" i="11"/>
  <c r="AB165" i="11" s="1"/>
  <c r="V165" i="11"/>
  <c r="V101" i="11"/>
  <c r="Y101" i="11"/>
  <c r="V37" i="11"/>
  <c r="AA37" i="11" s="1"/>
  <c r="Y37" i="11"/>
  <c r="Y3858" i="11"/>
  <c r="AB3858" i="11" s="1"/>
  <c r="V3858" i="11"/>
  <c r="Y3794" i="11"/>
  <c r="AB3794" i="11" s="1"/>
  <c r="V3794" i="11"/>
  <c r="V3730" i="11"/>
  <c r="Y3730" i="11"/>
  <c r="Y3666" i="11"/>
  <c r="V3666" i="11"/>
  <c r="Y3602" i="11"/>
  <c r="AB3602" i="11" s="1"/>
  <c r="V3602" i="11"/>
  <c r="Y3538" i="11"/>
  <c r="V3538" i="11"/>
  <c r="V3474" i="11"/>
  <c r="Y3474" i="11"/>
  <c r="Y3410" i="11"/>
  <c r="V3410" i="11"/>
  <c r="AA3410" i="11" s="1"/>
  <c r="Y3346" i="11"/>
  <c r="V3346" i="11"/>
  <c r="Y3282" i="11"/>
  <c r="AB3282" i="11" s="1"/>
  <c r="V3282" i="11"/>
  <c r="Y3218" i="11"/>
  <c r="AB3218" i="11" s="1"/>
  <c r="V3218" i="11"/>
  <c r="AA3218" i="11" s="1"/>
  <c r="V3154" i="11"/>
  <c r="Y3154" i="11"/>
  <c r="AB3154" i="11" s="1"/>
  <c r="Y3090" i="11"/>
  <c r="V3090" i="11"/>
  <c r="Y3026" i="11"/>
  <c r="AB3026" i="11" s="1"/>
  <c r="V3026" i="11"/>
  <c r="V2962" i="11"/>
  <c r="Y2962" i="11"/>
  <c r="AB2962" i="11" s="1"/>
  <c r="Y2898" i="11"/>
  <c r="V2898" i="11"/>
  <c r="Y2834" i="11"/>
  <c r="AB2834" i="11" s="1"/>
  <c r="V2834" i="11"/>
  <c r="AA2834" i="11" s="1"/>
  <c r="Y2770" i="11"/>
  <c r="V2770" i="11"/>
  <c r="Y2674" i="11"/>
  <c r="V2674" i="11"/>
  <c r="V2586" i="11"/>
  <c r="AA2586" i="11" s="1"/>
  <c r="Y2586" i="11"/>
  <c r="V2498" i="11"/>
  <c r="Y2498" i="11"/>
  <c r="V2410" i="11"/>
  <c r="Y2410" i="11"/>
  <c r="Y2330" i="11"/>
  <c r="V2330" i="11"/>
  <c r="V2242" i="11"/>
  <c r="AA2242" i="11" s="1"/>
  <c r="Y2242" i="11"/>
  <c r="AB2242" i="11" s="1"/>
  <c r="V2138" i="11"/>
  <c r="Y2138" i="11"/>
  <c r="Y2010" i="11"/>
  <c r="AB2010" i="11" s="1"/>
  <c r="V2010" i="11"/>
  <c r="Y1882" i="11"/>
  <c r="AB1882" i="11" s="1"/>
  <c r="V1882" i="11"/>
  <c r="AA1882" i="11" s="1"/>
  <c r="Y1754" i="11"/>
  <c r="AB1754" i="11" s="1"/>
  <c r="V1754" i="11"/>
  <c r="AA1754" i="11" s="1"/>
  <c r="Y1626" i="11"/>
  <c r="AB1626" i="11" s="1"/>
  <c r="V1626" i="11"/>
  <c r="Y1514" i="11"/>
  <c r="V1514" i="11"/>
  <c r="Y1450" i="11"/>
  <c r="AB1450" i="11" s="1"/>
  <c r="V1450" i="11"/>
  <c r="V1370" i="11"/>
  <c r="AA1370" i="11" s="1"/>
  <c r="Y1370" i="11"/>
  <c r="AB1370" i="11" s="1"/>
  <c r="V1306" i="11"/>
  <c r="Y1306" i="11"/>
  <c r="Y1226" i="11"/>
  <c r="AB1226" i="11" s="1"/>
  <c r="V1226" i="11"/>
  <c r="V1154" i="11"/>
  <c r="Y1154" i="11"/>
  <c r="Y1082" i="11"/>
  <c r="V1082" i="11"/>
  <c r="Y1002" i="11"/>
  <c r="AB1002" i="11" s="1"/>
  <c r="V1002" i="11"/>
  <c r="AA1002" i="11" s="1"/>
  <c r="Y938" i="11"/>
  <c r="V938" i="11"/>
  <c r="Y858" i="11"/>
  <c r="V858" i="11"/>
  <c r="Y794" i="11"/>
  <c r="AB794" i="11" s="1"/>
  <c r="V794" i="11"/>
  <c r="AA794" i="11" s="1"/>
  <c r="V714" i="11"/>
  <c r="AA714" i="11" s="1"/>
  <c r="Y714" i="11"/>
  <c r="Y642" i="11"/>
  <c r="V642" i="11"/>
  <c r="V570" i="11"/>
  <c r="AA570" i="11" s="1"/>
  <c r="Y570" i="11"/>
  <c r="AB570" i="11" s="1"/>
  <c r="Y490" i="11"/>
  <c r="V490" i="11"/>
  <c r="AA490" i="11" s="1"/>
  <c r="Y426" i="11"/>
  <c r="V426" i="11"/>
  <c r="AA426" i="11" s="1"/>
  <c r="Y346" i="11"/>
  <c r="AB346" i="11" s="1"/>
  <c r="V346" i="11"/>
  <c r="Y282" i="11"/>
  <c r="V282" i="11"/>
  <c r="Y202" i="11"/>
  <c r="V202" i="11"/>
  <c r="Y138" i="11"/>
  <c r="V138" i="11"/>
  <c r="Y74" i="11"/>
  <c r="V74" i="11"/>
  <c r="Y2140" i="11"/>
  <c r="V2140" i="11"/>
  <c r="Y2076" i="11"/>
  <c r="V2076" i="11"/>
  <c r="Y2012" i="11"/>
  <c r="V2012" i="11"/>
  <c r="Y1948" i="11"/>
  <c r="AB1948" i="11" s="1"/>
  <c r="V1948" i="11"/>
  <c r="V1884" i="11"/>
  <c r="AA1884" i="11" s="1"/>
  <c r="Y1884" i="11"/>
  <c r="Y1820" i="11"/>
  <c r="AB1820" i="11" s="1"/>
  <c r="V1820" i="11"/>
  <c r="AA1820" i="11" s="1"/>
  <c r="Y1756" i="11"/>
  <c r="AB1756" i="11" s="1"/>
  <c r="V1756" i="11"/>
  <c r="V1692" i="11"/>
  <c r="Y1692" i="11"/>
  <c r="V1612" i="11"/>
  <c r="Y1612" i="11"/>
  <c r="V1548" i="11"/>
  <c r="Y1548" i="11"/>
  <c r="Y1484" i="11"/>
  <c r="V1484" i="11"/>
  <c r="Y1420" i="11"/>
  <c r="V1420" i="11"/>
  <c r="Y1356" i="11"/>
  <c r="V1356" i="11"/>
  <c r="V1292" i="11"/>
  <c r="Y1292" i="11"/>
  <c r="Y1228" i="11"/>
  <c r="V1228" i="11"/>
  <c r="V1164" i="11"/>
  <c r="Y1164" i="11"/>
  <c r="Y1100" i="11"/>
  <c r="V1100" i="11"/>
  <c r="V1036" i="11"/>
  <c r="AA1036" i="11" s="1"/>
  <c r="Y1036" i="11"/>
  <c r="Y972" i="11"/>
  <c r="V972" i="11"/>
  <c r="AA972" i="11" s="1"/>
  <c r="V908" i="11"/>
  <c r="Y908" i="11"/>
  <c r="Y844" i="11"/>
  <c r="V844" i="11"/>
  <c r="Y780" i="11"/>
  <c r="V780" i="11"/>
  <c r="AA780" i="11" s="1"/>
  <c r="V716" i="11"/>
  <c r="Y716" i="11"/>
  <c r="V652" i="11"/>
  <c r="AA652" i="11" s="1"/>
  <c r="Y652" i="11"/>
  <c r="V588" i="11"/>
  <c r="Y588" i="11"/>
  <c r="Y524" i="11"/>
  <c r="V524" i="11"/>
  <c r="AA524" i="11" s="1"/>
  <c r="V460" i="11"/>
  <c r="AA460" i="11" s="1"/>
  <c r="Y460" i="11"/>
  <c r="Y396" i="11"/>
  <c r="V396" i="11"/>
  <c r="Y332" i="11"/>
  <c r="V332" i="11"/>
  <c r="Y268" i="11"/>
  <c r="V268" i="11"/>
  <c r="Y204" i="11"/>
  <c r="V204" i="11"/>
  <c r="Y140" i="11"/>
  <c r="V140" i="11"/>
  <c r="Y76" i="11"/>
  <c r="V76" i="11"/>
  <c r="Y2196" i="11"/>
  <c r="V2196" i="11"/>
  <c r="Y2259" i="11"/>
  <c r="AB2259" i="11" s="1"/>
  <c r="V2259" i="11"/>
  <c r="Y2195" i="11"/>
  <c r="V2195" i="11"/>
  <c r="V2131" i="11"/>
  <c r="Y2131" i="11"/>
  <c r="Y2067" i="11"/>
  <c r="AB2067" i="11" s="1"/>
  <c r="V2067" i="11"/>
  <c r="AA2067" i="11" s="1"/>
  <c r="V2003" i="11"/>
  <c r="AA2003" i="11" s="1"/>
  <c r="Y2003" i="11"/>
  <c r="AB2003" i="11" s="1"/>
  <c r="Y1939" i="11"/>
  <c r="V1939" i="11"/>
  <c r="V1875" i="11"/>
  <c r="Y1875" i="11"/>
  <c r="V1811" i="11"/>
  <c r="Y1811" i="11"/>
  <c r="V1747" i="11"/>
  <c r="Y1747" i="11"/>
  <c r="Y1683" i="11"/>
  <c r="V1683" i="11"/>
  <c r="Y1619" i="11"/>
  <c r="V1619" i="11"/>
  <c r="Y1555" i="11"/>
  <c r="V1555" i="11"/>
  <c r="V1491" i="11"/>
  <c r="Y1491" i="11"/>
  <c r="Y1427" i="11"/>
  <c r="V1427" i="11"/>
  <c r="AA1427" i="11" s="1"/>
  <c r="Y1363" i="11"/>
  <c r="V1363" i="11"/>
  <c r="V1299" i="11"/>
  <c r="Y1299" i="11"/>
  <c r="V1235" i="11"/>
  <c r="Y1235" i="11"/>
  <c r="Y1171" i="11"/>
  <c r="V1171" i="11"/>
  <c r="Y1107" i="11"/>
  <c r="V1107" i="11"/>
  <c r="V1043" i="11"/>
  <c r="Y1043" i="11"/>
  <c r="V3853" i="11"/>
  <c r="Y3853" i="11"/>
  <c r="Y2149" i="11"/>
  <c r="V2149" i="11"/>
  <c r="V963" i="11"/>
  <c r="Y963" i="11"/>
  <c r="Y899" i="11"/>
  <c r="V899" i="11"/>
  <c r="V835" i="11"/>
  <c r="Y835" i="11"/>
  <c r="Y771" i="11"/>
  <c r="V771" i="11"/>
  <c r="Y707" i="11"/>
  <c r="V707" i="11"/>
  <c r="V643" i="11"/>
  <c r="Y643" i="11"/>
  <c r="V579" i="11"/>
  <c r="Y579" i="11"/>
  <c r="V515" i="11"/>
  <c r="Y515" i="11"/>
  <c r="Y451" i="11"/>
  <c r="V451" i="11"/>
  <c r="V387" i="11"/>
  <c r="Y387" i="11"/>
  <c r="Y2125" i="11"/>
  <c r="V2125" i="11"/>
  <c r="V2061" i="11"/>
  <c r="Y2061" i="11"/>
  <c r="Y1997" i="11"/>
  <c r="AB1997" i="11" s="1"/>
  <c r="V1997" i="11"/>
  <c r="AA1997" i="11" s="1"/>
  <c r="V1933" i="11"/>
  <c r="AA1933" i="11" s="1"/>
  <c r="Y1933" i="11"/>
  <c r="AB1933" i="11" s="1"/>
  <c r="Y1869" i="11"/>
  <c r="AB1869" i="11" s="1"/>
  <c r="V1869" i="11"/>
  <c r="AA1869" i="11" s="1"/>
  <c r="Y1805" i="11"/>
  <c r="AB1805" i="11" s="1"/>
  <c r="V1805" i="11"/>
  <c r="Y1677" i="11"/>
  <c r="AB1677" i="11" s="1"/>
  <c r="V1677" i="11"/>
  <c r="AA1677" i="11" s="1"/>
  <c r="V1613" i="11"/>
  <c r="AA1613" i="11" s="1"/>
  <c r="Y1613" i="11"/>
  <c r="AB1613" i="11" s="1"/>
  <c r="Y315" i="11"/>
  <c r="V315" i="11"/>
  <c r="V251" i="11"/>
  <c r="AA251" i="11" s="1"/>
  <c r="Y251" i="11"/>
  <c r="V179" i="11"/>
  <c r="Y179" i="11"/>
  <c r="V99" i="11"/>
  <c r="Y99" i="11"/>
  <c r="Y1565" i="11"/>
  <c r="AB1565" i="11" s="1"/>
  <c r="V1565" i="11"/>
  <c r="Y1501" i="11"/>
  <c r="AB1501" i="11" s="1"/>
  <c r="V1501" i="11"/>
  <c r="AA1501" i="11" s="1"/>
  <c r="V1437" i="11"/>
  <c r="AA1437" i="11" s="1"/>
  <c r="Y1437" i="11"/>
  <c r="AB1437" i="11" s="1"/>
  <c r="Y1373" i="11"/>
  <c r="AB1373" i="11" s="1"/>
  <c r="V1373" i="11"/>
  <c r="AA1373" i="11" s="1"/>
  <c r="Y1309" i="11"/>
  <c r="AB1309" i="11" s="1"/>
  <c r="V1309" i="11"/>
  <c r="V1245" i="11"/>
  <c r="AA1245" i="11" s="1"/>
  <c r="Y1245" i="11"/>
  <c r="V1181" i="11"/>
  <c r="AA1181" i="11" s="1"/>
  <c r="Y1181" i="11"/>
  <c r="AB1181" i="11" s="1"/>
  <c r="Y1117" i="11"/>
  <c r="V1117" i="11"/>
  <c r="Y1053" i="11"/>
  <c r="AB1053" i="11" s="1"/>
  <c r="V1053" i="11"/>
  <c r="Y989" i="11"/>
  <c r="AB989" i="11" s="1"/>
  <c r="V989" i="11"/>
  <c r="V925" i="11"/>
  <c r="Y925" i="11"/>
  <c r="V861" i="11"/>
  <c r="Y861" i="11"/>
  <c r="Y797" i="11"/>
  <c r="AB797" i="11" s="1"/>
  <c r="V797" i="11"/>
  <c r="Y733" i="11"/>
  <c r="AB733" i="11" s="1"/>
  <c r="V733" i="11"/>
  <c r="Y669" i="11"/>
  <c r="AB669" i="11" s="1"/>
  <c r="V669" i="11"/>
  <c r="AA669" i="11" s="1"/>
  <c r="Y605" i="11"/>
  <c r="AB605" i="11" s="1"/>
  <c r="V605" i="11"/>
  <c r="AA605" i="11" s="1"/>
  <c r="V541" i="11"/>
  <c r="AA541" i="11" s="1"/>
  <c r="Y541" i="11"/>
  <c r="AB541" i="11" s="1"/>
  <c r="V477" i="11"/>
  <c r="Y477" i="11"/>
  <c r="Y413" i="11"/>
  <c r="AB413" i="11" s="1"/>
  <c r="V413" i="11"/>
  <c r="AA413" i="11" s="1"/>
  <c r="Y349" i="11"/>
  <c r="V349" i="11"/>
  <c r="Y285" i="11"/>
  <c r="AB285" i="11" s="1"/>
  <c r="V285" i="11"/>
  <c r="AA285" i="11" s="1"/>
  <c r="Y221" i="11"/>
  <c r="AB221" i="11" s="1"/>
  <c r="V221" i="11"/>
  <c r="Y157" i="11"/>
  <c r="V157" i="11"/>
  <c r="Y93" i="11"/>
  <c r="AB93" i="11" s="1"/>
  <c r="V93" i="11"/>
  <c r="Y29" i="11"/>
  <c r="V29" i="11"/>
  <c r="V3850" i="11"/>
  <c r="Y3850" i="11"/>
  <c r="Y3786" i="11"/>
  <c r="V3786" i="11"/>
  <c r="AA3786" i="11" s="1"/>
  <c r="Y3722" i="11"/>
  <c r="V3722" i="11"/>
  <c r="Y3658" i="11"/>
  <c r="V3658" i="11"/>
  <c r="Y3594" i="11"/>
  <c r="V3594" i="11"/>
  <c r="Y3530" i="11"/>
  <c r="V3530" i="11"/>
  <c r="Y3466" i="11"/>
  <c r="V3466" i="11"/>
  <c r="Y3402" i="11"/>
  <c r="AB3402" i="11" s="1"/>
  <c r="V3402" i="11"/>
  <c r="V3338" i="11"/>
  <c r="Y3338" i="11"/>
  <c r="Y3274" i="11"/>
  <c r="V3274" i="11"/>
  <c r="AA3274" i="11" s="1"/>
  <c r="Y3210" i="11"/>
  <c r="AB3210" i="11" s="1"/>
  <c r="V3210" i="11"/>
  <c r="Y3146" i="11"/>
  <c r="AB3146" i="11" s="1"/>
  <c r="V3146" i="11"/>
  <c r="V3082" i="11"/>
  <c r="Y3082" i="11"/>
  <c r="V3018" i="11"/>
  <c r="AA3018" i="11" s="1"/>
  <c r="Y3018" i="11"/>
  <c r="V2954" i="11"/>
  <c r="AA2954" i="11" s="1"/>
  <c r="Y2954" i="11"/>
  <c r="AB2954" i="11" s="1"/>
  <c r="Y2890" i="11"/>
  <c r="V2890" i="11"/>
  <c r="V2826" i="11"/>
  <c r="AA2826" i="11" s="1"/>
  <c r="Y2826" i="11"/>
  <c r="Y2762" i="11"/>
  <c r="V2762" i="11"/>
  <c r="V2666" i="11"/>
  <c r="Y2666" i="11"/>
  <c r="Y2578" i="11"/>
  <c r="V2578" i="11"/>
  <c r="V2482" i="11"/>
  <c r="Y2482" i="11"/>
  <c r="V2402" i="11"/>
  <c r="Y2402" i="11"/>
  <c r="AB2402" i="11" s="1"/>
  <c r="Y2322" i="11"/>
  <c r="V2322" i="11"/>
  <c r="Y2226" i="11"/>
  <c r="V2226" i="11"/>
  <c r="V2122" i="11"/>
  <c r="Y2122" i="11"/>
  <c r="V1994" i="11"/>
  <c r="AA1994" i="11" s="1"/>
  <c r="Y1994" i="11"/>
  <c r="AB1994" i="11" s="1"/>
  <c r="V1866" i="11"/>
  <c r="Y1866" i="11"/>
  <c r="AB1866" i="11" s="1"/>
  <c r="V1738" i="11"/>
  <c r="Y1738" i="11"/>
  <c r="AB1738" i="11" s="1"/>
  <c r="Y1610" i="11"/>
  <c r="V1610" i="11"/>
  <c r="Y1506" i="11"/>
  <c r="V1506" i="11"/>
  <c r="Y1442" i="11"/>
  <c r="AB1442" i="11" s="1"/>
  <c r="V1442" i="11"/>
  <c r="Y1362" i="11"/>
  <c r="V1362" i="11"/>
  <c r="Y1290" i="11"/>
  <c r="AB1290" i="11" s="1"/>
  <c r="V1290" i="11"/>
  <c r="Y1218" i="11"/>
  <c r="AB1218" i="11" s="1"/>
  <c r="V1218" i="11"/>
  <c r="Y1146" i="11"/>
  <c r="V1146" i="11"/>
  <c r="Y1074" i="11"/>
  <c r="AB1074" i="11" s="1"/>
  <c r="V1074" i="11"/>
  <c r="V994" i="11"/>
  <c r="Y994" i="11"/>
  <c r="V930" i="11"/>
  <c r="Y930" i="11"/>
  <c r="Y850" i="11"/>
  <c r="AB850" i="11" s="1"/>
  <c r="V850" i="11"/>
  <c r="V778" i="11"/>
  <c r="AA778" i="11" s="1"/>
  <c r="Y778" i="11"/>
  <c r="AB778" i="11" s="1"/>
  <c r="V706" i="11"/>
  <c r="AA706" i="11" s="1"/>
  <c r="Y706" i="11"/>
  <c r="Y634" i="11"/>
  <c r="V634" i="11"/>
  <c r="V562" i="11"/>
  <c r="AA562" i="11" s="1"/>
  <c r="Y562" i="11"/>
  <c r="Y482" i="11"/>
  <c r="V482" i="11"/>
  <c r="Y418" i="11"/>
  <c r="V418" i="11"/>
  <c r="V338" i="11"/>
  <c r="Y338" i="11"/>
  <c r="AB338" i="11" s="1"/>
  <c r="V266" i="11"/>
  <c r="AA266" i="11" s="1"/>
  <c r="Y266" i="11"/>
  <c r="AB266" i="11" s="1"/>
  <c r="V194" i="11"/>
  <c r="Y194" i="11"/>
  <c r="V130" i="11"/>
  <c r="Y130" i="11"/>
  <c r="Y66" i="11"/>
  <c r="V66" i="11"/>
  <c r="Y2132" i="11"/>
  <c r="V2132" i="11"/>
  <c r="AA2132" i="11" s="1"/>
  <c r="Y2068" i="11"/>
  <c r="AB2068" i="11" s="1"/>
  <c r="V2068" i="11"/>
  <c r="V2004" i="11"/>
  <c r="AA2004" i="11" s="1"/>
  <c r="Y2004" i="11"/>
  <c r="Y1940" i="11"/>
  <c r="V1940" i="11"/>
  <c r="AA1940" i="11" s="1"/>
  <c r="V1876" i="11"/>
  <c r="AA1876" i="11" s="1"/>
  <c r="Y1876" i="11"/>
  <c r="Y1812" i="11"/>
  <c r="V1812" i="11"/>
  <c r="Y1748" i="11"/>
  <c r="AB1748" i="11" s="1"/>
  <c r="V1748" i="11"/>
  <c r="V1684" i="11"/>
  <c r="Y1684" i="11"/>
  <c r="AB1684" i="11" s="1"/>
  <c r="Y2188" i="11"/>
  <c r="V2188" i="11"/>
  <c r="Y2124" i="11"/>
  <c r="V2124" i="11"/>
  <c r="Y2060" i="11"/>
  <c r="V2060" i="11"/>
  <c r="Y1996" i="11"/>
  <c r="V1996" i="11"/>
  <c r="AA1996" i="11" s="1"/>
  <c r="Y1932" i="11"/>
  <c r="AB1932" i="11" s="1"/>
  <c r="V1932" i="11"/>
  <c r="V1868" i="11"/>
  <c r="AA1868" i="11" s="1"/>
  <c r="Y1868" i="11"/>
  <c r="AB1868" i="11" s="1"/>
  <c r="Y1804" i="11"/>
  <c r="AB1804" i="11" s="1"/>
  <c r="V1804" i="11"/>
  <c r="V1740" i="11"/>
  <c r="AA1740" i="11" s="1"/>
  <c r="Y1740" i="11"/>
  <c r="Y1676" i="11"/>
  <c r="AB1676" i="11" s="1"/>
  <c r="V1676" i="11"/>
  <c r="Y1660" i="11"/>
  <c r="V1660" i="11"/>
  <c r="V1596" i="11"/>
  <c r="AA1596" i="11" s="1"/>
  <c r="Y1596" i="11"/>
  <c r="AB1596" i="11" s="1"/>
  <c r="Y1532" i="11"/>
  <c r="V1532" i="11"/>
  <c r="AA1532" i="11" s="1"/>
  <c r="V1468" i="11"/>
  <c r="Y1468" i="11"/>
  <c r="V1404" i="11"/>
  <c r="Y1404" i="11"/>
  <c r="V1340" i="11"/>
  <c r="AA1340" i="11" s="1"/>
  <c r="Y1340" i="11"/>
  <c r="V1276" i="11"/>
  <c r="Y1276" i="11"/>
  <c r="AB1276" i="11" s="1"/>
  <c r="Y1212" i="11"/>
  <c r="V1212" i="11"/>
  <c r="V1148" i="11"/>
  <c r="Y1148" i="11"/>
  <c r="V1084" i="11"/>
  <c r="Y1084" i="11"/>
  <c r="Y1020" i="11"/>
  <c r="V1020" i="11"/>
  <c r="AA1020" i="11" s="1"/>
  <c r="V956" i="11"/>
  <c r="Y956" i="11"/>
  <c r="V892" i="11"/>
  <c r="Y892" i="11"/>
  <c r="AB892" i="11" s="1"/>
  <c r="Y828" i="11"/>
  <c r="V828" i="11"/>
  <c r="AA828" i="11" s="1"/>
  <c r="Y764" i="11"/>
  <c r="V764" i="11"/>
  <c r="Y700" i="11"/>
  <c r="V700" i="11"/>
  <c r="V636" i="11"/>
  <c r="Y636" i="11"/>
  <c r="Y572" i="11"/>
  <c r="V572" i="11"/>
  <c r="V508" i="11"/>
  <c r="Y508" i="11"/>
  <c r="V444" i="11"/>
  <c r="Y444" i="11"/>
  <c r="Y380" i="11"/>
  <c r="AB380" i="11" s="1"/>
  <c r="V380" i="11"/>
  <c r="Y316" i="11"/>
  <c r="V316" i="11"/>
  <c r="V252" i="11"/>
  <c r="Y252" i="11"/>
  <c r="AB252" i="11" s="1"/>
  <c r="V188" i="11"/>
  <c r="Y188" i="11"/>
  <c r="V124" i="11"/>
  <c r="Y124" i="11"/>
  <c r="Y60" i="11"/>
  <c r="V60" i="11"/>
  <c r="Y2307" i="11"/>
  <c r="AB2307" i="11" s="1"/>
  <c r="V2307" i="11"/>
  <c r="V2243" i="11"/>
  <c r="Y2243" i="11"/>
  <c r="AB2243" i="11" s="1"/>
  <c r="Y2179" i="11"/>
  <c r="V2179" i="11"/>
  <c r="V2115" i="11"/>
  <c r="Y2115" i="11"/>
  <c r="V2051" i="11"/>
  <c r="Y2051" i="11"/>
  <c r="AB2051" i="11" s="1"/>
  <c r="Y1987" i="11"/>
  <c r="V1987" i="11"/>
  <c r="V1923" i="11"/>
  <c r="Y1923" i="11"/>
  <c r="V1859" i="11"/>
  <c r="AA1859" i="11" s="1"/>
  <c r="Y1859" i="11"/>
  <c r="V1795" i="11"/>
  <c r="Y1795" i="11"/>
  <c r="Y1731" i="11"/>
  <c r="V1731" i="11"/>
  <c r="Y1667" i="11"/>
  <c r="V1667" i="11"/>
  <c r="V1603" i="11"/>
  <c r="Y1603" i="11"/>
  <c r="V1539" i="11"/>
  <c r="Y1539" i="11"/>
  <c r="Y1475" i="11"/>
  <c r="V1475" i="11"/>
  <c r="Y1411" i="11"/>
  <c r="V1411" i="11"/>
  <c r="V1347" i="11"/>
  <c r="Y1347" i="11"/>
  <c r="V1283" i="11"/>
  <c r="Y1283" i="11"/>
  <c r="Y1219" i="11"/>
  <c r="V1219" i="11"/>
  <c r="V1155" i="11"/>
  <c r="Y1155" i="11"/>
  <c r="V1091" i="11"/>
  <c r="Y1091" i="11"/>
  <c r="V1027" i="11"/>
  <c r="Y1027" i="11"/>
  <c r="Y3837" i="11"/>
  <c r="V3837" i="11"/>
  <c r="V3773" i="11"/>
  <c r="Y3773" i="11"/>
  <c r="Y1011" i="11"/>
  <c r="V1011" i="11"/>
  <c r="Y947" i="11"/>
  <c r="V947" i="11"/>
  <c r="Y883" i="11"/>
  <c r="V883" i="11"/>
  <c r="V819" i="11"/>
  <c r="Y819" i="11"/>
  <c r="Y755" i="11"/>
  <c r="V755" i="11"/>
  <c r="V691" i="11"/>
  <c r="Y691" i="11"/>
  <c r="V627" i="11"/>
  <c r="Y627" i="11"/>
  <c r="V563" i="11"/>
  <c r="Y563" i="11"/>
  <c r="V499" i="11"/>
  <c r="Y499" i="11"/>
  <c r="Y435" i="11"/>
  <c r="V435" i="11"/>
  <c r="V371" i="11"/>
  <c r="Y371" i="11"/>
  <c r="Y2109" i="11"/>
  <c r="V2109" i="11"/>
  <c r="V2045" i="11"/>
  <c r="Y2045" i="11"/>
  <c r="Y1981" i="11"/>
  <c r="AB1981" i="11" s="1"/>
  <c r="V1981" i="11"/>
  <c r="AA1981" i="11" s="1"/>
  <c r="V1853" i="11"/>
  <c r="AA1853" i="11" s="1"/>
  <c r="Y1853" i="11"/>
  <c r="Y1789" i="11"/>
  <c r="AB1789" i="11" s="1"/>
  <c r="V1789" i="11"/>
  <c r="AA1789" i="11" s="1"/>
  <c r="V1725" i="11"/>
  <c r="AA1725" i="11" s="1"/>
  <c r="Y1725" i="11"/>
  <c r="Y1661" i="11"/>
  <c r="AB1661" i="11" s="1"/>
  <c r="V1661" i="11"/>
  <c r="AA1661" i="11" s="1"/>
  <c r="Y1597" i="11"/>
  <c r="AB1597" i="11" s="1"/>
  <c r="V1597" i="11"/>
  <c r="Y299" i="11"/>
  <c r="V299" i="11"/>
  <c r="Y235" i="11"/>
  <c r="V235" i="11"/>
  <c r="V163" i="11"/>
  <c r="Y163" i="11"/>
  <c r="V67" i="11"/>
  <c r="Y67" i="11"/>
  <c r="V1485" i="11"/>
  <c r="Y1485" i="11"/>
  <c r="V1421" i="11"/>
  <c r="AA1421" i="11" s="1"/>
  <c r="Y1421" i="11"/>
  <c r="V1357" i="11"/>
  <c r="AA1357" i="11" s="1"/>
  <c r="Y1357" i="11"/>
  <c r="AB1357" i="11" s="1"/>
  <c r="Y1293" i="11"/>
  <c r="V1293" i="11"/>
  <c r="AA1293" i="11" s="1"/>
  <c r="Y1229" i="11"/>
  <c r="AB1229" i="11" s="1"/>
  <c r="V1229" i="11"/>
  <c r="AA1229" i="11" s="1"/>
  <c r="Y1165" i="11"/>
  <c r="AB1165" i="11" s="1"/>
  <c r="V1165" i="11"/>
  <c r="Y1101" i="11"/>
  <c r="V1101" i="11"/>
  <c r="V1037" i="11"/>
  <c r="AA1037" i="11" s="1"/>
  <c r="Y1037" i="11"/>
  <c r="AB1037" i="11" s="1"/>
  <c r="Y973" i="11"/>
  <c r="AB973" i="11" s="1"/>
  <c r="V973" i="11"/>
  <c r="AA973" i="11" s="1"/>
  <c r="Y909" i="11"/>
  <c r="V909" i="11"/>
  <c r="V845" i="11"/>
  <c r="Y845" i="11"/>
  <c r="AB845" i="11" s="1"/>
  <c r="Y781" i="11"/>
  <c r="AB781" i="11" s="1"/>
  <c r="V781" i="11"/>
  <c r="AA781" i="11" s="1"/>
  <c r="V717" i="11"/>
  <c r="AA717" i="11" s="1"/>
  <c r="Y717" i="11"/>
  <c r="Y653" i="11"/>
  <c r="V653" i="11"/>
  <c r="Y589" i="11"/>
  <c r="AB589" i="11" s="1"/>
  <c r="V589" i="11"/>
  <c r="AA589" i="11" s="1"/>
  <c r="V525" i="11"/>
  <c r="Y525" i="11"/>
  <c r="AB525" i="11" s="1"/>
  <c r="Y461" i="11"/>
  <c r="V461" i="11"/>
  <c r="Y397" i="11"/>
  <c r="AB397" i="11" s="1"/>
  <c r="V397" i="11"/>
  <c r="Y333" i="11"/>
  <c r="AB333" i="11" s="1"/>
  <c r="V333" i="11"/>
  <c r="AA333" i="11" s="1"/>
  <c r="V269" i="11"/>
  <c r="AA269" i="11" s="1"/>
  <c r="Y269" i="11"/>
  <c r="AB269" i="11" s="1"/>
  <c r="Y205" i="11"/>
  <c r="AB205" i="11" s="1"/>
  <c r="V205" i="11"/>
  <c r="AA205" i="11" s="1"/>
  <c r="V141" i="11"/>
  <c r="AA141" i="11" s="1"/>
  <c r="Y141" i="11"/>
  <c r="V77" i="11"/>
  <c r="Y77" i="11"/>
  <c r="Y13" i="11"/>
  <c r="V13" i="11"/>
  <c r="Y3834" i="11"/>
  <c r="V3834" i="11"/>
  <c r="Y3770" i="11"/>
  <c r="AB3770" i="11" s="1"/>
  <c r="V3770" i="11"/>
  <c r="V3706" i="11"/>
  <c r="Y3706" i="11"/>
  <c r="Y3642" i="11"/>
  <c r="AB3642" i="11" s="1"/>
  <c r="V3642" i="11"/>
  <c r="V3578" i="11"/>
  <c r="AA3578" i="11" s="1"/>
  <c r="Y3578" i="11"/>
  <c r="Y3514" i="11"/>
  <c r="V3514" i="11"/>
  <c r="Y3450" i="11"/>
  <c r="AB3450" i="11" s="1"/>
  <c r="V3450" i="11"/>
  <c r="Y3386" i="11"/>
  <c r="V3386" i="11"/>
  <c r="Y3322" i="11"/>
  <c r="AB3322" i="11" s="1"/>
  <c r="V3322" i="11"/>
  <c r="V3258" i="11"/>
  <c r="Y3258" i="11"/>
  <c r="V3194" i="11"/>
  <c r="Y3194" i="11"/>
  <c r="AB3194" i="11" s="1"/>
  <c r="V3130" i="11"/>
  <c r="AA3130" i="11" s="1"/>
  <c r="Y3130" i="11"/>
  <c r="AB3130" i="11" s="1"/>
  <c r="V3066" i="11"/>
  <c r="Y3066" i="11"/>
  <c r="AB3066" i="11" s="1"/>
  <c r="V3002" i="11"/>
  <c r="AA3002" i="11" s="1"/>
  <c r="Y3002" i="11"/>
  <c r="V2938" i="11"/>
  <c r="Y2938" i="11"/>
  <c r="AB2938" i="11" s="1"/>
  <c r="Y2874" i="11"/>
  <c r="V2874" i="11"/>
  <c r="Y2810" i="11"/>
  <c r="V2810" i="11"/>
  <c r="AA2810" i="11" s="1"/>
  <c r="Y2746" i="11"/>
  <c r="V2746" i="11"/>
  <c r="V2634" i="11"/>
  <c r="Y2634" i="11"/>
  <c r="Y2546" i="11"/>
  <c r="V2546" i="11"/>
  <c r="Y2466" i="11"/>
  <c r="AB2466" i="11" s="1"/>
  <c r="V2466" i="11"/>
  <c r="Y2386" i="11"/>
  <c r="AB2386" i="11" s="1"/>
  <c r="V2386" i="11"/>
  <c r="Y2290" i="11"/>
  <c r="V2290" i="11"/>
  <c r="Y2210" i="11"/>
  <c r="AB2210" i="11" s="1"/>
  <c r="V2210" i="11"/>
  <c r="Y2090" i="11"/>
  <c r="V2090" i="11"/>
  <c r="Y1962" i="11"/>
  <c r="V1962" i="11"/>
  <c r="Y1834" i="11"/>
  <c r="V1834" i="11"/>
  <c r="AA1834" i="11" s="1"/>
  <c r="Y1706" i="11"/>
  <c r="AB1706" i="11" s="1"/>
  <c r="V1706" i="11"/>
  <c r="AA1706" i="11" s="1"/>
  <c r="Y1578" i="11"/>
  <c r="V1578" i="11"/>
  <c r="AA1578" i="11" s="1"/>
  <c r="Y1490" i="11"/>
  <c r="AB1490" i="11" s="1"/>
  <c r="V1490" i="11"/>
  <c r="V1418" i="11"/>
  <c r="Y1418" i="11"/>
  <c r="AB1418" i="11" s="1"/>
  <c r="V1346" i="11"/>
  <c r="AA1346" i="11" s="1"/>
  <c r="Y1346" i="11"/>
  <c r="Y1274" i="11"/>
  <c r="AB1274" i="11" s="1"/>
  <c r="V1274" i="11"/>
  <c r="V1202" i="11"/>
  <c r="Y1202" i="11"/>
  <c r="V1122" i="11"/>
  <c r="Y1122" i="11"/>
  <c r="V1058" i="11"/>
  <c r="AA1058" i="11" s="1"/>
  <c r="Y1058" i="11"/>
  <c r="V978" i="11"/>
  <c r="Y978" i="11"/>
  <c r="Y906" i="11"/>
  <c r="V906" i="11"/>
  <c r="V834" i="11"/>
  <c r="AA834" i="11" s="1"/>
  <c r="Y834" i="11"/>
  <c r="Y762" i="11"/>
  <c r="AB762" i="11" s="1"/>
  <c r="V762" i="11"/>
  <c r="AA762" i="11" s="1"/>
  <c r="Y690" i="11"/>
  <c r="AB690" i="11" s="1"/>
  <c r="V690" i="11"/>
  <c r="AA690" i="11" s="1"/>
  <c r="Y610" i="11"/>
  <c r="AB610" i="11" s="1"/>
  <c r="V610" i="11"/>
  <c r="Y546" i="11"/>
  <c r="AB546" i="11" s="1"/>
  <c r="V546" i="11"/>
  <c r="AA546" i="11" s="1"/>
  <c r="Y466" i="11"/>
  <c r="AB466" i="11" s="1"/>
  <c r="V466" i="11"/>
  <c r="AA466" i="11" s="1"/>
  <c r="V394" i="11"/>
  <c r="Y394" i="11"/>
  <c r="Y322" i="11"/>
  <c r="V322" i="11"/>
  <c r="Y250" i="11"/>
  <c r="V250" i="11"/>
  <c r="Y178" i="11"/>
  <c r="V178" i="11"/>
  <c r="V114" i="11"/>
  <c r="Y114" i="11"/>
  <c r="Y50" i="11"/>
  <c r="AB50" i="11" s="1"/>
  <c r="V50" i="11"/>
  <c r="Y1251" i="11"/>
  <c r="V1251" i="11"/>
  <c r="AA1251" i="11" s="1"/>
  <c r="Y1187" i="11"/>
  <c r="V1187" i="11"/>
  <c r="Y1123" i="11"/>
  <c r="V1123" i="11"/>
  <c r="V1059" i="11"/>
  <c r="Y1059" i="11"/>
  <c r="Y3869" i="11"/>
  <c r="V3869" i="11"/>
  <c r="AA3869" i="11" s="1"/>
  <c r="Y3805" i="11"/>
  <c r="V3805" i="11"/>
  <c r="V2165" i="11"/>
  <c r="Y2165" i="11"/>
  <c r="V979" i="11"/>
  <c r="AA979" i="11" s="1"/>
  <c r="Y979" i="11"/>
  <c r="V915" i="11"/>
  <c r="Y915" i="11"/>
  <c r="Y851" i="11"/>
  <c r="V851" i="11"/>
  <c r="Y787" i="11"/>
  <c r="AB787" i="11" s="1"/>
  <c r="V787" i="11"/>
  <c r="Y723" i="11"/>
  <c r="V723" i="11"/>
  <c r="V659" i="11"/>
  <c r="Y659" i="11"/>
  <c r="AB659" i="11" s="1"/>
  <c r="V595" i="11"/>
  <c r="AA595" i="11" s="1"/>
  <c r="Y595" i="11"/>
  <c r="V531" i="11"/>
  <c r="Y531" i="11"/>
  <c r="V467" i="11"/>
  <c r="Y467" i="11"/>
  <c r="Y403" i="11"/>
  <c r="V403" i="11"/>
  <c r="V339" i="11"/>
  <c r="Y339" i="11"/>
  <c r="V2077" i="11"/>
  <c r="Y2077" i="11"/>
  <c r="Y1885" i="11"/>
  <c r="AB1885" i="11" s="1"/>
  <c r="V1885" i="11"/>
  <c r="Y1757" i="11"/>
  <c r="AB1757" i="11" s="1"/>
  <c r="V1757" i="11"/>
  <c r="AA1757" i="11" s="1"/>
  <c r="V1693" i="11"/>
  <c r="AA1693" i="11" s="1"/>
  <c r="Y1693" i="11"/>
  <c r="AB1693" i="11" s="1"/>
  <c r="Y1629" i="11"/>
  <c r="V1629" i="11"/>
  <c r="AA1629" i="11" s="1"/>
  <c r="V331" i="11"/>
  <c r="AA331" i="11" s="1"/>
  <c r="Y331" i="11"/>
  <c r="Y267" i="11"/>
  <c r="V267" i="11"/>
  <c r="Y195" i="11"/>
  <c r="AB195" i="11" s="1"/>
  <c r="V195" i="11"/>
  <c r="Y115" i="11"/>
  <c r="V115" i="11"/>
  <c r="Y35" i="11"/>
  <c r="V35" i="11"/>
  <c r="V1517" i="11"/>
  <c r="Y1517" i="11"/>
  <c r="Y1453" i="11"/>
  <c r="AB1453" i="11" s="1"/>
  <c r="V1453" i="11"/>
  <c r="AA1453" i="11" s="1"/>
  <c r="Y1389" i="11"/>
  <c r="AB1389" i="11" s="1"/>
  <c r="V1389" i="11"/>
  <c r="AA1389" i="11" s="1"/>
  <c r="Y1325" i="11"/>
  <c r="AB1325" i="11" s="1"/>
  <c r="V1325" i="11"/>
  <c r="AA1325" i="11" s="1"/>
  <c r="Y1261" i="11"/>
  <c r="AB1261" i="11" s="1"/>
  <c r="V1261" i="11"/>
  <c r="AA1261" i="11" s="1"/>
  <c r="Y1197" i="11"/>
  <c r="AB1197" i="11" s="1"/>
  <c r="V1197" i="11"/>
  <c r="AA1197" i="11" s="1"/>
  <c r="V1133" i="11"/>
  <c r="Y1133" i="11"/>
  <c r="V1069" i="11"/>
  <c r="Y1069" i="11"/>
  <c r="Y1005" i="11"/>
  <c r="AB1005" i="11" s="1"/>
  <c r="V1005" i="11"/>
  <c r="AA1005" i="11" s="1"/>
  <c r="Y941" i="11"/>
  <c r="V941" i="11"/>
  <c r="V877" i="11"/>
  <c r="Y877" i="11"/>
  <c r="Y813" i="11"/>
  <c r="AB813" i="11" s="1"/>
  <c r="V813" i="11"/>
  <c r="Y749" i="11"/>
  <c r="AB749" i="11" s="1"/>
  <c r="V749" i="11"/>
  <c r="AA749" i="11" s="1"/>
  <c r="Y685" i="11"/>
  <c r="AB685" i="11" s="1"/>
  <c r="V685" i="11"/>
  <c r="AA685" i="11" s="1"/>
  <c r="Y621" i="11"/>
  <c r="AB621" i="11" s="1"/>
  <c r="V621" i="11"/>
  <c r="AA621" i="11" s="1"/>
  <c r="Y557" i="11"/>
  <c r="AB557" i="11" s="1"/>
  <c r="V557" i="11"/>
  <c r="V493" i="11"/>
  <c r="AA493" i="11" s="1"/>
  <c r="Y493" i="11"/>
  <c r="AB493" i="11" s="1"/>
  <c r="Y429" i="11"/>
  <c r="AB429" i="11" s="1"/>
  <c r="V429" i="11"/>
  <c r="V365" i="11"/>
  <c r="AA365" i="11" s="1"/>
  <c r="Y365" i="11"/>
  <c r="Y301" i="11"/>
  <c r="AB301" i="11" s="1"/>
  <c r="V301" i="11"/>
  <c r="V237" i="11"/>
  <c r="AA237" i="11" s="1"/>
  <c r="Y237" i="11"/>
  <c r="AB237" i="11" s="1"/>
  <c r="V173" i="11"/>
  <c r="AA173" i="11" s="1"/>
  <c r="Y173" i="11"/>
  <c r="AB173" i="11" s="1"/>
  <c r="V109" i="11"/>
  <c r="Y109" i="11"/>
  <c r="V45" i="11"/>
  <c r="Y45" i="11"/>
  <c r="V3866" i="11"/>
  <c r="Y3866" i="11"/>
  <c r="AB3866" i="11" s="1"/>
  <c r="Y3802" i="11"/>
  <c r="V3802" i="11"/>
  <c r="Y3738" i="11"/>
  <c r="V3738" i="11"/>
  <c r="V3674" i="11"/>
  <c r="Y3674" i="11"/>
  <c r="Y3610" i="11"/>
  <c r="V3610" i="11"/>
  <c r="Y3546" i="11"/>
  <c r="AB3546" i="11" s="1"/>
  <c r="V3546" i="11"/>
  <c r="V3482" i="11"/>
  <c r="Y3482" i="11"/>
  <c r="AB3482" i="11" s="1"/>
  <c r="V3418" i="11"/>
  <c r="Y3418" i="11"/>
  <c r="Y3354" i="11"/>
  <c r="V3354" i="11"/>
  <c r="Y3290" i="11"/>
  <c r="AB3290" i="11" s="1"/>
  <c r="V3290" i="11"/>
  <c r="V3226" i="11"/>
  <c r="AA3226" i="11" s="1"/>
  <c r="Y3226" i="11"/>
  <c r="AB3226" i="11" s="1"/>
  <c r="Y3162" i="11"/>
  <c r="AB3162" i="11" s="1"/>
  <c r="V3162" i="11"/>
  <c r="AA3162" i="11" s="1"/>
  <c r="Y3098" i="11"/>
  <c r="AB3098" i="11" s="1"/>
  <c r="V3098" i="11"/>
  <c r="Y3034" i="11"/>
  <c r="V3034" i="11"/>
  <c r="AA3034" i="11" s="1"/>
  <c r="Y2970" i="11"/>
  <c r="AB2970" i="11" s="1"/>
  <c r="V2970" i="11"/>
  <c r="V2906" i="11"/>
  <c r="Y2906" i="11"/>
  <c r="V2842" i="11"/>
  <c r="Y2842" i="11"/>
  <c r="Y2778" i="11"/>
  <c r="V2778" i="11"/>
  <c r="V2698" i="11"/>
  <c r="Y2698" i="11"/>
  <c r="Y2594" i="11"/>
  <c r="V2594" i="11"/>
  <c r="Y2514" i="11"/>
  <c r="V2514" i="11"/>
  <c r="AA2514" i="11" s="1"/>
  <c r="Y2418" i="11"/>
  <c r="V2418" i="11"/>
  <c r="Y2338" i="11"/>
  <c r="V2338" i="11"/>
  <c r="AA2338" i="11" s="1"/>
  <c r="Y2258" i="11"/>
  <c r="V2258" i="11"/>
  <c r="Y2154" i="11"/>
  <c r="V2154" i="11"/>
  <c r="V2026" i="11"/>
  <c r="AA2026" i="11" s="1"/>
  <c r="Y2026" i="11"/>
  <c r="V1898" i="11"/>
  <c r="Y1898" i="11"/>
  <c r="Y1770" i="11"/>
  <c r="AB1770" i="11" s="1"/>
  <c r="V1770" i="11"/>
  <c r="Y1642" i="11"/>
  <c r="AB1642" i="11" s="1"/>
  <c r="V1642" i="11"/>
  <c r="V1530" i="11"/>
  <c r="Y1530" i="11"/>
  <c r="V1458" i="11"/>
  <c r="AA1458" i="11" s="1"/>
  <c r="Y1458" i="11"/>
  <c r="Y1378" i="11"/>
  <c r="V1378" i="11"/>
  <c r="V1314" i="11"/>
  <c r="AA1314" i="11" s="1"/>
  <c r="Y1314" i="11"/>
  <c r="V1234" i="11"/>
  <c r="AA1234" i="11" s="1"/>
  <c r="Y1234" i="11"/>
  <c r="AB1234" i="11" s="1"/>
  <c r="V1162" i="11"/>
  <c r="AA1162" i="11" s="1"/>
  <c r="Y1162" i="11"/>
  <c r="AB1162" i="11" s="1"/>
  <c r="Y1090" i="11"/>
  <c r="V1090" i="11"/>
  <c r="Y1018" i="11"/>
  <c r="V1018" i="11"/>
  <c r="Y946" i="11"/>
  <c r="AB946" i="11" s="1"/>
  <c r="V946" i="11"/>
  <c r="Y866" i="11"/>
  <c r="V866" i="11"/>
  <c r="V802" i="11"/>
  <c r="AA802" i="11" s="1"/>
  <c r="Y802" i="11"/>
  <c r="V722" i="11"/>
  <c r="AA722" i="11" s="1"/>
  <c r="Y722" i="11"/>
  <c r="AB722" i="11" s="1"/>
  <c r="Y650" i="11"/>
  <c r="AB650" i="11" s="1"/>
  <c r="V650" i="11"/>
  <c r="AA650" i="11" s="1"/>
  <c r="Y578" i="11"/>
  <c r="AB578" i="11" s="1"/>
  <c r="V578" i="11"/>
  <c r="AA578" i="11" s="1"/>
  <c r="Y506" i="11"/>
  <c r="V506" i="11"/>
  <c r="Y434" i="11"/>
  <c r="AB434" i="11" s="1"/>
  <c r="V434" i="11"/>
  <c r="AA434" i="11" s="1"/>
  <c r="Y354" i="11"/>
  <c r="V354" i="11"/>
  <c r="Y290" i="11"/>
  <c r="AB290" i="11" s="1"/>
  <c r="V290" i="11"/>
  <c r="AA290" i="11" s="1"/>
  <c r="Y210" i="11"/>
  <c r="V210" i="11"/>
  <c r="V146" i="11"/>
  <c r="Y146" i="11"/>
  <c r="V82" i="11"/>
  <c r="Y82" i="11"/>
  <c r="AB82" i="11" s="1"/>
  <c r="Y1604" i="11"/>
  <c r="V1604" i="11"/>
  <c r="Y1540" i="11"/>
  <c r="V1540" i="11"/>
  <c r="V1476" i="11"/>
  <c r="Y1476" i="11"/>
  <c r="Y1412" i="11"/>
  <c r="V1412" i="11"/>
  <c r="Y1348" i="11"/>
  <c r="V1348" i="11"/>
  <c r="AA1348" i="11" s="1"/>
  <c r="V1284" i="11"/>
  <c r="Y1284" i="11"/>
  <c r="V1220" i="11"/>
  <c r="Y1220" i="11"/>
  <c r="V1156" i="11"/>
  <c r="Y1156" i="11"/>
  <c r="Y1092" i="11"/>
  <c r="V1092" i="11"/>
  <c r="V1028" i="11"/>
  <c r="AA1028" i="11" s="1"/>
  <c r="Y1028" i="11"/>
  <c r="V964" i="11"/>
  <c r="AA964" i="11" s="1"/>
  <c r="Y964" i="11"/>
  <c r="AB964" i="11" s="1"/>
  <c r="Y900" i="11"/>
  <c r="V900" i="11"/>
  <c r="V836" i="11"/>
  <c r="Y836" i="11"/>
  <c r="Y772" i="11"/>
  <c r="V772" i="11"/>
  <c r="V708" i="11"/>
  <c r="AA708" i="11" s="1"/>
  <c r="Y708" i="11"/>
  <c r="V644" i="11"/>
  <c r="AA644" i="11" s="1"/>
  <c r="Y644" i="11"/>
  <c r="Y580" i="11"/>
  <c r="V580" i="11"/>
  <c r="Y516" i="11"/>
  <c r="V516" i="11"/>
  <c r="Y452" i="11"/>
  <c r="V452" i="11"/>
  <c r="V388" i="11"/>
  <c r="Y388" i="11"/>
  <c r="Y324" i="11"/>
  <c r="V324" i="11"/>
  <c r="Y260" i="11"/>
  <c r="AB260" i="11" s="1"/>
  <c r="V260" i="11"/>
  <c r="V196" i="11"/>
  <c r="Y196" i="11"/>
  <c r="Y132" i="11"/>
  <c r="V132" i="11"/>
  <c r="V68" i="11"/>
  <c r="Y68" i="11"/>
  <c r="Y2315" i="11"/>
  <c r="AB2315" i="11" s="1"/>
  <c r="V2315" i="11"/>
  <c r="Y2251" i="11"/>
  <c r="AB2251" i="11" s="1"/>
  <c r="V2251" i="11"/>
  <c r="AA2251" i="11" s="1"/>
  <c r="Y2187" i="11"/>
  <c r="AB2187" i="11" s="1"/>
  <c r="V2187" i="11"/>
  <c r="Y2123" i="11"/>
  <c r="V2123" i="11"/>
  <c r="Y2059" i="11"/>
  <c r="AB2059" i="11" s="1"/>
  <c r="V2059" i="11"/>
  <c r="V1995" i="11"/>
  <c r="Y1995" i="11"/>
  <c r="V1931" i="11"/>
  <c r="Y1931" i="11"/>
  <c r="Y1867" i="11"/>
  <c r="V1867" i="11"/>
  <c r="V1803" i="11"/>
  <c r="Y1803" i="11"/>
  <c r="Y1739" i="11"/>
  <c r="V1739" i="11"/>
  <c r="Y1675" i="11"/>
  <c r="V1675" i="11"/>
  <c r="V1611" i="11"/>
  <c r="Y1611" i="11"/>
  <c r="V1547" i="11"/>
  <c r="Y1547" i="11"/>
  <c r="Y1483" i="11"/>
  <c r="V1483" i="11"/>
  <c r="V1419" i="11"/>
  <c r="Y1419" i="11"/>
  <c r="V1355" i="11"/>
  <c r="Y1355" i="11"/>
  <c r="V1291" i="11"/>
  <c r="Y1291" i="11"/>
  <c r="Y1227" i="11"/>
  <c r="V1227" i="11"/>
  <c r="V1163" i="11"/>
  <c r="Y1163" i="11"/>
  <c r="V1099" i="11"/>
  <c r="Y1099" i="11"/>
  <c r="V1035" i="11"/>
  <c r="Y1035" i="11"/>
  <c r="Y3781" i="11"/>
  <c r="AB3781" i="11" s="1"/>
  <c r="V3781" i="11"/>
  <c r="AA3781" i="11" s="1"/>
  <c r="Y2141" i="11"/>
  <c r="V2141" i="11"/>
  <c r="V955" i="11"/>
  <c r="AA955" i="11" s="1"/>
  <c r="Y955" i="11"/>
  <c r="V891" i="11"/>
  <c r="Y891" i="11"/>
  <c r="Y827" i="11"/>
  <c r="AB827" i="11" s="1"/>
  <c r="V827" i="11"/>
  <c r="V763" i="11"/>
  <c r="Y763" i="11"/>
  <c r="Y699" i="11"/>
  <c r="V699" i="11"/>
  <c r="Y635" i="11"/>
  <c r="V635" i="11"/>
  <c r="Y571" i="11"/>
  <c r="V571" i="11"/>
  <c r="Y507" i="11"/>
  <c r="V507" i="11"/>
  <c r="V443" i="11"/>
  <c r="Y443" i="11"/>
  <c r="Y379" i="11"/>
  <c r="V379" i="11"/>
  <c r="V2117" i="11"/>
  <c r="Y2117" i="11"/>
  <c r="V2053" i="11"/>
  <c r="Y2053" i="11"/>
  <c r="AB2053" i="11" s="1"/>
  <c r="Y1925" i="11"/>
  <c r="AB1925" i="11" s="1"/>
  <c r="V1925" i="11"/>
  <c r="V1861" i="11"/>
  <c r="Y1861" i="11"/>
  <c r="V1797" i="11"/>
  <c r="AA1797" i="11" s="1"/>
  <c r="Y1797" i="11"/>
  <c r="Y1733" i="11"/>
  <c r="AB1733" i="11" s="1"/>
  <c r="V1733" i="11"/>
  <c r="AA1733" i="11" s="1"/>
  <c r="Y1605" i="11"/>
  <c r="AB1605" i="11" s="1"/>
  <c r="V1605" i="11"/>
  <c r="Y307" i="11"/>
  <c r="V307" i="11"/>
  <c r="V243" i="11"/>
  <c r="Y243" i="11"/>
  <c r="V171" i="11"/>
  <c r="AA171" i="11" s="1"/>
  <c r="Y171" i="11"/>
  <c r="V83" i="11"/>
  <c r="AA83" i="11" s="1"/>
  <c r="Y83" i="11"/>
  <c r="V1493" i="11"/>
  <c r="Y1493" i="11"/>
  <c r="V1429" i="11"/>
  <c r="AA1429" i="11" s="1"/>
  <c r="Y1429" i="11"/>
  <c r="AB1429" i="11" s="1"/>
  <c r="V1365" i="11"/>
  <c r="AA1365" i="11" s="1"/>
  <c r="Y1365" i="11"/>
  <c r="Y1301" i="11"/>
  <c r="AB1301" i="11" s="1"/>
  <c r="V1301" i="11"/>
  <c r="Y1237" i="11"/>
  <c r="AB1237" i="11" s="1"/>
  <c r="V1237" i="11"/>
  <c r="Y1173" i="11"/>
  <c r="AB1173" i="11" s="1"/>
  <c r="V1173" i="11"/>
  <c r="AA1173" i="11" s="1"/>
  <c r="V1109" i="11"/>
  <c r="Y1109" i="11"/>
  <c r="V1045" i="11"/>
  <c r="AA1045" i="11" s="1"/>
  <c r="Y1045" i="11"/>
  <c r="AB1045" i="11" s="1"/>
  <c r="Y917" i="11"/>
  <c r="V917" i="11"/>
  <c r="Y853" i="11"/>
  <c r="AB853" i="11" s="1"/>
  <c r="V853" i="11"/>
  <c r="V789" i="11"/>
  <c r="AA789" i="11" s="1"/>
  <c r="Y789" i="11"/>
  <c r="AB789" i="11" s="1"/>
  <c r="V725" i="11"/>
  <c r="AA725" i="11" s="1"/>
  <c r="Y725" i="11"/>
  <c r="V661" i="11"/>
  <c r="AA661" i="11" s="1"/>
  <c r="Y661" i="11"/>
  <c r="Y597" i="11"/>
  <c r="AB597" i="11" s="1"/>
  <c r="V597" i="11"/>
  <c r="AA597" i="11" s="1"/>
  <c r="Y533" i="11"/>
  <c r="AB533" i="11" s="1"/>
  <c r="V533" i="11"/>
  <c r="AA533" i="11" s="1"/>
  <c r="V469" i="11"/>
  <c r="Y469" i="11"/>
  <c r="Y405" i="11"/>
  <c r="V405" i="11"/>
  <c r="AA405" i="11" s="1"/>
  <c r="V341" i="11"/>
  <c r="AA341" i="11" s="1"/>
  <c r="Y341" i="11"/>
  <c r="AB341" i="11" s="1"/>
  <c r="Y277" i="11"/>
  <c r="V277" i="11"/>
  <c r="AA277" i="11" s="1"/>
  <c r="Y213" i="11"/>
  <c r="V213" i="11"/>
  <c r="Y149" i="11"/>
  <c r="V149" i="11"/>
  <c r="Y85" i="11"/>
  <c r="V85" i="11"/>
  <c r="Y21" i="11"/>
  <c r="V21" i="11"/>
  <c r="Y3842" i="11"/>
  <c r="AB3842" i="11" s="1"/>
  <c r="V3842" i="11"/>
  <c r="AA3842" i="11" s="1"/>
  <c r="V3778" i="11"/>
  <c r="AA3778" i="11" s="1"/>
  <c r="Y3778" i="11"/>
  <c r="Y3714" i="11"/>
  <c r="V3714" i="11"/>
  <c r="V3650" i="11"/>
  <c r="Y3650" i="11"/>
  <c r="Y3586" i="11"/>
  <c r="V3586" i="11"/>
  <c r="Y3522" i="11"/>
  <c r="V3522" i="11"/>
  <c r="V3458" i="11"/>
  <c r="Y3458" i="11"/>
  <c r="AB3458" i="11" s="1"/>
  <c r="Y3394" i="11"/>
  <c r="V3394" i="11"/>
  <c r="AA3394" i="11" s="1"/>
  <c r="V3330" i="11"/>
  <c r="AA3330" i="11" s="1"/>
  <c r="Y3330" i="11"/>
  <c r="V3266" i="11"/>
  <c r="AA3266" i="11" s="1"/>
  <c r="Y3266" i="11"/>
  <c r="V3202" i="11"/>
  <c r="AA3202" i="11" s="1"/>
  <c r="Y3202" i="11"/>
  <c r="Y3138" i="11"/>
  <c r="V3138" i="11"/>
  <c r="Y3074" i="11"/>
  <c r="V3074" i="11"/>
  <c r="V3010" i="11"/>
  <c r="Y3010" i="11"/>
  <c r="Y2946" i="11"/>
  <c r="V2946" i="11"/>
  <c r="Y2882" i="11"/>
  <c r="AB2882" i="11" s="1"/>
  <c r="V2882" i="11"/>
  <c r="AA2882" i="11" s="1"/>
  <c r="Y2818" i="11"/>
  <c r="V2818" i="11"/>
  <c r="V2754" i="11"/>
  <c r="Y2754" i="11"/>
  <c r="Y2642" i="11"/>
  <c r="V2642" i="11"/>
  <c r="Y2562" i="11"/>
  <c r="V2562" i="11"/>
  <c r="Y2474" i="11"/>
  <c r="V2474" i="11"/>
  <c r="Y2394" i="11"/>
  <c r="AB2394" i="11" s="1"/>
  <c r="V2394" i="11"/>
  <c r="V2306" i="11"/>
  <c r="Y2306" i="11"/>
  <c r="Y2218" i="11"/>
  <c r="V2218" i="11"/>
  <c r="V2106" i="11"/>
  <c r="Y2106" i="11"/>
  <c r="V1978" i="11"/>
  <c r="Y1978" i="11"/>
  <c r="Y1850" i="11"/>
  <c r="V1850" i="11"/>
  <c r="AA1850" i="11" s="1"/>
  <c r="Y1722" i="11"/>
  <c r="V1722" i="11"/>
  <c r="Y1594" i="11"/>
  <c r="V1594" i="11"/>
  <c r="Y1498" i="11"/>
  <c r="V1498" i="11"/>
  <c r="Y1434" i="11"/>
  <c r="V1434" i="11"/>
  <c r="Y1354" i="11"/>
  <c r="V1354" i="11"/>
  <c r="AA1354" i="11" s="1"/>
  <c r="V1282" i="11"/>
  <c r="Y1282" i="11"/>
  <c r="Y1210" i="11"/>
  <c r="V1210" i="11"/>
  <c r="Y1130" i="11"/>
  <c r="V1130" i="11"/>
  <c r="V1066" i="11"/>
  <c r="Y1066" i="11"/>
  <c r="Y986" i="11"/>
  <c r="V986" i="11"/>
  <c r="Y922" i="11"/>
  <c r="V922" i="11"/>
  <c r="V842" i="11"/>
  <c r="Y842" i="11"/>
  <c r="Y770" i="11"/>
  <c r="V770" i="11"/>
  <c r="Y698" i="11"/>
  <c r="V698" i="11"/>
  <c r="Y618" i="11"/>
  <c r="V618" i="11"/>
  <c r="Y554" i="11"/>
  <c r="V554" i="11"/>
  <c r="Y474" i="11"/>
  <c r="V474" i="11"/>
  <c r="V410" i="11"/>
  <c r="Y410" i="11"/>
  <c r="Y330" i="11"/>
  <c r="V330" i="11"/>
  <c r="V258" i="11"/>
  <c r="AA258" i="11" s="1"/>
  <c r="Y258" i="11"/>
  <c r="V186" i="11"/>
  <c r="Y186" i="11"/>
  <c r="Y122" i="11"/>
  <c r="V122" i="11"/>
  <c r="Y58" i="11"/>
  <c r="V58" i="11"/>
  <c r="U440" i="54"/>
  <c r="U17" i="54" s="1"/>
  <c r="O440" i="54"/>
  <c r="O17" i="54" s="1"/>
  <c r="H391" i="54"/>
  <c r="H14" i="54" s="1"/>
  <c r="I14" i="54" s="1"/>
  <c r="J14" i="54" s="1"/>
  <c r="H77" i="33"/>
  <c r="T292" i="54"/>
  <c r="M71" i="54"/>
  <c r="U293" i="54"/>
  <c r="U121" i="54" s="1"/>
  <c r="U271" i="54"/>
  <c r="AC271" i="54" s="1"/>
  <c r="AF271" i="54" s="1"/>
  <c r="U257" i="54"/>
  <c r="AC257" i="54" s="1"/>
  <c r="AF257" i="54" s="1"/>
  <c r="T65" i="54"/>
  <c r="AB65" i="54" s="1"/>
  <c r="AE65" i="54" s="1"/>
  <c r="C14" i="33"/>
  <c r="C74" i="33"/>
  <c r="H43" i="33"/>
  <c r="H53" i="33"/>
  <c r="N292" i="54"/>
  <c r="L65" i="54"/>
  <c r="G39" i="33"/>
  <c r="M282" i="54" s="1"/>
  <c r="U282" i="54" s="1"/>
  <c r="AC282" i="54" s="1"/>
  <c r="AF282" i="54" s="1"/>
  <c r="L257" i="54"/>
  <c r="H257" i="54" s="1"/>
  <c r="I257" i="54" s="1"/>
  <c r="J257" i="54" s="1"/>
  <c r="C17" i="33"/>
  <c r="H260" i="54"/>
  <c r="I260" i="54" s="1"/>
  <c r="J260" i="54" s="1"/>
  <c r="H267" i="54"/>
  <c r="I267" i="54" s="1"/>
  <c r="J267" i="54" s="1"/>
  <c r="U273" i="54"/>
  <c r="AC273" i="54" s="1"/>
  <c r="AF273" i="54" s="1"/>
  <c r="U272" i="54"/>
  <c r="AC272" i="54" s="1"/>
  <c r="AF272" i="54" s="1"/>
  <c r="C18" i="33"/>
  <c r="C75" i="33"/>
  <c r="H286" i="54"/>
  <c r="H254" i="54"/>
  <c r="I254" i="54" s="1"/>
  <c r="J254" i="54" s="1"/>
  <c r="C51" i="33"/>
  <c r="C73" i="33"/>
  <c r="O291" i="54"/>
  <c r="H290" i="54"/>
  <c r="M70" i="54"/>
  <c r="U286" i="54"/>
  <c r="O290" i="54"/>
  <c r="T256" i="54"/>
  <c r="AB256" i="54" s="1"/>
  <c r="AE256" i="54" s="1"/>
  <c r="C71" i="33"/>
  <c r="U249" i="54"/>
  <c r="AC249" i="54" s="1"/>
  <c r="AF249" i="54" s="1"/>
  <c r="O288" i="54"/>
  <c r="C47" i="33"/>
  <c r="U255" i="54"/>
  <c r="AC255" i="54" s="1"/>
  <c r="AF255" i="54" s="1"/>
  <c r="M64" i="54"/>
  <c r="U292" i="54"/>
  <c r="C11" i="33"/>
  <c r="H278" i="54"/>
  <c r="I278" i="54" s="1"/>
  <c r="J278" i="54" s="1"/>
  <c r="H292" i="54"/>
  <c r="H120" i="54" s="1"/>
  <c r="I120" i="54" s="1"/>
  <c r="J120" i="54" s="1"/>
  <c r="F54" i="33"/>
  <c r="C35" i="33"/>
  <c r="C20" i="33"/>
  <c r="H247" i="54"/>
  <c r="I247" i="54" s="1"/>
  <c r="J247" i="54" s="1"/>
  <c r="D77" i="33"/>
  <c r="C22" i="33"/>
  <c r="H264" i="54"/>
  <c r="I264" i="54" s="1"/>
  <c r="J264" i="54" s="1"/>
  <c r="C40" i="33"/>
  <c r="C21" i="33"/>
  <c r="H256" i="54"/>
  <c r="I256" i="54" s="1"/>
  <c r="J256" i="54" s="1"/>
  <c r="C13" i="33"/>
  <c r="AE344" i="54"/>
  <c r="I344" i="54"/>
  <c r="J344" i="54" s="1"/>
  <c r="H21" i="54"/>
  <c r="I21" i="54" s="1"/>
  <c r="J21" i="54" s="1"/>
  <c r="T265" i="54"/>
  <c r="AB265" i="54" s="1"/>
  <c r="AE265" i="54" s="1"/>
  <c r="H272" i="54"/>
  <c r="I272" i="54" s="1"/>
  <c r="J272" i="54" s="1"/>
  <c r="U287" i="54"/>
  <c r="C33" i="33"/>
  <c r="H258" i="54"/>
  <c r="I258" i="54" s="1"/>
  <c r="J258" i="54" s="1"/>
  <c r="C10" i="33"/>
  <c r="C28" i="33"/>
  <c r="C48" i="33"/>
  <c r="H274" i="54"/>
  <c r="I274" i="54" s="1"/>
  <c r="J274" i="54" s="1"/>
  <c r="C23" i="33"/>
  <c r="C29" i="33"/>
  <c r="C38" i="33"/>
  <c r="H253" i="54"/>
  <c r="I253" i="54" s="1"/>
  <c r="J253" i="54" s="1"/>
  <c r="H54" i="33"/>
  <c r="G77" i="33"/>
  <c r="T250" i="54"/>
  <c r="AB250" i="54" s="1"/>
  <c r="AE250" i="54" s="1"/>
  <c r="H261" i="54"/>
  <c r="I261" i="54" s="1"/>
  <c r="J261" i="54" s="1"/>
  <c r="C49" i="33"/>
  <c r="H271" i="54"/>
  <c r="I271" i="54" s="1"/>
  <c r="J271" i="54" s="1"/>
  <c r="M68" i="54"/>
  <c r="C30" i="33"/>
  <c r="H285" i="54"/>
  <c r="M65" i="54"/>
  <c r="C31" i="33"/>
  <c r="H276" i="54"/>
  <c r="I276" i="54" s="1"/>
  <c r="J276" i="54" s="1"/>
  <c r="C27" i="33"/>
  <c r="H249" i="54"/>
  <c r="I249" i="54" s="1"/>
  <c r="J249" i="54" s="1"/>
  <c r="H270" i="54"/>
  <c r="I270" i="54" s="1"/>
  <c r="J270" i="54" s="1"/>
  <c r="C70" i="33"/>
  <c r="H281" i="54"/>
  <c r="I281" i="54" s="1"/>
  <c r="J281" i="54" s="1"/>
  <c r="L263" i="54"/>
  <c r="M69" i="54"/>
  <c r="L63" i="54"/>
  <c r="L69" i="54"/>
  <c r="H287" i="54"/>
  <c r="C5" i="33"/>
  <c r="C45" i="33"/>
  <c r="C46" i="33"/>
  <c r="N287" i="54"/>
  <c r="C50" i="33"/>
  <c r="T247" i="54"/>
  <c r="AB247" i="54" s="1"/>
  <c r="AE247" i="54" s="1"/>
  <c r="AB285" i="54"/>
  <c r="AE285" i="54" s="1"/>
  <c r="N285" i="54"/>
  <c r="C7" i="33"/>
  <c r="M63" i="54"/>
  <c r="U285" i="54"/>
  <c r="O285" i="54"/>
  <c r="C44" i="33"/>
  <c r="U259" i="54"/>
  <c r="AC259" i="54" s="1"/>
  <c r="AF259" i="54" s="1"/>
  <c r="H259" i="54"/>
  <c r="I259" i="54" s="1"/>
  <c r="J259" i="54" s="1"/>
  <c r="C16" i="33"/>
  <c r="C72" i="33"/>
  <c r="C25" i="33"/>
  <c r="D43" i="33"/>
  <c r="C4" i="33"/>
  <c r="E54" i="33"/>
  <c r="C6" i="33"/>
  <c r="H255" i="54"/>
  <c r="I255" i="54" s="1"/>
  <c r="J255" i="54" s="1"/>
  <c r="H269" i="54"/>
  <c r="I269" i="54" s="1"/>
  <c r="J269" i="54" s="1"/>
  <c r="C24" i="33"/>
  <c r="C8" i="33"/>
  <c r="T291" i="54"/>
  <c r="T119" i="54" s="1"/>
  <c r="U269" i="54"/>
  <c r="AC269" i="54" s="1"/>
  <c r="AF269" i="54" s="1"/>
  <c r="H268" i="54"/>
  <c r="I268" i="54" s="1"/>
  <c r="J268" i="54" s="1"/>
  <c r="H266" i="54"/>
  <c r="I266" i="54" s="1"/>
  <c r="J266" i="54" s="1"/>
  <c r="H291" i="54"/>
  <c r="H119" i="54" s="1"/>
  <c r="I119" i="54" s="1"/>
  <c r="J119" i="54" s="1"/>
  <c r="C26" i="33"/>
  <c r="C37" i="33"/>
  <c r="C12" i="33"/>
  <c r="H250" i="54"/>
  <c r="I250" i="54" s="1"/>
  <c r="J250" i="54" s="1"/>
  <c r="H251" i="54"/>
  <c r="I251" i="54" s="1"/>
  <c r="J251" i="54" s="1"/>
  <c r="U288" i="54"/>
  <c r="U116" i="54" s="1"/>
  <c r="H279" i="54"/>
  <c r="I279" i="54" s="1"/>
  <c r="J279" i="54" s="1"/>
  <c r="L282" i="54"/>
  <c r="AB293" i="54"/>
  <c r="AE293" i="54" s="1"/>
  <c r="T71" i="54"/>
  <c r="AB71" i="54" s="1"/>
  <c r="AE71" i="54" s="1"/>
  <c r="D53" i="33"/>
  <c r="G43" i="33"/>
  <c r="C32" i="33"/>
  <c r="C15" i="33"/>
  <c r="C52" i="33"/>
  <c r="H265" i="54"/>
  <c r="I265" i="54" s="1"/>
  <c r="J265" i="54" s="1"/>
  <c r="C9" i="33"/>
  <c r="H293" i="54"/>
  <c r="H121" i="54" s="1"/>
  <c r="I121" i="54" s="1"/>
  <c r="J121" i="54" s="1"/>
  <c r="L71" i="54"/>
  <c r="C19" i="33"/>
  <c r="N293" i="54"/>
  <c r="H252" i="54"/>
  <c r="I252" i="54" s="1"/>
  <c r="J252" i="54" s="1"/>
  <c r="T252" i="54"/>
  <c r="AB252" i="54" s="1"/>
  <c r="AE252" i="54" s="1"/>
  <c r="C36" i="33"/>
  <c r="U262" i="54"/>
  <c r="AC262" i="54" s="1"/>
  <c r="AF262" i="54" s="1"/>
  <c r="H262" i="54"/>
  <c r="I262" i="54" s="1"/>
  <c r="J262" i="54" s="1"/>
  <c r="I54" i="33"/>
  <c r="U280" i="54"/>
  <c r="AC280" i="54" s="1"/>
  <c r="AF280" i="54" s="1"/>
  <c r="H280" i="54"/>
  <c r="I280" i="54" s="1"/>
  <c r="J280" i="54" s="1"/>
  <c r="U283" i="54"/>
  <c r="AC283" i="54" s="1"/>
  <c r="AF283" i="54" s="1"/>
  <c r="H283" i="54"/>
  <c r="I283" i="54" s="1"/>
  <c r="J283" i="54" s="1"/>
  <c r="AB290" i="54"/>
  <c r="AE290" i="54" s="1"/>
  <c r="T68" i="54"/>
  <c r="AB68" i="54" s="1"/>
  <c r="AE68" i="54" s="1"/>
  <c r="U275" i="54"/>
  <c r="AC275" i="54" s="1"/>
  <c r="AF275" i="54" s="1"/>
  <c r="H275" i="54"/>
  <c r="I275" i="54" s="1"/>
  <c r="J275" i="54" s="1"/>
  <c r="I353" i="54"/>
  <c r="J353" i="54" s="1"/>
  <c r="H385" i="54"/>
  <c r="AB353" i="54"/>
  <c r="AE353" i="54" s="1"/>
  <c r="T385" i="54"/>
  <c r="O353" i="54"/>
  <c r="O385" i="54" s="1"/>
  <c r="M385" i="54"/>
  <c r="U353" i="54"/>
  <c r="T64" i="54"/>
  <c r="AB286" i="54"/>
  <c r="AE286" i="54" s="1"/>
  <c r="F154" i="54"/>
  <c r="U391" i="54"/>
  <c r="AC389" i="54"/>
  <c r="AF389" i="54" s="1"/>
  <c r="AF342" i="54"/>
  <c r="AC344" i="54"/>
  <c r="AF344" i="54" s="1"/>
  <c r="F155" i="54"/>
  <c r="G6" i="54"/>
  <c r="G8" i="54" s="1"/>
  <c r="T248" i="54"/>
  <c r="H248" i="54"/>
  <c r="F144" i="54"/>
  <c r="G163" i="54"/>
  <c r="T288" i="54"/>
  <c r="T116" i="54" s="1"/>
  <c r="L66" i="54"/>
  <c r="H288" i="54"/>
  <c r="H116" i="54" s="1"/>
  <c r="I116" i="54" s="1"/>
  <c r="J116" i="54" s="1"/>
  <c r="N288" i="54"/>
  <c r="N116" i="54" s="1"/>
  <c r="T289" i="54"/>
  <c r="T117" i="54" s="1"/>
  <c r="L67" i="54"/>
  <c r="N289" i="54"/>
  <c r="AF332" i="54"/>
  <c r="AC334" i="54"/>
  <c r="AF334" i="54" s="1"/>
  <c r="AE313" i="54"/>
  <c r="AB334" i="54"/>
  <c r="AE334" i="54" s="1"/>
  <c r="L294" i="54"/>
  <c r="L20" i="54" s="1"/>
  <c r="L22" i="54" s="1"/>
  <c r="F126" i="54"/>
  <c r="F203" i="54"/>
  <c r="M289" i="54"/>
  <c r="G53" i="33"/>
  <c r="I423" i="54"/>
  <c r="H440" i="54"/>
  <c r="H17" i="54" s="1"/>
  <c r="I17" i="54" s="1"/>
  <c r="J17" i="54" s="1"/>
  <c r="AB391" i="54"/>
  <c r="AE391" i="54" s="1"/>
  <c r="T14" i="54"/>
  <c r="AA3532" i="11"/>
  <c r="L228" i="54"/>
  <c r="M227" i="54"/>
  <c r="AA3793" i="11"/>
  <c r="AB2647" i="11"/>
  <c r="AB2407" i="11"/>
  <c r="L221" i="54"/>
  <c r="L218" i="54"/>
  <c r="L222" i="54"/>
  <c r="L213" i="54"/>
  <c r="AA2359" i="11"/>
  <c r="AA3564" i="11"/>
  <c r="AA3885" i="11"/>
  <c r="AB2679" i="11"/>
  <c r="M220" i="54"/>
  <c r="AA2567" i="11"/>
  <c r="AB3196" i="11"/>
  <c r="AA2908" i="11"/>
  <c r="AA2892" i="11"/>
  <c r="AA2640" i="11"/>
  <c r="AA2519" i="11"/>
  <c r="M209" i="54"/>
  <c r="L215" i="54"/>
  <c r="AB3776" i="11"/>
  <c r="L208" i="54"/>
  <c r="L212" i="54"/>
  <c r="L216" i="54"/>
  <c r="L220" i="54"/>
  <c r="L242" i="54"/>
  <c r="L223" i="54"/>
  <c r="M206" i="54"/>
  <c r="AB3871" i="11"/>
  <c r="AB2791" i="11"/>
  <c r="L209" i="54"/>
  <c r="M225" i="54"/>
  <c r="AA2362" i="11"/>
  <c r="AB3863" i="11"/>
  <c r="M213" i="54"/>
  <c r="AB2704" i="11"/>
  <c r="L229" i="54"/>
  <c r="AB3532" i="11"/>
  <c r="AA2988" i="11"/>
  <c r="M208" i="54"/>
  <c r="AB2687" i="11"/>
  <c r="M216" i="54"/>
  <c r="L214" i="54"/>
  <c r="T214" i="54" s="1"/>
  <c r="AB214" i="54" s="1"/>
  <c r="AE214" i="54" s="1"/>
  <c r="AB3132" i="11"/>
  <c r="M230" i="54"/>
  <c r="L241" i="54"/>
  <c r="M232" i="54"/>
  <c r="L236" i="54"/>
  <c r="L227" i="54"/>
  <c r="M242" i="54"/>
  <c r="M223" i="54"/>
  <c r="AB2703" i="11"/>
  <c r="L210" i="54"/>
  <c r="M228" i="54"/>
  <c r="L234" i="54"/>
  <c r="M210" i="54"/>
  <c r="M240" i="54"/>
  <c r="L235" i="54"/>
  <c r="M234" i="54"/>
  <c r="L225" i="54"/>
  <c r="M241" i="54"/>
  <c r="AA2711" i="11"/>
  <c r="L231" i="54"/>
  <c r="M222" i="54"/>
  <c r="M214" i="54"/>
  <c r="M212" i="54"/>
  <c r="M219" i="54"/>
  <c r="L239" i="54"/>
  <c r="AA3776" i="11"/>
  <c r="AB3856" i="11"/>
  <c r="AA3872" i="11"/>
  <c r="M236" i="54"/>
  <c r="L217" i="54"/>
  <c r="AA2680" i="11"/>
  <c r="M218" i="54"/>
  <c r="AB3484" i="11"/>
  <c r="AB3784" i="11"/>
  <c r="L211" i="54"/>
  <c r="L226" i="54"/>
  <c r="M239" i="54"/>
  <c r="AB2639" i="11"/>
  <c r="AB2714" i="11"/>
  <c r="M224" i="54"/>
  <c r="AA3856" i="11"/>
  <c r="AB2672" i="11"/>
  <c r="AA2650" i="11"/>
  <c r="L240" i="54"/>
  <c r="M233" i="54"/>
  <c r="L206" i="54"/>
  <c r="M217" i="54"/>
  <c r="AB3244" i="11"/>
  <c r="M238" i="54"/>
  <c r="L230" i="54"/>
  <c r="L207" i="54"/>
  <c r="L238" i="54"/>
  <c r="AB2783" i="11"/>
  <c r="M231" i="54"/>
  <c r="M221" i="54"/>
  <c r="L237" i="54"/>
  <c r="AB2712" i="11"/>
  <c r="AA3276" i="11"/>
  <c r="AA2712" i="11"/>
  <c r="AA2656" i="11"/>
  <c r="X3890" i="11"/>
  <c r="AA2682" i="11"/>
  <c r="AB2690" i="11"/>
  <c r="L224" i="54"/>
  <c r="AA2704" i="11"/>
  <c r="AB2680" i="11"/>
  <c r="AB2682" i="11"/>
  <c r="AA2690" i="11"/>
  <c r="Y3804" i="11"/>
  <c r="V3804" i="11"/>
  <c r="V2655" i="11"/>
  <c r="Y2655" i="11"/>
  <c r="Y2663" i="11"/>
  <c r="V2663" i="11"/>
  <c r="V3859" i="11"/>
  <c r="AA3859" i="11" s="1"/>
  <c r="Y3859" i="11"/>
  <c r="AB3859" i="11" s="1"/>
  <c r="V3835" i="11"/>
  <c r="AA3835" i="11" s="1"/>
  <c r="Y3835" i="11"/>
  <c r="AB3835" i="11" s="1"/>
  <c r="V3819" i="11"/>
  <c r="AA3819" i="11" s="1"/>
  <c r="Y3819" i="11"/>
  <c r="AB3819" i="11" s="1"/>
  <c r="Y3795" i="11"/>
  <c r="AB3795" i="11" s="1"/>
  <c r="V3795" i="11"/>
  <c r="AA3795" i="11" s="1"/>
  <c r="Y3787" i="11"/>
  <c r="V3787" i="11"/>
  <c r="AA3787" i="11" s="1"/>
  <c r="Y3843" i="11"/>
  <c r="V3843" i="11"/>
  <c r="AA3843" i="11" s="1"/>
  <c r="V3867" i="11"/>
  <c r="Y3867" i="11"/>
  <c r="AB3867" i="11" s="1"/>
  <c r="Y3875" i="11"/>
  <c r="AB3875" i="11" s="1"/>
  <c r="V3875" i="11"/>
  <c r="AA3875" i="11" s="1"/>
  <c r="Y3851" i="11"/>
  <c r="AB3851" i="11" s="1"/>
  <c r="V3851" i="11"/>
  <c r="AA3851" i="11" s="1"/>
  <c r="V3827" i="11"/>
  <c r="AA3827" i="11" s="1"/>
  <c r="Y3827" i="11"/>
  <c r="V3883" i="11"/>
  <c r="AA3883" i="11" s="1"/>
  <c r="Y3883" i="11"/>
  <c r="AB3883" i="11" s="1"/>
  <c r="Y3811" i="11"/>
  <c r="AB3811" i="11" s="1"/>
  <c r="V3811" i="11"/>
  <c r="Y3803" i="11"/>
  <c r="AB3803" i="11" s="1"/>
  <c r="V3803" i="11"/>
  <c r="AA3803" i="11" s="1"/>
  <c r="Z3890" i="11"/>
  <c r="AA1550" i="11"/>
  <c r="V2549" i="11"/>
  <c r="Y2549" i="11"/>
  <c r="V2485" i="11"/>
  <c r="Y2485" i="11"/>
  <c r="M211" i="54"/>
  <c r="V2677" i="11"/>
  <c r="Y2677" i="11"/>
  <c r="V2613" i="11"/>
  <c r="Y2613" i="11"/>
  <c r="V1598" i="11"/>
  <c r="Y1598" i="11"/>
  <c r="Y1486" i="11"/>
  <c r="V1486" i="11"/>
  <c r="Y1398" i="11"/>
  <c r="V1398" i="11"/>
  <c r="V30" i="11"/>
  <c r="AA30" i="11" s="1"/>
  <c r="Y30" i="11"/>
  <c r="AB30" i="11" s="1"/>
  <c r="V3757" i="11"/>
  <c r="Y3757" i="11"/>
  <c r="Y3693" i="11"/>
  <c r="V3693" i="11"/>
  <c r="Y3629" i="11"/>
  <c r="V3629" i="11"/>
  <c r="V3565" i="11"/>
  <c r="Y3565" i="11"/>
  <c r="V3501" i="11"/>
  <c r="Y3501" i="11"/>
  <c r="V3437" i="11"/>
  <c r="Y3437" i="11"/>
  <c r="V3373" i="11"/>
  <c r="Y3373" i="11"/>
  <c r="Y3309" i="11"/>
  <c r="V3309" i="11"/>
  <c r="Y3053" i="11"/>
  <c r="W133" i="54"/>
  <c r="X133" i="54" s="1"/>
  <c r="Z12" i="21"/>
  <c r="AA12" i="21" s="1"/>
  <c r="AB12" i="21" s="1"/>
  <c r="V3053" i="11"/>
  <c r="Y2989" i="11"/>
  <c r="V2989" i="11"/>
  <c r="V2925" i="11"/>
  <c r="Y2925" i="11"/>
  <c r="Y2861" i="11"/>
  <c r="V2861" i="11"/>
  <c r="Y2797" i="11"/>
  <c r="V2797" i="11"/>
  <c r="V2725" i="11"/>
  <c r="Y2725" i="11"/>
  <c r="AB2086" i="11"/>
  <c r="Y2014" i="11"/>
  <c r="V2014" i="11"/>
  <c r="V1918" i="11"/>
  <c r="Y1918" i="11"/>
  <c r="Y1822" i="11"/>
  <c r="V1822" i="11"/>
  <c r="Y646" i="11"/>
  <c r="V646" i="11"/>
  <c r="V550" i="11"/>
  <c r="Y550" i="11"/>
  <c r="V454" i="11"/>
  <c r="Y454" i="11"/>
  <c r="Y358" i="11"/>
  <c r="V358" i="11"/>
  <c r="Y326" i="11"/>
  <c r="V326" i="11"/>
  <c r="W158" i="54"/>
  <c r="X158" i="54" s="1"/>
  <c r="Z37" i="21"/>
  <c r="AA37" i="21" s="1"/>
  <c r="AB37" i="21" s="1"/>
  <c r="Y238" i="11"/>
  <c r="V238" i="11"/>
  <c r="V142" i="11"/>
  <c r="Y142" i="11"/>
  <c r="AA1366" i="11"/>
  <c r="Y2863" i="11"/>
  <c r="V2863" i="11"/>
  <c r="Y3765" i="11"/>
  <c r="V3765" i="11"/>
  <c r="Y3701" i="11"/>
  <c r="V3701" i="11"/>
  <c r="V3637" i="11"/>
  <c r="Y3637" i="11"/>
  <c r="Y3573" i="11"/>
  <c r="V3573" i="11"/>
  <c r="Y3509" i="11"/>
  <c r="V3509" i="11"/>
  <c r="Y3445" i="11"/>
  <c r="V3445" i="11"/>
  <c r="V3381" i="11"/>
  <c r="Y3381" i="11"/>
  <c r="Y3317" i="11"/>
  <c r="V3317" i="11"/>
  <c r="Y3253" i="11"/>
  <c r="V3253" i="11"/>
  <c r="V3189" i="11"/>
  <c r="Y3189" i="11"/>
  <c r="V3125" i="11"/>
  <c r="Y3125" i="11"/>
  <c r="Y3061" i="11"/>
  <c r="V3061" i="11"/>
  <c r="V2997" i="11"/>
  <c r="Y2997" i="11"/>
  <c r="Y2933" i="11"/>
  <c r="V2933" i="11"/>
  <c r="Y2869" i="11"/>
  <c r="V2869" i="11"/>
  <c r="Y2805" i="11"/>
  <c r="V2805" i="11"/>
  <c r="Y2741" i="11"/>
  <c r="V2741" i="11"/>
  <c r="Y3703" i="11"/>
  <c r="V3703" i="11"/>
  <c r="Y3607" i="11"/>
  <c r="V3607" i="11"/>
  <c r="Y2975" i="11"/>
  <c r="V2975" i="11"/>
  <c r="V2879" i="11"/>
  <c r="Y2879" i="11"/>
  <c r="Y2847" i="11"/>
  <c r="V2847" i="11"/>
  <c r="Y2751" i="11"/>
  <c r="V2751" i="11"/>
  <c r="AB1366" i="11"/>
  <c r="AB1917" i="11"/>
  <c r="V3165" i="11"/>
  <c r="Y3165" i="11"/>
  <c r="Y3101" i="11"/>
  <c r="V3101" i="11"/>
  <c r="V3037" i="11"/>
  <c r="Y3037" i="11"/>
  <c r="V2973" i="11"/>
  <c r="Y2973" i="11"/>
  <c r="V2909" i="11"/>
  <c r="Y2909" i="11"/>
  <c r="V3800" i="11"/>
  <c r="Y3800" i="11"/>
  <c r="V3719" i="11"/>
  <c r="Y3719" i="11"/>
  <c r="Y3687" i="11"/>
  <c r="V3687" i="11"/>
  <c r="V3591" i="11"/>
  <c r="Y3591" i="11"/>
  <c r="V3503" i="11"/>
  <c r="Y3503" i="11"/>
  <c r="Y3575" i="11"/>
  <c r="Z17" i="21"/>
  <c r="AA17" i="21" s="1"/>
  <c r="AB17" i="21" s="1"/>
  <c r="W138" i="54"/>
  <c r="X138" i="54" s="1"/>
  <c r="V3575" i="11"/>
  <c r="V3487" i="11"/>
  <c r="Y3487" i="11"/>
  <c r="V3391" i="11"/>
  <c r="Y3391" i="11"/>
  <c r="Y3295" i="11"/>
  <c r="V3295" i="11"/>
  <c r="Y3263" i="11"/>
  <c r="V3263" i="11"/>
  <c r="Y3167" i="11"/>
  <c r="V3167" i="11"/>
  <c r="V3071" i="11"/>
  <c r="Y3071" i="11"/>
  <c r="Y2559" i="11"/>
  <c r="V2559" i="11"/>
  <c r="V2527" i="11"/>
  <c r="Y2527" i="11"/>
  <c r="V2439" i="11"/>
  <c r="Y2439" i="11"/>
  <c r="V2351" i="11"/>
  <c r="Y2351" i="11"/>
  <c r="V2319" i="11"/>
  <c r="Y2319" i="11"/>
  <c r="V2231" i="11"/>
  <c r="Y2231" i="11"/>
  <c r="V2142" i="11"/>
  <c r="Y2142" i="11"/>
  <c r="V1286" i="11"/>
  <c r="Y1286" i="11"/>
  <c r="Y1190" i="11"/>
  <c r="V1190" i="11"/>
  <c r="Y1094" i="11"/>
  <c r="V1094" i="11"/>
  <c r="V1062" i="11"/>
  <c r="Y1062" i="11"/>
  <c r="Z40" i="21"/>
  <c r="AA40" i="21" s="1"/>
  <c r="AB40" i="21" s="1"/>
  <c r="W161" i="54"/>
  <c r="X161" i="54" s="1"/>
  <c r="Y966" i="11"/>
  <c r="V966" i="11"/>
  <c r="V878" i="11"/>
  <c r="Y878" i="11"/>
  <c r="AA1917" i="11"/>
  <c r="Y2733" i="11"/>
  <c r="V2733" i="11"/>
  <c r="V2661" i="11"/>
  <c r="Y2661" i="11"/>
  <c r="Y2597" i="11"/>
  <c r="V2597" i="11"/>
  <c r="Y2533" i="11"/>
  <c r="V2533" i="11"/>
  <c r="V2469" i="11"/>
  <c r="Y2469" i="11"/>
  <c r="Y2405" i="11"/>
  <c r="V2405" i="11"/>
  <c r="Y2341" i="11"/>
  <c r="V2341" i="11"/>
  <c r="Y2277" i="11"/>
  <c r="V2277" i="11"/>
  <c r="V1790" i="11"/>
  <c r="Y1790" i="11"/>
  <c r="Z36" i="21"/>
  <c r="AA36" i="21" s="1"/>
  <c r="AB36" i="21" s="1"/>
  <c r="W157" i="54"/>
  <c r="X157" i="54" s="1"/>
  <c r="Y1702" i="11"/>
  <c r="V1702" i="11"/>
  <c r="Y110" i="11"/>
  <c r="V110" i="11"/>
  <c r="Z35" i="21"/>
  <c r="AA35" i="21" s="1"/>
  <c r="AB35" i="21" s="1"/>
  <c r="W156" i="54"/>
  <c r="X156" i="54" s="1"/>
  <c r="V3229" i="11"/>
  <c r="Y3229" i="11"/>
  <c r="Z14" i="21"/>
  <c r="AA14" i="21" s="1"/>
  <c r="AB14" i="21" s="1"/>
  <c r="W135" i="54"/>
  <c r="X135" i="54" s="1"/>
  <c r="Y2845" i="11"/>
  <c r="V2845" i="11"/>
  <c r="Y2781" i="11"/>
  <c r="V2781" i="11"/>
  <c r="Y2525" i="11"/>
  <c r="W128" i="54"/>
  <c r="X128" i="54" s="1"/>
  <c r="Z7" i="21"/>
  <c r="AA7" i="21" s="1"/>
  <c r="AB7" i="21" s="1"/>
  <c r="V2525" i="11"/>
  <c r="Y2461" i="11"/>
  <c r="V2461" i="11"/>
  <c r="V2397" i="11"/>
  <c r="Y2397" i="11"/>
  <c r="V2333" i="11"/>
  <c r="Y2333" i="11"/>
  <c r="Y2269" i="11"/>
  <c r="V2269" i="11"/>
  <c r="V2205" i="11"/>
  <c r="Y2205" i="11"/>
  <c r="Y2959" i="11"/>
  <c r="V2959" i="11"/>
  <c r="AA1638" i="11"/>
  <c r="Z26" i="21"/>
  <c r="AA26" i="21" s="1"/>
  <c r="AB26" i="21" s="1"/>
  <c r="Y3157" i="11"/>
  <c r="V3157" i="11"/>
  <c r="W147" i="54"/>
  <c r="X147" i="54" s="1"/>
  <c r="Y3093" i="11"/>
  <c r="V3093" i="11"/>
  <c r="Y3029" i="11"/>
  <c r="V3029" i="11"/>
  <c r="Y2965" i="11"/>
  <c r="V2965" i="11"/>
  <c r="V2901" i="11"/>
  <c r="Y2901" i="11"/>
  <c r="Y2837" i="11"/>
  <c r="V2837" i="11"/>
  <c r="V2773" i="11"/>
  <c r="Y2773" i="11"/>
  <c r="AB1550" i="11"/>
  <c r="Y846" i="11"/>
  <c r="V846" i="11"/>
  <c r="Z39" i="21"/>
  <c r="AA39" i="21" s="1"/>
  <c r="AB39" i="21" s="1"/>
  <c r="W160" i="54"/>
  <c r="X160" i="54" s="1"/>
  <c r="V758" i="11"/>
  <c r="Y758" i="11"/>
  <c r="V2669" i="11"/>
  <c r="Y2669" i="11"/>
  <c r="V2605" i="11"/>
  <c r="Y2605" i="11"/>
  <c r="V2541" i="11"/>
  <c r="Y2541" i="11"/>
  <c r="Y2477" i="11"/>
  <c r="V2477" i="11"/>
  <c r="Y2413" i="11"/>
  <c r="V2413" i="11"/>
  <c r="V2349" i="11"/>
  <c r="Y2349" i="11"/>
  <c r="V2285" i="11"/>
  <c r="Y2285" i="11"/>
  <c r="Y2221" i="11"/>
  <c r="V2221" i="11"/>
  <c r="V2213" i="11"/>
  <c r="Y2213" i="11"/>
  <c r="Z8" i="21"/>
  <c r="AA8" i="21" s="1"/>
  <c r="AB8" i="21" s="1"/>
  <c r="W129" i="54"/>
  <c r="X129" i="54" s="1"/>
  <c r="AB1638" i="11"/>
  <c r="V1590" i="11"/>
  <c r="Y1590" i="11"/>
  <c r="V1510" i="11"/>
  <c r="Y1510" i="11"/>
  <c r="Y1478" i="11"/>
  <c r="V1478" i="11"/>
  <c r="Z19" i="21"/>
  <c r="AA19" i="21" s="1"/>
  <c r="AB19" i="21" s="1"/>
  <c r="W140" i="54"/>
  <c r="X140" i="54" s="1"/>
  <c r="V1390" i="11"/>
  <c r="Y1390" i="11"/>
  <c r="Y22" i="11"/>
  <c r="AB22" i="11" s="1"/>
  <c r="V22" i="11"/>
  <c r="AA22" i="11" s="1"/>
  <c r="V3741" i="11"/>
  <c r="Y3741" i="11"/>
  <c r="V3677" i="11"/>
  <c r="Y3677" i="11"/>
  <c r="Y3613" i="11"/>
  <c r="V3613" i="11"/>
  <c r="V3549" i="11"/>
  <c r="Y3549" i="11"/>
  <c r="Y3485" i="11"/>
  <c r="V3485" i="11"/>
  <c r="Y3421" i="11"/>
  <c r="V3421" i="11"/>
  <c r="V3357" i="11"/>
  <c r="Y3357" i="11"/>
  <c r="Y3293" i="11"/>
  <c r="V3293" i="11"/>
  <c r="Y2717" i="11"/>
  <c r="V2717" i="11"/>
  <c r="Y3471" i="11"/>
  <c r="V3471" i="11"/>
  <c r="W145" i="54"/>
  <c r="X145" i="54" s="1"/>
  <c r="Z24" i="21"/>
  <c r="AA24" i="21" s="1"/>
  <c r="AB24" i="21" s="1"/>
  <c r="Y3375" i="11"/>
  <c r="V3375" i="11"/>
  <c r="Y3279" i="11"/>
  <c r="V3279" i="11"/>
  <c r="V3183" i="11"/>
  <c r="Y3183" i="11"/>
  <c r="Z21" i="21"/>
  <c r="AA21" i="21" s="1"/>
  <c r="AB21" i="21" s="1"/>
  <c r="V2421" i="11"/>
  <c r="Y2421" i="11"/>
  <c r="W142" i="54"/>
  <c r="X142" i="54" s="1"/>
  <c r="Y2357" i="11"/>
  <c r="V2357" i="11"/>
  <c r="V2293" i="11"/>
  <c r="Y2293" i="11"/>
  <c r="Y2229" i="11"/>
  <c r="V2229" i="11"/>
  <c r="AB694" i="11"/>
  <c r="Y3749" i="11"/>
  <c r="V3749" i="11"/>
  <c r="AA1334" i="11"/>
  <c r="AA1901" i="11"/>
  <c r="Y2709" i="11"/>
  <c r="V2709" i="11"/>
  <c r="Y2110" i="11"/>
  <c r="V2110" i="11"/>
  <c r="Z6" i="21"/>
  <c r="AA6" i="21" s="1"/>
  <c r="AB6" i="21" s="1"/>
  <c r="W127" i="54"/>
  <c r="X127" i="54" s="1"/>
  <c r="V2022" i="11"/>
  <c r="Y2022" i="11"/>
  <c r="Y1926" i="11"/>
  <c r="V1926" i="11"/>
  <c r="Y1830" i="11"/>
  <c r="V1830" i="11"/>
  <c r="Y1798" i="11"/>
  <c r="V1798" i="11"/>
  <c r="V1710" i="11"/>
  <c r="Y1710" i="11"/>
  <c r="AA694" i="11"/>
  <c r="V654" i="11"/>
  <c r="Y654" i="11"/>
  <c r="V558" i="11"/>
  <c r="Y558" i="11"/>
  <c r="Y462" i="11"/>
  <c r="V462" i="11"/>
  <c r="Y430" i="11"/>
  <c r="V430" i="11"/>
  <c r="W150" i="54"/>
  <c r="X150" i="54" s="1"/>
  <c r="Z29" i="21"/>
  <c r="AA29" i="21" s="1"/>
  <c r="AB29" i="21" s="1"/>
  <c r="Y334" i="11"/>
  <c r="V334" i="11"/>
  <c r="Y246" i="11"/>
  <c r="V246" i="11"/>
  <c r="Y150" i="11"/>
  <c r="V150" i="11"/>
  <c r="V118" i="11"/>
  <c r="Y118" i="11"/>
  <c r="Y3181" i="11"/>
  <c r="V3181" i="11"/>
  <c r="Y3117" i="11"/>
  <c r="V3117" i="11"/>
  <c r="Z31" i="21"/>
  <c r="AA31" i="21" s="1"/>
  <c r="AB31" i="21" s="1"/>
  <c r="Y3685" i="11"/>
  <c r="V3685" i="11"/>
  <c r="W152" i="54"/>
  <c r="X152" i="54" s="1"/>
  <c r="Y3621" i="11"/>
  <c r="V3621" i="11"/>
  <c r="Y3557" i="11"/>
  <c r="V3557" i="11"/>
  <c r="Y3493" i="11"/>
  <c r="V3493" i="11"/>
  <c r="Y3429" i="11"/>
  <c r="V3429" i="11"/>
  <c r="Y3237" i="11"/>
  <c r="V3237" i="11"/>
  <c r="V3173" i="11"/>
  <c r="Y3173" i="11"/>
  <c r="Y3109" i="11"/>
  <c r="V3109" i="11"/>
  <c r="V3045" i="11"/>
  <c r="Y3045" i="11"/>
  <c r="Y2981" i="11"/>
  <c r="V2981" i="11"/>
  <c r="V2917" i="11"/>
  <c r="Y2917" i="11"/>
  <c r="Y2853" i="11"/>
  <c r="V2853" i="11"/>
  <c r="V2789" i="11"/>
  <c r="Y2789" i="11"/>
  <c r="Y3808" i="11"/>
  <c r="V3808" i="11"/>
  <c r="Y3695" i="11"/>
  <c r="V3695" i="11"/>
  <c r="Y3599" i="11"/>
  <c r="V3599" i="11"/>
  <c r="V3511" i="11"/>
  <c r="Y3511" i="11"/>
  <c r="Y3479" i="11"/>
  <c r="V3479" i="11"/>
  <c r="Y3383" i="11"/>
  <c r="V3383" i="11"/>
  <c r="Y3287" i="11"/>
  <c r="V3287" i="11"/>
  <c r="Y3191" i="11"/>
  <c r="V3191" i="11"/>
  <c r="Y3159" i="11"/>
  <c r="V3159" i="11"/>
  <c r="V3063" i="11"/>
  <c r="Y3063" i="11"/>
  <c r="V2967" i="11"/>
  <c r="Y2967" i="11"/>
  <c r="Y2871" i="11"/>
  <c r="V2871" i="11"/>
  <c r="V2775" i="11"/>
  <c r="Y2775" i="11"/>
  <c r="Y2743" i="11"/>
  <c r="V2743" i="11"/>
  <c r="V2551" i="11"/>
  <c r="Y2551" i="11"/>
  <c r="Y2431" i="11"/>
  <c r="V2431" i="11"/>
  <c r="Y2343" i="11"/>
  <c r="V2343" i="11"/>
  <c r="V2223" i="11"/>
  <c r="Y2223" i="11"/>
  <c r="Y2134" i="11"/>
  <c r="V2134" i="11"/>
  <c r="AB1334" i="11"/>
  <c r="Y1278" i="11"/>
  <c r="V1278" i="11"/>
  <c r="Y1182" i="11"/>
  <c r="V1182" i="11"/>
  <c r="Y1086" i="11"/>
  <c r="V1086" i="11"/>
  <c r="Y990" i="11"/>
  <c r="V990" i="11"/>
  <c r="Y958" i="11"/>
  <c r="V958" i="11"/>
  <c r="Y870" i="11"/>
  <c r="V870" i="11"/>
  <c r="Y750" i="11"/>
  <c r="V750" i="11"/>
  <c r="AB1901" i="11"/>
  <c r="Y2653" i="11"/>
  <c r="V2653" i="11"/>
  <c r="V2589" i="11"/>
  <c r="Y2589" i="11"/>
  <c r="V3733" i="11"/>
  <c r="Y3733" i="11"/>
  <c r="V3669" i="11"/>
  <c r="Y3669" i="11"/>
  <c r="Y3605" i="11"/>
  <c r="V3605" i="11"/>
  <c r="V3541" i="11"/>
  <c r="Y3541" i="11"/>
  <c r="Y3477" i="11"/>
  <c r="V3477" i="11"/>
  <c r="Y3413" i="11"/>
  <c r="V3413" i="11"/>
  <c r="V3349" i="11"/>
  <c r="Y3349" i="11"/>
  <c r="Y3285" i="11"/>
  <c r="V3285" i="11"/>
  <c r="Y3221" i="11"/>
  <c r="V3221" i="11"/>
  <c r="AB3872" i="11"/>
  <c r="V3816" i="11"/>
  <c r="Y3816" i="11"/>
  <c r="AB1654" i="11"/>
  <c r="V3245" i="11"/>
  <c r="Y3245" i="11"/>
  <c r="V3365" i="11"/>
  <c r="Y3365" i="11"/>
  <c r="W149" i="54"/>
  <c r="X149" i="54" s="1"/>
  <c r="Z28" i="21"/>
  <c r="AA28" i="21" s="1"/>
  <c r="AB28" i="21" s="1"/>
  <c r="Y3301" i="11"/>
  <c r="V3301" i="11"/>
  <c r="AA2086" i="11"/>
  <c r="AA686" i="11"/>
  <c r="Y2645" i="11"/>
  <c r="V2645" i="11"/>
  <c r="Y2581" i="11"/>
  <c r="V2581" i="11"/>
  <c r="V2517" i="11"/>
  <c r="Y2517" i="11"/>
  <c r="V2453" i="11"/>
  <c r="Y2453" i="11"/>
  <c r="V2389" i="11"/>
  <c r="Y2389" i="11"/>
  <c r="Y2325" i="11"/>
  <c r="V2325" i="11"/>
  <c r="V2261" i="11"/>
  <c r="Y2261" i="11"/>
  <c r="V2197" i="11"/>
  <c r="Y2197" i="11"/>
  <c r="V2767" i="11"/>
  <c r="Y2767" i="11"/>
  <c r="Y3717" i="11"/>
  <c r="V3717" i="11"/>
  <c r="Y3653" i="11"/>
  <c r="V3653" i="11"/>
  <c r="Y3589" i="11"/>
  <c r="V3589" i="11"/>
  <c r="Y3525" i="11"/>
  <c r="V3525" i="11"/>
  <c r="Y3461" i="11"/>
  <c r="V3461" i="11"/>
  <c r="Y3397" i="11"/>
  <c r="V3397" i="11"/>
  <c r="Y3333" i="11"/>
  <c r="V3333" i="11"/>
  <c r="Y3269" i="11"/>
  <c r="V3269" i="11"/>
  <c r="V3205" i="11"/>
  <c r="Y3205" i="11"/>
  <c r="Y3141" i="11"/>
  <c r="V3141" i="11"/>
  <c r="Y3077" i="11"/>
  <c r="V3077" i="11"/>
  <c r="Y3013" i="11"/>
  <c r="V3013" i="11"/>
  <c r="AA1741" i="11"/>
  <c r="AB1462" i="11"/>
  <c r="Y1382" i="11"/>
  <c r="V1382" i="11"/>
  <c r="Y1302" i="11"/>
  <c r="V1302" i="11"/>
  <c r="Y1270" i="11"/>
  <c r="V1270" i="11"/>
  <c r="Z16" i="21"/>
  <c r="AA16" i="21" s="1"/>
  <c r="AB16" i="21" s="1"/>
  <c r="W137" i="54"/>
  <c r="X137" i="54" s="1"/>
  <c r="Y1174" i="11"/>
  <c r="V1174" i="11"/>
  <c r="V1078" i="11"/>
  <c r="Y1078" i="11"/>
  <c r="V982" i="11"/>
  <c r="Y982" i="11"/>
  <c r="V14" i="11"/>
  <c r="AA14" i="11" s="1"/>
  <c r="Y14" i="11"/>
  <c r="AB14" i="11" s="1"/>
  <c r="Y2317" i="11"/>
  <c r="W143" i="54"/>
  <c r="X143" i="54" s="1"/>
  <c r="Z22" i="21"/>
  <c r="AA22" i="21" s="1"/>
  <c r="AB22" i="21" s="1"/>
  <c r="V2317" i="11"/>
  <c r="V2253" i="11"/>
  <c r="Y2253" i="11"/>
  <c r="AB3880" i="11"/>
  <c r="V2693" i="11"/>
  <c r="Y2693" i="11"/>
  <c r="V2629" i="11"/>
  <c r="Y2629" i="11"/>
  <c r="Y2565" i="11"/>
  <c r="V2565" i="11"/>
  <c r="V2501" i="11"/>
  <c r="Y2501" i="11"/>
  <c r="V2437" i="11"/>
  <c r="Y2437" i="11"/>
  <c r="V2373" i="11"/>
  <c r="Y2373" i="11"/>
  <c r="V2309" i="11"/>
  <c r="Y2309" i="11"/>
  <c r="Y2245" i="11"/>
  <c r="V2245" i="11"/>
  <c r="Y1686" i="11"/>
  <c r="V1686" i="11"/>
  <c r="Z34" i="21"/>
  <c r="AA34" i="21" s="1"/>
  <c r="AB34" i="21" s="1"/>
  <c r="W155" i="54"/>
  <c r="X155" i="54" s="1"/>
  <c r="V1606" i="11"/>
  <c r="Y1606" i="11"/>
  <c r="V1494" i="11"/>
  <c r="Y1494" i="11"/>
  <c r="V1406" i="11"/>
  <c r="Y1406" i="11"/>
  <c r="V1374" i="11"/>
  <c r="Y1374" i="11"/>
  <c r="Z13" i="21"/>
  <c r="AA13" i="21" s="1"/>
  <c r="AB13" i="21" s="1"/>
  <c r="W134" i="54"/>
  <c r="X134" i="54" s="1"/>
  <c r="Y1294" i="11"/>
  <c r="V1294" i="11"/>
  <c r="Y1198" i="11"/>
  <c r="V1198" i="11"/>
  <c r="Y1166" i="11"/>
  <c r="V1166" i="11"/>
  <c r="Z15" i="21"/>
  <c r="AA15" i="21" s="1"/>
  <c r="AB15" i="21" s="1"/>
  <c r="W136" i="54"/>
  <c r="X136" i="54" s="1"/>
  <c r="Y1070" i="11"/>
  <c r="V1070" i="11"/>
  <c r="Y974" i="11"/>
  <c r="V974" i="11"/>
  <c r="Y886" i="11"/>
  <c r="V886" i="11"/>
  <c r="V854" i="11"/>
  <c r="Y854" i="11"/>
  <c r="Y766" i="11"/>
  <c r="V766" i="11"/>
  <c r="AB1741" i="11"/>
  <c r="V3261" i="11"/>
  <c r="W148" i="54"/>
  <c r="X148" i="54" s="1"/>
  <c r="Y3261" i="11"/>
  <c r="Z27" i="21"/>
  <c r="AA27" i="21" s="1"/>
  <c r="AB27" i="21" s="1"/>
  <c r="V3197" i="11"/>
  <c r="Y3197" i="11"/>
  <c r="Y3133" i="11"/>
  <c r="V3133" i="11"/>
  <c r="V3069" i="11"/>
  <c r="Y3069" i="11"/>
  <c r="Y3005" i="11"/>
  <c r="V3005" i="11"/>
  <c r="Y2941" i="11"/>
  <c r="V2941" i="11"/>
  <c r="Y2877" i="11"/>
  <c r="V2877" i="11"/>
  <c r="V2813" i="11"/>
  <c r="Y2813" i="11"/>
  <c r="Y2749" i="11"/>
  <c r="V2749" i="11"/>
  <c r="AA1821" i="11"/>
  <c r="AB718" i="11"/>
  <c r="V950" i="11"/>
  <c r="Y950" i="11"/>
  <c r="Z32" i="21"/>
  <c r="AA32" i="21" s="1"/>
  <c r="AB32" i="21" s="1"/>
  <c r="W153" i="54"/>
  <c r="X153" i="54" s="1"/>
  <c r="Y862" i="11"/>
  <c r="V862" i="11"/>
  <c r="Y774" i="11"/>
  <c r="V774" i="11"/>
  <c r="Y742" i="11"/>
  <c r="V742" i="11"/>
  <c r="Z38" i="21"/>
  <c r="AA38" i="21" s="1"/>
  <c r="AB38" i="21" s="1"/>
  <c r="W159" i="54"/>
  <c r="X159" i="54" s="1"/>
  <c r="Y670" i="11"/>
  <c r="V670" i="11"/>
  <c r="V638" i="11"/>
  <c r="Y638" i="11"/>
  <c r="W130" i="54"/>
  <c r="X130" i="54" s="1"/>
  <c r="Z9" i="21"/>
  <c r="AA9" i="21" s="1"/>
  <c r="AB9" i="21" s="1"/>
  <c r="Y542" i="11"/>
  <c r="V542" i="11"/>
  <c r="Y446" i="11"/>
  <c r="V446" i="11"/>
  <c r="V350" i="11"/>
  <c r="Y350" i="11"/>
  <c r="AB1821" i="11"/>
  <c r="V3021" i="11"/>
  <c r="Y3021" i="11"/>
  <c r="Y2957" i="11"/>
  <c r="V2957" i="11"/>
  <c r="V2893" i="11"/>
  <c r="Y2893" i="11"/>
  <c r="V2829" i="11"/>
  <c r="Y2829" i="11"/>
  <c r="V2765" i="11"/>
  <c r="Y2765" i="11"/>
  <c r="V662" i="11"/>
  <c r="Y662" i="11"/>
  <c r="Y566" i="11"/>
  <c r="V566" i="11"/>
  <c r="Y534" i="11"/>
  <c r="V534" i="11"/>
  <c r="Z30" i="21"/>
  <c r="AA30" i="21" s="1"/>
  <c r="AB30" i="21" s="1"/>
  <c r="W151" i="54"/>
  <c r="X151" i="54" s="1"/>
  <c r="V438" i="11"/>
  <c r="Y438" i="11"/>
  <c r="Y342" i="11"/>
  <c r="V342" i="11"/>
  <c r="Y254" i="11"/>
  <c r="V254" i="11"/>
  <c r="Y222" i="11"/>
  <c r="V222" i="11"/>
  <c r="Z23" i="21"/>
  <c r="AA23" i="21" s="1"/>
  <c r="AB23" i="21" s="1"/>
  <c r="W144" i="54"/>
  <c r="X144" i="54" s="1"/>
  <c r="V126" i="11"/>
  <c r="Y126" i="11"/>
  <c r="Y3709" i="11"/>
  <c r="V3709" i="11"/>
  <c r="Y3645" i="11"/>
  <c r="V3645" i="11"/>
  <c r="V3581" i="11"/>
  <c r="Y3581" i="11"/>
  <c r="V3517" i="11"/>
  <c r="Y3517" i="11"/>
  <c r="V3453" i="11"/>
  <c r="Y3453" i="11"/>
  <c r="V3389" i="11"/>
  <c r="Y3389" i="11"/>
  <c r="V3325" i="11"/>
  <c r="Y3325" i="11"/>
  <c r="V2685" i="11"/>
  <c r="Y2685" i="11"/>
  <c r="V2621" i="11"/>
  <c r="Y2621" i="11"/>
  <c r="Y2557" i="11"/>
  <c r="V2557" i="11"/>
  <c r="V2493" i="11"/>
  <c r="Y2493" i="11"/>
  <c r="Y2429" i="11"/>
  <c r="V2429" i="11"/>
  <c r="Y2365" i="11"/>
  <c r="V2365" i="11"/>
  <c r="V2301" i="11"/>
  <c r="Y2301" i="11"/>
  <c r="Y2237" i="11"/>
  <c r="V2237" i="11"/>
  <c r="V3087" i="11"/>
  <c r="Y3087" i="11"/>
  <c r="V3055" i="11"/>
  <c r="Y3055" i="11"/>
  <c r="AB302" i="11"/>
  <c r="Y3725" i="11"/>
  <c r="V3725" i="11"/>
  <c r="Y3661" i="11"/>
  <c r="V3661" i="11"/>
  <c r="V3597" i="11"/>
  <c r="Y3597" i="11"/>
  <c r="V3533" i="11"/>
  <c r="Y3533" i="11"/>
  <c r="V3469" i="11"/>
  <c r="Y3469" i="11"/>
  <c r="Y3405" i="11"/>
  <c r="V3405" i="11"/>
  <c r="Y3341" i="11"/>
  <c r="V3341" i="11"/>
  <c r="V3277" i="11"/>
  <c r="Y3277" i="11"/>
  <c r="Y3213" i="11"/>
  <c r="V3213" i="11"/>
  <c r="Y3149" i="11"/>
  <c r="V3149" i="11"/>
  <c r="V3085" i="11"/>
  <c r="Y3085" i="11"/>
  <c r="AA302" i="11"/>
  <c r="Y230" i="11"/>
  <c r="V230" i="11"/>
  <c r="V134" i="11"/>
  <c r="Y134" i="11"/>
  <c r="V2701" i="11"/>
  <c r="Y2701" i="11"/>
  <c r="Y3792" i="11"/>
  <c r="V3792" i="11"/>
  <c r="W141" i="54"/>
  <c r="X141" i="54" s="1"/>
  <c r="Z20" i="21"/>
  <c r="AA20" i="21" s="1"/>
  <c r="AB20" i="21" s="1"/>
  <c r="V3711" i="11"/>
  <c r="Y3711" i="11"/>
  <c r="Y3615" i="11"/>
  <c r="V3615" i="11"/>
  <c r="V3583" i="11"/>
  <c r="Y3583" i="11"/>
  <c r="V3495" i="11"/>
  <c r="Y3495" i="11"/>
  <c r="Y3399" i="11"/>
  <c r="V3399" i="11"/>
  <c r="V3367" i="11"/>
  <c r="Y3367" i="11"/>
  <c r="Y3271" i="11"/>
  <c r="V3271" i="11"/>
  <c r="Y3175" i="11"/>
  <c r="V3175" i="11"/>
  <c r="V3079" i="11"/>
  <c r="Y3079" i="11"/>
  <c r="V2983" i="11"/>
  <c r="Y2983" i="11"/>
  <c r="Y2951" i="11"/>
  <c r="V2951" i="11"/>
  <c r="V2855" i="11"/>
  <c r="Y2855" i="11"/>
  <c r="V2759" i="11"/>
  <c r="Y2759" i="11"/>
  <c r="Y2535" i="11"/>
  <c r="V2535" i="11"/>
  <c r="Y2447" i="11"/>
  <c r="V2447" i="11"/>
  <c r="Y2327" i="11"/>
  <c r="V2327" i="11"/>
  <c r="Y2239" i="11"/>
  <c r="V2239" i="11"/>
  <c r="V38" i="11"/>
  <c r="AA38" i="11" s="1"/>
  <c r="Y38" i="11"/>
  <c r="AB38" i="11" s="1"/>
  <c r="Y3824" i="11"/>
  <c r="V3824" i="11"/>
  <c r="AB2174" i="11"/>
  <c r="Z11" i="21"/>
  <c r="AA11" i="21" s="1"/>
  <c r="AB11" i="21" s="1"/>
  <c r="Y2735" i="11"/>
  <c r="V2735" i="11"/>
  <c r="W132" i="54"/>
  <c r="X132" i="54" s="1"/>
  <c r="Y2543" i="11"/>
  <c r="V2543" i="11"/>
  <c r="V2455" i="11"/>
  <c r="Y2455" i="11"/>
  <c r="Y2423" i="11"/>
  <c r="V2423" i="11"/>
  <c r="Y2335" i="11"/>
  <c r="V2335" i="11"/>
  <c r="Y2247" i="11"/>
  <c r="V2247" i="11"/>
  <c r="Y2215" i="11"/>
  <c r="V2215" i="11"/>
  <c r="V2126" i="11"/>
  <c r="Y2126" i="11"/>
  <c r="Y2038" i="11"/>
  <c r="V2038" i="11"/>
  <c r="V2006" i="11"/>
  <c r="Y2006" i="11"/>
  <c r="Z5" i="21"/>
  <c r="W126" i="54"/>
  <c r="X126" i="54" s="1"/>
  <c r="Y1910" i="11"/>
  <c r="V1910" i="11"/>
  <c r="V1814" i="11"/>
  <c r="Y1814" i="11"/>
  <c r="V1726" i="11"/>
  <c r="Y1726" i="11"/>
  <c r="Y1694" i="11"/>
  <c r="V1694" i="11"/>
  <c r="Y1614" i="11"/>
  <c r="V1614" i="11"/>
  <c r="Y1582" i="11"/>
  <c r="V1582" i="11"/>
  <c r="Z33" i="21"/>
  <c r="AA33" i="21" s="1"/>
  <c r="AB33" i="21" s="1"/>
  <c r="W154" i="54"/>
  <c r="X154" i="54" s="1"/>
  <c r="Y1502" i="11"/>
  <c r="V1502" i="11"/>
  <c r="Y46" i="11"/>
  <c r="AB46" i="11" s="1"/>
  <c r="V46" i="11"/>
  <c r="AA46" i="11" s="1"/>
  <c r="Z10" i="21"/>
  <c r="AA10" i="21" s="1"/>
  <c r="AB10" i="21" s="1"/>
  <c r="W131" i="54"/>
  <c r="X131" i="54" s="1"/>
  <c r="Y2637" i="11"/>
  <c r="V2637" i="11"/>
  <c r="V2573" i="11"/>
  <c r="Y2573" i="11"/>
  <c r="Y2509" i="11"/>
  <c r="V2509" i="11"/>
  <c r="V2445" i="11"/>
  <c r="Y2445" i="11"/>
  <c r="Y2381" i="11"/>
  <c r="V2381" i="11"/>
  <c r="V2949" i="11"/>
  <c r="Y2949" i="11"/>
  <c r="Z18" i="21"/>
  <c r="AA18" i="21" s="1"/>
  <c r="AB18" i="21" s="1"/>
  <c r="W139" i="54"/>
  <c r="X139" i="54" s="1"/>
  <c r="V2885" i="11"/>
  <c r="Y2885" i="11"/>
  <c r="Y2821" i="11"/>
  <c r="V2821" i="11"/>
  <c r="V2757" i="11"/>
  <c r="Y2757" i="11"/>
  <c r="AA2174" i="11"/>
  <c r="V2118" i="11"/>
  <c r="Y2118" i="11"/>
  <c r="Y2030" i="11"/>
  <c r="V2030" i="11"/>
  <c r="Y1934" i="11"/>
  <c r="V1934" i="11"/>
  <c r="V1902" i="11"/>
  <c r="Y1902" i="11"/>
  <c r="W146" i="54"/>
  <c r="X146" i="54" s="1"/>
  <c r="Z25" i="21"/>
  <c r="AA25" i="21" s="1"/>
  <c r="AB25" i="21" s="1"/>
  <c r="V1806" i="11"/>
  <c r="Y1806" i="11"/>
  <c r="V1718" i="11"/>
  <c r="Y1718" i="11"/>
  <c r="V6" i="11"/>
  <c r="AA6" i="11" s="1"/>
  <c r="Y6" i="11"/>
  <c r="AB6" i="11" s="1"/>
  <c r="AB2650" i="11"/>
  <c r="AA2658" i="11"/>
  <c r="AB2720" i="11"/>
  <c r="AA2648" i="11"/>
  <c r="Y12" i="11"/>
  <c r="V12" i="11"/>
  <c r="W162" i="54"/>
  <c r="Z41" i="21"/>
  <c r="U3890" i="11"/>
  <c r="W3891" i="11" s="1"/>
  <c r="E34" i="5" s="1"/>
  <c r="E35" i="5" s="1"/>
  <c r="C9" i="63"/>
  <c r="L403" i="54"/>
  <c r="L15" i="54" s="1"/>
  <c r="O406" i="54"/>
  <c r="O410" i="54" s="1"/>
  <c r="U406" i="54"/>
  <c r="AC406" i="54" s="1"/>
  <c r="O398" i="54"/>
  <c r="U398" i="54"/>
  <c r="AC398" i="54" s="1"/>
  <c r="AF398" i="54" s="1"/>
  <c r="O396" i="54"/>
  <c r="U396" i="54"/>
  <c r="AC396" i="54" s="1"/>
  <c r="AF396" i="54" s="1"/>
  <c r="U226" i="54"/>
  <c r="O120" i="54" l="1"/>
  <c r="N114" i="54"/>
  <c r="T257" i="54"/>
  <c r="AB257" i="54" s="1"/>
  <c r="AE257" i="54" s="1"/>
  <c r="C39" i="33"/>
  <c r="O121" i="54"/>
  <c r="M277" i="54"/>
  <c r="U277" i="54" s="1"/>
  <c r="AC277" i="54" s="1"/>
  <c r="AF277" i="54" s="1"/>
  <c r="T70" i="54"/>
  <c r="AB70" i="54" s="1"/>
  <c r="AE70" i="54" s="1"/>
  <c r="T120" i="54"/>
  <c r="AC291" i="54"/>
  <c r="AF291" i="54" s="1"/>
  <c r="U119" i="54"/>
  <c r="AC292" i="54"/>
  <c r="AF292" i="54" s="1"/>
  <c r="U120" i="54"/>
  <c r="I287" i="54"/>
  <c r="J287" i="54" s="1"/>
  <c r="H115" i="54"/>
  <c r="I115" i="54" s="1"/>
  <c r="J115" i="54" s="1"/>
  <c r="I286" i="54"/>
  <c r="J286" i="54" s="1"/>
  <c r="H114" i="54"/>
  <c r="I114" i="54" s="1"/>
  <c r="J114" i="54" s="1"/>
  <c r="L122" i="54"/>
  <c r="AC286" i="54"/>
  <c r="AF286" i="54" s="1"/>
  <c r="U114" i="54"/>
  <c r="AC114" i="54" s="1"/>
  <c r="AF114" i="54" s="1"/>
  <c r="N397" i="54"/>
  <c r="T63" i="54"/>
  <c r="AB63" i="54" s="1"/>
  <c r="AE63" i="54" s="1"/>
  <c r="T113" i="54"/>
  <c r="H289" i="54"/>
  <c r="H117" i="54" s="1"/>
  <c r="I117" i="54" s="1"/>
  <c r="J117" i="54" s="1"/>
  <c r="M117" i="54"/>
  <c r="M122" i="54" s="1"/>
  <c r="U71" i="54"/>
  <c r="AC71" i="54" s="1"/>
  <c r="AF71" i="54" s="1"/>
  <c r="I391" i="54"/>
  <c r="J391" i="54" s="1"/>
  <c r="U70" i="54"/>
  <c r="AC70" i="54" s="1"/>
  <c r="AF70" i="54" s="1"/>
  <c r="AB292" i="54"/>
  <c r="AE292" i="54" s="1"/>
  <c r="U65" i="54"/>
  <c r="AC65" i="54" s="1"/>
  <c r="AF65" i="54" s="1"/>
  <c r="U115" i="54"/>
  <c r="T397" i="54"/>
  <c r="AB397" i="54" s="1"/>
  <c r="AE397" i="54" s="1"/>
  <c r="AC293" i="54"/>
  <c r="AF293" i="54" s="1"/>
  <c r="AC290" i="54"/>
  <c r="AF290" i="54" s="1"/>
  <c r="I290" i="54"/>
  <c r="J290" i="54" s="1"/>
  <c r="H118" i="54"/>
  <c r="I118" i="54" s="1"/>
  <c r="J118" i="54" s="1"/>
  <c r="U64" i="54"/>
  <c r="AC285" i="54"/>
  <c r="AF285" i="54" s="1"/>
  <c r="U113" i="54"/>
  <c r="U68" i="54"/>
  <c r="AC68" i="54" s="1"/>
  <c r="AF68" i="54" s="1"/>
  <c r="H63" i="54"/>
  <c r="I63" i="54" s="1"/>
  <c r="J63" i="54" s="1"/>
  <c r="H113" i="54"/>
  <c r="U69" i="54"/>
  <c r="AC69" i="54" s="1"/>
  <c r="AF69" i="54" s="1"/>
  <c r="AB287" i="54"/>
  <c r="AE287" i="54" s="1"/>
  <c r="T115" i="54"/>
  <c r="H410" i="54"/>
  <c r="O397" i="54"/>
  <c r="U397" i="54"/>
  <c r="AC397" i="54" s="1"/>
  <c r="AF397" i="54" s="1"/>
  <c r="N67" i="54"/>
  <c r="N117" i="54"/>
  <c r="N71" i="54"/>
  <c r="N121" i="54"/>
  <c r="O63" i="54"/>
  <c r="O113" i="54"/>
  <c r="O66" i="54"/>
  <c r="O116" i="54"/>
  <c r="N65" i="54"/>
  <c r="N115" i="54"/>
  <c r="O69" i="54"/>
  <c r="O119" i="54"/>
  <c r="N70" i="54"/>
  <c r="N120" i="54"/>
  <c r="N68" i="54"/>
  <c r="N118" i="54"/>
  <c r="N63" i="54"/>
  <c r="N113" i="54"/>
  <c r="O68" i="54"/>
  <c r="O118" i="54"/>
  <c r="T207" i="54"/>
  <c r="T208" i="54"/>
  <c r="T213" i="54"/>
  <c r="T209" i="54"/>
  <c r="U209" i="54"/>
  <c r="AC118" i="54" s="1"/>
  <c r="AF118" i="54" s="1"/>
  <c r="U213" i="54"/>
  <c r="U206" i="54"/>
  <c r="AC115" i="54" s="1"/>
  <c r="AF115" i="54" s="1"/>
  <c r="U211" i="54"/>
  <c r="U207" i="54"/>
  <c r="AC287" i="54"/>
  <c r="AF287" i="54" s="1"/>
  <c r="U242" i="54"/>
  <c r="M13" i="54"/>
  <c r="U237" i="54"/>
  <c r="AC237" i="54" s="1"/>
  <c r="AF237" i="54" s="1"/>
  <c r="T238" i="54"/>
  <c r="T239" i="54"/>
  <c r="AB239" i="54" s="1"/>
  <c r="AE239" i="54" s="1"/>
  <c r="T234" i="54"/>
  <c r="AB234" i="54" s="1"/>
  <c r="AE234" i="54" s="1"/>
  <c r="T216" i="54"/>
  <c r="O13" i="54"/>
  <c r="U235" i="54"/>
  <c r="U219" i="54"/>
  <c r="O14" i="54"/>
  <c r="T217" i="54"/>
  <c r="U234" i="54"/>
  <c r="T237" i="54"/>
  <c r="U236" i="54"/>
  <c r="T235" i="54"/>
  <c r="AB235" i="54" s="1"/>
  <c r="AE235" i="54" s="1"/>
  <c r="U216" i="54"/>
  <c r="AC216" i="54" s="1"/>
  <c r="AF216" i="54" s="1"/>
  <c r="T229" i="54"/>
  <c r="U220" i="54"/>
  <c r="H13" i="54"/>
  <c r="U221" i="54"/>
  <c r="U238" i="54"/>
  <c r="U222" i="54"/>
  <c r="U223" i="54"/>
  <c r="T222" i="54"/>
  <c r="T228" i="54"/>
  <c r="F13" i="54"/>
  <c r="F104" i="54"/>
  <c r="U231" i="54"/>
  <c r="AC231" i="54" s="1"/>
  <c r="AF231" i="54" s="1"/>
  <c r="U224" i="54"/>
  <c r="T231" i="54"/>
  <c r="T218" i="54"/>
  <c r="U215" i="54"/>
  <c r="U217" i="54"/>
  <c r="U230" i="54"/>
  <c r="AC230" i="54" s="1"/>
  <c r="AF230" i="54" s="1"/>
  <c r="T220" i="54"/>
  <c r="AB220" i="54" s="1"/>
  <c r="AE220" i="54" s="1"/>
  <c r="T221" i="54"/>
  <c r="T219" i="54"/>
  <c r="AF406" i="54"/>
  <c r="U410" i="54"/>
  <c r="AC410" i="54" s="1"/>
  <c r="AF410" i="54" s="1"/>
  <c r="T232" i="54"/>
  <c r="U63" i="54"/>
  <c r="AC63" i="54" s="1"/>
  <c r="AF63" i="54" s="1"/>
  <c r="I385" i="54"/>
  <c r="J385" i="54" s="1"/>
  <c r="F5" i="21"/>
  <c r="E42" i="21"/>
  <c r="AB2656" i="11"/>
  <c r="AA2722" i="11"/>
  <c r="U229" i="54"/>
  <c r="AB2631" i="11"/>
  <c r="AA2672" i="11"/>
  <c r="AA2714" i="11"/>
  <c r="AB2640" i="11"/>
  <c r="AB2671" i="11"/>
  <c r="AA2098" i="11"/>
  <c r="AB2018" i="11"/>
  <c r="AB2570" i="11"/>
  <c r="AB2774" i="11"/>
  <c r="AA2298" i="11"/>
  <c r="AA3166" i="11"/>
  <c r="AB3791" i="11"/>
  <c r="AA2162" i="11"/>
  <c r="AA658" i="11"/>
  <c r="AB1874" i="11"/>
  <c r="AA3158" i="11"/>
  <c r="AB2130" i="11"/>
  <c r="AA2002" i="11"/>
  <c r="AA1602" i="11"/>
  <c r="AB2098" i="11"/>
  <c r="AA2018" i="11"/>
  <c r="AB3166" i="11"/>
  <c r="AA3791" i="11"/>
  <c r="AB2566" i="11"/>
  <c r="AB658" i="11"/>
  <c r="AA1970" i="11"/>
  <c r="AB3502" i="11"/>
  <c r="AB1602" i="11"/>
  <c r="AA2638" i="11"/>
  <c r="AB2250" i="11"/>
  <c r="AB626" i="11"/>
  <c r="AA274" i="11"/>
  <c r="AA3598" i="11"/>
  <c r="AB2050" i="11"/>
  <c r="AB2862" i="11"/>
  <c r="AB1970" i="11"/>
  <c r="AA882" i="11"/>
  <c r="AB3710" i="11"/>
  <c r="AA626" i="11"/>
  <c r="AB2966" i="11"/>
  <c r="AB274" i="11"/>
  <c r="AB3598" i="11"/>
  <c r="AB3270" i="11"/>
  <c r="AB1842" i="11"/>
  <c r="AA2050" i="11"/>
  <c r="AA2082" i="11"/>
  <c r="AA2604" i="11"/>
  <c r="AA2646" i="11"/>
  <c r="AA1890" i="11"/>
  <c r="AA3286" i="11"/>
  <c r="AA1618" i="11"/>
  <c r="AB242" i="11"/>
  <c r="AB2534" i="11"/>
  <c r="AA1826" i="11"/>
  <c r="AA1906" i="11"/>
  <c r="AA3398" i="11"/>
  <c r="AA2554" i="11"/>
  <c r="AB2082" i="11"/>
  <c r="AB2604" i="11"/>
  <c r="AA3078" i="11"/>
  <c r="AB1618" i="11"/>
  <c r="AB1730" i="11"/>
  <c r="AB1906" i="11"/>
  <c r="AB2554" i="11"/>
  <c r="AA2350" i="11"/>
  <c r="AB1762" i="11"/>
  <c r="AA2034" i="11"/>
  <c r="AB2292" i="11"/>
  <c r="AA3815" i="11"/>
  <c r="AA1714" i="11"/>
  <c r="AB3156" i="11"/>
  <c r="AB1922" i="11"/>
  <c r="AB3382" i="11"/>
  <c r="AB1858" i="11"/>
  <c r="AB2348" i="11"/>
  <c r="AA2548" i="11"/>
  <c r="AA2234" i="11"/>
  <c r="AB2974" i="11"/>
  <c r="AA2292" i="11"/>
  <c r="AA2178" i="11"/>
  <c r="AB3815" i="11"/>
  <c r="AB2146" i="11"/>
  <c r="AB1794" i="11"/>
  <c r="AB1714" i="11"/>
  <c r="AB3262" i="11"/>
  <c r="AA3156" i="11"/>
  <c r="AA3382" i="11"/>
  <c r="AA2348" i="11"/>
  <c r="AB2548" i="11"/>
  <c r="AA2130" i="11"/>
  <c r="AB2002" i="11"/>
  <c r="AB2178" i="11"/>
  <c r="AB2683" i="11"/>
  <c r="AA3588" i="11"/>
  <c r="AA2756" i="11"/>
  <c r="AB3412" i="11"/>
  <c r="AA2652" i="11"/>
  <c r="AB3444" i="11"/>
  <c r="AB2316" i="11"/>
  <c r="AA3396" i="11"/>
  <c r="AA2948" i="11"/>
  <c r="AA2916" i="11"/>
  <c r="AB3220" i="11"/>
  <c r="AA2436" i="11"/>
  <c r="AB3684" i="11"/>
  <c r="AB2860" i="11"/>
  <c r="AA3252" i="11"/>
  <c r="AA2388" i="11"/>
  <c r="AA3204" i="11"/>
  <c r="AB2332" i="11"/>
  <c r="AB2492" i="11"/>
  <c r="AA3812" i="11"/>
  <c r="AB3748" i="11"/>
  <c r="AB2220" i="11"/>
  <c r="AA3492" i="11"/>
  <c r="AB3836" i="11"/>
  <c r="AB3572" i="11"/>
  <c r="AB2740" i="11"/>
  <c r="AA3268" i="11"/>
  <c r="AB3828" i="11"/>
  <c r="AA2564" i="11"/>
  <c r="AA3820" i="11"/>
  <c r="AB3300" i="11"/>
  <c r="AB2236" i="11"/>
  <c r="AA3636" i="11"/>
  <c r="AA2396" i="11"/>
  <c r="AA3868" i="11"/>
  <c r="AB3140" i="11"/>
  <c r="AA2532" i="11"/>
  <c r="AA2635" i="11"/>
  <c r="AA2340" i="11"/>
  <c r="AB3668" i="11"/>
  <c r="AA3364" i="11"/>
  <c r="AA3700" i="11"/>
  <c r="AB3396" i="11"/>
  <c r="AB2948" i="11"/>
  <c r="AB2916" i="11"/>
  <c r="AA3724" i="11"/>
  <c r="AB2436" i="11"/>
  <c r="AA3684" i="11"/>
  <c r="AB2388" i="11"/>
  <c r="AB3204" i="11"/>
  <c r="AB2883" i="11"/>
  <c r="AA2332" i="11"/>
  <c r="AB2772" i="11"/>
  <c r="AA2643" i="11"/>
  <c r="AA2300" i="11"/>
  <c r="AA3780" i="11"/>
  <c r="AA3524" i="11"/>
  <c r="AB2412" i="11"/>
  <c r="AB2564" i="11"/>
  <c r="AB3820" i="11"/>
  <c r="AA3300" i="11"/>
  <c r="AA2236" i="11"/>
  <c r="AB2396" i="11"/>
  <c r="AB3868" i="11"/>
  <c r="AB2532" i="11"/>
  <c r="AB2340" i="11"/>
  <c r="AB3364" i="11"/>
  <c r="AB3700" i="11"/>
  <c r="AB2612" i="11"/>
  <c r="AA3652" i="11"/>
  <c r="AA3188" i="11"/>
  <c r="AA2699" i="11"/>
  <c r="AA3476" i="11"/>
  <c r="AA2356" i="11"/>
  <c r="AA2715" i="11"/>
  <c r="AA2716" i="11"/>
  <c r="AA3764" i="11"/>
  <c r="AA3508" i="11"/>
  <c r="AB3187" i="11"/>
  <c r="AA3460" i="11"/>
  <c r="AA3139" i="11"/>
  <c r="AB2628" i="11"/>
  <c r="AA2772" i="11"/>
  <c r="AA2508" i="11"/>
  <c r="AB2300" i="11"/>
  <c r="AA2524" i="11"/>
  <c r="AB3780" i="11"/>
  <c r="AB3524" i="11"/>
  <c r="AA2412" i="11"/>
  <c r="AB3876" i="11"/>
  <c r="AA3339" i="11"/>
  <c r="AA2836" i="11"/>
  <c r="AA2707" i="11"/>
  <c r="AB3556" i="11"/>
  <c r="AA2596" i="11"/>
  <c r="AB2820" i="11"/>
  <c r="AB2996" i="11"/>
  <c r="AB2636" i="11"/>
  <c r="AB2276" i="11"/>
  <c r="AB3620" i="11"/>
  <c r="AA2308" i="11"/>
  <c r="AA3060" i="11"/>
  <c r="AB3652" i="11"/>
  <c r="AB3188" i="11"/>
  <c r="AB3476" i="11"/>
  <c r="AB2356" i="11"/>
  <c r="AB3764" i="11"/>
  <c r="AB3508" i="11"/>
  <c r="AB2676" i="11"/>
  <c r="AB3460" i="11"/>
  <c r="AB3139" i="11"/>
  <c r="AB3284" i="11"/>
  <c r="AA2428" i="11"/>
  <c r="AA2788" i="11"/>
  <c r="AB2588" i="11"/>
  <c r="AA2868" i="11"/>
  <c r="AB2324" i="11"/>
  <c r="AB3788" i="11"/>
  <c r="AA2692" i="11"/>
  <c r="AA3876" i="11"/>
  <c r="AB2331" i="11"/>
  <c r="AA3556" i="11"/>
  <c r="AB2596" i="11"/>
  <c r="AA2996" i="11"/>
  <c r="AA2636" i="11"/>
  <c r="AA2276" i="11"/>
  <c r="AB2724" i="11"/>
  <c r="AB2308" i="11"/>
  <c r="AB2540" i="11"/>
  <c r="AA2260" i="11"/>
  <c r="AB2420" i="11"/>
  <c r="AB3732" i="11"/>
  <c r="AB2644" i="11"/>
  <c r="AA3172" i="11"/>
  <c r="AA2228" i="11"/>
  <c r="AB2380" i="11"/>
  <c r="AB3844" i="11"/>
  <c r="AA3124" i="11"/>
  <c r="AA2252" i="11"/>
  <c r="AA3716" i="11"/>
  <c r="AA3012" i="11"/>
  <c r="AA3531" i="11"/>
  <c r="AA3284" i="11"/>
  <c r="AB2788" i="11"/>
  <c r="AA2588" i="11"/>
  <c r="AB2868" i="11"/>
  <c r="AA2324" i="11"/>
  <c r="AA3788" i="11"/>
  <c r="AB2692" i="11"/>
  <c r="AA3348" i="11"/>
  <c r="AA2500" i="11"/>
  <c r="AB2284" i="11"/>
  <c r="AB2659" i="11"/>
  <c r="AA2372" i="11"/>
  <c r="AA2244" i="11"/>
  <c r="AA3332" i="11"/>
  <c r="AB2484" i="11"/>
  <c r="AA2587" i="11"/>
  <c r="AA3044" i="11"/>
  <c r="AA2900" i="11"/>
  <c r="AA3028" i="11"/>
  <c r="AA2364" i="11"/>
  <c r="AB3108" i="11"/>
  <c r="AB2668" i="11"/>
  <c r="AA2540" i="11"/>
  <c r="AB2260" i="11"/>
  <c r="AA3732" i="11"/>
  <c r="AB3172" i="11"/>
  <c r="AB2228" i="11"/>
  <c r="AA2380" i="11"/>
  <c r="AA3844" i="11"/>
  <c r="AB3124" i="11"/>
  <c r="AB2252" i="11"/>
  <c r="AB3716" i="11"/>
  <c r="AB3012" i="11"/>
  <c r="AA3540" i="11"/>
  <c r="AB2708" i="11"/>
  <c r="AA3236" i="11"/>
  <c r="AA2980" i="11"/>
  <c r="AA3316" i="11"/>
  <c r="AB2684" i="11"/>
  <c r="AB3076" i="11"/>
  <c r="AB3348" i="11"/>
  <c r="AB2500" i="11"/>
  <c r="AA2284" i="11"/>
  <c r="AB2372" i="11"/>
  <c r="AA2932" i="11"/>
  <c r="AB2244" i="11"/>
  <c r="AB3332" i="11"/>
  <c r="AA2484" i="11"/>
  <c r="AB3044" i="11"/>
  <c r="AB2900" i="11"/>
  <c r="AB3028" i="11"/>
  <c r="AB2364" i="11"/>
  <c r="AA3108" i="11"/>
  <c r="AA2668" i="11"/>
  <c r="AA2884" i="11"/>
  <c r="AA2572" i="11"/>
  <c r="AA2700" i="11"/>
  <c r="AB3092" i="11"/>
  <c r="AA3428" i="11"/>
  <c r="AA2516" i="11"/>
  <c r="AB2675" i="11"/>
  <c r="AA2620" i="11"/>
  <c r="AB3796" i="11"/>
  <c r="AA2667" i="11"/>
  <c r="AA2204" i="11"/>
  <c r="AB3540" i="11"/>
  <c r="AA2708" i="11"/>
  <c r="AB3236" i="11"/>
  <c r="AB2980" i="11"/>
  <c r="AB3316" i="11"/>
  <c r="AA2460" i="11"/>
  <c r="AA2684" i="11"/>
  <c r="AA3076" i="11"/>
  <c r="AA2268" i="11"/>
  <c r="AA3604" i="11"/>
  <c r="AA2580" i="11"/>
  <c r="AB2660" i="11"/>
  <c r="AA3380" i="11"/>
  <c r="AA3860" i="11"/>
  <c r="AB2756" i="11"/>
  <c r="AA2852" i="11"/>
  <c r="AA3412" i="11"/>
  <c r="AA139" i="11"/>
  <c r="AB2652" i="11"/>
  <c r="AA3444" i="11"/>
  <c r="AA2316" i="11"/>
  <c r="AB2884" i="11"/>
  <c r="AB2556" i="11"/>
  <c r="AB2572" i="11"/>
  <c r="AB2700" i="11"/>
  <c r="AA3092" i="11"/>
  <c r="AB3428" i="11"/>
  <c r="AB2516" i="11"/>
  <c r="AB2804" i="11"/>
  <c r="AB3699" i="11"/>
  <c r="AB2620" i="11"/>
  <c r="AA3796" i="11"/>
  <c r="AB2667" i="11"/>
  <c r="AA2492" i="11"/>
  <c r="AB3812" i="11"/>
  <c r="AA3748" i="11"/>
  <c r="AA2220" i="11"/>
  <c r="AB3492" i="11"/>
  <c r="AA3836" i="11"/>
  <c r="AA3572" i="11"/>
  <c r="AA2740" i="11"/>
  <c r="AB3268" i="11"/>
  <c r="AB2691" i="11"/>
  <c r="AA3828" i="11"/>
  <c r="AB2268" i="11"/>
  <c r="AA2964" i="11"/>
  <c r="AB2580" i="11"/>
  <c r="AA2660" i="11"/>
  <c r="AB3380" i="11"/>
  <c r="AB3860" i="11"/>
  <c r="AA58" i="11"/>
  <c r="AA330" i="11"/>
  <c r="AA618" i="11"/>
  <c r="AA922" i="11"/>
  <c r="AA1210" i="11"/>
  <c r="AA1498" i="11"/>
  <c r="AB1978" i="11"/>
  <c r="AA2394" i="11"/>
  <c r="AB2754" i="11"/>
  <c r="AB3010" i="11"/>
  <c r="AB3266" i="11"/>
  <c r="AA3522" i="11"/>
  <c r="AB3778" i="11"/>
  <c r="AA149" i="11"/>
  <c r="AB661" i="11"/>
  <c r="AA917" i="11"/>
  <c r="AA1237" i="11"/>
  <c r="AB1493" i="11"/>
  <c r="AA307" i="11"/>
  <c r="AB1861" i="11"/>
  <c r="AA379" i="11"/>
  <c r="AA635" i="11"/>
  <c r="AB891" i="11"/>
  <c r="AB1035" i="11"/>
  <c r="AB1291" i="11"/>
  <c r="AB1547" i="11"/>
  <c r="AB1803" i="11"/>
  <c r="AA2059" i="11"/>
  <c r="AA2315" i="11"/>
  <c r="AA260" i="11"/>
  <c r="AA516" i="11"/>
  <c r="AA772" i="11"/>
  <c r="AB1028" i="11"/>
  <c r="AB1284" i="11"/>
  <c r="AA1540" i="11"/>
  <c r="AA210" i="11"/>
  <c r="AA506" i="11"/>
  <c r="AB802" i="11"/>
  <c r="AA1090" i="11"/>
  <c r="AA1378" i="11"/>
  <c r="AA1770" i="11"/>
  <c r="AA2258" i="11"/>
  <c r="AA2594" i="11"/>
  <c r="AB2906" i="11"/>
  <c r="AB3418" i="11"/>
  <c r="AB3674" i="11"/>
  <c r="AB45" i="11"/>
  <c r="AA301" i="11"/>
  <c r="AA557" i="11"/>
  <c r="AA813" i="11"/>
  <c r="AB1069" i="11"/>
  <c r="AA35" i="11"/>
  <c r="AB331" i="11"/>
  <c r="AA1885" i="11"/>
  <c r="AB467" i="11"/>
  <c r="AA723" i="11"/>
  <c r="AB979" i="11"/>
  <c r="AB1059" i="11"/>
  <c r="AA50" i="11"/>
  <c r="AA322" i="11"/>
  <c r="AA610" i="11"/>
  <c r="AA906" i="11"/>
  <c r="AB1202" i="11"/>
  <c r="AA1490" i="11"/>
  <c r="AA1962" i="11"/>
  <c r="AA2386" i="11"/>
  <c r="AA2746" i="11"/>
  <c r="AB3002" i="11"/>
  <c r="AB3258" i="11"/>
  <c r="AA3514" i="11"/>
  <c r="AA3770" i="11"/>
  <c r="AB141" i="11"/>
  <c r="AA397" i="11"/>
  <c r="AA653" i="11"/>
  <c r="AA909" i="11"/>
  <c r="AA1165" i="11"/>
  <c r="AB1421" i="11"/>
  <c r="AA235" i="11"/>
  <c r="AB1725" i="11"/>
  <c r="AB2045" i="11"/>
  <c r="AB499" i="11"/>
  <c r="AA755" i="11"/>
  <c r="AA1011" i="11"/>
  <c r="AB1091" i="11"/>
  <c r="AB1347" i="11"/>
  <c r="AB1603" i="11"/>
  <c r="AB1859" i="11"/>
  <c r="AB2115" i="11"/>
  <c r="AA60" i="11"/>
  <c r="AA316" i="11"/>
  <c r="AA572" i="11"/>
  <c r="AB1084" i="11"/>
  <c r="AB1340" i="11"/>
  <c r="AA1804" i="11"/>
  <c r="AA2060" i="11"/>
  <c r="AA1748" i="11"/>
  <c r="AB2004" i="11"/>
  <c r="AB130" i="11"/>
  <c r="AA418" i="11"/>
  <c r="AB706" i="11"/>
  <c r="AB994" i="11"/>
  <c r="AA1290" i="11"/>
  <c r="AA1610" i="11"/>
  <c r="AB2122" i="11"/>
  <c r="AB2482" i="11"/>
  <c r="AB2826" i="11"/>
  <c r="AB3082" i="11"/>
  <c r="AB3338" i="11"/>
  <c r="AA3594" i="11"/>
  <c r="AB3850" i="11"/>
  <c r="AA221" i="11"/>
  <c r="AB477" i="11"/>
  <c r="AA733" i="11"/>
  <c r="AA989" i="11"/>
  <c r="AB1245" i="11"/>
  <c r="AB251" i="11"/>
  <c r="AA1805" i="11"/>
  <c r="AB2061" i="11"/>
  <c r="AB515" i="11"/>
  <c r="AA771" i="11"/>
  <c r="AA2149" i="11"/>
  <c r="AA1171" i="11"/>
  <c r="AA1683" i="11"/>
  <c r="AA1939" i="11"/>
  <c r="AA2195" i="11"/>
  <c r="AA140" i="11"/>
  <c r="AA396" i="11"/>
  <c r="AB652" i="11"/>
  <c r="AB908" i="11"/>
  <c r="AB1164" i="11"/>
  <c r="AA1420" i="11"/>
  <c r="AB1692" i="11"/>
  <c r="AA1948" i="11"/>
  <c r="AA74" i="11"/>
  <c r="AA346" i="11"/>
  <c r="AA642" i="11"/>
  <c r="AA938" i="11"/>
  <c r="AA1226" i="11"/>
  <c r="AA1514" i="11"/>
  <c r="AA2010" i="11"/>
  <c r="AB2410" i="11"/>
  <c r="AA2770" i="11"/>
  <c r="AA3026" i="11"/>
  <c r="AA3282" i="11"/>
  <c r="AA3538" i="11"/>
  <c r="AA3794" i="11"/>
  <c r="AA165" i="11"/>
  <c r="AB421" i="11"/>
  <c r="AB933" i="11"/>
  <c r="AA1189" i="11"/>
  <c r="AB1445" i="11"/>
  <c r="AA187" i="11"/>
  <c r="AA2005" i="11"/>
  <c r="AB459" i="11"/>
  <c r="AA715" i="11"/>
  <c r="AA971" i="11"/>
  <c r="AB1051" i="11"/>
  <c r="AB1307" i="11"/>
  <c r="AA1563" i="11"/>
  <c r="AA1819" i="11"/>
  <c r="AB2075" i="11"/>
  <c r="AA20" i="11"/>
  <c r="AB276" i="11"/>
  <c r="AB532" i="11"/>
  <c r="AB788" i="11"/>
  <c r="AB1044" i="11"/>
  <c r="AA1300" i="11"/>
  <c r="AA1556" i="11"/>
  <c r="AB1828" i="11"/>
  <c r="AB2084" i="11"/>
  <c r="AB1443" i="11"/>
  <c r="AB1699" i="11"/>
  <c r="AB1955" i="11"/>
  <c r="AA2211" i="11"/>
  <c r="AB156" i="11"/>
  <c r="AA412" i="11"/>
  <c r="AA668" i="11"/>
  <c r="AA924" i="11"/>
  <c r="AB1180" i="11"/>
  <c r="AA1436" i="11"/>
  <c r="AB1708" i="11"/>
  <c r="AB1964" i="11"/>
  <c r="AB90" i="11"/>
  <c r="AB362" i="11"/>
  <c r="AB666" i="11"/>
  <c r="AA1242" i="11"/>
  <c r="AB1538" i="11"/>
  <c r="AA2042" i="11"/>
  <c r="AA2434" i="11"/>
  <c r="AA2786" i="11"/>
  <c r="AB3042" i="11"/>
  <c r="AB3298" i="11"/>
  <c r="AA3554" i="11"/>
  <c r="AB3810" i="11"/>
  <c r="AA181" i="11"/>
  <c r="AA437" i="11"/>
  <c r="AB693" i="11"/>
  <c r="AA949" i="11"/>
  <c r="AB1205" i="11"/>
  <c r="AB1461" i="11"/>
  <c r="AB211" i="11"/>
  <c r="AB1957" i="11"/>
  <c r="AA411" i="11"/>
  <c r="AB667" i="11"/>
  <c r="AA923" i="11"/>
  <c r="AB1131" i="11"/>
  <c r="AB1387" i="11"/>
  <c r="AB1643" i="11"/>
  <c r="AB1899" i="11"/>
  <c r="AA2155" i="11"/>
  <c r="AA100" i="11"/>
  <c r="AA356" i="11"/>
  <c r="AA612" i="11"/>
  <c r="AA868" i="11"/>
  <c r="AA1124" i="11"/>
  <c r="AA1380" i="11"/>
  <c r="AB1636" i="11"/>
  <c r="AB1908" i="11"/>
  <c r="AA2164" i="11"/>
  <c r="AB306" i="11"/>
  <c r="AA594" i="11"/>
  <c r="AA890" i="11"/>
  <c r="AB1186" i="11"/>
  <c r="AA1474" i="11"/>
  <c r="AB1930" i="11"/>
  <c r="AB2354" i="11"/>
  <c r="AA2730" i="11"/>
  <c r="AA3242" i="11"/>
  <c r="AB3498" i="11"/>
  <c r="AB3754" i="11"/>
  <c r="AA125" i="11"/>
  <c r="AB381" i="11"/>
  <c r="AA637" i="11"/>
  <c r="AA893" i="11"/>
  <c r="AA1405" i="11"/>
  <c r="AA131" i="11"/>
  <c r="AA1709" i="11"/>
  <c r="AB2093" i="11"/>
  <c r="AA547" i="11"/>
  <c r="AB803" i="11"/>
  <c r="AA2181" i="11"/>
  <c r="AA1267" i="11"/>
  <c r="AA1523" i="11"/>
  <c r="AA1779" i="11"/>
  <c r="AA2035" i="11"/>
  <c r="AB2291" i="11"/>
  <c r="AB236" i="11"/>
  <c r="AA492" i="11"/>
  <c r="AB1004" i="11"/>
  <c r="AA1260" i="11"/>
  <c r="AB1516" i="11"/>
  <c r="AB2044" i="11"/>
  <c r="AA106" i="11"/>
  <c r="AA386" i="11"/>
  <c r="AA682" i="11"/>
  <c r="AB970" i="11"/>
  <c r="AA1258" i="11"/>
  <c r="AB1562" i="11"/>
  <c r="AA2074" i="11"/>
  <c r="AA2458" i="11"/>
  <c r="AB2802" i="11"/>
  <c r="AB3058" i="11"/>
  <c r="AB3314" i="11"/>
  <c r="AB3570" i="11"/>
  <c r="AA3826" i="11"/>
  <c r="AA197" i="11"/>
  <c r="AB453" i="11"/>
  <c r="AB709" i="11"/>
  <c r="AA965" i="11"/>
  <c r="AA1221" i="11"/>
  <c r="AA1477" i="11"/>
  <c r="AB227" i="11"/>
  <c r="AB1717" i="11"/>
  <c r="AA2101" i="11"/>
  <c r="AA555" i="11"/>
  <c r="AB811" i="11"/>
  <c r="AA2189" i="11"/>
  <c r="AA1147" i="11"/>
  <c r="AB1403" i="11"/>
  <c r="AB1659" i="11"/>
  <c r="AA1915" i="11"/>
  <c r="AA2171" i="11"/>
  <c r="AA116" i="11"/>
  <c r="AB372" i="11"/>
  <c r="AB628" i="11"/>
  <c r="AA884" i="11"/>
  <c r="AB1140" i="11"/>
  <c r="AB1396" i="11"/>
  <c r="AA1652" i="11"/>
  <c r="AA1860" i="11"/>
  <c r="AA2116" i="11"/>
  <c r="AB58" i="11"/>
  <c r="AB330" i="11"/>
  <c r="AB618" i="11"/>
  <c r="AB922" i="11"/>
  <c r="AB1210" i="11"/>
  <c r="AB1498" i="11"/>
  <c r="AA122" i="11"/>
  <c r="AB410" i="11"/>
  <c r="AA698" i="11"/>
  <c r="AA986" i="11"/>
  <c r="AB1282" i="11"/>
  <c r="AA1594" i="11"/>
  <c r="AB2106" i="11"/>
  <c r="AA2474" i="11"/>
  <c r="AA2818" i="11"/>
  <c r="AA3074" i="11"/>
  <c r="AB3330" i="11"/>
  <c r="AA3586" i="11"/>
  <c r="AA213" i="11"/>
  <c r="AB469" i="11"/>
  <c r="AB725" i="11"/>
  <c r="AA1301" i="11"/>
  <c r="AB83" i="11"/>
  <c r="AA1605" i="11"/>
  <c r="AA1925" i="11"/>
  <c r="AB443" i="11"/>
  <c r="AA699" i="11"/>
  <c r="AB955" i="11"/>
  <c r="AB1099" i="11"/>
  <c r="AB1355" i="11"/>
  <c r="AB122" i="11"/>
  <c r="AA410" i="11"/>
  <c r="AB698" i="11"/>
  <c r="AB986" i="11"/>
  <c r="AA1282" i="11"/>
  <c r="AB1594" i="11"/>
  <c r="AA2106" i="11"/>
  <c r="AB2474" i="11"/>
  <c r="AB186" i="11"/>
  <c r="AA474" i="11"/>
  <c r="AA770" i="11"/>
  <c r="AB1066" i="11"/>
  <c r="AA1722" i="11"/>
  <c r="AA2218" i="11"/>
  <c r="AA2562" i="11"/>
  <c r="AA186" i="11"/>
  <c r="AB474" i="11"/>
  <c r="AB770" i="11"/>
  <c r="AA1066" i="11"/>
  <c r="AB1354" i="11"/>
  <c r="AB1722" i="11"/>
  <c r="AB258" i="11"/>
  <c r="AA554" i="11"/>
  <c r="AB842" i="11"/>
  <c r="AA1130" i="11"/>
  <c r="AA1434" i="11"/>
  <c r="AB554" i="11"/>
  <c r="AA842" i="11"/>
  <c r="AB1130" i="11"/>
  <c r="AB1434" i="11"/>
  <c r="AB1850" i="11"/>
  <c r="AA2306" i="11"/>
  <c r="AA1978" i="11"/>
  <c r="AA2754" i="11"/>
  <c r="AA3010" i="11"/>
  <c r="AB3522" i="11"/>
  <c r="AB149" i="11"/>
  <c r="AB405" i="11"/>
  <c r="AB917" i="11"/>
  <c r="AA1493" i="11"/>
  <c r="AB307" i="11"/>
  <c r="AA1861" i="11"/>
  <c r="AB379" i="11"/>
  <c r="AB635" i="11"/>
  <c r="AA891" i="11"/>
  <c r="AA1035" i="11"/>
  <c r="AA1291" i="11"/>
  <c r="AA1547" i="11"/>
  <c r="AA1803" i="11"/>
  <c r="AB516" i="11"/>
  <c r="AB772" i="11"/>
  <c r="AA1284" i="11"/>
  <c r="AB1540" i="11"/>
  <c r="AB210" i="11"/>
  <c r="AB506" i="11"/>
  <c r="AB1090" i="11"/>
  <c r="AB1378" i="11"/>
  <c r="AB2258" i="11"/>
  <c r="AB2594" i="11"/>
  <c r="AA2906" i="11"/>
  <c r="AA3418" i="11"/>
  <c r="AA3674" i="11"/>
  <c r="AA45" i="11"/>
  <c r="AA1069" i="11"/>
  <c r="AB35" i="11"/>
  <c r="AA467" i="11"/>
  <c r="AB723" i="11"/>
  <c r="AA1059" i="11"/>
  <c r="AB322" i="11"/>
  <c r="AB906" i="11"/>
  <c r="AA1202" i="11"/>
  <c r="AB1962" i="11"/>
  <c r="AB2746" i="11"/>
  <c r="AA3258" i="11"/>
  <c r="AB3514" i="11"/>
  <c r="AB653" i="11"/>
  <c r="AB909" i="11"/>
  <c r="AB235" i="11"/>
  <c r="AA2045" i="11"/>
  <c r="AA499" i="11"/>
  <c r="AB755" i="11"/>
  <c r="AB1011" i="11"/>
  <c r="AA1091" i="11"/>
  <c r="AA1347" i="11"/>
  <c r="AA1603" i="11"/>
  <c r="AA2115" i="11"/>
  <c r="AB60" i="11"/>
  <c r="AB316" i="11"/>
  <c r="AB572" i="11"/>
  <c r="AB828" i="11"/>
  <c r="AA1084" i="11"/>
  <c r="AB2060" i="11"/>
  <c r="AA130" i="11"/>
  <c r="AB418" i="11"/>
  <c r="AA994" i="11"/>
  <c r="AB1610" i="11"/>
  <c r="AA2122" i="11"/>
  <c r="AA2482" i="11"/>
  <c r="AA3082" i="11"/>
  <c r="AA3338" i="11"/>
  <c r="AB3594" i="11"/>
  <c r="AA3850" i="11"/>
  <c r="AA477" i="11"/>
  <c r="AA2061" i="11"/>
  <c r="AA515" i="11"/>
  <c r="AB771" i="11"/>
  <c r="AB2149" i="11"/>
  <c r="AB1171" i="11"/>
  <c r="AB1427" i="11"/>
  <c r="AB1683" i="11"/>
  <c r="AB1939" i="11"/>
  <c r="AB2195" i="11"/>
  <c r="AB140" i="11"/>
  <c r="AB396" i="11"/>
  <c r="AA908" i="11"/>
  <c r="AA1164" i="11"/>
  <c r="AB1420" i="11"/>
  <c r="AA1692" i="11"/>
  <c r="AB74" i="11"/>
  <c r="AB642" i="11"/>
  <c r="AB938" i="11"/>
  <c r="AB1514" i="11"/>
  <c r="AA2410" i="11"/>
  <c r="AB2770" i="11"/>
  <c r="AB3538" i="11"/>
  <c r="AA933" i="11"/>
  <c r="AB187" i="11"/>
  <c r="AB2005" i="11"/>
  <c r="AA459" i="11"/>
  <c r="AB715" i="11"/>
  <c r="AB971" i="11"/>
  <c r="AA1051" i="11"/>
  <c r="AA1307" i="11"/>
  <c r="AB1819" i="11"/>
  <c r="AA2075" i="11"/>
  <c r="AB20" i="11"/>
  <c r="AA276" i="11"/>
  <c r="AA532" i="11"/>
  <c r="AA1044" i="11"/>
  <c r="AB1300" i="11"/>
  <c r="AA1828" i="11"/>
  <c r="AA2084" i="11"/>
  <c r="AA1443" i="11"/>
  <c r="AA1699" i="11"/>
  <c r="AA1955" i="11"/>
  <c r="AB2211" i="11"/>
  <c r="AA156" i="11"/>
  <c r="AB412" i="11"/>
  <c r="AB924" i="11"/>
  <c r="AB1436" i="11"/>
  <c r="AA90" i="11"/>
  <c r="AB2042" i="11"/>
  <c r="AB2434" i="11"/>
  <c r="AB2786" i="11"/>
  <c r="AA3042" i="11"/>
  <c r="AA3298" i="11"/>
  <c r="AB181" i="11"/>
  <c r="AB437" i="11"/>
  <c r="AB949" i="11"/>
  <c r="AA211" i="11"/>
  <c r="AB411" i="11"/>
  <c r="AA667" i="11"/>
  <c r="AB923" i="11"/>
  <c r="AA1131" i="11"/>
  <c r="AA1387" i="11"/>
  <c r="AA1643" i="11"/>
  <c r="AA1899" i="11"/>
  <c r="AB100" i="11"/>
  <c r="AB356" i="11"/>
  <c r="AB612" i="11"/>
  <c r="AB868" i="11"/>
  <c r="AB1124" i="11"/>
  <c r="AB1380" i="11"/>
  <c r="AA1636" i="11"/>
  <c r="AA1908" i="11"/>
  <c r="AB2164" i="11"/>
  <c r="AA306" i="11"/>
  <c r="AB594" i="11"/>
  <c r="AB890" i="11"/>
  <c r="AA1186" i="11"/>
  <c r="AA2354" i="11"/>
  <c r="AB2730" i="11"/>
  <c r="AA2986" i="11"/>
  <c r="AA3498" i="11"/>
  <c r="AA3754" i="11"/>
  <c r="AB637" i="11"/>
  <c r="AB1149" i="11"/>
  <c r="AB131" i="11"/>
  <c r="AA2093" i="11"/>
  <c r="AB547" i="11"/>
  <c r="AA803" i="11"/>
  <c r="AB2181" i="11"/>
  <c r="AB1267" i="11"/>
  <c r="AB1779" i="11"/>
  <c r="AA2291" i="11"/>
  <c r="AA236" i="11"/>
  <c r="AB748" i="11"/>
  <c r="AA1004" i="11"/>
  <c r="AB1260" i="11"/>
  <c r="AA1516" i="11"/>
  <c r="AA2044" i="11"/>
  <c r="AB106" i="11"/>
  <c r="AB386" i="11"/>
  <c r="AA1562" i="11"/>
  <c r="AB2458" i="11"/>
  <c r="AA2802" i="11"/>
  <c r="AA3058" i="11"/>
  <c r="AA3314" i="11"/>
  <c r="AA3570" i="11"/>
  <c r="AB3826" i="11"/>
  <c r="AB197" i="11"/>
  <c r="AA453" i="11"/>
  <c r="AB1477" i="11"/>
  <c r="AA227" i="11"/>
  <c r="AB2101" i="11"/>
  <c r="AB555" i="11"/>
  <c r="AA811" i="11"/>
  <c r="AB1147" i="11"/>
  <c r="AA1403" i="11"/>
  <c r="AA1659" i="11"/>
  <c r="AB1915" i="11"/>
  <c r="AB2171" i="11"/>
  <c r="AB116" i="11"/>
  <c r="AA628" i="11"/>
  <c r="AB884" i="11"/>
  <c r="AA1140" i="11"/>
  <c r="AA1396" i="11"/>
  <c r="AB1860" i="11"/>
  <c r="AB2116" i="11"/>
  <c r="AB1611" i="11"/>
  <c r="AA1867" i="11"/>
  <c r="AA2123" i="11"/>
  <c r="AB68" i="11"/>
  <c r="AA324" i="11"/>
  <c r="AA580" i="11"/>
  <c r="AB836" i="11"/>
  <c r="AA1092" i="11"/>
  <c r="AA1604" i="11"/>
  <c r="AA866" i="11"/>
  <c r="AB1458" i="11"/>
  <c r="AB1898" i="11"/>
  <c r="AB2698" i="11"/>
  <c r="AA2970" i="11"/>
  <c r="AA3738" i="11"/>
  <c r="AB109" i="11"/>
  <c r="AB365" i="11"/>
  <c r="AB877" i="11"/>
  <c r="AB1133" i="11"/>
  <c r="AA115" i="11"/>
  <c r="AB2077" i="11"/>
  <c r="AB531" i="11"/>
  <c r="AA787" i="11"/>
  <c r="AB2165" i="11"/>
  <c r="AA1123" i="11"/>
  <c r="AB114" i="11"/>
  <c r="AB394" i="11"/>
  <c r="AB978" i="11"/>
  <c r="AA1274" i="11"/>
  <c r="AA2090" i="11"/>
  <c r="AA2466" i="11"/>
  <c r="AA3322" i="11"/>
  <c r="AB3578" i="11"/>
  <c r="AA3834" i="11"/>
  <c r="AA461" i="11"/>
  <c r="AB717" i="11"/>
  <c r="AB1485" i="11"/>
  <c r="AA299" i="11"/>
  <c r="AA2109" i="11"/>
  <c r="AB563" i="11"/>
  <c r="AB819" i="11"/>
  <c r="AB3773" i="11"/>
  <c r="AB1155" i="11"/>
  <c r="AA1411" i="11"/>
  <c r="AA1667" i="11"/>
  <c r="AB1923" i="11"/>
  <c r="AA2179" i="11"/>
  <c r="AB124" i="11"/>
  <c r="AA380" i="11"/>
  <c r="AB636" i="11"/>
  <c r="AB1148" i="11"/>
  <c r="AB1404" i="11"/>
  <c r="AA1660" i="11"/>
  <c r="AA2124" i="11"/>
  <c r="AA1812" i="11"/>
  <c r="AA2068" i="11"/>
  <c r="AB194" i="11"/>
  <c r="AA482" i="11"/>
  <c r="AA1074" i="11"/>
  <c r="AA1362" i="11"/>
  <c r="AA2226" i="11"/>
  <c r="AA2578" i="11"/>
  <c r="AA2890" i="11"/>
  <c r="AA3146" i="11"/>
  <c r="AA3402" i="11"/>
  <c r="AA3658" i="11"/>
  <c r="AA29" i="11"/>
  <c r="AA797" i="11"/>
  <c r="AA1053" i="11"/>
  <c r="AA1309" i="11"/>
  <c r="AA1565" i="11"/>
  <c r="AA315" i="11"/>
  <c r="AA2125" i="11"/>
  <c r="AB579" i="11"/>
  <c r="AB835" i="11"/>
  <c r="AB3853" i="11"/>
  <c r="AB1235" i="11"/>
  <c r="AB1491" i="11"/>
  <c r="AB1747" i="11"/>
  <c r="AA2259" i="11"/>
  <c r="AA204" i="11"/>
  <c r="AB460" i="11"/>
  <c r="AB716" i="11"/>
  <c r="AA1228" i="11"/>
  <c r="AA1484" i="11"/>
  <c r="AA1756" i="11"/>
  <c r="AA2012" i="11"/>
  <c r="AA138" i="11"/>
  <c r="AB714" i="11"/>
  <c r="AB1306" i="11"/>
  <c r="AA1626" i="11"/>
  <c r="AB2138" i="11"/>
  <c r="AB2498" i="11"/>
  <c r="AA3090" i="11"/>
  <c r="AA3346" i="11"/>
  <c r="AA3602" i="11"/>
  <c r="AA3858" i="11"/>
  <c r="AA485" i="11"/>
  <c r="AA259" i="11"/>
  <c r="AA523" i="11"/>
  <c r="AA779" i="11"/>
  <c r="AB2157" i="11"/>
  <c r="AA1115" i="11"/>
  <c r="AA1371" i="11"/>
  <c r="AA1627" i="11"/>
  <c r="AB1883" i="11"/>
  <c r="AB2139" i="11"/>
  <c r="AB340" i="11"/>
  <c r="AB596" i="11"/>
  <c r="AB852" i="11"/>
  <c r="AB1620" i="11"/>
  <c r="AA1892" i="11"/>
  <c r="AB2148" i="11"/>
  <c r="AB1507" i="11"/>
  <c r="AB1763" i="11"/>
  <c r="AA220" i="11"/>
  <c r="AB476" i="11"/>
  <c r="AA732" i="11"/>
  <c r="AA1244" i="11"/>
  <c r="AA1500" i="11"/>
  <c r="AA154" i="11"/>
  <c r="AB442" i="11"/>
  <c r="AA1322" i="11"/>
  <c r="AB1658" i="11"/>
  <c r="AB2170" i="11"/>
  <c r="AA2522" i="11"/>
  <c r="AB2850" i="11"/>
  <c r="AB3362" i="11"/>
  <c r="AA3618" i="11"/>
  <c r="AA501" i="11"/>
  <c r="AB1269" i="11"/>
  <c r="AB1525" i="11"/>
  <c r="AB275" i="11"/>
  <c r="AA475" i="11"/>
  <c r="AA731" i="11"/>
  <c r="AA987" i="11"/>
  <c r="AA1195" i="11"/>
  <c r="AA1451" i="11"/>
  <c r="AB1707" i="11"/>
  <c r="AB1963" i="11"/>
  <c r="AB164" i="11"/>
  <c r="AA420" i="11"/>
  <c r="AB932" i="11"/>
  <c r="AA1188" i="11"/>
  <c r="AB1444" i="11"/>
  <c r="AA1716" i="11"/>
  <c r="AB1972" i="11"/>
  <c r="AB98" i="11"/>
  <c r="AA674" i="11"/>
  <c r="AA1250" i="11"/>
  <c r="AB1546" i="11"/>
  <c r="AB2058" i="11"/>
  <c r="AA2450" i="11"/>
  <c r="AA2794" i="11"/>
  <c r="AA3050" i="11"/>
  <c r="AA3306" i="11"/>
  <c r="AB3562" i="11"/>
  <c r="AA3818" i="11"/>
  <c r="AA445" i="11"/>
  <c r="AA957" i="11"/>
  <c r="AA1213" i="11"/>
  <c r="AA1469" i="11"/>
  <c r="AA355" i="11"/>
  <c r="AA611" i="11"/>
  <c r="AB867" i="11"/>
  <c r="AA1075" i="11"/>
  <c r="AA1331" i="11"/>
  <c r="AA1587" i="11"/>
  <c r="AB44" i="11"/>
  <c r="AB300" i="11"/>
  <c r="AA1068" i="11"/>
  <c r="AA1324" i="11"/>
  <c r="AB1580" i="11"/>
  <c r="AB2108" i="11"/>
  <c r="AA170" i="11"/>
  <c r="AA746" i="11"/>
  <c r="AA1338" i="11"/>
  <c r="AA2202" i="11"/>
  <c r="AB2538" i="11"/>
  <c r="AB2866" i="11"/>
  <c r="AA3378" i="11"/>
  <c r="AB3634" i="11"/>
  <c r="AB5" i="11"/>
  <c r="AB261" i="11"/>
  <c r="AB1285" i="11"/>
  <c r="AA291" i="11"/>
  <c r="AA363" i="11"/>
  <c r="AB619" i="11"/>
  <c r="AA875" i="11"/>
  <c r="AB3829" i="11"/>
  <c r="AB1467" i="11"/>
  <c r="AA1979" i="11"/>
  <c r="AB2235" i="11"/>
  <c r="AA180" i="11"/>
  <c r="AA436" i="11"/>
  <c r="AB948" i="11"/>
  <c r="AB1204" i="11"/>
  <c r="AB1460" i="11"/>
  <c r="AA1668" i="11"/>
  <c r="AA1924" i="11"/>
  <c r="AA2180" i="11"/>
  <c r="AB2818" i="11"/>
  <c r="AB3074" i="11"/>
  <c r="AB3586" i="11"/>
  <c r="AB213" i="11"/>
  <c r="AA469" i="11"/>
  <c r="AA443" i="11"/>
  <c r="AB699" i="11"/>
  <c r="AA1099" i="11"/>
  <c r="AA1355" i="11"/>
  <c r="AA1611" i="11"/>
  <c r="AB1867" i="11"/>
  <c r="AB2123" i="11"/>
  <c r="AA68" i="11"/>
  <c r="AB324" i="11"/>
  <c r="AB580" i="11"/>
  <c r="AA836" i="11"/>
  <c r="AB1092" i="11"/>
  <c r="AB1348" i="11"/>
  <c r="AB1604" i="11"/>
  <c r="AB866" i="11"/>
  <c r="AA1898" i="11"/>
  <c r="AB2338" i="11"/>
  <c r="AA2698" i="11"/>
  <c r="AA3482" i="11"/>
  <c r="AB3738" i="11"/>
  <c r="AA109" i="11"/>
  <c r="AA877" i="11"/>
  <c r="AA1133" i="11"/>
  <c r="AB115" i="11"/>
  <c r="AB1629" i="11"/>
  <c r="AA2077" i="11"/>
  <c r="AA531" i="11"/>
  <c r="AA2165" i="11"/>
  <c r="AB1123" i="11"/>
  <c r="AA114" i="11"/>
  <c r="AA394" i="11"/>
  <c r="AA978" i="11"/>
  <c r="AB1578" i="11"/>
  <c r="AB2090" i="11"/>
  <c r="AB2810" i="11"/>
  <c r="AA3066" i="11"/>
  <c r="AB3834" i="11"/>
  <c r="AB461" i="11"/>
  <c r="AA1485" i="11"/>
  <c r="AB299" i="11"/>
  <c r="AB2109" i="11"/>
  <c r="AA563" i="11"/>
  <c r="AA819" i="11"/>
  <c r="AA3773" i="11"/>
  <c r="AA1155" i="11"/>
  <c r="AB1411" i="11"/>
  <c r="AB1667" i="11"/>
  <c r="AA1923" i="11"/>
  <c r="AB2179" i="11"/>
  <c r="AA124" i="11"/>
  <c r="AA636" i="11"/>
  <c r="AA892" i="11"/>
  <c r="AA1148" i="11"/>
  <c r="AA1404" i="11"/>
  <c r="AB1660" i="11"/>
  <c r="AB2124" i="11"/>
  <c r="AB1812" i="11"/>
  <c r="AA194" i="11"/>
  <c r="AB482" i="11"/>
  <c r="AB1362" i="11"/>
  <c r="AA1738" i="11"/>
  <c r="AB2226" i="11"/>
  <c r="AB2578" i="11"/>
  <c r="AB2890" i="11"/>
  <c r="AB3658" i="11"/>
  <c r="AB29" i="11"/>
  <c r="AB315" i="11"/>
  <c r="AB2125" i="11"/>
  <c r="AA579" i="11"/>
  <c r="AA835" i="11"/>
  <c r="AA3853" i="11"/>
  <c r="AA1235" i="11"/>
  <c r="AA1491" i="11"/>
  <c r="AA1747" i="11"/>
  <c r="AB204" i="11"/>
  <c r="AA716" i="11"/>
  <c r="AB972" i="11"/>
  <c r="AB1228" i="11"/>
  <c r="AB1484" i="11"/>
  <c r="AB2012" i="11"/>
  <c r="AB138" i="11"/>
  <c r="AB426" i="11"/>
  <c r="AA1306" i="11"/>
  <c r="AA2138" i="11"/>
  <c r="AA2498" i="11"/>
  <c r="AB3090" i="11"/>
  <c r="AB3346" i="11"/>
  <c r="AB485" i="11"/>
  <c r="AB259" i="11"/>
  <c r="AB2069" i="11"/>
  <c r="AB523" i="11"/>
  <c r="AA2157" i="11"/>
  <c r="AB1115" i="11"/>
  <c r="AB1371" i="11"/>
  <c r="AB1627" i="11"/>
  <c r="AA1883" i="11"/>
  <c r="AA2139" i="11"/>
  <c r="AB84" i="11"/>
  <c r="AA340" i="11"/>
  <c r="AA596" i="11"/>
  <c r="AA852" i="11"/>
  <c r="AB1108" i="11"/>
  <c r="AA1364" i="11"/>
  <c r="AB1892" i="11"/>
  <c r="AA2148" i="11"/>
  <c r="AA1507" i="11"/>
  <c r="AA1763" i="11"/>
  <c r="AB220" i="11"/>
  <c r="AA476" i="11"/>
  <c r="AA988" i="11"/>
  <c r="AB1244" i="11"/>
  <c r="AB1500" i="11"/>
  <c r="AB154" i="11"/>
  <c r="AA442" i="11"/>
  <c r="AA1026" i="11"/>
  <c r="AA1658" i="11"/>
  <c r="AA2170" i="11"/>
  <c r="AB2522" i="11"/>
  <c r="AA2850" i="11"/>
  <c r="AB3106" i="11"/>
  <c r="AB3618" i="11"/>
  <c r="AB501" i="11"/>
  <c r="AA1525" i="11"/>
  <c r="AA275" i="11"/>
  <c r="AB2021" i="11"/>
  <c r="AB475" i="11"/>
  <c r="AB731" i="11"/>
  <c r="AB987" i="11"/>
  <c r="AB1195" i="11"/>
  <c r="AB1451" i="11"/>
  <c r="AA1707" i="11"/>
  <c r="AA1963" i="11"/>
  <c r="AA164" i="11"/>
  <c r="AB420" i="11"/>
  <c r="AB676" i="11"/>
  <c r="AA932" i="11"/>
  <c r="AA1444" i="11"/>
  <c r="AB1716" i="11"/>
  <c r="AA1972" i="11"/>
  <c r="AA98" i="11"/>
  <c r="AB962" i="11"/>
  <c r="AA1546" i="11"/>
  <c r="AA2058" i="11"/>
  <c r="AB2450" i="11"/>
  <c r="AB2794" i="11"/>
  <c r="AB3050" i="11"/>
  <c r="AB189" i="11"/>
  <c r="AB1213" i="11"/>
  <c r="AA219" i="11"/>
  <c r="AB355" i="11"/>
  <c r="AB611" i="11"/>
  <c r="AA867" i="11"/>
  <c r="AB1075" i="11"/>
  <c r="AB1331" i="11"/>
  <c r="AB1587" i="11"/>
  <c r="AA1843" i="11"/>
  <c r="AA44" i="11"/>
  <c r="AA300" i="11"/>
  <c r="AB812" i="11"/>
  <c r="AB1068" i="11"/>
  <c r="AB1324" i="11"/>
  <c r="AA1580" i="11"/>
  <c r="AA1852" i="11"/>
  <c r="AA2108" i="11"/>
  <c r="AB170" i="11"/>
  <c r="AB458" i="11"/>
  <c r="AB1690" i="11"/>
  <c r="AB2202" i="11"/>
  <c r="AA2538" i="11"/>
  <c r="AA3634" i="11"/>
  <c r="AA5" i="11"/>
  <c r="AA261" i="11"/>
  <c r="AB517" i="11"/>
  <c r="AA1029" i="11"/>
  <c r="AB1541" i="11"/>
  <c r="AB363" i="11"/>
  <c r="AA619" i="11"/>
  <c r="AB875" i="11"/>
  <c r="AA3829" i="11"/>
  <c r="AB1211" i="11"/>
  <c r="AA1723" i="11"/>
  <c r="AB1979" i="11"/>
  <c r="AA2235" i="11"/>
  <c r="AB180" i="11"/>
  <c r="AB436" i="11"/>
  <c r="AB692" i="11"/>
  <c r="AA948" i="11"/>
  <c r="AA1204" i="11"/>
  <c r="AA1460" i="11"/>
  <c r="AB1668" i="11"/>
  <c r="AB1924" i="11"/>
  <c r="AB2180" i="11"/>
  <c r="AA3138" i="11"/>
  <c r="AB3650" i="11"/>
  <c r="AA21" i="11"/>
  <c r="AB1109" i="11"/>
  <c r="AB1365" i="11"/>
  <c r="AB171" i="11"/>
  <c r="AA507" i="11"/>
  <c r="AB763" i="11"/>
  <c r="AA2141" i="11"/>
  <c r="AB1163" i="11"/>
  <c r="AB1419" i="11"/>
  <c r="AA1675" i="11"/>
  <c r="AB1931" i="11"/>
  <c r="AA2187" i="11"/>
  <c r="AA132" i="11"/>
  <c r="AB388" i="11"/>
  <c r="AB644" i="11"/>
  <c r="AA900" i="11"/>
  <c r="AB1156" i="11"/>
  <c r="AA1412" i="11"/>
  <c r="AA354" i="11"/>
  <c r="AA946" i="11"/>
  <c r="AB1530" i="11"/>
  <c r="AB2026" i="11"/>
  <c r="AA2418" i="11"/>
  <c r="AA2778" i="11"/>
  <c r="AA3290" i="11"/>
  <c r="AA3546" i="11"/>
  <c r="AA3802" i="11"/>
  <c r="AA429" i="11"/>
  <c r="AA941" i="11"/>
  <c r="AA195" i="11"/>
  <c r="AB339" i="11"/>
  <c r="AB595" i="11"/>
  <c r="AA851" i="11"/>
  <c r="AA3805" i="11"/>
  <c r="AA1187" i="11"/>
  <c r="AA178" i="11"/>
  <c r="AB1058" i="11"/>
  <c r="AB1346" i="11"/>
  <c r="AA2210" i="11"/>
  <c r="AA2546" i="11"/>
  <c r="AA2874" i="11"/>
  <c r="AA3386" i="11"/>
  <c r="AA3642" i="11"/>
  <c r="AA13" i="11"/>
  <c r="AB67" i="11"/>
  <c r="AA1597" i="11"/>
  <c r="AB1853" i="11"/>
  <c r="AB371" i="11"/>
  <c r="AB627" i="11"/>
  <c r="AA883" i="11"/>
  <c r="AA3837" i="11"/>
  <c r="AA1219" i="11"/>
  <c r="AA1475" i="11"/>
  <c r="AA1731" i="11"/>
  <c r="AA1987" i="11"/>
  <c r="AB188" i="11"/>
  <c r="AB444" i="11"/>
  <c r="AA700" i="11"/>
  <c r="AB956" i="11"/>
  <c r="AA1212" i="11"/>
  <c r="AB1468" i="11"/>
  <c r="AA1676" i="11"/>
  <c r="AA1932" i="11"/>
  <c r="AA2188" i="11"/>
  <c r="AB1876" i="11"/>
  <c r="AB562" i="11"/>
  <c r="AA850" i="11"/>
  <c r="AA1146" i="11"/>
  <c r="AA1442" i="11"/>
  <c r="AA2322" i="11"/>
  <c r="AB2666" i="11"/>
  <c r="AA3210" i="11"/>
  <c r="AA3466" i="11"/>
  <c r="AA3722" i="11"/>
  <c r="AA93" i="11"/>
  <c r="AA349" i="11"/>
  <c r="AB861" i="11"/>
  <c r="AA1117" i="11"/>
  <c r="AB99" i="11"/>
  <c r="AB387" i="11"/>
  <c r="AB643" i="11"/>
  <c r="AA899" i="11"/>
  <c r="AB1043" i="11"/>
  <c r="AB1299" i="11"/>
  <c r="AA1555" i="11"/>
  <c r="AB1811" i="11"/>
  <c r="AA2196" i="11"/>
  <c r="AA268" i="11"/>
  <c r="AB1036" i="11"/>
  <c r="AB1292" i="11"/>
  <c r="AB1548" i="11"/>
  <c r="AA2076" i="11"/>
  <c r="AA202" i="11"/>
  <c r="AA1082" i="11"/>
  <c r="AB2586" i="11"/>
  <c r="AA2898" i="11"/>
  <c r="AA3666" i="11"/>
  <c r="AB37" i="11"/>
  <c r="AB1061" i="11"/>
  <c r="AB19" i="11"/>
  <c r="AA323" i="11"/>
  <c r="AB2133" i="11"/>
  <c r="AA843" i="11"/>
  <c r="AA3797" i="11"/>
  <c r="AB1179" i="11"/>
  <c r="AA1435" i="11"/>
  <c r="AA1691" i="11"/>
  <c r="AA1947" i="11"/>
  <c r="AB2203" i="11"/>
  <c r="AB148" i="11"/>
  <c r="AB404" i="11"/>
  <c r="AB660" i="11"/>
  <c r="AA916" i="11"/>
  <c r="AB1172" i="11"/>
  <c r="AB1700" i="11"/>
  <c r="AB1315" i="11"/>
  <c r="AA1571" i="11"/>
  <c r="AB1827" i="11"/>
  <c r="AA2083" i="11"/>
  <c r="AA28" i="11"/>
  <c r="AA284" i="11"/>
  <c r="AB540" i="11"/>
  <c r="AB796" i="11"/>
  <c r="AA1052" i="11"/>
  <c r="AA1308" i="11"/>
  <c r="AA1564" i="11"/>
  <c r="AA2092" i="11"/>
  <c r="AB514" i="11"/>
  <c r="AA1098" i="11"/>
  <c r="AB1786" i="11"/>
  <c r="AA2266" i="11"/>
  <c r="AA3170" i="11"/>
  <c r="AB3426" i="11"/>
  <c r="AA3682" i="11"/>
  <c r="AB53" i="11"/>
  <c r="AA1077" i="11"/>
  <c r="AB43" i="11"/>
  <c r="AA539" i="11"/>
  <c r="AB795" i="11"/>
  <c r="AA2173" i="11"/>
  <c r="AB1259" i="11"/>
  <c r="AA1515" i="11"/>
  <c r="AB1771" i="11"/>
  <c r="AB2027" i="11"/>
  <c r="AB2283" i="11"/>
  <c r="AA228" i="11"/>
  <c r="AA740" i="11"/>
  <c r="AA1252" i="11"/>
  <c r="AB1508" i="11"/>
  <c r="AB2036" i="11"/>
  <c r="AB162" i="11"/>
  <c r="AB450" i="11"/>
  <c r="AB2530" i="11"/>
  <c r="AA2858" i="11"/>
  <c r="AA3370" i="11"/>
  <c r="AA3626" i="11"/>
  <c r="AA765" i="11"/>
  <c r="AA283" i="11"/>
  <c r="AA419" i="11"/>
  <c r="AB675" i="11"/>
  <c r="AB931" i="11"/>
  <c r="AA1139" i="11"/>
  <c r="AA1395" i="11"/>
  <c r="AA1907" i="11"/>
  <c r="AB2163" i="11"/>
  <c r="AA364" i="11"/>
  <c r="AB620" i="11"/>
  <c r="AA876" i="11"/>
  <c r="AA1132" i="11"/>
  <c r="AB1388" i="11"/>
  <c r="AA1644" i="11"/>
  <c r="AA826" i="11"/>
  <c r="AA1114" i="11"/>
  <c r="AB1818" i="11"/>
  <c r="AA2282" i="11"/>
  <c r="AA2626" i="11"/>
  <c r="AA2930" i="11"/>
  <c r="AB3186" i="11"/>
  <c r="AA69" i="11"/>
  <c r="AB325" i="11"/>
  <c r="AB1093" i="11"/>
  <c r="AA59" i="11"/>
  <c r="AA1589" i="11"/>
  <c r="AB427" i="11"/>
  <c r="AB683" i="11"/>
  <c r="AA939" i="11"/>
  <c r="AB1019" i="11"/>
  <c r="AB1275" i="11"/>
  <c r="AA1531" i="11"/>
  <c r="AA1787" i="11"/>
  <c r="AA2043" i="11"/>
  <c r="AB2299" i="11"/>
  <c r="AB244" i="11"/>
  <c r="AA756" i="11"/>
  <c r="AB1524" i="11"/>
  <c r="AA1988" i="11"/>
  <c r="AB2218" i="11"/>
  <c r="AB2562" i="11"/>
  <c r="AB3138" i="11"/>
  <c r="AB3394" i="11"/>
  <c r="AA3650" i="11"/>
  <c r="AB21" i="11"/>
  <c r="AB277" i="11"/>
  <c r="AA1109" i="11"/>
  <c r="AA2053" i="11"/>
  <c r="AB507" i="11"/>
  <c r="AA763" i="11"/>
  <c r="AB2141" i="11"/>
  <c r="AA1163" i="11"/>
  <c r="AA1419" i="11"/>
  <c r="AB1675" i="11"/>
  <c r="AA1931" i="11"/>
  <c r="AB132" i="11"/>
  <c r="AA388" i="11"/>
  <c r="AB900" i="11"/>
  <c r="AA1156" i="11"/>
  <c r="AB1412" i="11"/>
  <c r="AA82" i="11"/>
  <c r="AB354" i="11"/>
  <c r="AA1530" i="11"/>
  <c r="AB2418" i="11"/>
  <c r="AB2778" i="11"/>
  <c r="AB3034" i="11"/>
  <c r="AB3802" i="11"/>
  <c r="AB941" i="11"/>
  <c r="AA339" i="11"/>
  <c r="AB851" i="11"/>
  <c r="AB3805" i="11"/>
  <c r="AB1187" i="11"/>
  <c r="AB178" i="11"/>
  <c r="AB2546" i="11"/>
  <c r="AB2874" i="11"/>
  <c r="AB3386" i="11"/>
  <c r="AB13" i="11"/>
  <c r="AA525" i="11"/>
  <c r="AB1293" i="11"/>
  <c r="AA67" i="11"/>
  <c r="AA371" i="11"/>
  <c r="AA627" i="11"/>
  <c r="AB883" i="11"/>
  <c r="AB3837" i="11"/>
  <c r="AB1219" i="11"/>
  <c r="AB1475" i="11"/>
  <c r="AB1731" i="11"/>
  <c r="AB1987" i="11"/>
  <c r="AA2243" i="11"/>
  <c r="AA188" i="11"/>
  <c r="AA444" i="11"/>
  <c r="AB700" i="11"/>
  <c r="AA956" i="11"/>
  <c r="AB1212" i="11"/>
  <c r="AA1468" i="11"/>
  <c r="AB2188" i="11"/>
  <c r="AB2132" i="11"/>
  <c r="AB1146" i="11"/>
  <c r="AA1866" i="11"/>
  <c r="AB2322" i="11"/>
  <c r="AA2666" i="11"/>
  <c r="AB3466" i="11"/>
  <c r="AB3722" i="11"/>
  <c r="AB349" i="11"/>
  <c r="AA861" i="11"/>
  <c r="AB1117" i="11"/>
  <c r="AA99" i="11"/>
  <c r="AA387" i="11"/>
  <c r="AA643" i="11"/>
  <c r="AB899" i="11"/>
  <c r="AA1043" i="11"/>
  <c r="AA1299" i="11"/>
  <c r="AB1555" i="11"/>
  <c r="AA1811" i="11"/>
  <c r="AB2196" i="11"/>
  <c r="AB268" i="11"/>
  <c r="AB524" i="11"/>
  <c r="AB780" i="11"/>
  <c r="AA1292" i="11"/>
  <c r="AA1548" i="11"/>
  <c r="AB2076" i="11"/>
  <c r="AB202" i="11"/>
  <c r="AB490" i="11"/>
  <c r="AB1082" i="11"/>
  <c r="AB2898" i="11"/>
  <c r="AA3154" i="11"/>
  <c r="AB3410" i="11"/>
  <c r="AB3666" i="11"/>
  <c r="AA1061" i="11"/>
  <c r="AA1317" i="11"/>
  <c r="AA19" i="11"/>
  <c r="AB323" i="11"/>
  <c r="AA1877" i="11"/>
  <c r="AA2133" i="11"/>
  <c r="AA587" i="11"/>
  <c r="AB843" i="11"/>
  <c r="AB3797" i="11"/>
  <c r="AA1179" i="11"/>
  <c r="AB1435" i="11"/>
  <c r="AB1691" i="11"/>
  <c r="AB1947" i="11"/>
  <c r="AA2203" i="11"/>
  <c r="AA148" i="11"/>
  <c r="AA404" i="11"/>
  <c r="AA660" i="11"/>
  <c r="AB916" i="11"/>
  <c r="AA1172" i="11"/>
  <c r="AB1428" i="11"/>
  <c r="AB1956" i="11"/>
  <c r="AA1315" i="11"/>
  <c r="AB1571" i="11"/>
  <c r="AA1827" i="11"/>
  <c r="AB2083" i="11"/>
  <c r="AB28" i="11"/>
  <c r="AA540" i="11"/>
  <c r="AA796" i="11"/>
  <c r="AB1308" i="11"/>
  <c r="AB1564" i="11"/>
  <c r="AB2092" i="11"/>
  <c r="AB218" i="11"/>
  <c r="AA1386" i="11"/>
  <c r="AB2266" i="11"/>
  <c r="AB2602" i="11"/>
  <c r="AA2914" i="11"/>
  <c r="AB3170" i="11"/>
  <c r="AA3426" i="11"/>
  <c r="AB3682" i="11"/>
  <c r="AA53" i="11"/>
  <c r="AB1077" i="11"/>
  <c r="AB1333" i="11"/>
  <c r="AA43" i="11"/>
  <c r="AB1573" i="11"/>
  <c r="AB2085" i="11"/>
  <c r="AB539" i="11"/>
  <c r="AA795" i="11"/>
  <c r="AB2173" i="11"/>
  <c r="AA1259" i="11"/>
  <c r="AB1515" i="11"/>
  <c r="AA1771" i="11"/>
  <c r="AB228" i="11"/>
  <c r="AA484" i="11"/>
  <c r="AB740" i="11"/>
  <c r="AB996" i="11"/>
  <c r="AB1252" i="11"/>
  <c r="AA1508" i="11"/>
  <c r="AA2036" i="11"/>
  <c r="AA162" i="11"/>
  <c r="AA450" i="11"/>
  <c r="AB2186" i="11"/>
  <c r="AA2530" i="11"/>
  <c r="AB2858" i="11"/>
  <c r="AB3626" i="11"/>
  <c r="AA3882" i="11"/>
  <c r="AA509" i="11"/>
  <c r="AA1021" i="11"/>
  <c r="AB419" i="11"/>
  <c r="AA675" i="11"/>
  <c r="AA931" i="11"/>
  <c r="AB1139" i="11"/>
  <c r="AB1395" i="11"/>
  <c r="AB1651" i="11"/>
  <c r="AB1907" i="11"/>
  <c r="AA2163" i="11"/>
  <c r="AA108" i="11"/>
  <c r="AB364" i="11"/>
  <c r="AA620" i="11"/>
  <c r="AB876" i="11"/>
  <c r="AB1132" i="11"/>
  <c r="AA1388" i="11"/>
  <c r="AB1644" i="11"/>
  <c r="AB1916" i="11"/>
  <c r="AB2172" i="11"/>
  <c r="AA234" i="11"/>
  <c r="AB1114" i="11"/>
  <c r="AA1818" i="11"/>
  <c r="AB2626" i="11"/>
  <c r="AB2930" i="11"/>
  <c r="AA3186" i="11"/>
  <c r="AA3442" i="11"/>
  <c r="AA3698" i="11"/>
  <c r="AB69" i="11"/>
  <c r="AA325" i="11"/>
  <c r="AA1093" i="11"/>
  <c r="AB59" i="11"/>
  <c r="AA427" i="11"/>
  <c r="AA683" i="11"/>
  <c r="AB939" i="11"/>
  <c r="AA1019" i="11"/>
  <c r="AA1275" i="11"/>
  <c r="AB1531" i="11"/>
  <c r="AB1787" i="11"/>
  <c r="AA244" i="11"/>
  <c r="AA500" i="11"/>
  <c r="AB756" i="11"/>
  <c r="AA1012" i="11"/>
  <c r="AB1268" i="11"/>
  <c r="AA1524" i="11"/>
  <c r="AB1732" i="11"/>
  <c r="AB2306" i="11"/>
  <c r="AA2642" i="11"/>
  <c r="AA2946" i="11"/>
  <c r="AB3202" i="11"/>
  <c r="AA3714" i="11"/>
  <c r="AA85" i="11"/>
  <c r="AA853" i="11"/>
  <c r="AB243" i="11"/>
  <c r="AB1797" i="11"/>
  <c r="AB2117" i="11"/>
  <c r="AA571" i="11"/>
  <c r="AA827" i="11"/>
  <c r="AA1227" i="11"/>
  <c r="AA1483" i="11"/>
  <c r="AA1739" i="11"/>
  <c r="AB1995" i="11"/>
  <c r="AB196" i="11"/>
  <c r="AA452" i="11"/>
  <c r="AB708" i="11"/>
  <c r="AB1220" i="11"/>
  <c r="AB1476" i="11"/>
  <c r="AB146" i="11"/>
  <c r="AA1018" i="11"/>
  <c r="AB1314" i="11"/>
  <c r="AA1642" i="11"/>
  <c r="AA2154" i="11"/>
  <c r="AB2842" i="11"/>
  <c r="AA3098" i="11"/>
  <c r="AA3354" i="11"/>
  <c r="AA3610" i="11"/>
  <c r="AB1517" i="11"/>
  <c r="AA267" i="11"/>
  <c r="AA403" i="11"/>
  <c r="AB915" i="11"/>
  <c r="AA250" i="11"/>
  <c r="AB834" i="11"/>
  <c r="AB1122" i="11"/>
  <c r="AA2290" i="11"/>
  <c r="AB2634" i="11"/>
  <c r="AA3450" i="11"/>
  <c r="AB3706" i="11"/>
  <c r="AB77" i="11"/>
  <c r="AA1101" i="11"/>
  <c r="AB163" i="11"/>
  <c r="AA435" i="11"/>
  <c r="AB691" i="11"/>
  <c r="AA947" i="11"/>
  <c r="AB1027" i="11"/>
  <c r="AB1283" i="11"/>
  <c r="AB1539" i="11"/>
  <c r="AB1795" i="11"/>
  <c r="AA2307" i="11"/>
  <c r="AB508" i="11"/>
  <c r="AA764" i="11"/>
  <c r="AB1740" i="11"/>
  <c r="AA66" i="11"/>
  <c r="AA634" i="11"/>
  <c r="AB930" i="11"/>
  <c r="AA1218" i="11"/>
  <c r="AA1506" i="11"/>
  <c r="AA2762" i="11"/>
  <c r="AB3018" i="11"/>
  <c r="AA3530" i="11"/>
  <c r="AA157" i="11"/>
  <c r="AB925" i="11"/>
  <c r="AB179" i="11"/>
  <c r="AA451" i="11"/>
  <c r="AA707" i="11"/>
  <c r="AB963" i="11"/>
  <c r="AA1107" i="11"/>
  <c r="AA1363" i="11"/>
  <c r="AA1619" i="11"/>
  <c r="AB1875" i="11"/>
  <c r="AB2131" i="11"/>
  <c r="AA76" i="11"/>
  <c r="AA332" i="11"/>
  <c r="AB588" i="11"/>
  <c r="AA844" i="11"/>
  <c r="AA1100" i="11"/>
  <c r="AA1356" i="11"/>
  <c r="AB1612" i="11"/>
  <c r="AB1884" i="11"/>
  <c r="AA2140" i="11"/>
  <c r="AA282" i="11"/>
  <c r="AA858" i="11"/>
  <c r="AB1154" i="11"/>
  <c r="AA1450" i="11"/>
  <c r="AA2330" i="11"/>
  <c r="AA2674" i="11"/>
  <c r="AB3474" i="11"/>
  <c r="AB3730" i="11"/>
  <c r="AB101" i="11"/>
  <c r="AB357" i="11"/>
  <c r="AA1125" i="11"/>
  <c r="AB107" i="11"/>
  <c r="AB395" i="11"/>
  <c r="AA651" i="11"/>
  <c r="AB3861" i="11"/>
  <c r="AB1243" i="11"/>
  <c r="AB1499" i="11"/>
  <c r="AA1755" i="11"/>
  <c r="AB2011" i="11"/>
  <c r="AA2267" i="11"/>
  <c r="AB212" i="11"/>
  <c r="AB468" i="11"/>
  <c r="AA724" i="11"/>
  <c r="AA980" i="11"/>
  <c r="AA1236" i="11"/>
  <c r="AA1492" i="11"/>
  <c r="AA1764" i="11"/>
  <c r="AB2020" i="11"/>
  <c r="AB1379" i="11"/>
  <c r="AA1635" i="11"/>
  <c r="AB1891" i="11"/>
  <c r="AB2147" i="11"/>
  <c r="AA92" i="11"/>
  <c r="AA348" i="11"/>
  <c r="AB604" i="11"/>
  <c r="AA860" i="11"/>
  <c r="AB1116" i="11"/>
  <c r="AA1628" i="11"/>
  <c r="AB2156" i="11"/>
  <c r="AA298" i="11"/>
  <c r="AB874" i="11"/>
  <c r="AA2346" i="11"/>
  <c r="AA2706" i="11"/>
  <c r="AB3234" i="11"/>
  <c r="AA3490" i="11"/>
  <c r="AA3746" i="11"/>
  <c r="AB885" i="11"/>
  <c r="AB1141" i="11"/>
  <c r="AA123" i="11"/>
  <c r="AB1637" i="11"/>
  <c r="AB347" i="11"/>
  <c r="AA603" i="11"/>
  <c r="AA859" i="11"/>
  <c r="AA1067" i="11"/>
  <c r="AA1323" i="11"/>
  <c r="AB1579" i="11"/>
  <c r="AB1835" i="11"/>
  <c r="AA292" i="11"/>
  <c r="AB548" i="11"/>
  <c r="AB804" i="11"/>
  <c r="AB1060" i="11"/>
  <c r="AB1316" i="11"/>
  <c r="AB1572" i="11"/>
  <c r="AB2100" i="11"/>
  <c r="AA226" i="11"/>
  <c r="AA522" i="11"/>
  <c r="AB1106" i="11"/>
  <c r="AA1402" i="11"/>
  <c r="AA2274" i="11"/>
  <c r="AB2922" i="11"/>
  <c r="AB3178" i="11"/>
  <c r="AA3434" i="11"/>
  <c r="AA3690" i="11"/>
  <c r="AB61" i="11"/>
  <c r="AB51" i="11"/>
  <c r="AA1581" i="11"/>
  <c r="AA2029" i="11"/>
  <c r="AB483" i="11"/>
  <c r="AB739" i="11"/>
  <c r="AB995" i="11"/>
  <c r="AA1459" i="11"/>
  <c r="AA1715" i="11"/>
  <c r="AB1971" i="11"/>
  <c r="AA172" i="11"/>
  <c r="AB428" i="11"/>
  <c r="AB940" i="11"/>
  <c r="AB1196" i="11"/>
  <c r="AA1452" i="11"/>
  <c r="AA34" i="11"/>
  <c r="AA898" i="11"/>
  <c r="AA1194" i="11"/>
  <c r="AA1946" i="11"/>
  <c r="AA2994" i="11"/>
  <c r="AA3506" i="11"/>
  <c r="AA3762" i="11"/>
  <c r="AA901" i="11"/>
  <c r="AB1157" i="11"/>
  <c r="AB147" i="11"/>
  <c r="AB2037" i="11"/>
  <c r="AA491" i="11"/>
  <c r="AA747" i="11"/>
  <c r="AA1083" i="11"/>
  <c r="AA1339" i="11"/>
  <c r="AA1595" i="11"/>
  <c r="AB1851" i="11"/>
  <c r="AA2107" i="11"/>
  <c r="AB52" i="11"/>
  <c r="AA308" i="11"/>
  <c r="AA564" i="11"/>
  <c r="AA820" i="11"/>
  <c r="AB1332" i="11"/>
  <c r="AB1796" i="11"/>
  <c r="AB2052" i="11"/>
  <c r="AB2642" i="11"/>
  <c r="AB2946" i="11"/>
  <c r="AA3458" i="11"/>
  <c r="AB3714" i="11"/>
  <c r="AB85" i="11"/>
  <c r="AA243" i="11"/>
  <c r="AA2117" i="11"/>
  <c r="AB571" i="11"/>
  <c r="AB1227" i="11"/>
  <c r="AB1483" i="11"/>
  <c r="AB1739" i="11"/>
  <c r="AA1995" i="11"/>
  <c r="AA196" i="11"/>
  <c r="AB452" i="11"/>
  <c r="AA1220" i="11"/>
  <c r="AA1476" i="11"/>
  <c r="AA146" i="11"/>
  <c r="AB1018" i="11"/>
  <c r="AB2154" i="11"/>
  <c r="AB2514" i="11"/>
  <c r="AA2842" i="11"/>
  <c r="AB3354" i="11"/>
  <c r="AB3610" i="11"/>
  <c r="AA3866" i="11"/>
  <c r="AA1517" i="11"/>
  <c r="AB267" i="11"/>
  <c r="AB403" i="11"/>
  <c r="AA659" i="11"/>
  <c r="AA915" i="11"/>
  <c r="AB3869" i="11"/>
  <c r="AB1251" i="11"/>
  <c r="AB250" i="11"/>
  <c r="AA1122" i="11"/>
  <c r="AA1418" i="11"/>
  <c r="AB1834" i="11"/>
  <c r="AB2290" i="11"/>
  <c r="AA2634" i="11"/>
  <c r="AA2938" i="11"/>
  <c r="AA3194" i="11"/>
  <c r="AA3706" i="11"/>
  <c r="AA77" i="11"/>
  <c r="AA845" i="11"/>
  <c r="AB1101" i="11"/>
  <c r="AA163" i="11"/>
  <c r="AB435" i="11"/>
  <c r="AA691" i="11"/>
  <c r="AB947" i="11"/>
  <c r="AA1027" i="11"/>
  <c r="AA1283" i="11"/>
  <c r="AA1539" i="11"/>
  <c r="AA1795" i="11"/>
  <c r="AA2051" i="11"/>
  <c r="AA252" i="11"/>
  <c r="AA508" i="11"/>
  <c r="AB764" i="11"/>
  <c r="AB1020" i="11"/>
  <c r="AA1276" i="11"/>
  <c r="AB1532" i="11"/>
  <c r="AB1996" i="11"/>
  <c r="AA1684" i="11"/>
  <c r="AB1940" i="11"/>
  <c r="AB66" i="11"/>
  <c r="AA338" i="11"/>
  <c r="AB634" i="11"/>
  <c r="AA930" i="11"/>
  <c r="AB1506" i="11"/>
  <c r="AA2402" i="11"/>
  <c r="AB2762" i="11"/>
  <c r="AB3274" i="11"/>
  <c r="AB3530" i="11"/>
  <c r="AB3786" i="11"/>
  <c r="AB157" i="11"/>
  <c r="AA925" i="11"/>
  <c r="AA179" i="11"/>
  <c r="AB451" i="11"/>
  <c r="AB707" i="11"/>
  <c r="AA963" i="11"/>
  <c r="AB1107" i="11"/>
  <c r="AB1363" i="11"/>
  <c r="AB1619" i="11"/>
  <c r="AA1875" i="11"/>
  <c r="AA2131" i="11"/>
  <c r="AB76" i="11"/>
  <c r="AB332" i="11"/>
  <c r="AA588" i="11"/>
  <c r="AB844" i="11"/>
  <c r="AB1100" i="11"/>
  <c r="AB1356" i="11"/>
  <c r="AA1612" i="11"/>
  <c r="AB2140" i="11"/>
  <c r="AB282" i="11"/>
  <c r="AB858" i="11"/>
  <c r="AA1154" i="11"/>
  <c r="AB2330" i="11"/>
  <c r="AB2674" i="11"/>
  <c r="AA2962" i="11"/>
  <c r="AA3474" i="11"/>
  <c r="AA3730" i="11"/>
  <c r="AA101" i="11"/>
  <c r="AB869" i="11"/>
  <c r="AB1125" i="11"/>
  <c r="AA395" i="11"/>
  <c r="AB651" i="11"/>
  <c r="AA907" i="11"/>
  <c r="AA3861" i="11"/>
  <c r="AA1243" i="11"/>
  <c r="AA1499" i="11"/>
  <c r="AB1755" i="11"/>
  <c r="AA2011" i="11"/>
  <c r="AA212" i="11"/>
  <c r="AA468" i="11"/>
  <c r="AB980" i="11"/>
  <c r="AB1236" i="11"/>
  <c r="AB1492" i="11"/>
  <c r="AA2020" i="11"/>
  <c r="AA1379" i="11"/>
  <c r="AB1635" i="11"/>
  <c r="AA1891" i="11"/>
  <c r="AA2147" i="11"/>
  <c r="AB92" i="11"/>
  <c r="AB348" i="11"/>
  <c r="AA604" i="11"/>
  <c r="AB860" i="11"/>
  <c r="AA1116" i="11"/>
  <c r="AA1372" i="11"/>
  <c r="AB1628" i="11"/>
  <c r="AA2156" i="11"/>
  <c r="AB298" i="11"/>
  <c r="AA874" i="11"/>
  <c r="AB2706" i="11"/>
  <c r="AA2978" i="11"/>
  <c r="AB3490" i="11"/>
  <c r="AB117" i="11"/>
  <c r="AB373" i="11"/>
  <c r="AA885" i="11"/>
  <c r="AA1141" i="11"/>
  <c r="AB123" i="11"/>
  <c r="AA1637" i="11"/>
  <c r="AB1893" i="11"/>
  <c r="AA347" i="11"/>
  <c r="AB603" i="11"/>
  <c r="AB859" i="11"/>
  <c r="AB1067" i="11"/>
  <c r="AB1323" i="11"/>
  <c r="AA1579" i="11"/>
  <c r="AA1835" i="11"/>
  <c r="AA36" i="11"/>
  <c r="AB292" i="11"/>
  <c r="AA548" i="11"/>
  <c r="AA1060" i="11"/>
  <c r="AA1316" i="11"/>
  <c r="AA1572" i="11"/>
  <c r="AA1844" i="11"/>
  <c r="AA2100" i="11"/>
  <c r="AB818" i="11"/>
  <c r="AA1106" i="11"/>
  <c r="AA1802" i="11"/>
  <c r="AB2274" i="11"/>
  <c r="AB2610" i="11"/>
  <c r="AB3434" i="11"/>
  <c r="AA61" i="11"/>
  <c r="AB1085" i="11"/>
  <c r="AB1341" i="11"/>
  <c r="AA51" i="11"/>
  <c r="AB2029" i="11"/>
  <c r="AA483" i="11"/>
  <c r="AA995" i="11"/>
  <c r="AB1203" i="11"/>
  <c r="AB1459" i="11"/>
  <c r="AB1715" i="11"/>
  <c r="AA1971" i="11"/>
  <c r="AB2227" i="11"/>
  <c r="AB172" i="11"/>
  <c r="AA428" i="11"/>
  <c r="AA684" i="11"/>
  <c r="AA940" i="11"/>
  <c r="AA1196" i="11"/>
  <c r="AB1452" i="11"/>
  <c r="AA1980" i="11"/>
  <c r="AB34" i="11"/>
  <c r="AB314" i="11"/>
  <c r="AB1946" i="11"/>
  <c r="AA2370" i="11"/>
  <c r="AB2738" i="11"/>
  <c r="AA3250" i="11"/>
  <c r="AB3506" i="11"/>
  <c r="AB3762" i="11"/>
  <c r="AB901" i="11"/>
  <c r="AA1157" i="11"/>
  <c r="AA147" i="11"/>
  <c r="AA2037" i="11"/>
  <c r="AB491" i="11"/>
  <c r="AB747" i="11"/>
  <c r="AA1003" i="11"/>
  <c r="AB1083" i="11"/>
  <c r="AB1339" i="11"/>
  <c r="AB1595" i="11"/>
  <c r="AA1851" i="11"/>
  <c r="AB2107" i="11"/>
  <c r="AA52" i="11"/>
  <c r="AB308" i="11"/>
  <c r="AB564" i="11"/>
  <c r="AB820" i="11"/>
  <c r="AB1076" i="11"/>
  <c r="AA1332" i="11"/>
  <c r="AA1796" i="11"/>
  <c r="AA2052" i="11"/>
  <c r="H215" i="54"/>
  <c r="M284" i="54"/>
  <c r="M9" i="54" s="1"/>
  <c r="M11" i="54" s="1"/>
  <c r="H277" i="54"/>
  <c r="I277" i="54" s="1"/>
  <c r="J277" i="54" s="1"/>
  <c r="H263" i="54"/>
  <c r="I263" i="54" s="1"/>
  <c r="J263" i="54" s="1"/>
  <c r="H64" i="54"/>
  <c r="I64" i="54" s="1"/>
  <c r="J64" i="54" s="1"/>
  <c r="H65" i="54"/>
  <c r="I65" i="54" s="1"/>
  <c r="J65" i="54" s="1"/>
  <c r="L284" i="54"/>
  <c r="L9" i="54" s="1"/>
  <c r="L11" i="54" s="1"/>
  <c r="H68" i="54"/>
  <c r="I68" i="54" s="1"/>
  <c r="J68" i="54" s="1"/>
  <c r="I285" i="54"/>
  <c r="J285" i="54" s="1"/>
  <c r="C77" i="33"/>
  <c r="C53" i="33"/>
  <c r="H70" i="54"/>
  <c r="I70" i="54" s="1"/>
  <c r="J70" i="54" s="1"/>
  <c r="I292" i="54"/>
  <c r="J292" i="54" s="1"/>
  <c r="H229" i="54"/>
  <c r="T236" i="54"/>
  <c r="U227" i="54"/>
  <c r="U208" i="54"/>
  <c r="H227" i="54"/>
  <c r="H208" i="54"/>
  <c r="I208" i="54" s="1"/>
  <c r="J208" i="54" s="1"/>
  <c r="U232" i="54"/>
  <c r="U212" i="54"/>
  <c r="H232" i="54"/>
  <c r="U210" i="54"/>
  <c r="H222" i="54"/>
  <c r="T215" i="54"/>
  <c r="T263" i="54"/>
  <c r="AB263" i="54" s="1"/>
  <c r="AE263" i="54" s="1"/>
  <c r="C43" i="33"/>
  <c r="B59" i="33" s="1"/>
  <c r="B60" i="33" s="1"/>
  <c r="B61" i="33" s="1"/>
  <c r="U66" i="54"/>
  <c r="AC66" i="54" s="1"/>
  <c r="AF66" i="54" s="1"/>
  <c r="AC288" i="54"/>
  <c r="AF288" i="54" s="1"/>
  <c r="T69" i="54"/>
  <c r="AB69" i="54" s="1"/>
  <c r="AE69" i="54" s="1"/>
  <c r="AB291" i="54"/>
  <c r="AE291" i="54" s="1"/>
  <c r="T282" i="54"/>
  <c r="AB282" i="54" s="1"/>
  <c r="AE282" i="54" s="1"/>
  <c r="H282" i="54"/>
  <c r="I282" i="54" s="1"/>
  <c r="J282" i="54" s="1"/>
  <c r="H69" i="54"/>
  <c r="I69" i="54" s="1"/>
  <c r="J69" i="54" s="1"/>
  <c r="I291" i="54"/>
  <c r="J291" i="54" s="1"/>
  <c r="I293" i="54"/>
  <c r="J293" i="54" s="1"/>
  <c r="H71" i="54"/>
  <c r="I71" i="54" s="1"/>
  <c r="J71" i="54" s="1"/>
  <c r="U284" i="54"/>
  <c r="U9" i="54" s="1"/>
  <c r="U11" i="54" s="1"/>
  <c r="T294" i="54"/>
  <c r="T20" i="54" s="1"/>
  <c r="T22" i="54" s="1"/>
  <c r="L72" i="54"/>
  <c r="H294" i="54"/>
  <c r="H20" i="54" s="1"/>
  <c r="AC353" i="54"/>
  <c r="AF353" i="54" s="1"/>
  <c r="U385" i="54"/>
  <c r="T13" i="54"/>
  <c r="AB385" i="54"/>
  <c r="AE385" i="54" s="1"/>
  <c r="U233" i="54"/>
  <c r="F163" i="54"/>
  <c r="AB64" i="54"/>
  <c r="AB288" i="54"/>
  <c r="AE288" i="54" s="1"/>
  <c r="T66" i="54"/>
  <c r="AB66" i="54" s="1"/>
  <c r="AE66" i="54" s="1"/>
  <c r="U14" i="54"/>
  <c r="AC391" i="54"/>
  <c r="AF391" i="54" s="1"/>
  <c r="H67" i="54"/>
  <c r="I67" i="54" s="1"/>
  <c r="J67" i="54" s="1"/>
  <c r="I289" i="54"/>
  <c r="J289" i="54" s="1"/>
  <c r="AC64" i="54"/>
  <c r="J423" i="54"/>
  <c r="I440" i="54"/>
  <c r="J440" i="54" s="1"/>
  <c r="AB289" i="54"/>
  <c r="AE289" i="54" s="1"/>
  <c r="T67" i="54"/>
  <c r="AB67" i="54" s="1"/>
  <c r="AE67" i="54" s="1"/>
  <c r="I248" i="54"/>
  <c r="J248" i="54" s="1"/>
  <c r="N66" i="54"/>
  <c r="N294" i="54"/>
  <c r="N20" i="54" s="1"/>
  <c r="N22" i="54" s="1"/>
  <c r="AB248" i="54"/>
  <c r="AE248" i="54" s="1"/>
  <c r="U289" i="54"/>
  <c r="U117" i="54" s="1"/>
  <c r="M67" i="54"/>
  <c r="M72" i="54" s="1"/>
  <c r="O289" i="54"/>
  <c r="O117" i="54" s="1"/>
  <c r="M294" i="54"/>
  <c r="M20" i="54" s="1"/>
  <c r="M22" i="54" s="1"/>
  <c r="F62" i="54"/>
  <c r="F6" i="54"/>
  <c r="F8" i="54" s="1"/>
  <c r="I288" i="54"/>
  <c r="J288" i="54" s="1"/>
  <c r="H66" i="54"/>
  <c r="I66" i="54" s="1"/>
  <c r="J66" i="54" s="1"/>
  <c r="H230" i="54"/>
  <c r="T242" i="54"/>
  <c r="U225" i="54"/>
  <c r="H213" i="54"/>
  <c r="I213" i="54" s="1"/>
  <c r="J213" i="54" s="1"/>
  <c r="T212" i="54"/>
  <c r="H220" i="54"/>
  <c r="H206" i="54"/>
  <c r="I206" i="54" s="1"/>
  <c r="J206" i="54" s="1"/>
  <c r="T206" i="54"/>
  <c r="T226" i="54"/>
  <c r="H226" i="54"/>
  <c r="H209" i="54"/>
  <c r="I209" i="54" s="1"/>
  <c r="J209" i="54" s="1"/>
  <c r="H242" i="54"/>
  <c r="H212" i="54"/>
  <c r="I212" i="54" s="1"/>
  <c r="J212" i="54" s="1"/>
  <c r="H241" i="54"/>
  <c r="H235" i="54"/>
  <c r="H221" i="54"/>
  <c r="U241" i="54"/>
  <c r="T210" i="54"/>
  <c r="H234" i="54"/>
  <c r="H237" i="54"/>
  <c r="H207" i="54"/>
  <c r="I207" i="54" s="1"/>
  <c r="J207" i="54" s="1"/>
  <c r="T223" i="54"/>
  <c r="T227" i="54"/>
  <c r="H223" i="54"/>
  <c r="H210" i="54"/>
  <c r="I210" i="54" s="1"/>
  <c r="J210" i="54" s="1"/>
  <c r="H216" i="54"/>
  <c r="H218" i="54"/>
  <c r="H240" i="54"/>
  <c r="H214" i="54"/>
  <c r="I214" i="54" s="1"/>
  <c r="J214" i="54" s="1"/>
  <c r="T240" i="54"/>
  <c r="U228" i="54"/>
  <c r="U218" i="54"/>
  <c r="H228" i="54"/>
  <c r="H211" i="54"/>
  <c r="I211" i="54" s="1"/>
  <c r="J211" i="54" s="1"/>
  <c r="T211" i="54"/>
  <c r="T225" i="54"/>
  <c r="H224" i="54"/>
  <c r="U214" i="54"/>
  <c r="AC214" i="54" s="1"/>
  <c r="AF214" i="54" s="1"/>
  <c r="T241" i="54"/>
  <c r="H225" i="54"/>
  <c r="T224" i="54"/>
  <c r="H239" i="54"/>
  <c r="H219" i="54"/>
  <c r="U240" i="54"/>
  <c r="H236" i="54"/>
  <c r="U239" i="54"/>
  <c r="L243" i="54"/>
  <c r="H233" i="54"/>
  <c r="H217" i="54"/>
  <c r="T230" i="54"/>
  <c r="H231" i="54"/>
  <c r="AA2669" i="11"/>
  <c r="H238" i="54"/>
  <c r="M243" i="54"/>
  <c r="AA5" i="21"/>
  <c r="AB5" i="21" s="1"/>
  <c r="Z42" i="21"/>
  <c r="AB3804" i="11"/>
  <c r="AA2663" i="11"/>
  <c r="AB2663" i="11"/>
  <c r="AB2655" i="11"/>
  <c r="AA2655" i="11"/>
  <c r="AA3804" i="11"/>
  <c r="AB3787" i="11"/>
  <c r="AB3827" i="11"/>
  <c r="M171" i="54"/>
  <c r="M80" i="54" s="1"/>
  <c r="AA3867" i="11"/>
  <c r="AB3843" i="11"/>
  <c r="AA3811" i="11"/>
  <c r="AB3349" i="11"/>
  <c r="AA3605" i="11"/>
  <c r="AB750" i="11"/>
  <c r="AB1086" i="11"/>
  <c r="AA2223" i="11"/>
  <c r="AB2743" i="11"/>
  <c r="AA3063" i="11"/>
  <c r="AB3383" i="11"/>
  <c r="AB3695" i="11"/>
  <c r="AB2917" i="11"/>
  <c r="AB3173" i="11"/>
  <c r="AA3557" i="11"/>
  <c r="AB150" i="11"/>
  <c r="AB430" i="11"/>
  <c r="M190" i="54"/>
  <c r="AB462" i="11"/>
  <c r="AA1710" i="11"/>
  <c r="AA2022" i="11"/>
  <c r="AB3749" i="11"/>
  <c r="AB2229" i="11"/>
  <c r="AA646" i="11"/>
  <c r="AA1822" i="11"/>
  <c r="AA2989" i="11"/>
  <c r="AA3437" i="11"/>
  <c r="AB3693" i="11"/>
  <c r="AA1598" i="11"/>
  <c r="AB2637" i="11"/>
  <c r="AB2677" i="11"/>
  <c r="AB2549" i="11"/>
  <c r="AA2118" i="11"/>
  <c r="AB1902" i="11"/>
  <c r="M186" i="54"/>
  <c r="AB2445" i="11"/>
  <c r="AA3485" i="11"/>
  <c r="AB3741" i="11"/>
  <c r="AB2285" i="11"/>
  <c r="AB2541" i="11"/>
  <c r="AB254" i="11"/>
  <c r="AB534" i="11"/>
  <c r="M191" i="54"/>
  <c r="AB662" i="11"/>
  <c r="AB2829" i="11"/>
  <c r="AB2749" i="11"/>
  <c r="AB3005" i="11"/>
  <c r="AB3261" i="11"/>
  <c r="M188" i="54"/>
  <c r="AB886" i="11"/>
  <c r="AB1166" i="11"/>
  <c r="M176" i="54"/>
  <c r="M35" i="54" s="1"/>
  <c r="AA1374" i="11"/>
  <c r="L174" i="54"/>
  <c r="L83" i="54" s="1"/>
  <c r="AA2437" i="11"/>
  <c r="AA2693" i="11"/>
  <c r="AA2317" i="11"/>
  <c r="L183" i="54"/>
  <c r="AB1174" i="11"/>
  <c r="AA1302" i="11"/>
  <c r="AB3013" i="11"/>
  <c r="AB3269" i="11"/>
  <c r="AB3525" i="11"/>
  <c r="AB2261" i="11"/>
  <c r="AB2517" i="11"/>
  <c r="AB3365" i="11"/>
  <c r="M189" i="54"/>
  <c r="AB3816" i="11"/>
  <c r="AA3349" i="11"/>
  <c r="AB3605" i="11"/>
  <c r="AA870" i="11"/>
  <c r="AA1182" i="11"/>
  <c r="AA2343" i="11"/>
  <c r="AB2775" i="11"/>
  <c r="AA3159" i="11"/>
  <c r="AA3479" i="11"/>
  <c r="AA3808" i="11"/>
  <c r="AA2917" i="11"/>
  <c r="AA3173" i="11"/>
  <c r="AB3557" i="11"/>
  <c r="AA3117" i="11"/>
  <c r="AA246" i="11"/>
  <c r="AB558" i="11"/>
  <c r="AA1798" i="11"/>
  <c r="AB2293" i="11"/>
  <c r="AB3485" i="11"/>
  <c r="AA3741" i="11"/>
  <c r="AB1390" i="11"/>
  <c r="AA2285" i="11"/>
  <c r="AA2541" i="11"/>
  <c r="AB2901" i="11"/>
  <c r="AA2269" i="11"/>
  <c r="AA2525" i="11"/>
  <c r="L168" i="54"/>
  <c r="L77" i="54" s="1"/>
  <c r="AB2341" i="11"/>
  <c r="AB2597" i="11"/>
  <c r="AA2733" i="11"/>
  <c r="AA1062" i="11"/>
  <c r="L201" i="54"/>
  <c r="AA1190" i="11"/>
  <c r="AA2142" i="11"/>
  <c r="AA2439" i="11"/>
  <c r="AA3167" i="11"/>
  <c r="AB3487" i="11"/>
  <c r="AB3591" i="11"/>
  <c r="AA3101" i="11"/>
  <c r="AA2879" i="11"/>
  <c r="AB2933" i="11"/>
  <c r="AA3189" i="11"/>
  <c r="AB3445" i="11"/>
  <c r="AB3701" i="11"/>
  <c r="AB2863" i="11"/>
  <c r="AA326" i="11"/>
  <c r="L198" i="54"/>
  <c r="AB646" i="11"/>
  <c r="AB1822" i="11"/>
  <c r="AB2989" i="11"/>
  <c r="AB3501" i="11"/>
  <c r="AB3757" i="11"/>
  <c r="AA2677" i="11"/>
  <c r="AA2549" i="11"/>
  <c r="AB2837" i="11"/>
  <c r="AB3093" i="11"/>
  <c r="AB2959" i="11"/>
  <c r="AA2205" i="11"/>
  <c r="AB2461" i="11"/>
  <c r="AB1502" i="11"/>
  <c r="AA1726" i="11"/>
  <c r="AA2006" i="11"/>
  <c r="L166" i="54"/>
  <c r="AB2126" i="11"/>
  <c r="AA2423" i="11"/>
  <c r="AB2735" i="11"/>
  <c r="M172" i="54"/>
  <c r="M81" i="54" s="1"/>
  <c r="AA2535" i="11"/>
  <c r="AB2983" i="11"/>
  <c r="AB3367" i="11"/>
  <c r="AA3615" i="11"/>
  <c r="AB3149" i="11"/>
  <c r="AB3405" i="11"/>
  <c r="AB3661" i="11"/>
  <c r="AA3087" i="11"/>
  <c r="AB2429" i="11"/>
  <c r="AA2685" i="11"/>
  <c r="AB3325" i="11"/>
  <c r="AB3581" i="11"/>
  <c r="AA1718" i="11"/>
  <c r="AB1934" i="11"/>
  <c r="AB2821" i="11"/>
  <c r="AA2509" i="11"/>
  <c r="AA342" i="11"/>
  <c r="AA662" i="11"/>
  <c r="AA2829" i="11"/>
  <c r="AB2501" i="11"/>
  <c r="AB1302" i="11"/>
  <c r="AA3077" i="11"/>
  <c r="AA3333" i="11"/>
  <c r="AA3589" i="11"/>
  <c r="AA2261" i="11"/>
  <c r="AA2517" i="11"/>
  <c r="AA3365" i="11"/>
  <c r="L189" i="54"/>
  <c r="AB3245" i="11"/>
  <c r="AA3816" i="11"/>
  <c r="AA3413" i="11"/>
  <c r="AB3669" i="11"/>
  <c r="AB870" i="11"/>
  <c r="AB1182" i="11"/>
  <c r="AB2343" i="11"/>
  <c r="AA2775" i="11"/>
  <c r="AB3159" i="11"/>
  <c r="AB3479" i="11"/>
  <c r="AB3808" i="11"/>
  <c r="AA2981" i="11"/>
  <c r="AA3237" i="11"/>
  <c r="AA3621" i="11"/>
  <c r="AB3117" i="11"/>
  <c r="AB246" i="11"/>
  <c r="AA558" i="11"/>
  <c r="AB1798" i="11"/>
  <c r="AA2293" i="11"/>
  <c r="AB3183" i="11"/>
  <c r="AA3471" i="11"/>
  <c r="L185" i="54"/>
  <c r="AA3293" i="11"/>
  <c r="AB3549" i="11"/>
  <c r="AA1390" i="11"/>
  <c r="AB2349" i="11"/>
  <c r="AB2605" i="11"/>
  <c r="AA846" i="11"/>
  <c r="L200" i="54"/>
  <c r="AA2901" i="11"/>
  <c r="AA3157" i="11"/>
  <c r="L187" i="54"/>
  <c r="AB2269" i="11"/>
  <c r="AA110" i="11"/>
  <c r="L196" i="54"/>
  <c r="AA2405" i="11"/>
  <c r="AB2661" i="11"/>
  <c r="AB2733" i="11"/>
  <c r="AB878" i="11"/>
  <c r="AB1190" i="11"/>
  <c r="AB2231" i="11"/>
  <c r="AB2527" i="11"/>
  <c r="AB3167" i="11"/>
  <c r="AA3487" i="11"/>
  <c r="AA3591" i="11"/>
  <c r="AB3101" i="11"/>
  <c r="AA2975" i="11"/>
  <c r="AA2741" i="11"/>
  <c r="AB2997" i="11"/>
  <c r="AA3253" i="11"/>
  <c r="AA3509" i="11"/>
  <c r="AA3765" i="11"/>
  <c r="AB326" i="11"/>
  <c r="M198" i="54"/>
  <c r="AA358" i="11"/>
  <c r="AB1918" i="11"/>
  <c r="AB2725" i="11"/>
  <c r="AA2797" i="11"/>
  <c r="AA3053" i="11"/>
  <c r="L173" i="54"/>
  <c r="L82" i="54" s="1"/>
  <c r="AA3501" i="11"/>
  <c r="AA3757" i="11"/>
  <c r="AB2757" i="11"/>
  <c r="AB2949" i="11"/>
  <c r="M179" i="54"/>
  <c r="AB2381" i="11"/>
  <c r="AA1902" i="11"/>
  <c r="L186" i="54"/>
  <c r="L45" i="54" s="1"/>
  <c r="AA2757" i="11"/>
  <c r="AA2949" i="11"/>
  <c r="L179" i="54"/>
  <c r="AB1726" i="11"/>
  <c r="AB1814" i="11"/>
  <c r="AA2126" i="11"/>
  <c r="AB2423" i="11"/>
  <c r="AA1814" i="11"/>
  <c r="AA2215" i="11"/>
  <c r="AB2455" i="11"/>
  <c r="AA2239" i="11"/>
  <c r="AB2759" i="11"/>
  <c r="AB3079" i="11"/>
  <c r="AA3399" i="11"/>
  <c r="AB3711" i="11"/>
  <c r="AA2701" i="11"/>
  <c r="AB3213" i="11"/>
  <c r="AA3469" i="11"/>
  <c r="AB3725" i="11"/>
  <c r="AB2237" i="11"/>
  <c r="AA2493" i="11"/>
  <c r="AB3389" i="11"/>
  <c r="AA3645" i="11"/>
  <c r="AA222" i="11"/>
  <c r="L184" i="54"/>
  <c r="AB342" i="11"/>
  <c r="AB2893" i="11"/>
  <c r="AB350" i="11"/>
  <c r="AB638" i="11"/>
  <c r="M170" i="54"/>
  <c r="M79" i="54" s="1"/>
  <c r="AA670" i="11"/>
  <c r="AB950" i="11"/>
  <c r="M193" i="54"/>
  <c r="AA2813" i="11"/>
  <c r="AA3069" i="11"/>
  <c r="AA3261" i="11"/>
  <c r="L188" i="54"/>
  <c r="AB974" i="11"/>
  <c r="AB1198" i="11"/>
  <c r="AB1406" i="11"/>
  <c r="AA1686" i="11"/>
  <c r="L195" i="54"/>
  <c r="AB2245" i="11"/>
  <c r="AA2501" i="11"/>
  <c r="AA1382" i="11"/>
  <c r="AB3077" i="11"/>
  <c r="AB3333" i="11"/>
  <c r="AB3589" i="11"/>
  <c r="AB2767" i="11"/>
  <c r="AA2325" i="11"/>
  <c r="AA2581" i="11"/>
  <c r="AA3245" i="11"/>
  <c r="AB3413" i="11"/>
  <c r="AA3669" i="11"/>
  <c r="AB2589" i="11"/>
  <c r="AA958" i="11"/>
  <c r="AA1278" i="11"/>
  <c r="AA2431" i="11"/>
  <c r="AA2871" i="11"/>
  <c r="AA3191" i="11"/>
  <c r="AB3511" i="11"/>
  <c r="AB2981" i="11"/>
  <c r="AB3237" i="11"/>
  <c r="AB3621" i="11"/>
  <c r="AA3181" i="11"/>
  <c r="AA334" i="11"/>
  <c r="AB654" i="11"/>
  <c r="AA1830" i="11"/>
  <c r="AA2110" i="11"/>
  <c r="L167" i="54"/>
  <c r="L76" i="54" s="1"/>
  <c r="AA2357" i="11"/>
  <c r="AA3183" i="11"/>
  <c r="AB3471" i="11"/>
  <c r="M185" i="54"/>
  <c r="AA2717" i="11"/>
  <c r="AB3293" i="11"/>
  <c r="AA3549" i="11"/>
  <c r="AB1510" i="11"/>
  <c r="AA2349" i="11"/>
  <c r="AA2605" i="11"/>
  <c r="AB846" i="11"/>
  <c r="M200" i="54"/>
  <c r="AA2965" i="11"/>
  <c r="AB3157" i="11"/>
  <c r="M187" i="54"/>
  <c r="AB2333" i="11"/>
  <c r="AA2781" i="11"/>
  <c r="AB110" i="11"/>
  <c r="M196" i="54"/>
  <c r="AA1702" i="11"/>
  <c r="AB2405" i="11"/>
  <c r="AA2661" i="11"/>
  <c r="AA878" i="11"/>
  <c r="AB1286" i="11"/>
  <c r="AA2231" i="11"/>
  <c r="AA2527" i="11"/>
  <c r="AA3263" i="11"/>
  <c r="AA3575" i="11"/>
  <c r="L178" i="54"/>
  <c r="AA3687" i="11"/>
  <c r="AB2909" i="11"/>
  <c r="AB3165" i="11"/>
  <c r="AB2975" i="11"/>
  <c r="AB2741" i="11"/>
  <c r="AA2997" i="11"/>
  <c r="AB3253" i="11"/>
  <c r="AB3509" i="11"/>
  <c r="AB3765" i="11"/>
  <c r="AB142" i="11"/>
  <c r="AB358" i="11"/>
  <c r="AA1918" i="11"/>
  <c r="AA2725" i="11"/>
  <c r="AB2797" i="11"/>
  <c r="AA3309" i="11"/>
  <c r="AB3565" i="11"/>
  <c r="AA1398" i="11"/>
  <c r="AA2653" i="11"/>
  <c r="AA886" i="11"/>
  <c r="AA1166" i="11"/>
  <c r="L176" i="54"/>
  <c r="L35" i="54" s="1"/>
  <c r="AB1374" i="11"/>
  <c r="M174" i="54"/>
  <c r="M83" i="54" s="1"/>
  <c r="AA1606" i="11"/>
  <c r="AB2437" i="11"/>
  <c r="AB2693" i="11"/>
  <c r="AA2253" i="11"/>
  <c r="AA1174" i="11"/>
  <c r="AA3013" i="11"/>
  <c r="AA3269" i="11"/>
  <c r="AA3525" i="11"/>
  <c r="AA2197" i="11"/>
  <c r="AA2453" i="11"/>
  <c r="AB2535" i="11"/>
  <c r="AA2983" i="11"/>
  <c r="AA3367" i="11"/>
  <c r="AB3615" i="11"/>
  <c r="AB2701" i="11"/>
  <c r="AA3213" i="11"/>
  <c r="AB3469" i="11"/>
  <c r="AA3725" i="11"/>
  <c r="AA2237" i="11"/>
  <c r="AB2493" i="11"/>
  <c r="AA3325" i="11"/>
  <c r="AA3581" i="11"/>
  <c r="AB2813" i="11"/>
  <c r="AB3069" i="11"/>
  <c r="AA974" i="11"/>
  <c r="AA1198" i="11"/>
  <c r="AA2245" i="11"/>
  <c r="AB1806" i="11"/>
  <c r="AA2030" i="11"/>
  <c r="AB2885" i="11"/>
  <c r="AB2509" i="11"/>
  <c r="AA1806" i="11"/>
  <c r="AB2030" i="11"/>
  <c r="AA2885" i="11"/>
  <c r="AB2573" i="11"/>
  <c r="L194" i="54"/>
  <c r="AA1582" i="11"/>
  <c r="AA1614" i="11"/>
  <c r="AA1910" i="11"/>
  <c r="AB2215" i="11"/>
  <c r="AA2455" i="11"/>
  <c r="AB2239" i="11"/>
  <c r="AA2759" i="11"/>
  <c r="AA3079" i="11"/>
  <c r="AB3399" i="11"/>
  <c r="AA3711" i="11"/>
  <c r="AB134" i="11"/>
  <c r="AB3277" i="11"/>
  <c r="AB3533" i="11"/>
  <c r="AB2301" i="11"/>
  <c r="AA2557" i="11"/>
  <c r="AA3389" i="11"/>
  <c r="AB3645" i="11"/>
  <c r="AB222" i="11"/>
  <c r="M184" i="54"/>
  <c r="AB438" i="11"/>
  <c r="AA2893" i="11"/>
  <c r="AA350" i="11"/>
  <c r="AA638" i="11"/>
  <c r="L170" i="54"/>
  <c r="L79" i="54" s="1"/>
  <c r="AB670" i="11"/>
  <c r="AA950" i="11"/>
  <c r="L193" i="54"/>
  <c r="AA2877" i="11"/>
  <c r="AA3133" i="11"/>
  <c r="AA766" i="11"/>
  <c r="AA1070" i="11"/>
  <c r="AA1294" i="11"/>
  <c r="AA1406" i="11"/>
  <c r="AB1686" i="11"/>
  <c r="M195" i="54"/>
  <c r="AB2309" i="11"/>
  <c r="AA2565" i="11"/>
  <c r="AB2317" i="11"/>
  <c r="M183" i="54"/>
  <c r="AB982" i="11"/>
  <c r="AA1270" i="11"/>
  <c r="L177" i="54"/>
  <c r="AB1382" i="11"/>
  <c r="AA3141" i="11"/>
  <c r="AA3397" i="11"/>
  <c r="AA3653" i="11"/>
  <c r="AA2767" i="11"/>
  <c r="AB2325" i="11"/>
  <c r="AB2581" i="11"/>
  <c r="AA3221" i="11"/>
  <c r="AA3477" i="11"/>
  <c r="AB3733" i="11"/>
  <c r="AA2589" i="11"/>
  <c r="AB958" i="11"/>
  <c r="AB1278" i="11"/>
  <c r="AB2431" i="11"/>
  <c r="AB2871" i="11"/>
  <c r="AB3191" i="11"/>
  <c r="AA3511" i="11"/>
  <c r="AB2789" i="11"/>
  <c r="AB3045" i="11"/>
  <c r="AA3429" i="11"/>
  <c r="AB3181" i="11"/>
  <c r="AB334" i="11"/>
  <c r="AA654" i="11"/>
  <c r="AB1830" i="11"/>
  <c r="AB2110" i="11"/>
  <c r="M167" i="54"/>
  <c r="M76" i="54" s="1"/>
  <c r="AA2709" i="11"/>
  <c r="AB2357" i="11"/>
  <c r="AA3279" i="11"/>
  <c r="AB2717" i="11"/>
  <c r="AB3357" i="11"/>
  <c r="AA3613" i="11"/>
  <c r="AA1510" i="11"/>
  <c r="M169" i="54"/>
  <c r="M78" i="54" s="1"/>
  <c r="AB2213" i="11"/>
  <c r="AA2413" i="11"/>
  <c r="AB2669" i="11"/>
  <c r="AB2965" i="11"/>
  <c r="AA2333" i="11"/>
  <c r="AB2525" i="11"/>
  <c r="M168" i="54"/>
  <c r="M77" i="54" s="1"/>
  <c r="AB2781" i="11"/>
  <c r="AB1702" i="11"/>
  <c r="AB2469" i="11"/>
  <c r="AA966" i="11"/>
  <c r="AA1286" i="11"/>
  <c r="AB2319" i="11"/>
  <c r="AA2559" i="11"/>
  <c r="AB3263" i="11"/>
  <c r="AB3687" i="11"/>
  <c r="AA2909" i="11"/>
  <c r="AA3165" i="11"/>
  <c r="AA2751" i="11"/>
  <c r="AA3607" i="11"/>
  <c r="AA2805" i="11"/>
  <c r="AA3061" i="11"/>
  <c r="AA3317" i="11"/>
  <c r="AA3573" i="11"/>
  <c r="AA142" i="11"/>
  <c r="AB454" i="11"/>
  <c r="AA2014" i="11"/>
  <c r="AA2861" i="11"/>
  <c r="AB3309" i="11"/>
  <c r="AA3565" i="11"/>
  <c r="AB1398" i="11"/>
  <c r="AA1502" i="11"/>
  <c r="AB2006" i="11"/>
  <c r="M166" i="54"/>
  <c r="M75" i="54" s="1"/>
  <c r="AB2038" i="11"/>
  <c r="AB2335" i="11"/>
  <c r="AA2735" i="11"/>
  <c r="L172" i="54"/>
  <c r="L81" i="54" s="1"/>
  <c r="AB3824" i="11"/>
  <c r="AB2447" i="11"/>
  <c r="AB2951" i="11"/>
  <c r="AB3271" i="11"/>
  <c r="AA3583" i="11"/>
  <c r="AB3792" i="11"/>
  <c r="M181" i="54"/>
  <c r="AA3149" i="11"/>
  <c r="AA3405" i="11"/>
  <c r="AA3661" i="11"/>
  <c r="AB3087" i="11"/>
  <c r="AA2429" i="11"/>
  <c r="AB2685" i="11"/>
  <c r="AA3517" i="11"/>
  <c r="AA126" i="11"/>
  <c r="AA254" i="11"/>
  <c r="AA534" i="11"/>
  <c r="L191" i="54"/>
  <c r="AB566" i="11"/>
  <c r="AA2765" i="11"/>
  <c r="AA3021" i="11"/>
  <c r="AB542" i="11"/>
  <c r="AB742" i="11"/>
  <c r="M199" i="54"/>
  <c r="AB862" i="11"/>
  <c r="AA2749" i="11"/>
  <c r="AA3005" i="11"/>
  <c r="AA1790" i="11"/>
  <c r="L197" i="54"/>
  <c r="AA2341" i="11"/>
  <c r="AA2597" i="11"/>
  <c r="AB1062" i="11"/>
  <c r="M201" i="54"/>
  <c r="AB1094" i="11"/>
  <c r="AB2142" i="11"/>
  <c r="AB2439" i="11"/>
  <c r="AA3071" i="11"/>
  <c r="AA3391" i="11"/>
  <c r="AA3503" i="11"/>
  <c r="AA3800" i="11"/>
  <c r="AA3037" i="11"/>
  <c r="AB2879" i="11"/>
  <c r="AA2933" i="11"/>
  <c r="AB3189" i="11"/>
  <c r="AA3445" i="11"/>
  <c r="AA3701" i="11"/>
  <c r="AA2863" i="11"/>
  <c r="AB1718" i="11"/>
  <c r="AA1934" i="11"/>
  <c r="AA2821" i="11"/>
  <c r="AA2445" i="11"/>
  <c r="AB2118" i="11"/>
  <c r="AA2573" i="11"/>
  <c r="AB1582" i="11"/>
  <c r="M194" i="54"/>
  <c r="AB1614" i="11"/>
  <c r="AB1910" i="11"/>
  <c r="AA2247" i="11"/>
  <c r="AA2543" i="11"/>
  <c r="AA2327" i="11"/>
  <c r="AB2855" i="11"/>
  <c r="AA3175" i="11"/>
  <c r="AB3495" i="11"/>
  <c r="AA134" i="11"/>
  <c r="AA3277" i="11"/>
  <c r="AA3533" i="11"/>
  <c r="AA2301" i="11"/>
  <c r="AB2557" i="11"/>
  <c r="AB3453" i="11"/>
  <c r="AA3709" i="11"/>
  <c r="AA438" i="11"/>
  <c r="AA2957" i="11"/>
  <c r="AA446" i="11"/>
  <c r="AA774" i="11"/>
  <c r="AB2877" i="11"/>
  <c r="AB3133" i="11"/>
  <c r="AB766" i="11"/>
  <c r="AB1070" i="11"/>
  <c r="AB1294" i="11"/>
  <c r="AB1494" i="11"/>
  <c r="AA2309" i="11"/>
  <c r="AB2565" i="11"/>
  <c r="AA982" i="11"/>
  <c r="AB1270" i="11"/>
  <c r="M177" i="54"/>
  <c r="AB3141" i="11"/>
  <c r="AB3397" i="11"/>
  <c r="AB3653" i="11"/>
  <c r="AB2389" i="11"/>
  <c r="AA2645" i="11"/>
  <c r="AA3301" i="11"/>
  <c r="AB3221" i="11"/>
  <c r="AB3477" i="11"/>
  <c r="AA3733" i="11"/>
  <c r="AA990" i="11"/>
  <c r="AA2134" i="11"/>
  <c r="AB2551" i="11"/>
  <c r="AB2967" i="11"/>
  <c r="AA3287" i="11"/>
  <c r="AA3599" i="11"/>
  <c r="AA2789" i="11"/>
  <c r="AA3045" i="11"/>
  <c r="AB3429" i="11"/>
  <c r="AA3685" i="11"/>
  <c r="L192" i="54"/>
  <c r="AB118" i="11"/>
  <c r="AA1926" i="11"/>
  <c r="AB2709" i="11"/>
  <c r="AB3279" i="11"/>
  <c r="AA3357" i="11"/>
  <c r="AB3613" i="11"/>
  <c r="AA1478" i="11"/>
  <c r="L180" i="54"/>
  <c r="AB1590" i="11"/>
  <c r="AA2213" i="11"/>
  <c r="L169" i="54"/>
  <c r="L78" i="54" s="1"/>
  <c r="AB2413" i="11"/>
  <c r="AB2773" i="11"/>
  <c r="AA3029" i="11"/>
  <c r="AB2397" i="11"/>
  <c r="AA2845" i="11"/>
  <c r="L175" i="54"/>
  <c r="AA2469" i="11"/>
  <c r="AB966" i="11"/>
  <c r="AA2319" i="11"/>
  <c r="AB2559" i="11"/>
  <c r="AA3295" i="11"/>
  <c r="AB3719" i="11"/>
  <c r="AB2973" i="11"/>
  <c r="AB2751" i="11"/>
  <c r="AB3607" i="11"/>
  <c r="AB2805" i="11"/>
  <c r="AB3061" i="11"/>
  <c r="AB3317" i="11"/>
  <c r="AB3573" i="11"/>
  <c r="AA238" i="11"/>
  <c r="AA454" i="11"/>
  <c r="AB2014" i="11"/>
  <c r="AB2861" i="11"/>
  <c r="AB3053" i="11"/>
  <c r="M173" i="54"/>
  <c r="M82" i="54" s="1"/>
  <c r="AB3373" i="11"/>
  <c r="AA3629" i="11"/>
  <c r="AA1486" i="11"/>
  <c r="AA2381" i="11"/>
  <c r="AA2637" i="11"/>
  <c r="L171" i="54"/>
  <c r="L80" i="54" s="1"/>
  <c r="AA1694" i="11"/>
  <c r="AB2247" i="11"/>
  <c r="AB2543" i="11"/>
  <c r="AB2327" i="11"/>
  <c r="AA2855" i="11"/>
  <c r="AB3175" i="11"/>
  <c r="AA3495" i="11"/>
  <c r="AA230" i="11"/>
  <c r="AB3085" i="11"/>
  <c r="AA3341" i="11"/>
  <c r="AB3597" i="11"/>
  <c r="AB3055" i="11"/>
  <c r="AA2365" i="11"/>
  <c r="AB2621" i="11"/>
  <c r="AA3453" i="11"/>
  <c r="AB3709" i="11"/>
  <c r="AB2957" i="11"/>
  <c r="AB446" i="11"/>
  <c r="AB774" i="11"/>
  <c r="AA2941" i="11"/>
  <c r="AB3197" i="11"/>
  <c r="AB854" i="11"/>
  <c r="AA1494" i="11"/>
  <c r="AB2373" i="11"/>
  <c r="AB2629" i="11"/>
  <c r="AB1078" i="11"/>
  <c r="AB3205" i="11"/>
  <c r="AA3461" i="11"/>
  <c r="AA3717" i="11"/>
  <c r="AA2389" i="11"/>
  <c r="AB2645" i="11"/>
  <c r="AB3301" i="11"/>
  <c r="AA3285" i="11"/>
  <c r="AB3541" i="11"/>
  <c r="AB2653" i="11"/>
  <c r="AB990" i="11"/>
  <c r="AB2134" i="11"/>
  <c r="AA2551" i="11"/>
  <c r="AA2967" i="11"/>
  <c r="AB3287" i="11"/>
  <c r="AB3599" i="11"/>
  <c r="AA2853" i="11"/>
  <c r="AA3109" i="11"/>
  <c r="AA3493" i="11"/>
  <c r="AB3685" i="11"/>
  <c r="M192" i="54"/>
  <c r="AA118" i="11"/>
  <c r="AB1926" i="11"/>
  <c r="AB2421" i="11"/>
  <c r="M182" i="54"/>
  <c r="AA3375" i="11"/>
  <c r="AA3421" i="11"/>
  <c r="AB3677" i="11"/>
  <c r="AB1478" i="11"/>
  <c r="M180" i="54"/>
  <c r="AA1590" i="11"/>
  <c r="AA2221" i="11"/>
  <c r="AA2477" i="11"/>
  <c r="AB758" i="11"/>
  <c r="AA2773" i="11"/>
  <c r="AB3029" i="11"/>
  <c r="AA2397" i="11"/>
  <c r="AB2845" i="11"/>
  <c r="M175" i="54"/>
  <c r="AB3229" i="11"/>
  <c r="AA2277" i="11"/>
  <c r="AA2533" i="11"/>
  <c r="AB2351" i="11"/>
  <c r="AB3295" i="11"/>
  <c r="AB3575" i="11"/>
  <c r="M178" i="54"/>
  <c r="AA3719" i="11"/>
  <c r="AA2973" i="11"/>
  <c r="AA2847" i="11"/>
  <c r="AA3703" i="11"/>
  <c r="AA2869" i="11"/>
  <c r="AB3125" i="11"/>
  <c r="AB3381" i="11"/>
  <c r="AB3637" i="11"/>
  <c r="AB238" i="11"/>
  <c r="AB550" i="11"/>
  <c r="AB2925" i="11"/>
  <c r="AA3373" i="11"/>
  <c r="AB3629" i="11"/>
  <c r="AB1486" i="11"/>
  <c r="AB2613" i="11"/>
  <c r="AB2485" i="11"/>
  <c r="AB1694" i="11"/>
  <c r="AA2038" i="11"/>
  <c r="AA2335" i="11"/>
  <c r="AA3824" i="11"/>
  <c r="AA2447" i="11"/>
  <c r="AA2951" i="11"/>
  <c r="AA3271" i="11"/>
  <c r="AB3583" i="11"/>
  <c r="AA3792" i="11"/>
  <c r="L181" i="54"/>
  <c r="AB230" i="11"/>
  <c r="AA3085" i="11"/>
  <c r="AB3341" i="11"/>
  <c r="AA3597" i="11"/>
  <c r="AA3055" i="11"/>
  <c r="AB2365" i="11"/>
  <c r="AA2621" i="11"/>
  <c r="AB3517" i="11"/>
  <c r="AB126" i="11"/>
  <c r="AA566" i="11"/>
  <c r="AB2765" i="11"/>
  <c r="AB3021" i="11"/>
  <c r="AA542" i="11"/>
  <c r="AA742" i="11"/>
  <c r="L199" i="54"/>
  <c r="AA862" i="11"/>
  <c r="AB2941" i="11"/>
  <c r="AA3197" i="11"/>
  <c r="AA854" i="11"/>
  <c r="AB1606" i="11"/>
  <c r="AA2373" i="11"/>
  <c r="AA2629" i="11"/>
  <c r="AB2253" i="11"/>
  <c r="AA1078" i="11"/>
  <c r="AA3205" i="11"/>
  <c r="AB3461" i="11"/>
  <c r="AB3717" i="11"/>
  <c r="AB2197" i="11"/>
  <c r="AB2453" i="11"/>
  <c r="AB3285" i="11"/>
  <c r="AA3541" i="11"/>
  <c r="AA750" i="11"/>
  <c r="AA1086" i="11"/>
  <c r="AB2223" i="11"/>
  <c r="AA2743" i="11"/>
  <c r="AB3063" i="11"/>
  <c r="AA3383" i="11"/>
  <c r="AA3695" i="11"/>
  <c r="AB2853" i="11"/>
  <c r="AB3109" i="11"/>
  <c r="AB3493" i="11"/>
  <c r="AA150" i="11"/>
  <c r="AA430" i="11"/>
  <c r="L190" i="54"/>
  <c r="AA462" i="11"/>
  <c r="AB1710" i="11"/>
  <c r="AB2022" i="11"/>
  <c r="AA3749" i="11"/>
  <c r="AA2229" i="11"/>
  <c r="L182" i="54"/>
  <c r="AA2421" i="11"/>
  <c r="AB3375" i="11"/>
  <c r="AB3421" i="11"/>
  <c r="AA3677" i="11"/>
  <c r="AB2221" i="11"/>
  <c r="AB2477" i="11"/>
  <c r="AA758" i="11"/>
  <c r="AA2837" i="11"/>
  <c r="AA3093" i="11"/>
  <c r="AA2959" i="11"/>
  <c r="AB2205" i="11"/>
  <c r="AA2461" i="11"/>
  <c r="AA3229" i="11"/>
  <c r="AB1790" i="11"/>
  <c r="M197" i="54"/>
  <c r="AB2277" i="11"/>
  <c r="AB2533" i="11"/>
  <c r="AA1094" i="11"/>
  <c r="AA2351" i="11"/>
  <c r="AB3071" i="11"/>
  <c r="AB3391" i="11"/>
  <c r="AB3503" i="11"/>
  <c r="AB3800" i="11"/>
  <c r="AB3037" i="11"/>
  <c r="AB2847" i="11"/>
  <c r="AB3703" i="11"/>
  <c r="AB2869" i="11"/>
  <c r="AA3125" i="11"/>
  <c r="AA3381" i="11"/>
  <c r="AA3637" i="11"/>
  <c r="AA550" i="11"/>
  <c r="AA2925" i="11"/>
  <c r="AB3437" i="11"/>
  <c r="AA3693" i="11"/>
  <c r="AB1598" i="11"/>
  <c r="AA2613" i="11"/>
  <c r="AA2485" i="11"/>
  <c r="AB12" i="11"/>
  <c r="Y3890" i="11"/>
  <c r="M202" i="54"/>
  <c r="E36" i="5"/>
  <c r="E37" i="5" s="1"/>
  <c r="AA41" i="21"/>
  <c r="X162" i="54"/>
  <c r="W163" i="54"/>
  <c r="X163" i="54" s="1"/>
  <c r="L202" i="54"/>
  <c r="AA12" i="11"/>
  <c r="V3890" i="11"/>
  <c r="L16" i="54"/>
  <c r="N395" i="54"/>
  <c r="M395" i="54"/>
  <c r="T395" i="54"/>
  <c r="T403" i="54" s="1"/>
  <c r="T15" i="54" s="1"/>
  <c r="AC226" i="54"/>
  <c r="AF226" i="54" s="1"/>
  <c r="AB233" i="54"/>
  <c r="AE233" i="54" s="1"/>
  <c r="AC209" i="54" l="1"/>
  <c r="AF209" i="54" s="1"/>
  <c r="I113" i="54"/>
  <c r="J113" i="54" s="1"/>
  <c r="H122" i="54"/>
  <c r="I122" i="54" s="1"/>
  <c r="J122" i="54" s="1"/>
  <c r="U122" i="54"/>
  <c r="AC113" i="54"/>
  <c r="AF113" i="54" s="1"/>
  <c r="T122" i="54"/>
  <c r="AB113" i="54"/>
  <c r="AE113" i="54" s="1"/>
  <c r="N72" i="54"/>
  <c r="H72" i="54"/>
  <c r="N122" i="54"/>
  <c r="O122" i="54"/>
  <c r="AC206" i="54"/>
  <c r="AF206" i="54" s="1"/>
  <c r="M105" i="54"/>
  <c r="M55" i="54"/>
  <c r="M109" i="54"/>
  <c r="M59" i="54"/>
  <c r="L111" i="54"/>
  <c r="L61" i="54"/>
  <c r="M103" i="54"/>
  <c r="M53" i="54"/>
  <c r="M107" i="54"/>
  <c r="M57" i="54"/>
  <c r="M104" i="54"/>
  <c r="M54" i="54"/>
  <c r="L108" i="54"/>
  <c r="L58" i="54"/>
  <c r="L101" i="54"/>
  <c r="L51" i="54"/>
  <c r="L104" i="54"/>
  <c r="L54" i="54"/>
  <c r="L102" i="54"/>
  <c r="L52" i="54"/>
  <c r="L103" i="54"/>
  <c r="L53" i="54"/>
  <c r="L107" i="54"/>
  <c r="L57" i="54"/>
  <c r="M108" i="54"/>
  <c r="M58" i="54"/>
  <c r="L109" i="54"/>
  <c r="L59" i="54"/>
  <c r="L110" i="54"/>
  <c r="L60" i="54"/>
  <c r="M110" i="54"/>
  <c r="M60" i="54"/>
  <c r="M106" i="54"/>
  <c r="M56" i="54"/>
  <c r="M111" i="54"/>
  <c r="M61" i="54"/>
  <c r="M101" i="54"/>
  <c r="M51" i="54"/>
  <c r="L106" i="54"/>
  <c r="L56" i="54"/>
  <c r="M102" i="54"/>
  <c r="M52" i="54"/>
  <c r="L105" i="54"/>
  <c r="L55" i="54"/>
  <c r="L100" i="54"/>
  <c r="L50" i="54"/>
  <c r="M96" i="54"/>
  <c r="M46" i="54"/>
  <c r="M98" i="54"/>
  <c r="M48" i="54"/>
  <c r="L98" i="54"/>
  <c r="L48" i="54"/>
  <c r="L99" i="54"/>
  <c r="L49" i="54"/>
  <c r="M100" i="54"/>
  <c r="M50" i="54"/>
  <c r="L96" i="54"/>
  <c r="L46" i="54"/>
  <c r="M97" i="54"/>
  <c r="M47" i="54"/>
  <c r="L97" i="54"/>
  <c r="L47" i="54"/>
  <c r="M99" i="54"/>
  <c r="M49" i="54"/>
  <c r="L95" i="54"/>
  <c r="M95" i="54"/>
  <c r="M45" i="54"/>
  <c r="L91" i="54"/>
  <c r="L41" i="54"/>
  <c r="L87" i="54"/>
  <c r="L37" i="54"/>
  <c r="M92" i="54"/>
  <c r="M42" i="54"/>
  <c r="M94" i="54"/>
  <c r="M44" i="54"/>
  <c r="L88" i="54"/>
  <c r="L38" i="54"/>
  <c r="M87" i="54"/>
  <c r="M37" i="54"/>
  <c r="M89" i="54"/>
  <c r="M39" i="54"/>
  <c r="M88" i="54"/>
  <c r="M38" i="54"/>
  <c r="L90" i="54"/>
  <c r="L40" i="54"/>
  <c r="L94" i="54"/>
  <c r="L44" i="54"/>
  <c r="M91" i="54"/>
  <c r="M41" i="54"/>
  <c r="M90" i="54"/>
  <c r="M40" i="54"/>
  <c r="L86" i="54"/>
  <c r="L36" i="54"/>
  <c r="L93" i="54"/>
  <c r="L43" i="54"/>
  <c r="L89" i="54"/>
  <c r="L39" i="54"/>
  <c r="M86" i="54"/>
  <c r="M36" i="54"/>
  <c r="M93" i="54"/>
  <c r="M43" i="54"/>
  <c r="L92" i="54"/>
  <c r="L42" i="54"/>
  <c r="L85" i="54"/>
  <c r="M85" i="54"/>
  <c r="M84" i="54"/>
  <c r="M34" i="54"/>
  <c r="L84" i="54"/>
  <c r="L34" i="54"/>
  <c r="AC217" i="54"/>
  <c r="AF217" i="54" s="1"/>
  <c r="M26" i="54"/>
  <c r="M27" i="54"/>
  <c r="M33" i="54"/>
  <c r="M30" i="54"/>
  <c r="AC210" i="54"/>
  <c r="AF210" i="54" s="1"/>
  <c r="AC119" i="54"/>
  <c r="AF119" i="54" s="1"/>
  <c r="AB209" i="54"/>
  <c r="AE209" i="54" s="1"/>
  <c r="AB118" i="54"/>
  <c r="AE118" i="54" s="1"/>
  <c r="L33" i="54"/>
  <c r="AB210" i="54"/>
  <c r="AE210" i="54" s="1"/>
  <c r="AB119" i="54"/>
  <c r="AE119" i="54" s="1"/>
  <c r="AB212" i="54"/>
  <c r="AE212" i="54" s="1"/>
  <c r="AB121" i="54"/>
  <c r="AE121" i="54" s="1"/>
  <c r="AC208" i="54"/>
  <c r="AF208" i="54" s="1"/>
  <c r="AC117" i="54"/>
  <c r="AF117" i="54" s="1"/>
  <c r="AC213" i="54"/>
  <c r="AF213" i="54" s="1"/>
  <c r="L28" i="54"/>
  <c r="M28" i="54"/>
  <c r="AC207" i="54"/>
  <c r="AF207" i="54" s="1"/>
  <c r="AC116" i="54"/>
  <c r="AF116" i="54" s="1"/>
  <c r="AB213" i="54"/>
  <c r="AE213" i="54" s="1"/>
  <c r="AC212" i="54"/>
  <c r="AF212" i="54" s="1"/>
  <c r="AC121" i="54"/>
  <c r="AF121" i="54" s="1"/>
  <c r="L30" i="54"/>
  <c r="L32" i="54"/>
  <c r="AB211" i="54"/>
  <c r="AE211" i="54" s="1"/>
  <c r="AB120" i="54"/>
  <c r="AE120" i="54" s="1"/>
  <c r="AC211" i="54"/>
  <c r="AF211" i="54" s="1"/>
  <c r="AC120" i="54"/>
  <c r="AF120" i="54" s="1"/>
  <c r="AB208" i="54"/>
  <c r="AE208" i="54" s="1"/>
  <c r="AB117" i="54"/>
  <c r="AE117" i="54" s="1"/>
  <c r="L31" i="54"/>
  <c r="M32" i="54"/>
  <c r="L29" i="54"/>
  <c r="L26" i="54"/>
  <c r="M29" i="54"/>
  <c r="M31" i="54"/>
  <c r="L27" i="54"/>
  <c r="AB206" i="54"/>
  <c r="AE206" i="54" s="1"/>
  <c r="AB115" i="54"/>
  <c r="AB207" i="54"/>
  <c r="AE207" i="54" s="1"/>
  <c r="AB116" i="54"/>
  <c r="AE116" i="54" s="1"/>
  <c r="L126" i="54"/>
  <c r="L75" i="54"/>
  <c r="L25" i="54"/>
  <c r="AC236" i="54"/>
  <c r="AF236" i="54" s="1"/>
  <c r="I13" i="54"/>
  <c r="J13" i="54" s="1"/>
  <c r="I217" i="54"/>
  <c r="J217" i="54" s="1"/>
  <c r="AC239" i="54"/>
  <c r="AF239" i="54" s="1"/>
  <c r="I225" i="54"/>
  <c r="J225" i="54" s="1"/>
  <c r="I228" i="54"/>
  <c r="J228" i="54" s="1"/>
  <c r="AB242" i="54"/>
  <c r="AE242" i="54" s="1"/>
  <c r="AC232" i="54"/>
  <c r="AF232" i="54" s="1"/>
  <c r="AB229" i="54"/>
  <c r="AE229" i="54" s="1"/>
  <c r="M7" i="54"/>
  <c r="I236" i="54"/>
  <c r="J236" i="54" s="1"/>
  <c r="AC218" i="54"/>
  <c r="AF218" i="54" s="1"/>
  <c r="I223" i="54"/>
  <c r="J223" i="54" s="1"/>
  <c r="I237" i="54"/>
  <c r="J237" i="54" s="1"/>
  <c r="I241" i="54"/>
  <c r="J241" i="54" s="1"/>
  <c r="I230" i="54"/>
  <c r="J230" i="54" s="1"/>
  <c r="AC227" i="54"/>
  <c r="AF227" i="54" s="1"/>
  <c r="AB232" i="54"/>
  <c r="AE232" i="54" s="1"/>
  <c r="AB218" i="54"/>
  <c r="AE218" i="54" s="1"/>
  <c r="AC224" i="54"/>
  <c r="AF224" i="54" s="1"/>
  <c r="AB222" i="54"/>
  <c r="AE222" i="54" s="1"/>
  <c r="AC223" i="54"/>
  <c r="AF223" i="54" s="1"/>
  <c r="AC238" i="54"/>
  <c r="AF238" i="54" s="1"/>
  <c r="AB217" i="54"/>
  <c r="AE217" i="54" s="1"/>
  <c r="I238" i="54"/>
  <c r="J238" i="54" s="1"/>
  <c r="AC240" i="54"/>
  <c r="AF240" i="54" s="1"/>
  <c r="AB241" i="54"/>
  <c r="AE241" i="54" s="1"/>
  <c r="AC228" i="54"/>
  <c r="AF228" i="54" s="1"/>
  <c r="I234" i="54"/>
  <c r="J234" i="54" s="1"/>
  <c r="I220" i="54"/>
  <c r="J220" i="54" s="1"/>
  <c r="AB221" i="54"/>
  <c r="AE221" i="54" s="1"/>
  <c r="AB240" i="54"/>
  <c r="AE240" i="54" s="1"/>
  <c r="I222" i="54"/>
  <c r="J222" i="54" s="1"/>
  <c r="AB236" i="54"/>
  <c r="AE236" i="54" s="1"/>
  <c r="AC221" i="54"/>
  <c r="AF221" i="54" s="1"/>
  <c r="AC219" i="54"/>
  <c r="AF219" i="54" s="1"/>
  <c r="AB216" i="54"/>
  <c r="AE216" i="54" s="1"/>
  <c r="I233" i="54"/>
  <c r="J233" i="54" s="1"/>
  <c r="I219" i="54"/>
  <c r="J219" i="54" s="1"/>
  <c r="I224" i="54"/>
  <c r="J224" i="54" s="1"/>
  <c r="I242" i="54"/>
  <c r="J242" i="54" s="1"/>
  <c r="I294" i="54"/>
  <c r="J294" i="54" s="1"/>
  <c r="I227" i="54"/>
  <c r="J227" i="54" s="1"/>
  <c r="AC229" i="54"/>
  <c r="AF229" i="54" s="1"/>
  <c r="AB219" i="54"/>
  <c r="AE219" i="54" s="1"/>
  <c r="AB237" i="54"/>
  <c r="AE237" i="54" s="1"/>
  <c r="I231" i="54"/>
  <c r="J231" i="54" s="1"/>
  <c r="AB225" i="54"/>
  <c r="AE225" i="54" s="1"/>
  <c r="I240" i="54"/>
  <c r="J240" i="54" s="1"/>
  <c r="AB227" i="54"/>
  <c r="AE227" i="54" s="1"/>
  <c r="AC241" i="54"/>
  <c r="AF241" i="54" s="1"/>
  <c r="I232" i="54"/>
  <c r="J232" i="54" s="1"/>
  <c r="I229" i="54"/>
  <c r="J229" i="54" s="1"/>
  <c r="AC222" i="54"/>
  <c r="AF222" i="54" s="1"/>
  <c r="AB238" i="54"/>
  <c r="AE238" i="54" s="1"/>
  <c r="AC242" i="54"/>
  <c r="AF242" i="54" s="1"/>
  <c r="I239" i="54"/>
  <c r="J239" i="54" s="1"/>
  <c r="I218" i="54"/>
  <c r="J218" i="54" s="1"/>
  <c r="I221" i="54"/>
  <c r="J221" i="54" s="1"/>
  <c r="I226" i="54"/>
  <c r="J226" i="54" s="1"/>
  <c r="AC225" i="54"/>
  <c r="AF225" i="54" s="1"/>
  <c r="AC233" i="54"/>
  <c r="AF233" i="54" s="1"/>
  <c r="I215" i="54"/>
  <c r="J215" i="54" s="1"/>
  <c r="AC220" i="54"/>
  <c r="AF220" i="54" s="1"/>
  <c r="AB230" i="54"/>
  <c r="AE230" i="54" s="1"/>
  <c r="L7" i="54"/>
  <c r="AB224" i="54"/>
  <c r="AE224" i="54" s="1"/>
  <c r="I216" i="54"/>
  <c r="J216" i="54" s="1"/>
  <c r="AB223" i="54"/>
  <c r="AE223" i="54" s="1"/>
  <c r="I235" i="54"/>
  <c r="J235" i="54" s="1"/>
  <c r="AB226" i="54"/>
  <c r="AE226" i="54" s="1"/>
  <c r="AB215" i="54"/>
  <c r="AE215" i="54" s="1"/>
  <c r="AC215" i="54"/>
  <c r="AF215" i="54" s="1"/>
  <c r="AB231" i="54"/>
  <c r="AE231" i="54" s="1"/>
  <c r="AB228" i="54"/>
  <c r="AE228" i="54" s="1"/>
  <c r="AC234" i="54"/>
  <c r="AF234" i="54" s="1"/>
  <c r="AC235" i="54"/>
  <c r="AF235" i="54" s="1"/>
  <c r="M25" i="54"/>
  <c r="H395" i="54"/>
  <c r="M403" i="54"/>
  <c r="N403" i="54"/>
  <c r="G5" i="21"/>
  <c r="F42" i="21"/>
  <c r="G42" i="21" s="1"/>
  <c r="T284" i="54"/>
  <c r="AB284" i="54" s="1"/>
  <c r="AE284" i="54" s="1"/>
  <c r="AB294" i="54"/>
  <c r="AE294" i="54" s="1"/>
  <c r="H284" i="54"/>
  <c r="I284" i="54" s="1"/>
  <c r="J284" i="54" s="1"/>
  <c r="C54" i="33"/>
  <c r="AC284" i="54"/>
  <c r="AF284" i="54" s="1"/>
  <c r="I72" i="54"/>
  <c r="J72" i="54" s="1"/>
  <c r="T72" i="54"/>
  <c r="AC385" i="54"/>
  <c r="AF385" i="54" s="1"/>
  <c r="U13" i="54"/>
  <c r="O67" i="54"/>
  <c r="O72" i="54" s="1"/>
  <c r="O294" i="54"/>
  <c r="O20" i="54" s="1"/>
  <c r="O22" i="54" s="1"/>
  <c r="AC289" i="54"/>
  <c r="AF289" i="54" s="1"/>
  <c r="U67" i="54"/>
  <c r="U294" i="54"/>
  <c r="I20" i="54"/>
  <c r="J20" i="54" s="1"/>
  <c r="H22" i="54"/>
  <c r="I22" i="54" s="1"/>
  <c r="J22" i="54" s="1"/>
  <c r="AF64" i="54"/>
  <c r="AE64" i="54"/>
  <c r="AB72" i="54"/>
  <c r="U243" i="54"/>
  <c r="T243" i="54"/>
  <c r="H243" i="54"/>
  <c r="M131" i="54"/>
  <c r="U171" i="54"/>
  <c r="U80" i="54" s="1"/>
  <c r="T180" i="54"/>
  <c r="T39" i="54" s="1"/>
  <c r="H180" i="54"/>
  <c r="L140" i="54"/>
  <c r="U168" i="54"/>
  <c r="U77" i="54" s="1"/>
  <c r="M128" i="54"/>
  <c r="T191" i="54"/>
  <c r="T50" i="54" s="1"/>
  <c r="H191" i="54"/>
  <c r="H50" i="54" s="1"/>
  <c r="L151" i="54"/>
  <c r="M144" i="54"/>
  <c r="U184" i="54"/>
  <c r="U43" i="54" s="1"/>
  <c r="U196" i="54"/>
  <c r="U55" i="54" s="1"/>
  <c r="M156" i="54"/>
  <c r="M139" i="54"/>
  <c r="U179" i="54"/>
  <c r="U38" i="54" s="1"/>
  <c r="L145" i="54"/>
  <c r="H185" i="54"/>
  <c r="H44" i="54" s="1"/>
  <c r="T185" i="54"/>
  <c r="T44" i="54" s="1"/>
  <c r="T168" i="54"/>
  <c r="T77" i="54" s="1"/>
  <c r="L128" i="54"/>
  <c r="H168" i="54"/>
  <c r="U176" i="54"/>
  <c r="U35" i="54" s="1"/>
  <c r="M136" i="54"/>
  <c r="U191" i="54"/>
  <c r="U50" i="54" s="1"/>
  <c r="M151" i="54"/>
  <c r="T171" i="54"/>
  <c r="T80" i="54" s="1"/>
  <c r="L131" i="54"/>
  <c r="H171" i="54"/>
  <c r="L130" i="54"/>
  <c r="T170" i="54"/>
  <c r="T79" i="54" s="1"/>
  <c r="H170" i="54"/>
  <c r="H29" i="54" s="1"/>
  <c r="L141" i="54"/>
  <c r="H181" i="54"/>
  <c r="H40" i="54" s="1"/>
  <c r="T181" i="54"/>
  <c r="U166" i="54"/>
  <c r="U75" i="54" s="1"/>
  <c r="M126" i="54"/>
  <c r="M134" i="54"/>
  <c r="U174" i="54"/>
  <c r="U83" i="54" s="1"/>
  <c r="T195" i="54"/>
  <c r="T54" i="54" s="1"/>
  <c r="L155" i="54"/>
  <c r="H195" i="54"/>
  <c r="H54" i="54" s="1"/>
  <c r="M153" i="54"/>
  <c r="U193" i="54"/>
  <c r="U52" i="54" s="1"/>
  <c r="L133" i="54"/>
  <c r="T173" i="54"/>
  <c r="T82" i="54" s="1"/>
  <c r="H173" i="54"/>
  <c r="H32" i="54" s="1"/>
  <c r="H196" i="54"/>
  <c r="H55" i="54" s="1"/>
  <c r="L156" i="54"/>
  <c r="T196" i="54"/>
  <c r="T55" i="54" s="1"/>
  <c r="U190" i="54"/>
  <c r="U49" i="54" s="1"/>
  <c r="M150" i="54"/>
  <c r="L135" i="54"/>
  <c r="T175" i="54"/>
  <c r="T34" i="54" s="1"/>
  <c r="H175" i="54"/>
  <c r="H34" i="54" s="1"/>
  <c r="L144" i="54"/>
  <c r="T184" i="54"/>
  <c r="T43" i="54" s="1"/>
  <c r="H184" i="54"/>
  <c r="H43" i="54" s="1"/>
  <c r="U186" i="54"/>
  <c r="U45" i="54" s="1"/>
  <c r="M146" i="54"/>
  <c r="H169" i="54"/>
  <c r="H28" i="54" s="1"/>
  <c r="T169" i="54"/>
  <c r="T78" i="54" s="1"/>
  <c r="L129" i="54"/>
  <c r="M154" i="54"/>
  <c r="U194" i="54"/>
  <c r="T172" i="54"/>
  <c r="T81" i="54" s="1"/>
  <c r="H172" i="54"/>
  <c r="H31" i="54" s="1"/>
  <c r="L132" i="54"/>
  <c r="T193" i="54"/>
  <c r="T52" i="54" s="1"/>
  <c r="H193" i="54"/>
  <c r="H52" i="54" s="1"/>
  <c r="L153" i="54"/>
  <c r="L127" i="54"/>
  <c r="T167" i="54"/>
  <c r="T76" i="54" s="1"/>
  <c r="H167" i="54"/>
  <c r="H26" i="54" s="1"/>
  <c r="T188" i="54"/>
  <c r="T47" i="54" s="1"/>
  <c r="H188" i="54"/>
  <c r="H47" i="54" s="1"/>
  <c r="L148" i="54"/>
  <c r="T166" i="54"/>
  <c r="H166" i="54"/>
  <c r="T198" i="54"/>
  <c r="T57" i="54" s="1"/>
  <c r="L158" i="54"/>
  <c r="H198" i="54"/>
  <c r="H57" i="54" s="1"/>
  <c r="H186" i="54"/>
  <c r="H45" i="54" s="1"/>
  <c r="L146" i="54"/>
  <c r="T186" i="54"/>
  <c r="T45" i="54" s="1"/>
  <c r="L150" i="54"/>
  <c r="H190" i="54"/>
  <c r="H49" i="54" s="1"/>
  <c r="T190" i="54"/>
  <c r="T49" i="54" s="1"/>
  <c r="M135" i="54"/>
  <c r="U175" i="54"/>
  <c r="U34" i="54" s="1"/>
  <c r="U169" i="54"/>
  <c r="U78" i="54" s="1"/>
  <c r="M129" i="54"/>
  <c r="U167" i="54"/>
  <c r="U76" i="54" s="1"/>
  <c r="M127" i="54"/>
  <c r="M155" i="54"/>
  <c r="U195" i="54"/>
  <c r="U54" i="54" s="1"/>
  <c r="L139" i="54"/>
  <c r="T179" i="54"/>
  <c r="T38" i="54" s="1"/>
  <c r="H179" i="54"/>
  <c r="H200" i="54"/>
  <c r="H59" i="54" s="1"/>
  <c r="T200" i="54"/>
  <c r="T59" i="54" s="1"/>
  <c r="L160" i="54"/>
  <c r="U172" i="54"/>
  <c r="U81" i="54" s="1"/>
  <c r="M132" i="54"/>
  <c r="T192" i="54"/>
  <c r="T51" i="54" s="1"/>
  <c r="L152" i="54"/>
  <c r="H192" i="54"/>
  <c r="H51" i="54" s="1"/>
  <c r="U187" i="54"/>
  <c r="U46" i="54" s="1"/>
  <c r="M147" i="54"/>
  <c r="M133" i="54"/>
  <c r="U173" i="54"/>
  <c r="U82" i="54" s="1"/>
  <c r="T199" i="54"/>
  <c r="T58" i="54" s="1"/>
  <c r="H199" i="54"/>
  <c r="H58" i="54" s="1"/>
  <c r="L159" i="54"/>
  <c r="U183" i="54"/>
  <c r="U42" i="54" s="1"/>
  <c r="M143" i="54"/>
  <c r="T194" i="54"/>
  <c r="H194" i="54"/>
  <c r="L154" i="54"/>
  <c r="T176" i="54"/>
  <c r="T35" i="54" s="1"/>
  <c r="H176" i="54"/>
  <c r="H35" i="54" s="1"/>
  <c r="L136" i="54"/>
  <c r="U200" i="54"/>
  <c r="U59" i="54" s="1"/>
  <c r="M160" i="54"/>
  <c r="U185" i="54"/>
  <c r="U44" i="54" s="1"/>
  <c r="M145" i="54"/>
  <c r="M158" i="54"/>
  <c r="U198" i="54"/>
  <c r="U57" i="54" s="1"/>
  <c r="L149" i="54"/>
  <c r="T189" i="54"/>
  <c r="T48" i="54" s="1"/>
  <c r="H189" i="54"/>
  <c r="H48" i="54" s="1"/>
  <c r="L142" i="54"/>
  <c r="H182" i="54"/>
  <c r="H41" i="54" s="1"/>
  <c r="T182" i="54"/>
  <c r="T41" i="54" s="1"/>
  <c r="T177" i="54"/>
  <c r="T36" i="54" s="1"/>
  <c r="H177" i="54"/>
  <c r="H36" i="54" s="1"/>
  <c r="L137" i="54"/>
  <c r="M157" i="54"/>
  <c r="U197" i="54"/>
  <c r="U56" i="54" s="1"/>
  <c r="T197" i="54"/>
  <c r="T56" i="54" s="1"/>
  <c r="H197" i="54"/>
  <c r="H56" i="54" s="1"/>
  <c r="L157" i="54"/>
  <c r="U201" i="54"/>
  <c r="U60" i="54" s="1"/>
  <c r="M161" i="54"/>
  <c r="U199" i="54"/>
  <c r="U58" i="54" s="1"/>
  <c r="M159" i="54"/>
  <c r="U181" i="54"/>
  <c r="U40" i="54" s="1"/>
  <c r="M141" i="54"/>
  <c r="H178" i="54"/>
  <c r="H37" i="54" s="1"/>
  <c r="T178" i="54"/>
  <c r="T37" i="54" s="1"/>
  <c r="L138" i="54"/>
  <c r="U189" i="54"/>
  <c r="U48" i="54" s="1"/>
  <c r="M149" i="54"/>
  <c r="L134" i="54"/>
  <c r="T174" i="54"/>
  <c r="T83" i="54" s="1"/>
  <c r="H174" i="54"/>
  <c r="H33" i="54" s="1"/>
  <c r="U188" i="54"/>
  <c r="U47" i="54" s="1"/>
  <c r="M148" i="54"/>
  <c r="T201" i="54"/>
  <c r="T60" i="54" s="1"/>
  <c r="H201" i="54"/>
  <c r="H60" i="54" s="1"/>
  <c r="L161" i="54"/>
  <c r="AA3890" i="11"/>
  <c r="AB3890" i="11"/>
  <c r="U180" i="54"/>
  <c r="U39" i="54" s="1"/>
  <c r="M140" i="54"/>
  <c r="U192" i="54"/>
  <c r="U51" i="54" s="1"/>
  <c r="M152" i="54"/>
  <c r="U178" i="54"/>
  <c r="U37" i="54" s="1"/>
  <c r="M138" i="54"/>
  <c r="U182" i="54"/>
  <c r="U41" i="54" s="1"/>
  <c r="M142" i="54"/>
  <c r="M137" i="54"/>
  <c r="U177" i="54"/>
  <c r="U36" i="54" s="1"/>
  <c r="U170" i="54"/>
  <c r="U79" i="54" s="1"/>
  <c r="M130" i="54"/>
  <c r="L147" i="54"/>
  <c r="T187" i="54"/>
  <c r="T46" i="54" s="1"/>
  <c r="H187" i="54"/>
  <c r="H46" i="54" s="1"/>
  <c r="T183" i="54"/>
  <c r="T42" i="54" s="1"/>
  <c r="H183" i="54"/>
  <c r="H42" i="54" s="1"/>
  <c r="L143" i="54"/>
  <c r="U202" i="54"/>
  <c r="U61" i="54" s="1"/>
  <c r="M162" i="54"/>
  <c r="M203" i="54"/>
  <c r="L203" i="54"/>
  <c r="L162" i="54"/>
  <c r="H202" i="54"/>
  <c r="H61" i="54" s="1"/>
  <c r="T202" i="54"/>
  <c r="T61" i="54" s="1"/>
  <c r="AB41" i="21"/>
  <c r="AA42" i="21"/>
  <c r="AB42" i="21" s="1"/>
  <c r="U395" i="54"/>
  <c r="U403" i="54" s="1"/>
  <c r="M16" i="54"/>
  <c r="O395" i="54"/>
  <c r="AB395" i="54"/>
  <c r="AE395" i="54" s="1"/>
  <c r="I395" i="54" l="1"/>
  <c r="J395" i="54" s="1"/>
  <c r="T103" i="54"/>
  <c r="AB103" i="54" s="1"/>
  <c r="AE103" i="54" s="1"/>
  <c r="T53" i="54"/>
  <c r="AB53" i="54" s="1"/>
  <c r="AE53" i="54" s="1"/>
  <c r="U103" i="54"/>
  <c r="AC103" i="54" s="1"/>
  <c r="AF103" i="54" s="1"/>
  <c r="U53" i="54"/>
  <c r="AC53" i="54" s="1"/>
  <c r="AF53" i="54" s="1"/>
  <c r="H103" i="54"/>
  <c r="I103" i="54" s="1"/>
  <c r="J103" i="54" s="1"/>
  <c r="H53" i="54"/>
  <c r="I53" i="54" s="1"/>
  <c r="J53" i="54" s="1"/>
  <c r="T90" i="54"/>
  <c r="AB90" i="54" s="1"/>
  <c r="AE90" i="54" s="1"/>
  <c r="T40" i="54"/>
  <c r="AB40" i="54" s="1"/>
  <c r="AE40" i="54" s="1"/>
  <c r="H88" i="54"/>
  <c r="I88" i="54" s="1"/>
  <c r="J88" i="54" s="1"/>
  <c r="H38" i="54"/>
  <c r="I38" i="54" s="1"/>
  <c r="J38" i="54" s="1"/>
  <c r="H89" i="54"/>
  <c r="I89" i="54" s="1"/>
  <c r="J89" i="54" s="1"/>
  <c r="H39" i="54"/>
  <c r="I39" i="54" s="1"/>
  <c r="J39" i="54" s="1"/>
  <c r="M112" i="54"/>
  <c r="U85" i="54"/>
  <c r="AC85" i="54" s="1"/>
  <c r="AF85" i="54" s="1"/>
  <c r="L112" i="54"/>
  <c r="H84" i="54"/>
  <c r="H80" i="54"/>
  <c r="I80" i="54" s="1"/>
  <c r="J80" i="54" s="1"/>
  <c r="H30" i="54"/>
  <c r="I30" i="54" s="1"/>
  <c r="J30" i="54" s="1"/>
  <c r="H77" i="54"/>
  <c r="H27" i="54"/>
  <c r="I27" i="54" s="1"/>
  <c r="J27" i="54" s="1"/>
  <c r="H75" i="54"/>
  <c r="I75" i="54" s="1"/>
  <c r="J75" i="54" s="1"/>
  <c r="H25" i="54"/>
  <c r="H104" i="54"/>
  <c r="I104" i="54" s="1"/>
  <c r="J104" i="54" s="1"/>
  <c r="H90" i="54"/>
  <c r="I90" i="54" s="1"/>
  <c r="J90" i="54" s="1"/>
  <c r="H110" i="54"/>
  <c r="I110" i="54" s="1"/>
  <c r="J110" i="54" s="1"/>
  <c r="H81" i="54"/>
  <c r="I81" i="54" s="1"/>
  <c r="J81" i="54" s="1"/>
  <c r="H78" i="54"/>
  <c r="I78" i="54" s="1"/>
  <c r="J78" i="54" s="1"/>
  <c r="H82" i="54"/>
  <c r="I82" i="54" s="1"/>
  <c r="J82" i="54" s="1"/>
  <c r="H96" i="54"/>
  <c r="I96" i="54" s="1"/>
  <c r="J96" i="54" s="1"/>
  <c r="H87" i="54"/>
  <c r="I87" i="54" s="1"/>
  <c r="J87" i="54" s="1"/>
  <c r="H106" i="54"/>
  <c r="I106" i="54" s="1"/>
  <c r="J106" i="54" s="1"/>
  <c r="H86" i="54"/>
  <c r="I86" i="54" s="1"/>
  <c r="J86" i="54" s="1"/>
  <c r="H99" i="54"/>
  <c r="I99" i="54" s="1"/>
  <c r="J99" i="54" s="1"/>
  <c r="H95" i="54"/>
  <c r="I95" i="54" s="1"/>
  <c r="J95" i="54" s="1"/>
  <c r="H100" i="54"/>
  <c r="I100" i="54" s="1"/>
  <c r="J100" i="54" s="1"/>
  <c r="H94" i="54"/>
  <c r="I94" i="54" s="1"/>
  <c r="J94" i="54" s="1"/>
  <c r="H111" i="54"/>
  <c r="I111" i="54" s="1"/>
  <c r="J111" i="54" s="1"/>
  <c r="H98" i="54"/>
  <c r="I98" i="54" s="1"/>
  <c r="J98" i="54" s="1"/>
  <c r="H107" i="54"/>
  <c r="I107" i="54" s="1"/>
  <c r="J107" i="54" s="1"/>
  <c r="H97" i="54"/>
  <c r="I97" i="54" s="1"/>
  <c r="J97" i="54" s="1"/>
  <c r="H108" i="54"/>
  <c r="I108" i="54" s="1"/>
  <c r="J108" i="54" s="1"/>
  <c r="H101" i="54"/>
  <c r="I101" i="54" s="1"/>
  <c r="J101" i="54" s="1"/>
  <c r="H102" i="54"/>
  <c r="I102" i="54" s="1"/>
  <c r="J102" i="54" s="1"/>
  <c r="H85" i="54"/>
  <c r="I85" i="54" s="1"/>
  <c r="J85" i="54" s="1"/>
  <c r="H79" i="54"/>
  <c r="I79" i="54" s="1"/>
  <c r="J79" i="54" s="1"/>
  <c r="H91" i="54"/>
  <c r="I91" i="54" s="1"/>
  <c r="J91" i="54" s="1"/>
  <c r="H105" i="54"/>
  <c r="I105" i="54" s="1"/>
  <c r="J105" i="54" s="1"/>
  <c r="H92" i="54"/>
  <c r="I92" i="54" s="1"/>
  <c r="J92" i="54" s="1"/>
  <c r="H83" i="54"/>
  <c r="I83" i="54" s="1"/>
  <c r="J83" i="54" s="1"/>
  <c r="H109" i="54"/>
  <c r="I109" i="54" s="1"/>
  <c r="J109" i="54" s="1"/>
  <c r="H76" i="54"/>
  <c r="I76" i="54" s="1"/>
  <c r="J76" i="54" s="1"/>
  <c r="H93" i="54"/>
  <c r="I93" i="54" s="1"/>
  <c r="J93" i="54" s="1"/>
  <c r="T111" i="54"/>
  <c r="AB111" i="54" s="1"/>
  <c r="AE111" i="54" s="1"/>
  <c r="T88" i="54"/>
  <c r="AB88" i="54" s="1"/>
  <c r="AE88" i="54" s="1"/>
  <c r="T99" i="54"/>
  <c r="AB99" i="54" s="1"/>
  <c r="AE99" i="54" s="1"/>
  <c r="U87" i="54"/>
  <c r="AC87" i="54" s="1"/>
  <c r="AF87" i="54" s="1"/>
  <c r="U89" i="54"/>
  <c r="AC89" i="54" s="1"/>
  <c r="AF89" i="54" s="1"/>
  <c r="T110" i="54"/>
  <c r="AB110" i="54" s="1"/>
  <c r="AE110" i="54" s="1"/>
  <c r="U108" i="54"/>
  <c r="AC108" i="54" s="1"/>
  <c r="AF108" i="54" s="1"/>
  <c r="U109" i="54"/>
  <c r="AC109" i="54" s="1"/>
  <c r="AF109" i="54" s="1"/>
  <c r="U99" i="54"/>
  <c r="AC99" i="54" s="1"/>
  <c r="AF99" i="54" s="1"/>
  <c r="U105" i="54"/>
  <c r="AC105" i="54" s="1"/>
  <c r="AF105" i="54" s="1"/>
  <c r="T89" i="54"/>
  <c r="AB89" i="54" s="1"/>
  <c r="AE89" i="54" s="1"/>
  <c r="U91" i="54"/>
  <c r="AC91" i="54" s="1"/>
  <c r="AF91" i="54" s="1"/>
  <c r="U111" i="54"/>
  <c r="AC111" i="54" s="1"/>
  <c r="AF111" i="54" s="1"/>
  <c r="T96" i="54"/>
  <c r="AB96" i="54" s="1"/>
  <c r="AE96" i="54" s="1"/>
  <c r="T106" i="54"/>
  <c r="AB106" i="54" s="1"/>
  <c r="AE106" i="54" s="1"/>
  <c r="U96" i="54"/>
  <c r="AC96" i="54" s="1"/>
  <c r="AF96" i="54" s="1"/>
  <c r="T105" i="54"/>
  <c r="AB105" i="54" s="1"/>
  <c r="AE105" i="54" s="1"/>
  <c r="U102" i="54"/>
  <c r="AC102" i="54" s="1"/>
  <c r="AF102" i="54" s="1"/>
  <c r="T104" i="54"/>
  <c r="AB104" i="54" s="1"/>
  <c r="AE104" i="54" s="1"/>
  <c r="U93" i="54"/>
  <c r="AC93" i="54" s="1"/>
  <c r="AF93" i="54" s="1"/>
  <c r="T100" i="54"/>
  <c r="AB100" i="54" s="1"/>
  <c r="AE100" i="54" s="1"/>
  <c r="U97" i="54"/>
  <c r="AC97" i="54" s="1"/>
  <c r="AF97" i="54" s="1"/>
  <c r="U98" i="54"/>
  <c r="AC98" i="54" s="1"/>
  <c r="AF98" i="54" s="1"/>
  <c r="T86" i="54"/>
  <c r="AB86" i="54" s="1"/>
  <c r="AE86" i="54" s="1"/>
  <c r="T98" i="54"/>
  <c r="AB98" i="54" s="1"/>
  <c r="AE98" i="54" s="1"/>
  <c r="U95" i="54"/>
  <c r="AC95" i="54" s="1"/>
  <c r="AF95" i="54" s="1"/>
  <c r="T84" i="54"/>
  <c r="AB84" i="54" s="1"/>
  <c r="AE84" i="54" s="1"/>
  <c r="U110" i="54"/>
  <c r="AC110" i="54" s="1"/>
  <c r="AF110" i="54" s="1"/>
  <c r="U106" i="54"/>
  <c r="AC106" i="54" s="1"/>
  <c r="AF106" i="54" s="1"/>
  <c r="T91" i="54"/>
  <c r="AB91" i="54" s="1"/>
  <c r="AE91" i="54" s="1"/>
  <c r="U94" i="54"/>
  <c r="AC94" i="54" s="1"/>
  <c r="AF94" i="54" s="1"/>
  <c r="T108" i="54"/>
  <c r="AB108" i="54" s="1"/>
  <c r="AE108" i="54" s="1"/>
  <c r="T109" i="54"/>
  <c r="AB109" i="54" s="1"/>
  <c r="AE109" i="54" s="1"/>
  <c r="U104" i="54"/>
  <c r="AC104" i="54" s="1"/>
  <c r="AF104" i="54" s="1"/>
  <c r="T97" i="54"/>
  <c r="AB97" i="54" s="1"/>
  <c r="AE97" i="54" s="1"/>
  <c r="T102" i="54"/>
  <c r="AB102" i="54" s="1"/>
  <c r="AE102" i="54" s="1"/>
  <c r="U100" i="54"/>
  <c r="AC100" i="54" s="1"/>
  <c r="AF100" i="54" s="1"/>
  <c r="U88" i="54"/>
  <c r="AC88" i="54" s="1"/>
  <c r="AF88" i="54" s="1"/>
  <c r="U90" i="54"/>
  <c r="AC90" i="54" s="1"/>
  <c r="AF90" i="54" s="1"/>
  <c r="T85" i="54"/>
  <c r="AB85" i="54" s="1"/>
  <c r="AE85" i="54" s="1"/>
  <c r="U84" i="54"/>
  <c r="AC84" i="54" s="1"/>
  <c r="AF84" i="54" s="1"/>
  <c r="T95" i="54"/>
  <c r="AB95" i="54" s="1"/>
  <c r="AE95" i="54" s="1"/>
  <c r="U101" i="54"/>
  <c r="AC101" i="54" s="1"/>
  <c r="AF101" i="54" s="1"/>
  <c r="U107" i="54"/>
  <c r="AC107" i="54" s="1"/>
  <c r="AF107" i="54" s="1"/>
  <c r="T107" i="54"/>
  <c r="AB107" i="54" s="1"/>
  <c r="AE107" i="54" s="1"/>
  <c r="T94" i="54"/>
  <c r="AB94" i="54" s="1"/>
  <c r="AE94" i="54" s="1"/>
  <c r="T92" i="54"/>
  <c r="AB92" i="54" s="1"/>
  <c r="AE92" i="54" s="1"/>
  <c r="U86" i="54"/>
  <c r="T87" i="54"/>
  <c r="AB87" i="54" s="1"/>
  <c r="AE87" i="54" s="1"/>
  <c r="U92" i="54"/>
  <c r="AC92" i="54" s="1"/>
  <c r="AF92" i="54" s="1"/>
  <c r="T101" i="54"/>
  <c r="AB101" i="54" s="1"/>
  <c r="AE101" i="54" s="1"/>
  <c r="T93" i="54"/>
  <c r="AB93" i="54" s="1"/>
  <c r="AE93" i="54" s="1"/>
  <c r="T27" i="54"/>
  <c r="AB27" i="54" s="1"/>
  <c r="AE27" i="54" s="1"/>
  <c r="AB77" i="54"/>
  <c r="AE77" i="54" s="1"/>
  <c r="AC77" i="54"/>
  <c r="AF77" i="54" s="1"/>
  <c r="U32" i="54"/>
  <c r="AC32" i="54" s="1"/>
  <c r="AF32" i="54" s="1"/>
  <c r="AC82" i="54"/>
  <c r="AF82" i="54" s="1"/>
  <c r="T29" i="54"/>
  <c r="AB29" i="54" s="1"/>
  <c r="AE29" i="54" s="1"/>
  <c r="AB79" i="54"/>
  <c r="AE79" i="54" s="1"/>
  <c r="T28" i="54"/>
  <c r="AB28" i="54" s="1"/>
  <c r="AE28" i="54" s="1"/>
  <c r="AB78" i="54"/>
  <c r="AE78" i="54" s="1"/>
  <c r="AC122" i="54"/>
  <c r="AF122" i="54" s="1"/>
  <c r="T33" i="54"/>
  <c r="AB33" i="54" s="1"/>
  <c r="AE33" i="54" s="1"/>
  <c r="AB83" i="54"/>
  <c r="AE83" i="54" s="1"/>
  <c r="T26" i="54"/>
  <c r="AB26" i="54" s="1"/>
  <c r="AE26" i="54" s="1"/>
  <c r="AB76" i="54"/>
  <c r="AE76" i="54" s="1"/>
  <c r="U27" i="54"/>
  <c r="AC27" i="54" s="1"/>
  <c r="AF27" i="54" s="1"/>
  <c r="L6" i="54"/>
  <c r="L8" i="54" s="1"/>
  <c r="T31" i="54"/>
  <c r="AB31" i="54" s="1"/>
  <c r="AE31" i="54" s="1"/>
  <c r="AB81" i="54"/>
  <c r="AE81" i="54" s="1"/>
  <c r="T32" i="54"/>
  <c r="AB32" i="54" s="1"/>
  <c r="AE32" i="54" s="1"/>
  <c r="AB82" i="54"/>
  <c r="AE82" i="54" s="1"/>
  <c r="M6" i="54"/>
  <c r="M8" i="54" s="1"/>
  <c r="U31" i="54"/>
  <c r="AC31" i="54" s="1"/>
  <c r="AF31" i="54" s="1"/>
  <c r="AC81" i="54"/>
  <c r="AF81" i="54" s="1"/>
  <c r="U26" i="54"/>
  <c r="AC26" i="54" s="1"/>
  <c r="AF26" i="54" s="1"/>
  <c r="AC76" i="54"/>
  <c r="AF76" i="54" s="1"/>
  <c r="T30" i="54"/>
  <c r="AB30" i="54" s="1"/>
  <c r="AE30" i="54" s="1"/>
  <c r="AB80" i="54"/>
  <c r="AE80" i="54" s="1"/>
  <c r="AE115" i="54"/>
  <c r="AB122" i="54"/>
  <c r="AE122" i="54" s="1"/>
  <c r="U29" i="54"/>
  <c r="AC29" i="54" s="1"/>
  <c r="AF29" i="54" s="1"/>
  <c r="AC79" i="54"/>
  <c r="AF79" i="54" s="1"/>
  <c r="U30" i="54"/>
  <c r="AC30" i="54" s="1"/>
  <c r="AF30" i="54" s="1"/>
  <c r="AC80" i="54"/>
  <c r="AF80" i="54" s="1"/>
  <c r="U28" i="54"/>
  <c r="AC28" i="54" s="1"/>
  <c r="AF28" i="54" s="1"/>
  <c r="AC78" i="54"/>
  <c r="AF78" i="54" s="1"/>
  <c r="U33" i="54"/>
  <c r="AC33" i="54" s="1"/>
  <c r="AF33" i="54" s="1"/>
  <c r="AC83" i="54"/>
  <c r="AF83" i="54" s="1"/>
  <c r="T25" i="54"/>
  <c r="T75" i="54"/>
  <c r="AC75" i="54"/>
  <c r="I243" i="54"/>
  <c r="J243" i="54" s="1"/>
  <c r="T7" i="54"/>
  <c r="M15" i="54"/>
  <c r="AC243" i="54"/>
  <c r="AF243" i="54" s="1"/>
  <c r="AC403" i="54"/>
  <c r="AF403" i="54" s="1"/>
  <c r="U15" i="54"/>
  <c r="N16" i="54"/>
  <c r="N15" i="54"/>
  <c r="U25" i="54"/>
  <c r="AC25" i="54" s="1"/>
  <c r="AF25" i="54" s="1"/>
  <c r="O403" i="54"/>
  <c r="L163" i="54"/>
  <c r="T9" i="54"/>
  <c r="T11" i="54" s="1"/>
  <c r="H9" i="54"/>
  <c r="I9" i="54" s="1"/>
  <c r="J9" i="54" s="1"/>
  <c r="L61" i="33"/>
  <c r="G54" i="33"/>
  <c r="C57" i="33"/>
  <c r="D54" i="33"/>
  <c r="M61" i="33"/>
  <c r="H7" i="54"/>
  <c r="I7" i="54" s="1"/>
  <c r="J7" i="54" s="1"/>
  <c r="AE72" i="54"/>
  <c r="U20" i="54"/>
  <c r="U22" i="54" s="1"/>
  <c r="AC294" i="54"/>
  <c r="AF294" i="54" s="1"/>
  <c r="AC67" i="54"/>
  <c r="U72" i="54"/>
  <c r="U7" i="54"/>
  <c r="AB243" i="54"/>
  <c r="AE243" i="54" s="1"/>
  <c r="U131" i="54"/>
  <c r="AC171" i="54"/>
  <c r="AF171" i="54" s="1"/>
  <c r="AB197" i="54"/>
  <c r="AE197" i="54" s="1"/>
  <c r="T157" i="54"/>
  <c r="AB56" i="54"/>
  <c r="AE56" i="54" s="1"/>
  <c r="I189" i="54"/>
  <c r="J189" i="54" s="1"/>
  <c r="I48" i="54"/>
  <c r="J48" i="54" s="1"/>
  <c r="H149" i="54"/>
  <c r="I149" i="54" s="1"/>
  <c r="J149" i="54" s="1"/>
  <c r="I200" i="54"/>
  <c r="J200" i="54" s="1"/>
  <c r="I59" i="54"/>
  <c r="J59" i="54" s="1"/>
  <c r="H160" i="54"/>
  <c r="I160" i="54" s="1"/>
  <c r="J160" i="54" s="1"/>
  <c r="I198" i="54"/>
  <c r="J198" i="54" s="1"/>
  <c r="I57" i="54"/>
  <c r="J57" i="54" s="1"/>
  <c r="H158" i="54"/>
  <c r="I158" i="54" s="1"/>
  <c r="J158" i="54" s="1"/>
  <c r="AC190" i="54"/>
  <c r="AF190" i="54" s="1"/>
  <c r="AC49" i="54"/>
  <c r="AF49" i="54" s="1"/>
  <c r="U150" i="54"/>
  <c r="AB171" i="54"/>
  <c r="AE171" i="54" s="1"/>
  <c r="T131" i="54"/>
  <c r="AC168" i="54"/>
  <c r="AF168" i="54" s="1"/>
  <c r="U128" i="54"/>
  <c r="AC170" i="54"/>
  <c r="AF170" i="54" s="1"/>
  <c r="U130" i="54"/>
  <c r="AC189" i="54"/>
  <c r="AF189" i="54" s="1"/>
  <c r="U149" i="54"/>
  <c r="AC48" i="54"/>
  <c r="AF48" i="54" s="1"/>
  <c r="AB177" i="54"/>
  <c r="AE177" i="54" s="1"/>
  <c r="T137" i="54"/>
  <c r="AB36" i="54"/>
  <c r="AE36" i="54" s="1"/>
  <c r="AB189" i="54"/>
  <c r="AE189" i="54" s="1"/>
  <c r="AB48" i="54"/>
  <c r="AE48" i="54" s="1"/>
  <c r="T149" i="54"/>
  <c r="AB194" i="54"/>
  <c r="AE194" i="54" s="1"/>
  <c r="T154" i="54"/>
  <c r="I199" i="54"/>
  <c r="J199" i="54" s="1"/>
  <c r="H159" i="54"/>
  <c r="I159" i="54" s="1"/>
  <c r="J159" i="54" s="1"/>
  <c r="I58" i="54"/>
  <c r="J58" i="54" s="1"/>
  <c r="I179" i="54"/>
  <c r="J179" i="54" s="1"/>
  <c r="H139" i="54"/>
  <c r="I139" i="54" s="1"/>
  <c r="J139" i="54" s="1"/>
  <c r="AC169" i="54"/>
  <c r="AF169" i="54" s="1"/>
  <c r="U129" i="54"/>
  <c r="AB166" i="54"/>
  <c r="AE166" i="54" s="1"/>
  <c r="T126" i="54"/>
  <c r="H135" i="54"/>
  <c r="I135" i="54" s="1"/>
  <c r="J135" i="54" s="1"/>
  <c r="I34" i="54"/>
  <c r="J34" i="54" s="1"/>
  <c r="I175" i="54"/>
  <c r="J175" i="54" s="1"/>
  <c r="AB196" i="54"/>
  <c r="AE196" i="54" s="1"/>
  <c r="AB55" i="54"/>
  <c r="AE55" i="54" s="1"/>
  <c r="T156" i="54"/>
  <c r="I195" i="54"/>
  <c r="J195" i="54" s="1"/>
  <c r="H155" i="54"/>
  <c r="I155" i="54" s="1"/>
  <c r="J155" i="54" s="1"/>
  <c r="I54" i="54"/>
  <c r="J54" i="54" s="1"/>
  <c r="AC176" i="54"/>
  <c r="AF176" i="54" s="1"/>
  <c r="U136" i="54"/>
  <c r="AC35" i="54"/>
  <c r="AF35" i="54" s="1"/>
  <c r="T145" i="54"/>
  <c r="AB185" i="54"/>
  <c r="AE185" i="54" s="1"/>
  <c r="AB44" i="54"/>
  <c r="AE44" i="54" s="1"/>
  <c r="T127" i="54"/>
  <c r="AB167" i="54"/>
  <c r="AE167" i="54" s="1"/>
  <c r="AC186" i="54"/>
  <c r="AF186" i="54" s="1"/>
  <c r="U146" i="54"/>
  <c r="AC45" i="54"/>
  <c r="AF45" i="54" s="1"/>
  <c r="AB175" i="54"/>
  <c r="AE175" i="54" s="1"/>
  <c r="T135" i="54"/>
  <c r="AB34" i="54"/>
  <c r="AE34" i="54" s="1"/>
  <c r="AC166" i="54"/>
  <c r="AF166" i="54" s="1"/>
  <c r="U126" i="54"/>
  <c r="I170" i="54"/>
  <c r="J170" i="54" s="1"/>
  <c r="I29" i="54"/>
  <c r="J29" i="54" s="1"/>
  <c r="H130" i="54"/>
  <c r="I130" i="54" s="1"/>
  <c r="J130" i="54" s="1"/>
  <c r="M62" i="54"/>
  <c r="M163" i="54"/>
  <c r="AB199" i="54"/>
  <c r="AE199" i="54" s="1"/>
  <c r="T159" i="54"/>
  <c r="AB58" i="54"/>
  <c r="AE58" i="54" s="1"/>
  <c r="L62" i="54"/>
  <c r="I187" i="54"/>
  <c r="J187" i="54" s="1"/>
  <c r="I46" i="54"/>
  <c r="J46" i="54" s="1"/>
  <c r="H147" i="54"/>
  <c r="I147" i="54" s="1"/>
  <c r="J147" i="54" s="1"/>
  <c r="AC177" i="54"/>
  <c r="AF177" i="54" s="1"/>
  <c r="U137" i="54"/>
  <c r="AC36" i="54"/>
  <c r="AF36" i="54" s="1"/>
  <c r="I201" i="54"/>
  <c r="J201" i="54" s="1"/>
  <c r="H161" i="54"/>
  <c r="I161" i="54" s="1"/>
  <c r="J161" i="54" s="1"/>
  <c r="I60" i="54"/>
  <c r="J60" i="54" s="1"/>
  <c r="AB174" i="54"/>
  <c r="AE174" i="54" s="1"/>
  <c r="T134" i="54"/>
  <c r="AC181" i="54"/>
  <c r="AF181" i="54" s="1"/>
  <c r="U141" i="54"/>
  <c r="AC40" i="54"/>
  <c r="AF40" i="54" s="1"/>
  <c r="I182" i="54"/>
  <c r="J182" i="54" s="1"/>
  <c r="H142" i="54"/>
  <c r="I142" i="54" s="1"/>
  <c r="J142" i="54" s="1"/>
  <c r="I41" i="54"/>
  <c r="J41" i="54" s="1"/>
  <c r="AB176" i="54"/>
  <c r="AE176" i="54" s="1"/>
  <c r="AB35" i="54"/>
  <c r="AE35" i="54" s="1"/>
  <c r="T136" i="54"/>
  <c r="I192" i="54"/>
  <c r="J192" i="54" s="1"/>
  <c r="H152" i="54"/>
  <c r="I152" i="54" s="1"/>
  <c r="J152" i="54" s="1"/>
  <c r="I51" i="54"/>
  <c r="J51" i="54" s="1"/>
  <c r="AC172" i="54"/>
  <c r="AF172" i="54" s="1"/>
  <c r="U132" i="54"/>
  <c r="AC34" i="54"/>
  <c r="AF34" i="54" s="1"/>
  <c r="AC175" i="54"/>
  <c r="AF175" i="54" s="1"/>
  <c r="U135" i="54"/>
  <c r="AB186" i="54"/>
  <c r="AE186" i="54" s="1"/>
  <c r="AB45" i="54"/>
  <c r="AE45" i="54" s="1"/>
  <c r="T146" i="54"/>
  <c r="I188" i="54"/>
  <c r="J188" i="54" s="1"/>
  <c r="H148" i="54"/>
  <c r="I148" i="54" s="1"/>
  <c r="J148" i="54" s="1"/>
  <c r="I47" i="54"/>
  <c r="J47" i="54" s="1"/>
  <c r="AC193" i="54"/>
  <c r="AF193" i="54" s="1"/>
  <c r="U153" i="54"/>
  <c r="AC52" i="54"/>
  <c r="AF52" i="54" s="1"/>
  <c r="AB195" i="54"/>
  <c r="AE195" i="54" s="1"/>
  <c r="T155" i="54"/>
  <c r="AB54" i="54"/>
  <c r="AE54" i="54" s="1"/>
  <c r="AB170" i="54"/>
  <c r="AE170" i="54" s="1"/>
  <c r="T130" i="54"/>
  <c r="I185" i="54"/>
  <c r="J185" i="54" s="1"/>
  <c r="I44" i="54"/>
  <c r="J44" i="54" s="1"/>
  <c r="H145" i="54"/>
  <c r="I145" i="54" s="1"/>
  <c r="J145" i="54" s="1"/>
  <c r="AC188" i="54"/>
  <c r="AF188" i="54" s="1"/>
  <c r="AC47" i="54"/>
  <c r="AF47" i="54" s="1"/>
  <c r="U148" i="54"/>
  <c r="I178" i="54"/>
  <c r="J178" i="54" s="1"/>
  <c r="I37" i="54"/>
  <c r="J37" i="54" s="1"/>
  <c r="H138" i="54"/>
  <c r="I138" i="54" s="1"/>
  <c r="J138" i="54" s="1"/>
  <c r="I197" i="54"/>
  <c r="J197" i="54" s="1"/>
  <c r="H157" i="54"/>
  <c r="I157" i="54" s="1"/>
  <c r="J157" i="54" s="1"/>
  <c r="I56" i="54"/>
  <c r="J56" i="54" s="1"/>
  <c r="AC200" i="54"/>
  <c r="AF200" i="54" s="1"/>
  <c r="AC59" i="54"/>
  <c r="AF59" i="54" s="1"/>
  <c r="U160" i="54"/>
  <c r="AB192" i="54"/>
  <c r="AE192" i="54" s="1"/>
  <c r="AB51" i="54"/>
  <c r="AE51" i="54" s="1"/>
  <c r="T152" i="54"/>
  <c r="I190" i="54"/>
  <c r="J190" i="54" s="1"/>
  <c r="H150" i="54"/>
  <c r="I150" i="54" s="1"/>
  <c r="J150" i="54" s="1"/>
  <c r="I49" i="54"/>
  <c r="J49" i="54" s="1"/>
  <c r="I186" i="54"/>
  <c r="J186" i="54" s="1"/>
  <c r="I45" i="54"/>
  <c r="J45" i="54" s="1"/>
  <c r="H146" i="54"/>
  <c r="I146" i="54" s="1"/>
  <c r="J146" i="54" s="1"/>
  <c r="I167" i="54"/>
  <c r="J167" i="54" s="1"/>
  <c r="H127" i="54"/>
  <c r="I127" i="54" s="1"/>
  <c r="J127" i="54" s="1"/>
  <c r="I26" i="54"/>
  <c r="J26" i="54" s="1"/>
  <c r="AC194" i="54"/>
  <c r="AF194" i="54" s="1"/>
  <c r="U154" i="54"/>
  <c r="AB183" i="54"/>
  <c r="AE183" i="54" s="1"/>
  <c r="T143" i="54"/>
  <c r="AB42" i="54"/>
  <c r="AE42" i="54" s="1"/>
  <c r="I174" i="54"/>
  <c r="J174" i="54" s="1"/>
  <c r="I33" i="54"/>
  <c r="J33" i="54" s="1"/>
  <c r="H134" i="54"/>
  <c r="I134" i="54" s="1"/>
  <c r="J134" i="54" s="1"/>
  <c r="AC201" i="54"/>
  <c r="AF201" i="54" s="1"/>
  <c r="U161" i="54"/>
  <c r="AC60" i="54"/>
  <c r="AF60" i="54" s="1"/>
  <c r="T147" i="54"/>
  <c r="AB187" i="54"/>
  <c r="AE187" i="54" s="1"/>
  <c r="AB46" i="54"/>
  <c r="AE46" i="54" s="1"/>
  <c r="U158" i="54"/>
  <c r="AC198" i="54"/>
  <c r="AF198" i="54" s="1"/>
  <c r="AC57" i="54"/>
  <c r="AF57" i="54" s="1"/>
  <c r="U127" i="54"/>
  <c r="AC167" i="54"/>
  <c r="AF167" i="54" s="1"/>
  <c r="AB57" i="54"/>
  <c r="AE57" i="54" s="1"/>
  <c r="AB198" i="54"/>
  <c r="AE198" i="54" s="1"/>
  <c r="T158" i="54"/>
  <c r="I172" i="54"/>
  <c r="J172" i="54" s="1"/>
  <c r="H132" i="54"/>
  <c r="I132" i="54" s="1"/>
  <c r="J132" i="54" s="1"/>
  <c r="I31" i="54"/>
  <c r="J31" i="54" s="1"/>
  <c r="T129" i="54"/>
  <c r="AB169" i="54"/>
  <c r="AE169" i="54" s="1"/>
  <c r="I196" i="54"/>
  <c r="J196" i="54" s="1"/>
  <c r="I55" i="54"/>
  <c r="J55" i="54" s="1"/>
  <c r="H156" i="54"/>
  <c r="I156" i="54" s="1"/>
  <c r="J156" i="54" s="1"/>
  <c r="AB181" i="54"/>
  <c r="AE181" i="54" s="1"/>
  <c r="T141" i="54"/>
  <c r="I168" i="54"/>
  <c r="J168" i="54" s="1"/>
  <c r="H128" i="54"/>
  <c r="I128" i="54" s="1"/>
  <c r="J128" i="54" s="1"/>
  <c r="AC196" i="54"/>
  <c r="AF196" i="54" s="1"/>
  <c r="U156" i="54"/>
  <c r="AC55" i="54"/>
  <c r="AF55" i="54" s="1"/>
  <c r="I191" i="54"/>
  <c r="J191" i="54" s="1"/>
  <c r="H151" i="54"/>
  <c r="I151" i="54" s="1"/>
  <c r="J151" i="54" s="1"/>
  <c r="I50" i="54"/>
  <c r="J50" i="54" s="1"/>
  <c r="I180" i="54"/>
  <c r="J180" i="54" s="1"/>
  <c r="H140" i="54"/>
  <c r="I140" i="54" s="1"/>
  <c r="J140" i="54" s="1"/>
  <c r="AC199" i="54"/>
  <c r="AF199" i="54" s="1"/>
  <c r="U159" i="54"/>
  <c r="AC58" i="54"/>
  <c r="AF58" i="54" s="1"/>
  <c r="I177" i="54"/>
  <c r="J177" i="54" s="1"/>
  <c r="H137" i="54"/>
  <c r="I137" i="54" s="1"/>
  <c r="J137" i="54" s="1"/>
  <c r="I36" i="54"/>
  <c r="J36" i="54" s="1"/>
  <c r="AB193" i="54"/>
  <c r="AE193" i="54" s="1"/>
  <c r="AB52" i="54"/>
  <c r="AE52" i="54" s="1"/>
  <c r="T153" i="54"/>
  <c r="AB173" i="54"/>
  <c r="AE173" i="54" s="1"/>
  <c r="T133" i="54"/>
  <c r="AB168" i="54"/>
  <c r="AE168" i="54" s="1"/>
  <c r="T128" i="54"/>
  <c r="AC179" i="54"/>
  <c r="AF179" i="54" s="1"/>
  <c r="U139" i="54"/>
  <c r="AC38" i="54"/>
  <c r="AF38" i="54" s="1"/>
  <c r="AB182" i="54"/>
  <c r="AE182" i="54" s="1"/>
  <c r="AB41" i="54"/>
  <c r="AE41" i="54" s="1"/>
  <c r="T142" i="54"/>
  <c r="AC185" i="54"/>
  <c r="AF185" i="54" s="1"/>
  <c r="U145" i="54"/>
  <c r="AC44" i="54"/>
  <c r="AF44" i="54" s="1"/>
  <c r="I176" i="54"/>
  <c r="J176" i="54" s="1"/>
  <c r="H136" i="54"/>
  <c r="I136" i="54" s="1"/>
  <c r="J136" i="54" s="1"/>
  <c r="I35" i="54"/>
  <c r="J35" i="54" s="1"/>
  <c r="AC187" i="54"/>
  <c r="AF187" i="54" s="1"/>
  <c r="AC46" i="54"/>
  <c r="AF46" i="54" s="1"/>
  <c r="U147" i="54"/>
  <c r="AB179" i="54"/>
  <c r="AE179" i="54" s="1"/>
  <c r="T139" i="54"/>
  <c r="AB38" i="54"/>
  <c r="AE38" i="54" s="1"/>
  <c r="AC178" i="54"/>
  <c r="AF178" i="54" s="1"/>
  <c r="U138" i="54"/>
  <c r="AC37" i="54"/>
  <c r="AF37" i="54" s="1"/>
  <c r="AC180" i="54"/>
  <c r="AF180" i="54" s="1"/>
  <c r="U140" i="54"/>
  <c r="AC39" i="54"/>
  <c r="AF39" i="54" s="1"/>
  <c r="AB201" i="54"/>
  <c r="AE201" i="54" s="1"/>
  <c r="AB60" i="54"/>
  <c r="AE60" i="54" s="1"/>
  <c r="T161" i="54"/>
  <c r="T138" i="54"/>
  <c r="AB37" i="54"/>
  <c r="AE37" i="54" s="1"/>
  <c r="AB178" i="54"/>
  <c r="AE178" i="54" s="1"/>
  <c r="AC183" i="54"/>
  <c r="AF183" i="54" s="1"/>
  <c r="U143" i="54"/>
  <c r="AC42" i="54"/>
  <c r="AF42" i="54" s="1"/>
  <c r="AC173" i="54"/>
  <c r="AF173" i="54" s="1"/>
  <c r="U133" i="54"/>
  <c r="I166" i="54"/>
  <c r="J166" i="54" s="1"/>
  <c r="H126" i="54"/>
  <c r="I126" i="54" s="1"/>
  <c r="J126" i="54" s="1"/>
  <c r="T148" i="54"/>
  <c r="AB188" i="54"/>
  <c r="AE188" i="54" s="1"/>
  <c r="AB47" i="54"/>
  <c r="AE47" i="54" s="1"/>
  <c r="T132" i="54"/>
  <c r="AB172" i="54"/>
  <c r="AE172" i="54" s="1"/>
  <c r="I169" i="54"/>
  <c r="J169" i="54" s="1"/>
  <c r="H129" i="54"/>
  <c r="I129" i="54" s="1"/>
  <c r="J129" i="54" s="1"/>
  <c r="I28" i="54"/>
  <c r="J28" i="54" s="1"/>
  <c r="I184" i="54"/>
  <c r="J184" i="54" s="1"/>
  <c r="H144" i="54"/>
  <c r="I144" i="54" s="1"/>
  <c r="J144" i="54" s="1"/>
  <c r="I43" i="54"/>
  <c r="J43" i="54" s="1"/>
  <c r="I181" i="54"/>
  <c r="J181" i="54" s="1"/>
  <c r="I40" i="54"/>
  <c r="J40" i="54" s="1"/>
  <c r="H141" i="54"/>
  <c r="I141" i="54" s="1"/>
  <c r="J141" i="54" s="1"/>
  <c r="AC191" i="54"/>
  <c r="AF191" i="54" s="1"/>
  <c r="AC50" i="54"/>
  <c r="AF50" i="54" s="1"/>
  <c r="U151" i="54"/>
  <c r="U144" i="54"/>
  <c r="AC184" i="54"/>
  <c r="AF184" i="54" s="1"/>
  <c r="AC43" i="54"/>
  <c r="AF43" i="54" s="1"/>
  <c r="AB191" i="54"/>
  <c r="AE191" i="54" s="1"/>
  <c r="AB50" i="54"/>
  <c r="AE50" i="54" s="1"/>
  <c r="T151" i="54"/>
  <c r="I183" i="54"/>
  <c r="J183" i="54" s="1"/>
  <c r="H143" i="54"/>
  <c r="I143" i="54" s="1"/>
  <c r="J143" i="54" s="1"/>
  <c r="I42" i="54"/>
  <c r="J42" i="54" s="1"/>
  <c r="AC182" i="54"/>
  <c r="AF182" i="54" s="1"/>
  <c r="AC41" i="54"/>
  <c r="AF41" i="54" s="1"/>
  <c r="U142" i="54"/>
  <c r="AC192" i="54"/>
  <c r="AF192" i="54" s="1"/>
  <c r="U152" i="54"/>
  <c r="AC51" i="54"/>
  <c r="AF51" i="54" s="1"/>
  <c r="AC197" i="54"/>
  <c r="AF197" i="54" s="1"/>
  <c r="U157" i="54"/>
  <c r="AC56" i="54"/>
  <c r="AF56" i="54" s="1"/>
  <c r="I194" i="54"/>
  <c r="J194" i="54" s="1"/>
  <c r="H154" i="54"/>
  <c r="I154" i="54" s="1"/>
  <c r="J154" i="54" s="1"/>
  <c r="AB200" i="54"/>
  <c r="AE200" i="54" s="1"/>
  <c r="AB59" i="54"/>
  <c r="AE59" i="54" s="1"/>
  <c r="T160" i="54"/>
  <c r="AC195" i="54"/>
  <c r="AF195" i="54" s="1"/>
  <c r="AC54" i="54"/>
  <c r="AF54" i="54" s="1"/>
  <c r="U155" i="54"/>
  <c r="AB190" i="54"/>
  <c r="AE190" i="54" s="1"/>
  <c r="T150" i="54"/>
  <c r="AB49" i="54"/>
  <c r="AE49" i="54" s="1"/>
  <c r="I193" i="54"/>
  <c r="J193" i="54" s="1"/>
  <c r="H153" i="54"/>
  <c r="I153" i="54" s="1"/>
  <c r="J153" i="54" s="1"/>
  <c r="I52" i="54"/>
  <c r="J52" i="54" s="1"/>
  <c r="AB184" i="54"/>
  <c r="AE184" i="54" s="1"/>
  <c r="T144" i="54"/>
  <c r="AB43" i="54"/>
  <c r="AE43" i="54" s="1"/>
  <c r="I173" i="54"/>
  <c r="J173" i="54" s="1"/>
  <c r="H133" i="54"/>
  <c r="I133" i="54" s="1"/>
  <c r="J133" i="54" s="1"/>
  <c r="I32" i="54"/>
  <c r="J32" i="54" s="1"/>
  <c r="AC174" i="54"/>
  <c r="AF174" i="54" s="1"/>
  <c r="U134" i="54"/>
  <c r="I171" i="54"/>
  <c r="J171" i="54" s="1"/>
  <c r="H131" i="54"/>
  <c r="I131" i="54" s="1"/>
  <c r="J131" i="54" s="1"/>
  <c r="AB180" i="54"/>
  <c r="AE180" i="54" s="1"/>
  <c r="T140" i="54"/>
  <c r="AB39" i="54"/>
  <c r="AE39" i="54" s="1"/>
  <c r="AB202" i="54"/>
  <c r="AE202" i="54" s="1"/>
  <c r="T162" i="54"/>
  <c r="T203" i="54"/>
  <c r="I202" i="54"/>
  <c r="J202" i="54" s="1"/>
  <c r="H162" i="54"/>
  <c r="H203" i="54"/>
  <c r="I61" i="54"/>
  <c r="J61" i="54" s="1"/>
  <c r="AC202" i="54"/>
  <c r="AF202" i="54" s="1"/>
  <c r="U162" i="54"/>
  <c r="U203" i="54"/>
  <c r="AC395" i="54"/>
  <c r="AF395" i="54" s="1"/>
  <c r="I25" i="54" l="1"/>
  <c r="J25" i="54" s="1"/>
  <c r="H62" i="54"/>
  <c r="I62" i="54" s="1"/>
  <c r="J62" i="54" s="1"/>
  <c r="H112" i="54"/>
  <c r="I112" i="54" s="1"/>
  <c r="J112" i="54" s="1"/>
  <c r="U112" i="54"/>
  <c r="AC86" i="54"/>
  <c r="AF86" i="54" s="1"/>
  <c r="AB75" i="54"/>
  <c r="AE75" i="54" s="1"/>
  <c r="T112" i="54"/>
  <c r="AF75" i="54"/>
  <c r="O16" i="54"/>
  <c r="O15" i="54"/>
  <c r="AB25" i="54"/>
  <c r="AE25" i="54" s="1"/>
  <c r="C59" i="33"/>
  <c r="H11" i="54"/>
  <c r="I11" i="54" s="1"/>
  <c r="J11" i="54" s="1"/>
  <c r="AF67" i="54"/>
  <c r="AC72" i="54"/>
  <c r="AF72" i="54" s="1"/>
  <c r="U163" i="54"/>
  <c r="T163" i="54"/>
  <c r="T6" i="54"/>
  <c r="T8" i="54" s="1"/>
  <c r="AB203" i="54"/>
  <c r="AE203" i="54" s="1"/>
  <c r="I203" i="54"/>
  <c r="J203" i="54" s="1"/>
  <c r="H6" i="54"/>
  <c r="H8" i="54" s="1"/>
  <c r="I162" i="54"/>
  <c r="J162" i="54" s="1"/>
  <c r="H163" i="54"/>
  <c r="I163" i="54" s="1"/>
  <c r="J163" i="54" s="1"/>
  <c r="U6" i="54"/>
  <c r="U8" i="54" s="1"/>
  <c r="AC203" i="54"/>
  <c r="AF203" i="54" s="1"/>
  <c r="AC61" i="54"/>
  <c r="U62" i="54"/>
  <c r="AB61" i="54"/>
  <c r="T62" i="54"/>
  <c r="AC112" i="54" l="1"/>
  <c r="AF112" i="54" s="1"/>
  <c r="AB112" i="54"/>
  <c r="AE112" i="54" s="1"/>
  <c r="AE61" i="54"/>
  <c r="AB62" i="54"/>
  <c r="AE62" i="54" s="1"/>
  <c r="I6" i="54"/>
  <c r="J6" i="54" s="1"/>
  <c r="AF61" i="54"/>
  <c r="AC62" i="54"/>
  <c r="AF62" i="54" s="1"/>
  <c r="U16" i="54" l="1"/>
  <c r="D16" i="54"/>
  <c r="AB403" i="54"/>
  <c r="AE403" i="54" s="1"/>
  <c r="I77" i="54" l="1"/>
  <c r="J77" i="54" s="1"/>
  <c r="H15" i="54"/>
  <c r="E77" i="54"/>
  <c r="F77" i="54"/>
  <c r="G16" i="54"/>
  <c r="G15" i="54"/>
  <c r="I403" i="54"/>
  <c r="J403" i="54" s="1"/>
  <c r="T16" i="54"/>
  <c r="AB410" i="54"/>
  <c r="AE410" i="54" s="1"/>
  <c r="I84" i="54"/>
  <c r="J84" i="54" s="1"/>
  <c r="I15" i="54" l="1"/>
  <c r="J15" i="54" s="1"/>
  <c r="C16" i="54"/>
  <c r="E16" i="54"/>
  <c r="E84" i="54"/>
  <c r="E112" i="54" s="1"/>
  <c r="F16" i="54"/>
  <c r="F84" i="54"/>
  <c r="F112" i="54" s="1"/>
  <c r="H16" i="54"/>
  <c r="I410" i="54"/>
  <c r="J410" i="54" s="1"/>
  <c r="I16" i="54" l="1"/>
  <c r="J16" i="54" s="1"/>
  <c r="L12" i="54" l="1"/>
  <c r="L18" i="54" s="1"/>
  <c r="U12" i="54"/>
  <c r="U18" i="54" s="1"/>
  <c r="M12" i="54"/>
  <c r="M18" i="54" s="1"/>
  <c r="R12" i="54"/>
  <c r="R18" i="54" s="1"/>
  <c r="T12" i="54"/>
  <c r="T18" i="54" s="1"/>
  <c r="S12" i="54"/>
  <c r="S18" i="54" s="1"/>
  <c r="G12" i="54"/>
  <c r="G18" i="54" s="1"/>
  <c r="H12" i="54"/>
  <c r="H18" i="54" s="1"/>
  <c r="I8" i="54"/>
  <c r="J8" i="54" s="1"/>
  <c r="I12" i="54" l="1"/>
  <c r="J12" i="54" s="1"/>
  <c r="I18" i="54"/>
  <c r="J18" i="54" s="1"/>
  <c r="N206" i="54"/>
  <c r="AI2094" i="11"/>
  <c r="AJ2094" i="11" s="1"/>
  <c r="AD2082" i="11"/>
  <c r="AE2082" i="11" s="1"/>
  <c r="AD2038" i="11"/>
  <c r="AE2038" i="11" s="1"/>
  <c r="AD2089" i="11" l="1"/>
  <c r="AE2089" i="11" s="1"/>
  <c r="AD2097" i="11"/>
  <c r="AE2097" i="11" s="1"/>
  <c r="AD2023" i="11"/>
  <c r="AE2023" i="11" s="1"/>
  <c r="AD2029" i="11"/>
  <c r="AE2029" i="11" s="1"/>
  <c r="AD2039" i="11"/>
  <c r="AE2039" i="11" s="1"/>
  <c r="AD2055" i="11"/>
  <c r="AE2055" i="11" s="1"/>
  <c r="AD2091" i="11"/>
  <c r="AE2091" i="11" s="1"/>
  <c r="AD2049" i="11"/>
  <c r="AE2049" i="11" s="1"/>
  <c r="AD2036" i="11"/>
  <c r="AE2036" i="11" s="1"/>
  <c r="AD2073" i="11"/>
  <c r="AE2073" i="11" s="1"/>
  <c r="AD2058" i="11"/>
  <c r="AE2058" i="11" s="1"/>
  <c r="AD2022" i="11"/>
  <c r="AE2022" i="11" s="1"/>
  <c r="AD2071" i="11"/>
  <c r="AE2071" i="11" s="1"/>
  <c r="AD2009" i="11"/>
  <c r="AE2009" i="11" s="1"/>
  <c r="AD2012" i="11"/>
  <c r="AE2012" i="11" s="1"/>
  <c r="AD2066" i="11"/>
  <c r="AE2066" i="11" s="1"/>
  <c r="AD2040" i="11"/>
  <c r="AE2040" i="11" s="1"/>
  <c r="AD2102" i="11"/>
  <c r="AE2102" i="11" s="1"/>
  <c r="AD2100" i="11"/>
  <c r="AE2100" i="11" s="1"/>
  <c r="AD2004" i="11"/>
  <c r="AE2004" i="11" s="1"/>
  <c r="AD2063" i="11"/>
  <c r="AE2063" i="11" s="1"/>
  <c r="AD2046" i="11"/>
  <c r="AE2046" i="11" s="1"/>
  <c r="AD2090" i="11"/>
  <c r="AE2090" i="11" s="1"/>
  <c r="AD2001" i="11"/>
  <c r="AE2001" i="11" s="1"/>
  <c r="P75" i="54"/>
  <c r="AD2000" i="11"/>
  <c r="AE2000" i="11" s="1"/>
  <c r="AD2064" i="11"/>
  <c r="AE2064" i="11" s="1"/>
  <c r="AD2014" i="11"/>
  <c r="AE2014" i="11" s="1"/>
  <c r="AD2030" i="11"/>
  <c r="AE2030" i="11" s="1"/>
  <c r="AD2016" i="11"/>
  <c r="AE2016" i="11" s="1"/>
  <c r="AD2103" i="11"/>
  <c r="AE2103" i="11" s="1"/>
  <c r="AD2085" i="11"/>
  <c r="AE2085" i="11" s="1"/>
  <c r="AD2027" i="11"/>
  <c r="AE2027" i="11" s="1"/>
  <c r="AD2062" i="11"/>
  <c r="AE2062" i="11" s="1"/>
  <c r="AD2096" i="11"/>
  <c r="AE2096" i="11" s="1"/>
  <c r="AD2006" i="11"/>
  <c r="AE2006" i="11" s="1"/>
  <c r="AD2044" i="11"/>
  <c r="AE2044" i="11" s="1"/>
  <c r="AD2065" i="11"/>
  <c r="AE2065" i="11" s="1"/>
  <c r="AD2095" i="11"/>
  <c r="AE2095" i="11" s="1"/>
  <c r="AD2056" i="11"/>
  <c r="AE2056" i="11" s="1"/>
  <c r="AD2098" i="11"/>
  <c r="AE2098" i="11" s="1"/>
  <c r="AD2045" i="11"/>
  <c r="AE2045" i="11" s="1"/>
  <c r="AD2092" i="11"/>
  <c r="AE2092" i="11" s="1"/>
  <c r="AD2053" i="11"/>
  <c r="AE2053" i="11" s="1"/>
  <c r="AD2037" i="11"/>
  <c r="AE2037" i="11" s="1"/>
  <c r="AD2013" i="11"/>
  <c r="AE2013" i="11" s="1"/>
  <c r="AD2048" i="11"/>
  <c r="AE2048" i="11" s="1"/>
  <c r="AD2005" i="11"/>
  <c r="AE2005" i="11" s="1"/>
  <c r="AD2011" i="11"/>
  <c r="AE2011" i="11" s="1"/>
  <c r="P126" i="54"/>
  <c r="AD2042" i="11"/>
  <c r="AE2042" i="11" s="1"/>
  <c r="AD2018" i="11"/>
  <c r="AE2018" i="11" s="1"/>
  <c r="AD2051" i="11"/>
  <c r="AE2051" i="11" s="1"/>
  <c r="AD2010" i="11"/>
  <c r="AE2010" i="11" s="1"/>
  <c r="AD2069" i="11"/>
  <c r="AE2069" i="11" s="1"/>
  <c r="AD2057" i="11"/>
  <c r="AE2057" i="11" s="1"/>
  <c r="AD2032" i="11"/>
  <c r="AE2032" i="11" s="1"/>
  <c r="AD2086" i="11"/>
  <c r="AE2086" i="11" s="1"/>
  <c r="AD2099" i="11"/>
  <c r="AE2099" i="11" s="1"/>
  <c r="AD2017" i="11"/>
  <c r="AE2017" i="11" s="1"/>
  <c r="AD2080" i="11"/>
  <c r="AE2080" i="11" s="1"/>
  <c r="AD2093" i="11"/>
  <c r="AE2093" i="11" s="1"/>
  <c r="AD2101" i="11"/>
  <c r="AE2101" i="11" s="1"/>
  <c r="AD2088" i="11"/>
  <c r="AE2088" i="11" s="1"/>
  <c r="AD2079" i="11"/>
  <c r="AE2079" i="11" s="1"/>
  <c r="AD2024" i="11"/>
  <c r="AE2024" i="11" s="1"/>
  <c r="AD2094" i="11"/>
  <c r="AE2094" i="11" s="1"/>
  <c r="AN2094" i="11" s="1"/>
  <c r="AD2034" i="11"/>
  <c r="AE2034" i="11" s="1"/>
  <c r="AD2028" i="11"/>
  <c r="AE2028" i="11" s="1"/>
  <c r="AD2031" i="11"/>
  <c r="AE2031" i="11" s="1"/>
  <c r="AD2078" i="11"/>
  <c r="AE2078" i="11" s="1"/>
  <c r="AD2033" i="11"/>
  <c r="AE2033" i="11" s="1"/>
  <c r="AD2015" i="11"/>
  <c r="AE2015" i="11" s="1"/>
  <c r="AD2008" i="11"/>
  <c r="AE2008" i="11" s="1"/>
  <c r="AD2081" i="11"/>
  <c r="AE2081" i="11" s="1"/>
  <c r="AD2083" i="11"/>
  <c r="AE2083" i="11" s="1"/>
  <c r="AD2077" i="11"/>
  <c r="AE2077" i="11" s="1"/>
  <c r="AD2060" i="11"/>
  <c r="AE2060" i="11" s="1"/>
  <c r="AD2041" i="11"/>
  <c r="AE2041" i="11" s="1"/>
  <c r="AD2026" i="11"/>
  <c r="AE2026" i="11" s="1"/>
  <c r="AD2007" i="11"/>
  <c r="AE2007" i="11" s="1"/>
  <c r="AD2020" i="11"/>
  <c r="AE2020" i="11" s="1"/>
  <c r="AD2076" i="11"/>
  <c r="AE2076" i="11" s="1"/>
  <c r="AD2059" i="11"/>
  <c r="AE2059" i="11" s="1"/>
  <c r="AD2003" i="11"/>
  <c r="AE2003" i="11" s="1"/>
  <c r="AD2054" i="11"/>
  <c r="AE2054" i="11" s="1"/>
  <c r="AD2067" i="11"/>
  <c r="AE2067" i="11" s="1"/>
  <c r="AD2074" i="11"/>
  <c r="AE2074" i="11" s="1"/>
  <c r="AD2070" i="11"/>
  <c r="AE2070" i="11" s="1"/>
  <c r="AD2025" i="11"/>
  <c r="AE2025" i="11" s="1"/>
  <c r="AD2043" i="11"/>
  <c r="AE2043" i="11" s="1"/>
  <c r="AD2052" i="11"/>
  <c r="AE2052" i="11" s="1"/>
  <c r="AD2061" i="11"/>
  <c r="AE2061" i="11" s="1"/>
  <c r="AD2104" i="11"/>
  <c r="AE2104" i="11" s="1"/>
  <c r="AD2035" i="11"/>
  <c r="AE2035" i="11" s="1"/>
  <c r="AD2021" i="11"/>
  <c r="AE2021" i="11" s="1"/>
  <c r="AD2087" i="11"/>
  <c r="AE2087" i="11" s="1"/>
  <c r="AI2044" i="11"/>
  <c r="AJ2044" i="11" s="1"/>
  <c r="AI2055" i="11"/>
  <c r="AJ2055" i="11" s="1"/>
  <c r="AD2084" i="11"/>
  <c r="AE2084" i="11" s="1"/>
  <c r="AD2019" i="11"/>
  <c r="AE2019" i="11" s="1"/>
  <c r="AD2072" i="11"/>
  <c r="AE2072" i="11" s="1"/>
  <c r="AI2102" i="11"/>
  <c r="AJ2102" i="11" s="1"/>
  <c r="AD2068" i="11"/>
  <c r="AE2068" i="11" s="1"/>
  <c r="AI2030" i="11"/>
  <c r="AJ2030" i="11" s="1"/>
  <c r="AD2050" i="11"/>
  <c r="AE2050" i="11" s="1"/>
  <c r="AI2007" i="11"/>
  <c r="AJ2007" i="11" s="1"/>
  <c r="AI2056" i="11"/>
  <c r="AJ2056" i="11" s="1"/>
  <c r="AD2047" i="11"/>
  <c r="AE2047" i="11" s="1"/>
  <c r="N166" i="54"/>
  <c r="AI2068" i="11"/>
  <c r="AJ2068" i="11" s="1"/>
  <c r="AI2061" i="11"/>
  <c r="AJ2061" i="11" s="1"/>
  <c r="AI2021" i="11"/>
  <c r="AJ2021" i="11" s="1"/>
  <c r="AI2011" i="11"/>
  <c r="AJ2011" i="11" s="1"/>
  <c r="AI2037" i="11"/>
  <c r="AJ2037" i="11" s="1"/>
  <c r="AI2104" i="11"/>
  <c r="AJ2104" i="11" s="1"/>
  <c r="AI2033" i="11"/>
  <c r="AJ2033" i="11" s="1"/>
  <c r="AI2038" i="11"/>
  <c r="AJ2038" i="11" s="1"/>
  <c r="AN2038" i="11" s="1"/>
  <c r="AI2062" i="11"/>
  <c r="AJ2062" i="11" s="1"/>
  <c r="AI2060" i="11"/>
  <c r="AJ2060" i="11" s="1"/>
  <c r="AI2072" i="11"/>
  <c r="AJ2072" i="11" s="1"/>
  <c r="AI2078" i="11"/>
  <c r="AJ2078" i="11" s="1"/>
  <c r="AI2096" i="11"/>
  <c r="AJ2096" i="11" s="1"/>
  <c r="AI2074" i="11"/>
  <c r="AJ2074" i="11" s="1"/>
  <c r="AI2004" i="11"/>
  <c r="AJ2004" i="11" s="1"/>
  <c r="AI2051" i="11"/>
  <c r="AJ2051" i="11" s="1"/>
  <c r="AI2049" i="11"/>
  <c r="AJ2049" i="11" s="1"/>
  <c r="AI2019" i="11"/>
  <c r="AJ2019" i="11" s="1"/>
  <c r="AI2022" i="11"/>
  <c r="AJ2022" i="11" s="1"/>
  <c r="AI2091" i="11"/>
  <c r="AJ2091" i="11" s="1"/>
  <c r="AI2101" i="11"/>
  <c r="AJ2101" i="11" s="1"/>
  <c r="AI2073" i="11"/>
  <c r="AJ2073" i="11" s="1"/>
  <c r="AI2012" i="11"/>
  <c r="AJ2012" i="11" s="1"/>
  <c r="AI2089" i="11"/>
  <c r="AJ2089" i="11" s="1"/>
  <c r="AI2036" i="11"/>
  <c r="AJ2036" i="11" s="1"/>
  <c r="AI2081" i="11"/>
  <c r="AJ2081" i="11" s="1"/>
  <c r="AI2053" i="11"/>
  <c r="AJ2053" i="11" s="1"/>
  <c r="AI2024" i="11"/>
  <c r="AJ2024" i="11" s="1"/>
  <c r="AI2028" i="11"/>
  <c r="AJ2028" i="11" s="1"/>
  <c r="AI2015" i="11"/>
  <c r="AJ2015" i="11" s="1"/>
  <c r="AI2076" i="11"/>
  <c r="AJ2076" i="11" s="1"/>
  <c r="N247" i="54"/>
  <c r="AI2008" i="11"/>
  <c r="AJ2008" i="11" s="1"/>
  <c r="AI2039" i="11"/>
  <c r="AJ2039" i="11" s="1"/>
  <c r="AI2046" i="11"/>
  <c r="AJ2046" i="11" s="1"/>
  <c r="AI2023" i="11"/>
  <c r="AJ2023" i="11" s="1"/>
  <c r="AI2059" i="11"/>
  <c r="AJ2059" i="11" s="1"/>
  <c r="AI2064" i="11"/>
  <c r="AJ2064" i="11" s="1"/>
  <c r="AI2025" i="11"/>
  <c r="AJ2025" i="11" s="1"/>
  <c r="AI2016" i="11"/>
  <c r="AJ2016" i="11" s="1"/>
  <c r="AI2014" i="11"/>
  <c r="AJ2014" i="11" s="1"/>
  <c r="AI2065" i="11"/>
  <c r="AJ2065" i="11" s="1"/>
  <c r="AI2042" i="11"/>
  <c r="AJ2042" i="11" s="1"/>
  <c r="AI2088" i="11"/>
  <c r="AJ2088" i="11" s="1"/>
  <c r="AI2029" i="11"/>
  <c r="AJ2029" i="11" s="1"/>
  <c r="AI2087" i="11"/>
  <c r="AJ2087" i="11" s="1"/>
  <c r="AI2003" i="11"/>
  <c r="AJ2003" i="11" s="1"/>
  <c r="AI2017" i="11"/>
  <c r="AJ2017" i="11" s="1"/>
  <c r="AI2031" i="11"/>
  <c r="AJ2031" i="11" s="1"/>
  <c r="AI2077" i="11"/>
  <c r="AJ2077" i="11" s="1"/>
  <c r="AI2006" i="11"/>
  <c r="AJ2006" i="11" s="1"/>
  <c r="AI2002" i="11"/>
  <c r="AJ2002" i="11" s="1"/>
  <c r="AI2075" i="11"/>
  <c r="AJ2075" i="11" s="1"/>
  <c r="AI2084" i="11"/>
  <c r="AJ2084" i="11" s="1"/>
  <c r="AI2045" i="11"/>
  <c r="AJ2045" i="11" s="1"/>
  <c r="AI2082" i="11"/>
  <c r="AJ2082" i="11" s="1"/>
  <c r="AN2082" i="11" s="1"/>
  <c r="AI2080" i="11"/>
  <c r="AJ2080" i="11" s="1"/>
  <c r="AI2063" i="11"/>
  <c r="AJ2063" i="11" s="1"/>
  <c r="AI2057" i="11"/>
  <c r="AJ2057" i="11" s="1"/>
  <c r="AI2032" i="11"/>
  <c r="AJ2032" i="11" s="1"/>
  <c r="AI2041" i="11"/>
  <c r="AJ2041" i="11" s="1"/>
  <c r="AI2058" i="11"/>
  <c r="AJ2058" i="11" s="1"/>
  <c r="AI2070" i="11"/>
  <c r="AJ2070" i="11" s="1"/>
  <c r="AI2010" i="11"/>
  <c r="AJ2010" i="11" s="1"/>
  <c r="AI2054" i="11"/>
  <c r="AJ2054" i="11" s="1"/>
  <c r="AI2083" i="11"/>
  <c r="AJ2083" i="11" s="1"/>
  <c r="AI2020" i="11"/>
  <c r="AJ2020" i="11" s="1"/>
  <c r="AI2009" i="11"/>
  <c r="AJ2009" i="11" s="1"/>
  <c r="AI2048" i="11"/>
  <c r="AJ2048" i="11" s="1"/>
  <c r="AI2085" i="11"/>
  <c r="AJ2085" i="11" s="1"/>
  <c r="AI2099" i="11"/>
  <c r="AJ2099" i="11" s="1"/>
  <c r="AI2097" i="11"/>
  <c r="AJ2097" i="11" s="1"/>
  <c r="AI2079" i="11"/>
  <c r="AJ2079" i="11" s="1"/>
  <c r="AI2018" i="11"/>
  <c r="AJ2018" i="11" s="1"/>
  <c r="AI2086" i="11"/>
  <c r="AJ2086" i="11" s="1"/>
  <c r="AI2005" i="11"/>
  <c r="AJ2005" i="11" s="1"/>
  <c r="AI2001" i="11"/>
  <c r="AJ2001" i="11" s="1"/>
  <c r="AI2069" i="11"/>
  <c r="AJ2069" i="11" s="1"/>
  <c r="AI2098" i="11"/>
  <c r="AJ2098" i="11" s="1"/>
  <c r="AI2034" i="11"/>
  <c r="AJ2034" i="11" s="1"/>
  <c r="AI2100" i="11"/>
  <c r="AJ2100" i="11" s="1"/>
  <c r="AI2066" i="11"/>
  <c r="AJ2066" i="11" s="1"/>
  <c r="AI2050" i="11"/>
  <c r="AJ2050" i="11" s="1"/>
  <c r="AI2052" i="11"/>
  <c r="AJ2052" i="11" s="1"/>
  <c r="AI2093" i="11"/>
  <c r="AJ2093" i="11" s="1"/>
  <c r="AI2035" i="11"/>
  <c r="AJ2035" i="11" s="1"/>
  <c r="AI2047" i="11"/>
  <c r="AJ2047" i="11" s="1"/>
  <c r="AI2013" i="11"/>
  <c r="AJ2013" i="11" s="1"/>
  <c r="AI2092" i="11"/>
  <c r="AJ2092" i="11" s="1"/>
  <c r="AI2095" i="11"/>
  <c r="AJ2095" i="11" s="1"/>
  <c r="AI2043" i="11"/>
  <c r="AJ2043" i="11" s="1"/>
  <c r="AI2090" i="11"/>
  <c r="AJ2090" i="11" s="1"/>
  <c r="AI2071" i="11"/>
  <c r="AJ2071" i="11" s="1"/>
  <c r="AI2027" i="11"/>
  <c r="AJ2027" i="11" s="1"/>
  <c r="AI2067" i="11"/>
  <c r="AJ2067" i="11" s="1"/>
  <c r="AI2103" i="11"/>
  <c r="AJ2103" i="11" s="1"/>
  <c r="AI2000" i="11"/>
  <c r="AJ2000" i="11" s="1"/>
  <c r="AI2026" i="11"/>
  <c r="AJ2026" i="11" s="1"/>
  <c r="AI2040" i="11"/>
  <c r="AJ2040" i="11" s="1"/>
  <c r="AD2075" i="11"/>
  <c r="AE2075" i="11" s="1"/>
  <c r="AN2075" i="11" s="1"/>
  <c r="AD2002" i="11"/>
  <c r="AE2002" i="11" s="1"/>
  <c r="AN2002" i="11" l="1"/>
  <c r="AN2061" i="11"/>
  <c r="AN2047" i="11"/>
  <c r="AN2019" i="11"/>
  <c r="AN2003" i="11"/>
  <c r="AN2077" i="11"/>
  <c r="AN2028" i="11"/>
  <c r="AN2093" i="11"/>
  <c r="AN2010" i="11"/>
  <c r="AN2013" i="11"/>
  <c r="AN2065" i="11"/>
  <c r="AN2016" i="11"/>
  <c r="AN2046" i="11"/>
  <c r="AN2009" i="11"/>
  <c r="AN2055" i="11"/>
  <c r="AN2084" i="11"/>
  <c r="AN2052" i="11"/>
  <c r="AN2059" i="11"/>
  <c r="AN2083" i="11"/>
  <c r="AN2034" i="11"/>
  <c r="AN2080" i="11"/>
  <c r="AN2051" i="11"/>
  <c r="AN2037" i="11"/>
  <c r="AN2044" i="11"/>
  <c r="AN2030" i="11"/>
  <c r="AN2063" i="11"/>
  <c r="AN2071" i="11"/>
  <c r="AN2039" i="11"/>
  <c r="AN2043" i="11"/>
  <c r="AN2076" i="11"/>
  <c r="AN2081" i="11"/>
  <c r="AN2017" i="11"/>
  <c r="AN2018" i="11"/>
  <c r="AN2053" i="11"/>
  <c r="AN2006" i="11"/>
  <c r="AN2014" i="11"/>
  <c r="AN2004" i="11"/>
  <c r="AN2022" i="11"/>
  <c r="AN2029" i="11"/>
  <c r="AN2050" i="11"/>
  <c r="AN2025" i="11"/>
  <c r="AN2020" i="11"/>
  <c r="AN2008" i="11"/>
  <c r="AN2099" i="11"/>
  <c r="AN2042" i="11"/>
  <c r="AN2092" i="11"/>
  <c r="AN2096" i="11"/>
  <c r="AN2064" i="11"/>
  <c r="AN2100" i="11"/>
  <c r="AN2058" i="11"/>
  <c r="AN2023" i="11"/>
  <c r="AN2087" i="11"/>
  <c r="AN2070" i="11"/>
  <c r="AN2007" i="11"/>
  <c r="AN2015" i="11"/>
  <c r="AN2024" i="11"/>
  <c r="AN2086" i="11"/>
  <c r="AN2045" i="11"/>
  <c r="AN2062" i="11"/>
  <c r="AN2000" i="11"/>
  <c r="AN2102" i="11"/>
  <c r="AN2073" i="11"/>
  <c r="AN2097" i="11"/>
  <c r="AN2068" i="11"/>
  <c r="AN2021" i="11"/>
  <c r="AN2074" i="11"/>
  <c r="AN2026" i="11"/>
  <c r="AN2033" i="11"/>
  <c r="AN2079" i="11"/>
  <c r="AN2032" i="11"/>
  <c r="AN2011" i="11"/>
  <c r="AN2098" i="11"/>
  <c r="AN2027" i="11"/>
  <c r="AN2040" i="11"/>
  <c r="AN2036" i="11"/>
  <c r="AN2089" i="11"/>
  <c r="AN2035" i="11"/>
  <c r="AN2067" i="11"/>
  <c r="AN2041" i="11"/>
  <c r="AN2078" i="11"/>
  <c r="AN2088" i="11"/>
  <c r="AN2057" i="11"/>
  <c r="AN2005" i="11"/>
  <c r="AN2056" i="11"/>
  <c r="AN2085" i="11"/>
  <c r="AN2001" i="11"/>
  <c r="AN2066" i="11"/>
  <c r="AN2049" i="11"/>
  <c r="N75" i="54"/>
  <c r="N126" i="54"/>
  <c r="N25" i="54"/>
  <c r="AN2072" i="11"/>
  <c r="AN2104" i="11"/>
  <c r="AN2054" i="11"/>
  <c r="AN2060" i="11"/>
  <c r="AN2031" i="11"/>
  <c r="AN2101" i="11"/>
  <c r="AN2069" i="11"/>
  <c r="AN2048" i="11"/>
  <c r="AN2095" i="11"/>
  <c r="AN2103" i="11"/>
  <c r="AN2090" i="11"/>
  <c r="AN2012" i="11"/>
  <c r="AN2091" i="11"/>
  <c r="AK2003" i="11"/>
  <c r="AL2003" i="11" s="1"/>
  <c r="AK2010" i="11" l="1"/>
  <c r="AL2010" i="11" s="1"/>
  <c r="AK2061" i="11"/>
  <c r="AL2061" i="11" s="1"/>
  <c r="AK2013" i="11"/>
  <c r="AL2013" i="11" s="1"/>
  <c r="AK2001" i="11"/>
  <c r="AL2001" i="11" s="1"/>
  <c r="AK2064" i="11"/>
  <c r="AL2064" i="11" s="1"/>
  <c r="AK2077" i="11"/>
  <c r="AL2077" i="11" s="1"/>
  <c r="AK2092" i="11"/>
  <c r="AL2092" i="11" s="1"/>
  <c r="AK2069" i="11"/>
  <c r="AL2069" i="11" s="1"/>
  <c r="AK2090" i="11"/>
  <c r="AL2090" i="11" s="1"/>
  <c r="AK2023" i="11"/>
  <c r="AL2023" i="11" s="1"/>
  <c r="AK2102" i="11"/>
  <c r="AL2102" i="11" s="1"/>
  <c r="AK2032" i="11"/>
  <c r="AL2032" i="11" s="1"/>
  <c r="AK2025" i="11"/>
  <c r="AL2025" i="11" s="1"/>
  <c r="AK2037" i="11"/>
  <c r="AL2037" i="11" s="1"/>
  <c r="AK2006" i="11"/>
  <c r="AL2006" i="11" s="1"/>
  <c r="AK2024" i="11"/>
  <c r="AL2024" i="11" s="1"/>
  <c r="AK2085" i="11"/>
  <c r="AL2085" i="11" s="1"/>
  <c r="AK2016" i="11"/>
  <c r="AL2016" i="11" s="1"/>
  <c r="AK2049" i="11"/>
  <c r="AL2049" i="11" s="1"/>
  <c r="AK2080" i="11"/>
  <c r="AL2080" i="11" s="1"/>
  <c r="AK2101" i="11"/>
  <c r="AL2101" i="11" s="1"/>
  <c r="AK2066" i="11"/>
  <c r="AL2066" i="11" s="1"/>
  <c r="AK2098" i="11"/>
  <c r="AL2098" i="11" s="1"/>
  <c r="AK2089" i="11"/>
  <c r="AL2089" i="11" s="1"/>
  <c r="AK2008" i="11"/>
  <c r="AL2008" i="11" s="1"/>
  <c r="AK2004" i="11"/>
  <c r="AL2004" i="11" s="1"/>
  <c r="AK2081" i="11"/>
  <c r="AL2081" i="11" s="1"/>
  <c r="AK2035" i="11"/>
  <c r="AL2035" i="11" s="1"/>
  <c r="O247" i="54"/>
  <c r="AK2052" i="11"/>
  <c r="AL2052" i="11" s="1"/>
  <c r="AK2091" i="11"/>
  <c r="AL2091" i="11" s="1"/>
  <c r="AK2086" i="11"/>
  <c r="AL2086" i="11" s="1"/>
  <c r="AK2042" i="11"/>
  <c r="AL2042" i="11" s="1"/>
  <c r="AK2048" i="11"/>
  <c r="AL2048" i="11" s="1"/>
  <c r="AK2099" i="11"/>
  <c r="AL2099" i="11" s="1"/>
  <c r="AK2022" i="11"/>
  <c r="AL2022" i="11" s="1"/>
  <c r="AK2056" i="11"/>
  <c r="AL2056" i="11" s="1"/>
  <c r="AK2002" i="11"/>
  <c r="AL2002" i="11" s="1"/>
  <c r="AK2100" i="11"/>
  <c r="AL2100" i="11" s="1"/>
  <c r="AK2093" i="11"/>
  <c r="AL2093" i="11" s="1"/>
  <c r="AK2034" i="11"/>
  <c r="AL2034" i="11" s="1"/>
  <c r="AK2040" i="11"/>
  <c r="AL2040" i="11" s="1"/>
  <c r="AK2057" i="11"/>
  <c r="AL2057" i="11" s="1"/>
  <c r="AK2096" i="11"/>
  <c r="AL2096" i="11" s="1"/>
  <c r="AK2026" i="11"/>
  <c r="AL2026" i="11" s="1"/>
  <c r="AK2075" i="11"/>
  <c r="AL2075" i="11" s="1"/>
  <c r="AK2012" i="11"/>
  <c r="AL2012" i="11" s="1"/>
  <c r="AK2059" i="11"/>
  <c r="AL2059" i="11" s="1"/>
  <c r="AK2087" i="11"/>
  <c r="AL2087" i="11" s="1"/>
  <c r="AK2082" i="11"/>
  <c r="AL2082" i="11" s="1"/>
  <c r="AK2044" i="11"/>
  <c r="AL2044" i="11" s="1"/>
  <c r="AK2068" i="11"/>
  <c r="AL2068" i="11" s="1"/>
  <c r="AK2046" i="11"/>
  <c r="AL2046" i="11" s="1"/>
  <c r="AK2062" i="11"/>
  <c r="AL2062" i="11" s="1"/>
  <c r="AK2041" i="11"/>
  <c r="AL2041" i="11" s="1"/>
  <c r="AK2030" i="11"/>
  <c r="AL2030" i="11" s="1"/>
  <c r="AK2088" i="11"/>
  <c r="AL2088" i="11" s="1"/>
  <c r="AK2038" i="11"/>
  <c r="AL2038" i="11" s="1"/>
  <c r="AK2021" i="11"/>
  <c r="AL2021" i="11" s="1"/>
  <c r="AK2070" i="11"/>
  <c r="AL2070" i="11" s="1"/>
  <c r="AK2011" i="11"/>
  <c r="AL2011" i="11" s="1"/>
  <c r="AK2103" i="11"/>
  <c r="AL2103" i="11" s="1"/>
  <c r="AK2073" i="11"/>
  <c r="AL2073" i="11" s="1"/>
  <c r="AK2058" i="11"/>
  <c r="AL2058" i="11" s="1"/>
  <c r="AK2009" i="11"/>
  <c r="AL2009" i="11" s="1"/>
  <c r="AK2083" i="11"/>
  <c r="AL2083" i="11" s="1"/>
  <c r="AK2017" i="11"/>
  <c r="AL2017" i="11" s="1"/>
  <c r="AK2020" i="11"/>
  <c r="AL2020" i="11" s="1"/>
  <c r="AK2078" i="11"/>
  <c r="AL2078" i="11" s="1"/>
  <c r="AK2071" i="11"/>
  <c r="AL2071" i="11" s="1"/>
  <c r="AK2028" i="11"/>
  <c r="AL2028" i="11" s="1"/>
  <c r="AK2033" i="11"/>
  <c r="AL2033" i="11" s="1"/>
  <c r="AK2063" i="11"/>
  <c r="AL2063" i="11" s="1"/>
  <c r="AK2055" i="11"/>
  <c r="AL2055" i="11" s="1"/>
  <c r="AK2097" i="11"/>
  <c r="AL2097" i="11" s="1"/>
  <c r="AK2072" i="11"/>
  <c r="AL2072" i="11" s="1"/>
  <c r="AK2005" i="11"/>
  <c r="AL2005" i="11" s="1"/>
  <c r="AK2084" i="11"/>
  <c r="AL2084" i="11" s="1"/>
  <c r="AK2054" i="11"/>
  <c r="AL2054" i="11" s="1"/>
  <c r="AK2019" i="11"/>
  <c r="AL2019" i="11" s="1"/>
  <c r="AK2065" i="11"/>
  <c r="AL2065" i="11" s="1"/>
  <c r="AK2067" i="11"/>
  <c r="AL2067" i="11" s="1"/>
  <c r="AK2045" i="11"/>
  <c r="AL2045" i="11" s="1"/>
  <c r="AK2031" i="11"/>
  <c r="AL2031" i="11" s="1"/>
  <c r="AK2051" i="11"/>
  <c r="AL2051" i="11" s="1"/>
  <c r="AK2074" i="11"/>
  <c r="AL2074" i="11" s="1"/>
  <c r="AK2053" i="11"/>
  <c r="AL2053" i="11" s="1"/>
  <c r="AK2014" i="11"/>
  <c r="AL2014" i="11" s="1"/>
  <c r="AK2015" i="11"/>
  <c r="AL2015" i="11" s="1"/>
  <c r="AK2104" i="11"/>
  <c r="AL2104" i="11" s="1"/>
  <c r="AK2036" i="11"/>
  <c r="AL2036" i="11" s="1"/>
  <c r="AK2029" i="11"/>
  <c r="AL2029" i="11" s="1"/>
  <c r="AK2000" i="11"/>
  <c r="AL2000" i="11" s="1"/>
  <c r="AK2007" i="11"/>
  <c r="AL2007" i="11" s="1"/>
  <c r="AK2047" i="11"/>
  <c r="AL2047" i="11" s="1"/>
  <c r="AK2076" i="11"/>
  <c r="AL2076" i="11" s="1"/>
  <c r="AK2094" i="11"/>
  <c r="AL2094" i="11" s="1"/>
  <c r="AK2027" i="11"/>
  <c r="AL2027" i="11" s="1"/>
  <c r="AK2060" i="11"/>
  <c r="AL2060" i="11" s="1"/>
  <c r="AK2039" i="11"/>
  <c r="AL2039" i="11" s="1"/>
  <c r="AK2018" i="11"/>
  <c r="AL2018" i="11" s="1"/>
  <c r="AK2050" i="11"/>
  <c r="AL2050" i="11" s="1"/>
  <c r="AK2043" i="11"/>
  <c r="AL2043" i="11" s="1"/>
  <c r="AK2079" i="11"/>
  <c r="AL2079" i="11" s="1"/>
  <c r="AK2095" i="11"/>
  <c r="AL2095" i="11" s="1"/>
  <c r="AF2009" i="11"/>
  <c r="AG2009" i="11" s="1"/>
  <c r="AF2095" i="11"/>
  <c r="AG2095" i="11" s="1"/>
  <c r="AF2065" i="11"/>
  <c r="AG2065" i="11" s="1"/>
  <c r="AF2099" i="11"/>
  <c r="AG2099" i="11" s="1"/>
  <c r="AF2082" i="11"/>
  <c r="AG2082" i="11" s="1"/>
  <c r="AO2082" i="11" s="1"/>
  <c r="AF2023" i="11"/>
  <c r="AG2023" i="11" s="1"/>
  <c r="AF2074" i="11"/>
  <c r="AG2074" i="11" s="1"/>
  <c r="AF2048" i="11"/>
  <c r="AG2048" i="11" s="1"/>
  <c r="AF2000" i="11"/>
  <c r="AG2000" i="11" s="1"/>
  <c r="AF2086" i="11"/>
  <c r="AG2086" i="11" s="1"/>
  <c r="AF2077" i="11"/>
  <c r="AG2077" i="11" s="1"/>
  <c r="AF2045" i="11"/>
  <c r="AG2045" i="11" s="1"/>
  <c r="AF2049" i="11"/>
  <c r="AG2049" i="11" s="1"/>
  <c r="AO2049" i="11" s="1"/>
  <c r="AF2076" i="11"/>
  <c r="AG2076" i="11" s="1"/>
  <c r="AF2070" i="11"/>
  <c r="AG2070" i="11" s="1"/>
  <c r="AF2083" i="11"/>
  <c r="AG2083" i="11" s="1"/>
  <c r="AF2061" i="11"/>
  <c r="AG2061" i="11" s="1"/>
  <c r="AO2061" i="11" s="1"/>
  <c r="AF2007" i="11"/>
  <c r="AG2007" i="11" s="1"/>
  <c r="AF2005" i="11"/>
  <c r="AG2005" i="11" s="1"/>
  <c r="AF2038" i="11"/>
  <c r="AG2038" i="11" s="1"/>
  <c r="AF2027" i="11"/>
  <c r="AG2027" i="11" s="1"/>
  <c r="AF2089" i="11"/>
  <c r="AG2089" i="11" s="1"/>
  <c r="AF2008" i="11"/>
  <c r="AG2008" i="11" s="1"/>
  <c r="AO2008" i="11" s="1"/>
  <c r="AF2055" i="11"/>
  <c r="AG2055" i="11" s="1"/>
  <c r="AF2090" i="11"/>
  <c r="AG2090" i="11" s="1"/>
  <c r="AO2090" i="11" s="1"/>
  <c r="AF2093" i="11"/>
  <c r="AG2093" i="11" s="1"/>
  <c r="AF2062" i="11"/>
  <c r="AG2062" i="11" s="1"/>
  <c r="AF2002" i="11"/>
  <c r="AG2002" i="11" s="1"/>
  <c r="AF2013" i="11"/>
  <c r="AG2013" i="11" s="1"/>
  <c r="AO2013" i="11" s="1"/>
  <c r="AF2097" i="11"/>
  <c r="AG2097" i="11" s="1"/>
  <c r="AF2066" i="11"/>
  <c r="AG2066" i="11" s="1"/>
  <c r="AF2102" i="11"/>
  <c r="AG2102" i="11" s="1"/>
  <c r="AF2043" i="11"/>
  <c r="AG2043" i="11" s="1"/>
  <c r="AF2069" i="11"/>
  <c r="AG2069" i="11" s="1"/>
  <c r="AF2020" i="11"/>
  <c r="AG2020" i="11" s="1"/>
  <c r="AF2092" i="11"/>
  <c r="AG2092" i="11" s="1"/>
  <c r="AF2016" i="11"/>
  <c r="AG2016" i="11" s="1"/>
  <c r="AO2016" i="11" s="1"/>
  <c r="AF2096" i="11"/>
  <c r="AG2096" i="11" s="1"/>
  <c r="AF2046" i="11"/>
  <c r="AG2046" i="11" s="1"/>
  <c r="AO2046" i="11" s="1"/>
  <c r="AF2087" i="11"/>
  <c r="AG2087" i="11" s="1"/>
  <c r="AO2087" i="11" s="1"/>
  <c r="AF2091" i="11"/>
  <c r="AG2091" i="11" s="1"/>
  <c r="AF2073" i="11"/>
  <c r="AG2073" i="11" s="1"/>
  <c r="AF2040" i="11"/>
  <c r="AG2040" i="11" s="1"/>
  <c r="AF2057" i="11"/>
  <c r="AG2057" i="11" s="1"/>
  <c r="AF2015" i="11"/>
  <c r="AG2015" i="11" s="1"/>
  <c r="AF2018" i="11"/>
  <c r="AG2018" i="11" s="1"/>
  <c r="AF2079" i="11"/>
  <c r="AG2079" i="11" s="1"/>
  <c r="AF2047" i="11"/>
  <c r="AG2047" i="11" s="1"/>
  <c r="AF2094" i="11"/>
  <c r="AG2094" i="11" s="1"/>
  <c r="AF2050" i="11"/>
  <c r="AG2050" i="11" s="1"/>
  <c r="AF2098" i="11"/>
  <c r="AG2098" i="11" s="1"/>
  <c r="AF2100" i="11"/>
  <c r="AG2100" i="11" s="1"/>
  <c r="AF2011" i="11"/>
  <c r="AG2011" i="11" s="1"/>
  <c r="AO2011" i="11" s="1"/>
  <c r="AF2024" i="11"/>
  <c r="AG2024" i="11" s="1"/>
  <c r="AF2044" i="11"/>
  <c r="AG2044" i="11" s="1"/>
  <c r="AO2044" i="11" s="1"/>
  <c r="AF2014" i="11"/>
  <c r="AG2014" i="11" s="1"/>
  <c r="AF2075" i="11"/>
  <c r="AG2075" i="11" s="1"/>
  <c r="AF2054" i="11"/>
  <c r="AG2054" i="11" s="1"/>
  <c r="AF2006" i="11"/>
  <c r="AG2006" i="11" s="1"/>
  <c r="AF2012" i="11"/>
  <c r="AG2012" i="11" s="1"/>
  <c r="AF2104" i="11"/>
  <c r="AG2104" i="11" s="1"/>
  <c r="AF2063" i="11"/>
  <c r="AG2063" i="11" s="1"/>
  <c r="Q126" i="54"/>
  <c r="AF2064" i="11"/>
  <c r="AG2064" i="11" s="1"/>
  <c r="AO2064" i="11" s="1"/>
  <c r="AF2001" i="11"/>
  <c r="AG2001" i="11" s="1"/>
  <c r="AO2001" i="11" s="1"/>
  <c r="AF2042" i="11"/>
  <c r="AG2042" i="11" s="1"/>
  <c r="AF2019" i="11"/>
  <c r="AG2019" i="11" s="1"/>
  <c r="AF2039" i="11"/>
  <c r="AG2039" i="11" s="1"/>
  <c r="AF2101" i="11"/>
  <c r="AG2101" i="11" s="1"/>
  <c r="AF2103" i="11"/>
  <c r="AG2103" i="11" s="1"/>
  <c r="AF2084" i="11"/>
  <c r="AG2084" i="11" s="1"/>
  <c r="AF2032" i="11"/>
  <c r="AG2032" i="11" s="1"/>
  <c r="AF2029" i="11"/>
  <c r="AG2029" i="11" s="1"/>
  <c r="AF2025" i="11"/>
  <c r="AG2025" i="11" s="1"/>
  <c r="AO2025" i="11" s="1"/>
  <c r="AF2003" i="11"/>
  <c r="AG2003" i="11" s="1"/>
  <c r="AO2003" i="11" s="1"/>
  <c r="AF2088" i="11"/>
  <c r="AG2088" i="11" s="1"/>
  <c r="AF2085" i="11"/>
  <c r="AG2085" i="11" s="1"/>
  <c r="AO2085" i="11" s="1"/>
  <c r="AF2059" i="11"/>
  <c r="AG2059" i="11" s="1"/>
  <c r="AF2071" i="11"/>
  <c r="AG2071" i="11" s="1"/>
  <c r="AF2068" i="11"/>
  <c r="AG2068" i="11" s="1"/>
  <c r="AF2004" i="11"/>
  <c r="AG2004" i="11" s="1"/>
  <c r="AO2004" i="11" s="1"/>
  <c r="AF2031" i="11"/>
  <c r="AG2031" i="11" s="1"/>
  <c r="AF2022" i="11"/>
  <c r="AG2022" i="11" s="1"/>
  <c r="AF2067" i="11"/>
  <c r="AG2067" i="11" s="1"/>
  <c r="O166" i="54"/>
  <c r="AF2034" i="11"/>
  <c r="AG2034" i="11" s="1"/>
  <c r="AF2081" i="11"/>
  <c r="AG2081" i="11" s="1"/>
  <c r="AO2081" i="11" s="1"/>
  <c r="AF2026" i="11"/>
  <c r="AG2026" i="11" s="1"/>
  <c r="AF2010" i="11"/>
  <c r="AG2010" i="11" s="1"/>
  <c r="AO2010" i="11" s="1"/>
  <c r="AF2072" i="11"/>
  <c r="AG2072" i="11" s="1"/>
  <c r="Q75" i="54"/>
  <c r="AF2036" i="11"/>
  <c r="AG2036" i="11" s="1"/>
  <c r="AF2035" i="11"/>
  <c r="AG2035" i="11" s="1"/>
  <c r="AO2035" i="11" s="1"/>
  <c r="AF2021" i="11"/>
  <c r="AG2021" i="11" s="1"/>
  <c r="AF2058" i="11"/>
  <c r="AG2058" i="11" s="1"/>
  <c r="AF2080" i="11"/>
  <c r="AG2080" i="11" s="1"/>
  <c r="AF2051" i="11"/>
  <c r="AG2051" i="11" s="1"/>
  <c r="AF2060" i="11"/>
  <c r="AG2060" i="11" s="1"/>
  <c r="AF2053" i="11"/>
  <c r="AG2053" i="11" s="1"/>
  <c r="AF2056" i="11"/>
  <c r="AG2056" i="11" s="1"/>
  <c r="AO2056" i="11" s="1"/>
  <c r="AF2041" i="11"/>
  <c r="AG2041" i="11" s="1"/>
  <c r="AF2037" i="11"/>
  <c r="AG2037" i="11" s="1"/>
  <c r="AF2030" i="11"/>
  <c r="AG2030" i="11" s="1"/>
  <c r="AF2033" i="11"/>
  <c r="AG2033" i="11" s="1"/>
  <c r="AF2028" i="11"/>
  <c r="AG2028" i="11" s="1"/>
  <c r="AF2052" i="11"/>
  <c r="AG2052" i="11" s="1"/>
  <c r="AF2078" i="11"/>
  <c r="AG2078" i="11" s="1"/>
  <c r="AF2017" i="11"/>
  <c r="AG2017" i="11" s="1"/>
  <c r="O206" i="54"/>
  <c r="AO2037" i="11" l="1"/>
  <c r="AO2077" i="11"/>
  <c r="AO2052" i="11"/>
  <c r="AO2103" i="11"/>
  <c r="AO2062" i="11"/>
  <c r="AO2040" i="11"/>
  <c r="AO2018" i="11"/>
  <c r="AO2005" i="11"/>
  <c r="AO2015" i="11"/>
  <c r="AO2002" i="11"/>
  <c r="AO2099" i="11"/>
  <c r="AO2021" i="11"/>
  <c r="AO2102" i="11"/>
  <c r="AO2058" i="11"/>
  <c r="AO2084" i="11"/>
  <c r="AO2034" i="11"/>
  <c r="AO2063" i="11"/>
  <c r="AO2009" i="11"/>
  <c r="AO2072" i="11"/>
  <c r="AO2097" i="11"/>
  <c r="AO2083" i="11"/>
  <c r="AO2078" i="11"/>
  <c r="AO2020" i="11"/>
  <c r="AO2026" i="11"/>
  <c r="AO2088" i="11"/>
  <c r="AO2065" i="11"/>
  <c r="AO2096" i="11"/>
  <c r="AO2101" i="11"/>
  <c r="AO2075" i="11"/>
  <c r="AO2000" i="11"/>
  <c r="AO2068" i="11"/>
  <c r="AO2039" i="11"/>
  <c r="AO2057" i="11"/>
  <c r="AO2038" i="11"/>
  <c r="AO2048" i="11"/>
  <c r="AO2030" i="11"/>
  <c r="AO2071" i="11"/>
  <c r="AO2066" i="11"/>
  <c r="AO2042" i="11"/>
  <c r="AO2023" i="11"/>
  <c r="AO2007" i="11"/>
  <c r="AO2051" i="11"/>
  <c r="AO2029" i="11"/>
  <c r="AO2104" i="11"/>
  <c r="AO2094" i="11"/>
  <c r="AO2017" i="11"/>
  <c r="AO2080" i="11"/>
  <c r="AO2067" i="11"/>
  <c r="AO2032" i="11"/>
  <c r="AO2055" i="11"/>
  <c r="AO2045" i="11"/>
  <c r="AO2060" i="11"/>
  <c r="AO2050" i="11"/>
  <c r="AO2079" i="11"/>
  <c r="AO2022" i="11"/>
  <c r="AO2031" i="11"/>
  <c r="AO2027" i="11"/>
  <c r="AO2036" i="11"/>
  <c r="AO2074" i="11"/>
  <c r="AO2070" i="11"/>
  <c r="AO2041" i="11"/>
  <c r="AO2012" i="11"/>
  <c r="AO2100" i="11"/>
  <c r="AO2092" i="11"/>
  <c r="AO2006" i="11"/>
  <c r="AO2098" i="11"/>
  <c r="AO2028" i="11"/>
  <c r="AO2091" i="11"/>
  <c r="AO2053" i="11"/>
  <c r="AO2054" i="11"/>
  <c r="AO2073" i="11"/>
  <c r="AO2047" i="11"/>
  <c r="AO2059" i="11"/>
  <c r="AO2024" i="11"/>
  <c r="AO2089" i="11"/>
  <c r="AO2069" i="11"/>
  <c r="AO2033" i="11"/>
  <c r="AO2076" i="11"/>
  <c r="AO2019" i="11"/>
  <c r="AO2093" i="11"/>
  <c r="AO2086" i="11"/>
  <c r="AO2095" i="11"/>
  <c r="AO2043" i="11"/>
  <c r="AO2014" i="11"/>
  <c r="O126" i="54"/>
  <c r="O25" i="54"/>
  <c r="O75" i="54"/>
  <c r="N227" i="54"/>
  <c r="O210" i="54"/>
  <c r="O226" i="54"/>
  <c r="N237" i="54"/>
  <c r="O241" i="54"/>
  <c r="O213" i="54"/>
  <c r="N217" i="54"/>
  <c r="N233" i="54"/>
  <c r="O225" i="54"/>
  <c r="O208" i="54"/>
  <c r="N220" i="54"/>
  <c r="O240" i="54"/>
  <c r="N231" i="54"/>
  <c r="N209" i="54"/>
  <c r="O239" i="54"/>
  <c r="N232" i="54"/>
  <c r="O214" i="54"/>
  <c r="N216" i="54"/>
  <c r="N229" i="54"/>
  <c r="O215" i="54"/>
  <c r="N213" i="54"/>
  <c r="N236" i="54"/>
  <c r="O211" i="54"/>
  <c r="N235" i="54"/>
  <c r="O227" i="54"/>
  <c r="O212" i="54"/>
  <c r="O230" i="54"/>
  <c r="O224" i="54"/>
  <c r="O233" i="54"/>
  <c r="N242" i="54"/>
  <c r="O232" i="54"/>
  <c r="O228" i="54"/>
  <c r="P62" i="54"/>
  <c r="N241" i="54"/>
  <c r="N208" i="54"/>
  <c r="O236" i="54"/>
  <c r="N224" i="54"/>
  <c r="O231" i="54"/>
  <c r="O222" i="54"/>
  <c r="N211" i="54"/>
  <c r="N225" i="54"/>
  <c r="O209" i="54"/>
  <c r="O219" i="54"/>
  <c r="N239" i="54"/>
  <c r="O235" i="54"/>
  <c r="O221" i="54"/>
  <c r="O234" i="54"/>
  <c r="O242" i="54"/>
  <c r="O238" i="54"/>
  <c r="O218" i="54"/>
  <c r="O220" i="54"/>
  <c r="N218" i="54"/>
  <c r="N210" i="54"/>
  <c r="N219" i="54"/>
  <c r="N221" i="54"/>
  <c r="N212" i="54"/>
  <c r="N222" i="54"/>
  <c r="O217" i="54"/>
  <c r="N215" i="54"/>
  <c r="N214" i="54"/>
  <c r="N223" i="54"/>
  <c r="N228" i="54"/>
  <c r="N240" i="54"/>
  <c r="O216" i="54"/>
  <c r="N207" i="54"/>
  <c r="N226" i="54"/>
  <c r="O229" i="54"/>
  <c r="O223" i="54"/>
  <c r="Q62" i="54"/>
  <c r="O237" i="54"/>
  <c r="N230" i="54"/>
  <c r="AK1723" i="11"/>
  <c r="AL1723" i="11" s="1"/>
  <c r="AI1230" i="11"/>
  <c r="AJ1230" i="11" s="1"/>
  <c r="N234" i="54"/>
  <c r="AI877" i="11"/>
  <c r="AJ877" i="11" s="1"/>
  <c r="AK2960" i="11"/>
  <c r="AL2960" i="11" s="1"/>
  <c r="AI3768" i="11"/>
  <c r="AJ3768" i="11" s="1"/>
  <c r="AI1468" i="11"/>
  <c r="AJ1468" i="11" s="1"/>
  <c r="AI155" i="11"/>
  <c r="AJ155" i="11" s="1"/>
  <c r="N238" i="54"/>
  <c r="AI1070" i="11"/>
  <c r="AJ1070" i="11" s="1"/>
  <c r="AI1096" i="11"/>
  <c r="AJ1096" i="11" s="1"/>
  <c r="AK1328" i="11"/>
  <c r="AL1328" i="11" s="1"/>
  <c r="AK849" i="11"/>
  <c r="AL849" i="11" s="1"/>
  <c r="AK915" i="11"/>
  <c r="AL915" i="11" s="1"/>
  <c r="AI1752" i="11"/>
  <c r="AJ1752" i="11" s="1"/>
  <c r="AI1766" i="11"/>
  <c r="AJ1766" i="11" s="1"/>
  <c r="N271" i="54"/>
  <c r="AK3806" i="11"/>
  <c r="AL3806" i="11" s="1"/>
  <c r="AI2157" i="11"/>
  <c r="AJ2157" i="11" s="1"/>
  <c r="AK2907" i="11"/>
  <c r="AL2907" i="11" s="1"/>
  <c r="AD3765" i="11"/>
  <c r="AE3765" i="11" s="1"/>
  <c r="AK262" i="11"/>
  <c r="AL262" i="11" s="1"/>
  <c r="AK1953" i="11"/>
  <c r="AL1953" i="11" s="1"/>
  <c r="AK1978" i="11"/>
  <c r="AL1978" i="11" s="1"/>
  <c r="AI3035" i="11"/>
  <c r="AJ3035" i="11" s="1"/>
  <c r="AI2937" i="11"/>
  <c r="AJ2937" i="11" s="1"/>
  <c r="AK1381" i="11"/>
  <c r="AL1381" i="11" s="1"/>
  <c r="AK1027" i="11"/>
  <c r="AL1027" i="11" s="1"/>
  <c r="AI3818" i="11"/>
  <c r="AJ3818" i="11" s="1"/>
  <c r="AI737" i="11"/>
  <c r="AJ737" i="11" s="1"/>
  <c r="AF958" i="11"/>
  <c r="AG958" i="11" s="1"/>
  <c r="O207" i="54"/>
  <c r="AK2642" i="11"/>
  <c r="AL2642" i="11" s="1"/>
  <c r="AF2480" i="11"/>
  <c r="AG2480" i="11" s="1"/>
  <c r="AK2521" i="11"/>
  <c r="AL2521" i="11" s="1"/>
  <c r="AI1884" i="11"/>
  <c r="AJ1884" i="11" s="1"/>
  <c r="AI2495" i="11"/>
  <c r="AJ2495" i="11" s="1"/>
  <c r="AK1599" i="11"/>
  <c r="AL1599" i="11" s="1"/>
  <c r="AK1085" i="11"/>
  <c r="AL1085" i="11" s="1"/>
  <c r="AI2724" i="11"/>
  <c r="AJ2724" i="11" s="1"/>
  <c r="AK638" i="11"/>
  <c r="AL638" i="11" s="1"/>
  <c r="AK72" i="11"/>
  <c r="AL72" i="11" s="1"/>
  <c r="AK2548" i="11"/>
  <c r="AL2548" i="11" s="1"/>
  <c r="AI44" i="11"/>
  <c r="AJ44" i="11" s="1"/>
  <c r="AK2108" i="11"/>
  <c r="AL2108" i="11" s="1"/>
  <c r="N198" i="54"/>
  <c r="AI401" i="11"/>
  <c r="AJ401" i="11" s="1"/>
  <c r="AK3752" i="11"/>
  <c r="AL3752" i="11" s="1"/>
  <c r="AK181" i="11"/>
  <c r="AL181" i="11" s="1"/>
  <c r="AF3770" i="11"/>
  <c r="AG3770" i="11" s="1"/>
  <c r="AK1505" i="11"/>
  <c r="AL1505" i="11" s="1"/>
  <c r="AK3124" i="11"/>
  <c r="AL3124" i="11" s="1"/>
  <c r="AI3276" i="11"/>
  <c r="AJ3276" i="11" s="1"/>
  <c r="AI3542" i="11"/>
  <c r="AJ3542" i="11" s="1"/>
  <c r="AI3375" i="11"/>
  <c r="AJ3375" i="11" s="1"/>
  <c r="AD172" i="11"/>
  <c r="AE172" i="11" s="1"/>
  <c r="AI1594" i="11"/>
  <c r="AJ1594" i="11" s="1"/>
  <c r="AF1808" i="11"/>
  <c r="AG1808" i="11" s="1"/>
  <c r="AK1835" i="11"/>
  <c r="AL1835" i="11" s="1"/>
  <c r="AK2828" i="11"/>
  <c r="AL2828" i="11" s="1"/>
  <c r="AI2737" i="11"/>
  <c r="AJ2737" i="11" s="1"/>
  <c r="AF1928" i="11"/>
  <c r="AG1928" i="11" s="1"/>
  <c r="AF620" i="11"/>
  <c r="AG620" i="11" s="1"/>
  <c r="AK576" i="11"/>
  <c r="AL576" i="11" s="1"/>
  <c r="P129" i="54"/>
  <c r="N250" i="54"/>
  <c r="O279" i="54"/>
  <c r="AD848" i="11"/>
  <c r="AE848" i="11" s="1"/>
  <c r="AK827" i="11"/>
  <c r="AL827" i="11" s="1"/>
  <c r="AI1573" i="11"/>
  <c r="AJ1573" i="11" s="1"/>
  <c r="N272" i="54"/>
  <c r="AI803" i="11"/>
  <c r="AJ803" i="11" s="1"/>
  <c r="O257" i="54"/>
  <c r="Q159" i="54"/>
  <c r="AD3123" i="11"/>
  <c r="AE3123" i="11" s="1"/>
  <c r="AI3096" i="11"/>
  <c r="AJ3096" i="11" s="1"/>
  <c r="AI1939" i="11"/>
  <c r="AJ1939" i="11" s="1"/>
  <c r="AF1269" i="11"/>
  <c r="AG1269" i="11" s="1"/>
  <c r="AF3162" i="11"/>
  <c r="AG3162" i="11" s="1"/>
  <c r="AK3191" i="11"/>
  <c r="AL3191" i="11" s="1"/>
  <c r="AK2376" i="11"/>
  <c r="AL2376" i="11" s="1"/>
  <c r="AF2269" i="11"/>
  <c r="AG2269" i="11" s="1"/>
  <c r="AK2214" i="11"/>
  <c r="AL2214" i="11" s="1"/>
  <c r="AK3426" i="11"/>
  <c r="AL3426" i="11" s="1"/>
  <c r="AF3057" i="11"/>
  <c r="AG3057" i="11" s="1"/>
  <c r="AI3582" i="11"/>
  <c r="AJ3582" i="11" s="1"/>
  <c r="AF3366" i="11"/>
  <c r="AG3366" i="11" s="1"/>
  <c r="AF3356" i="11"/>
  <c r="AG3356" i="11" s="1"/>
  <c r="AK3267" i="11"/>
  <c r="AL3267" i="11" s="1"/>
  <c r="AI2560" i="11"/>
  <c r="AJ2560" i="11" s="1"/>
  <c r="AF3545" i="11"/>
  <c r="AG3545" i="11" s="1"/>
  <c r="AK3561" i="11"/>
  <c r="AL3561" i="11" s="1"/>
  <c r="AI971" i="11"/>
  <c r="AJ971" i="11" s="1"/>
  <c r="AF3578" i="11"/>
  <c r="AG3578" i="11" s="1"/>
  <c r="AK3581" i="11"/>
  <c r="AL3581" i="11" s="1"/>
  <c r="AI1271" i="11"/>
  <c r="AJ1271" i="11" s="1"/>
  <c r="AD2369" i="11"/>
  <c r="AE2369" i="11" s="1"/>
  <c r="AI2349" i="11"/>
  <c r="AJ2349" i="11" s="1"/>
  <c r="AD3238" i="11"/>
  <c r="AE3238" i="11" s="1"/>
  <c r="AI3206" i="11"/>
  <c r="AJ3206" i="11" s="1"/>
  <c r="AF500" i="11"/>
  <c r="AG500" i="11" s="1"/>
  <c r="AK434" i="11"/>
  <c r="AL434" i="11" s="1"/>
  <c r="AI240" i="11"/>
  <c r="AJ240" i="11" s="1"/>
  <c r="N167" i="54"/>
  <c r="AD2886" i="11" l="1"/>
  <c r="AE2886" i="11" s="1"/>
  <c r="AD184" i="11"/>
  <c r="AE184" i="11" s="1"/>
  <c r="AD806" i="11"/>
  <c r="AE806" i="11" s="1"/>
  <c r="AD3652" i="11"/>
  <c r="AE3652" i="11" s="1"/>
  <c r="N258" i="54"/>
  <c r="AF195" i="11"/>
  <c r="AG195" i="11" s="1"/>
  <c r="AF265" i="11"/>
  <c r="AG265" i="11" s="1"/>
  <c r="AK2672" i="11"/>
  <c r="AL2672" i="11" s="1"/>
  <c r="AK3243" i="11"/>
  <c r="AL3243" i="11" s="1"/>
  <c r="P103" i="54"/>
  <c r="P161" i="54"/>
  <c r="P90" i="54"/>
  <c r="AF836" i="11"/>
  <c r="AG836" i="11" s="1"/>
  <c r="AI601" i="11"/>
  <c r="AJ601" i="11" s="1"/>
  <c r="AF2137" i="11"/>
  <c r="AG2137" i="11" s="1"/>
  <c r="AI2933" i="11"/>
  <c r="AJ2933" i="11" s="1"/>
  <c r="AD1892" i="11"/>
  <c r="AE1892" i="11" s="1"/>
  <c r="AF2887" i="11"/>
  <c r="AG2887" i="11" s="1"/>
  <c r="AD2489" i="11"/>
  <c r="AE2489" i="11" s="1"/>
  <c r="N264" i="54"/>
  <c r="Q155" i="54"/>
  <c r="AF1171" i="11"/>
  <c r="AG1171" i="11" s="1"/>
  <c r="N261" i="54"/>
  <c r="Q88" i="54"/>
  <c r="O275" i="54"/>
  <c r="AD3535" i="11"/>
  <c r="AE3535" i="11" s="1"/>
  <c r="N280" i="54"/>
  <c r="AF3724" i="11"/>
  <c r="AG3724" i="11" s="1"/>
  <c r="AK2486" i="11"/>
  <c r="AL2486" i="11" s="1"/>
  <c r="AI261" i="11"/>
  <c r="AJ261" i="11" s="1"/>
  <c r="AK2322" i="11"/>
  <c r="AL2322" i="11" s="1"/>
  <c r="AK953" i="11"/>
  <c r="AL953" i="11" s="1"/>
  <c r="P79" i="54"/>
  <c r="AF2811" i="11"/>
  <c r="AG2811" i="11" s="1"/>
  <c r="Q111" i="54"/>
  <c r="O273" i="54"/>
  <c r="AD3365" i="11"/>
  <c r="AE3365" i="11" s="1"/>
  <c r="AF883" i="11"/>
  <c r="AG883" i="11" s="1"/>
  <c r="P98" i="54"/>
  <c r="AD724" i="11"/>
  <c r="AE724" i="11" s="1"/>
  <c r="N259" i="54"/>
  <c r="AD1531" i="11"/>
  <c r="AE1531" i="11" s="1"/>
  <c r="AD1694" i="11"/>
  <c r="AE1694" i="11" s="1"/>
  <c r="AI3659" i="11"/>
  <c r="AJ3659" i="11" s="1"/>
  <c r="P105" i="54"/>
  <c r="AF1100" i="11"/>
  <c r="AG1100" i="11" s="1"/>
  <c r="O263" i="54"/>
  <c r="Q162" i="54"/>
  <c r="P97" i="54"/>
  <c r="P155" i="54"/>
  <c r="AD2641" i="11"/>
  <c r="AE2641" i="11" s="1"/>
  <c r="AD83" i="11"/>
  <c r="AE83" i="11" s="1"/>
  <c r="AF170" i="11"/>
  <c r="AG170" i="11" s="1"/>
  <c r="AD1940" i="11"/>
  <c r="AE1940" i="11" s="1"/>
  <c r="AD1579" i="11"/>
  <c r="AE1579" i="11" s="1"/>
  <c r="AD3041" i="11"/>
  <c r="AE3041" i="11" s="1"/>
  <c r="Q95" i="54"/>
  <c r="AF1684" i="11"/>
  <c r="AG1684" i="11" s="1"/>
  <c r="AD2186" i="11"/>
  <c r="AE2186" i="11" s="1"/>
  <c r="Q104" i="54"/>
  <c r="P88" i="54"/>
  <c r="AF2649" i="11"/>
  <c r="AG2649" i="11" s="1"/>
  <c r="AI3371" i="11"/>
  <c r="AJ3371" i="11" s="1"/>
  <c r="AF1466" i="11"/>
  <c r="AG1466" i="11" s="1"/>
  <c r="AD2518" i="11"/>
  <c r="AE2518" i="11" s="1"/>
  <c r="AD2539" i="11"/>
  <c r="AE2539" i="11" s="1"/>
  <c r="AF211" i="11"/>
  <c r="AG211" i="11" s="1"/>
  <c r="N267" i="54"/>
  <c r="AK126" i="11"/>
  <c r="AL126" i="11" s="1"/>
  <c r="AF3472" i="11"/>
  <c r="AG3472" i="11" s="1"/>
  <c r="AK2229" i="11"/>
  <c r="AL2229" i="11" s="1"/>
  <c r="O254" i="54"/>
  <c r="AF3129" i="11"/>
  <c r="AG3129" i="11" s="1"/>
  <c r="Q139" i="54"/>
  <c r="O264" i="54"/>
  <c r="AK1826" i="11"/>
  <c r="AL1826" i="11" s="1"/>
  <c r="AK3713" i="11"/>
  <c r="AL3713" i="11" s="1"/>
  <c r="AK656" i="11"/>
  <c r="AL656" i="11" s="1"/>
  <c r="AF685" i="11"/>
  <c r="AG685" i="11" s="1"/>
  <c r="AD3324" i="11"/>
  <c r="AE3324" i="11" s="1"/>
  <c r="AK2554" i="11"/>
  <c r="AL2554" i="11" s="1"/>
  <c r="AD1013" i="11"/>
  <c r="AE1013" i="11" s="1"/>
  <c r="AF2248" i="11"/>
  <c r="AG2248" i="11" s="1"/>
  <c r="P135" i="54"/>
  <c r="Q131" i="54"/>
  <c r="AD3237" i="11"/>
  <c r="AE3237" i="11" s="1"/>
  <c r="AK730" i="11"/>
  <c r="AL730" i="11" s="1"/>
  <c r="N279" i="54"/>
  <c r="N57" i="54" s="1"/>
  <c r="AI2500" i="11"/>
  <c r="AJ2500" i="11" s="1"/>
  <c r="Q138" i="54"/>
  <c r="AI1572" i="11"/>
  <c r="AJ1572" i="11" s="1"/>
  <c r="AI802" i="11"/>
  <c r="AJ802" i="11" s="1"/>
  <c r="AF1083" i="11"/>
  <c r="AG1083" i="11" s="1"/>
  <c r="O281" i="54"/>
  <c r="AD281" i="11"/>
  <c r="AE281" i="11" s="1"/>
  <c r="O266" i="54"/>
  <c r="N253" i="54"/>
  <c r="N270" i="54"/>
  <c r="AK672" i="11"/>
  <c r="AL672" i="11" s="1"/>
  <c r="AD3191" i="11"/>
  <c r="AE3191" i="11" s="1"/>
  <c r="Q243" i="54"/>
  <c r="Q7" i="54" s="1"/>
  <c r="O256" i="54"/>
  <c r="P80" i="54"/>
  <c r="Q105" i="54"/>
  <c r="AD2434" i="11"/>
  <c r="AE2434" i="11" s="1"/>
  <c r="Q84" i="54"/>
  <c r="Q140" i="54"/>
  <c r="AD268" i="11"/>
  <c r="AE268" i="11" s="1"/>
  <c r="P110" i="54"/>
  <c r="O243" i="54"/>
  <c r="O7" i="54" s="1"/>
  <c r="AF1147" i="11"/>
  <c r="AG1147" i="11" s="1"/>
  <c r="AI2844" i="11"/>
  <c r="AJ2844" i="11" s="1"/>
  <c r="Q103" i="54"/>
  <c r="AK1897" i="11"/>
  <c r="AL1897" i="11" s="1"/>
  <c r="AI1194" i="11"/>
  <c r="AJ1194" i="11" s="1"/>
  <c r="O270" i="54"/>
  <c r="Q90" i="54"/>
  <c r="AD866" i="11"/>
  <c r="AE866" i="11" s="1"/>
  <c r="AF3344" i="11"/>
  <c r="AG3344" i="11" s="1"/>
  <c r="O283" i="54"/>
  <c r="AF2494" i="11"/>
  <c r="AG2494" i="11" s="1"/>
  <c r="AI2727" i="11"/>
  <c r="AJ2727" i="11" s="1"/>
  <c r="N251" i="54"/>
  <c r="AK2309" i="11"/>
  <c r="AL2309" i="11" s="1"/>
  <c r="Q86" i="54"/>
  <c r="P109" i="54"/>
  <c r="P130" i="54"/>
  <c r="Q129" i="54"/>
  <c r="O250" i="54"/>
  <c r="Q132" i="54"/>
  <c r="AF3814" i="11"/>
  <c r="AG3814" i="11" s="1"/>
  <c r="AD3345" i="11"/>
  <c r="AE3345" i="11" s="1"/>
  <c r="P91" i="54"/>
  <c r="O277" i="54"/>
  <c r="AD1175" i="11"/>
  <c r="AE1175" i="11" s="1"/>
  <c r="N256" i="54"/>
  <c r="N273" i="54"/>
  <c r="AD621" i="11"/>
  <c r="AE621" i="11" s="1"/>
  <c r="Q141" i="54"/>
  <c r="AK1830" i="11"/>
  <c r="AL1830" i="11" s="1"/>
  <c r="Q93" i="54"/>
  <c r="AD1238" i="11"/>
  <c r="AE1238" i="11" s="1"/>
  <c r="O251" i="54"/>
  <c r="AK3766" i="11"/>
  <c r="AL3766" i="11" s="1"/>
  <c r="N158" i="54"/>
  <c r="AF408" i="11"/>
  <c r="AG408" i="11" s="1"/>
  <c r="AF394" i="11"/>
  <c r="AG394" i="11" s="1"/>
  <c r="AF361" i="11"/>
  <c r="AG361" i="11" s="1"/>
  <c r="AF391" i="11"/>
  <c r="AG391" i="11" s="1"/>
  <c r="AF336" i="11"/>
  <c r="AG336" i="11" s="1"/>
  <c r="AF375" i="11"/>
  <c r="AG375" i="11" s="1"/>
  <c r="AF363" i="11"/>
  <c r="AG363" i="11" s="1"/>
  <c r="AF388" i="11"/>
  <c r="AG388" i="11" s="1"/>
  <c r="AF384" i="11"/>
  <c r="AG384" i="11" s="1"/>
  <c r="AF337" i="11"/>
  <c r="AG337" i="11" s="1"/>
  <c r="AF353" i="11"/>
  <c r="AG353" i="11" s="1"/>
  <c r="AF349" i="11"/>
  <c r="AG349" i="11" s="1"/>
  <c r="AF356" i="11"/>
  <c r="AG356" i="11" s="1"/>
  <c r="AF332" i="11"/>
  <c r="AG332" i="11" s="1"/>
  <c r="AF421" i="11"/>
  <c r="AG421" i="11" s="1"/>
  <c r="AF343" i="11"/>
  <c r="AG343" i="11" s="1"/>
  <c r="AF383" i="11"/>
  <c r="AG383" i="11" s="1"/>
  <c r="AF414" i="11"/>
  <c r="AG414" i="11" s="1"/>
  <c r="AF379" i="11"/>
  <c r="AG379" i="11" s="1"/>
  <c r="AF385" i="11"/>
  <c r="AG385" i="11" s="1"/>
  <c r="AF352" i="11"/>
  <c r="AG352" i="11" s="1"/>
  <c r="AF340" i="11"/>
  <c r="AG340" i="11" s="1"/>
  <c r="AF338" i="11"/>
  <c r="AG338" i="11" s="1"/>
  <c r="AF424" i="11"/>
  <c r="AG424" i="11" s="1"/>
  <c r="AF368" i="11"/>
  <c r="AG368" i="11" s="1"/>
  <c r="AF400" i="11"/>
  <c r="AG400" i="11" s="1"/>
  <c r="AF398" i="11"/>
  <c r="AG398" i="11" s="1"/>
  <c r="AF347" i="11"/>
  <c r="AG347" i="11" s="1"/>
  <c r="AF373" i="11"/>
  <c r="AG373" i="11" s="1"/>
  <c r="AF412" i="11"/>
  <c r="AG412" i="11" s="1"/>
  <c r="AF411" i="11"/>
  <c r="AG411" i="11" s="1"/>
  <c r="AF389" i="11"/>
  <c r="AG389" i="11" s="1"/>
  <c r="AF359" i="11"/>
  <c r="AG359" i="11" s="1"/>
  <c r="AF345" i="11"/>
  <c r="AG345" i="11" s="1"/>
  <c r="AF346" i="11"/>
  <c r="AG346" i="11" s="1"/>
  <c r="AF392" i="11"/>
  <c r="AG392" i="11" s="1"/>
  <c r="AF330" i="11"/>
  <c r="AG330" i="11" s="1"/>
  <c r="AF367" i="11"/>
  <c r="AG367" i="11" s="1"/>
  <c r="AF380" i="11"/>
  <c r="AG380" i="11" s="1"/>
  <c r="AF406" i="11"/>
  <c r="AG406" i="11" s="1"/>
  <c r="AF344" i="11"/>
  <c r="AG344" i="11" s="1"/>
  <c r="AF334" i="11"/>
  <c r="AG334" i="11" s="1"/>
  <c r="AF365" i="11"/>
  <c r="AG365" i="11" s="1"/>
  <c r="AF377" i="11"/>
  <c r="AG377" i="11" s="1"/>
  <c r="AF404" i="11"/>
  <c r="AG404" i="11" s="1"/>
  <c r="AF333" i="11"/>
  <c r="AG333" i="11" s="1"/>
  <c r="AF329" i="11"/>
  <c r="AG329" i="11" s="1"/>
  <c r="AF418" i="11"/>
  <c r="AG418" i="11" s="1"/>
  <c r="AF341" i="11"/>
  <c r="AG341" i="11" s="1"/>
  <c r="AF381" i="11"/>
  <c r="AG381" i="11" s="1"/>
  <c r="AF371" i="11"/>
  <c r="AG371" i="11" s="1"/>
  <c r="AF326" i="11"/>
  <c r="AG326" i="11" s="1"/>
  <c r="AF360" i="11"/>
  <c r="AG360" i="11" s="1"/>
  <c r="AF393" i="11"/>
  <c r="AG393" i="11" s="1"/>
  <c r="AF423" i="11"/>
  <c r="AG423" i="11" s="1"/>
  <c r="AF355" i="11"/>
  <c r="AG355" i="11" s="1"/>
  <c r="AF415" i="11"/>
  <c r="AG415" i="11" s="1"/>
  <c r="AF331" i="11"/>
  <c r="AG331" i="11" s="1"/>
  <c r="AF395" i="11"/>
  <c r="AG395" i="11" s="1"/>
  <c r="AF417" i="11"/>
  <c r="AG417" i="11" s="1"/>
  <c r="AF327" i="11"/>
  <c r="AG327" i="11" s="1"/>
  <c r="AF397" i="11"/>
  <c r="AG397" i="11" s="1"/>
  <c r="AF321" i="11"/>
  <c r="AG321" i="11" s="1"/>
  <c r="AF370" i="11"/>
  <c r="AG370" i="11" s="1"/>
  <c r="AF399" i="11"/>
  <c r="AG399" i="11" s="1"/>
  <c r="AF372" i="11"/>
  <c r="AG372" i="11" s="1"/>
  <c r="AF396" i="11"/>
  <c r="AG396" i="11" s="1"/>
  <c r="AF357" i="11"/>
  <c r="AG357" i="11" s="1"/>
  <c r="AF422" i="11"/>
  <c r="AG422" i="11" s="1"/>
  <c r="AF350" i="11"/>
  <c r="AG350" i="11" s="1"/>
  <c r="AF324" i="11"/>
  <c r="AG324" i="11" s="1"/>
  <c r="AF351" i="11"/>
  <c r="AG351" i="11" s="1"/>
  <c r="AF323" i="11"/>
  <c r="AG323" i="11" s="1"/>
  <c r="AF378" i="11"/>
  <c r="AG378" i="11" s="1"/>
  <c r="AF402" i="11"/>
  <c r="AG402" i="11" s="1"/>
  <c r="AF410" i="11"/>
  <c r="AG410" i="11" s="1"/>
  <c r="AF401" i="11"/>
  <c r="AG401" i="11" s="1"/>
  <c r="AF362" i="11"/>
  <c r="AG362" i="11" s="1"/>
  <c r="AF419" i="11"/>
  <c r="AG419" i="11" s="1"/>
  <c r="AF416" i="11"/>
  <c r="AG416" i="11" s="1"/>
  <c r="AF407" i="11"/>
  <c r="AG407" i="11" s="1"/>
  <c r="AF413" i="11"/>
  <c r="AG413" i="11" s="1"/>
  <c r="AF348" i="11"/>
  <c r="AG348" i="11" s="1"/>
  <c r="AF335" i="11"/>
  <c r="AG335" i="11" s="1"/>
  <c r="AF325" i="11"/>
  <c r="AG325" i="11" s="1"/>
  <c r="AF364" i="11"/>
  <c r="AG364" i="11" s="1"/>
  <c r="AF374" i="11"/>
  <c r="AG374" i="11" s="1"/>
  <c r="AF386" i="11"/>
  <c r="AG386" i="11" s="1"/>
  <c r="AF403" i="11"/>
  <c r="AG403" i="11" s="1"/>
  <c r="AF358" i="11"/>
  <c r="AG358" i="11" s="1"/>
  <c r="AF328" i="11"/>
  <c r="AG328" i="11" s="1"/>
  <c r="AF382" i="11"/>
  <c r="AG382" i="11" s="1"/>
  <c r="AF409" i="11"/>
  <c r="AG409" i="11" s="1"/>
  <c r="AF369" i="11"/>
  <c r="AG369" i="11" s="1"/>
  <c r="AF2617" i="11"/>
  <c r="AG2617" i="11" s="1"/>
  <c r="AF2586" i="11"/>
  <c r="AG2586" i="11" s="1"/>
  <c r="AF2530" i="11"/>
  <c r="AG2530" i="11" s="1"/>
  <c r="AF2582" i="11"/>
  <c r="AG2582" i="11" s="1"/>
  <c r="AF2599" i="11"/>
  <c r="AG2599" i="11" s="1"/>
  <c r="AF2626" i="11"/>
  <c r="AG2626" i="11" s="1"/>
  <c r="AF2569" i="11"/>
  <c r="AG2569" i="11" s="1"/>
  <c r="AF2547" i="11"/>
  <c r="AG2547" i="11" s="1"/>
  <c r="AF2527" i="11"/>
  <c r="AG2527" i="11" s="1"/>
  <c r="AF2550" i="11"/>
  <c r="AG2550" i="11" s="1"/>
  <c r="AF2616" i="11"/>
  <c r="AG2616" i="11" s="1"/>
  <c r="AF2562" i="11"/>
  <c r="AG2562" i="11" s="1"/>
  <c r="AF2579" i="11"/>
  <c r="AG2579" i="11" s="1"/>
  <c r="AF2611" i="11"/>
  <c r="AG2611" i="11" s="1"/>
  <c r="AF2594" i="11"/>
  <c r="AG2594" i="11" s="1"/>
  <c r="AF2545" i="11"/>
  <c r="AG2545" i="11" s="1"/>
  <c r="AF2575" i="11"/>
  <c r="AG2575" i="11" s="1"/>
  <c r="AF2567" i="11"/>
  <c r="AG2567" i="11" s="1"/>
  <c r="AF2622" i="11"/>
  <c r="AG2622" i="11" s="1"/>
  <c r="AF2528" i="11"/>
  <c r="AG2528" i="11" s="1"/>
  <c r="AF2574" i="11"/>
  <c r="AG2574" i="11" s="1"/>
  <c r="AF2532" i="11"/>
  <c r="AG2532" i="11" s="1"/>
  <c r="AF2595" i="11"/>
  <c r="AG2595" i="11" s="1"/>
  <c r="AF2610" i="11"/>
  <c r="AG2610" i="11" s="1"/>
  <c r="AF2623" i="11"/>
  <c r="AG2623" i="11" s="1"/>
  <c r="AF2589" i="11"/>
  <c r="AG2589" i="11" s="1"/>
  <c r="AF2534" i="11"/>
  <c r="AG2534" i="11" s="1"/>
  <c r="AF2548" i="11"/>
  <c r="AG2548" i="11" s="1"/>
  <c r="AO2548" i="11" s="1"/>
  <c r="AF2604" i="11"/>
  <c r="AG2604" i="11" s="1"/>
  <c r="AF2596" i="11"/>
  <c r="AG2596" i="11" s="1"/>
  <c r="AF2598" i="11"/>
  <c r="AG2598" i="11" s="1"/>
  <c r="AF2607" i="11"/>
  <c r="AG2607" i="11" s="1"/>
  <c r="AF2560" i="11"/>
  <c r="AG2560" i="11" s="1"/>
  <c r="AF2525" i="11"/>
  <c r="AG2525" i="11" s="1"/>
  <c r="AF2600" i="11"/>
  <c r="AG2600" i="11" s="1"/>
  <c r="AF2624" i="11"/>
  <c r="AG2624" i="11" s="1"/>
  <c r="AF2609" i="11"/>
  <c r="AG2609" i="11" s="1"/>
  <c r="AF2590" i="11"/>
  <c r="AG2590" i="11" s="1"/>
  <c r="AF2526" i="11"/>
  <c r="AG2526" i="11" s="1"/>
  <c r="AF2576" i="11"/>
  <c r="AG2576" i="11" s="1"/>
  <c r="AF2628" i="11"/>
  <c r="AG2628" i="11" s="1"/>
  <c r="AF2541" i="11"/>
  <c r="AG2541" i="11" s="1"/>
  <c r="AF2570" i="11"/>
  <c r="AG2570" i="11" s="1"/>
  <c r="AF2539" i="11"/>
  <c r="AG2539" i="11" s="1"/>
  <c r="AF2602" i="11"/>
  <c r="AG2602" i="11" s="1"/>
  <c r="AF2612" i="11"/>
  <c r="AG2612" i="11" s="1"/>
  <c r="AF2538" i="11"/>
  <c r="AG2538" i="11" s="1"/>
  <c r="AF2546" i="11"/>
  <c r="AG2546" i="11" s="1"/>
  <c r="AF2555" i="11"/>
  <c r="AG2555" i="11" s="1"/>
  <c r="AF2537" i="11"/>
  <c r="AG2537" i="11" s="1"/>
  <c r="AF2614" i="11"/>
  <c r="AG2614" i="11" s="1"/>
  <c r="AF2591" i="11"/>
  <c r="AG2591" i="11" s="1"/>
  <c r="AF2619" i="11"/>
  <c r="AG2619" i="11" s="1"/>
  <c r="AF2584" i="11"/>
  <c r="AG2584" i="11" s="1"/>
  <c r="AF2583" i="11"/>
  <c r="AG2583" i="11" s="1"/>
  <c r="AF2563" i="11"/>
  <c r="AG2563" i="11" s="1"/>
  <c r="AF2578" i="11"/>
  <c r="AG2578" i="11" s="1"/>
  <c r="AF2621" i="11"/>
  <c r="AG2621" i="11" s="1"/>
  <c r="AF2529" i="11"/>
  <c r="AG2529" i="11" s="1"/>
  <c r="AF2543" i="11"/>
  <c r="AG2543" i="11" s="1"/>
  <c r="AF2564" i="11"/>
  <c r="AG2564" i="11" s="1"/>
  <c r="AF2606" i="11"/>
  <c r="AG2606" i="11" s="1"/>
  <c r="AF2587" i="11"/>
  <c r="AG2587" i="11" s="1"/>
  <c r="AF2544" i="11"/>
  <c r="AG2544" i="11" s="1"/>
  <c r="AF2565" i="11"/>
  <c r="AG2565" i="11" s="1"/>
  <c r="AF2585" i="11"/>
  <c r="AG2585" i="11" s="1"/>
  <c r="AF2573" i="11"/>
  <c r="AG2573" i="11" s="1"/>
  <c r="AF2615" i="11"/>
  <c r="AG2615" i="11" s="1"/>
  <c r="AF2625" i="11"/>
  <c r="AG2625" i="11" s="1"/>
  <c r="AF2592" i="11"/>
  <c r="AG2592" i="11" s="1"/>
  <c r="AF2571" i="11"/>
  <c r="AG2571" i="11" s="1"/>
  <c r="AF2605" i="11"/>
  <c r="AG2605" i="11" s="1"/>
  <c r="AF2556" i="11"/>
  <c r="AG2556" i="11" s="1"/>
  <c r="AF2629" i="11"/>
  <c r="AG2629" i="11" s="1"/>
  <c r="AF2535" i="11"/>
  <c r="AG2535" i="11" s="1"/>
  <c r="AF2603" i="11"/>
  <c r="AG2603" i="11" s="1"/>
  <c r="AF2593" i="11"/>
  <c r="AG2593" i="11" s="1"/>
  <c r="AF2568" i="11"/>
  <c r="AG2568" i="11" s="1"/>
  <c r="AF2561" i="11"/>
  <c r="AG2561" i="11" s="1"/>
  <c r="AF2542" i="11"/>
  <c r="AG2542" i="11" s="1"/>
  <c r="AF2552" i="11"/>
  <c r="AG2552" i="11" s="1"/>
  <c r="AF2581" i="11"/>
  <c r="AG2581" i="11" s="1"/>
  <c r="AF2557" i="11"/>
  <c r="AG2557" i="11" s="1"/>
  <c r="AF2533" i="11"/>
  <c r="AG2533" i="11" s="1"/>
  <c r="AF2572" i="11"/>
  <c r="AG2572" i="11" s="1"/>
  <c r="AF2540" i="11"/>
  <c r="AG2540" i="11" s="1"/>
  <c r="AF2608" i="11"/>
  <c r="AG2608" i="11" s="1"/>
  <c r="AF2618" i="11"/>
  <c r="AG2618" i="11" s="1"/>
  <c r="AF2566" i="11"/>
  <c r="AG2566" i="11" s="1"/>
  <c r="O168" i="54"/>
  <c r="AF2553" i="11"/>
  <c r="AG2553" i="11" s="1"/>
  <c r="AF2554" i="11"/>
  <c r="AG2554" i="11" s="1"/>
  <c r="AF2551" i="11"/>
  <c r="AG2551" i="11" s="1"/>
  <c r="AF2531" i="11"/>
  <c r="AG2531" i="11" s="1"/>
  <c r="AD101" i="11"/>
  <c r="AE101" i="11" s="1"/>
  <c r="AD93" i="11"/>
  <c r="AE93" i="11" s="1"/>
  <c r="AD58" i="11"/>
  <c r="AE58" i="11" s="1"/>
  <c r="AD81" i="11"/>
  <c r="AE81" i="11" s="1"/>
  <c r="AD52" i="11"/>
  <c r="AE52" i="11" s="1"/>
  <c r="AD69" i="11"/>
  <c r="AE69" i="11" s="1"/>
  <c r="AD102" i="11"/>
  <c r="AE102" i="11" s="1"/>
  <c r="AD66" i="11"/>
  <c r="AE66" i="11" s="1"/>
  <c r="AD34" i="11"/>
  <c r="AE34" i="11" s="1"/>
  <c r="AD29" i="11"/>
  <c r="AE29" i="11" s="1"/>
  <c r="AD36" i="11"/>
  <c r="AE36" i="11" s="1"/>
  <c r="AD31" i="11"/>
  <c r="AE31" i="11" s="1"/>
  <c r="AD96" i="11"/>
  <c r="AE96" i="11" s="1"/>
  <c r="AD70" i="11"/>
  <c r="AE70" i="11" s="1"/>
  <c r="AD98" i="11"/>
  <c r="AE98" i="11" s="1"/>
  <c r="AD94" i="11"/>
  <c r="AE94" i="11" s="1"/>
  <c r="AD90" i="11"/>
  <c r="AE90" i="11" s="1"/>
  <c r="AD55" i="11"/>
  <c r="AE55" i="11" s="1"/>
  <c r="AD44" i="11"/>
  <c r="AE44" i="11" s="1"/>
  <c r="AN44" i="11" s="1"/>
  <c r="AD27" i="11"/>
  <c r="AE27" i="11" s="1"/>
  <c r="AD9" i="11"/>
  <c r="AE9" i="11" s="1"/>
  <c r="AD75" i="11"/>
  <c r="AE75" i="11" s="1"/>
  <c r="AD49" i="11"/>
  <c r="AE49" i="11" s="1"/>
  <c r="AD82" i="11"/>
  <c r="AE82" i="11" s="1"/>
  <c r="AD25" i="11"/>
  <c r="AE25" i="11" s="1"/>
  <c r="AD12" i="11"/>
  <c r="AE12" i="11" s="1"/>
  <c r="AD80" i="11"/>
  <c r="AE80" i="11" s="1"/>
  <c r="AD18" i="11"/>
  <c r="AE18" i="11" s="1"/>
  <c r="AD48" i="11"/>
  <c r="AE48" i="11" s="1"/>
  <c r="AD30" i="11"/>
  <c r="AE30" i="11" s="1"/>
  <c r="AD51" i="11"/>
  <c r="AE51" i="11" s="1"/>
  <c r="AD26" i="11"/>
  <c r="AE26" i="11" s="1"/>
  <c r="AD67" i="11"/>
  <c r="AE67" i="11" s="1"/>
  <c r="AD59" i="11"/>
  <c r="AE59" i="11" s="1"/>
  <c r="AD15" i="11"/>
  <c r="AE15" i="11" s="1"/>
  <c r="AD37" i="11"/>
  <c r="AE37" i="11" s="1"/>
  <c r="AD100" i="11"/>
  <c r="AE100" i="11" s="1"/>
  <c r="AD62" i="11"/>
  <c r="AE62" i="11" s="1"/>
  <c r="AD21" i="11"/>
  <c r="AE21" i="11" s="1"/>
  <c r="AD60" i="11"/>
  <c r="AE60" i="11" s="1"/>
  <c r="AD79" i="11"/>
  <c r="AE79" i="11" s="1"/>
  <c r="AD17" i="11"/>
  <c r="AE17" i="11" s="1"/>
  <c r="AD86" i="11"/>
  <c r="AE86" i="11" s="1"/>
  <c r="AD43" i="11"/>
  <c r="AE43" i="11" s="1"/>
  <c r="AD6" i="11"/>
  <c r="AE6" i="11" s="1"/>
  <c r="AD97" i="11"/>
  <c r="AE97" i="11" s="1"/>
  <c r="N202" i="54"/>
  <c r="AD14" i="11"/>
  <c r="AE14" i="11" s="1"/>
  <c r="AD16" i="11"/>
  <c r="AE16" i="11" s="1"/>
  <c r="AD47" i="11"/>
  <c r="AE47" i="11" s="1"/>
  <c r="AD57" i="11"/>
  <c r="AE57" i="11" s="1"/>
  <c r="AD92" i="11"/>
  <c r="AE92" i="11" s="1"/>
  <c r="AD77" i="11"/>
  <c r="AE77" i="11" s="1"/>
  <c r="AD39" i="11"/>
  <c r="AE39" i="11" s="1"/>
  <c r="AD32" i="11"/>
  <c r="AE32" i="11" s="1"/>
  <c r="AD63" i="11"/>
  <c r="AE63" i="11" s="1"/>
  <c r="AD89" i="11"/>
  <c r="AE89" i="11" s="1"/>
  <c r="AD78" i="11"/>
  <c r="AE78" i="11" s="1"/>
  <c r="AD95" i="11"/>
  <c r="AE95" i="11" s="1"/>
  <c r="AD109" i="11"/>
  <c r="AE109" i="11" s="1"/>
  <c r="AD5" i="11"/>
  <c r="AE5" i="11" s="1"/>
  <c r="AD35" i="11"/>
  <c r="AE35" i="11" s="1"/>
  <c r="AD19" i="11"/>
  <c r="AE19" i="11" s="1"/>
  <c r="AD99" i="11"/>
  <c r="AE99" i="11" s="1"/>
  <c r="AD7" i="11"/>
  <c r="AE7" i="11" s="1"/>
  <c r="AD106" i="11"/>
  <c r="AE106" i="11" s="1"/>
  <c r="AD50" i="11"/>
  <c r="AE50" i="11" s="1"/>
  <c r="AD8" i="11"/>
  <c r="AE8" i="11" s="1"/>
  <c r="AD104" i="11"/>
  <c r="AE104" i="11" s="1"/>
  <c r="AD11" i="11"/>
  <c r="AE11" i="11" s="1"/>
  <c r="AD45" i="11"/>
  <c r="AE45" i="11" s="1"/>
  <c r="AD41" i="11"/>
  <c r="AE41" i="11" s="1"/>
  <c r="AD28" i="11"/>
  <c r="AE28" i="11" s="1"/>
  <c r="AD24" i="11"/>
  <c r="AE24" i="11" s="1"/>
  <c r="AD23" i="11"/>
  <c r="AE23" i="11" s="1"/>
  <c r="AD85" i="11"/>
  <c r="AE85" i="11" s="1"/>
  <c r="AD103" i="11"/>
  <c r="AE103" i="11" s="1"/>
  <c r="AD65" i="11"/>
  <c r="AE65" i="11" s="1"/>
  <c r="AD22" i="11"/>
  <c r="AE22" i="11" s="1"/>
  <c r="AD88" i="11"/>
  <c r="AE88" i="11" s="1"/>
  <c r="AD84" i="11"/>
  <c r="AE84" i="11" s="1"/>
  <c r="AD87" i="11"/>
  <c r="AE87" i="11" s="1"/>
  <c r="AD40" i="11"/>
  <c r="AE40" i="11" s="1"/>
  <c r="AD72" i="11"/>
  <c r="AE72" i="11" s="1"/>
  <c r="AD53" i="11"/>
  <c r="AE53" i="11" s="1"/>
  <c r="AD91" i="11"/>
  <c r="AE91" i="11" s="1"/>
  <c r="AD61" i="11"/>
  <c r="AE61" i="11" s="1"/>
  <c r="AD20" i="11"/>
  <c r="AE20" i="11" s="1"/>
  <c r="AD68" i="11"/>
  <c r="AE68" i="11" s="1"/>
  <c r="AD107" i="11"/>
  <c r="AE107" i="11" s="1"/>
  <c r="AD42" i="11"/>
  <c r="AE42" i="11" s="1"/>
  <c r="AD73" i="11"/>
  <c r="AE73" i="11" s="1"/>
  <c r="AD64" i="11"/>
  <c r="AE64" i="11" s="1"/>
  <c r="AD2128" i="11"/>
  <c r="AE2128" i="11" s="1"/>
  <c r="AD2209" i="11"/>
  <c r="AE2209" i="11" s="1"/>
  <c r="AD2207" i="11"/>
  <c r="AE2207" i="11" s="1"/>
  <c r="AD2140" i="11"/>
  <c r="AE2140" i="11" s="1"/>
  <c r="AD2109" i="11"/>
  <c r="AE2109" i="11" s="1"/>
  <c r="AD2188" i="11"/>
  <c r="AE2188" i="11" s="1"/>
  <c r="AD2147" i="11"/>
  <c r="AE2147" i="11" s="1"/>
  <c r="AD2183" i="11"/>
  <c r="AE2183" i="11" s="1"/>
  <c r="AD2205" i="11"/>
  <c r="AE2205" i="11" s="1"/>
  <c r="AD2129" i="11"/>
  <c r="AE2129" i="11" s="1"/>
  <c r="AD2122" i="11"/>
  <c r="AE2122" i="11" s="1"/>
  <c r="AD2130" i="11"/>
  <c r="AE2130" i="11" s="1"/>
  <c r="AD2144" i="11"/>
  <c r="AE2144" i="11" s="1"/>
  <c r="AD2124" i="11"/>
  <c r="AE2124" i="11" s="1"/>
  <c r="AD2191" i="11"/>
  <c r="AE2191" i="11" s="1"/>
  <c r="AD2194" i="11"/>
  <c r="AE2194" i="11" s="1"/>
  <c r="AD2163" i="11"/>
  <c r="AE2163" i="11" s="1"/>
  <c r="AD2146" i="11"/>
  <c r="AE2146" i="11" s="1"/>
  <c r="AD2117" i="11"/>
  <c r="AE2117" i="11" s="1"/>
  <c r="AD2157" i="11"/>
  <c r="AE2157" i="11" s="1"/>
  <c r="AN2157" i="11" s="1"/>
  <c r="AD2125" i="11"/>
  <c r="AE2125" i="11" s="1"/>
  <c r="AD2120" i="11"/>
  <c r="AE2120" i="11" s="1"/>
  <c r="AD2173" i="11"/>
  <c r="AE2173" i="11" s="1"/>
  <c r="AD2178" i="11"/>
  <c r="AE2178" i="11" s="1"/>
  <c r="AD2139" i="11"/>
  <c r="AE2139" i="11" s="1"/>
  <c r="AD2181" i="11"/>
  <c r="AE2181" i="11" s="1"/>
  <c r="AD2185" i="11"/>
  <c r="AE2185" i="11" s="1"/>
  <c r="AD2204" i="11"/>
  <c r="AE2204" i="11" s="1"/>
  <c r="AD2133" i="11"/>
  <c r="AE2133" i="11" s="1"/>
  <c r="AD2118" i="11"/>
  <c r="AE2118" i="11" s="1"/>
  <c r="AD2177" i="11"/>
  <c r="AE2177" i="11" s="1"/>
  <c r="AD2180" i="11"/>
  <c r="AE2180" i="11" s="1"/>
  <c r="AD2152" i="11"/>
  <c r="AE2152" i="11" s="1"/>
  <c r="AD2199" i="11"/>
  <c r="AE2199" i="11" s="1"/>
  <c r="AD2195" i="11"/>
  <c r="AE2195" i="11" s="1"/>
  <c r="AD2192" i="11"/>
  <c r="AE2192" i="11" s="1"/>
  <c r="AD2153" i="11"/>
  <c r="AE2153" i="11" s="1"/>
  <c r="AD2112" i="11"/>
  <c r="AE2112" i="11" s="1"/>
  <c r="AD2119" i="11"/>
  <c r="AE2119" i="11" s="1"/>
  <c r="AD2123" i="11"/>
  <c r="AE2123" i="11" s="1"/>
  <c r="AD2127" i="11"/>
  <c r="AE2127" i="11" s="1"/>
  <c r="AD2143" i="11"/>
  <c r="AE2143" i="11" s="1"/>
  <c r="AD2179" i="11"/>
  <c r="AE2179" i="11" s="1"/>
  <c r="AD2174" i="11"/>
  <c r="AE2174" i="11" s="1"/>
  <c r="AD2138" i="11"/>
  <c r="AE2138" i="11" s="1"/>
  <c r="AD2201" i="11"/>
  <c r="AE2201" i="11" s="1"/>
  <c r="AD2145" i="11"/>
  <c r="AE2145" i="11" s="1"/>
  <c r="AD2137" i="11"/>
  <c r="AE2137" i="11" s="1"/>
  <c r="AD2131" i="11"/>
  <c r="AE2131" i="11" s="1"/>
  <c r="AD2165" i="11"/>
  <c r="AE2165" i="11" s="1"/>
  <c r="AD2116" i="11"/>
  <c r="AE2116" i="11" s="1"/>
  <c r="AD2150" i="11"/>
  <c r="AE2150" i="11" s="1"/>
  <c r="AD2182" i="11"/>
  <c r="AE2182" i="11" s="1"/>
  <c r="AD2196" i="11"/>
  <c r="AE2196" i="11" s="1"/>
  <c r="AD2154" i="11"/>
  <c r="AE2154" i="11" s="1"/>
  <c r="AD2168" i="11"/>
  <c r="AE2168" i="11" s="1"/>
  <c r="AD2190" i="11"/>
  <c r="AE2190" i="11" s="1"/>
  <c r="P203" i="54"/>
  <c r="P6" i="54" s="1"/>
  <c r="AD2113" i="11"/>
  <c r="AE2113" i="11" s="1"/>
  <c r="AD2149" i="11"/>
  <c r="AE2149" i="11" s="1"/>
  <c r="AD2110" i="11"/>
  <c r="AE2110" i="11" s="1"/>
  <c r="AD2161" i="11"/>
  <c r="AE2161" i="11" s="1"/>
  <c r="AD2108" i="11"/>
  <c r="AE2108" i="11" s="1"/>
  <c r="AD2114" i="11"/>
  <c r="AE2114" i="11" s="1"/>
  <c r="AD2172" i="11"/>
  <c r="AE2172" i="11" s="1"/>
  <c r="AD2121" i="11"/>
  <c r="AE2121" i="11" s="1"/>
  <c r="AD2162" i="11"/>
  <c r="AE2162" i="11" s="1"/>
  <c r="AD2158" i="11"/>
  <c r="AE2158" i="11" s="1"/>
  <c r="AD2135" i="11"/>
  <c r="AE2135" i="11" s="1"/>
  <c r="AD2203" i="11"/>
  <c r="AE2203" i="11" s="1"/>
  <c r="AD2155" i="11"/>
  <c r="AE2155" i="11" s="1"/>
  <c r="AD2198" i="11"/>
  <c r="AE2198" i="11" s="1"/>
  <c r="AD2208" i="11"/>
  <c r="AE2208" i="11" s="1"/>
  <c r="AD2187" i="11"/>
  <c r="AE2187" i="11" s="1"/>
  <c r="AD2151" i="11"/>
  <c r="AE2151" i="11" s="1"/>
  <c r="AD2111" i="11"/>
  <c r="AE2111" i="11" s="1"/>
  <c r="AD2175" i="11"/>
  <c r="AE2175" i="11" s="1"/>
  <c r="AD2200" i="11"/>
  <c r="AE2200" i="11" s="1"/>
  <c r="AD2197" i="11"/>
  <c r="AE2197" i="11" s="1"/>
  <c r="AD2141" i="11"/>
  <c r="AE2141" i="11" s="1"/>
  <c r="AD2164" i="11"/>
  <c r="AE2164" i="11" s="1"/>
  <c r="AD2126" i="11"/>
  <c r="AE2126" i="11" s="1"/>
  <c r="AD2156" i="11"/>
  <c r="AE2156" i="11" s="1"/>
  <c r="AD2206" i="11"/>
  <c r="AE2206" i="11" s="1"/>
  <c r="AD2171" i="11"/>
  <c r="AE2171" i="11" s="1"/>
  <c r="AD2166" i="11"/>
  <c r="AE2166" i="11" s="1"/>
  <c r="AD2106" i="11"/>
  <c r="AE2106" i="11" s="1"/>
  <c r="AD2107" i="11"/>
  <c r="AE2107" i="11" s="1"/>
  <c r="AD2132" i="11"/>
  <c r="AE2132" i="11" s="1"/>
  <c r="AD2142" i="11"/>
  <c r="AE2142" i="11" s="1"/>
  <c r="AD2170" i="11"/>
  <c r="AE2170" i="11" s="1"/>
  <c r="AD2160" i="11"/>
  <c r="AE2160" i="11" s="1"/>
  <c r="AD2193" i="11"/>
  <c r="AE2193" i="11" s="1"/>
  <c r="AD2136" i="11"/>
  <c r="AE2136" i="11" s="1"/>
  <c r="AD2105" i="11"/>
  <c r="AE2105" i="11" s="1"/>
  <c r="AD2189" i="11"/>
  <c r="AE2189" i="11" s="1"/>
  <c r="AI3195" i="11"/>
  <c r="AJ3195" i="11" s="1"/>
  <c r="AD1281" i="11"/>
  <c r="AE1281" i="11" s="1"/>
  <c r="AD1307" i="11"/>
  <c r="AE1307" i="11" s="1"/>
  <c r="AD1326" i="11"/>
  <c r="AE1326" i="11" s="1"/>
  <c r="AD1328" i="11"/>
  <c r="AE1328" i="11" s="1"/>
  <c r="AD1282" i="11"/>
  <c r="AE1282" i="11" s="1"/>
  <c r="AD1293" i="11"/>
  <c r="AE1293" i="11" s="1"/>
  <c r="AD1359" i="11"/>
  <c r="AE1359" i="11" s="1"/>
  <c r="AD1291" i="11"/>
  <c r="AE1291" i="11" s="1"/>
  <c r="AD1362" i="11"/>
  <c r="AE1362" i="11" s="1"/>
  <c r="AD1364" i="11"/>
  <c r="AE1364" i="11" s="1"/>
  <c r="AD1366" i="11"/>
  <c r="AE1366" i="11" s="1"/>
  <c r="AD1325" i="11"/>
  <c r="AE1325" i="11" s="1"/>
  <c r="AD1361" i="11"/>
  <c r="AE1361" i="11" s="1"/>
  <c r="AD1311" i="11"/>
  <c r="AE1311" i="11" s="1"/>
  <c r="AD1292" i="11"/>
  <c r="AE1292" i="11" s="1"/>
  <c r="AD1305" i="11"/>
  <c r="AE1305" i="11" s="1"/>
  <c r="AD1327" i="11"/>
  <c r="AE1327" i="11" s="1"/>
  <c r="AD1333" i="11"/>
  <c r="AE1333" i="11" s="1"/>
  <c r="AD1274" i="11"/>
  <c r="AE1274" i="11" s="1"/>
  <c r="AD1337" i="11"/>
  <c r="AE1337" i="11" s="1"/>
  <c r="AD1278" i="11"/>
  <c r="AE1278" i="11" s="1"/>
  <c r="AD1358" i="11"/>
  <c r="AE1358" i="11" s="1"/>
  <c r="AD1323" i="11"/>
  <c r="AE1323" i="11" s="1"/>
  <c r="AD1317" i="11"/>
  <c r="AE1317" i="11" s="1"/>
  <c r="AD1339" i="11"/>
  <c r="AE1339" i="11" s="1"/>
  <c r="AD1266" i="11"/>
  <c r="AE1266" i="11" s="1"/>
  <c r="AD1332" i="11"/>
  <c r="AE1332" i="11" s="1"/>
  <c r="AD1306" i="11"/>
  <c r="AE1306" i="11" s="1"/>
  <c r="AD1313" i="11"/>
  <c r="AE1313" i="11" s="1"/>
  <c r="AD1344" i="11"/>
  <c r="AE1344" i="11" s="1"/>
  <c r="AD1318" i="11"/>
  <c r="AE1318" i="11" s="1"/>
  <c r="AD1355" i="11"/>
  <c r="AE1355" i="11" s="1"/>
  <c r="AD1315" i="11"/>
  <c r="AE1315" i="11" s="1"/>
  <c r="AD1276" i="11"/>
  <c r="AE1276" i="11" s="1"/>
  <c r="AD1303" i="11"/>
  <c r="AE1303" i="11" s="1"/>
  <c r="AD1312" i="11"/>
  <c r="AE1312" i="11" s="1"/>
  <c r="AD1279" i="11"/>
  <c r="AE1279" i="11" s="1"/>
  <c r="AD1271" i="11"/>
  <c r="AE1271" i="11" s="1"/>
  <c r="AN1271" i="11" s="1"/>
  <c r="AD1280" i="11"/>
  <c r="AE1280" i="11" s="1"/>
  <c r="AD1268" i="11"/>
  <c r="AE1268" i="11" s="1"/>
  <c r="AD1277" i="11"/>
  <c r="AE1277" i="11" s="1"/>
  <c r="AD1345" i="11"/>
  <c r="AE1345" i="11" s="1"/>
  <c r="AD1321" i="11"/>
  <c r="AE1321" i="11" s="1"/>
  <c r="AD1295" i="11"/>
  <c r="AE1295" i="11" s="1"/>
  <c r="AD1302" i="11"/>
  <c r="AE1302" i="11" s="1"/>
  <c r="AD1367" i="11"/>
  <c r="AE1367" i="11" s="1"/>
  <c r="AD1267" i="11"/>
  <c r="AE1267" i="11" s="1"/>
  <c r="AD1360" i="11"/>
  <c r="AE1360" i="11" s="1"/>
  <c r="AD1334" i="11"/>
  <c r="AE1334" i="11" s="1"/>
  <c r="AD1269" i="11"/>
  <c r="AE1269" i="11" s="1"/>
  <c r="AD1299" i="11"/>
  <c r="AE1299" i="11" s="1"/>
  <c r="AD1285" i="11"/>
  <c r="AE1285" i="11" s="1"/>
  <c r="AD1349" i="11"/>
  <c r="AE1349" i="11" s="1"/>
  <c r="AD1341" i="11"/>
  <c r="AE1341" i="11" s="1"/>
  <c r="AD1368" i="11"/>
  <c r="AE1368" i="11" s="1"/>
  <c r="AD1286" i="11"/>
  <c r="AE1286" i="11" s="1"/>
  <c r="AD1369" i="11"/>
  <c r="AE1369" i="11" s="1"/>
  <c r="AD1300" i="11"/>
  <c r="AE1300" i="11" s="1"/>
  <c r="AD1284" i="11"/>
  <c r="AE1284" i="11" s="1"/>
  <c r="AD1319" i="11"/>
  <c r="AE1319" i="11" s="1"/>
  <c r="AD1283" i="11"/>
  <c r="AE1283" i="11" s="1"/>
  <c r="AD1352" i="11"/>
  <c r="AE1352" i="11" s="1"/>
  <c r="AD1351" i="11"/>
  <c r="AE1351" i="11" s="1"/>
  <c r="AD1343" i="11"/>
  <c r="AE1343" i="11" s="1"/>
  <c r="AD1322" i="11"/>
  <c r="AE1322" i="11" s="1"/>
  <c r="AD1287" i="11"/>
  <c r="AE1287" i="11" s="1"/>
  <c r="AD1324" i="11"/>
  <c r="AE1324" i="11" s="1"/>
  <c r="AD1265" i="11"/>
  <c r="AE1265" i="11" s="1"/>
  <c r="AD1342" i="11"/>
  <c r="AE1342" i="11" s="1"/>
  <c r="AD1316" i="11"/>
  <c r="AE1316" i="11" s="1"/>
  <c r="AD1289" i="11"/>
  <c r="AE1289" i="11" s="1"/>
  <c r="AD1353" i="11"/>
  <c r="AE1353" i="11" s="1"/>
  <c r="AD1354" i="11"/>
  <c r="AE1354" i="11" s="1"/>
  <c r="AD1340" i="11"/>
  <c r="AE1340" i="11" s="1"/>
  <c r="AD1357" i="11"/>
  <c r="AE1357" i="11" s="1"/>
  <c r="AD1273" i="11"/>
  <c r="AE1273" i="11" s="1"/>
  <c r="AD1309" i="11"/>
  <c r="AE1309" i="11" s="1"/>
  <c r="AD1301" i="11"/>
  <c r="AE1301" i="11" s="1"/>
  <c r="AD1297" i="11"/>
  <c r="AE1297" i="11" s="1"/>
  <c r="AD1270" i="11"/>
  <c r="AE1270" i="11" s="1"/>
  <c r="AD1347" i="11"/>
  <c r="AE1347" i="11" s="1"/>
  <c r="AD1310" i="11"/>
  <c r="AE1310" i="11" s="1"/>
  <c r="AD1330" i="11"/>
  <c r="AE1330" i="11" s="1"/>
  <c r="AD1329" i="11"/>
  <c r="AE1329" i="11" s="1"/>
  <c r="AD1314" i="11"/>
  <c r="AE1314" i="11" s="1"/>
  <c r="AD1348" i="11"/>
  <c r="AE1348" i="11" s="1"/>
  <c r="AD1288" i="11"/>
  <c r="AE1288" i="11" s="1"/>
  <c r="AD1320" i="11"/>
  <c r="AE1320" i="11" s="1"/>
  <c r="AD1290" i="11"/>
  <c r="AE1290" i="11" s="1"/>
  <c r="AD1304" i="11"/>
  <c r="AE1304" i="11" s="1"/>
  <c r="AD1298" i="11"/>
  <c r="AE1298" i="11" s="1"/>
  <c r="AD1338" i="11"/>
  <c r="AE1338" i="11" s="1"/>
  <c r="AD1331" i="11"/>
  <c r="AE1331" i="11" s="1"/>
  <c r="AD1308" i="11"/>
  <c r="AE1308" i="11" s="1"/>
  <c r="AD1336" i="11"/>
  <c r="AE1336" i="11" s="1"/>
  <c r="AD1294" i="11"/>
  <c r="AE1294" i="11" s="1"/>
  <c r="AD1363" i="11"/>
  <c r="AE1363" i="11" s="1"/>
  <c r="AD1365" i="11"/>
  <c r="AE1365" i="11" s="1"/>
  <c r="AD1296" i="11"/>
  <c r="AE1296" i="11" s="1"/>
  <c r="AD1335" i="11"/>
  <c r="AE1335" i="11" s="1"/>
  <c r="N177" i="54"/>
  <c r="O269" i="54"/>
  <c r="AD1510" i="11"/>
  <c r="AE1510" i="11" s="1"/>
  <c r="AF2323" i="11"/>
  <c r="AG2323" i="11" s="1"/>
  <c r="AF2380" i="11"/>
  <c r="AG2380" i="11" s="1"/>
  <c r="AF2361" i="11"/>
  <c r="AG2361" i="11" s="1"/>
  <c r="AF2393" i="11"/>
  <c r="AG2393" i="11" s="1"/>
  <c r="AF2339" i="11"/>
  <c r="AG2339" i="11" s="1"/>
  <c r="AF2387" i="11"/>
  <c r="AG2387" i="11" s="1"/>
  <c r="AF2381" i="11"/>
  <c r="AG2381" i="11" s="1"/>
  <c r="AF2322" i="11"/>
  <c r="AG2322" i="11" s="1"/>
  <c r="AF2418" i="11"/>
  <c r="AG2418" i="11" s="1"/>
  <c r="AF2382" i="11"/>
  <c r="AG2382" i="11" s="1"/>
  <c r="AF2331" i="11"/>
  <c r="AG2331" i="11" s="1"/>
  <c r="AF2385" i="11"/>
  <c r="AG2385" i="11" s="1"/>
  <c r="AF2405" i="11"/>
  <c r="AG2405" i="11" s="1"/>
  <c r="AF2375" i="11"/>
  <c r="AG2375" i="11" s="1"/>
  <c r="AF2338" i="11"/>
  <c r="AG2338" i="11" s="1"/>
  <c r="AF2362" i="11"/>
  <c r="AG2362" i="11" s="1"/>
  <c r="AF2364" i="11"/>
  <c r="AG2364" i="11" s="1"/>
  <c r="AF2388" i="11"/>
  <c r="AG2388" i="11" s="1"/>
  <c r="AF2318" i="11"/>
  <c r="AG2318" i="11" s="1"/>
  <c r="AF2379" i="11"/>
  <c r="AG2379" i="11" s="1"/>
  <c r="AF2317" i="11"/>
  <c r="AG2317" i="11" s="1"/>
  <c r="AF2408" i="11"/>
  <c r="AG2408" i="11" s="1"/>
  <c r="AF2336" i="11"/>
  <c r="AG2336" i="11" s="1"/>
  <c r="AF2334" i="11"/>
  <c r="AG2334" i="11" s="1"/>
  <c r="AF2376" i="11"/>
  <c r="AG2376" i="11" s="1"/>
  <c r="AO2376" i="11" s="1"/>
  <c r="AF2390" i="11"/>
  <c r="AG2390" i="11" s="1"/>
  <c r="AF2337" i="11"/>
  <c r="AG2337" i="11" s="1"/>
  <c r="AF2342" i="11"/>
  <c r="AG2342" i="11" s="1"/>
  <c r="AF2377" i="11"/>
  <c r="AG2377" i="11" s="1"/>
  <c r="AF2402" i="11"/>
  <c r="AG2402" i="11" s="1"/>
  <c r="AF2370" i="11"/>
  <c r="AG2370" i="11" s="1"/>
  <c r="AF2333" i="11"/>
  <c r="AG2333" i="11" s="1"/>
  <c r="AF2416" i="11"/>
  <c r="AG2416" i="11" s="1"/>
  <c r="AF2397" i="11"/>
  <c r="AG2397" i="11" s="1"/>
  <c r="AF2391" i="11"/>
  <c r="AG2391" i="11" s="1"/>
  <c r="AF2412" i="11"/>
  <c r="AG2412" i="11" s="1"/>
  <c r="AF2365" i="11"/>
  <c r="AG2365" i="11" s="1"/>
  <c r="AF2372" i="11"/>
  <c r="AG2372" i="11" s="1"/>
  <c r="AF2371" i="11"/>
  <c r="AG2371" i="11" s="1"/>
  <c r="AF2401" i="11"/>
  <c r="AG2401" i="11" s="1"/>
  <c r="AF2344" i="11"/>
  <c r="AG2344" i="11" s="1"/>
  <c r="AF2396" i="11"/>
  <c r="AG2396" i="11" s="1"/>
  <c r="AF2320" i="11"/>
  <c r="AG2320" i="11" s="1"/>
  <c r="AF2403" i="11"/>
  <c r="AG2403" i="11" s="1"/>
  <c r="AF2335" i="11"/>
  <c r="AG2335" i="11" s="1"/>
  <c r="AF2354" i="11"/>
  <c r="AG2354" i="11" s="1"/>
  <c r="AF2358" i="11"/>
  <c r="AG2358" i="11" s="1"/>
  <c r="AF2325" i="11"/>
  <c r="AG2325" i="11" s="1"/>
  <c r="AF2355" i="11"/>
  <c r="AG2355" i="11" s="1"/>
  <c r="AF2363" i="11"/>
  <c r="AG2363" i="11" s="1"/>
  <c r="AF2356" i="11"/>
  <c r="AG2356" i="11" s="1"/>
  <c r="AF2353" i="11"/>
  <c r="AG2353" i="11" s="1"/>
  <c r="AF2341" i="11"/>
  <c r="AG2341" i="11" s="1"/>
  <c r="AF2316" i="11"/>
  <c r="AG2316" i="11" s="1"/>
  <c r="AF2347" i="11"/>
  <c r="AG2347" i="11" s="1"/>
  <c r="AF2398" i="11"/>
  <c r="AG2398" i="11" s="1"/>
  <c r="AF2321" i="11"/>
  <c r="AG2321" i="11" s="1"/>
  <c r="O183" i="54"/>
  <c r="AF2374" i="11"/>
  <c r="AG2374" i="11" s="1"/>
  <c r="AF2357" i="11"/>
  <c r="AG2357" i="11" s="1"/>
  <c r="AF2350" i="11"/>
  <c r="AG2350" i="11" s="1"/>
  <c r="AF2400" i="11"/>
  <c r="AG2400" i="11" s="1"/>
  <c r="AF2406" i="11"/>
  <c r="AG2406" i="11" s="1"/>
  <c r="AF2328" i="11"/>
  <c r="AG2328" i="11" s="1"/>
  <c r="AF2332" i="11"/>
  <c r="AG2332" i="11" s="1"/>
  <c r="AF2329" i="11"/>
  <c r="AG2329" i="11" s="1"/>
  <c r="AF2410" i="11"/>
  <c r="AG2410" i="11" s="1"/>
  <c r="AF2407" i="11"/>
  <c r="AG2407" i="11" s="1"/>
  <c r="AF2378" i="11"/>
  <c r="AG2378" i="11" s="1"/>
  <c r="AF2395" i="11"/>
  <c r="AG2395" i="11" s="1"/>
  <c r="AF2369" i="11"/>
  <c r="AG2369" i="11" s="1"/>
  <c r="AF2368" i="11"/>
  <c r="AG2368" i="11" s="1"/>
  <c r="AF2392" i="11"/>
  <c r="AG2392" i="11" s="1"/>
  <c r="AF2327" i="11"/>
  <c r="AG2327" i="11" s="1"/>
  <c r="AF2366" i="11"/>
  <c r="AG2366" i="11" s="1"/>
  <c r="AF2319" i="11"/>
  <c r="AG2319" i="11" s="1"/>
  <c r="AF2411" i="11"/>
  <c r="AG2411" i="11" s="1"/>
  <c r="AF2415" i="11"/>
  <c r="AG2415" i="11" s="1"/>
  <c r="AF2386" i="11"/>
  <c r="AG2386" i="11" s="1"/>
  <c r="AF2373" i="11"/>
  <c r="AG2373" i="11" s="1"/>
  <c r="AF2348" i="11"/>
  <c r="AG2348" i="11" s="1"/>
  <c r="AF2349" i="11"/>
  <c r="AG2349" i="11" s="1"/>
  <c r="AF2409" i="11"/>
  <c r="AG2409" i="11" s="1"/>
  <c r="AF2324" i="11"/>
  <c r="AG2324" i="11" s="1"/>
  <c r="AF2360" i="11"/>
  <c r="AG2360" i="11" s="1"/>
  <c r="AF2404" i="11"/>
  <c r="AG2404" i="11" s="1"/>
  <c r="AF2389" i="11"/>
  <c r="AG2389" i="11" s="1"/>
  <c r="AF2367" i="11"/>
  <c r="AG2367" i="11" s="1"/>
  <c r="AF2326" i="11"/>
  <c r="AG2326" i="11" s="1"/>
  <c r="AF2345" i="11"/>
  <c r="AG2345" i="11" s="1"/>
  <c r="AF2419" i="11"/>
  <c r="AG2419" i="11" s="1"/>
  <c r="AF2359" i="11"/>
  <c r="AG2359" i="11" s="1"/>
  <c r="AF2383" i="11"/>
  <c r="AG2383" i="11" s="1"/>
  <c r="AF2352" i="11"/>
  <c r="AG2352" i="11" s="1"/>
  <c r="AF2417" i="11"/>
  <c r="AG2417" i="11" s="1"/>
  <c r="AF2340" i="11"/>
  <c r="AG2340" i="11" s="1"/>
  <c r="AF2315" i="11"/>
  <c r="AG2315" i="11" s="1"/>
  <c r="AF3216" i="11"/>
  <c r="AG3216" i="11" s="1"/>
  <c r="AF3258" i="11"/>
  <c r="AG3258" i="11" s="1"/>
  <c r="AF3222" i="11"/>
  <c r="AG3222" i="11" s="1"/>
  <c r="AF3175" i="11"/>
  <c r="AG3175" i="11" s="1"/>
  <c r="AF3245" i="11"/>
  <c r="AG3245" i="11" s="1"/>
  <c r="AF3188" i="11"/>
  <c r="AG3188" i="11" s="1"/>
  <c r="AF3157" i="11"/>
  <c r="AG3157" i="11" s="1"/>
  <c r="AF3178" i="11"/>
  <c r="AG3178" i="11" s="1"/>
  <c r="AF3198" i="11"/>
  <c r="AG3198" i="11" s="1"/>
  <c r="AF3160" i="11"/>
  <c r="AG3160" i="11" s="1"/>
  <c r="AF3211" i="11"/>
  <c r="AG3211" i="11" s="1"/>
  <c r="AF3254" i="11"/>
  <c r="AG3254" i="11" s="1"/>
  <c r="AF3156" i="11"/>
  <c r="AG3156" i="11" s="1"/>
  <c r="AF3219" i="11"/>
  <c r="AG3219" i="11" s="1"/>
  <c r="AF3249" i="11"/>
  <c r="AG3249" i="11" s="1"/>
  <c r="AF3185" i="11"/>
  <c r="AG3185" i="11" s="1"/>
  <c r="AF3212" i="11"/>
  <c r="AG3212" i="11" s="1"/>
  <c r="AF3163" i="11"/>
  <c r="AG3163" i="11" s="1"/>
  <c r="AF3161" i="11"/>
  <c r="AG3161" i="11" s="1"/>
  <c r="AF3187" i="11"/>
  <c r="AG3187" i="11" s="1"/>
  <c r="AF3253" i="11"/>
  <c r="AG3253" i="11" s="1"/>
  <c r="AF3170" i="11"/>
  <c r="AG3170" i="11" s="1"/>
  <c r="AF3234" i="11"/>
  <c r="AG3234" i="11" s="1"/>
  <c r="AF3230" i="11"/>
  <c r="AG3230" i="11" s="1"/>
  <c r="AF3179" i="11"/>
  <c r="AG3179" i="11" s="1"/>
  <c r="AF3171" i="11"/>
  <c r="AG3171" i="11" s="1"/>
  <c r="AF3197" i="11"/>
  <c r="AG3197" i="11" s="1"/>
  <c r="AF3172" i="11"/>
  <c r="AG3172" i="11" s="1"/>
  <c r="AF3158" i="11"/>
  <c r="AG3158" i="11" s="1"/>
  <c r="AF3236" i="11"/>
  <c r="AG3236" i="11" s="1"/>
  <c r="AF3239" i="11"/>
  <c r="AG3239" i="11" s="1"/>
  <c r="AF3208" i="11"/>
  <c r="AG3208" i="11" s="1"/>
  <c r="AF3184" i="11"/>
  <c r="AG3184" i="11" s="1"/>
  <c r="AF3259" i="11"/>
  <c r="AG3259" i="11" s="1"/>
  <c r="AF3193" i="11"/>
  <c r="AG3193" i="11" s="1"/>
  <c r="AF3224" i="11"/>
  <c r="AG3224" i="11" s="1"/>
  <c r="AF3244" i="11"/>
  <c r="AG3244" i="11" s="1"/>
  <c r="AF3217" i="11"/>
  <c r="AG3217" i="11" s="1"/>
  <c r="AF3231" i="11"/>
  <c r="AG3231" i="11" s="1"/>
  <c r="AF3223" i="11"/>
  <c r="AG3223" i="11" s="1"/>
  <c r="AF3192" i="11"/>
  <c r="AG3192" i="11" s="1"/>
  <c r="AF3155" i="11"/>
  <c r="AG3155" i="11" s="1"/>
  <c r="AF3166" i="11"/>
  <c r="AG3166" i="11" s="1"/>
  <c r="AF3232" i="11"/>
  <c r="AG3232" i="11" s="1"/>
  <c r="AF3200" i="11"/>
  <c r="AG3200" i="11" s="1"/>
  <c r="AF3168" i="11"/>
  <c r="AG3168" i="11" s="1"/>
  <c r="AF3256" i="11"/>
  <c r="AG3256" i="11" s="1"/>
  <c r="AF3206" i="11"/>
  <c r="AG3206" i="11" s="1"/>
  <c r="AF3176" i="11"/>
  <c r="AG3176" i="11" s="1"/>
  <c r="AF3196" i="11"/>
  <c r="AG3196" i="11" s="1"/>
  <c r="AF3191" i="11"/>
  <c r="AG3191" i="11" s="1"/>
  <c r="AO3191" i="11" s="1"/>
  <c r="AF3199" i="11"/>
  <c r="AG3199" i="11" s="1"/>
  <c r="AF3180" i="11"/>
  <c r="AG3180" i="11" s="1"/>
  <c r="AF3186" i="11"/>
  <c r="AG3186" i="11" s="1"/>
  <c r="AF3182" i="11"/>
  <c r="AG3182" i="11" s="1"/>
  <c r="AF3194" i="11"/>
  <c r="AG3194" i="11" s="1"/>
  <c r="AF3233" i="11"/>
  <c r="AG3233" i="11" s="1"/>
  <c r="AF3221" i="11"/>
  <c r="AG3221" i="11" s="1"/>
  <c r="AF3203" i="11"/>
  <c r="AG3203" i="11" s="1"/>
  <c r="AF3177" i="11"/>
  <c r="AG3177" i="11" s="1"/>
  <c r="AF3207" i="11"/>
  <c r="AG3207" i="11" s="1"/>
  <c r="AF3174" i="11"/>
  <c r="AG3174" i="11" s="1"/>
  <c r="AF3195" i="11"/>
  <c r="AG3195" i="11" s="1"/>
  <c r="AF3220" i="11"/>
  <c r="AG3220" i="11" s="1"/>
  <c r="AF3243" i="11"/>
  <c r="AG3243" i="11" s="1"/>
  <c r="AF3218" i="11"/>
  <c r="AG3218" i="11" s="1"/>
  <c r="AF3210" i="11"/>
  <c r="AG3210" i="11" s="1"/>
  <c r="AF3226" i="11"/>
  <c r="AG3226" i="11" s="1"/>
  <c r="AF3255" i="11"/>
  <c r="AG3255" i="11" s="1"/>
  <c r="AF3215" i="11"/>
  <c r="AG3215" i="11" s="1"/>
  <c r="AF3252" i="11"/>
  <c r="AG3252" i="11" s="1"/>
  <c r="AF3164" i="11"/>
  <c r="AG3164" i="11" s="1"/>
  <c r="AF3228" i="11"/>
  <c r="AG3228" i="11" s="1"/>
  <c r="AF3159" i="11"/>
  <c r="AG3159" i="11" s="1"/>
  <c r="AF3173" i="11"/>
  <c r="AG3173" i="11" s="1"/>
  <c r="AF3235" i="11"/>
  <c r="AG3235" i="11" s="1"/>
  <c r="AF3165" i="11"/>
  <c r="AG3165" i="11" s="1"/>
  <c r="AF3202" i="11"/>
  <c r="AG3202" i="11" s="1"/>
  <c r="AF3246" i="11"/>
  <c r="AG3246" i="11" s="1"/>
  <c r="AF3204" i="11"/>
  <c r="AG3204" i="11" s="1"/>
  <c r="AF3225" i="11"/>
  <c r="AG3225" i="11" s="1"/>
  <c r="AF3248" i="11"/>
  <c r="AG3248" i="11" s="1"/>
  <c r="AF3205" i="11"/>
  <c r="AG3205" i="11" s="1"/>
  <c r="AF3237" i="11"/>
  <c r="AG3237" i="11" s="1"/>
  <c r="AF3229" i="11"/>
  <c r="AG3229" i="11" s="1"/>
  <c r="O187" i="54"/>
  <c r="AF3250" i="11"/>
  <c r="AG3250" i="11" s="1"/>
  <c r="AF3240" i="11"/>
  <c r="AG3240" i="11" s="1"/>
  <c r="AF3169" i="11"/>
  <c r="AG3169" i="11" s="1"/>
  <c r="AF3242" i="11"/>
  <c r="AG3242" i="11" s="1"/>
  <c r="AF3241" i="11"/>
  <c r="AG3241" i="11" s="1"/>
  <c r="AF3214" i="11"/>
  <c r="AG3214" i="11" s="1"/>
  <c r="AF3247" i="11"/>
  <c r="AG3247" i="11" s="1"/>
  <c r="AF3181" i="11"/>
  <c r="AG3181" i="11" s="1"/>
  <c r="AF3167" i="11"/>
  <c r="AG3167" i="11" s="1"/>
  <c r="AF1691" i="11"/>
  <c r="AG1691" i="11" s="1"/>
  <c r="AF1696" i="11"/>
  <c r="AG1696" i="11" s="1"/>
  <c r="AF1789" i="11"/>
  <c r="AG1789" i="11" s="1"/>
  <c r="AF1764" i="11"/>
  <c r="AG1764" i="11" s="1"/>
  <c r="AF1767" i="11"/>
  <c r="AG1767" i="11" s="1"/>
  <c r="AF1717" i="11"/>
  <c r="AG1717" i="11" s="1"/>
  <c r="AF1757" i="11"/>
  <c r="AG1757" i="11" s="1"/>
  <c r="AF1752" i="11"/>
  <c r="AG1752" i="11" s="1"/>
  <c r="AF1761" i="11"/>
  <c r="AG1761" i="11" s="1"/>
  <c r="AF1701" i="11"/>
  <c r="AG1701" i="11" s="1"/>
  <c r="AF1766" i="11"/>
  <c r="AG1766" i="11" s="1"/>
  <c r="AF1751" i="11"/>
  <c r="AG1751" i="11" s="1"/>
  <c r="AF1715" i="11"/>
  <c r="AG1715" i="11" s="1"/>
  <c r="AF1747" i="11"/>
  <c r="AG1747" i="11" s="1"/>
  <c r="AF1721" i="11"/>
  <c r="AG1721" i="11" s="1"/>
  <c r="AF1762" i="11"/>
  <c r="AG1762" i="11" s="1"/>
  <c r="AF1779" i="11"/>
  <c r="AG1779" i="11" s="1"/>
  <c r="AF1733" i="11"/>
  <c r="AG1733" i="11" s="1"/>
  <c r="AF1688" i="11"/>
  <c r="AG1688" i="11" s="1"/>
  <c r="AF1738" i="11"/>
  <c r="AG1738" i="11" s="1"/>
  <c r="AF1776" i="11"/>
  <c r="AG1776" i="11" s="1"/>
  <c r="AF1708" i="11"/>
  <c r="AG1708" i="11" s="1"/>
  <c r="AF1750" i="11"/>
  <c r="AG1750" i="11" s="1"/>
  <c r="AF1700" i="11"/>
  <c r="AG1700" i="11" s="1"/>
  <c r="AF1759" i="11"/>
  <c r="AG1759" i="11" s="1"/>
  <c r="AF1710" i="11"/>
  <c r="AG1710" i="11" s="1"/>
  <c r="AF1785" i="11"/>
  <c r="AG1785" i="11" s="1"/>
  <c r="AF1745" i="11"/>
  <c r="AG1745" i="11" s="1"/>
  <c r="AF1707" i="11"/>
  <c r="AG1707" i="11" s="1"/>
  <c r="AF1753" i="11"/>
  <c r="AG1753" i="11" s="1"/>
  <c r="AF1724" i="11"/>
  <c r="AG1724" i="11" s="1"/>
  <c r="AF1788" i="11"/>
  <c r="AG1788" i="11" s="1"/>
  <c r="AF1783" i="11"/>
  <c r="AG1783" i="11" s="1"/>
  <c r="AF1694" i="11"/>
  <c r="AG1694" i="11" s="1"/>
  <c r="AF1746" i="11"/>
  <c r="AG1746" i="11" s="1"/>
  <c r="AF1743" i="11"/>
  <c r="AG1743" i="11" s="1"/>
  <c r="AF1720" i="11"/>
  <c r="AG1720" i="11" s="1"/>
  <c r="AF1697" i="11"/>
  <c r="AG1697" i="11" s="1"/>
  <c r="AF1685" i="11"/>
  <c r="AG1685" i="11" s="1"/>
  <c r="AF1734" i="11"/>
  <c r="AG1734" i="11" s="1"/>
  <c r="AF1686" i="11"/>
  <c r="AG1686" i="11" s="1"/>
  <c r="AF1711" i="11"/>
  <c r="AG1711" i="11" s="1"/>
  <c r="AF1777" i="11"/>
  <c r="AG1777" i="11" s="1"/>
  <c r="AF1729" i="11"/>
  <c r="AG1729" i="11" s="1"/>
  <c r="AF1698" i="11"/>
  <c r="AG1698" i="11" s="1"/>
  <c r="AF1784" i="11"/>
  <c r="AG1784" i="11" s="1"/>
  <c r="AF1722" i="11"/>
  <c r="AG1722" i="11" s="1"/>
  <c r="AF1687" i="11"/>
  <c r="AG1687" i="11" s="1"/>
  <c r="AF1760" i="11"/>
  <c r="AG1760" i="11" s="1"/>
  <c r="AF1693" i="11"/>
  <c r="AG1693" i="11" s="1"/>
  <c r="AF1739" i="11"/>
  <c r="AG1739" i="11" s="1"/>
  <c r="AF1695" i="11"/>
  <c r="AG1695" i="11" s="1"/>
  <c r="AF1728" i="11"/>
  <c r="AG1728" i="11" s="1"/>
  <c r="AF1754" i="11"/>
  <c r="AG1754" i="11" s="1"/>
  <c r="AF1704" i="11"/>
  <c r="AG1704" i="11" s="1"/>
  <c r="AF1773" i="11"/>
  <c r="AG1773" i="11" s="1"/>
  <c r="AF1702" i="11"/>
  <c r="AG1702" i="11" s="1"/>
  <c r="AF1756" i="11"/>
  <c r="AG1756" i="11" s="1"/>
  <c r="AF1709" i="11"/>
  <c r="AG1709" i="11" s="1"/>
  <c r="AF1714" i="11"/>
  <c r="AG1714" i="11" s="1"/>
  <c r="AF1775" i="11"/>
  <c r="AG1775" i="11" s="1"/>
  <c r="AF1723" i="11"/>
  <c r="AG1723" i="11" s="1"/>
  <c r="AO1723" i="11" s="1"/>
  <c r="AF1780" i="11"/>
  <c r="AG1780" i="11" s="1"/>
  <c r="AF1735" i="11"/>
  <c r="AG1735" i="11" s="1"/>
  <c r="AF1770" i="11"/>
  <c r="AG1770" i="11" s="1"/>
  <c r="AF1769" i="11"/>
  <c r="AG1769" i="11" s="1"/>
  <c r="AF1699" i="11"/>
  <c r="AG1699" i="11" s="1"/>
  <c r="AF1763" i="11"/>
  <c r="AG1763" i="11" s="1"/>
  <c r="AF1786" i="11"/>
  <c r="AG1786" i="11" s="1"/>
  <c r="AF1718" i="11"/>
  <c r="AG1718" i="11" s="1"/>
  <c r="AF1778" i="11"/>
  <c r="AG1778" i="11" s="1"/>
  <c r="AF1732" i="11"/>
  <c r="AG1732" i="11" s="1"/>
  <c r="AF1758" i="11"/>
  <c r="AG1758" i="11" s="1"/>
  <c r="AF1703" i="11"/>
  <c r="AG1703" i="11" s="1"/>
  <c r="AF1768" i="11"/>
  <c r="AG1768" i="11" s="1"/>
  <c r="AF1713" i="11"/>
  <c r="AG1713" i="11" s="1"/>
  <c r="AF1744" i="11"/>
  <c r="AG1744" i="11" s="1"/>
  <c r="AF1730" i="11"/>
  <c r="AG1730" i="11" s="1"/>
  <c r="AF1690" i="11"/>
  <c r="AG1690" i="11" s="1"/>
  <c r="AF1705" i="11"/>
  <c r="AG1705" i="11" s="1"/>
  <c r="AF1741" i="11"/>
  <c r="AG1741" i="11" s="1"/>
  <c r="AF1719" i="11"/>
  <c r="AG1719" i="11" s="1"/>
  <c r="AF1755" i="11"/>
  <c r="AG1755" i="11" s="1"/>
  <c r="AF1781" i="11"/>
  <c r="AG1781" i="11" s="1"/>
  <c r="AF1771" i="11"/>
  <c r="AG1771" i="11" s="1"/>
  <c r="AF1736" i="11"/>
  <c r="AG1736" i="11" s="1"/>
  <c r="AF1749" i="11"/>
  <c r="AG1749" i="11" s="1"/>
  <c r="AF1725" i="11"/>
  <c r="AG1725" i="11" s="1"/>
  <c r="AF1772" i="11"/>
  <c r="AG1772" i="11" s="1"/>
  <c r="AF1731" i="11"/>
  <c r="AG1731" i="11" s="1"/>
  <c r="O195" i="54"/>
  <c r="AF1727" i="11"/>
  <c r="AG1727" i="11" s="1"/>
  <c r="AF1765" i="11"/>
  <c r="AG1765" i="11" s="1"/>
  <c r="AF1726" i="11"/>
  <c r="AG1726" i="11" s="1"/>
  <c r="AF1787" i="11"/>
  <c r="AG1787" i="11" s="1"/>
  <c r="AF1737" i="11"/>
  <c r="AG1737" i="11" s="1"/>
  <c r="AF1740" i="11"/>
  <c r="AG1740" i="11" s="1"/>
  <c r="AK1174" i="11"/>
  <c r="AL1174" i="11" s="1"/>
  <c r="AK1226" i="11"/>
  <c r="AL1226" i="11" s="1"/>
  <c r="AK1208" i="11"/>
  <c r="AL1208" i="11" s="1"/>
  <c r="AK1217" i="11"/>
  <c r="AL1217" i="11" s="1"/>
  <c r="AK1162" i="11"/>
  <c r="AL1162" i="11" s="1"/>
  <c r="AK1218" i="11"/>
  <c r="AL1218" i="11" s="1"/>
  <c r="AK1199" i="11"/>
  <c r="AL1199" i="11" s="1"/>
  <c r="AK1231" i="11"/>
  <c r="AL1231" i="11" s="1"/>
  <c r="AK1212" i="11"/>
  <c r="AL1212" i="11" s="1"/>
  <c r="AK1170" i="11"/>
  <c r="AL1170" i="11" s="1"/>
  <c r="AK1190" i="11"/>
  <c r="AL1190" i="11" s="1"/>
  <c r="AK1177" i="11"/>
  <c r="AL1177" i="11" s="1"/>
  <c r="AK1242" i="11"/>
  <c r="AL1242" i="11" s="1"/>
  <c r="AK1259" i="11"/>
  <c r="AL1259" i="11" s="1"/>
  <c r="AK1167" i="11"/>
  <c r="AL1167" i="11" s="1"/>
  <c r="AK1254" i="11"/>
  <c r="AL1254" i="11" s="1"/>
  <c r="AK1246" i="11"/>
  <c r="AL1246" i="11" s="1"/>
  <c r="AK1188" i="11"/>
  <c r="AL1188" i="11" s="1"/>
  <c r="AK1192" i="11"/>
  <c r="AL1192" i="11" s="1"/>
  <c r="AK1171" i="11"/>
  <c r="AL1171" i="11" s="1"/>
  <c r="AK1233" i="11"/>
  <c r="AL1233" i="11" s="1"/>
  <c r="AK1189" i="11"/>
  <c r="AL1189" i="11" s="1"/>
  <c r="AK1229" i="11"/>
  <c r="AL1229" i="11" s="1"/>
  <c r="AK1256" i="11"/>
  <c r="AL1256" i="11" s="1"/>
  <c r="AK1255" i="11"/>
  <c r="AL1255" i="11" s="1"/>
  <c r="AK1185" i="11"/>
  <c r="AL1185" i="11" s="1"/>
  <c r="AK1228" i="11"/>
  <c r="AL1228" i="11" s="1"/>
  <c r="AK1250" i="11"/>
  <c r="AL1250" i="11" s="1"/>
  <c r="AK1204" i="11"/>
  <c r="AL1204" i="11" s="1"/>
  <c r="AK1205" i="11"/>
  <c r="AL1205" i="11" s="1"/>
  <c r="AK1219" i="11"/>
  <c r="AL1219" i="11" s="1"/>
  <c r="AK1243" i="11"/>
  <c r="AL1243" i="11" s="1"/>
  <c r="AK1210" i="11"/>
  <c r="AL1210" i="11" s="1"/>
  <c r="AK1257" i="11"/>
  <c r="AL1257" i="11" s="1"/>
  <c r="AK1238" i="11"/>
  <c r="AL1238" i="11" s="1"/>
  <c r="AK1202" i="11"/>
  <c r="AL1202" i="11" s="1"/>
  <c r="AK1184" i="11"/>
  <c r="AL1184" i="11" s="1"/>
  <c r="AK1206" i="11"/>
  <c r="AL1206" i="11" s="1"/>
  <c r="AK1236" i="11"/>
  <c r="AL1236" i="11" s="1"/>
  <c r="AK1168" i="11"/>
  <c r="AL1168" i="11" s="1"/>
  <c r="AK1245" i="11"/>
  <c r="AL1245" i="11" s="1"/>
  <c r="AK1239" i="11"/>
  <c r="AL1239" i="11" s="1"/>
  <c r="AK1180" i="11"/>
  <c r="AL1180" i="11" s="1"/>
  <c r="AK1216" i="11"/>
  <c r="AL1216" i="11" s="1"/>
  <c r="AK1251" i="11"/>
  <c r="AL1251" i="11" s="1"/>
  <c r="AK1183" i="11"/>
  <c r="AL1183" i="11" s="1"/>
  <c r="AK1237" i="11"/>
  <c r="AL1237" i="11" s="1"/>
  <c r="AK1179" i="11"/>
  <c r="AL1179" i="11" s="1"/>
  <c r="AK1247" i="11"/>
  <c r="AL1247" i="11" s="1"/>
  <c r="AK1172" i="11"/>
  <c r="AL1172" i="11" s="1"/>
  <c r="AK1165" i="11"/>
  <c r="AL1165" i="11" s="1"/>
  <c r="AK1223" i="11"/>
  <c r="AL1223" i="11" s="1"/>
  <c r="AK1175" i="11"/>
  <c r="AL1175" i="11" s="1"/>
  <c r="AK1230" i="11"/>
  <c r="AL1230" i="11" s="1"/>
  <c r="AK1187" i="11"/>
  <c r="AL1187" i="11" s="1"/>
  <c r="AK1232" i="11"/>
  <c r="AL1232" i="11" s="1"/>
  <c r="AK1160" i="11"/>
  <c r="AL1160" i="11" s="1"/>
  <c r="AK1161" i="11"/>
  <c r="AL1161" i="11" s="1"/>
  <c r="AK1178" i="11"/>
  <c r="AL1178" i="11" s="1"/>
  <c r="AK1215" i="11"/>
  <c r="AL1215" i="11" s="1"/>
  <c r="AK1209" i="11"/>
  <c r="AL1209" i="11" s="1"/>
  <c r="AK1166" i="11"/>
  <c r="AL1166" i="11" s="1"/>
  <c r="AK1214" i="11"/>
  <c r="AL1214" i="11" s="1"/>
  <c r="AK1252" i="11"/>
  <c r="AL1252" i="11" s="1"/>
  <c r="AK1195" i="11"/>
  <c r="AL1195" i="11" s="1"/>
  <c r="AK1181" i="11"/>
  <c r="AL1181" i="11" s="1"/>
  <c r="AK1203" i="11"/>
  <c r="AL1203" i="11" s="1"/>
  <c r="AK1220" i="11"/>
  <c r="AL1220" i="11" s="1"/>
  <c r="AK1264" i="11"/>
  <c r="AL1264" i="11" s="1"/>
  <c r="AK1258" i="11"/>
  <c r="AL1258" i="11" s="1"/>
  <c r="AK1200" i="11"/>
  <c r="AL1200" i="11" s="1"/>
  <c r="AK1197" i="11"/>
  <c r="AL1197" i="11" s="1"/>
  <c r="AK1196" i="11"/>
  <c r="AL1196" i="11" s="1"/>
  <c r="AK1182" i="11"/>
  <c r="AL1182" i="11" s="1"/>
  <c r="AK1163" i="11"/>
  <c r="AL1163" i="11" s="1"/>
  <c r="AK1248" i="11"/>
  <c r="AL1248" i="11" s="1"/>
  <c r="AK1221" i="11"/>
  <c r="AL1221" i="11" s="1"/>
  <c r="AK1173" i="11"/>
  <c r="AL1173" i="11" s="1"/>
  <c r="AK1198" i="11"/>
  <c r="AL1198" i="11" s="1"/>
  <c r="AK1253" i="11"/>
  <c r="AL1253" i="11" s="1"/>
  <c r="AK1207" i="11"/>
  <c r="AL1207" i="11" s="1"/>
  <c r="AK1234" i="11"/>
  <c r="AL1234" i="11" s="1"/>
  <c r="AK1169" i="11"/>
  <c r="AL1169" i="11" s="1"/>
  <c r="AK1176" i="11"/>
  <c r="AL1176" i="11" s="1"/>
  <c r="AK1194" i="11"/>
  <c r="AL1194" i="11" s="1"/>
  <c r="AK1244" i="11"/>
  <c r="AL1244" i="11" s="1"/>
  <c r="AK1224" i="11"/>
  <c r="AL1224" i="11" s="1"/>
  <c r="AK1235" i="11"/>
  <c r="AL1235" i="11" s="1"/>
  <c r="AK1211" i="11"/>
  <c r="AL1211" i="11" s="1"/>
  <c r="AK1186" i="11"/>
  <c r="AL1186" i="11" s="1"/>
  <c r="AK1222" i="11"/>
  <c r="AL1222" i="11" s="1"/>
  <c r="AK1164" i="11"/>
  <c r="AL1164" i="11" s="1"/>
  <c r="AK1263" i="11"/>
  <c r="AL1263" i="11" s="1"/>
  <c r="AK1249" i="11"/>
  <c r="AL1249" i="11" s="1"/>
  <c r="AK1225" i="11"/>
  <c r="AL1225" i="11" s="1"/>
  <c r="AK1241" i="11"/>
  <c r="AL1241" i="11" s="1"/>
  <c r="AK1201" i="11"/>
  <c r="AL1201" i="11" s="1"/>
  <c r="AK1227" i="11"/>
  <c r="AL1227" i="11" s="1"/>
  <c r="AK1240" i="11"/>
  <c r="AL1240" i="11" s="1"/>
  <c r="AK1213" i="11"/>
  <c r="AL1213" i="11" s="1"/>
  <c r="P131" i="54"/>
  <c r="AI608" i="11"/>
  <c r="AJ608" i="11" s="1"/>
  <c r="AI565" i="11"/>
  <c r="AJ565" i="11" s="1"/>
  <c r="AI534" i="11"/>
  <c r="AJ534" i="11" s="1"/>
  <c r="AI568" i="11"/>
  <c r="AJ568" i="11" s="1"/>
  <c r="AI540" i="11"/>
  <c r="AJ540" i="11" s="1"/>
  <c r="AI595" i="11"/>
  <c r="AJ595" i="11" s="1"/>
  <c r="AI563" i="11"/>
  <c r="AJ563" i="11" s="1"/>
  <c r="AI597" i="11"/>
  <c r="AJ597" i="11" s="1"/>
  <c r="AI614" i="11"/>
  <c r="AJ614" i="11" s="1"/>
  <c r="AI575" i="11"/>
  <c r="AJ575" i="11" s="1"/>
  <c r="AI543" i="11"/>
  <c r="AJ543" i="11" s="1"/>
  <c r="AI592" i="11"/>
  <c r="AJ592" i="11" s="1"/>
  <c r="AI620" i="11"/>
  <c r="AJ620" i="11" s="1"/>
  <c r="AI559" i="11"/>
  <c r="AJ559" i="11" s="1"/>
  <c r="AI566" i="11"/>
  <c r="AJ566" i="11" s="1"/>
  <c r="AI558" i="11"/>
  <c r="AJ558" i="11" s="1"/>
  <c r="AI531" i="11"/>
  <c r="AJ531" i="11" s="1"/>
  <c r="AI557" i="11"/>
  <c r="AJ557" i="11" s="1"/>
  <c r="AI580" i="11"/>
  <c r="AJ580" i="11" s="1"/>
  <c r="AI622" i="11"/>
  <c r="AJ622" i="11" s="1"/>
  <c r="AI616" i="11"/>
  <c r="AJ616" i="11" s="1"/>
  <c r="AI564" i="11"/>
  <c r="AJ564" i="11" s="1"/>
  <c r="AI555" i="11"/>
  <c r="AJ555" i="11" s="1"/>
  <c r="AI542" i="11"/>
  <c r="AJ542" i="11" s="1"/>
  <c r="AI617" i="11"/>
  <c r="AJ617" i="11" s="1"/>
  <c r="AI631" i="11"/>
  <c r="AJ631" i="11" s="1"/>
  <c r="AI581" i="11"/>
  <c r="AJ581" i="11" s="1"/>
  <c r="AI593" i="11"/>
  <c r="AJ593" i="11" s="1"/>
  <c r="AI576" i="11"/>
  <c r="AJ576" i="11" s="1"/>
  <c r="AI533" i="11"/>
  <c r="AJ533" i="11" s="1"/>
  <c r="AI549" i="11"/>
  <c r="AJ549" i="11" s="1"/>
  <c r="AI602" i="11"/>
  <c r="AJ602" i="11" s="1"/>
  <c r="AI606" i="11"/>
  <c r="AJ606" i="11" s="1"/>
  <c r="AI548" i="11"/>
  <c r="AJ548" i="11" s="1"/>
  <c r="AI609" i="11"/>
  <c r="AJ609" i="11" s="1"/>
  <c r="AI570" i="11"/>
  <c r="AJ570" i="11" s="1"/>
  <c r="AI586" i="11"/>
  <c r="AJ586" i="11" s="1"/>
  <c r="AI539" i="11"/>
  <c r="AJ539" i="11" s="1"/>
  <c r="AI590" i="11"/>
  <c r="AJ590" i="11" s="1"/>
  <c r="AI547" i="11"/>
  <c r="AJ547" i="11" s="1"/>
  <c r="AI603" i="11"/>
  <c r="AJ603" i="11" s="1"/>
  <c r="AI585" i="11"/>
  <c r="AJ585" i="11" s="1"/>
  <c r="AI588" i="11"/>
  <c r="AJ588" i="11" s="1"/>
  <c r="AI628" i="11"/>
  <c r="AJ628" i="11" s="1"/>
  <c r="AI584" i="11"/>
  <c r="AJ584" i="11" s="1"/>
  <c r="AI634" i="11"/>
  <c r="AJ634" i="11" s="1"/>
  <c r="AI623" i="11"/>
  <c r="AJ623" i="11" s="1"/>
  <c r="AI535" i="11"/>
  <c r="AJ535" i="11" s="1"/>
  <c r="AI633" i="11"/>
  <c r="AJ633" i="11" s="1"/>
  <c r="AI599" i="11"/>
  <c r="AJ599" i="11" s="1"/>
  <c r="AI544" i="11"/>
  <c r="AJ544" i="11" s="1"/>
  <c r="AI594" i="11"/>
  <c r="AJ594" i="11" s="1"/>
  <c r="AI571" i="11"/>
  <c r="AJ571" i="11" s="1"/>
  <c r="AI632" i="11"/>
  <c r="AJ632" i="11" s="1"/>
  <c r="AI573" i="11"/>
  <c r="AJ573" i="11" s="1"/>
  <c r="AI532" i="11"/>
  <c r="AJ532" i="11" s="1"/>
  <c r="AI579" i="11"/>
  <c r="AJ579" i="11" s="1"/>
  <c r="AI607" i="11"/>
  <c r="AJ607" i="11" s="1"/>
  <c r="AI567" i="11"/>
  <c r="AJ567" i="11" s="1"/>
  <c r="AI537" i="11"/>
  <c r="AJ537" i="11" s="1"/>
  <c r="AI551" i="11"/>
  <c r="AJ551" i="11" s="1"/>
  <c r="AI550" i="11"/>
  <c r="AJ550" i="11" s="1"/>
  <c r="AI624" i="11"/>
  <c r="AJ624" i="11" s="1"/>
  <c r="AI598" i="11"/>
  <c r="AJ598" i="11" s="1"/>
  <c r="AI583" i="11"/>
  <c r="AJ583" i="11" s="1"/>
  <c r="AI619" i="11"/>
  <c r="AJ619" i="11" s="1"/>
  <c r="AI604" i="11"/>
  <c r="AJ604" i="11" s="1"/>
  <c r="AI613" i="11"/>
  <c r="AJ613" i="11" s="1"/>
  <c r="AI553" i="11"/>
  <c r="AJ553" i="11" s="1"/>
  <c r="AI574" i="11"/>
  <c r="AJ574" i="11" s="1"/>
  <c r="AI615" i="11"/>
  <c r="AJ615" i="11" s="1"/>
  <c r="AI546" i="11"/>
  <c r="AJ546" i="11" s="1"/>
  <c r="AI541" i="11"/>
  <c r="AJ541" i="11" s="1"/>
  <c r="AI552" i="11"/>
  <c r="AJ552" i="11" s="1"/>
  <c r="AI600" i="11"/>
  <c r="AJ600" i="11" s="1"/>
  <c r="AI587" i="11"/>
  <c r="AJ587" i="11" s="1"/>
  <c r="AI629" i="11"/>
  <c r="AJ629" i="11" s="1"/>
  <c r="AI605" i="11"/>
  <c r="AJ605" i="11" s="1"/>
  <c r="AI560" i="11"/>
  <c r="AJ560" i="11" s="1"/>
  <c r="AI591" i="11"/>
  <c r="AJ591" i="11" s="1"/>
  <c r="AI596" i="11"/>
  <c r="AJ596" i="11" s="1"/>
  <c r="AI582" i="11"/>
  <c r="AJ582" i="11" s="1"/>
  <c r="AI572" i="11"/>
  <c r="AJ572" i="11" s="1"/>
  <c r="AI562" i="11"/>
  <c r="AJ562" i="11" s="1"/>
  <c r="AI625" i="11"/>
  <c r="AJ625" i="11" s="1"/>
  <c r="AI561" i="11"/>
  <c r="AJ561" i="11" s="1"/>
  <c r="P160" i="54"/>
  <c r="AI2254" i="11"/>
  <c r="AJ2254" i="11" s="1"/>
  <c r="AI2244" i="11"/>
  <c r="AJ2244" i="11" s="1"/>
  <c r="AI2284" i="11"/>
  <c r="AJ2284" i="11" s="1"/>
  <c r="AI2227" i="11"/>
  <c r="AJ2227" i="11" s="1"/>
  <c r="AI2231" i="11"/>
  <c r="AJ2231" i="11" s="1"/>
  <c r="AI2240" i="11"/>
  <c r="AJ2240" i="11" s="1"/>
  <c r="AI2278" i="11"/>
  <c r="AJ2278" i="11" s="1"/>
  <c r="AI2255" i="11"/>
  <c r="AJ2255" i="11" s="1"/>
  <c r="AI2238" i="11"/>
  <c r="AJ2238" i="11" s="1"/>
  <c r="AI2220" i="11"/>
  <c r="AJ2220" i="11" s="1"/>
  <c r="AI2213" i="11"/>
  <c r="AJ2213" i="11" s="1"/>
  <c r="AI2296" i="11"/>
  <c r="AJ2296" i="11" s="1"/>
  <c r="AI2289" i="11"/>
  <c r="AJ2289" i="11" s="1"/>
  <c r="AI2307" i="11"/>
  <c r="AJ2307" i="11" s="1"/>
  <c r="AI2229" i="11"/>
  <c r="AJ2229" i="11" s="1"/>
  <c r="AI2276" i="11"/>
  <c r="AJ2276" i="11" s="1"/>
  <c r="AI2228" i="11"/>
  <c r="AJ2228" i="11" s="1"/>
  <c r="AI2305" i="11"/>
  <c r="AJ2305" i="11" s="1"/>
  <c r="AI2212" i="11"/>
  <c r="AJ2212" i="11" s="1"/>
  <c r="AI2273" i="11"/>
  <c r="AJ2273" i="11" s="1"/>
  <c r="AI2268" i="11"/>
  <c r="AJ2268" i="11" s="1"/>
  <c r="AI2310" i="11"/>
  <c r="AJ2310" i="11" s="1"/>
  <c r="AI2299" i="11"/>
  <c r="AJ2299" i="11" s="1"/>
  <c r="AI2271" i="11"/>
  <c r="AJ2271" i="11" s="1"/>
  <c r="AI2312" i="11"/>
  <c r="AJ2312" i="11" s="1"/>
  <c r="AI2313" i="11"/>
  <c r="AJ2313" i="11" s="1"/>
  <c r="AI2266" i="11"/>
  <c r="AJ2266" i="11" s="1"/>
  <c r="AI2309" i="11"/>
  <c r="AJ2309" i="11" s="1"/>
  <c r="AI2261" i="11"/>
  <c r="AJ2261" i="11" s="1"/>
  <c r="AI2236" i="11"/>
  <c r="AJ2236" i="11" s="1"/>
  <c r="AI2214" i="11"/>
  <c r="AJ2214" i="11" s="1"/>
  <c r="AI2286" i="11"/>
  <c r="AJ2286" i="11" s="1"/>
  <c r="AI2215" i="11"/>
  <c r="AJ2215" i="11" s="1"/>
  <c r="AI2303" i="11"/>
  <c r="AJ2303" i="11" s="1"/>
  <c r="AI2210" i="11"/>
  <c r="AJ2210" i="11" s="1"/>
  <c r="AI2226" i="11"/>
  <c r="AJ2226" i="11" s="1"/>
  <c r="AI2242" i="11"/>
  <c r="AJ2242" i="11" s="1"/>
  <c r="AI2288" i="11"/>
  <c r="AJ2288" i="11" s="1"/>
  <c r="AI2300" i="11"/>
  <c r="AJ2300" i="11" s="1"/>
  <c r="AI2314" i="11"/>
  <c r="AJ2314" i="11" s="1"/>
  <c r="AI2279" i="11"/>
  <c r="AJ2279" i="11" s="1"/>
  <c r="AI2234" i="11"/>
  <c r="AJ2234" i="11" s="1"/>
  <c r="AI2247" i="11"/>
  <c r="AJ2247" i="11" s="1"/>
  <c r="AI2295" i="11"/>
  <c r="AJ2295" i="11" s="1"/>
  <c r="AI2298" i="11"/>
  <c r="AJ2298" i="11" s="1"/>
  <c r="AI2252" i="11"/>
  <c r="AJ2252" i="11" s="1"/>
  <c r="AI2301" i="11"/>
  <c r="AJ2301" i="11" s="1"/>
  <c r="AI2223" i="11"/>
  <c r="AJ2223" i="11" s="1"/>
  <c r="AI2304" i="11"/>
  <c r="AJ2304" i="11" s="1"/>
  <c r="AI2262" i="11"/>
  <c r="AJ2262" i="11" s="1"/>
  <c r="AI2281" i="11"/>
  <c r="AJ2281" i="11" s="1"/>
  <c r="AI2285" i="11"/>
  <c r="AJ2285" i="11" s="1"/>
  <c r="AI2257" i="11"/>
  <c r="AJ2257" i="11" s="1"/>
  <c r="AI2263" i="11"/>
  <c r="AJ2263" i="11" s="1"/>
  <c r="AI2260" i="11"/>
  <c r="AJ2260" i="11" s="1"/>
  <c r="AI2306" i="11"/>
  <c r="AJ2306" i="11" s="1"/>
  <c r="AI2265" i="11"/>
  <c r="AJ2265" i="11" s="1"/>
  <c r="AI2230" i="11"/>
  <c r="AJ2230" i="11" s="1"/>
  <c r="AI2222" i="11"/>
  <c r="AJ2222" i="11" s="1"/>
  <c r="AI2258" i="11"/>
  <c r="AJ2258" i="11" s="1"/>
  <c r="AI2293" i="11"/>
  <c r="AJ2293" i="11" s="1"/>
  <c r="AI2251" i="11"/>
  <c r="AJ2251" i="11" s="1"/>
  <c r="AI2221" i="11"/>
  <c r="AJ2221" i="11" s="1"/>
  <c r="AI2291" i="11"/>
  <c r="AJ2291" i="11" s="1"/>
  <c r="AI2294" i="11"/>
  <c r="AJ2294" i="11" s="1"/>
  <c r="AI2275" i="11"/>
  <c r="AJ2275" i="11" s="1"/>
  <c r="AI2225" i="11"/>
  <c r="AJ2225" i="11" s="1"/>
  <c r="AI2217" i="11"/>
  <c r="AJ2217" i="11" s="1"/>
  <c r="AI2259" i="11"/>
  <c r="AJ2259" i="11" s="1"/>
  <c r="AI2245" i="11"/>
  <c r="AJ2245" i="11" s="1"/>
  <c r="AI2283" i="11"/>
  <c r="AJ2283" i="11" s="1"/>
  <c r="AI2302" i="11"/>
  <c r="AJ2302" i="11" s="1"/>
  <c r="AI2241" i="11"/>
  <c r="AJ2241" i="11" s="1"/>
  <c r="AI2267" i="11"/>
  <c r="AJ2267" i="11" s="1"/>
  <c r="AI2239" i="11"/>
  <c r="AJ2239" i="11" s="1"/>
  <c r="AI2232" i="11"/>
  <c r="AJ2232" i="11" s="1"/>
  <c r="AI2287" i="11"/>
  <c r="AJ2287" i="11" s="1"/>
  <c r="AI2216" i="11"/>
  <c r="AJ2216" i="11" s="1"/>
  <c r="AI2237" i="11"/>
  <c r="AJ2237" i="11" s="1"/>
  <c r="AI2233" i="11"/>
  <c r="AJ2233" i="11" s="1"/>
  <c r="AI2311" i="11"/>
  <c r="AJ2311" i="11" s="1"/>
  <c r="AI2282" i="11"/>
  <c r="AJ2282" i="11" s="1"/>
  <c r="AI2219" i="11"/>
  <c r="AJ2219" i="11" s="1"/>
  <c r="AI2264" i="11"/>
  <c r="AJ2264" i="11" s="1"/>
  <c r="AI2269" i="11"/>
  <c r="AJ2269" i="11" s="1"/>
  <c r="AI2250" i="11"/>
  <c r="AJ2250" i="11" s="1"/>
  <c r="AI2218" i="11"/>
  <c r="AJ2218" i="11" s="1"/>
  <c r="AI2248" i="11"/>
  <c r="AJ2248" i="11" s="1"/>
  <c r="AI2246" i="11"/>
  <c r="AJ2246" i="11" s="1"/>
  <c r="AI2308" i="11"/>
  <c r="AJ2308" i="11" s="1"/>
  <c r="AI2224" i="11"/>
  <c r="AJ2224" i="11" s="1"/>
  <c r="AI2272" i="11"/>
  <c r="AJ2272" i="11" s="1"/>
  <c r="N268" i="54"/>
  <c r="N265" i="54"/>
  <c r="AK2829" i="11"/>
  <c r="AL2829" i="11" s="1"/>
  <c r="P139" i="54"/>
  <c r="Q78" i="54"/>
  <c r="N249" i="54"/>
  <c r="AK1790" i="11"/>
  <c r="AL1790" i="11" s="1"/>
  <c r="Q80" i="54"/>
  <c r="P151" i="54"/>
  <c r="Q81" i="54"/>
  <c r="AF50" i="11"/>
  <c r="AG50" i="11" s="1"/>
  <c r="AF92" i="11"/>
  <c r="AG92" i="11" s="1"/>
  <c r="AF27" i="11"/>
  <c r="AG27" i="11" s="1"/>
  <c r="AF33" i="11"/>
  <c r="AG33" i="11" s="1"/>
  <c r="AF106" i="11"/>
  <c r="AG106" i="11" s="1"/>
  <c r="AF101" i="11"/>
  <c r="AG101" i="11" s="1"/>
  <c r="AF9" i="11"/>
  <c r="AG9" i="11" s="1"/>
  <c r="AF103" i="11"/>
  <c r="AG103" i="11" s="1"/>
  <c r="AF44" i="11"/>
  <c r="AG44" i="11" s="1"/>
  <c r="AF66" i="11"/>
  <c r="AG66" i="11" s="1"/>
  <c r="AF48" i="11"/>
  <c r="AG48" i="11" s="1"/>
  <c r="AF97" i="11"/>
  <c r="AG97" i="11" s="1"/>
  <c r="AF61" i="11"/>
  <c r="AG61" i="11" s="1"/>
  <c r="AF80" i="11"/>
  <c r="AG80" i="11" s="1"/>
  <c r="AF46" i="11"/>
  <c r="AG46" i="11" s="1"/>
  <c r="AF58" i="11"/>
  <c r="AG58" i="11" s="1"/>
  <c r="AF62" i="11"/>
  <c r="AG62" i="11" s="1"/>
  <c r="AF60" i="11"/>
  <c r="AG60" i="11" s="1"/>
  <c r="AF77" i="11"/>
  <c r="AG77" i="11" s="1"/>
  <c r="AF100" i="11"/>
  <c r="AG100" i="11" s="1"/>
  <c r="AF53" i="11"/>
  <c r="AG53" i="11" s="1"/>
  <c r="AF30" i="11"/>
  <c r="AG30" i="11" s="1"/>
  <c r="AF87" i="11"/>
  <c r="AG87" i="11" s="1"/>
  <c r="AF93" i="11"/>
  <c r="AG93" i="11" s="1"/>
  <c r="AF18" i="11"/>
  <c r="AG18" i="11" s="1"/>
  <c r="AF21" i="11"/>
  <c r="AG21" i="11" s="1"/>
  <c r="AF36" i="11"/>
  <c r="AG36" i="11" s="1"/>
  <c r="AF109" i="11"/>
  <c r="AG109" i="11" s="1"/>
  <c r="AF29" i="11"/>
  <c r="AG29" i="11" s="1"/>
  <c r="AF16" i="11"/>
  <c r="AG16" i="11" s="1"/>
  <c r="AF5" i="11"/>
  <c r="AG5" i="11" s="1"/>
  <c r="AF76" i="11"/>
  <c r="AG76" i="11" s="1"/>
  <c r="AF23" i="11"/>
  <c r="AG23" i="11" s="1"/>
  <c r="AF34" i="11"/>
  <c r="AG34" i="11" s="1"/>
  <c r="AF20" i="11"/>
  <c r="AG20" i="11" s="1"/>
  <c r="AF102" i="11"/>
  <c r="AG102" i="11" s="1"/>
  <c r="AF81" i="11"/>
  <c r="AG81" i="11" s="1"/>
  <c r="AF99" i="11"/>
  <c r="AG99" i="11" s="1"/>
  <c r="AF54" i="11"/>
  <c r="AG54" i="11" s="1"/>
  <c r="AF75" i="11"/>
  <c r="AG75" i="11" s="1"/>
  <c r="AF41" i="11"/>
  <c r="AG41" i="11" s="1"/>
  <c r="AF108" i="11"/>
  <c r="AG108" i="11" s="1"/>
  <c r="AF70" i="11"/>
  <c r="AG70" i="11" s="1"/>
  <c r="AF91" i="11"/>
  <c r="AG91" i="11" s="1"/>
  <c r="AF45" i="11"/>
  <c r="AG45" i="11" s="1"/>
  <c r="AF105" i="11"/>
  <c r="AG105" i="11" s="1"/>
  <c r="AF17" i="11"/>
  <c r="AG17" i="11" s="1"/>
  <c r="AF12" i="11"/>
  <c r="AG12" i="11" s="1"/>
  <c r="AF47" i="11"/>
  <c r="AG47" i="11" s="1"/>
  <c r="AF19" i="11"/>
  <c r="AG19" i="11" s="1"/>
  <c r="AF94" i="11"/>
  <c r="AG94" i="11" s="1"/>
  <c r="AF72" i="11"/>
  <c r="AG72" i="11" s="1"/>
  <c r="AO72" i="11" s="1"/>
  <c r="AF64" i="11"/>
  <c r="AG64" i="11" s="1"/>
  <c r="AF11" i="11"/>
  <c r="AG11" i="11" s="1"/>
  <c r="AF59" i="11"/>
  <c r="AG59" i="11" s="1"/>
  <c r="AF28" i="11"/>
  <c r="AG28" i="11" s="1"/>
  <c r="AF82" i="11"/>
  <c r="AG82" i="11" s="1"/>
  <c r="AF6" i="11"/>
  <c r="AG6" i="11" s="1"/>
  <c r="O202" i="54"/>
  <c r="AF65" i="11"/>
  <c r="AG65" i="11" s="1"/>
  <c r="AF26" i="11"/>
  <c r="AG26" i="11" s="1"/>
  <c r="AF98" i="11"/>
  <c r="AG98" i="11" s="1"/>
  <c r="AF56" i="11"/>
  <c r="AG56" i="11" s="1"/>
  <c r="AF71" i="11"/>
  <c r="AG71" i="11" s="1"/>
  <c r="AF95" i="11"/>
  <c r="AG95" i="11" s="1"/>
  <c r="AF49" i="11"/>
  <c r="AG49" i="11" s="1"/>
  <c r="AF13" i="11"/>
  <c r="AG13" i="11" s="1"/>
  <c r="AF14" i="11"/>
  <c r="AG14" i="11" s="1"/>
  <c r="AF10" i="11"/>
  <c r="AG10" i="11" s="1"/>
  <c r="AF32" i="11"/>
  <c r="AG32" i="11" s="1"/>
  <c r="AF63" i="11"/>
  <c r="AG63" i="11" s="1"/>
  <c r="AF90" i="11"/>
  <c r="AG90" i="11" s="1"/>
  <c r="AF25" i="11"/>
  <c r="AG25" i="11" s="1"/>
  <c r="AF107" i="11"/>
  <c r="AG107" i="11" s="1"/>
  <c r="AF89" i="11"/>
  <c r="AG89" i="11" s="1"/>
  <c r="AF52" i="11"/>
  <c r="AG52" i="11" s="1"/>
  <c r="AF84" i="11"/>
  <c r="AG84" i="11" s="1"/>
  <c r="AF78" i="11"/>
  <c r="AG78" i="11" s="1"/>
  <c r="AF39" i="11"/>
  <c r="AG39" i="11" s="1"/>
  <c r="AF85" i="11"/>
  <c r="AG85" i="11" s="1"/>
  <c r="AF73" i="11"/>
  <c r="AG73" i="11" s="1"/>
  <c r="AF69" i="11"/>
  <c r="AG69" i="11" s="1"/>
  <c r="AF74" i="11"/>
  <c r="AG74" i="11" s="1"/>
  <c r="AF15" i="11"/>
  <c r="AG15" i="11" s="1"/>
  <c r="AF22" i="11"/>
  <c r="AG22" i="11" s="1"/>
  <c r="AF57" i="11"/>
  <c r="AG57" i="11" s="1"/>
  <c r="AF83" i="11"/>
  <c r="AG83" i="11" s="1"/>
  <c r="AF42" i="11"/>
  <c r="AG42" i="11" s="1"/>
  <c r="AF8" i="11"/>
  <c r="AG8" i="11" s="1"/>
  <c r="AD970" i="11"/>
  <c r="AE970" i="11" s="1"/>
  <c r="AK3112" i="11"/>
  <c r="AL3112" i="11" s="1"/>
  <c r="AK3122" i="11"/>
  <c r="AL3122" i="11" s="1"/>
  <c r="AK3143" i="11"/>
  <c r="AL3143" i="11" s="1"/>
  <c r="AK3085" i="11"/>
  <c r="AL3085" i="11" s="1"/>
  <c r="AK3133" i="11"/>
  <c r="AL3133" i="11" s="1"/>
  <c r="AK3108" i="11"/>
  <c r="AL3108" i="11" s="1"/>
  <c r="AK3105" i="11"/>
  <c r="AL3105" i="11" s="1"/>
  <c r="AK3146" i="11"/>
  <c r="AL3146" i="11" s="1"/>
  <c r="AK3091" i="11"/>
  <c r="AL3091" i="11" s="1"/>
  <c r="AK3113" i="11"/>
  <c r="AL3113" i="11" s="1"/>
  <c r="AK3053" i="11"/>
  <c r="AL3053" i="11" s="1"/>
  <c r="AK3072" i="11"/>
  <c r="AL3072" i="11" s="1"/>
  <c r="AK3099" i="11"/>
  <c r="AL3099" i="11" s="1"/>
  <c r="AK3137" i="11"/>
  <c r="AL3137" i="11" s="1"/>
  <c r="AK3073" i="11"/>
  <c r="AL3073" i="11" s="1"/>
  <c r="AK3086" i="11"/>
  <c r="AL3086" i="11" s="1"/>
  <c r="AK3140" i="11"/>
  <c r="AL3140" i="11" s="1"/>
  <c r="AK3051" i="11"/>
  <c r="AL3051" i="11" s="1"/>
  <c r="AK3071" i="11"/>
  <c r="AL3071" i="11" s="1"/>
  <c r="AK3125" i="11"/>
  <c r="AL3125" i="11" s="1"/>
  <c r="AK3135" i="11"/>
  <c r="AL3135" i="11" s="1"/>
  <c r="AK3095" i="11"/>
  <c r="AL3095" i="11" s="1"/>
  <c r="AK3090" i="11"/>
  <c r="AL3090" i="11" s="1"/>
  <c r="AK3054" i="11"/>
  <c r="AL3054" i="11" s="1"/>
  <c r="AK3139" i="11"/>
  <c r="AL3139" i="11" s="1"/>
  <c r="AK3058" i="11"/>
  <c r="AL3058" i="11" s="1"/>
  <c r="AK3076" i="11"/>
  <c r="AL3076" i="11" s="1"/>
  <c r="AK3067" i="11"/>
  <c r="AL3067" i="11" s="1"/>
  <c r="AK3080" i="11"/>
  <c r="AL3080" i="11" s="1"/>
  <c r="AK3107" i="11"/>
  <c r="AL3107" i="11" s="1"/>
  <c r="AK3145" i="11"/>
  <c r="AL3145" i="11" s="1"/>
  <c r="AK3103" i="11"/>
  <c r="AL3103" i="11" s="1"/>
  <c r="AK3104" i="11"/>
  <c r="AL3104" i="11" s="1"/>
  <c r="AK3121" i="11"/>
  <c r="AL3121" i="11" s="1"/>
  <c r="AK3064" i="11"/>
  <c r="AL3064" i="11" s="1"/>
  <c r="AK3060" i="11"/>
  <c r="AL3060" i="11" s="1"/>
  <c r="AK3056" i="11"/>
  <c r="AL3056" i="11" s="1"/>
  <c r="AK3097" i="11"/>
  <c r="AL3097" i="11" s="1"/>
  <c r="AK3147" i="11"/>
  <c r="AL3147" i="11" s="1"/>
  <c r="AK3115" i="11"/>
  <c r="AL3115" i="11" s="1"/>
  <c r="AK3154" i="11"/>
  <c r="AL3154" i="11" s="1"/>
  <c r="AK3068" i="11"/>
  <c r="AL3068" i="11" s="1"/>
  <c r="AK3050" i="11"/>
  <c r="AL3050" i="11" s="1"/>
  <c r="AK3123" i="11"/>
  <c r="AL3123" i="11" s="1"/>
  <c r="AK3114" i="11"/>
  <c r="AL3114" i="11" s="1"/>
  <c r="AK3119" i="11"/>
  <c r="AL3119" i="11" s="1"/>
  <c r="AK3100" i="11"/>
  <c r="AL3100" i="11" s="1"/>
  <c r="AK3131" i="11"/>
  <c r="AL3131" i="11" s="1"/>
  <c r="AK3106" i="11"/>
  <c r="AL3106" i="11" s="1"/>
  <c r="AK3111" i="11"/>
  <c r="AL3111" i="11" s="1"/>
  <c r="AK3138" i="11"/>
  <c r="AL3138" i="11" s="1"/>
  <c r="AK3093" i="11"/>
  <c r="AL3093" i="11" s="1"/>
  <c r="AK3102" i="11"/>
  <c r="AL3102" i="11" s="1"/>
  <c r="AK3117" i="11"/>
  <c r="AL3117" i="11" s="1"/>
  <c r="AK3065" i="11"/>
  <c r="AL3065" i="11" s="1"/>
  <c r="AK3144" i="11"/>
  <c r="AL3144" i="11" s="1"/>
  <c r="AK3075" i="11"/>
  <c r="AL3075" i="11" s="1"/>
  <c r="AK3061" i="11"/>
  <c r="AL3061" i="11" s="1"/>
  <c r="AK3069" i="11"/>
  <c r="AL3069" i="11" s="1"/>
  <c r="AK3150" i="11"/>
  <c r="AL3150" i="11" s="1"/>
  <c r="AK3083" i="11"/>
  <c r="AL3083" i="11" s="1"/>
  <c r="AK3096" i="11"/>
  <c r="AL3096" i="11" s="1"/>
  <c r="AK3101" i="11"/>
  <c r="AL3101" i="11" s="1"/>
  <c r="AK3134" i="11"/>
  <c r="AL3134" i="11" s="1"/>
  <c r="AK3081" i="11"/>
  <c r="AL3081" i="11" s="1"/>
  <c r="AK3070" i="11"/>
  <c r="AL3070" i="11" s="1"/>
  <c r="AK3079" i="11"/>
  <c r="AL3079" i="11" s="1"/>
  <c r="AK3092" i="11"/>
  <c r="AL3092" i="11" s="1"/>
  <c r="AK3077" i="11"/>
  <c r="AL3077" i="11" s="1"/>
  <c r="AK3149" i="11"/>
  <c r="AL3149" i="11" s="1"/>
  <c r="AK3084" i="11"/>
  <c r="AL3084" i="11" s="1"/>
  <c r="AK3088" i="11"/>
  <c r="AL3088" i="11" s="1"/>
  <c r="AK3126" i="11"/>
  <c r="AL3126" i="11" s="1"/>
  <c r="AK3052" i="11"/>
  <c r="AL3052" i="11" s="1"/>
  <c r="AK3110" i="11"/>
  <c r="AL3110" i="11" s="1"/>
  <c r="AK3109" i="11"/>
  <c r="AL3109" i="11" s="1"/>
  <c r="AK3142" i="11"/>
  <c r="AL3142" i="11" s="1"/>
  <c r="AK3141" i="11"/>
  <c r="AL3141" i="11" s="1"/>
  <c r="AK3118" i="11"/>
  <c r="AL3118" i="11" s="1"/>
  <c r="AK3087" i="11"/>
  <c r="AL3087" i="11" s="1"/>
  <c r="AK3128" i="11"/>
  <c r="AL3128" i="11" s="1"/>
  <c r="AK3151" i="11"/>
  <c r="AL3151" i="11" s="1"/>
  <c r="AK3130" i="11"/>
  <c r="AL3130" i="11" s="1"/>
  <c r="AK3074" i="11"/>
  <c r="AL3074" i="11" s="1"/>
  <c r="AK3127" i="11"/>
  <c r="AL3127" i="11" s="1"/>
  <c r="AK3078" i="11"/>
  <c r="AL3078" i="11" s="1"/>
  <c r="AK3152" i="11"/>
  <c r="AL3152" i="11" s="1"/>
  <c r="AK3116" i="11"/>
  <c r="AL3116" i="11" s="1"/>
  <c r="AK3136" i="11"/>
  <c r="AL3136" i="11" s="1"/>
  <c r="AK3055" i="11"/>
  <c r="AL3055" i="11" s="1"/>
  <c r="AK3082" i="11"/>
  <c r="AL3082" i="11" s="1"/>
  <c r="AK3153" i="11"/>
  <c r="AL3153" i="11" s="1"/>
  <c r="P142" i="54"/>
  <c r="O253" i="54"/>
  <c r="AF1864" i="11"/>
  <c r="AG1864" i="11" s="1"/>
  <c r="AF809" i="11"/>
  <c r="AG809" i="11" s="1"/>
  <c r="AK2147" i="11"/>
  <c r="AL2147" i="11" s="1"/>
  <c r="P92" i="54"/>
  <c r="AF1368" i="11"/>
  <c r="AG1368" i="11" s="1"/>
  <c r="AF1518" i="11"/>
  <c r="AG1518" i="11" s="1"/>
  <c r="P111" i="54"/>
  <c r="AK729" i="11"/>
  <c r="AL729" i="11" s="1"/>
  <c r="AK700" i="11"/>
  <c r="AL700" i="11" s="1"/>
  <c r="AK708" i="11"/>
  <c r="AL708" i="11" s="1"/>
  <c r="AK648" i="11"/>
  <c r="AL648" i="11" s="1"/>
  <c r="AK667" i="11"/>
  <c r="AL667" i="11" s="1"/>
  <c r="AK732" i="11"/>
  <c r="AL732" i="11" s="1"/>
  <c r="AK738" i="11"/>
  <c r="AL738" i="11" s="1"/>
  <c r="AK737" i="11"/>
  <c r="AL737" i="11" s="1"/>
  <c r="AK718" i="11"/>
  <c r="AL718" i="11" s="1"/>
  <c r="AK720" i="11"/>
  <c r="AL720" i="11" s="1"/>
  <c r="AK687" i="11"/>
  <c r="AL687" i="11" s="1"/>
  <c r="AK715" i="11"/>
  <c r="AL715" i="11" s="1"/>
  <c r="AK681" i="11"/>
  <c r="AL681" i="11" s="1"/>
  <c r="AK679" i="11"/>
  <c r="AL679" i="11" s="1"/>
  <c r="AK666" i="11"/>
  <c r="AL666" i="11" s="1"/>
  <c r="AK697" i="11"/>
  <c r="AL697" i="11" s="1"/>
  <c r="AK661" i="11"/>
  <c r="AL661" i="11" s="1"/>
  <c r="AK674" i="11"/>
  <c r="AL674" i="11" s="1"/>
  <c r="AK713" i="11"/>
  <c r="AL713" i="11" s="1"/>
  <c r="AK652" i="11"/>
  <c r="AL652" i="11" s="1"/>
  <c r="AK731" i="11"/>
  <c r="AL731" i="11" s="1"/>
  <c r="AK701" i="11"/>
  <c r="AL701" i="11" s="1"/>
  <c r="AK639" i="11"/>
  <c r="AL639" i="11" s="1"/>
  <c r="AK704" i="11"/>
  <c r="AL704" i="11" s="1"/>
  <c r="AK686" i="11"/>
  <c r="AL686" i="11" s="1"/>
  <c r="AK706" i="11"/>
  <c r="AL706" i="11" s="1"/>
  <c r="AK663" i="11"/>
  <c r="AL663" i="11" s="1"/>
  <c r="AK669" i="11"/>
  <c r="AL669" i="11" s="1"/>
  <c r="AK705" i="11"/>
  <c r="AL705" i="11" s="1"/>
  <c r="AK671" i="11"/>
  <c r="AL671" i="11" s="1"/>
  <c r="AK702" i="11"/>
  <c r="AL702" i="11" s="1"/>
  <c r="AK695" i="11"/>
  <c r="AL695" i="11" s="1"/>
  <c r="AK719" i="11"/>
  <c r="AL719" i="11" s="1"/>
  <c r="AK722" i="11"/>
  <c r="AL722" i="11" s="1"/>
  <c r="AK662" i="11"/>
  <c r="AL662" i="11" s="1"/>
  <c r="AK725" i="11"/>
  <c r="AL725" i="11" s="1"/>
  <c r="AK680" i="11"/>
  <c r="AL680" i="11" s="1"/>
  <c r="AK646" i="11"/>
  <c r="AL646" i="11" s="1"/>
  <c r="AK691" i="11"/>
  <c r="AL691" i="11" s="1"/>
  <c r="AK736" i="11"/>
  <c r="AL736" i="11" s="1"/>
  <c r="AK692" i="11"/>
  <c r="AL692" i="11" s="1"/>
  <c r="AK714" i="11"/>
  <c r="AL714" i="11" s="1"/>
  <c r="AK682" i="11"/>
  <c r="AL682" i="11" s="1"/>
  <c r="AK712" i="11"/>
  <c r="AL712" i="11" s="1"/>
  <c r="AK664" i="11"/>
  <c r="AL664" i="11" s="1"/>
  <c r="AK733" i="11"/>
  <c r="AL733" i="11" s="1"/>
  <c r="AK647" i="11"/>
  <c r="AL647" i="11" s="1"/>
  <c r="AK739" i="11"/>
  <c r="AL739" i="11" s="1"/>
  <c r="AK723" i="11"/>
  <c r="AL723" i="11" s="1"/>
  <c r="AK678" i="11"/>
  <c r="AL678" i="11" s="1"/>
  <c r="AK649" i="11"/>
  <c r="AL649" i="11" s="1"/>
  <c r="AK711" i="11"/>
  <c r="AL711" i="11" s="1"/>
  <c r="AK645" i="11"/>
  <c r="AL645" i="11" s="1"/>
  <c r="AK637" i="11"/>
  <c r="AL637" i="11" s="1"/>
  <c r="AK724" i="11"/>
  <c r="AL724" i="11" s="1"/>
  <c r="AK635" i="11"/>
  <c r="AL635" i="11" s="1"/>
  <c r="AK653" i="11"/>
  <c r="AL653" i="11" s="1"/>
  <c r="AK709" i="11"/>
  <c r="AL709" i="11" s="1"/>
  <c r="AK710" i="11"/>
  <c r="AL710" i="11" s="1"/>
  <c r="AK675" i="11"/>
  <c r="AL675" i="11" s="1"/>
  <c r="AK676" i="11"/>
  <c r="AL676" i="11" s="1"/>
  <c r="AK670" i="11"/>
  <c r="AL670" i="11" s="1"/>
  <c r="AK655" i="11"/>
  <c r="AL655" i="11" s="1"/>
  <c r="AK726" i="11"/>
  <c r="AL726" i="11" s="1"/>
  <c r="AK717" i="11"/>
  <c r="AL717" i="11" s="1"/>
  <c r="AK643" i="11"/>
  <c r="AL643" i="11" s="1"/>
  <c r="AK684" i="11"/>
  <c r="AL684" i="11" s="1"/>
  <c r="AK721" i="11"/>
  <c r="AL721" i="11" s="1"/>
  <c r="AK689" i="11"/>
  <c r="AL689" i="11" s="1"/>
  <c r="AK650" i="11"/>
  <c r="AL650" i="11" s="1"/>
  <c r="AK654" i="11"/>
  <c r="AL654" i="11" s="1"/>
  <c r="AK658" i="11"/>
  <c r="AL658" i="11" s="1"/>
  <c r="AK728" i="11"/>
  <c r="AL728" i="11" s="1"/>
  <c r="AK703" i="11"/>
  <c r="AL703" i="11" s="1"/>
  <c r="AK699" i="11"/>
  <c r="AL699" i="11" s="1"/>
  <c r="AK641" i="11"/>
  <c r="AL641" i="11" s="1"/>
  <c r="AK694" i="11"/>
  <c r="AL694" i="11" s="1"/>
  <c r="AK690" i="11"/>
  <c r="AL690" i="11" s="1"/>
  <c r="AK668" i="11"/>
  <c r="AL668" i="11" s="1"/>
  <c r="AK688" i="11"/>
  <c r="AL688" i="11" s="1"/>
  <c r="AK707" i="11"/>
  <c r="AL707" i="11" s="1"/>
  <c r="AK644" i="11"/>
  <c r="AL644" i="11" s="1"/>
  <c r="AK642" i="11"/>
  <c r="AL642" i="11" s="1"/>
  <c r="AK735" i="11"/>
  <c r="AL735" i="11" s="1"/>
  <c r="AK677" i="11"/>
  <c r="AL677" i="11" s="1"/>
  <c r="AK673" i="11"/>
  <c r="AL673" i="11" s="1"/>
  <c r="AK727" i="11"/>
  <c r="AL727" i="11" s="1"/>
  <c r="AK693" i="11"/>
  <c r="AL693" i="11" s="1"/>
  <c r="AK660" i="11"/>
  <c r="AL660" i="11" s="1"/>
  <c r="AK685" i="11"/>
  <c r="AL685" i="11" s="1"/>
  <c r="AK665" i="11"/>
  <c r="AL665" i="11" s="1"/>
  <c r="AK640" i="11"/>
  <c r="AL640" i="11" s="1"/>
  <c r="AK651" i="11"/>
  <c r="AL651" i="11" s="1"/>
  <c r="AK1107" i="11"/>
  <c r="AL1107" i="11" s="1"/>
  <c r="AK1058" i="11"/>
  <c r="AL1058" i="11" s="1"/>
  <c r="AK1100" i="11"/>
  <c r="AL1100" i="11" s="1"/>
  <c r="AK1062" i="11"/>
  <c r="AL1062" i="11" s="1"/>
  <c r="AK1105" i="11"/>
  <c r="AL1105" i="11" s="1"/>
  <c r="AK1135" i="11"/>
  <c r="AL1135" i="11" s="1"/>
  <c r="AK1149" i="11"/>
  <c r="AL1149" i="11" s="1"/>
  <c r="AK1061" i="11"/>
  <c r="AL1061" i="11" s="1"/>
  <c r="AK1123" i="11"/>
  <c r="AL1123" i="11" s="1"/>
  <c r="AK1067" i="11"/>
  <c r="AL1067" i="11" s="1"/>
  <c r="AK1131" i="11"/>
  <c r="AL1131" i="11" s="1"/>
  <c r="AK1117" i="11"/>
  <c r="AL1117" i="11" s="1"/>
  <c r="AK1097" i="11"/>
  <c r="AL1097" i="11" s="1"/>
  <c r="AK1141" i="11"/>
  <c r="AL1141" i="11" s="1"/>
  <c r="AK1110" i="11"/>
  <c r="AL1110" i="11" s="1"/>
  <c r="AK1156" i="11"/>
  <c r="AL1156" i="11" s="1"/>
  <c r="AK1081" i="11"/>
  <c r="AL1081" i="11" s="1"/>
  <c r="AK1132" i="11"/>
  <c r="AL1132" i="11" s="1"/>
  <c r="AK1080" i="11"/>
  <c r="AL1080" i="11" s="1"/>
  <c r="AK1155" i="11"/>
  <c r="AL1155" i="11" s="1"/>
  <c r="AK1126" i="11"/>
  <c r="AL1126" i="11" s="1"/>
  <c r="AK1139" i="11"/>
  <c r="AL1139" i="11" s="1"/>
  <c r="AK1121" i="11"/>
  <c r="AL1121" i="11" s="1"/>
  <c r="AK1066" i="11"/>
  <c r="AL1066" i="11" s="1"/>
  <c r="AK1148" i="11"/>
  <c r="AL1148" i="11" s="1"/>
  <c r="AK1144" i="11"/>
  <c r="AL1144" i="11" s="1"/>
  <c r="AK1098" i="11"/>
  <c r="AL1098" i="11" s="1"/>
  <c r="AK1104" i="11"/>
  <c r="AL1104" i="11" s="1"/>
  <c r="AK1152" i="11"/>
  <c r="AL1152" i="11" s="1"/>
  <c r="AK1127" i="11"/>
  <c r="AL1127" i="11" s="1"/>
  <c r="AK1056" i="11"/>
  <c r="AL1056" i="11" s="1"/>
  <c r="AK1063" i="11"/>
  <c r="AL1063" i="11" s="1"/>
  <c r="AK1129" i="11"/>
  <c r="AL1129" i="11" s="1"/>
  <c r="AK1114" i="11"/>
  <c r="AL1114" i="11" s="1"/>
  <c r="AK1074" i="11"/>
  <c r="AL1074" i="11" s="1"/>
  <c r="AK1106" i="11"/>
  <c r="AL1106" i="11" s="1"/>
  <c r="AK1071" i="11"/>
  <c r="AL1071" i="11" s="1"/>
  <c r="AK1134" i="11"/>
  <c r="AL1134" i="11" s="1"/>
  <c r="AK1158" i="11"/>
  <c r="AL1158" i="11" s="1"/>
  <c r="AK1112" i="11"/>
  <c r="AL1112" i="11" s="1"/>
  <c r="AK1084" i="11"/>
  <c r="AL1084" i="11" s="1"/>
  <c r="AK1086" i="11"/>
  <c r="AL1086" i="11" s="1"/>
  <c r="AK1143" i="11"/>
  <c r="AL1143" i="11" s="1"/>
  <c r="AK1083" i="11"/>
  <c r="AL1083" i="11" s="1"/>
  <c r="AK1088" i="11"/>
  <c r="AL1088" i="11" s="1"/>
  <c r="AK1059" i="11"/>
  <c r="AL1059" i="11" s="1"/>
  <c r="AK1069" i="11"/>
  <c r="AL1069" i="11" s="1"/>
  <c r="AK1128" i="11"/>
  <c r="AL1128" i="11" s="1"/>
  <c r="AK1068" i="11"/>
  <c r="AL1068" i="11" s="1"/>
  <c r="AK1079" i="11"/>
  <c r="AL1079" i="11" s="1"/>
  <c r="AK1078" i="11"/>
  <c r="AL1078" i="11" s="1"/>
  <c r="AK1082" i="11"/>
  <c r="AL1082" i="11" s="1"/>
  <c r="AK1094" i="11"/>
  <c r="AL1094" i="11" s="1"/>
  <c r="AK1075" i="11"/>
  <c r="AL1075" i="11" s="1"/>
  <c r="AK1133" i="11"/>
  <c r="AL1133" i="11" s="1"/>
  <c r="AK1118" i="11"/>
  <c r="AL1118" i="11" s="1"/>
  <c r="AK1140" i="11"/>
  <c r="AL1140" i="11" s="1"/>
  <c r="AK1153" i="11"/>
  <c r="AL1153" i="11" s="1"/>
  <c r="AK1124" i="11"/>
  <c r="AL1124" i="11" s="1"/>
  <c r="AK1095" i="11"/>
  <c r="AL1095" i="11" s="1"/>
  <c r="AK1109" i="11"/>
  <c r="AL1109" i="11" s="1"/>
  <c r="AK1087" i="11"/>
  <c r="AL1087" i="11" s="1"/>
  <c r="AK1119" i="11"/>
  <c r="AL1119" i="11" s="1"/>
  <c r="AK1103" i="11"/>
  <c r="AL1103" i="11" s="1"/>
  <c r="AK1065" i="11"/>
  <c r="AL1065" i="11" s="1"/>
  <c r="AK1101" i="11"/>
  <c r="AL1101" i="11" s="1"/>
  <c r="AK1111" i="11"/>
  <c r="AL1111" i="11" s="1"/>
  <c r="AK1136" i="11"/>
  <c r="AL1136" i="11" s="1"/>
  <c r="AK1137" i="11"/>
  <c r="AL1137" i="11" s="1"/>
  <c r="AK1108" i="11"/>
  <c r="AL1108" i="11" s="1"/>
  <c r="AK1090" i="11"/>
  <c r="AL1090" i="11" s="1"/>
  <c r="AK1077" i="11"/>
  <c r="AL1077" i="11" s="1"/>
  <c r="AK1091" i="11"/>
  <c r="AL1091" i="11" s="1"/>
  <c r="AK1125" i="11"/>
  <c r="AL1125" i="11" s="1"/>
  <c r="AK1130" i="11"/>
  <c r="AL1130" i="11" s="1"/>
  <c r="AK1157" i="11"/>
  <c r="AL1157" i="11" s="1"/>
  <c r="AK1076" i="11"/>
  <c r="AL1076" i="11" s="1"/>
  <c r="AK1150" i="11"/>
  <c r="AL1150" i="11" s="1"/>
  <c r="AK1145" i="11"/>
  <c r="AL1145" i="11" s="1"/>
  <c r="AK1115" i="11"/>
  <c r="AL1115" i="11" s="1"/>
  <c r="AK1151" i="11"/>
  <c r="AL1151" i="11" s="1"/>
  <c r="AK1096" i="11"/>
  <c r="AL1096" i="11" s="1"/>
  <c r="AK1120" i="11"/>
  <c r="AL1120" i="11" s="1"/>
  <c r="AK1089" i="11"/>
  <c r="AL1089" i="11" s="1"/>
  <c r="AK1113" i="11"/>
  <c r="AL1113" i="11" s="1"/>
  <c r="AK1064" i="11"/>
  <c r="AL1064" i="11" s="1"/>
  <c r="AK1072" i="11"/>
  <c r="AL1072" i="11" s="1"/>
  <c r="AK1116" i="11"/>
  <c r="AL1116" i="11" s="1"/>
  <c r="AK1146" i="11"/>
  <c r="AL1146" i="11" s="1"/>
  <c r="AK1142" i="11"/>
  <c r="AL1142" i="11" s="1"/>
  <c r="AK1055" i="11"/>
  <c r="AL1055" i="11" s="1"/>
  <c r="AK1102" i="11"/>
  <c r="AL1102" i="11" s="1"/>
  <c r="AK1057" i="11"/>
  <c r="AL1057" i="11" s="1"/>
  <c r="AK1154" i="11"/>
  <c r="AL1154" i="11" s="1"/>
  <c r="AF2169" i="11"/>
  <c r="AG2169" i="11" s="1"/>
  <c r="AI2466" i="11"/>
  <c r="AJ2466" i="11" s="1"/>
  <c r="AI2462" i="11"/>
  <c r="AJ2462" i="11" s="1"/>
  <c r="AI2450" i="11"/>
  <c r="AJ2450" i="11" s="1"/>
  <c r="AI2503" i="11"/>
  <c r="AJ2503" i="11" s="1"/>
  <c r="AI2427" i="11"/>
  <c r="AJ2427" i="11" s="1"/>
  <c r="AI2436" i="11"/>
  <c r="AJ2436" i="11" s="1"/>
  <c r="AI2458" i="11"/>
  <c r="AJ2458" i="11" s="1"/>
  <c r="AI2467" i="11"/>
  <c r="AJ2467" i="11" s="1"/>
  <c r="AI2497" i="11"/>
  <c r="AJ2497" i="11" s="1"/>
  <c r="AI2461" i="11"/>
  <c r="AJ2461" i="11" s="1"/>
  <c r="AI2469" i="11"/>
  <c r="AJ2469" i="11" s="1"/>
  <c r="AI2420" i="11"/>
  <c r="AJ2420" i="11" s="1"/>
  <c r="AI2509" i="11"/>
  <c r="AJ2509" i="11" s="1"/>
  <c r="AI2519" i="11"/>
  <c r="AJ2519" i="11" s="1"/>
  <c r="AI2496" i="11"/>
  <c r="AJ2496" i="11" s="1"/>
  <c r="AI2422" i="11"/>
  <c r="AJ2422" i="11" s="1"/>
  <c r="AI2515" i="11"/>
  <c r="AJ2515" i="11" s="1"/>
  <c r="AI2432" i="11"/>
  <c r="AJ2432" i="11" s="1"/>
  <c r="AI2421" i="11"/>
  <c r="AJ2421" i="11" s="1"/>
  <c r="AI2516" i="11"/>
  <c r="AJ2516" i="11" s="1"/>
  <c r="AI2493" i="11"/>
  <c r="AJ2493" i="11" s="1"/>
  <c r="AI2491" i="11"/>
  <c r="AJ2491" i="11" s="1"/>
  <c r="AI2494" i="11"/>
  <c r="AJ2494" i="11" s="1"/>
  <c r="AI2480" i="11"/>
  <c r="AJ2480" i="11" s="1"/>
  <c r="AI2439" i="11"/>
  <c r="AJ2439" i="11" s="1"/>
  <c r="AI2478" i="11"/>
  <c r="AJ2478" i="11" s="1"/>
  <c r="AI2482" i="11"/>
  <c r="AJ2482" i="11" s="1"/>
  <c r="AI2505" i="11"/>
  <c r="AJ2505" i="11" s="1"/>
  <c r="AI2507" i="11"/>
  <c r="AJ2507" i="11" s="1"/>
  <c r="AI2431" i="11"/>
  <c r="AJ2431" i="11" s="1"/>
  <c r="AI2430" i="11"/>
  <c r="AJ2430" i="11" s="1"/>
  <c r="AI2434" i="11"/>
  <c r="AJ2434" i="11" s="1"/>
  <c r="AI2476" i="11"/>
  <c r="AJ2476" i="11" s="1"/>
  <c r="AI2485" i="11"/>
  <c r="AJ2485" i="11" s="1"/>
  <c r="AI2424" i="11"/>
  <c r="AJ2424" i="11" s="1"/>
  <c r="AI2477" i="11"/>
  <c r="AJ2477" i="11" s="1"/>
  <c r="AI2511" i="11"/>
  <c r="AJ2511" i="11" s="1"/>
  <c r="AI2426" i="11"/>
  <c r="AJ2426" i="11" s="1"/>
  <c r="AI2504" i="11"/>
  <c r="AJ2504" i="11" s="1"/>
  <c r="AI2524" i="11"/>
  <c r="AJ2524" i="11" s="1"/>
  <c r="AI2472" i="11"/>
  <c r="AJ2472" i="11" s="1"/>
  <c r="AI2518" i="11"/>
  <c r="AJ2518" i="11" s="1"/>
  <c r="AI2517" i="11"/>
  <c r="AJ2517" i="11" s="1"/>
  <c r="AI2453" i="11"/>
  <c r="AJ2453" i="11" s="1"/>
  <c r="AI2438" i="11"/>
  <c r="AJ2438" i="11" s="1"/>
  <c r="AI2489" i="11"/>
  <c r="AJ2489" i="11" s="1"/>
  <c r="AN2489" i="11" s="1"/>
  <c r="AI2440" i="11"/>
  <c r="AJ2440" i="11" s="1"/>
  <c r="AI2512" i="11"/>
  <c r="AJ2512" i="11" s="1"/>
  <c r="AI2479" i="11"/>
  <c r="AJ2479" i="11" s="1"/>
  <c r="AI2454" i="11"/>
  <c r="AJ2454" i="11" s="1"/>
  <c r="AI2423" i="11"/>
  <c r="AJ2423" i="11" s="1"/>
  <c r="AI2451" i="11"/>
  <c r="AJ2451" i="11" s="1"/>
  <c r="AI2514" i="11"/>
  <c r="AJ2514" i="11" s="1"/>
  <c r="AI2435" i="11"/>
  <c r="AJ2435" i="11" s="1"/>
  <c r="AI2502" i="11"/>
  <c r="AJ2502" i="11" s="1"/>
  <c r="AI2452" i="11"/>
  <c r="AJ2452" i="11" s="1"/>
  <c r="AI2446" i="11"/>
  <c r="AJ2446" i="11" s="1"/>
  <c r="AI2488" i="11"/>
  <c r="AJ2488" i="11" s="1"/>
  <c r="AI2484" i="11"/>
  <c r="AJ2484" i="11" s="1"/>
  <c r="AI2498" i="11"/>
  <c r="AJ2498" i="11" s="1"/>
  <c r="AI2471" i="11"/>
  <c r="AJ2471" i="11" s="1"/>
  <c r="AI2470" i="11"/>
  <c r="AJ2470" i="11" s="1"/>
  <c r="AI2483" i="11"/>
  <c r="AJ2483" i="11" s="1"/>
  <c r="AI2425" i="11"/>
  <c r="AJ2425" i="11" s="1"/>
  <c r="AI2442" i="11"/>
  <c r="AJ2442" i="11" s="1"/>
  <c r="AI2463" i="11"/>
  <c r="AJ2463" i="11" s="1"/>
  <c r="AI2455" i="11"/>
  <c r="AJ2455" i="11" s="1"/>
  <c r="AI2444" i="11"/>
  <c r="AJ2444" i="11" s="1"/>
  <c r="AI2457" i="11"/>
  <c r="AJ2457" i="11" s="1"/>
  <c r="AI2506" i="11"/>
  <c r="AJ2506" i="11" s="1"/>
  <c r="AI2473" i="11"/>
  <c r="AJ2473" i="11" s="1"/>
  <c r="AI2441" i="11"/>
  <c r="AJ2441" i="11" s="1"/>
  <c r="AI2468" i="11"/>
  <c r="AJ2468" i="11" s="1"/>
  <c r="AI2437" i="11"/>
  <c r="AJ2437" i="11" s="1"/>
  <c r="AI2449" i="11"/>
  <c r="AJ2449" i="11" s="1"/>
  <c r="AI2499" i="11"/>
  <c r="AJ2499" i="11" s="1"/>
  <c r="AI2487" i="11"/>
  <c r="AJ2487" i="11" s="1"/>
  <c r="AI2465" i="11"/>
  <c r="AJ2465" i="11" s="1"/>
  <c r="AI2490" i="11"/>
  <c r="AJ2490" i="11" s="1"/>
  <c r="AI2501" i="11"/>
  <c r="AJ2501" i="11" s="1"/>
  <c r="AI2486" i="11"/>
  <c r="AJ2486" i="11" s="1"/>
  <c r="AI2445" i="11"/>
  <c r="AJ2445" i="11" s="1"/>
  <c r="AI2513" i="11"/>
  <c r="AJ2513" i="11" s="1"/>
  <c r="AI2443" i="11"/>
  <c r="AJ2443" i="11" s="1"/>
  <c r="AI2522" i="11"/>
  <c r="AJ2522" i="11" s="1"/>
  <c r="AI2510" i="11"/>
  <c r="AJ2510" i="11" s="1"/>
  <c r="AI2492" i="11"/>
  <c r="AJ2492" i="11" s="1"/>
  <c r="AI2520" i="11"/>
  <c r="AJ2520" i="11" s="1"/>
  <c r="AI2508" i="11"/>
  <c r="AJ2508" i="11" s="1"/>
  <c r="AI2428" i="11"/>
  <c r="AJ2428" i="11" s="1"/>
  <c r="AI2523" i="11"/>
  <c r="AJ2523" i="11" s="1"/>
  <c r="AI2475" i="11"/>
  <c r="AJ2475" i="11" s="1"/>
  <c r="AI2447" i="11"/>
  <c r="AJ2447" i="11" s="1"/>
  <c r="AI2459" i="11"/>
  <c r="AJ2459" i="11" s="1"/>
  <c r="AI2521" i="11"/>
  <c r="AJ2521" i="11" s="1"/>
  <c r="AI2481" i="11"/>
  <c r="AJ2481" i="11" s="1"/>
  <c r="AI2433" i="11"/>
  <c r="AJ2433" i="11" s="1"/>
  <c r="AI2448" i="11"/>
  <c r="AJ2448" i="11" s="1"/>
  <c r="AI2429" i="11"/>
  <c r="AJ2429" i="11" s="1"/>
  <c r="P153" i="54"/>
  <c r="Q83" i="54"/>
  <c r="Q87" i="54"/>
  <c r="P133" i="54"/>
  <c r="N252" i="54"/>
  <c r="Q97" i="54"/>
  <c r="N263" i="54"/>
  <c r="AK1159" i="11"/>
  <c r="AL1159" i="11" s="1"/>
  <c r="O252" i="54"/>
  <c r="AK996" i="11"/>
  <c r="AL996" i="11" s="1"/>
  <c r="AK955" i="11"/>
  <c r="AL955" i="11" s="1"/>
  <c r="AK965" i="11"/>
  <c r="AL965" i="11" s="1"/>
  <c r="AK1003" i="11"/>
  <c r="AL1003" i="11" s="1"/>
  <c r="AK968" i="11"/>
  <c r="AL968" i="11" s="1"/>
  <c r="AK999" i="11"/>
  <c r="AL999" i="11" s="1"/>
  <c r="AK1019" i="11"/>
  <c r="AL1019" i="11" s="1"/>
  <c r="AK1007" i="11"/>
  <c r="AL1007" i="11" s="1"/>
  <c r="AK1005" i="11"/>
  <c r="AL1005" i="11" s="1"/>
  <c r="AK959" i="11"/>
  <c r="AL959" i="11" s="1"/>
  <c r="AK991" i="11"/>
  <c r="AL991" i="11" s="1"/>
  <c r="AK980" i="11"/>
  <c r="AL980" i="11" s="1"/>
  <c r="AK954" i="11"/>
  <c r="AL954" i="11" s="1"/>
  <c r="AK1008" i="11"/>
  <c r="AL1008" i="11" s="1"/>
  <c r="AK957" i="11"/>
  <c r="AL957" i="11" s="1"/>
  <c r="AK1021" i="11"/>
  <c r="AL1021" i="11" s="1"/>
  <c r="AK970" i="11"/>
  <c r="AL970" i="11" s="1"/>
  <c r="AK952" i="11"/>
  <c r="AL952" i="11" s="1"/>
  <c r="AK1009" i="11"/>
  <c r="AL1009" i="11" s="1"/>
  <c r="AK1032" i="11"/>
  <c r="AL1032" i="11" s="1"/>
  <c r="AK977" i="11"/>
  <c r="AL977" i="11" s="1"/>
  <c r="AK984" i="11"/>
  <c r="AL984" i="11" s="1"/>
  <c r="AK1001" i="11"/>
  <c r="AL1001" i="11" s="1"/>
  <c r="AK1040" i="11"/>
  <c r="AL1040" i="11" s="1"/>
  <c r="AK1054" i="11"/>
  <c r="AL1054" i="11" s="1"/>
  <c r="AK976" i="11"/>
  <c r="AL976" i="11" s="1"/>
  <c r="AK1022" i="11"/>
  <c r="AL1022" i="11" s="1"/>
  <c r="AK1036" i="11"/>
  <c r="AL1036" i="11" s="1"/>
  <c r="AK969" i="11"/>
  <c r="AL969" i="11" s="1"/>
  <c r="AK1013" i="11"/>
  <c r="AL1013" i="11" s="1"/>
  <c r="AK951" i="11"/>
  <c r="AL951" i="11" s="1"/>
  <c r="AK1042" i="11"/>
  <c r="AL1042" i="11" s="1"/>
  <c r="AK1024" i="11"/>
  <c r="AL1024" i="11" s="1"/>
  <c r="AK982" i="11"/>
  <c r="AL982" i="11" s="1"/>
  <c r="AK988" i="11"/>
  <c r="AL988" i="11" s="1"/>
  <c r="AK1031" i="11"/>
  <c r="AL1031" i="11" s="1"/>
  <c r="AK1029" i="11"/>
  <c r="AL1029" i="11" s="1"/>
  <c r="AK1026" i="11"/>
  <c r="AL1026" i="11" s="1"/>
  <c r="AK1053" i="11"/>
  <c r="AL1053" i="11" s="1"/>
  <c r="AK1047" i="11"/>
  <c r="AL1047" i="11" s="1"/>
  <c r="AK967" i="11"/>
  <c r="AL967" i="11" s="1"/>
  <c r="AK1039" i="11"/>
  <c r="AL1039" i="11" s="1"/>
  <c r="AK1006" i="11"/>
  <c r="AL1006" i="11" s="1"/>
  <c r="AK1025" i="11"/>
  <c r="AL1025" i="11" s="1"/>
  <c r="AK1041" i="11"/>
  <c r="AL1041" i="11" s="1"/>
  <c r="AK997" i="11"/>
  <c r="AL997" i="11" s="1"/>
  <c r="AK1028" i="11"/>
  <c r="AL1028" i="11" s="1"/>
  <c r="AK1037" i="11"/>
  <c r="AL1037" i="11" s="1"/>
  <c r="AK1004" i="11"/>
  <c r="AL1004" i="11" s="1"/>
  <c r="AK1044" i="11"/>
  <c r="AL1044" i="11" s="1"/>
  <c r="AK993" i="11"/>
  <c r="AL993" i="11" s="1"/>
  <c r="AK1010" i="11"/>
  <c r="AL1010" i="11" s="1"/>
  <c r="AK961" i="11"/>
  <c r="AL961" i="11" s="1"/>
  <c r="AK992" i="11"/>
  <c r="AL992" i="11" s="1"/>
  <c r="AK962" i="11"/>
  <c r="AL962" i="11" s="1"/>
  <c r="AK971" i="11"/>
  <c r="AL971" i="11" s="1"/>
  <c r="AK1052" i="11"/>
  <c r="AL1052" i="11" s="1"/>
  <c r="AK974" i="11"/>
  <c r="AL974" i="11" s="1"/>
  <c r="AK964" i="11"/>
  <c r="AL964" i="11" s="1"/>
  <c r="AK987" i="11"/>
  <c r="AL987" i="11" s="1"/>
  <c r="AK989" i="11"/>
  <c r="AL989" i="11" s="1"/>
  <c r="AK1045" i="11"/>
  <c r="AL1045" i="11" s="1"/>
  <c r="AK1000" i="11"/>
  <c r="AL1000" i="11" s="1"/>
  <c r="AK994" i="11"/>
  <c r="AL994" i="11" s="1"/>
  <c r="AK990" i="11"/>
  <c r="AL990" i="11" s="1"/>
  <c r="AK1023" i="11"/>
  <c r="AL1023" i="11" s="1"/>
  <c r="AK1043" i="11"/>
  <c r="AL1043" i="11" s="1"/>
  <c r="AK1011" i="11"/>
  <c r="AL1011" i="11" s="1"/>
  <c r="AK1034" i="11"/>
  <c r="AL1034" i="11" s="1"/>
  <c r="AK960" i="11"/>
  <c r="AL960" i="11" s="1"/>
  <c r="AK985" i="11"/>
  <c r="AL985" i="11" s="1"/>
  <c r="AK1014" i="11"/>
  <c r="AL1014" i="11" s="1"/>
  <c r="AK1038" i="11"/>
  <c r="AL1038" i="11" s="1"/>
  <c r="AK1046" i="11"/>
  <c r="AL1046" i="11" s="1"/>
  <c r="AK1049" i="11"/>
  <c r="AL1049" i="11" s="1"/>
  <c r="AK1048" i="11"/>
  <c r="AL1048" i="11" s="1"/>
  <c r="AK979" i="11"/>
  <c r="AL979" i="11" s="1"/>
  <c r="AK1012" i="11"/>
  <c r="AL1012" i="11" s="1"/>
  <c r="AK950" i="11"/>
  <c r="AL950" i="11" s="1"/>
  <c r="AK972" i="11"/>
  <c r="AL972" i="11" s="1"/>
  <c r="AK983" i="11"/>
  <c r="AL983" i="11" s="1"/>
  <c r="AK958" i="11"/>
  <c r="AL958" i="11" s="1"/>
  <c r="AO958" i="11" s="1"/>
  <c r="AK956" i="11"/>
  <c r="AL956" i="11" s="1"/>
  <c r="AK1051" i="11"/>
  <c r="AL1051" i="11" s="1"/>
  <c r="AK973" i="11"/>
  <c r="AL973" i="11" s="1"/>
  <c r="AK1020" i="11"/>
  <c r="AL1020" i="11" s="1"/>
  <c r="AK1002" i="11"/>
  <c r="AL1002" i="11" s="1"/>
  <c r="AK975" i="11"/>
  <c r="AL975" i="11" s="1"/>
  <c r="AK981" i="11"/>
  <c r="AL981" i="11" s="1"/>
  <c r="AK1015" i="11"/>
  <c r="AL1015" i="11" s="1"/>
  <c r="AK995" i="11"/>
  <c r="AL995" i="11" s="1"/>
  <c r="AK1030" i="11"/>
  <c r="AL1030" i="11" s="1"/>
  <c r="AK1018" i="11"/>
  <c r="AL1018" i="11" s="1"/>
  <c r="AK1016" i="11"/>
  <c r="AL1016" i="11" s="1"/>
  <c r="AK1050" i="11"/>
  <c r="AL1050" i="11" s="1"/>
  <c r="AK966" i="11"/>
  <c r="AL966" i="11" s="1"/>
  <c r="AD774" i="11"/>
  <c r="AE774" i="11" s="1"/>
  <c r="AK2937" i="11"/>
  <c r="AL2937" i="11" s="1"/>
  <c r="AK2938" i="11"/>
  <c r="AL2938" i="11" s="1"/>
  <c r="AK2850" i="11"/>
  <c r="AL2850" i="11" s="1"/>
  <c r="AK2863" i="11"/>
  <c r="AL2863" i="11" s="1"/>
  <c r="AK2872" i="11"/>
  <c r="AL2872" i="11" s="1"/>
  <c r="AK2885" i="11"/>
  <c r="AL2885" i="11" s="1"/>
  <c r="AK2917" i="11"/>
  <c r="AL2917" i="11" s="1"/>
  <c r="AK2857" i="11"/>
  <c r="AL2857" i="11" s="1"/>
  <c r="AK2887" i="11"/>
  <c r="AL2887" i="11" s="1"/>
  <c r="AO2887" i="11" s="1"/>
  <c r="AK2902" i="11"/>
  <c r="AL2902" i="11" s="1"/>
  <c r="AK2840" i="11"/>
  <c r="AL2840" i="11" s="1"/>
  <c r="AK2927" i="11"/>
  <c r="AL2927" i="11" s="1"/>
  <c r="AK2859" i="11"/>
  <c r="AL2859" i="11" s="1"/>
  <c r="AK2915" i="11"/>
  <c r="AL2915" i="11" s="1"/>
  <c r="AK2849" i="11"/>
  <c r="AL2849" i="11" s="1"/>
  <c r="AK2929" i="11"/>
  <c r="AL2929" i="11" s="1"/>
  <c r="AK2901" i="11"/>
  <c r="AL2901" i="11" s="1"/>
  <c r="AK2918" i="11"/>
  <c r="AL2918" i="11" s="1"/>
  <c r="AK2900" i="11"/>
  <c r="AL2900" i="11" s="1"/>
  <c r="AK2848" i="11"/>
  <c r="AL2848" i="11" s="1"/>
  <c r="AK2888" i="11"/>
  <c r="AL2888" i="11" s="1"/>
  <c r="AK2933" i="11"/>
  <c r="AL2933" i="11" s="1"/>
  <c r="AK2910" i="11"/>
  <c r="AL2910" i="11" s="1"/>
  <c r="AK2847" i="11"/>
  <c r="AL2847" i="11" s="1"/>
  <c r="AK2889" i="11"/>
  <c r="AL2889" i="11" s="1"/>
  <c r="AK2936" i="11"/>
  <c r="AL2936" i="11" s="1"/>
  <c r="AK2856" i="11"/>
  <c r="AL2856" i="11" s="1"/>
  <c r="AK2881" i="11"/>
  <c r="AL2881" i="11" s="1"/>
  <c r="AK2899" i="11"/>
  <c r="AL2899" i="11" s="1"/>
  <c r="AK2886" i="11"/>
  <c r="AL2886" i="11" s="1"/>
  <c r="AK2944" i="11"/>
  <c r="AL2944" i="11" s="1"/>
  <c r="AK2841" i="11"/>
  <c r="AL2841" i="11" s="1"/>
  <c r="AK2932" i="11"/>
  <c r="AL2932" i="11" s="1"/>
  <c r="AK2878" i="11"/>
  <c r="AL2878" i="11" s="1"/>
  <c r="AK2892" i="11"/>
  <c r="AL2892" i="11" s="1"/>
  <c r="AK2909" i="11"/>
  <c r="AL2909" i="11" s="1"/>
  <c r="AK2883" i="11"/>
  <c r="AL2883" i="11" s="1"/>
  <c r="AK2912" i="11"/>
  <c r="AL2912" i="11" s="1"/>
  <c r="AK2913" i="11"/>
  <c r="AL2913" i="11" s="1"/>
  <c r="AK2935" i="11"/>
  <c r="AL2935" i="11" s="1"/>
  <c r="AK2922" i="11"/>
  <c r="AL2922" i="11" s="1"/>
  <c r="AK2891" i="11"/>
  <c r="AL2891" i="11" s="1"/>
  <c r="AK2880" i="11"/>
  <c r="AL2880" i="11" s="1"/>
  <c r="AK2843" i="11"/>
  <c r="AL2843" i="11" s="1"/>
  <c r="AK2877" i="11"/>
  <c r="AL2877" i="11" s="1"/>
  <c r="AK2867" i="11"/>
  <c r="AL2867" i="11" s="1"/>
  <c r="AK2905" i="11"/>
  <c r="AL2905" i="11" s="1"/>
  <c r="AK2906" i="11"/>
  <c r="AL2906" i="11" s="1"/>
  <c r="AK2861" i="11"/>
  <c r="AL2861" i="11" s="1"/>
  <c r="AK2942" i="11"/>
  <c r="AL2942" i="11" s="1"/>
  <c r="AK2926" i="11"/>
  <c r="AL2926" i="11" s="1"/>
  <c r="AK2842" i="11"/>
  <c r="AL2842" i="11" s="1"/>
  <c r="AK2898" i="11"/>
  <c r="AL2898" i="11" s="1"/>
  <c r="AK2894" i="11"/>
  <c r="AL2894" i="11" s="1"/>
  <c r="AK2925" i="11"/>
  <c r="AL2925" i="11" s="1"/>
  <c r="AK2864" i="11"/>
  <c r="AL2864" i="11" s="1"/>
  <c r="AK2844" i="11"/>
  <c r="AL2844" i="11" s="1"/>
  <c r="AK2895" i="11"/>
  <c r="AL2895" i="11" s="1"/>
  <c r="AK2870" i="11"/>
  <c r="AL2870" i="11" s="1"/>
  <c r="AK2934" i="11"/>
  <c r="AL2934" i="11" s="1"/>
  <c r="AK2924" i="11"/>
  <c r="AL2924" i="11" s="1"/>
  <c r="AK2908" i="11"/>
  <c r="AL2908" i="11" s="1"/>
  <c r="AK2921" i="11"/>
  <c r="AL2921" i="11" s="1"/>
  <c r="AK2862" i="11"/>
  <c r="AL2862" i="11" s="1"/>
  <c r="AK2923" i="11"/>
  <c r="AL2923" i="11" s="1"/>
  <c r="AK2911" i="11"/>
  <c r="AL2911" i="11" s="1"/>
  <c r="AK2920" i="11"/>
  <c r="AL2920" i="11" s="1"/>
  <c r="AK2919" i="11"/>
  <c r="AL2919" i="11" s="1"/>
  <c r="AK2853" i="11"/>
  <c r="AL2853" i="11" s="1"/>
  <c r="AK2874" i="11"/>
  <c r="AL2874" i="11" s="1"/>
  <c r="AK2930" i="11"/>
  <c r="AL2930" i="11" s="1"/>
  <c r="AK2871" i="11"/>
  <c r="AL2871" i="11" s="1"/>
  <c r="AK2879" i="11"/>
  <c r="AL2879" i="11" s="1"/>
  <c r="AK2852" i="11"/>
  <c r="AL2852" i="11" s="1"/>
  <c r="AK2875" i="11"/>
  <c r="AL2875" i="11" s="1"/>
  <c r="AK2876" i="11"/>
  <c r="AL2876" i="11" s="1"/>
  <c r="AK2890" i="11"/>
  <c r="AL2890" i="11" s="1"/>
  <c r="AK2903" i="11"/>
  <c r="AL2903" i="11" s="1"/>
  <c r="AK2896" i="11"/>
  <c r="AL2896" i="11" s="1"/>
  <c r="AK2845" i="11"/>
  <c r="AL2845" i="11" s="1"/>
  <c r="AK2928" i="11"/>
  <c r="AL2928" i="11" s="1"/>
  <c r="AK2941" i="11"/>
  <c r="AL2941" i="11" s="1"/>
  <c r="AK2858" i="11"/>
  <c r="AL2858" i="11" s="1"/>
  <c r="AK2931" i="11"/>
  <c r="AL2931" i="11" s="1"/>
  <c r="AK2940" i="11"/>
  <c r="AL2940" i="11" s="1"/>
  <c r="AK2939" i="11"/>
  <c r="AL2939" i="11" s="1"/>
  <c r="AK2914" i="11"/>
  <c r="AL2914" i="11" s="1"/>
  <c r="AK2860" i="11"/>
  <c r="AL2860" i="11" s="1"/>
  <c r="AK2851" i="11"/>
  <c r="AL2851" i="11" s="1"/>
  <c r="AK2865" i="11"/>
  <c r="AL2865" i="11" s="1"/>
  <c r="AK2869" i="11"/>
  <c r="AL2869" i="11" s="1"/>
  <c r="AK2904" i="11"/>
  <c r="AL2904" i="11" s="1"/>
  <c r="AK2868" i="11"/>
  <c r="AL2868" i="11" s="1"/>
  <c r="AK2855" i="11"/>
  <c r="AL2855" i="11" s="1"/>
  <c r="AK2884" i="11"/>
  <c r="AL2884" i="11" s="1"/>
  <c r="AK2873" i="11"/>
  <c r="AL2873" i="11" s="1"/>
  <c r="Q94" i="54"/>
  <c r="AI2997" i="11"/>
  <c r="AJ2997" i="11" s="1"/>
  <c r="AI830" i="11"/>
  <c r="AJ830" i="11" s="1"/>
  <c r="Q153" i="54"/>
  <c r="AD2664" i="11"/>
  <c r="AE2664" i="11" s="1"/>
  <c r="N260" i="54"/>
  <c r="O265" i="54"/>
  <c r="P108" i="54"/>
  <c r="AD1121" i="11"/>
  <c r="AE1121" i="11" s="1"/>
  <c r="Q154" i="54"/>
  <c r="AD522" i="11"/>
  <c r="AE522" i="11" s="1"/>
  <c r="AD524" i="11"/>
  <c r="AE524" i="11" s="1"/>
  <c r="AD473" i="11"/>
  <c r="AE473" i="11" s="1"/>
  <c r="AD501" i="11"/>
  <c r="AE501" i="11" s="1"/>
  <c r="AD529" i="11"/>
  <c r="AE529" i="11" s="1"/>
  <c r="AD478" i="11"/>
  <c r="AE478" i="11" s="1"/>
  <c r="AD504" i="11"/>
  <c r="AE504" i="11" s="1"/>
  <c r="AD472" i="11"/>
  <c r="AE472" i="11" s="1"/>
  <c r="AD445" i="11"/>
  <c r="AE445" i="11" s="1"/>
  <c r="AD503" i="11"/>
  <c r="AE503" i="11" s="1"/>
  <c r="AD463" i="11"/>
  <c r="AE463" i="11" s="1"/>
  <c r="AD487" i="11"/>
  <c r="AE487" i="11" s="1"/>
  <c r="AD479" i="11"/>
  <c r="AE479" i="11" s="1"/>
  <c r="AD434" i="11"/>
  <c r="AE434" i="11" s="1"/>
  <c r="AD480" i="11"/>
  <c r="AE480" i="11" s="1"/>
  <c r="AD507" i="11"/>
  <c r="AE507" i="11" s="1"/>
  <c r="AD497" i="11"/>
  <c r="AE497" i="11" s="1"/>
  <c r="AD471" i="11"/>
  <c r="AE471" i="11" s="1"/>
  <c r="AD438" i="11"/>
  <c r="AE438" i="11" s="1"/>
  <c r="AD432" i="11"/>
  <c r="AE432" i="11" s="1"/>
  <c r="AD514" i="11"/>
  <c r="AE514" i="11" s="1"/>
  <c r="AD470" i="11"/>
  <c r="AE470" i="11" s="1"/>
  <c r="AD484" i="11"/>
  <c r="AE484" i="11" s="1"/>
  <c r="AD500" i="11"/>
  <c r="AE500" i="11" s="1"/>
  <c r="AD460" i="11"/>
  <c r="AE460" i="11" s="1"/>
  <c r="AD458" i="11"/>
  <c r="AE458" i="11" s="1"/>
  <c r="AD490" i="11"/>
  <c r="AE490" i="11" s="1"/>
  <c r="AD467" i="11"/>
  <c r="AE467" i="11" s="1"/>
  <c r="AD455" i="11"/>
  <c r="AE455" i="11" s="1"/>
  <c r="AD476" i="11"/>
  <c r="AE476" i="11" s="1"/>
  <c r="AD436" i="11"/>
  <c r="AE436" i="11" s="1"/>
  <c r="AD440" i="11"/>
  <c r="AE440" i="11" s="1"/>
  <c r="AD441" i="11"/>
  <c r="AE441" i="11" s="1"/>
  <c r="AD431" i="11"/>
  <c r="AE431" i="11" s="1"/>
  <c r="AD449" i="11"/>
  <c r="AE449" i="11" s="1"/>
  <c r="AD464" i="11"/>
  <c r="AE464" i="11" s="1"/>
  <c r="AD491" i="11"/>
  <c r="AE491" i="11" s="1"/>
  <c r="AD499" i="11"/>
  <c r="AE499" i="11" s="1"/>
  <c r="AD509" i="11"/>
  <c r="AE509" i="11" s="1"/>
  <c r="AD520" i="11"/>
  <c r="AE520" i="11" s="1"/>
  <c r="AD526" i="11"/>
  <c r="AE526" i="11" s="1"/>
  <c r="AD429" i="11"/>
  <c r="AE429" i="11" s="1"/>
  <c r="AD456" i="11"/>
  <c r="AE456" i="11" s="1"/>
  <c r="AD482" i="11"/>
  <c r="AE482" i="11" s="1"/>
  <c r="AD512" i="11"/>
  <c r="AE512" i="11" s="1"/>
  <c r="AD498" i="11"/>
  <c r="AE498" i="11" s="1"/>
  <c r="AD469" i="11"/>
  <c r="AE469" i="11" s="1"/>
  <c r="AD468" i="11"/>
  <c r="AE468" i="11" s="1"/>
  <c r="AD443" i="11"/>
  <c r="AE443" i="11" s="1"/>
  <c r="AD453" i="11"/>
  <c r="AE453" i="11" s="1"/>
  <c r="AD475" i="11"/>
  <c r="AE475" i="11" s="1"/>
  <c r="AD474" i="11"/>
  <c r="AE474" i="11" s="1"/>
  <c r="AD502" i="11"/>
  <c r="AE502" i="11" s="1"/>
  <c r="AD451" i="11"/>
  <c r="AE451" i="11" s="1"/>
  <c r="AD433" i="11"/>
  <c r="AE433" i="11" s="1"/>
  <c r="AD425" i="11"/>
  <c r="AE425" i="11" s="1"/>
  <c r="AD519" i="11"/>
  <c r="AE519" i="11" s="1"/>
  <c r="AD510" i="11"/>
  <c r="AE510" i="11" s="1"/>
  <c r="AD527" i="11"/>
  <c r="AE527" i="11" s="1"/>
  <c r="AD511" i="11"/>
  <c r="AE511" i="11" s="1"/>
  <c r="AD462" i="11"/>
  <c r="AE462" i="11" s="1"/>
  <c r="AD523" i="11"/>
  <c r="AE523" i="11" s="1"/>
  <c r="AD516" i="11"/>
  <c r="AE516" i="11" s="1"/>
  <c r="AD494" i="11"/>
  <c r="AE494" i="11" s="1"/>
  <c r="AD442" i="11"/>
  <c r="AE442" i="11" s="1"/>
  <c r="AD528" i="11"/>
  <c r="AE528" i="11" s="1"/>
  <c r="AD489" i="11"/>
  <c r="AE489" i="11" s="1"/>
  <c r="AD496" i="11"/>
  <c r="AE496" i="11" s="1"/>
  <c r="AD450" i="11"/>
  <c r="AE450" i="11" s="1"/>
  <c r="AD493" i="11"/>
  <c r="AE493" i="11" s="1"/>
  <c r="AD461" i="11"/>
  <c r="AE461" i="11" s="1"/>
  <c r="AD505" i="11"/>
  <c r="AE505" i="11" s="1"/>
  <c r="AD508" i="11"/>
  <c r="AE508" i="11" s="1"/>
  <c r="AD518" i="11"/>
  <c r="AE518" i="11" s="1"/>
  <c r="AD466" i="11"/>
  <c r="AE466" i="11" s="1"/>
  <c r="AD481" i="11"/>
  <c r="AE481" i="11" s="1"/>
  <c r="AD488" i="11"/>
  <c r="AE488" i="11" s="1"/>
  <c r="AD492" i="11"/>
  <c r="AE492" i="11" s="1"/>
  <c r="N190" i="54"/>
  <c r="AD428" i="11"/>
  <c r="AE428" i="11" s="1"/>
  <c r="AD452" i="11"/>
  <c r="AE452" i="11" s="1"/>
  <c r="AD495" i="11"/>
  <c r="AE495" i="11" s="1"/>
  <c r="AD454" i="11"/>
  <c r="AE454" i="11" s="1"/>
  <c r="AD446" i="11"/>
  <c r="AE446" i="11" s="1"/>
  <c r="AD426" i="11"/>
  <c r="AE426" i="11" s="1"/>
  <c r="AD521" i="11"/>
  <c r="AE521" i="11" s="1"/>
  <c r="AD457" i="11"/>
  <c r="AE457" i="11" s="1"/>
  <c r="AD435" i="11"/>
  <c r="AE435" i="11" s="1"/>
  <c r="AD515" i="11"/>
  <c r="AE515" i="11" s="1"/>
  <c r="AD427" i="11"/>
  <c r="AE427" i="11" s="1"/>
  <c r="AD448" i="11"/>
  <c r="AE448" i="11" s="1"/>
  <c r="AD239" i="11"/>
  <c r="AE239" i="11" s="1"/>
  <c r="AF2794" i="11"/>
  <c r="AG2794" i="11" s="1"/>
  <c r="AD3860" i="11"/>
  <c r="AE3860" i="11" s="1"/>
  <c r="AI2249" i="11"/>
  <c r="AJ2249" i="11" s="1"/>
  <c r="AI2872" i="11"/>
  <c r="AJ2872" i="11" s="1"/>
  <c r="AK1676" i="11"/>
  <c r="AL1676" i="11" s="1"/>
  <c r="AI777" i="11"/>
  <c r="AJ777" i="11" s="1"/>
  <c r="AF2295" i="11"/>
  <c r="AG2295" i="11" s="1"/>
  <c r="AK2600" i="11"/>
  <c r="AL2600" i="11" s="1"/>
  <c r="Q161" i="54"/>
  <c r="AD46" i="11"/>
  <c r="AE46" i="11" s="1"/>
  <c r="AI2206" i="11"/>
  <c r="AJ2206" i="11" s="1"/>
  <c r="N277" i="54"/>
  <c r="AF1236" i="11"/>
  <c r="AG1236" i="11" s="1"/>
  <c r="AO1236" i="11" s="1"/>
  <c r="AD1440" i="11"/>
  <c r="AE1440" i="11" s="1"/>
  <c r="AD1421" i="11"/>
  <c r="AE1421" i="11" s="1"/>
  <c r="AD1395" i="11"/>
  <c r="AE1395" i="11" s="1"/>
  <c r="AD1411" i="11"/>
  <c r="AE1411" i="11" s="1"/>
  <c r="AD1396" i="11"/>
  <c r="AE1396" i="11" s="1"/>
  <c r="AD1374" i="11"/>
  <c r="AE1374" i="11" s="1"/>
  <c r="AD1456" i="11"/>
  <c r="AE1456" i="11" s="1"/>
  <c r="AD1420" i="11"/>
  <c r="AE1420" i="11" s="1"/>
  <c r="AD1417" i="11"/>
  <c r="AE1417" i="11" s="1"/>
  <c r="AD1451" i="11"/>
  <c r="AE1451" i="11" s="1"/>
  <c r="AD1462" i="11"/>
  <c r="AE1462" i="11" s="1"/>
  <c r="AD1424" i="11"/>
  <c r="AE1424" i="11" s="1"/>
  <c r="AD1442" i="11"/>
  <c r="AE1442" i="11" s="1"/>
  <c r="AD1414" i="11"/>
  <c r="AE1414" i="11" s="1"/>
  <c r="AD1474" i="11"/>
  <c r="AE1474" i="11" s="1"/>
  <c r="AD1452" i="11"/>
  <c r="AE1452" i="11" s="1"/>
  <c r="AD1379" i="11"/>
  <c r="AE1379" i="11" s="1"/>
  <c r="AD1464" i="11"/>
  <c r="AE1464" i="11" s="1"/>
  <c r="AD1459" i="11"/>
  <c r="AE1459" i="11" s="1"/>
  <c r="AD1455" i="11"/>
  <c r="AE1455" i="11" s="1"/>
  <c r="AD1429" i="11"/>
  <c r="AE1429" i="11" s="1"/>
  <c r="AD1382" i="11"/>
  <c r="AE1382" i="11" s="1"/>
  <c r="AD1423" i="11"/>
  <c r="AE1423" i="11" s="1"/>
  <c r="AD1398" i="11"/>
  <c r="AE1398" i="11" s="1"/>
  <c r="AD1439" i="11"/>
  <c r="AE1439" i="11" s="1"/>
  <c r="AD1433" i="11"/>
  <c r="AE1433" i="11" s="1"/>
  <c r="AD1449" i="11"/>
  <c r="AE1449" i="11" s="1"/>
  <c r="AD1385" i="11"/>
  <c r="AE1385" i="11" s="1"/>
  <c r="AD1400" i="11"/>
  <c r="AE1400" i="11" s="1"/>
  <c r="AD1416" i="11"/>
  <c r="AE1416" i="11" s="1"/>
  <c r="AD1470" i="11"/>
  <c r="AE1470" i="11" s="1"/>
  <c r="AD1472" i="11"/>
  <c r="AE1472" i="11" s="1"/>
  <c r="AD1466" i="11"/>
  <c r="AE1466" i="11" s="1"/>
  <c r="AD1438" i="11"/>
  <c r="AE1438" i="11" s="1"/>
  <c r="AD1378" i="11"/>
  <c r="AE1378" i="11" s="1"/>
  <c r="AD1427" i="11"/>
  <c r="AE1427" i="11" s="1"/>
  <c r="AD1436" i="11"/>
  <c r="AE1436" i="11" s="1"/>
  <c r="AD1405" i="11"/>
  <c r="AE1405" i="11" s="1"/>
  <c r="AD1380" i="11"/>
  <c r="AE1380" i="11" s="1"/>
  <c r="AD1444" i="11"/>
  <c r="AE1444" i="11" s="1"/>
  <c r="AD1447" i="11"/>
  <c r="AE1447" i="11" s="1"/>
  <c r="AD1386" i="11"/>
  <c r="AE1386" i="11" s="1"/>
  <c r="AD1450" i="11"/>
  <c r="AE1450" i="11" s="1"/>
  <c r="AD1437" i="11"/>
  <c r="AE1437" i="11" s="1"/>
  <c r="AD1461" i="11"/>
  <c r="AE1461" i="11" s="1"/>
  <c r="AD1388" i="11"/>
  <c r="AE1388" i="11" s="1"/>
  <c r="AD1471" i="11"/>
  <c r="AE1471" i="11" s="1"/>
  <c r="AD1419" i="11"/>
  <c r="AE1419" i="11" s="1"/>
  <c r="AD1394" i="11"/>
  <c r="AE1394" i="11" s="1"/>
  <c r="AD1469" i="11"/>
  <c r="AE1469" i="11" s="1"/>
  <c r="AD1390" i="11"/>
  <c r="AE1390" i="11" s="1"/>
  <c r="AD1408" i="11"/>
  <c r="AE1408" i="11" s="1"/>
  <c r="AD1460" i="11"/>
  <c r="AE1460" i="11" s="1"/>
  <c r="AD1473" i="11"/>
  <c r="AE1473" i="11" s="1"/>
  <c r="AD1397" i="11"/>
  <c r="AE1397" i="11" s="1"/>
  <c r="AD1410" i="11"/>
  <c r="AE1410" i="11" s="1"/>
  <c r="AD1413" i="11"/>
  <c r="AE1413" i="11" s="1"/>
  <c r="AD1422" i="11"/>
  <c r="AE1422" i="11" s="1"/>
  <c r="AD1387" i="11"/>
  <c r="AE1387" i="11" s="1"/>
  <c r="AD1430" i="11"/>
  <c r="AE1430" i="11" s="1"/>
  <c r="AD1401" i="11"/>
  <c r="AE1401" i="11" s="1"/>
  <c r="AD1445" i="11"/>
  <c r="AE1445" i="11" s="1"/>
  <c r="AD1468" i="11"/>
  <c r="AE1468" i="11" s="1"/>
  <c r="AN1468" i="11" s="1"/>
  <c r="AD1446" i="11"/>
  <c r="AE1446" i="11" s="1"/>
  <c r="AD1428" i="11"/>
  <c r="AE1428" i="11" s="1"/>
  <c r="AD1426" i="11"/>
  <c r="AE1426" i="11" s="1"/>
  <c r="AD1425" i="11"/>
  <c r="AE1425" i="11" s="1"/>
  <c r="AD1389" i="11"/>
  <c r="AE1389" i="11" s="1"/>
  <c r="AD1432" i="11"/>
  <c r="AE1432" i="11" s="1"/>
  <c r="AD1372" i="11"/>
  <c r="AE1372" i="11" s="1"/>
  <c r="AD1418" i="11"/>
  <c r="AE1418" i="11" s="1"/>
  <c r="AD1467" i="11"/>
  <c r="AE1467" i="11" s="1"/>
  <c r="AD1381" i="11"/>
  <c r="AE1381" i="11" s="1"/>
  <c r="AD1465" i="11"/>
  <c r="AE1465" i="11" s="1"/>
  <c r="AD1404" i="11"/>
  <c r="AE1404" i="11" s="1"/>
  <c r="AD1373" i="11"/>
  <c r="AE1373" i="11" s="1"/>
  <c r="AD1406" i="11"/>
  <c r="AE1406" i="11" s="1"/>
  <c r="AD1454" i="11"/>
  <c r="AE1454" i="11" s="1"/>
  <c r="AD1383" i="11"/>
  <c r="AE1383" i="11" s="1"/>
  <c r="AD1403" i="11"/>
  <c r="AE1403" i="11" s="1"/>
  <c r="AD1391" i="11"/>
  <c r="AE1391" i="11" s="1"/>
  <c r="AD1409" i="11"/>
  <c r="AE1409" i="11" s="1"/>
  <c r="AD1431" i="11"/>
  <c r="AE1431" i="11" s="1"/>
  <c r="AD1448" i="11"/>
  <c r="AE1448" i="11" s="1"/>
  <c r="AD1463" i="11"/>
  <c r="AE1463" i="11" s="1"/>
  <c r="AD1443" i="11"/>
  <c r="AE1443" i="11" s="1"/>
  <c r="AD1415" i="11"/>
  <c r="AE1415" i="11" s="1"/>
  <c r="AD1392" i="11"/>
  <c r="AE1392" i="11" s="1"/>
  <c r="AD1434" i="11"/>
  <c r="AE1434" i="11" s="1"/>
  <c r="AD1393" i="11"/>
  <c r="AE1393" i="11" s="1"/>
  <c r="AD1375" i="11"/>
  <c r="AE1375" i="11" s="1"/>
  <c r="AD1376" i="11"/>
  <c r="AE1376" i="11" s="1"/>
  <c r="AD1402" i="11"/>
  <c r="AE1402" i="11" s="1"/>
  <c r="AD1441" i="11"/>
  <c r="AE1441" i="11" s="1"/>
  <c r="N174" i="54"/>
  <c r="AD1458" i="11"/>
  <c r="AE1458" i="11" s="1"/>
  <c r="AD1371" i="11"/>
  <c r="AE1371" i="11" s="1"/>
  <c r="AD1377" i="11"/>
  <c r="AE1377" i="11" s="1"/>
  <c r="AD1457" i="11"/>
  <c r="AE1457" i="11" s="1"/>
  <c r="AF1837" i="11"/>
  <c r="AG1837" i="11" s="1"/>
  <c r="AK2786" i="11"/>
  <c r="AL2786" i="11" s="1"/>
  <c r="AI258" i="11"/>
  <c r="AJ258" i="11" s="1"/>
  <c r="AK507" i="11"/>
  <c r="AL507" i="11" s="1"/>
  <c r="O260" i="54"/>
  <c r="AF1588" i="11"/>
  <c r="AG1588" i="11" s="1"/>
  <c r="AD2481" i="11"/>
  <c r="AE2481" i="11" s="1"/>
  <c r="AI1613" i="11"/>
  <c r="AJ1613" i="11" s="1"/>
  <c r="AI490" i="11"/>
  <c r="AJ490" i="11" s="1"/>
  <c r="Q160" i="54"/>
  <c r="AD3759" i="11"/>
  <c r="AE3759" i="11" s="1"/>
  <c r="AF3526" i="11"/>
  <c r="AG3526" i="11" s="1"/>
  <c r="AF40" i="11"/>
  <c r="AG40" i="11" s="1"/>
  <c r="AF3821" i="11"/>
  <c r="AG3821" i="11" s="1"/>
  <c r="AI1560" i="11"/>
  <c r="AJ1560" i="11" s="1"/>
  <c r="AI850" i="11"/>
  <c r="AJ850" i="11" s="1"/>
  <c r="AI847" i="11"/>
  <c r="AJ847" i="11" s="1"/>
  <c r="AI918" i="11"/>
  <c r="AJ918" i="11" s="1"/>
  <c r="AI900" i="11"/>
  <c r="AJ900" i="11" s="1"/>
  <c r="AI845" i="11"/>
  <c r="AJ845" i="11" s="1"/>
  <c r="AI863" i="11"/>
  <c r="AJ863" i="11" s="1"/>
  <c r="AI870" i="11"/>
  <c r="AJ870" i="11" s="1"/>
  <c r="AI856" i="11"/>
  <c r="AJ856" i="11" s="1"/>
  <c r="AI943" i="11"/>
  <c r="AJ943" i="11" s="1"/>
  <c r="AI935" i="11"/>
  <c r="AJ935" i="11" s="1"/>
  <c r="AI892" i="11"/>
  <c r="AJ892" i="11" s="1"/>
  <c r="AI915" i="11"/>
  <c r="AJ915" i="11" s="1"/>
  <c r="AI937" i="11"/>
  <c r="AJ937" i="11" s="1"/>
  <c r="AI909" i="11"/>
  <c r="AJ909" i="11" s="1"/>
  <c r="AI861" i="11"/>
  <c r="AJ861" i="11" s="1"/>
  <c r="AI888" i="11"/>
  <c r="AJ888" i="11" s="1"/>
  <c r="AI857" i="11"/>
  <c r="AJ857" i="11" s="1"/>
  <c r="AI906" i="11"/>
  <c r="AJ906" i="11" s="1"/>
  <c r="AI929" i="11"/>
  <c r="AJ929" i="11" s="1"/>
  <c r="AI925" i="11"/>
  <c r="AJ925" i="11" s="1"/>
  <c r="AI904" i="11"/>
  <c r="AJ904" i="11" s="1"/>
  <c r="AI933" i="11"/>
  <c r="AJ933" i="11" s="1"/>
  <c r="AI881" i="11"/>
  <c r="AJ881" i="11" s="1"/>
  <c r="AI872" i="11"/>
  <c r="AJ872" i="11" s="1"/>
  <c r="AI938" i="11"/>
  <c r="AJ938" i="11" s="1"/>
  <c r="AI927" i="11"/>
  <c r="AJ927" i="11" s="1"/>
  <c r="AI913" i="11"/>
  <c r="AJ913" i="11" s="1"/>
  <c r="AI899" i="11"/>
  <c r="AJ899" i="11" s="1"/>
  <c r="AI908" i="11"/>
  <c r="AJ908" i="11" s="1"/>
  <c r="AI919" i="11"/>
  <c r="AJ919" i="11" s="1"/>
  <c r="AI871" i="11"/>
  <c r="AJ871" i="11" s="1"/>
  <c r="AI852" i="11"/>
  <c r="AJ852" i="11" s="1"/>
  <c r="AI875" i="11"/>
  <c r="AJ875" i="11" s="1"/>
  <c r="AI949" i="11"/>
  <c r="AJ949" i="11" s="1"/>
  <c r="AI849" i="11"/>
  <c r="AJ849" i="11" s="1"/>
  <c r="AI924" i="11"/>
  <c r="AJ924" i="11" s="1"/>
  <c r="AI891" i="11"/>
  <c r="AJ891" i="11" s="1"/>
  <c r="AI878" i="11"/>
  <c r="AJ878" i="11" s="1"/>
  <c r="AI897" i="11"/>
  <c r="AJ897" i="11" s="1"/>
  <c r="AI896" i="11"/>
  <c r="AJ896" i="11" s="1"/>
  <c r="AI879" i="11"/>
  <c r="AJ879" i="11" s="1"/>
  <c r="AI864" i="11"/>
  <c r="AJ864" i="11" s="1"/>
  <c r="AI868" i="11"/>
  <c r="AJ868" i="11" s="1"/>
  <c r="AI939" i="11"/>
  <c r="AJ939" i="11" s="1"/>
  <c r="AI902" i="11"/>
  <c r="AJ902" i="11" s="1"/>
  <c r="AI914" i="11"/>
  <c r="AJ914" i="11" s="1"/>
  <c r="AI853" i="11"/>
  <c r="AJ853" i="11" s="1"/>
  <c r="AI893" i="11"/>
  <c r="AJ893" i="11" s="1"/>
  <c r="AI898" i="11"/>
  <c r="AJ898" i="11" s="1"/>
  <c r="AI944" i="11"/>
  <c r="AJ944" i="11" s="1"/>
  <c r="AI936" i="11"/>
  <c r="AJ936" i="11" s="1"/>
  <c r="AI876" i="11"/>
  <c r="AJ876" i="11" s="1"/>
  <c r="AI945" i="11"/>
  <c r="AJ945" i="11" s="1"/>
  <c r="AI867" i="11"/>
  <c r="AJ867" i="11" s="1"/>
  <c r="AI942" i="11"/>
  <c r="AJ942" i="11" s="1"/>
  <c r="AI885" i="11"/>
  <c r="AJ885" i="11" s="1"/>
  <c r="AI859" i="11"/>
  <c r="AJ859" i="11" s="1"/>
  <c r="AI926" i="11"/>
  <c r="AJ926" i="11" s="1"/>
  <c r="AI923" i="11"/>
  <c r="AJ923" i="11" s="1"/>
  <c r="AI887" i="11"/>
  <c r="AJ887" i="11" s="1"/>
  <c r="AI865" i="11"/>
  <c r="AJ865" i="11" s="1"/>
  <c r="AI917" i="11"/>
  <c r="AJ917" i="11" s="1"/>
  <c r="AI931" i="11"/>
  <c r="AJ931" i="11" s="1"/>
  <c r="AI874" i="11"/>
  <c r="AJ874" i="11" s="1"/>
  <c r="AI901" i="11"/>
  <c r="AJ901" i="11" s="1"/>
  <c r="AI932" i="11"/>
  <c r="AJ932" i="11" s="1"/>
  <c r="AI920" i="11"/>
  <c r="AJ920" i="11" s="1"/>
  <c r="AI886" i="11"/>
  <c r="AJ886" i="11" s="1"/>
  <c r="AI895" i="11"/>
  <c r="AJ895" i="11" s="1"/>
  <c r="AI911" i="11"/>
  <c r="AJ911" i="11" s="1"/>
  <c r="AI903" i="11"/>
  <c r="AJ903" i="11" s="1"/>
  <c r="AI873" i="11"/>
  <c r="AJ873" i="11" s="1"/>
  <c r="AI854" i="11"/>
  <c r="AJ854" i="11" s="1"/>
  <c r="AI947" i="11"/>
  <c r="AJ947" i="11" s="1"/>
  <c r="AI858" i="11"/>
  <c r="AJ858" i="11" s="1"/>
  <c r="AI916" i="11"/>
  <c r="AJ916" i="11" s="1"/>
  <c r="AI855" i="11"/>
  <c r="AJ855" i="11" s="1"/>
  <c r="AI866" i="11"/>
  <c r="AJ866" i="11" s="1"/>
  <c r="AI848" i="11"/>
  <c r="AJ848" i="11" s="1"/>
  <c r="AN848" i="11" s="1"/>
  <c r="AI905" i="11"/>
  <c r="AJ905" i="11" s="1"/>
  <c r="AI941" i="11"/>
  <c r="AJ941" i="11" s="1"/>
  <c r="AI948" i="11"/>
  <c r="AJ948" i="11" s="1"/>
  <c r="AI922" i="11"/>
  <c r="AJ922" i="11" s="1"/>
  <c r="AI889" i="11"/>
  <c r="AJ889" i="11" s="1"/>
  <c r="AI910" i="11"/>
  <c r="AJ910" i="11" s="1"/>
  <c r="AI912" i="11"/>
  <c r="AJ912" i="11" s="1"/>
  <c r="AI946" i="11"/>
  <c r="AJ946" i="11" s="1"/>
  <c r="AI930" i="11"/>
  <c r="AJ930" i="11" s="1"/>
  <c r="AI860" i="11"/>
  <c r="AJ860" i="11" s="1"/>
  <c r="AI882" i="11"/>
  <c r="AJ882" i="11" s="1"/>
  <c r="AI907" i="11"/>
  <c r="AJ907" i="11" s="1"/>
  <c r="AI862" i="11"/>
  <c r="AJ862" i="11" s="1"/>
  <c r="AI890" i="11"/>
  <c r="AJ890" i="11" s="1"/>
  <c r="AI934" i="11"/>
  <c r="AJ934" i="11" s="1"/>
  <c r="AD439" i="11"/>
  <c r="AE439" i="11" s="1"/>
  <c r="AF104" i="11"/>
  <c r="AG104" i="11" s="1"/>
  <c r="AF37" i="11"/>
  <c r="AG37" i="11" s="1"/>
  <c r="AI2702" i="11"/>
  <c r="AJ2702" i="11" s="1"/>
  <c r="AD3807" i="11"/>
  <c r="AE3807" i="11" s="1"/>
  <c r="AF3251" i="11"/>
  <c r="AG3251" i="11" s="1"/>
  <c r="AK1861" i="11"/>
  <c r="AL1861" i="11" s="1"/>
  <c r="AD3359" i="11"/>
  <c r="AE3359" i="11" s="1"/>
  <c r="AI3830" i="11"/>
  <c r="AJ3830" i="11" s="1"/>
  <c r="AF1469" i="11"/>
  <c r="AG1469" i="11" s="1"/>
  <c r="AK2286" i="11"/>
  <c r="AL2286" i="11" s="1"/>
  <c r="AI2694" i="11"/>
  <c r="AJ2694" i="11" s="1"/>
  <c r="AK1122" i="11"/>
  <c r="AL1122" i="11" s="1"/>
  <c r="AK93" i="11"/>
  <c r="AL93" i="11" s="1"/>
  <c r="AD486" i="11"/>
  <c r="AE486" i="11" s="1"/>
  <c r="AI1558" i="11"/>
  <c r="AJ1558" i="11" s="1"/>
  <c r="AK3062" i="11"/>
  <c r="AL3062" i="11" s="1"/>
  <c r="AF3013" i="11"/>
  <c r="AG3013" i="11" s="1"/>
  <c r="AI846" i="11"/>
  <c r="AJ846" i="11" s="1"/>
  <c r="P106" i="54"/>
  <c r="AK816" i="11"/>
  <c r="AL816" i="11" s="1"/>
  <c r="AK2253" i="11"/>
  <c r="AL2253" i="11" s="1"/>
  <c r="AK878" i="11"/>
  <c r="AL878" i="11" s="1"/>
  <c r="AK3025" i="11"/>
  <c r="AL3025" i="11" s="1"/>
  <c r="AI2808" i="11"/>
  <c r="AJ2808" i="11" s="1"/>
  <c r="AI1499" i="11"/>
  <c r="AJ1499" i="11" s="1"/>
  <c r="AI1327" i="11"/>
  <c r="AJ1327" i="11" s="1"/>
  <c r="AK486" i="11"/>
  <c r="AL486" i="11" s="1"/>
  <c r="AK2321" i="11"/>
  <c r="AL2321" i="11" s="1"/>
  <c r="AI1409" i="11"/>
  <c r="AJ1409" i="11" s="1"/>
  <c r="AI2729" i="11"/>
  <c r="AJ2729" i="11" s="1"/>
  <c r="AI611" i="11"/>
  <c r="AJ611" i="11" s="1"/>
  <c r="AD1811" i="11"/>
  <c r="AE1811" i="11" s="1"/>
  <c r="AF1185" i="11"/>
  <c r="AG1185" i="11" s="1"/>
  <c r="AO1185" i="11" s="1"/>
  <c r="AF3490" i="11"/>
  <c r="AG3490" i="11" s="1"/>
  <c r="AF67" i="11"/>
  <c r="AG67" i="11" s="1"/>
  <c r="AK2854" i="11"/>
  <c r="AL2854" i="11" s="1"/>
  <c r="AK2653" i="11"/>
  <c r="AL2653" i="11" s="1"/>
  <c r="AI464" i="11"/>
  <c r="AJ464" i="11" s="1"/>
  <c r="AK900" i="11"/>
  <c r="AL900" i="11" s="1"/>
  <c r="AF3360" i="11"/>
  <c r="AG3360" i="11" s="1"/>
  <c r="AF405" i="11"/>
  <c r="AG405" i="11" s="1"/>
  <c r="O276" i="54"/>
  <c r="AI3494" i="11"/>
  <c r="AJ3494" i="11" s="1"/>
  <c r="AK1193" i="11"/>
  <c r="AL1193" i="11" s="1"/>
  <c r="AD283" i="11"/>
  <c r="AE283" i="11" s="1"/>
  <c r="AD3476" i="11"/>
  <c r="AE3476" i="11" s="1"/>
  <c r="AD1256" i="11"/>
  <c r="AE1256" i="11" s="1"/>
  <c r="AI2705" i="11"/>
  <c r="AJ2705" i="11" s="1"/>
  <c r="AD755" i="11"/>
  <c r="AE755" i="11" s="1"/>
  <c r="AI3097" i="11"/>
  <c r="AJ3097" i="11" s="1"/>
  <c r="AI455" i="11"/>
  <c r="AJ455" i="11" s="1"/>
  <c r="AD3621" i="11"/>
  <c r="AE3621" i="11" s="1"/>
  <c r="AI2654" i="11"/>
  <c r="AJ2654" i="11" s="1"/>
  <c r="AD3869" i="11"/>
  <c r="AE3869" i="11" s="1"/>
  <c r="AD1902" i="11"/>
  <c r="AE1902" i="11" s="1"/>
  <c r="AI1147" i="11"/>
  <c r="AJ1147" i="11" s="1"/>
  <c r="AD115" i="11"/>
  <c r="AE115" i="11" s="1"/>
  <c r="AK2963" i="11"/>
  <c r="AL2963" i="11" s="1"/>
  <c r="AI3808" i="11"/>
  <c r="AJ3808" i="11" s="1"/>
  <c r="AD1893" i="11"/>
  <c r="AE1893" i="11" s="1"/>
  <c r="AI2873" i="11"/>
  <c r="AJ2873" i="11" s="1"/>
  <c r="AD1049" i="11"/>
  <c r="AE1049" i="11" s="1"/>
  <c r="AI965" i="11"/>
  <c r="AJ965" i="11" s="1"/>
  <c r="AK609" i="11"/>
  <c r="AL609" i="11" s="1"/>
  <c r="AF1774" i="11"/>
  <c r="AG1774" i="11" s="1"/>
  <c r="AI2280" i="11"/>
  <c r="AJ2280" i="11" s="1"/>
  <c r="AI1921" i="11"/>
  <c r="AJ1921" i="11" s="1"/>
  <c r="AD1370" i="11"/>
  <c r="AE1370" i="11" s="1"/>
  <c r="AD1736" i="11"/>
  <c r="AE1736" i="11" s="1"/>
  <c r="AF1482" i="11"/>
  <c r="AG1482" i="11" s="1"/>
  <c r="AD2159" i="11"/>
  <c r="AE2159" i="11" s="1"/>
  <c r="AD1856" i="11"/>
  <c r="AE1856" i="11" s="1"/>
  <c r="AD2464" i="11"/>
  <c r="AE2464" i="11" s="1"/>
  <c r="AI833" i="11"/>
  <c r="AJ833" i="11" s="1"/>
  <c r="AF1000" i="11"/>
  <c r="AG1000" i="11" s="1"/>
  <c r="AO1000" i="11" s="1"/>
  <c r="AD3847" i="11"/>
  <c r="AE3847" i="11" s="1"/>
  <c r="AF3033" i="11"/>
  <c r="AG3033" i="11" s="1"/>
  <c r="AI3486" i="11"/>
  <c r="AJ3486" i="11" s="1"/>
  <c r="AK1734" i="11"/>
  <c r="AL1734" i="11" s="1"/>
  <c r="AD38" i="11"/>
  <c r="AE38" i="11" s="1"/>
  <c r="AI3137" i="11"/>
  <c r="AJ3137" i="11" s="1"/>
  <c r="AK2608" i="11"/>
  <c r="AL2608" i="11" s="1"/>
  <c r="AF2184" i="11"/>
  <c r="AG2184" i="11" s="1"/>
  <c r="AI242" i="11"/>
  <c r="AJ242" i="11" s="1"/>
  <c r="AK2649" i="11"/>
  <c r="AL2649" i="11" s="1"/>
  <c r="AO2649" i="11" s="1"/>
  <c r="AD2363" i="11"/>
  <c r="AE2363" i="11" s="1"/>
  <c r="AI2394" i="11"/>
  <c r="AJ2394" i="11" s="1"/>
  <c r="AK3241" i="11"/>
  <c r="AL3241" i="11" s="1"/>
  <c r="AF1307" i="11"/>
  <c r="AG1307" i="11" s="1"/>
  <c r="AK3035" i="11"/>
  <c r="AL3035" i="11" s="1"/>
  <c r="AF2758" i="11"/>
  <c r="AG2758" i="11" s="1"/>
  <c r="AF519" i="11"/>
  <c r="AG519" i="11" s="1"/>
  <c r="AK1467" i="11"/>
  <c r="AL1467" i="11" s="1"/>
  <c r="AI3449" i="11"/>
  <c r="AJ3449" i="11" s="1"/>
  <c r="AF2760" i="11"/>
  <c r="AG2760" i="11" s="1"/>
  <c r="AI741" i="11"/>
  <c r="AJ741" i="11" s="1"/>
  <c r="AF2268" i="11"/>
  <c r="AG2268" i="11" s="1"/>
  <c r="AK2643" i="11"/>
  <c r="AL2643" i="11" s="1"/>
  <c r="AF529" i="11"/>
  <c r="AG529" i="11" s="1"/>
  <c r="AK3522" i="11"/>
  <c r="AL3522" i="11" s="1"/>
  <c r="AF3227" i="11"/>
  <c r="AG3227" i="11" s="1"/>
  <c r="AF477" i="11"/>
  <c r="AG477" i="11" s="1"/>
  <c r="AD2775" i="11"/>
  <c r="AE2775" i="11" s="1"/>
  <c r="AD2738" i="11"/>
  <c r="AE2738" i="11" s="1"/>
  <c r="AD2769" i="11"/>
  <c r="AE2769" i="11" s="1"/>
  <c r="AD2748" i="11"/>
  <c r="AE2748" i="11" s="1"/>
  <c r="AD2815" i="11"/>
  <c r="AE2815" i="11" s="1"/>
  <c r="AD2739" i="11"/>
  <c r="AE2739" i="11" s="1"/>
  <c r="AD2750" i="11"/>
  <c r="AE2750" i="11" s="1"/>
  <c r="AD2737" i="11"/>
  <c r="AE2737" i="11" s="1"/>
  <c r="AN2737" i="11" s="1"/>
  <c r="AD2839" i="11"/>
  <c r="AE2839" i="11" s="1"/>
  <c r="AD2796" i="11"/>
  <c r="AE2796" i="11" s="1"/>
  <c r="AD2779" i="11"/>
  <c r="AE2779" i="11" s="1"/>
  <c r="AD2791" i="11"/>
  <c r="AE2791" i="11" s="1"/>
  <c r="AD2754" i="11"/>
  <c r="AE2754" i="11" s="1"/>
  <c r="AD2809" i="11"/>
  <c r="AE2809" i="11" s="1"/>
  <c r="AD2825" i="11"/>
  <c r="AE2825" i="11" s="1"/>
  <c r="AD2747" i="11"/>
  <c r="AE2747" i="11" s="1"/>
  <c r="AD2768" i="11"/>
  <c r="AE2768" i="11" s="1"/>
  <c r="AD2759" i="11"/>
  <c r="AE2759" i="11" s="1"/>
  <c r="AD2806" i="11"/>
  <c r="AE2806" i="11" s="1"/>
  <c r="AD2764" i="11"/>
  <c r="AE2764" i="11" s="1"/>
  <c r="AD2793" i="11"/>
  <c r="AE2793" i="11" s="1"/>
  <c r="AD2816" i="11"/>
  <c r="AE2816" i="11" s="1"/>
  <c r="AD2790" i="11"/>
  <c r="AE2790" i="11" s="1"/>
  <c r="AD2831" i="11"/>
  <c r="AE2831" i="11" s="1"/>
  <c r="AD2802" i="11"/>
  <c r="AE2802" i="11" s="1"/>
  <c r="AD2735" i="11"/>
  <c r="AE2735" i="11" s="1"/>
  <c r="AD2813" i="11"/>
  <c r="AE2813" i="11" s="1"/>
  <c r="AD2797" i="11"/>
  <c r="AE2797" i="11" s="1"/>
  <c r="AD2812" i="11"/>
  <c r="AE2812" i="11" s="1"/>
  <c r="AD2798" i="11"/>
  <c r="AE2798" i="11" s="1"/>
  <c r="AD2817" i="11"/>
  <c r="AE2817" i="11" s="1"/>
  <c r="AD2801" i="11"/>
  <c r="AE2801" i="11" s="1"/>
  <c r="AD2758" i="11"/>
  <c r="AE2758" i="11" s="1"/>
  <c r="AD2781" i="11"/>
  <c r="AE2781" i="11" s="1"/>
  <c r="AD2771" i="11"/>
  <c r="AE2771" i="11" s="1"/>
  <c r="AD2742" i="11"/>
  <c r="AE2742" i="11" s="1"/>
  <c r="AD2808" i="11"/>
  <c r="AE2808" i="11" s="1"/>
  <c r="AD2829" i="11"/>
  <c r="AE2829" i="11" s="1"/>
  <c r="AD2770" i="11"/>
  <c r="AE2770" i="11" s="1"/>
  <c r="AD2746" i="11"/>
  <c r="AE2746" i="11" s="1"/>
  <c r="AD2799" i="11"/>
  <c r="AE2799" i="11" s="1"/>
  <c r="AD2765" i="11"/>
  <c r="AE2765" i="11" s="1"/>
  <c r="AD2834" i="11"/>
  <c r="AE2834" i="11" s="1"/>
  <c r="AD2826" i="11"/>
  <c r="AE2826" i="11" s="1"/>
  <c r="AD2751" i="11"/>
  <c r="AE2751" i="11" s="1"/>
  <c r="AD2740" i="11"/>
  <c r="AE2740" i="11" s="1"/>
  <c r="AD2785" i="11"/>
  <c r="AE2785" i="11" s="1"/>
  <c r="AD2745" i="11"/>
  <c r="AE2745" i="11" s="1"/>
  <c r="AD2776" i="11"/>
  <c r="AE2776" i="11" s="1"/>
  <c r="AD2818" i="11"/>
  <c r="AE2818" i="11" s="1"/>
  <c r="AD2763" i="11"/>
  <c r="AE2763" i="11" s="1"/>
  <c r="AD2777" i="11"/>
  <c r="AE2777" i="11" s="1"/>
  <c r="AD2832" i="11"/>
  <c r="AE2832" i="11" s="1"/>
  <c r="AD2823" i="11"/>
  <c r="AE2823" i="11" s="1"/>
  <c r="AD2772" i="11"/>
  <c r="AE2772" i="11" s="1"/>
  <c r="AD2744" i="11"/>
  <c r="AE2744" i="11" s="1"/>
  <c r="AD2821" i="11"/>
  <c r="AE2821" i="11" s="1"/>
  <c r="AD2792" i="11"/>
  <c r="AE2792" i="11" s="1"/>
  <c r="AD2810" i="11"/>
  <c r="AE2810" i="11" s="1"/>
  <c r="AD2752" i="11"/>
  <c r="AE2752" i="11" s="1"/>
  <c r="AD2762" i="11"/>
  <c r="AE2762" i="11" s="1"/>
  <c r="AD2804" i="11"/>
  <c r="AE2804" i="11" s="1"/>
  <c r="AD2819" i="11"/>
  <c r="AE2819" i="11" s="1"/>
  <c r="AD2827" i="11"/>
  <c r="AE2827" i="11" s="1"/>
  <c r="AD2760" i="11"/>
  <c r="AE2760" i="11" s="1"/>
  <c r="AD2833" i="11"/>
  <c r="AE2833" i="11" s="1"/>
  <c r="AD2795" i="11"/>
  <c r="AE2795" i="11" s="1"/>
  <c r="AD2780" i="11"/>
  <c r="AE2780" i="11" s="1"/>
  <c r="AD2767" i="11"/>
  <c r="AE2767" i="11" s="1"/>
  <c r="AD2786" i="11"/>
  <c r="AE2786" i="11" s="1"/>
  <c r="AD2787" i="11"/>
  <c r="AE2787" i="11" s="1"/>
  <c r="AD2830" i="11"/>
  <c r="AE2830" i="11" s="1"/>
  <c r="AD2838" i="11"/>
  <c r="AE2838" i="11" s="1"/>
  <c r="AD2766" i="11"/>
  <c r="AE2766" i="11" s="1"/>
  <c r="AD2784" i="11"/>
  <c r="AE2784" i="11" s="1"/>
  <c r="AD2828" i="11"/>
  <c r="AE2828" i="11" s="1"/>
  <c r="AD2774" i="11"/>
  <c r="AE2774" i="11" s="1"/>
  <c r="AD2820" i="11"/>
  <c r="AE2820" i="11" s="1"/>
  <c r="AD2782" i="11"/>
  <c r="AE2782" i="11" s="1"/>
  <c r="AD2800" i="11"/>
  <c r="AE2800" i="11" s="1"/>
  <c r="AD2736" i="11"/>
  <c r="AE2736" i="11" s="1"/>
  <c r="AD2749" i="11"/>
  <c r="AE2749" i="11" s="1"/>
  <c r="AD2837" i="11"/>
  <c r="AE2837" i="11" s="1"/>
  <c r="AD2803" i="11"/>
  <c r="AE2803" i="11" s="1"/>
  <c r="AD2822" i="11"/>
  <c r="AE2822" i="11" s="1"/>
  <c r="AD2741" i="11"/>
  <c r="AE2741" i="11" s="1"/>
  <c r="AD2778" i="11"/>
  <c r="AE2778" i="11" s="1"/>
  <c r="AD2814" i="11"/>
  <c r="AE2814" i="11" s="1"/>
  <c r="AD2783" i="11"/>
  <c r="AE2783" i="11" s="1"/>
  <c r="AD2811" i="11"/>
  <c r="AE2811" i="11" s="1"/>
  <c r="N172" i="54"/>
  <c r="AD2757" i="11"/>
  <c r="AE2757" i="11" s="1"/>
  <c r="AD2794" i="11"/>
  <c r="AE2794" i="11" s="1"/>
  <c r="AD2789" i="11"/>
  <c r="AE2789" i="11" s="1"/>
  <c r="AD2761" i="11"/>
  <c r="AE2761" i="11" s="1"/>
  <c r="AD2753" i="11"/>
  <c r="AE2753" i="11" s="1"/>
  <c r="AD2824" i="11"/>
  <c r="AE2824" i="11" s="1"/>
  <c r="AD2836" i="11"/>
  <c r="AE2836" i="11" s="1"/>
  <c r="P145" i="54"/>
  <c r="AI1298" i="11"/>
  <c r="AJ1298" i="11" s="1"/>
  <c r="AI1357" i="11"/>
  <c r="AJ1357" i="11" s="1"/>
  <c r="AI1349" i="11"/>
  <c r="AJ1349" i="11" s="1"/>
  <c r="AI1278" i="11"/>
  <c r="AJ1278" i="11" s="1"/>
  <c r="AI1365" i="11"/>
  <c r="AJ1365" i="11" s="1"/>
  <c r="AI1342" i="11"/>
  <c r="AJ1342" i="11" s="1"/>
  <c r="AI1348" i="11"/>
  <c r="AJ1348" i="11" s="1"/>
  <c r="AI1316" i="11"/>
  <c r="AJ1316" i="11" s="1"/>
  <c r="AI1284" i="11"/>
  <c r="AJ1284" i="11" s="1"/>
  <c r="AI1329" i="11"/>
  <c r="AJ1329" i="11" s="1"/>
  <c r="AI1310" i="11"/>
  <c r="AJ1310" i="11" s="1"/>
  <c r="AI1282" i="11"/>
  <c r="AJ1282" i="11" s="1"/>
  <c r="AI1337" i="11"/>
  <c r="AJ1337" i="11" s="1"/>
  <c r="AI1293" i="11"/>
  <c r="AJ1293" i="11" s="1"/>
  <c r="AI1354" i="11"/>
  <c r="AJ1354" i="11" s="1"/>
  <c r="AI1347" i="11"/>
  <c r="AJ1347" i="11" s="1"/>
  <c r="AI1352" i="11"/>
  <c r="AJ1352" i="11" s="1"/>
  <c r="AI1295" i="11"/>
  <c r="AJ1295" i="11" s="1"/>
  <c r="AI1266" i="11"/>
  <c r="AJ1266" i="11" s="1"/>
  <c r="AI1273" i="11"/>
  <c r="AJ1273" i="11" s="1"/>
  <c r="AI1346" i="11"/>
  <c r="AJ1346" i="11" s="1"/>
  <c r="AI1333" i="11"/>
  <c r="AJ1333" i="11" s="1"/>
  <c r="AI1359" i="11"/>
  <c r="AJ1359" i="11" s="1"/>
  <c r="AI1344" i="11"/>
  <c r="AJ1344" i="11" s="1"/>
  <c r="AI1279" i="11"/>
  <c r="AJ1279" i="11" s="1"/>
  <c r="AI1332" i="11"/>
  <c r="AJ1332" i="11" s="1"/>
  <c r="AI1319" i="11"/>
  <c r="AJ1319" i="11" s="1"/>
  <c r="AI1341" i="11"/>
  <c r="AJ1341" i="11" s="1"/>
  <c r="AI1336" i="11"/>
  <c r="AJ1336" i="11" s="1"/>
  <c r="AI1304" i="11"/>
  <c r="AJ1304" i="11" s="1"/>
  <c r="AI1308" i="11"/>
  <c r="AJ1308" i="11" s="1"/>
  <c r="AI1299" i="11"/>
  <c r="AJ1299" i="11" s="1"/>
  <c r="AI1369" i="11"/>
  <c r="AJ1369" i="11" s="1"/>
  <c r="AI1320" i="11"/>
  <c r="AJ1320" i="11" s="1"/>
  <c r="AI1358" i="11"/>
  <c r="AJ1358" i="11" s="1"/>
  <c r="AI1274" i="11"/>
  <c r="AJ1274" i="11" s="1"/>
  <c r="AI1326" i="11"/>
  <c r="AJ1326" i="11" s="1"/>
  <c r="AI1288" i="11"/>
  <c r="AJ1288" i="11" s="1"/>
  <c r="AI1330" i="11"/>
  <c r="AJ1330" i="11" s="1"/>
  <c r="AI1356" i="11"/>
  <c r="AJ1356" i="11" s="1"/>
  <c r="AI1331" i="11"/>
  <c r="AJ1331" i="11" s="1"/>
  <c r="AI1312" i="11"/>
  <c r="AJ1312" i="11" s="1"/>
  <c r="AI1291" i="11"/>
  <c r="AJ1291" i="11" s="1"/>
  <c r="AI1286" i="11"/>
  <c r="AJ1286" i="11" s="1"/>
  <c r="AI1276" i="11"/>
  <c r="AJ1276" i="11" s="1"/>
  <c r="AI1268" i="11"/>
  <c r="AJ1268" i="11" s="1"/>
  <c r="AI1315" i="11"/>
  <c r="AJ1315" i="11" s="1"/>
  <c r="AI1313" i="11"/>
  <c r="AJ1313" i="11" s="1"/>
  <c r="AI1303" i="11"/>
  <c r="AJ1303" i="11" s="1"/>
  <c r="AI1353" i="11"/>
  <c r="AJ1353" i="11" s="1"/>
  <c r="AI1338" i="11"/>
  <c r="AJ1338" i="11" s="1"/>
  <c r="AI1314" i="11"/>
  <c r="AJ1314" i="11" s="1"/>
  <c r="AI1343" i="11"/>
  <c r="AJ1343" i="11" s="1"/>
  <c r="AI1324" i="11"/>
  <c r="AJ1324" i="11" s="1"/>
  <c r="AI1339" i="11"/>
  <c r="AJ1339" i="11" s="1"/>
  <c r="AI1364" i="11"/>
  <c r="AJ1364" i="11" s="1"/>
  <c r="AI1283" i="11"/>
  <c r="AJ1283" i="11" s="1"/>
  <c r="AI1294" i="11"/>
  <c r="AJ1294" i="11" s="1"/>
  <c r="AI1269" i="11"/>
  <c r="AJ1269" i="11" s="1"/>
  <c r="AI1350" i="11"/>
  <c r="AJ1350" i="11" s="1"/>
  <c r="AI1297" i="11"/>
  <c r="AJ1297" i="11" s="1"/>
  <c r="AI1351" i="11"/>
  <c r="AJ1351" i="11" s="1"/>
  <c r="AI1300" i="11"/>
  <c r="AJ1300" i="11" s="1"/>
  <c r="AI1272" i="11"/>
  <c r="AJ1272" i="11" s="1"/>
  <c r="AI1322" i="11"/>
  <c r="AJ1322" i="11" s="1"/>
  <c r="AI1306" i="11"/>
  <c r="AJ1306" i="11" s="1"/>
  <c r="AI1285" i="11"/>
  <c r="AJ1285" i="11" s="1"/>
  <c r="AI1275" i="11"/>
  <c r="AJ1275" i="11" s="1"/>
  <c r="AI1321" i="11"/>
  <c r="AJ1321" i="11" s="1"/>
  <c r="AI1287" i="11"/>
  <c r="AJ1287" i="11" s="1"/>
  <c r="AI1335" i="11"/>
  <c r="AJ1335" i="11" s="1"/>
  <c r="AI1360" i="11"/>
  <c r="AJ1360" i="11" s="1"/>
  <c r="AI1328" i="11"/>
  <c r="AJ1328" i="11" s="1"/>
  <c r="AI1323" i="11"/>
  <c r="AJ1323" i="11" s="1"/>
  <c r="AI1292" i="11"/>
  <c r="AJ1292" i="11" s="1"/>
  <c r="AI1311" i="11"/>
  <c r="AJ1311" i="11" s="1"/>
  <c r="AI1270" i="11"/>
  <c r="AJ1270" i="11" s="1"/>
  <c r="AI1367" i="11"/>
  <c r="AJ1367" i="11" s="1"/>
  <c r="AI1296" i="11"/>
  <c r="AJ1296" i="11" s="1"/>
  <c r="AI1302" i="11"/>
  <c r="AJ1302" i="11" s="1"/>
  <c r="AI1368" i="11"/>
  <c r="AJ1368" i="11" s="1"/>
  <c r="AI1318" i="11"/>
  <c r="AJ1318" i="11" s="1"/>
  <c r="AI1317" i="11"/>
  <c r="AJ1317" i="11" s="1"/>
  <c r="AI1280" i="11"/>
  <c r="AJ1280" i="11" s="1"/>
  <c r="AI1362" i="11"/>
  <c r="AJ1362" i="11" s="1"/>
  <c r="AI1355" i="11"/>
  <c r="AJ1355" i="11" s="1"/>
  <c r="AI1309" i="11"/>
  <c r="AJ1309" i="11" s="1"/>
  <c r="AI1325" i="11"/>
  <c r="AJ1325" i="11" s="1"/>
  <c r="AI1265" i="11"/>
  <c r="AJ1265" i="11" s="1"/>
  <c r="AI1267" i="11"/>
  <c r="AJ1267" i="11" s="1"/>
  <c r="AI1307" i="11"/>
  <c r="AJ1307" i="11" s="1"/>
  <c r="AI1289" i="11"/>
  <c r="AJ1289" i="11" s="1"/>
  <c r="AI1345" i="11"/>
  <c r="AJ1345" i="11" s="1"/>
  <c r="AI1334" i="11"/>
  <c r="AJ1334" i="11" s="1"/>
  <c r="AD2622" i="11"/>
  <c r="AE2622" i="11" s="1"/>
  <c r="AD2602" i="11"/>
  <c r="AE2602" i="11" s="1"/>
  <c r="AD2593" i="11"/>
  <c r="AE2593" i="11" s="1"/>
  <c r="AD2598" i="11"/>
  <c r="AE2598" i="11" s="1"/>
  <c r="AD2567" i="11"/>
  <c r="AE2567" i="11" s="1"/>
  <c r="AD2570" i="11"/>
  <c r="AE2570" i="11" s="1"/>
  <c r="AD2603" i="11"/>
  <c r="AE2603" i="11" s="1"/>
  <c r="AD2526" i="11"/>
  <c r="AE2526" i="11" s="1"/>
  <c r="AD2590" i="11"/>
  <c r="AE2590" i="11" s="1"/>
  <c r="AD2578" i="11"/>
  <c r="AE2578" i="11" s="1"/>
  <c r="AD2543" i="11"/>
  <c r="AE2543" i="11" s="1"/>
  <c r="AD2537" i="11"/>
  <c r="AE2537" i="11" s="1"/>
  <c r="AD2564" i="11"/>
  <c r="AE2564" i="11" s="1"/>
  <c r="AD2596" i="11"/>
  <c r="AE2596" i="11" s="1"/>
  <c r="AD2549" i="11"/>
  <c r="AE2549" i="11" s="1"/>
  <c r="AD2530" i="11"/>
  <c r="AE2530" i="11" s="1"/>
  <c r="AD2532" i="11"/>
  <c r="AE2532" i="11" s="1"/>
  <c r="AD2550" i="11"/>
  <c r="AE2550" i="11" s="1"/>
  <c r="AD2612" i="11"/>
  <c r="AE2612" i="11" s="1"/>
  <c r="AD2531" i="11"/>
  <c r="AE2531" i="11" s="1"/>
  <c r="AD2595" i="11"/>
  <c r="AE2595" i="11" s="1"/>
  <c r="AD2587" i="11"/>
  <c r="AE2587" i="11" s="1"/>
  <c r="AD2573" i="11"/>
  <c r="AE2573" i="11" s="1"/>
  <c r="AD2527" i="11"/>
  <c r="AE2527" i="11" s="1"/>
  <c r="AD2544" i="11"/>
  <c r="AE2544" i="11" s="1"/>
  <c r="AD2562" i="11"/>
  <c r="AE2562" i="11" s="1"/>
  <c r="AD2627" i="11"/>
  <c r="AE2627" i="11" s="1"/>
  <c r="AD2619" i="11"/>
  <c r="AE2619" i="11" s="1"/>
  <c r="AD2600" i="11"/>
  <c r="AE2600" i="11" s="1"/>
  <c r="AD2568" i="11"/>
  <c r="AE2568" i="11" s="1"/>
  <c r="AD2616" i="11"/>
  <c r="AE2616" i="11" s="1"/>
  <c r="AD2556" i="11"/>
  <c r="AE2556" i="11" s="1"/>
  <c r="AD2576" i="11"/>
  <c r="AE2576" i="11" s="1"/>
  <c r="AD2547" i="11"/>
  <c r="AE2547" i="11" s="1"/>
  <c r="AD2581" i="11"/>
  <c r="AE2581" i="11" s="1"/>
  <c r="AD2589" i="11"/>
  <c r="AE2589" i="11" s="1"/>
  <c r="AD2601" i="11"/>
  <c r="AE2601" i="11" s="1"/>
  <c r="AD2583" i="11"/>
  <c r="AE2583" i="11" s="1"/>
  <c r="AD2592" i="11"/>
  <c r="AE2592" i="11" s="1"/>
  <c r="AD2580" i="11"/>
  <c r="AE2580" i="11" s="1"/>
  <c r="AD2623" i="11"/>
  <c r="AE2623" i="11" s="1"/>
  <c r="AD2560" i="11"/>
  <c r="AE2560" i="11" s="1"/>
  <c r="AN2560" i="11" s="1"/>
  <c r="AD2585" i="11"/>
  <c r="AE2585" i="11" s="1"/>
  <c r="AD2615" i="11"/>
  <c r="AE2615" i="11" s="1"/>
  <c r="AD2535" i="11"/>
  <c r="AE2535" i="11" s="1"/>
  <c r="AD2629" i="11"/>
  <c r="AE2629" i="11" s="1"/>
  <c r="AD2571" i="11"/>
  <c r="AE2571" i="11" s="1"/>
  <c r="N168" i="54"/>
  <c r="AD2552" i="11"/>
  <c r="AE2552" i="11" s="1"/>
  <c r="AD2608" i="11"/>
  <c r="AE2608" i="11" s="1"/>
  <c r="AD2609" i="11"/>
  <c r="AE2609" i="11" s="1"/>
  <c r="AD2553" i="11"/>
  <c r="AE2553" i="11" s="1"/>
  <c r="AD2577" i="11"/>
  <c r="AE2577" i="11" s="1"/>
  <c r="AD2597" i="11"/>
  <c r="AE2597" i="11" s="1"/>
  <c r="AD2617" i="11"/>
  <c r="AE2617" i="11" s="1"/>
  <c r="AD2620" i="11"/>
  <c r="AE2620" i="11" s="1"/>
  <c r="AD2584" i="11"/>
  <c r="AE2584" i="11" s="1"/>
  <c r="AD2625" i="11"/>
  <c r="AE2625" i="11" s="1"/>
  <c r="AD2554" i="11"/>
  <c r="AE2554" i="11" s="1"/>
  <c r="AD2582" i="11"/>
  <c r="AE2582" i="11" s="1"/>
  <c r="AD2594" i="11"/>
  <c r="AE2594" i="11" s="1"/>
  <c r="AD2534" i="11"/>
  <c r="AE2534" i="11" s="1"/>
  <c r="AD2561" i="11"/>
  <c r="AE2561" i="11" s="1"/>
  <c r="AD2588" i="11"/>
  <c r="AE2588" i="11" s="1"/>
  <c r="AD2540" i="11"/>
  <c r="AE2540" i="11" s="1"/>
  <c r="AD2621" i="11"/>
  <c r="AE2621" i="11" s="1"/>
  <c r="AD2599" i="11"/>
  <c r="AE2599" i="11" s="1"/>
  <c r="AD2574" i="11"/>
  <c r="AE2574" i="11" s="1"/>
  <c r="AD2563" i="11"/>
  <c r="AE2563" i="11" s="1"/>
  <c r="AD2546" i="11"/>
  <c r="AE2546" i="11" s="1"/>
  <c r="AD2575" i="11"/>
  <c r="AE2575" i="11" s="1"/>
  <c r="AD2610" i="11"/>
  <c r="AE2610" i="11" s="1"/>
  <c r="AD2618" i="11"/>
  <c r="AE2618" i="11" s="1"/>
  <c r="AD2555" i="11"/>
  <c r="AE2555" i="11" s="1"/>
  <c r="AD2545" i="11"/>
  <c r="AE2545" i="11" s="1"/>
  <c r="AD2591" i="11"/>
  <c r="AE2591" i="11" s="1"/>
  <c r="AD2613" i="11"/>
  <c r="AE2613" i="11" s="1"/>
  <c r="AD2536" i="11"/>
  <c r="AE2536" i="11" s="1"/>
  <c r="AD2542" i="11"/>
  <c r="AE2542" i="11" s="1"/>
  <c r="AD2586" i="11"/>
  <c r="AE2586" i="11" s="1"/>
  <c r="AD2572" i="11"/>
  <c r="AE2572" i="11" s="1"/>
  <c r="AD2538" i="11"/>
  <c r="AE2538" i="11" s="1"/>
  <c r="AD2548" i="11"/>
  <c r="AE2548" i="11" s="1"/>
  <c r="AD2614" i="11"/>
  <c r="AE2614" i="11" s="1"/>
  <c r="AD2559" i="11"/>
  <c r="AE2559" i="11" s="1"/>
  <c r="AD2569" i="11"/>
  <c r="AE2569" i="11" s="1"/>
  <c r="AD2528" i="11"/>
  <c r="AE2528" i="11" s="1"/>
  <c r="AD2565" i="11"/>
  <c r="AE2565" i="11" s="1"/>
  <c r="AD2604" i="11"/>
  <c r="AE2604" i="11" s="1"/>
  <c r="AD2551" i="11"/>
  <c r="AE2551" i="11" s="1"/>
  <c r="AD2606" i="11"/>
  <c r="AE2606" i="11" s="1"/>
  <c r="AD2605" i="11"/>
  <c r="AE2605" i="11" s="1"/>
  <c r="AD2558" i="11"/>
  <c r="AE2558" i="11" s="1"/>
  <c r="AD2624" i="11"/>
  <c r="AE2624" i="11" s="1"/>
  <c r="AD2541" i="11"/>
  <c r="AE2541" i="11" s="1"/>
  <c r="AD2533" i="11"/>
  <c r="AE2533" i="11" s="1"/>
  <c r="AD2628" i="11"/>
  <c r="AE2628" i="11" s="1"/>
  <c r="AD2607" i="11"/>
  <c r="AE2607" i="11" s="1"/>
  <c r="AD2566" i="11"/>
  <c r="AE2566" i="11" s="1"/>
  <c r="AD2557" i="11"/>
  <c r="AE2557" i="11" s="1"/>
  <c r="AD2611" i="11"/>
  <c r="AE2611" i="11" s="1"/>
  <c r="AD2529" i="11"/>
  <c r="AE2529" i="11" s="1"/>
  <c r="Q77" i="54"/>
  <c r="AF1961" i="11"/>
  <c r="AG1961" i="11" s="1"/>
  <c r="AF1927" i="11"/>
  <c r="AG1927" i="11" s="1"/>
  <c r="AF1973" i="11"/>
  <c r="AG1973" i="11" s="1"/>
  <c r="AF1966" i="11"/>
  <c r="AG1966" i="11" s="1"/>
  <c r="AF1947" i="11"/>
  <c r="AG1947" i="11" s="1"/>
  <c r="AF1939" i="11"/>
  <c r="AG1939" i="11" s="1"/>
  <c r="AF1923" i="11"/>
  <c r="AG1923" i="11" s="1"/>
  <c r="AF1938" i="11"/>
  <c r="AG1938" i="11" s="1"/>
  <c r="AF1969" i="11"/>
  <c r="AG1969" i="11" s="1"/>
  <c r="AF1934" i="11"/>
  <c r="AG1934" i="11" s="1"/>
  <c r="AF1935" i="11"/>
  <c r="AG1935" i="11" s="1"/>
  <c r="AF1903" i="11"/>
  <c r="AG1903" i="11" s="1"/>
  <c r="AF1972" i="11"/>
  <c r="AG1972" i="11" s="1"/>
  <c r="AF1921" i="11"/>
  <c r="AG1921" i="11" s="1"/>
  <c r="AF1957" i="11"/>
  <c r="AG1957" i="11" s="1"/>
  <c r="AF1916" i="11"/>
  <c r="AG1916" i="11" s="1"/>
  <c r="AF1898" i="11"/>
  <c r="AG1898" i="11" s="1"/>
  <c r="AF1949" i="11"/>
  <c r="AG1949" i="11" s="1"/>
  <c r="AF1996" i="11"/>
  <c r="AG1996" i="11" s="1"/>
  <c r="AF1970" i="11"/>
  <c r="AG1970" i="11" s="1"/>
  <c r="AF1965" i="11"/>
  <c r="AG1965" i="11" s="1"/>
  <c r="AF1899" i="11"/>
  <c r="AG1899" i="11" s="1"/>
  <c r="AF1932" i="11"/>
  <c r="AG1932" i="11" s="1"/>
  <c r="AF1924" i="11"/>
  <c r="AG1924" i="11" s="1"/>
  <c r="AF1968" i="11"/>
  <c r="AG1968" i="11" s="1"/>
  <c r="AF1953" i="11"/>
  <c r="AG1953" i="11" s="1"/>
  <c r="AO1953" i="11" s="1"/>
  <c r="AF1998" i="11"/>
  <c r="AG1998" i="11" s="1"/>
  <c r="AF1942" i="11"/>
  <c r="AG1942" i="11" s="1"/>
  <c r="AF1979" i="11"/>
  <c r="AG1979" i="11" s="1"/>
  <c r="AF1995" i="11"/>
  <c r="AG1995" i="11" s="1"/>
  <c r="AF1912" i="11"/>
  <c r="AG1912" i="11" s="1"/>
  <c r="AF1896" i="11"/>
  <c r="AG1896" i="11" s="1"/>
  <c r="AF1910" i="11"/>
  <c r="AG1910" i="11" s="1"/>
  <c r="AF1956" i="11"/>
  <c r="AG1956" i="11" s="1"/>
  <c r="AF1941" i="11"/>
  <c r="AG1941" i="11" s="1"/>
  <c r="AF1981" i="11"/>
  <c r="AG1981" i="11" s="1"/>
  <c r="AF1980" i="11"/>
  <c r="AG1980" i="11" s="1"/>
  <c r="AF1952" i="11"/>
  <c r="AG1952" i="11" s="1"/>
  <c r="AF1940" i="11"/>
  <c r="AG1940" i="11" s="1"/>
  <c r="AF1948" i="11"/>
  <c r="AG1948" i="11" s="1"/>
  <c r="AF1909" i="11"/>
  <c r="AG1909" i="11" s="1"/>
  <c r="AF1978" i="11"/>
  <c r="AG1978" i="11" s="1"/>
  <c r="AO1978" i="11" s="1"/>
  <c r="AF1994" i="11"/>
  <c r="AG1994" i="11" s="1"/>
  <c r="AF1933" i="11"/>
  <c r="AG1933" i="11" s="1"/>
  <c r="AF1991" i="11"/>
  <c r="AG1991" i="11" s="1"/>
  <c r="AF1988" i="11"/>
  <c r="AG1988" i="11" s="1"/>
  <c r="AF1929" i="11"/>
  <c r="AG1929" i="11" s="1"/>
  <c r="AF1911" i="11"/>
  <c r="AG1911" i="11" s="1"/>
  <c r="AF1943" i="11"/>
  <c r="AG1943" i="11" s="1"/>
  <c r="AF1919" i="11"/>
  <c r="AG1919" i="11" s="1"/>
  <c r="AF1904" i="11"/>
  <c r="AG1904" i="11" s="1"/>
  <c r="AF1930" i="11"/>
  <c r="AG1930" i="11" s="1"/>
  <c r="AF1971" i="11"/>
  <c r="AG1971" i="11" s="1"/>
  <c r="AF1931" i="11"/>
  <c r="AG1931" i="11" s="1"/>
  <c r="AF1999" i="11"/>
  <c r="AG1999" i="11" s="1"/>
  <c r="AF1984" i="11"/>
  <c r="AG1984" i="11" s="1"/>
  <c r="AF1897" i="11"/>
  <c r="AG1897" i="11" s="1"/>
  <c r="AO1897" i="11" s="1"/>
  <c r="AF1902" i="11"/>
  <c r="AG1902" i="11" s="1"/>
  <c r="AF1936" i="11"/>
  <c r="AG1936" i="11" s="1"/>
  <c r="AF1958" i="11"/>
  <c r="AG1958" i="11" s="1"/>
  <c r="AF1955" i="11"/>
  <c r="AG1955" i="11" s="1"/>
  <c r="AF1937" i="11"/>
  <c r="AG1937" i="11" s="1"/>
  <c r="AF1997" i="11"/>
  <c r="AG1997" i="11" s="1"/>
  <c r="AF1908" i="11"/>
  <c r="AG1908" i="11" s="1"/>
  <c r="AF1895" i="11"/>
  <c r="AG1895" i="11" s="1"/>
  <c r="AF1950" i="11"/>
  <c r="AG1950" i="11" s="1"/>
  <c r="O186" i="54"/>
  <c r="AF1962" i="11"/>
  <c r="AG1962" i="11" s="1"/>
  <c r="AF1967" i="11"/>
  <c r="AG1967" i="11" s="1"/>
  <c r="AF1922" i="11"/>
  <c r="AG1922" i="11" s="1"/>
  <c r="AF1944" i="11"/>
  <c r="AG1944" i="11" s="1"/>
  <c r="AF1954" i="11"/>
  <c r="AG1954" i="11" s="1"/>
  <c r="AF1964" i="11"/>
  <c r="AG1964" i="11" s="1"/>
  <c r="AF1986" i="11"/>
  <c r="AG1986" i="11" s="1"/>
  <c r="AF1993" i="11"/>
  <c r="AG1993" i="11" s="1"/>
  <c r="AF1926" i="11"/>
  <c r="AG1926" i="11" s="1"/>
  <c r="AF1900" i="11"/>
  <c r="AG1900" i="11" s="1"/>
  <c r="AF1913" i="11"/>
  <c r="AG1913" i="11" s="1"/>
  <c r="AF1974" i="11"/>
  <c r="AG1974" i="11" s="1"/>
  <c r="AF1901" i="11"/>
  <c r="AG1901" i="11" s="1"/>
  <c r="AF1982" i="11"/>
  <c r="AG1982" i="11" s="1"/>
  <c r="AF1985" i="11"/>
  <c r="AG1985" i="11" s="1"/>
  <c r="AF1963" i="11"/>
  <c r="AG1963" i="11" s="1"/>
  <c r="AF1918" i="11"/>
  <c r="AG1918" i="11" s="1"/>
  <c r="AF1987" i="11"/>
  <c r="AG1987" i="11" s="1"/>
  <c r="AF1915" i="11"/>
  <c r="AG1915" i="11" s="1"/>
  <c r="AF1925" i="11"/>
  <c r="AG1925" i="11" s="1"/>
  <c r="AF1960" i="11"/>
  <c r="AG1960" i="11" s="1"/>
  <c r="AF1975" i="11"/>
  <c r="AG1975" i="11" s="1"/>
  <c r="AF1959" i="11"/>
  <c r="AG1959" i="11" s="1"/>
  <c r="AF1906" i="11"/>
  <c r="AG1906" i="11" s="1"/>
  <c r="AF1983" i="11"/>
  <c r="AG1983" i="11" s="1"/>
  <c r="AF1920" i="11"/>
  <c r="AG1920" i="11" s="1"/>
  <c r="AF1905" i="11"/>
  <c r="AG1905" i="11" s="1"/>
  <c r="AF1989" i="11"/>
  <c r="AG1989" i="11" s="1"/>
  <c r="AF1945" i="11"/>
  <c r="AG1945" i="11" s="1"/>
  <c r="AF1977" i="11"/>
  <c r="AG1977" i="11" s="1"/>
  <c r="AF1946" i="11"/>
  <c r="AG1946" i="11" s="1"/>
  <c r="AF1914" i="11"/>
  <c r="AG1914" i="11" s="1"/>
  <c r="AF1992" i="11"/>
  <c r="AG1992" i="11" s="1"/>
  <c r="AF1917" i="11"/>
  <c r="AG1917" i="11" s="1"/>
  <c r="AF1990" i="11"/>
  <c r="AG1990" i="11" s="1"/>
  <c r="AF1951" i="11"/>
  <c r="AG1951" i="11" s="1"/>
  <c r="AF1907" i="11"/>
  <c r="AG1907" i="11" s="1"/>
  <c r="AI3211" i="11"/>
  <c r="AJ3211" i="11" s="1"/>
  <c r="AI3182" i="11"/>
  <c r="AJ3182" i="11" s="1"/>
  <c r="AI3169" i="11"/>
  <c r="AJ3169" i="11" s="1"/>
  <c r="AI3254" i="11"/>
  <c r="AJ3254" i="11" s="1"/>
  <c r="AI3233" i="11"/>
  <c r="AJ3233" i="11" s="1"/>
  <c r="AI3180" i="11"/>
  <c r="AJ3180" i="11" s="1"/>
  <c r="AI3159" i="11"/>
  <c r="AJ3159" i="11" s="1"/>
  <c r="AI3161" i="11"/>
  <c r="AJ3161" i="11" s="1"/>
  <c r="AI3215" i="11"/>
  <c r="AJ3215" i="11" s="1"/>
  <c r="AI3188" i="11"/>
  <c r="AJ3188" i="11" s="1"/>
  <c r="AI3174" i="11"/>
  <c r="AJ3174" i="11" s="1"/>
  <c r="AI3200" i="11"/>
  <c r="AJ3200" i="11" s="1"/>
  <c r="AI3160" i="11"/>
  <c r="AJ3160" i="11" s="1"/>
  <c r="AI3214" i="11"/>
  <c r="AJ3214" i="11" s="1"/>
  <c r="AI3208" i="11"/>
  <c r="AJ3208" i="11" s="1"/>
  <c r="AI3248" i="11"/>
  <c r="AJ3248" i="11" s="1"/>
  <c r="AI3228" i="11"/>
  <c r="AJ3228" i="11" s="1"/>
  <c r="AI3230" i="11"/>
  <c r="AJ3230" i="11" s="1"/>
  <c r="AI3192" i="11"/>
  <c r="AJ3192" i="11" s="1"/>
  <c r="AI3223" i="11"/>
  <c r="AJ3223" i="11" s="1"/>
  <c r="AI3190" i="11"/>
  <c r="AJ3190" i="11" s="1"/>
  <c r="AI3213" i="11"/>
  <c r="AJ3213" i="11" s="1"/>
  <c r="AI3245" i="11"/>
  <c r="AJ3245" i="11" s="1"/>
  <c r="AI3172" i="11"/>
  <c r="AJ3172" i="11" s="1"/>
  <c r="AI3259" i="11"/>
  <c r="AJ3259" i="11" s="1"/>
  <c r="AI3167" i="11"/>
  <c r="AJ3167" i="11" s="1"/>
  <c r="AI3175" i="11"/>
  <c r="AJ3175" i="11" s="1"/>
  <c r="AI3219" i="11"/>
  <c r="AJ3219" i="11" s="1"/>
  <c r="AI3207" i="11"/>
  <c r="AJ3207" i="11" s="1"/>
  <c r="AI3220" i="11"/>
  <c r="AJ3220" i="11" s="1"/>
  <c r="AI3168" i="11"/>
  <c r="AJ3168" i="11" s="1"/>
  <c r="AI3218" i="11"/>
  <c r="AJ3218" i="11" s="1"/>
  <c r="AI3199" i="11"/>
  <c r="AJ3199" i="11" s="1"/>
  <c r="AI3252" i="11"/>
  <c r="AJ3252" i="11" s="1"/>
  <c r="AI3185" i="11"/>
  <c r="AJ3185" i="11" s="1"/>
  <c r="AI3216" i="11"/>
  <c r="AJ3216" i="11" s="1"/>
  <c r="AI3179" i="11"/>
  <c r="AJ3179" i="11" s="1"/>
  <c r="AI3157" i="11"/>
  <c r="AJ3157" i="11" s="1"/>
  <c r="AI3231" i="11"/>
  <c r="AJ3231" i="11" s="1"/>
  <c r="AI3217" i="11"/>
  <c r="AJ3217" i="11" s="1"/>
  <c r="AI3201" i="11"/>
  <c r="AJ3201" i="11" s="1"/>
  <c r="AI3240" i="11"/>
  <c r="AJ3240" i="11" s="1"/>
  <c r="AI3164" i="11"/>
  <c r="AJ3164" i="11" s="1"/>
  <c r="AI3253" i="11"/>
  <c r="AJ3253" i="11" s="1"/>
  <c r="AI3189" i="11"/>
  <c r="AJ3189" i="11" s="1"/>
  <c r="AI3191" i="11"/>
  <c r="AJ3191" i="11" s="1"/>
  <c r="AI3156" i="11"/>
  <c r="AJ3156" i="11" s="1"/>
  <c r="AI3205" i="11"/>
  <c r="AJ3205" i="11" s="1"/>
  <c r="AI3224" i="11"/>
  <c r="AJ3224" i="11" s="1"/>
  <c r="AI3158" i="11"/>
  <c r="AJ3158" i="11" s="1"/>
  <c r="AI3235" i="11"/>
  <c r="AJ3235" i="11" s="1"/>
  <c r="AI3181" i="11"/>
  <c r="AJ3181" i="11" s="1"/>
  <c r="AI3166" i="11"/>
  <c r="AJ3166" i="11" s="1"/>
  <c r="AI3173" i="11"/>
  <c r="AJ3173" i="11" s="1"/>
  <c r="AI3222" i="11"/>
  <c r="AJ3222" i="11" s="1"/>
  <c r="AI3258" i="11"/>
  <c r="AJ3258" i="11" s="1"/>
  <c r="AI3203" i="11"/>
  <c r="AJ3203" i="11" s="1"/>
  <c r="AI3202" i="11"/>
  <c r="AJ3202" i="11" s="1"/>
  <c r="AI3250" i="11"/>
  <c r="AJ3250" i="11" s="1"/>
  <c r="AI3256" i="11"/>
  <c r="AJ3256" i="11" s="1"/>
  <c r="AI3193" i="11"/>
  <c r="AJ3193" i="11" s="1"/>
  <c r="AI3232" i="11"/>
  <c r="AJ3232" i="11" s="1"/>
  <c r="AI3221" i="11"/>
  <c r="AJ3221" i="11" s="1"/>
  <c r="AI3209" i="11"/>
  <c r="AJ3209" i="11" s="1"/>
  <c r="AI3249" i="11"/>
  <c r="AJ3249" i="11" s="1"/>
  <c r="AI3165" i="11"/>
  <c r="AJ3165" i="11" s="1"/>
  <c r="AI3238" i="11"/>
  <c r="AJ3238" i="11" s="1"/>
  <c r="AN3238" i="11" s="1"/>
  <c r="AI3210" i="11"/>
  <c r="AJ3210" i="11" s="1"/>
  <c r="AI3246" i="11"/>
  <c r="AJ3246" i="11" s="1"/>
  <c r="AI3177" i="11"/>
  <c r="AJ3177" i="11" s="1"/>
  <c r="AI3251" i="11"/>
  <c r="AJ3251" i="11" s="1"/>
  <c r="AI3204" i="11"/>
  <c r="AJ3204" i="11" s="1"/>
  <c r="AI3186" i="11"/>
  <c r="AJ3186" i="11" s="1"/>
  <c r="AI3162" i="11"/>
  <c r="AJ3162" i="11" s="1"/>
  <c r="AI3155" i="11"/>
  <c r="AJ3155" i="11" s="1"/>
  <c r="AI3198" i="11"/>
  <c r="AJ3198" i="11" s="1"/>
  <c r="AI3212" i="11"/>
  <c r="AJ3212" i="11" s="1"/>
  <c r="AI3241" i="11"/>
  <c r="AJ3241" i="11" s="1"/>
  <c r="AI3176" i="11"/>
  <c r="AJ3176" i="11" s="1"/>
  <c r="AI3183" i="11"/>
  <c r="AJ3183" i="11" s="1"/>
  <c r="AI3242" i="11"/>
  <c r="AJ3242" i="11" s="1"/>
  <c r="AI3163" i="11"/>
  <c r="AJ3163" i="11" s="1"/>
  <c r="AI3184" i="11"/>
  <c r="AJ3184" i="11" s="1"/>
  <c r="AI3225" i="11"/>
  <c r="AJ3225" i="11" s="1"/>
  <c r="AI3243" i="11"/>
  <c r="AJ3243" i="11" s="1"/>
  <c r="AI3239" i="11"/>
  <c r="AJ3239" i="11" s="1"/>
  <c r="AI3194" i="11"/>
  <c r="AJ3194" i="11" s="1"/>
  <c r="AI3229" i="11"/>
  <c r="AJ3229" i="11" s="1"/>
  <c r="AI3227" i="11"/>
  <c r="AJ3227" i="11" s="1"/>
  <c r="AI3255" i="11"/>
  <c r="AJ3255" i="11" s="1"/>
  <c r="AI3226" i="11"/>
  <c r="AJ3226" i="11" s="1"/>
  <c r="AI3196" i="11"/>
  <c r="AJ3196" i="11" s="1"/>
  <c r="AK3543" i="11"/>
  <c r="AL3543" i="11" s="1"/>
  <c r="AK3334" i="11"/>
  <c r="AL3334" i="11" s="1"/>
  <c r="AK3300" i="11"/>
  <c r="AL3300" i="11" s="1"/>
  <c r="AK3353" i="11"/>
  <c r="AL3353" i="11" s="1"/>
  <c r="AK3349" i="11"/>
  <c r="AL3349" i="11" s="1"/>
  <c r="AK3287" i="11"/>
  <c r="AL3287" i="11" s="1"/>
  <c r="AK3350" i="11"/>
  <c r="AL3350" i="11" s="1"/>
  <c r="AK3359" i="11"/>
  <c r="AL3359" i="11" s="1"/>
  <c r="AK3324" i="11"/>
  <c r="AL3324" i="11" s="1"/>
  <c r="AK3327" i="11"/>
  <c r="AL3327" i="11" s="1"/>
  <c r="AK3362" i="11"/>
  <c r="AL3362" i="11" s="1"/>
  <c r="AK3262" i="11"/>
  <c r="AL3262" i="11" s="1"/>
  <c r="AK3273" i="11"/>
  <c r="AL3273" i="11" s="1"/>
  <c r="AK3323" i="11"/>
  <c r="AL3323" i="11" s="1"/>
  <c r="AK3279" i="11"/>
  <c r="AL3279" i="11" s="1"/>
  <c r="AK3316" i="11"/>
  <c r="AL3316" i="11" s="1"/>
  <c r="AK3285" i="11"/>
  <c r="AL3285" i="11" s="1"/>
  <c r="AK3265" i="11"/>
  <c r="AL3265" i="11" s="1"/>
  <c r="AK3266" i="11"/>
  <c r="AL3266" i="11" s="1"/>
  <c r="AK3309" i="11"/>
  <c r="AL3309" i="11" s="1"/>
  <c r="AK3318" i="11"/>
  <c r="AL3318" i="11" s="1"/>
  <c r="AK3337" i="11"/>
  <c r="AL3337" i="11" s="1"/>
  <c r="AK3308" i="11"/>
  <c r="AL3308" i="11" s="1"/>
  <c r="AK3271" i="11"/>
  <c r="AL3271" i="11" s="1"/>
  <c r="AK3305" i="11"/>
  <c r="AL3305" i="11" s="1"/>
  <c r="AK3278" i="11"/>
  <c r="AL3278" i="11" s="1"/>
  <c r="AK3360" i="11"/>
  <c r="AL3360" i="11" s="1"/>
  <c r="AK3344" i="11"/>
  <c r="AL3344" i="11" s="1"/>
  <c r="AK3274" i="11"/>
  <c r="AL3274" i="11" s="1"/>
  <c r="AK3282" i="11"/>
  <c r="AL3282" i="11" s="1"/>
  <c r="AK3294" i="11"/>
  <c r="AL3294" i="11" s="1"/>
  <c r="AK3264" i="11"/>
  <c r="AL3264" i="11" s="1"/>
  <c r="AK3263" i="11"/>
  <c r="AL3263" i="11" s="1"/>
  <c r="AK3311" i="11"/>
  <c r="AL3311" i="11" s="1"/>
  <c r="AK3325" i="11"/>
  <c r="AL3325" i="11" s="1"/>
  <c r="AK3284" i="11"/>
  <c r="AL3284" i="11" s="1"/>
  <c r="AK3269" i="11"/>
  <c r="AL3269" i="11" s="1"/>
  <c r="AK3348" i="11"/>
  <c r="AL3348" i="11" s="1"/>
  <c r="AK3357" i="11"/>
  <c r="AL3357" i="11" s="1"/>
  <c r="AK3297" i="11"/>
  <c r="AL3297" i="11" s="1"/>
  <c r="AK3326" i="11"/>
  <c r="AL3326" i="11" s="1"/>
  <c r="AK3270" i="11"/>
  <c r="AL3270" i="11" s="1"/>
  <c r="AK3345" i="11"/>
  <c r="AL3345" i="11" s="1"/>
  <c r="AK3301" i="11"/>
  <c r="AL3301" i="11" s="1"/>
  <c r="AK3341" i="11"/>
  <c r="AL3341" i="11" s="1"/>
  <c r="AK3307" i="11"/>
  <c r="AL3307" i="11" s="1"/>
  <c r="AK3330" i="11"/>
  <c r="AL3330" i="11" s="1"/>
  <c r="AK3286" i="11"/>
  <c r="AL3286" i="11" s="1"/>
  <c r="AK3346" i="11"/>
  <c r="AL3346" i="11" s="1"/>
  <c r="AK3315" i="11"/>
  <c r="AL3315" i="11" s="1"/>
  <c r="AK3288" i="11"/>
  <c r="AL3288" i="11" s="1"/>
  <c r="AK3331" i="11"/>
  <c r="AL3331" i="11" s="1"/>
  <c r="AK3277" i="11"/>
  <c r="AL3277" i="11" s="1"/>
  <c r="AK3312" i="11"/>
  <c r="AL3312" i="11" s="1"/>
  <c r="AK3358" i="11"/>
  <c r="AL3358" i="11" s="1"/>
  <c r="AK3310" i="11"/>
  <c r="AL3310" i="11" s="1"/>
  <c r="AK3291" i="11"/>
  <c r="AL3291" i="11" s="1"/>
  <c r="AK3338" i="11"/>
  <c r="AL3338" i="11" s="1"/>
  <c r="AK3336" i="11"/>
  <c r="AL3336" i="11" s="1"/>
  <c r="AK3364" i="11"/>
  <c r="AL3364" i="11" s="1"/>
  <c r="AK3272" i="11"/>
  <c r="AL3272" i="11" s="1"/>
  <c r="AK3329" i="11"/>
  <c r="AL3329" i="11" s="1"/>
  <c r="AK3306" i="11"/>
  <c r="AL3306" i="11" s="1"/>
  <c r="AK3340" i="11"/>
  <c r="AL3340" i="11" s="1"/>
  <c r="AK3351" i="11"/>
  <c r="AL3351" i="11" s="1"/>
  <c r="AK3290" i="11"/>
  <c r="AL3290" i="11" s="1"/>
  <c r="AK3304" i="11"/>
  <c r="AL3304" i="11" s="1"/>
  <c r="AK3303" i="11"/>
  <c r="AL3303" i="11" s="1"/>
  <c r="AK3296" i="11"/>
  <c r="AL3296" i="11" s="1"/>
  <c r="AK3295" i="11"/>
  <c r="AL3295" i="11" s="1"/>
  <c r="AK3333" i="11"/>
  <c r="AL3333" i="11" s="1"/>
  <c r="AK3302" i="11"/>
  <c r="AL3302" i="11" s="1"/>
  <c r="AK3314" i="11"/>
  <c r="AL3314" i="11" s="1"/>
  <c r="AK3355" i="11"/>
  <c r="AL3355" i="11" s="1"/>
  <c r="AK3313" i="11"/>
  <c r="AL3313" i="11" s="1"/>
  <c r="AK3260" i="11"/>
  <c r="AL3260" i="11" s="1"/>
  <c r="AK3289" i="11"/>
  <c r="AL3289" i="11" s="1"/>
  <c r="AK3352" i="11"/>
  <c r="AL3352" i="11" s="1"/>
  <c r="AK3339" i="11"/>
  <c r="AL3339" i="11" s="1"/>
  <c r="AK3276" i="11"/>
  <c r="AL3276" i="11" s="1"/>
  <c r="AK3283" i="11"/>
  <c r="AL3283" i="11" s="1"/>
  <c r="AK3361" i="11"/>
  <c r="AL3361" i="11" s="1"/>
  <c r="AK3319" i="11"/>
  <c r="AL3319" i="11" s="1"/>
  <c r="AK3321" i="11"/>
  <c r="AL3321" i="11" s="1"/>
  <c r="AK3268" i="11"/>
  <c r="AL3268" i="11" s="1"/>
  <c r="AK3281" i="11"/>
  <c r="AL3281" i="11" s="1"/>
  <c r="AK3317" i="11"/>
  <c r="AL3317" i="11" s="1"/>
  <c r="AK3347" i="11"/>
  <c r="AL3347" i="11" s="1"/>
  <c r="AK3363" i="11"/>
  <c r="AL3363" i="11" s="1"/>
  <c r="AK3299" i="11"/>
  <c r="AL3299" i="11" s="1"/>
  <c r="AK3298" i="11"/>
  <c r="AL3298" i="11" s="1"/>
  <c r="AK3322" i="11"/>
  <c r="AL3322" i="11" s="1"/>
  <c r="AK3356" i="11"/>
  <c r="AL3356" i="11" s="1"/>
  <c r="AO3356" i="11" s="1"/>
  <c r="AI3656" i="11"/>
  <c r="AJ3656" i="11" s="1"/>
  <c r="AI3600" i="11"/>
  <c r="AJ3600" i="11" s="1"/>
  <c r="AI3578" i="11"/>
  <c r="AJ3578" i="11" s="1"/>
  <c r="AI3674" i="11"/>
  <c r="AJ3674" i="11" s="1"/>
  <c r="AI3646" i="11"/>
  <c r="AJ3646" i="11" s="1"/>
  <c r="AI3587" i="11"/>
  <c r="AJ3587" i="11" s="1"/>
  <c r="AI3591" i="11"/>
  <c r="AJ3591" i="11" s="1"/>
  <c r="AI3654" i="11"/>
  <c r="AJ3654" i="11" s="1"/>
  <c r="AI3583" i="11"/>
  <c r="AJ3583" i="11" s="1"/>
  <c r="AI3630" i="11"/>
  <c r="AJ3630" i="11" s="1"/>
  <c r="AI3666" i="11"/>
  <c r="AJ3666" i="11" s="1"/>
  <c r="AI3618" i="11"/>
  <c r="AJ3618" i="11" s="1"/>
  <c r="AI3598" i="11"/>
  <c r="AJ3598" i="11" s="1"/>
  <c r="AI3605" i="11"/>
  <c r="AJ3605" i="11" s="1"/>
  <c r="AI3663" i="11"/>
  <c r="AJ3663" i="11" s="1"/>
  <c r="AI3677" i="11"/>
  <c r="AJ3677" i="11" s="1"/>
  <c r="AI3626" i="11"/>
  <c r="AJ3626" i="11" s="1"/>
  <c r="AI3660" i="11"/>
  <c r="AJ3660" i="11" s="1"/>
  <c r="AI3650" i="11"/>
  <c r="AJ3650" i="11" s="1"/>
  <c r="AI3580" i="11"/>
  <c r="AJ3580" i="11" s="1"/>
  <c r="AI3651" i="11"/>
  <c r="AJ3651" i="11" s="1"/>
  <c r="AI3581" i="11"/>
  <c r="AJ3581" i="11" s="1"/>
  <c r="AI3589" i="11"/>
  <c r="AJ3589" i="11" s="1"/>
  <c r="AI3635" i="11"/>
  <c r="AJ3635" i="11" s="1"/>
  <c r="AI3609" i="11"/>
  <c r="AJ3609" i="11" s="1"/>
  <c r="AI3675" i="11"/>
  <c r="AJ3675" i="11" s="1"/>
  <c r="AI3606" i="11"/>
  <c r="AJ3606" i="11" s="1"/>
  <c r="AI3588" i="11"/>
  <c r="AJ3588" i="11" s="1"/>
  <c r="AI3627" i="11"/>
  <c r="AJ3627" i="11" s="1"/>
  <c r="AI3664" i="11"/>
  <c r="AJ3664" i="11" s="1"/>
  <c r="AI3636" i="11"/>
  <c r="AJ3636" i="11" s="1"/>
  <c r="AI3639" i="11"/>
  <c r="AJ3639" i="11" s="1"/>
  <c r="AI3641" i="11"/>
  <c r="AJ3641" i="11" s="1"/>
  <c r="AI3655" i="11"/>
  <c r="AJ3655" i="11" s="1"/>
  <c r="AI3615" i="11"/>
  <c r="AJ3615" i="11" s="1"/>
  <c r="AI3593" i="11"/>
  <c r="AJ3593" i="11" s="1"/>
  <c r="AI3621" i="11"/>
  <c r="AJ3621" i="11" s="1"/>
  <c r="AI3670" i="11"/>
  <c r="AJ3670" i="11" s="1"/>
  <c r="AI3649" i="11"/>
  <c r="AJ3649" i="11" s="1"/>
  <c r="AI3633" i="11"/>
  <c r="AJ3633" i="11" s="1"/>
  <c r="AI3667" i="11"/>
  <c r="AJ3667" i="11" s="1"/>
  <c r="AI3629" i="11"/>
  <c r="AJ3629" i="11" s="1"/>
  <c r="AI3643" i="11"/>
  <c r="AJ3643" i="11" s="1"/>
  <c r="AI3644" i="11"/>
  <c r="AJ3644" i="11" s="1"/>
  <c r="AI3620" i="11"/>
  <c r="AJ3620" i="11" s="1"/>
  <c r="AI3610" i="11"/>
  <c r="AJ3610" i="11" s="1"/>
  <c r="AI3592" i="11"/>
  <c r="AJ3592" i="11" s="1"/>
  <c r="AI3668" i="11"/>
  <c r="AJ3668" i="11" s="1"/>
  <c r="AI3597" i="11"/>
  <c r="AJ3597" i="11" s="1"/>
  <c r="AI3575" i="11"/>
  <c r="AJ3575" i="11" s="1"/>
  <c r="AI3625" i="11"/>
  <c r="AJ3625" i="11" s="1"/>
  <c r="AI3577" i="11"/>
  <c r="AJ3577" i="11" s="1"/>
  <c r="AI3679" i="11"/>
  <c r="AJ3679" i="11" s="1"/>
  <c r="AI3612" i="11"/>
  <c r="AJ3612" i="11" s="1"/>
  <c r="AI3647" i="11"/>
  <c r="AJ3647" i="11" s="1"/>
  <c r="AI3669" i="11"/>
  <c r="AJ3669" i="11" s="1"/>
  <c r="AI3622" i="11"/>
  <c r="AJ3622" i="11" s="1"/>
  <c r="AI3671" i="11"/>
  <c r="AJ3671" i="11" s="1"/>
  <c r="AI3678" i="11"/>
  <c r="AJ3678" i="11" s="1"/>
  <c r="AI3640" i="11"/>
  <c r="AJ3640" i="11" s="1"/>
  <c r="AI3638" i="11"/>
  <c r="AJ3638" i="11" s="1"/>
  <c r="AI3603" i="11"/>
  <c r="AJ3603" i="11" s="1"/>
  <c r="AI3673" i="11"/>
  <c r="AJ3673" i="11" s="1"/>
  <c r="AI3595" i="11"/>
  <c r="AJ3595" i="11" s="1"/>
  <c r="AI3623" i="11"/>
  <c r="AJ3623" i="11" s="1"/>
  <c r="AI3661" i="11"/>
  <c r="AJ3661" i="11" s="1"/>
  <c r="AI3652" i="11"/>
  <c r="AJ3652" i="11" s="1"/>
  <c r="AN3652" i="11" s="1"/>
  <c r="AI3617" i="11"/>
  <c r="AJ3617" i="11" s="1"/>
  <c r="AI3637" i="11"/>
  <c r="AJ3637" i="11" s="1"/>
  <c r="AI3624" i="11"/>
  <c r="AJ3624" i="11" s="1"/>
  <c r="AI3662" i="11"/>
  <c r="AJ3662" i="11" s="1"/>
  <c r="AI3642" i="11"/>
  <c r="AJ3642" i="11" s="1"/>
  <c r="AI3584" i="11"/>
  <c r="AJ3584" i="11" s="1"/>
  <c r="AI3586" i="11"/>
  <c r="AJ3586" i="11" s="1"/>
  <c r="AI3645" i="11"/>
  <c r="AJ3645" i="11" s="1"/>
  <c r="AI3602" i="11"/>
  <c r="AJ3602" i="11" s="1"/>
  <c r="AI3653" i="11"/>
  <c r="AJ3653" i="11" s="1"/>
  <c r="AI3658" i="11"/>
  <c r="AJ3658" i="11" s="1"/>
  <c r="AI3590" i="11"/>
  <c r="AJ3590" i="11" s="1"/>
  <c r="AI3607" i="11"/>
  <c r="AJ3607" i="11" s="1"/>
  <c r="AI3596" i="11"/>
  <c r="AJ3596" i="11" s="1"/>
  <c r="AI3613" i="11"/>
  <c r="AJ3613" i="11" s="1"/>
  <c r="AI3585" i="11"/>
  <c r="AJ3585" i="11" s="1"/>
  <c r="AI3601" i="11"/>
  <c r="AJ3601" i="11" s="1"/>
  <c r="AI3657" i="11"/>
  <c r="AJ3657" i="11" s="1"/>
  <c r="AI3619" i="11"/>
  <c r="AJ3619" i="11" s="1"/>
  <c r="AI3634" i="11"/>
  <c r="AJ3634" i="11" s="1"/>
  <c r="AI3631" i="11"/>
  <c r="AJ3631" i="11" s="1"/>
  <c r="AI3579" i="11"/>
  <c r="AJ3579" i="11" s="1"/>
  <c r="AI3611" i="11"/>
  <c r="AJ3611" i="11" s="1"/>
  <c r="AI3608" i="11"/>
  <c r="AJ3608" i="11" s="1"/>
  <c r="AK3435" i="11"/>
  <c r="AL3435" i="11" s="1"/>
  <c r="AK3387" i="11"/>
  <c r="AL3387" i="11" s="1"/>
  <c r="AK3452" i="11"/>
  <c r="AL3452" i="11" s="1"/>
  <c r="AK3372" i="11"/>
  <c r="AL3372" i="11" s="1"/>
  <c r="AK3458" i="11"/>
  <c r="AL3458" i="11" s="1"/>
  <c r="AK3416" i="11"/>
  <c r="AL3416" i="11" s="1"/>
  <c r="AK3386" i="11"/>
  <c r="AL3386" i="11" s="1"/>
  <c r="AK3410" i="11"/>
  <c r="AL3410" i="11" s="1"/>
  <c r="AK3368" i="11"/>
  <c r="AL3368" i="11" s="1"/>
  <c r="AK3464" i="11"/>
  <c r="AL3464" i="11" s="1"/>
  <c r="AK3385" i="11"/>
  <c r="AL3385" i="11" s="1"/>
  <c r="AK3446" i="11"/>
  <c r="AL3446" i="11" s="1"/>
  <c r="AK3367" i="11"/>
  <c r="AL3367" i="11" s="1"/>
  <c r="AK3431" i="11"/>
  <c r="AL3431" i="11" s="1"/>
  <c r="AK3391" i="11"/>
  <c r="AL3391" i="11" s="1"/>
  <c r="AK3433" i="11"/>
  <c r="AL3433" i="11" s="1"/>
  <c r="AK3468" i="11"/>
  <c r="AL3468" i="11" s="1"/>
  <c r="AK3400" i="11"/>
  <c r="AL3400" i="11" s="1"/>
  <c r="AK3469" i="11"/>
  <c r="AL3469" i="11" s="1"/>
  <c r="AK3373" i="11"/>
  <c r="AL3373" i="11" s="1"/>
  <c r="AK3438" i="11"/>
  <c r="AL3438" i="11" s="1"/>
  <c r="AK3440" i="11"/>
  <c r="AL3440" i="11" s="1"/>
  <c r="AK3444" i="11"/>
  <c r="AL3444" i="11" s="1"/>
  <c r="AK3447" i="11"/>
  <c r="AL3447" i="11" s="1"/>
  <c r="AK3374" i="11"/>
  <c r="AL3374" i="11" s="1"/>
  <c r="AK3417" i="11"/>
  <c r="AL3417" i="11" s="1"/>
  <c r="AK3375" i="11"/>
  <c r="AL3375" i="11" s="1"/>
  <c r="AK3449" i="11"/>
  <c r="AL3449" i="11" s="1"/>
  <c r="AK3404" i="11"/>
  <c r="AL3404" i="11" s="1"/>
  <c r="AK3405" i="11"/>
  <c r="AL3405" i="11" s="1"/>
  <c r="AK3384" i="11"/>
  <c r="AL3384" i="11" s="1"/>
  <c r="AK3424" i="11"/>
  <c r="AL3424" i="11" s="1"/>
  <c r="AK3457" i="11"/>
  <c r="AL3457" i="11" s="1"/>
  <c r="AK3365" i="11"/>
  <c r="AL3365" i="11" s="1"/>
  <c r="AK3414" i="11"/>
  <c r="AL3414" i="11" s="1"/>
  <c r="AK3455" i="11"/>
  <c r="AL3455" i="11" s="1"/>
  <c r="AK3427" i="11"/>
  <c r="AL3427" i="11" s="1"/>
  <c r="AK3461" i="11"/>
  <c r="AL3461" i="11" s="1"/>
  <c r="AK3403" i="11"/>
  <c r="AL3403" i="11" s="1"/>
  <c r="AK3421" i="11"/>
  <c r="AL3421" i="11" s="1"/>
  <c r="AK3465" i="11"/>
  <c r="AL3465" i="11" s="1"/>
  <c r="AK3425" i="11"/>
  <c r="AL3425" i="11" s="1"/>
  <c r="AK3383" i="11"/>
  <c r="AL3383" i="11" s="1"/>
  <c r="AK3442" i="11"/>
  <c r="AL3442" i="11" s="1"/>
  <c r="AK3448" i="11"/>
  <c r="AL3448" i="11" s="1"/>
  <c r="AK3454" i="11"/>
  <c r="AL3454" i="11" s="1"/>
  <c r="AK3388" i="11"/>
  <c r="AL3388" i="11" s="1"/>
  <c r="AK3395" i="11"/>
  <c r="AL3395" i="11" s="1"/>
  <c r="AK3437" i="11"/>
  <c r="AL3437" i="11" s="1"/>
  <c r="AK3460" i="11"/>
  <c r="AL3460" i="11" s="1"/>
  <c r="AK3369" i="11"/>
  <c r="AL3369" i="11" s="1"/>
  <c r="AK3411" i="11"/>
  <c r="AL3411" i="11" s="1"/>
  <c r="AK3408" i="11"/>
  <c r="AL3408" i="11" s="1"/>
  <c r="AK3430" i="11"/>
  <c r="AL3430" i="11" s="1"/>
  <c r="AK3397" i="11"/>
  <c r="AL3397" i="11" s="1"/>
  <c r="AK3377" i="11"/>
  <c r="AL3377" i="11" s="1"/>
  <c r="AK3399" i="11"/>
  <c r="AL3399" i="11" s="1"/>
  <c r="AK3379" i="11"/>
  <c r="AL3379" i="11" s="1"/>
  <c r="AK3428" i="11"/>
  <c r="AL3428" i="11" s="1"/>
  <c r="AK3366" i="11"/>
  <c r="AL3366" i="11" s="1"/>
  <c r="AO3366" i="11" s="1"/>
  <c r="AK3378" i="11"/>
  <c r="AL3378" i="11" s="1"/>
  <c r="AK3466" i="11"/>
  <c r="AL3466" i="11" s="1"/>
  <c r="AK3434" i="11"/>
  <c r="AL3434" i="11" s="1"/>
  <c r="AK3429" i="11"/>
  <c r="AL3429" i="11" s="1"/>
  <c r="AK3398" i="11"/>
  <c r="AL3398" i="11" s="1"/>
  <c r="AK3396" i="11"/>
  <c r="AL3396" i="11" s="1"/>
  <c r="AK3371" i="11"/>
  <c r="AL3371" i="11" s="1"/>
  <c r="AK3436" i="11"/>
  <c r="AL3436" i="11" s="1"/>
  <c r="AK3418" i="11"/>
  <c r="AL3418" i="11" s="1"/>
  <c r="AK3422" i="11"/>
  <c r="AL3422" i="11" s="1"/>
  <c r="AK3450" i="11"/>
  <c r="AL3450" i="11" s="1"/>
  <c r="AK3459" i="11"/>
  <c r="AL3459" i="11" s="1"/>
  <c r="AK3439" i="11"/>
  <c r="AL3439" i="11" s="1"/>
  <c r="AK3456" i="11"/>
  <c r="AL3456" i="11" s="1"/>
  <c r="AK3445" i="11"/>
  <c r="AL3445" i="11" s="1"/>
  <c r="AK3409" i="11"/>
  <c r="AL3409" i="11" s="1"/>
  <c r="AK3406" i="11"/>
  <c r="AL3406" i="11" s="1"/>
  <c r="AK3382" i="11"/>
  <c r="AL3382" i="11" s="1"/>
  <c r="AK3415" i="11"/>
  <c r="AL3415" i="11" s="1"/>
  <c r="AK3394" i="11"/>
  <c r="AL3394" i="11" s="1"/>
  <c r="AK3451" i="11"/>
  <c r="AL3451" i="11" s="1"/>
  <c r="AK3420" i="11"/>
  <c r="AL3420" i="11" s="1"/>
  <c r="AK3389" i="11"/>
  <c r="AL3389" i="11" s="1"/>
  <c r="AK3463" i="11"/>
  <c r="AL3463" i="11" s="1"/>
  <c r="AK3390" i="11"/>
  <c r="AL3390" i="11" s="1"/>
  <c r="AK3441" i="11"/>
  <c r="AL3441" i="11" s="1"/>
  <c r="AK3467" i="11"/>
  <c r="AL3467" i="11" s="1"/>
  <c r="AK3370" i="11"/>
  <c r="AL3370" i="11" s="1"/>
  <c r="AK3376" i="11"/>
  <c r="AL3376" i="11" s="1"/>
  <c r="AK3413" i="11"/>
  <c r="AL3413" i="11" s="1"/>
  <c r="AK3393" i="11"/>
  <c r="AL3393" i="11" s="1"/>
  <c r="AK3381" i="11"/>
  <c r="AL3381" i="11" s="1"/>
  <c r="AK3419" i="11"/>
  <c r="AL3419" i="11" s="1"/>
  <c r="AK3423" i="11"/>
  <c r="AL3423" i="11" s="1"/>
  <c r="AK3402" i="11"/>
  <c r="AL3402" i="11" s="1"/>
  <c r="AK3407" i="11"/>
  <c r="AL3407" i="11" s="1"/>
  <c r="AK3432" i="11"/>
  <c r="AL3432" i="11" s="1"/>
  <c r="AK3462" i="11"/>
  <c r="AL3462" i="11" s="1"/>
  <c r="AD1484" i="11"/>
  <c r="AE1484" i="11" s="1"/>
  <c r="AD1517" i="11"/>
  <c r="AE1517" i="11" s="1"/>
  <c r="AD1487" i="11"/>
  <c r="AE1487" i="11" s="1"/>
  <c r="AD1568" i="11"/>
  <c r="AE1568" i="11" s="1"/>
  <c r="AD1566" i="11"/>
  <c r="AE1566" i="11" s="1"/>
  <c r="AD1564" i="11"/>
  <c r="AE1564" i="11" s="1"/>
  <c r="AD1565" i="11"/>
  <c r="AE1565" i="11" s="1"/>
  <c r="AD1545" i="11"/>
  <c r="AE1545" i="11" s="1"/>
  <c r="AD1516" i="11"/>
  <c r="AE1516" i="11" s="1"/>
  <c r="AD1477" i="11"/>
  <c r="AE1477" i="11" s="1"/>
  <c r="AD1488" i="11"/>
  <c r="AE1488" i="11" s="1"/>
  <c r="AD1491" i="11"/>
  <c r="AE1491" i="11" s="1"/>
  <c r="AD1555" i="11"/>
  <c r="AE1555" i="11" s="1"/>
  <c r="AD1528" i="11"/>
  <c r="AE1528" i="11" s="1"/>
  <c r="AD1572" i="11"/>
  <c r="AE1572" i="11" s="1"/>
  <c r="AN1572" i="11" s="1"/>
  <c r="AD1504" i="11"/>
  <c r="AE1504" i="11" s="1"/>
  <c r="AD1576" i="11"/>
  <c r="AE1576" i="11" s="1"/>
  <c r="AD1497" i="11"/>
  <c r="AE1497" i="11" s="1"/>
  <c r="AD1578" i="11"/>
  <c r="AE1578" i="11" s="1"/>
  <c r="AD1518" i="11"/>
  <c r="AE1518" i="11" s="1"/>
  <c r="AD1480" i="11"/>
  <c r="AE1480" i="11" s="1"/>
  <c r="AD1481" i="11"/>
  <c r="AE1481" i="11" s="1"/>
  <c r="AD1558" i="11"/>
  <c r="AE1558" i="11" s="1"/>
  <c r="AD1495" i="11"/>
  <c r="AE1495" i="11" s="1"/>
  <c r="AD1508" i="11"/>
  <c r="AE1508" i="11" s="1"/>
  <c r="AD1551" i="11"/>
  <c r="AE1551" i="11" s="1"/>
  <c r="AD1482" i="11"/>
  <c r="AE1482" i="11" s="1"/>
  <c r="AD1540" i="11"/>
  <c r="AE1540" i="11" s="1"/>
  <c r="AD1544" i="11"/>
  <c r="AE1544" i="11" s="1"/>
  <c r="AD1537" i="11"/>
  <c r="AE1537" i="11" s="1"/>
  <c r="AD1506" i="11"/>
  <c r="AE1506" i="11" s="1"/>
  <c r="AD1512" i="11"/>
  <c r="AE1512" i="11" s="1"/>
  <c r="AD1538" i="11"/>
  <c r="AE1538" i="11" s="1"/>
  <c r="AD1539" i="11"/>
  <c r="AE1539" i="11" s="1"/>
  <c r="AD1567" i="11"/>
  <c r="AE1567" i="11" s="1"/>
  <c r="AD1500" i="11"/>
  <c r="AE1500" i="11" s="1"/>
  <c r="AD1479" i="11"/>
  <c r="AE1479" i="11" s="1"/>
  <c r="AD1514" i="11"/>
  <c r="AE1514" i="11" s="1"/>
  <c r="AD1515" i="11"/>
  <c r="AE1515" i="11" s="1"/>
  <c r="AD1535" i="11"/>
  <c r="AE1535" i="11" s="1"/>
  <c r="AD1513" i="11"/>
  <c r="AE1513" i="11" s="1"/>
  <c r="AD1520" i="11"/>
  <c r="AE1520" i="11" s="1"/>
  <c r="AD1522" i="11"/>
  <c r="AE1522" i="11" s="1"/>
  <c r="AD1511" i="11"/>
  <c r="AE1511" i="11" s="1"/>
  <c r="AD1498" i="11"/>
  <c r="AE1498" i="11" s="1"/>
  <c r="AD1543" i="11"/>
  <c r="AE1543" i="11" s="1"/>
  <c r="AD1509" i="11"/>
  <c r="AE1509" i="11" s="1"/>
  <c r="AD1486" i="11"/>
  <c r="AE1486" i="11" s="1"/>
  <c r="AD1561" i="11"/>
  <c r="AE1561" i="11" s="1"/>
  <c r="AD1541" i="11"/>
  <c r="AE1541" i="11" s="1"/>
  <c r="AD1501" i="11"/>
  <c r="AE1501" i="11" s="1"/>
  <c r="AD1546" i="11"/>
  <c r="AE1546" i="11" s="1"/>
  <c r="AD1570" i="11"/>
  <c r="AE1570" i="11" s="1"/>
  <c r="AD1499" i="11"/>
  <c r="AE1499" i="11" s="1"/>
  <c r="AD1577" i="11"/>
  <c r="AE1577" i="11" s="1"/>
  <c r="AD1519" i="11"/>
  <c r="AE1519" i="11" s="1"/>
  <c r="AD1505" i="11"/>
  <c r="AE1505" i="11" s="1"/>
  <c r="AD1575" i="11"/>
  <c r="AE1575" i="11" s="1"/>
  <c r="AD1542" i="11"/>
  <c r="AE1542" i="11" s="1"/>
  <c r="AD1507" i="11"/>
  <c r="AE1507" i="11" s="1"/>
  <c r="AD1562" i="11"/>
  <c r="AE1562" i="11" s="1"/>
  <c r="AD1493" i="11"/>
  <c r="AE1493" i="11" s="1"/>
  <c r="AD1534" i="11"/>
  <c r="AE1534" i="11" s="1"/>
  <c r="AD1492" i="11"/>
  <c r="AE1492" i="11" s="1"/>
  <c r="AD1573" i="11"/>
  <c r="AE1573" i="11" s="1"/>
  <c r="AN1573" i="11" s="1"/>
  <c r="AD1529" i="11"/>
  <c r="AE1529" i="11" s="1"/>
  <c r="AD1536" i="11"/>
  <c r="AE1536" i="11" s="1"/>
  <c r="AD1571" i="11"/>
  <c r="AE1571" i="11" s="1"/>
  <c r="AD1485" i="11"/>
  <c r="AE1485" i="11" s="1"/>
  <c r="AD1553" i="11"/>
  <c r="AE1553" i="11" s="1"/>
  <c r="AD1532" i="11"/>
  <c r="AE1532" i="11" s="1"/>
  <c r="AD1563" i="11"/>
  <c r="AE1563" i="11" s="1"/>
  <c r="AD1533" i="11"/>
  <c r="AE1533" i="11" s="1"/>
  <c r="AD1556" i="11"/>
  <c r="AE1556" i="11" s="1"/>
  <c r="AD1559" i="11"/>
  <c r="AE1559" i="11" s="1"/>
  <c r="AD1524" i="11"/>
  <c r="AE1524" i="11" s="1"/>
  <c r="AD1521" i="11"/>
  <c r="AE1521" i="11" s="1"/>
  <c r="AD1560" i="11"/>
  <c r="AE1560" i="11" s="1"/>
  <c r="AD1476" i="11"/>
  <c r="AE1476" i="11" s="1"/>
  <c r="AD1526" i="11"/>
  <c r="AE1526" i="11" s="1"/>
  <c r="AD1502" i="11"/>
  <c r="AE1502" i="11" s="1"/>
  <c r="AD1489" i="11"/>
  <c r="AE1489" i="11" s="1"/>
  <c r="AD1574" i="11"/>
  <c r="AE1574" i="11" s="1"/>
  <c r="AD1554" i="11"/>
  <c r="AE1554" i="11" s="1"/>
  <c r="AD1478" i="11"/>
  <c r="AE1478" i="11" s="1"/>
  <c r="AD1548" i="11"/>
  <c r="AE1548" i="11" s="1"/>
  <c r="AD1523" i="11"/>
  <c r="AE1523" i="11" s="1"/>
  <c r="AD1496" i="11"/>
  <c r="AE1496" i="11" s="1"/>
  <c r="AD1547" i="11"/>
  <c r="AE1547" i="11" s="1"/>
  <c r="AD1527" i="11"/>
  <c r="AE1527" i="11" s="1"/>
  <c r="AD1530" i="11"/>
  <c r="AE1530" i="11" s="1"/>
  <c r="AD1569" i="11"/>
  <c r="AE1569" i="11" s="1"/>
  <c r="AF1250" i="11"/>
  <c r="AG1250" i="11" s="1"/>
  <c r="AO1250" i="11" s="1"/>
  <c r="AF1228" i="11"/>
  <c r="AG1228" i="11" s="1"/>
  <c r="AO1228" i="11" s="1"/>
  <c r="AF1194" i="11"/>
  <c r="AG1194" i="11" s="1"/>
  <c r="AO1194" i="11" s="1"/>
  <c r="AF1212" i="11"/>
  <c r="AG1212" i="11" s="1"/>
  <c r="AO1212" i="11" s="1"/>
  <c r="AF1187" i="11"/>
  <c r="AG1187" i="11" s="1"/>
  <c r="AF1177" i="11"/>
  <c r="AG1177" i="11" s="1"/>
  <c r="AO1177" i="11" s="1"/>
  <c r="AF1214" i="11"/>
  <c r="AG1214" i="11" s="1"/>
  <c r="AO1214" i="11" s="1"/>
  <c r="AF1216" i="11"/>
  <c r="AG1216" i="11" s="1"/>
  <c r="AF1232" i="11"/>
  <c r="AG1232" i="11" s="1"/>
  <c r="AF1208" i="11"/>
  <c r="AG1208" i="11" s="1"/>
  <c r="AO1208" i="11" s="1"/>
  <c r="AF1220" i="11"/>
  <c r="AG1220" i="11" s="1"/>
  <c r="AF1233" i="11"/>
  <c r="AG1233" i="11" s="1"/>
  <c r="AF1181" i="11"/>
  <c r="AG1181" i="11" s="1"/>
  <c r="AO1181" i="11" s="1"/>
  <c r="AF1252" i="11"/>
  <c r="AG1252" i="11" s="1"/>
  <c r="AO1252" i="11" s="1"/>
  <c r="AF1225" i="11"/>
  <c r="AG1225" i="11" s="1"/>
  <c r="AO1225" i="11" s="1"/>
  <c r="AF1254" i="11"/>
  <c r="AG1254" i="11" s="1"/>
  <c r="AO1254" i="11" s="1"/>
  <c r="AF1200" i="11"/>
  <c r="AG1200" i="11" s="1"/>
  <c r="AO1200" i="11" s="1"/>
  <c r="AF1184" i="11"/>
  <c r="AG1184" i="11" s="1"/>
  <c r="AO1184" i="11" s="1"/>
  <c r="AF1162" i="11"/>
  <c r="AG1162" i="11" s="1"/>
  <c r="AO1162" i="11" s="1"/>
  <c r="AF1258" i="11"/>
  <c r="AG1258" i="11" s="1"/>
  <c r="AF1239" i="11"/>
  <c r="AG1239" i="11" s="1"/>
  <c r="AF1203" i="11"/>
  <c r="AG1203" i="11" s="1"/>
  <c r="AF1180" i="11"/>
  <c r="AG1180" i="11" s="1"/>
  <c r="AF1209" i="11"/>
  <c r="AG1209" i="11" s="1"/>
  <c r="AO1209" i="11" s="1"/>
  <c r="AF1224" i="11"/>
  <c r="AG1224" i="11" s="1"/>
  <c r="AO1224" i="11" s="1"/>
  <c r="AF1261" i="11"/>
  <c r="AG1261" i="11" s="1"/>
  <c r="AF1176" i="11"/>
  <c r="AG1176" i="11" s="1"/>
  <c r="AO1176" i="11" s="1"/>
  <c r="AF1206" i="11"/>
  <c r="AG1206" i="11" s="1"/>
  <c r="AO1206" i="11" s="1"/>
  <c r="AF1237" i="11"/>
  <c r="AG1237" i="11" s="1"/>
  <c r="AO1237" i="11" s="1"/>
  <c r="AF1179" i="11"/>
  <c r="AG1179" i="11" s="1"/>
  <c r="AO1179" i="11" s="1"/>
  <c r="AF1245" i="11"/>
  <c r="AG1245" i="11" s="1"/>
  <c r="AO1245" i="11" s="1"/>
  <c r="AF1164" i="11"/>
  <c r="AG1164" i="11" s="1"/>
  <c r="AF1222" i="11"/>
  <c r="AG1222" i="11" s="1"/>
  <c r="AF1165" i="11"/>
  <c r="AG1165" i="11" s="1"/>
  <c r="AO1165" i="11" s="1"/>
  <c r="AF1251" i="11"/>
  <c r="AG1251" i="11" s="1"/>
  <c r="AF1235" i="11"/>
  <c r="AG1235" i="11" s="1"/>
  <c r="AO1235" i="11" s="1"/>
  <c r="AF1264" i="11"/>
  <c r="AG1264" i="11" s="1"/>
  <c r="AF1207" i="11"/>
  <c r="AG1207" i="11" s="1"/>
  <c r="AF1175" i="11"/>
  <c r="AG1175" i="11" s="1"/>
  <c r="AO1175" i="11" s="1"/>
  <c r="AF1243" i="11"/>
  <c r="AG1243" i="11" s="1"/>
  <c r="AF1182" i="11"/>
  <c r="AG1182" i="11" s="1"/>
  <c r="AO1182" i="11" s="1"/>
  <c r="AF1213" i="11"/>
  <c r="AG1213" i="11" s="1"/>
  <c r="AO1213" i="11" s="1"/>
  <c r="AF1198" i="11"/>
  <c r="AG1198" i="11" s="1"/>
  <c r="AF1192" i="11"/>
  <c r="AG1192" i="11" s="1"/>
  <c r="AF1173" i="11"/>
  <c r="AG1173" i="11" s="1"/>
  <c r="AF1238" i="11"/>
  <c r="AG1238" i="11" s="1"/>
  <c r="AO1238" i="11" s="1"/>
  <c r="AF1191" i="11"/>
  <c r="AG1191" i="11" s="1"/>
  <c r="AF1201" i="11"/>
  <c r="AG1201" i="11" s="1"/>
  <c r="AO1201" i="11" s="1"/>
  <c r="AF1161" i="11"/>
  <c r="AG1161" i="11" s="1"/>
  <c r="AF1255" i="11"/>
  <c r="AG1255" i="11" s="1"/>
  <c r="AO1255" i="11" s="1"/>
  <c r="AF1168" i="11"/>
  <c r="AG1168" i="11" s="1"/>
  <c r="AO1168" i="11" s="1"/>
  <c r="AF1260" i="11"/>
  <c r="AG1260" i="11" s="1"/>
  <c r="AF1226" i="11"/>
  <c r="AG1226" i="11" s="1"/>
  <c r="AO1226" i="11" s="1"/>
  <c r="AF1199" i="11"/>
  <c r="AG1199" i="11" s="1"/>
  <c r="AF1211" i="11"/>
  <c r="AG1211" i="11" s="1"/>
  <c r="AO1211" i="11" s="1"/>
  <c r="AF1247" i="11"/>
  <c r="AG1247" i="11" s="1"/>
  <c r="AO1247" i="11" s="1"/>
  <c r="AF1160" i="11"/>
  <c r="AG1160" i="11" s="1"/>
  <c r="AF1253" i="11"/>
  <c r="AG1253" i="11" s="1"/>
  <c r="O176" i="54"/>
  <c r="AF1163" i="11"/>
  <c r="AG1163" i="11" s="1"/>
  <c r="AO1163" i="11" s="1"/>
  <c r="AF1244" i="11"/>
  <c r="AG1244" i="11" s="1"/>
  <c r="AO1244" i="11" s="1"/>
  <c r="AF1202" i="11"/>
  <c r="AG1202" i="11" s="1"/>
  <c r="AO1202" i="11" s="1"/>
  <c r="AF1196" i="11"/>
  <c r="AG1196" i="11" s="1"/>
  <c r="AO1196" i="11" s="1"/>
  <c r="AF1223" i="11"/>
  <c r="AG1223" i="11" s="1"/>
  <c r="AO1223" i="11" s="1"/>
  <c r="AF1241" i="11"/>
  <c r="AG1241" i="11" s="1"/>
  <c r="AO1241" i="11" s="1"/>
  <c r="AF1240" i="11"/>
  <c r="AG1240" i="11" s="1"/>
  <c r="AO1240" i="11" s="1"/>
  <c r="AF1249" i="11"/>
  <c r="AG1249" i="11" s="1"/>
  <c r="AF1242" i="11"/>
  <c r="AG1242" i="11" s="1"/>
  <c r="AO1242" i="11" s="1"/>
  <c r="AF1263" i="11"/>
  <c r="AG1263" i="11" s="1"/>
  <c r="AF1170" i="11"/>
  <c r="AG1170" i="11" s="1"/>
  <c r="AF1262" i="11"/>
  <c r="AG1262" i="11" s="1"/>
  <c r="AF1259" i="11"/>
  <c r="AG1259" i="11" s="1"/>
  <c r="AO1259" i="11" s="1"/>
  <c r="AF1227" i="11"/>
  <c r="AG1227" i="11" s="1"/>
  <c r="AO1227" i="11" s="1"/>
  <c r="AF1231" i="11"/>
  <c r="AG1231" i="11" s="1"/>
  <c r="AO1231" i="11" s="1"/>
  <c r="AF1205" i="11"/>
  <c r="AG1205" i="11" s="1"/>
  <c r="AF1210" i="11"/>
  <c r="AG1210" i="11" s="1"/>
  <c r="AO1210" i="11" s="1"/>
  <c r="AF1256" i="11"/>
  <c r="AG1256" i="11" s="1"/>
  <c r="AO1256" i="11" s="1"/>
  <c r="AF1218" i="11"/>
  <c r="AG1218" i="11" s="1"/>
  <c r="AF1178" i="11"/>
  <c r="AG1178" i="11" s="1"/>
  <c r="AO1178" i="11" s="1"/>
  <c r="AF1169" i="11"/>
  <c r="AG1169" i="11" s="1"/>
  <c r="AO1169" i="11" s="1"/>
  <c r="AF1246" i="11"/>
  <c r="AG1246" i="11" s="1"/>
  <c r="AO1246" i="11" s="1"/>
  <c r="AF1186" i="11"/>
  <c r="AG1186" i="11" s="1"/>
  <c r="AF1230" i="11"/>
  <c r="AG1230" i="11" s="1"/>
  <c r="AF1167" i="11"/>
  <c r="AG1167" i="11" s="1"/>
  <c r="AO1167" i="11" s="1"/>
  <c r="AF1217" i="11"/>
  <c r="AG1217" i="11" s="1"/>
  <c r="AO1217" i="11" s="1"/>
  <c r="AF1193" i="11"/>
  <c r="AG1193" i="11" s="1"/>
  <c r="AF1221" i="11"/>
  <c r="AG1221" i="11" s="1"/>
  <c r="AO1221" i="11" s="1"/>
  <c r="AF1215" i="11"/>
  <c r="AG1215" i="11" s="1"/>
  <c r="AO1215" i="11" s="1"/>
  <c r="AF1229" i="11"/>
  <c r="AG1229" i="11" s="1"/>
  <c r="AO1229" i="11" s="1"/>
  <c r="AF1248" i="11"/>
  <c r="AG1248" i="11" s="1"/>
  <c r="AO1248" i="11" s="1"/>
  <c r="AF1204" i="11"/>
  <c r="AG1204" i="11" s="1"/>
  <c r="AO1204" i="11" s="1"/>
  <c r="AD2642" i="11"/>
  <c r="AE2642" i="11" s="1"/>
  <c r="AD2677" i="11"/>
  <c r="AE2677" i="11" s="1"/>
  <c r="AD2640" i="11"/>
  <c r="AE2640" i="11" s="1"/>
  <c r="AD2667" i="11"/>
  <c r="AE2667" i="11" s="1"/>
  <c r="AD2689" i="11"/>
  <c r="AE2689" i="11" s="1"/>
  <c r="AD2733" i="11"/>
  <c r="AE2733" i="11" s="1"/>
  <c r="AD2671" i="11"/>
  <c r="AE2671" i="11" s="1"/>
  <c r="AD2700" i="11"/>
  <c r="AE2700" i="11" s="1"/>
  <c r="AD2713" i="11"/>
  <c r="AE2713" i="11" s="1"/>
  <c r="AD2732" i="11"/>
  <c r="AE2732" i="11" s="1"/>
  <c r="AD2635" i="11"/>
  <c r="AE2635" i="11" s="1"/>
  <c r="AD2717" i="11"/>
  <c r="AE2717" i="11" s="1"/>
  <c r="AD2709" i="11"/>
  <c r="AE2709" i="11" s="1"/>
  <c r="AD2633" i="11"/>
  <c r="AE2633" i="11" s="1"/>
  <c r="AD2646" i="11"/>
  <c r="AE2646" i="11" s="1"/>
  <c r="AD2696" i="11"/>
  <c r="AE2696" i="11" s="1"/>
  <c r="AD2695" i="11"/>
  <c r="AE2695" i="11" s="1"/>
  <c r="AD2723" i="11"/>
  <c r="AE2723" i="11" s="1"/>
  <c r="AD2703" i="11"/>
  <c r="AE2703" i="11" s="1"/>
  <c r="AD2669" i="11"/>
  <c r="AE2669" i="11" s="1"/>
  <c r="AD2685" i="11"/>
  <c r="AE2685" i="11" s="1"/>
  <c r="AD2665" i="11"/>
  <c r="AE2665" i="11" s="1"/>
  <c r="AD2706" i="11"/>
  <c r="AE2706" i="11" s="1"/>
  <c r="AD2654" i="11"/>
  <c r="AE2654" i="11" s="1"/>
  <c r="AD2705" i="11"/>
  <c r="AE2705" i="11" s="1"/>
  <c r="AD2652" i="11"/>
  <c r="AE2652" i="11" s="1"/>
  <c r="AD2702" i="11"/>
  <c r="AE2702" i="11" s="1"/>
  <c r="AD2721" i="11"/>
  <c r="AE2721" i="11" s="1"/>
  <c r="N171" i="54"/>
  <c r="AD2710" i="11"/>
  <c r="AE2710" i="11" s="1"/>
  <c r="AD2727" i="11"/>
  <c r="AE2727" i="11" s="1"/>
  <c r="AN2727" i="11" s="1"/>
  <c r="AD2668" i="11"/>
  <c r="AE2668" i="11" s="1"/>
  <c r="AD2659" i="11"/>
  <c r="AE2659" i="11" s="1"/>
  <c r="AD2722" i="11"/>
  <c r="AE2722" i="11" s="1"/>
  <c r="AD2647" i="11"/>
  <c r="AE2647" i="11" s="1"/>
  <c r="AD2687" i="11"/>
  <c r="AE2687" i="11" s="1"/>
  <c r="AD2683" i="11"/>
  <c r="AE2683" i="11" s="1"/>
  <c r="AD2663" i="11"/>
  <c r="AE2663" i="11" s="1"/>
  <c r="AD2707" i="11"/>
  <c r="AE2707" i="11" s="1"/>
  <c r="AD2660" i="11"/>
  <c r="AE2660" i="11" s="1"/>
  <c r="AD2682" i="11"/>
  <c r="AE2682" i="11" s="1"/>
  <c r="AD2679" i="11"/>
  <c r="AE2679" i="11" s="1"/>
  <c r="AD2681" i="11"/>
  <c r="AE2681" i="11" s="1"/>
  <c r="AD2734" i="11"/>
  <c r="AE2734" i="11" s="1"/>
  <c r="AD2714" i="11"/>
  <c r="AE2714" i="11" s="1"/>
  <c r="AD2656" i="11"/>
  <c r="AE2656" i="11" s="1"/>
  <c r="AD2731" i="11"/>
  <c r="AE2731" i="11" s="1"/>
  <c r="AD2676" i="11"/>
  <c r="AE2676" i="11" s="1"/>
  <c r="AD2690" i="11"/>
  <c r="AE2690" i="11" s="1"/>
  <c r="AD2638" i="11"/>
  <c r="AE2638" i="11" s="1"/>
  <c r="AD2686" i="11"/>
  <c r="AE2686" i="11" s="1"/>
  <c r="AD2634" i="11"/>
  <c r="AE2634" i="11" s="1"/>
  <c r="AD2658" i="11"/>
  <c r="AE2658" i="11" s="1"/>
  <c r="AD2693" i="11"/>
  <c r="AE2693" i="11" s="1"/>
  <c r="AD2725" i="11"/>
  <c r="AE2725" i="11" s="1"/>
  <c r="AD2697" i="11"/>
  <c r="AE2697" i="11" s="1"/>
  <c r="AD2636" i="11"/>
  <c r="AE2636" i="11" s="1"/>
  <c r="AD2699" i="11"/>
  <c r="AE2699" i="11" s="1"/>
  <c r="AD2645" i="11"/>
  <c r="AE2645" i="11" s="1"/>
  <c r="AD2680" i="11"/>
  <c r="AE2680" i="11" s="1"/>
  <c r="AD2704" i="11"/>
  <c r="AE2704" i="11" s="1"/>
  <c r="AD2631" i="11"/>
  <c r="AE2631" i="11" s="1"/>
  <c r="AD2729" i="11"/>
  <c r="AE2729" i="11" s="1"/>
  <c r="AN2729" i="11" s="1"/>
  <c r="AD2708" i="11"/>
  <c r="AE2708" i="11" s="1"/>
  <c r="AD2728" i="11"/>
  <c r="AE2728" i="11" s="1"/>
  <c r="AD2675" i="11"/>
  <c r="AE2675" i="11" s="1"/>
  <c r="AD2688" i="11"/>
  <c r="AE2688" i="11" s="1"/>
  <c r="AD2730" i="11"/>
  <c r="AE2730" i="11" s="1"/>
  <c r="AD2650" i="11"/>
  <c r="AE2650" i="11" s="1"/>
  <c r="AD2655" i="11"/>
  <c r="AE2655" i="11" s="1"/>
  <c r="AD2692" i="11"/>
  <c r="AE2692" i="11" s="1"/>
  <c r="AD2718" i="11"/>
  <c r="AE2718" i="11" s="1"/>
  <c r="AD2724" i="11"/>
  <c r="AE2724" i="11" s="1"/>
  <c r="AN2724" i="11" s="1"/>
  <c r="AD2644" i="11"/>
  <c r="AE2644" i="11" s="1"/>
  <c r="AD2674" i="11"/>
  <c r="AE2674" i="11" s="1"/>
  <c r="AD2657" i="11"/>
  <c r="AE2657" i="11" s="1"/>
  <c r="AD2716" i="11"/>
  <c r="AE2716" i="11" s="1"/>
  <c r="AD2637" i="11"/>
  <c r="AE2637" i="11" s="1"/>
  <c r="AD2653" i="11"/>
  <c r="AE2653" i="11" s="1"/>
  <c r="AD2648" i="11"/>
  <c r="AE2648" i="11" s="1"/>
  <c r="AD2712" i="11"/>
  <c r="AE2712" i="11" s="1"/>
  <c r="AD2694" i="11"/>
  <c r="AE2694" i="11" s="1"/>
  <c r="AD2720" i="11"/>
  <c r="AE2720" i="11" s="1"/>
  <c r="AD2691" i="11"/>
  <c r="AE2691" i="11" s="1"/>
  <c r="AD2698" i="11"/>
  <c r="AE2698" i="11" s="1"/>
  <c r="AD2643" i="11"/>
  <c r="AE2643" i="11" s="1"/>
  <c r="AD2719" i="11"/>
  <c r="AE2719" i="11" s="1"/>
  <c r="AD2672" i="11"/>
  <c r="AE2672" i="11" s="1"/>
  <c r="AD2651" i="11"/>
  <c r="AE2651" i="11" s="1"/>
  <c r="AD2661" i="11"/>
  <c r="AE2661" i="11" s="1"/>
  <c r="AD2684" i="11"/>
  <c r="AE2684" i="11" s="1"/>
  <c r="AD2649" i="11"/>
  <c r="AE2649" i="11" s="1"/>
  <c r="AD2701" i="11"/>
  <c r="AE2701" i="11" s="1"/>
  <c r="AD2662" i="11"/>
  <c r="AE2662" i="11" s="1"/>
  <c r="AD2673" i="11"/>
  <c r="AE2673" i="11" s="1"/>
  <c r="AD2715" i="11"/>
  <c r="AE2715" i="11" s="1"/>
  <c r="AD634" i="11"/>
  <c r="AE634" i="11" s="1"/>
  <c r="AN634" i="11" s="1"/>
  <c r="AD627" i="11"/>
  <c r="AE627" i="11" s="1"/>
  <c r="AD625" i="11"/>
  <c r="AE625" i="11" s="1"/>
  <c r="AD630" i="11"/>
  <c r="AE630" i="11" s="1"/>
  <c r="AD588" i="11"/>
  <c r="AE588" i="11" s="1"/>
  <c r="AN588" i="11" s="1"/>
  <c r="AD572" i="11"/>
  <c r="AE572" i="11" s="1"/>
  <c r="AN572" i="11" s="1"/>
  <c r="AD603" i="11"/>
  <c r="AE603" i="11" s="1"/>
  <c r="AD548" i="11"/>
  <c r="AE548" i="11" s="1"/>
  <c r="AN548" i="11" s="1"/>
  <c r="AD538" i="11"/>
  <c r="AE538" i="11" s="1"/>
  <c r="AD613" i="11"/>
  <c r="AE613" i="11" s="1"/>
  <c r="AN613" i="11" s="1"/>
  <c r="AD559" i="11"/>
  <c r="AE559" i="11" s="1"/>
  <c r="AD543" i="11"/>
  <c r="AE543" i="11" s="1"/>
  <c r="AN543" i="11" s="1"/>
  <c r="AD600" i="11"/>
  <c r="AE600" i="11" s="1"/>
  <c r="AD552" i="11"/>
  <c r="AE552" i="11" s="1"/>
  <c r="AD593" i="11"/>
  <c r="AE593" i="11" s="1"/>
  <c r="AD595" i="11"/>
  <c r="AE595" i="11" s="1"/>
  <c r="AN595" i="11" s="1"/>
  <c r="AD589" i="11"/>
  <c r="AE589" i="11" s="1"/>
  <c r="AD610" i="11"/>
  <c r="AE610" i="11" s="1"/>
  <c r="AD585" i="11"/>
  <c r="AE585" i="11" s="1"/>
  <c r="AN585" i="11" s="1"/>
  <c r="AD578" i="11"/>
  <c r="AE578" i="11" s="1"/>
  <c r="AD607" i="11"/>
  <c r="AE607" i="11" s="1"/>
  <c r="AN607" i="11" s="1"/>
  <c r="AD576" i="11"/>
  <c r="AE576" i="11" s="1"/>
  <c r="AD557" i="11"/>
  <c r="AE557" i="11" s="1"/>
  <c r="AN557" i="11" s="1"/>
  <c r="AD597" i="11"/>
  <c r="AE597" i="11" s="1"/>
  <c r="AN597" i="11" s="1"/>
  <c r="AD631" i="11"/>
  <c r="AE631" i="11" s="1"/>
  <c r="AD620" i="11"/>
  <c r="AE620" i="11" s="1"/>
  <c r="AD553" i="11"/>
  <c r="AE553" i="11" s="1"/>
  <c r="AN553" i="11" s="1"/>
  <c r="AD554" i="11"/>
  <c r="AE554" i="11" s="1"/>
  <c r="AD577" i="11"/>
  <c r="AE577" i="11" s="1"/>
  <c r="AD567" i="11"/>
  <c r="AE567" i="11" s="1"/>
  <c r="AN567" i="11" s="1"/>
  <c r="AD622" i="11"/>
  <c r="AE622" i="11" s="1"/>
  <c r="AN622" i="11" s="1"/>
  <c r="AD540" i="11"/>
  <c r="AE540" i="11" s="1"/>
  <c r="AD633" i="11"/>
  <c r="AE633" i="11" s="1"/>
  <c r="AD604" i="11"/>
  <c r="AE604" i="11" s="1"/>
  <c r="AN604" i="11" s="1"/>
  <c r="AD581" i="11"/>
  <c r="AE581" i="11" s="1"/>
  <c r="AD612" i="11"/>
  <c r="AE612" i="11" s="1"/>
  <c r="AD592" i="11"/>
  <c r="AE592" i="11" s="1"/>
  <c r="AN592" i="11" s="1"/>
  <c r="AD569" i="11"/>
  <c r="AE569" i="11" s="1"/>
  <c r="AD533" i="11"/>
  <c r="AE533" i="11" s="1"/>
  <c r="AN533" i="11" s="1"/>
  <c r="AD536" i="11"/>
  <c r="AE536" i="11" s="1"/>
  <c r="AD539" i="11"/>
  <c r="AE539" i="11" s="1"/>
  <c r="AD575" i="11"/>
  <c r="AE575" i="11" s="1"/>
  <c r="AN575" i="11" s="1"/>
  <c r="AD566" i="11"/>
  <c r="AE566" i="11" s="1"/>
  <c r="AN566" i="11" s="1"/>
  <c r="AD609" i="11"/>
  <c r="AE609" i="11" s="1"/>
  <c r="AN609" i="11" s="1"/>
  <c r="AD571" i="11"/>
  <c r="AE571" i="11" s="1"/>
  <c r="AN571" i="11" s="1"/>
  <c r="AD545" i="11"/>
  <c r="AE545" i="11" s="1"/>
  <c r="AD623" i="11"/>
  <c r="AE623" i="11" s="1"/>
  <c r="AN623" i="11" s="1"/>
  <c r="AD619" i="11"/>
  <c r="AE619" i="11" s="1"/>
  <c r="AN619" i="11" s="1"/>
  <c r="AD547" i="11"/>
  <c r="AE547" i="11" s="1"/>
  <c r="AD618" i="11"/>
  <c r="AE618" i="11" s="1"/>
  <c r="AD573" i="11"/>
  <c r="AE573" i="11" s="1"/>
  <c r="AN573" i="11" s="1"/>
  <c r="AD579" i="11"/>
  <c r="AE579" i="11" s="1"/>
  <c r="AN579" i="11" s="1"/>
  <c r="AD596" i="11"/>
  <c r="AE596" i="11" s="1"/>
  <c r="AN596" i="11" s="1"/>
  <c r="AD544" i="11"/>
  <c r="AE544" i="11" s="1"/>
  <c r="AD563" i="11"/>
  <c r="AE563" i="11" s="1"/>
  <c r="AN563" i="11" s="1"/>
  <c r="AD542" i="11"/>
  <c r="AE542" i="11" s="1"/>
  <c r="AN542" i="11" s="1"/>
  <c r="AD584" i="11"/>
  <c r="AE584" i="11" s="1"/>
  <c r="AN584" i="11" s="1"/>
  <c r="AD561" i="11"/>
  <c r="AE561" i="11" s="1"/>
  <c r="AD616" i="11"/>
  <c r="AE616" i="11" s="1"/>
  <c r="AN616" i="11" s="1"/>
  <c r="AD608" i="11"/>
  <c r="AE608" i="11" s="1"/>
  <c r="AN608" i="11" s="1"/>
  <c r="AD586" i="11"/>
  <c r="AE586" i="11" s="1"/>
  <c r="AD601" i="11"/>
  <c r="AE601" i="11" s="1"/>
  <c r="AN601" i="11" s="1"/>
  <c r="AD564" i="11"/>
  <c r="AE564" i="11" s="1"/>
  <c r="AN564" i="11" s="1"/>
  <c r="AD568" i="11"/>
  <c r="AE568" i="11" s="1"/>
  <c r="AD574" i="11"/>
  <c r="AE574" i="11" s="1"/>
  <c r="AN574" i="11" s="1"/>
  <c r="AD599" i="11"/>
  <c r="AE599" i="11" s="1"/>
  <c r="AN599" i="11" s="1"/>
  <c r="AD555" i="11"/>
  <c r="AE555" i="11" s="1"/>
  <c r="AN555" i="11" s="1"/>
  <c r="AD626" i="11"/>
  <c r="AE626" i="11" s="1"/>
  <c r="AD537" i="11"/>
  <c r="AE537" i="11" s="1"/>
  <c r="AN537" i="11" s="1"/>
  <c r="AD590" i="11"/>
  <c r="AE590" i="11" s="1"/>
  <c r="AD587" i="11"/>
  <c r="AE587" i="11" s="1"/>
  <c r="AD570" i="11"/>
  <c r="AE570" i="11" s="1"/>
  <c r="AN570" i="11" s="1"/>
  <c r="AD591" i="11"/>
  <c r="AE591" i="11" s="1"/>
  <c r="AN591" i="11" s="1"/>
  <c r="AD541" i="11"/>
  <c r="AE541" i="11" s="1"/>
  <c r="AD632" i="11"/>
  <c r="AE632" i="11" s="1"/>
  <c r="AN632" i="11" s="1"/>
  <c r="AD556" i="11"/>
  <c r="AE556" i="11" s="1"/>
  <c r="AD546" i="11"/>
  <c r="AE546" i="11" s="1"/>
  <c r="AN546" i="11" s="1"/>
  <c r="AD580" i="11"/>
  <c r="AE580" i="11" s="1"/>
  <c r="AN580" i="11" s="1"/>
  <c r="AD551" i="11"/>
  <c r="AE551" i="11" s="1"/>
  <c r="AN551" i="11" s="1"/>
  <c r="AD549" i="11"/>
  <c r="AE549" i="11" s="1"/>
  <c r="AN549" i="11" s="1"/>
  <c r="AD535" i="11"/>
  <c r="AE535" i="11" s="1"/>
  <c r="AN535" i="11" s="1"/>
  <c r="AD582" i="11"/>
  <c r="AE582" i="11" s="1"/>
  <c r="AN582" i="11" s="1"/>
  <c r="AD628" i="11"/>
  <c r="AE628" i="11" s="1"/>
  <c r="AN628" i="11" s="1"/>
  <c r="AD611" i="11"/>
  <c r="AE611" i="11" s="1"/>
  <c r="AN611" i="11" s="1"/>
  <c r="AD606" i="11"/>
  <c r="AE606" i="11" s="1"/>
  <c r="AN606" i="11" s="1"/>
  <c r="AD594" i="11"/>
  <c r="AE594" i="11" s="1"/>
  <c r="AD598" i="11"/>
  <c r="AE598" i="11" s="1"/>
  <c r="AD550" i="11"/>
  <c r="AE550" i="11" s="1"/>
  <c r="AD583" i="11"/>
  <c r="AE583" i="11" s="1"/>
  <c r="N191" i="54"/>
  <c r="AD560" i="11"/>
  <c r="AE560" i="11" s="1"/>
  <c r="AN560" i="11" s="1"/>
  <c r="AD605" i="11"/>
  <c r="AE605" i="11" s="1"/>
  <c r="AN605" i="11" s="1"/>
  <c r="AD558" i="11"/>
  <c r="AE558" i="11" s="1"/>
  <c r="AN558" i="11" s="1"/>
  <c r="AD629" i="11"/>
  <c r="AE629" i="11" s="1"/>
  <c r="AD531" i="11"/>
  <c r="AE531" i="11" s="1"/>
  <c r="AD614" i="11"/>
  <c r="AE614" i="11" s="1"/>
  <c r="AN614" i="11" s="1"/>
  <c r="AD534" i="11"/>
  <c r="AE534" i="11" s="1"/>
  <c r="AD565" i="11"/>
  <c r="AE565" i="11" s="1"/>
  <c r="AD562" i="11"/>
  <c r="AE562" i="11" s="1"/>
  <c r="AN562" i="11" s="1"/>
  <c r="AD617" i="11"/>
  <c r="AE617" i="11" s="1"/>
  <c r="AD532" i="11"/>
  <c r="AE532" i="11" s="1"/>
  <c r="AN532" i="11" s="1"/>
  <c r="AD885" i="11"/>
  <c r="AE885" i="11" s="1"/>
  <c r="AN885" i="11" s="1"/>
  <c r="AD865" i="11"/>
  <c r="AE865" i="11" s="1"/>
  <c r="AN865" i="11" s="1"/>
  <c r="AD915" i="11"/>
  <c r="AE915" i="11" s="1"/>
  <c r="AN915" i="11" s="1"/>
  <c r="AD927" i="11"/>
  <c r="AE927" i="11" s="1"/>
  <c r="AD910" i="11"/>
  <c r="AE910" i="11" s="1"/>
  <c r="AD850" i="11"/>
  <c r="AE850" i="11" s="1"/>
  <c r="AN850" i="11" s="1"/>
  <c r="AD897" i="11"/>
  <c r="AE897" i="11" s="1"/>
  <c r="AD922" i="11"/>
  <c r="AE922" i="11" s="1"/>
  <c r="AD894" i="11"/>
  <c r="AE894" i="11" s="1"/>
  <c r="AD939" i="11"/>
  <c r="AE939" i="11" s="1"/>
  <c r="AD917" i="11"/>
  <c r="AE917" i="11" s="1"/>
  <c r="AD868" i="11"/>
  <c r="AE868" i="11" s="1"/>
  <c r="AN868" i="11" s="1"/>
  <c r="AD947" i="11"/>
  <c r="AE947" i="11" s="1"/>
  <c r="AD849" i="11"/>
  <c r="AE849" i="11" s="1"/>
  <c r="AD916" i="11"/>
  <c r="AE916" i="11" s="1"/>
  <c r="AD876" i="11"/>
  <c r="AE876" i="11" s="1"/>
  <c r="AN876" i="11" s="1"/>
  <c r="AD918" i="11"/>
  <c r="AE918" i="11" s="1"/>
  <c r="AD880" i="11"/>
  <c r="AE880" i="11" s="1"/>
  <c r="AD884" i="11"/>
  <c r="AE884" i="11" s="1"/>
  <c r="AD913" i="11"/>
  <c r="AE913" i="11" s="1"/>
  <c r="AN913" i="11" s="1"/>
  <c r="AD929" i="11"/>
  <c r="AE929" i="11" s="1"/>
  <c r="AD864" i="11"/>
  <c r="AE864" i="11" s="1"/>
  <c r="AD856" i="11"/>
  <c r="AE856" i="11" s="1"/>
  <c r="AD886" i="11"/>
  <c r="AE886" i="11" s="1"/>
  <c r="AD936" i="11"/>
  <c r="AE936" i="11" s="1"/>
  <c r="AD948" i="11"/>
  <c r="AE948" i="11" s="1"/>
  <c r="AD853" i="11"/>
  <c r="AE853" i="11" s="1"/>
  <c r="AD858" i="11"/>
  <c r="AE858" i="11" s="1"/>
  <c r="AN858" i="11" s="1"/>
  <c r="AD895" i="11"/>
  <c r="AE895" i="11" s="1"/>
  <c r="AD912" i="11"/>
  <c r="AE912" i="11" s="1"/>
  <c r="AD926" i="11"/>
  <c r="AE926" i="11" s="1"/>
  <c r="AD874" i="11"/>
  <c r="AE874" i="11" s="1"/>
  <c r="AD933" i="11"/>
  <c r="AE933" i="11" s="1"/>
  <c r="AD914" i="11"/>
  <c r="AE914" i="11" s="1"/>
  <c r="AD940" i="11"/>
  <c r="AE940" i="11" s="1"/>
  <c r="AD925" i="11"/>
  <c r="AE925" i="11" s="1"/>
  <c r="AD851" i="11"/>
  <c r="AE851" i="11" s="1"/>
  <c r="N200" i="54"/>
  <c r="AD887" i="11"/>
  <c r="AE887" i="11" s="1"/>
  <c r="AD882" i="11"/>
  <c r="AE882" i="11" s="1"/>
  <c r="AN882" i="11" s="1"/>
  <c r="AD919" i="11"/>
  <c r="AE919" i="11" s="1"/>
  <c r="AD923" i="11"/>
  <c r="AE923" i="11" s="1"/>
  <c r="AD920" i="11"/>
  <c r="AE920" i="11" s="1"/>
  <c r="AD862" i="11"/>
  <c r="AE862" i="11" s="1"/>
  <c r="AD869" i="11"/>
  <c r="AE869" i="11" s="1"/>
  <c r="AD898" i="11"/>
  <c r="AE898" i="11" s="1"/>
  <c r="AD873" i="11"/>
  <c r="AE873" i="11" s="1"/>
  <c r="AD946" i="11"/>
  <c r="AE946" i="11" s="1"/>
  <c r="AD854" i="11"/>
  <c r="AE854" i="11" s="1"/>
  <c r="AD899" i="11"/>
  <c r="AE899" i="11" s="1"/>
  <c r="AD877" i="11"/>
  <c r="AE877" i="11" s="1"/>
  <c r="AN877" i="11" s="1"/>
  <c r="AD859" i="11"/>
  <c r="AE859" i="11" s="1"/>
  <c r="AD944" i="11"/>
  <c r="AE944" i="11" s="1"/>
  <c r="AD938" i="11"/>
  <c r="AE938" i="11" s="1"/>
  <c r="AN938" i="11" s="1"/>
  <c r="AD941" i="11"/>
  <c r="AE941" i="11" s="1"/>
  <c r="AD871" i="11"/>
  <c r="AE871" i="11" s="1"/>
  <c r="AD931" i="11"/>
  <c r="AE931" i="11" s="1"/>
  <c r="AD943" i="11"/>
  <c r="AE943" i="11" s="1"/>
  <c r="AD891" i="11"/>
  <c r="AE891" i="11" s="1"/>
  <c r="AD875" i="11"/>
  <c r="AE875" i="11" s="1"/>
  <c r="AD921" i="11"/>
  <c r="AE921" i="11" s="1"/>
  <c r="AD888" i="11"/>
  <c r="AE888" i="11" s="1"/>
  <c r="AD852" i="11"/>
  <c r="AE852" i="11" s="1"/>
  <c r="AD934" i="11"/>
  <c r="AE934" i="11" s="1"/>
  <c r="AN934" i="11" s="1"/>
  <c r="AD892" i="11"/>
  <c r="AE892" i="11" s="1"/>
  <c r="AD889" i="11"/>
  <c r="AE889" i="11" s="1"/>
  <c r="AD896" i="11"/>
  <c r="AE896" i="11" s="1"/>
  <c r="AD942" i="11"/>
  <c r="AE942" i="11" s="1"/>
  <c r="AD879" i="11"/>
  <c r="AE879" i="11" s="1"/>
  <c r="AN879" i="11" s="1"/>
  <c r="AD881" i="11"/>
  <c r="AE881" i="11" s="1"/>
  <c r="AD935" i="11"/>
  <c r="AE935" i="11" s="1"/>
  <c r="AD901" i="11"/>
  <c r="AE901" i="11" s="1"/>
  <c r="AD937" i="11"/>
  <c r="AE937" i="11" s="1"/>
  <c r="AD900" i="11"/>
  <c r="AE900" i="11" s="1"/>
  <c r="AD906" i="11"/>
  <c r="AE906" i="11" s="1"/>
  <c r="AD845" i="11"/>
  <c r="AE845" i="11" s="1"/>
  <c r="AN845" i="11" s="1"/>
  <c r="AD846" i="11"/>
  <c r="AE846" i="11" s="1"/>
  <c r="AD872" i="11"/>
  <c r="AE872" i="11" s="1"/>
  <c r="AD903" i="11"/>
  <c r="AE903" i="11" s="1"/>
  <c r="AD949" i="11"/>
  <c r="AE949" i="11" s="1"/>
  <c r="AD890" i="11"/>
  <c r="AE890" i="11" s="1"/>
  <c r="AD863" i="11"/>
  <c r="AE863" i="11" s="1"/>
  <c r="AD902" i="11"/>
  <c r="AE902" i="11" s="1"/>
  <c r="AD928" i="11"/>
  <c r="AE928" i="11" s="1"/>
  <c r="AD857" i="11"/>
  <c r="AE857" i="11" s="1"/>
  <c r="AD861" i="11"/>
  <c r="AE861" i="11" s="1"/>
  <c r="AN861" i="11" s="1"/>
  <c r="AD870" i="11"/>
  <c r="AE870" i="11" s="1"/>
  <c r="AD930" i="11"/>
  <c r="AE930" i="11" s="1"/>
  <c r="AD908" i="11"/>
  <c r="AE908" i="11" s="1"/>
  <c r="AD893" i="11"/>
  <c r="AE893" i="11" s="1"/>
  <c r="AD878" i="11"/>
  <c r="AE878" i="11" s="1"/>
  <c r="AD883" i="11"/>
  <c r="AE883" i="11" s="1"/>
  <c r="AD2224" i="11"/>
  <c r="AE2224" i="11" s="1"/>
  <c r="AN2224" i="11" s="1"/>
  <c r="AD2313" i="11"/>
  <c r="AE2313" i="11" s="1"/>
  <c r="AD2292" i="11"/>
  <c r="AE2292" i="11" s="1"/>
  <c r="AD2309" i="11"/>
  <c r="AE2309" i="11" s="1"/>
  <c r="AN2309" i="11" s="1"/>
  <c r="AD2267" i="11"/>
  <c r="AE2267" i="11" s="1"/>
  <c r="AD2240" i="11"/>
  <c r="AE2240" i="11" s="1"/>
  <c r="AN2240" i="11" s="1"/>
  <c r="AD2248" i="11"/>
  <c r="AE2248" i="11" s="1"/>
  <c r="AN2248" i="11" s="1"/>
  <c r="AD2217" i="11"/>
  <c r="AE2217" i="11" s="1"/>
  <c r="AN2217" i="11" s="1"/>
  <c r="AD2245" i="11"/>
  <c r="AE2245" i="11" s="1"/>
  <c r="AD2252" i="11"/>
  <c r="AE2252" i="11" s="1"/>
  <c r="AD2314" i="11"/>
  <c r="AE2314" i="11" s="1"/>
  <c r="AN2314" i="11" s="1"/>
  <c r="AD2297" i="11"/>
  <c r="AE2297" i="11" s="1"/>
  <c r="AD2257" i="11"/>
  <c r="AE2257" i="11" s="1"/>
  <c r="AN2257" i="11" s="1"/>
  <c r="AD2299" i="11"/>
  <c r="AE2299" i="11" s="1"/>
  <c r="AD2305" i="11"/>
  <c r="AE2305" i="11" s="1"/>
  <c r="AN2305" i="11" s="1"/>
  <c r="AD2303" i="11"/>
  <c r="AE2303" i="11" s="1"/>
  <c r="AN2303" i="11" s="1"/>
  <c r="AD2283" i="11"/>
  <c r="AE2283" i="11" s="1"/>
  <c r="AN2283" i="11" s="1"/>
  <c r="AD2276" i="11"/>
  <c r="AE2276" i="11" s="1"/>
  <c r="AN2276" i="11" s="1"/>
  <c r="AD2247" i="11"/>
  <c r="AE2247" i="11" s="1"/>
  <c r="AN2247" i="11" s="1"/>
  <c r="AD2300" i="11"/>
  <c r="AE2300" i="11" s="1"/>
  <c r="AN2300" i="11" s="1"/>
  <c r="AD2286" i="11"/>
  <c r="AE2286" i="11" s="1"/>
  <c r="AN2286" i="11" s="1"/>
  <c r="AD2265" i="11"/>
  <c r="AE2265" i="11" s="1"/>
  <c r="AN2265" i="11" s="1"/>
  <c r="AD2227" i="11"/>
  <c r="AE2227" i="11" s="1"/>
  <c r="AN2227" i="11" s="1"/>
  <c r="AD2291" i="11"/>
  <c r="AE2291" i="11" s="1"/>
  <c r="AN2291" i="11" s="1"/>
  <c r="AD2243" i="11"/>
  <c r="AE2243" i="11" s="1"/>
  <c r="AD2268" i="11"/>
  <c r="AE2268" i="11" s="1"/>
  <c r="AN2268" i="11" s="1"/>
  <c r="AD2222" i="11"/>
  <c r="AE2222" i="11" s="1"/>
  <c r="AD2312" i="11"/>
  <c r="AE2312" i="11" s="1"/>
  <c r="AD2269" i="11"/>
  <c r="AE2269" i="11" s="1"/>
  <c r="AD2212" i="11"/>
  <c r="AE2212" i="11" s="1"/>
  <c r="AN2212" i="11" s="1"/>
  <c r="AD2250" i="11"/>
  <c r="AE2250" i="11" s="1"/>
  <c r="AD2281" i="11"/>
  <c r="AE2281" i="11" s="1"/>
  <c r="AN2281" i="11" s="1"/>
  <c r="AD2273" i="11"/>
  <c r="AE2273" i="11" s="1"/>
  <c r="AN2273" i="11" s="1"/>
  <c r="AD2210" i="11"/>
  <c r="AE2210" i="11" s="1"/>
  <c r="AD2233" i="11"/>
  <c r="AE2233" i="11" s="1"/>
  <c r="AN2233" i="11" s="1"/>
  <c r="AD2307" i="11"/>
  <c r="AE2307" i="11" s="1"/>
  <c r="AD2287" i="11"/>
  <c r="AE2287" i="11" s="1"/>
  <c r="AN2287" i="11" s="1"/>
  <c r="AD2302" i="11"/>
  <c r="AE2302" i="11" s="1"/>
  <c r="AD2296" i="11"/>
  <c r="AE2296" i="11" s="1"/>
  <c r="AD2271" i="11"/>
  <c r="AE2271" i="11" s="1"/>
  <c r="AD2308" i="11"/>
  <c r="AE2308" i="11" s="1"/>
  <c r="AN2308" i="11" s="1"/>
  <c r="AD2262" i="11"/>
  <c r="AE2262" i="11" s="1"/>
  <c r="AD2298" i="11"/>
  <c r="AE2298" i="11" s="1"/>
  <c r="AN2298" i="11" s="1"/>
  <c r="AD2216" i="11"/>
  <c r="AE2216" i="11" s="1"/>
  <c r="AN2216" i="11" s="1"/>
  <c r="AD2255" i="11"/>
  <c r="AE2255" i="11" s="1"/>
  <c r="AN2255" i="11" s="1"/>
  <c r="AD2277" i="11"/>
  <c r="AE2277" i="11" s="1"/>
  <c r="AD2211" i="11"/>
  <c r="AE2211" i="11" s="1"/>
  <c r="AD2251" i="11"/>
  <c r="AE2251" i="11" s="1"/>
  <c r="AD2266" i="11"/>
  <c r="AE2266" i="11" s="1"/>
  <c r="AN2266" i="11" s="1"/>
  <c r="AD2258" i="11"/>
  <c r="AE2258" i="11" s="1"/>
  <c r="AD2280" i="11"/>
  <c r="AE2280" i="11" s="1"/>
  <c r="AD2288" i="11"/>
  <c r="AE2288" i="11" s="1"/>
  <c r="AD2289" i="11"/>
  <c r="AE2289" i="11" s="1"/>
  <c r="AD2279" i="11"/>
  <c r="AE2279" i="11" s="1"/>
  <c r="AN2279" i="11" s="1"/>
  <c r="AD2218" i="11"/>
  <c r="AE2218" i="11" s="1"/>
  <c r="AN2218" i="11" s="1"/>
  <c r="AD2278" i="11"/>
  <c r="AE2278" i="11" s="1"/>
  <c r="AN2278" i="11" s="1"/>
  <c r="AD2254" i="11"/>
  <c r="AE2254" i="11" s="1"/>
  <c r="AD2231" i="11"/>
  <c r="AE2231" i="11" s="1"/>
  <c r="AN2231" i="11" s="1"/>
  <c r="AD2221" i="11"/>
  <c r="AE2221" i="11" s="1"/>
  <c r="AN2221" i="11" s="1"/>
  <c r="AD2270" i="11"/>
  <c r="AE2270" i="11" s="1"/>
  <c r="AD2294" i="11"/>
  <c r="AE2294" i="11" s="1"/>
  <c r="AN2294" i="11" s="1"/>
  <c r="AD2213" i="11"/>
  <c r="AE2213" i="11" s="1"/>
  <c r="AD2274" i="11"/>
  <c r="AE2274" i="11" s="1"/>
  <c r="AD2253" i="11"/>
  <c r="AE2253" i="11" s="1"/>
  <c r="AD2260" i="11"/>
  <c r="AE2260" i="11" s="1"/>
  <c r="AN2260" i="11" s="1"/>
  <c r="AD2310" i="11"/>
  <c r="AE2310" i="11" s="1"/>
  <c r="AN2310" i="11" s="1"/>
  <c r="AD2236" i="11"/>
  <c r="AE2236" i="11" s="1"/>
  <c r="AN2236" i="11" s="1"/>
  <c r="AD2284" i="11"/>
  <c r="AE2284" i="11" s="1"/>
  <c r="AN2284" i="11" s="1"/>
  <c r="AD2275" i="11"/>
  <c r="AE2275" i="11" s="1"/>
  <c r="AN2275" i="11" s="1"/>
  <c r="AD2215" i="11"/>
  <c r="AE2215" i="11" s="1"/>
  <c r="AN2215" i="11" s="1"/>
  <c r="AD2220" i="11"/>
  <c r="AE2220" i="11" s="1"/>
  <c r="AN2220" i="11" s="1"/>
  <c r="AD2228" i="11"/>
  <c r="AE2228" i="11" s="1"/>
  <c r="AN2228" i="11" s="1"/>
  <c r="AD2261" i="11"/>
  <c r="AE2261" i="11" s="1"/>
  <c r="AN2261" i="11" s="1"/>
  <c r="AD2256" i="11"/>
  <c r="AE2256" i="11" s="1"/>
  <c r="AD2263" i="11"/>
  <c r="AE2263" i="11" s="1"/>
  <c r="AN2263" i="11" s="1"/>
  <c r="AD2264" i="11"/>
  <c r="AE2264" i="11" s="1"/>
  <c r="AD2237" i="11"/>
  <c r="AE2237" i="11" s="1"/>
  <c r="AN2237" i="11" s="1"/>
  <c r="AD2259" i="11"/>
  <c r="AE2259" i="11" s="1"/>
  <c r="AN2259" i="11" s="1"/>
  <c r="AD2241" i="11"/>
  <c r="AE2241" i="11" s="1"/>
  <c r="AN2241" i="11" s="1"/>
  <c r="AD2234" i="11"/>
  <c r="AE2234" i="11" s="1"/>
  <c r="AN2234" i="11" s="1"/>
  <c r="AD2311" i="11"/>
  <c r="AE2311" i="11" s="1"/>
  <c r="AN2311" i="11" s="1"/>
  <c r="AD2304" i="11"/>
  <c r="AE2304" i="11" s="1"/>
  <c r="AD2246" i="11"/>
  <c r="AE2246" i="11" s="1"/>
  <c r="AN2246" i="11" s="1"/>
  <c r="AD2238" i="11"/>
  <c r="AE2238" i="11" s="1"/>
  <c r="AN2238" i="11" s="1"/>
  <c r="AD2306" i="11"/>
  <c r="AE2306" i="11" s="1"/>
  <c r="AN2306" i="11" s="1"/>
  <c r="AD2223" i="11"/>
  <c r="AE2223" i="11" s="1"/>
  <c r="AD2235" i="11"/>
  <c r="AE2235" i="11" s="1"/>
  <c r="AD2293" i="11"/>
  <c r="AE2293" i="11" s="1"/>
  <c r="AD2244" i="11"/>
  <c r="AE2244" i="11" s="1"/>
  <c r="AD2249" i="11"/>
  <c r="AE2249" i="11" s="1"/>
  <c r="AN2249" i="11" s="1"/>
  <c r="AD2226" i="11"/>
  <c r="AE2226" i="11" s="1"/>
  <c r="AD2242" i="11"/>
  <c r="AE2242" i="11" s="1"/>
  <c r="AN2242" i="11" s="1"/>
  <c r="AD2301" i="11"/>
  <c r="AE2301" i="11" s="1"/>
  <c r="AD2285" i="11"/>
  <c r="AE2285" i="11" s="1"/>
  <c r="AN2285" i="11" s="1"/>
  <c r="AD2282" i="11"/>
  <c r="AE2282" i="11" s="1"/>
  <c r="AN2282" i="11" s="1"/>
  <c r="AD2214" i="11"/>
  <c r="AE2214" i="11" s="1"/>
  <c r="AN2214" i="11" s="1"/>
  <c r="N169" i="54"/>
  <c r="AD2229" i="11"/>
  <c r="AE2229" i="11" s="1"/>
  <c r="AN2229" i="11" s="1"/>
  <c r="AD2295" i="11"/>
  <c r="AE2295" i="11" s="1"/>
  <c r="AN2295" i="11" s="1"/>
  <c r="AD2290" i="11"/>
  <c r="AE2290" i="11" s="1"/>
  <c r="O272" i="54"/>
  <c r="AK2741" i="11"/>
  <c r="AL2741" i="11" s="1"/>
  <c r="AK2819" i="11"/>
  <c r="AL2819" i="11" s="1"/>
  <c r="AK2745" i="11"/>
  <c r="AL2745" i="11" s="1"/>
  <c r="AK2839" i="11"/>
  <c r="AL2839" i="11" s="1"/>
  <c r="AK2769" i="11"/>
  <c r="AL2769" i="11" s="1"/>
  <c r="AK2773" i="11"/>
  <c r="AL2773" i="11" s="1"/>
  <c r="AK2793" i="11"/>
  <c r="AL2793" i="11" s="1"/>
  <c r="AK2735" i="11"/>
  <c r="AL2735" i="11" s="1"/>
  <c r="AK2796" i="11"/>
  <c r="AL2796" i="11" s="1"/>
  <c r="AK2803" i="11"/>
  <c r="AL2803" i="11" s="1"/>
  <c r="AK2768" i="11"/>
  <c r="AL2768" i="11" s="1"/>
  <c r="AK2777" i="11"/>
  <c r="AL2777" i="11" s="1"/>
  <c r="AK2771" i="11"/>
  <c r="AL2771" i="11" s="1"/>
  <c r="AK2750" i="11"/>
  <c r="AL2750" i="11" s="1"/>
  <c r="AK2754" i="11"/>
  <c r="AL2754" i="11" s="1"/>
  <c r="AK2784" i="11"/>
  <c r="AL2784" i="11" s="1"/>
  <c r="AK2808" i="11"/>
  <c r="AL2808" i="11" s="1"/>
  <c r="AK2823" i="11"/>
  <c r="AL2823" i="11" s="1"/>
  <c r="AK2827" i="11"/>
  <c r="AL2827" i="11" s="1"/>
  <c r="AK2774" i="11"/>
  <c r="AL2774" i="11" s="1"/>
  <c r="AK2807" i="11"/>
  <c r="AL2807" i="11" s="1"/>
  <c r="AK2749" i="11"/>
  <c r="AL2749" i="11" s="1"/>
  <c r="AK2743" i="11"/>
  <c r="AL2743" i="11" s="1"/>
  <c r="AK2785" i="11"/>
  <c r="AL2785" i="11" s="1"/>
  <c r="AK2766" i="11"/>
  <c r="AL2766" i="11" s="1"/>
  <c r="AK2767" i="11"/>
  <c r="AL2767" i="11" s="1"/>
  <c r="AK2736" i="11"/>
  <c r="AL2736" i="11" s="1"/>
  <c r="AK2802" i="11"/>
  <c r="AL2802" i="11" s="1"/>
  <c r="AK2794" i="11"/>
  <c r="AL2794" i="11" s="1"/>
  <c r="AK2737" i="11"/>
  <c r="AL2737" i="11" s="1"/>
  <c r="AK2763" i="11"/>
  <c r="AL2763" i="11" s="1"/>
  <c r="AK2811" i="11"/>
  <c r="AL2811" i="11" s="1"/>
  <c r="AK2775" i="11"/>
  <c r="AL2775" i="11" s="1"/>
  <c r="AK2791" i="11"/>
  <c r="AL2791" i="11" s="1"/>
  <c r="AK2821" i="11"/>
  <c r="AL2821" i="11" s="1"/>
  <c r="AK2812" i="11"/>
  <c r="AL2812" i="11" s="1"/>
  <c r="AK2779" i="11"/>
  <c r="AL2779" i="11" s="1"/>
  <c r="AK2776" i="11"/>
  <c r="AL2776" i="11" s="1"/>
  <c r="AK2739" i="11"/>
  <c r="AL2739" i="11" s="1"/>
  <c r="AK2742" i="11"/>
  <c r="AL2742" i="11" s="1"/>
  <c r="AK2756" i="11"/>
  <c r="AL2756" i="11" s="1"/>
  <c r="AK2818" i="11"/>
  <c r="AL2818" i="11" s="1"/>
  <c r="AK2758" i="11"/>
  <c r="AL2758" i="11" s="1"/>
  <c r="AK2806" i="11"/>
  <c r="AL2806" i="11" s="1"/>
  <c r="AK2747" i="11"/>
  <c r="AL2747" i="11" s="1"/>
  <c r="AK2757" i="11"/>
  <c r="AL2757" i="11" s="1"/>
  <c r="AK2772" i="11"/>
  <c r="AL2772" i="11" s="1"/>
  <c r="AK2748" i="11"/>
  <c r="AL2748" i="11" s="1"/>
  <c r="AK2822" i="11"/>
  <c r="AL2822" i="11" s="1"/>
  <c r="AK2804" i="11"/>
  <c r="AL2804" i="11" s="1"/>
  <c r="AK2751" i="11"/>
  <c r="AL2751" i="11" s="1"/>
  <c r="AK2820" i="11"/>
  <c r="AL2820" i="11" s="1"/>
  <c r="AK2760" i="11"/>
  <c r="AL2760" i="11" s="1"/>
  <c r="AK2781" i="11"/>
  <c r="AL2781" i="11" s="1"/>
  <c r="AK2765" i="11"/>
  <c r="AL2765" i="11" s="1"/>
  <c r="AK2810" i="11"/>
  <c r="AL2810" i="11" s="1"/>
  <c r="AK2830" i="11"/>
  <c r="AL2830" i="11" s="1"/>
  <c r="AK2759" i="11"/>
  <c r="AL2759" i="11" s="1"/>
  <c r="AK2744" i="11"/>
  <c r="AL2744" i="11" s="1"/>
  <c r="AK2836" i="11"/>
  <c r="AL2836" i="11" s="1"/>
  <c r="AK2788" i="11"/>
  <c r="AL2788" i="11" s="1"/>
  <c r="AK2783" i="11"/>
  <c r="AL2783" i="11" s="1"/>
  <c r="AK2752" i="11"/>
  <c r="AL2752" i="11" s="1"/>
  <c r="AK2762" i="11"/>
  <c r="AL2762" i="11" s="1"/>
  <c r="AK2813" i="11"/>
  <c r="AL2813" i="11" s="1"/>
  <c r="AK2789" i="11"/>
  <c r="AL2789" i="11" s="1"/>
  <c r="AK2790" i="11"/>
  <c r="AL2790" i="11" s="1"/>
  <c r="AK2792" i="11"/>
  <c r="AL2792" i="11" s="1"/>
  <c r="AK2799" i="11"/>
  <c r="AL2799" i="11" s="1"/>
  <c r="AK2746" i="11"/>
  <c r="AL2746" i="11" s="1"/>
  <c r="AK2817" i="11"/>
  <c r="AL2817" i="11" s="1"/>
  <c r="AK2740" i="11"/>
  <c r="AL2740" i="11" s="1"/>
  <c r="AK2838" i="11"/>
  <c r="AL2838" i="11" s="1"/>
  <c r="AK2755" i="11"/>
  <c r="AL2755" i="11" s="1"/>
  <c r="AK2797" i="11"/>
  <c r="AL2797" i="11" s="1"/>
  <c r="AK2800" i="11"/>
  <c r="AL2800" i="11" s="1"/>
  <c r="AK2780" i="11"/>
  <c r="AL2780" i="11" s="1"/>
  <c r="AK2738" i="11"/>
  <c r="AL2738" i="11" s="1"/>
  <c r="AK2824" i="11"/>
  <c r="AL2824" i="11" s="1"/>
  <c r="AK2834" i="11"/>
  <c r="AL2834" i="11" s="1"/>
  <c r="AK2782" i="11"/>
  <c r="AL2782" i="11" s="1"/>
  <c r="AK2835" i="11"/>
  <c r="AL2835" i="11" s="1"/>
  <c r="AK2761" i="11"/>
  <c r="AL2761" i="11" s="1"/>
  <c r="AK2814" i="11"/>
  <c r="AL2814" i="11" s="1"/>
  <c r="AK2816" i="11"/>
  <c r="AL2816" i="11" s="1"/>
  <c r="AK2831" i="11"/>
  <c r="AL2831" i="11" s="1"/>
  <c r="AK2787" i="11"/>
  <c r="AL2787" i="11" s="1"/>
  <c r="AK2805" i="11"/>
  <c r="AL2805" i="11" s="1"/>
  <c r="AK2764" i="11"/>
  <c r="AL2764" i="11" s="1"/>
  <c r="AK2837" i="11"/>
  <c r="AL2837" i="11" s="1"/>
  <c r="AK2826" i="11"/>
  <c r="AL2826" i="11" s="1"/>
  <c r="AK2798" i="11"/>
  <c r="AL2798" i="11" s="1"/>
  <c r="AK2770" i="11"/>
  <c r="AL2770" i="11" s="1"/>
  <c r="AK2753" i="11"/>
  <c r="AL2753" i="11" s="1"/>
  <c r="AK2795" i="11"/>
  <c r="AL2795" i="11" s="1"/>
  <c r="AD2965" i="11"/>
  <c r="AE2965" i="11" s="1"/>
  <c r="AD2962" i="11"/>
  <c r="AE2962" i="11" s="1"/>
  <c r="AD2953" i="11"/>
  <c r="AE2953" i="11" s="1"/>
  <c r="AD3002" i="11"/>
  <c r="AE3002" i="11" s="1"/>
  <c r="AD3045" i="11"/>
  <c r="AE3045" i="11" s="1"/>
  <c r="AD2959" i="11"/>
  <c r="AE2959" i="11" s="1"/>
  <c r="AD2995" i="11"/>
  <c r="AE2995" i="11" s="1"/>
  <c r="AD3010" i="11"/>
  <c r="AE3010" i="11" s="1"/>
  <c r="AD3026" i="11"/>
  <c r="AE3026" i="11" s="1"/>
  <c r="AD2994" i="11"/>
  <c r="AE2994" i="11" s="1"/>
  <c r="AD2987" i="11"/>
  <c r="AE2987" i="11" s="1"/>
  <c r="AD3034" i="11"/>
  <c r="AE3034" i="11" s="1"/>
  <c r="AD3008" i="11"/>
  <c r="AE3008" i="11" s="1"/>
  <c r="AD2960" i="11"/>
  <c r="AE2960" i="11" s="1"/>
  <c r="AD2993" i="11"/>
  <c r="AE2993" i="11" s="1"/>
  <c r="AD2964" i="11"/>
  <c r="AE2964" i="11" s="1"/>
  <c r="AD3025" i="11"/>
  <c r="AE3025" i="11" s="1"/>
  <c r="AD3022" i="11"/>
  <c r="AE3022" i="11" s="1"/>
  <c r="AD2991" i="11"/>
  <c r="AE2991" i="11" s="1"/>
  <c r="AD2971" i="11"/>
  <c r="AE2971" i="11" s="1"/>
  <c r="AD2967" i="11"/>
  <c r="AE2967" i="11" s="1"/>
  <c r="AD3048" i="11"/>
  <c r="AE3048" i="11" s="1"/>
  <c r="AD3037" i="11"/>
  <c r="AE3037" i="11" s="1"/>
  <c r="AD3035" i="11"/>
  <c r="AE3035" i="11" s="1"/>
  <c r="AN3035" i="11" s="1"/>
  <c r="AD2973" i="11"/>
  <c r="AE2973" i="11" s="1"/>
  <c r="AD2996" i="11"/>
  <c r="AE2996" i="11" s="1"/>
  <c r="AD2975" i="11"/>
  <c r="AE2975" i="11" s="1"/>
  <c r="AD2990" i="11"/>
  <c r="AE2990" i="11" s="1"/>
  <c r="AD3003" i="11"/>
  <c r="AE3003" i="11" s="1"/>
  <c r="AD3000" i="11"/>
  <c r="AE3000" i="11" s="1"/>
  <c r="AD3036" i="11"/>
  <c r="AE3036" i="11" s="1"/>
  <c r="AD3009" i="11"/>
  <c r="AE3009" i="11" s="1"/>
  <c r="AD3004" i="11"/>
  <c r="AE3004" i="11" s="1"/>
  <c r="AD2963" i="11"/>
  <c r="AE2963" i="11" s="1"/>
  <c r="AD2948" i="11"/>
  <c r="AE2948" i="11" s="1"/>
  <c r="AD2951" i="11"/>
  <c r="AE2951" i="11" s="1"/>
  <c r="AD2946" i="11"/>
  <c r="AE2946" i="11" s="1"/>
  <c r="AD2952" i="11"/>
  <c r="AE2952" i="11" s="1"/>
  <c r="AD3019" i="11"/>
  <c r="AE3019" i="11" s="1"/>
  <c r="AD2950" i="11"/>
  <c r="AE2950" i="11" s="1"/>
  <c r="AD3007" i="11"/>
  <c r="AE3007" i="11" s="1"/>
  <c r="AD2966" i="11"/>
  <c r="AE2966" i="11" s="1"/>
  <c r="AD2979" i="11"/>
  <c r="AE2979" i="11" s="1"/>
  <c r="AD3006" i="11"/>
  <c r="AE3006" i="11" s="1"/>
  <c r="AD2998" i="11"/>
  <c r="AE2998" i="11" s="1"/>
  <c r="AD2961" i="11"/>
  <c r="AE2961" i="11" s="1"/>
  <c r="AD3043" i="11"/>
  <c r="AE3043" i="11" s="1"/>
  <c r="AD2945" i="11"/>
  <c r="AE2945" i="11" s="1"/>
  <c r="AD3024" i="11"/>
  <c r="AE3024" i="11" s="1"/>
  <c r="AD3038" i="11"/>
  <c r="AE3038" i="11" s="1"/>
  <c r="AD2999" i="11"/>
  <c r="AE2999" i="11" s="1"/>
  <c r="AD2970" i="11"/>
  <c r="AE2970" i="11" s="1"/>
  <c r="AD2957" i="11"/>
  <c r="AE2957" i="11" s="1"/>
  <c r="AD3046" i="11"/>
  <c r="AE3046" i="11" s="1"/>
  <c r="AD2997" i="11"/>
  <c r="AE2997" i="11" s="1"/>
  <c r="AN2997" i="11" s="1"/>
  <c r="AD3020" i="11"/>
  <c r="AE3020" i="11" s="1"/>
  <c r="AD3028" i="11"/>
  <c r="AE3028" i="11" s="1"/>
  <c r="AD2949" i="11"/>
  <c r="AE2949" i="11" s="1"/>
  <c r="AD2947" i="11"/>
  <c r="AE2947" i="11" s="1"/>
  <c r="AD3023" i="11"/>
  <c r="AE3023" i="11" s="1"/>
  <c r="AD3014" i="11"/>
  <c r="AE3014" i="11" s="1"/>
  <c r="AD2984" i="11"/>
  <c r="AE2984" i="11" s="1"/>
  <c r="AD3029" i="11"/>
  <c r="AE3029" i="11" s="1"/>
  <c r="AD2974" i="11"/>
  <c r="AE2974" i="11" s="1"/>
  <c r="AD3032" i="11"/>
  <c r="AE3032" i="11" s="1"/>
  <c r="AD2988" i="11"/>
  <c r="AE2988" i="11" s="1"/>
  <c r="AD2972" i="11"/>
  <c r="AE2972" i="11" s="1"/>
  <c r="AD2954" i="11"/>
  <c r="AE2954" i="11" s="1"/>
  <c r="AD3017" i="11"/>
  <c r="AE3017" i="11" s="1"/>
  <c r="AD3049" i="11"/>
  <c r="AE3049" i="11" s="1"/>
  <c r="AD3039" i="11"/>
  <c r="AE3039" i="11" s="1"/>
  <c r="AD2989" i="11"/>
  <c r="AE2989" i="11" s="1"/>
  <c r="AD2978" i="11"/>
  <c r="AE2978" i="11" s="1"/>
  <c r="AD2980" i="11"/>
  <c r="AE2980" i="11" s="1"/>
  <c r="AD2977" i="11"/>
  <c r="AE2977" i="11" s="1"/>
  <c r="AD3012" i="11"/>
  <c r="AE3012" i="11" s="1"/>
  <c r="AD3001" i="11"/>
  <c r="AE3001" i="11" s="1"/>
  <c r="AD2958" i="11"/>
  <c r="AE2958" i="11" s="1"/>
  <c r="AD2956" i="11"/>
  <c r="AE2956" i="11" s="1"/>
  <c r="AD2985" i="11"/>
  <c r="AE2985" i="11" s="1"/>
  <c r="AD3040" i="11"/>
  <c r="AE3040" i="11" s="1"/>
  <c r="AD3047" i="11"/>
  <c r="AE3047" i="11" s="1"/>
  <c r="AD3005" i="11"/>
  <c r="AE3005" i="11" s="1"/>
  <c r="AD3031" i="11"/>
  <c r="AE3031" i="11" s="1"/>
  <c r="AD3015" i="11"/>
  <c r="AE3015" i="11" s="1"/>
  <c r="AD3018" i="11"/>
  <c r="AE3018" i="11" s="1"/>
  <c r="AD3042" i="11"/>
  <c r="AE3042" i="11" s="1"/>
  <c r="AD3016" i="11"/>
  <c r="AE3016" i="11" s="1"/>
  <c r="AD3021" i="11"/>
  <c r="AE3021" i="11" s="1"/>
  <c r="AD2992" i="11"/>
  <c r="AE2992" i="11" s="1"/>
  <c r="AD2976" i="11"/>
  <c r="AE2976" i="11" s="1"/>
  <c r="AD2969" i="11"/>
  <c r="AE2969" i="11" s="1"/>
  <c r="AD3027" i="11"/>
  <c r="AE3027" i="11" s="1"/>
  <c r="AD2982" i="11"/>
  <c r="AE2982" i="11" s="1"/>
  <c r="AD2983" i="11"/>
  <c r="AE2983" i="11" s="1"/>
  <c r="AD3030" i="11"/>
  <c r="AE3030" i="11" s="1"/>
  <c r="AD2986" i="11"/>
  <c r="AE2986" i="11" s="1"/>
  <c r="N179" i="54"/>
  <c r="AD2968" i="11"/>
  <c r="AE2968" i="11" s="1"/>
  <c r="P154" i="54"/>
  <c r="AK1875" i="11"/>
  <c r="AL1875" i="11" s="1"/>
  <c r="AK1818" i="11"/>
  <c r="AL1818" i="11" s="1"/>
  <c r="AK1863" i="11"/>
  <c r="AL1863" i="11" s="1"/>
  <c r="AK1809" i="11"/>
  <c r="AL1809" i="11" s="1"/>
  <c r="AK1882" i="11"/>
  <c r="AL1882" i="11" s="1"/>
  <c r="AK1802" i="11"/>
  <c r="AL1802" i="11" s="1"/>
  <c r="AK1870" i="11"/>
  <c r="AL1870" i="11" s="1"/>
  <c r="AK1871" i="11"/>
  <c r="AL1871" i="11" s="1"/>
  <c r="AK1831" i="11"/>
  <c r="AL1831" i="11" s="1"/>
  <c r="AK1799" i="11"/>
  <c r="AL1799" i="11" s="1"/>
  <c r="AK1821" i="11"/>
  <c r="AL1821" i="11" s="1"/>
  <c r="AK1849" i="11"/>
  <c r="AL1849" i="11" s="1"/>
  <c r="AK1816" i="11"/>
  <c r="AL1816" i="11" s="1"/>
  <c r="AK1848" i="11"/>
  <c r="AL1848" i="11" s="1"/>
  <c r="AK1880" i="11"/>
  <c r="AL1880" i="11" s="1"/>
  <c r="AK1841" i="11"/>
  <c r="AL1841" i="11" s="1"/>
  <c r="AK1892" i="11"/>
  <c r="AL1892" i="11" s="1"/>
  <c r="AK1850" i="11"/>
  <c r="AL1850" i="11" s="1"/>
  <c r="AK1813" i="11"/>
  <c r="AL1813" i="11" s="1"/>
  <c r="AK1819" i="11"/>
  <c r="AL1819" i="11" s="1"/>
  <c r="AK1887" i="11"/>
  <c r="AL1887" i="11" s="1"/>
  <c r="AK1791" i="11"/>
  <c r="AL1791" i="11" s="1"/>
  <c r="AK1794" i="11"/>
  <c r="AL1794" i="11" s="1"/>
  <c r="AK1796" i="11"/>
  <c r="AL1796" i="11" s="1"/>
  <c r="AK1844" i="11"/>
  <c r="AL1844" i="11" s="1"/>
  <c r="AK1838" i="11"/>
  <c r="AL1838" i="11" s="1"/>
  <c r="AK1836" i="11"/>
  <c r="AL1836" i="11" s="1"/>
  <c r="AK1877" i="11"/>
  <c r="AL1877" i="11" s="1"/>
  <c r="AK1879" i="11"/>
  <c r="AL1879" i="11" s="1"/>
  <c r="AK1800" i="11"/>
  <c r="AL1800" i="11" s="1"/>
  <c r="AK1806" i="11"/>
  <c r="AL1806" i="11" s="1"/>
  <c r="AK1867" i="11"/>
  <c r="AL1867" i="11" s="1"/>
  <c r="AK1827" i="11"/>
  <c r="AL1827" i="11" s="1"/>
  <c r="AK1889" i="11"/>
  <c r="AL1889" i="11" s="1"/>
  <c r="AK1886" i="11"/>
  <c r="AL1886" i="11" s="1"/>
  <c r="AK1808" i="11"/>
  <c r="AL1808" i="11" s="1"/>
  <c r="AO1808" i="11" s="1"/>
  <c r="AK1872" i="11"/>
  <c r="AL1872" i="11" s="1"/>
  <c r="AK1828" i="11"/>
  <c r="AL1828" i="11" s="1"/>
  <c r="AK1852" i="11"/>
  <c r="AL1852" i="11" s="1"/>
  <c r="AK1853" i="11"/>
  <c r="AL1853" i="11" s="1"/>
  <c r="AK1881" i="11"/>
  <c r="AL1881" i="11" s="1"/>
  <c r="AK1858" i="11"/>
  <c r="AL1858" i="11" s="1"/>
  <c r="AK1812" i="11"/>
  <c r="AL1812" i="11" s="1"/>
  <c r="AK1866" i="11"/>
  <c r="AL1866" i="11" s="1"/>
  <c r="AK1804" i="11"/>
  <c r="AL1804" i="11" s="1"/>
  <c r="AK1868" i="11"/>
  <c r="AL1868" i="11" s="1"/>
  <c r="AK1795" i="11"/>
  <c r="AL1795" i="11" s="1"/>
  <c r="AK1865" i="11"/>
  <c r="AL1865" i="11" s="1"/>
  <c r="AK1832" i="11"/>
  <c r="AL1832" i="11" s="1"/>
  <c r="AK1817" i="11"/>
  <c r="AL1817" i="11" s="1"/>
  <c r="AK1855" i="11"/>
  <c r="AL1855" i="11" s="1"/>
  <c r="AK1824" i="11"/>
  <c r="AL1824" i="11" s="1"/>
  <c r="AK1825" i="11"/>
  <c r="AL1825" i="11" s="1"/>
  <c r="AK1888" i="11"/>
  <c r="AL1888" i="11" s="1"/>
  <c r="AK1815" i="11"/>
  <c r="AL1815" i="11" s="1"/>
  <c r="AK1793" i="11"/>
  <c r="AL1793" i="11" s="1"/>
  <c r="AK1820" i="11"/>
  <c r="AL1820" i="11" s="1"/>
  <c r="AK1837" i="11"/>
  <c r="AL1837" i="11" s="1"/>
  <c r="AK1890" i="11"/>
  <c r="AL1890" i="11" s="1"/>
  <c r="AK1884" i="11"/>
  <c r="AL1884" i="11" s="1"/>
  <c r="AK1857" i="11"/>
  <c r="AL1857" i="11" s="1"/>
  <c r="AK1860" i="11"/>
  <c r="AL1860" i="11" s="1"/>
  <c r="AK1862" i="11"/>
  <c r="AL1862" i="11" s="1"/>
  <c r="AK1876" i="11"/>
  <c r="AL1876" i="11" s="1"/>
  <c r="AK1839" i="11"/>
  <c r="AL1839" i="11" s="1"/>
  <c r="AK1797" i="11"/>
  <c r="AL1797" i="11" s="1"/>
  <c r="AK1891" i="11"/>
  <c r="AL1891" i="11" s="1"/>
  <c r="AK1803" i="11"/>
  <c r="AL1803" i="11" s="1"/>
  <c r="AK1894" i="11"/>
  <c r="AL1894" i="11" s="1"/>
  <c r="AK1823" i="11"/>
  <c r="AL1823" i="11" s="1"/>
  <c r="AK1842" i="11"/>
  <c r="AL1842" i="11" s="1"/>
  <c r="AK1869" i="11"/>
  <c r="AL1869" i="11" s="1"/>
  <c r="AK1798" i="11"/>
  <c r="AL1798" i="11" s="1"/>
  <c r="AK1885" i="11"/>
  <c r="AL1885" i="11" s="1"/>
  <c r="AK1801" i="11"/>
  <c r="AL1801" i="11" s="1"/>
  <c r="AK1859" i="11"/>
  <c r="AL1859" i="11" s="1"/>
  <c r="AK1864" i="11"/>
  <c r="AL1864" i="11" s="1"/>
  <c r="AK1856" i="11"/>
  <c r="AL1856" i="11" s="1"/>
  <c r="AK1810" i="11"/>
  <c r="AL1810" i="11" s="1"/>
  <c r="AK1792" i="11"/>
  <c r="AL1792" i="11" s="1"/>
  <c r="AK1851" i="11"/>
  <c r="AL1851" i="11" s="1"/>
  <c r="AK1893" i="11"/>
  <c r="AL1893" i="11" s="1"/>
  <c r="AK1834" i="11"/>
  <c r="AL1834" i="11" s="1"/>
  <c r="AK1874" i="11"/>
  <c r="AL1874" i="11" s="1"/>
  <c r="AK1873" i="11"/>
  <c r="AL1873" i="11" s="1"/>
  <c r="AK1845" i="11"/>
  <c r="AL1845" i="11" s="1"/>
  <c r="AK1822" i="11"/>
  <c r="AL1822" i="11" s="1"/>
  <c r="AK1883" i="11"/>
  <c r="AL1883" i="11" s="1"/>
  <c r="AK1840" i="11"/>
  <c r="AL1840" i="11" s="1"/>
  <c r="AK1807" i="11"/>
  <c r="AL1807" i="11" s="1"/>
  <c r="AK1814" i="11"/>
  <c r="AL1814" i="11" s="1"/>
  <c r="AK1846" i="11"/>
  <c r="AL1846" i="11" s="1"/>
  <c r="P100" i="54"/>
  <c r="AF243" i="11"/>
  <c r="AG243" i="11" s="1"/>
  <c r="AI2787" i="11"/>
  <c r="AJ2787" i="11" s="1"/>
  <c r="AF3647" i="11"/>
  <c r="AG3647" i="11" s="1"/>
  <c r="AD3092" i="11"/>
  <c r="AE3092" i="11" s="1"/>
  <c r="AK3684" i="11"/>
  <c r="AL3684" i="11" s="1"/>
  <c r="AK3700" i="11"/>
  <c r="AL3700" i="11" s="1"/>
  <c r="AK3736" i="11"/>
  <c r="AL3736" i="11" s="1"/>
  <c r="AK3691" i="11"/>
  <c r="AL3691" i="11" s="1"/>
  <c r="AK3703" i="11"/>
  <c r="AL3703" i="11" s="1"/>
  <c r="AK3693" i="11"/>
  <c r="AL3693" i="11" s="1"/>
  <c r="AK3683" i="11"/>
  <c r="AL3683" i="11" s="1"/>
  <c r="AK3760" i="11"/>
  <c r="AL3760" i="11" s="1"/>
  <c r="AK3729" i="11"/>
  <c r="AL3729" i="11" s="1"/>
  <c r="AK3737" i="11"/>
  <c r="AL3737" i="11" s="1"/>
  <c r="AK3694" i="11"/>
  <c r="AL3694" i="11" s="1"/>
  <c r="AK3775" i="11"/>
  <c r="AL3775" i="11" s="1"/>
  <c r="AK3758" i="11"/>
  <c r="AL3758" i="11" s="1"/>
  <c r="AK3777" i="11"/>
  <c r="AL3777" i="11" s="1"/>
  <c r="AK3753" i="11"/>
  <c r="AL3753" i="11" s="1"/>
  <c r="AK3708" i="11"/>
  <c r="AL3708" i="11" s="1"/>
  <c r="AK3782" i="11"/>
  <c r="AL3782" i="11" s="1"/>
  <c r="AK3725" i="11"/>
  <c r="AL3725" i="11" s="1"/>
  <c r="AK3780" i="11"/>
  <c r="AL3780" i="11" s="1"/>
  <c r="AK3714" i="11"/>
  <c r="AL3714" i="11" s="1"/>
  <c r="AK3727" i="11"/>
  <c r="AL3727" i="11" s="1"/>
  <c r="AK3721" i="11"/>
  <c r="AL3721" i="11" s="1"/>
  <c r="AK3706" i="11"/>
  <c r="AL3706" i="11" s="1"/>
  <c r="AK3759" i="11"/>
  <c r="AL3759" i="11" s="1"/>
  <c r="AK3739" i="11"/>
  <c r="AL3739" i="11" s="1"/>
  <c r="AK3738" i="11"/>
  <c r="AL3738" i="11" s="1"/>
  <c r="AK3779" i="11"/>
  <c r="AL3779" i="11" s="1"/>
  <c r="AK3680" i="11"/>
  <c r="AL3680" i="11" s="1"/>
  <c r="AK3771" i="11"/>
  <c r="AL3771" i="11" s="1"/>
  <c r="AK3764" i="11"/>
  <c r="AL3764" i="11" s="1"/>
  <c r="AK3778" i="11"/>
  <c r="AL3778" i="11" s="1"/>
  <c r="AK3723" i="11"/>
  <c r="AL3723" i="11" s="1"/>
  <c r="AK3750" i="11"/>
  <c r="AL3750" i="11" s="1"/>
  <c r="AK3722" i="11"/>
  <c r="AL3722" i="11" s="1"/>
  <c r="AK3720" i="11"/>
  <c r="AL3720" i="11" s="1"/>
  <c r="AK3768" i="11"/>
  <c r="AL3768" i="11" s="1"/>
  <c r="AK3728" i="11"/>
  <c r="AL3728" i="11" s="1"/>
  <c r="AK3784" i="11"/>
  <c r="AL3784" i="11" s="1"/>
  <c r="AK3745" i="11"/>
  <c r="AL3745" i="11" s="1"/>
  <c r="AK3763" i="11"/>
  <c r="AL3763" i="11" s="1"/>
  <c r="AK3715" i="11"/>
  <c r="AL3715" i="11" s="1"/>
  <c r="AK3686" i="11"/>
  <c r="AL3686" i="11" s="1"/>
  <c r="AK3769" i="11"/>
  <c r="AL3769" i="11" s="1"/>
  <c r="AK3687" i="11"/>
  <c r="AL3687" i="11" s="1"/>
  <c r="AK3690" i="11"/>
  <c r="AL3690" i="11" s="1"/>
  <c r="AK3747" i="11"/>
  <c r="AL3747" i="11" s="1"/>
  <c r="AK3724" i="11"/>
  <c r="AL3724" i="11" s="1"/>
  <c r="AO3724" i="11" s="1"/>
  <c r="AK3761" i="11"/>
  <c r="AL3761" i="11" s="1"/>
  <c r="AK3755" i="11"/>
  <c r="AL3755" i="11" s="1"/>
  <c r="AK3733" i="11"/>
  <c r="AL3733" i="11" s="1"/>
  <c r="AK3718" i="11"/>
  <c r="AL3718" i="11" s="1"/>
  <c r="AK3762" i="11"/>
  <c r="AL3762" i="11" s="1"/>
  <c r="AK3697" i="11"/>
  <c r="AL3697" i="11" s="1"/>
  <c r="AK3695" i="11"/>
  <c r="AL3695" i="11" s="1"/>
  <c r="AK3731" i="11"/>
  <c r="AL3731" i="11" s="1"/>
  <c r="AK3773" i="11"/>
  <c r="AL3773" i="11" s="1"/>
  <c r="AK3754" i="11"/>
  <c r="AL3754" i="11" s="1"/>
  <c r="AK3698" i="11"/>
  <c r="AL3698" i="11" s="1"/>
  <c r="AK3735" i="11"/>
  <c r="AL3735" i="11" s="1"/>
  <c r="AK3704" i="11"/>
  <c r="AL3704" i="11" s="1"/>
  <c r="AK3707" i="11"/>
  <c r="AL3707" i="11" s="1"/>
  <c r="AK3702" i="11"/>
  <c r="AL3702" i="11" s="1"/>
  <c r="AK3746" i="11"/>
  <c r="AL3746" i="11" s="1"/>
  <c r="AK3770" i="11"/>
  <c r="AL3770" i="11" s="1"/>
  <c r="AO3770" i="11" s="1"/>
  <c r="AK3685" i="11"/>
  <c r="AL3685" i="11" s="1"/>
  <c r="AK3701" i="11"/>
  <c r="AL3701" i="11" s="1"/>
  <c r="AK3732" i="11"/>
  <c r="AL3732" i="11" s="1"/>
  <c r="AK3783" i="11"/>
  <c r="AL3783" i="11" s="1"/>
  <c r="AK3757" i="11"/>
  <c r="AL3757" i="11" s="1"/>
  <c r="AK3705" i="11"/>
  <c r="AL3705" i="11" s="1"/>
  <c r="AK3717" i="11"/>
  <c r="AL3717" i="11" s="1"/>
  <c r="AK3765" i="11"/>
  <c r="AL3765" i="11" s="1"/>
  <c r="AK3756" i="11"/>
  <c r="AL3756" i="11" s="1"/>
  <c r="AK3781" i="11"/>
  <c r="AL3781" i="11" s="1"/>
  <c r="AK3681" i="11"/>
  <c r="AL3681" i="11" s="1"/>
  <c r="AK3742" i="11"/>
  <c r="AL3742" i="11" s="1"/>
  <c r="AK3751" i="11"/>
  <c r="AL3751" i="11" s="1"/>
  <c r="AK3711" i="11"/>
  <c r="AL3711" i="11" s="1"/>
  <c r="AK3741" i="11"/>
  <c r="AL3741" i="11" s="1"/>
  <c r="AK3696" i="11"/>
  <c r="AL3696" i="11" s="1"/>
  <c r="AK3772" i="11"/>
  <c r="AL3772" i="11" s="1"/>
  <c r="AK3730" i="11"/>
  <c r="AL3730" i="11" s="1"/>
  <c r="AK3748" i="11"/>
  <c r="AL3748" i="11" s="1"/>
  <c r="AK3776" i="11"/>
  <c r="AL3776" i="11" s="1"/>
  <c r="AK3688" i="11"/>
  <c r="AL3688" i="11" s="1"/>
  <c r="AK3774" i="11"/>
  <c r="AL3774" i="11" s="1"/>
  <c r="AK3726" i="11"/>
  <c r="AL3726" i="11" s="1"/>
  <c r="AK3734" i="11"/>
  <c r="AL3734" i="11" s="1"/>
  <c r="AK3749" i="11"/>
  <c r="AL3749" i="11" s="1"/>
  <c r="AK3689" i="11"/>
  <c r="AL3689" i="11" s="1"/>
  <c r="AK3712" i="11"/>
  <c r="AL3712" i="11" s="1"/>
  <c r="AK3744" i="11"/>
  <c r="AL3744" i="11" s="1"/>
  <c r="AK3767" i="11"/>
  <c r="AL3767" i="11" s="1"/>
  <c r="AK3716" i="11"/>
  <c r="AL3716" i="11" s="1"/>
  <c r="AK3682" i="11"/>
  <c r="AL3682" i="11" s="1"/>
  <c r="AI389" i="11"/>
  <c r="AJ389" i="11" s="1"/>
  <c r="AI382" i="11"/>
  <c r="AJ382" i="11" s="1"/>
  <c r="AI423" i="11"/>
  <c r="AJ423" i="11" s="1"/>
  <c r="AI385" i="11"/>
  <c r="AJ385" i="11" s="1"/>
  <c r="AI411" i="11"/>
  <c r="AJ411" i="11" s="1"/>
  <c r="AI416" i="11"/>
  <c r="AJ416" i="11" s="1"/>
  <c r="AI410" i="11"/>
  <c r="AJ410" i="11" s="1"/>
  <c r="AI344" i="11"/>
  <c r="AJ344" i="11" s="1"/>
  <c r="AI390" i="11"/>
  <c r="AJ390" i="11" s="1"/>
  <c r="AI348" i="11"/>
  <c r="AJ348" i="11" s="1"/>
  <c r="AI337" i="11"/>
  <c r="AJ337" i="11" s="1"/>
  <c r="AI391" i="11"/>
  <c r="AJ391" i="11" s="1"/>
  <c r="AI328" i="11"/>
  <c r="AJ328" i="11" s="1"/>
  <c r="AI419" i="11"/>
  <c r="AJ419" i="11" s="1"/>
  <c r="AI321" i="11"/>
  <c r="AJ321" i="11" s="1"/>
  <c r="AI359" i="11"/>
  <c r="AJ359" i="11" s="1"/>
  <c r="AI405" i="11"/>
  <c r="AJ405" i="11" s="1"/>
  <c r="AI347" i="11"/>
  <c r="AJ347" i="11" s="1"/>
  <c r="AI351" i="11"/>
  <c r="AJ351" i="11" s="1"/>
  <c r="AI406" i="11"/>
  <c r="AJ406" i="11" s="1"/>
  <c r="AI324" i="11"/>
  <c r="AJ324" i="11" s="1"/>
  <c r="AI374" i="11"/>
  <c r="AJ374" i="11" s="1"/>
  <c r="AI414" i="11"/>
  <c r="AJ414" i="11" s="1"/>
  <c r="AI388" i="11"/>
  <c r="AJ388" i="11" s="1"/>
  <c r="AI424" i="11"/>
  <c r="AJ424" i="11" s="1"/>
  <c r="AI402" i="11"/>
  <c r="AJ402" i="11" s="1"/>
  <c r="AI355" i="11"/>
  <c r="AJ355" i="11" s="1"/>
  <c r="AI415" i="11"/>
  <c r="AJ415" i="11" s="1"/>
  <c r="AI341" i="11"/>
  <c r="AJ341" i="11" s="1"/>
  <c r="AI407" i="11"/>
  <c r="AJ407" i="11" s="1"/>
  <c r="AI412" i="11"/>
  <c r="AJ412" i="11" s="1"/>
  <c r="AI421" i="11"/>
  <c r="AJ421" i="11" s="1"/>
  <c r="AI372" i="11"/>
  <c r="AJ372" i="11" s="1"/>
  <c r="AI367" i="11"/>
  <c r="AJ367" i="11" s="1"/>
  <c r="AI366" i="11"/>
  <c r="AJ366" i="11" s="1"/>
  <c r="AI358" i="11"/>
  <c r="AJ358" i="11" s="1"/>
  <c r="AI343" i="11"/>
  <c r="AJ343" i="11" s="1"/>
  <c r="AI346" i="11"/>
  <c r="AJ346" i="11" s="1"/>
  <c r="AI335" i="11"/>
  <c r="AJ335" i="11" s="1"/>
  <c r="AI378" i="11"/>
  <c r="AJ378" i="11" s="1"/>
  <c r="AI373" i="11"/>
  <c r="AJ373" i="11" s="1"/>
  <c r="AI381" i="11"/>
  <c r="AJ381" i="11" s="1"/>
  <c r="AI356" i="11"/>
  <c r="AJ356" i="11" s="1"/>
  <c r="AI320" i="11"/>
  <c r="AJ320" i="11" s="1"/>
  <c r="AI398" i="11"/>
  <c r="AJ398" i="11" s="1"/>
  <c r="AI369" i="11"/>
  <c r="AJ369" i="11" s="1"/>
  <c r="AI326" i="11"/>
  <c r="AJ326" i="11" s="1"/>
  <c r="AI397" i="11"/>
  <c r="AJ397" i="11" s="1"/>
  <c r="AI395" i="11"/>
  <c r="AJ395" i="11" s="1"/>
  <c r="AI417" i="11"/>
  <c r="AJ417" i="11" s="1"/>
  <c r="AI403" i="11"/>
  <c r="AJ403" i="11" s="1"/>
  <c r="AI399" i="11"/>
  <c r="AJ399" i="11" s="1"/>
  <c r="AI380" i="11"/>
  <c r="AJ380" i="11" s="1"/>
  <c r="AI340" i="11"/>
  <c r="AJ340" i="11" s="1"/>
  <c r="AI349" i="11"/>
  <c r="AJ349" i="11" s="1"/>
  <c r="AI360" i="11"/>
  <c r="AJ360" i="11" s="1"/>
  <c r="AI365" i="11"/>
  <c r="AJ365" i="11" s="1"/>
  <c r="AI368" i="11"/>
  <c r="AJ368" i="11" s="1"/>
  <c r="AI329" i="11"/>
  <c r="AJ329" i="11" s="1"/>
  <c r="AI339" i="11"/>
  <c r="AJ339" i="11" s="1"/>
  <c r="AI383" i="11"/>
  <c r="AJ383" i="11" s="1"/>
  <c r="AI413" i="11"/>
  <c r="AJ413" i="11" s="1"/>
  <c r="AI364" i="11"/>
  <c r="AJ364" i="11" s="1"/>
  <c r="AI361" i="11"/>
  <c r="AJ361" i="11" s="1"/>
  <c r="AI336" i="11"/>
  <c r="AJ336" i="11" s="1"/>
  <c r="AI370" i="11"/>
  <c r="AJ370" i="11" s="1"/>
  <c r="AI354" i="11"/>
  <c r="AJ354" i="11" s="1"/>
  <c r="AI420" i="11"/>
  <c r="AJ420" i="11" s="1"/>
  <c r="AI333" i="11"/>
  <c r="AJ333" i="11" s="1"/>
  <c r="AI376" i="11"/>
  <c r="AJ376" i="11" s="1"/>
  <c r="AI404" i="11"/>
  <c r="AJ404" i="11" s="1"/>
  <c r="AI375" i="11"/>
  <c r="AJ375" i="11" s="1"/>
  <c r="AI418" i="11"/>
  <c r="AJ418" i="11" s="1"/>
  <c r="AI362" i="11"/>
  <c r="AJ362" i="11" s="1"/>
  <c r="AI422" i="11"/>
  <c r="AJ422" i="11" s="1"/>
  <c r="AI377" i="11"/>
  <c r="AJ377" i="11" s="1"/>
  <c r="AI331" i="11"/>
  <c r="AJ331" i="11" s="1"/>
  <c r="AI409" i="11"/>
  <c r="AJ409" i="11" s="1"/>
  <c r="AI387" i="11"/>
  <c r="AJ387" i="11" s="1"/>
  <c r="AI392" i="11"/>
  <c r="AJ392" i="11" s="1"/>
  <c r="AI330" i="11"/>
  <c r="AJ330" i="11" s="1"/>
  <c r="AI342" i="11"/>
  <c r="AJ342" i="11" s="1"/>
  <c r="AI327" i="11"/>
  <c r="AJ327" i="11" s="1"/>
  <c r="AI353" i="11"/>
  <c r="AJ353" i="11" s="1"/>
  <c r="AI332" i="11"/>
  <c r="AJ332" i="11" s="1"/>
  <c r="AI325" i="11"/>
  <c r="AJ325" i="11" s="1"/>
  <c r="AI338" i="11"/>
  <c r="AJ338" i="11" s="1"/>
  <c r="AI384" i="11"/>
  <c r="AJ384" i="11" s="1"/>
  <c r="AI345" i="11"/>
  <c r="AJ345" i="11" s="1"/>
  <c r="AI394" i="11"/>
  <c r="AJ394" i="11" s="1"/>
  <c r="AI400" i="11"/>
  <c r="AJ400" i="11" s="1"/>
  <c r="AI334" i="11"/>
  <c r="AJ334" i="11" s="1"/>
  <c r="AI371" i="11"/>
  <c r="AJ371" i="11" s="1"/>
  <c r="AI352" i="11"/>
  <c r="AJ352" i="11" s="1"/>
  <c r="AI379" i="11"/>
  <c r="AJ379" i="11" s="1"/>
  <c r="AI350" i="11"/>
  <c r="AJ350" i="11" s="1"/>
  <c r="AI408" i="11"/>
  <c r="AJ408" i="11" s="1"/>
  <c r="AI357" i="11"/>
  <c r="AJ357" i="11" s="1"/>
  <c r="AI393" i="11"/>
  <c r="AJ393" i="11" s="1"/>
  <c r="AI323" i="11"/>
  <c r="AJ323" i="11" s="1"/>
  <c r="P140" i="54"/>
  <c r="AF1463" i="11"/>
  <c r="AG1463" i="11" s="1"/>
  <c r="Q108" i="54"/>
  <c r="AK2118" i="11"/>
  <c r="AL2118" i="11" s="1"/>
  <c r="AK2203" i="11"/>
  <c r="AL2203" i="11" s="1"/>
  <c r="AK2116" i="11"/>
  <c r="AL2116" i="11" s="1"/>
  <c r="AK2155" i="11"/>
  <c r="AL2155" i="11" s="1"/>
  <c r="AK2208" i="11"/>
  <c r="AL2208" i="11" s="1"/>
  <c r="AK2128" i="11"/>
  <c r="AL2128" i="11" s="1"/>
  <c r="AK2187" i="11"/>
  <c r="AL2187" i="11" s="1"/>
  <c r="AK2113" i="11"/>
  <c r="AL2113" i="11" s="1"/>
  <c r="AK2122" i="11"/>
  <c r="AL2122" i="11" s="1"/>
  <c r="AK2153" i="11"/>
  <c r="AL2153" i="11" s="1"/>
  <c r="AK2170" i="11"/>
  <c r="AL2170" i="11" s="1"/>
  <c r="AK2117" i="11"/>
  <c r="AL2117" i="11" s="1"/>
  <c r="AK2121" i="11"/>
  <c r="AL2121" i="11" s="1"/>
  <c r="AK2129" i="11"/>
  <c r="AL2129" i="11" s="1"/>
  <c r="AK2204" i="11"/>
  <c r="AL2204" i="11" s="1"/>
  <c r="AK2105" i="11"/>
  <c r="AL2105" i="11" s="1"/>
  <c r="AK2130" i="11"/>
  <c r="AL2130" i="11" s="1"/>
  <c r="AK2179" i="11"/>
  <c r="AL2179" i="11" s="1"/>
  <c r="AK2169" i="11"/>
  <c r="AL2169" i="11" s="1"/>
  <c r="AK2127" i="11"/>
  <c r="AL2127" i="11" s="1"/>
  <c r="AK2168" i="11"/>
  <c r="AL2168" i="11" s="1"/>
  <c r="AK2205" i="11"/>
  <c r="AL2205" i="11" s="1"/>
  <c r="AK2132" i="11"/>
  <c r="AL2132" i="11" s="1"/>
  <c r="AK2156" i="11"/>
  <c r="AL2156" i="11" s="1"/>
  <c r="AK2190" i="11"/>
  <c r="AL2190" i="11" s="1"/>
  <c r="AK2106" i="11"/>
  <c r="AL2106" i="11" s="1"/>
  <c r="AK2141" i="11"/>
  <c r="AL2141" i="11" s="1"/>
  <c r="AK2151" i="11"/>
  <c r="AL2151" i="11" s="1"/>
  <c r="AK2184" i="11"/>
  <c r="AL2184" i="11" s="1"/>
  <c r="AK2148" i="11"/>
  <c r="AL2148" i="11" s="1"/>
  <c r="AK2167" i="11"/>
  <c r="AL2167" i="11" s="1"/>
  <c r="AK2207" i="11"/>
  <c r="AL2207" i="11" s="1"/>
  <c r="AK2131" i="11"/>
  <c r="AL2131" i="11" s="1"/>
  <c r="AK2201" i="11"/>
  <c r="AL2201" i="11" s="1"/>
  <c r="AK2119" i="11"/>
  <c r="AL2119" i="11" s="1"/>
  <c r="AK2191" i="11"/>
  <c r="AL2191" i="11" s="1"/>
  <c r="AK2136" i="11"/>
  <c r="AL2136" i="11" s="1"/>
  <c r="AK2172" i="11"/>
  <c r="AL2172" i="11" s="1"/>
  <c r="AK2137" i="11"/>
  <c r="AL2137" i="11" s="1"/>
  <c r="AK2149" i="11"/>
  <c r="AL2149" i="11" s="1"/>
  <c r="AK2135" i="11"/>
  <c r="AL2135" i="11" s="1"/>
  <c r="AK2152" i="11"/>
  <c r="AL2152" i="11" s="1"/>
  <c r="AK2206" i="11"/>
  <c r="AL2206" i="11" s="1"/>
  <c r="AK2198" i="11"/>
  <c r="AL2198" i="11" s="1"/>
  <c r="AK2126" i="11"/>
  <c r="AL2126" i="11" s="1"/>
  <c r="AK2183" i="11"/>
  <c r="AL2183" i="11" s="1"/>
  <c r="AK2195" i="11"/>
  <c r="AL2195" i="11" s="1"/>
  <c r="AK2178" i="11"/>
  <c r="AL2178" i="11" s="1"/>
  <c r="AK2200" i="11"/>
  <c r="AL2200" i="11" s="1"/>
  <c r="AK2193" i="11"/>
  <c r="AL2193" i="11" s="1"/>
  <c r="AK2163" i="11"/>
  <c r="AL2163" i="11" s="1"/>
  <c r="AK2140" i="11"/>
  <c r="AL2140" i="11" s="1"/>
  <c r="AK2174" i="11"/>
  <c r="AL2174" i="11" s="1"/>
  <c r="AK2192" i="11"/>
  <c r="AL2192" i="11" s="1"/>
  <c r="AK2134" i="11"/>
  <c r="AL2134" i="11" s="1"/>
  <c r="AK2176" i="11"/>
  <c r="AL2176" i="11" s="1"/>
  <c r="AK2173" i="11"/>
  <c r="AL2173" i="11" s="1"/>
  <c r="AK2166" i="11"/>
  <c r="AL2166" i="11" s="1"/>
  <c r="AK2194" i="11"/>
  <c r="AL2194" i="11" s="1"/>
  <c r="AK2189" i="11"/>
  <c r="AL2189" i="11" s="1"/>
  <c r="AK2154" i="11"/>
  <c r="AL2154" i="11" s="1"/>
  <c r="AK2115" i="11"/>
  <c r="AL2115" i="11" s="1"/>
  <c r="AK2157" i="11"/>
  <c r="AL2157" i="11" s="1"/>
  <c r="AK2124" i="11"/>
  <c r="AL2124" i="11" s="1"/>
  <c r="AK2125" i="11"/>
  <c r="AL2125" i="11" s="1"/>
  <c r="AK2181" i="11"/>
  <c r="AL2181" i="11" s="1"/>
  <c r="AK2182" i="11"/>
  <c r="AL2182" i="11" s="1"/>
  <c r="AK2165" i="11"/>
  <c r="AL2165" i="11" s="1"/>
  <c r="AK2110" i="11"/>
  <c r="AL2110" i="11" s="1"/>
  <c r="AK2209" i="11"/>
  <c r="AL2209" i="11" s="1"/>
  <c r="AK2139" i="11"/>
  <c r="AL2139" i="11" s="1"/>
  <c r="AK2162" i="11"/>
  <c r="AL2162" i="11" s="1"/>
  <c r="AK2177" i="11"/>
  <c r="AL2177" i="11" s="1"/>
  <c r="AK2161" i="11"/>
  <c r="AL2161" i="11" s="1"/>
  <c r="AK2188" i="11"/>
  <c r="AL2188" i="11" s="1"/>
  <c r="AK2159" i="11"/>
  <c r="AL2159" i="11" s="1"/>
  <c r="AK2114" i="11"/>
  <c r="AL2114" i="11" s="1"/>
  <c r="AK2171" i="11"/>
  <c r="AL2171" i="11" s="1"/>
  <c r="AK2150" i="11"/>
  <c r="AL2150" i="11" s="1"/>
  <c r="AK2120" i="11"/>
  <c r="AL2120" i="11" s="1"/>
  <c r="AK2111" i="11"/>
  <c r="AL2111" i="11" s="1"/>
  <c r="AK2175" i="11"/>
  <c r="AL2175" i="11" s="1"/>
  <c r="O248" i="54"/>
  <c r="AK2202" i="11"/>
  <c r="AL2202" i="11" s="1"/>
  <c r="AK2144" i="11"/>
  <c r="AL2144" i="11" s="1"/>
  <c r="AK2143" i="11"/>
  <c r="AL2143" i="11" s="1"/>
  <c r="AK2180" i="11"/>
  <c r="AL2180" i="11" s="1"/>
  <c r="Q9" i="54"/>
  <c r="Q11" i="54" s="1"/>
  <c r="AK2164" i="11"/>
  <c r="AL2164" i="11" s="1"/>
  <c r="AK2145" i="11"/>
  <c r="AL2145" i="11" s="1"/>
  <c r="AK2199" i="11"/>
  <c r="AL2199" i="11" s="1"/>
  <c r="AK2160" i="11"/>
  <c r="AL2160" i="11" s="1"/>
  <c r="AK2133" i="11"/>
  <c r="AL2133" i="11" s="1"/>
  <c r="AK2185" i="11"/>
  <c r="AL2185" i="11" s="1"/>
  <c r="AK2197" i="11"/>
  <c r="AL2197" i="11" s="1"/>
  <c r="AK2142" i="11"/>
  <c r="AL2142" i="11" s="1"/>
  <c r="AK2196" i="11"/>
  <c r="AL2196" i="11" s="1"/>
  <c r="P143" i="54"/>
  <c r="O261" i="54"/>
  <c r="O249" i="54"/>
  <c r="AF1286" i="11"/>
  <c r="AG1286" i="11" s="1"/>
  <c r="P162" i="54"/>
  <c r="AF652" i="11"/>
  <c r="AG652" i="11" s="1"/>
  <c r="AF696" i="11"/>
  <c r="AG696" i="11" s="1"/>
  <c r="AF653" i="11"/>
  <c r="AG653" i="11" s="1"/>
  <c r="AF722" i="11"/>
  <c r="AG722" i="11" s="1"/>
  <c r="AO722" i="11" s="1"/>
  <c r="AF658" i="11"/>
  <c r="AG658" i="11" s="1"/>
  <c r="AO658" i="11" s="1"/>
  <c r="AF700" i="11"/>
  <c r="AG700" i="11" s="1"/>
  <c r="AO700" i="11" s="1"/>
  <c r="AF688" i="11"/>
  <c r="AG688" i="11" s="1"/>
  <c r="AF727" i="11"/>
  <c r="AG727" i="11" s="1"/>
  <c r="AO727" i="11" s="1"/>
  <c r="AF668" i="11"/>
  <c r="AG668" i="11" s="1"/>
  <c r="AO668" i="11" s="1"/>
  <c r="AF643" i="11"/>
  <c r="AG643" i="11" s="1"/>
  <c r="AF739" i="11"/>
  <c r="AG739" i="11" s="1"/>
  <c r="AO739" i="11" s="1"/>
  <c r="AF709" i="11"/>
  <c r="AG709" i="11" s="1"/>
  <c r="AO709" i="11" s="1"/>
  <c r="AF721" i="11"/>
  <c r="AG721" i="11" s="1"/>
  <c r="AF702" i="11"/>
  <c r="AG702" i="11" s="1"/>
  <c r="AF695" i="11"/>
  <c r="AG695" i="11" s="1"/>
  <c r="AF644" i="11"/>
  <c r="AG644" i="11" s="1"/>
  <c r="AO644" i="11" s="1"/>
  <c r="AF671" i="11"/>
  <c r="AG671" i="11" s="1"/>
  <c r="AF692" i="11"/>
  <c r="AG692" i="11" s="1"/>
  <c r="AF647" i="11"/>
  <c r="AG647" i="11" s="1"/>
  <c r="AO647" i="11" s="1"/>
  <c r="AF715" i="11"/>
  <c r="AG715" i="11" s="1"/>
  <c r="AO715" i="11" s="1"/>
  <c r="AF684" i="11"/>
  <c r="AG684" i="11" s="1"/>
  <c r="AO684" i="11" s="1"/>
  <c r="AF645" i="11"/>
  <c r="AG645" i="11" s="1"/>
  <c r="AO645" i="11" s="1"/>
  <c r="AF728" i="11"/>
  <c r="AG728" i="11" s="1"/>
  <c r="AO728" i="11" s="1"/>
  <c r="AF657" i="11"/>
  <c r="AG657" i="11" s="1"/>
  <c r="AF733" i="11"/>
  <c r="AG733" i="11" s="1"/>
  <c r="AO733" i="11" s="1"/>
  <c r="AF640" i="11"/>
  <c r="AG640" i="11" s="1"/>
  <c r="AF693" i="11"/>
  <c r="AG693" i="11" s="1"/>
  <c r="AO693" i="11" s="1"/>
  <c r="AF731" i="11"/>
  <c r="AG731" i="11" s="1"/>
  <c r="AF650" i="11"/>
  <c r="AG650" i="11" s="1"/>
  <c r="AO650" i="11" s="1"/>
  <c r="AF706" i="11"/>
  <c r="AG706" i="11" s="1"/>
  <c r="AF730" i="11"/>
  <c r="AG730" i="11" s="1"/>
  <c r="AO730" i="11" s="1"/>
  <c r="AF690" i="11"/>
  <c r="AG690" i="11" s="1"/>
  <c r="AO690" i="11" s="1"/>
  <c r="AF638" i="11"/>
  <c r="AG638" i="11" s="1"/>
  <c r="AO638" i="11" s="1"/>
  <c r="AF723" i="11"/>
  <c r="AG723" i="11" s="1"/>
  <c r="AO723" i="11" s="1"/>
  <c r="AF705" i="11"/>
  <c r="AG705" i="11" s="1"/>
  <c r="AF720" i="11"/>
  <c r="AG720" i="11" s="1"/>
  <c r="AO720" i="11" s="1"/>
  <c r="AF659" i="11"/>
  <c r="AG659" i="11" s="1"/>
  <c r="AF635" i="11"/>
  <c r="AG635" i="11" s="1"/>
  <c r="AF736" i="11"/>
  <c r="AG736" i="11" s="1"/>
  <c r="AO736" i="11" s="1"/>
  <c r="AF654" i="11"/>
  <c r="AG654" i="11" s="1"/>
  <c r="AO654" i="11" s="1"/>
  <c r="O170" i="54"/>
  <c r="AF708" i="11"/>
  <c r="AG708" i="11" s="1"/>
  <c r="AO708" i="11" s="1"/>
  <c r="AF665" i="11"/>
  <c r="AG665" i="11" s="1"/>
  <c r="AF719" i="11"/>
  <c r="AG719" i="11" s="1"/>
  <c r="AF678" i="11"/>
  <c r="AG678" i="11" s="1"/>
  <c r="AO678" i="11" s="1"/>
  <c r="AF718" i="11"/>
  <c r="AG718" i="11" s="1"/>
  <c r="AF686" i="11"/>
  <c r="AG686" i="11" s="1"/>
  <c r="AO686" i="11" s="1"/>
  <c r="AF729" i="11"/>
  <c r="AG729" i="11" s="1"/>
  <c r="AO729" i="11" s="1"/>
  <c r="AF704" i="11"/>
  <c r="AG704" i="11" s="1"/>
  <c r="AO704" i="11" s="1"/>
  <c r="AF716" i="11"/>
  <c r="AG716" i="11" s="1"/>
  <c r="AF655" i="11"/>
  <c r="AG655" i="11" s="1"/>
  <c r="AO655" i="11" s="1"/>
  <c r="AF714" i="11"/>
  <c r="AG714" i="11" s="1"/>
  <c r="AF662" i="11"/>
  <c r="AG662" i="11" s="1"/>
  <c r="AO662" i="11" s="1"/>
  <c r="AF738" i="11"/>
  <c r="AG738" i="11" s="1"/>
  <c r="AF667" i="11"/>
  <c r="AG667" i="11" s="1"/>
  <c r="AO667" i="11" s="1"/>
  <c r="AF641" i="11"/>
  <c r="AG641" i="11" s="1"/>
  <c r="AO641" i="11" s="1"/>
  <c r="AF712" i="11"/>
  <c r="AG712" i="11" s="1"/>
  <c r="AF725" i="11"/>
  <c r="AG725" i="11" s="1"/>
  <c r="AO725" i="11" s="1"/>
  <c r="AF681" i="11"/>
  <c r="AG681" i="11" s="1"/>
  <c r="AO681" i="11" s="1"/>
  <c r="AF664" i="11"/>
  <c r="AG664" i="11" s="1"/>
  <c r="AF735" i="11"/>
  <c r="AG735" i="11" s="1"/>
  <c r="AO735" i="11" s="1"/>
  <c r="AF672" i="11"/>
  <c r="AG672" i="11" s="1"/>
  <c r="AO672" i="11" s="1"/>
  <c r="AF710" i="11"/>
  <c r="AG710" i="11" s="1"/>
  <c r="AO710" i="11" s="1"/>
  <c r="AF713" i="11"/>
  <c r="AG713" i="11" s="1"/>
  <c r="AF663" i="11"/>
  <c r="AG663" i="11" s="1"/>
  <c r="AO663" i="11" s="1"/>
  <c r="AF737" i="11"/>
  <c r="AG737" i="11" s="1"/>
  <c r="AF639" i="11"/>
  <c r="AG639" i="11" s="1"/>
  <c r="AO639" i="11" s="1"/>
  <c r="AF677" i="11"/>
  <c r="AG677" i="11" s="1"/>
  <c r="AO677" i="11" s="1"/>
  <c r="AF649" i="11"/>
  <c r="AG649" i="11" s="1"/>
  <c r="AO649" i="11" s="1"/>
  <c r="AF734" i="11"/>
  <c r="AG734" i="11" s="1"/>
  <c r="AF699" i="11"/>
  <c r="AG699" i="11" s="1"/>
  <c r="AO699" i="11" s="1"/>
  <c r="AF676" i="11"/>
  <c r="AG676" i="11" s="1"/>
  <c r="AO676" i="11" s="1"/>
  <c r="AF666" i="11"/>
  <c r="AG666" i="11" s="1"/>
  <c r="AO666" i="11" s="1"/>
  <c r="AF732" i="11"/>
  <c r="AG732" i="11" s="1"/>
  <c r="AF674" i="11"/>
  <c r="AG674" i="11" s="1"/>
  <c r="AF648" i="11"/>
  <c r="AG648" i="11" s="1"/>
  <c r="AO648" i="11" s="1"/>
  <c r="AF701" i="11"/>
  <c r="AG701" i="11" s="1"/>
  <c r="AO701" i="11" s="1"/>
  <c r="AF683" i="11"/>
  <c r="AG683" i="11" s="1"/>
  <c r="AF636" i="11"/>
  <c r="AG636" i="11" s="1"/>
  <c r="AF637" i="11"/>
  <c r="AG637" i="11" s="1"/>
  <c r="AO637" i="11" s="1"/>
  <c r="AF661" i="11"/>
  <c r="AG661" i="11" s="1"/>
  <c r="AO661" i="11" s="1"/>
  <c r="AF660" i="11"/>
  <c r="AG660" i="11" s="1"/>
  <c r="AO660" i="11" s="1"/>
  <c r="AF724" i="11"/>
  <c r="AG724" i="11" s="1"/>
  <c r="AF698" i="11"/>
  <c r="AG698" i="11" s="1"/>
  <c r="AF673" i="11"/>
  <c r="AG673" i="11" s="1"/>
  <c r="AF687" i="11"/>
  <c r="AG687" i="11" s="1"/>
  <c r="AO687" i="11" s="1"/>
  <c r="AF656" i="11"/>
  <c r="AG656" i="11" s="1"/>
  <c r="AO656" i="11" s="1"/>
  <c r="AF651" i="11"/>
  <c r="AG651" i="11" s="1"/>
  <c r="AF703" i="11"/>
  <c r="AG703" i="11" s="1"/>
  <c r="AO703" i="11" s="1"/>
  <c r="AF669" i="11"/>
  <c r="AG669" i="11" s="1"/>
  <c r="AO669" i="11" s="1"/>
  <c r="AF689" i="11"/>
  <c r="AG689" i="11" s="1"/>
  <c r="AF691" i="11"/>
  <c r="AG691" i="11" s="1"/>
  <c r="AO691" i="11" s="1"/>
  <c r="AF642" i="11"/>
  <c r="AG642" i="11" s="1"/>
  <c r="AO642" i="11" s="1"/>
  <c r="AF680" i="11"/>
  <c r="AG680" i="11" s="1"/>
  <c r="AO680" i="11" s="1"/>
  <c r="AF679" i="11"/>
  <c r="AG679" i="11" s="1"/>
  <c r="AO679" i="11" s="1"/>
  <c r="AF694" i="11"/>
  <c r="AG694" i="11" s="1"/>
  <c r="AF1059" i="11"/>
  <c r="AG1059" i="11" s="1"/>
  <c r="AF1064" i="11"/>
  <c r="AG1064" i="11" s="1"/>
  <c r="AO1064" i="11" s="1"/>
  <c r="AF1070" i="11"/>
  <c r="AG1070" i="11" s="1"/>
  <c r="AF1079" i="11"/>
  <c r="AG1079" i="11" s="1"/>
  <c r="AO1079" i="11" s="1"/>
  <c r="AF1062" i="11"/>
  <c r="AG1062" i="11" s="1"/>
  <c r="AO1062" i="11" s="1"/>
  <c r="AF1113" i="11"/>
  <c r="AG1113" i="11" s="1"/>
  <c r="AO1113" i="11" s="1"/>
  <c r="AF1055" i="11"/>
  <c r="AG1055" i="11" s="1"/>
  <c r="AO1055" i="11" s="1"/>
  <c r="AF1137" i="11"/>
  <c r="AG1137" i="11" s="1"/>
  <c r="AO1137" i="11" s="1"/>
  <c r="AF1074" i="11"/>
  <c r="AG1074" i="11" s="1"/>
  <c r="AF1155" i="11"/>
  <c r="AG1155" i="11" s="1"/>
  <c r="AO1155" i="11" s="1"/>
  <c r="AF1092" i="11"/>
  <c r="AG1092" i="11" s="1"/>
  <c r="AF1152" i="11"/>
  <c r="AG1152" i="11" s="1"/>
  <c r="AF1065" i="11"/>
  <c r="AG1065" i="11" s="1"/>
  <c r="AF1072" i="11"/>
  <c r="AG1072" i="11" s="1"/>
  <c r="AO1072" i="11" s="1"/>
  <c r="AF1104" i="11"/>
  <c r="AG1104" i="11" s="1"/>
  <c r="AO1104" i="11" s="1"/>
  <c r="AF1135" i="11"/>
  <c r="AG1135" i="11" s="1"/>
  <c r="AO1135" i="11" s="1"/>
  <c r="AF1078" i="11"/>
  <c r="AG1078" i="11" s="1"/>
  <c r="AO1078" i="11" s="1"/>
  <c r="AF1127" i="11"/>
  <c r="AG1127" i="11" s="1"/>
  <c r="AO1127" i="11" s="1"/>
  <c r="AF1124" i="11"/>
  <c r="AG1124" i="11" s="1"/>
  <c r="AF1067" i="11"/>
  <c r="AG1067" i="11" s="1"/>
  <c r="AF1117" i="11"/>
  <c r="AG1117" i="11" s="1"/>
  <c r="AF1145" i="11"/>
  <c r="AG1145" i="11" s="1"/>
  <c r="AO1145" i="11" s="1"/>
  <c r="AF1150" i="11"/>
  <c r="AG1150" i="11" s="1"/>
  <c r="AO1150" i="11" s="1"/>
  <c r="AF1060" i="11"/>
  <c r="AG1060" i="11" s="1"/>
  <c r="AF1149" i="11"/>
  <c r="AG1149" i="11" s="1"/>
  <c r="AO1149" i="11" s="1"/>
  <c r="AF1103" i="11"/>
  <c r="AG1103" i="11" s="1"/>
  <c r="AO1103" i="11" s="1"/>
  <c r="AF1101" i="11"/>
  <c r="AG1101" i="11" s="1"/>
  <c r="AO1101" i="11" s="1"/>
  <c r="AF1107" i="11"/>
  <c r="AG1107" i="11" s="1"/>
  <c r="AO1107" i="11" s="1"/>
  <c r="AF1121" i="11"/>
  <c r="AG1121" i="11" s="1"/>
  <c r="AF1115" i="11"/>
  <c r="AG1115" i="11" s="1"/>
  <c r="AF1093" i="11"/>
  <c r="AG1093" i="11" s="1"/>
  <c r="AF1131" i="11"/>
  <c r="AG1131" i="11" s="1"/>
  <c r="AF1122" i="11"/>
  <c r="AG1122" i="11" s="1"/>
  <c r="AF1141" i="11"/>
  <c r="AG1141" i="11" s="1"/>
  <c r="AO1141" i="11" s="1"/>
  <c r="AF1106" i="11"/>
  <c r="AG1106" i="11" s="1"/>
  <c r="AO1106" i="11" s="1"/>
  <c r="AF1071" i="11"/>
  <c r="AG1071" i="11" s="1"/>
  <c r="AO1071" i="11" s="1"/>
  <c r="AF1102" i="11"/>
  <c r="AG1102" i="11" s="1"/>
  <c r="AF1066" i="11"/>
  <c r="AG1066" i="11" s="1"/>
  <c r="AF1119" i="11"/>
  <c r="AG1119" i="11" s="1"/>
  <c r="AO1119" i="11" s="1"/>
  <c r="AF1096" i="11"/>
  <c r="AG1096" i="11" s="1"/>
  <c r="AF1090" i="11"/>
  <c r="AG1090" i="11" s="1"/>
  <c r="AF1089" i="11"/>
  <c r="AG1089" i="11" s="1"/>
  <c r="AF1110" i="11"/>
  <c r="AG1110" i="11" s="1"/>
  <c r="AO1110" i="11" s="1"/>
  <c r="AF1126" i="11"/>
  <c r="AG1126" i="11" s="1"/>
  <c r="AO1126" i="11" s="1"/>
  <c r="AF1056" i="11"/>
  <c r="AG1056" i="11" s="1"/>
  <c r="AO1056" i="11" s="1"/>
  <c r="AF1108" i="11"/>
  <c r="AG1108" i="11" s="1"/>
  <c r="AF1146" i="11"/>
  <c r="AG1146" i="11" s="1"/>
  <c r="AO1146" i="11" s="1"/>
  <c r="AF1112" i="11"/>
  <c r="AG1112" i="11" s="1"/>
  <c r="AO1112" i="11" s="1"/>
  <c r="AF1133" i="11"/>
  <c r="AG1133" i="11" s="1"/>
  <c r="AO1133" i="11" s="1"/>
  <c r="AF1156" i="11"/>
  <c r="AG1156" i="11" s="1"/>
  <c r="AO1156" i="11" s="1"/>
  <c r="AF1075" i="11"/>
  <c r="AG1075" i="11" s="1"/>
  <c r="AO1075" i="11" s="1"/>
  <c r="AF1134" i="11"/>
  <c r="AG1134" i="11" s="1"/>
  <c r="AO1134" i="11" s="1"/>
  <c r="AF1136" i="11"/>
  <c r="AG1136" i="11" s="1"/>
  <c r="AF1154" i="11"/>
  <c r="AG1154" i="11" s="1"/>
  <c r="AF1088" i="11"/>
  <c r="AG1088" i="11" s="1"/>
  <c r="AF1061" i="11"/>
  <c r="AG1061" i="11" s="1"/>
  <c r="AO1061" i="11" s="1"/>
  <c r="AF1130" i="11"/>
  <c r="AG1130" i="11" s="1"/>
  <c r="AO1130" i="11" s="1"/>
  <c r="AF1111" i="11"/>
  <c r="AG1111" i="11" s="1"/>
  <c r="AO1111" i="11" s="1"/>
  <c r="AF1114" i="11"/>
  <c r="AG1114" i="11" s="1"/>
  <c r="AF1095" i="11"/>
  <c r="AG1095" i="11" s="1"/>
  <c r="AF1129" i="11"/>
  <c r="AG1129" i="11" s="1"/>
  <c r="AF1098" i="11"/>
  <c r="AG1098" i="11" s="1"/>
  <c r="AO1098" i="11" s="1"/>
  <c r="AF1142" i="11"/>
  <c r="AG1142" i="11" s="1"/>
  <c r="AO1142" i="11" s="1"/>
  <c r="AF1057" i="11"/>
  <c r="AG1057" i="11" s="1"/>
  <c r="AF1143" i="11"/>
  <c r="AG1143" i="11" s="1"/>
  <c r="AO1143" i="11" s="1"/>
  <c r="AF1097" i="11"/>
  <c r="AG1097" i="11" s="1"/>
  <c r="AO1097" i="11" s="1"/>
  <c r="AF1081" i="11"/>
  <c r="AG1081" i="11" s="1"/>
  <c r="AF1109" i="11"/>
  <c r="AG1109" i="11" s="1"/>
  <c r="AO1109" i="11" s="1"/>
  <c r="AF1099" i="11"/>
  <c r="AG1099" i="11" s="1"/>
  <c r="AF1157" i="11"/>
  <c r="AG1157" i="11" s="1"/>
  <c r="AO1157" i="11" s="1"/>
  <c r="AF1082" i="11"/>
  <c r="AG1082" i="11" s="1"/>
  <c r="AO1082" i="11" s="1"/>
  <c r="AF1132" i="11"/>
  <c r="AG1132" i="11" s="1"/>
  <c r="AO1132" i="11" s="1"/>
  <c r="AF1138" i="11"/>
  <c r="AG1138" i="11" s="1"/>
  <c r="AF1076" i="11"/>
  <c r="AG1076" i="11" s="1"/>
  <c r="AF1153" i="11"/>
  <c r="AG1153" i="11" s="1"/>
  <c r="AF1118" i="11"/>
  <c r="AG1118" i="11" s="1"/>
  <c r="AO1118" i="11" s="1"/>
  <c r="AF1123" i="11"/>
  <c r="AG1123" i="11" s="1"/>
  <c r="AF1080" i="11"/>
  <c r="AG1080" i="11" s="1"/>
  <c r="AO1080" i="11" s="1"/>
  <c r="AF1158" i="11"/>
  <c r="AG1158" i="11" s="1"/>
  <c r="AO1158" i="11" s="1"/>
  <c r="AF1128" i="11"/>
  <c r="AG1128" i="11" s="1"/>
  <c r="AF1069" i="11"/>
  <c r="AG1069" i="11" s="1"/>
  <c r="AF1077" i="11"/>
  <c r="AG1077" i="11" s="1"/>
  <c r="AF1068" i="11"/>
  <c r="AG1068" i="11" s="1"/>
  <c r="AO1068" i="11" s="1"/>
  <c r="O201" i="54"/>
  <c r="AF1084" i="11"/>
  <c r="AG1084" i="11" s="1"/>
  <c r="AF1139" i="11"/>
  <c r="AG1139" i="11" s="1"/>
  <c r="AF1091" i="11"/>
  <c r="AG1091" i="11" s="1"/>
  <c r="AO1091" i="11" s="1"/>
  <c r="AF1120" i="11"/>
  <c r="AG1120" i="11" s="1"/>
  <c r="AF1144" i="11"/>
  <c r="AG1144" i="11" s="1"/>
  <c r="AO1144" i="11" s="1"/>
  <c r="AF1116" i="11"/>
  <c r="AG1116" i="11" s="1"/>
  <c r="AO1116" i="11" s="1"/>
  <c r="AF1094" i="11"/>
  <c r="AG1094" i="11" s="1"/>
  <c r="AF1151" i="11"/>
  <c r="AG1151" i="11" s="1"/>
  <c r="AO1151" i="11" s="1"/>
  <c r="AF1086" i="11"/>
  <c r="AG1086" i="11" s="1"/>
  <c r="AO1086" i="11" s="1"/>
  <c r="AF1087" i="11"/>
  <c r="AG1087" i="11" s="1"/>
  <c r="AO1087" i="11" s="1"/>
  <c r="AF1140" i="11"/>
  <c r="AG1140" i="11" s="1"/>
  <c r="AI322" i="11"/>
  <c r="AJ322" i="11" s="1"/>
  <c r="AK2370" i="11"/>
  <c r="AL2370" i="11" s="1"/>
  <c r="P102" i="54"/>
  <c r="Q134" i="54"/>
  <c r="AF3573" i="11"/>
  <c r="AG3573" i="11" s="1"/>
  <c r="O282" i="54"/>
  <c r="Q148" i="54"/>
  <c r="AF1488" i="11"/>
  <c r="AG1488" i="11" s="1"/>
  <c r="AF2346" i="11"/>
  <c r="AG2346" i="11" s="1"/>
  <c r="AI698" i="11"/>
  <c r="AJ698" i="11" s="1"/>
  <c r="AK2537" i="11"/>
  <c r="AL2537" i="11" s="1"/>
  <c r="AF2969" i="11"/>
  <c r="AG2969" i="11" s="1"/>
  <c r="AK696" i="11"/>
  <c r="AL696" i="11" s="1"/>
  <c r="AF3501" i="11"/>
  <c r="AG3501" i="11" s="1"/>
  <c r="AK1908" i="11"/>
  <c r="AL1908" i="11" s="1"/>
  <c r="AK1987" i="11"/>
  <c r="AL1987" i="11" s="1"/>
  <c r="AK1935" i="11"/>
  <c r="AL1935" i="11" s="1"/>
  <c r="AK1940" i="11"/>
  <c r="AL1940" i="11" s="1"/>
  <c r="AK1979" i="11"/>
  <c r="AL1979" i="11" s="1"/>
  <c r="AK1981" i="11"/>
  <c r="AL1981" i="11" s="1"/>
  <c r="AK1916" i="11"/>
  <c r="AL1916" i="11" s="1"/>
  <c r="AK1910" i="11"/>
  <c r="AL1910" i="11" s="1"/>
  <c r="AK1904" i="11"/>
  <c r="AL1904" i="11" s="1"/>
  <c r="AK1959" i="11"/>
  <c r="AL1959" i="11" s="1"/>
  <c r="AK1905" i="11"/>
  <c r="AL1905" i="11" s="1"/>
  <c r="AK1919" i="11"/>
  <c r="AL1919" i="11" s="1"/>
  <c r="AK1965" i="11"/>
  <c r="AL1965" i="11" s="1"/>
  <c r="AK1984" i="11"/>
  <c r="AL1984" i="11" s="1"/>
  <c r="AK1899" i="11"/>
  <c r="AL1899" i="11" s="1"/>
  <c r="AK1929" i="11"/>
  <c r="AL1929" i="11" s="1"/>
  <c r="AK1926" i="11"/>
  <c r="AL1926" i="11" s="1"/>
  <c r="AK1975" i="11"/>
  <c r="AL1975" i="11" s="1"/>
  <c r="AK1973" i="11"/>
  <c r="AL1973" i="11" s="1"/>
  <c r="AK1922" i="11"/>
  <c r="AL1922" i="11" s="1"/>
  <c r="AK1986" i="11"/>
  <c r="AL1986" i="11" s="1"/>
  <c r="AK1983" i="11"/>
  <c r="AL1983" i="11" s="1"/>
  <c r="AK1990" i="11"/>
  <c r="AL1990" i="11" s="1"/>
  <c r="AK1950" i="11"/>
  <c r="AL1950" i="11" s="1"/>
  <c r="AK1969" i="11"/>
  <c r="AL1969" i="11" s="1"/>
  <c r="AK1924" i="11"/>
  <c r="AL1924" i="11" s="1"/>
  <c r="AK1972" i="11"/>
  <c r="AL1972" i="11" s="1"/>
  <c r="AK1895" i="11"/>
  <c r="AL1895" i="11" s="1"/>
  <c r="AK1933" i="11"/>
  <c r="AL1933" i="11" s="1"/>
  <c r="AK1977" i="11"/>
  <c r="AL1977" i="11" s="1"/>
  <c r="AK1963" i="11"/>
  <c r="AL1963" i="11" s="1"/>
  <c r="AK1995" i="11"/>
  <c r="AL1995" i="11" s="1"/>
  <c r="AK1961" i="11"/>
  <c r="AL1961" i="11" s="1"/>
  <c r="AK1968" i="11"/>
  <c r="AL1968" i="11" s="1"/>
  <c r="AK1934" i="11"/>
  <c r="AL1934" i="11" s="1"/>
  <c r="AK1920" i="11"/>
  <c r="AL1920" i="11" s="1"/>
  <c r="AK1982" i="11"/>
  <c r="AL1982" i="11" s="1"/>
  <c r="AK1971" i="11"/>
  <c r="AL1971" i="11" s="1"/>
  <c r="AK1964" i="11"/>
  <c r="AL1964" i="11" s="1"/>
  <c r="AK1923" i="11"/>
  <c r="AL1923" i="11" s="1"/>
  <c r="AK1989" i="11"/>
  <c r="AL1989" i="11" s="1"/>
  <c r="AK1936" i="11"/>
  <c r="AL1936" i="11" s="1"/>
  <c r="AK1985" i="11"/>
  <c r="AL1985" i="11" s="1"/>
  <c r="AK1988" i="11"/>
  <c r="AL1988" i="11" s="1"/>
  <c r="AK1901" i="11"/>
  <c r="AL1901" i="11" s="1"/>
  <c r="AK1907" i="11"/>
  <c r="AL1907" i="11" s="1"/>
  <c r="AK1960" i="11"/>
  <c r="AL1960" i="11" s="1"/>
  <c r="AK1948" i="11"/>
  <c r="AL1948" i="11" s="1"/>
  <c r="AK1951" i="11"/>
  <c r="AL1951" i="11" s="1"/>
  <c r="AK1956" i="11"/>
  <c r="AL1956" i="11" s="1"/>
  <c r="AK1997" i="11"/>
  <c r="AL1997" i="11" s="1"/>
  <c r="AK1911" i="11"/>
  <c r="AL1911" i="11" s="1"/>
  <c r="AK1966" i="11"/>
  <c r="AL1966" i="11" s="1"/>
  <c r="AK1928" i="11"/>
  <c r="AL1928" i="11" s="1"/>
  <c r="AO1928" i="11" s="1"/>
  <c r="AK1927" i="11"/>
  <c r="AL1927" i="11" s="1"/>
  <c r="AK1996" i="11"/>
  <c r="AL1996" i="11" s="1"/>
  <c r="AK1938" i="11"/>
  <c r="AL1938" i="11" s="1"/>
  <c r="AK1912" i="11"/>
  <c r="AL1912" i="11" s="1"/>
  <c r="AK1991" i="11"/>
  <c r="AL1991" i="11" s="1"/>
  <c r="AK1947" i="11"/>
  <c r="AL1947" i="11" s="1"/>
  <c r="AK1993" i="11"/>
  <c r="AL1993" i="11" s="1"/>
  <c r="AK1915" i="11"/>
  <c r="AL1915" i="11" s="1"/>
  <c r="AK1942" i="11"/>
  <c r="AL1942" i="11" s="1"/>
  <c r="AK1954" i="11"/>
  <c r="AL1954" i="11" s="1"/>
  <c r="AK1898" i="11"/>
  <c r="AL1898" i="11" s="1"/>
  <c r="AK1945" i="11"/>
  <c r="AL1945" i="11" s="1"/>
  <c r="AK1937" i="11"/>
  <c r="AL1937" i="11" s="1"/>
  <c r="AK1932" i="11"/>
  <c r="AL1932" i="11" s="1"/>
  <c r="AK1903" i="11"/>
  <c r="AL1903" i="11" s="1"/>
  <c r="AK1902" i="11"/>
  <c r="AL1902" i="11" s="1"/>
  <c r="AK1925" i="11"/>
  <c r="AL1925" i="11" s="1"/>
  <c r="AK1949" i="11"/>
  <c r="AL1949" i="11" s="1"/>
  <c r="AK1896" i="11"/>
  <c r="AL1896" i="11" s="1"/>
  <c r="AK1909" i="11"/>
  <c r="AL1909" i="11" s="1"/>
  <c r="AK1917" i="11"/>
  <c r="AL1917" i="11" s="1"/>
  <c r="AK1913" i="11"/>
  <c r="AL1913" i="11" s="1"/>
  <c r="AK1974" i="11"/>
  <c r="AL1974" i="11" s="1"/>
  <c r="AK1976" i="11"/>
  <c r="AL1976" i="11" s="1"/>
  <c r="AK1944" i="11"/>
  <c r="AL1944" i="11" s="1"/>
  <c r="AK1931" i="11"/>
  <c r="AL1931" i="11" s="1"/>
  <c r="AK1998" i="11"/>
  <c r="AL1998" i="11" s="1"/>
  <c r="AK1918" i="11"/>
  <c r="AL1918" i="11" s="1"/>
  <c r="AK1962" i="11"/>
  <c r="AL1962" i="11" s="1"/>
  <c r="AK1955" i="11"/>
  <c r="AL1955" i="11" s="1"/>
  <c r="AK1994" i="11"/>
  <c r="AL1994" i="11" s="1"/>
  <c r="AK1906" i="11"/>
  <c r="AL1906" i="11" s="1"/>
  <c r="AK1980" i="11"/>
  <c r="AL1980" i="11" s="1"/>
  <c r="AK1941" i="11"/>
  <c r="AL1941" i="11" s="1"/>
  <c r="AK1967" i="11"/>
  <c r="AL1967" i="11" s="1"/>
  <c r="AK1943" i="11"/>
  <c r="AL1943" i="11" s="1"/>
  <c r="AK1900" i="11"/>
  <c r="AL1900" i="11" s="1"/>
  <c r="AK1946" i="11"/>
  <c r="AL1946" i="11" s="1"/>
  <c r="AK776" i="11"/>
  <c r="AL776" i="11" s="1"/>
  <c r="AD177" i="11"/>
  <c r="AE177" i="11" s="1"/>
  <c r="P76" i="54"/>
  <c r="AD2421" i="11"/>
  <c r="AE2421" i="11" s="1"/>
  <c r="AN2421" i="11" s="1"/>
  <c r="P128" i="54"/>
  <c r="AI670" i="11"/>
  <c r="AJ670" i="11" s="1"/>
  <c r="Q102" i="54"/>
  <c r="O267" i="54"/>
  <c r="AF1363" i="11"/>
  <c r="AG1363" i="11" s="1"/>
  <c r="AD2981" i="11"/>
  <c r="AE2981" i="11" s="1"/>
  <c r="AF3817" i="11"/>
  <c r="AG3817" i="11" s="1"/>
  <c r="AK414" i="11"/>
  <c r="AL414" i="11" s="1"/>
  <c r="AI3274" i="11"/>
  <c r="AJ3274" i="11" s="1"/>
  <c r="N276" i="54"/>
  <c r="Q136" i="54"/>
  <c r="P95" i="54"/>
  <c r="AI2243" i="11"/>
  <c r="AJ2243" i="11" s="1"/>
  <c r="AK290" i="11"/>
  <c r="AL290" i="11" s="1"/>
  <c r="AF1257" i="11"/>
  <c r="AG1257" i="11" s="1"/>
  <c r="AF1618" i="11"/>
  <c r="AG1618" i="11" s="1"/>
  <c r="AI386" i="11"/>
  <c r="AJ386" i="11" s="1"/>
  <c r="AI1034" i="11"/>
  <c r="AJ1034" i="11" s="1"/>
  <c r="AD1917" i="11"/>
  <c r="AE1917" i="11" s="1"/>
  <c r="AI2327" i="11"/>
  <c r="AJ2327" i="11" s="1"/>
  <c r="AK772" i="11"/>
  <c r="AL772" i="11" s="1"/>
  <c r="AF1835" i="11"/>
  <c r="AG1835" i="11" s="1"/>
  <c r="AO1835" i="11" s="1"/>
  <c r="AK3094" i="11"/>
  <c r="AL3094" i="11" s="1"/>
  <c r="AI1139" i="11"/>
  <c r="AJ1139" i="11" s="1"/>
  <c r="AK1930" i="11"/>
  <c r="AL1930" i="11" s="1"/>
  <c r="AF2869" i="11"/>
  <c r="AG2869" i="11" s="1"/>
  <c r="AO2869" i="11" s="1"/>
  <c r="AD2857" i="11"/>
  <c r="AE2857" i="11" s="1"/>
  <c r="AF934" i="11"/>
  <c r="AG934" i="11" s="1"/>
  <c r="AF2657" i="11"/>
  <c r="AG2657" i="11" s="1"/>
  <c r="AD2515" i="11"/>
  <c r="AE2515" i="11" s="1"/>
  <c r="AN2515" i="11" s="1"/>
  <c r="AK2989" i="11"/>
  <c r="AL2989" i="11" s="1"/>
  <c r="AK3059" i="11"/>
  <c r="AL3059" i="11" s="1"/>
  <c r="AF1404" i="11"/>
  <c r="AG1404" i="11" s="1"/>
  <c r="AF2520" i="11"/>
  <c r="AG2520" i="11" s="1"/>
  <c r="AI1536" i="11"/>
  <c r="AJ1536" i="11" s="1"/>
  <c r="AD973" i="11"/>
  <c r="AE973" i="11" s="1"/>
  <c r="AK1442" i="11"/>
  <c r="AL1442" i="11" s="1"/>
  <c r="AK3878" i="11"/>
  <c r="AL3878" i="11" s="1"/>
  <c r="AK837" i="11"/>
  <c r="AL837" i="11" s="1"/>
  <c r="AF1336" i="11"/>
  <c r="AG1336" i="11" s="1"/>
  <c r="AF980" i="11"/>
  <c r="AG980" i="11" s="1"/>
  <c r="AF1400" i="11"/>
  <c r="AG1400" i="11" s="1"/>
  <c r="O191" i="54"/>
  <c r="AF1361" i="11"/>
  <c r="AG1361" i="11" s="1"/>
  <c r="AD3693" i="11"/>
  <c r="AE3693" i="11" s="1"/>
  <c r="AF3209" i="11"/>
  <c r="AG3209" i="11" s="1"/>
  <c r="AF1282" i="11"/>
  <c r="AG1282" i="11" s="1"/>
  <c r="AD420" i="11"/>
  <c r="AE420" i="11" s="1"/>
  <c r="AD3671" i="11"/>
  <c r="AE3671" i="11" s="1"/>
  <c r="AN3671" i="11" s="1"/>
  <c r="AF3838" i="11"/>
  <c r="AG3838" i="11" s="1"/>
  <c r="AI3260" i="11"/>
  <c r="AJ3260" i="11" s="1"/>
  <c r="AK3822" i="11"/>
  <c r="AL3822" i="11" s="1"/>
  <c r="AK3235" i="11"/>
  <c r="AL3235" i="11" s="1"/>
  <c r="AF1085" i="11"/>
  <c r="AG1085" i="11" s="1"/>
  <c r="AO1085" i="11" s="1"/>
  <c r="AD3392" i="11"/>
  <c r="AE3392" i="11" s="1"/>
  <c r="AF339" i="11"/>
  <c r="AG339" i="11" s="1"/>
  <c r="AF1584" i="11"/>
  <c r="AG1584" i="11" s="1"/>
  <c r="AI851" i="11"/>
  <c r="AJ851" i="11" s="1"/>
  <c r="AI2334" i="11"/>
  <c r="AJ2334" i="11" s="1"/>
  <c r="AD924" i="11"/>
  <c r="AE924" i="11" s="1"/>
  <c r="AN924" i="11" s="1"/>
  <c r="AD911" i="11"/>
  <c r="AE911" i="11" s="1"/>
  <c r="AD1930" i="11"/>
  <c r="AE1930" i="11" s="1"/>
  <c r="AK3816" i="11"/>
  <c r="AL3816" i="11" s="1"/>
  <c r="AI1063" i="11"/>
  <c r="AJ1063" i="11" s="1"/>
  <c r="AF2196" i="11"/>
  <c r="AG2196" i="11" s="1"/>
  <c r="AD2630" i="11"/>
  <c r="AE2630" i="11" s="1"/>
  <c r="AI530" i="11"/>
  <c r="AJ530" i="11" s="1"/>
  <c r="AF376" i="11"/>
  <c r="AG376" i="11" s="1"/>
  <c r="O192" i="54"/>
  <c r="AD958" i="11"/>
  <c r="AE958" i="11" s="1"/>
  <c r="AK168" i="11"/>
  <c r="AL168" i="11" s="1"/>
  <c r="AK2107" i="11"/>
  <c r="AL2107" i="11" s="1"/>
  <c r="AF3261" i="11"/>
  <c r="AG3261" i="11" s="1"/>
  <c r="AF3709" i="11"/>
  <c r="AG3709" i="11" s="1"/>
  <c r="AK376" i="11"/>
  <c r="AL376" i="11" s="1"/>
  <c r="AK998" i="11"/>
  <c r="AL998" i="11" s="1"/>
  <c r="AK3443" i="11"/>
  <c r="AL3443" i="11" s="1"/>
  <c r="AI3398" i="11"/>
  <c r="AJ3398" i="11" s="1"/>
  <c r="N183" i="54"/>
  <c r="AF2701" i="11"/>
  <c r="AG2701" i="11" s="1"/>
  <c r="N189" i="54"/>
  <c r="AD2466" i="11"/>
  <c r="AE2466" i="11" s="1"/>
  <c r="AN2466" i="11" s="1"/>
  <c r="AI441" i="11"/>
  <c r="AJ441" i="11" s="1"/>
  <c r="AD3643" i="11"/>
  <c r="AE3643" i="11" s="1"/>
  <c r="AK1540" i="11"/>
  <c r="AL1540" i="11" s="1"/>
  <c r="AK1521" i="11"/>
  <c r="AL1521" i="11" s="1"/>
  <c r="AD3105" i="11"/>
  <c r="AE3105" i="11" s="1"/>
  <c r="AF814" i="11"/>
  <c r="AG814" i="11" s="1"/>
  <c r="AK291" i="11"/>
  <c r="AL291" i="11" s="1"/>
  <c r="AK3883" i="11"/>
  <c r="AL3883" i="11" s="1"/>
  <c r="AK698" i="11"/>
  <c r="AL698" i="11" s="1"/>
  <c r="AF507" i="11"/>
  <c r="AG507" i="11" s="1"/>
  <c r="AO507" i="11" s="1"/>
  <c r="AI2133" i="11"/>
  <c r="AJ2133" i="11" s="1"/>
  <c r="AF711" i="11"/>
  <c r="AG711" i="11" s="1"/>
  <c r="AO711" i="11" s="1"/>
  <c r="AK1060" i="11"/>
  <c r="AL1060" i="11" s="1"/>
  <c r="AI2863" i="11"/>
  <c r="AJ2863" i="11" s="1"/>
  <c r="AD1552" i="11"/>
  <c r="AE1552" i="11" s="1"/>
  <c r="AI3407" i="11"/>
  <c r="AJ3407" i="11" s="1"/>
  <c r="AF1183" i="11"/>
  <c r="AG1183" i="11" s="1"/>
  <c r="AI2359" i="11"/>
  <c r="AJ2359" i="11" s="1"/>
  <c r="AD2514" i="11"/>
  <c r="AE2514" i="11" s="1"/>
  <c r="AN2514" i="11" s="1"/>
  <c r="AK273" i="11"/>
  <c r="AL273" i="11" s="1"/>
  <c r="AK3523" i="11"/>
  <c r="AL3523" i="11" s="1"/>
  <c r="AD2666" i="11"/>
  <c r="AE2666" i="11" s="1"/>
  <c r="AF1172" i="11"/>
  <c r="AG1172" i="11" s="1"/>
  <c r="AO1172" i="11" s="1"/>
  <c r="AF1811" i="11"/>
  <c r="AG1811" i="11" s="1"/>
  <c r="AD3325" i="11"/>
  <c r="AE3325" i="11" s="1"/>
  <c r="AK3320" i="11"/>
  <c r="AL3320" i="11" s="1"/>
  <c r="AD1399" i="11"/>
  <c r="AE1399" i="11" s="1"/>
  <c r="AD2755" i="11"/>
  <c r="AE2755" i="11" s="1"/>
  <c r="AK171" i="11"/>
  <c r="AL171" i="11" s="1"/>
  <c r="AK3332" i="11"/>
  <c r="AL3332" i="11" s="1"/>
  <c r="AK2801" i="11"/>
  <c r="AL2801" i="11" s="1"/>
  <c r="AI627" i="11"/>
  <c r="AJ627" i="11" s="1"/>
  <c r="AI2821" i="11"/>
  <c r="AJ2821" i="11" s="1"/>
  <c r="AI1392" i="11"/>
  <c r="AJ1392" i="11" s="1"/>
  <c r="AF320" i="11"/>
  <c r="AG320" i="11" s="1"/>
  <c r="AD506" i="11"/>
  <c r="AE506" i="11" s="1"/>
  <c r="AK128" i="11"/>
  <c r="AL128" i="11" s="1"/>
  <c r="AK1543" i="11"/>
  <c r="AL1543" i="11" s="1"/>
  <c r="AK1535" i="11"/>
  <c r="AL1535" i="11" s="1"/>
  <c r="AI2292" i="11"/>
  <c r="AJ2292" i="11" s="1"/>
  <c r="N185" i="54"/>
  <c r="AD255" i="11"/>
  <c r="AE255" i="11" s="1"/>
  <c r="AD3612" i="11"/>
  <c r="AE3612" i="11" s="1"/>
  <c r="AK1017" i="11"/>
  <c r="AL1017" i="11" s="1"/>
  <c r="AK375" i="11"/>
  <c r="AL375" i="11" s="1"/>
  <c r="AK2882" i="11"/>
  <c r="AL2882" i="11" s="1"/>
  <c r="AF2482" i="11"/>
  <c r="AG2482" i="11" s="1"/>
  <c r="AK1805" i="11"/>
  <c r="AL1805" i="11" s="1"/>
  <c r="AK1147" i="11"/>
  <c r="AL1147" i="11" s="1"/>
  <c r="AD3082" i="11"/>
  <c r="AE3082" i="11" s="1"/>
  <c r="AI1340" i="11"/>
  <c r="AJ1340" i="11" s="1"/>
  <c r="AD3011" i="11"/>
  <c r="AE3011" i="11" s="1"/>
  <c r="AD3421" i="11"/>
  <c r="AE3421" i="11" s="1"/>
  <c r="AI10" i="11"/>
  <c r="AJ10" i="11" s="1"/>
  <c r="AI3488" i="11"/>
  <c r="AJ3488" i="11" s="1"/>
  <c r="AK2833" i="11"/>
  <c r="AL2833" i="11" s="1"/>
  <c r="AF1689" i="11"/>
  <c r="AG1689" i="11" s="1"/>
  <c r="AK3275" i="11"/>
  <c r="AL3275" i="11" s="1"/>
  <c r="AI3149" i="11"/>
  <c r="AJ3149" i="11" s="1"/>
  <c r="AD3321" i="11"/>
  <c r="AE3321" i="11" s="1"/>
  <c r="AF1188" i="11"/>
  <c r="AG1188" i="11" s="1"/>
  <c r="AO1188" i="11" s="1"/>
  <c r="AK3098" i="11"/>
  <c r="AL3098" i="11" s="1"/>
  <c r="AD2148" i="11"/>
  <c r="AE2148" i="11" s="1"/>
  <c r="AI3261" i="11"/>
  <c r="AJ3261" i="11" s="1"/>
  <c r="AI621" i="11"/>
  <c r="AJ621" i="11" s="1"/>
  <c r="AI999" i="11"/>
  <c r="AJ999" i="11" s="1"/>
  <c r="AF2885" i="11"/>
  <c r="AG2885" i="11" s="1"/>
  <c r="AO2885" i="11" s="1"/>
  <c r="AK2408" i="11"/>
  <c r="AL2408" i="11" s="1"/>
  <c r="AK2382" i="11"/>
  <c r="AL2382" i="11" s="1"/>
  <c r="AK2388" i="11"/>
  <c r="AL2388" i="11" s="1"/>
  <c r="AK2401" i="11"/>
  <c r="AL2401" i="11" s="1"/>
  <c r="AK2331" i="11"/>
  <c r="AL2331" i="11" s="1"/>
  <c r="AK2375" i="11"/>
  <c r="AL2375" i="11" s="1"/>
  <c r="AK2328" i="11"/>
  <c r="AL2328" i="11" s="1"/>
  <c r="AK2378" i="11"/>
  <c r="AL2378" i="11" s="1"/>
  <c r="AK2381" i="11"/>
  <c r="AL2381" i="11" s="1"/>
  <c r="AK2394" i="11"/>
  <c r="AL2394" i="11" s="1"/>
  <c r="AK2410" i="11"/>
  <c r="AL2410" i="11" s="1"/>
  <c r="AK2384" i="11"/>
  <c r="AL2384" i="11" s="1"/>
  <c r="AK2365" i="11"/>
  <c r="AL2365" i="11" s="1"/>
  <c r="AK2417" i="11"/>
  <c r="AL2417" i="11" s="1"/>
  <c r="AK2380" i="11"/>
  <c r="AL2380" i="11" s="1"/>
  <c r="AK2327" i="11"/>
  <c r="AL2327" i="11" s="1"/>
  <c r="AK2371" i="11"/>
  <c r="AL2371" i="11" s="1"/>
  <c r="AK2329" i="11"/>
  <c r="AL2329" i="11" s="1"/>
  <c r="AK2349" i="11"/>
  <c r="AL2349" i="11" s="1"/>
  <c r="AK2334" i="11"/>
  <c r="AL2334" i="11" s="1"/>
  <c r="AK2338" i="11"/>
  <c r="AL2338" i="11" s="1"/>
  <c r="AK2368" i="11"/>
  <c r="AL2368" i="11" s="1"/>
  <c r="AK2386" i="11"/>
  <c r="AL2386" i="11" s="1"/>
  <c r="AK2325" i="11"/>
  <c r="AL2325" i="11" s="1"/>
  <c r="AK2400" i="11"/>
  <c r="AL2400" i="11" s="1"/>
  <c r="AK2385" i="11"/>
  <c r="AL2385" i="11" s="1"/>
  <c r="AK2397" i="11"/>
  <c r="AL2397" i="11" s="1"/>
  <c r="AK2415" i="11"/>
  <c r="AL2415" i="11" s="1"/>
  <c r="AK2406" i="11"/>
  <c r="AL2406" i="11" s="1"/>
  <c r="AK2339" i="11"/>
  <c r="AL2339" i="11" s="1"/>
  <c r="AK2333" i="11"/>
  <c r="AL2333" i="11" s="1"/>
  <c r="AK2366" i="11"/>
  <c r="AL2366" i="11" s="1"/>
  <c r="AK2412" i="11"/>
  <c r="AL2412" i="11" s="1"/>
  <c r="AK2399" i="11"/>
  <c r="AL2399" i="11" s="1"/>
  <c r="AK2356" i="11"/>
  <c r="AL2356" i="11" s="1"/>
  <c r="AK2414" i="11"/>
  <c r="AL2414" i="11" s="1"/>
  <c r="AK2390" i="11"/>
  <c r="AL2390" i="11" s="1"/>
  <c r="AK2315" i="11"/>
  <c r="AL2315" i="11" s="1"/>
  <c r="AK2404" i="11"/>
  <c r="AL2404" i="11" s="1"/>
  <c r="AK2332" i="11"/>
  <c r="AL2332" i="11" s="1"/>
  <c r="AK2396" i="11"/>
  <c r="AL2396" i="11" s="1"/>
  <c r="AK2362" i="11"/>
  <c r="AL2362" i="11" s="1"/>
  <c r="AK2337" i="11"/>
  <c r="AL2337" i="11" s="1"/>
  <c r="AK2355" i="11"/>
  <c r="AL2355" i="11" s="1"/>
  <c r="AK2389" i="11"/>
  <c r="AL2389" i="11" s="1"/>
  <c r="AK2326" i="11"/>
  <c r="AL2326" i="11" s="1"/>
  <c r="AK2343" i="11"/>
  <c r="AL2343" i="11" s="1"/>
  <c r="AK2345" i="11"/>
  <c r="AL2345" i="11" s="1"/>
  <c r="AK2372" i="11"/>
  <c r="AL2372" i="11" s="1"/>
  <c r="AK2402" i="11"/>
  <c r="AL2402" i="11" s="1"/>
  <c r="AK2409" i="11"/>
  <c r="AL2409" i="11" s="1"/>
  <c r="AK2419" i="11"/>
  <c r="AL2419" i="11" s="1"/>
  <c r="AK2317" i="11"/>
  <c r="AL2317" i="11" s="1"/>
  <c r="AK2361" i="11"/>
  <c r="AL2361" i="11" s="1"/>
  <c r="AK2407" i="11"/>
  <c r="AL2407" i="11" s="1"/>
  <c r="AK2348" i="11"/>
  <c r="AL2348" i="11" s="1"/>
  <c r="AK2383" i="11"/>
  <c r="AL2383" i="11" s="1"/>
  <c r="AK2418" i="11"/>
  <c r="AL2418" i="11" s="1"/>
  <c r="AK2379" i="11"/>
  <c r="AL2379" i="11" s="1"/>
  <c r="AK2316" i="11"/>
  <c r="AL2316" i="11" s="1"/>
  <c r="AK2364" i="11"/>
  <c r="AL2364" i="11" s="1"/>
  <c r="AK2358" i="11"/>
  <c r="AL2358" i="11" s="1"/>
  <c r="AK2344" i="11"/>
  <c r="AL2344" i="11" s="1"/>
  <c r="AK2359" i="11"/>
  <c r="AL2359" i="11" s="1"/>
  <c r="AK2405" i="11"/>
  <c r="AL2405" i="11" s="1"/>
  <c r="AK2374" i="11"/>
  <c r="AL2374" i="11" s="1"/>
  <c r="AK2373" i="11"/>
  <c r="AL2373" i="11" s="1"/>
  <c r="AK2391" i="11"/>
  <c r="AL2391" i="11" s="1"/>
  <c r="AK2367" i="11"/>
  <c r="AL2367" i="11" s="1"/>
  <c r="AK2350" i="11"/>
  <c r="AL2350" i="11" s="1"/>
  <c r="AK2319" i="11"/>
  <c r="AL2319" i="11" s="1"/>
  <c r="AK2398" i="11"/>
  <c r="AL2398" i="11" s="1"/>
  <c r="AK2395" i="11"/>
  <c r="AL2395" i="11" s="1"/>
  <c r="AK2360" i="11"/>
  <c r="AL2360" i="11" s="1"/>
  <c r="AK2377" i="11"/>
  <c r="AL2377" i="11" s="1"/>
  <c r="AK2323" i="11"/>
  <c r="AL2323" i="11" s="1"/>
  <c r="AK2387" i="11"/>
  <c r="AL2387" i="11" s="1"/>
  <c r="AK2324" i="11"/>
  <c r="AL2324" i="11" s="1"/>
  <c r="AK2351" i="11"/>
  <c r="AL2351" i="11" s="1"/>
  <c r="AK2346" i="11"/>
  <c r="AL2346" i="11" s="1"/>
  <c r="AK2403" i="11"/>
  <c r="AL2403" i="11" s="1"/>
  <c r="AK2335" i="11"/>
  <c r="AL2335" i="11" s="1"/>
  <c r="AK2416" i="11"/>
  <c r="AL2416" i="11" s="1"/>
  <c r="AK2341" i="11"/>
  <c r="AL2341" i="11" s="1"/>
  <c r="AK2369" i="11"/>
  <c r="AL2369" i="11" s="1"/>
  <c r="AK2336" i="11"/>
  <c r="AL2336" i="11" s="1"/>
  <c r="AK2392" i="11"/>
  <c r="AL2392" i="11" s="1"/>
  <c r="AK2357" i="11"/>
  <c r="AL2357" i="11" s="1"/>
  <c r="AK2330" i="11"/>
  <c r="AL2330" i="11" s="1"/>
  <c r="AK2318" i="11"/>
  <c r="AL2318" i="11" s="1"/>
  <c r="AK2353" i="11"/>
  <c r="AL2353" i="11" s="1"/>
  <c r="AK2340" i="11"/>
  <c r="AL2340" i="11" s="1"/>
  <c r="AK3257" i="11"/>
  <c r="AL3257" i="11" s="1"/>
  <c r="AK3259" i="11"/>
  <c r="AL3259" i="11" s="1"/>
  <c r="AK3177" i="11"/>
  <c r="AL3177" i="11" s="1"/>
  <c r="AK3178" i="11"/>
  <c r="AL3178" i="11" s="1"/>
  <c r="AK3179" i="11"/>
  <c r="AL3179" i="11" s="1"/>
  <c r="AK3210" i="11"/>
  <c r="AL3210" i="11" s="1"/>
  <c r="AK3170" i="11"/>
  <c r="AL3170" i="11" s="1"/>
  <c r="AK3227" i="11"/>
  <c r="AL3227" i="11" s="1"/>
  <c r="AK3221" i="11"/>
  <c r="AL3221" i="11" s="1"/>
  <c r="AK3193" i="11"/>
  <c r="AL3193" i="11" s="1"/>
  <c r="AK3212" i="11"/>
  <c r="AL3212" i="11" s="1"/>
  <c r="AK3187" i="11"/>
  <c r="AL3187" i="11" s="1"/>
  <c r="AK3168" i="11"/>
  <c r="AL3168" i="11" s="1"/>
  <c r="AK3196" i="11"/>
  <c r="AL3196" i="11" s="1"/>
  <c r="AK3156" i="11"/>
  <c r="AL3156" i="11" s="1"/>
  <c r="AK3211" i="11"/>
  <c r="AL3211" i="11" s="1"/>
  <c r="AK3200" i="11"/>
  <c r="AL3200" i="11" s="1"/>
  <c r="AK3162" i="11"/>
  <c r="AL3162" i="11" s="1"/>
  <c r="AO3162" i="11" s="1"/>
  <c r="AK3247" i="11"/>
  <c r="AL3247" i="11" s="1"/>
  <c r="AK3197" i="11"/>
  <c r="AL3197" i="11" s="1"/>
  <c r="AK3163" i="11"/>
  <c r="AL3163" i="11" s="1"/>
  <c r="AK3167" i="11"/>
  <c r="AL3167" i="11" s="1"/>
  <c r="AK3219" i="11"/>
  <c r="AL3219" i="11" s="1"/>
  <c r="AK3258" i="11"/>
  <c r="AL3258" i="11" s="1"/>
  <c r="AK3159" i="11"/>
  <c r="AL3159" i="11" s="1"/>
  <c r="AK3234" i="11"/>
  <c r="AL3234" i="11" s="1"/>
  <c r="AK3161" i="11"/>
  <c r="AL3161" i="11" s="1"/>
  <c r="AK3207" i="11"/>
  <c r="AL3207" i="11" s="1"/>
  <c r="AK3202" i="11"/>
  <c r="AL3202" i="11" s="1"/>
  <c r="AK3232" i="11"/>
  <c r="AL3232" i="11" s="1"/>
  <c r="AK3158" i="11"/>
  <c r="AL3158" i="11" s="1"/>
  <c r="AK3166" i="11"/>
  <c r="AL3166" i="11" s="1"/>
  <c r="AK3164" i="11"/>
  <c r="AL3164" i="11" s="1"/>
  <c r="AK3218" i="11"/>
  <c r="AL3218" i="11" s="1"/>
  <c r="AK3237" i="11"/>
  <c r="AL3237" i="11" s="1"/>
  <c r="AK3184" i="11"/>
  <c r="AL3184" i="11" s="1"/>
  <c r="AK3242" i="11"/>
  <c r="AL3242" i="11" s="1"/>
  <c r="AK3229" i="11"/>
  <c r="AL3229" i="11" s="1"/>
  <c r="AK3169" i="11"/>
  <c r="AL3169" i="11" s="1"/>
  <c r="AK3192" i="11"/>
  <c r="AL3192" i="11" s="1"/>
  <c r="AK3189" i="11"/>
  <c r="AL3189" i="11" s="1"/>
  <c r="AK3226" i="11"/>
  <c r="AL3226" i="11" s="1"/>
  <c r="AK3160" i="11"/>
  <c r="AL3160" i="11" s="1"/>
  <c r="AK3199" i="11"/>
  <c r="AL3199" i="11" s="1"/>
  <c r="AK3194" i="11"/>
  <c r="AL3194" i="11" s="1"/>
  <c r="AK3249" i="11"/>
  <c r="AL3249" i="11" s="1"/>
  <c r="AK3213" i="11"/>
  <c r="AL3213" i="11" s="1"/>
  <c r="AK3253" i="11"/>
  <c r="AL3253" i="11" s="1"/>
  <c r="AK3172" i="11"/>
  <c r="AL3172" i="11" s="1"/>
  <c r="AK3180" i="11"/>
  <c r="AL3180" i="11" s="1"/>
  <c r="AK3223" i="11"/>
  <c r="AL3223" i="11" s="1"/>
  <c r="AK3216" i="11"/>
  <c r="AL3216" i="11" s="1"/>
  <c r="AK3176" i="11"/>
  <c r="AL3176" i="11" s="1"/>
  <c r="AK3204" i="11"/>
  <c r="AL3204" i="11" s="1"/>
  <c r="AK3188" i="11"/>
  <c r="AL3188" i="11" s="1"/>
  <c r="AK3182" i="11"/>
  <c r="AL3182" i="11" s="1"/>
  <c r="AK3205" i="11"/>
  <c r="AL3205" i="11" s="1"/>
  <c r="AK3254" i="11"/>
  <c r="AL3254" i="11" s="1"/>
  <c r="AK3173" i="11"/>
  <c r="AL3173" i="11" s="1"/>
  <c r="AK3198" i="11"/>
  <c r="AL3198" i="11" s="1"/>
  <c r="AK3174" i="11"/>
  <c r="AL3174" i="11" s="1"/>
  <c r="AK3239" i="11"/>
  <c r="AL3239" i="11" s="1"/>
  <c r="AK3230" i="11"/>
  <c r="AL3230" i="11" s="1"/>
  <c r="AK3255" i="11"/>
  <c r="AL3255" i="11" s="1"/>
  <c r="AK3248" i="11"/>
  <c r="AL3248" i="11" s="1"/>
  <c r="AK3181" i="11"/>
  <c r="AL3181" i="11" s="1"/>
  <c r="AK3250" i="11"/>
  <c r="AL3250" i="11" s="1"/>
  <c r="AK3209" i="11"/>
  <c r="AL3209" i="11" s="1"/>
  <c r="AK3224" i="11"/>
  <c r="AL3224" i="11" s="1"/>
  <c r="AK3171" i="11"/>
  <c r="AL3171" i="11" s="1"/>
  <c r="AK3228" i="11"/>
  <c r="AL3228" i="11" s="1"/>
  <c r="AK3245" i="11"/>
  <c r="AL3245" i="11" s="1"/>
  <c r="AK3201" i="11"/>
  <c r="AL3201" i="11" s="1"/>
  <c r="AK3238" i="11"/>
  <c r="AL3238" i="11" s="1"/>
  <c r="AK3155" i="11"/>
  <c r="AL3155" i="11" s="1"/>
  <c r="AK3256" i="11"/>
  <c r="AL3256" i="11" s="1"/>
  <c r="AK3244" i="11"/>
  <c r="AL3244" i="11" s="1"/>
  <c r="AK3183" i="11"/>
  <c r="AL3183" i="11" s="1"/>
  <c r="AK3231" i="11"/>
  <c r="AL3231" i="11" s="1"/>
  <c r="AK3185" i="11"/>
  <c r="AL3185" i="11" s="1"/>
  <c r="AK3190" i="11"/>
  <c r="AL3190" i="11" s="1"/>
  <c r="AK3215" i="11"/>
  <c r="AL3215" i="11" s="1"/>
  <c r="AK3214" i="11"/>
  <c r="AL3214" i="11" s="1"/>
  <c r="AK3220" i="11"/>
  <c r="AL3220" i="11" s="1"/>
  <c r="AK3208" i="11"/>
  <c r="AL3208" i="11" s="1"/>
  <c r="AK3203" i="11"/>
  <c r="AL3203" i="11" s="1"/>
  <c r="AK3157" i="11"/>
  <c r="AL3157" i="11" s="1"/>
  <c r="AK3236" i="11"/>
  <c r="AL3236" i="11" s="1"/>
  <c r="AK3195" i="11"/>
  <c r="AL3195" i="11" s="1"/>
  <c r="AK3246" i="11"/>
  <c r="AL3246" i="11" s="1"/>
  <c r="AK3186" i="11"/>
  <c r="AL3186" i="11" s="1"/>
  <c r="AK3217" i="11"/>
  <c r="AL3217" i="11" s="1"/>
  <c r="AK3165" i="11"/>
  <c r="AL3165" i="11" s="1"/>
  <c r="AK3251" i="11"/>
  <c r="AL3251" i="11" s="1"/>
  <c r="AD3153" i="11"/>
  <c r="AE3153" i="11" s="1"/>
  <c r="AD3077" i="11"/>
  <c r="AE3077" i="11" s="1"/>
  <c r="AD3145" i="11"/>
  <c r="AE3145" i="11" s="1"/>
  <c r="AD3051" i="11"/>
  <c r="AE3051" i="11" s="1"/>
  <c r="AD3111" i="11"/>
  <c r="AE3111" i="11" s="1"/>
  <c r="AD3136" i="11"/>
  <c r="AE3136" i="11" s="1"/>
  <c r="AD3114" i="11"/>
  <c r="AE3114" i="11" s="1"/>
  <c r="AD3058" i="11"/>
  <c r="AE3058" i="11" s="1"/>
  <c r="AD3070" i="11"/>
  <c r="AE3070" i="11" s="1"/>
  <c r="AD3104" i="11"/>
  <c r="AE3104" i="11" s="1"/>
  <c r="AD3106" i="11"/>
  <c r="AE3106" i="11" s="1"/>
  <c r="AD3108" i="11"/>
  <c r="AE3108" i="11" s="1"/>
  <c r="AD3074" i="11"/>
  <c r="AE3074" i="11" s="1"/>
  <c r="AD3078" i="11"/>
  <c r="AE3078" i="11" s="1"/>
  <c r="AD3069" i="11"/>
  <c r="AE3069" i="11" s="1"/>
  <c r="AD3066" i="11"/>
  <c r="AE3066" i="11" s="1"/>
  <c r="AD3060" i="11"/>
  <c r="AE3060" i="11" s="1"/>
  <c r="AD3131" i="11"/>
  <c r="AE3131" i="11" s="1"/>
  <c r="AD3113" i="11"/>
  <c r="AE3113" i="11" s="1"/>
  <c r="AD3083" i="11"/>
  <c r="AE3083" i="11" s="1"/>
  <c r="AD3141" i="11"/>
  <c r="AE3141" i="11" s="1"/>
  <c r="AD3146" i="11"/>
  <c r="AE3146" i="11" s="1"/>
  <c r="AD3147" i="11"/>
  <c r="AE3147" i="11" s="1"/>
  <c r="AD3073" i="11"/>
  <c r="AE3073" i="11" s="1"/>
  <c r="AD3143" i="11"/>
  <c r="AE3143" i="11" s="1"/>
  <c r="AD3110" i="11"/>
  <c r="AE3110" i="11" s="1"/>
  <c r="AD3144" i="11"/>
  <c r="AE3144" i="11" s="1"/>
  <c r="AD3059" i="11"/>
  <c r="AE3059" i="11" s="1"/>
  <c r="AD3138" i="11"/>
  <c r="AE3138" i="11" s="1"/>
  <c r="AD3135" i="11"/>
  <c r="AE3135" i="11" s="1"/>
  <c r="AD3121" i="11"/>
  <c r="AE3121" i="11" s="1"/>
  <c r="AD3117" i="11"/>
  <c r="AE3117" i="11" s="1"/>
  <c r="AD3052" i="11"/>
  <c r="AE3052" i="11" s="1"/>
  <c r="AD3081" i="11"/>
  <c r="AE3081" i="11" s="1"/>
  <c r="AD3053" i="11"/>
  <c r="AE3053" i="11" s="1"/>
  <c r="AD3148" i="11"/>
  <c r="AE3148" i="11" s="1"/>
  <c r="AD3118" i="11"/>
  <c r="AE3118" i="11" s="1"/>
  <c r="AD3094" i="11"/>
  <c r="AE3094" i="11" s="1"/>
  <c r="AD3139" i="11"/>
  <c r="AE3139" i="11" s="1"/>
  <c r="AD3065" i="11"/>
  <c r="AE3065" i="11" s="1"/>
  <c r="AD3149" i="11"/>
  <c r="AE3149" i="11" s="1"/>
  <c r="AD3088" i="11"/>
  <c r="AE3088" i="11" s="1"/>
  <c r="AD3102" i="11"/>
  <c r="AE3102" i="11" s="1"/>
  <c r="AD3050" i="11"/>
  <c r="AE3050" i="11" s="1"/>
  <c r="AD3122" i="11"/>
  <c r="AE3122" i="11" s="1"/>
  <c r="AD3137" i="11"/>
  <c r="AE3137" i="11" s="1"/>
  <c r="AD3080" i="11"/>
  <c r="AE3080" i="11" s="1"/>
  <c r="AD3095" i="11"/>
  <c r="AE3095" i="11" s="1"/>
  <c r="AD3112" i="11"/>
  <c r="AE3112" i="11" s="1"/>
  <c r="AD3091" i="11"/>
  <c r="AE3091" i="11" s="1"/>
  <c r="AD3129" i="11"/>
  <c r="AE3129" i="11" s="1"/>
  <c r="AD3101" i="11"/>
  <c r="AE3101" i="11" s="1"/>
  <c r="AD3126" i="11"/>
  <c r="AE3126" i="11" s="1"/>
  <c r="AD3098" i="11"/>
  <c r="AE3098" i="11" s="1"/>
  <c r="AD3124" i="11"/>
  <c r="AE3124" i="11" s="1"/>
  <c r="AD3093" i="11"/>
  <c r="AE3093" i="11" s="1"/>
  <c r="AD3103" i="11"/>
  <c r="AE3103" i="11" s="1"/>
  <c r="AD3116" i="11"/>
  <c r="AE3116" i="11" s="1"/>
  <c r="AD3054" i="11"/>
  <c r="AE3054" i="11" s="1"/>
  <c r="AD3150" i="11"/>
  <c r="AE3150" i="11" s="1"/>
  <c r="AD3119" i="11"/>
  <c r="AE3119" i="11" s="1"/>
  <c r="AD3120" i="11"/>
  <c r="AE3120" i="11" s="1"/>
  <c r="AD3134" i="11"/>
  <c r="AE3134" i="11" s="1"/>
  <c r="AD3142" i="11"/>
  <c r="AE3142" i="11" s="1"/>
  <c r="AD3063" i="11"/>
  <c r="AE3063" i="11" s="1"/>
  <c r="AD3125" i="11"/>
  <c r="AE3125" i="11" s="1"/>
  <c r="AD3056" i="11"/>
  <c r="AE3056" i="11" s="1"/>
  <c r="AD3115" i="11"/>
  <c r="AE3115" i="11" s="1"/>
  <c r="AD3151" i="11"/>
  <c r="AE3151" i="11" s="1"/>
  <c r="AD3099" i="11"/>
  <c r="AE3099" i="11" s="1"/>
  <c r="AD3152" i="11"/>
  <c r="AE3152" i="11" s="1"/>
  <c r="AD3130" i="11"/>
  <c r="AE3130" i="11" s="1"/>
  <c r="AD3085" i="11"/>
  <c r="AE3085" i="11" s="1"/>
  <c r="AD3107" i="11"/>
  <c r="AE3107" i="11" s="1"/>
  <c r="AD3089" i="11"/>
  <c r="AE3089" i="11" s="1"/>
  <c r="AD3064" i="11"/>
  <c r="AE3064" i="11" s="1"/>
  <c r="AD3075" i="11"/>
  <c r="AE3075" i="11" s="1"/>
  <c r="AD3109" i="11"/>
  <c r="AE3109" i="11" s="1"/>
  <c r="AD3096" i="11"/>
  <c r="AE3096" i="11" s="1"/>
  <c r="AN3096" i="11" s="1"/>
  <c r="AD3068" i="11"/>
  <c r="AE3068" i="11" s="1"/>
  <c r="AD3090" i="11"/>
  <c r="AE3090" i="11" s="1"/>
  <c r="AD3079" i="11"/>
  <c r="AE3079" i="11" s="1"/>
  <c r="AD3100" i="11"/>
  <c r="AE3100" i="11" s="1"/>
  <c r="AD3128" i="11"/>
  <c r="AE3128" i="11" s="1"/>
  <c r="AD3067" i="11"/>
  <c r="AE3067" i="11" s="1"/>
  <c r="AD3086" i="11"/>
  <c r="AE3086" i="11" s="1"/>
  <c r="AD3140" i="11"/>
  <c r="AE3140" i="11" s="1"/>
  <c r="AD3132" i="11"/>
  <c r="AE3132" i="11" s="1"/>
  <c r="AD3097" i="11"/>
  <c r="AE3097" i="11" s="1"/>
  <c r="AN3097" i="11" s="1"/>
  <c r="AD3133" i="11"/>
  <c r="AE3133" i="11" s="1"/>
  <c r="AD3076" i="11"/>
  <c r="AE3076" i="11" s="1"/>
  <c r="AD3055" i="11"/>
  <c r="AE3055" i="11" s="1"/>
  <c r="AD3154" i="11"/>
  <c r="AE3154" i="11" s="1"/>
  <c r="AD3087" i="11"/>
  <c r="AE3087" i="11" s="1"/>
  <c r="AD3071" i="11"/>
  <c r="AE3071" i="11" s="1"/>
  <c r="AD3084" i="11"/>
  <c r="AE3084" i="11" s="1"/>
  <c r="AF1476" i="11"/>
  <c r="AG1476" i="11" s="1"/>
  <c r="AF1551" i="11"/>
  <c r="AG1551" i="11" s="1"/>
  <c r="AF1501" i="11"/>
  <c r="AG1501" i="11" s="1"/>
  <c r="AF1575" i="11"/>
  <c r="AG1575" i="11" s="1"/>
  <c r="AF1493" i="11"/>
  <c r="AG1493" i="11" s="1"/>
  <c r="AF1506" i="11"/>
  <c r="AG1506" i="11" s="1"/>
  <c r="AF1552" i="11"/>
  <c r="AG1552" i="11" s="1"/>
  <c r="AF1533" i="11"/>
  <c r="AG1533" i="11" s="1"/>
  <c r="AF1478" i="11"/>
  <c r="AG1478" i="11" s="1"/>
  <c r="AF1561" i="11"/>
  <c r="AG1561" i="11" s="1"/>
  <c r="AF1573" i="11"/>
  <c r="AG1573" i="11" s="1"/>
  <c r="AF1521" i="11"/>
  <c r="AG1521" i="11" s="1"/>
  <c r="AF1485" i="11"/>
  <c r="AG1485" i="11" s="1"/>
  <c r="AF1555" i="11"/>
  <c r="AG1555" i="11" s="1"/>
  <c r="AF1543" i="11"/>
  <c r="AG1543" i="11" s="1"/>
  <c r="AF1539" i="11"/>
  <c r="AG1539" i="11" s="1"/>
  <c r="AF1523" i="11"/>
  <c r="AG1523" i="11" s="1"/>
  <c r="AF1492" i="11"/>
  <c r="AG1492" i="11" s="1"/>
  <c r="AF1511" i="11"/>
  <c r="AG1511" i="11" s="1"/>
  <c r="AF1578" i="11"/>
  <c r="AG1578" i="11" s="1"/>
  <c r="AF1530" i="11"/>
  <c r="AG1530" i="11" s="1"/>
  <c r="AF1568" i="11"/>
  <c r="AG1568" i="11" s="1"/>
  <c r="AF1532" i="11"/>
  <c r="AG1532" i="11" s="1"/>
  <c r="AF1487" i="11"/>
  <c r="AG1487" i="11" s="1"/>
  <c r="AF1535" i="11"/>
  <c r="AG1535" i="11" s="1"/>
  <c r="AF1558" i="11"/>
  <c r="AG1558" i="11" s="1"/>
  <c r="AF1505" i="11"/>
  <c r="AG1505" i="11" s="1"/>
  <c r="AO1505" i="11" s="1"/>
  <c r="AF1569" i="11"/>
  <c r="AG1569" i="11" s="1"/>
  <c r="AF1498" i="11"/>
  <c r="AG1498" i="11" s="1"/>
  <c r="AF1554" i="11"/>
  <c r="AG1554" i="11" s="1"/>
  <c r="AF1571" i="11"/>
  <c r="AG1571" i="11" s="1"/>
  <c r="AF1529" i="11"/>
  <c r="AG1529" i="11" s="1"/>
  <c r="AF1508" i="11"/>
  <c r="AG1508" i="11" s="1"/>
  <c r="AF1483" i="11"/>
  <c r="AG1483" i="11" s="1"/>
  <c r="AF1549" i="11"/>
  <c r="AG1549" i="11" s="1"/>
  <c r="AF1550" i="11"/>
  <c r="AG1550" i="11" s="1"/>
  <c r="AF1576" i="11"/>
  <c r="AG1576" i="11" s="1"/>
  <c r="AF1486" i="11"/>
  <c r="AG1486" i="11" s="1"/>
  <c r="AF1489" i="11"/>
  <c r="AG1489" i="11" s="1"/>
  <c r="AF1579" i="11"/>
  <c r="AG1579" i="11" s="1"/>
  <c r="AF1481" i="11"/>
  <c r="AG1481" i="11" s="1"/>
  <c r="AF1565" i="11"/>
  <c r="AG1565" i="11" s="1"/>
  <c r="AF1520" i="11"/>
  <c r="AG1520" i="11" s="1"/>
  <c r="AF1531" i="11"/>
  <c r="AG1531" i="11" s="1"/>
  <c r="AF1553" i="11"/>
  <c r="AG1553" i="11" s="1"/>
  <c r="AF1577" i="11"/>
  <c r="AG1577" i="11" s="1"/>
  <c r="AF1544" i="11"/>
  <c r="AG1544" i="11" s="1"/>
  <c r="AF1525" i="11"/>
  <c r="AG1525" i="11" s="1"/>
  <c r="AF1515" i="11"/>
  <c r="AG1515" i="11" s="1"/>
  <c r="AF1522" i="11"/>
  <c r="AG1522" i="11" s="1"/>
  <c r="AF1513" i="11"/>
  <c r="AG1513" i="11" s="1"/>
  <c r="AF1526" i="11"/>
  <c r="AG1526" i="11" s="1"/>
  <c r="AF1491" i="11"/>
  <c r="AG1491" i="11" s="1"/>
  <c r="AF1484" i="11"/>
  <c r="AG1484" i="11" s="1"/>
  <c r="AF1564" i="11"/>
  <c r="AG1564" i="11" s="1"/>
  <c r="AF1574" i="11"/>
  <c r="AG1574" i="11" s="1"/>
  <c r="AF1570" i="11"/>
  <c r="AG1570" i="11" s="1"/>
  <c r="AF1545" i="11"/>
  <c r="AG1545" i="11" s="1"/>
  <c r="AF1547" i="11"/>
  <c r="AG1547" i="11" s="1"/>
  <c r="AF1557" i="11"/>
  <c r="AG1557" i="11" s="1"/>
  <c r="AF1517" i="11"/>
  <c r="AG1517" i="11" s="1"/>
  <c r="AF1512" i="11"/>
  <c r="AG1512" i="11" s="1"/>
  <c r="AF1496" i="11"/>
  <c r="AG1496" i="11" s="1"/>
  <c r="AF1542" i="11"/>
  <c r="AG1542" i="11" s="1"/>
  <c r="AF1497" i="11"/>
  <c r="AG1497" i="11" s="1"/>
  <c r="AF1548" i="11"/>
  <c r="AG1548" i="11" s="1"/>
  <c r="AF1566" i="11"/>
  <c r="AG1566" i="11" s="1"/>
  <c r="AF1562" i="11"/>
  <c r="AG1562" i="11" s="1"/>
  <c r="AF1536" i="11"/>
  <c r="AG1536" i="11" s="1"/>
  <c r="AF1560" i="11"/>
  <c r="AG1560" i="11" s="1"/>
  <c r="AF1510" i="11"/>
  <c r="AG1510" i="11" s="1"/>
  <c r="AF1556" i="11"/>
  <c r="AG1556" i="11" s="1"/>
  <c r="AF1509" i="11"/>
  <c r="AG1509" i="11" s="1"/>
  <c r="AF1516" i="11"/>
  <c r="AG1516" i="11" s="1"/>
  <c r="AF1541" i="11"/>
  <c r="AG1541" i="11" s="1"/>
  <c r="AF1494" i="11"/>
  <c r="AG1494" i="11" s="1"/>
  <c r="AF1502" i="11"/>
  <c r="AG1502" i="11" s="1"/>
  <c r="AF1504" i="11"/>
  <c r="AG1504" i="11" s="1"/>
  <c r="AF1480" i="11"/>
  <c r="AG1480" i="11" s="1"/>
  <c r="AF1524" i="11"/>
  <c r="AG1524" i="11" s="1"/>
  <c r="AF1503" i="11"/>
  <c r="AG1503" i="11" s="1"/>
  <c r="AF1477" i="11"/>
  <c r="AG1477" i="11" s="1"/>
  <c r="AF1540" i="11"/>
  <c r="AG1540" i="11" s="1"/>
  <c r="AF1479" i="11"/>
  <c r="AG1479" i="11" s="1"/>
  <c r="AF1514" i="11"/>
  <c r="AG1514" i="11" s="1"/>
  <c r="AF1499" i="11"/>
  <c r="AG1499" i="11" s="1"/>
  <c r="AF1500" i="11"/>
  <c r="AG1500" i="11" s="1"/>
  <c r="AF1495" i="11"/>
  <c r="AG1495" i="11" s="1"/>
  <c r="O180" i="54"/>
  <c r="AF1567" i="11"/>
  <c r="AG1567" i="11" s="1"/>
  <c r="AF1537" i="11"/>
  <c r="AG1537" i="11" s="1"/>
  <c r="AF1528" i="11"/>
  <c r="AG1528" i="11" s="1"/>
  <c r="AF1559" i="11"/>
  <c r="AG1559" i="11" s="1"/>
  <c r="AI255" i="11"/>
  <c r="AJ255" i="11" s="1"/>
  <c r="AI237" i="11"/>
  <c r="AJ237" i="11" s="1"/>
  <c r="AI312" i="11"/>
  <c r="AJ312" i="11" s="1"/>
  <c r="AI234" i="11"/>
  <c r="AJ234" i="11" s="1"/>
  <c r="AI311" i="11"/>
  <c r="AJ311" i="11" s="1"/>
  <c r="AI274" i="11"/>
  <c r="AJ274" i="11" s="1"/>
  <c r="AI243" i="11"/>
  <c r="AJ243" i="11" s="1"/>
  <c r="AI308" i="11"/>
  <c r="AJ308" i="11" s="1"/>
  <c r="AI294" i="11"/>
  <c r="AJ294" i="11" s="1"/>
  <c r="AI256" i="11"/>
  <c r="AJ256" i="11" s="1"/>
  <c r="AI281" i="11"/>
  <c r="AJ281" i="11" s="1"/>
  <c r="AI299" i="11"/>
  <c r="AJ299" i="11" s="1"/>
  <c r="AI266" i="11"/>
  <c r="AJ266" i="11" s="1"/>
  <c r="AI217" i="11"/>
  <c r="AJ217" i="11" s="1"/>
  <c r="AI257" i="11"/>
  <c r="AJ257" i="11" s="1"/>
  <c r="AI222" i="11"/>
  <c r="AJ222" i="11" s="1"/>
  <c r="AI225" i="11"/>
  <c r="AJ225" i="11" s="1"/>
  <c r="AI269" i="11"/>
  <c r="AJ269" i="11" s="1"/>
  <c r="AI280" i="11"/>
  <c r="AJ280" i="11" s="1"/>
  <c r="AI309" i="11"/>
  <c r="AJ309" i="11" s="1"/>
  <c r="AI270" i="11"/>
  <c r="AJ270" i="11" s="1"/>
  <c r="AI263" i="11"/>
  <c r="AJ263" i="11" s="1"/>
  <c r="AI283" i="11"/>
  <c r="AJ283" i="11" s="1"/>
  <c r="AI310" i="11"/>
  <c r="AJ310" i="11" s="1"/>
  <c r="AI315" i="11"/>
  <c r="AJ315" i="11" s="1"/>
  <c r="AI313" i="11"/>
  <c r="AJ313" i="11" s="1"/>
  <c r="AI223" i="11"/>
  <c r="AJ223" i="11" s="1"/>
  <c r="AI252" i="11"/>
  <c r="AJ252" i="11" s="1"/>
  <c r="AI218" i="11"/>
  <c r="AJ218" i="11" s="1"/>
  <c r="AI262" i="11"/>
  <c r="AJ262" i="11" s="1"/>
  <c r="AI226" i="11"/>
  <c r="AJ226" i="11" s="1"/>
  <c r="AI216" i="11"/>
  <c r="AJ216" i="11" s="1"/>
  <c r="AI268" i="11"/>
  <c r="AJ268" i="11" s="1"/>
  <c r="AI314" i="11"/>
  <c r="AJ314" i="11" s="1"/>
  <c r="AI275" i="11"/>
  <c r="AJ275" i="11" s="1"/>
  <c r="AI235" i="11"/>
  <c r="AJ235" i="11" s="1"/>
  <c r="AI305" i="11"/>
  <c r="AJ305" i="11" s="1"/>
  <c r="AI244" i="11"/>
  <c r="AJ244" i="11" s="1"/>
  <c r="AI224" i="11"/>
  <c r="AJ224" i="11" s="1"/>
  <c r="AI291" i="11"/>
  <c r="AJ291" i="11" s="1"/>
  <c r="AI248" i="11"/>
  <c r="AJ248" i="11" s="1"/>
  <c r="AI295" i="11"/>
  <c r="AJ295" i="11" s="1"/>
  <c r="AI250" i="11"/>
  <c r="AJ250" i="11" s="1"/>
  <c r="AI282" i="11"/>
  <c r="AJ282" i="11" s="1"/>
  <c r="AI306" i="11"/>
  <c r="AJ306" i="11" s="1"/>
  <c r="AI259" i="11"/>
  <c r="AJ259" i="11" s="1"/>
  <c r="AI276" i="11"/>
  <c r="AJ276" i="11" s="1"/>
  <c r="AI298" i="11"/>
  <c r="AJ298" i="11" s="1"/>
  <c r="AI287" i="11"/>
  <c r="AJ287" i="11" s="1"/>
  <c r="AI301" i="11"/>
  <c r="AJ301" i="11" s="1"/>
  <c r="AI289" i="11"/>
  <c r="AJ289" i="11" s="1"/>
  <c r="AI265" i="11"/>
  <c r="AJ265" i="11" s="1"/>
  <c r="AI232" i="11"/>
  <c r="AJ232" i="11" s="1"/>
  <c r="AI264" i="11"/>
  <c r="AJ264" i="11" s="1"/>
  <c r="AI253" i="11"/>
  <c r="AJ253" i="11" s="1"/>
  <c r="AI293" i="11"/>
  <c r="AJ293" i="11" s="1"/>
  <c r="AI271" i="11"/>
  <c r="AJ271" i="11" s="1"/>
  <c r="AI318" i="11"/>
  <c r="AJ318" i="11" s="1"/>
  <c r="AI307" i="11"/>
  <c r="AJ307" i="11" s="1"/>
  <c r="AI245" i="11"/>
  <c r="AJ245" i="11" s="1"/>
  <c r="AI303" i="11"/>
  <c r="AJ303" i="11" s="1"/>
  <c r="AI290" i="11"/>
  <c r="AJ290" i="11" s="1"/>
  <c r="AI227" i="11"/>
  <c r="AJ227" i="11" s="1"/>
  <c r="AI284" i="11"/>
  <c r="AJ284" i="11" s="1"/>
  <c r="AI286" i="11"/>
  <c r="AJ286" i="11" s="1"/>
  <c r="AI316" i="11"/>
  <c r="AJ316" i="11" s="1"/>
  <c r="AI251" i="11"/>
  <c r="AJ251" i="11" s="1"/>
  <c r="AI239" i="11"/>
  <c r="AJ239" i="11" s="1"/>
  <c r="AI288" i="11"/>
  <c r="AJ288" i="11" s="1"/>
  <c r="AI292" i="11"/>
  <c r="AJ292" i="11" s="1"/>
  <c r="AI249" i="11"/>
  <c r="AJ249" i="11" s="1"/>
  <c r="AI296" i="11"/>
  <c r="AJ296" i="11" s="1"/>
  <c r="AI233" i="11"/>
  <c r="AJ233" i="11" s="1"/>
  <c r="AI215" i="11"/>
  <c r="AJ215" i="11" s="1"/>
  <c r="AI231" i="11"/>
  <c r="AJ231" i="11" s="1"/>
  <c r="AI272" i="11"/>
  <c r="AJ272" i="11" s="1"/>
  <c r="AI278" i="11"/>
  <c r="AJ278" i="11" s="1"/>
  <c r="AI221" i="11"/>
  <c r="AJ221" i="11" s="1"/>
  <c r="AI236" i="11"/>
  <c r="AJ236" i="11" s="1"/>
  <c r="AI317" i="11"/>
  <c r="AJ317" i="11" s="1"/>
  <c r="AI273" i="11"/>
  <c r="AJ273" i="11" s="1"/>
  <c r="AI228" i="11"/>
  <c r="AJ228" i="11" s="1"/>
  <c r="AI319" i="11"/>
  <c r="AJ319" i="11" s="1"/>
  <c r="AI300" i="11"/>
  <c r="AJ300" i="11" s="1"/>
  <c r="AI219" i="11"/>
  <c r="AJ219" i="11" s="1"/>
  <c r="AI230" i="11"/>
  <c r="AJ230" i="11" s="1"/>
  <c r="AI304" i="11"/>
  <c r="AJ304" i="11" s="1"/>
  <c r="AD3160" i="11"/>
  <c r="AE3160" i="11" s="1"/>
  <c r="AD3169" i="11"/>
  <c r="AE3169" i="11" s="1"/>
  <c r="AN3169" i="11" s="1"/>
  <c r="AD3222" i="11"/>
  <c r="AE3222" i="11" s="1"/>
  <c r="AD3221" i="11"/>
  <c r="AE3221" i="11" s="1"/>
  <c r="AN3221" i="11" s="1"/>
  <c r="AD3208" i="11"/>
  <c r="AE3208" i="11" s="1"/>
  <c r="AN3208" i="11" s="1"/>
  <c r="AD3156" i="11"/>
  <c r="AE3156" i="11" s="1"/>
  <c r="AD3242" i="11"/>
  <c r="AE3242" i="11" s="1"/>
  <c r="AD3161" i="11"/>
  <c r="AE3161" i="11" s="1"/>
  <c r="AD3172" i="11"/>
  <c r="AE3172" i="11" s="1"/>
  <c r="AN3172" i="11" s="1"/>
  <c r="AD3223" i="11"/>
  <c r="AE3223" i="11" s="1"/>
  <c r="AD3250" i="11"/>
  <c r="AE3250" i="11" s="1"/>
  <c r="AD3235" i="11"/>
  <c r="AE3235" i="11" s="1"/>
  <c r="AN3235" i="11" s="1"/>
  <c r="AD3206" i="11"/>
  <c r="AE3206" i="11" s="1"/>
  <c r="AN3206" i="11" s="1"/>
  <c r="AD3177" i="11"/>
  <c r="AE3177" i="11" s="1"/>
  <c r="AN3177" i="11" s="1"/>
  <c r="AD3170" i="11"/>
  <c r="AE3170" i="11" s="1"/>
  <c r="AD3246" i="11"/>
  <c r="AE3246" i="11" s="1"/>
  <c r="AN3246" i="11" s="1"/>
  <c r="AD3236" i="11"/>
  <c r="AE3236" i="11" s="1"/>
  <c r="AD3158" i="11"/>
  <c r="AE3158" i="11" s="1"/>
  <c r="AD3214" i="11"/>
  <c r="AE3214" i="11" s="1"/>
  <c r="AD3192" i="11"/>
  <c r="AE3192" i="11" s="1"/>
  <c r="AD3157" i="11"/>
  <c r="AE3157" i="11" s="1"/>
  <c r="AD3178" i="11"/>
  <c r="AE3178" i="11" s="1"/>
  <c r="AD3202" i="11"/>
  <c r="AE3202" i="11" s="1"/>
  <c r="AD3259" i="11"/>
  <c r="AE3259" i="11" s="1"/>
  <c r="AD3248" i="11"/>
  <c r="AE3248" i="11" s="1"/>
  <c r="AN3248" i="11" s="1"/>
  <c r="AD3229" i="11"/>
  <c r="AE3229" i="11" s="1"/>
  <c r="AN3229" i="11" s="1"/>
  <c r="AD3219" i="11"/>
  <c r="AE3219" i="11" s="1"/>
  <c r="AN3219" i="11" s="1"/>
  <c r="AD3162" i="11"/>
  <c r="AE3162" i="11" s="1"/>
  <c r="AD3257" i="11"/>
  <c r="AE3257" i="11" s="1"/>
  <c r="AD3209" i="11"/>
  <c r="AE3209" i="11" s="1"/>
  <c r="AD3182" i="11"/>
  <c r="AE3182" i="11" s="1"/>
  <c r="AD3205" i="11"/>
  <c r="AE3205" i="11" s="1"/>
  <c r="AD3256" i="11"/>
  <c r="AE3256" i="11" s="1"/>
  <c r="AN3256" i="11" s="1"/>
  <c r="AD3166" i="11"/>
  <c r="AE3166" i="11" s="1"/>
  <c r="AD3183" i="11"/>
  <c r="AE3183" i="11" s="1"/>
  <c r="AN3183" i="11" s="1"/>
  <c r="AD3213" i="11"/>
  <c r="AE3213" i="11" s="1"/>
  <c r="AD3227" i="11"/>
  <c r="AE3227" i="11" s="1"/>
  <c r="AN3227" i="11" s="1"/>
  <c r="AD3176" i="11"/>
  <c r="AE3176" i="11" s="1"/>
  <c r="AD3179" i="11"/>
  <c r="AE3179" i="11" s="1"/>
  <c r="AD3252" i="11"/>
  <c r="AE3252" i="11" s="1"/>
  <c r="AN3252" i="11" s="1"/>
  <c r="AD3199" i="11"/>
  <c r="AE3199" i="11" s="1"/>
  <c r="AN3199" i="11" s="1"/>
  <c r="AD3207" i="11"/>
  <c r="AE3207" i="11" s="1"/>
  <c r="AD3233" i="11"/>
  <c r="AE3233" i="11" s="1"/>
  <c r="AD3167" i="11"/>
  <c r="AE3167" i="11" s="1"/>
  <c r="AD3186" i="11"/>
  <c r="AE3186" i="11" s="1"/>
  <c r="AD3254" i="11"/>
  <c r="AE3254" i="11" s="1"/>
  <c r="AD3215" i="11"/>
  <c r="AE3215" i="11" s="1"/>
  <c r="AN3215" i="11" s="1"/>
  <c r="AD3255" i="11"/>
  <c r="AE3255" i="11" s="1"/>
  <c r="AD3164" i="11"/>
  <c r="AE3164" i="11" s="1"/>
  <c r="AD3251" i="11"/>
  <c r="AE3251" i="11" s="1"/>
  <c r="AD3155" i="11"/>
  <c r="AE3155" i="11" s="1"/>
  <c r="AN3155" i="11" s="1"/>
  <c r="AD3245" i="11"/>
  <c r="AE3245" i="11" s="1"/>
  <c r="AD3249" i="11"/>
  <c r="AE3249" i="11" s="1"/>
  <c r="AN3249" i="11" s="1"/>
  <c r="AD3181" i="11"/>
  <c r="AE3181" i="11" s="1"/>
  <c r="AD3159" i="11"/>
  <c r="AE3159" i="11" s="1"/>
  <c r="AD3258" i="11"/>
  <c r="AE3258" i="11" s="1"/>
  <c r="AD3165" i="11"/>
  <c r="AE3165" i="11" s="1"/>
  <c r="AN3165" i="11" s="1"/>
  <c r="AD3212" i="11"/>
  <c r="AE3212" i="11" s="1"/>
  <c r="AD3201" i="11"/>
  <c r="AE3201" i="11" s="1"/>
  <c r="AN3201" i="11" s="1"/>
  <c r="AD3231" i="11"/>
  <c r="AE3231" i="11" s="1"/>
  <c r="AN3231" i="11" s="1"/>
  <c r="AD3217" i="11"/>
  <c r="AE3217" i="11" s="1"/>
  <c r="AN3217" i="11" s="1"/>
  <c r="AD3195" i="11"/>
  <c r="AE3195" i="11" s="1"/>
  <c r="AN3195" i="11" s="1"/>
  <c r="AD3232" i="11"/>
  <c r="AE3232" i="11" s="1"/>
  <c r="AD3234" i="11"/>
  <c r="AE3234" i="11" s="1"/>
  <c r="AD3190" i="11"/>
  <c r="AE3190" i="11" s="1"/>
  <c r="AN3190" i="11" s="1"/>
  <c r="AD3216" i="11"/>
  <c r="AE3216" i="11" s="1"/>
  <c r="AD3239" i="11"/>
  <c r="AE3239" i="11" s="1"/>
  <c r="AD3247" i="11"/>
  <c r="AE3247" i="11" s="1"/>
  <c r="AD3194" i="11"/>
  <c r="AE3194" i="11" s="1"/>
  <c r="AN3194" i="11" s="1"/>
  <c r="AD3193" i="11"/>
  <c r="AE3193" i="11" s="1"/>
  <c r="AN3193" i="11" s="1"/>
  <c r="AD3173" i="11"/>
  <c r="AE3173" i="11" s="1"/>
  <c r="AN3173" i="11" s="1"/>
  <c r="AD3211" i="11"/>
  <c r="AE3211" i="11" s="1"/>
  <c r="AD3230" i="11"/>
  <c r="AE3230" i="11" s="1"/>
  <c r="AN3230" i="11" s="1"/>
  <c r="AD3210" i="11"/>
  <c r="AE3210" i="11" s="1"/>
  <c r="AN3210" i="11" s="1"/>
  <c r="AD3188" i="11"/>
  <c r="AE3188" i="11" s="1"/>
  <c r="AD3241" i="11"/>
  <c r="AE3241" i="11" s="1"/>
  <c r="AN3241" i="11" s="1"/>
  <c r="AD3163" i="11"/>
  <c r="AE3163" i="11" s="1"/>
  <c r="AD3171" i="11"/>
  <c r="AE3171" i="11" s="1"/>
  <c r="AD3175" i="11"/>
  <c r="AE3175" i="11" s="1"/>
  <c r="N187" i="54"/>
  <c r="AD3228" i="11"/>
  <c r="AE3228" i="11" s="1"/>
  <c r="AN3228" i="11" s="1"/>
  <c r="AD3180" i="11"/>
  <c r="AE3180" i="11" s="1"/>
  <c r="AD3185" i="11"/>
  <c r="AE3185" i="11" s="1"/>
  <c r="AD3198" i="11"/>
  <c r="AE3198" i="11" s="1"/>
  <c r="AD3168" i="11"/>
  <c r="AE3168" i="11" s="1"/>
  <c r="AD3200" i="11"/>
  <c r="AE3200" i="11" s="1"/>
  <c r="AD3187" i="11"/>
  <c r="AE3187" i="11" s="1"/>
  <c r="AD3226" i="11"/>
  <c r="AE3226" i="11" s="1"/>
  <c r="AN3226" i="11" s="1"/>
  <c r="AD3203" i="11"/>
  <c r="AE3203" i="11" s="1"/>
  <c r="AN3203" i="11" s="1"/>
  <c r="AD3240" i="11"/>
  <c r="AE3240" i="11" s="1"/>
  <c r="AD3218" i="11"/>
  <c r="AE3218" i="11" s="1"/>
  <c r="AD3204" i="11"/>
  <c r="AE3204" i="11" s="1"/>
  <c r="AD3243" i="11"/>
  <c r="AE3243" i="11" s="1"/>
  <c r="AD3224" i="11"/>
  <c r="AE3224" i="11" s="1"/>
  <c r="AN3224" i="11" s="1"/>
  <c r="AD3220" i="11"/>
  <c r="AE3220" i="11" s="1"/>
  <c r="AN3220" i="11" s="1"/>
  <c r="AD3225" i="11"/>
  <c r="AE3225" i="11" s="1"/>
  <c r="AK608" i="11"/>
  <c r="AL608" i="11" s="1"/>
  <c r="AK623" i="11"/>
  <c r="AL623" i="11" s="1"/>
  <c r="AK611" i="11"/>
  <c r="AL611" i="11" s="1"/>
  <c r="AK593" i="11"/>
  <c r="AL593" i="11" s="1"/>
  <c r="AK613" i="11"/>
  <c r="AL613" i="11" s="1"/>
  <c r="AK621" i="11"/>
  <c r="AL621" i="11" s="1"/>
  <c r="AK538" i="11"/>
  <c r="AL538" i="11" s="1"/>
  <c r="AK567" i="11"/>
  <c r="AL567" i="11" s="1"/>
  <c r="AK583" i="11"/>
  <c r="AL583" i="11" s="1"/>
  <c r="AK558" i="11"/>
  <c r="AL558" i="11" s="1"/>
  <c r="AK597" i="11"/>
  <c r="AL597" i="11" s="1"/>
  <c r="AK548" i="11"/>
  <c r="AL548" i="11" s="1"/>
  <c r="AK612" i="11"/>
  <c r="AL612" i="11" s="1"/>
  <c r="AK590" i="11"/>
  <c r="AL590" i="11" s="1"/>
  <c r="AK626" i="11"/>
  <c r="AL626" i="11" s="1"/>
  <c r="AK587" i="11"/>
  <c r="AL587" i="11" s="1"/>
  <c r="AK547" i="11"/>
  <c r="AL547" i="11" s="1"/>
  <c r="AK530" i="11"/>
  <c r="AL530" i="11" s="1"/>
  <c r="AK610" i="11"/>
  <c r="AL610" i="11" s="1"/>
  <c r="AK632" i="11"/>
  <c r="AL632" i="11" s="1"/>
  <c r="AK622" i="11"/>
  <c r="AL622" i="11" s="1"/>
  <c r="AK598" i="11"/>
  <c r="AL598" i="11" s="1"/>
  <c r="AK600" i="11"/>
  <c r="AL600" i="11" s="1"/>
  <c r="AK573" i="11"/>
  <c r="AL573" i="11" s="1"/>
  <c r="AK577" i="11"/>
  <c r="AL577" i="11" s="1"/>
  <c r="AK566" i="11"/>
  <c r="AL566" i="11" s="1"/>
  <c r="AK578" i="11"/>
  <c r="AL578" i="11" s="1"/>
  <c r="AK601" i="11"/>
  <c r="AL601" i="11" s="1"/>
  <c r="AK603" i="11"/>
  <c r="AL603" i="11" s="1"/>
  <c r="AK534" i="11"/>
  <c r="AL534" i="11" s="1"/>
  <c r="AK540" i="11"/>
  <c r="AL540" i="11" s="1"/>
  <c r="AK531" i="11"/>
  <c r="AL531" i="11" s="1"/>
  <c r="AK532" i="11"/>
  <c r="AL532" i="11" s="1"/>
  <c r="AK549" i="11"/>
  <c r="AL549" i="11" s="1"/>
  <c r="AK544" i="11"/>
  <c r="AL544" i="11" s="1"/>
  <c r="AK564" i="11"/>
  <c r="AL564" i="11" s="1"/>
  <c r="AK604" i="11"/>
  <c r="AL604" i="11" s="1"/>
  <c r="AK627" i="11"/>
  <c r="AL627" i="11" s="1"/>
  <c r="AK631" i="11"/>
  <c r="AL631" i="11" s="1"/>
  <c r="AK569" i="11"/>
  <c r="AL569" i="11" s="1"/>
  <c r="AK555" i="11"/>
  <c r="AL555" i="11" s="1"/>
  <c r="AK559" i="11"/>
  <c r="AL559" i="11" s="1"/>
  <c r="AK563" i="11"/>
  <c r="AL563" i="11" s="1"/>
  <c r="AK571" i="11"/>
  <c r="AL571" i="11" s="1"/>
  <c r="AK541" i="11"/>
  <c r="AL541" i="11" s="1"/>
  <c r="AK582" i="11"/>
  <c r="AL582" i="11" s="1"/>
  <c r="AK617" i="11"/>
  <c r="AL617" i="11" s="1"/>
  <c r="AK624" i="11"/>
  <c r="AL624" i="11" s="1"/>
  <c r="AK546" i="11"/>
  <c r="AL546" i="11" s="1"/>
  <c r="AK536" i="11"/>
  <c r="AL536" i="11" s="1"/>
  <c r="AK585" i="11"/>
  <c r="AL585" i="11" s="1"/>
  <c r="AK592" i="11"/>
  <c r="AL592" i="11" s="1"/>
  <c r="AK542" i="11"/>
  <c r="AL542" i="11" s="1"/>
  <c r="AK561" i="11"/>
  <c r="AL561" i="11" s="1"/>
  <c r="AK575" i="11"/>
  <c r="AL575" i="11" s="1"/>
  <c r="AK634" i="11"/>
  <c r="AL634" i="11" s="1"/>
  <c r="AK599" i="11"/>
  <c r="AL599" i="11" s="1"/>
  <c r="AK607" i="11"/>
  <c r="AL607" i="11" s="1"/>
  <c r="AK553" i="11"/>
  <c r="AL553" i="11" s="1"/>
  <c r="AK615" i="11"/>
  <c r="AL615" i="11" s="1"/>
  <c r="AK591" i="11"/>
  <c r="AL591" i="11" s="1"/>
  <c r="AK584" i="11"/>
  <c r="AL584" i="11" s="1"/>
  <c r="AK551" i="11"/>
  <c r="AL551" i="11" s="1"/>
  <c r="AK628" i="11"/>
  <c r="AL628" i="11" s="1"/>
  <c r="AK539" i="11"/>
  <c r="AL539" i="11" s="1"/>
  <c r="AK625" i="11"/>
  <c r="AL625" i="11" s="1"/>
  <c r="AK580" i="11"/>
  <c r="AL580" i="11" s="1"/>
  <c r="AK630" i="11"/>
  <c r="AL630" i="11" s="1"/>
  <c r="AK574" i="11"/>
  <c r="AL574" i="11" s="1"/>
  <c r="AK589" i="11"/>
  <c r="AL589" i="11" s="1"/>
  <c r="AK596" i="11"/>
  <c r="AL596" i="11" s="1"/>
  <c r="AK633" i="11"/>
  <c r="AL633" i="11" s="1"/>
  <c r="AK554" i="11"/>
  <c r="AL554" i="11" s="1"/>
  <c r="AK543" i="11"/>
  <c r="AL543" i="11" s="1"/>
  <c r="AK629" i="11"/>
  <c r="AL629" i="11" s="1"/>
  <c r="AK619" i="11"/>
  <c r="AL619" i="11" s="1"/>
  <c r="AK579" i="11"/>
  <c r="AL579" i="11" s="1"/>
  <c r="AK602" i="11"/>
  <c r="AL602" i="11" s="1"/>
  <c r="AK595" i="11"/>
  <c r="AL595" i="11" s="1"/>
  <c r="AK581" i="11"/>
  <c r="AL581" i="11" s="1"/>
  <c r="AK614" i="11"/>
  <c r="AL614" i="11" s="1"/>
  <c r="AK550" i="11"/>
  <c r="AL550" i="11" s="1"/>
  <c r="AK535" i="11"/>
  <c r="AL535" i="11" s="1"/>
  <c r="AK594" i="11"/>
  <c r="AL594" i="11" s="1"/>
  <c r="AK560" i="11"/>
  <c r="AL560" i="11" s="1"/>
  <c r="AK618" i="11"/>
  <c r="AL618" i="11" s="1"/>
  <c r="AK545" i="11"/>
  <c r="AL545" i="11" s="1"/>
  <c r="AK533" i="11"/>
  <c r="AL533" i="11" s="1"/>
  <c r="AK556" i="11"/>
  <c r="AL556" i="11" s="1"/>
  <c r="AK568" i="11"/>
  <c r="AL568" i="11" s="1"/>
  <c r="AK586" i="11"/>
  <c r="AL586" i="11" s="1"/>
  <c r="AK616" i="11"/>
  <c r="AL616" i="11" s="1"/>
  <c r="AK562" i="11"/>
  <c r="AL562" i="11" s="1"/>
  <c r="AF239" i="11"/>
  <c r="AG239" i="11" s="1"/>
  <c r="AF247" i="11"/>
  <c r="AG247" i="11" s="1"/>
  <c r="AF223" i="11"/>
  <c r="AG223" i="11" s="1"/>
  <c r="AF267" i="11"/>
  <c r="AG267" i="11" s="1"/>
  <c r="AF308" i="11"/>
  <c r="AG308" i="11" s="1"/>
  <c r="AF262" i="11"/>
  <c r="AG262" i="11" s="1"/>
  <c r="AO262" i="11" s="1"/>
  <c r="AF221" i="11"/>
  <c r="AG221" i="11" s="1"/>
  <c r="AF251" i="11"/>
  <c r="AG251" i="11" s="1"/>
  <c r="AF285" i="11"/>
  <c r="AG285" i="11" s="1"/>
  <c r="AF233" i="11"/>
  <c r="AG233" i="11" s="1"/>
  <c r="AF256" i="11"/>
  <c r="AG256" i="11" s="1"/>
  <c r="AF217" i="11"/>
  <c r="AG217" i="11" s="1"/>
  <c r="AF310" i="11"/>
  <c r="AG310" i="11" s="1"/>
  <c r="AF317" i="11"/>
  <c r="AG317" i="11" s="1"/>
  <c r="AF244" i="11"/>
  <c r="AG244" i="11" s="1"/>
  <c r="AF237" i="11"/>
  <c r="AG237" i="11" s="1"/>
  <c r="AF303" i="11"/>
  <c r="AG303" i="11" s="1"/>
  <c r="AF264" i="11"/>
  <c r="AG264" i="11" s="1"/>
  <c r="AF311" i="11"/>
  <c r="AG311" i="11" s="1"/>
  <c r="AF306" i="11"/>
  <c r="AG306" i="11" s="1"/>
  <c r="AF231" i="11"/>
  <c r="AG231" i="11" s="1"/>
  <c r="AF296" i="11"/>
  <c r="AG296" i="11" s="1"/>
  <c r="AF220" i="11"/>
  <c r="AG220" i="11" s="1"/>
  <c r="AF305" i="11"/>
  <c r="AG305" i="11" s="1"/>
  <c r="AF274" i="11"/>
  <c r="AG274" i="11" s="1"/>
  <c r="AF225" i="11"/>
  <c r="AG225" i="11" s="1"/>
  <c r="AF229" i="11"/>
  <c r="AG229" i="11" s="1"/>
  <c r="AF246" i="11"/>
  <c r="AG246" i="11" s="1"/>
  <c r="AF266" i="11"/>
  <c r="AG266" i="11" s="1"/>
  <c r="AF315" i="11"/>
  <c r="AG315" i="11" s="1"/>
  <c r="AF286" i="11"/>
  <c r="AG286" i="11" s="1"/>
  <c r="AF238" i="11"/>
  <c r="AG238" i="11" s="1"/>
  <c r="AF276" i="11"/>
  <c r="AG276" i="11" s="1"/>
  <c r="AF300" i="11"/>
  <c r="AG300" i="11" s="1"/>
  <c r="AF216" i="11"/>
  <c r="AG216" i="11" s="1"/>
  <c r="AF228" i="11"/>
  <c r="AG228" i="11" s="1"/>
  <c r="AF241" i="11"/>
  <c r="AG241" i="11" s="1"/>
  <c r="AF268" i="11"/>
  <c r="AG268" i="11" s="1"/>
  <c r="AF293" i="11"/>
  <c r="AG293" i="11" s="1"/>
  <c r="AF291" i="11"/>
  <c r="AG291" i="11" s="1"/>
  <c r="AF253" i="11"/>
  <c r="AG253" i="11" s="1"/>
  <c r="AF249" i="11"/>
  <c r="AG249" i="11" s="1"/>
  <c r="AF240" i="11"/>
  <c r="AG240" i="11" s="1"/>
  <c r="AF272" i="11"/>
  <c r="AG272" i="11" s="1"/>
  <c r="AF314" i="11"/>
  <c r="AG314" i="11" s="1"/>
  <c r="AF252" i="11"/>
  <c r="AG252" i="11" s="1"/>
  <c r="AF279" i="11"/>
  <c r="AG279" i="11" s="1"/>
  <c r="AF319" i="11"/>
  <c r="AG319" i="11" s="1"/>
  <c r="AF304" i="11"/>
  <c r="AG304" i="11" s="1"/>
  <c r="AF269" i="11"/>
  <c r="AG269" i="11" s="1"/>
  <c r="AF283" i="11"/>
  <c r="AG283" i="11" s="1"/>
  <c r="AF258" i="11"/>
  <c r="AG258" i="11" s="1"/>
  <c r="AF222" i="11"/>
  <c r="AG222" i="11" s="1"/>
  <c r="AF230" i="11"/>
  <c r="AG230" i="11" s="1"/>
  <c r="AF232" i="11"/>
  <c r="AG232" i="11" s="1"/>
  <c r="AF215" i="11"/>
  <c r="AG215" i="11" s="1"/>
  <c r="AF257" i="11"/>
  <c r="AG257" i="11" s="1"/>
  <c r="AF297" i="11"/>
  <c r="AG297" i="11" s="1"/>
  <c r="AF234" i="11"/>
  <c r="AG234" i="11" s="1"/>
  <c r="AF307" i="11"/>
  <c r="AG307" i="11" s="1"/>
  <c r="AF316" i="11"/>
  <c r="AG316" i="11" s="1"/>
  <c r="AF236" i="11"/>
  <c r="AG236" i="11" s="1"/>
  <c r="AF294" i="11"/>
  <c r="AG294" i="11" s="1"/>
  <c r="AF301" i="11"/>
  <c r="AG301" i="11" s="1"/>
  <c r="AF309" i="11"/>
  <c r="AG309" i="11" s="1"/>
  <c r="AF270" i="11"/>
  <c r="AG270" i="11" s="1"/>
  <c r="AF318" i="11"/>
  <c r="AG318" i="11" s="1"/>
  <c r="AF219" i="11"/>
  <c r="AG219" i="11" s="1"/>
  <c r="AF292" i="11"/>
  <c r="AG292" i="11" s="1"/>
  <c r="AF245" i="11"/>
  <c r="AG245" i="11" s="1"/>
  <c r="AF280" i="11"/>
  <c r="AG280" i="11" s="1"/>
  <c r="AF288" i="11"/>
  <c r="AG288" i="11" s="1"/>
  <c r="AF299" i="11"/>
  <c r="AG299" i="11" s="1"/>
  <c r="AF263" i="11"/>
  <c r="AG263" i="11" s="1"/>
  <c r="AF298" i="11"/>
  <c r="AG298" i="11" s="1"/>
  <c r="AF278" i="11"/>
  <c r="AG278" i="11" s="1"/>
  <c r="AF284" i="11"/>
  <c r="AG284" i="11" s="1"/>
  <c r="AF282" i="11"/>
  <c r="AG282" i="11" s="1"/>
  <c r="AF277" i="11"/>
  <c r="AG277" i="11" s="1"/>
  <c r="AF271" i="11"/>
  <c r="AG271" i="11" s="1"/>
  <c r="AF259" i="11"/>
  <c r="AG259" i="11" s="1"/>
  <c r="AF260" i="11"/>
  <c r="AG260" i="11" s="1"/>
  <c r="AF227" i="11"/>
  <c r="AG227" i="11" s="1"/>
  <c r="AF235" i="11"/>
  <c r="AG235" i="11" s="1"/>
  <c r="AF302" i="11"/>
  <c r="AG302" i="11" s="1"/>
  <c r="AF273" i="11"/>
  <c r="AG273" i="11" s="1"/>
  <c r="AF254" i="11"/>
  <c r="AG254" i="11" s="1"/>
  <c r="AF226" i="11"/>
  <c r="AG226" i="11" s="1"/>
  <c r="AF295" i="11"/>
  <c r="AG295" i="11" s="1"/>
  <c r="O184" i="54"/>
  <c r="AF313" i="11"/>
  <c r="AG313" i="11" s="1"/>
  <c r="AF242" i="11"/>
  <c r="AG242" i="11" s="1"/>
  <c r="AF289" i="11"/>
  <c r="AG289" i="11" s="1"/>
  <c r="AF261" i="11"/>
  <c r="AG261" i="11" s="1"/>
  <c r="Q149" i="54"/>
  <c r="O278" i="54"/>
  <c r="AD3442" i="11"/>
  <c r="AE3442" i="11" s="1"/>
  <c r="AD350" i="11"/>
  <c r="AE350" i="11" s="1"/>
  <c r="AN350" i="11" s="1"/>
  <c r="AD369" i="11"/>
  <c r="AE369" i="11" s="1"/>
  <c r="AD390" i="11"/>
  <c r="AE390" i="11" s="1"/>
  <c r="AD397" i="11"/>
  <c r="AE397" i="11" s="1"/>
  <c r="AD380" i="11"/>
  <c r="AE380" i="11" s="1"/>
  <c r="AD325" i="11"/>
  <c r="AE325" i="11" s="1"/>
  <c r="AD381" i="11"/>
  <c r="AE381" i="11" s="1"/>
  <c r="AN381" i="11" s="1"/>
  <c r="AD402" i="11"/>
  <c r="AE402" i="11" s="1"/>
  <c r="AD334" i="11"/>
  <c r="AE334" i="11" s="1"/>
  <c r="AN334" i="11" s="1"/>
  <c r="AD340" i="11"/>
  <c r="AE340" i="11" s="1"/>
  <c r="AD326" i="11"/>
  <c r="AE326" i="11" s="1"/>
  <c r="AD392" i="11"/>
  <c r="AE392" i="11" s="1"/>
  <c r="AD389" i="11"/>
  <c r="AE389" i="11" s="1"/>
  <c r="AN389" i="11" s="1"/>
  <c r="AD324" i="11"/>
  <c r="AE324" i="11" s="1"/>
  <c r="AD403" i="11"/>
  <c r="AE403" i="11" s="1"/>
  <c r="AD409" i="11"/>
  <c r="AE409" i="11" s="1"/>
  <c r="AN409" i="11" s="1"/>
  <c r="AD359" i="11"/>
  <c r="AE359" i="11" s="1"/>
  <c r="AN359" i="11" s="1"/>
  <c r="AD383" i="11"/>
  <c r="AE383" i="11" s="1"/>
  <c r="AN383" i="11" s="1"/>
  <c r="AD323" i="11"/>
  <c r="AE323" i="11" s="1"/>
  <c r="AD331" i="11"/>
  <c r="AE331" i="11" s="1"/>
  <c r="AD335" i="11"/>
  <c r="AE335" i="11" s="1"/>
  <c r="AD412" i="11"/>
  <c r="AE412" i="11" s="1"/>
  <c r="AD342" i="11"/>
  <c r="AE342" i="11" s="1"/>
  <c r="AN342" i="11" s="1"/>
  <c r="AD338" i="11"/>
  <c r="AE338" i="11" s="1"/>
  <c r="AD321" i="11"/>
  <c r="AE321" i="11" s="1"/>
  <c r="AD345" i="11"/>
  <c r="AE345" i="11" s="1"/>
  <c r="AD398" i="11"/>
  <c r="AE398" i="11" s="1"/>
  <c r="AD401" i="11"/>
  <c r="AE401" i="11" s="1"/>
  <c r="AN401" i="11" s="1"/>
  <c r="AD363" i="11"/>
  <c r="AE363" i="11" s="1"/>
  <c r="AD366" i="11"/>
  <c r="AE366" i="11" s="1"/>
  <c r="AD332" i="11"/>
  <c r="AE332" i="11" s="1"/>
  <c r="AD415" i="11"/>
  <c r="AE415" i="11" s="1"/>
  <c r="AD337" i="11"/>
  <c r="AE337" i="11" s="1"/>
  <c r="AD375" i="11"/>
  <c r="AE375" i="11" s="1"/>
  <c r="AD351" i="11"/>
  <c r="AE351" i="11" s="1"/>
  <c r="AD356" i="11"/>
  <c r="AE356" i="11" s="1"/>
  <c r="AD322" i="11"/>
  <c r="AE322" i="11" s="1"/>
  <c r="AD416" i="11"/>
  <c r="AE416" i="11" s="1"/>
  <c r="AD360" i="11"/>
  <c r="AE360" i="11" s="1"/>
  <c r="AD355" i="11"/>
  <c r="AE355" i="11" s="1"/>
  <c r="AN355" i="11" s="1"/>
  <c r="AD336" i="11"/>
  <c r="AE336" i="11" s="1"/>
  <c r="AD382" i="11"/>
  <c r="AE382" i="11" s="1"/>
  <c r="AD424" i="11"/>
  <c r="AE424" i="11" s="1"/>
  <c r="AD418" i="11"/>
  <c r="AE418" i="11" s="1"/>
  <c r="AD373" i="11"/>
  <c r="AE373" i="11" s="1"/>
  <c r="AD387" i="11"/>
  <c r="AE387" i="11" s="1"/>
  <c r="AD385" i="11"/>
  <c r="AE385" i="11" s="1"/>
  <c r="AD374" i="11"/>
  <c r="AE374" i="11" s="1"/>
  <c r="AD399" i="11"/>
  <c r="AE399" i="11" s="1"/>
  <c r="AN399" i="11" s="1"/>
  <c r="AD388" i="11"/>
  <c r="AE388" i="11" s="1"/>
  <c r="AD396" i="11"/>
  <c r="AE396" i="11" s="1"/>
  <c r="AD341" i="11"/>
  <c r="AE341" i="11" s="1"/>
  <c r="AD421" i="11"/>
  <c r="AE421" i="11" s="1"/>
  <c r="AD347" i="11"/>
  <c r="AE347" i="11" s="1"/>
  <c r="AN347" i="11" s="1"/>
  <c r="AD339" i="11"/>
  <c r="AE339" i="11" s="1"/>
  <c r="AD417" i="11"/>
  <c r="AE417" i="11" s="1"/>
  <c r="AD422" i="11"/>
  <c r="AE422" i="11" s="1"/>
  <c r="AD329" i="11"/>
  <c r="AE329" i="11" s="1"/>
  <c r="AD384" i="11"/>
  <c r="AE384" i="11" s="1"/>
  <c r="AD328" i="11"/>
  <c r="AE328" i="11" s="1"/>
  <c r="AD400" i="11"/>
  <c r="AE400" i="11" s="1"/>
  <c r="AD413" i="11"/>
  <c r="AE413" i="11" s="1"/>
  <c r="AD349" i="11"/>
  <c r="AE349" i="11" s="1"/>
  <c r="AN349" i="11" s="1"/>
  <c r="AD365" i="11"/>
  <c r="AE365" i="11" s="1"/>
  <c r="AD395" i="11"/>
  <c r="AE395" i="11" s="1"/>
  <c r="AN395" i="11" s="1"/>
  <c r="AD419" i="11"/>
  <c r="AE419" i="11" s="1"/>
  <c r="AD348" i="11"/>
  <c r="AE348" i="11" s="1"/>
  <c r="AD379" i="11"/>
  <c r="AE379" i="11" s="1"/>
  <c r="AD361" i="11"/>
  <c r="AE361" i="11" s="1"/>
  <c r="AD327" i="11"/>
  <c r="AE327" i="11" s="1"/>
  <c r="AD423" i="11"/>
  <c r="AE423" i="11" s="1"/>
  <c r="AD346" i="11"/>
  <c r="AE346" i="11" s="1"/>
  <c r="AD320" i="11"/>
  <c r="AE320" i="11" s="1"/>
  <c r="AD414" i="11"/>
  <c r="AE414" i="11" s="1"/>
  <c r="AD352" i="11"/>
  <c r="AE352" i="11" s="1"/>
  <c r="AD406" i="11"/>
  <c r="AE406" i="11" s="1"/>
  <c r="AD358" i="11"/>
  <c r="AE358" i="11" s="1"/>
  <c r="AD354" i="11"/>
  <c r="AE354" i="11" s="1"/>
  <c r="AD377" i="11"/>
  <c r="AE377" i="11" s="1"/>
  <c r="AD410" i="11"/>
  <c r="AE410" i="11" s="1"/>
  <c r="AN410" i="11" s="1"/>
  <c r="AD376" i="11"/>
  <c r="AE376" i="11" s="1"/>
  <c r="AD394" i="11"/>
  <c r="AE394" i="11" s="1"/>
  <c r="AD408" i="11"/>
  <c r="AE408" i="11" s="1"/>
  <c r="AD372" i="11"/>
  <c r="AE372" i="11" s="1"/>
  <c r="AD407" i="11"/>
  <c r="AE407" i="11" s="1"/>
  <c r="AN407" i="11" s="1"/>
  <c r="AD357" i="11"/>
  <c r="AE357" i="11" s="1"/>
  <c r="AD344" i="11"/>
  <c r="AE344" i="11" s="1"/>
  <c r="AD367" i="11"/>
  <c r="AE367" i="11" s="1"/>
  <c r="AD411" i="11"/>
  <c r="AE411" i="11" s="1"/>
  <c r="AD393" i="11"/>
  <c r="AE393" i="11" s="1"/>
  <c r="AD370" i="11"/>
  <c r="AE370" i="11" s="1"/>
  <c r="AN370" i="11" s="1"/>
  <c r="AD405" i="11"/>
  <c r="AE405" i="11" s="1"/>
  <c r="AD362" i="11"/>
  <c r="AE362" i="11" s="1"/>
  <c r="AD404" i="11"/>
  <c r="AE404" i="11" s="1"/>
  <c r="AD371" i="11"/>
  <c r="AE371" i="11" s="1"/>
  <c r="AD391" i="11"/>
  <c r="AE391" i="11" s="1"/>
  <c r="AD378" i="11"/>
  <c r="AE378" i="11" s="1"/>
  <c r="AN378" i="11" s="1"/>
  <c r="AD368" i="11"/>
  <c r="AE368" i="11" s="1"/>
  <c r="AD343" i="11"/>
  <c r="AE343" i="11" s="1"/>
  <c r="AN343" i="11" s="1"/>
  <c r="AD364" i="11"/>
  <c r="AE364" i="11" s="1"/>
  <c r="AN364" i="11" s="1"/>
  <c r="AD333" i="11"/>
  <c r="AE333" i="11" s="1"/>
  <c r="AD330" i="11"/>
  <c r="AE330" i="11" s="1"/>
  <c r="AD353" i="11"/>
  <c r="AE353" i="11" s="1"/>
  <c r="P89" i="54"/>
  <c r="AF1418" i="11"/>
  <c r="AG1418" i="11" s="1"/>
  <c r="AF1371" i="11"/>
  <c r="AG1371" i="11" s="1"/>
  <c r="AF1450" i="11"/>
  <c r="AG1450" i="11" s="1"/>
  <c r="AF1401" i="11"/>
  <c r="AG1401" i="11" s="1"/>
  <c r="AF1428" i="11"/>
  <c r="AG1428" i="11" s="1"/>
  <c r="AF1381" i="11"/>
  <c r="AG1381" i="11" s="1"/>
  <c r="AO1381" i="11" s="1"/>
  <c r="AF1378" i="11"/>
  <c r="AG1378" i="11" s="1"/>
  <c r="AF1422" i="11"/>
  <c r="AG1422" i="11" s="1"/>
  <c r="AF1392" i="11"/>
  <c r="AG1392" i="11" s="1"/>
  <c r="AF1384" i="11"/>
  <c r="AG1384" i="11" s="1"/>
  <c r="AF1397" i="11"/>
  <c r="AG1397" i="11" s="1"/>
  <c r="AF1380" i="11"/>
  <c r="AG1380" i="11" s="1"/>
  <c r="AF1386" i="11"/>
  <c r="AG1386" i="11" s="1"/>
  <c r="AF1470" i="11"/>
  <c r="AG1470" i="11" s="1"/>
  <c r="AF1390" i="11"/>
  <c r="AG1390" i="11" s="1"/>
  <c r="AF1413" i="11"/>
  <c r="AG1413" i="11" s="1"/>
  <c r="AF1458" i="11"/>
  <c r="AG1458" i="11" s="1"/>
  <c r="AF1374" i="11"/>
  <c r="AG1374" i="11" s="1"/>
  <c r="AF1437" i="11"/>
  <c r="AG1437" i="11" s="1"/>
  <c r="AF1474" i="11"/>
  <c r="AG1474" i="11" s="1"/>
  <c r="AF1377" i="11"/>
  <c r="AG1377" i="11" s="1"/>
  <c r="AF1464" i="11"/>
  <c r="AG1464" i="11" s="1"/>
  <c r="AF1423" i="11"/>
  <c r="AG1423" i="11" s="1"/>
  <c r="AF1453" i="11"/>
  <c r="AG1453" i="11" s="1"/>
  <c r="AF1434" i="11"/>
  <c r="AG1434" i="11" s="1"/>
  <c r="AF1443" i="11"/>
  <c r="AG1443" i="11" s="1"/>
  <c r="AF1432" i="11"/>
  <c r="AG1432" i="11" s="1"/>
  <c r="AF1430" i="11"/>
  <c r="AG1430" i="11" s="1"/>
  <c r="AF1405" i="11"/>
  <c r="AG1405" i="11" s="1"/>
  <c r="AF1403" i="11"/>
  <c r="AG1403" i="11" s="1"/>
  <c r="AF1446" i="11"/>
  <c r="AG1446" i="11" s="1"/>
  <c r="AF1406" i="11"/>
  <c r="AG1406" i="11" s="1"/>
  <c r="AF1375" i="11"/>
  <c r="AG1375" i="11" s="1"/>
  <c r="AF1427" i="11"/>
  <c r="AG1427" i="11" s="1"/>
  <c r="AF1454" i="11"/>
  <c r="AG1454" i="11" s="1"/>
  <c r="AF1451" i="11"/>
  <c r="AG1451" i="11" s="1"/>
  <c r="AF1440" i="11"/>
  <c r="AG1440" i="11" s="1"/>
  <c r="AF1426" i="11"/>
  <c r="AG1426" i="11" s="1"/>
  <c r="AF1467" i="11"/>
  <c r="AG1467" i="11" s="1"/>
  <c r="AO1467" i="11" s="1"/>
  <c r="AF1398" i="11"/>
  <c r="AG1398" i="11" s="1"/>
  <c r="AF1408" i="11"/>
  <c r="AG1408" i="11" s="1"/>
  <c r="AF1393" i="11"/>
  <c r="AG1393" i="11" s="1"/>
  <c r="AF1448" i="11"/>
  <c r="AG1448" i="11" s="1"/>
  <c r="AF1395" i="11"/>
  <c r="AG1395" i="11" s="1"/>
  <c r="AF1419" i="11"/>
  <c r="AG1419" i="11" s="1"/>
  <c r="AF1412" i="11"/>
  <c r="AG1412" i="11" s="1"/>
  <c r="AF1459" i="11"/>
  <c r="AG1459" i="11" s="1"/>
  <c r="AF1410" i="11"/>
  <c r="AG1410" i="11" s="1"/>
  <c r="AF1431" i="11"/>
  <c r="AG1431" i="11" s="1"/>
  <c r="AF1438" i="11"/>
  <c r="AG1438" i="11" s="1"/>
  <c r="AF1383" i="11"/>
  <c r="AG1383" i="11" s="1"/>
  <c r="AF1411" i="11"/>
  <c r="AG1411" i="11" s="1"/>
  <c r="AF1444" i="11"/>
  <c r="AG1444" i="11" s="1"/>
  <c r="AF1472" i="11"/>
  <c r="AG1472" i="11" s="1"/>
  <c r="AF1382" i="11"/>
  <c r="AG1382" i="11" s="1"/>
  <c r="AF1441" i="11"/>
  <c r="AG1441" i="11" s="1"/>
  <c r="AF1468" i="11"/>
  <c r="AG1468" i="11" s="1"/>
  <c r="AF1415" i="11"/>
  <c r="AG1415" i="11" s="1"/>
  <c r="AF1445" i="11"/>
  <c r="AG1445" i="11" s="1"/>
  <c r="AF1436" i="11"/>
  <c r="AG1436" i="11" s="1"/>
  <c r="AF1387" i="11"/>
  <c r="AG1387" i="11" s="1"/>
  <c r="AF1435" i="11"/>
  <c r="AG1435" i="11" s="1"/>
  <c r="AF1402" i="11"/>
  <c r="AG1402" i="11" s="1"/>
  <c r="AF1420" i="11"/>
  <c r="AG1420" i="11" s="1"/>
  <c r="AF1433" i="11"/>
  <c r="AG1433" i="11" s="1"/>
  <c r="AF1452" i="11"/>
  <c r="AG1452" i="11" s="1"/>
  <c r="AF1372" i="11"/>
  <c r="AG1372" i="11" s="1"/>
  <c r="AF1414" i="11"/>
  <c r="AG1414" i="11" s="1"/>
  <c r="AF1388" i="11"/>
  <c r="AG1388" i="11" s="1"/>
  <c r="AF1370" i="11"/>
  <c r="AG1370" i="11" s="1"/>
  <c r="AF1425" i="11"/>
  <c r="AG1425" i="11" s="1"/>
  <c r="AF1417" i="11"/>
  <c r="AG1417" i="11" s="1"/>
  <c r="AF1465" i="11"/>
  <c r="AG1465" i="11" s="1"/>
  <c r="AF1379" i="11"/>
  <c r="AG1379" i="11" s="1"/>
  <c r="AF1462" i="11"/>
  <c r="AG1462" i="11" s="1"/>
  <c r="AF1385" i="11"/>
  <c r="AG1385" i="11" s="1"/>
  <c r="AF1456" i="11"/>
  <c r="AG1456" i="11" s="1"/>
  <c r="AF1399" i="11"/>
  <c r="AG1399" i="11" s="1"/>
  <c r="AF1449" i="11"/>
  <c r="AG1449" i="11" s="1"/>
  <c r="AF1429" i="11"/>
  <c r="AG1429" i="11" s="1"/>
  <c r="AF1396" i="11"/>
  <c r="AG1396" i="11" s="1"/>
  <c r="AF1461" i="11"/>
  <c r="AG1461" i="11" s="1"/>
  <c r="O174" i="54"/>
  <c r="AF1424" i="11"/>
  <c r="AG1424" i="11" s="1"/>
  <c r="N266" i="54"/>
  <c r="AI3508" i="11"/>
  <c r="AJ3508" i="11" s="1"/>
  <c r="AK2563" i="11"/>
  <c r="AL2563" i="11" s="1"/>
  <c r="AK2542" i="11"/>
  <c r="AL2542" i="11" s="1"/>
  <c r="AK2560" i="11"/>
  <c r="AL2560" i="11" s="1"/>
  <c r="AK2529" i="11"/>
  <c r="AL2529" i="11" s="1"/>
  <c r="AK2576" i="11"/>
  <c r="AL2576" i="11" s="1"/>
  <c r="AK2555" i="11"/>
  <c r="AL2555" i="11" s="1"/>
  <c r="AK2616" i="11"/>
  <c r="AL2616" i="11" s="1"/>
  <c r="AK2559" i="11"/>
  <c r="AL2559" i="11" s="1"/>
  <c r="AK2526" i="11"/>
  <c r="AL2526" i="11" s="1"/>
  <c r="AK2623" i="11"/>
  <c r="AL2623" i="11" s="1"/>
  <c r="AK2626" i="11"/>
  <c r="AL2626" i="11" s="1"/>
  <c r="AK2565" i="11"/>
  <c r="AL2565" i="11" s="1"/>
  <c r="AK2528" i="11"/>
  <c r="AL2528" i="11" s="1"/>
  <c r="AK2622" i="11"/>
  <c r="AL2622" i="11" s="1"/>
  <c r="AK2589" i="11"/>
  <c r="AL2589" i="11" s="1"/>
  <c r="AK2568" i="11"/>
  <c r="AL2568" i="11" s="1"/>
  <c r="AK2566" i="11"/>
  <c r="AL2566" i="11" s="1"/>
  <c r="AK2556" i="11"/>
  <c r="AL2556" i="11" s="1"/>
  <c r="AK2612" i="11"/>
  <c r="AL2612" i="11" s="1"/>
  <c r="AK2592" i="11"/>
  <c r="AL2592" i="11" s="1"/>
  <c r="AK2620" i="11"/>
  <c r="AL2620" i="11" s="1"/>
  <c r="AK2598" i="11"/>
  <c r="AL2598" i="11" s="1"/>
  <c r="AK2583" i="11"/>
  <c r="AL2583" i="11" s="1"/>
  <c r="AK2619" i="11"/>
  <c r="AL2619" i="11" s="1"/>
  <c r="AK2550" i="11"/>
  <c r="AL2550" i="11" s="1"/>
  <c r="AK2527" i="11"/>
  <c r="AL2527" i="11" s="1"/>
  <c r="AK2596" i="11"/>
  <c r="AL2596" i="11" s="1"/>
  <c r="AK2562" i="11"/>
  <c r="AL2562" i="11" s="1"/>
  <c r="AK2606" i="11"/>
  <c r="AL2606" i="11" s="1"/>
  <c r="AK2531" i="11"/>
  <c r="AL2531" i="11" s="1"/>
  <c r="AK2601" i="11"/>
  <c r="AL2601" i="11" s="1"/>
  <c r="AK2587" i="11"/>
  <c r="AL2587" i="11" s="1"/>
  <c r="AK2571" i="11"/>
  <c r="AL2571" i="11" s="1"/>
  <c r="AK2543" i="11"/>
  <c r="AL2543" i="11" s="1"/>
  <c r="AK2614" i="11"/>
  <c r="AL2614" i="11" s="1"/>
  <c r="AK2532" i="11"/>
  <c r="AL2532" i="11" s="1"/>
  <c r="AK2617" i="11"/>
  <c r="AL2617" i="11" s="1"/>
  <c r="AK2574" i="11"/>
  <c r="AL2574" i="11" s="1"/>
  <c r="AK2580" i="11"/>
  <c r="AL2580" i="11" s="1"/>
  <c r="AK2570" i="11"/>
  <c r="AL2570" i="11" s="1"/>
  <c r="AK2578" i="11"/>
  <c r="AL2578" i="11" s="1"/>
  <c r="AK2611" i="11"/>
  <c r="AL2611" i="11" s="1"/>
  <c r="AK2628" i="11"/>
  <c r="AL2628" i="11" s="1"/>
  <c r="AK2575" i="11"/>
  <c r="AL2575" i="11" s="1"/>
  <c r="AK2584" i="11"/>
  <c r="AL2584" i="11" s="1"/>
  <c r="AK2590" i="11"/>
  <c r="AL2590" i="11" s="1"/>
  <c r="AK2610" i="11"/>
  <c r="AL2610" i="11" s="1"/>
  <c r="AK2541" i="11"/>
  <c r="AL2541" i="11" s="1"/>
  <c r="AK2588" i="11"/>
  <c r="AL2588" i="11" s="1"/>
  <c r="AK2581" i="11"/>
  <c r="AL2581" i="11" s="1"/>
  <c r="AK2540" i="11"/>
  <c r="AL2540" i="11" s="1"/>
  <c r="AK2597" i="11"/>
  <c r="AL2597" i="11" s="1"/>
  <c r="AK2615" i="11"/>
  <c r="AL2615" i="11" s="1"/>
  <c r="AK2552" i="11"/>
  <c r="AL2552" i="11" s="1"/>
  <c r="AK2525" i="11"/>
  <c r="AL2525" i="11" s="1"/>
  <c r="AK2593" i="11"/>
  <c r="AL2593" i="11" s="1"/>
  <c r="AK2618" i="11"/>
  <c r="AL2618" i="11" s="1"/>
  <c r="AK2579" i="11"/>
  <c r="AL2579" i="11" s="1"/>
  <c r="AK2558" i="11"/>
  <c r="AL2558" i="11" s="1"/>
  <c r="AK2572" i="11"/>
  <c r="AL2572" i="11" s="1"/>
  <c r="AK2530" i="11"/>
  <c r="AL2530" i="11" s="1"/>
  <c r="AK2594" i="11"/>
  <c r="AL2594" i="11" s="1"/>
  <c r="AK2586" i="11"/>
  <c r="AL2586" i="11" s="1"/>
  <c r="AK2557" i="11"/>
  <c r="AL2557" i="11" s="1"/>
  <c r="AK2551" i="11"/>
  <c r="AL2551" i="11" s="1"/>
  <c r="AK2538" i="11"/>
  <c r="AL2538" i="11" s="1"/>
  <c r="AK2553" i="11"/>
  <c r="AL2553" i="11" s="1"/>
  <c r="AK2577" i="11"/>
  <c r="AL2577" i="11" s="1"/>
  <c r="AK2629" i="11"/>
  <c r="AL2629" i="11" s="1"/>
  <c r="AK2602" i="11"/>
  <c r="AL2602" i="11" s="1"/>
  <c r="AK2536" i="11"/>
  <c r="AL2536" i="11" s="1"/>
  <c r="AK2534" i="11"/>
  <c r="AL2534" i="11" s="1"/>
  <c r="AK2607" i="11"/>
  <c r="AL2607" i="11" s="1"/>
  <c r="AK2624" i="11"/>
  <c r="AL2624" i="11" s="1"/>
  <c r="AK2561" i="11"/>
  <c r="AL2561" i="11" s="1"/>
  <c r="AK2546" i="11"/>
  <c r="AL2546" i="11" s="1"/>
  <c r="AK2539" i="11"/>
  <c r="AL2539" i="11" s="1"/>
  <c r="AK2544" i="11"/>
  <c r="AL2544" i="11" s="1"/>
  <c r="AK2549" i="11"/>
  <c r="AL2549" i="11" s="1"/>
  <c r="AK2569" i="11"/>
  <c r="AL2569" i="11" s="1"/>
  <c r="AK2567" i="11"/>
  <c r="AL2567" i="11" s="1"/>
  <c r="AK2599" i="11"/>
  <c r="AL2599" i="11" s="1"/>
  <c r="AK2533" i="11"/>
  <c r="AL2533" i="11" s="1"/>
  <c r="AK2564" i="11"/>
  <c r="AL2564" i="11" s="1"/>
  <c r="AK2591" i="11"/>
  <c r="AL2591" i="11" s="1"/>
  <c r="AK2547" i="11"/>
  <c r="AL2547" i="11" s="1"/>
  <c r="AK2625" i="11"/>
  <c r="AL2625" i="11" s="1"/>
  <c r="AK2585" i="11"/>
  <c r="AL2585" i="11" s="1"/>
  <c r="AK2621" i="11"/>
  <c r="AL2621" i="11" s="1"/>
  <c r="AK2604" i="11"/>
  <c r="AL2604" i="11" s="1"/>
  <c r="AK2582" i="11"/>
  <c r="AL2582" i="11" s="1"/>
  <c r="AD3322" i="11"/>
  <c r="AE3322" i="11" s="1"/>
  <c r="AK2545" i="11"/>
  <c r="AL2545" i="11" s="1"/>
  <c r="AD3189" i="11"/>
  <c r="AE3189" i="11" s="1"/>
  <c r="AN3189" i="11" s="1"/>
  <c r="AI3616" i="11"/>
  <c r="AJ3616" i="11" s="1"/>
  <c r="AI1806" i="11"/>
  <c r="AJ1806" i="11" s="1"/>
  <c r="AI1870" i="11"/>
  <c r="AJ1870" i="11" s="1"/>
  <c r="AI1836" i="11"/>
  <c r="AJ1836" i="11" s="1"/>
  <c r="AI1876" i="11"/>
  <c r="AJ1876" i="11" s="1"/>
  <c r="AI1815" i="11"/>
  <c r="AJ1815" i="11" s="1"/>
  <c r="AI1840" i="11"/>
  <c r="AJ1840" i="11" s="1"/>
  <c r="AI1864" i="11"/>
  <c r="AJ1864" i="11" s="1"/>
  <c r="AI1816" i="11"/>
  <c r="AJ1816" i="11" s="1"/>
  <c r="AI1791" i="11"/>
  <c r="AJ1791" i="11" s="1"/>
  <c r="AI1857" i="11"/>
  <c r="AJ1857" i="11" s="1"/>
  <c r="AI1805" i="11"/>
  <c r="AJ1805" i="11" s="1"/>
  <c r="AI1797" i="11"/>
  <c r="AJ1797" i="11" s="1"/>
  <c r="AI1813" i="11"/>
  <c r="AJ1813" i="11" s="1"/>
  <c r="AI1824" i="11"/>
  <c r="AJ1824" i="11" s="1"/>
  <c r="AI1842" i="11"/>
  <c r="AJ1842" i="11" s="1"/>
  <c r="AI1880" i="11"/>
  <c r="AJ1880" i="11" s="1"/>
  <c r="AI1835" i="11"/>
  <c r="AJ1835" i="11" s="1"/>
  <c r="AI1814" i="11"/>
  <c r="AJ1814" i="11" s="1"/>
  <c r="AI1823" i="11"/>
  <c r="AJ1823" i="11" s="1"/>
  <c r="AI1809" i="11"/>
  <c r="AJ1809" i="11" s="1"/>
  <c r="AI1868" i="11"/>
  <c r="AJ1868" i="11" s="1"/>
  <c r="AI1829" i="11"/>
  <c r="AJ1829" i="11" s="1"/>
  <c r="AI1849" i="11"/>
  <c r="AJ1849" i="11" s="1"/>
  <c r="AI1865" i="11"/>
  <c r="AJ1865" i="11" s="1"/>
  <c r="AI1892" i="11"/>
  <c r="AJ1892" i="11" s="1"/>
  <c r="AI1860" i="11"/>
  <c r="AJ1860" i="11" s="1"/>
  <c r="AI1862" i="11"/>
  <c r="AJ1862" i="11" s="1"/>
  <c r="AI1834" i="11"/>
  <c r="AJ1834" i="11" s="1"/>
  <c r="AI1854" i="11"/>
  <c r="AJ1854" i="11" s="1"/>
  <c r="AI1856" i="11"/>
  <c r="AJ1856" i="11" s="1"/>
  <c r="AI1800" i="11"/>
  <c r="AJ1800" i="11" s="1"/>
  <c r="AI1839" i="11"/>
  <c r="AJ1839" i="11" s="1"/>
  <c r="AI1799" i="11"/>
  <c r="AJ1799" i="11" s="1"/>
  <c r="AI1818" i="11"/>
  <c r="AJ1818" i="11" s="1"/>
  <c r="AI1822" i="11"/>
  <c r="AJ1822" i="11" s="1"/>
  <c r="AI1861" i="11"/>
  <c r="AJ1861" i="11" s="1"/>
  <c r="AI1867" i="11"/>
  <c r="AJ1867" i="11" s="1"/>
  <c r="AI1793" i="11"/>
  <c r="AJ1793" i="11" s="1"/>
  <c r="AI1848" i="11"/>
  <c r="AJ1848" i="11" s="1"/>
  <c r="AI1794" i="11"/>
  <c r="AJ1794" i="11" s="1"/>
  <c r="AI1845" i="11"/>
  <c r="AJ1845" i="11" s="1"/>
  <c r="AI1893" i="11"/>
  <c r="AJ1893" i="11" s="1"/>
  <c r="AI1837" i="11"/>
  <c r="AJ1837" i="11" s="1"/>
  <c r="AI1875" i="11"/>
  <c r="AJ1875" i="11" s="1"/>
  <c r="AI1833" i="11"/>
  <c r="AJ1833" i="11" s="1"/>
  <c r="AI1820" i="11"/>
  <c r="AJ1820" i="11" s="1"/>
  <c r="AI1872" i="11"/>
  <c r="AJ1872" i="11" s="1"/>
  <c r="AI1844" i="11"/>
  <c r="AJ1844" i="11" s="1"/>
  <c r="AI1827" i="11"/>
  <c r="AJ1827" i="11" s="1"/>
  <c r="AI1846" i="11"/>
  <c r="AJ1846" i="11" s="1"/>
  <c r="AI1874" i="11"/>
  <c r="AJ1874" i="11" s="1"/>
  <c r="AI1801" i="11"/>
  <c r="AJ1801" i="11" s="1"/>
  <c r="AI1890" i="11"/>
  <c r="AJ1890" i="11" s="1"/>
  <c r="AI1810" i="11"/>
  <c r="AJ1810" i="11" s="1"/>
  <c r="AI1812" i="11"/>
  <c r="AJ1812" i="11" s="1"/>
  <c r="AI1790" i="11"/>
  <c r="AJ1790" i="11" s="1"/>
  <c r="AI1807" i="11"/>
  <c r="AJ1807" i="11" s="1"/>
  <c r="AI1866" i="11"/>
  <c r="AJ1866" i="11" s="1"/>
  <c r="AI1855" i="11"/>
  <c r="AJ1855" i="11" s="1"/>
  <c r="AI1798" i="11"/>
  <c r="AJ1798" i="11" s="1"/>
  <c r="AI1821" i="11"/>
  <c r="AJ1821" i="11" s="1"/>
  <c r="AI1894" i="11"/>
  <c r="AJ1894" i="11" s="1"/>
  <c r="AI1796" i="11"/>
  <c r="AJ1796" i="11" s="1"/>
  <c r="AI1879" i="11"/>
  <c r="AJ1879" i="11" s="1"/>
  <c r="AI1881" i="11"/>
  <c r="AJ1881" i="11" s="1"/>
  <c r="AI1795" i="11"/>
  <c r="AJ1795" i="11" s="1"/>
  <c r="AI1878" i="11"/>
  <c r="AJ1878" i="11" s="1"/>
  <c r="AI1889" i="11"/>
  <c r="AJ1889" i="11" s="1"/>
  <c r="AI1830" i="11"/>
  <c r="AJ1830" i="11" s="1"/>
  <c r="AI1882" i="11"/>
  <c r="AJ1882" i="11" s="1"/>
  <c r="AI1847" i="11"/>
  <c r="AJ1847" i="11" s="1"/>
  <c r="AI1850" i="11"/>
  <c r="AJ1850" i="11" s="1"/>
  <c r="AI1885" i="11"/>
  <c r="AJ1885" i="11" s="1"/>
  <c r="AI1887" i="11"/>
  <c r="AJ1887" i="11" s="1"/>
  <c r="AI1808" i="11"/>
  <c r="AJ1808" i="11" s="1"/>
  <c r="AI1863" i="11"/>
  <c r="AJ1863" i="11" s="1"/>
  <c r="AI1841" i="11"/>
  <c r="AJ1841" i="11" s="1"/>
  <c r="AI1811" i="11"/>
  <c r="AJ1811" i="11" s="1"/>
  <c r="AI1826" i="11"/>
  <c r="AJ1826" i="11" s="1"/>
  <c r="AI1819" i="11"/>
  <c r="AJ1819" i="11" s="1"/>
  <c r="AI1832" i="11"/>
  <c r="AJ1832" i="11" s="1"/>
  <c r="AI1843" i="11"/>
  <c r="AJ1843" i="11" s="1"/>
  <c r="AI1871" i="11"/>
  <c r="AJ1871" i="11" s="1"/>
  <c r="AI1817" i="11"/>
  <c r="AJ1817" i="11" s="1"/>
  <c r="AI1891" i="11"/>
  <c r="AJ1891" i="11" s="1"/>
  <c r="AI1883" i="11"/>
  <c r="AJ1883" i="11" s="1"/>
  <c r="AI1888" i="11"/>
  <c r="AJ1888" i="11" s="1"/>
  <c r="AI1853" i="11"/>
  <c r="AJ1853" i="11" s="1"/>
  <c r="AI1831" i="11"/>
  <c r="AJ1831" i="11" s="1"/>
  <c r="AI1852" i="11"/>
  <c r="AJ1852" i="11" s="1"/>
  <c r="AI1869" i="11"/>
  <c r="AJ1869" i="11" s="1"/>
  <c r="AI1803" i="11"/>
  <c r="AJ1803" i="11" s="1"/>
  <c r="AI1851" i="11"/>
  <c r="AJ1851" i="11" s="1"/>
  <c r="AI1804" i="11"/>
  <c r="AJ1804" i="11" s="1"/>
  <c r="AI1859" i="11"/>
  <c r="AJ1859" i="11" s="1"/>
  <c r="AI1886" i="11"/>
  <c r="AJ1886" i="11" s="1"/>
  <c r="AI1877" i="11"/>
  <c r="AJ1877" i="11" s="1"/>
  <c r="AI1802" i="11"/>
  <c r="AJ1802" i="11" s="1"/>
  <c r="AI1873" i="11"/>
  <c r="AJ1873" i="11" s="1"/>
  <c r="Q106" i="54"/>
  <c r="AF2929" i="11"/>
  <c r="AG2929" i="11" s="1"/>
  <c r="AO2929" i="11" s="1"/>
  <c r="AK2284" i="11"/>
  <c r="AL2284" i="11" s="1"/>
  <c r="AD1698" i="11"/>
  <c r="AE1698" i="11" s="1"/>
  <c r="AI714" i="11"/>
  <c r="AJ714" i="11" s="1"/>
  <c r="AI715" i="11"/>
  <c r="AJ715" i="11" s="1"/>
  <c r="AI710" i="11"/>
  <c r="AJ710" i="11" s="1"/>
  <c r="AI689" i="11"/>
  <c r="AJ689" i="11" s="1"/>
  <c r="AI654" i="11"/>
  <c r="AJ654" i="11" s="1"/>
  <c r="AI733" i="11"/>
  <c r="AJ733" i="11" s="1"/>
  <c r="AI635" i="11"/>
  <c r="AJ635" i="11" s="1"/>
  <c r="AI667" i="11"/>
  <c r="AJ667" i="11" s="1"/>
  <c r="AI728" i="11"/>
  <c r="AJ728" i="11" s="1"/>
  <c r="AI691" i="11"/>
  <c r="AJ691" i="11" s="1"/>
  <c r="AI712" i="11"/>
  <c r="AJ712" i="11" s="1"/>
  <c r="AI716" i="11"/>
  <c r="AJ716" i="11" s="1"/>
  <c r="AI648" i="11"/>
  <c r="AJ648" i="11" s="1"/>
  <c r="AI645" i="11"/>
  <c r="AJ645" i="11" s="1"/>
  <c r="AI686" i="11"/>
  <c r="AJ686" i="11" s="1"/>
  <c r="AI731" i="11"/>
  <c r="AJ731" i="11" s="1"/>
  <c r="AI637" i="11"/>
  <c r="AJ637" i="11" s="1"/>
  <c r="AI663" i="11"/>
  <c r="AJ663" i="11" s="1"/>
  <c r="AI738" i="11"/>
  <c r="AJ738" i="11" s="1"/>
  <c r="AI675" i="11"/>
  <c r="AJ675" i="11" s="1"/>
  <c r="AI638" i="11"/>
  <c r="AJ638" i="11" s="1"/>
  <c r="AI680" i="11"/>
  <c r="AJ680" i="11" s="1"/>
  <c r="AI677" i="11"/>
  <c r="AJ677" i="11" s="1"/>
  <c r="AI706" i="11"/>
  <c r="AJ706" i="11" s="1"/>
  <c r="AI724" i="11"/>
  <c r="AJ724" i="11" s="1"/>
  <c r="AI636" i="11"/>
  <c r="AJ636" i="11" s="1"/>
  <c r="AI650" i="11"/>
  <c r="AJ650" i="11" s="1"/>
  <c r="AI699" i="11"/>
  <c r="AJ699" i="11" s="1"/>
  <c r="AI684" i="11"/>
  <c r="AJ684" i="11" s="1"/>
  <c r="AI697" i="11"/>
  <c r="AJ697" i="11" s="1"/>
  <c r="AI639" i="11"/>
  <c r="AJ639" i="11" s="1"/>
  <c r="AI649" i="11"/>
  <c r="AJ649" i="11" s="1"/>
  <c r="AI718" i="11"/>
  <c r="AJ718" i="11" s="1"/>
  <c r="AI652" i="11"/>
  <c r="AJ652" i="11" s="1"/>
  <c r="AI679" i="11"/>
  <c r="AJ679" i="11" s="1"/>
  <c r="AI713" i="11"/>
  <c r="AJ713" i="11" s="1"/>
  <c r="AI735" i="11"/>
  <c r="AJ735" i="11" s="1"/>
  <c r="AI658" i="11"/>
  <c r="AJ658" i="11" s="1"/>
  <c r="AI682" i="11"/>
  <c r="AJ682" i="11" s="1"/>
  <c r="AI659" i="11"/>
  <c r="AJ659" i="11" s="1"/>
  <c r="AI705" i="11"/>
  <c r="AJ705" i="11" s="1"/>
  <c r="AI725" i="11"/>
  <c r="AJ725" i="11" s="1"/>
  <c r="AI674" i="11"/>
  <c r="AJ674" i="11" s="1"/>
  <c r="AI739" i="11"/>
  <c r="AJ739" i="11" s="1"/>
  <c r="AI727" i="11"/>
  <c r="AJ727" i="11" s="1"/>
  <c r="AI720" i="11"/>
  <c r="AJ720" i="11" s="1"/>
  <c r="AI702" i="11"/>
  <c r="AJ702" i="11" s="1"/>
  <c r="AI678" i="11"/>
  <c r="AJ678" i="11" s="1"/>
  <c r="AI676" i="11"/>
  <c r="AJ676" i="11" s="1"/>
  <c r="AI664" i="11"/>
  <c r="AJ664" i="11" s="1"/>
  <c r="AI653" i="11"/>
  <c r="AJ653" i="11" s="1"/>
  <c r="AI662" i="11"/>
  <c r="AJ662" i="11" s="1"/>
  <c r="AI671" i="11"/>
  <c r="AJ671" i="11" s="1"/>
  <c r="AI647" i="11"/>
  <c r="AJ647" i="11" s="1"/>
  <c r="AI644" i="11"/>
  <c r="AJ644" i="11" s="1"/>
  <c r="AI707" i="11"/>
  <c r="AJ707" i="11" s="1"/>
  <c r="AI722" i="11"/>
  <c r="AJ722" i="11" s="1"/>
  <c r="AI729" i="11"/>
  <c r="AJ729" i="11" s="1"/>
  <c r="AI656" i="11"/>
  <c r="AJ656" i="11" s="1"/>
  <c r="AI687" i="11"/>
  <c r="AJ687" i="11" s="1"/>
  <c r="AI672" i="11"/>
  <c r="AJ672" i="11" s="1"/>
  <c r="AI703" i="11"/>
  <c r="AJ703" i="11" s="1"/>
  <c r="AI646" i="11"/>
  <c r="AJ646" i="11" s="1"/>
  <c r="AI696" i="11"/>
  <c r="AJ696" i="11" s="1"/>
  <c r="AI693" i="11"/>
  <c r="AJ693" i="11" s="1"/>
  <c r="AI694" i="11"/>
  <c r="AJ694" i="11" s="1"/>
  <c r="AI673" i="11"/>
  <c r="AJ673" i="11" s="1"/>
  <c r="AI701" i="11"/>
  <c r="AJ701" i="11" s="1"/>
  <c r="AI657" i="11"/>
  <c r="AJ657" i="11" s="1"/>
  <c r="AI726" i="11"/>
  <c r="AJ726" i="11" s="1"/>
  <c r="AI681" i="11"/>
  <c r="AJ681" i="11" s="1"/>
  <c r="AI695" i="11"/>
  <c r="AJ695" i="11" s="1"/>
  <c r="AI669" i="11"/>
  <c r="AJ669" i="11" s="1"/>
  <c r="AI719" i="11"/>
  <c r="AJ719" i="11" s="1"/>
  <c r="AI660" i="11"/>
  <c r="AJ660" i="11" s="1"/>
  <c r="AI692" i="11"/>
  <c r="AJ692" i="11" s="1"/>
  <c r="AI655" i="11"/>
  <c r="AJ655" i="11" s="1"/>
  <c r="AI641" i="11"/>
  <c r="AJ641" i="11" s="1"/>
  <c r="AI665" i="11"/>
  <c r="AJ665" i="11" s="1"/>
  <c r="AI734" i="11"/>
  <c r="AJ734" i="11" s="1"/>
  <c r="AI685" i="11"/>
  <c r="AJ685" i="11" s="1"/>
  <c r="AI688" i="11"/>
  <c r="AJ688" i="11" s="1"/>
  <c r="AI642" i="11"/>
  <c r="AJ642" i="11" s="1"/>
  <c r="AI736" i="11"/>
  <c r="AJ736" i="11" s="1"/>
  <c r="AI683" i="11"/>
  <c r="AJ683" i="11" s="1"/>
  <c r="AI668" i="11"/>
  <c r="AJ668" i="11" s="1"/>
  <c r="AI711" i="11"/>
  <c r="AJ711" i="11" s="1"/>
  <c r="AI721" i="11"/>
  <c r="AJ721" i="11" s="1"/>
  <c r="AI704" i="11"/>
  <c r="AJ704" i="11" s="1"/>
  <c r="AI643" i="11"/>
  <c r="AJ643" i="11" s="1"/>
  <c r="AI730" i="11"/>
  <c r="AJ730" i="11" s="1"/>
  <c r="AI700" i="11"/>
  <c r="AJ700" i="11" s="1"/>
  <c r="AI723" i="11"/>
  <c r="AJ723" i="11" s="1"/>
  <c r="AI708" i="11"/>
  <c r="AJ708" i="11" s="1"/>
  <c r="AI732" i="11"/>
  <c r="AJ732" i="11" s="1"/>
  <c r="AI666" i="11"/>
  <c r="AJ666" i="11" s="1"/>
  <c r="AI717" i="11"/>
  <c r="AJ717" i="11" s="1"/>
  <c r="AF3015" i="11"/>
  <c r="AG3015" i="11" s="1"/>
  <c r="AD1668" i="11"/>
  <c r="AE1668" i="11" s="1"/>
  <c r="P77" i="54"/>
  <c r="Q91" i="54"/>
  <c r="Q89" i="54"/>
  <c r="AK1404" i="11"/>
  <c r="AL1404" i="11" s="1"/>
  <c r="AF2985" i="11"/>
  <c r="AG2985" i="11" s="1"/>
  <c r="AF2536" i="11"/>
  <c r="AG2536" i="11" s="1"/>
  <c r="AI1736" i="11"/>
  <c r="AJ1736" i="11" s="1"/>
  <c r="AI1755" i="11"/>
  <c r="AJ1755" i="11" s="1"/>
  <c r="AI1789" i="11"/>
  <c r="AJ1789" i="11" s="1"/>
  <c r="AI1731" i="11"/>
  <c r="AJ1731" i="11" s="1"/>
  <c r="AI1776" i="11"/>
  <c r="AJ1776" i="11" s="1"/>
  <c r="AI1691" i="11"/>
  <c r="AJ1691" i="11" s="1"/>
  <c r="AI1711" i="11"/>
  <c r="AJ1711" i="11" s="1"/>
  <c r="AI1716" i="11"/>
  <c r="AJ1716" i="11" s="1"/>
  <c r="AI1768" i="11"/>
  <c r="AJ1768" i="11" s="1"/>
  <c r="AI1760" i="11"/>
  <c r="AJ1760" i="11" s="1"/>
  <c r="AI1777" i="11"/>
  <c r="AJ1777" i="11" s="1"/>
  <c r="AI1772" i="11"/>
  <c r="AJ1772" i="11" s="1"/>
  <c r="AI1704" i="11"/>
  <c r="AJ1704" i="11" s="1"/>
  <c r="AI1727" i="11"/>
  <c r="AJ1727" i="11" s="1"/>
  <c r="AI1698" i="11"/>
  <c r="AJ1698" i="11" s="1"/>
  <c r="AI1751" i="11"/>
  <c r="AJ1751" i="11" s="1"/>
  <c r="AI1784" i="11"/>
  <c r="AJ1784" i="11" s="1"/>
  <c r="AI1710" i="11"/>
  <c r="AJ1710" i="11" s="1"/>
  <c r="AI1726" i="11"/>
  <c r="AJ1726" i="11" s="1"/>
  <c r="AI1783" i="11"/>
  <c r="AJ1783" i="11" s="1"/>
  <c r="AI1688" i="11"/>
  <c r="AJ1688" i="11" s="1"/>
  <c r="AI1748" i="11"/>
  <c r="AJ1748" i="11" s="1"/>
  <c r="AI1749" i="11"/>
  <c r="AJ1749" i="11" s="1"/>
  <c r="AI1737" i="11"/>
  <c r="AJ1737" i="11" s="1"/>
  <c r="AI1770" i="11"/>
  <c r="AJ1770" i="11" s="1"/>
  <c r="AI1735" i="11"/>
  <c r="AJ1735" i="11" s="1"/>
  <c r="AI1709" i="11"/>
  <c r="AJ1709" i="11" s="1"/>
  <c r="AI1703" i="11"/>
  <c r="AJ1703" i="11" s="1"/>
  <c r="AI1723" i="11"/>
  <c r="AJ1723" i="11" s="1"/>
  <c r="AI1785" i="11"/>
  <c r="AJ1785" i="11" s="1"/>
  <c r="AI1699" i="11"/>
  <c r="AJ1699" i="11" s="1"/>
  <c r="AI1753" i="11"/>
  <c r="AJ1753" i="11" s="1"/>
  <c r="AI1702" i="11"/>
  <c r="AJ1702" i="11" s="1"/>
  <c r="AI1707" i="11"/>
  <c r="AJ1707" i="11" s="1"/>
  <c r="AI1696" i="11"/>
  <c r="AJ1696" i="11" s="1"/>
  <c r="AI1718" i="11"/>
  <c r="AJ1718" i="11" s="1"/>
  <c r="AI1706" i="11"/>
  <c r="AJ1706" i="11" s="1"/>
  <c r="AI1745" i="11"/>
  <c r="AJ1745" i="11" s="1"/>
  <c r="AI1720" i="11"/>
  <c r="AJ1720" i="11" s="1"/>
  <c r="AI1788" i="11"/>
  <c r="AJ1788" i="11" s="1"/>
  <c r="AI1705" i="11"/>
  <c r="AJ1705" i="11" s="1"/>
  <c r="AI1747" i="11"/>
  <c r="AJ1747" i="11" s="1"/>
  <c r="AI1762" i="11"/>
  <c r="AJ1762" i="11" s="1"/>
  <c r="AI1769" i="11"/>
  <c r="AJ1769" i="11" s="1"/>
  <c r="AI1761" i="11"/>
  <c r="AJ1761" i="11" s="1"/>
  <c r="AI1721" i="11"/>
  <c r="AJ1721" i="11" s="1"/>
  <c r="AI1694" i="11"/>
  <c r="AJ1694" i="11" s="1"/>
  <c r="AI1689" i="11"/>
  <c r="AJ1689" i="11" s="1"/>
  <c r="AI1690" i="11"/>
  <c r="AJ1690" i="11" s="1"/>
  <c r="AI1742" i="11"/>
  <c r="AJ1742" i="11" s="1"/>
  <c r="AI1722" i="11"/>
  <c r="AJ1722" i="11" s="1"/>
  <c r="AI1734" i="11"/>
  <c r="AJ1734" i="11" s="1"/>
  <c r="AI1728" i="11"/>
  <c r="AJ1728" i="11" s="1"/>
  <c r="AI1778" i="11"/>
  <c r="AJ1778" i="11" s="1"/>
  <c r="AI1780" i="11"/>
  <c r="AJ1780" i="11" s="1"/>
  <c r="AI1756" i="11"/>
  <c r="AJ1756" i="11" s="1"/>
  <c r="AI1779" i="11"/>
  <c r="AJ1779" i="11" s="1"/>
  <c r="AI1746" i="11"/>
  <c r="AJ1746" i="11" s="1"/>
  <c r="AI1763" i="11"/>
  <c r="AJ1763" i="11" s="1"/>
  <c r="AI1725" i="11"/>
  <c r="AJ1725" i="11" s="1"/>
  <c r="AI1712" i="11"/>
  <c r="AJ1712" i="11" s="1"/>
  <c r="AI1733" i="11"/>
  <c r="AJ1733" i="11" s="1"/>
  <c r="AI1729" i="11"/>
  <c r="AJ1729" i="11" s="1"/>
  <c r="AI1775" i="11"/>
  <c r="AJ1775" i="11" s="1"/>
  <c r="AI1738" i="11"/>
  <c r="AJ1738" i="11" s="1"/>
  <c r="AI1757" i="11"/>
  <c r="AJ1757" i="11" s="1"/>
  <c r="AI1773" i="11"/>
  <c r="AJ1773" i="11" s="1"/>
  <c r="AI1714" i="11"/>
  <c r="AJ1714" i="11" s="1"/>
  <c r="AI1767" i="11"/>
  <c r="AJ1767" i="11" s="1"/>
  <c r="AI1687" i="11"/>
  <c r="AJ1687" i="11" s="1"/>
  <c r="AI1758" i="11"/>
  <c r="AJ1758" i="11" s="1"/>
  <c r="AI1732" i="11"/>
  <c r="AJ1732" i="11" s="1"/>
  <c r="AI1730" i="11"/>
  <c r="AJ1730" i="11" s="1"/>
  <c r="AI1715" i="11"/>
  <c r="AJ1715" i="11" s="1"/>
  <c r="AI1685" i="11"/>
  <c r="AJ1685" i="11" s="1"/>
  <c r="AI1701" i="11"/>
  <c r="AJ1701" i="11" s="1"/>
  <c r="AI1686" i="11"/>
  <c r="AJ1686" i="11" s="1"/>
  <c r="AI1695" i="11"/>
  <c r="AJ1695" i="11" s="1"/>
  <c r="AI1724" i="11"/>
  <c r="AJ1724" i="11" s="1"/>
  <c r="AI1697" i="11"/>
  <c r="AJ1697" i="11" s="1"/>
  <c r="AI1717" i="11"/>
  <c r="AJ1717" i="11" s="1"/>
  <c r="AI1781" i="11"/>
  <c r="AJ1781" i="11" s="1"/>
  <c r="AI1741" i="11"/>
  <c r="AJ1741" i="11" s="1"/>
  <c r="AI1786" i="11"/>
  <c r="AJ1786" i="11" s="1"/>
  <c r="AI1693" i="11"/>
  <c r="AJ1693" i="11" s="1"/>
  <c r="AI1771" i="11"/>
  <c r="AJ1771" i="11" s="1"/>
  <c r="AI1739" i="11"/>
  <c r="AJ1739" i="11" s="1"/>
  <c r="AI1759" i="11"/>
  <c r="AJ1759" i="11" s="1"/>
  <c r="AI1782" i="11"/>
  <c r="AJ1782" i="11" s="1"/>
  <c r="AI1787" i="11"/>
  <c r="AJ1787" i="11" s="1"/>
  <c r="AI1708" i="11"/>
  <c r="AJ1708" i="11" s="1"/>
  <c r="AI1713" i="11"/>
  <c r="AJ1713" i="11" s="1"/>
  <c r="AI1700" i="11"/>
  <c r="AJ1700" i="11" s="1"/>
  <c r="AI1774" i="11"/>
  <c r="AJ1774" i="11" s="1"/>
  <c r="AI1743" i="11"/>
  <c r="AJ1743" i="11" s="1"/>
  <c r="AI1750" i="11"/>
  <c r="AJ1750" i="11" s="1"/>
  <c r="AI1764" i="11"/>
  <c r="AJ1764" i="11" s="1"/>
  <c r="AI1740" i="11"/>
  <c r="AJ1740" i="11" s="1"/>
  <c r="AI1719" i="11"/>
  <c r="AJ1719" i="11" s="1"/>
  <c r="AD2756" i="11"/>
  <c r="AE2756" i="11" s="1"/>
  <c r="Q85" i="54"/>
  <c r="P146" i="54"/>
  <c r="AI3170" i="11"/>
  <c r="AJ3170" i="11" s="1"/>
  <c r="AK659" i="11"/>
  <c r="AL659" i="11" s="1"/>
  <c r="AK1331" i="11"/>
  <c r="AL1331" i="11" s="1"/>
  <c r="AK1270" i="11"/>
  <c r="AL1270" i="11" s="1"/>
  <c r="AK1313" i="11"/>
  <c r="AL1313" i="11" s="1"/>
  <c r="AK1368" i="11"/>
  <c r="AL1368" i="11" s="1"/>
  <c r="AK1284" i="11"/>
  <c r="AL1284" i="11" s="1"/>
  <c r="AK1310" i="11"/>
  <c r="AL1310" i="11" s="1"/>
  <c r="AK1367" i="11"/>
  <c r="AL1367" i="11" s="1"/>
  <c r="AK1334" i="11"/>
  <c r="AL1334" i="11" s="1"/>
  <c r="AK1369" i="11"/>
  <c r="AL1369" i="11" s="1"/>
  <c r="AK1286" i="11"/>
  <c r="AL1286" i="11" s="1"/>
  <c r="AK1340" i="11"/>
  <c r="AL1340" i="11" s="1"/>
  <c r="AK1275" i="11"/>
  <c r="AL1275" i="11" s="1"/>
  <c r="AK1274" i="11"/>
  <c r="AL1274" i="11" s="1"/>
  <c r="AK1357" i="11"/>
  <c r="AL1357" i="11" s="1"/>
  <c r="AK1299" i="11"/>
  <c r="AL1299" i="11" s="1"/>
  <c r="AK1265" i="11"/>
  <c r="AL1265" i="11" s="1"/>
  <c r="AK1294" i="11"/>
  <c r="AL1294" i="11" s="1"/>
  <c r="AK1319" i="11"/>
  <c r="AL1319" i="11" s="1"/>
  <c r="AK1282" i="11"/>
  <c r="AL1282" i="11" s="1"/>
  <c r="AK1320" i="11"/>
  <c r="AL1320" i="11" s="1"/>
  <c r="AK1289" i="11"/>
  <c r="AL1289" i="11" s="1"/>
  <c r="AK1342" i="11"/>
  <c r="AL1342" i="11" s="1"/>
  <c r="AK1291" i="11"/>
  <c r="AL1291" i="11" s="1"/>
  <c r="AK1277" i="11"/>
  <c r="AL1277" i="11" s="1"/>
  <c r="AK1349" i="11"/>
  <c r="AL1349" i="11" s="1"/>
  <c r="AK1285" i="11"/>
  <c r="AL1285" i="11" s="1"/>
  <c r="AK1305" i="11"/>
  <c r="AL1305" i="11" s="1"/>
  <c r="AK1301" i="11"/>
  <c r="AL1301" i="11" s="1"/>
  <c r="AK1354" i="11"/>
  <c r="AL1354" i="11" s="1"/>
  <c r="AK1321" i="11"/>
  <c r="AL1321" i="11" s="1"/>
  <c r="AK1330" i="11"/>
  <c r="AL1330" i="11" s="1"/>
  <c r="AK1362" i="11"/>
  <c r="AL1362" i="11" s="1"/>
  <c r="AK1267" i="11"/>
  <c r="AL1267" i="11" s="1"/>
  <c r="AK1347" i="11"/>
  <c r="AL1347" i="11" s="1"/>
  <c r="AK1322" i="11"/>
  <c r="AL1322" i="11" s="1"/>
  <c r="AK1306" i="11"/>
  <c r="AL1306" i="11" s="1"/>
  <c r="AK1360" i="11"/>
  <c r="AL1360" i="11" s="1"/>
  <c r="AK1345" i="11"/>
  <c r="AL1345" i="11" s="1"/>
  <c r="AK1312" i="11"/>
  <c r="AL1312" i="11" s="1"/>
  <c r="AK1268" i="11"/>
  <c r="AL1268" i="11" s="1"/>
  <c r="AK1298" i="11"/>
  <c r="AL1298" i="11" s="1"/>
  <c r="AK1304" i="11"/>
  <c r="AL1304" i="11" s="1"/>
  <c r="AK1317" i="11"/>
  <c r="AL1317" i="11" s="1"/>
  <c r="AK1311" i="11"/>
  <c r="AL1311" i="11" s="1"/>
  <c r="AK1278" i="11"/>
  <c r="AL1278" i="11" s="1"/>
  <c r="AK1315" i="11"/>
  <c r="AL1315" i="11" s="1"/>
  <c r="AK1296" i="11"/>
  <c r="AL1296" i="11" s="1"/>
  <c r="AK1300" i="11"/>
  <c r="AL1300" i="11" s="1"/>
  <c r="AK1329" i="11"/>
  <c r="AL1329" i="11" s="1"/>
  <c r="AK1361" i="11"/>
  <c r="AL1361" i="11" s="1"/>
  <c r="AK1365" i="11"/>
  <c r="AL1365" i="11" s="1"/>
  <c r="AK1350" i="11"/>
  <c r="AL1350" i="11" s="1"/>
  <c r="AK1266" i="11"/>
  <c r="AL1266" i="11" s="1"/>
  <c r="AK1303" i="11"/>
  <c r="AL1303" i="11" s="1"/>
  <c r="AK1355" i="11"/>
  <c r="AL1355" i="11" s="1"/>
  <c r="AK1335" i="11"/>
  <c r="AL1335" i="11" s="1"/>
  <c r="AK1293" i="11"/>
  <c r="AL1293" i="11" s="1"/>
  <c r="AK1346" i="11"/>
  <c r="AL1346" i="11" s="1"/>
  <c r="AK1337" i="11"/>
  <c r="AL1337" i="11" s="1"/>
  <c r="AK1332" i="11"/>
  <c r="AL1332" i="11" s="1"/>
  <c r="AK1297" i="11"/>
  <c r="AL1297" i="11" s="1"/>
  <c r="AK1288" i="11"/>
  <c r="AL1288" i="11" s="1"/>
  <c r="AK1316" i="11"/>
  <c r="AL1316" i="11" s="1"/>
  <c r="AK1302" i="11"/>
  <c r="AL1302" i="11" s="1"/>
  <c r="AK1276" i="11"/>
  <c r="AL1276" i="11" s="1"/>
  <c r="AK1364" i="11"/>
  <c r="AL1364" i="11" s="1"/>
  <c r="AK1348" i="11"/>
  <c r="AL1348" i="11" s="1"/>
  <c r="AK1292" i="11"/>
  <c r="AL1292" i="11" s="1"/>
  <c r="AK1356" i="11"/>
  <c r="AL1356" i="11" s="1"/>
  <c r="AK1359" i="11"/>
  <c r="AL1359" i="11" s="1"/>
  <c r="AK1287" i="11"/>
  <c r="AL1287" i="11" s="1"/>
  <c r="AK1339" i="11"/>
  <c r="AL1339" i="11" s="1"/>
  <c r="AK1308" i="11"/>
  <c r="AL1308" i="11" s="1"/>
  <c r="AK1351" i="11"/>
  <c r="AL1351" i="11" s="1"/>
  <c r="AK1314" i="11"/>
  <c r="AL1314" i="11" s="1"/>
  <c r="AK1358" i="11"/>
  <c r="AL1358" i="11" s="1"/>
  <c r="AK1271" i="11"/>
  <c r="AL1271" i="11" s="1"/>
  <c r="AK1272" i="11"/>
  <c r="AL1272" i="11" s="1"/>
  <c r="AK1290" i="11"/>
  <c r="AL1290" i="11" s="1"/>
  <c r="AK1363" i="11"/>
  <c r="AL1363" i="11" s="1"/>
  <c r="AK1281" i="11"/>
  <c r="AL1281" i="11" s="1"/>
  <c r="AK1333" i="11"/>
  <c r="AL1333" i="11" s="1"/>
  <c r="AK1353" i="11"/>
  <c r="AL1353" i="11" s="1"/>
  <c r="AK1326" i="11"/>
  <c r="AL1326" i="11" s="1"/>
  <c r="AK1338" i="11"/>
  <c r="AL1338" i="11" s="1"/>
  <c r="AK1366" i="11"/>
  <c r="AL1366" i="11" s="1"/>
  <c r="AK1309" i="11"/>
  <c r="AL1309" i="11" s="1"/>
  <c r="AK1352" i="11"/>
  <c r="AL1352" i="11" s="1"/>
  <c r="AK1273" i="11"/>
  <c r="AL1273" i="11" s="1"/>
  <c r="AK1323" i="11"/>
  <c r="AL1323" i="11" s="1"/>
  <c r="AK1324" i="11"/>
  <c r="AL1324" i="11" s="1"/>
  <c r="AK1279" i="11"/>
  <c r="AL1279" i="11" s="1"/>
  <c r="AK1295" i="11"/>
  <c r="AL1295" i="11" s="1"/>
  <c r="AK1344" i="11"/>
  <c r="AL1344" i="11" s="1"/>
  <c r="AK1318" i="11"/>
  <c r="AL1318" i="11" s="1"/>
  <c r="AK1327" i="11"/>
  <c r="AL1327" i="11" s="1"/>
  <c r="AK1269" i="11"/>
  <c r="AL1269" i="11" s="1"/>
  <c r="AO1269" i="11" s="1"/>
  <c r="AD3374" i="11"/>
  <c r="AE3374" i="11" s="1"/>
  <c r="AI2460" i="11"/>
  <c r="AJ2460" i="11" s="1"/>
  <c r="AF3477" i="11"/>
  <c r="AG3477" i="11" s="1"/>
  <c r="P132" i="54"/>
  <c r="AF3764" i="11"/>
  <c r="AG3764" i="11" s="1"/>
  <c r="AO3764" i="11" s="1"/>
  <c r="AK893" i="11"/>
  <c r="AL893" i="11" s="1"/>
  <c r="AK3328" i="11"/>
  <c r="AL3328" i="11" s="1"/>
  <c r="AF2613" i="11"/>
  <c r="AG2613" i="11" s="1"/>
  <c r="AI545" i="11"/>
  <c r="AJ545" i="11" s="1"/>
  <c r="P150" i="54"/>
  <c r="AD2478" i="11"/>
  <c r="AE2478" i="11" s="1"/>
  <c r="AN2478" i="11" s="1"/>
  <c r="AD3639" i="11"/>
  <c r="AE3639" i="11" s="1"/>
  <c r="AD1682" i="11"/>
  <c r="AE1682" i="11" s="1"/>
  <c r="AK606" i="11"/>
  <c r="AL606" i="11" s="1"/>
  <c r="AI3445" i="11"/>
  <c r="AJ3445" i="11" s="1"/>
  <c r="AK1921" i="11"/>
  <c r="AL1921" i="11" s="1"/>
  <c r="AI3774" i="11"/>
  <c r="AJ3774" i="11" s="1"/>
  <c r="AI3751" i="11"/>
  <c r="AJ3751" i="11" s="1"/>
  <c r="AI3758" i="11"/>
  <c r="AJ3758" i="11" s="1"/>
  <c r="AI3741" i="11"/>
  <c r="AJ3741" i="11" s="1"/>
  <c r="AI3726" i="11"/>
  <c r="AJ3726" i="11" s="1"/>
  <c r="AI3694" i="11"/>
  <c r="AJ3694" i="11" s="1"/>
  <c r="AI3734" i="11"/>
  <c r="AJ3734" i="11" s="1"/>
  <c r="AI3697" i="11"/>
  <c r="AJ3697" i="11" s="1"/>
  <c r="AI3764" i="11"/>
  <c r="AJ3764" i="11" s="1"/>
  <c r="AI3707" i="11"/>
  <c r="AJ3707" i="11" s="1"/>
  <c r="AI3733" i="11"/>
  <c r="AJ3733" i="11" s="1"/>
  <c r="AI3708" i="11"/>
  <c r="AJ3708" i="11" s="1"/>
  <c r="AI3731" i="11"/>
  <c r="AJ3731" i="11" s="1"/>
  <c r="AI3722" i="11"/>
  <c r="AJ3722" i="11" s="1"/>
  <c r="AI3759" i="11"/>
  <c r="AJ3759" i="11" s="1"/>
  <c r="AI3765" i="11"/>
  <c r="AJ3765" i="11" s="1"/>
  <c r="AN3765" i="11" s="1"/>
  <c r="AI3681" i="11"/>
  <c r="AJ3681" i="11" s="1"/>
  <c r="AI3761" i="11"/>
  <c r="AJ3761" i="11" s="1"/>
  <c r="AI3771" i="11"/>
  <c r="AJ3771" i="11" s="1"/>
  <c r="AI3748" i="11"/>
  <c r="AJ3748" i="11" s="1"/>
  <c r="AI3766" i="11"/>
  <c r="AJ3766" i="11" s="1"/>
  <c r="AI3742" i="11"/>
  <c r="AJ3742" i="11" s="1"/>
  <c r="AI3730" i="11"/>
  <c r="AJ3730" i="11" s="1"/>
  <c r="AI3749" i="11"/>
  <c r="AJ3749" i="11" s="1"/>
  <c r="AI3779" i="11"/>
  <c r="AJ3779" i="11" s="1"/>
  <c r="AI3755" i="11"/>
  <c r="AJ3755" i="11" s="1"/>
  <c r="AI3747" i="11"/>
  <c r="AJ3747" i="11" s="1"/>
  <c r="AI3740" i="11"/>
  <c r="AJ3740" i="11" s="1"/>
  <c r="AI3743" i="11"/>
  <c r="AJ3743" i="11" s="1"/>
  <c r="AI3777" i="11"/>
  <c r="AJ3777" i="11" s="1"/>
  <c r="AI3754" i="11"/>
  <c r="AJ3754" i="11" s="1"/>
  <c r="AI3691" i="11"/>
  <c r="AJ3691" i="11" s="1"/>
  <c r="AI3689" i="11"/>
  <c r="AJ3689" i="11" s="1"/>
  <c r="AI3718" i="11"/>
  <c r="AJ3718" i="11" s="1"/>
  <c r="AI3696" i="11"/>
  <c r="AJ3696" i="11" s="1"/>
  <c r="AI3716" i="11"/>
  <c r="AJ3716" i="11" s="1"/>
  <c r="AI3702" i="11"/>
  <c r="AJ3702" i="11" s="1"/>
  <c r="AI3767" i="11"/>
  <c r="AJ3767" i="11" s="1"/>
  <c r="AI3721" i="11"/>
  <c r="AJ3721" i="11" s="1"/>
  <c r="AI3782" i="11"/>
  <c r="AJ3782" i="11" s="1"/>
  <c r="AI3711" i="11"/>
  <c r="AJ3711" i="11" s="1"/>
  <c r="AI3682" i="11"/>
  <c r="AJ3682" i="11" s="1"/>
  <c r="AI3693" i="11"/>
  <c r="AJ3693" i="11" s="1"/>
  <c r="AI3703" i="11"/>
  <c r="AJ3703" i="11" s="1"/>
  <c r="AI3690" i="11"/>
  <c r="AJ3690" i="11" s="1"/>
  <c r="AI3732" i="11"/>
  <c r="AJ3732" i="11" s="1"/>
  <c r="AI3750" i="11"/>
  <c r="AJ3750" i="11" s="1"/>
  <c r="AI3713" i="11"/>
  <c r="AJ3713" i="11" s="1"/>
  <c r="AI3700" i="11"/>
  <c r="AJ3700" i="11" s="1"/>
  <c r="AI3776" i="11"/>
  <c r="AJ3776" i="11" s="1"/>
  <c r="AI3769" i="11"/>
  <c r="AJ3769" i="11" s="1"/>
  <c r="AI3728" i="11"/>
  <c r="AJ3728" i="11" s="1"/>
  <c r="AI3757" i="11"/>
  <c r="AJ3757" i="11" s="1"/>
  <c r="AI3762" i="11"/>
  <c r="AJ3762" i="11" s="1"/>
  <c r="AI3695" i="11"/>
  <c r="AJ3695" i="11" s="1"/>
  <c r="AI3735" i="11"/>
  <c r="AJ3735" i="11" s="1"/>
  <c r="AI3688" i="11"/>
  <c r="AJ3688" i="11" s="1"/>
  <c r="AI3727" i="11"/>
  <c r="AJ3727" i="11" s="1"/>
  <c r="AI3717" i="11"/>
  <c r="AJ3717" i="11" s="1"/>
  <c r="AI3775" i="11"/>
  <c r="AJ3775" i="11" s="1"/>
  <c r="AI3709" i="11"/>
  <c r="AJ3709" i="11" s="1"/>
  <c r="AI3745" i="11"/>
  <c r="AJ3745" i="11" s="1"/>
  <c r="AI3780" i="11"/>
  <c r="AJ3780" i="11" s="1"/>
  <c r="AI3770" i="11"/>
  <c r="AJ3770" i="11" s="1"/>
  <c r="AI3705" i="11"/>
  <c r="AJ3705" i="11" s="1"/>
  <c r="AI3692" i="11"/>
  <c r="AJ3692" i="11" s="1"/>
  <c r="AI3736" i="11"/>
  <c r="AJ3736" i="11" s="1"/>
  <c r="AI3684" i="11"/>
  <c r="AJ3684" i="11" s="1"/>
  <c r="AI3701" i="11"/>
  <c r="AJ3701" i="11" s="1"/>
  <c r="AI3744" i="11"/>
  <c r="AJ3744" i="11" s="1"/>
  <c r="AI3720" i="11"/>
  <c r="AJ3720" i="11" s="1"/>
  <c r="AI3760" i="11"/>
  <c r="AJ3760" i="11" s="1"/>
  <c r="AI3712" i="11"/>
  <c r="AJ3712" i="11" s="1"/>
  <c r="AI3756" i="11"/>
  <c r="AJ3756" i="11" s="1"/>
  <c r="AI3772" i="11"/>
  <c r="AJ3772" i="11" s="1"/>
  <c r="AI3725" i="11"/>
  <c r="AJ3725" i="11" s="1"/>
  <c r="AI3783" i="11"/>
  <c r="AJ3783" i="11" s="1"/>
  <c r="AI3729" i="11"/>
  <c r="AJ3729" i="11" s="1"/>
  <c r="AI3781" i="11"/>
  <c r="AJ3781" i="11" s="1"/>
  <c r="AI3680" i="11"/>
  <c r="AJ3680" i="11" s="1"/>
  <c r="AI3739" i="11"/>
  <c r="AJ3739" i="11" s="1"/>
  <c r="AI3715" i="11"/>
  <c r="AJ3715" i="11" s="1"/>
  <c r="AI3723" i="11"/>
  <c r="AJ3723" i="11" s="1"/>
  <c r="AI3724" i="11"/>
  <c r="AJ3724" i="11" s="1"/>
  <c r="AI3719" i="11"/>
  <c r="AJ3719" i="11" s="1"/>
  <c r="AI3685" i="11"/>
  <c r="AJ3685" i="11" s="1"/>
  <c r="AI3699" i="11"/>
  <c r="AJ3699" i="11" s="1"/>
  <c r="AI3704" i="11"/>
  <c r="AJ3704" i="11" s="1"/>
  <c r="AI3687" i="11"/>
  <c r="AJ3687" i="11" s="1"/>
  <c r="AI3778" i="11"/>
  <c r="AJ3778" i="11" s="1"/>
  <c r="AI3710" i="11"/>
  <c r="AJ3710" i="11" s="1"/>
  <c r="AI3706" i="11"/>
  <c r="AJ3706" i="11" s="1"/>
  <c r="AI3686" i="11"/>
  <c r="AJ3686" i="11" s="1"/>
  <c r="AI3752" i="11"/>
  <c r="AJ3752" i="11" s="1"/>
  <c r="AI3746" i="11"/>
  <c r="AJ3746" i="11" s="1"/>
  <c r="AI3763" i="11"/>
  <c r="AJ3763" i="11" s="1"/>
  <c r="AI3738" i="11"/>
  <c r="AJ3738" i="11" s="1"/>
  <c r="AI3698" i="11"/>
  <c r="AJ3698" i="11" s="1"/>
  <c r="AI3737" i="11"/>
  <c r="AJ3737" i="11" s="1"/>
  <c r="AI3773" i="11"/>
  <c r="AJ3773" i="11" s="1"/>
  <c r="AI3714" i="11"/>
  <c r="AJ3714" i="11" s="1"/>
  <c r="AF1538" i="11"/>
  <c r="AG1538" i="11" s="1"/>
  <c r="AF1267" i="11"/>
  <c r="AG1267" i="11" s="1"/>
  <c r="AK1552" i="11"/>
  <c r="AL1552" i="11" s="1"/>
  <c r="AD1033" i="11"/>
  <c r="AE1033" i="11" s="1"/>
  <c r="AF24" i="11"/>
  <c r="AG24" i="11" s="1"/>
  <c r="AK2897" i="11"/>
  <c r="AL2897" i="11" s="1"/>
  <c r="AF1189" i="11"/>
  <c r="AG1189" i="11" s="1"/>
  <c r="AK3412" i="11"/>
  <c r="AL3412" i="11" s="1"/>
  <c r="AK2825" i="11"/>
  <c r="AL2825" i="11" s="1"/>
  <c r="AD1435" i="11"/>
  <c r="AE1435" i="11" s="1"/>
  <c r="AD3496" i="11"/>
  <c r="AE3496" i="11" s="1"/>
  <c r="AI2402" i="11"/>
  <c r="AJ2402" i="11" s="1"/>
  <c r="AK2413" i="11"/>
  <c r="AL2413" i="11" s="1"/>
  <c r="AK2138" i="11"/>
  <c r="AL2138" i="11" s="1"/>
  <c r="AD2888" i="11"/>
  <c r="AE2888" i="11" s="1"/>
  <c r="AI2322" i="11"/>
  <c r="AJ2322" i="11" s="1"/>
  <c r="N281" i="54"/>
  <c r="AK2312" i="11"/>
  <c r="AL2312" i="11" s="1"/>
  <c r="AF2879" i="11"/>
  <c r="AG2879" i="11" s="1"/>
  <c r="AO2879" i="11" s="1"/>
  <c r="AF3547" i="11"/>
  <c r="AG3547" i="11" s="1"/>
  <c r="AD3033" i="11"/>
  <c r="AE3033" i="11" s="1"/>
  <c r="AI610" i="11"/>
  <c r="AJ610" i="11" s="1"/>
  <c r="AD2373" i="11"/>
  <c r="AE2373" i="11" s="1"/>
  <c r="AF646" i="11"/>
  <c r="AG646" i="11" s="1"/>
  <c r="AO646" i="11" s="1"/>
  <c r="AI3024" i="11"/>
  <c r="AJ3024" i="11" s="1"/>
  <c r="AI1363" i="11"/>
  <c r="AJ1363" i="11" s="1"/>
  <c r="AK2146" i="11"/>
  <c r="AL2146" i="11" s="1"/>
  <c r="AI3282" i="11"/>
  <c r="AJ3282" i="11" s="1"/>
  <c r="AI2796" i="11"/>
  <c r="AJ2796" i="11" s="1"/>
  <c r="AI213" i="11"/>
  <c r="AJ213" i="11" s="1"/>
  <c r="AK1999" i="11"/>
  <c r="AL1999" i="11" s="1"/>
  <c r="AK1070" i="11"/>
  <c r="AL1070" i="11" s="1"/>
  <c r="AI209" i="11"/>
  <c r="AJ209" i="11" s="1"/>
  <c r="AF287" i="11"/>
  <c r="AG287" i="11" s="1"/>
  <c r="AF312" i="11"/>
  <c r="AG312" i="11" s="1"/>
  <c r="AK3453" i="11"/>
  <c r="AL3453" i="11" s="1"/>
  <c r="AF156" i="11"/>
  <c r="AG156" i="11" s="1"/>
  <c r="AK3206" i="11"/>
  <c r="AL3206" i="11" s="1"/>
  <c r="AI1241" i="11"/>
  <c r="AJ1241" i="11" s="1"/>
  <c r="AI1201" i="11"/>
  <c r="AJ1201" i="11" s="1"/>
  <c r="AI1256" i="11"/>
  <c r="AJ1256" i="11" s="1"/>
  <c r="AI1178" i="11"/>
  <c r="AJ1178" i="11" s="1"/>
  <c r="AI1163" i="11"/>
  <c r="AJ1163" i="11" s="1"/>
  <c r="AI1192" i="11"/>
  <c r="AJ1192" i="11" s="1"/>
  <c r="AI1169" i="11"/>
  <c r="AJ1169" i="11" s="1"/>
  <c r="AI1200" i="11"/>
  <c r="AJ1200" i="11" s="1"/>
  <c r="AI1232" i="11"/>
  <c r="AJ1232" i="11" s="1"/>
  <c r="AI1198" i="11"/>
  <c r="AJ1198" i="11" s="1"/>
  <c r="AI1247" i="11"/>
  <c r="AJ1247" i="11" s="1"/>
  <c r="AI1166" i="11"/>
  <c r="AJ1166" i="11" s="1"/>
  <c r="AI1226" i="11"/>
  <c r="AJ1226" i="11" s="1"/>
  <c r="AI1227" i="11"/>
  <c r="AJ1227" i="11" s="1"/>
  <c r="AI1195" i="11"/>
  <c r="AJ1195" i="11" s="1"/>
  <c r="AI1261" i="11"/>
  <c r="AJ1261" i="11" s="1"/>
  <c r="AI1186" i="11"/>
  <c r="AJ1186" i="11" s="1"/>
  <c r="AI1187" i="11"/>
  <c r="AJ1187" i="11" s="1"/>
  <c r="AI1236" i="11"/>
  <c r="AJ1236" i="11" s="1"/>
  <c r="AI1231" i="11"/>
  <c r="AJ1231" i="11" s="1"/>
  <c r="AI1179" i="11"/>
  <c r="AJ1179" i="11" s="1"/>
  <c r="AI1219" i="11"/>
  <c r="AJ1219" i="11" s="1"/>
  <c r="AI1211" i="11"/>
  <c r="AJ1211" i="11" s="1"/>
  <c r="AI1233" i="11"/>
  <c r="AJ1233" i="11" s="1"/>
  <c r="AI1214" i="11"/>
  <c r="AJ1214" i="11" s="1"/>
  <c r="AI1246" i="11"/>
  <c r="AJ1246" i="11" s="1"/>
  <c r="AI1209" i="11"/>
  <c r="AJ1209" i="11" s="1"/>
  <c r="AI1174" i="11"/>
  <c r="AJ1174" i="11" s="1"/>
  <c r="AI1199" i="11"/>
  <c r="AJ1199" i="11" s="1"/>
  <c r="AI1205" i="11"/>
  <c r="AJ1205" i="11" s="1"/>
  <c r="AI1212" i="11"/>
  <c r="AJ1212" i="11" s="1"/>
  <c r="AI1203" i="11"/>
  <c r="AJ1203" i="11" s="1"/>
  <c r="AI1251" i="11"/>
  <c r="AJ1251" i="11" s="1"/>
  <c r="AI1181" i="11"/>
  <c r="AJ1181" i="11" s="1"/>
  <c r="AI1224" i="11"/>
  <c r="AJ1224" i="11" s="1"/>
  <c r="AI1223" i="11"/>
  <c r="AJ1223" i="11" s="1"/>
  <c r="AI1228" i="11"/>
  <c r="AJ1228" i="11" s="1"/>
  <c r="AI1172" i="11"/>
  <c r="AJ1172" i="11" s="1"/>
  <c r="AI1250" i="11"/>
  <c r="AJ1250" i="11" s="1"/>
  <c r="AI1220" i="11"/>
  <c r="AJ1220" i="11" s="1"/>
  <c r="AI1161" i="11"/>
  <c r="AJ1161" i="11" s="1"/>
  <c r="AI1248" i="11"/>
  <c r="AJ1248" i="11" s="1"/>
  <c r="AI1193" i="11"/>
  <c r="AJ1193" i="11" s="1"/>
  <c r="AI1188" i="11"/>
  <c r="AJ1188" i="11" s="1"/>
  <c r="AI1162" i="11"/>
  <c r="AJ1162" i="11" s="1"/>
  <c r="AI1206" i="11"/>
  <c r="AJ1206" i="11" s="1"/>
  <c r="AI1202" i="11"/>
  <c r="AJ1202" i="11" s="1"/>
  <c r="AI1258" i="11"/>
  <c r="AJ1258" i="11" s="1"/>
  <c r="AI1207" i="11"/>
  <c r="AJ1207" i="11" s="1"/>
  <c r="AI1177" i="11"/>
  <c r="AJ1177" i="11" s="1"/>
  <c r="AI1264" i="11"/>
  <c r="AJ1264" i="11" s="1"/>
  <c r="AI1173" i="11"/>
  <c r="AJ1173" i="11" s="1"/>
  <c r="AI1252" i="11"/>
  <c r="AJ1252" i="11" s="1"/>
  <c r="AI1235" i="11"/>
  <c r="AJ1235" i="11" s="1"/>
  <c r="AI1260" i="11"/>
  <c r="AJ1260" i="11" s="1"/>
  <c r="AI1165" i="11"/>
  <c r="AJ1165" i="11" s="1"/>
  <c r="AI1197" i="11"/>
  <c r="AJ1197" i="11" s="1"/>
  <c r="AI1167" i="11"/>
  <c r="AJ1167" i="11" s="1"/>
  <c r="AI1168" i="11"/>
  <c r="AJ1168" i="11" s="1"/>
  <c r="AI1225" i="11"/>
  <c r="AJ1225" i="11" s="1"/>
  <c r="AI1245" i="11"/>
  <c r="AJ1245" i="11" s="1"/>
  <c r="AI1175" i="11"/>
  <c r="AJ1175" i="11" s="1"/>
  <c r="AN1175" i="11" s="1"/>
  <c r="AI1217" i="11"/>
  <c r="AJ1217" i="11" s="1"/>
  <c r="AI1259" i="11"/>
  <c r="AJ1259" i="11" s="1"/>
  <c r="AI1204" i="11"/>
  <c r="AJ1204" i="11" s="1"/>
  <c r="AI1213" i="11"/>
  <c r="AJ1213" i="11" s="1"/>
  <c r="AI1170" i="11"/>
  <c r="AJ1170" i="11" s="1"/>
  <c r="AI1160" i="11"/>
  <c r="AJ1160" i="11" s="1"/>
  <c r="AI1182" i="11"/>
  <c r="AJ1182" i="11" s="1"/>
  <c r="AI1185" i="11"/>
  <c r="AJ1185" i="11" s="1"/>
  <c r="AI1253" i="11"/>
  <c r="AJ1253" i="11" s="1"/>
  <c r="AI1237" i="11"/>
  <c r="AJ1237" i="11" s="1"/>
  <c r="AI1244" i="11"/>
  <c r="AJ1244" i="11" s="1"/>
  <c r="AI1239" i="11"/>
  <c r="AJ1239" i="11" s="1"/>
  <c r="AI1255" i="11"/>
  <c r="AJ1255" i="11" s="1"/>
  <c r="AI1243" i="11"/>
  <c r="AJ1243" i="11" s="1"/>
  <c r="AI1216" i="11"/>
  <c r="AJ1216" i="11" s="1"/>
  <c r="AI1184" i="11"/>
  <c r="AJ1184" i="11" s="1"/>
  <c r="AI1254" i="11"/>
  <c r="AJ1254" i="11" s="1"/>
  <c r="AI1238" i="11"/>
  <c r="AJ1238" i="11" s="1"/>
  <c r="AI1249" i="11"/>
  <c r="AJ1249" i="11" s="1"/>
  <c r="AI1210" i="11"/>
  <c r="AJ1210" i="11" s="1"/>
  <c r="AI1189" i="11"/>
  <c r="AJ1189" i="11" s="1"/>
  <c r="AI1242" i="11"/>
  <c r="AJ1242" i="11" s="1"/>
  <c r="AI1262" i="11"/>
  <c r="AJ1262" i="11" s="1"/>
  <c r="AI1191" i="11"/>
  <c r="AJ1191" i="11" s="1"/>
  <c r="AI1196" i="11"/>
  <c r="AJ1196" i="11" s="1"/>
  <c r="AI1171" i="11"/>
  <c r="AJ1171" i="11" s="1"/>
  <c r="AI1234" i="11"/>
  <c r="AJ1234" i="11" s="1"/>
  <c r="AI1176" i="11"/>
  <c r="AJ1176" i="11" s="1"/>
  <c r="AI1208" i="11"/>
  <c r="AJ1208" i="11" s="1"/>
  <c r="AI1218" i="11"/>
  <c r="AJ1218" i="11" s="1"/>
  <c r="AI1257" i="11"/>
  <c r="AJ1257" i="11" s="1"/>
  <c r="AI1222" i="11"/>
  <c r="AJ1222" i="11" s="1"/>
  <c r="AI1229" i="11"/>
  <c r="AJ1229" i="11" s="1"/>
  <c r="AI1183" i="11"/>
  <c r="AJ1183" i="11" s="1"/>
  <c r="AI1263" i="11"/>
  <c r="AJ1263" i="11" s="1"/>
  <c r="AI3237" i="11"/>
  <c r="AJ3237" i="11" s="1"/>
  <c r="AK3129" i="11"/>
  <c r="AL3129" i="11" s="1"/>
  <c r="AF1844" i="11"/>
  <c r="AG1844" i="11" s="1"/>
  <c r="AO1844" i="11" s="1"/>
  <c r="AF3441" i="11"/>
  <c r="AG3441" i="11" s="1"/>
  <c r="AI2904" i="11"/>
  <c r="AJ2904" i="11" s="1"/>
  <c r="AF675" i="11"/>
  <c r="AG675" i="11" s="1"/>
  <c r="AO675" i="11" s="1"/>
  <c r="AD2355" i="11"/>
  <c r="AE2355" i="11" s="1"/>
  <c r="AF79" i="11"/>
  <c r="AG79" i="11" s="1"/>
  <c r="AF439" i="11"/>
  <c r="AG439" i="11" s="1"/>
  <c r="AD1407" i="11"/>
  <c r="AE1407" i="11" s="1"/>
  <c r="AI3537" i="11"/>
  <c r="AJ3537" i="11" s="1"/>
  <c r="AK2947" i="11"/>
  <c r="AL2947" i="11" s="1"/>
  <c r="AI2883" i="11"/>
  <c r="AJ2883" i="11" s="1"/>
  <c r="AK3120" i="11"/>
  <c r="AL3120" i="11" s="1"/>
  <c r="AI1122" i="11"/>
  <c r="AJ1122" i="11" s="1"/>
  <c r="AD1123" i="11"/>
  <c r="AE1123" i="11" s="1"/>
  <c r="AK1829" i="11"/>
  <c r="AL1829" i="11" s="1"/>
  <c r="AI3614" i="11"/>
  <c r="AJ3614" i="11" s="1"/>
  <c r="AD3654" i="11"/>
  <c r="AE3654" i="11" s="1"/>
  <c r="AI297" i="11"/>
  <c r="AJ297" i="11" s="1"/>
  <c r="AF3071" i="11"/>
  <c r="AG3071" i="11" s="1"/>
  <c r="AO3071" i="11" s="1"/>
  <c r="AD1648" i="11"/>
  <c r="AE1648" i="11" s="1"/>
  <c r="AI1180" i="11"/>
  <c r="AJ1180" i="11" s="1"/>
  <c r="AK734" i="11"/>
  <c r="AL734" i="11" s="1"/>
  <c r="AF1813" i="11"/>
  <c r="AG1813" i="11" s="1"/>
  <c r="AO1813" i="11" s="1"/>
  <c r="AK301" i="11"/>
  <c r="AL301" i="11" s="1"/>
  <c r="AF3079" i="11"/>
  <c r="AG3079" i="11" s="1"/>
  <c r="AO3079" i="11" s="1"/>
  <c r="AF1447" i="11"/>
  <c r="AG1447" i="11" s="1"/>
  <c r="AK2970" i="11"/>
  <c r="AL2970" i="11" s="1"/>
  <c r="AD274" i="11"/>
  <c r="AE274" i="11" s="1"/>
  <c r="AF1473" i="11"/>
  <c r="AG1473" i="11" s="1"/>
  <c r="AI220" i="11"/>
  <c r="AJ220" i="11" s="1"/>
  <c r="AI618" i="11"/>
  <c r="AJ618" i="11" s="1"/>
  <c r="AF2667" i="11"/>
  <c r="AG2667" i="11" s="1"/>
  <c r="AD3340" i="11"/>
  <c r="AE3340" i="11" s="1"/>
  <c r="AD752" i="11"/>
  <c r="AE752" i="11" s="1"/>
  <c r="AD459" i="11"/>
  <c r="AE459" i="11" s="1"/>
  <c r="AI3020" i="11"/>
  <c r="AJ3020" i="11" s="1"/>
  <c r="AD3311" i="11"/>
  <c r="AE3311" i="11" s="1"/>
  <c r="AI2132" i="11"/>
  <c r="AJ2132" i="11" s="1"/>
  <c r="AD1275" i="11"/>
  <c r="AE1275" i="11" s="1"/>
  <c r="AN1275" i="11" s="1"/>
  <c r="AD3184" i="11"/>
  <c r="AE3184" i="11" s="1"/>
  <c r="AF1586" i="11"/>
  <c r="AG1586" i="11" s="1"/>
  <c r="AD1356" i="11"/>
  <c r="AE1356" i="11" s="1"/>
  <c r="AN1356" i="11" s="1"/>
  <c r="AF31" i="11"/>
  <c r="AG31" i="11" s="1"/>
  <c r="AF7" i="11"/>
  <c r="AG7" i="11" s="1"/>
  <c r="AD2167" i="11"/>
  <c r="AE2167" i="11" s="1"/>
  <c r="AF1841" i="11"/>
  <c r="AG1841" i="11" s="1"/>
  <c r="AF2588" i="11"/>
  <c r="AG2588" i="11" s="1"/>
  <c r="AD444" i="11"/>
  <c r="AE444" i="11" s="1"/>
  <c r="AI2211" i="11"/>
  <c r="AJ2211" i="11" s="1"/>
  <c r="AD1105" i="11"/>
  <c r="AE1105" i="11" s="1"/>
  <c r="AD447" i="11"/>
  <c r="AE447" i="11" s="1"/>
  <c r="AI2981" i="11"/>
  <c r="AJ2981" i="11" s="1"/>
  <c r="AD2169" i="11"/>
  <c r="AE2169" i="11" s="1"/>
  <c r="AI1754" i="11"/>
  <c r="AJ1754" i="11" s="1"/>
  <c r="AF2597" i="11"/>
  <c r="AG2597" i="11" s="1"/>
  <c r="AF275" i="11"/>
  <c r="AG275" i="11" s="1"/>
  <c r="AD3686" i="11"/>
  <c r="AE3686" i="11" s="1"/>
  <c r="AD3623" i="11"/>
  <c r="AE3623" i="11" s="1"/>
  <c r="AN3623" i="11" s="1"/>
  <c r="AF176" i="11"/>
  <c r="AG176" i="11" s="1"/>
  <c r="AD2955" i="11"/>
  <c r="AE2955" i="11" s="1"/>
  <c r="AK2112" i="11"/>
  <c r="AL2112" i="11" s="1"/>
  <c r="O198" i="54"/>
  <c r="AK812" i="11"/>
  <c r="AL812" i="11" s="1"/>
  <c r="AI1644" i="11"/>
  <c r="AJ1644" i="11" s="1"/>
  <c r="AD3358" i="11"/>
  <c r="AE3358" i="11" s="1"/>
  <c r="AF2428" i="11"/>
  <c r="AG2428" i="11" s="1"/>
  <c r="AK836" i="11"/>
  <c r="AL836" i="11" s="1"/>
  <c r="AK230" i="11"/>
  <c r="AL230" i="11" s="1"/>
  <c r="AF2115" i="11"/>
  <c r="AG2115" i="11" s="1"/>
  <c r="AF682" i="11"/>
  <c r="AG682" i="11" s="1"/>
  <c r="AI1765" i="11"/>
  <c r="AJ1765" i="11" s="1"/>
  <c r="AK3823" i="11"/>
  <c r="AL3823" i="11" s="1"/>
  <c r="AK1957" i="11"/>
  <c r="AL1957" i="11" s="1"/>
  <c r="AD2579" i="11"/>
  <c r="AE2579" i="11" s="1"/>
  <c r="AI2199" i="11"/>
  <c r="AJ2199" i="11" s="1"/>
  <c r="AF86" i="11"/>
  <c r="AG86" i="11" s="1"/>
  <c r="AI2732" i="11"/>
  <c r="AJ2732" i="11" s="1"/>
  <c r="AD2202" i="11"/>
  <c r="AE2202" i="11" s="1"/>
  <c r="AD437" i="11"/>
  <c r="AE437" i="11" s="1"/>
  <c r="AK620" i="11"/>
  <c r="AL620" i="11" s="1"/>
  <c r="AO620" i="11" s="1"/>
  <c r="AF290" i="11"/>
  <c r="AG290" i="11" s="1"/>
  <c r="AD2632" i="11"/>
  <c r="AE2632" i="11" s="1"/>
  <c r="AF2620" i="11"/>
  <c r="AG2620" i="11" s="1"/>
  <c r="AF2796" i="11"/>
  <c r="AG2796" i="11" s="1"/>
  <c r="AO2796" i="11" s="1"/>
  <c r="AD3866" i="11"/>
  <c r="AE3866" i="11" s="1"/>
  <c r="AD3802" i="11"/>
  <c r="AE3802" i="11" s="1"/>
  <c r="AD3820" i="11"/>
  <c r="AE3820" i="11" s="1"/>
  <c r="AD3812" i="11"/>
  <c r="AE3812" i="11" s="1"/>
  <c r="AD3829" i="11"/>
  <c r="AE3829" i="11" s="1"/>
  <c r="AD3822" i="11"/>
  <c r="AE3822" i="11" s="1"/>
  <c r="AD3785" i="11"/>
  <c r="AE3785" i="11" s="1"/>
  <c r="AD3805" i="11"/>
  <c r="AE3805" i="11" s="1"/>
  <c r="AD3882" i="11"/>
  <c r="AE3882" i="11" s="1"/>
  <c r="AD3887" i="11"/>
  <c r="AE3887" i="11" s="1"/>
  <c r="AD3815" i="11"/>
  <c r="AE3815" i="11" s="1"/>
  <c r="AD3825" i="11"/>
  <c r="AE3825" i="11" s="1"/>
  <c r="AD3886" i="11"/>
  <c r="AE3886" i="11" s="1"/>
  <c r="AD3788" i="11"/>
  <c r="AE3788" i="11" s="1"/>
  <c r="AD3854" i="11"/>
  <c r="AE3854" i="11" s="1"/>
  <c r="AD3835" i="11"/>
  <c r="AE3835" i="11" s="1"/>
  <c r="AD3837" i="11"/>
  <c r="AE3837" i="11" s="1"/>
  <c r="AD3790" i="11"/>
  <c r="AE3790" i="11" s="1"/>
  <c r="AD3789" i="11"/>
  <c r="AE3789" i="11" s="1"/>
  <c r="AD3878" i="11"/>
  <c r="AE3878" i="11" s="1"/>
  <c r="AD3876" i="11"/>
  <c r="AE3876" i="11" s="1"/>
  <c r="AD3872" i="11"/>
  <c r="AE3872" i="11" s="1"/>
  <c r="AD3885" i="11"/>
  <c r="AE3885" i="11" s="1"/>
  <c r="AD3880" i="11"/>
  <c r="AE3880" i="11" s="1"/>
  <c r="AD3817" i="11"/>
  <c r="AE3817" i="11" s="1"/>
  <c r="AD3870" i="11"/>
  <c r="AE3870" i="11" s="1"/>
  <c r="AD3834" i="11"/>
  <c r="AE3834" i="11" s="1"/>
  <c r="AD3889" i="11"/>
  <c r="AE3889" i="11" s="1"/>
  <c r="AD3840" i="11"/>
  <c r="AE3840" i="11" s="1"/>
  <c r="AD3848" i="11"/>
  <c r="AE3848" i="11" s="1"/>
  <c r="AD3795" i="11"/>
  <c r="AE3795" i="11" s="1"/>
  <c r="AD3798" i="11"/>
  <c r="AE3798" i="11" s="1"/>
  <c r="AD3868" i="11"/>
  <c r="AE3868" i="11" s="1"/>
  <c r="AD3813" i="11"/>
  <c r="AE3813" i="11" s="1"/>
  <c r="AD3857" i="11"/>
  <c r="AE3857" i="11" s="1"/>
  <c r="AD3828" i="11"/>
  <c r="AE3828" i="11" s="1"/>
  <c r="AD3873" i="11"/>
  <c r="AE3873" i="11" s="1"/>
  <c r="AD3804" i="11"/>
  <c r="AE3804" i="11" s="1"/>
  <c r="AD3809" i="11"/>
  <c r="AE3809" i="11" s="1"/>
  <c r="AD3816" i="11"/>
  <c r="AE3816" i="11" s="1"/>
  <c r="AD3814" i="11"/>
  <c r="AE3814" i="11" s="1"/>
  <c r="AD3831" i="11"/>
  <c r="AE3831" i="11" s="1"/>
  <c r="AD3867" i="11"/>
  <c r="AE3867" i="11" s="1"/>
  <c r="AD3883" i="11"/>
  <c r="AE3883" i="11" s="1"/>
  <c r="AD3879" i="11"/>
  <c r="AE3879" i="11" s="1"/>
  <c r="AD3821" i="11"/>
  <c r="AE3821" i="11" s="1"/>
  <c r="AD3844" i="11"/>
  <c r="AE3844" i="11" s="1"/>
  <c r="AD3884" i="11"/>
  <c r="AE3884" i="11" s="1"/>
  <c r="AD3819" i="11"/>
  <c r="AE3819" i="11" s="1"/>
  <c r="AD3833" i="11"/>
  <c r="AE3833" i="11" s="1"/>
  <c r="AD3786" i="11"/>
  <c r="AE3786" i="11" s="1"/>
  <c r="AD3823" i="11"/>
  <c r="AE3823" i="11" s="1"/>
  <c r="AD3793" i="11"/>
  <c r="AE3793" i="11" s="1"/>
  <c r="AD3808" i="11"/>
  <c r="AE3808" i="11" s="1"/>
  <c r="AN3808" i="11" s="1"/>
  <c r="AD3841" i="11"/>
  <c r="AE3841" i="11" s="1"/>
  <c r="AD3826" i="11"/>
  <c r="AE3826" i="11" s="1"/>
  <c r="AD3806" i="11"/>
  <c r="AE3806" i="11" s="1"/>
  <c r="AD3851" i="11"/>
  <c r="AE3851" i="11" s="1"/>
  <c r="AD3852" i="11"/>
  <c r="AE3852" i="11" s="1"/>
  <c r="AD3888" i="11"/>
  <c r="AE3888" i="11" s="1"/>
  <c r="AD3799" i="11"/>
  <c r="AE3799" i="11" s="1"/>
  <c r="AD3855" i="11"/>
  <c r="AE3855" i="11" s="1"/>
  <c r="AD3796" i="11"/>
  <c r="AE3796" i="11" s="1"/>
  <c r="AD3830" i="11"/>
  <c r="AE3830" i="11" s="1"/>
  <c r="AN3830" i="11" s="1"/>
  <c r="AD3853" i="11"/>
  <c r="AE3853" i="11" s="1"/>
  <c r="AD3846" i="11"/>
  <c r="AE3846" i="11" s="1"/>
  <c r="AD3881" i="11"/>
  <c r="AE3881" i="11" s="1"/>
  <c r="AD3859" i="11"/>
  <c r="AE3859" i="11" s="1"/>
  <c r="N181" i="54"/>
  <c r="AD3797" i="11"/>
  <c r="AE3797" i="11" s="1"/>
  <c r="AD3861" i="11"/>
  <c r="AE3861" i="11" s="1"/>
  <c r="AD3862" i="11"/>
  <c r="AE3862" i="11" s="1"/>
  <c r="AD3858" i="11"/>
  <c r="AE3858" i="11" s="1"/>
  <c r="AD3849" i="11"/>
  <c r="AE3849" i="11" s="1"/>
  <c r="AD3787" i="11"/>
  <c r="AE3787" i="11" s="1"/>
  <c r="AD3845" i="11"/>
  <c r="AE3845" i="11" s="1"/>
  <c r="AD3792" i="11"/>
  <c r="AE3792" i="11" s="1"/>
  <c r="AD3839" i="11"/>
  <c r="AE3839" i="11" s="1"/>
  <c r="AD3810" i="11"/>
  <c r="AE3810" i="11" s="1"/>
  <c r="AD3842" i="11"/>
  <c r="AE3842" i="11" s="1"/>
  <c r="AD3811" i="11"/>
  <c r="AE3811" i="11" s="1"/>
  <c r="AD3824" i="11"/>
  <c r="AE3824" i="11" s="1"/>
  <c r="AD3850" i="11"/>
  <c r="AE3850" i="11" s="1"/>
  <c r="AD3818" i="11"/>
  <c r="AE3818" i="11" s="1"/>
  <c r="AN3818" i="11" s="1"/>
  <c r="AD3791" i="11"/>
  <c r="AE3791" i="11" s="1"/>
  <c r="AD3803" i="11"/>
  <c r="AE3803" i="11" s="1"/>
  <c r="AD3874" i="11"/>
  <c r="AE3874" i="11" s="1"/>
  <c r="AD3864" i="11"/>
  <c r="AE3864" i="11" s="1"/>
  <c r="AD3827" i="11"/>
  <c r="AE3827" i="11" s="1"/>
  <c r="AD3832" i="11"/>
  <c r="AE3832" i="11" s="1"/>
  <c r="AD3875" i="11"/>
  <c r="AE3875" i="11" s="1"/>
  <c r="AD3863" i="11"/>
  <c r="AE3863" i="11" s="1"/>
  <c r="AD3836" i="11"/>
  <c r="AE3836" i="11" s="1"/>
  <c r="N127" i="54"/>
  <c r="AD1001" i="11"/>
  <c r="AE1001" i="11" s="1"/>
  <c r="AD1048" i="11"/>
  <c r="AE1048" i="11" s="1"/>
  <c r="AD979" i="11"/>
  <c r="AE979" i="11" s="1"/>
  <c r="AD993" i="11"/>
  <c r="AE993" i="11" s="1"/>
  <c r="AD991" i="11"/>
  <c r="AE991" i="11" s="1"/>
  <c r="AD1002" i="11"/>
  <c r="AE1002" i="11" s="1"/>
  <c r="AD1042" i="11"/>
  <c r="AE1042" i="11" s="1"/>
  <c r="AD1041" i="11"/>
  <c r="AE1041" i="11" s="1"/>
  <c r="AD967" i="11"/>
  <c r="AE967" i="11" s="1"/>
  <c r="AD998" i="11"/>
  <c r="AE998" i="11" s="1"/>
  <c r="AD983" i="11"/>
  <c r="AE983" i="11" s="1"/>
  <c r="AD1011" i="11"/>
  <c r="AE1011" i="11" s="1"/>
  <c r="AD1044" i="11"/>
  <c r="AE1044" i="11" s="1"/>
  <c r="AD950" i="11"/>
  <c r="AE950" i="11" s="1"/>
  <c r="AD1024" i="11"/>
  <c r="AE1024" i="11" s="1"/>
  <c r="AD1021" i="11"/>
  <c r="AE1021" i="11" s="1"/>
  <c r="AD981" i="11"/>
  <c r="AE981" i="11" s="1"/>
  <c r="AD1038" i="11"/>
  <c r="AE1038" i="11" s="1"/>
  <c r="AD963" i="11"/>
  <c r="AE963" i="11" s="1"/>
  <c r="AD1018" i="11"/>
  <c r="AE1018" i="11" s="1"/>
  <c r="AD977" i="11"/>
  <c r="AE977" i="11" s="1"/>
  <c r="AD1034" i="11"/>
  <c r="AE1034" i="11" s="1"/>
  <c r="AD1050" i="11"/>
  <c r="AE1050" i="11" s="1"/>
  <c r="AD974" i="11"/>
  <c r="AE974" i="11" s="1"/>
  <c r="AD1004" i="11"/>
  <c r="AE1004" i="11" s="1"/>
  <c r="AD1008" i="11"/>
  <c r="AE1008" i="11" s="1"/>
  <c r="AD984" i="11"/>
  <c r="AE984" i="11" s="1"/>
  <c r="AD1047" i="11"/>
  <c r="AE1047" i="11" s="1"/>
  <c r="AD990" i="11"/>
  <c r="AE990" i="11" s="1"/>
  <c r="AD988" i="11"/>
  <c r="AE988" i="11" s="1"/>
  <c r="AD994" i="11"/>
  <c r="AE994" i="11" s="1"/>
  <c r="AD960" i="11"/>
  <c r="AE960" i="11" s="1"/>
  <c r="AD1028" i="11"/>
  <c r="AE1028" i="11" s="1"/>
  <c r="AD971" i="11"/>
  <c r="AE971" i="11" s="1"/>
  <c r="AN971" i="11" s="1"/>
  <c r="AD951" i="11"/>
  <c r="AE951" i="11" s="1"/>
  <c r="AD1035" i="11"/>
  <c r="AE1035" i="11" s="1"/>
  <c r="AD1043" i="11"/>
  <c r="AE1043" i="11" s="1"/>
  <c r="AD1032" i="11"/>
  <c r="AE1032" i="11" s="1"/>
  <c r="AD980" i="11"/>
  <c r="AE980" i="11" s="1"/>
  <c r="AD985" i="11"/>
  <c r="AE985" i="11" s="1"/>
  <c r="AD952" i="11"/>
  <c r="AE952" i="11" s="1"/>
  <c r="AD1046" i="11"/>
  <c r="AE1046" i="11" s="1"/>
  <c r="AD1029" i="11"/>
  <c r="AE1029" i="11" s="1"/>
  <c r="AD1025" i="11"/>
  <c r="AE1025" i="11" s="1"/>
  <c r="AD1009" i="11"/>
  <c r="AE1009" i="11" s="1"/>
  <c r="AD1000" i="11"/>
  <c r="AE1000" i="11" s="1"/>
  <c r="AD955" i="11"/>
  <c r="AE955" i="11" s="1"/>
  <c r="AD978" i="11"/>
  <c r="AE978" i="11" s="1"/>
  <c r="AD986" i="11"/>
  <c r="AE986" i="11" s="1"/>
  <c r="AD999" i="11"/>
  <c r="AE999" i="11" s="1"/>
  <c r="AD1036" i="11"/>
  <c r="AE1036" i="11" s="1"/>
  <c r="AD1007" i="11"/>
  <c r="AE1007" i="11" s="1"/>
  <c r="AD972" i="11"/>
  <c r="AE972" i="11" s="1"/>
  <c r="AD975" i="11"/>
  <c r="AE975" i="11" s="1"/>
  <c r="AD1045" i="11"/>
  <c r="AE1045" i="11" s="1"/>
  <c r="AD964" i="11"/>
  <c r="AE964" i="11" s="1"/>
  <c r="AD1019" i="11"/>
  <c r="AE1019" i="11" s="1"/>
  <c r="AD995" i="11"/>
  <c r="AE995" i="11" s="1"/>
  <c r="AD996" i="11"/>
  <c r="AE996" i="11" s="1"/>
  <c r="AD982" i="11"/>
  <c r="AE982" i="11" s="1"/>
  <c r="AD1039" i="11"/>
  <c r="AE1039" i="11" s="1"/>
  <c r="AD1016" i="11"/>
  <c r="AE1016" i="11" s="1"/>
  <c r="AD1006" i="11"/>
  <c r="AE1006" i="11" s="1"/>
  <c r="AD957" i="11"/>
  <c r="AE957" i="11" s="1"/>
  <c r="AD956" i="11"/>
  <c r="AE956" i="11" s="1"/>
  <c r="AD1051" i="11"/>
  <c r="AE1051" i="11" s="1"/>
  <c r="AD1031" i="11"/>
  <c r="AE1031" i="11" s="1"/>
  <c r="AD1014" i="11"/>
  <c r="AE1014" i="11" s="1"/>
  <c r="AD965" i="11"/>
  <c r="AE965" i="11" s="1"/>
  <c r="AN965" i="11" s="1"/>
  <c r="N193" i="54"/>
  <c r="AD989" i="11"/>
  <c r="AE989" i="11" s="1"/>
  <c r="AD966" i="11"/>
  <c r="AE966" i="11" s="1"/>
  <c r="AD1040" i="11"/>
  <c r="AE1040" i="11" s="1"/>
  <c r="AD1022" i="11"/>
  <c r="AE1022" i="11" s="1"/>
  <c r="AD961" i="11"/>
  <c r="AE961" i="11" s="1"/>
  <c r="AD987" i="11"/>
  <c r="AE987" i="11" s="1"/>
  <c r="AD1003" i="11"/>
  <c r="AE1003" i="11" s="1"/>
  <c r="AD968" i="11"/>
  <c r="AE968" i="11" s="1"/>
  <c r="AD1027" i="11"/>
  <c r="AE1027" i="11" s="1"/>
  <c r="AD1054" i="11"/>
  <c r="AE1054" i="11" s="1"/>
  <c r="AD954" i="11"/>
  <c r="AE954" i="11" s="1"/>
  <c r="AD992" i="11"/>
  <c r="AE992" i="11" s="1"/>
  <c r="AD1037" i="11"/>
  <c r="AE1037" i="11" s="1"/>
  <c r="AD969" i="11"/>
  <c r="AE969" i="11" s="1"/>
  <c r="AD1015" i="11"/>
  <c r="AE1015" i="11" s="1"/>
  <c r="AD1030" i="11"/>
  <c r="AE1030" i="11" s="1"/>
  <c r="AD959" i="11"/>
  <c r="AE959" i="11" s="1"/>
  <c r="AD997" i="11"/>
  <c r="AE997" i="11" s="1"/>
  <c r="AD953" i="11"/>
  <c r="AE953" i="11" s="1"/>
  <c r="AD1023" i="11"/>
  <c r="AE1023" i="11" s="1"/>
  <c r="AD962" i="11"/>
  <c r="AE962" i="11" s="1"/>
  <c r="AD1020" i="11"/>
  <c r="AE1020" i="11" s="1"/>
  <c r="AD976" i="11"/>
  <c r="AE976" i="11" s="1"/>
  <c r="AD1026" i="11"/>
  <c r="AE1026" i="11" s="1"/>
  <c r="AD1052" i="11"/>
  <c r="AE1052" i="11" s="1"/>
  <c r="AD1012" i="11"/>
  <c r="AE1012" i="11" s="1"/>
  <c r="AD2525" i="11"/>
  <c r="AE2525" i="11" s="1"/>
  <c r="P82" i="54"/>
  <c r="AD288" i="11"/>
  <c r="AE288" i="11" s="1"/>
  <c r="AN288" i="11" s="1"/>
  <c r="AD315" i="11"/>
  <c r="AE315" i="11" s="1"/>
  <c r="AD224" i="11"/>
  <c r="AE224" i="11" s="1"/>
  <c r="AN224" i="11" s="1"/>
  <c r="AD265" i="11"/>
  <c r="AE265" i="11" s="1"/>
  <c r="AD297" i="11"/>
  <c r="AE297" i="11" s="1"/>
  <c r="AD298" i="11"/>
  <c r="AE298" i="11" s="1"/>
  <c r="AD242" i="11"/>
  <c r="AE242" i="11" s="1"/>
  <c r="AD254" i="11"/>
  <c r="AE254" i="11" s="1"/>
  <c r="AD222" i="11"/>
  <c r="AE222" i="11" s="1"/>
  <c r="AD306" i="11"/>
  <c r="AE306" i="11" s="1"/>
  <c r="AD219" i="11"/>
  <c r="AE219" i="11" s="1"/>
  <c r="AD251" i="11"/>
  <c r="AE251" i="11" s="1"/>
  <c r="AD301" i="11"/>
  <c r="AE301" i="11" s="1"/>
  <c r="AN301" i="11" s="1"/>
  <c r="AD228" i="11"/>
  <c r="AE228" i="11" s="1"/>
  <c r="AD293" i="11"/>
  <c r="AE293" i="11" s="1"/>
  <c r="AN293" i="11" s="1"/>
  <c r="AD217" i="11"/>
  <c r="AE217" i="11" s="1"/>
  <c r="AD276" i="11"/>
  <c r="AE276" i="11" s="1"/>
  <c r="AD227" i="11"/>
  <c r="AE227" i="11" s="1"/>
  <c r="AN227" i="11" s="1"/>
  <c r="AD257" i="11"/>
  <c r="AE257" i="11" s="1"/>
  <c r="AD225" i="11"/>
  <c r="AE225" i="11" s="1"/>
  <c r="AD270" i="11"/>
  <c r="AE270" i="11" s="1"/>
  <c r="AD302" i="11"/>
  <c r="AE302" i="11" s="1"/>
  <c r="AD279" i="11"/>
  <c r="AE279" i="11" s="1"/>
  <c r="AD245" i="11"/>
  <c r="AE245" i="11" s="1"/>
  <c r="AD319" i="11"/>
  <c r="AE319" i="11" s="1"/>
  <c r="AN319" i="11" s="1"/>
  <c r="AD316" i="11"/>
  <c r="AE316" i="11" s="1"/>
  <c r="AD263" i="11"/>
  <c r="AE263" i="11" s="1"/>
  <c r="AD299" i="11"/>
  <c r="AE299" i="11" s="1"/>
  <c r="AD311" i="11"/>
  <c r="AE311" i="11" s="1"/>
  <c r="AD305" i="11"/>
  <c r="AE305" i="11" s="1"/>
  <c r="AD238" i="11"/>
  <c r="AE238" i="11" s="1"/>
  <c r="AD241" i="11"/>
  <c r="AE241" i="11" s="1"/>
  <c r="AD272" i="11"/>
  <c r="AE272" i="11" s="1"/>
  <c r="AD317" i="11"/>
  <c r="AE317" i="11" s="1"/>
  <c r="AD259" i="11"/>
  <c r="AE259" i="11" s="1"/>
  <c r="AD292" i="11"/>
  <c r="AE292" i="11" s="1"/>
  <c r="AD235" i="11"/>
  <c r="AE235" i="11" s="1"/>
  <c r="AD249" i="11"/>
  <c r="AE249" i="11" s="1"/>
  <c r="AD318" i="11"/>
  <c r="AE318" i="11" s="1"/>
  <c r="AD236" i="11"/>
  <c r="AE236" i="11" s="1"/>
  <c r="AD231" i="11"/>
  <c r="AE231" i="11" s="1"/>
  <c r="AN231" i="11" s="1"/>
  <c r="AD285" i="11"/>
  <c r="AE285" i="11" s="1"/>
  <c r="AD300" i="11"/>
  <c r="AE300" i="11" s="1"/>
  <c r="AD216" i="11"/>
  <c r="AE216" i="11" s="1"/>
  <c r="AD273" i="11"/>
  <c r="AE273" i="11" s="1"/>
  <c r="AD244" i="11"/>
  <c r="AE244" i="11" s="1"/>
  <c r="AD267" i="11"/>
  <c r="AE267" i="11" s="1"/>
  <c r="AD313" i="11"/>
  <c r="AE313" i="11" s="1"/>
  <c r="AD218" i="11"/>
  <c r="AE218" i="11" s="1"/>
  <c r="AN218" i="11" s="1"/>
  <c r="AD264" i="11"/>
  <c r="AE264" i="11" s="1"/>
  <c r="AD277" i="11"/>
  <c r="AE277" i="11" s="1"/>
  <c r="AD260" i="11"/>
  <c r="AE260" i="11" s="1"/>
  <c r="AD247" i="11"/>
  <c r="AE247" i="11" s="1"/>
  <c r="AD282" i="11"/>
  <c r="AE282" i="11" s="1"/>
  <c r="AN282" i="11" s="1"/>
  <c r="AD287" i="11"/>
  <c r="AE287" i="11" s="1"/>
  <c r="AD223" i="11"/>
  <c r="AE223" i="11" s="1"/>
  <c r="AD230" i="11"/>
  <c r="AE230" i="11" s="1"/>
  <c r="AD314" i="11"/>
  <c r="AE314" i="11" s="1"/>
  <c r="AD278" i="11"/>
  <c r="AE278" i="11" s="1"/>
  <c r="AN278" i="11" s="1"/>
  <c r="AD308" i="11"/>
  <c r="AE308" i="11" s="1"/>
  <c r="N184" i="54"/>
  <c r="AD248" i="11"/>
  <c r="AE248" i="11" s="1"/>
  <c r="AD261" i="11"/>
  <c r="AE261" i="11" s="1"/>
  <c r="AN261" i="11" s="1"/>
  <c r="AD307" i="11"/>
  <c r="AE307" i="11" s="1"/>
  <c r="AD304" i="11"/>
  <c r="AE304" i="11" s="1"/>
  <c r="AN304" i="11" s="1"/>
  <c r="AD234" i="11"/>
  <c r="AE234" i="11" s="1"/>
  <c r="AD280" i="11"/>
  <c r="AE280" i="11" s="1"/>
  <c r="AD269" i="11"/>
  <c r="AE269" i="11" s="1"/>
  <c r="AD243" i="11"/>
  <c r="AE243" i="11" s="1"/>
  <c r="AD232" i="11"/>
  <c r="AE232" i="11" s="1"/>
  <c r="AD284" i="11"/>
  <c r="AE284" i="11" s="1"/>
  <c r="AD289" i="11"/>
  <c r="AE289" i="11" s="1"/>
  <c r="AD294" i="11"/>
  <c r="AE294" i="11" s="1"/>
  <c r="AN294" i="11" s="1"/>
  <c r="AD309" i="11"/>
  <c r="AE309" i="11" s="1"/>
  <c r="AD226" i="11"/>
  <c r="AE226" i="11" s="1"/>
  <c r="AD310" i="11"/>
  <c r="AE310" i="11" s="1"/>
  <c r="AD250" i="11"/>
  <c r="AE250" i="11" s="1"/>
  <c r="AD229" i="11"/>
  <c r="AE229" i="11" s="1"/>
  <c r="AD253" i="11"/>
  <c r="AE253" i="11" s="1"/>
  <c r="AD295" i="11"/>
  <c r="AE295" i="11" s="1"/>
  <c r="AD240" i="11"/>
  <c r="AE240" i="11" s="1"/>
  <c r="AN240" i="11" s="1"/>
  <c r="AD312" i="11"/>
  <c r="AE312" i="11" s="1"/>
  <c r="AD286" i="11"/>
  <c r="AE286" i="11" s="1"/>
  <c r="AN286" i="11" s="1"/>
  <c r="AD252" i="11"/>
  <c r="AE252" i="11" s="1"/>
  <c r="AD220" i="11"/>
  <c r="AE220" i="11" s="1"/>
  <c r="AD303" i="11"/>
  <c r="AE303" i="11" s="1"/>
  <c r="AD291" i="11"/>
  <c r="AE291" i="11" s="1"/>
  <c r="AN291" i="11" s="1"/>
  <c r="AD275" i="11"/>
  <c r="AE275" i="11" s="1"/>
  <c r="AD221" i="11"/>
  <c r="AE221" i="11" s="1"/>
  <c r="AN221" i="11" s="1"/>
  <c r="AD258" i="11"/>
  <c r="AE258" i="11" s="1"/>
  <c r="AN258" i="11" s="1"/>
  <c r="AD256" i="11"/>
  <c r="AE256" i="11" s="1"/>
  <c r="AD215" i="11"/>
  <c r="AE215" i="11" s="1"/>
  <c r="AD271" i="11"/>
  <c r="AE271" i="11" s="1"/>
  <c r="AD237" i="11"/>
  <c r="AE237" i="11" s="1"/>
  <c r="AK3663" i="11"/>
  <c r="AL3663" i="11" s="1"/>
  <c r="AK3591" i="11"/>
  <c r="AL3591" i="11" s="1"/>
  <c r="AK3667" i="11"/>
  <c r="AL3667" i="11" s="1"/>
  <c r="AK3605" i="11"/>
  <c r="AL3605" i="11" s="1"/>
  <c r="AK3673" i="11"/>
  <c r="AL3673" i="11" s="1"/>
  <c r="AK3590" i="11"/>
  <c r="AL3590" i="11" s="1"/>
  <c r="AK3660" i="11"/>
  <c r="AL3660" i="11" s="1"/>
  <c r="AK3634" i="11"/>
  <c r="AL3634" i="11" s="1"/>
  <c r="AK3668" i="11"/>
  <c r="AL3668" i="11" s="1"/>
  <c r="AK3604" i="11"/>
  <c r="AL3604" i="11" s="1"/>
  <c r="AK3632" i="11"/>
  <c r="AL3632" i="11" s="1"/>
  <c r="AK3622" i="11"/>
  <c r="AL3622" i="11" s="1"/>
  <c r="AK3638" i="11"/>
  <c r="AL3638" i="11" s="1"/>
  <c r="AK3650" i="11"/>
  <c r="AL3650" i="11" s="1"/>
  <c r="AK3665" i="11"/>
  <c r="AL3665" i="11" s="1"/>
  <c r="AK3577" i="11"/>
  <c r="AL3577" i="11" s="1"/>
  <c r="AK3646" i="11"/>
  <c r="AL3646" i="11" s="1"/>
  <c r="AK3599" i="11"/>
  <c r="AL3599" i="11" s="1"/>
  <c r="AK3623" i="11"/>
  <c r="AL3623" i="11" s="1"/>
  <c r="AK3626" i="11"/>
  <c r="AL3626" i="11" s="1"/>
  <c r="AK3679" i="11"/>
  <c r="AL3679" i="11" s="1"/>
  <c r="AK3586" i="11"/>
  <c r="AL3586" i="11" s="1"/>
  <c r="AK3644" i="11"/>
  <c r="AL3644" i="11" s="1"/>
  <c r="AK3648" i="11"/>
  <c r="AL3648" i="11" s="1"/>
  <c r="AK3578" i="11"/>
  <c r="AL3578" i="11" s="1"/>
  <c r="AO3578" i="11" s="1"/>
  <c r="AK3618" i="11"/>
  <c r="AL3618" i="11" s="1"/>
  <c r="AK3597" i="11"/>
  <c r="AL3597" i="11" s="1"/>
  <c r="AK3596" i="11"/>
  <c r="AL3596" i="11" s="1"/>
  <c r="AK3631" i="11"/>
  <c r="AL3631" i="11" s="1"/>
  <c r="AK3587" i="11"/>
  <c r="AL3587" i="11" s="1"/>
  <c r="AK3598" i="11"/>
  <c r="AL3598" i="11" s="1"/>
  <c r="AK3593" i="11"/>
  <c r="AL3593" i="11" s="1"/>
  <c r="AK3592" i="11"/>
  <c r="AL3592" i="11" s="1"/>
  <c r="AK3612" i="11"/>
  <c r="AL3612" i="11" s="1"/>
  <c r="AK3582" i="11"/>
  <c r="AL3582" i="11" s="1"/>
  <c r="AK3620" i="11"/>
  <c r="AL3620" i="11" s="1"/>
  <c r="AK3624" i="11"/>
  <c r="AL3624" i="11" s="1"/>
  <c r="AK3664" i="11"/>
  <c r="AL3664" i="11" s="1"/>
  <c r="AK3602" i="11"/>
  <c r="AL3602" i="11" s="1"/>
  <c r="AK3652" i="11"/>
  <c r="AL3652" i="11" s="1"/>
  <c r="AK3619" i="11"/>
  <c r="AL3619" i="11" s="1"/>
  <c r="AK3614" i="11"/>
  <c r="AL3614" i="11" s="1"/>
  <c r="AK3645" i="11"/>
  <c r="AL3645" i="11" s="1"/>
  <c r="AK3611" i="11"/>
  <c r="AL3611" i="11" s="1"/>
  <c r="AK3601" i="11"/>
  <c r="AL3601" i="11" s="1"/>
  <c r="AK3659" i="11"/>
  <c r="AL3659" i="11" s="1"/>
  <c r="AK3617" i="11"/>
  <c r="AL3617" i="11" s="1"/>
  <c r="AK3583" i="11"/>
  <c r="AL3583" i="11" s="1"/>
  <c r="AK3609" i="11"/>
  <c r="AL3609" i="11" s="1"/>
  <c r="AK3647" i="11"/>
  <c r="AL3647" i="11" s="1"/>
  <c r="AK3629" i="11"/>
  <c r="AL3629" i="11" s="1"/>
  <c r="AK3607" i="11"/>
  <c r="AL3607" i="11" s="1"/>
  <c r="AK3589" i="11"/>
  <c r="AL3589" i="11" s="1"/>
  <c r="AK3641" i="11"/>
  <c r="AL3641" i="11" s="1"/>
  <c r="AK3674" i="11"/>
  <c r="AL3674" i="11" s="1"/>
  <c r="AK3585" i="11"/>
  <c r="AL3585" i="11" s="1"/>
  <c r="AK3670" i="11"/>
  <c r="AL3670" i="11" s="1"/>
  <c r="AK3615" i="11"/>
  <c r="AL3615" i="11" s="1"/>
  <c r="AK3639" i="11"/>
  <c r="AL3639" i="11" s="1"/>
  <c r="AK3677" i="11"/>
  <c r="AL3677" i="11" s="1"/>
  <c r="AK3676" i="11"/>
  <c r="AL3676" i="11" s="1"/>
  <c r="AK3672" i="11"/>
  <c r="AL3672" i="11" s="1"/>
  <c r="AK3635" i="11"/>
  <c r="AL3635" i="11" s="1"/>
  <c r="AK3580" i="11"/>
  <c r="AL3580" i="11" s="1"/>
  <c r="AK3600" i="11"/>
  <c r="AL3600" i="11" s="1"/>
  <c r="AK3627" i="11"/>
  <c r="AL3627" i="11" s="1"/>
  <c r="AK3657" i="11"/>
  <c r="AL3657" i="11" s="1"/>
  <c r="AK3594" i="11"/>
  <c r="AL3594" i="11" s="1"/>
  <c r="AK3608" i="11"/>
  <c r="AL3608" i="11" s="1"/>
  <c r="AK3655" i="11"/>
  <c r="AL3655" i="11" s="1"/>
  <c r="AK3658" i="11"/>
  <c r="AL3658" i="11" s="1"/>
  <c r="AK3649" i="11"/>
  <c r="AL3649" i="11" s="1"/>
  <c r="AK3625" i="11"/>
  <c r="AL3625" i="11" s="1"/>
  <c r="AK3642" i="11"/>
  <c r="AL3642" i="11" s="1"/>
  <c r="AK3575" i="11"/>
  <c r="AL3575" i="11" s="1"/>
  <c r="AK3621" i="11"/>
  <c r="AL3621" i="11" s="1"/>
  <c r="AK3656" i="11"/>
  <c r="AL3656" i="11" s="1"/>
  <c r="AK3675" i="11"/>
  <c r="AL3675" i="11" s="1"/>
  <c r="AK3579" i="11"/>
  <c r="AL3579" i="11" s="1"/>
  <c r="AK3630" i="11"/>
  <c r="AL3630" i="11" s="1"/>
  <c r="AK3636" i="11"/>
  <c r="AL3636" i="11" s="1"/>
  <c r="AK3603" i="11"/>
  <c r="AL3603" i="11" s="1"/>
  <c r="AK3606" i="11"/>
  <c r="AL3606" i="11" s="1"/>
  <c r="AK3637" i="11"/>
  <c r="AL3637" i="11" s="1"/>
  <c r="AK3654" i="11"/>
  <c r="AL3654" i="11" s="1"/>
  <c r="AK3584" i="11"/>
  <c r="AL3584" i="11" s="1"/>
  <c r="AK3666" i="11"/>
  <c r="AL3666" i="11" s="1"/>
  <c r="AK3613" i="11"/>
  <c r="AL3613" i="11" s="1"/>
  <c r="AK3678" i="11"/>
  <c r="AL3678" i="11" s="1"/>
  <c r="AK3616" i="11"/>
  <c r="AL3616" i="11" s="1"/>
  <c r="AK3595" i="11"/>
  <c r="AL3595" i="11" s="1"/>
  <c r="AK3610" i="11"/>
  <c r="AL3610" i="11" s="1"/>
  <c r="AK3671" i="11"/>
  <c r="AL3671" i="11" s="1"/>
  <c r="AF3488" i="11"/>
  <c r="AG3488" i="11" s="1"/>
  <c r="AF3556" i="11"/>
  <c r="AG3556" i="11" s="1"/>
  <c r="AF3491" i="11"/>
  <c r="AG3491" i="11" s="1"/>
  <c r="AF3492" i="11"/>
  <c r="AG3492" i="11" s="1"/>
  <c r="AF3505" i="11"/>
  <c r="AG3505" i="11" s="1"/>
  <c r="AF3484" i="11"/>
  <c r="AG3484" i="11" s="1"/>
  <c r="AF3522" i="11"/>
  <c r="AG3522" i="11" s="1"/>
  <c r="AO3522" i="11" s="1"/>
  <c r="AF3507" i="11"/>
  <c r="AG3507" i="11" s="1"/>
  <c r="AF3537" i="11"/>
  <c r="AG3537" i="11" s="1"/>
  <c r="AF3534" i="11"/>
  <c r="AG3534" i="11" s="1"/>
  <c r="AF3498" i="11"/>
  <c r="AG3498" i="11" s="1"/>
  <c r="AF3531" i="11"/>
  <c r="AG3531" i="11" s="1"/>
  <c r="AF3544" i="11"/>
  <c r="AG3544" i="11" s="1"/>
  <c r="AF3540" i="11"/>
  <c r="AG3540" i="11" s="1"/>
  <c r="AF3508" i="11"/>
  <c r="AG3508" i="11" s="1"/>
  <c r="AF3552" i="11"/>
  <c r="AG3552" i="11" s="1"/>
  <c r="AF3524" i="11"/>
  <c r="AG3524" i="11" s="1"/>
  <c r="AF3539" i="11"/>
  <c r="AG3539" i="11" s="1"/>
  <c r="AF3520" i="11"/>
  <c r="AG3520" i="11" s="1"/>
  <c r="AF3511" i="11"/>
  <c r="AG3511" i="11" s="1"/>
  <c r="AF3487" i="11"/>
  <c r="AG3487" i="11" s="1"/>
  <c r="AF3538" i="11"/>
  <c r="AG3538" i="11" s="1"/>
  <c r="AF3503" i="11"/>
  <c r="AG3503" i="11" s="1"/>
  <c r="AF3497" i="11"/>
  <c r="AG3497" i="11" s="1"/>
  <c r="AF3554" i="11"/>
  <c r="AG3554" i="11" s="1"/>
  <c r="AF3482" i="11"/>
  <c r="AG3482" i="11" s="1"/>
  <c r="AF3530" i="11"/>
  <c r="AG3530" i="11" s="1"/>
  <c r="AF3512" i="11"/>
  <c r="AG3512" i="11" s="1"/>
  <c r="AF3571" i="11"/>
  <c r="AG3571" i="11" s="1"/>
  <c r="AF3471" i="11"/>
  <c r="AG3471" i="11" s="1"/>
  <c r="AF3543" i="11"/>
  <c r="AG3543" i="11" s="1"/>
  <c r="AO3543" i="11" s="1"/>
  <c r="AF3523" i="11"/>
  <c r="AG3523" i="11" s="1"/>
  <c r="AF3473" i="11"/>
  <c r="AG3473" i="11" s="1"/>
  <c r="AF3519" i="11"/>
  <c r="AG3519" i="11" s="1"/>
  <c r="AF3549" i="11"/>
  <c r="AG3549" i="11" s="1"/>
  <c r="AF3494" i="11"/>
  <c r="AG3494" i="11" s="1"/>
  <c r="AF3569" i="11"/>
  <c r="AG3569" i="11" s="1"/>
  <c r="AF3568" i="11"/>
  <c r="AG3568" i="11" s="1"/>
  <c r="AF3502" i="11"/>
  <c r="AG3502" i="11" s="1"/>
  <c r="AF3561" i="11"/>
  <c r="AG3561" i="11" s="1"/>
  <c r="AO3561" i="11" s="1"/>
  <c r="AF3489" i="11"/>
  <c r="AG3489" i="11" s="1"/>
  <c r="AF3504" i="11"/>
  <c r="AG3504" i="11" s="1"/>
  <c r="AF3562" i="11"/>
  <c r="AG3562" i="11" s="1"/>
  <c r="AF3521" i="11"/>
  <c r="AG3521" i="11" s="1"/>
  <c r="AF3533" i="11"/>
  <c r="AG3533" i="11" s="1"/>
  <c r="AF3551" i="11"/>
  <c r="AG3551" i="11" s="1"/>
  <c r="AF3548" i="11"/>
  <c r="AG3548" i="11" s="1"/>
  <c r="AF3483" i="11"/>
  <c r="AG3483" i="11" s="1"/>
  <c r="AF3514" i="11"/>
  <c r="AG3514" i="11" s="1"/>
  <c r="AF3557" i="11"/>
  <c r="AG3557" i="11" s="1"/>
  <c r="AF3516" i="11"/>
  <c r="AG3516" i="11" s="1"/>
  <c r="AF3566" i="11"/>
  <c r="AG3566" i="11" s="1"/>
  <c r="AF3518" i="11"/>
  <c r="AG3518" i="11" s="1"/>
  <c r="AF3515" i="11"/>
  <c r="AG3515" i="11" s="1"/>
  <c r="AF3481" i="11"/>
  <c r="AG3481" i="11" s="1"/>
  <c r="AF3555" i="11"/>
  <c r="AG3555" i="11" s="1"/>
  <c r="AF3474" i="11"/>
  <c r="AG3474" i="11" s="1"/>
  <c r="AF3485" i="11"/>
  <c r="AG3485" i="11" s="1"/>
  <c r="AF3559" i="11"/>
  <c r="AG3559" i="11" s="1"/>
  <c r="AF3541" i="11"/>
  <c r="AG3541" i="11" s="1"/>
  <c r="AF3560" i="11"/>
  <c r="AG3560" i="11" s="1"/>
  <c r="AF3532" i="11"/>
  <c r="AG3532" i="11" s="1"/>
  <c r="AF3495" i="11"/>
  <c r="AG3495" i="11" s="1"/>
  <c r="AF3546" i="11"/>
  <c r="AG3546" i="11" s="1"/>
  <c r="AF3480" i="11"/>
  <c r="AG3480" i="11" s="1"/>
  <c r="AF3528" i="11"/>
  <c r="AG3528" i="11" s="1"/>
  <c r="AF3558" i="11"/>
  <c r="AG3558" i="11" s="1"/>
  <c r="AF3513" i="11"/>
  <c r="AG3513" i="11" s="1"/>
  <c r="AF3564" i="11"/>
  <c r="AG3564" i="11" s="1"/>
  <c r="AF3506" i="11"/>
  <c r="AG3506" i="11" s="1"/>
  <c r="AF3574" i="11"/>
  <c r="AG3574" i="11" s="1"/>
  <c r="AF3510" i="11"/>
  <c r="AG3510" i="11" s="1"/>
  <c r="AF3496" i="11"/>
  <c r="AG3496" i="11" s="1"/>
  <c r="AF3475" i="11"/>
  <c r="AG3475" i="11" s="1"/>
  <c r="AF3572" i="11"/>
  <c r="AG3572" i="11" s="1"/>
  <c r="AF3479" i="11"/>
  <c r="AG3479" i="11" s="1"/>
  <c r="AF3553" i="11"/>
  <c r="AG3553" i="11" s="1"/>
  <c r="AF3500" i="11"/>
  <c r="AG3500" i="11" s="1"/>
  <c r="AF3509" i="11"/>
  <c r="AG3509" i="11" s="1"/>
  <c r="AF3493" i="11"/>
  <c r="AG3493" i="11" s="1"/>
  <c r="AF3529" i="11"/>
  <c r="AG3529" i="11" s="1"/>
  <c r="AF3486" i="11"/>
  <c r="AG3486" i="11" s="1"/>
  <c r="AF3499" i="11"/>
  <c r="AG3499" i="11" s="1"/>
  <c r="AF3527" i="11"/>
  <c r="AG3527" i="11" s="1"/>
  <c r="AF3550" i="11"/>
  <c r="AG3550" i="11" s="1"/>
  <c r="AF3517" i="11"/>
  <c r="AG3517" i="11" s="1"/>
  <c r="AF3535" i="11"/>
  <c r="AG3535" i="11" s="1"/>
  <c r="O185" i="54"/>
  <c r="AF3525" i="11"/>
  <c r="AG3525" i="11" s="1"/>
  <c r="AF3478" i="11"/>
  <c r="AG3478" i="11" s="1"/>
  <c r="AF3567" i="11"/>
  <c r="AG3567" i="11" s="1"/>
  <c r="AF3542" i="11"/>
  <c r="AG3542" i="11" s="1"/>
  <c r="AD3488" i="11"/>
  <c r="AE3488" i="11" s="1"/>
  <c r="AN3488" i="11" s="1"/>
  <c r="AI1923" i="11"/>
  <c r="AJ1923" i="11" s="1"/>
  <c r="AI1997" i="11"/>
  <c r="AJ1997" i="11" s="1"/>
  <c r="AI1949" i="11"/>
  <c r="AJ1949" i="11" s="1"/>
  <c r="AI1971" i="11"/>
  <c r="AJ1971" i="11" s="1"/>
  <c r="AI1895" i="11"/>
  <c r="AJ1895" i="11" s="1"/>
  <c r="AI1934" i="11"/>
  <c r="AJ1934" i="11" s="1"/>
  <c r="AI1977" i="11"/>
  <c r="AJ1977" i="11" s="1"/>
  <c r="AI1940" i="11"/>
  <c r="AJ1940" i="11" s="1"/>
  <c r="AI1904" i="11"/>
  <c r="AJ1904" i="11" s="1"/>
  <c r="AI1946" i="11"/>
  <c r="AJ1946" i="11" s="1"/>
  <c r="AI1912" i="11"/>
  <c r="AJ1912" i="11" s="1"/>
  <c r="AI1928" i="11"/>
  <c r="AJ1928" i="11" s="1"/>
  <c r="AI1982" i="11"/>
  <c r="AJ1982" i="11" s="1"/>
  <c r="AI1942" i="11"/>
  <c r="AJ1942" i="11" s="1"/>
  <c r="AI1963" i="11"/>
  <c r="AJ1963" i="11" s="1"/>
  <c r="AI1996" i="11"/>
  <c r="AJ1996" i="11" s="1"/>
  <c r="AI1944" i="11"/>
  <c r="AJ1944" i="11" s="1"/>
  <c r="AI1900" i="11"/>
  <c r="AJ1900" i="11" s="1"/>
  <c r="AI1967" i="11"/>
  <c r="AJ1967" i="11" s="1"/>
  <c r="AI1937" i="11"/>
  <c r="AJ1937" i="11" s="1"/>
  <c r="AI1902" i="11"/>
  <c r="AJ1902" i="11" s="1"/>
  <c r="AI1969" i="11"/>
  <c r="AJ1969" i="11" s="1"/>
  <c r="AI1931" i="11"/>
  <c r="AJ1931" i="11" s="1"/>
  <c r="AI1919" i="11"/>
  <c r="AJ1919" i="11" s="1"/>
  <c r="AI1986" i="11"/>
  <c r="AJ1986" i="11" s="1"/>
  <c r="AI1988" i="11"/>
  <c r="AJ1988" i="11" s="1"/>
  <c r="AI1927" i="11"/>
  <c r="AJ1927" i="11" s="1"/>
  <c r="AI1903" i="11"/>
  <c r="AJ1903" i="11" s="1"/>
  <c r="AI1896" i="11"/>
  <c r="AJ1896" i="11" s="1"/>
  <c r="AI1932" i="11"/>
  <c r="AJ1932" i="11" s="1"/>
  <c r="AI1966" i="11"/>
  <c r="AJ1966" i="11" s="1"/>
  <c r="AI1954" i="11"/>
  <c r="AJ1954" i="11" s="1"/>
  <c r="AI1898" i="11"/>
  <c r="AJ1898" i="11" s="1"/>
  <c r="AI1908" i="11"/>
  <c r="AJ1908" i="11" s="1"/>
  <c r="AI1950" i="11"/>
  <c r="AJ1950" i="11" s="1"/>
  <c r="AI1933" i="11"/>
  <c r="AJ1933" i="11" s="1"/>
  <c r="AI1907" i="11"/>
  <c r="AJ1907" i="11" s="1"/>
  <c r="AI1922" i="11"/>
  <c r="AJ1922" i="11" s="1"/>
  <c r="AI1905" i="11"/>
  <c r="AJ1905" i="11" s="1"/>
  <c r="AI1953" i="11"/>
  <c r="AJ1953" i="11" s="1"/>
  <c r="AI1979" i="11"/>
  <c r="AJ1979" i="11" s="1"/>
  <c r="AI1958" i="11"/>
  <c r="AJ1958" i="11" s="1"/>
  <c r="AI1975" i="11"/>
  <c r="AJ1975" i="11" s="1"/>
  <c r="AI1906" i="11"/>
  <c r="AJ1906" i="11" s="1"/>
  <c r="AI1938" i="11"/>
  <c r="AJ1938" i="11" s="1"/>
  <c r="AI1960" i="11"/>
  <c r="AJ1960" i="11" s="1"/>
  <c r="AI1914" i="11"/>
  <c r="AJ1914" i="11" s="1"/>
  <c r="AI1948" i="11"/>
  <c r="AJ1948" i="11" s="1"/>
  <c r="AI1909" i="11"/>
  <c r="AJ1909" i="11" s="1"/>
  <c r="AI1951" i="11"/>
  <c r="AJ1951" i="11" s="1"/>
  <c r="AI1913" i="11"/>
  <c r="AJ1913" i="11" s="1"/>
  <c r="AI1981" i="11"/>
  <c r="AJ1981" i="11" s="1"/>
  <c r="AI1999" i="11"/>
  <c r="AJ1999" i="11" s="1"/>
  <c r="AI1976" i="11"/>
  <c r="AJ1976" i="11" s="1"/>
  <c r="AI1925" i="11"/>
  <c r="AJ1925" i="11" s="1"/>
  <c r="AI1901" i="11"/>
  <c r="AJ1901" i="11" s="1"/>
  <c r="AI1992" i="11"/>
  <c r="AJ1992" i="11" s="1"/>
  <c r="AI1920" i="11"/>
  <c r="AJ1920" i="11" s="1"/>
  <c r="AI1897" i="11"/>
  <c r="AJ1897" i="11" s="1"/>
  <c r="AI1955" i="11"/>
  <c r="AJ1955" i="11" s="1"/>
  <c r="AI1935" i="11"/>
  <c r="AJ1935" i="11" s="1"/>
  <c r="AI1972" i="11"/>
  <c r="AJ1972" i="11" s="1"/>
  <c r="AI1910" i="11"/>
  <c r="AJ1910" i="11" s="1"/>
  <c r="AI1957" i="11"/>
  <c r="AJ1957" i="11" s="1"/>
  <c r="AI1961" i="11"/>
  <c r="AJ1961" i="11" s="1"/>
  <c r="AI1929" i="11"/>
  <c r="AJ1929" i="11" s="1"/>
  <c r="AI1917" i="11"/>
  <c r="AJ1917" i="11" s="1"/>
  <c r="AI1962" i="11"/>
  <c r="AJ1962" i="11" s="1"/>
  <c r="AI1941" i="11"/>
  <c r="AJ1941" i="11" s="1"/>
  <c r="AI1943" i="11"/>
  <c r="AJ1943" i="11" s="1"/>
  <c r="AI1978" i="11"/>
  <c r="AJ1978" i="11" s="1"/>
  <c r="AI1915" i="11"/>
  <c r="AJ1915" i="11" s="1"/>
  <c r="AI1959" i="11"/>
  <c r="AJ1959" i="11" s="1"/>
  <c r="AI1973" i="11"/>
  <c r="AJ1973" i="11" s="1"/>
  <c r="AI1980" i="11"/>
  <c r="AJ1980" i="11" s="1"/>
  <c r="AI1956" i="11"/>
  <c r="AJ1956" i="11" s="1"/>
  <c r="AI1974" i="11"/>
  <c r="AJ1974" i="11" s="1"/>
  <c r="AI1990" i="11"/>
  <c r="AJ1990" i="11" s="1"/>
  <c r="AI1945" i="11"/>
  <c r="AJ1945" i="11" s="1"/>
  <c r="AI1984" i="11"/>
  <c r="AJ1984" i="11" s="1"/>
  <c r="AI1983" i="11"/>
  <c r="AJ1983" i="11" s="1"/>
  <c r="AI1952" i="11"/>
  <c r="AJ1952" i="11" s="1"/>
  <c r="AI1989" i="11"/>
  <c r="AJ1989" i="11" s="1"/>
  <c r="AI1924" i="11"/>
  <c r="AJ1924" i="11" s="1"/>
  <c r="AI1964" i="11"/>
  <c r="AJ1964" i="11" s="1"/>
  <c r="AI1993" i="11"/>
  <c r="AJ1993" i="11" s="1"/>
  <c r="AI1968" i="11"/>
  <c r="AJ1968" i="11" s="1"/>
  <c r="AI1916" i="11"/>
  <c r="AJ1916" i="11" s="1"/>
  <c r="AI1985" i="11"/>
  <c r="AJ1985" i="11" s="1"/>
  <c r="AI1965" i="11"/>
  <c r="AJ1965" i="11" s="1"/>
  <c r="AI1899" i="11"/>
  <c r="AJ1899" i="11" s="1"/>
  <c r="AI1998" i="11"/>
  <c r="AJ1998" i="11" s="1"/>
  <c r="AI1947" i="11"/>
  <c r="AJ1947" i="11" s="1"/>
  <c r="AI1936" i="11"/>
  <c r="AJ1936" i="11" s="1"/>
  <c r="AI1918" i="11"/>
  <c r="AJ1918" i="11" s="1"/>
  <c r="AI1926" i="11"/>
  <c r="AJ1926" i="11" s="1"/>
  <c r="AI1995" i="11"/>
  <c r="AJ1995" i="11" s="1"/>
  <c r="AI1987" i="11"/>
  <c r="AJ1987" i="11" s="1"/>
  <c r="AI1911" i="11"/>
  <c r="AJ1911" i="11" s="1"/>
  <c r="AF786" i="11"/>
  <c r="AG786" i="11" s="1"/>
  <c r="AF793" i="11"/>
  <c r="AG793" i="11" s="1"/>
  <c r="AF816" i="11"/>
  <c r="AG816" i="11" s="1"/>
  <c r="AO816" i="11" s="1"/>
  <c r="AF797" i="11"/>
  <c r="AG797" i="11" s="1"/>
  <c r="AF770" i="11"/>
  <c r="AG770" i="11" s="1"/>
  <c r="AF741" i="11"/>
  <c r="AG741" i="11" s="1"/>
  <c r="AF807" i="11"/>
  <c r="AG807" i="11" s="1"/>
  <c r="AF780" i="11"/>
  <c r="AG780" i="11" s="1"/>
  <c r="AF806" i="11"/>
  <c r="AG806" i="11" s="1"/>
  <c r="AF821" i="11"/>
  <c r="AG821" i="11" s="1"/>
  <c r="AF835" i="11"/>
  <c r="AG835" i="11" s="1"/>
  <c r="AF762" i="11"/>
  <c r="AG762" i="11" s="1"/>
  <c r="AF766" i="11"/>
  <c r="AG766" i="11" s="1"/>
  <c r="AF799" i="11"/>
  <c r="AG799" i="11" s="1"/>
  <c r="AF743" i="11"/>
  <c r="AG743" i="11" s="1"/>
  <c r="AF749" i="11"/>
  <c r="AG749" i="11" s="1"/>
  <c r="AF784" i="11"/>
  <c r="AG784" i="11" s="1"/>
  <c r="AF771" i="11"/>
  <c r="AG771" i="11" s="1"/>
  <c r="AF789" i="11"/>
  <c r="AG789" i="11" s="1"/>
  <c r="AF768" i="11"/>
  <c r="AG768" i="11" s="1"/>
  <c r="AF750" i="11"/>
  <c r="AG750" i="11" s="1"/>
  <c r="AF813" i="11"/>
  <c r="AG813" i="11" s="1"/>
  <c r="AF829" i="11"/>
  <c r="AG829" i="11" s="1"/>
  <c r="AF826" i="11"/>
  <c r="AG826" i="11" s="1"/>
  <c r="AF772" i="11"/>
  <c r="AG772" i="11" s="1"/>
  <c r="AF818" i="11"/>
  <c r="AG818" i="11" s="1"/>
  <c r="AF791" i="11"/>
  <c r="AG791" i="11" s="1"/>
  <c r="AF800" i="11"/>
  <c r="AG800" i="11" s="1"/>
  <c r="AF753" i="11"/>
  <c r="AG753" i="11" s="1"/>
  <c r="AF740" i="11"/>
  <c r="AG740" i="11" s="1"/>
  <c r="AF783" i="11"/>
  <c r="AG783" i="11" s="1"/>
  <c r="AF843" i="11"/>
  <c r="AG843" i="11" s="1"/>
  <c r="AF811" i="11"/>
  <c r="AG811" i="11" s="1"/>
  <c r="AF822" i="11"/>
  <c r="AG822" i="11" s="1"/>
  <c r="AF777" i="11"/>
  <c r="AG777" i="11" s="1"/>
  <c r="AF840" i="11"/>
  <c r="AG840" i="11" s="1"/>
  <c r="AF815" i="11"/>
  <c r="AG815" i="11" s="1"/>
  <c r="AF792" i="11"/>
  <c r="AG792" i="11" s="1"/>
  <c r="AF795" i="11"/>
  <c r="AG795" i="11" s="1"/>
  <c r="AF798" i="11"/>
  <c r="AG798" i="11" s="1"/>
  <c r="AF828" i="11"/>
  <c r="AG828" i="11" s="1"/>
  <c r="AF778" i="11"/>
  <c r="AG778" i="11" s="1"/>
  <c r="AF748" i="11"/>
  <c r="AG748" i="11" s="1"/>
  <c r="AF817" i="11"/>
  <c r="AG817" i="11" s="1"/>
  <c r="AF755" i="11"/>
  <c r="AG755" i="11" s="1"/>
  <c r="AF844" i="11"/>
  <c r="AG844" i="11" s="1"/>
  <c r="AF788" i="11"/>
  <c r="AG788" i="11" s="1"/>
  <c r="AF834" i="11"/>
  <c r="AG834" i="11" s="1"/>
  <c r="AF842" i="11"/>
  <c r="AG842" i="11" s="1"/>
  <c r="AF819" i="11"/>
  <c r="AG819" i="11" s="1"/>
  <c r="AF754" i="11"/>
  <c r="AG754" i="11" s="1"/>
  <c r="AF839" i="11"/>
  <c r="AG839" i="11" s="1"/>
  <c r="AF782" i="11"/>
  <c r="AG782" i="11" s="1"/>
  <c r="AF785" i="11"/>
  <c r="AG785" i="11" s="1"/>
  <c r="AF764" i="11"/>
  <c r="AG764" i="11" s="1"/>
  <c r="AF774" i="11"/>
  <c r="AG774" i="11" s="1"/>
  <c r="AF744" i="11"/>
  <c r="AG744" i="11" s="1"/>
  <c r="AF838" i="11"/>
  <c r="AG838" i="11" s="1"/>
  <c r="AF841" i="11"/>
  <c r="AG841" i="11" s="1"/>
  <c r="AF761" i="11"/>
  <c r="AG761" i="11" s="1"/>
  <c r="AF790" i="11"/>
  <c r="AG790" i="11" s="1"/>
  <c r="AF763" i="11"/>
  <c r="AG763" i="11" s="1"/>
  <c r="AF742" i="11"/>
  <c r="AG742" i="11" s="1"/>
  <c r="AF776" i="11"/>
  <c r="AG776" i="11" s="1"/>
  <c r="AF758" i="11"/>
  <c r="AG758" i="11" s="1"/>
  <c r="AF801" i="11"/>
  <c r="AG801" i="11" s="1"/>
  <c r="AF803" i="11"/>
  <c r="AG803" i="11" s="1"/>
  <c r="AF810" i="11"/>
  <c r="AG810" i="11" s="1"/>
  <c r="AF751" i="11"/>
  <c r="AG751" i="11" s="1"/>
  <c r="AF781" i="11"/>
  <c r="AG781" i="11" s="1"/>
  <c r="AF745" i="11"/>
  <c r="AG745" i="11" s="1"/>
  <c r="AF760" i="11"/>
  <c r="AG760" i="11" s="1"/>
  <c r="AF779" i="11"/>
  <c r="AG779" i="11" s="1"/>
  <c r="AF769" i="11"/>
  <c r="AG769" i="11" s="1"/>
  <c r="AF796" i="11"/>
  <c r="AG796" i="11" s="1"/>
  <c r="AF804" i="11"/>
  <c r="AG804" i="11" s="1"/>
  <c r="AF827" i="11"/>
  <c r="AG827" i="11" s="1"/>
  <c r="AO827" i="11" s="1"/>
  <c r="AF832" i="11"/>
  <c r="AG832" i="11" s="1"/>
  <c r="AF833" i="11"/>
  <c r="AG833" i="11" s="1"/>
  <c r="AF837" i="11"/>
  <c r="AG837" i="11" s="1"/>
  <c r="AF787" i="11"/>
  <c r="AG787" i="11" s="1"/>
  <c r="AF794" i="11"/>
  <c r="AG794" i="11" s="1"/>
  <c r="O199" i="54"/>
  <c r="AF752" i="11"/>
  <c r="AG752" i="11" s="1"/>
  <c r="AF756" i="11"/>
  <c r="AG756" i="11" s="1"/>
  <c r="AF802" i="11"/>
  <c r="AG802" i="11" s="1"/>
  <c r="AF831" i="11"/>
  <c r="AG831" i="11" s="1"/>
  <c r="AF746" i="11"/>
  <c r="AG746" i="11" s="1"/>
  <c r="AF830" i="11"/>
  <c r="AG830" i="11" s="1"/>
  <c r="AF805" i="11"/>
  <c r="AG805" i="11" s="1"/>
  <c r="AF824" i="11"/>
  <c r="AG824" i="11" s="1"/>
  <c r="AF812" i="11"/>
  <c r="AG812" i="11" s="1"/>
  <c r="AF823" i="11"/>
  <c r="AG823" i="11" s="1"/>
  <c r="AF825" i="11"/>
  <c r="AG825" i="11" s="1"/>
  <c r="AF765" i="11"/>
  <c r="AG765" i="11" s="1"/>
  <c r="AF808" i="11"/>
  <c r="AG808" i="11" s="1"/>
  <c r="AF775" i="11"/>
  <c r="AG775" i="11" s="1"/>
  <c r="AF820" i="11"/>
  <c r="AG820" i="11" s="1"/>
  <c r="AF747" i="11"/>
  <c r="AG747" i="11" s="1"/>
  <c r="AI787" i="11"/>
  <c r="AJ787" i="11" s="1"/>
  <c r="AI745" i="11"/>
  <c r="AJ745" i="11" s="1"/>
  <c r="AI799" i="11"/>
  <c r="AJ799" i="11" s="1"/>
  <c r="AI824" i="11"/>
  <c r="AJ824" i="11" s="1"/>
  <c r="AI841" i="11"/>
  <c r="AJ841" i="11" s="1"/>
  <c r="AI756" i="11"/>
  <c r="AJ756" i="11" s="1"/>
  <c r="AI746" i="11"/>
  <c r="AJ746" i="11" s="1"/>
  <c r="AI768" i="11"/>
  <c r="AJ768" i="11" s="1"/>
  <c r="AI804" i="11"/>
  <c r="AJ804" i="11" s="1"/>
  <c r="AI776" i="11"/>
  <c r="AJ776" i="11" s="1"/>
  <c r="AI753" i="11"/>
  <c r="AJ753" i="11" s="1"/>
  <c r="AI744" i="11"/>
  <c r="AJ744" i="11" s="1"/>
  <c r="AI809" i="11"/>
  <c r="AJ809" i="11" s="1"/>
  <c r="AI842" i="11"/>
  <c r="AJ842" i="11" s="1"/>
  <c r="AI770" i="11"/>
  <c r="AJ770" i="11" s="1"/>
  <c r="AI808" i="11"/>
  <c r="AJ808" i="11" s="1"/>
  <c r="AI775" i="11"/>
  <c r="AJ775" i="11" s="1"/>
  <c r="AI816" i="11"/>
  <c r="AJ816" i="11" s="1"/>
  <c r="AI779" i="11"/>
  <c r="AJ779" i="11" s="1"/>
  <c r="AI823" i="11"/>
  <c r="AJ823" i="11" s="1"/>
  <c r="AI778" i="11"/>
  <c r="AJ778" i="11" s="1"/>
  <c r="AI844" i="11"/>
  <c r="AJ844" i="11" s="1"/>
  <c r="AI831" i="11"/>
  <c r="AJ831" i="11" s="1"/>
  <c r="AI832" i="11"/>
  <c r="AJ832" i="11" s="1"/>
  <c r="AI765" i="11"/>
  <c r="AJ765" i="11" s="1"/>
  <c r="AI814" i="11"/>
  <c r="AJ814" i="11" s="1"/>
  <c r="AI821" i="11"/>
  <c r="AJ821" i="11" s="1"/>
  <c r="AI801" i="11"/>
  <c r="AJ801" i="11" s="1"/>
  <c r="AI773" i="11"/>
  <c r="AJ773" i="11" s="1"/>
  <c r="AI755" i="11"/>
  <c r="AJ755" i="11" s="1"/>
  <c r="AI840" i="11"/>
  <c r="AJ840" i="11" s="1"/>
  <c r="AI742" i="11"/>
  <c r="AJ742" i="11" s="1"/>
  <c r="AI781" i="11"/>
  <c r="AJ781" i="11" s="1"/>
  <c r="AI818" i="11"/>
  <c r="AJ818" i="11" s="1"/>
  <c r="AI793" i="11"/>
  <c r="AJ793" i="11" s="1"/>
  <c r="AI815" i="11"/>
  <c r="AJ815" i="11" s="1"/>
  <c r="AI782" i="11"/>
  <c r="AJ782" i="11" s="1"/>
  <c r="AI810" i="11"/>
  <c r="AJ810" i="11" s="1"/>
  <c r="AI825" i="11"/>
  <c r="AJ825" i="11" s="1"/>
  <c r="AI796" i="11"/>
  <c r="AJ796" i="11" s="1"/>
  <c r="AI743" i="11"/>
  <c r="AJ743" i="11" s="1"/>
  <c r="AI740" i="11"/>
  <c r="AJ740" i="11" s="1"/>
  <c r="AI811" i="11"/>
  <c r="AJ811" i="11" s="1"/>
  <c r="AI805" i="11"/>
  <c r="AJ805" i="11" s="1"/>
  <c r="AI780" i="11"/>
  <c r="AJ780" i="11" s="1"/>
  <c r="AI763" i="11"/>
  <c r="AJ763" i="11" s="1"/>
  <c r="AI819" i="11"/>
  <c r="AJ819" i="11" s="1"/>
  <c r="AI766" i="11"/>
  <c r="AJ766" i="11" s="1"/>
  <c r="AI772" i="11"/>
  <c r="AJ772" i="11" s="1"/>
  <c r="AI771" i="11"/>
  <c r="AJ771" i="11" s="1"/>
  <c r="AI834" i="11"/>
  <c r="AJ834" i="11" s="1"/>
  <c r="AI828" i="11"/>
  <c r="AJ828" i="11" s="1"/>
  <c r="AI783" i="11"/>
  <c r="AJ783" i="11" s="1"/>
  <c r="AI829" i="11"/>
  <c r="AJ829" i="11" s="1"/>
  <c r="AI807" i="11"/>
  <c r="AJ807" i="11" s="1"/>
  <c r="AI843" i="11"/>
  <c r="AJ843" i="11" s="1"/>
  <c r="AI817" i="11"/>
  <c r="AJ817" i="11" s="1"/>
  <c r="AI795" i="11"/>
  <c r="AJ795" i="11" s="1"/>
  <c r="AI835" i="11"/>
  <c r="AJ835" i="11" s="1"/>
  <c r="AI790" i="11"/>
  <c r="AJ790" i="11" s="1"/>
  <c r="AI826" i="11"/>
  <c r="AJ826" i="11" s="1"/>
  <c r="AI769" i="11"/>
  <c r="AJ769" i="11" s="1"/>
  <c r="AI827" i="11"/>
  <c r="AJ827" i="11" s="1"/>
  <c r="AI838" i="11"/>
  <c r="AJ838" i="11" s="1"/>
  <c r="AI789" i="11"/>
  <c r="AJ789" i="11" s="1"/>
  <c r="AI839" i="11"/>
  <c r="AJ839" i="11" s="1"/>
  <c r="AI747" i="11"/>
  <c r="AJ747" i="11" s="1"/>
  <c r="AI836" i="11"/>
  <c r="AJ836" i="11" s="1"/>
  <c r="AI791" i="11"/>
  <c r="AJ791" i="11" s="1"/>
  <c r="AI752" i="11"/>
  <c r="AJ752" i="11" s="1"/>
  <c r="AI806" i="11"/>
  <c r="AJ806" i="11" s="1"/>
  <c r="AN806" i="11" s="1"/>
  <c r="AI758" i="11"/>
  <c r="AJ758" i="11" s="1"/>
  <c r="AI751" i="11"/>
  <c r="AJ751" i="11" s="1"/>
  <c r="AI774" i="11"/>
  <c r="AJ774" i="11" s="1"/>
  <c r="AI797" i="11"/>
  <c r="AJ797" i="11" s="1"/>
  <c r="AI754" i="11"/>
  <c r="AJ754" i="11" s="1"/>
  <c r="AI813" i="11"/>
  <c r="AJ813" i="11" s="1"/>
  <c r="AI798" i="11"/>
  <c r="AJ798" i="11" s="1"/>
  <c r="AI750" i="11"/>
  <c r="AJ750" i="11" s="1"/>
  <c r="AI759" i="11"/>
  <c r="AJ759" i="11" s="1"/>
  <c r="AI767" i="11"/>
  <c r="AJ767" i="11" s="1"/>
  <c r="AI749" i="11"/>
  <c r="AJ749" i="11" s="1"/>
  <c r="AI792" i="11"/>
  <c r="AJ792" i="11" s="1"/>
  <c r="AI837" i="11"/>
  <c r="AJ837" i="11" s="1"/>
  <c r="AI762" i="11"/>
  <c r="AJ762" i="11" s="1"/>
  <c r="AI820" i="11"/>
  <c r="AJ820" i="11" s="1"/>
  <c r="AI812" i="11"/>
  <c r="AJ812" i="11" s="1"/>
  <c r="AI761" i="11"/>
  <c r="AJ761" i="11" s="1"/>
  <c r="AI748" i="11"/>
  <c r="AJ748" i="11" s="1"/>
  <c r="AI760" i="11"/>
  <c r="AJ760" i="11" s="1"/>
  <c r="AI785" i="11"/>
  <c r="AJ785" i="11" s="1"/>
  <c r="AI786" i="11"/>
  <c r="AJ786" i="11" s="1"/>
  <c r="AI822" i="11"/>
  <c r="AJ822" i="11" s="1"/>
  <c r="AI764" i="11"/>
  <c r="AJ764" i="11" s="1"/>
  <c r="AI757" i="11"/>
  <c r="AJ757" i="11" s="1"/>
  <c r="AI800" i="11"/>
  <c r="AJ800" i="11" s="1"/>
  <c r="AI1579" i="11"/>
  <c r="AJ1579" i="11" s="1"/>
  <c r="AI1534" i="11"/>
  <c r="AJ1534" i="11" s="1"/>
  <c r="AI1529" i="11"/>
  <c r="AJ1529" i="11" s="1"/>
  <c r="AI1545" i="11"/>
  <c r="AJ1545" i="11" s="1"/>
  <c r="AI1498" i="11"/>
  <c r="AJ1498" i="11" s="1"/>
  <c r="AI1533" i="11"/>
  <c r="AJ1533" i="11" s="1"/>
  <c r="AI1523" i="11"/>
  <c r="AJ1523" i="11" s="1"/>
  <c r="AI1535" i="11"/>
  <c r="AJ1535" i="11" s="1"/>
  <c r="AI1496" i="11"/>
  <c r="AJ1496" i="11" s="1"/>
  <c r="AI1559" i="11"/>
  <c r="AJ1559" i="11" s="1"/>
  <c r="AI1509" i="11"/>
  <c r="AJ1509" i="11" s="1"/>
  <c r="AI1555" i="11"/>
  <c r="AJ1555" i="11" s="1"/>
  <c r="AI1574" i="11"/>
  <c r="AJ1574" i="11" s="1"/>
  <c r="AI1526" i="11"/>
  <c r="AJ1526" i="11" s="1"/>
  <c r="AI1548" i="11"/>
  <c r="AJ1548" i="11" s="1"/>
  <c r="AI1565" i="11"/>
  <c r="AJ1565" i="11" s="1"/>
  <c r="AI1566" i="11"/>
  <c r="AJ1566" i="11" s="1"/>
  <c r="AI1543" i="11"/>
  <c r="AJ1543" i="11" s="1"/>
  <c r="AI1478" i="11"/>
  <c r="AJ1478" i="11" s="1"/>
  <c r="AI1525" i="11"/>
  <c r="AJ1525" i="11" s="1"/>
  <c r="AI1513" i="11"/>
  <c r="AJ1513" i="11" s="1"/>
  <c r="AI1537" i="11"/>
  <c r="AJ1537" i="11" s="1"/>
  <c r="AI1539" i="11"/>
  <c r="AJ1539" i="11" s="1"/>
  <c r="AI1532" i="11"/>
  <c r="AJ1532" i="11" s="1"/>
  <c r="AI1531" i="11"/>
  <c r="AJ1531" i="11" s="1"/>
  <c r="AI1510" i="11"/>
  <c r="AJ1510" i="11" s="1"/>
  <c r="AI1564" i="11"/>
  <c r="AJ1564" i="11" s="1"/>
  <c r="AI1480" i="11"/>
  <c r="AJ1480" i="11" s="1"/>
  <c r="AI1491" i="11"/>
  <c r="AJ1491" i="11" s="1"/>
  <c r="AI1550" i="11"/>
  <c r="AJ1550" i="11" s="1"/>
  <c r="AI1554" i="11"/>
  <c r="AJ1554" i="11" s="1"/>
  <c r="AI1538" i="11"/>
  <c r="AJ1538" i="11" s="1"/>
  <c r="AI1506" i="11"/>
  <c r="AJ1506" i="11" s="1"/>
  <c r="AI1511" i="11"/>
  <c r="AJ1511" i="11" s="1"/>
  <c r="AI1481" i="11"/>
  <c r="AJ1481" i="11" s="1"/>
  <c r="AI1490" i="11"/>
  <c r="AJ1490" i="11" s="1"/>
  <c r="AI1492" i="11"/>
  <c r="AJ1492" i="11" s="1"/>
  <c r="AI1562" i="11"/>
  <c r="AJ1562" i="11" s="1"/>
  <c r="AI1557" i="11"/>
  <c r="AJ1557" i="11" s="1"/>
  <c r="AI1577" i="11"/>
  <c r="AJ1577" i="11" s="1"/>
  <c r="AI1518" i="11"/>
  <c r="AJ1518" i="11" s="1"/>
  <c r="AI1477" i="11"/>
  <c r="AJ1477" i="11" s="1"/>
  <c r="AI1485" i="11"/>
  <c r="AJ1485" i="11" s="1"/>
  <c r="AI1482" i="11"/>
  <c r="AJ1482" i="11" s="1"/>
  <c r="AI1568" i="11"/>
  <c r="AJ1568" i="11" s="1"/>
  <c r="AI1489" i="11"/>
  <c r="AJ1489" i="11" s="1"/>
  <c r="AI1553" i="11"/>
  <c r="AJ1553" i="11" s="1"/>
  <c r="AI1479" i="11"/>
  <c r="AJ1479" i="11" s="1"/>
  <c r="AI1571" i="11"/>
  <c r="AJ1571" i="11" s="1"/>
  <c r="AI1512" i="11"/>
  <c r="AJ1512" i="11" s="1"/>
  <c r="AI1576" i="11"/>
  <c r="AJ1576" i="11" s="1"/>
  <c r="AI1522" i="11"/>
  <c r="AJ1522" i="11" s="1"/>
  <c r="AI1505" i="11"/>
  <c r="AJ1505" i="11" s="1"/>
  <c r="AI1508" i="11"/>
  <c r="AJ1508" i="11" s="1"/>
  <c r="AI1528" i="11"/>
  <c r="AJ1528" i="11" s="1"/>
  <c r="AI1486" i="11"/>
  <c r="AJ1486" i="11" s="1"/>
  <c r="AI1569" i="11"/>
  <c r="AJ1569" i="11" s="1"/>
  <c r="AI1540" i="11"/>
  <c r="AJ1540" i="11" s="1"/>
  <c r="AI1475" i="11"/>
  <c r="AJ1475" i="11" s="1"/>
  <c r="AI1495" i="11"/>
  <c r="AJ1495" i="11" s="1"/>
  <c r="AI1551" i="11"/>
  <c r="AJ1551" i="11" s="1"/>
  <c r="AI1521" i="11"/>
  <c r="AJ1521" i="11" s="1"/>
  <c r="AI1542" i="11"/>
  <c r="AJ1542" i="11" s="1"/>
  <c r="AI1527" i="11"/>
  <c r="AJ1527" i="11" s="1"/>
  <c r="AI1501" i="11"/>
  <c r="AJ1501" i="11" s="1"/>
  <c r="AI1549" i="11"/>
  <c r="AJ1549" i="11" s="1"/>
  <c r="AI1504" i="11"/>
  <c r="AJ1504" i="11" s="1"/>
  <c r="AI1519" i="11"/>
  <c r="AJ1519" i="11" s="1"/>
  <c r="AI1541" i="11"/>
  <c r="AJ1541" i="11" s="1"/>
  <c r="AI1552" i="11"/>
  <c r="AJ1552" i="11" s="1"/>
  <c r="AI1575" i="11"/>
  <c r="AJ1575" i="11" s="1"/>
  <c r="AI1484" i="11"/>
  <c r="AJ1484" i="11" s="1"/>
  <c r="AI1476" i="11"/>
  <c r="AJ1476" i="11" s="1"/>
  <c r="AI1488" i="11"/>
  <c r="AJ1488" i="11" s="1"/>
  <c r="AI1494" i="11"/>
  <c r="AJ1494" i="11" s="1"/>
  <c r="AI1487" i="11"/>
  <c r="AJ1487" i="11" s="1"/>
  <c r="AI1507" i="11"/>
  <c r="AJ1507" i="11" s="1"/>
  <c r="AI1546" i="11"/>
  <c r="AJ1546" i="11" s="1"/>
  <c r="AI1503" i="11"/>
  <c r="AJ1503" i="11" s="1"/>
  <c r="AI1483" i="11"/>
  <c r="AJ1483" i="11" s="1"/>
  <c r="AI1500" i="11"/>
  <c r="AJ1500" i="11" s="1"/>
  <c r="AI1520" i="11"/>
  <c r="AJ1520" i="11" s="1"/>
  <c r="AI1517" i="11"/>
  <c r="AJ1517" i="11" s="1"/>
  <c r="AI1567" i="11"/>
  <c r="AJ1567" i="11" s="1"/>
  <c r="AI1497" i="11"/>
  <c r="AJ1497" i="11" s="1"/>
  <c r="AI1556" i="11"/>
  <c r="AJ1556" i="11" s="1"/>
  <c r="AI1578" i="11"/>
  <c r="AJ1578" i="11" s="1"/>
  <c r="AI1493" i="11"/>
  <c r="AJ1493" i="11" s="1"/>
  <c r="AI1524" i="11"/>
  <c r="AJ1524" i="11" s="1"/>
  <c r="AI1544" i="11"/>
  <c r="AJ1544" i="11" s="1"/>
  <c r="AI1561" i="11"/>
  <c r="AJ1561" i="11" s="1"/>
  <c r="AD696" i="11"/>
  <c r="AE696" i="11" s="1"/>
  <c r="AN696" i="11" s="1"/>
  <c r="AD641" i="11"/>
  <c r="AE641" i="11" s="1"/>
  <c r="AD654" i="11"/>
  <c r="AE654" i="11" s="1"/>
  <c r="AD659" i="11"/>
  <c r="AE659" i="11" s="1"/>
  <c r="AD683" i="11"/>
  <c r="AE683" i="11" s="1"/>
  <c r="AD661" i="11"/>
  <c r="AE661" i="11" s="1"/>
  <c r="AD725" i="11"/>
  <c r="AE725" i="11" s="1"/>
  <c r="AD705" i="11"/>
  <c r="AE705" i="11" s="1"/>
  <c r="AN705" i="11" s="1"/>
  <c r="AD655" i="11"/>
  <c r="AE655" i="11" s="1"/>
  <c r="AD635" i="11"/>
  <c r="AE635" i="11" s="1"/>
  <c r="AD637" i="11"/>
  <c r="AE637" i="11" s="1"/>
  <c r="AD658" i="11"/>
  <c r="AE658" i="11" s="1"/>
  <c r="AD733" i="11"/>
  <c r="AE733" i="11" s="1"/>
  <c r="AD651" i="11"/>
  <c r="AE651" i="11" s="1"/>
  <c r="AD675" i="11"/>
  <c r="AE675" i="11" s="1"/>
  <c r="AD642" i="11"/>
  <c r="AE642" i="11" s="1"/>
  <c r="AD707" i="11"/>
  <c r="AE707" i="11" s="1"/>
  <c r="AD690" i="11"/>
  <c r="AE690" i="11" s="1"/>
  <c r="AD738" i="11"/>
  <c r="AE738" i="11" s="1"/>
  <c r="AD677" i="11"/>
  <c r="AE677" i="11" s="1"/>
  <c r="AD699" i="11"/>
  <c r="AE699" i="11" s="1"/>
  <c r="AD672" i="11"/>
  <c r="AE672" i="11" s="1"/>
  <c r="AD714" i="11"/>
  <c r="AE714" i="11" s="1"/>
  <c r="AN714" i="11" s="1"/>
  <c r="AD686" i="11"/>
  <c r="AE686" i="11" s="1"/>
  <c r="AN686" i="11" s="1"/>
  <c r="AD715" i="11"/>
  <c r="AE715" i="11" s="1"/>
  <c r="AN715" i="11" s="1"/>
  <c r="AD704" i="11"/>
  <c r="AE704" i="11" s="1"/>
  <c r="AD670" i="11"/>
  <c r="AE670" i="11" s="1"/>
  <c r="AD643" i="11"/>
  <c r="AE643" i="11" s="1"/>
  <c r="AD716" i="11"/>
  <c r="AE716" i="11" s="1"/>
  <c r="AD710" i="11"/>
  <c r="AE710" i="11" s="1"/>
  <c r="AN710" i="11" s="1"/>
  <c r="AD702" i="11"/>
  <c r="AE702" i="11" s="1"/>
  <c r="AD700" i="11"/>
  <c r="AE700" i="11" s="1"/>
  <c r="AN700" i="11" s="1"/>
  <c r="AD735" i="11"/>
  <c r="AE735" i="11" s="1"/>
  <c r="AD728" i="11"/>
  <c r="AE728" i="11" s="1"/>
  <c r="AD644" i="11"/>
  <c r="AE644" i="11" s="1"/>
  <c r="AD708" i="11"/>
  <c r="AE708" i="11" s="1"/>
  <c r="AN708" i="11" s="1"/>
  <c r="AD671" i="11"/>
  <c r="AE671" i="11" s="1"/>
  <c r="AD723" i="11"/>
  <c r="AE723" i="11" s="1"/>
  <c r="AD685" i="11"/>
  <c r="AE685" i="11" s="1"/>
  <c r="AD731" i="11"/>
  <c r="AE731" i="11" s="1"/>
  <c r="AD652" i="11"/>
  <c r="AE652" i="11" s="1"/>
  <c r="AD682" i="11"/>
  <c r="AE682" i="11" s="1"/>
  <c r="AD647" i="11"/>
  <c r="AE647" i="11" s="1"/>
  <c r="AD640" i="11"/>
  <c r="AE640" i="11" s="1"/>
  <c r="AD701" i="11"/>
  <c r="AE701" i="11" s="1"/>
  <c r="AD739" i="11"/>
  <c r="AE739" i="11" s="1"/>
  <c r="AD653" i="11"/>
  <c r="AE653" i="11" s="1"/>
  <c r="AN653" i="11" s="1"/>
  <c r="AD660" i="11"/>
  <c r="AE660" i="11" s="1"/>
  <c r="AN660" i="11" s="1"/>
  <c r="AD722" i="11"/>
  <c r="AE722" i="11" s="1"/>
  <c r="AD681" i="11"/>
  <c r="AE681" i="11" s="1"/>
  <c r="AD721" i="11"/>
  <c r="AE721" i="11" s="1"/>
  <c r="AN721" i="11" s="1"/>
  <c r="AD687" i="11"/>
  <c r="AE687" i="11" s="1"/>
  <c r="AD678" i="11"/>
  <c r="AE678" i="11" s="1"/>
  <c r="AD636" i="11"/>
  <c r="AE636" i="11" s="1"/>
  <c r="AD639" i="11"/>
  <c r="AE639" i="11" s="1"/>
  <c r="AD667" i="11"/>
  <c r="AE667" i="11" s="1"/>
  <c r="AN667" i="11" s="1"/>
  <c r="AD664" i="11"/>
  <c r="AE664" i="11" s="1"/>
  <c r="AD676" i="11"/>
  <c r="AE676" i="11" s="1"/>
  <c r="AN676" i="11" s="1"/>
  <c r="AD729" i="11"/>
  <c r="AE729" i="11" s="1"/>
  <c r="AN729" i="11" s="1"/>
  <c r="AD695" i="11"/>
  <c r="AE695" i="11" s="1"/>
  <c r="AD692" i="11"/>
  <c r="AE692" i="11" s="1"/>
  <c r="AD711" i="11"/>
  <c r="AE711" i="11" s="1"/>
  <c r="AN711" i="11" s="1"/>
  <c r="AD712" i="11"/>
  <c r="AE712" i="11" s="1"/>
  <c r="AD693" i="11"/>
  <c r="AE693" i="11" s="1"/>
  <c r="AN693" i="11" s="1"/>
  <c r="AD638" i="11"/>
  <c r="AE638" i="11" s="1"/>
  <c r="AD649" i="11"/>
  <c r="AE649" i="11" s="1"/>
  <c r="AD698" i="11"/>
  <c r="AE698" i="11" s="1"/>
  <c r="AD650" i="11"/>
  <c r="AE650" i="11" s="1"/>
  <c r="AN650" i="11" s="1"/>
  <c r="AD662" i="11"/>
  <c r="AE662" i="11" s="1"/>
  <c r="AD648" i="11"/>
  <c r="AE648" i="11" s="1"/>
  <c r="AD706" i="11"/>
  <c r="AE706" i="11" s="1"/>
  <c r="AN706" i="11" s="1"/>
  <c r="AD665" i="11"/>
  <c r="AE665" i="11" s="1"/>
  <c r="AD691" i="11"/>
  <c r="AE691" i="11" s="1"/>
  <c r="AN691" i="11" s="1"/>
  <c r="AD680" i="11"/>
  <c r="AE680" i="11" s="1"/>
  <c r="AD679" i="11"/>
  <c r="AE679" i="11" s="1"/>
  <c r="AD736" i="11"/>
  <c r="AE736" i="11" s="1"/>
  <c r="AD656" i="11"/>
  <c r="AE656" i="11" s="1"/>
  <c r="AD734" i="11"/>
  <c r="AE734" i="11" s="1"/>
  <c r="N170" i="54"/>
  <c r="AD646" i="11"/>
  <c r="AE646" i="11" s="1"/>
  <c r="AN646" i="11" s="1"/>
  <c r="AD657" i="11"/>
  <c r="AE657" i="11" s="1"/>
  <c r="AD730" i="11"/>
  <c r="AE730" i="11" s="1"/>
  <c r="AD717" i="11"/>
  <c r="AE717" i="11" s="1"/>
  <c r="AN717" i="11" s="1"/>
  <c r="AD727" i="11"/>
  <c r="AE727" i="11" s="1"/>
  <c r="AD663" i="11"/>
  <c r="AE663" i="11" s="1"/>
  <c r="AD713" i="11"/>
  <c r="AE713" i="11" s="1"/>
  <c r="AD720" i="11"/>
  <c r="AE720" i="11" s="1"/>
  <c r="AD666" i="11"/>
  <c r="AE666" i="11" s="1"/>
  <c r="AD673" i="11"/>
  <c r="AE673" i="11" s="1"/>
  <c r="AD688" i="11"/>
  <c r="AE688" i="11" s="1"/>
  <c r="AN688" i="11" s="1"/>
  <c r="AD689" i="11"/>
  <c r="AE689" i="11" s="1"/>
  <c r="AD709" i="11"/>
  <c r="AE709" i="11" s="1"/>
  <c r="AD719" i="11"/>
  <c r="AE719" i="11" s="1"/>
  <c r="AD668" i="11"/>
  <c r="AE668" i="11" s="1"/>
  <c r="AD703" i="11"/>
  <c r="AE703" i="11" s="1"/>
  <c r="AF533" i="11"/>
  <c r="AG533" i="11" s="1"/>
  <c r="AF557" i="11"/>
  <c r="AG557" i="11" s="1"/>
  <c r="AF532" i="11"/>
  <c r="AG532" i="11" s="1"/>
  <c r="AF538" i="11"/>
  <c r="AG538" i="11" s="1"/>
  <c r="AF588" i="11"/>
  <c r="AG588" i="11" s="1"/>
  <c r="AF610" i="11"/>
  <c r="AG610" i="11" s="1"/>
  <c r="AF596" i="11"/>
  <c r="AG596" i="11" s="1"/>
  <c r="AF534" i="11"/>
  <c r="AG534" i="11" s="1"/>
  <c r="AO534" i="11" s="1"/>
  <c r="AF568" i="11"/>
  <c r="AG568" i="11" s="1"/>
  <c r="AO568" i="11" s="1"/>
  <c r="AF625" i="11"/>
  <c r="AG625" i="11" s="1"/>
  <c r="AF566" i="11"/>
  <c r="AG566" i="11" s="1"/>
  <c r="AF579" i="11"/>
  <c r="AG579" i="11" s="1"/>
  <c r="AO579" i="11" s="1"/>
  <c r="AF600" i="11"/>
  <c r="AG600" i="11" s="1"/>
  <c r="AF543" i="11"/>
  <c r="AG543" i="11" s="1"/>
  <c r="AF622" i="11"/>
  <c r="AG622" i="11" s="1"/>
  <c r="AF592" i="11"/>
  <c r="AG592" i="11" s="1"/>
  <c r="AF559" i="11"/>
  <c r="AG559" i="11" s="1"/>
  <c r="AF584" i="11"/>
  <c r="AG584" i="11" s="1"/>
  <c r="AF606" i="11"/>
  <c r="AG606" i="11" s="1"/>
  <c r="AF582" i="11"/>
  <c r="AG582" i="11" s="1"/>
  <c r="AO582" i="11" s="1"/>
  <c r="AF547" i="11"/>
  <c r="AG547" i="11" s="1"/>
  <c r="AO547" i="11" s="1"/>
  <c r="AF613" i="11"/>
  <c r="AG613" i="11" s="1"/>
  <c r="AF553" i="11"/>
  <c r="AG553" i="11" s="1"/>
  <c r="AF598" i="11"/>
  <c r="AG598" i="11" s="1"/>
  <c r="AF631" i="11"/>
  <c r="AG631" i="11" s="1"/>
  <c r="AO631" i="11" s="1"/>
  <c r="AF558" i="11"/>
  <c r="AG558" i="11" s="1"/>
  <c r="AF572" i="11"/>
  <c r="AG572" i="11" s="1"/>
  <c r="AF604" i="11"/>
  <c r="AG604" i="11" s="1"/>
  <c r="AF597" i="11"/>
  <c r="AG597" i="11" s="1"/>
  <c r="AF585" i="11"/>
  <c r="AG585" i="11" s="1"/>
  <c r="AF616" i="11"/>
  <c r="AG616" i="11" s="1"/>
  <c r="AO616" i="11" s="1"/>
  <c r="AF542" i="11"/>
  <c r="AG542" i="11" s="1"/>
  <c r="AO542" i="11" s="1"/>
  <c r="AF601" i="11"/>
  <c r="AG601" i="11" s="1"/>
  <c r="AO601" i="11" s="1"/>
  <c r="AF624" i="11"/>
  <c r="AG624" i="11" s="1"/>
  <c r="AO624" i="11" s="1"/>
  <c r="AF628" i="11"/>
  <c r="AG628" i="11" s="1"/>
  <c r="AF618" i="11"/>
  <c r="AG618" i="11" s="1"/>
  <c r="AO618" i="11" s="1"/>
  <c r="AF634" i="11"/>
  <c r="AG634" i="11" s="1"/>
  <c r="AF552" i="11"/>
  <c r="AG552" i="11" s="1"/>
  <c r="AF587" i="11"/>
  <c r="AG587" i="11" s="1"/>
  <c r="AF608" i="11"/>
  <c r="AG608" i="11" s="1"/>
  <c r="AF607" i="11"/>
  <c r="AG607" i="11" s="1"/>
  <c r="AF603" i="11"/>
  <c r="AG603" i="11" s="1"/>
  <c r="AF555" i="11"/>
  <c r="AG555" i="11" s="1"/>
  <c r="AF539" i="11"/>
  <c r="AG539" i="11" s="1"/>
  <c r="AO539" i="11" s="1"/>
  <c r="AF561" i="11"/>
  <c r="AG561" i="11" s="1"/>
  <c r="AO561" i="11" s="1"/>
  <c r="AF605" i="11"/>
  <c r="AG605" i="11" s="1"/>
  <c r="AF577" i="11"/>
  <c r="AG577" i="11" s="1"/>
  <c r="AO577" i="11" s="1"/>
  <c r="AF546" i="11"/>
  <c r="AG546" i="11" s="1"/>
  <c r="AO546" i="11" s="1"/>
  <c r="AF630" i="11"/>
  <c r="AG630" i="11" s="1"/>
  <c r="AF595" i="11"/>
  <c r="AG595" i="11" s="1"/>
  <c r="AF599" i="11"/>
  <c r="AG599" i="11" s="1"/>
  <c r="AF550" i="11"/>
  <c r="AG550" i="11" s="1"/>
  <c r="AF567" i="11"/>
  <c r="AG567" i="11" s="1"/>
  <c r="AF549" i="11"/>
  <c r="AG549" i="11" s="1"/>
  <c r="AF571" i="11"/>
  <c r="AG571" i="11" s="1"/>
  <c r="AO571" i="11" s="1"/>
  <c r="AF537" i="11"/>
  <c r="AG537" i="11" s="1"/>
  <c r="AF548" i="11"/>
  <c r="AG548" i="11" s="1"/>
  <c r="AO548" i="11" s="1"/>
  <c r="AF590" i="11"/>
  <c r="AG590" i="11" s="1"/>
  <c r="AF591" i="11"/>
  <c r="AG591" i="11" s="1"/>
  <c r="AO591" i="11" s="1"/>
  <c r="AF563" i="11"/>
  <c r="AG563" i="11" s="1"/>
  <c r="AF564" i="11"/>
  <c r="AG564" i="11" s="1"/>
  <c r="AO564" i="11" s="1"/>
  <c r="AF574" i="11"/>
  <c r="AG574" i="11" s="1"/>
  <c r="AF573" i="11"/>
  <c r="AG573" i="11" s="1"/>
  <c r="AO573" i="11" s="1"/>
  <c r="AF602" i="11"/>
  <c r="AG602" i="11" s="1"/>
  <c r="AO602" i="11" s="1"/>
  <c r="AF536" i="11"/>
  <c r="AG536" i="11" s="1"/>
  <c r="AF541" i="11"/>
  <c r="AG541" i="11" s="1"/>
  <c r="AF540" i="11"/>
  <c r="AG540" i="11" s="1"/>
  <c r="AF614" i="11"/>
  <c r="AG614" i="11" s="1"/>
  <c r="AF575" i="11"/>
  <c r="AG575" i="11" s="1"/>
  <c r="AO575" i="11" s="1"/>
  <c r="AF617" i="11"/>
  <c r="AG617" i="11" s="1"/>
  <c r="AF593" i="11"/>
  <c r="AG593" i="11" s="1"/>
  <c r="AF535" i="11"/>
  <c r="AG535" i="11" s="1"/>
  <c r="AF545" i="11"/>
  <c r="AG545" i="11" s="1"/>
  <c r="AO545" i="11" s="1"/>
  <c r="AF609" i="11"/>
  <c r="AG609" i="11" s="1"/>
  <c r="AO609" i="11" s="1"/>
  <c r="AF627" i="11"/>
  <c r="AG627" i="11" s="1"/>
  <c r="AF611" i="11"/>
  <c r="AG611" i="11" s="1"/>
  <c r="AF530" i="11"/>
  <c r="AG530" i="11" s="1"/>
  <c r="AF612" i="11"/>
  <c r="AG612" i="11" s="1"/>
  <c r="AF576" i="11"/>
  <c r="AG576" i="11" s="1"/>
  <c r="AO576" i="11" s="1"/>
  <c r="AF570" i="11"/>
  <c r="AG570" i="11" s="1"/>
  <c r="AF569" i="11"/>
  <c r="AG569" i="11" s="1"/>
  <c r="AO569" i="11" s="1"/>
  <c r="AF544" i="11"/>
  <c r="AG544" i="11" s="1"/>
  <c r="AF632" i="11"/>
  <c r="AG632" i="11" s="1"/>
  <c r="AF621" i="11"/>
  <c r="AG621" i="11" s="1"/>
  <c r="AO621" i="11" s="1"/>
  <c r="AF626" i="11"/>
  <c r="AG626" i="11" s="1"/>
  <c r="AO626" i="11" s="1"/>
  <c r="AF580" i="11"/>
  <c r="AG580" i="11" s="1"/>
  <c r="AF633" i="11"/>
  <c r="AG633" i="11" s="1"/>
  <c r="AO633" i="11" s="1"/>
  <c r="AF578" i="11"/>
  <c r="AG578" i="11" s="1"/>
  <c r="AF619" i="11"/>
  <c r="AG619" i="11" s="1"/>
  <c r="AF562" i="11"/>
  <c r="AG562" i="11" s="1"/>
  <c r="AF623" i="11"/>
  <c r="AG623" i="11" s="1"/>
  <c r="AF583" i="11"/>
  <c r="AG583" i="11" s="1"/>
  <c r="AF531" i="11"/>
  <c r="AG531" i="11" s="1"/>
  <c r="AO531" i="11" s="1"/>
  <c r="AF551" i="11"/>
  <c r="AG551" i="11" s="1"/>
  <c r="O259" i="54"/>
  <c r="AD3631" i="11"/>
  <c r="AE3631" i="11" s="1"/>
  <c r="AN3631" i="11" s="1"/>
  <c r="AD2344" i="11"/>
  <c r="AE2344" i="11" s="1"/>
  <c r="AD179" i="11"/>
  <c r="AE179" i="11" s="1"/>
  <c r="AD162" i="11"/>
  <c r="AE162" i="11" s="1"/>
  <c r="AD114" i="11"/>
  <c r="AE114" i="11" s="1"/>
  <c r="AD159" i="11"/>
  <c r="AE159" i="11" s="1"/>
  <c r="AD206" i="11"/>
  <c r="AE206" i="11" s="1"/>
  <c r="AD178" i="11"/>
  <c r="AE178" i="11" s="1"/>
  <c r="AD140" i="11"/>
  <c r="AE140" i="11" s="1"/>
  <c r="AD205" i="11"/>
  <c r="AE205" i="11" s="1"/>
  <c r="AD200" i="11"/>
  <c r="AE200" i="11" s="1"/>
  <c r="AD148" i="11"/>
  <c r="AE148" i="11" s="1"/>
  <c r="AD197" i="11"/>
  <c r="AE197" i="11" s="1"/>
  <c r="AD137" i="11"/>
  <c r="AE137" i="11" s="1"/>
  <c r="AD155" i="11"/>
  <c r="AE155" i="11" s="1"/>
  <c r="AN155" i="11" s="1"/>
  <c r="AD136" i="11"/>
  <c r="AE136" i="11" s="1"/>
  <c r="AD165" i="11"/>
  <c r="AE165" i="11" s="1"/>
  <c r="AD191" i="11"/>
  <c r="AE191" i="11" s="1"/>
  <c r="AD198" i="11"/>
  <c r="AE198" i="11" s="1"/>
  <c r="AD153" i="11"/>
  <c r="AE153" i="11" s="1"/>
  <c r="AD122" i="11"/>
  <c r="AE122" i="11" s="1"/>
  <c r="AD127" i="11"/>
  <c r="AE127" i="11" s="1"/>
  <c r="AD170" i="11"/>
  <c r="AE170" i="11" s="1"/>
  <c r="AD124" i="11"/>
  <c r="AE124" i="11" s="1"/>
  <c r="AD211" i="11"/>
  <c r="AE211" i="11" s="1"/>
  <c r="AD151" i="11"/>
  <c r="AE151" i="11" s="1"/>
  <c r="AD126" i="11"/>
  <c r="AE126" i="11" s="1"/>
  <c r="AD210" i="11"/>
  <c r="AE210" i="11" s="1"/>
  <c r="AD195" i="11"/>
  <c r="AE195" i="11" s="1"/>
  <c r="AD135" i="11"/>
  <c r="AE135" i="11" s="1"/>
  <c r="AD143" i="11"/>
  <c r="AE143" i="11" s="1"/>
  <c r="AD132" i="11"/>
  <c r="AE132" i="11" s="1"/>
  <c r="AD161" i="11"/>
  <c r="AE161" i="11" s="1"/>
  <c r="AD152" i="11"/>
  <c r="AE152" i="11" s="1"/>
  <c r="AD183" i="11"/>
  <c r="AE183" i="11" s="1"/>
  <c r="AD207" i="11"/>
  <c r="AE207" i="11" s="1"/>
  <c r="AD133" i="11"/>
  <c r="AE133" i="11" s="1"/>
  <c r="AD185" i="11"/>
  <c r="AE185" i="11" s="1"/>
  <c r="AD120" i="11"/>
  <c r="AE120" i="11" s="1"/>
  <c r="AD150" i="11"/>
  <c r="AE150" i="11" s="1"/>
  <c r="AD141" i="11"/>
  <c r="AE141" i="11" s="1"/>
  <c r="AD146" i="11"/>
  <c r="AE146" i="11" s="1"/>
  <c r="AD168" i="11"/>
  <c r="AE168" i="11" s="1"/>
  <c r="AD193" i="11"/>
  <c r="AE193" i="11" s="1"/>
  <c r="AD203" i="11"/>
  <c r="AE203" i="11" s="1"/>
  <c r="AD174" i="11"/>
  <c r="AE174" i="11" s="1"/>
  <c r="AD144" i="11"/>
  <c r="AE144" i="11" s="1"/>
  <c r="AD201" i="11"/>
  <c r="AE201" i="11" s="1"/>
  <c r="AD129" i="11"/>
  <c r="AE129" i="11" s="1"/>
  <c r="AD142" i="11"/>
  <c r="AE142" i="11" s="1"/>
  <c r="AD160" i="11"/>
  <c r="AE160" i="11" s="1"/>
  <c r="AD111" i="11"/>
  <c r="AE111" i="11" s="1"/>
  <c r="AD125" i="11"/>
  <c r="AE125" i="11" s="1"/>
  <c r="AD199" i="11"/>
  <c r="AE199" i="11" s="1"/>
  <c r="AD213" i="11"/>
  <c r="AE213" i="11" s="1"/>
  <c r="AD131" i="11"/>
  <c r="AE131" i="11" s="1"/>
  <c r="AD190" i="11"/>
  <c r="AE190" i="11" s="1"/>
  <c r="AD116" i="11"/>
  <c r="AE116" i="11" s="1"/>
  <c r="AD180" i="11"/>
  <c r="AE180" i="11" s="1"/>
  <c r="AD164" i="11"/>
  <c r="AE164" i="11" s="1"/>
  <c r="AD204" i="11"/>
  <c r="AE204" i="11" s="1"/>
  <c r="AD196" i="11"/>
  <c r="AE196" i="11" s="1"/>
  <c r="AD145" i="11"/>
  <c r="AE145" i="11" s="1"/>
  <c r="AD176" i="11"/>
  <c r="AE176" i="11" s="1"/>
  <c r="AD173" i="11"/>
  <c r="AE173" i="11" s="1"/>
  <c r="AD112" i="11"/>
  <c r="AE112" i="11" s="1"/>
  <c r="AD167" i="11"/>
  <c r="AE167" i="11" s="1"/>
  <c r="AD117" i="11"/>
  <c r="AE117" i="11" s="1"/>
  <c r="AD214" i="11"/>
  <c r="AE214" i="11" s="1"/>
  <c r="AD130" i="11"/>
  <c r="AE130" i="11" s="1"/>
  <c r="AD192" i="11"/>
  <c r="AE192" i="11" s="1"/>
  <c r="AD119" i="11"/>
  <c r="AE119" i="11" s="1"/>
  <c r="AD121" i="11"/>
  <c r="AE121" i="11" s="1"/>
  <c r="AD202" i="11"/>
  <c r="AE202" i="11" s="1"/>
  <c r="AD208" i="11"/>
  <c r="AE208" i="11" s="1"/>
  <c r="AD209" i="11"/>
  <c r="AE209" i="11" s="1"/>
  <c r="AD118" i="11"/>
  <c r="AE118" i="11" s="1"/>
  <c r="N196" i="54"/>
  <c r="AD188" i="11"/>
  <c r="AE188" i="11" s="1"/>
  <c r="AD181" i="11"/>
  <c r="AE181" i="11" s="1"/>
  <c r="AD149" i="11"/>
  <c r="AE149" i="11" s="1"/>
  <c r="AD123" i="11"/>
  <c r="AE123" i="11" s="1"/>
  <c r="AD175" i="11"/>
  <c r="AE175" i="11" s="1"/>
  <c r="AD128" i="11"/>
  <c r="AE128" i="11" s="1"/>
  <c r="AD138" i="11"/>
  <c r="AE138" i="11" s="1"/>
  <c r="AD110" i="11"/>
  <c r="AE110" i="11" s="1"/>
  <c r="AD171" i="11"/>
  <c r="AE171" i="11" s="1"/>
  <c r="AD169" i="11"/>
  <c r="AE169" i="11" s="1"/>
  <c r="AD139" i="11"/>
  <c r="AE139" i="11" s="1"/>
  <c r="AD156" i="11"/>
  <c r="AE156" i="11" s="1"/>
  <c r="AD154" i="11"/>
  <c r="AE154" i="11" s="1"/>
  <c r="AD186" i="11"/>
  <c r="AE186" i="11" s="1"/>
  <c r="AD157" i="11"/>
  <c r="AE157" i="11" s="1"/>
  <c r="AD158" i="11"/>
  <c r="AE158" i="11" s="1"/>
  <c r="AD134" i="11"/>
  <c r="AE134" i="11" s="1"/>
  <c r="AD166" i="11"/>
  <c r="AE166" i="11" s="1"/>
  <c r="AD189" i="11"/>
  <c r="AE189" i="11" s="1"/>
  <c r="AD163" i="11"/>
  <c r="AE163" i="11" s="1"/>
  <c r="AI3451" i="11"/>
  <c r="AJ3451" i="11" s="1"/>
  <c r="AI3383" i="11"/>
  <c r="AJ3383" i="11" s="1"/>
  <c r="AI3466" i="11"/>
  <c r="AJ3466" i="11" s="1"/>
  <c r="AI3446" i="11"/>
  <c r="AJ3446" i="11" s="1"/>
  <c r="AI3381" i="11"/>
  <c r="AJ3381" i="11" s="1"/>
  <c r="AI3453" i="11"/>
  <c r="AJ3453" i="11" s="1"/>
  <c r="AI3416" i="11"/>
  <c r="AJ3416" i="11" s="1"/>
  <c r="AI3447" i="11"/>
  <c r="AJ3447" i="11" s="1"/>
  <c r="AI3426" i="11"/>
  <c r="AJ3426" i="11" s="1"/>
  <c r="AI3408" i="11"/>
  <c r="AJ3408" i="11" s="1"/>
  <c r="AI3421" i="11"/>
  <c r="AJ3421" i="11" s="1"/>
  <c r="AI3452" i="11"/>
  <c r="AJ3452" i="11" s="1"/>
  <c r="AI3435" i="11"/>
  <c r="AJ3435" i="11" s="1"/>
  <c r="AI3379" i="11"/>
  <c r="AJ3379" i="11" s="1"/>
  <c r="AI3393" i="11"/>
  <c r="AJ3393" i="11" s="1"/>
  <c r="AI3442" i="11"/>
  <c r="AJ3442" i="11" s="1"/>
  <c r="AI3396" i="11"/>
  <c r="AJ3396" i="11" s="1"/>
  <c r="AI3463" i="11"/>
  <c r="AJ3463" i="11" s="1"/>
  <c r="AI3399" i="11"/>
  <c r="AJ3399" i="11" s="1"/>
  <c r="AI3405" i="11"/>
  <c r="AJ3405" i="11" s="1"/>
  <c r="AI3465" i="11"/>
  <c r="AJ3465" i="11" s="1"/>
  <c r="AI3392" i="11"/>
  <c r="AJ3392" i="11" s="1"/>
  <c r="AI3410" i="11"/>
  <c r="AJ3410" i="11" s="1"/>
  <c r="AI3384" i="11"/>
  <c r="AJ3384" i="11" s="1"/>
  <c r="AI3406" i="11"/>
  <c r="AJ3406" i="11" s="1"/>
  <c r="AI3431" i="11"/>
  <c r="AJ3431" i="11" s="1"/>
  <c r="AI3437" i="11"/>
  <c r="AJ3437" i="11" s="1"/>
  <c r="AI3414" i="11"/>
  <c r="AJ3414" i="11" s="1"/>
  <c r="AI3420" i="11"/>
  <c r="AJ3420" i="11" s="1"/>
  <c r="AI3457" i="11"/>
  <c r="AJ3457" i="11" s="1"/>
  <c r="AI3389" i="11"/>
  <c r="AJ3389" i="11" s="1"/>
  <c r="AI3450" i="11"/>
  <c r="AJ3450" i="11" s="1"/>
  <c r="AI3428" i="11"/>
  <c r="AJ3428" i="11" s="1"/>
  <c r="AI3409" i="11"/>
  <c r="AJ3409" i="11" s="1"/>
  <c r="AI3461" i="11"/>
  <c r="AJ3461" i="11" s="1"/>
  <c r="AI3415" i="11"/>
  <c r="AJ3415" i="11" s="1"/>
  <c r="AI3436" i="11"/>
  <c r="AJ3436" i="11" s="1"/>
  <c r="AI3376" i="11"/>
  <c r="AJ3376" i="11" s="1"/>
  <c r="AI3417" i="11"/>
  <c r="AJ3417" i="11" s="1"/>
  <c r="AI3372" i="11"/>
  <c r="AJ3372" i="11" s="1"/>
  <c r="AI3439" i="11"/>
  <c r="AJ3439" i="11" s="1"/>
  <c r="AI3400" i="11"/>
  <c r="AJ3400" i="11" s="1"/>
  <c r="AI3412" i="11"/>
  <c r="AJ3412" i="11" s="1"/>
  <c r="AI3388" i="11"/>
  <c r="AJ3388" i="11" s="1"/>
  <c r="AI3433" i="11"/>
  <c r="AJ3433" i="11" s="1"/>
  <c r="AI3432" i="11"/>
  <c r="AJ3432" i="11" s="1"/>
  <c r="AI3425" i="11"/>
  <c r="AJ3425" i="11" s="1"/>
  <c r="AI3385" i="11"/>
  <c r="AJ3385" i="11" s="1"/>
  <c r="AI3440" i="11"/>
  <c r="AJ3440" i="11" s="1"/>
  <c r="AI3458" i="11"/>
  <c r="AJ3458" i="11" s="1"/>
  <c r="AI3467" i="11"/>
  <c r="AJ3467" i="11" s="1"/>
  <c r="AI3422" i="11"/>
  <c r="AJ3422" i="11" s="1"/>
  <c r="AI3394" i="11"/>
  <c r="AJ3394" i="11" s="1"/>
  <c r="AI3382" i="11"/>
  <c r="AJ3382" i="11" s="1"/>
  <c r="AI3462" i="11"/>
  <c r="AJ3462" i="11" s="1"/>
  <c r="AI3366" i="11"/>
  <c r="AJ3366" i="11" s="1"/>
  <c r="AI3397" i="11"/>
  <c r="AJ3397" i="11" s="1"/>
  <c r="AI3367" i="11"/>
  <c r="AJ3367" i="11" s="1"/>
  <c r="AI3380" i="11"/>
  <c r="AJ3380" i="11" s="1"/>
  <c r="AI3456" i="11"/>
  <c r="AJ3456" i="11" s="1"/>
  <c r="AI3378" i="11"/>
  <c r="AJ3378" i="11" s="1"/>
  <c r="AI3429" i="11"/>
  <c r="AJ3429" i="11" s="1"/>
  <c r="AI3464" i="11"/>
  <c r="AJ3464" i="11" s="1"/>
  <c r="AI3441" i="11"/>
  <c r="AJ3441" i="11" s="1"/>
  <c r="AI3370" i="11"/>
  <c r="AJ3370" i="11" s="1"/>
  <c r="AI3365" i="11"/>
  <c r="AJ3365" i="11" s="1"/>
  <c r="AI3434" i="11"/>
  <c r="AJ3434" i="11" s="1"/>
  <c r="AI3423" i="11"/>
  <c r="AJ3423" i="11" s="1"/>
  <c r="AI3427" i="11"/>
  <c r="AJ3427" i="11" s="1"/>
  <c r="AI3391" i="11"/>
  <c r="AJ3391" i="11" s="1"/>
  <c r="AI3424" i="11"/>
  <c r="AJ3424" i="11" s="1"/>
  <c r="AI3411" i="11"/>
  <c r="AJ3411" i="11" s="1"/>
  <c r="AI3386" i="11"/>
  <c r="AJ3386" i="11" s="1"/>
  <c r="AI3401" i="11"/>
  <c r="AJ3401" i="11" s="1"/>
  <c r="AI3448" i="11"/>
  <c r="AJ3448" i="11" s="1"/>
  <c r="AI3390" i="11"/>
  <c r="AJ3390" i="11" s="1"/>
  <c r="AI3438" i="11"/>
  <c r="AJ3438" i="11" s="1"/>
  <c r="AI3468" i="11"/>
  <c r="AJ3468" i="11" s="1"/>
  <c r="AI3430" i="11"/>
  <c r="AJ3430" i="11" s="1"/>
  <c r="AI3419" i="11"/>
  <c r="AJ3419" i="11" s="1"/>
  <c r="AI3444" i="11"/>
  <c r="AJ3444" i="11" s="1"/>
  <c r="AI3373" i="11"/>
  <c r="AJ3373" i="11" s="1"/>
  <c r="AI3377" i="11"/>
  <c r="AJ3377" i="11" s="1"/>
  <c r="AI3460" i="11"/>
  <c r="AJ3460" i="11" s="1"/>
  <c r="AI3368" i="11"/>
  <c r="AJ3368" i="11" s="1"/>
  <c r="AI3369" i="11"/>
  <c r="AJ3369" i="11" s="1"/>
  <c r="AI3374" i="11"/>
  <c r="AJ3374" i="11" s="1"/>
  <c r="AI3454" i="11"/>
  <c r="AJ3454" i="11" s="1"/>
  <c r="AI3455" i="11"/>
  <c r="AJ3455" i="11" s="1"/>
  <c r="AI3402" i="11"/>
  <c r="AJ3402" i="11" s="1"/>
  <c r="AF3882" i="11"/>
  <c r="AG3882" i="11" s="1"/>
  <c r="AF3806" i="11"/>
  <c r="AG3806" i="11" s="1"/>
  <c r="AO3806" i="11" s="1"/>
  <c r="AF3834" i="11"/>
  <c r="AG3834" i="11" s="1"/>
  <c r="AF3826" i="11"/>
  <c r="AG3826" i="11" s="1"/>
  <c r="AF3845" i="11"/>
  <c r="AG3845" i="11" s="1"/>
  <c r="AF3785" i="11"/>
  <c r="AG3785" i="11" s="1"/>
  <c r="AF3804" i="11"/>
  <c r="AG3804" i="11" s="1"/>
  <c r="AF3878" i="11"/>
  <c r="AG3878" i="11" s="1"/>
  <c r="AO3878" i="11" s="1"/>
  <c r="AF3788" i="11"/>
  <c r="AG3788" i="11" s="1"/>
  <c r="AF3813" i="11"/>
  <c r="AG3813" i="11" s="1"/>
  <c r="AF3854" i="11"/>
  <c r="AG3854" i="11" s="1"/>
  <c r="AF3820" i="11"/>
  <c r="AG3820" i="11" s="1"/>
  <c r="AF3876" i="11"/>
  <c r="AG3876" i="11" s="1"/>
  <c r="AF3889" i="11"/>
  <c r="AG3889" i="11" s="1"/>
  <c r="AF3840" i="11"/>
  <c r="AG3840" i="11" s="1"/>
  <c r="AF3886" i="11"/>
  <c r="AG3886" i="11" s="1"/>
  <c r="AF3812" i="11"/>
  <c r="AG3812" i="11" s="1"/>
  <c r="AF3852" i="11"/>
  <c r="AG3852" i="11" s="1"/>
  <c r="AF3884" i="11"/>
  <c r="AG3884" i="11" s="1"/>
  <c r="AF3849" i="11"/>
  <c r="AG3849" i="11" s="1"/>
  <c r="AF3842" i="11"/>
  <c r="AG3842" i="11" s="1"/>
  <c r="AF3807" i="11"/>
  <c r="AG3807" i="11" s="1"/>
  <c r="AF3800" i="11"/>
  <c r="AG3800" i="11" s="1"/>
  <c r="AF3875" i="11"/>
  <c r="AG3875" i="11" s="1"/>
  <c r="AF3861" i="11"/>
  <c r="AG3861" i="11" s="1"/>
  <c r="AF3865" i="11"/>
  <c r="AG3865" i="11" s="1"/>
  <c r="AF3857" i="11"/>
  <c r="AG3857" i="11" s="1"/>
  <c r="AF3867" i="11"/>
  <c r="AG3867" i="11" s="1"/>
  <c r="AF3794" i="11"/>
  <c r="AG3794" i="11" s="1"/>
  <c r="AF3871" i="11"/>
  <c r="AG3871" i="11" s="1"/>
  <c r="AF3825" i="11"/>
  <c r="AG3825" i="11" s="1"/>
  <c r="AF3841" i="11"/>
  <c r="AG3841" i="11" s="1"/>
  <c r="AF3873" i="11"/>
  <c r="AG3873" i="11" s="1"/>
  <c r="AF3790" i="11"/>
  <c r="AG3790" i="11" s="1"/>
  <c r="AF3822" i="11"/>
  <c r="AG3822" i="11" s="1"/>
  <c r="AF3832" i="11"/>
  <c r="AG3832" i="11" s="1"/>
  <c r="AF3870" i="11"/>
  <c r="AG3870" i="11" s="1"/>
  <c r="AF3881" i="11"/>
  <c r="AG3881" i="11" s="1"/>
  <c r="AF3839" i="11"/>
  <c r="AG3839" i="11" s="1"/>
  <c r="AF3880" i="11"/>
  <c r="AG3880" i="11" s="1"/>
  <c r="AF3801" i="11"/>
  <c r="AG3801" i="11" s="1"/>
  <c r="AF3835" i="11"/>
  <c r="AG3835" i="11" s="1"/>
  <c r="AF3847" i="11"/>
  <c r="AG3847" i="11" s="1"/>
  <c r="AF3798" i="11"/>
  <c r="AG3798" i="11" s="1"/>
  <c r="AF3887" i="11"/>
  <c r="AG3887" i="11" s="1"/>
  <c r="AF3864" i="11"/>
  <c r="AG3864" i="11" s="1"/>
  <c r="AF3869" i="11"/>
  <c r="AG3869" i="11" s="1"/>
  <c r="AF3787" i="11"/>
  <c r="AG3787" i="11" s="1"/>
  <c r="AF3843" i="11"/>
  <c r="AG3843" i="11" s="1"/>
  <c r="AF3805" i="11"/>
  <c r="AG3805" i="11" s="1"/>
  <c r="AF3885" i="11"/>
  <c r="AG3885" i="11" s="1"/>
  <c r="AF3883" i="11"/>
  <c r="AG3883" i="11" s="1"/>
  <c r="AO3883" i="11" s="1"/>
  <c r="AF3809" i="11"/>
  <c r="AG3809" i="11" s="1"/>
  <c r="AF3836" i="11"/>
  <c r="AG3836" i="11" s="1"/>
  <c r="AF3827" i="11"/>
  <c r="AG3827" i="11" s="1"/>
  <c r="AF3879" i="11"/>
  <c r="AG3879" i="11" s="1"/>
  <c r="AF3877" i="11"/>
  <c r="AG3877" i="11" s="1"/>
  <c r="AF3874" i="11"/>
  <c r="AG3874" i="11" s="1"/>
  <c r="AF3831" i="11"/>
  <c r="AG3831" i="11" s="1"/>
  <c r="AF3802" i="11"/>
  <c r="AG3802" i="11" s="1"/>
  <c r="AF3818" i="11"/>
  <c r="AG3818" i="11" s="1"/>
  <c r="AF3795" i="11"/>
  <c r="AG3795" i="11" s="1"/>
  <c r="AF3824" i="11"/>
  <c r="AG3824" i="11" s="1"/>
  <c r="AF3848" i="11"/>
  <c r="AG3848" i="11" s="1"/>
  <c r="AF3851" i="11"/>
  <c r="AG3851" i="11" s="1"/>
  <c r="AF3850" i="11"/>
  <c r="AG3850" i="11" s="1"/>
  <c r="AF3853" i="11"/>
  <c r="AG3853" i="11" s="1"/>
  <c r="AF3793" i="11"/>
  <c r="AG3793" i="11" s="1"/>
  <c r="AF3799" i="11"/>
  <c r="AG3799" i="11" s="1"/>
  <c r="AF3866" i="11"/>
  <c r="AG3866" i="11" s="1"/>
  <c r="AF3803" i="11"/>
  <c r="AG3803" i="11" s="1"/>
  <c r="AF3796" i="11"/>
  <c r="AG3796" i="11" s="1"/>
  <c r="AF3811" i="11"/>
  <c r="AG3811" i="11" s="1"/>
  <c r="AF3888" i="11"/>
  <c r="AG3888" i="11" s="1"/>
  <c r="AF3816" i="11"/>
  <c r="AG3816" i="11" s="1"/>
  <c r="AF3846" i="11"/>
  <c r="AG3846" i="11" s="1"/>
  <c r="AF3786" i="11"/>
  <c r="AG3786" i="11" s="1"/>
  <c r="O181" i="54"/>
  <c r="AF3859" i="11"/>
  <c r="AG3859" i="11" s="1"/>
  <c r="AF3797" i="11"/>
  <c r="AG3797" i="11" s="1"/>
  <c r="AF3791" i="11"/>
  <c r="AG3791" i="11" s="1"/>
  <c r="AF3810" i="11"/>
  <c r="AG3810" i="11" s="1"/>
  <c r="AF3833" i="11"/>
  <c r="AG3833" i="11" s="1"/>
  <c r="AF3792" i="11"/>
  <c r="AG3792" i="11" s="1"/>
  <c r="AF3856" i="11"/>
  <c r="AG3856" i="11" s="1"/>
  <c r="AF3837" i="11"/>
  <c r="AG3837" i="11" s="1"/>
  <c r="AF3789" i="11"/>
  <c r="AG3789" i="11" s="1"/>
  <c r="AF3828" i="11"/>
  <c r="AG3828" i="11" s="1"/>
  <c r="AF3868" i="11"/>
  <c r="AG3868" i="11" s="1"/>
  <c r="AF3808" i="11"/>
  <c r="AG3808" i="11" s="1"/>
  <c r="AF3855" i="11"/>
  <c r="AG3855" i="11" s="1"/>
  <c r="AF3863" i="11"/>
  <c r="AG3863" i="11" s="1"/>
  <c r="AF3860" i="11"/>
  <c r="AG3860" i="11" s="1"/>
  <c r="Q135" i="54"/>
  <c r="AF2631" i="11"/>
  <c r="AG2631" i="11" s="1"/>
  <c r="AF3732" i="11"/>
  <c r="AG3732" i="11" s="1"/>
  <c r="AO3732" i="11" s="1"/>
  <c r="AF3717" i="11"/>
  <c r="AG3717" i="11" s="1"/>
  <c r="AF3723" i="11"/>
  <c r="AG3723" i="11" s="1"/>
  <c r="AO3723" i="11" s="1"/>
  <c r="AF3689" i="11"/>
  <c r="AG3689" i="11" s="1"/>
  <c r="AF3782" i="11"/>
  <c r="AG3782" i="11" s="1"/>
  <c r="AO3782" i="11" s="1"/>
  <c r="AF3728" i="11"/>
  <c r="AG3728" i="11" s="1"/>
  <c r="AO3728" i="11" s="1"/>
  <c r="AF3749" i="11"/>
  <c r="AG3749" i="11" s="1"/>
  <c r="AO3749" i="11" s="1"/>
  <c r="AF3686" i="11"/>
  <c r="AG3686" i="11" s="1"/>
  <c r="AO3686" i="11" s="1"/>
  <c r="AF3683" i="11"/>
  <c r="AG3683" i="11" s="1"/>
  <c r="AO3683" i="11" s="1"/>
  <c r="AF3756" i="11"/>
  <c r="AG3756" i="11" s="1"/>
  <c r="AF3762" i="11"/>
  <c r="AG3762" i="11" s="1"/>
  <c r="AF3682" i="11"/>
  <c r="AG3682" i="11" s="1"/>
  <c r="AF3747" i="11"/>
  <c r="AG3747" i="11" s="1"/>
  <c r="AF3760" i="11"/>
  <c r="AG3760" i="11" s="1"/>
  <c r="AF3695" i="11"/>
  <c r="AG3695" i="11" s="1"/>
  <c r="AO3695" i="11" s="1"/>
  <c r="AF3775" i="11"/>
  <c r="AG3775" i="11" s="1"/>
  <c r="AO3775" i="11" s="1"/>
  <c r="AF3708" i="11"/>
  <c r="AG3708" i="11" s="1"/>
  <c r="AO3708" i="11" s="1"/>
  <c r="AF3755" i="11"/>
  <c r="AG3755" i="11" s="1"/>
  <c r="AO3755" i="11" s="1"/>
  <c r="AF3685" i="11"/>
  <c r="AG3685" i="11" s="1"/>
  <c r="AO3685" i="11" s="1"/>
  <c r="AF3705" i="11"/>
  <c r="AG3705" i="11" s="1"/>
  <c r="AF3693" i="11"/>
  <c r="AG3693" i="11" s="1"/>
  <c r="AO3693" i="11" s="1"/>
  <c r="AF3752" i="11"/>
  <c r="AG3752" i="11" s="1"/>
  <c r="AO3752" i="11" s="1"/>
  <c r="AF3753" i="11"/>
  <c r="AG3753" i="11" s="1"/>
  <c r="AF3725" i="11"/>
  <c r="AG3725" i="11" s="1"/>
  <c r="AF3763" i="11"/>
  <c r="AG3763" i="11" s="1"/>
  <c r="AF3694" i="11"/>
  <c r="AG3694" i="11" s="1"/>
  <c r="AF3754" i="11"/>
  <c r="AG3754" i="11" s="1"/>
  <c r="AF3721" i="11"/>
  <c r="AG3721" i="11" s="1"/>
  <c r="AF3759" i="11"/>
  <c r="AG3759" i="11" s="1"/>
  <c r="AO3759" i="11" s="1"/>
  <c r="AF3772" i="11"/>
  <c r="AG3772" i="11" s="1"/>
  <c r="AF3735" i="11"/>
  <c r="AG3735" i="11" s="1"/>
  <c r="AF3767" i="11"/>
  <c r="AG3767" i="11" s="1"/>
  <c r="AF3748" i="11"/>
  <c r="AG3748" i="11" s="1"/>
  <c r="AF3737" i="11"/>
  <c r="AG3737" i="11" s="1"/>
  <c r="AF3776" i="11"/>
  <c r="AG3776" i="11" s="1"/>
  <c r="AF3750" i="11"/>
  <c r="AG3750" i="11" s="1"/>
  <c r="AF3773" i="11"/>
  <c r="AG3773" i="11" s="1"/>
  <c r="AO3773" i="11" s="1"/>
  <c r="AF3777" i="11"/>
  <c r="AG3777" i="11" s="1"/>
  <c r="AF3757" i="11"/>
  <c r="AG3757" i="11" s="1"/>
  <c r="AF3769" i="11"/>
  <c r="AG3769" i="11" s="1"/>
  <c r="AF3768" i="11"/>
  <c r="AG3768" i="11" s="1"/>
  <c r="AO3768" i="11" s="1"/>
  <c r="AF3729" i="11"/>
  <c r="AG3729" i="11" s="1"/>
  <c r="AF3712" i="11"/>
  <c r="AG3712" i="11" s="1"/>
  <c r="AO3712" i="11" s="1"/>
  <c r="AF3688" i="11"/>
  <c r="AG3688" i="11" s="1"/>
  <c r="AO3688" i="11" s="1"/>
  <c r="AF3751" i="11"/>
  <c r="AG3751" i="11" s="1"/>
  <c r="AO3751" i="11" s="1"/>
  <c r="AF3745" i="11"/>
  <c r="AG3745" i="11" s="1"/>
  <c r="AF3707" i="11"/>
  <c r="AG3707" i="11" s="1"/>
  <c r="AF3739" i="11"/>
  <c r="AG3739" i="11" s="1"/>
  <c r="AF3680" i="11"/>
  <c r="AG3680" i="11" s="1"/>
  <c r="AO3680" i="11" s="1"/>
  <c r="AF3713" i="11"/>
  <c r="AG3713" i="11" s="1"/>
  <c r="AO3713" i="11" s="1"/>
  <c r="AF3720" i="11"/>
  <c r="AG3720" i="11" s="1"/>
  <c r="AO3720" i="11" s="1"/>
  <c r="AF3765" i="11"/>
  <c r="AG3765" i="11" s="1"/>
  <c r="AO3765" i="11" s="1"/>
  <c r="AF3733" i="11"/>
  <c r="AG3733" i="11" s="1"/>
  <c r="AF3727" i="11"/>
  <c r="AG3727" i="11" s="1"/>
  <c r="AF3774" i="11"/>
  <c r="AG3774" i="11" s="1"/>
  <c r="AF3687" i="11"/>
  <c r="AG3687" i="11" s="1"/>
  <c r="AF3684" i="11"/>
  <c r="AG3684" i="11" s="1"/>
  <c r="AO3684" i="11" s="1"/>
  <c r="AF3719" i="11"/>
  <c r="AG3719" i="11" s="1"/>
  <c r="AF3716" i="11"/>
  <c r="AG3716" i="11" s="1"/>
  <c r="AF3726" i="11"/>
  <c r="AG3726" i="11" s="1"/>
  <c r="AF3700" i="11"/>
  <c r="AG3700" i="11" s="1"/>
  <c r="AO3700" i="11" s="1"/>
  <c r="AF3699" i="11"/>
  <c r="AG3699" i="11" s="1"/>
  <c r="AF3701" i="11"/>
  <c r="AG3701" i="11" s="1"/>
  <c r="AO3701" i="11" s="1"/>
  <c r="AF3718" i="11"/>
  <c r="AG3718" i="11" s="1"/>
  <c r="AF3691" i="11"/>
  <c r="AG3691" i="11" s="1"/>
  <c r="AO3691" i="11" s="1"/>
  <c r="AF3766" i="11"/>
  <c r="AG3766" i="11" s="1"/>
  <c r="AF3697" i="11"/>
  <c r="AG3697" i="11" s="1"/>
  <c r="AO3697" i="11" s="1"/>
  <c r="AF3706" i="11"/>
  <c r="AG3706" i="11" s="1"/>
  <c r="AF3744" i="11"/>
  <c r="AG3744" i="11" s="1"/>
  <c r="AF3779" i="11"/>
  <c r="AG3779" i="11" s="1"/>
  <c r="AF3742" i="11"/>
  <c r="AG3742" i="11" s="1"/>
  <c r="AF3696" i="11"/>
  <c r="AG3696" i="11" s="1"/>
  <c r="AO3696" i="11" s="1"/>
  <c r="AF3722" i="11"/>
  <c r="AG3722" i="11" s="1"/>
  <c r="AF3740" i="11"/>
  <c r="AG3740" i="11" s="1"/>
  <c r="AF3784" i="11"/>
  <c r="AG3784" i="11" s="1"/>
  <c r="AF3730" i="11"/>
  <c r="AG3730" i="11" s="1"/>
  <c r="AF3692" i="11"/>
  <c r="AG3692" i="11" s="1"/>
  <c r="AF3734" i="11"/>
  <c r="AG3734" i="11" s="1"/>
  <c r="AO3734" i="11" s="1"/>
  <c r="AF3741" i="11"/>
  <c r="AG3741" i="11" s="1"/>
  <c r="AO3741" i="11" s="1"/>
  <c r="AF3738" i="11"/>
  <c r="AG3738" i="11" s="1"/>
  <c r="AF3761" i="11"/>
  <c r="AG3761" i="11" s="1"/>
  <c r="AO3761" i="11" s="1"/>
  <c r="AF3711" i="11"/>
  <c r="AG3711" i="11" s="1"/>
  <c r="AO3711" i="11" s="1"/>
  <c r="AF3681" i="11"/>
  <c r="AG3681" i="11" s="1"/>
  <c r="AF3780" i="11"/>
  <c r="AG3780" i="11" s="1"/>
  <c r="AF3698" i="11"/>
  <c r="AG3698" i="11" s="1"/>
  <c r="AF3714" i="11"/>
  <c r="AG3714" i="11" s="1"/>
  <c r="AF3702" i="11"/>
  <c r="AG3702" i="11" s="1"/>
  <c r="AF3690" i="11"/>
  <c r="AG3690" i="11" s="1"/>
  <c r="AF3781" i="11"/>
  <c r="AG3781" i="11" s="1"/>
  <c r="AF3704" i="11"/>
  <c r="AG3704" i="11" s="1"/>
  <c r="AO3704" i="11" s="1"/>
  <c r="AF3758" i="11"/>
  <c r="AG3758" i="11" s="1"/>
  <c r="AO3758" i="11" s="1"/>
  <c r="AF3703" i="11"/>
  <c r="AG3703" i="11" s="1"/>
  <c r="AO3703" i="11" s="1"/>
  <c r="AF3731" i="11"/>
  <c r="AG3731" i="11" s="1"/>
  <c r="AO3731" i="11" s="1"/>
  <c r="AK146" i="11"/>
  <c r="AL146" i="11" s="1"/>
  <c r="AK206" i="11"/>
  <c r="AL206" i="11" s="1"/>
  <c r="AK182" i="11"/>
  <c r="AL182" i="11" s="1"/>
  <c r="AK156" i="11"/>
  <c r="AL156" i="11" s="1"/>
  <c r="AK152" i="11"/>
  <c r="AL152" i="11" s="1"/>
  <c r="AK118" i="11"/>
  <c r="AL118" i="11" s="1"/>
  <c r="AK131" i="11"/>
  <c r="AL131" i="11" s="1"/>
  <c r="AK142" i="11"/>
  <c r="AL142" i="11" s="1"/>
  <c r="AK137" i="11"/>
  <c r="AL137" i="11" s="1"/>
  <c r="AK114" i="11"/>
  <c r="AL114" i="11" s="1"/>
  <c r="AK209" i="11"/>
  <c r="AL209" i="11" s="1"/>
  <c r="AK159" i="11"/>
  <c r="AL159" i="11" s="1"/>
  <c r="AK145" i="11"/>
  <c r="AL145" i="11" s="1"/>
  <c r="AK195" i="11"/>
  <c r="AL195" i="11" s="1"/>
  <c r="AK123" i="11"/>
  <c r="AL123" i="11" s="1"/>
  <c r="AK170" i="11"/>
  <c r="AL170" i="11" s="1"/>
  <c r="AK132" i="11"/>
  <c r="AL132" i="11" s="1"/>
  <c r="AK198" i="11"/>
  <c r="AL198" i="11" s="1"/>
  <c r="AK176" i="11"/>
  <c r="AL176" i="11" s="1"/>
  <c r="AK167" i="11"/>
  <c r="AL167" i="11" s="1"/>
  <c r="AK189" i="11"/>
  <c r="AL189" i="11" s="1"/>
  <c r="AK155" i="11"/>
  <c r="AL155" i="11" s="1"/>
  <c r="AK207" i="11"/>
  <c r="AL207" i="11" s="1"/>
  <c r="AK135" i="11"/>
  <c r="AL135" i="11" s="1"/>
  <c r="AK133" i="11"/>
  <c r="AL133" i="11" s="1"/>
  <c r="AK119" i="11"/>
  <c r="AL119" i="11" s="1"/>
  <c r="AK199" i="11"/>
  <c r="AL199" i="11" s="1"/>
  <c r="AK205" i="11"/>
  <c r="AL205" i="11" s="1"/>
  <c r="AK208" i="11"/>
  <c r="AL208" i="11" s="1"/>
  <c r="AK120" i="11"/>
  <c r="AL120" i="11" s="1"/>
  <c r="AK191" i="11"/>
  <c r="AL191" i="11" s="1"/>
  <c r="AK129" i="11"/>
  <c r="AL129" i="11" s="1"/>
  <c r="AK143" i="11"/>
  <c r="AL143" i="11" s="1"/>
  <c r="AK183" i="11"/>
  <c r="AL183" i="11" s="1"/>
  <c r="AK158" i="11"/>
  <c r="AL158" i="11" s="1"/>
  <c r="AK192" i="11"/>
  <c r="AL192" i="11" s="1"/>
  <c r="AK185" i="11"/>
  <c r="AL185" i="11" s="1"/>
  <c r="AK160" i="11"/>
  <c r="AL160" i="11" s="1"/>
  <c r="AK117" i="11"/>
  <c r="AL117" i="11" s="1"/>
  <c r="AK150" i="11"/>
  <c r="AL150" i="11" s="1"/>
  <c r="AK196" i="11"/>
  <c r="AL196" i="11" s="1"/>
  <c r="AK184" i="11"/>
  <c r="AL184" i="11" s="1"/>
  <c r="AK162" i="11"/>
  <c r="AL162" i="11" s="1"/>
  <c r="AK190" i="11"/>
  <c r="AL190" i="11" s="1"/>
  <c r="AK212" i="11"/>
  <c r="AL212" i="11" s="1"/>
  <c r="AK200" i="11"/>
  <c r="AL200" i="11" s="1"/>
  <c r="AK178" i="11"/>
  <c r="AL178" i="11" s="1"/>
  <c r="AK138" i="11"/>
  <c r="AL138" i="11" s="1"/>
  <c r="AK213" i="11"/>
  <c r="AL213" i="11" s="1"/>
  <c r="AK148" i="11"/>
  <c r="AL148" i="11" s="1"/>
  <c r="AK173" i="11"/>
  <c r="AL173" i="11" s="1"/>
  <c r="AK122" i="11"/>
  <c r="AL122" i="11" s="1"/>
  <c r="AK121" i="11"/>
  <c r="AL121" i="11" s="1"/>
  <c r="AK163" i="11"/>
  <c r="AL163" i="11" s="1"/>
  <c r="AK194" i="11"/>
  <c r="AL194" i="11" s="1"/>
  <c r="AK166" i="11"/>
  <c r="AL166" i="11" s="1"/>
  <c r="AK113" i="11"/>
  <c r="AL113" i="11" s="1"/>
  <c r="AK211" i="11"/>
  <c r="AL211" i="11" s="1"/>
  <c r="AK151" i="11"/>
  <c r="AL151" i="11" s="1"/>
  <c r="AK210" i="11"/>
  <c r="AL210" i="11" s="1"/>
  <c r="AK127" i="11"/>
  <c r="AL127" i="11" s="1"/>
  <c r="AK116" i="11"/>
  <c r="AL116" i="11" s="1"/>
  <c r="AK139" i="11"/>
  <c r="AL139" i="11" s="1"/>
  <c r="AK197" i="11"/>
  <c r="AL197" i="11" s="1"/>
  <c r="AK161" i="11"/>
  <c r="AL161" i="11" s="1"/>
  <c r="AK202" i="11"/>
  <c r="AL202" i="11" s="1"/>
  <c r="AK165" i="11"/>
  <c r="AL165" i="11" s="1"/>
  <c r="AK149" i="11"/>
  <c r="AL149" i="11" s="1"/>
  <c r="AK186" i="11"/>
  <c r="AL186" i="11" s="1"/>
  <c r="AK134" i="11"/>
  <c r="AL134" i="11" s="1"/>
  <c r="AK174" i="11"/>
  <c r="AL174" i="11" s="1"/>
  <c r="AK112" i="11"/>
  <c r="AL112" i="11" s="1"/>
  <c r="AK154" i="11"/>
  <c r="AL154" i="11" s="1"/>
  <c r="AK153" i="11"/>
  <c r="AL153" i="11" s="1"/>
  <c r="AK201" i="11"/>
  <c r="AL201" i="11" s="1"/>
  <c r="AK141" i="11"/>
  <c r="AL141" i="11" s="1"/>
  <c r="AK147" i="11"/>
  <c r="AL147" i="11" s="1"/>
  <c r="AK180" i="11"/>
  <c r="AL180" i="11" s="1"/>
  <c r="AK115" i="11"/>
  <c r="AL115" i="11" s="1"/>
  <c r="AK110" i="11"/>
  <c r="AL110" i="11" s="1"/>
  <c r="AK175" i="11"/>
  <c r="AL175" i="11" s="1"/>
  <c r="AK177" i="11"/>
  <c r="AL177" i="11" s="1"/>
  <c r="AK125" i="11"/>
  <c r="AL125" i="11" s="1"/>
  <c r="AK164" i="11"/>
  <c r="AL164" i="11" s="1"/>
  <c r="AK203" i="11"/>
  <c r="AL203" i="11" s="1"/>
  <c r="AK187" i="11"/>
  <c r="AL187" i="11" s="1"/>
  <c r="AK136" i="11"/>
  <c r="AL136" i="11" s="1"/>
  <c r="AK204" i="11"/>
  <c r="AL204" i="11" s="1"/>
  <c r="AK157" i="11"/>
  <c r="AL157" i="11" s="1"/>
  <c r="AK140" i="11"/>
  <c r="AL140" i="11" s="1"/>
  <c r="AK169" i="11"/>
  <c r="AL169" i="11" s="1"/>
  <c r="AK144" i="11"/>
  <c r="AL144" i="11" s="1"/>
  <c r="AK130" i="11"/>
  <c r="AL130" i="11" s="1"/>
  <c r="AK188" i="11"/>
  <c r="AL188" i="11" s="1"/>
  <c r="AK3175" i="11"/>
  <c r="AL3175" i="11" s="1"/>
  <c r="AK1843" i="11"/>
  <c r="AL1843" i="11" s="1"/>
  <c r="Q98" i="54"/>
  <c r="N275" i="54"/>
  <c r="AK3662" i="11"/>
  <c r="AL3662" i="11" s="1"/>
  <c r="AI1021" i="11"/>
  <c r="AJ1021" i="11" s="1"/>
  <c r="AF473" i="11"/>
  <c r="AG473" i="11" s="1"/>
  <c r="P156" i="54"/>
  <c r="P141" i="54"/>
  <c r="AK1681" i="11"/>
  <c r="AL1681" i="11" s="1"/>
  <c r="Q152" i="54"/>
  <c r="AD1838" i="11"/>
  <c r="AE1838" i="11" s="1"/>
  <c r="AD1823" i="11"/>
  <c r="AE1823" i="11" s="1"/>
  <c r="AN1823" i="11" s="1"/>
  <c r="AD1804" i="11"/>
  <c r="AE1804" i="11" s="1"/>
  <c r="AN1804" i="11" s="1"/>
  <c r="AD1884" i="11"/>
  <c r="AE1884" i="11" s="1"/>
  <c r="AN1884" i="11" s="1"/>
  <c r="AD1825" i="11"/>
  <c r="AE1825" i="11" s="1"/>
  <c r="AD1885" i="11"/>
  <c r="AE1885" i="11" s="1"/>
  <c r="AN1885" i="11" s="1"/>
  <c r="AD1824" i="11"/>
  <c r="AE1824" i="11" s="1"/>
  <c r="AN1824" i="11" s="1"/>
  <c r="AD1842" i="11"/>
  <c r="AE1842" i="11" s="1"/>
  <c r="AN1842" i="11" s="1"/>
  <c r="AD1806" i="11"/>
  <c r="AE1806" i="11" s="1"/>
  <c r="AN1806" i="11" s="1"/>
  <c r="AD1808" i="11"/>
  <c r="AE1808" i="11" s="1"/>
  <c r="AD1796" i="11"/>
  <c r="AE1796" i="11" s="1"/>
  <c r="AD1792" i="11"/>
  <c r="AE1792" i="11" s="1"/>
  <c r="AD1802" i="11"/>
  <c r="AE1802" i="11" s="1"/>
  <c r="AD1818" i="11"/>
  <c r="AE1818" i="11" s="1"/>
  <c r="AN1818" i="11" s="1"/>
  <c r="AD1849" i="11"/>
  <c r="AE1849" i="11" s="1"/>
  <c r="AD1877" i="11"/>
  <c r="AE1877" i="11" s="1"/>
  <c r="AD1890" i="11"/>
  <c r="AE1890" i="11" s="1"/>
  <c r="AD1872" i="11"/>
  <c r="AE1872" i="11" s="1"/>
  <c r="AD1837" i="11"/>
  <c r="AE1837" i="11" s="1"/>
  <c r="AN1837" i="11" s="1"/>
  <c r="AD1826" i="11"/>
  <c r="AE1826" i="11" s="1"/>
  <c r="AD1833" i="11"/>
  <c r="AE1833" i="11" s="1"/>
  <c r="AN1833" i="11" s="1"/>
  <c r="AD1799" i="11"/>
  <c r="AE1799" i="11" s="1"/>
  <c r="AD1829" i="11"/>
  <c r="AE1829" i="11" s="1"/>
  <c r="AN1829" i="11" s="1"/>
  <c r="AD1855" i="11"/>
  <c r="AE1855" i="11" s="1"/>
  <c r="AN1855" i="11" s="1"/>
  <c r="AD1798" i="11"/>
  <c r="AE1798" i="11" s="1"/>
  <c r="AD1847" i="11"/>
  <c r="AE1847" i="11" s="1"/>
  <c r="AN1847" i="11" s="1"/>
  <c r="AD1794" i="11"/>
  <c r="AE1794" i="11" s="1"/>
  <c r="AD1868" i="11"/>
  <c r="AE1868" i="11" s="1"/>
  <c r="AD1810" i="11"/>
  <c r="AE1810" i="11" s="1"/>
  <c r="AD1817" i="11"/>
  <c r="AE1817" i="11" s="1"/>
  <c r="AD1859" i="11"/>
  <c r="AE1859" i="11" s="1"/>
  <c r="AN1859" i="11" s="1"/>
  <c r="AD1851" i="11"/>
  <c r="AE1851" i="11" s="1"/>
  <c r="AD1819" i="11"/>
  <c r="AE1819" i="11" s="1"/>
  <c r="AN1819" i="11" s="1"/>
  <c r="AD1886" i="11"/>
  <c r="AE1886" i="11" s="1"/>
  <c r="AD1865" i="11"/>
  <c r="AE1865" i="11" s="1"/>
  <c r="AD1887" i="11"/>
  <c r="AE1887" i="11" s="1"/>
  <c r="AD1816" i="11"/>
  <c r="AE1816" i="11" s="1"/>
  <c r="AN1816" i="11" s="1"/>
  <c r="AD1888" i="11"/>
  <c r="AE1888" i="11" s="1"/>
  <c r="AD1874" i="11"/>
  <c r="AE1874" i="11" s="1"/>
  <c r="AD1834" i="11"/>
  <c r="AE1834" i="11" s="1"/>
  <c r="AD1822" i="11"/>
  <c r="AE1822" i="11" s="1"/>
  <c r="AD1795" i="11"/>
  <c r="AE1795" i="11" s="1"/>
  <c r="AD1813" i="11"/>
  <c r="AE1813" i="11" s="1"/>
  <c r="AN1813" i="11" s="1"/>
  <c r="AD1850" i="11"/>
  <c r="AE1850" i="11" s="1"/>
  <c r="AD1841" i="11"/>
  <c r="AE1841" i="11" s="1"/>
  <c r="AN1841" i="11" s="1"/>
  <c r="AD1828" i="11"/>
  <c r="AE1828" i="11" s="1"/>
  <c r="AD1864" i="11"/>
  <c r="AE1864" i="11" s="1"/>
  <c r="AN1864" i="11" s="1"/>
  <c r="AD1815" i="11"/>
  <c r="AE1815" i="11" s="1"/>
  <c r="AN1815" i="11" s="1"/>
  <c r="AD1835" i="11"/>
  <c r="AE1835" i="11" s="1"/>
  <c r="AN1835" i="11" s="1"/>
  <c r="AD1882" i="11"/>
  <c r="AE1882" i="11" s="1"/>
  <c r="AN1882" i="11" s="1"/>
  <c r="AD1889" i="11"/>
  <c r="AE1889" i="11" s="1"/>
  <c r="AD1867" i="11"/>
  <c r="AE1867" i="11" s="1"/>
  <c r="AD1857" i="11"/>
  <c r="AE1857" i="11" s="1"/>
  <c r="AD1880" i="11"/>
  <c r="AE1880" i="11" s="1"/>
  <c r="AD1863" i="11"/>
  <c r="AE1863" i="11" s="1"/>
  <c r="AD1821" i="11"/>
  <c r="AE1821" i="11" s="1"/>
  <c r="AD1827" i="11"/>
  <c r="AE1827" i="11" s="1"/>
  <c r="AN1827" i="11" s="1"/>
  <c r="AD1852" i="11"/>
  <c r="AE1852" i="11" s="1"/>
  <c r="AD1869" i="11"/>
  <c r="AE1869" i="11" s="1"/>
  <c r="AN1869" i="11" s="1"/>
  <c r="AD1840" i="11"/>
  <c r="AE1840" i="11" s="1"/>
  <c r="AN1840" i="11" s="1"/>
  <c r="AD1797" i="11"/>
  <c r="AE1797" i="11" s="1"/>
  <c r="AD1854" i="11"/>
  <c r="AE1854" i="11" s="1"/>
  <c r="AN1854" i="11" s="1"/>
  <c r="AD1812" i="11"/>
  <c r="AE1812" i="11" s="1"/>
  <c r="AD1848" i="11"/>
  <c r="AE1848" i="11" s="1"/>
  <c r="AD1793" i="11"/>
  <c r="AE1793" i="11" s="1"/>
  <c r="AD1853" i="11"/>
  <c r="AE1853" i="11" s="1"/>
  <c r="AD1862" i="11"/>
  <c r="AE1862" i="11" s="1"/>
  <c r="AD1881" i="11"/>
  <c r="AE1881" i="11" s="1"/>
  <c r="AD1894" i="11"/>
  <c r="AE1894" i="11" s="1"/>
  <c r="AD1844" i="11"/>
  <c r="AE1844" i="11" s="1"/>
  <c r="AD1809" i="11"/>
  <c r="AE1809" i="11" s="1"/>
  <c r="AN1809" i="11" s="1"/>
  <c r="AD1875" i="11"/>
  <c r="AE1875" i="11" s="1"/>
  <c r="AN1875" i="11" s="1"/>
  <c r="AD1846" i="11"/>
  <c r="AE1846" i="11" s="1"/>
  <c r="AD1832" i="11"/>
  <c r="AE1832" i="11" s="1"/>
  <c r="AN1832" i="11" s="1"/>
  <c r="AD1839" i="11"/>
  <c r="AE1839" i="11" s="1"/>
  <c r="AD1803" i="11"/>
  <c r="AE1803" i="11" s="1"/>
  <c r="AD1843" i="11"/>
  <c r="AE1843" i="11" s="1"/>
  <c r="AD1876" i="11"/>
  <c r="AE1876" i="11" s="1"/>
  <c r="AD1870" i="11"/>
  <c r="AE1870" i="11" s="1"/>
  <c r="AN1870" i="11" s="1"/>
  <c r="AD1800" i="11"/>
  <c r="AE1800" i="11" s="1"/>
  <c r="N197" i="54"/>
  <c r="AD1831" i="11"/>
  <c r="AE1831" i="11" s="1"/>
  <c r="AN1831" i="11" s="1"/>
  <c r="AD1858" i="11"/>
  <c r="AE1858" i="11" s="1"/>
  <c r="AD1820" i="11"/>
  <c r="AE1820" i="11" s="1"/>
  <c r="AN1820" i="11" s="1"/>
  <c r="AD1801" i="11"/>
  <c r="AE1801" i="11" s="1"/>
  <c r="AD1883" i="11"/>
  <c r="AE1883" i="11" s="1"/>
  <c r="AD1790" i="11"/>
  <c r="AE1790" i="11" s="1"/>
  <c r="AD1873" i="11"/>
  <c r="AE1873" i="11" s="1"/>
  <c r="AD1861" i="11"/>
  <c r="AE1861" i="11" s="1"/>
  <c r="AN1861" i="11" s="1"/>
  <c r="AD1871" i="11"/>
  <c r="AE1871" i="11" s="1"/>
  <c r="AD1805" i="11"/>
  <c r="AE1805" i="11" s="1"/>
  <c r="AN1805" i="11" s="1"/>
  <c r="AD1836" i="11"/>
  <c r="AE1836" i="11" s="1"/>
  <c r="AN1836" i="11" s="1"/>
  <c r="AD1807" i="11"/>
  <c r="AE1807" i="11" s="1"/>
  <c r="AN1807" i="11" s="1"/>
  <c r="AD1860" i="11"/>
  <c r="AE1860" i="11" s="1"/>
  <c r="AD1878" i="11"/>
  <c r="AE1878" i="11" s="1"/>
  <c r="AN1878" i="11" s="1"/>
  <c r="AD1866" i="11"/>
  <c r="AE1866" i="11" s="1"/>
  <c r="AN1866" i="11" s="1"/>
  <c r="AD1879" i="11"/>
  <c r="AE1879" i="11" s="1"/>
  <c r="AD1814" i="11"/>
  <c r="AE1814" i="11" s="1"/>
  <c r="AD1214" i="11"/>
  <c r="AE1214" i="11" s="1"/>
  <c r="AD1207" i="11"/>
  <c r="AE1207" i="11" s="1"/>
  <c r="AD1247" i="11"/>
  <c r="AE1247" i="11" s="1"/>
  <c r="AD1264" i="11"/>
  <c r="AE1264" i="11" s="1"/>
  <c r="AD1225" i="11"/>
  <c r="AE1225" i="11" s="1"/>
  <c r="AD1206" i="11"/>
  <c r="AE1206" i="11" s="1"/>
  <c r="AD1203" i="11"/>
  <c r="AE1203" i="11" s="1"/>
  <c r="AN1203" i="11" s="1"/>
  <c r="AD1232" i="11"/>
  <c r="AE1232" i="11" s="1"/>
  <c r="AD1195" i="11"/>
  <c r="AE1195" i="11" s="1"/>
  <c r="AD1218" i="11"/>
  <c r="AE1218" i="11" s="1"/>
  <c r="AD1211" i="11"/>
  <c r="AE1211" i="11" s="1"/>
  <c r="AD1241" i="11"/>
  <c r="AE1241" i="11" s="1"/>
  <c r="AD1198" i="11"/>
  <c r="AE1198" i="11" s="1"/>
  <c r="AN1198" i="11" s="1"/>
  <c r="AD1173" i="11"/>
  <c r="AE1173" i="11" s="1"/>
  <c r="AD1260" i="11"/>
  <c r="AE1260" i="11" s="1"/>
  <c r="AD1234" i="11"/>
  <c r="AE1234" i="11" s="1"/>
  <c r="AD1184" i="11"/>
  <c r="AE1184" i="11" s="1"/>
  <c r="AD1210" i="11"/>
  <c r="AE1210" i="11" s="1"/>
  <c r="AD1185" i="11"/>
  <c r="AE1185" i="11" s="1"/>
  <c r="AD1254" i="11"/>
  <c r="AE1254" i="11" s="1"/>
  <c r="AD1179" i="11"/>
  <c r="AE1179" i="11" s="1"/>
  <c r="AD1253" i="11"/>
  <c r="AE1253" i="11" s="1"/>
  <c r="AN1253" i="11" s="1"/>
  <c r="AD1220" i="11"/>
  <c r="AE1220" i="11" s="1"/>
  <c r="AD1186" i="11"/>
  <c r="AE1186" i="11" s="1"/>
  <c r="AD1242" i="11"/>
  <c r="AE1242" i="11" s="1"/>
  <c r="AD1199" i="11"/>
  <c r="AE1199" i="11" s="1"/>
  <c r="AD1250" i="11"/>
  <c r="AE1250" i="11" s="1"/>
  <c r="AD1187" i="11"/>
  <c r="AE1187" i="11" s="1"/>
  <c r="AD1249" i="11"/>
  <c r="AE1249" i="11" s="1"/>
  <c r="AD1230" i="11"/>
  <c r="AE1230" i="11" s="1"/>
  <c r="AN1230" i="11" s="1"/>
  <c r="AD1200" i="11"/>
  <c r="AE1200" i="11" s="1"/>
  <c r="AN1200" i="11" s="1"/>
  <c r="AD1170" i="11"/>
  <c r="AE1170" i="11" s="1"/>
  <c r="AD1209" i="11"/>
  <c r="AE1209" i="11" s="1"/>
  <c r="AD1205" i="11"/>
  <c r="AE1205" i="11" s="1"/>
  <c r="AN1205" i="11" s="1"/>
  <c r="AD1172" i="11"/>
  <c r="AE1172" i="11" s="1"/>
  <c r="AD1255" i="11"/>
  <c r="AE1255" i="11" s="1"/>
  <c r="AD1162" i="11"/>
  <c r="AE1162" i="11" s="1"/>
  <c r="AD1257" i="11"/>
  <c r="AE1257" i="11" s="1"/>
  <c r="AD1219" i="11"/>
  <c r="AE1219" i="11" s="1"/>
  <c r="AD1216" i="11"/>
  <c r="AE1216" i="11" s="1"/>
  <c r="AD1180" i="11"/>
  <c r="AE1180" i="11" s="1"/>
  <c r="AD1190" i="11"/>
  <c r="AE1190" i="11" s="1"/>
  <c r="AD1181" i="11"/>
  <c r="AE1181" i="11" s="1"/>
  <c r="AN1181" i="11" s="1"/>
  <c r="AD1165" i="11"/>
  <c r="AE1165" i="11" s="1"/>
  <c r="AD1215" i="11"/>
  <c r="AE1215" i="11" s="1"/>
  <c r="AD1233" i="11"/>
  <c r="AE1233" i="11" s="1"/>
  <c r="AD1262" i="11"/>
  <c r="AE1262" i="11" s="1"/>
  <c r="AD1217" i="11"/>
  <c r="AE1217" i="11" s="1"/>
  <c r="AD1248" i="11"/>
  <c r="AE1248" i="11" s="1"/>
  <c r="AD1163" i="11"/>
  <c r="AE1163" i="11" s="1"/>
  <c r="AD1188" i="11"/>
  <c r="AE1188" i="11" s="1"/>
  <c r="AD1221" i="11"/>
  <c r="AE1221" i="11" s="1"/>
  <c r="AD1196" i="11"/>
  <c r="AE1196" i="11" s="1"/>
  <c r="AD1245" i="11"/>
  <c r="AE1245" i="11" s="1"/>
  <c r="AD1235" i="11"/>
  <c r="AE1235" i="11" s="1"/>
  <c r="AD1246" i="11"/>
  <c r="AE1246" i="11" s="1"/>
  <c r="AD1259" i="11"/>
  <c r="AE1259" i="11" s="1"/>
  <c r="AD1252" i="11"/>
  <c r="AE1252" i="11" s="1"/>
  <c r="AN1252" i="11" s="1"/>
  <c r="AD1226" i="11"/>
  <c r="AE1226" i="11" s="1"/>
  <c r="AD1236" i="11"/>
  <c r="AE1236" i="11" s="1"/>
  <c r="AD1176" i="11"/>
  <c r="AE1176" i="11" s="1"/>
  <c r="AD1177" i="11"/>
  <c r="AE1177" i="11" s="1"/>
  <c r="AD1213" i="11"/>
  <c r="AE1213" i="11" s="1"/>
  <c r="AD1222" i="11"/>
  <c r="AE1222" i="11" s="1"/>
  <c r="AD1189" i="11"/>
  <c r="AE1189" i="11" s="1"/>
  <c r="AD1197" i="11"/>
  <c r="AE1197" i="11" s="1"/>
  <c r="AD1258" i="11"/>
  <c r="AE1258" i="11" s="1"/>
  <c r="AD1160" i="11"/>
  <c r="AE1160" i="11" s="1"/>
  <c r="AD1244" i="11"/>
  <c r="AE1244" i="11" s="1"/>
  <c r="AD1228" i="11"/>
  <c r="AE1228" i="11" s="1"/>
  <c r="AD1263" i="11"/>
  <c r="AE1263" i="11" s="1"/>
  <c r="AD1183" i="11"/>
  <c r="AE1183" i="11" s="1"/>
  <c r="AD1204" i="11"/>
  <c r="AE1204" i="11" s="1"/>
  <c r="AD1164" i="11"/>
  <c r="AE1164" i="11" s="1"/>
  <c r="AD1223" i="11"/>
  <c r="AE1223" i="11" s="1"/>
  <c r="AN1223" i="11" s="1"/>
  <c r="AD1229" i="11"/>
  <c r="AE1229" i="11" s="1"/>
  <c r="AD1166" i="11"/>
  <c r="AE1166" i="11" s="1"/>
  <c r="AD1261" i="11"/>
  <c r="AE1261" i="11" s="1"/>
  <c r="AD1201" i="11"/>
  <c r="AE1201" i="11" s="1"/>
  <c r="AD1193" i="11"/>
  <c r="AE1193" i="11" s="1"/>
  <c r="AD1194" i="11"/>
  <c r="AE1194" i="11" s="1"/>
  <c r="AN1194" i="11" s="1"/>
  <c r="AD1239" i="11"/>
  <c r="AE1239" i="11" s="1"/>
  <c r="AD1251" i="11"/>
  <c r="AE1251" i="11" s="1"/>
  <c r="AD1192" i="11"/>
  <c r="AE1192" i="11" s="1"/>
  <c r="AD1231" i="11"/>
  <c r="AE1231" i="11" s="1"/>
  <c r="AD1178" i="11"/>
  <c r="AE1178" i="11" s="1"/>
  <c r="AD1182" i="11"/>
  <c r="AE1182" i="11" s="1"/>
  <c r="AD1167" i="11"/>
  <c r="AE1167" i="11" s="1"/>
  <c r="AD1212" i="11"/>
  <c r="AE1212" i="11" s="1"/>
  <c r="AD1168" i="11"/>
  <c r="AE1168" i="11" s="1"/>
  <c r="N176" i="54"/>
  <c r="AD1243" i="11"/>
  <c r="AE1243" i="11" s="1"/>
  <c r="AD1171" i="11"/>
  <c r="AE1171" i="11" s="1"/>
  <c r="AD1191" i="11"/>
  <c r="AE1191" i="11" s="1"/>
  <c r="AD1227" i="11"/>
  <c r="AE1227" i="11" s="1"/>
  <c r="AD1169" i="11"/>
  <c r="AE1169" i="11" s="1"/>
  <c r="AD1237" i="11"/>
  <c r="AE1237" i="11" s="1"/>
  <c r="AD1202" i="11"/>
  <c r="AE1202" i="11" s="1"/>
  <c r="AN1202" i="11" s="1"/>
  <c r="AD1161" i="11"/>
  <c r="AE1161" i="11" s="1"/>
  <c r="AK2473" i="11"/>
  <c r="AL2473" i="11" s="1"/>
  <c r="AK2461" i="11"/>
  <c r="AL2461" i="11" s="1"/>
  <c r="AK2458" i="11"/>
  <c r="AL2458" i="11" s="1"/>
  <c r="AK2502" i="11"/>
  <c r="AL2502" i="11" s="1"/>
  <c r="AK2500" i="11"/>
  <c r="AL2500" i="11" s="1"/>
  <c r="AK2514" i="11"/>
  <c r="AL2514" i="11" s="1"/>
  <c r="AK2468" i="11"/>
  <c r="AL2468" i="11" s="1"/>
  <c r="AK2478" i="11"/>
  <c r="AL2478" i="11" s="1"/>
  <c r="AK2442" i="11"/>
  <c r="AL2442" i="11" s="1"/>
  <c r="AK2503" i="11"/>
  <c r="AL2503" i="11" s="1"/>
  <c r="AK2445" i="11"/>
  <c r="AL2445" i="11" s="1"/>
  <c r="AK2520" i="11"/>
  <c r="AL2520" i="11" s="1"/>
  <c r="AK2522" i="11"/>
  <c r="AL2522" i="11" s="1"/>
  <c r="AK2488" i="11"/>
  <c r="AL2488" i="11" s="1"/>
  <c r="AK2469" i="11"/>
  <c r="AL2469" i="11" s="1"/>
  <c r="AK2454" i="11"/>
  <c r="AL2454" i="11" s="1"/>
  <c r="AK2492" i="11"/>
  <c r="AL2492" i="11" s="1"/>
  <c r="AK2480" i="11"/>
  <c r="AL2480" i="11" s="1"/>
  <c r="AO2480" i="11" s="1"/>
  <c r="AK2448" i="11"/>
  <c r="AL2448" i="11" s="1"/>
  <c r="AK2425" i="11"/>
  <c r="AL2425" i="11" s="1"/>
  <c r="AK2516" i="11"/>
  <c r="AL2516" i="11" s="1"/>
  <c r="AK2505" i="11"/>
  <c r="AL2505" i="11" s="1"/>
  <c r="AK2432" i="11"/>
  <c r="AL2432" i="11" s="1"/>
  <c r="AK2476" i="11"/>
  <c r="AL2476" i="11" s="1"/>
  <c r="AK2421" i="11"/>
  <c r="AL2421" i="11" s="1"/>
  <c r="AK2422" i="11"/>
  <c r="AL2422" i="11" s="1"/>
  <c r="AK2464" i="11"/>
  <c r="AL2464" i="11" s="1"/>
  <c r="AK2450" i="11"/>
  <c r="AL2450" i="11" s="1"/>
  <c r="AK2460" i="11"/>
  <c r="AL2460" i="11" s="1"/>
  <c r="AK2430" i="11"/>
  <c r="AL2430" i="11" s="1"/>
  <c r="AK2470" i="11"/>
  <c r="AL2470" i="11" s="1"/>
  <c r="AK2433" i="11"/>
  <c r="AL2433" i="11" s="1"/>
  <c r="AK2437" i="11"/>
  <c r="AL2437" i="11" s="1"/>
  <c r="AK2427" i="11"/>
  <c r="AL2427" i="11" s="1"/>
  <c r="AK2434" i="11"/>
  <c r="AL2434" i="11" s="1"/>
  <c r="AK2496" i="11"/>
  <c r="AL2496" i="11" s="1"/>
  <c r="AK2482" i="11"/>
  <c r="AL2482" i="11" s="1"/>
  <c r="AK2509" i="11"/>
  <c r="AL2509" i="11" s="1"/>
  <c r="AK2501" i="11"/>
  <c r="AL2501" i="11" s="1"/>
  <c r="AK2420" i="11"/>
  <c r="AL2420" i="11" s="1"/>
  <c r="AK2485" i="11"/>
  <c r="AL2485" i="11" s="1"/>
  <c r="AK2489" i="11"/>
  <c r="AL2489" i="11" s="1"/>
  <c r="AK2490" i="11"/>
  <c r="AL2490" i="11" s="1"/>
  <c r="AK2453" i="11"/>
  <c r="AL2453" i="11" s="1"/>
  <c r="AK2475" i="11"/>
  <c r="AL2475" i="11" s="1"/>
  <c r="AK2524" i="11"/>
  <c r="AL2524" i="11" s="1"/>
  <c r="AK2440" i="11"/>
  <c r="AL2440" i="11" s="1"/>
  <c r="AK2479" i="11"/>
  <c r="AL2479" i="11" s="1"/>
  <c r="AK2494" i="11"/>
  <c r="AL2494" i="11" s="1"/>
  <c r="AK2519" i="11"/>
  <c r="AL2519" i="11" s="1"/>
  <c r="AK2504" i="11"/>
  <c r="AL2504" i="11" s="1"/>
  <c r="AK2459" i="11"/>
  <c r="AL2459" i="11" s="1"/>
  <c r="AK2511" i="11"/>
  <c r="AL2511" i="11" s="1"/>
  <c r="AK2491" i="11"/>
  <c r="AL2491" i="11" s="1"/>
  <c r="AK2512" i="11"/>
  <c r="AL2512" i="11" s="1"/>
  <c r="AK2484" i="11"/>
  <c r="AL2484" i="11" s="1"/>
  <c r="AK2515" i="11"/>
  <c r="AL2515" i="11" s="1"/>
  <c r="AK2495" i="11"/>
  <c r="AL2495" i="11" s="1"/>
  <c r="AK2452" i="11"/>
  <c r="AL2452" i="11" s="1"/>
  <c r="AK2472" i="11"/>
  <c r="AL2472" i="11" s="1"/>
  <c r="AK2435" i="11"/>
  <c r="AL2435" i="11" s="1"/>
  <c r="AK2449" i="11"/>
  <c r="AL2449" i="11" s="1"/>
  <c r="AK2455" i="11"/>
  <c r="AL2455" i="11" s="1"/>
  <c r="AK2436" i="11"/>
  <c r="AL2436" i="11" s="1"/>
  <c r="AK2444" i="11"/>
  <c r="AL2444" i="11" s="1"/>
  <c r="AK2423" i="11"/>
  <c r="AL2423" i="11" s="1"/>
  <c r="AK2439" i="11"/>
  <c r="AL2439" i="11" s="1"/>
  <c r="AK2506" i="11"/>
  <c r="AL2506" i="11" s="1"/>
  <c r="AK2446" i="11"/>
  <c r="AL2446" i="11" s="1"/>
  <c r="AK2477" i="11"/>
  <c r="AL2477" i="11" s="1"/>
  <c r="AK2497" i="11"/>
  <c r="AL2497" i="11" s="1"/>
  <c r="AK2481" i="11"/>
  <c r="AL2481" i="11" s="1"/>
  <c r="AK2467" i="11"/>
  <c r="AL2467" i="11" s="1"/>
  <c r="AK2508" i="11"/>
  <c r="AL2508" i="11" s="1"/>
  <c r="AK2447" i="11"/>
  <c r="AL2447" i="11" s="1"/>
  <c r="AK2428" i="11"/>
  <c r="AL2428" i="11" s="1"/>
  <c r="AK2513" i="11"/>
  <c r="AL2513" i="11" s="1"/>
  <c r="AK2517" i="11"/>
  <c r="AL2517" i="11" s="1"/>
  <c r="AK2518" i="11"/>
  <c r="AL2518" i="11" s="1"/>
  <c r="AK2507" i="11"/>
  <c r="AL2507" i="11" s="1"/>
  <c r="AK2483" i="11"/>
  <c r="AL2483" i="11" s="1"/>
  <c r="AK2451" i="11"/>
  <c r="AL2451" i="11" s="1"/>
  <c r="AK2424" i="11"/>
  <c r="AL2424" i="11" s="1"/>
  <c r="AK2493" i="11"/>
  <c r="AL2493" i="11" s="1"/>
  <c r="AK2426" i="11"/>
  <c r="AL2426" i="11" s="1"/>
  <c r="AK2456" i="11"/>
  <c r="AL2456" i="11" s="1"/>
  <c r="AK2443" i="11"/>
  <c r="AL2443" i="11" s="1"/>
  <c r="AK2465" i="11"/>
  <c r="AL2465" i="11" s="1"/>
  <c r="AK2499" i="11"/>
  <c r="AL2499" i="11" s="1"/>
  <c r="AK2462" i="11"/>
  <c r="AL2462" i="11" s="1"/>
  <c r="AK2431" i="11"/>
  <c r="AL2431" i="11" s="1"/>
  <c r="AK2471" i="11"/>
  <c r="AL2471" i="11" s="1"/>
  <c r="AK2498" i="11"/>
  <c r="AL2498" i="11" s="1"/>
  <c r="AK2457" i="11"/>
  <c r="AL2457" i="11" s="1"/>
  <c r="AK2429" i="11"/>
  <c r="AL2429" i="11" s="1"/>
  <c r="AK2641" i="11"/>
  <c r="AL2641" i="11" s="1"/>
  <c r="AK2635" i="11"/>
  <c r="AL2635" i="11" s="1"/>
  <c r="AK2689" i="11"/>
  <c r="AL2689" i="11" s="1"/>
  <c r="AK2634" i="11"/>
  <c r="AL2634" i="11" s="1"/>
  <c r="AK2656" i="11"/>
  <c r="AL2656" i="11" s="1"/>
  <c r="AK2700" i="11"/>
  <c r="AL2700" i="11" s="1"/>
  <c r="AK2662" i="11"/>
  <c r="AL2662" i="11" s="1"/>
  <c r="AK2690" i="11"/>
  <c r="AL2690" i="11" s="1"/>
  <c r="AK2708" i="11"/>
  <c r="AL2708" i="11" s="1"/>
  <c r="AK2696" i="11"/>
  <c r="AL2696" i="11" s="1"/>
  <c r="AK2668" i="11"/>
  <c r="AL2668" i="11" s="1"/>
  <c r="AK2706" i="11"/>
  <c r="AL2706" i="11" s="1"/>
  <c r="AK2699" i="11"/>
  <c r="AL2699" i="11" s="1"/>
  <c r="AK2703" i="11"/>
  <c r="AL2703" i="11" s="1"/>
  <c r="AK2717" i="11"/>
  <c r="AL2717" i="11" s="1"/>
  <c r="AK2657" i="11"/>
  <c r="AL2657" i="11" s="1"/>
  <c r="AK2658" i="11"/>
  <c r="AL2658" i="11" s="1"/>
  <c r="AK2692" i="11"/>
  <c r="AL2692" i="11" s="1"/>
  <c r="AK2723" i="11"/>
  <c r="AL2723" i="11" s="1"/>
  <c r="AK2661" i="11"/>
  <c r="AL2661" i="11" s="1"/>
  <c r="AK2631" i="11"/>
  <c r="AL2631" i="11" s="1"/>
  <c r="AK2652" i="11"/>
  <c r="AL2652" i="11" s="1"/>
  <c r="AK2722" i="11"/>
  <c r="AL2722" i="11" s="1"/>
  <c r="AK2655" i="11"/>
  <c r="AL2655" i="11" s="1"/>
  <c r="AK2729" i="11"/>
  <c r="AL2729" i="11" s="1"/>
  <c r="AK2685" i="11"/>
  <c r="AL2685" i="11" s="1"/>
  <c r="AK2688" i="11"/>
  <c r="AL2688" i="11" s="1"/>
  <c r="AK2679" i="11"/>
  <c r="AL2679" i="11" s="1"/>
  <c r="AK2730" i="11"/>
  <c r="AL2730" i="11" s="1"/>
  <c r="AK2632" i="11"/>
  <c r="AL2632" i="11" s="1"/>
  <c r="AK2727" i="11"/>
  <c r="AL2727" i="11" s="1"/>
  <c r="AK2701" i="11"/>
  <c r="AL2701" i="11" s="1"/>
  <c r="AK2684" i="11"/>
  <c r="AL2684" i="11" s="1"/>
  <c r="AK2648" i="11"/>
  <c r="AL2648" i="11" s="1"/>
  <c r="AK2666" i="11"/>
  <c r="AL2666" i="11" s="1"/>
  <c r="AK2647" i="11"/>
  <c r="AL2647" i="11" s="1"/>
  <c r="AK2636" i="11"/>
  <c r="AL2636" i="11" s="1"/>
  <c r="AK2673" i="11"/>
  <c r="AL2673" i="11" s="1"/>
  <c r="AK2664" i="11"/>
  <c r="AL2664" i="11" s="1"/>
  <c r="AK2707" i="11"/>
  <c r="AL2707" i="11" s="1"/>
  <c r="AK2638" i="11"/>
  <c r="AL2638" i="11" s="1"/>
  <c r="AK2637" i="11"/>
  <c r="AL2637" i="11" s="1"/>
  <c r="AK2645" i="11"/>
  <c r="AL2645" i="11" s="1"/>
  <c r="AK2676" i="11"/>
  <c r="AL2676" i="11" s="1"/>
  <c r="AK2721" i="11"/>
  <c r="AL2721" i="11" s="1"/>
  <c r="AK2733" i="11"/>
  <c r="AL2733" i="11" s="1"/>
  <c r="AK2671" i="11"/>
  <c r="AL2671" i="11" s="1"/>
  <c r="AK2646" i="11"/>
  <c r="AL2646" i="11" s="1"/>
  <c r="AK2650" i="11"/>
  <c r="AL2650" i="11" s="1"/>
  <c r="AK2669" i="11"/>
  <c r="AL2669" i="11" s="1"/>
  <c r="AK2691" i="11"/>
  <c r="AL2691" i="11" s="1"/>
  <c r="AK2705" i="11"/>
  <c r="AL2705" i="11" s="1"/>
  <c r="AK2734" i="11"/>
  <c r="AL2734" i="11" s="1"/>
  <c r="AK2720" i="11"/>
  <c r="AL2720" i="11" s="1"/>
  <c r="AK2687" i="11"/>
  <c r="AL2687" i="11" s="1"/>
  <c r="AK2644" i="11"/>
  <c r="AL2644" i="11" s="1"/>
  <c r="AK2630" i="11"/>
  <c r="AL2630" i="11" s="1"/>
  <c r="AK2682" i="11"/>
  <c r="AL2682" i="11" s="1"/>
  <c r="AK2667" i="11"/>
  <c r="AL2667" i="11" s="1"/>
  <c r="AK2702" i="11"/>
  <c r="AL2702" i="11" s="1"/>
  <c r="AK2670" i="11"/>
  <c r="AL2670" i="11" s="1"/>
  <c r="AK2678" i="11"/>
  <c r="AL2678" i="11" s="1"/>
  <c r="AK2728" i="11"/>
  <c r="AL2728" i="11" s="1"/>
  <c r="AK2697" i="11"/>
  <c r="AL2697" i="11" s="1"/>
  <c r="AK2709" i="11"/>
  <c r="AL2709" i="11" s="1"/>
  <c r="AK2713" i="11"/>
  <c r="AL2713" i="11" s="1"/>
  <c r="AK2640" i="11"/>
  <c r="AL2640" i="11" s="1"/>
  <c r="AK2677" i="11"/>
  <c r="AL2677" i="11" s="1"/>
  <c r="AK2716" i="11"/>
  <c r="AL2716" i="11" s="1"/>
  <c r="AK2704" i="11"/>
  <c r="AL2704" i="11" s="1"/>
  <c r="AK2659" i="11"/>
  <c r="AL2659" i="11" s="1"/>
  <c r="AK2654" i="11"/>
  <c r="AL2654" i="11" s="1"/>
  <c r="AK2686" i="11"/>
  <c r="AL2686" i="11" s="1"/>
  <c r="AK2698" i="11"/>
  <c r="AL2698" i="11" s="1"/>
  <c r="AK2719" i="11"/>
  <c r="AL2719" i="11" s="1"/>
  <c r="AK2694" i="11"/>
  <c r="AL2694" i="11" s="1"/>
  <c r="AK2665" i="11"/>
  <c r="AL2665" i="11" s="1"/>
  <c r="AK2718" i="11"/>
  <c r="AL2718" i="11" s="1"/>
  <c r="AK2714" i="11"/>
  <c r="AL2714" i="11" s="1"/>
  <c r="AK2680" i="11"/>
  <c r="AL2680" i="11" s="1"/>
  <c r="AK2715" i="11"/>
  <c r="AL2715" i="11" s="1"/>
  <c r="AK2726" i="11"/>
  <c r="AL2726" i="11" s="1"/>
  <c r="AK2674" i="11"/>
  <c r="AL2674" i="11" s="1"/>
  <c r="AK2693" i="11"/>
  <c r="AL2693" i="11" s="1"/>
  <c r="AK2732" i="11"/>
  <c r="AL2732" i="11" s="1"/>
  <c r="AK2681" i="11"/>
  <c r="AL2681" i="11" s="1"/>
  <c r="AK2725" i="11"/>
  <c r="AL2725" i="11" s="1"/>
  <c r="AK2663" i="11"/>
  <c r="AL2663" i="11" s="1"/>
  <c r="AK2695" i="11"/>
  <c r="AL2695" i="11" s="1"/>
  <c r="AK2660" i="11"/>
  <c r="AL2660" i="11" s="1"/>
  <c r="AK2712" i="11"/>
  <c r="AL2712" i="11" s="1"/>
  <c r="AK2711" i="11"/>
  <c r="AL2711" i="11" s="1"/>
  <c r="AK2639" i="11"/>
  <c r="AL2639" i="11" s="1"/>
  <c r="AK2710" i="11"/>
  <c r="AL2710" i="11" s="1"/>
  <c r="AK2675" i="11"/>
  <c r="AL2675" i="11" s="1"/>
  <c r="Q157" i="54"/>
  <c r="Q150" i="54"/>
  <c r="AF1389" i="11"/>
  <c r="AG1389" i="11" s="1"/>
  <c r="AI3257" i="11"/>
  <c r="AJ3257" i="11" s="1"/>
  <c r="AK657" i="11"/>
  <c r="AL657" i="11" s="1"/>
  <c r="AD1970" i="11"/>
  <c r="AE1970" i="11" s="1"/>
  <c r="AI2885" i="11"/>
  <c r="AJ2885" i="11" s="1"/>
  <c r="AI2944" i="11"/>
  <c r="AJ2944" i="11" s="1"/>
  <c r="AI2845" i="11"/>
  <c r="AJ2845" i="11" s="1"/>
  <c r="AI2901" i="11"/>
  <c r="AJ2901" i="11" s="1"/>
  <c r="AI2900" i="11"/>
  <c r="AJ2900" i="11" s="1"/>
  <c r="AI2919" i="11"/>
  <c r="AJ2919" i="11" s="1"/>
  <c r="AI2914" i="11"/>
  <c r="AJ2914" i="11" s="1"/>
  <c r="AI2899" i="11"/>
  <c r="AJ2899" i="11" s="1"/>
  <c r="AI2932" i="11"/>
  <c r="AJ2932" i="11" s="1"/>
  <c r="AI2855" i="11"/>
  <c r="AJ2855" i="11" s="1"/>
  <c r="AI2906" i="11"/>
  <c r="AJ2906" i="11" s="1"/>
  <c r="AI2928" i="11"/>
  <c r="AJ2928" i="11" s="1"/>
  <c r="AI2861" i="11"/>
  <c r="AJ2861" i="11" s="1"/>
  <c r="AI2842" i="11"/>
  <c r="AJ2842" i="11" s="1"/>
  <c r="AI2870" i="11"/>
  <c r="AJ2870" i="11" s="1"/>
  <c r="AI2907" i="11"/>
  <c r="AJ2907" i="11" s="1"/>
  <c r="AI2868" i="11"/>
  <c r="AJ2868" i="11" s="1"/>
  <c r="AI2874" i="11"/>
  <c r="AJ2874" i="11" s="1"/>
  <c r="AI2865" i="11"/>
  <c r="AJ2865" i="11" s="1"/>
  <c r="AI2866" i="11"/>
  <c r="AJ2866" i="11" s="1"/>
  <c r="AI2898" i="11"/>
  <c r="AJ2898" i="11" s="1"/>
  <c r="AI2841" i="11"/>
  <c r="AJ2841" i="11" s="1"/>
  <c r="AI2893" i="11"/>
  <c r="AJ2893" i="11" s="1"/>
  <c r="AI2918" i="11"/>
  <c r="AJ2918" i="11" s="1"/>
  <c r="AI2934" i="11"/>
  <c r="AJ2934" i="11" s="1"/>
  <c r="AI2847" i="11"/>
  <c r="AJ2847" i="11" s="1"/>
  <c r="AI2912" i="11"/>
  <c r="AJ2912" i="11" s="1"/>
  <c r="AI2887" i="11"/>
  <c r="AJ2887" i="11" s="1"/>
  <c r="AI2940" i="11"/>
  <c r="AJ2940" i="11" s="1"/>
  <c r="AI2878" i="11"/>
  <c r="AJ2878" i="11" s="1"/>
  <c r="AI2886" i="11"/>
  <c r="AJ2886" i="11" s="1"/>
  <c r="AN2886" i="11" s="1"/>
  <c r="AI2860" i="11"/>
  <c r="AJ2860" i="11" s="1"/>
  <c r="AI2864" i="11"/>
  <c r="AJ2864" i="11" s="1"/>
  <c r="AI2851" i="11"/>
  <c r="AJ2851" i="11" s="1"/>
  <c r="AI2926" i="11"/>
  <c r="AJ2926" i="11" s="1"/>
  <c r="AI2908" i="11"/>
  <c r="AJ2908" i="11" s="1"/>
  <c r="AI2943" i="11"/>
  <c r="AJ2943" i="11" s="1"/>
  <c r="AI2941" i="11"/>
  <c r="AJ2941" i="11" s="1"/>
  <c r="AI2867" i="11"/>
  <c r="AJ2867" i="11" s="1"/>
  <c r="AI2905" i="11"/>
  <c r="AJ2905" i="11" s="1"/>
  <c r="AI2888" i="11"/>
  <c r="AJ2888" i="11" s="1"/>
  <c r="AI2903" i="11"/>
  <c r="AJ2903" i="11" s="1"/>
  <c r="AI2890" i="11"/>
  <c r="AJ2890" i="11" s="1"/>
  <c r="AI2936" i="11"/>
  <c r="AJ2936" i="11" s="1"/>
  <c r="AI2892" i="11"/>
  <c r="AJ2892" i="11" s="1"/>
  <c r="AI2917" i="11"/>
  <c r="AJ2917" i="11" s="1"/>
  <c r="AI2843" i="11"/>
  <c r="AJ2843" i="11" s="1"/>
  <c r="AI2910" i="11"/>
  <c r="AJ2910" i="11" s="1"/>
  <c r="AI2848" i="11"/>
  <c r="AJ2848" i="11" s="1"/>
  <c r="AI2884" i="11"/>
  <c r="AJ2884" i="11" s="1"/>
  <c r="AI2856" i="11"/>
  <c r="AJ2856" i="11" s="1"/>
  <c r="AI2922" i="11"/>
  <c r="AJ2922" i="11" s="1"/>
  <c r="AI2871" i="11"/>
  <c r="AJ2871" i="11" s="1"/>
  <c r="AI2902" i="11"/>
  <c r="AJ2902" i="11" s="1"/>
  <c r="AI2939" i="11"/>
  <c r="AJ2939" i="11" s="1"/>
  <c r="AI2881" i="11"/>
  <c r="AJ2881" i="11" s="1"/>
  <c r="AI2916" i="11"/>
  <c r="AJ2916" i="11" s="1"/>
  <c r="AI2875" i="11"/>
  <c r="AJ2875" i="11" s="1"/>
  <c r="AI2889" i="11"/>
  <c r="AJ2889" i="11" s="1"/>
  <c r="AI2938" i="11"/>
  <c r="AJ2938" i="11" s="1"/>
  <c r="AI2857" i="11"/>
  <c r="AJ2857" i="11" s="1"/>
  <c r="AI2915" i="11"/>
  <c r="AJ2915" i="11" s="1"/>
  <c r="AI2895" i="11"/>
  <c r="AJ2895" i="11" s="1"/>
  <c r="AI2913" i="11"/>
  <c r="AJ2913" i="11" s="1"/>
  <c r="AI2942" i="11"/>
  <c r="AJ2942" i="11" s="1"/>
  <c r="AI2840" i="11"/>
  <c r="AJ2840" i="11" s="1"/>
  <c r="AI2929" i="11"/>
  <c r="AJ2929" i="11" s="1"/>
  <c r="AI2879" i="11"/>
  <c r="AJ2879" i="11" s="1"/>
  <c r="AI2920" i="11"/>
  <c r="AJ2920" i="11" s="1"/>
  <c r="AI2862" i="11"/>
  <c r="AJ2862" i="11" s="1"/>
  <c r="AI2854" i="11"/>
  <c r="AJ2854" i="11" s="1"/>
  <c r="AI2877" i="11"/>
  <c r="AJ2877" i="11" s="1"/>
  <c r="AI2891" i="11"/>
  <c r="AJ2891" i="11" s="1"/>
  <c r="AI2859" i="11"/>
  <c r="AJ2859" i="11" s="1"/>
  <c r="AI2935" i="11"/>
  <c r="AJ2935" i="11" s="1"/>
  <c r="AI2925" i="11"/>
  <c r="AJ2925" i="11" s="1"/>
  <c r="AI2880" i="11"/>
  <c r="AJ2880" i="11" s="1"/>
  <c r="AI2876" i="11"/>
  <c r="AJ2876" i="11" s="1"/>
  <c r="AI2923" i="11"/>
  <c r="AJ2923" i="11" s="1"/>
  <c r="AI2909" i="11"/>
  <c r="AJ2909" i="11" s="1"/>
  <c r="AI2911" i="11"/>
  <c r="AJ2911" i="11" s="1"/>
  <c r="AI2894" i="11"/>
  <c r="AJ2894" i="11" s="1"/>
  <c r="AI2846" i="11"/>
  <c r="AJ2846" i="11" s="1"/>
  <c r="AI2849" i="11"/>
  <c r="AJ2849" i="11" s="1"/>
  <c r="AI2852" i="11"/>
  <c r="AJ2852" i="11" s="1"/>
  <c r="AI2930" i="11"/>
  <c r="AJ2930" i="11" s="1"/>
  <c r="AI2924" i="11"/>
  <c r="AJ2924" i="11" s="1"/>
  <c r="AI2850" i="11"/>
  <c r="AJ2850" i="11" s="1"/>
  <c r="AI2882" i="11"/>
  <c r="AJ2882" i="11" s="1"/>
  <c r="AI2921" i="11"/>
  <c r="AJ2921" i="11" s="1"/>
  <c r="AI2858" i="11"/>
  <c r="AJ2858" i="11" s="1"/>
  <c r="AK761" i="11"/>
  <c r="AL761" i="11" s="1"/>
  <c r="AD2711" i="11"/>
  <c r="AE2711" i="11" s="1"/>
  <c r="AK232" i="11"/>
  <c r="AL232" i="11" s="1"/>
  <c r="P85" i="54"/>
  <c r="N262" i="54"/>
  <c r="Q142" i="54"/>
  <c r="AK304" i="11"/>
  <c r="AL304" i="11" s="1"/>
  <c r="O262" i="54"/>
  <c r="AD1923" i="11"/>
  <c r="AE1923" i="11" s="1"/>
  <c r="AF149" i="11"/>
  <c r="AG149" i="11" s="1"/>
  <c r="AD2440" i="11"/>
  <c r="AE2440" i="11" s="1"/>
  <c r="AK3814" i="11"/>
  <c r="AL3814" i="11" s="1"/>
  <c r="AK895" i="11"/>
  <c r="AL895" i="11" s="1"/>
  <c r="AK929" i="11"/>
  <c r="AL929" i="11" s="1"/>
  <c r="AK867" i="11"/>
  <c r="AL867" i="11" s="1"/>
  <c r="AK944" i="11"/>
  <c r="AL944" i="11" s="1"/>
  <c r="AK905" i="11"/>
  <c r="AL905" i="11" s="1"/>
  <c r="AK936" i="11"/>
  <c r="AL936" i="11" s="1"/>
  <c r="AK857" i="11"/>
  <c r="AL857" i="11" s="1"/>
  <c r="AK880" i="11"/>
  <c r="AL880" i="11" s="1"/>
  <c r="AK937" i="11"/>
  <c r="AL937" i="11" s="1"/>
  <c r="AK874" i="11"/>
  <c r="AL874" i="11" s="1"/>
  <c r="AK854" i="11"/>
  <c r="AL854" i="11" s="1"/>
  <c r="AK851" i="11"/>
  <c r="AL851" i="11" s="1"/>
  <c r="AK906" i="11"/>
  <c r="AL906" i="11" s="1"/>
  <c r="AK890" i="11"/>
  <c r="AL890" i="11" s="1"/>
  <c r="AK941" i="11"/>
  <c r="AL941" i="11" s="1"/>
  <c r="AK926" i="11"/>
  <c r="AL926" i="11" s="1"/>
  <c r="AK932" i="11"/>
  <c r="AL932" i="11" s="1"/>
  <c r="AK947" i="11"/>
  <c r="AL947" i="11" s="1"/>
  <c r="AK908" i="11"/>
  <c r="AL908" i="11" s="1"/>
  <c r="AK896" i="11"/>
  <c r="AL896" i="11" s="1"/>
  <c r="AK943" i="11"/>
  <c r="AL943" i="11" s="1"/>
  <c r="AK946" i="11"/>
  <c r="AL946" i="11" s="1"/>
  <c r="AK939" i="11"/>
  <c r="AL939" i="11" s="1"/>
  <c r="AK914" i="11"/>
  <c r="AL914" i="11" s="1"/>
  <c r="AK938" i="11"/>
  <c r="AL938" i="11" s="1"/>
  <c r="AK948" i="11"/>
  <c r="AL948" i="11" s="1"/>
  <c r="AK881" i="11"/>
  <c r="AL881" i="11" s="1"/>
  <c r="AK876" i="11"/>
  <c r="AL876" i="11" s="1"/>
  <c r="AK928" i="11"/>
  <c r="AL928" i="11" s="1"/>
  <c r="AK907" i="11"/>
  <c r="AL907" i="11" s="1"/>
  <c r="AK879" i="11"/>
  <c r="AL879" i="11" s="1"/>
  <c r="AK885" i="11"/>
  <c r="AL885" i="11" s="1"/>
  <c r="AK942" i="11"/>
  <c r="AL942" i="11" s="1"/>
  <c r="AK871" i="11"/>
  <c r="AL871" i="11" s="1"/>
  <c r="AK902" i="11"/>
  <c r="AL902" i="11" s="1"/>
  <c r="AK949" i="11"/>
  <c r="AL949" i="11" s="1"/>
  <c r="AK919" i="11"/>
  <c r="AL919" i="11" s="1"/>
  <c r="AK922" i="11"/>
  <c r="AL922" i="11" s="1"/>
  <c r="AK899" i="11"/>
  <c r="AL899" i="11" s="1"/>
  <c r="AK865" i="11"/>
  <c r="AL865" i="11" s="1"/>
  <c r="AK852" i="11"/>
  <c r="AL852" i="11" s="1"/>
  <c r="AK892" i="11"/>
  <c r="AL892" i="11" s="1"/>
  <c r="AK873" i="11"/>
  <c r="AL873" i="11" s="1"/>
  <c r="AK920" i="11"/>
  <c r="AL920" i="11" s="1"/>
  <c r="AK870" i="11"/>
  <c r="AL870" i="11" s="1"/>
  <c r="AK910" i="11"/>
  <c r="AL910" i="11" s="1"/>
  <c r="AK862" i="11"/>
  <c r="AL862" i="11" s="1"/>
  <c r="AK927" i="11"/>
  <c r="AL927" i="11" s="1"/>
  <c r="AK861" i="11"/>
  <c r="AL861" i="11" s="1"/>
  <c r="AK924" i="11"/>
  <c r="AL924" i="11" s="1"/>
  <c r="AK875" i="11"/>
  <c r="AL875" i="11" s="1"/>
  <c r="AK859" i="11"/>
  <c r="AL859" i="11" s="1"/>
  <c r="AK945" i="11"/>
  <c r="AL945" i="11" s="1"/>
  <c r="AK923" i="11"/>
  <c r="AL923" i="11" s="1"/>
  <c r="AK917" i="11"/>
  <c r="AL917" i="11" s="1"/>
  <c r="AK846" i="11"/>
  <c r="AL846" i="11" s="1"/>
  <c r="AK897" i="11"/>
  <c r="AL897" i="11" s="1"/>
  <c r="AK869" i="11"/>
  <c r="AL869" i="11" s="1"/>
  <c r="AK845" i="11"/>
  <c r="AL845" i="11" s="1"/>
  <c r="AK850" i="11"/>
  <c r="AL850" i="11" s="1"/>
  <c r="AK882" i="11"/>
  <c r="AL882" i="11" s="1"/>
  <c r="AK891" i="11"/>
  <c r="AL891" i="11" s="1"/>
  <c r="AK918" i="11"/>
  <c r="AL918" i="11" s="1"/>
  <c r="AK913" i="11"/>
  <c r="AL913" i="11" s="1"/>
  <c r="AK912" i="11"/>
  <c r="AL912" i="11" s="1"/>
  <c r="AK888" i="11"/>
  <c r="AL888" i="11" s="1"/>
  <c r="AK935" i="11"/>
  <c r="AL935" i="11" s="1"/>
  <c r="AK887" i="11"/>
  <c r="AL887" i="11" s="1"/>
  <c r="AK903" i="11"/>
  <c r="AL903" i="11" s="1"/>
  <c r="AK925" i="11"/>
  <c r="AL925" i="11" s="1"/>
  <c r="AK860" i="11"/>
  <c r="AL860" i="11" s="1"/>
  <c r="AK855" i="11"/>
  <c r="AL855" i="11" s="1"/>
  <c r="AK872" i="11"/>
  <c r="AL872" i="11" s="1"/>
  <c r="AK901" i="11"/>
  <c r="AL901" i="11" s="1"/>
  <c r="AK933" i="11"/>
  <c r="AL933" i="11" s="1"/>
  <c r="AK930" i="11"/>
  <c r="AL930" i="11" s="1"/>
  <c r="AK868" i="11"/>
  <c r="AL868" i="11" s="1"/>
  <c r="AK886" i="11"/>
  <c r="AL886" i="11" s="1"/>
  <c r="AK909" i="11"/>
  <c r="AL909" i="11" s="1"/>
  <c r="AK916" i="11"/>
  <c r="AL916" i="11" s="1"/>
  <c r="AK884" i="11"/>
  <c r="AL884" i="11" s="1"/>
  <c r="AK866" i="11"/>
  <c r="AL866" i="11" s="1"/>
  <c r="AK877" i="11"/>
  <c r="AL877" i="11" s="1"/>
  <c r="AK858" i="11"/>
  <c r="AL858" i="11" s="1"/>
  <c r="AK894" i="11"/>
  <c r="AL894" i="11" s="1"/>
  <c r="AK853" i="11"/>
  <c r="AL853" i="11" s="1"/>
  <c r="AK934" i="11"/>
  <c r="AL934" i="11" s="1"/>
  <c r="AK911" i="11"/>
  <c r="AL911" i="11" s="1"/>
  <c r="AK883" i="11"/>
  <c r="AL883" i="11" s="1"/>
  <c r="AK863" i="11"/>
  <c r="AL863" i="11" s="1"/>
  <c r="AK940" i="11"/>
  <c r="AL940" i="11" s="1"/>
  <c r="AK898" i="11"/>
  <c r="AL898" i="11" s="1"/>
  <c r="AK921" i="11"/>
  <c r="AL921" i="11" s="1"/>
  <c r="AK904" i="11"/>
  <c r="AL904" i="11" s="1"/>
  <c r="AK848" i="11"/>
  <c r="AL848" i="11" s="1"/>
  <c r="AK856" i="11"/>
  <c r="AL856" i="11" s="1"/>
  <c r="AK931" i="11"/>
  <c r="AL931" i="11" s="1"/>
  <c r="AD3460" i="11"/>
  <c r="AE3460" i="11" s="1"/>
  <c r="AK2605" i="11"/>
  <c r="AL2605" i="11" s="1"/>
  <c r="P101" i="54"/>
  <c r="P81" i="54"/>
  <c r="AD624" i="11"/>
  <c r="AE624" i="11" s="1"/>
  <c r="AI1009" i="11"/>
  <c r="AJ1009" i="11" s="1"/>
  <c r="AI788" i="11"/>
  <c r="AJ788" i="11" s="1"/>
  <c r="AD1350" i="11"/>
  <c r="AE1350" i="11" s="1"/>
  <c r="AI640" i="11"/>
  <c r="AJ640" i="11" s="1"/>
  <c r="AF1439" i="11"/>
  <c r="AG1439" i="11" s="1"/>
  <c r="AD2933" i="11"/>
  <c r="AE2933" i="11" s="1"/>
  <c r="AN2933" i="11" s="1"/>
  <c r="AF2696" i="11"/>
  <c r="AG2696" i="11" s="1"/>
  <c r="AF1893" i="11"/>
  <c r="AG1893" i="11" s="1"/>
  <c r="P99" i="54"/>
  <c r="Q100" i="54"/>
  <c r="AI1281" i="11"/>
  <c r="AJ1281" i="11" s="1"/>
  <c r="AF1407" i="11"/>
  <c r="AG1407" i="11" s="1"/>
  <c r="AI3628" i="11"/>
  <c r="AJ3628" i="11" s="1"/>
  <c r="AK124" i="11"/>
  <c r="AL124" i="11" s="1"/>
  <c r="AF1197" i="11"/>
  <c r="AG1197" i="11" s="1"/>
  <c r="AO1197" i="11" s="1"/>
  <c r="AI1003" i="11"/>
  <c r="AJ1003" i="11" s="1"/>
  <c r="AK3392" i="11"/>
  <c r="AL3392" i="11" s="1"/>
  <c r="AF2431" i="11"/>
  <c r="AG2431" i="11" s="1"/>
  <c r="AD3691" i="11"/>
  <c r="AE3691" i="11" s="1"/>
  <c r="AD2805" i="11"/>
  <c r="AE2805" i="11" s="1"/>
  <c r="AD932" i="11"/>
  <c r="AE932" i="11" s="1"/>
  <c r="AN932" i="11" s="1"/>
  <c r="AK2778" i="11"/>
  <c r="AL2778" i="11" s="1"/>
  <c r="AF767" i="11"/>
  <c r="AG767" i="11" s="1"/>
  <c r="AI456" i="11"/>
  <c r="AJ456" i="11" s="1"/>
  <c r="AI2550" i="11"/>
  <c r="AJ2550" i="11" s="1"/>
  <c r="AD3629" i="11"/>
  <c r="AE3629" i="11" s="1"/>
  <c r="AF3609" i="11"/>
  <c r="AG3609" i="11" s="1"/>
  <c r="AK1499" i="11"/>
  <c r="AL1499" i="11" s="1"/>
  <c r="AK92" i="11"/>
  <c r="AL92" i="11" s="1"/>
  <c r="AI190" i="11"/>
  <c r="AJ190" i="11" s="1"/>
  <c r="AD13" i="11"/>
  <c r="AE13" i="11" s="1"/>
  <c r="AK1035" i="11"/>
  <c r="AL1035" i="11" s="1"/>
  <c r="AD945" i="11"/>
  <c r="AE945" i="11" s="1"/>
  <c r="AN945" i="11" s="1"/>
  <c r="AD2219" i="11"/>
  <c r="AE2219" i="11" s="1"/>
  <c r="AF3440" i="11"/>
  <c r="AG3440" i="11" s="1"/>
  <c r="AO3440" i="11" s="1"/>
  <c r="AD2439" i="11"/>
  <c r="AE2439" i="11" s="1"/>
  <c r="AD3541" i="11"/>
  <c r="AE3541" i="11" s="1"/>
  <c r="AI238" i="11"/>
  <c r="AJ238" i="11" s="1"/>
  <c r="AF1792" i="11"/>
  <c r="AG1792" i="11" s="1"/>
  <c r="AO1792" i="11" s="1"/>
  <c r="AF2498" i="11"/>
  <c r="AG2498" i="11" s="1"/>
  <c r="AK2123" i="11"/>
  <c r="AL2123" i="11" s="1"/>
  <c r="AI1516" i="11"/>
  <c r="AJ1516" i="11" s="1"/>
  <c r="AI1421" i="11"/>
  <c r="AJ1421" i="11" s="1"/>
  <c r="AD266" i="11"/>
  <c r="AE266" i="11" s="1"/>
  <c r="AI3127" i="11"/>
  <c r="AJ3127" i="11" s="1"/>
  <c r="AF68" i="11"/>
  <c r="AG68" i="11" s="1"/>
  <c r="AF3710" i="11"/>
  <c r="AG3710" i="11" s="1"/>
  <c r="AF3067" i="11"/>
  <c r="AG3067" i="11" s="1"/>
  <c r="AO3067" i="11" s="1"/>
  <c r="AK1589" i="11"/>
  <c r="AL1589" i="11" s="1"/>
  <c r="AI2657" i="11"/>
  <c r="AJ2657" i="11" s="1"/>
  <c r="AD3013" i="11"/>
  <c r="AE3013" i="11" s="1"/>
  <c r="AD3312" i="11"/>
  <c r="AE3312" i="11" s="1"/>
  <c r="AI3110" i="11"/>
  <c r="AJ3110" i="11" s="1"/>
  <c r="AF51" i="11"/>
  <c r="AG51" i="11" s="1"/>
  <c r="AI3443" i="11"/>
  <c r="AJ3443" i="11" s="1"/>
  <c r="AI974" i="11"/>
  <c r="AJ974" i="11" s="1"/>
  <c r="AF757" i="11"/>
  <c r="AG757" i="11" s="1"/>
  <c r="AF3819" i="11"/>
  <c r="AG3819" i="11" s="1"/>
  <c r="AI3459" i="11"/>
  <c r="AJ3459" i="11" s="1"/>
  <c r="AK1496" i="11"/>
  <c r="AL1496" i="11" s="1"/>
  <c r="AD2743" i="11"/>
  <c r="AE2743" i="11" s="1"/>
  <c r="AD905" i="11"/>
  <c r="AE905" i="11" s="1"/>
  <c r="AI1028" i="11"/>
  <c r="AJ1028" i="11" s="1"/>
  <c r="AK3354" i="11"/>
  <c r="AL3354" i="11" s="1"/>
  <c r="AD1908" i="11"/>
  <c r="AE1908" i="11" s="1"/>
  <c r="AF726" i="11"/>
  <c r="AG726" i="11" s="1"/>
  <c r="AO726" i="11" s="1"/>
  <c r="AI86" i="11"/>
  <c r="AJ86" i="11" s="1"/>
  <c r="AI1514" i="11"/>
  <c r="AJ1514" i="11" s="1"/>
  <c r="AI2683" i="11"/>
  <c r="AJ2683" i="11" s="1"/>
  <c r="AF3660" i="11"/>
  <c r="AG3660" i="11" s="1"/>
  <c r="AO3660" i="11" s="1"/>
  <c r="AK50" i="11"/>
  <c r="AL50" i="11" s="1"/>
  <c r="AI2628" i="11"/>
  <c r="AJ2628" i="11" s="1"/>
  <c r="AK557" i="11"/>
  <c r="AL557" i="11" s="1"/>
  <c r="AD246" i="11"/>
  <c r="AE246" i="11" s="1"/>
  <c r="AK3709" i="11"/>
  <c r="AL3709" i="11" s="1"/>
  <c r="AD3253" i="11"/>
  <c r="AE3253" i="11" s="1"/>
  <c r="AN3253" i="11" s="1"/>
  <c r="AK978" i="11"/>
  <c r="AL978" i="11" s="1"/>
  <c r="AK2809" i="11"/>
  <c r="AL2809" i="11" s="1"/>
  <c r="AF2601" i="11"/>
  <c r="AG2601" i="11" s="1"/>
  <c r="AI172" i="11"/>
  <c r="AJ172" i="11" s="1"/>
  <c r="AN172" i="11" s="1"/>
  <c r="AD737" i="11"/>
  <c r="AE737" i="11" s="1"/>
  <c r="AN737" i="11" s="1"/>
  <c r="AF594" i="11"/>
  <c r="AG594" i="11" s="1"/>
  <c r="AO594" i="11" s="1"/>
  <c r="AF1298" i="11"/>
  <c r="AG1298" i="11" s="1"/>
  <c r="AO1298" i="11" s="1"/>
  <c r="AK1992" i="11"/>
  <c r="AL1992" i="11" s="1"/>
  <c r="AK1501" i="11"/>
  <c r="AL1501" i="11" s="1"/>
  <c r="AF1394" i="11"/>
  <c r="AG1394" i="11" s="1"/>
  <c r="AF1527" i="11"/>
  <c r="AG1527" i="11" s="1"/>
  <c r="AI363" i="11"/>
  <c r="AJ363" i="11" s="1"/>
  <c r="AD2788" i="11"/>
  <c r="AE2788" i="11" s="1"/>
  <c r="AF110" i="11"/>
  <c r="AG110" i="11" s="1"/>
  <c r="AK3588" i="11"/>
  <c r="AL3588" i="11" s="1"/>
  <c r="AI247" i="11"/>
  <c r="AJ247" i="11" s="1"/>
  <c r="AK2441" i="11"/>
  <c r="AL2441" i="11" s="1"/>
  <c r="AI2534" i="11"/>
  <c r="AJ2534" i="11" s="1"/>
  <c r="AI3877" i="11"/>
  <c r="AJ3877" i="11" s="1"/>
  <c r="AK716" i="11"/>
  <c r="AL716" i="11" s="1"/>
  <c r="AF581" i="11"/>
  <c r="AG581" i="11" s="1"/>
  <c r="AK2463" i="11"/>
  <c r="AL2463" i="11" s="1"/>
  <c r="AK3692" i="11"/>
  <c r="AL3692" i="11" s="1"/>
  <c r="AI709" i="11"/>
  <c r="AJ709" i="11" s="1"/>
  <c r="AI630" i="11"/>
  <c r="AJ630" i="11" s="1"/>
  <c r="AK1475" i="11"/>
  <c r="AL1475" i="11" s="1"/>
  <c r="AD530" i="11"/>
  <c r="AE530" i="11" s="1"/>
  <c r="AI3864" i="11"/>
  <c r="AJ3864" i="11" s="1"/>
  <c r="AD1174" i="11"/>
  <c r="AE1174" i="11" s="1"/>
  <c r="AF2731" i="11"/>
  <c r="AG2731" i="11" s="1"/>
  <c r="AI894" i="11"/>
  <c r="AJ894" i="11" s="1"/>
  <c r="AI241" i="11"/>
  <c r="AJ241" i="11" s="1"/>
  <c r="AI556" i="11"/>
  <c r="AJ556" i="11" s="1"/>
  <c r="AF3123" i="11"/>
  <c r="AG3123" i="11" s="1"/>
  <c r="AO3123" i="11" s="1"/>
  <c r="AF250" i="11"/>
  <c r="AG250" i="11" s="1"/>
  <c r="AI3236" i="11"/>
  <c r="AJ3236" i="11" s="1"/>
  <c r="AF3376" i="11"/>
  <c r="AG3376" i="11" s="1"/>
  <c r="AO3376" i="11" s="1"/>
  <c r="AK3261" i="11"/>
  <c r="AL3261" i="11" s="1"/>
  <c r="AF3390" i="11"/>
  <c r="AG3390" i="11" s="1"/>
  <c r="AF3783" i="11"/>
  <c r="AG3783" i="11" s="1"/>
  <c r="AO3783" i="11" s="1"/>
  <c r="AI2143" i="11"/>
  <c r="AJ2143" i="11" s="1"/>
  <c r="AF2577" i="11"/>
  <c r="AG2577" i="11" s="1"/>
  <c r="AO2577" i="11" s="1"/>
  <c r="AI2897" i="11"/>
  <c r="AJ2897" i="11" s="1"/>
  <c r="AF3201" i="11"/>
  <c r="AG3201" i="11" s="1"/>
  <c r="AF1475" i="11"/>
  <c r="AG1475" i="11" s="1"/>
  <c r="AF1742" i="11"/>
  <c r="AG1742" i="11" s="1"/>
  <c r="AD2350" i="11"/>
  <c r="AE2350" i="11" s="1"/>
  <c r="AD3568" i="11"/>
  <c r="AE3568" i="11" s="1"/>
  <c r="AD525" i="11"/>
  <c r="AE525" i="11" s="1"/>
  <c r="AI3413" i="11"/>
  <c r="AJ3413" i="11" s="1"/>
  <c r="AI921" i="11"/>
  <c r="AJ921" i="11" s="1"/>
  <c r="N173" i="54"/>
  <c r="AF43" i="11"/>
  <c r="AG43" i="11" s="1"/>
  <c r="AI2196" i="11"/>
  <c r="AJ2196" i="11" s="1"/>
  <c r="AK3661" i="11"/>
  <c r="AL3661" i="11" s="1"/>
  <c r="AF1159" i="11"/>
  <c r="AG1159" i="11" s="1"/>
  <c r="AI2274" i="11"/>
  <c r="AJ2274" i="11" s="1"/>
  <c r="AD76" i="11"/>
  <c r="AE76" i="11" s="1"/>
  <c r="AF1490" i="11"/>
  <c r="AG1490" i="11" s="1"/>
  <c r="AI2474" i="11"/>
  <c r="AJ2474" i="11" s="1"/>
  <c r="Q133" i="54"/>
  <c r="AK3471" i="11"/>
  <c r="AL3471" i="11" s="1"/>
  <c r="AK3574" i="11"/>
  <c r="AL3574" i="11" s="1"/>
  <c r="AK3562" i="11"/>
  <c r="AL3562" i="11" s="1"/>
  <c r="AK3551" i="11"/>
  <c r="AL3551" i="11" s="1"/>
  <c r="AK3505" i="11"/>
  <c r="AL3505" i="11" s="1"/>
  <c r="AK3490" i="11"/>
  <c r="AL3490" i="11" s="1"/>
  <c r="AK3569" i="11"/>
  <c r="AL3569" i="11" s="1"/>
  <c r="AK3532" i="11"/>
  <c r="AL3532" i="11" s="1"/>
  <c r="AK3559" i="11"/>
  <c r="AL3559" i="11" s="1"/>
  <c r="AK3549" i="11"/>
  <c r="AL3549" i="11" s="1"/>
  <c r="AK3539" i="11"/>
  <c r="AL3539" i="11" s="1"/>
  <c r="AK3470" i="11"/>
  <c r="AL3470" i="11" s="1"/>
  <c r="AK3525" i="11"/>
  <c r="AL3525" i="11" s="1"/>
  <c r="AK3508" i="11"/>
  <c r="AL3508" i="11" s="1"/>
  <c r="AK3524" i="11"/>
  <c r="AL3524" i="11" s="1"/>
  <c r="AK3552" i="11"/>
  <c r="AL3552" i="11" s="1"/>
  <c r="AK3510" i="11"/>
  <c r="AL3510" i="11" s="1"/>
  <c r="AK3565" i="11"/>
  <c r="AL3565" i="11" s="1"/>
  <c r="AK3515" i="11"/>
  <c r="AL3515" i="11" s="1"/>
  <c r="AK3472" i="11"/>
  <c r="AL3472" i="11" s="1"/>
  <c r="AK3536" i="11"/>
  <c r="AL3536" i="11" s="1"/>
  <c r="AK3491" i="11"/>
  <c r="AL3491" i="11" s="1"/>
  <c r="AK3560" i="11"/>
  <c r="AL3560" i="11" s="1"/>
  <c r="AK3568" i="11"/>
  <c r="AL3568" i="11" s="1"/>
  <c r="AK3484" i="11"/>
  <c r="AL3484" i="11" s="1"/>
  <c r="AK3570" i="11"/>
  <c r="AL3570" i="11" s="1"/>
  <c r="AK3567" i="11"/>
  <c r="AL3567" i="11" s="1"/>
  <c r="AK3504" i="11"/>
  <c r="AL3504" i="11" s="1"/>
  <c r="AK3477" i="11"/>
  <c r="AL3477" i="11" s="1"/>
  <c r="AK3571" i="11"/>
  <c r="AL3571" i="11" s="1"/>
  <c r="AK3497" i="11"/>
  <c r="AL3497" i="11" s="1"/>
  <c r="AK3506" i="11"/>
  <c r="AL3506" i="11" s="1"/>
  <c r="AK3474" i="11"/>
  <c r="AL3474" i="11" s="1"/>
  <c r="AK3475" i="11"/>
  <c r="AL3475" i="11" s="1"/>
  <c r="AK3482" i="11"/>
  <c r="AL3482" i="11" s="1"/>
  <c r="AK3476" i="11"/>
  <c r="AL3476" i="11" s="1"/>
  <c r="AK3517" i="11"/>
  <c r="AL3517" i="11" s="1"/>
  <c r="AK3496" i="11"/>
  <c r="AL3496" i="11" s="1"/>
  <c r="AK3483" i="11"/>
  <c r="AL3483" i="11" s="1"/>
  <c r="AK3566" i="11"/>
  <c r="AL3566" i="11" s="1"/>
  <c r="AK3512" i="11"/>
  <c r="AL3512" i="11" s="1"/>
  <c r="AK3489" i="11"/>
  <c r="AL3489" i="11" s="1"/>
  <c r="AK3557" i="11"/>
  <c r="AL3557" i="11" s="1"/>
  <c r="AK3481" i="11"/>
  <c r="AL3481" i="11" s="1"/>
  <c r="AK3479" i="11"/>
  <c r="AL3479" i="11" s="1"/>
  <c r="AK3531" i="11"/>
  <c r="AL3531" i="11" s="1"/>
  <c r="AK3555" i="11"/>
  <c r="AL3555" i="11" s="1"/>
  <c r="AK3556" i="11"/>
  <c r="AL3556" i="11" s="1"/>
  <c r="AK3513" i="11"/>
  <c r="AL3513" i="11" s="1"/>
  <c r="AK3511" i="11"/>
  <c r="AL3511" i="11" s="1"/>
  <c r="AK3527" i="11"/>
  <c r="AL3527" i="11" s="1"/>
  <c r="AK3526" i="11"/>
  <c r="AL3526" i="11" s="1"/>
  <c r="AK3486" i="11"/>
  <c r="AL3486" i="11" s="1"/>
  <c r="AK3529" i="11"/>
  <c r="AL3529" i="11" s="1"/>
  <c r="AK3503" i="11"/>
  <c r="AL3503" i="11" s="1"/>
  <c r="AK3494" i="11"/>
  <c r="AL3494" i="11" s="1"/>
  <c r="AK3534" i="11"/>
  <c r="AL3534" i="11" s="1"/>
  <c r="AK3541" i="11"/>
  <c r="AL3541" i="11" s="1"/>
  <c r="AK3548" i="11"/>
  <c r="AL3548" i="11" s="1"/>
  <c r="AK3498" i="11"/>
  <c r="AL3498" i="11" s="1"/>
  <c r="AK3492" i="11"/>
  <c r="AL3492" i="11" s="1"/>
  <c r="AK3518" i="11"/>
  <c r="AL3518" i="11" s="1"/>
  <c r="AK3519" i="11"/>
  <c r="AL3519" i="11" s="1"/>
  <c r="AK3480" i="11"/>
  <c r="AL3480" i="11" s="1"/>
  <c r="AK3554" i="11"/>
  <c r="AL3554" i="11" s="1"/>
  <c r="AK3507" i="11"/>
  <c r="AL3507" i="11" s="1"/>
  <c r="AK3572" i="11"/>
  <c r="AL3572" i="11" s="1"/>
  <c r="AK3501" i="11"/>
  <c r="AL3501" i="11" s="1"/>
  <c r="AK3485" i="11"/>
  <c r="AL3485" i="11" s="1"/>
  <c r="AK3538" i="11"/>
  <c r="AL3538" i="11" s="1"/>
  <c r="AK3499" i="11"/>
  <c r="AL3499" i="11" s="1"/>
  <c r="AK3544" i="11"/>
  <c r="AL3544" i="11" s="1"/>
  <c r="AK3530" i="11"/>
  <c r="AL3530" i="11" s="1"/>
  <c r="AK3495" i="11"/>
  <c r="AL3495" i="11" s="1"/>
  <c r="AK3550" i="11"/>
  <c r="AL3550" i="11" s="1"/>
  <c r="AK3546" i="11"/>
  <c r="AL3546" i="11" s="1"/>
  <c r="AK3533" i="11"/>
  <c r="AL3533" i="11" s="1"/>
  <c r="AK3473" i="11"/>
  <c r="AL3473" i="11" s="1"/>
  <c r="AK3563" i="11"/>
  <c r="AL3563" i="11" s="1"/>
  <c r="AK3520" i="11"/>
  <c r="AL3520" i="11" s="1"/>
  <c r="AK3528" i="11"/>
  <c r="AL3528" i="11" s="1"/>
  <c r="AK3537" i="11"/>
  <c r="AL3537" i="11" s="1"/>
  <c r="AK3493" i="11"/>
  <c r="AL3493" i="11" s="1"/>
  <c r="AK3535" i="11"/>
  <c r="AL3535" i="11" s="1"/>
  <c r="AK3553" i="11"/>
  <c r="AL3553" i="11" s="1"/>
  <c r="AK3564" i="11"/>
  <c r="AL3564" i="11" s="1"/>
  <c r="AK3521" i="11"/>
  <c r="AL3521" i="11" s="1"/>
  <c r="AK3573" i="11"/>
  <c r="AL3573" i="11" s="1"/>
  <c r="AK3500" i="11"/>
  <c r="AL3500" i="11" s="1"/>
  <c r="AK3478" i="11"/>
  <c r="AL3478" i="11" s="1"/>
  <c r="AK3488" i="11"/>
  <c r="AL3488" i="11" s="1"/>
  <c r="AK3547" i="11"/>
  <c r="AL3547" i="11" s="1"/>
  <c r="AK3502" i="11"/>
  <c r="AL3502" i="11" s="1"/>
  <c r="AK3516" i="11"/>
  <c r="AL3516" i="11" s="1"/>
  <c r="AK3509" i="11"/>
  <c r="AL3509" i="11" s="1"/>
  <c r="AF3338" i="11"/>
  <c r="AG3338" i="11" s="1"/>
  <c r="AO3338" i="11" s="1"/>
  <c r="AF3292" i="11"/>
  <c r="AG3292" i="11" s="1"/>
  <c r="AF3271" i="11"/>
  <c r="AG3271" i="11" s="1"/>
  <c r="AO3271" i="11" s="1"/>
  <c r="AF3290" i="11"/>
  <c r="AG3290" i="11" s="1"/>
  <c r="AF3323" i="11"/>
  <c r="AG3323" i="11" s="1"/>
  <c r="AO3323" i="11" s="1"/>
  <c r="AF3339" i="11"/>
  <c r="AG3339" i="11" s="1"/>
  <c r="AO3339" i="11" s="1"/>
  <c r="AF3316" i="11"/>
  <c r="AG3316" i="11" s="1"/>
  <c r="AF3286" i="11"/>
  <c r="AG3286" i="11" s="1"/>
  <c r="AO3286" i="11" s="1"/>
  <c r="AF3298" i="11"/>
  <c r="AG3298" i="11" s="1"/>
  <c r="AO3298" i="11" s="1"/>
  <c r="AF3319" i="11"/>
  <c r="AG3319" i="11" s="1"/>
  <c r="AO3319" i="11" s="1"/>
  <c r="AF3309" i="11"/>
  <c r="AG3309" i="11" s="1"/>
  <c r="AO3309" i="11" s="1"/>
  <c r="AF3280" i="11"/>
  <c r="AG3280" i="11" s="1"/>
  <c r="AF3269" i="11"/>
  <c r="AG3269" i="11" s="1"/>
  <c r="AO3269" i="11" s="1"/>
  <c r="AF3283" i="11"/>
  <c r="AG3283" i="11" s="1"/>
  <c r="AF3287" i="11"/>
  <c r="AG3287" i="11" s="1"/>
  <c r="AF3301" i="11"/>
  <c r="AG3301" i="11" s="1"/>
  <c r="AO3301" i="11" s="1"/>
  <c r="AF3265" i="11"/>
  <c r="AG3265" i="11" s="1"/>
  <c r="AF3321" i="11"/>
  <c r="AG3321" i="11" s="1"/>
  <c r="AO3321" i="11" s="1"/>
  <c r="AF3310" i="11"/>
  <c r="AG3310" i="11" s="1"/>
  <c r="AO3310" i="11" s="1"/>
  <c r="AF3347" i="11"/>
  <c r="AG3347" i="11" s="1"/>
  <c r="AF3351" i="11"/>
  <c r="AG3351" i="11" s="1"/>
  <c r="AF3326" i="11"/>
  <c r="AG3326" i="11" s="1"/>
  <c r="AF3260" i="11"/>
  <c r="AG3260" i="11" s="1"/>
  <c r="AF3354" i="11"/>
  <c r="AG3354" i="11" s="1"/>
  <c r="AO3354" i="11" s="1"/>
  <c r="AF3305" i="11"/>
  <c r="AG3305" i="11" s="1"/>
  <c r="AO3305" i="11" s="1"/>
  <c r="AF3329" i="11"/>
  <c r="AG3329" i="11" s="1"/>
  <c r="AF3275" i="11"/>
  <c r="AG3275" i="11" s="1"/>
  <c r="AF3291" i="11"/>
  <c r="AG3291" i="11" s="1"/>
  <c r="AO3291" i="11" s="1"/>
  <c r="AF3325" i="11"/>
  <c r="AG3325" i="11" s="1"/>
  <c r="AO3325" i="11" s="1"/>
  <c r="AF3358" i="11"/>
  <c r="AG3358" i="11" s="1"/>
  <c r="AO3358" i="11" s="1"/>
  <c r="AF3294" i="11"/>
  <c r="AG3294" i="11" s="1"/>
  <c r="AO3294" i="11" s="1"/>
  <c r="AF3331" i="11"/>
  <c r="AG3331" i="11" s="1"/>
  <c r="AF3322" i="11"/>
  <c r="AG3322" i="11" s="1"/>
  <c r="AO3322" i="11" s="1"/>
  <c r="AF3340" i="11"/>
  <c r="AG3340" i="11" s="1"/>
  <c r="AF3324" i="11"/>
  <c r="AG3324" i="11" s="1"/>
  <c r="AO3324" i="11" s="1"/>
  <c r="AF3343" i="11"/>
  <c r="AG3343" i="11" s="1"/>
  <c r="AF3314" i="11"/>
  <c r="AG3314" i="11" s="1"/>
  <c r="AO3314" i="11" s="1"/>
  <c r="AF3303" i="11"/>
  <c r="AG3303" i="11" s="1"/>
  <c r="AO3303" i="11" s="1"/>
  <c r="AF3299" i="11"/>
  <c r="AG3299" i="11" s="1"/>
  <c r="AF3268" i="11"/>
  <c r="AG3268" i="11" s="1"/>
  <c r="AO3268" i="11" s="1"/>
  <c r="AF3327" i="11"/>
  <c r="AG3327" i="11" s="1"/>
  <c r="AO3327" i="11" s="1"/>
  <c r="AF3353" i="11"/>
  <c r="AG3353" i="11" s="1"/>
  <c r="AF3333" i="11"/>
  <c r="AG3333" i="11" s="1"/>
  <c r="AO3333" i="11" s="1"/>
  <c r="AF3270" i="11"/>
  <c r="AG3270" i="11" s="1"/>
  <c r="O188" i="54"/>
  <c r="AF3276" i="11"/>
  <c r="AG3276" i="11" s="1"/>
  <c r="AO3276" i="11" s="1"/>
  <c r="AF3336" i="11"/>
  <c r="AG3336" i="11" s="1"/>
  <c r="AO3336" i="11" s="1"/>
  <c r="AF3346" i="11"/>
  <c r="AG3346" i="11" s="1"/>
  <c r="AO3346" i="11" s="1"/>
  <c r="AF3320" i="11"/>
  <c r="AG3320" i="11" s="1"/>
  <c r="AO3320" i="11" s="1"/>
  <c r="AF3306" i="11"/>
  <c r="AG3306" i="11" s="1"/>
  <c r="AF3289" i="11"/>
  <c r="AG3289" i="11" s="1"/>
  <c r="AF3272" i="11"/>
  <c r="AG3272" i="11" s="1"/>
  <c r="AO3272" i="11" s="1"/>
  <c r="AF3312" i="11"/>
  <c r="AG3312" i="11" s="1"/>
  <c r="AF3285" i="11"/>
  <c r="AG3285" i="11" s="1"/>
  <c r="AO3285" i="11" s="1"/>
  <c r="AF3342" i="11"/>
  <c r="AG3342" i="11" s="1"/>
  <c r="AF3297" i="11"/>
  <c r="AG3297" i="11" s="1"/>
  <c r="AF3308" i="11"/>
  <c r="AG3308" i="11" s="1"/>
  <c r="AO3308" i="11" s="1"/>
  <c r="AF3345" i="11"/>
  <c r="AG3345" i="11" s="1"/>
  <c r="AO3345" i="11" s="1"/>
  <c r="AF3313" i="11"/>
  <c r="AG3313" i="11" s="1"/>
  <c r="AF3332" i="11"/>
  <c r="AG3332" i="11" s="1"/>
  <c r="AO3332" i="11" s="1"/>
  <c r="AF3361" i="11"/>
  <c r="AG3361" i="11" s="1"/>
  <c r="AO3361" i="11" s="1"/>
  <c r="AF3337" i="11"/>
  <c r="AG3337" i="11" s="1"/>
  <c r="AO3337" i="11" s="1"/>
  <c r="AF3334" i="11"/>
  <c r="AG3334" i="11" s="1"/>
  <c r="AO3334" i="11" s="1"/>
  <c r="AF3300" i="11"/>
  <c r="AG3300" i="11" s="1"/>
  <c r="AO3300" i="11" s="1"/>
  <c r="AF3293" i="11"/>
  <c r="AG3293" i="11" s="1"/>
  <c r="AF3350" i="11"/>
  <c r="AG3350" i="11" s="1"/>
  <c r="AO3350" i="11" s="1"/>
  <c r="AF3264" i="11"/>
  <c r="AG3264" i="11" s="1"/>
  <c r="AO3264" i="11" s="1"/>
  <c r="AF3364" i="11"/>
  <c r="AG3364" i="11" s="1"/>
  <c r="AO3364" i="11" s="1"/>
  <c r="AF3295" i="11"/>
  <c r="AG3295" i="11" s="1"/>
  <c r="AO3295" i="11" s="1"/>
  <c r="AF3315" i="11"/>
  <c r="AG3315" i="11" s="1"/>
  <c r="AO3315" i="11" s="1"/>
  <c r="AF3266" i="11"/>
  <c r="AG3266" i="11" s="1"/>
  <c r="AO3266" i="11" s="1"/>
  <c r="AF3279" i="11"/>
  <c r="AG3279" i="11" s="1"/>
  <c r="AF3281" i="11"/>
  <c r="AG3281" i="11" s="1"/>
  <c r="AO3281" i="11" s="1"/>
  <c r="AF3317" i="11"/>
  <c r="AG3317" i="11" s="1"/>
  <c r="AF3362" i="11"/>
  <c r="AG3362" i="11" s="1"/>
  <c r="AO3362" i="11" s="1"/>
  <c r="AF3359" i="11"/>
  <c r="AG3359" i="11" s="1"/>
  <c r="AO3359" i="11" s="1"/>
  <c r="AF3302" i="11"/>
  <c r="AG3302" i="11" s="1"/>
  <c r="AO3302" i="11" s="1"/>
  <c r="AF3263" i="11"/>
  <c r="AG3263" i="11" s="1"/>
  <c r="AO3263" i="11" s="1"/>
  <c r="AF3318" i="11"/>
  <c r="AG3318" i="11" s="1"/>
  <c r="AO3318" i="11" s="1"/>
  <c r="AF3284" i="11"/>
  <c r="AG3284" i="11" s="1"/>
  <c r="AO3284" i="11" s="1"/>
  <c r="AF3357" i="11"/>
  <c r="AG3357" i="11" s="1"/>
  <c r="AF3330" i="11"/>
  <c r="AG3330" i="11" s="1"/>
  <c r="AO3330" i="11" s="1"/>
  <c r="AF3273" i="11"/>
  <c r="AG3273" i="11" s="1"/>
  <c r="AO3273" i="11" s="1"/>
  <c r="AF3328" i="11"/>
  <c r="AG3328" i="11" s="1"/>
  <c r="AO3328" i="11" s="1"/>
  <c r="AF3307" i="11"/>
  <c r="AG3307" i="11" s="1"/>
  <c r="AO3307" i="11" s="1"/>
  <c r="AF3274" i="11"/>
  <c r="AG3274" i="11" s="1"/>
  <c r="AF3278" i="11"/>
  <c r="AG3278" i="11" s="1"/>
  <c r="AO3278" i="11" s="1"/>
  <c r="AF3355" i="11"/>
  <c r="AG3355" i="11" s="1"/>
  <c r="AO3355" i="11" s="1"/>
  <c r="AF3352" i="11"/>
  <c r="AG3352" i="11" s="1"/>
  <c r="AF3262" i="11"/>
  <c r="AG3262" i="11" s="1"/>
  <c r="AO3262" i="11" s="1"/>
  <c r="AF3348" i="11"/>
  <c r="AG3348" i="11" s="1"/>
  <c r="AO3348" i="11" s="1"/>
  <c r="AF3349" i="11"/>
  <c r="AG3349" i="11" s="1"/>
  <c r="AF3288" i="11"/>
  <c r="AG3288" i="11" s="1"/>
  <c r="AF3311" i="11"/>
  <c r="AG3311" i="11" s="1"/>
  <c r="AO3311" i="11" s="1"/>
  <c r="AF3304" i="11"/>
  <c r="AG3304" i="11" s="1"/>
  <c r="AO3304" i="11" s="1"/>
  <c r="AF3296" i="11"/>
  <c r="AG3296" i="11" s="1"/>
  <c r="AO3296" i="11" s="1"/>
  <c r="AF3341" i="11"/>
  <c r="AG3341" i="11" s="1"/>
  <c r="AO3341" i="11" s="1"/>
  <c r="AD3620" i="11"/>
  <c r="AE3620" i="11" s="1"/>
  <c r="AD3625" i="11"/>
  <c r="AE3625" i="11" s="1"/>
  <c r="AN3625" i="11" s="1"/>
  <c r="AD3600" i="11"/>
  <c r="AE3600" i="11" s="1"/>
  <c r="AN3600" i="11" s="1"/>
  <c r="AD3605" i="11"/>
  <c r="AE3605" i="11" s="1"/>
  <c r="AN3605" i="11" s="1"/>
  <c r="AD3679" i="11"/>
  <c r="AE3679" i="11" s="1"/>
  <c r="AN3679" i="11" s="1"/>
  <c r="AD3582" i="11"/>
  <c r="AE3582" i="11" s="1"/>
  <c r="AN3582" i="11" s="1"/>
  <c r="AD3676" i="11"/>
  <c r="AE3676" i="11" s="1"/>
  <c r="AD3608" i="11"/>
  <c r="AE3608" i="11" s="1"/>
  <c r="AD3659" i="11"/>
  <c r="AE3659" i="11" s="1"/>
  <c r="AN3659" i="11" s="1"/>
  <c r="AD3672" i="11"/>
  <c r="AE3672" i="11" s="1"/>
  <c r="AD3603" i="11"/>
  <c r="AE3603" i="11" s="1"/>
  <c r="AN3603" i="11" s="1"/>
  <c r="AD3592" i="11"/>
  <c r="AE3592" i="11" s="1"/>
  <c r="AN3592" i="11" s="1"/>
  <c r="AD3613" i="11"/>
  <c r="AE3613" i="11" s="1"/>
  <c r="AN3613" i="11" s="1"/>
  <c r="AD3609" i="11"/>
  <c r="AE3609" i="11" s="1"/>
  <c r="AN3609" i="11" s="1"/>
  <c r="AD3615" i="11"/>
  <c r="AE3615" i="11" s="1"/>
  <c r="AN3615" i="11" s="1"/>
  <c r="AD3607" i="11"/>
  <c r="AE3607" i="11" s="1"/>
  <c r="AD3584" i="11"/>
  <c r="AE3584" i="11" s="1"/>
  <c r="AN3584" i="11" s="1"/>
  <c r="AD3646" i="11"/>
  <c r="AE3646" i="11" s="1"/>
  <c r="AN3646" i="11" s="1"/>
  <c r="AD3675" i="11"/>
  <c r="AE3675" i="11" s="1"/>
  <c r="AN3675" i="11" s="1"/>
  <c r="AD3622" i="11"/>
  <c r="AE3622" i="11" s="1"/>
  <c r="AD3647" i="11"/>
  <c r="AE3647" i="11" s="1"/>
  <c r="AD3580" i="11"/>
  <c r="AE3580" i="11" s="1"/>
  <c r="AD3661" i="11"/>
  <c r="AE3661" i="11" s="1"/>
  <c r="AD3627" i="11"/>
  <c r="AE3627" i="11" s="1"/>
  <c r="AN3627" i="11" s="1"/>
  <c r="AD3644" i="11"/>
  <c r="AE3644" i="11" s="1"/>
  <c r="AD3590" i="11"/>
  <c r="AE3590" i="11" s="1"/>
  <c r="AD3649" i="11"/>
  <c r="AE3649" i="11" s="1"/>
  <c r="AN3649" i="11" s="1"/>
  <c r="AD3658" i="11"/>
  <c r="AE3658" i="11" s="1"/>
  <c r="AN3658" i="11" s="1"/>
  <c r="AD3638" i="11"/>
  <c r="AE3638" i="11" s="1"/>
  <c r="AN3638" i="11" s="1"/>
  <c r="AD3630" i="11"/>
  <c r="AE3630" i="11" s="1"/>
  <c r="AN3630" i="11" s="1"/>
  <c r="AD3635" i="11"/>
  <c r="AE3635" i="11" s="1"/>
  <c r="AN3635" i="11" s="1"/>
  <c r="AD3628" i="11"/>
  <c r="AE3628" i="11" s="1"/>
  <c r="AD3606" i="11"/>
  <c r="AE3606" i="11" s="1"/>
  <c r="AN3606" i="11" s="1"/>
  <c r="AD3664" i="11"/>
  <c r="AE3664" i="11" s="1"/>
  <c r="AD3624" i="11"/>
  <c r="AE3624" i="11" s="1"/>
  <c r="AN3624" i="11" s="1"/>
  <c r="AD3640" i="11"/>
  <c r="AE3640" i="11" s="1"/>
  <c r="AN3640" i="11" s="1"/>
  <c r="AD3579" i="11"/>
  <c r="AE3579" i="11" s="1"/>
  <c r="AD3665" i="11"/>
  <c r="AE3665" i="11" s="1"/>
  <c r="AD3674" i="11"/>
  <c r="AE3674" i="11" s="1"/>
  <c r="AN3674" i="11" s="1"/>
  <c r="AD3616" i="11"/>
  <c r="AE3616" i="11" s="1"/>
  <c r="AD3651" i="11"/>
  <c r="AE3651" i="11" s="1"/>
  <c r="N178" i="54"/>
  <c r="AD3637" i="11"/>
  <c r="AE3637" i="11" s="1"/>
  <c r="AD3657" i="11"/>
  <c r="AE3657" i="11" s="1"/>
  <c r="AN3657" i="11" s="1"/>
  <c r="AD3663" i="11"/>
  <c r="AE3663" i="11" s="1"/>
  <c r="AN3663" i="11" s="1"/>
  <c r="AD3645" i="11"/>
  <c r="AE3645" i="11" s="1"/>
  <c r="AN3645" i="11" s="1"/>
  <c r="AD3594" i="11"/>
  <c r="AE3594" i="11" s="1"/>
  <c r="AD3626" i="11"/>
  <c r="AE3626" i="11" s="1"/>
  <c r="AN3626" i="11" s="1"/>
  <c r="AD3599" i="11"/>
  <c r="AE3599" i="11" s="1"/>
  <c r="AD3581" i="11"/>
  <c r="AE3581" i="11" s="1"/>
  <c r="AN3581" i="11" s="1"/>
  <c r="AD3597" i="11"/>
  <c r="AE3597" i="11" s="1"/>
  <c r="AN3597" i="11" s="1"/>
  <c r="AD3677" i="11"/>
  <c r="AE3677" i="11" s="1"/>
  <c r="AN3677" i="11" s="1"/>
  <c r="AD3619" i="11"/>
  <c r="AE3619" i="11" s="1"/>
  <c r="AN3619" i="11" s="1"/>
  <c r="AD3668" i="11"/>
  <c r="AE3668" i="11" s="1"/>
  <c r="AN3668" i="11" s="1"/>
  <c r="AD3591" i="11"/>
  <c r="AE3591" i="11" s="1"/>
  <c r="AD3583" i="11"/>
  <c r="AE3583" i="11" s="1"/>
  <c r="AD3632" i="11"/>
  <c r="AE3632" i="11" s="1"/>
  <c r="AD3678" i="11"/>
  <c r="AE3678" i="11" s="1"/>
  <c r="AN3678" i="11" s="1"/>
  <c r="AD3593" i="11"/>
  <c r="AE3593" i="11" s="1"/>
  <c r="AN3593" i="11" s="1"/>
  <c r="AD3653" i="11"/>
  <c r="AE3653" i="11" s="1"/>
  <c r="AN3653" i="11" s="1"/>
  <c r="AD3614" i="11"/>
  <c r="AE3614" i="11" s="1"/>
  <c r="AD3655" i="11"/>
  <c r="AE3655" i="11" s="1"/>
  <c r="AN3655" i="11" s="1"/>
  <c r="AD3610" i="11"/>
  <c r="AE3610" i="11" s="1"/>
  <c r="AN3610" i="11" s="1"/>
  <c r="AD3586" i="11"/>
  <c r="AE3586" i="11" s="1"/>
  <c r="AN3586" i="11" s="1"/>
  <c r="AD3588" i="11"/>
  <c r="AE3588" i="11" s="1"/>
  <c r="AN3588" i="11" s="1"/>
  <c r="AD3578" i="11"/>
  <c r="AE3578" i="11" s="1"/>
  <c r="AN3578" i="11" s="1"/>
  <c r="AD3673" i="11"/>
  <c r="AE3673" i="11" s="1"/>
  <c r="AN3673" i="11" s="1"/>
  <c r="AD3634" i="11"/>
  <c r="AE3634" i="11" s="1"/>
  <c r="AN3634" i="11" s="1"/>
  <c r="AD3589" i="11"/>
  <c r="AE3589" i="11" s="1"/>
  <c r="AN3589" i="11" s="1"/>
  <c r="AD3666" i="11"/>
  <c r="AE3666" i="11" s="1"/>
  <c r="AN3666" i="11" s="1"/>
  <c r="AD3577" i="11"/>
  <c r="AE3577" i="11" s="1"/>
  <c r="AN3577" i="11" s="1"/>
  <c r="AD3585" i="11"/>
  <c r="AE3585" i="11" s="1"/>
  <c r="AN3585" i="11" s="1"/>
  <c r="AD3598" i="11"/>
  <c r="AE3598" i="11" s="1"/>
  <c r="AN3598" i="11" s="1"/>
  <c r="AD3617" i="11"/>
  <c r="AE3617" i="11" s="1"/>
  <c r="AD3656" i="11"/>
  <c r="AE3656" i="11" s="1"/>
  <c r="AN3656" i="11" s="1"/>
  <c r="AD3636" i="11"/>
  <c r="AE3636" i="11" s="1"/>
  <c r="AN3636" i="11" s="1"/>
  <c r="AD3633" i="11"/>
  <c r="AE3633" i="11" s="1"/>
  <c r="AN3633" i="11" s="1"/>
  <c r="AD3576" i="11"/>
  <c r="AE3576" i="11" s="1"/>
  <c r="AD3670" i="11"/>
  <c r="AE3670" i="11" s="1"/>
  <c r="AN3670" i="11" s="1"/>
  <c r="AD3611" i="11"/>
  <c r="AE3611" i="11" s="1"/>
  <c r="AD3575" i="11"/>
  <c r="AE3575" i="11" s="1"/>
  <c r="AN3575" i="11" s="1"/>
  <c r="AD3662" i="11"/>
  <c r="AE3662" i="11" s="1"/>
  <c r="AN3662" i="11" s="1"/>
  <c r="AD3596" i="11"/>
  <c r="AE3596" i="11" s="1"/>
  <c r="AD3595" i="11"/>
  <c r="AE3595" i="11" s="1"/>
  <c r="AN3595" i="11" s="1"/>
  <c r="AD3587" i="11"/>
  <c r="AE3587" i="11" s="1"/>
  <c r="AD3618" i="11"/>
  <c r="AE3618" i="11" s="1"/>
  <c r="AN3618" i="11" s="1"/>
  <c r="AD3642" i="11"/>
  <c r="AE3642" i="11" s="1"/>
  <c r="AN3642" i="11" s="1"/>
  <c r="AD3667" i="11"/>
  <c r="AE3667" i="11" s="1"/>
  <c r="AN3667" i="11" s="1"/>
  <c r="AD3641" i="11"/>
  <c r="AE3641" i="11" s="1"/>
  <c r="AD3601" i="11"/>
  <c r="AE3601" i="11" s="1"/>
  <c r="AN3601" i="11" s="1"/>
  <c r="AD3648" i="11"/>
  <c r="AE3648" i="11" s="1"/>
  <c r="AF2806" i="11"/>
  <c r="AG2806" i="11" s="1"/>
  <c r="AO2806" i="11" s="1"/>
  <c r="AF2788" i="11"/>
  <c r="AG2788" i="11" s="1"/>
  <c r="AF2766" i="11"/>
  <c r="AG2766" i="11" s="1"/>
  <c r="AF2772" i="11"/>
  <c r="AG2772" i="11" s="1"/>
  <c r="AO2772" i="11" s="1"/>
  <c r="AF2749" i="11"/>
  <c r="AG2749" i="11" s="1"/>
  <c r="AO2749" i="11" s="1"/>
  <c r="AF2785" i="11"/>
  <c r="AG2785" i="11" s="1"/>
  <c r="AF2742" i="11"/>
  <c r="AG2742" i="11" s="1"/>
  <c r="AO2742" i="11" s="1"/>
  <c r="AF2764" i="11"/>
  <c r="AG2764" i="11" s="1"/>
  <c r="AO2764" i="11" s="1"/>
  <c r="AF2786" i="11"/>
  <c r="AG2786" i="11" s="1"/>
  <c r="AF2829" i="11"/>
  <c r="AG2829" i="11" s="1"/>
  <c r="AF2752" i="11"/>
  <c r="AG2752" i="11" s="1"/>
  <c r="AO2752" i="11" s="1"/>
  <c r="AF2826" i="11"/>
  <c r="AG2826" i="11" s="1"/>
  <c r="AO2826" i="11" s="1"/>
  <c r="AF2832" i="11"/>
  <c r="AG2832" i="11" s="1"/>
  <c r="AF2741" i="11"/>
  <c r="AG2741" i="11" s="1"/>
  <c r="AF2827" i="11"/>
  <c r="AG2827" i="11" s="1"/>
  <c r="AO2827" i="11" s="1"/>
  <c r="AF2761" i="11"/>
  <c r="AG2761" i="11" s="1"/>
  <c r="AO2761" i="11" s="1"/>
  <c r="AF2791" i="11"/>
  <c r="AG2791" i="11" s="1"/>
  <c r="AO2791" i="11" s="1"/>
  <c r="AF2813" i="11"/>
  <c r="AG2813" i="11" s="1"/>
  <c r="AO2813" i="11" s="1"/>
  <c r="AF2735" i="11"/>
  <c r="AG2735" i="11" s="1"/>
  <c r="AO2735" i="11" s="1"/>
  <c r="AF2838" i="11"/>
  <c r="AG2838" i="11" s="1"/>
  <c r="AF2805" i="11"/>
  <c r="AG2805" i="11" s="1"/>
  <c r="AO2805" i="11" s="1"/>
  <c r="AF2753" i="11"/>
  <c r="AG2753" i="11" s="1"/>
  <c r="AO2753" i="11" s="1"/>
  <c r="AF2793" i="11"/>
  <c r="AG2793" i="11" s="1"/>
  <c r="AO2793" i="11" s="1"/>
  <c r="AF2792" i="11"/>
  <c r="AG2792" i="11" s="1"/>
  <c r="AO2792" i="11" s="1"/>
  <c r="AF2759" i="11"/>
  <c r="AG2759" i="11" s="1"/>
  <c r="AO2759" i="11" s="1"/>
  <c r="AF2784" i="11"/>
  <c r="AG2784" i="11" s="1"/>
  <c r="AO2784" i="11" s="1"/>
  <c r="AF2801" i="11"/>
  <c r="AG2801" i="11" s="1"/>
  <c r="AO2801" i="11" s="1"/>
  <c r="AF2787" i="11"/>
  <c r="AG2787" i="11" s="1"/>
  <c r="AF2767" i="11"/>
  <c r="AG2767" i="11" s="1"/>
  <c r="AF2750" i="11"/>
  <c r="AG2750" i="11" s="1"/>
  <c r="AF2765" i="11"/>
  <c r="AG2765" i="11" s="1"/>
  <c r="AO2765" i="11" s="1"/>
  <c r="AF2812" i="11"/>
  <c r="AG2812" i="11" s="1"/>
  <c r="AO2812" i="11" s="1"/>
  <c r="AF2745" i="11"/>
  <c r="AG2745" i="11" s="1"/>
  <c r="AF2736" i="11"/>
  <c r="AG2736" i="11" s="1"/>
  <c r="AF2781" i="11"/>
  <c r="AG2781" i="11" s="1"/>
  <c r="AO2781" i="11" s="1"/>
  <c r="AF2818" i="11"/>
  <c r="AG2818" i="11" s="1"/>
  <c r="AO2818" i="11" s="1"/>
  <c r="AF2755" i="11"/>
  <c r="AG2755" i="11" s="1"/>
  <c r="AF2814" i="11"/>
  <c r="AG2814" i="11" s="1"/>
  <c r="AF2751" i="11"/>
  <c r="AG2751" i="11" s="1"/>
  <c r="AF2748" i="11"/>
  <c r="AG2748" i="11" s="1"/>
  <c r="AF2775" i="11"/>
  <c r="AG2775" i="11" s="1"/>
  <c r="AO2775" i="11" s="1"/>
  <c r="AF2810" i="11"/>
  <c r="AG2810" i="11" s="1"/>
  <c r="AO2810" i="11" s="1"/>
  <c r="AF2776" i="11"/>
  <c r="AG2776" i="11" s="1"/>
  <c r="AF2738" i="11"/>
  <c r="AG2738" i="11" s="1"/>
  <c r="AO2738" i="11" s="1"/>
  <c r="AF2778" i="11"/>
  <c r="AG2778" i="11" s="1"/>
  <c r="AF2737" i="11"/>
  <c r="AG2737" i="11" s="1"/>
  <c r="AO2737" i="11" s="1"/>
  <c r="AF2831" i="11"/>
  <c r="AG2831" i="11" s="1"/>
  <c r="AO2831" i="11" s="1"/>
  <c r="AF2769" i="11"/>
  <c r="AG2769" i="11" s="1"/>
  <c r="AO2769" i="11" s="1"/>
  <c r="AF2747" i="11"/>
  <c r="AG2747" i="11" s="1"/>
  <c r="AO2747" i="11" s="1"/>
  <c r="AF2825" i="11"/>
  <c r="AG2825" i="11" s="1"/>
  <c r="AO2825" i="11" s="1"/>
  <c r="AF2802" i="11"/>
  <c r="AG2802" i="11" s="1"/>
  <c r="AO2802" i="11" s="1"/>
  <c r="AF2789" i="11"/>
  <c r="AG2789" i="11" s="1"/>
  <c r="AO2789" i="11" s="1"/>
  <c r="AF2819" i="11"/>
  <c r="AG2819" i="11" s="1"/>
  <c r="AF2828" i="11"/>
  <c r="AG2828" i="11" s="1"/>
  <c r="AO2828" i="11" s="1"/>
  <c r="AF2824" i="11"/>
  <c r="AG2824" i="11" s="1"/>
  <c r="AO2824" i="11" s="1"/>
  <c r="AF2754" i="11"/>
  <c r="AG2754" i="11" s="1"/>
  <c r="AF2744" i="11"/>
  <c r="AG2744" i="11" s="1"/>
  <c r="AO2744" i="11" s="1"/>
  <c r="AF2823" i="11"/>
  <c r="AG2823" i="11" s="1"/>
  <c r="AO2823" i="11" s="1"/>
  <c r="AF2821" i="11"/>
  <c r="AG2821" i="11" s="1"/>
  <c r="AO2821" i="11" s="1"/>
  <c r="AF2777" i="11"/>
  <c r="AG2777" i="11" s="1"/>
  <c r="AF2762" i="11"/>
  <c r="AG2762" i="11" s="1"/>
  <c r="AO2762" i="11" s="1"/>
  <c r="AF2803" i="11"/>
  <c r="AG2803" i="11" s="1"/>
  <c r="AO2803" i="11" s="1"/>
  <c r="AF2817" i="11"/>
  <c r="AG2817" i="11" s="1"/>
  <c r="AO2817" i="11" s="1"/>
  <c r="AF2808" i="11"/>
  <c r="AG2808" i="11" s="1"/>
  <c r="AO2808" i="11" s="1"/>
  <c r="AF2798" i="11"/>
  <c r="AG2798" i="11" s="1"/>
  <c r="AO2798" i="11" s="1"/>
  <c r="AF2839" i="11"/>
  <c r="AG2839" i="11" s="1"/>
  <c r="AO2839" i="11" s="1"/>
  <c r="AF2779" i="11"/>
  <c r="AG2779" i="11" s="1"/>
  <c r="AF2815" i="11"/>
  <c r="AG2815" i="11" s="1"/>
  <c r="AF2834" i="11"/>
  <c r="AG2834" i="11" s="1"/>
  <c r="AO2834" i="11" s="1"/>
  <c r="AF2774" i="11"/>
  <c r="AG2774" i="11" s="1"/>
  <c r="AO2774" i="11" s="1"/>
  <c r="AF2783" i="11"/>
  <c r="AG2783" i="11" s="1"/>
  <c r="AO2783" i="11" s="1"/>
  <c r="AF2746" i="11"/>
  <c r="AG2746" i="11" s="1"/>
  <c r="AO2746" i="11" s="1"/>
  <c r="AF2804" i="11"/>
  <c r="AG2804" i="11" s="1"/>
  <c r="AF2740" i="11"/>
  <c r="AG2740" i="11" s="1"/>
  <c r="AF2780" i="11"/>
  <c r="AG2780" i="11" s="1"/>
  <c r="AO2780" i="11" s="1"/>
  <c r="AF2837" i="11"/>
  <c r="AG2837" i="11" s="1"/>
  <c r="AO2837" i="11" s="1"/>
  <c r="AF2770" i="11"/>
  <c r="AG2770" i="11" s="1"/>
  <c r="AO2770" i="11" s="1"/>
  <c r="AF2816" i="11"/>
  <c r="AG2816" i="11" s="1"/>
  <c r="AF2768" i="11"/>
  <c r="AG2768" i="11" s="1"/>
  <c r="AO2768" i="11" s="1"/>
  <c r="AF2773" i="11"/>
  <c r="AG2773" i="11" s="1"/>
  <c r="AO2773" i="11" s="1"/>
  <c r="AF2833" i="11"/>
  <c r="AG2833" i="11" s="1"/>
  <c r="AO2833" i="11" s="1"/>
  <c r="AF2795" i="11"/>
  <c r="AG2795" i="11" s="1"/>
  <c r="AO2795" i="11" s="1"/>
  <c r="AF2756" i="11"/>
  <c r="AG2756" i="11" s="1"/>
  <c r="AO2756" i="11" s="1"/>
  <c r="AF2800" i="11"/>
  <c r="AG2800" i="11" s="1"/>
  <c r="AO2800" i="11" s="1"/>
  <c r="AF2807" i="11"/>
  <c r="AG2807" i="11" s="1"/>
  <c r="AO2807" i="11" s="1"/>
  <c r="AF2799" i="11"/>
  <c r="AG2799" i="11" s="1"/>
  <c r="AO2799" i="11" s="1"/>
  <c r="AF2820" i="11"/>
  <c r="AG2820" i="11" s="1"/>
  <c r="AO2820" i="11" s="1"/>
  <c r="AF2822" i="11"/>
  <c r="AG2822" i="11" s="1"/>
  <c r="AF2763" i="11"/>
  <c r="AG2763" i="11" s="1"/>
  <c r="AO2763" i="11" s="1"/>
  <c r="AF2782" i="11"/>
  <c r="AG2782" i="11" s="1"/>
  <c r="AO2782" i="11" s="1"/>
  <c r="AF2757" i="11"/>
  <c r="AG2757" i="11" s="1"/>
  <c r="AO2757" i="11" s="1"/>
  <c r="AF2830" i="11"/>
  <c r="AG2830" i="11" s="1"/>
  <c r="AO2830" i="11" s="1"/>
  <c r="AF2739" i="11"/>
  <c r="AG2739" i="11" s="1"/>
  <c r="AF2809" i="11"/>
  <c r="AG2809" i="11" s="1"/>
  <c r="O172" i="54"/>
  <c r="AF2797" i="11"/>
  <c r="AG2797" i="11" s="1"/>
  <c r="AF2771" i="11"/>
  <c r="AG2771" i="11" s="1"/>
  <c r="AF2743" i="11"/>
  <c r="AG2743" i="11" s="1"/>
  <c r="AO2743" i="11" s="1"/>
  <c r="AD1657" i="11"/>
  <c r="AE1657" i="11" s="1"/>
  <c r="AD1673" i="11"/>
  <c r="AE1673" i="11" s="1"/>
  <c r="AD1676" i="11"/>
  <c r="AE1676" i="11" s="1"/>
  <c r="AD1643" i="11"/>
  <c r="AE1643" i="11" s="1"/>
  <c r="AD1587" i="11"/>
  <c r="AE1587" i="11" s="1"/>
  <c r="AD1630" i="11"/>
  <c r="AE1630" i="11" s="1"/>
  <c r="AD1582" i="11"/>
  <c r="AE1582" i="11" s="1"/>
  <c r="AD1620" i="11"/>
  <c r="AE1620" i="11" s="1"/>
  <c r="AD1632" i="11"/>
  <c r="AE1632" i="11" s="1"/>
  <c r="AD1677" i="11"/>
  <c r="AE1677" i="11" s="1"/>
  <c r="AD1605" i="11"/>
  <c r="AE1605" i="11" s="1"/>
  <c r="AD1580" i="11"/>
  <c r="AE1580" i="11" s="1"/>
  <c r="AD1590" i="11"/>
  <c r="AE1590" i="11" s="1"/>
  <c r="AD1666" i="11"/>
  <c r="AE1666" i="11" s="1"/>
  <c r="AD1655" i="11"/>
  <c r="AE1655" i="11" s="1"/>
  <c r="AD1606" i="11"/>
  <c r="AE1606" i="11" s="1"/>
  <c r="AD1638" i="11"/>
  <c r="AE1638" i="11" s="1"/>
  <c r="AD1624" i="11"/>
  <c r="AE1624" i="11" s="1"/>
  <c r="AD1621" i="11"/>
  <c r="AE1621" i="11" s="1"/>
  <c r="AD1661" i="11"/>
  <c r="AE1661" i="11" s="1"/>
  <c r="AD1675" i="11"/>
  <c r="AE1675" i="11" s="1"/>
  <c r="AD1644" i="11"/>
  <c r="AE1644" i="11" s="1"/>
  <c r="AD1665" i="11"/>
  <c r="AE1665" i="11" s="1"/>
  <c r="AD1581" i="11"/>
  <c r="AE1581" i="11" s="1"/>
  <c r="AD1659" i="11"/>
  <c r="AE1659" i="11" s="1"/>
  <c r="AD1584" i="11"/>
  <c r="AE1584" i="11" s="1"/>
  <c r="AD1593" i="11"/>
  <c r="AE1593" i="11" s="1"/>
  <c r="AD1611" i="11"/>
  <c r="AE1611" i="11" s="1"/>
  <c r="AD1598" i="11"/>
  <c r="AE1598" i="11" s="1"/>
  <c r="AD1602" i="11"/>
  <c r="AE1602" i="11" s="1"/>
  <c r="AD1669" i="11"/>
  <c r="AE1669" i="11" s="1"/>
  <c r="AD1591" i="11"/>
  <c r="AE1591" i="11" s="1"/>
  <c r="AD1678" i="11"/>
  <c r="AE1678" i="11" s="1"/>
  <c r="AD1607" i="11"/>
  <c r="AE1607" i="11" s="1"/>
  <c r="AD1652" i="11"/>
  <c r="AE1652" i="11" s="1"/>
  <c r="AD1653" i="11"/>
  <c r="AE1653" i="11" s="1"/>
  <c r="AD1672" i="11"/>
  <c r="AE1672" i="11" s="1"/>
  <c r="AD1647" i="11"/>
  <c r="AE1647" i="11" s="1"/>
  <c r="AD1601" i="11"/>
  <c r="AE1601" i="11" s="1"/>
  <c r="AD1595" i="11"/>
  <c r="AE1595" i="11" s="1"/>
  <c r="AD1654" i="11"/>
  <c r="AE1654" i="11" s="1"/>
  <c r="AD1623" i="11"/>
  <c r="AE1623" i="11" s="1"/>
  <c r="AD1664" i="11"/>
  <c r="AE1664" i="11" s="1"/>
  <c r="AD1641" i="11"/>
  <c r="AE1641" i="11" s="1"/>
  <c r="AD1618" i="11"/>
  <c r="AE1618" i="11" s="1"/>
  <c r="AD1627" i="11"/>
  <c r="AE1627" i="11" s="1"/>
  <c r="AD1670" i="11"/>
  <c r="AE1670" i="11" s="1"/>
  <c r="AD1600" i="11"/>
  <c r="AE1600" i="11" s="1"/>
  <c r="AD1610" i="11"/>
  <c r="AE1610" i="11" s="1"/>
  <c r="AD1626" i="11"/>
  <c r="AE1626" i="11" s="1"/>
  <c r="AD1615" i="11"/>
  <c r="AE1615" i="11" s="1"/>
  <c r="AD1583" i="11"/>
  <c r="AE1583" i="11" s="1"/>
  <c r="AD1637" i="11"/>
  <c r="AE1637" i="11" s="1"/>
  <c r="AD1634" i="11"/>
  <c r="AE1634" i="11" s="1"/>
  <c r="AD1596" i="11"/>
  <c r="AE1596" i="11" s="1"/>
  <c r="AD1663" i="11"/>
  <c r="AE1663" i="11" s="1"/>
  <c r="AD1625" i="11"/>
  <c r="AE1625" i="11" s="1"/>
  <c r="AD1683" i="11"/>
  <c r="AE1683" i="11" s="1"/>
  <c r="AD1671" i="11"/>
  <c r="AE1671" i="11" s="1"/>
  <c r="AD1640" i="11"/>
  <c r="AE1640" i="11" s="1"/>
  <c r="AD1667" i="11"/>
  <c r="AE1667" i="11" s="1"/>
  <c r="AD1586" i="11"/>
  <c r="AE1586" i="11" s="1"/>
  <c r="AD1660" i="11"/>
  <c r="AE1660" i="11" s="1"/>
  <c r="AD1680" i="11"/>
  <c r="AE1680" i="11" s="1"/>
  <c r="AD1617" i="11"/>
  <c r="AE1617" i="11" s="1"/>
  <c r="AD1684" i="11"/>
  <c r="AE1684" i="11" s="1"/>
  <c r="AD1613" i="11"/>
  <c r="AE1613" i="11" s="1"/>
  <c r="AN1613" i="11" s="1"/>
  <c r="AD1622" i="11"/>
  <c r="AE1622" i="11" s="1"/>
  <c r="AD1594" i="11"/>
  <c r="AE1594" i="11" s="1"/>
  <c r="AN1594" i="11" s="1"/>
  <c r="AD1681" i="11"/>
  <c r="AE1681" i="11" s="1"/>
  <c r="AD1585" i="11"/>
  <c r="AE1585" i="11" s="1"/>
  <c r="AD1656" i="11"/>
  <c r="AE1656" i="11" s="1"/>
  <c r="AD1631" i="11"/>
  <c r="AE1631" i="11" s="1"/>
  <c r="AD1599" i="11"/>
  <c r="AE1599" i="11" s="1"/>
  <c r="AD1628" i="11"/>
  <c r="AE1628" i="11" s="1"/>
  <c r="AD1592" i="11"/>
  <c r="AE1592" i="11" s="1"/>
  <c r="AD1619" i="11"/>
  <c r="AE1619" i="11" s="1"/>
  <c r="AD1662" i="11"/>
  <c r="AE1662" i="11" s="1"/>
  <c r="AD1651" i="11"/>
  <c r="AE1651" i="11" s="1"/>
  <c r="AD1603" i="11"/>
  <c r="AE1603" i="11" s="1"/>
  <c r="AD1658" i="11"/>
  <c r="AE1658" i="11" s="1"/>
  <c r="AD1636" i="11"/>
  <c r="AE1636" i="11" s="1"/>
  <c r="AD1609" i="11"/>
  <c r="AE1609" i="11" s="1"/>
  <c r="AD1650" i="11"/>
  <c r="AE1650" i="11" s="1"/>
  <c r="AD1635" i="11"/>
  <c r="AE1635" i="11" s="1"/>
  <c r="AD1614" i="11"/>
  <c r="AE1614" i="11" s="1"/>
  <c r="AD1645" i="11"/>
  <c r="AE1645" i="11" s="1"/>
  <c r="N194" i="54"/>
  <c r="AD1597" i="11"/>
  <c r="AE1597" i="11" s="1"/>
  <c r="AD1608" i="11"/>
  <c r="AE1608" i="11" s="1"/>
  <c r="AD1604" i="11"/>
  <c r="AE1604" i="11" s="1"/>
  <c r="AD1589" i="11"/>
  <c r="AE1589" i="11" s="1"/>
  <c r="AD1616" i="11"/>
  <c r="AE1616" i="11" s="1"/>
  <c r="AD1649" i="11"/>
  <c r="AE1649" i="11" s="1"/>
  <c r="AD1646" i="11"/>
  <c r="AE1646" i="11" s="1"/>
  <c r="AD1633" i="11"/>
  <c r="AE1633" i="11" s="1"/>
  <c r="AF1874" i="11"/>
  <c r="AG1874" i="11" s="1"/>
  <c r="AF1824" i="11"/>
  <c r="AG1824" i="11" s="1"/>
  <c r="AO1824" i="11" s="1"/>
  <c r="AF1818" i="11"/>
  <c r="AG1818" i="11" s="1"/>
  <c r="AO1818" i="11" s="1"/>
  <c r="AF1834" i="11"/>
  <c r="AG1834" i="11" s="1"/>
  <c r="AF1791" i="11"/>
  <c r="AG1791" i="11" s="1"/>
  <c r="AF1801" i="11"/>
  <c r="AG1801" i="11" s="1"/>
  <c r="AO1801" i="11" s="1"/>
  <c r="AF1868" i="11"/>
  <c r="AG1868" i="11" s="1"/>
  <c r="AO1868" i="11" s="1"/>
  <c r="AF1862" i="11"/>
  <c r="AG1862" i="11" s="1"/>
  <c r="AO1862" i="11" s="1"/>
  <c r="AF1871" i="11"/>
  <c r="AG1871" i="11" s="1"/>
  <c r="AO1871" i="11" s="1"/>
  <c r="AF1828" i="11"/>
  <c r="AG1828" i="11" s="1"/>
  <c r="AO1828" i="11" s="1"/>
  <c r="AF1805" i="11"/>
  <c r="AG1805" i="11" s="1"/>
  <c r="AF1820" i="11"/>
  <c r="AG1820" i="11" s="1"/>
  <c r="AF1827" i="11"/>
  <c r="AG1827" i="11" s="1"/>
  <c r="AF1806" i="11"/>
  <c r="AG1806" i="11" s="1"/>
  <c r="AO1806" i="11" s="1"/>
  <c r="AF1815" i="11"/>
  <c r="AG1815" i="11" s="1"/>
  <c r="AO1815" i="11" s="1"/>
  <c r="AF1851" i="11"/>
  <c r="AG1851" i="11" s="1"/>
  <c r="AF1873" i="11"/>
  <c r="AG1873" i="11" s="1"/>
  <c r="AO1873" i="11" s="1"/>
  <c r="AF1852" i="11"/>
  <c r="AG1852" i="11" s="1"/>
  <c r="AO1852" i="11" s="1"/>
  <c r="AF1859" i="11"/>
  <c r="AG1859" i="11" s="1"/>
  <c r="AO1859" i="11" s="1"/>
  <c r="AF1866" i="11"/>
  <c r="AG1866" i="11" s="1"/>
  <c r="AO1866" i="11" s="1"/>
  <c r="AF1793" i="11"/>
  <c r="AG1793" i="11" s="1"/>
  <c r="AO1793" i="11" s="1"/>
  <c r="AF1849" i="11"/>
  <c r="AG1849" i="11" s="1"/>
  <c r="AF1869" i="11"/>
  <c r="AG1869" i="11" s="1"/>
  <c r="AF1829" i="11"/>
  <c r="AG1829" i="11" s="1"/>
  <c r="AO1829" i="11" s="1"/>
  <c r="AF1800" i="11"/>
  <c r="AG1800" i="11" s="1"/>
  <c r="AO1800" i="11" s="1"/>
  <c r="AF1881" i="11"/>
  <c r="AG1881" i="11" s="1"/>
  <c r="AO1881" i="11" s="1"/>
  <c r="AF1802" i="11"/>
  <c r="AG1802" i="11" s="1"/>
  <c r="AO1802" i="11" s="1"/>
  <c r="AF1853" i="11"/>
  <c r="AG1853" i="11" s="1"/>
  <c r="AO1853" i="11" s="1"/>
  <c r="AF1848" i="11"/>
  <c r="AG1848" i="11" s="1"/>
  <c r="AO1848" i="11" s="1"/>
  <c r="AF1846" i="11"/>
  <c r="AG1846" i="11" s="1"/>
  <c r="AO1846" i="11" s="1"/>
  <c r="AF1867" i="11"/>
  <c r="AG1867" i="11" s="1"/>
  <c r="AO1867" i="11" s="1"/>
  <c r="AF1847" i="11"/>
  <c r="AG1847" i="11" s="1"/>
  <c r="AF1817" i="11"/>
  <c r="AG1817" i="11" s="1"/>
  <c r="AO1817" i="11" s="1"/>
  <c r="AF1858" i="11"/>
  <c r="AG1858" i="11" s="1"/>
  <c r="AO1858" i="11" s="1"/>
  <c r="AF1799" i="11"/>
  <c r="AG1799" i="11" s="1"/>
  <c r="AF1856" i="11"/>
  <c r="AG1856" i="11" s="1"/>
  <c r="AO1856" i="11" s="1"/>
  <c r="AF1860" i="11"/>
  <c r="AG1860" i="11" s="1"/>
  <c r="AO1860" i="11" s="1"/>
  <c r="AF1804" i="11"/>
  <c r="AG1804" i="11" s="1"/>
  <c r="AF1870" i="11"/>
  <c r="AG1870" i="11" s="1"/>
  <c r="AO1870" i="11" s="1"/>
  <c r="AF1822" i="11"/>
  <c r="AG1822" i="11" s="1"/>
  <c r="AF1812" i="11"/>
  <c r="AG1812" i="11" s="1"/>
  <c r="AO1812" i="11" s="1"/>
  <c r="AF1877" i="11"/>
  <c r="AG1877" i="11" s="1"/>
  <c r="AO1877" i="11" s="1"/>
  <c r="AF1831" i="11"/>
  <c r="AG1831" i="11" s="1"/>
  <c r="AO1831" i="11" s="1"/>
  <c r="AF1803" i="11"/>
  <c r="AG1803" i="11" s="1"/>
  <c r="AO1803" i="11" s="1"/>
  <c r="AF1861" i="11"/>
  <c r="AG1861" i="11" s="1"/>
  <c r="AO1861" i="11" s="1"/>
  <c r="AF1875" i="11"/>
  <c r="AG1875" i="11" s="1"/>
  <c r="AO1875" i="11" s="1"/>
  <c r="AF1863" i="11"/>
  <c r="AG1863" i="11" s="1"/>
  <c r="AO1863" i="11" s="1"/>
  <c r="AF1892" i="11"/>
  <c r="AG1892" i="11" s="1"/>
  <c r="AO1892" i="11" s="1"/>
  <c r="AF1795" i="11"/>
  <c r="AG1795" i="11" s="1"/>
  <c r="AF1885" i="11"/>
  <c r="AG1885" i="11" s="1"/>
  <c r="AO1885" i="11" s="1"/>
  <c r="AF1887" i="11"/>
  <c r="AG1887" i="11" s="1"/>
  <c r="AF1832" i="11"/>
  <c r="AG1832" i="11" s="1"/>
  <c r="AO1832" i="11" s="1"/>
  <c r="AF1889" i="11"/>
  <c r="AG1889" i="11" s="1"/>
  <c r="AF1797" i="11"/>
  <c r="AG1797" i="11" s="1"/>
  <c r="AO1797" i="11" s="1"/>
  <c r="AF1836" i="11"/>
  <c r="AG1836" i="11" s="1"/>
  <c r="AO1836" i="11" s="1"/>
  <c r="AF1819" i="11"/>
  <c r="AG1819" i="11" s="1"/>
  <c r="AO1819" i="11" s="1"/>
  <c r="AF1825" i="11"/>
  <c r="AG1825" i="11" s="1"/>
  <c r="AO1825" i="11" s="1"/>
  <c r="AF1876" i="11"/>
  <c r="AG1876" i="11" s="1"/>
  <c r="AO1876" i="11" s="1"/>
  <c r="AF1840" i="11"/>
  <c r="AG1840" i="11" s="1"/>
  <c r="AO1840" i="11" s="1"/>
  <c r="AF1807" i="11"/>
  <c r="AG1807" i="11" s="1"/>
  <c r="AO1807" i="11" s="1"/>
  <c r="AF1796" i="11"/>
  <c r="AG1796" i="11" s="1"/>
  <c r="AF1833" i="11"/>
  <c r="AG1833" i="11" s="1"/>
  <c r="AF1823" i="11"/>
  <c r="AG1823" i="11" s="1"/>
  <c r="AF1790" i="11"/>
  <c r="AG1790" i="11" s="1"/>
  <c r="AO1790" i="11" s="1"/>
  <c r="AF1865" i="11"/>
  <c r="AG1865" i="11" s="1"/>
  <c r="AF1845" i="11"/>
  <c r="AG1845" i="11" s="1"/>
  <c r="AO1845" i="11" s="1"/>
  <c r="AF1830" i="11"/>
  <c r="AG1830" i="11" s="1"/>
  <c r="AO1830" i="11" s="1"/>
  <c r="AF1872" i="11"/>
  <c r="AG1872" i="11" s="1"/>
  <c r="AO1872" i="11" s="1"/>
  <c r="AF1816" i="11"/>
  <c r="AG1816" i="11" s="1"/>
  <c r="AO1816" i="11" s="1"/>
  <c r="AF1890" i="11"/>
  <c r="AG1890" i="11" s="1"/>
  <c r="AF1794" i="11"/>
  <c r="AG1794" i="11" s="1"/>
  <c r="AF1878" i="11"/>
  <c r="AG1878" i="11" s="1"/>
  <c r="AF1798" i="11"/>
  <c r="AG1798" i="11" s="1"/>
  <c r="AO1798" i="11" s="1"/>
  <c r="AF1857" i="11"/>
  <c r="AG1857" i="11" s="1"/>
  <c r="AO1857" i="11" s="1"/>
  <c r="AF1886" i="11"/>
  <c r="AG1886" i="11" s="1"/>
  <c r="AF1854" i="11"/>
  <c r="AG1854" i="11" s="1"/>
  <c r="AF1814" i="11"/>
  <c r="AG1814" i="11" s="1"/>
  <c r="AO1814" i="11" s="1"/>
  <c r="AF1888" i="11"/>
  <c r="AG1888" i="11" s="1"/>
  <c r="AO1888" i="11" s="1"/>
  <c r="AF1838" i="11"/>
  <c r="AG1838" i="11" s="1"/>
  <c r="AO1838" i="11" s="1"/>
  <c r="AF1821" i="11"/>
  <c r="AG1821" i="11" s="1"/>
  <c r="AO1821" i="11" s="1"/>
  <c r="AF1809" i="11"/>
  <c r="AG1809" i="11" s="1"/>
  <c r="AO1809" i="11" s="1"/>
  <c r="AF1855" i="11"/>
  <c r="AG1855" i="11" s="1"/>
  <c r="AO1855" i="11" s="1"/>
  <c r="AF1843" i="11"/>
  <c r="AG1843" i="11" s="1"/>
  <c r="AF1883" i="11"/>
  <c r="AG1883" i="11" s="1"/>
  <c r="AO1883" i="11" s="1"/>
  <c r="AF1879" i="11"/>
  <c r="AG1879" i="11" s="1"/>
  <c r="AO1879" i="11" s="1"/>
  <c r="AF1810" i="11"/>
  <c r="AG1810" i="11" s="1"/>
  <c r="AO1810" i="11" s="1"/>
  <c r="AF1839" i="11"/>
  <c r="AG1839" i="11" s="1"/>
  <c r="AO1839" i="11" s="1"/>
  <c r="AF1884" i="11"/>
  <c r="AG1884" i="11" s="1"/>
  <c r="O197" i="54"/>
  <c r="AD1706" i="11"/>
  <c r="AE1706" i="11" s="1"/>
  <c r="AD1773" i="11"/>
  <c r="AE1773" i="11" s="1"/>
  <c r="AN1773" i="11" s="1"/>
  <c r="AD1725" i="11"/>
  <c r="AE1725" i="11" s="1"/>
  <c r="AD1730" i="11"/>
  <c r="AE1730" i="11" s="1"/>
  <c r="AN1730" i="11" s="1"/>
  <c r="AD1786" i="11"/>
  <c r="AE1786" i="11" s="1"/>
  <c r="AD1727" i="11"/>
  <c r="AE1727" i="11" s="1"/>
  <c r="AN1727" i="11" s="1"/>
  <c r="AD1770" i="11"/>
  <c r="AE1770" i="11" s="1"/>
  <c r="AN1770" i="11" s="1"/>
  <c r="AD1755" i="11"/>
  <c r="AE1755" i="11" s="1"/>
  <c r="AD1759" i="11"/>
  <c r="AE1759" i="11" s="1"/>
  <c r="AN1759" i="11" s="1"/>
  <c r="AD1766" i="11"/>
  <c r="AE1766" i="11" s="1"/>
  <c r="AN1766" i="11" s="1"/>
  <c r="AD1710" i="11"/>
  <c r="AE1710" i="11" s="1"/>
  <c r="AD1699" i="11"/>
  <c r="AE1699" i="11" s="1"/>
  <c r="AD1720" i="11"/>
  <c r="AE1720" i="11" s="1"/>
  <c r="AD1758" i="11"/>
  <c r="AE1758" i="11" s="1"/>
  <c r="AD1723" i="11"/>
  <c r="AE1723" i="11" s="1"/>
  <c r="AD1787" i="11"/>
  <c r="AE1787" i="11" s="1"/>
  <c r="AN1787" i="11" s="1"/>
  <c r="AD1717" i="11"/>
  <c r="AE1717" i="11" s="1"/>
  <c r="AD1693" i="11"/>
  <c r="AE1693" i="11" s="1"/>
  <c r="AN1693" i="11" s="1"/>
  <c r="AD1702" i="11"/>
  <c r="AE1702" i="11" s="1"/>
  <c r="AD1733" i="11"/>
  <c r="AE1733" i="11" s="1"/>
  <c r="AD1785" i="11"/>
  <c r="AE1785" i="11" s="1"/>
  <c r="AN1785" i="11" s="1"/>
  <c r="AD1775" i="11"/>
  <c r="AE1775" i="11" s="1"/>
  <c r="AD1689" i="11"/>
  <c r="AE1689" i="11" s="1"/>
  <c r="AD1779" i="11"/>
  <c r="AE1779" i="11" s="1"/>
  <c r="AD1782" i="11"/>
  <c r="AE1782" i="11" s="1"/>
  <c r="AD1756" i="11"/>
  <c r="AE1756" i="11" s="1"/>
  <c r="AD1729" i="11"/>
  <c r="AE1729" i="11" s="1"/>
  <c r="AD1695" i="11"/>
  <c r="AE1695" i="11" s="1"/>
  <c r="AN1695" i="11" s="1"/>
  <c r="AD1780" i="11"/>
  <c r="AE1780" i="11" s="1"/>
  <c r="AD1708" i="11"/>
  <c r="AE1708" i="11" s="1"/>
  <c r="AN1708" i="11" s="1"/>
  <c r="AD1705" i="11"/>
  <c r="AE1705" i="11" s="1"/>
  <c r="AD1703" i="11"/>
  <c r="AE1703" i="11" s="1"/>
  <c r="AN1703" i="11" s="1"/>
  <c r="AD1732" i="11"/>
  <c r="AE1732" i="11" s="1"/>
  <c r="AD1722" i="11"/>
  <c r="AE1722" i="11" s="1"/>
  <c r="AD1774" i="11"/>
  <c r="AE1774" i="11" s="1"/>
  <c r="AD1721" i="11"/>
  <c r="AE1721" i="11" s="1"/>
  <c r="AD1752" i="11"/>
  <c r="AE1752" i="11" s="1"/>
  <c r="AN1752" i="11" s="1"/>
  <c r="AD1788" i="11"/>
  <c r="AE1788" i="11" s="1"/>
  <c r="AN1788" i="11" s="1"/>
  <c r="AD1776" i="11"/>
  <c r="AE1776" i="11" s="1"/>
  <c r="AD1712" i="11"/>
  <c r="AE1712" i="11" s="1"/>
  <c r="AN1712" i="11" s="1"/>
  <c r="AD1709" i="11"/>
  <c r="AE1709" i="11" s="1"/>
  <c r="AD1769" i="11"/>
  <c r="AE1769" i="11" s="1"/>
  <c r="AD1739" i="11"/>
  <c r="AE1739" i="11" s="1"/>
  <c r="AN1739" i="11" s="1"/>
  <c r="AD1688" i="11"/>
  <c r="AE1688" i="11" s="1"/>
  <c r="AD1765" i="11"/>
  <c r="AE1765" i="11" s="1"/>
  <c r="AD1745" i="11"/>
  <c r="AE1745" i="11" s="1"/>
  <c r="AD1704" i="11"/>
  <c r="AE1704" i="11" s="1"/>
  <c r="AD1731" i="11"/>
  <c r="AE1731" i="11" s="1"/>
  <c r="AD1742" i="11"/>
  <c r="AE1742" i="11" s="1"/>
  <c r="AD1741" i="11"/>
  <c r="AE1741" i="11" s="1"/>
  <c r="AD1768" i="11"/>
  <c r="AE1768" i="11" s="1"/>
  <c r="AD1744" i="11"/>
  <c r="AE1744" i="11" s="1"/>
  <c r="AD1690" i="11"/>
  <c r="AE1690" i="11" s="1"/>
  <c r="AN1690" i="11" s="1"/>
  <c r="AD1735" i="11"/>
  <c r="AE1735" i="11" s="1"/>
  <c r="AN1735" i="11" s="1"/>
  <c r="AD1751" i="11"/>
  <c r="AE1751" i="11" s="1"/>
  <c r="AN1751" i="11" s="1"/>
  <c r="AD1696" i="11"/>
  <c r="AE1696" i="11" s="1"/>
  <c r="AD1687" i="11"/>
  <c r="AE1687" i="11" s="1"/>
  <c r="AD1686" i="11"/>
  <c r="AE1686" i="11" s="1"/>
  <c r="AD1772" i="11"/>
  <c r="AE1772" i="11" s="1"/>
  <c r="AD1757" i="11"/>
  <c r="AE1757" i="11" s="1"/>
  <c r="AD1750" i="11"/>
  <c r="AE1750" i="11" s="1"/>
  <c r="AD1746" i="11"/>
  <c r="AE1746" i="11" s="1"/>
  <c r="AN1746" i="11" s="1"/>
  <c r="AD1711" i="11"/>
  <c r="AE1711" i="11" s="1"/>
  <c r="AD1777" i="11"/>
  <c r="AE1777" i="11" s="1"/>
  <c r="AN1777" i="11" s="1"/>
  <c r="AD1700" i="11"/>
  <c r="AE1700" i="11" s="1"/>
  <c r="AD1692" i="11"/>
  <c r="AE1692" i="11" s="1"/>
  <c r="AD1728" i="11"/>
  <c r="AE1728" i="11" s="1"/>
  <c r="AD1761" i="11"/>
  <c r="AE1761" i="11" s="1"/>
  <c r="AD1714" i="11"/>
  <c r="AE1714" i="11" s="1"/>
  <c r="AN1714" i="11" s="1"/>
  <c r="AD1747" i="11"/>
  <c r="AE1747" i="11" s="1"/>
  <c r="AN1747" i="11" s="1"/>
  <c r="AD1764" i="11"/>
  <c r="AE1764" i="11" s="1"/>
  <c r="AD1754" i="11"/>
  <c r="AE1754" i="11" s="1"/>
  <c r="AD1738" i="11"/>
  <c r="AE1738" i="11" s="1"/>
  <c r="AD1771" i="11"/>
  <c r="AE1771" i="11" s="1"/>
  <c r="AN1771" i="11" s="1"/>
  <c r="AD1767" i="11"/>
  <c r="AE1767" i="11" s="1"/>
  <c r="AD1726" i="11"/>
  <c r="AE1726" i="11" s="1"/>
  <c r="AN1726" i="11" s="1"/>
  <c r="AD1778" i="11"/>
  <c r="AE1778" i="11" s="1"/>
  <c r="AD1737" i="11"/>
  <c r="AE1737" i="11" s="1"/>
  <c r="AD1789" i="11"/>
  <c r="AE1789" i="11" s="1"/>
  <c r="AN1789" i="11" s="1"/>
  <c r="AD1719" i="11"/>
  <c r="AE1719" i="11" s="1"/>
  <c r="AN1719" i="11" s="1"/>
  <c r="AD1718" i="11"/>
  <c r="AE1718" i="11" s="1"/>
  <c r="AD1763" i="11"/>
  <c r="AE1763" i="11" s="1"/>
  <c r="AD1781" i="11"/>
  <c r="AE1781" i="11" s="1"/>
  <c r="AD1724" i="11"/>
  <c r="AE1724" i="11" s="1"/>
  <c r="N195" i="54"/>
  <c r="AD1691" i="11"/>
  <c r="AE1691" i="11" s="1"/>
  <c r="AN1691" i="11" s="1"/>
  <c r="AD1783" i="11"/>
  <c r="AE1783" i="11" s="1"/>
  <c r="AD1701" i="11"/>
  <c r="AE1701" i="11" s="1"/>
  <c r="AN1701" i="11" s="1"/>
  <c r="AD1760" i="11"/>
  <c r="AE1760" i="11" s="1"/>
  <c r="AD1753" i="11"/>
  <c r="AE1753" i="11" s="1"/>
  <c r="AD1762" i="11"/>
  <c r="AE1762" i="11" s="1"/>
  <c r="AN1762" i="11" s="1"/>
  <c r="AD1748" i="11"/>
  <c r="AE1748" i="11" s="1"/>
  <c r="AD1740" i="11"/>
  <c r="AE1740" i="11" s="1"/>
  <c r="AD1784" i="11"/>
  <c r="AE1784" i="11" s="1"/>
  <c r="AD1734" i="11"/>
  <c r="AE1734" i="11" s="1"/>
  <c r="AD1707" i="11"/>
  <c r="AE1707" i="11" s="1"/>
  <c r="AD1716" i="11"/>
  <c r="AE1716" i="11" s="1"/>
  <c r="AD2435" i="11"/>
  <c r="AE2435" i="11" s="1"/>
  <c r="AN2435" i="11" s="1"/>
  <c r="AD2476" i="11"/>
  <c r="AE2476" i="11" s="1"/>
  <c r="AN2476" i="11" s="1"/>
  <c r="AD2441" i="11"/>
  <c r="AE2441" i="11" s="1"/>
  <c r="AN2441" i="11" s="1"/>
  <c r="AD2443" i="11"/>
  <c r="AE2443" i="11" s="1"/>
  <c r="AD2521" i="11"/>
  <c r="AE2521" i="11" s="1"/>
  <c r="AD2438" i="11"/>
  <c r="AE2438" i="11" s="1"/>
  <c r="AN2438" i="11" s="1"/>
  <c r="AD2517" i="11"/>
  <c r="AE2517" i="11" s="1"/>
  <c r="AN2517" i="11" s="1"/>
  <c r="AD2431" i="11"/>
  <c r="AE2431" i="11" s="1"/>
  <c r="AN2431" i="11" s="1"/>
  <c r="AD2445" i="11"/>
  <c r="AE2445" i="11" s="1"/>
  <c r="AD2425" i="11"/>
  <c r="AE2425" i="11" s="1"/>
  <c r="AN2425" i="11" s="1"/>
  <c r="AD2502" i="11"/>
  <c r="AE2502" i="11" s="1"/>
  <c r="AN2502" i="11" s="1"/>
  <c r="AD2465" i="11"/>
  <c r="AE2465" i="11" s="1"/>
  <c r="AN2465" i="11" s="1"/>
  <c r="AD2461" i="11"/>
  <c r="AE2461" i="11" s="1"/>
  <c r="AN2461" i="11" s="1"/>
  <c r="AD2430" i="11"/>
  <c r="AE2430" i="11" s="1"/>
  <c r="AN2430" i="11" s="1"/>
  <c r="AD2449" i="11"/>
  <c r="AE2449" i="11" s="1"/>
  <c r="AN2449" i="11" s="1"/>
  <c r="AD2448" i="11"/>
  <c r="AE2448" i="11" s="1"/>
  <c r="AN2448" i="11" s="1"/>
  <c r="AD2473" i="11"/>
  <c r="AE2473" i="11" s="1"/>
  <c r="AD2462" i="11"/>
  <c r="AE2462" i="11" s="1"/>
  <c r="AN2462" i="11" s="1"/>
  <c r="AD2497" i="11"/>
  <c r="AE2497" i="11" s="1"/>
  <c r="AN2497" i="11" s="1"/>
  <c r="AD2446" i="11"/>
  <c r="AE2446" i="11" s="1"/>
  <c r="AN2446" i="11" s="1"/>
  <c r="AD2506" i="11"/>
  <c r="AE2506" i="11" s="1"/>
  <c r="AD2442" i="11"/>
  <c r="AE2442" i="11" s="1"/>
  <c r="AN2442" i="11" s="1"/>
  <c r="AD2504" i="11"/>
  <c r="AE2504" i="11" s="1"/>
  <c r="AN2504" i="11" s="1"/>
  <c r="AD2490" i="11"/>
  <c r="AE2490" i="11" s="1"/>
  <c r="AN2490" i="11" s="1"/>
  <c r="AD2499" i="11"/>
  <c r="AE2499" i="11" s="1"/>
  <c r="AN2499" i="11" s="1"/>
  <c r="AD2494" i="11"/>
  <c r="AE2494" i="11" s="1"/>
  <c r="AD2424" i="11"/>
  <c r="AE2424" i="11" s="1"/>
  <c r="AN2424" i="11" s="1"/>
  <c r="AD2524" i="11"/>
  <c r="AE2524" i="11" s="1"/>
  <c r="AN2524" i="11" s="1"/>
  <c r="AD2447" i="11"/>
  <c r="AE2447" i="11" s="1"/>
  <c r="AN2447" i="11" s="1"/>
  <c r="AD2459" i="11"/>
  <c r="AE2459" i="11" s="1"/>
  <c r="AD2482" i="11"/>
  <c r="AE2482" i="11" s="1"/>
  <c r="AN2482" i="11" s="1"/>
  <c r="AD2511" i="11"/>
  <c r="AE2511" i="11" s="1"/>
  <c r="AD2498" i="11"/>
  <c r="AE2498" i="11" s="1"/>
  <c r="AD2520" i="11"/>
  <c r="AE2520" i="11" s="1"/>
  <c r="AN2520" i="11" s="1"/>
  <c r="AD2428" i="11"/>
  <c r="AE2428" i="11" s="1"/>
  <c r="AN2428" i="11" s="1"/>
  <c r="AD2509" i="11"/>
  <c r="AE2509" i="11" s="1"/>
  <c r="AD2523" i="11"/>
  <c r="AE2523" i="11" s="1"/>
  <c r="AN2523" i="11" s="1"/>
  <c r="AD2423" i="11"/>
  <c r="AE2423" i="11" s="1"/>
  <c r="AN2423" i="11" s="1"/>
  <c r="AD2463" i="11"/>
  <c r="AE2463" i="11" s="1"/>
  <c r="AN2463" i="11" s="1"/>
  <c r="AD2471" i="11"/>
  <c r="AE2471" i="11" s="1"/>
  <c r="AD2458" i="11"/>
  <c r="AE2458" i="11" s="1"/>
  <c r="AN2458" i="11" s="1"/>
  <c r="AD2429" i="11"/>
  <c r="AE2429" i="11" s="1"/>
  <c r="AN2429" i="11" s="1"/>
  <c r="AD2455" i="11"/>
  <c r="AE2455" i="11" s="1"/>
  <c r="AN2455" i="11" s="1"/>
  <c r="AD2519" i="11"/>
  <c r="AE2519" i="11" s="1"/>
  <c r="AN2519" i="11" s="1"/>
  <c r="AD2436" i="11"/>
  <c r="AE2436" i="11" s="1"/>
  <c r="AN2436" i="11" s="1"/>
  <c r="AD2503" i="11"/>
  <c r="AE2503" i="11" s="1"/>
  <c r="AN2503" i="11" s="1"/>
  <c r="AD2513" i="11"/>
  <c r="AE2513" i="11" s="1"/>
  <c r="AD2456" i="11"/>
  <c r="AE2456" i="11" s="1"/>
  <c r="AD2432" i="11"/>
  <c r="AE2432" i="11" s="1"/>
  <c r="AN2432" i="11" s="1"/>
  <c r="AD2479" i="11"/>
  <c r="AE2479" i="11" s="1"/>
  <c r="AD2451" i="11"/>
  <c r="AE2451" i="11" s="1"/>
  <c r="AN2451" i="11" s="1"/>
  <c r="AD2480" i="11"/>
  <c r="AE2480" i="11" s="1"/>
  <c r="AD2495" i="11"/>
  <c r="AE2495" i="11" s="1"/>
  <c r="AN2495" i="11" s="1"/>
  <c r="AD2472" i="11"/>
  <c r="AE2472" i="11" s="1"/>
  <c r="AN2472" i="11" s="1"/>
  <c r="AD2467" i="11"/>
  <c r="AE2467" i="11" s="1"/>
  <c r="AN2467" i="11" s="1"/>
  <c r="AD2426" i="11"/>
  <c r="AE2426" i="11" s="1"/>
  <c r="AN2426" i="11" s="1"/>
  <c r="AD2468" i="11"/>
  <c r="AE2468" i="11" s="1"/>
  <c r="AD2454" i="11"/>
  <c r="AE2454" i="11" s="1"/>
  <c r="AN2454" i="11" s="1"/>
  <c r="AD2501" i="11"/>
  <c r="AE2501" i="11" s="1"/>
  <c r="AN2501" i="11" s="1"/>
  <c r="AD2484" i="11"/>
  <c r="AE2484" i="11" s="1"/>
  <c r="AD2483" i="11"/>
  <c r="AE2483" i="11" s="1"/>
  <c r="AN2483" i="11" s="1"/>
  <c r="AD2437" i="11"/>
  <c r="AE2437" i="11" s="1"/>
  <c r="AN2437" i="11" s="1"/>
  <c r="AD2485" i="11"/>
  <c r="AE2485" i="11" s="1"/>
  <c r="AN2485" i="11" s="1"/>
  <c r="AD2475" i="11"/>
  <c r="AE2475" i="11" s="1"/>
  <c r="AN2475" i="11" s="1"/>
  <c r="AD2457" i="11"/>
  <c r="AE2457" i="11" s="1"/>
  <c r="AN2457" i="11" s="1"/>
  <c r="AD2488" i="11"/>
  <c r="AE2488" i="11" s="1"/>
  <c r="AD2427" i="11"/>
  <c r="AE2427" i="11" s="1"/>
  <c r="AN2427" i="11" s="1"/>
  <c r="AD2470" i="11"/>
  <c r="AE2470" i="11" s="1"/>
  <c r="AN2470" i="11" s="1"/>
  <c r="AD2510" i="11"/>
  <c r="AE2510" i="11" s="1"/>
  <c r="AN2510" i="11" s="1"/>
  <c r="AD2522" i="11"/>
  <c r="AE2522" i="11" s="1"/>
  <c r="AD2420" i="11"/>
  <c r="AE2420" i="11" s="1"/>
  <c r="AD2452" i="11"/>
  <c r="AE2452" i="11" s="1"/>
  <c r="AN2452" i="11" s="1"/>
  <c r="AD2453" i="11"/>
  <c r="AE2453" i="11" s="1"/>
  <c r="AN2453" i="11" s="1"/>
  <c r="AD2460" i="11"/>
  <c r="AE2460" i="11" s="1"/>
  <c r="AN2460" i="11" s="1"/>
  <c r="AD2507" i="11"/>
  <c r="AE2507" i="11" s="1"/>
  <c r="AN2507" i="11" s="1"/>
  <c r="AD2500" i="11"/>
  <c r="AE2500" i="11" s="1"/>
  <c r="AN2500" i="11" s="1"/>
  <c r="AD2486" i="11"/>
  <c r="AE2486" i="11" s="1"/>
  <c r="AN2486" i="11" s="1"/>
  <c r="AD2474" i="11"/>
  <c r="AE2474" i="11" s="1"/>
  <c r="AD2516" i="11"/>
  <c r="AE2516" i="11" s="1"/>
  <c r="AN2516" i="11" s="1"/>
  <c r="AD2505" i="11"/>
  <c r="AE2505" i="11" s="1"/>
  <c r="AN2505" i="11" s="1"/>
  <c r="AD2493" i="11"/>
  <c r="AE2493" i="11" s="1"/>
  <c r="AN2493" i="11" s="1"/>
  <c r="N182" i="54"/>
  <c r="AD2491" i="11"/>
  <c r="AE2491" i="11" s="1"/>
  <c r="AD2433" i="11"/>
  <c r="AE2433" i="11" s="1"/>
  <c r="AD2477" i="11"/>
  <c r="AE2477" i="11" s="1"/>
  <c r="AD2496" i="11"/>
  <c r="AE2496" i="11" s="1"/>
  <c r="AN2496" i="11" s="1"/>
  <c r="AD2444" i="11"/>
  <c r="AE2444" i="11" s="1"/>
  <c r="AN2444" i="11" s="1"/>
  <c r="AD2492" i="11"/>
  <c r="AE2492" i="11" s="1"/>
  <c r="AN2492" i="11" s="1"/>
  <c r="AD2422" i="11"/>
  <c r="AE2422" i="11" s="1"/>
  <c r="AN2422" i="11" s="1"/>
  <c r="O271" i="54"/>
  <c r="AI2365" i="11"/>
  <c r="AJ2365" i="11" s="1"/>
  <c r="AI2316" i="11"/>
  <c r="AJ2316" i="11" s="1"/>
  <c r="AI2384" i="11"/>
  <c r="AJ2384" i="11" s="1"/>
  <c r="AI2380" i="11"/>
  <c r="AJ2380" i="11" s="1"/>
  <c r="AI2369" i="11"/>
  <c r="AJ2369" i="11" s="1"/>
  <c r="AN2369" i="11" s="1"/>
  <c r="AI2367" i="11"/>
  <c r="AJ2367" i="11" s="1"/>
  <c r="AI2415" i="11"/>
  <c r="AJ2415" i="11" s="1"/>
  <c r="AI2410" i="11"/>
  <c r="AJ2410" i="11" s="1"/>
  <c r="AI2356" i="11"/>
  <c r="AJ2356" i="11" s="1"/>
  <c r="AI2363" i="11"/>
  <c r="AJ2363" i="11" s="1"/>
  <c r="AI2411" i="11"/>
  <c r="AJ2411" i="11" s="1"/>
  <c r="AI2323" i="11"/>
  <c r="AJ2323" i="11" s="1"/>
  <c r="AI2360" i="11"/>
  <c r="AJ2360" i="11" s="1"/>
  <c r="AI2418" i="11"/>
  <c r="AJ2418" i="11" s="1"/>
  <c r="AI2381" i="11"/>
  <c r="AJ2381" i="11" s="1"/>
  <c r="AI2320" i="11"/>
  <c r="AJ2320" i="11" s="1"/>
  <c r="AI2400" i="11"/>
  <c r="AJ2400" i="11" s="1"/>
  <c r="AI2419" i="11"/>
  <c r="AJ2419" i="11" s="1"/>
  <c r="AI2407" i="11"/>
  <c r="AJ2407" i="11" s="1"/>
  <c r="AI2357" i="11"/>
  <c r="AJ2357" i="11" s="1"/>
  <c r="AI2321" i="11"/>
  <c r="AJ2321" i="11" s="1"/>
  <c r="AI2335" i="11"/>
  <c r="AJ2335" i="11" s="1"/>
  <c r="AI2331" i="11"/>
  <c r="AJ2331" i="11" s="1"/>
  <c r="AI2361" i="11"/>
  <c r="AJ2361" i="11" s="1"/>
  <c r="AI2340" i="11"/>
  <c r="AJ2340" i="11" s="1"/>
  <c r="AI2339" i="11"/>
  <c r="AJ2339" i="11" s="1"/>
  <c r="AI2373" i="11"/>
  <c r="AJ2373" i="11" s="1"/>
  <c r="AI2404" i="11"/>
  <c r="AJ2404" i="11" s="1"/>
  <c r="AI2338" i="11"/>
  <c r="AJ2338" i="11" s="1"/>
  <c r="AI2378" i="11"/>
  <c r="AJ2378" i="11" s="1"/>
  <c r="AI2330" i="11"/>
  <c r="AJ2330" i="11" s="1"/>
  <c r="AI2396" i="11"/>
  <c r="AJ2396" i="11" s="1"/>
  <c r="AI2350" i="11"/>
  <c r="AJ2350" i="11" s="1"/>
  <c r="AI2416" i="11"/>
  <c r="AJ2416" i="11" s="1"/>
  <c r="AI2362" i="11"/>
  <c r="AJ2362" i="11" s="1"/>
  <c r="AI2337" i="11"/>
  <c r="AJ2337" i="11" s="1"/>
  <c r="AI2393" i="11"/>
  <c r="AJ2393" i="11" s="1"/>
  <c r="AI2353" i="11"/>
  <c r="AJ2353" i="11" s="1"/>
  <c r="AI2366" i="11"/>
  <c r="AJ2366" i="11" s="1"/>
  <c r="AI2317" i="11"/>
  <c r="AJ2317" i="11" s="1"/>
  <c r="AI2370" i="11"/>
  <c r="AJ2370" i="11" s="1"/>
  <c r="AI2371" i="11"/>
  <c r="AJ2371" i="11" s="1"/>
  <c r="AI2343" i="11"/>
  <c r="AJ2343" i="11" s="1"/>
  <c r="AI2372" i="11"/>
  <c r="AJ2372" i="11" s="1"/>
  <c r="AI2385" i="11"/>
  <c r="AJ2385" i="11" s="1"/>
  <c r="AI2315" i="11"/>
  <c r="AJ2315" i="11" s="1"/>
  <c r="AI2383" i="11"/>
  <c r="AJ2383" i="11" s="1"/>
  <c r="AI2389" i="11"/>
  <c r="AJ2389" i="11" s="1"/>
  <c r="AI2325" i="11"/>
  <c r="AJ2325" i="11" s="1"/>
  <c r="AI2377" i="11"/>
  <c r="AJ2377" i="11" s="1"/>
  <c r="AI2395" i="11"/>
  <c r="AJ2395" i="11" s="1"/>
  <c r="AI2414" i="11"/>
  <c r="AJ2414" i="11" s="1"/>
  <c r="AI2398" i="11"/>
  <c r="AJ2398" i="11" s="1"/>
  <c r="AI2417" i="11"/>
  <c r="AJ2417" i="11" s="1"/>
  <c r="AI2413" i="11"/>
  <c r="AJ2413" i="11" s="1"/>
  <c r="AI2328" i="11"/>
  <c r="AJ2328" i="11" s="1"/>
  <c r="AI2341" i="11"/>
  <c r="AJ2341" i="11" s="1"/>
  <c r="AI2348" i="11"/>
  <c r="AJ2348" i="11" s="1"/>
  <c r="AI2382" i="11"/>
  <c r="AJ2382" i="11" s="1"/>
  <c r="AI2351" i="11"/>
  <c r="AJ2351" i="11" s="1"/>
  <c r="AI2326" i="11"/>
  <c r="AJ2326" i="11" s="1"/>
  <c r="AI2347" i="11"/>
  <c r="AJ2347" i="11" s="1"/>
  <c r="AI2345" i="11"/>
  <c r="AJ2345" i="11" s="1"/>
  <c r="AI2319" i="11"/>
  <c r="AJ2319" i="11" s="1"/>
  <c r="AI2374" i="11"/>
  <c r="AJ2374" i="11" s="1"/>
  <c r="AI2388" i="11"/>
  <c r="AJ2388" i="11" s="1"/>
  <c r="AI2354" i="11"/>
  <c r="AJ2354" i="11" s="1"/>
  <c r="AI2375" i="11"/>
  <c r="AJ2375" i="11" s="1"/>
  <c r="AI2412" i="11"/>
  <c r="AJ2412" i="11" s="1"/>
  <c r="AI2390" i="11"/>
  <c r="AJ2390" i="11" s="1"/>
  <c r="AI2346" i="11"/>
  <c r="AJ2346" i="11" s="1"/>
  <c r="AI2376" i="11"/>
  <c r="AJ2376" i="11" s="1"/>
  <c r="AI2397" i="11"/>
  <c r="AJ2397" i="11" s="1"/>
  <c r="AI2392" i="11"/>
  <c r="AJ2392" i="11" s="1"/>
  <c r="AI2342" i="11"/>
  <c r="AJ2342" i="11" s="1"/>
  <c r="AI2391" i="11"/>
  <c r="AJ2391" i="11" s="1"/>
  <c r="AI2401" i="11"/>
  <c r="AJ2401" i="11" s="1"/>
  <c r="AI2344" i="11"/>
  <c r="AJ2344" i="11" s="1"/>
  <c r="AI2386" i="11"/>
  <c r="AJ2386" i="11" s="1"/>
  <c r="AI2329" i="11"/>
  <c r="AJ2329" i="11" s="1"/>
  <c r="AI2332" i="11"/>
  <c r="AJ2332" i="11" s="1"/>
  <c r="AI2358" i="11"/>
  <c r="AJ2358" i="11" s="1"/>
  <c r="AI2336" i="11"/>
  <c r="AJ2336" i="11" s="1"/>
  <c r="AI2364" i="11"/>
  <c r="AJ2364" i="11" s="1"/>
  <c r="AI2333" i="11"/>
  <c r="AJ2333" i="11" s="1"/>
  <c r="AI2408" i="11"/>
  <c r="AJ2408" i="11" s="1"/>
  <c r="AI2355" i="11"/>
  <c r="AJ2355" i="11" s="1"/>
  <c r="AI2324" i="11"/>
  <c r="AJ2324" i="11" s="1"/>
  <c r="AI2406" i="11"/>
  <c r="AJ2406" i="11" s="1"/>
  <c r="AI2368" i="11"/>
  <c r="AJ2368" i="11" s="1"/>
  <c r="AI2399" i="11"/>
  <c r="AJ2399" i="11" s="1"/>
  <c r="AI2403" i="11"/>
  <c r="AJ2403" i="11" s="1"/>
  <c r="AI2387" i="11"/>
  <c r="AJ2387" i="11" s="1"/>
  <c r="AI2405" i="11"/>
  <c r="AJ2405" i="11" s="1"/>
  <c r="AF3641" i="11"/>
  <c r="AG3641" i="11" s="1"/>
  <c r="AF3677" i="11"/>
  <c r="AG3677" i="11" s="1"/>
  <c r="AF3602" i="11"/>
  <c r="AG3602" i="11" s="1"/>
  <c r="AF3663" i="11"/>
  <c r="AG3663" i="11" s="1"/>
  <c r="AF3621" i="11"/>
  <c r="AG3621" i="11" s="1"/>
  <c r="AO3621" i="11" s="1"/>
  <c r="AF3596" i="11"/>
  <c r="AG3596" i="11" s="1"/>
  <c r="AF3619" i="11"/>
  <c r="AG3619" i="11" s="1"/>
  <c r="AF3600" i="11"/>
  <c r="AG3600" i="11" s="1"/>
  <c r="AF3605" i="11"/>
  <c r="AG3605" i="11" s="1"/>
  <c r="AO3605" i="11" s="1"/>
  <c r="AF3601" i="11"/>
  <c r="AG3601" i="11" s="1"/>
  <c r="AO3601" i="11" s="1"/>
  <c r="AF3616" i="11"/>
  <c r="AG3616" i="11" s="1"/>
  <c r="AF3648" i="11"/>
  <c r="AG3648" i="11" s="1"/>
  <c r="AF3673" i="11"/>
  <c r="AG3673" i="11" s="1"/>
  <c r="AO3673" i="11" s="1"/>
  <c r="AF3593" i="11"/>
  <c r="AG3593" i="11" s="1"/>
  <c r="AF3591" i="11"/>
  <c r="AG3591" i="11" s="1"/>
  <c r="AF3587" i="11"/>
  <c r="AG3587" i="11" s="1"/>
  <c r="AF3594" i="11"/>
  <c r="AG3594" i="11" s="1"/>
  <c r="AF3652" i="11"/>
  <c r="AG3652" i="11" s="1"/>
  <c r="AF3644" i="11"/>
  <c r="AG3644" i="11" s="1"/>
  <c r="AO3644" i="11" s="1"/>
  <c r="AF3646" i="11"/>
  <c r="AG3646" i="11" s="1"/>
  <c r="AF3667" i="11"/>
  <c r="AG3667" i="11" s="1"/>
  <c r="AF3671" i="11"/>
  <c r="AG3671" i="11" s="1"/>
  <c r="AO3671" i="11" s="1"/>
  <c r="AF3668" i="11"/>
  <c r="AG3668" i="11" s="1"/>
  <c r="AO3668" i="11" s="1"/>
  <c r="AF3676" i="11"/>
  <c r="AG3676" i="11" s="1"/>
  <c r="AF3670" i="11"/>
  <c r="AG3670" i="11" s="1"/>
  <c r="AO3670" i="11" s="1"/>
  <c r="AF3661" i="11"/>
  <c r="AG3661" i="11" s="1"/>
  <c r="AF3590" i="11"/>
  <c r="AG3590" i="11" s="1"/>
  <c r="AF3655" i="11"/>
  <c r="AG3655" i="11" s="1"/>
  <c r="AO3655" i="11" s="1"/>
  <c r="AF3664" i="11"/>
  <c r="AG3664" i="11" s="1"/>
  <c r="AF3583" i="11"/>
  <c r="AG3583" i="11" s="1"/>
  <c r="AF3649" i="11"/>
  <c r="AG3649" i="11" s="1"/>
  <c r="AF3640" i="11"/>
  <c r="AG3640" i="11" s="1"/>
  <c r="AF3581" i="11"/>
  <c r="AG3581" i="11" s="1"/>
  <c r="AO3581" i="11" s="1"/>
  <c r="AF3639" i="11"/>
  <c r="AG3639" i="11" s="1"/>
  <c r="AF3582" i="11"/>
  <c r="AG3582" i="11" s="1"/>
  <c r="AO3582" i="11" s="1"/>
  <c r="AF3577" i="11"/>
  <c r="AG3577" i="11" s="1"/>
  <c r="AO3577" i="11" s="1"/>
  <c r="AF3588" i="11"/>
  <c r="AG3588" i="11" s="1"/>
  <c r="AF3637" i="11"/>
  <c r="AG3637" i="11" s="1"/>
  <c r="AF3651" i="11"/>
  <c r="AG3651" i="11" s="1"/>
  <c r="AF3598" i="11"/>
  <c r="AG3598" i="11" s="1"/>
  <c r="AO3598" i="11" s="1"/>
  <c r="AF3674" i="11"/>
  <c r="AG3674" i="11" s="1"/>
  <c r="AF3659" i="11"/>
  <c r="AG3659" i="11" s="1"/>
  <c r="AO3659" i="11" s="1"/>
  <c r="AF3629" i="11"/>
  <c r="AG3629" i="11" s="1"/>
  <c r="AF3622" i="11"/>
  <c r="AG3622" i="11" s="1"/>
  <c r="AO3622" i="11" s="1"/>
  <c r="AF3632" i="11"/>
  <c r="AG3632" i="11" s="1"/>
  <c r="AF3636" i="11"/>
  <c r="AG3636" i="11" s="1"/>
  <c r="AO3636" i="11" s="1"/>
  <c r="AF3608" i="11"/>
  <c r="AG3608" i="11" s="1"/>
  <c r="AO3608" i="11" s="1"/>
  <c r="AF3610" i="11"/>
  <c r="AG3610" i="11" s="1"/>
  <c r="AF3628" i="11"/>
  <c r="AG3628" i="11" s="1"/>
  <c r="AF3614" i="11"/>
  <c r="AG3614" i="11" s="1"/>
  <c r="AO3614" i="11" s="1"/>
  <c r="AF3645" i="11"/>
  <c r="AG3645" i="11" s="1"/>
  <c r="AO3645" i="11" s="1"/>
  <c r="AF3618" i="11"/>
  <c r="AG3618" i="11" s="1"/>
  <c r="AF3589" i="11"/>
  <c r="AG3589" i="11" s="1"/>
  <c r="AF3656" i="11"/>
  <c r="AG3656" i="11" s="1"/>
  <c r="AF3617" i="11"/>
  <c r="AG3617" i="11" s="1"/>
  <c r="AO3617" i="11" s="1"/>
  <c r="AF3615" i="11"/>
  <c r="AG3615" i="11" s="1"/>
  <c r="AF3634" i="11"/>
  <c r="AG3634" i="11" s="1"/>
  <c r="AF3624" i="11"/>
  <c r="AG3624" i="11" s="1"/>
  <c r="AF3666" i="11"/>
  <c r="AG3666" i="11" s="1"/>
  <c r="AO3666" i="11" s="1"/>
  <c r="AF3657" i="11"/>
  <c r="AG3657" i="11" s="1"/>
  <c r="AF3603" i="11"/>
  <c r="AG3603" i="11" s="1"/>
  <c r="AO3603" i="11" s="1"/>
  <c r="AF3672" i="11"/>
  <c r="AG3672" i="11" s="1"/>
  <c r="AF3669" i="11"/>
  <c r="AG3669" i="11" s="1"/>
  <c r="AF3595" i="11"/>
  <c r="AG3595" i="11" s="1"/>
  <c r="AO3595" i="11" s="1"/>
  <c r="AF3599" i="11"/>
  <c r="AG3599" i="11" s="1"/>
  <c r="AF3625" i="11"/>
  <c r="AG3625" i="11" s="1"/>
  <c r="AF3585" i="11"/>
  <c r="AG3585" i="11" s="1"/>
  <c r="AF3658" i="11"/>
  <c r="AG3658" i="11" s="1"/>
  <c r="AF3630" i="11"/>
  <c r="AG3630" i="11" s="1"/>
  <c r="AF3611" i="11"/>
  <c r="AG3611" i="11" s="1"/>
  <c r="AO3611" i="11" s="1"/>
  <c r="AF3584" i="11"/>
  <c r="AG3584" i="11" s="1"/>
  <c r="AO3584" i="11" s="1"/>
  <c r="AF3675" i="11"/>
  <c r="AG3675" i="11" s="1"/>
  <c r="AF3607" i="11"/>
  <c r="AG3607" i="11" s="1"/>
  <c r="AO3607" i="11" s="1"/>
  <c r="AF3627" i="11"/>
  <c r="AG3627" i="11" s="1"/>
  <c r="AO3627" i="11" s="1"/>
  <c r="AF3635" i="11"/>
  <c r="AG3635" i="11" s="1"/>
  <c r="AF3579" i="11"/>
  <c r="AG3579" i="11" s="1"/>
  <c r="AO3579" i="11" s="1"/>
  <c r="AF3678" i="11"/>
  <c r="AG3678" i="11" s="1"/>
  <c r="AF3612" i="11"/>
  <c r="AG3612" i="11" s="1"/>
  <c r="AO3612" i="11" s="1"/>
  <c r="AF3643" i="11"/>
  <c r="AG3643" i="11" s="1"/>
  <c r="AF3662" i="11"/>
  <c r="AG3662" i="11" s="1"/>
  <c r="AF3586" i="11"/>
  <c r="AG3586" i="11" s="1"/>
  <c r="AO3586" i="11" s="1"/>
  <c r="AF3576" i="11"/>
  <c r="AG3576" i="11" s="1"/>
  <c r="AF3654" i="11"/>
  <c r="AG3654" i="11" s="1"/>
  <c r="AF3613" i="11"/>
  <c r="AG3613" i="11" s="1"/>
  <c r="AO3613" i="11" s="1"/>
  <c r="AF3575" i="11"/>
  <c r="AG3575" i="11" s="1"/>
  <c r="AF3633" i="11"/>
  <c r="AG3633" i="11" s="1"/>
  <c r="AF3580" i="11"/>
  <c r="AG3580" i="11" s="1"/>
  <c r="AO3580" i="11" s="1"/>
  <c r="AF3597" i="11"/>
  <c r="AG3597" i="11" s="1"/>
  <c r="AF3626" i="11"/>
  <c r="AG3626" i="11" s="1"/>
  <c r="AF3606" i="11"/>
  <c r="AG3606" i="11" s="1"/>
  <c r="AF3592" i="11"/>
  <c r="AG3592" i="11" s="1"/>
  <c r="AF3631" i="11"/>
  <c r="AG3631" i="11" s="1"/>
  <c r="AF3623" i="11"/>
  <c r="AG3623" i="11" s="1"/>
  <c r="AO3623" i="11" s="1"/>
  <c r="AF3653" i="11"/>
  <c r="AG3653" i="11" s="1"/>
  <c r="AF3665" i="11"/>
  <c r="AG3665" i="11" s="1"/>
  <c r="AO3665" i="11" s="1"/>
  <c r="AK2222" i="11"/>
  <c r="AL2222" i="11" s="1"/>
  <c r="AK2274" i="11"/>
  <c r="AL2274" i="11" s="1"/>
  <c r="AK2271" i="11"/>
  <c r="AL2271" i="11" s="1"/>
  <c r="AK2291" i="11"/>
  <c r="AL2291" i="11" s="1"/>
  <c r="AK2275" i="11"/>
  <c r="AL2275" i="11" s="1"/>
  <c r="AK2246" i="11"/>
  <c r="AL2246" i="11" s="1"/>
  <c r="AK2306" i="11"/>
  <c r="AL2306" i="11" s="1"/>
  <c r="AK2266" i="11"/>
  <c r="AL2266" i="11" s="1"/>
  <c r="AK2290" i="11"/>
  <c r="AL2290" i="11" s="1"/>
  <c r="AK2234" i="11"/>
  <c r="AL2234" i="11" s="1"/>
  <c r="AK2226" i="11"/>
  <c r="AL2226" i="11" s="1"/>
  <c r="AK2269" i="11"/>
  <c r="AL2269" i="11" s="1"/>
  <c r="AO2269" i="11" s="1"/>
  <c r="AK2259" i="11"/>
  <c r="AL2259" i="11" s="1"/>
  <c r="AK2244" i="11"/>
  <c r="AL2244" i="11" s="1"/>
  <c r="AK2273" i="11"/>
  <c r="AL2273" i="11" s="1"/>
  <c r="AK2276" i="11"/>
  <c r="AL2276" i="11" s="1"/>
  <c r="AK2278" i="11"/>
  <c r="AL2278" i="11" s="1"/>
  <c r="AK2254" i="11"/>
  <c r="AL2254" i="11" s="1"/>
  <c r="AK2279" i="11"/>
  <c r="AL2279" i="11" s="1"/>
  <c r="AK2297" i="11"/>
  <c r="AL2297" i="11" s="1"/>
  <c r="AK2308" i="11"/>
  <c r="AL2308" i="11" s="1"/>
  <c r="AK2311" i="11"/>
  <c r="AL2311" i="11" s="1"/>
  <c r="AK2228" i="11"/>
  <c r="AL2228" i="11" s="1"/>
  <c r="AK2289" i="11"/>
  <c r="AL2289" i="11" s="1"/>
  <c r="AK2250" i="11"/>
  <c r="AL2250" i="11" s="1"/>
  <c r="AK2242" i="11"/>
  <c r="AL2242" i="11" s="1"/>
  <c r="AK2247" i="11"/>
  <c r="AL2247" i="11" s="1"/>
  <c r="AK2215" i="11"/>
  <c r="AL2215" i="11" s="1"/>
  <c r="AK2252" i="11"/>
  <c r="AL2252" i="11" s="1"/>
  <c r="AK2272" i="11"/>
  <c r="AL2272" i="11" s="1"/>
  <c r="AK2257" i="11"/>
  <c r="AL2257" i="11" s="1"/>
  <c r="AK2295" i="11"/>
  <c r="AL2295" i="11" s="1"/>
  <c r="AK2301" i="11"/>
  <c r="AL2301" i="11" s="1"/>
  <c r="AK2285" i="11"/>
  <c r="AL2285" i="11" s="1"/>
  <c r="AK2298" i="11"/>
  <c r="AL2298" i="11" s="1"/>
  <c r="AK2241" i="11"/>
  <c r="AL2241" i="11" s="1"/>
  <c r="AK2255" i="11"/>
  <c r="AL2255" i="11" s="1"/>
  <c r="AK2277" i="11"/>
  <c r="AL2277" i="11" s="1"/>
  <c r="AK2281" i="11"/>
  <c r="AL2281" i="11" s="1"/>
  <c r="AK2227" i="11"/>
  <c r="AL2227" i="11" s="1"/>
  <c r="AK2218" i="11"/>
  <c r="AL2218" i="11" s="1"/>
  <c r="AK2287" i="11"/>
  <c r="AL2287" i="11" s="1"/>
  <c r="AK2220" i="11"/>
  <c r="AL2220" i="11" s="1"/>
  <c r="AK2225" i="11"/>
  <c r="AL2225" i="11" s="1"/>
  <c r="AK2307" i="11"/>
  <c r="AL2307" i="11" s="1"/>
  <c r="AK2292" i="11"/>
  <c r="AL2292" i="11" s="1"/>
  <c r="AK2238" i="11"/>
  <c r="AL2238" i="11" s="1"/>
  <c r="AK2282" i="11"/>
  <c r="AL2282" i="11" s="1"/>
  <c r="AK2299" i="11"/>
  <c r="AL2299" i="11" s="1"/>
  <c r="AK2270" i="11"/>
  <c r="AL2270" i="11" s="1"/>
  <c r="AK2262" i="11"/>
  <c r="AL2262" i="11" s="1"/>
  <c r="AK2265" i="11"/>
  <c r="AL2265" i="11" s="1"/>
  <c r="AK2249" i="11"/>
  <c r="AL2249" i="11" s="1"/>
  <c r="AK2300" i="11"/>
  <c r="AL2300" i="11" s="1"/>
  <c r="AK2235" i="11"/>
  <c r="AL2235" i="11" s="1"/>
  <c r="AK2302" i="11"/>
  <c r="AL2302" i="11" s="1"/>
  <c r="AK2245" i="11"/>
  <c r="AL2245" i="11" s="1"/>
  <c r="AK2294" i="11"/>
  <c r="AL2294" i="11" s="1"/>
  <c r="AK2296" i="11"/>
  <c r="AL2296" i="11" s="1"/>
  <c r="AK2230" i="11"/>
  <c r="AL2230" i="11" s="1"/>
  <c r="AK2283" i="11"/>
  <c r="AL2283" i="11" s="1"/>
  <c r="AK2236" i="11"/>
  <c r="AL2236" i="11" s="1"/>
  <c r="AK2210" i="11"/>
  <c r="AL2210" i="11" s="1"/>
  <c r="AK2217" i="11"/>
  <c r="AL2217" i="11" s="1"/>
  <c r="AK2221" i="11"/>
  <c r="AL2221" i="11" s="1"/>
  <c r="AK2237" i="11"/>
  <c r="AL2237" i="11" s="1"/>
  <c r="AK2293" i="11"/>
  <c r="AL2293" i="11" s="1"/>
  <c r="AK2216" i="11"/>
  <c r="AL2216" i="11" s="1"/>
  <c r="AK2313" i="11"/>
  <c r="AL2313" i="11" s="1"/>
  <c r="AK2288" i="11"/>
  <c r="AL2288" i="11" s="1"/>
  <c r="AK2223" i="11"/>
  <c r="AL2223" i="11" s="1"/>
  <c r="AK2213" i="11"/>
  <c r="AL2213" i="11" s="1"/>
  <c r="AK2263" i="11"/>
  <c r="AL2263" i="11" s="1"/>
  <c r="AK2310" i="11"/>
  <c r="AL2310" i="11" s="1"/>
  <c r="AK2231" i="11"/>
  <c r="AL2231" i="11" s="1"/>
  <c r="AK2212" i="11"/>
  <c r="AL2212" i="11" s="1"/>
  <c r="AK2260" i="11"/>
  <c r="AL2260" i="11" s="1"/>
  <c r="AK2258" i="11"/>
  <c r="AL2258" i="11" s="1"/>
  <c r="AK2256" i="11"/>
  <c r="AL2256" i="11" s="1"/>
  <c r="AK2224" i="11"/>
  <c r="AL2224" i="11" s="1"/>
  <c r="AK2314" i="11"/>
  <c r="AL2314" i="11" s="1"/>
  <c r="AK2219" i="11"/>
  <c r="AL2219" i="11" s="1"/>
  <c r="AK2251" i="11"/>
  <c r="AL2251" i="11" s="1"/>
  <c r="AK2267" i="11"/>
  <c r="AL2267" i="11" s="1"/>
  <c r="AK2240" i="11"/>
  <c r="AL2240" i="11" s="1"/>
  <c r="AK2239" i="11"/>
  <c r="AL2239" i="11" s="1"/>
  <c r="AK2264" i="11"/>
  <c r="AL2264" i="11" s="1"/>
  <c r="AK2243" i="11"/>
  <c r="AL2243" i="11" s="1"/>
  <c r="AK2304" i="11"/>
  <c r="AL2304" i="11" s="1"/>
  <c r="AK2305" i="11"/>
  <c r="AL2305" i="11" s="1"/>
  <c r="AK2303" i="11"/>
  <c r="AL2303" i="11" s="1"/>
  <c r="AK2280" i="11"/>
  <c r="AL2280" i="11" s="1"/>
  <c r="AK2232" i="11"/>
  <c r="AL2232" i="11" s="1"/>
  <c r="AK2268" i="11"/>
  <c r="AL2268" i="11" s="1"/>
  <c r="AK2233" i="11"/>
  <c r="AL2233" i="11" s="1"/>
  <c r="P104" i="54"/>
  <c r="AF202" i="11"/>
  <c r="AG202" i="11" s="1"/>
  <c r="AF186" i="11"/>
  <c r="AG186" i="11" s="1"/>
  <c r="AF163" i="11"/>
  <c r="AG163" i="11" s="1"/>
  <c r="AF183" i="11"/>
  <c r="AG183" i="11" s="1"/>
  <c r="AO183" i="11" s="1"/>
  <c r="AF194" i="11"/>
  <c r="AG194" i="11" s="1"/>
  <c r="AF145" i="11"/>
  <c r="AG145" i="11" s="1"/>
  <c r="AF158" i="11"/>
  <c r="AG158" i="11" s="1"/>
  <c r="AF148" i="11"/>
  <c r="AG148" i="11" s="1"/>
  <c r="AF111" i="11"/>
  <c r="AG111" i="11" s="1"/>
  <c r="AF118" i="11"/>
  <c r="AG118" i="11" s="1"/>
  <c r="AF124" i="11"/>
  <c r="AG124" i="11" s="1"/>
  <c r="AF192" i="11"/>
  <c r="AG192" i="11" s="1"/>
  <c r="AF144" i="11"/>
  <c r="AG144" i="11" s="1"/>
  <c r="AF178" i="11"/>
  <c r="AG178" i="11" s="1"/>
  <c r="AF151" i="11"/>
  <c r="AG151" i="11" s="1"/>
  <c r="AF212" i="11"/>
  <c r="AG212" i="11" s="1"/>
  <c r="AF177" i="11"/>
  <c r="AG177" i="11" s="1"/>
  <c r="AF114" i="11"/>
  <c r="AG114" i="11" s="1"/>
  <c r="AF136" i="11"/>
  <c r="AG136" i="11" s="1"/>
  <c r="AF132" i="11"/>
  <c r="AG132" i="11" s="1"/>
  <c r="AF180" i="11"/>
  <c r="AG180" i="11" s="1"/>
  <c r="AF123" i="11"/>
  <c r="AG123" i="11" s="1"/>
  <c r="AF129" i="11"/>
  <c r="AG129" i="11" s="1"/>
  <c r="AF189" i="11"/>
  <c r="AG189" i="11" s="1"/>
  <c r="AF167" i="11"/>
  <c r="AG167" i="11" s="1"/>
  <c r="AF171" i="11"/>
  <c r="AG171" i="11" s="1"/>
  <c r="AO171" i="11" s="1"/>
  <c r="AF164" i="11"/>
  <c r="AG164" i="11" s="1"/>
  <c r="AO164" i="11" s="1"/>
  <c r="AF208" i="11"/>
  <c r="AG208" i="11" s="1"/>
  <c r="AF175" i="11"/>
  <c r="AG175" i="11" s="1"/>
  <c r="AF172" i="11"/>
  <c r="AG172" i="11" s="1"/>
  <c r="AF204" i="11"/>
  <c r="AG204" i="11" s="1"/>
  <c r="AF134" i="11"/>
  <c r="AG134" i="11" s="1"/>
  <c r="AF142" i="11"/>
  <c r="AG142" i="11" s="1"/>
  <c r="AF182" i="11"/>
  <c r="AG182" i="11" s="1"/>
  <c r="AF168" i="11"/>
  <c r="AG168" i="11" s="1"/>
  <c r="AO168" i="11" s="1"/>
  <c r="AF166" i="11"/>
  <c r="AG166" i="11" s="1"/>
  <c r="AF206" i="11"/>
  <c r="AG206" i="11" s="1"/>
  <c r="AF138" i="11"/>
  <c r="AG138" i="11" s="1"/>
  <c r="AF209" i="11"/>
  <c r="AG209" i="11" s="1"/>
  <c r="AF141" i="11"/>
  <c r="AG141" i="11" s="1"/>
  <c r="AF152" i="11"/>
  <c r="AG152" i="11" s="1"/>
  <c r="AF112" i="11"/>
  <c r="AG112" i="11" s="1"/>
  <c r="AO112" i="11" s="1"/>
  <c r="AF165" i="11"/>
  <c r="AG165" i="11" s="1"/>
  <c r="AF115" i="11"/>
  <c r="AG115" i="11" s="1"/>
  <c r="AF196" i="11"/>
  <c r="AG196" i="11" s="1"/>
  <c r="AF205" i="11"/>
  <c r="AG205" i="11" s="1"/>
  <c r="AO205" i="11" s="1"/>
  <c r="AF127" i="11"/>
  <c r="AG127" i="11" s="1"/>
  <c r="AF160" i="11"/>
  <c r="AG160" i="11" s="1"/>
  <c r="AO160" i="11" s="1"/>
  <c r="AF214" i="11"/>
  <c r="AG214" i="11" s="1"/>
  <c r="AF154" i="11"/>
  <c r="AG154" i="11" s="1"/>
  <c r="AF153" i="11"/>
  <c r="AG153" i="11" s="1"/>
  <c r="AF213" i="11"/>
  <c r="AG213" i="11" s="1"/>
  <c r="AO213" i="11" s="1"/>
  <c r="AF187" i="11"/>
  <c r="AG187" i="11" s="1"/>
  <c r="AF117" i="11"/>
  <c r="AG117" i="11" s="1"/>
  <c r="AF137" i="11"/>
  <c r="AG137" i="11" s="1"/>
  <c r="AF143" i="11"/>
  <c r="AG143" i="11" s="1"/>
  <c r="AF169" i="11"/>
  <c r="AG169" i="11" s="1"/>
  <c r="AF139" i="11"/>
  <c r="AG139" i="11" s="1"/>
  <c r="AF150" i="11"/>
  <c r="AG150" i="11" s="1"/>
  <c r="AF190" i="11"/>
  <c r="AG190" i="11" s="1"/>
  <c r="AF121" i="11"/>
  <c r="AG121" i="11" s="1"/>
  <c r="AF126" i="11"/>
  <c r="AG126" i="11" s="1"/>
  <c r="AO126" i="11" s="1"/>
  <c r="AF133" i="11"/>
  <c r="AG133" i="11" s="1"/>
  <c r="AO133" i="11" s="1"/>
  <c r="AF174" i="11"/>
  <c r="AG174" i="11" s="1"/>
  <c r="AF157" i="11"/>
  <c r="AG157" i="11" s="1"/>
  <c r="AF147" i="11"/>
  <c r="AG147" i="11" s="1"/>
  <c r="AF131" i="11"/>
  <c r="AG131" i="11" s="1"/>
  <c r="AF193" i="11"/>
  <c r="AG193" i="11" s="1"/>
  <c r="AF200" i="11"/>
  <c r="AG200" i="11" s="1"/>
  <c r="AF140" i="11"/>
  <c r="AG140" i="11" s="1"/>
  <c r="AF207" i="11"/>
  <c r="AG207" i="11" s="1"/>
  <c r="AF119" i="11"/>
  <c r="AG119" i="11" s="1"/>
  <c r="AF185" i="11"/>
  <c r="AG185" i="11" s="1"/>
  <c r="AF173" i="11"/>
  <c r="AG173" i="11" s="1"/>
  <c r="AF155" i="11"/>
  <c r="AG155" i="11" s="1"/>
  <c r="AO155" i="11" s="1"/>
  <c r="O196" i="54"/>
  <c r="AF181" i="11"/>
  <c r="AG181" i="11" s="1"/>
  <c r="AO181" i="11" s="1"/>
  <c r="AF161" i="11"/>
  <c r="AG161" i="11" s="1"/>
  <c r="AF191" i="11"/>
  <c r="AG191" i="11" s="1"/>
  <c r="AF135" i="11"/>
  <c r="AG135" i="11" s="1"/>
  <c r="AF113" i="11"/>
  <c r="AG113" i="11" s="1"/>
  <c r="AF159" i="11"/>
  <c r="AG159" i="11" s="1"/>
  <c r="AF210" i="11"/>
  <c r="AG210" i="11" s="1"/>
  <c r="AF197" i="11"/>
  <c r="AG197" i="11" s="1"/>
  <c r="AF179" i="11"/>
  <c r="AG179" i="11" s="1"/>
  <c r="AF184" i="11"/>
  <c r="AG184" i="11" s="1"/>
  <c r="AF116" i="11"/>
  <c r="AG116" i="11" s="1"/>
  <c r="AF198" i="11"/>
  <c r="AG198" i="11" s="1"/>
  <c r="AF122" i="11"/>
  <c r="AG122" i="11" s="1"/>
  <c r="AF128" i="11"/>
  <c r="AG128" i="11" s="1"/>
  <c r="AO128" i="11" s="1"/>
  <c r="AF199" i="11"/>
  <c r="AG199" i="11" s="1"/>
  <c r="AF162" i="11"/>
  <c r="AG162" i="11" s="1"/>
  <c r="AF125" i="11"/>
  <c r="AG125" i="11" s="1"/>
  <c r="AF188" i="11"/>
  <c r="AG188" i="11" s="1"/>
  <c r="AF201" i="11"/>
  <c r="AG201" i="11" s="1"/>
  <c r="AF120" i="11"/>
  <c r="AG120" i="11" s="1"/>
  <c r="AO120" i="11" s="1"/>
  <c r="AF146" i="11"/>
  <c r="AG146" i="11" s="1"/>
  <c r="Q137" i="54"/>
  <c r="AD1968" i="11"/>
  <c r="AE1968" i="11" s="1"/>
  <c r="AN1968" i="11" s="1"/>
  <c r="AD1912" i="11"/>
  <c r="AE1912" i="11" s="1"/>
  <c r="AD1992" i="11"/>
  <c r="AE1992" i="11" s="1"/>
  <c r="AD1939" i="11"/>
  <c r="AE1939" i="11" s="1"/>
  <c r="AN1939" i="11" s="1"/>
  <c r="AD1926" i="11"/>
  <c r="AE1926" i="11" s="1"/>
  <c r="AD1898" i="11"/>
  <c r="AE1898" i="11" s="1"/>
  <c r="AD1957" i="11"/>
  <c r="AE1957" i="11" s="1"/>
  <c r="AD1958" i="11"/>
  <c r="AE1958" i="11" s="1"/>
  <c r="AN1958" i="11" s="1"/>
  <c r="AD1979" i="11"/>
  <c r="AE1979" i="11" s="1"/>
  <c r="AD1920" i="11"/>
  <c r="AE1920" i="11" s="1"/>
  <c r="AN1920" i="11" s="1"/>
  <c r="AD1915" i="11"/>
  <c r="AE1915" i="11" s="1"/>
  <c r="AD1945" i="11"/>
  <c r="AE1945" i="11" s="1"/>
  <c r="AD1924" i="11"/>
  <c r="AE1924" i="11" s="1"/>
  <c r="AN1924" i="11" s="1"/>
  <c r="AD1951" i="11"/>
  <c r="AE1951" i="11" s="1"/>
  <c r="AD1967" i="11"/>
  <c r="AE1967" i="11" s="1"/>
  <c r="AD1907" i="11"/>
  <c r="AE1907" i="11" s="1"/>
  <c r="AD1901" i="11"/>
  <c r="AE1901" i="11" s="1"/>
  <c r="AD1956" i="11"/>
  <c r="AE1956" i="11" s="1"/>
  <c r="AD1975" i="11"/>
  <c r="AE1975" i="11" s="1"/>
  <c r="AD1964" i="11"/>
  <c r="AE1964" i="11" s="1"/>
  <c r="AN1964" i="11" s="1"/>
  <c r="AD1996" i="11"/>
  <c r="AE1996" i="11" s="1"/>
  <c r="AD1973" i="11"/>
  <c r="AE1973" i="11" s="1"/>
  <c r="AN1973" i="11" s="1"/>
  <c r="AD1962" i="11"/>
  <c r="AE1962" i="11" s="1"/>
  <c r="AD1978" i="11"/>
  <c r="AE1978" i="11" s="1"/>
  <c r="AN1978" i="11" s="1"/>
  <c r="AD1936" i="11"/>
  <c r="AE1936" i="11" s="1"/>
  <c r="AN1936" i="11" s="1"/>
  <c r="AD1918" i="11"/>
  <c r="AE1918" i="11" s="1"/>
  <c r="AD1903" i="11"/>
  <c r="AE1903" i="11" s="1"/>
  <c r="AN1903" i="11" s="1"/>
  <c r="AD1959" i="11"/>
  <c r="AE1959" i="11" s="1"/>
  <c r="AD1986" i="11"/>
  <c r="AE1986" i="11" s="1"/>
  <c r="AD1993" i="11"/>
  <c r="AE1993" i="11" s="1"/>
  <c r="AD1982" i="11"/>
  <c r="AE1982" i="11" s="1"/>
  <c r="AD1895" i="11"/>
  <c r="AE1895" i="11" s="1"/>
  <c r="AD1974" i="11"/>
  <c r="AE1974" i="11" s="1"/>
  <c r="AD1935" i="11"/>
  <c r="AE1935" i="11" s="1"/>
  <c r="AN1935" i="11" s="1"/>
  <c r="AD1941" i="11"/>
  <c r="AE1941" i="11" s="1"/>
  <c r="AD1922" i="11"/>
  <c r="AE1922" i="11" s="1"/>
  <c r="AD1977" i="11"/>
  <c r="AE1977" i="11" s="1"/>
  <c r="AD1983" i="11"/>
  <c r="AE1983" i="11" s="1"/>
  <c r="AD1909" i="11"/>
  <c r="AE1909" i="11" s="1"/>
  <c r="AN1909" i="11" s="1"/>
  <c r="AD1976" i="11"/>
  <c r="AE1976" i="11" s="1"/>
  <c r="AD1960" i="11"/>
  <c r="AE1960" i="11" s="1"/>
  <c r="AD1991" i="11"/>
  <c r="AE1991" i="11" s="1"/>
  <c r="AD1921" i="11"/>
  <c r="AE1921" i="11" s="1"/>
  <c r="AN1921" i="11" s="1"/>
  <c r="AD1904" i="11"/>
  <c r="AE1904" i="11" s="1"/>
  <c r="AD1985" i="11"/>
  <c r="AE1985" i="11" s="1"/>
  <c r="AD1925" i="11"/>
  <c r="AE1925" i="11" s="1"/>
  <c r="AD1947" i="11"/>
  <c r="AE1947" i="11" s="1"/>
  <c r="AD1994" i="11"/>
  <c r="AE1994" i="11" s="1"/>
  <c r="AD1952" i="11"/>
  <c r="AE1952" i="11" s="1"/>
  <c r="AN1952" i="11" s="1"/>
  <c r="AD1990" i="11"/>
  <c r="AE1990" i="11" s="1"/>
  <c r="AD1984" i="11"/>
  <c r="AE1984" i="11" s="1"/>
  <c r="AD1987" i="11"/>
  <c r="AE1987" i="11" s="1"/>
  <c r="AD1943" i="11"/>
  <c r="AE1943" i="11" s="1"/>
  <c r="AD1955" i="11"/>
  <c r="AE1955" i="11" s="1"/>
  <c r="AD1953" i="11"/>
  <c r="AE1953" i="11" s="1"/>
  <c r="AD1896" i="11"/>
  <c r="AE1896" i="11" s="1"/>
  <c r="AD1972" i="11"/>
  <c r="AE1972" i="11" s="1"/>
  <c r="AD1944" i="11"/>
  <c r="AE1944" i="11" s="1"/>
  <c r="AN1944" i="11" s="1"/>
  <c r="AD1946" i="11"/>
  <c r="AE1946" i="11" s="1"/>
  <c r="AN1946" i="11" s="1"/>
  <c r="AD1988" i="11"/>
  <c r="AE1988" i="11" s="1"/>
  <c r="AD1969" i="11"/>
  <c r="AE1969" i="11" s="1"/>
  <c r="AN1969" i="11" s="1"/>
  <c r="AD1966" i="11"/>
  <c r="AE1966" i="11" s="1"/>
  <c r="AD1928" i="11"/>
  <c r="AE1928" i="11" s="1"/>
  <c r="AN1928" i="11" s="1"/>
  <c r="AD1937" i="11"/>
  <c r="AE1937" i="11" s="1"/>
  <c r="AD1900" i="11"/>
  <c r="AE1900" i="11" s="1"/>
  <c r="AD1948" i="11"/>
  <c r="AE1948" i="11" s="1"/>
  <c r="AD1931" i="11"/>
  <c r="AE1931" i="11" s="1"/>
  <c r="AD1934" i="11"/>
  <c r="AE1934" i="11" s="1"/>
  <c r="AN1934" i="11" s="1"/>
  <c r="AD1961" i="11"/>
  <c r="AE1961" i="11" s="1"/>
  <c r="AD1929" i="11"/>
  <c r="AE1929" i="11" s="1"/>
  <c r="AN1929" i="11" s="1"/>
  <c r="AD1965" i="11"/>
  <c r="AE1965" i="11" s="1"/>
  <c r="AD1914" i="11"/>
  <c r="AE1914" i="11" s="1"/>
  <c r="AN1914" i="11" s="1"/>
  <c r="AD1980" i="11"/>
  <c r="AE1980" i="11" s="1"/>
  <c r="AN1980" i="11" s="1"/>
  <c r="AD1954" i="11"/>
  <c r="AE1954" i="11" s="1"/>
  <c r="AD1913" i="11"/>
  <c r="AE1913" i="11" s="1"/>
  <c r="AN1913" i="11" s="1"/>
  <c r="AD1905" i="11"/>
  <c r="AE1905" i="11" s="1"/>
  <c r="AN1905" i="11" s="1"/>
  <c r="AD1927" i="11"/>
  <c r="AE1927" i="11" s="1"/>
  <c r="AD1906" i="11"/>
  <c r="AE1906" i="11" s="1"/>
  <c r="AD1997" i="11"/>
  <c r="AE1997" i="11" s="1"/>
  <c r="AD1950" i="11"/>
  <c r="AE1950" i="11" s="1"/>
  <c r="AN1950" i="11" s="1"/>
  <c r="AD1989" i="11"/>
  <c r="AE1989" i="11" s="1"/>
  <c r="AD1897" i="11"/>
  <c r="AE1897" i="11" s="1"/>
  <c r="AD1981" i="11"/>
  <c r="AE1981" i="11" s="1"/>
  <c r="AD1933" i="11"/>
  <c r="AE1933" i="11" s="1"/>
  <c r="AN1933" i="11" s="1"/>
  <c r="AD1910" i="11"/>
  <c r="AE1910" i="11" s="1"/>
  <c r="AN1910" i="11" s="1"/>
  <c r="AD1938" i="11"/>
  <c r="AE1938" i="11" s="1"/>
  <c r="AD1995" i="11"/>
  <c r="AE1995" i="11" s="1"/>
  <c r="AN1995" i="11" s="1"/>
  <c r="AD1916" i="11"/>
  <c r="AE1916" i="11" s="1"/>
  <c r="AD1998" i="11"/>
  <c r="AE1998" i="11" s="1"/>
  <c r="AD1963" i="11"/>
  <c r="AE1963" i="11" s="1"/>
  <c r="AD1899" i="11"/>
  <c r="AE1899" i="11" s="1"/>
  <c r="AD1999" i="11"/>
  <c r="AE1999" i="11" s="1"/>
  <c r="AD1942" i="11"/>
  <c r="AE1942" i="11" s="1"/>
  <c r="AD1911" i="11"/>
  <c r="AE1911" i="11" s="1"/>
  <c r="AN1911" i="11" s="1"/>
  <c r="N186" i="54"/>
  <c r="AD1949" i="11"/>
  <c r="AE1949" i="11" s="1"/>
  <c r="AN1949" i="11" s="1"/>
  <c r="AD1971" i="11"/>
  <c r="AE1971" i="11" s="1"/>
  <c r="AN1971" i="11" s="1"/>
  <c r="AD808" i="11"/>
  <c r="AE808" i="11" s="1"/>
  <c r="AN808" i="11" s="1"/>
  <c r="AD826" i="11"/>
  <c r="AE826" i="11" s="1"/>
  <c r="AD797" i="11"/>
  <c r="AE797" i="11" s="1"/>
  <c r="AD770" i="11"/>
  <c r="AE770" i="11" s="1"/>
  <c r="AD813" i="11"/>
  <c r="AE813" i="11" s="1"/>
  <c r="AD833" i="11"/>
  <c r="AE833" i="11" s="1"/>
  <c r="AN833" i="11" s="1"/>
  <c r="AD757" i="11"/>
  <c r="AE757" i="11" s="1"/>
  <c r="AD793" i="11"/>
  <c r="AE793" i="11" s="1"/>
  <c r="AD822" i="11"/>
  <c r="AE822" i="11" s="1"/>
  <c r="AN822" i="11" s="1"/>
  <c r="AD844" i="11"/>
  <c r="AE844" i="11" s="1"/>
  <c r="AD814" i="11"/>
  <c r="AE814" i="11" s="1"/>
  <c r="AD794" i="11"/>
  <c r="AE794" i="11" s="1"/>
  <c r="AD777" i="11"/>
  <c r="AE777" i="11" s="1"/>
  <c r="AD771" i="11"/>
  <c r="AE771" i="11" s="1"/>
  <c r="AD790" i="11"/>
  <c r="AE790" i="11" s="1"/>
  <c r="AD830" i="11"/>
  <c r="AE830" i="11" s="1"/>
  <c r="AN830" i="11" s="1"/>
  <c r="AD779" i="11"/>
  <c r="AE779" i="11" s="1"/>
  <c r="AD741" i="11"/>
  <c r="AE741" i="11" s="1"/>
  <c r="AD842" i="11"/>
  <c r="AE842" i="11" s="1"/>
  <c r="AD787" i="11"/>
  <c r="AE787" i="11" s="1"/>
  <c r="AD778" i="11"/>
  <c r="AE778" i="11" s="1"/>
  <c r="AN778" i="11" s="1"/>
  <c r="AD837" i="11"/>
  <c r="AE837" i="11" s="1"/>
  <c r="AD760" i="11"/>
  <c r="AE760" i="11" s="1"/>
  <c r="AN760" i="11" s="1"/>
  <c r="AD811" i="11"/>
  <c r="AE811" i="11" s="1"/>
  <c r="AD780" i="11"/>
  <c r="AE780" i="11" s="1"/>
  <c r="AN780" i="11" s="1"/>
  <c r="AD820" i="11"/>
  <c r="AE820" i="11" s="1"/>
  <c r="AD840" i="11"/>
  <c r="AE840" i="11" s="1"/>
  <c r="AD749" i="11"/>
  <c r="AE749" i="11" s="1"/>
  <c r="AN749" i="11" s="1"/>
  <c r="AD799" i="11"/>
  <c r="AE799" i="11" s="1"/>
  <c r="AD807" i="11"/>
  <c r="AE807" i="11" s="1"/>
  <c r="AD743" i="11"/>
  <c r="AE743" i="11" s="1"/>
  <c r="AN743" i="11" s="1"/>
  <c r="AD763" i="11"/>
  <c r="AE763" i="11" s="1"/>
  <c r="AD740" i="11"/>
  <c r="AE740" i="11" s="1"/>
  <c r="AN740" i="11" s="1"/>
  <c r="AD783" i="11"/>
  <c r="AE783" i="11" s="1"/>
  <c r="AD789" i="11"/>
  <c r="AE789" i="11" s="1"/>
  <c r="AN789" i="11" s="1"/>
  <c r="AD823" i="11"/>
  <c r="AE823" i="11" s="1"/>
  <c r="AD747" i="11"/>
  <c r="AE747" i="11" s="1"/>
  <c r="AD792" i="11"/>
  <c r="AE792" i="11" s="1"/>
  <c r="AD782" i="11"/>
  <c r="AE782" i="11" s="1"/>
  <c r="AD821" i="11"/>
  <c r="AE821" i="11" s="1"/>
  <c r="AD776" i="11"/>
  <c r="AE776" i="11" s="1"/>
  <c r="AD748" i="11"/>
  <c r="AE748" i="11" s="1"/>
  <c r="AD841" i="11"/>
  <c r="AE841" i="11" s="1"/>
  <c r="AN841" i="11" s="1"/>
  <c r="AD764" i="11"/>
  <c r="AE764" i="11" s="1"/>
  <c r="AD751" i="11"/>
  <c r="AE751" i="11" s="1"/>
  <c r="AD829" i="11"/>
  <c r="AE829" i="11" s="1"/>
  <c r="AD753" i="11"/>
  <c r="AE753" i="11" s="1"/>
  <c r="AD824" i="11"/>
  <c r="AE824" i="11" s="1"/>
  <c r="AN824" i="11" s="1"/>
  <c r="AD796" i="11"/>
  <c r="AE796" i="11" s="1"/>
  <c r="AN796" i="11" s="1"/>
  <c r="AD809" i="11"/>
  <c r="AE809" i="11" s="1"/>
  <c r="AD835" i="11"/>
  <c r="AE835" i="11" s="1"/>
  <c r="AD818" i="11"/>
  <c r="AE818" i="11" s="1"/>
  <c r="AN818" i="11" s="1"/>
  <c r="AD839" i="11"/>
  <c r="AE839" i="11" s="1"/>
  <c r="AD836" i="11"/>
  <c r="AE836" i="11" s="1"/>
  <c r="AD762" i="11"/>
  <c r="AE762" i="11" s="1"/>
  <c r="AN762" i="11" s="1"/>
  <c r="AD785" i="11"/>
  <c r="AE785" i="11" s="1"/>
  <c r="AD759" i="11"/>
  <c r="AE759" i="11" s="1"/>
  <c r="AN759" i="11" s="1"/>
  <c r="AD804" i="11"/>
  <c r="AE804" i="11" s="1"/>
  <c r="AD838" i="11"/>
  <c r="AE838" i="11" s="1"/>
  <c r="AN838" i="11" s="1"/>
  <c r="AD768" i="11"/>
  <c r="AE768" i="11" s="1"/>
  <c r="AD802" i="11"/>
  <c r="AE802" i="11" s="1"/>
  <c r="AN802" i="11" s="1"/>
  <c r="AD834" i="11"/>
  <c r="AE834" i="11" s="1"/>
  <c r="AD832" i="11"/>
  <c r="AE832" i="11" s="1"/>
  <c r="AD750" i="11"/>
  <c r="AE750" i="11" s="1"/>
  <c r="AD746" i="11"/>
  <c r="AE746" i="11" s="1"/>
  <c r="AD788" i="11"/>
  <c r="AE788" i="11" s="1"/>
  <c r="AD781" i="11"/>
  <c r="AE781" i="11" s="1"/>
  <c r="AD791" i="11"/>
  <c r="AE791" i="11" s="1"/>
  <c r="AD828" i="11"/>
  <c r="AE828" i="11" s="1"/>
  <c r="AN828" i="11" s="1"/>
  <c r="AD831" i="11"/>
  <c r="AE831" i="11" s="1"/>
  <c r="AD817" i="11"/>
  <c r="AE817" i="11" s="1"/>
  <c r="AN817" i="11" s="1"/>
  <c r="AD786" i="11"/>
  <c r="AE786" i="11" s="1"/>
  <c r="AD767" i="11"/>
  <c r="AE767" i="11" s="1"/>
  <c r="AN767" i="11" s="1"/>
  <c r="AD784" i="11"/>
  <c r="AE784" i="11" s="1"/>
  <c r="AD819" i="11"/>
  <c r="AE819" i="11" s="1"/>
  <c r="AD766" i="11"/>
  <c r="AE766" i="11" s="1"/>
  <c r="AD815" i="11"/>
  <c r="AE815" i="11" s="1"/>
  <c r="AD765" i="11"/>
  <c r="AE765" i="11" s="1"/>
  <c r="AD773" i="11"/>
  <c r="AE773" i="11" s="1"/>
  <c r="AN773" i="11" s="1"/>
  <c r="AD745" i="11"/>
  <c r="AE745" i="11" s="1"/>
  <c r="AN745" i="11" s="1"/>
  <c r="AD798" i="11"/>
  <c r="AE798" i="11" s="1"/>
  <c r="AN798" i="11" s="1"/>
  <c r="AD744" i="11"/>
  <c r="AE744" i="11" s="1"/>
  <c r="AD769" i="11"/>
  <c r="AE769" i="11" s="1"/>
  <c r="AD761" i="11"/>
  <c r="AE761" i="11" s="1"/>
  <c r="AN761" i="11" s="1"/>
  <c r="AD810" i="11"/>
  <c r="AE810" i="11" s="1"/>
  <c r="AD742" i="11"/>
  <c r="AE742" i="11" s="1"/>
  <c r="AN742" i="11" s="1"/>
  <c r="AD825" i="11"/>
  <c r="AE825" i="11" s="1"/>
  <c r="AD795" i="11"/>
  <c r="AE795" i="11" s="1"/>
  <c r="AN795" i="11" s="1"/>
  <c r="AD772" i="11"/>
  <c r="AE772" i="11" s="1"/>
  <c r="AD800" i="11"/>
  <c r="AE800" i="11" s="1"/>
  <c r="AN800" i="11" s="1"/>
  <c r="AD843" i="11"/>
  <c r="AE843" i="11" s="1"/>
  <c r="AD756" i="11"/>
  <c r="AE756" i="11" s="1"/>
  <c r="AD801" i="11"/>
  <c r="AE801" i="11" s="1"/>
  <c r="AN801" i="11" s="1"/>
  <c r="AD816" i="11"/>
  <c r="AE816" i="11" s="1"/>
  <c r="AD803" i="11"/>
  <c r="AE803" i="11" s="1"/>
  <c r="AN803" i="11" s="1"/>
  <c r="AD827" i="11"/>
  <c r="AE827" i="11" s="1"/>
  <c r="O280" i="54"/>
  <c r="AK346" i="11"/>
  <c r="AL346" i="11" s="1"/>
  <c r="AI2750" i="11"/>
  <c r="AJ2750" i="11" s="1"/>
  <c r="P84" i="54"/>
  <c r="Q156" i="54"/>
  <c r="AF2951" i="11"/>
  <c r="AG2951" i="11" s="1"/>
  <c r="AF2955" i="11"/>
  <c r="AG2955" i="11" s="1"/>
  <c r="AF3016" i="11"/>
  <c r="AG3016" i="11" s="1"/>
  <c r="AF2958" i="11"/>
  <c r="AG2958" i="11" s="1"/>
  <c r="AF3048" i="11"/>
  <c r="AG3048" i="11" s="1"/>
  <c r="AF2972" i="11"/>
  <c r="AG2972" i="11" s="1"/>
  <c r="AF3046" i="11"/>
  <c r="AG3046" i="11" s="1"/>
  <c r="AF3002" i="11"/>
  <c r="AG3002" i="11" s="1"/>
  <c r="AF3017" i="11"/>
  <c r="AG3017" i="11" s="1"/>
  <c r="AF3004" i="11"/>
  <c r="AG3004" i="11" s="1"/>
  <c r="AF3010" i="11"/>
  <c r="AG3010" i="11" s="1"/>
  <c r="AF2983" i="11"/>
  <c r="AG2983" i="11" s="1"/>
  <c r="AF2997" i="11"/>
  <c r="AG2997" i="11" s="1"/>
  <c r="AF2982" i="11"/>
  <c r="AG2982" i="11" s="1"/>
  <c r="AF2975" i="11"/>
  <c r="AG2975" i="11" s="1"/>
  <c r="AF3032" i="11"/>
  <c r="AG3032" i="11" s="1"/>
  <c r="AF2954" i="11"/>
  <c r="AG2954" i="11" s="1"/>
  <c r="AF2986" i="11"/>
  <c r="AG2986" i="11" s="1"/>
  <c r="AF3022" i="11"/>
  <c r="AG3022" i="11" s="1"/>
  <c r="AF3045" i="11"/>
  <c r="AG3045" i="11" s="1"/>
  <c r="AF2992" i="11"/>
  <c r="AG2992" i="11" s="1"/>
  <c r="AF2980" i="11"/>
  <c r="AG2980" i="11" s="1"/>
  <c r="AF3038" i="11"/>
  <c r="AG3038" i="11" s="1"/>
  <c r="AF2994" i="11"/>
  <c r="AG2994" i="11" s="1"/>
  <c r="AF3023" i="11"/>
  <c r="AG3023" i="11" s="1"/>
  <c r="AF2988" i="11"/>
  <c r="AG2988" i="11" s="1"/>
  <c r="AF3012" i="11"/>
  <c r="AG3012" i="11" s="1"/>
  <c r="AF3008" i="11"/>
  <c r="AG3008" i="11" s="1"/>
  <c r="AF3024" i="11"/>
  <c r="AG3024" i="11" s="1"/>
  <c r="AF3031" i="11"/>
  <c r="AG3031" i="11" s="1"/>
  <c r="AF2952" i="11"/>
  <c r="AG2952" i="11" s="1"/>
  <c r="AF3028" i="11"/>
  <c r="AG3028" i="11" s="1"/>
  <c r="AF2945" i="11"/>
  <c r="AG2945" i="11" s="1"/>
  <c r="AF2971" i="11"/>
  <c r="AG2971" i="11" s="1"/>
  <c r="AF3020" i="11"/>
  <c r="AG3020" i="11" s="1"/>
  <c r="AF2990" i="11"/>
  <c r="AG2990" i="11" s="1"/>
  <c r="AF2960" i="11"/>
  <c r="AG2960" i="11" s="1"/>
  <c r="AO2960" i="11" s="1"/>
  <c r="AF2970" i="11"/>
  <c r="AG2970" i="11" s="1"/>
  <c r="AO2970" i="11" s="1"/>
  <c r="AF2976" i="11"/>
  <c r="AG2976" i="11" s="1"/>
  <c r="AF3039" i="11"/>
  <c r="AG3039" i="11" s="1"/>
  <c r="AF2979" i="11"/>
  <c r="AG2979" i="11" s="1"/>
  <c r="AF3035" i="11"/>
  <c r="AG3035" i="11" s="1"/>
  <c r="AO3035" i="11" s="1"/>
  <c r="AF2959" i="11"/>
  <c r="AG2959" i="11" s="1"/>
  <c r="AF3018" i="11"/>
  <c r="AG3018" i="11" s="1"/>
  <c r="AF3030" i="11"/>
  <c r="AG3030" i="11" s="1"/>
  <c r="AF3006" i="11"/>
  <c r="AG3006" i="11" s="1"/>
  <c r="AF3047" i="11"/>
  <c r="AG3047" i="11" s="1"/>
  <c r="AF2996" i="11"/>
  <c r="AG2996" i="11" s="1"/>
  <c r="AF2964" i="11"/>
  <c r="AG2964" i="11" s="1"/>
  <c r="AF3001" i="11"/>
  <c r="AG3001" i="11" s="1"/>
  <c r="AF2968" i="11"/>
  <c r="AG2968" i="11" s="1"/>
  <c r="AF3009" i="11"/>
  <c r="AG3009" i="11" s="1"/>
  <c r="AF2999" i="11"/>
  <c r="AG2999" i="11" s="1"/>
  <c r="AF2977" i="11"/>
  <c r="AG2977" i="11" s="1"/>
  <c r="AF2956" i="11"/>
  <c r="AG2956" i="11" s="1"/>
  <c r="AF2946" i="11"/>
  <c r="AG2946" i="11" s="1"/>
  <c r="AF2998" i="11"/>
  <c r="AG2998" i="11" s="1"/>
  <c r="AF2949" i="11"/>
  <c r="AG2949" i="11" s="1"/>
  <c r="AF2993" i="11"/>
  <c r="AG2993" i="11" s="1"/>
  <c r="AF2950" i="11"/>
  <c r="AG2950" i="11" s="1"/>
  <c r="AF3041" i="11"/>
  <c r="AG3041" i="11" s="1"/>
  <c r="AF3043" i="11"/>
  <c r="AG3043" i="11" s="1"/>
  <c r="AF3049" i="11"/>
  <c r="AG3049" i="11" s="1"/>
  <c r="AF2953" i="11"/>
  <c r="AG2953" i="11" s="1"/>
  <c r="AF2947" i="11"/>
  <c r="AG2947" i="11" s="1"/>
  <c r="AF3011" i="11"/>
  <c r="AG3011" i="11" s="1"/>
  <c r="AF3029" i="11"/>
  <c r="AG3029" i="11" s="1"/>
  <c r="AF2957" i="11"/>
  <c r="AG2957" i="11" s="1"/>
  <c r="AF3003" i="11"/>
  <c r="AG3003" i="11" s="1"/>
  <c r="AF2995" i="11"/>
  <c r="AG2995" i="11" s="1"/>
  <c r="AF2965" i="11"/>
  <c r="AG2965" i="11" s="1"/>
  <c r="AF2989" i="11"/>
  <c r="AG2989" i="11" s="1"/>
  <c r="AF3025" i="11"/>
  <c r="AG3025" i="11" s="1"/>
  <c r="AF3034" i="11"/>
  <c r="AG3034" i="11" s="1"/>
  <c r="AF3027" i="11"/>
  <c r="AG3027" i="11" s="1"/>
  <c r="AF2961" i="11"/>
  <c r="AG2961" i="11" s="1"/>
  <c r="AF2967" i="11"/>
  <c r="AG2967" i="11" s="1"/>
  <c r="AF3000" i="11"/>
  <c r="AG3000" i="11" s="1"/>
  <c r="AF3019" i="11"/>
  <c r="AG3019" i="11" s="1"/>
  <c r="AF2963" i="11"/>
  <c r="AG2963" i="11" s="1"/>
  <c r="AF2978" i="11"/>
  <c r="AG2978" i="11" s="1"/>
  <c r="AF2966" i="11"/>
  <c r="AG2966" i="11" s="1"/>
  <c r="AF3026" i="11"/>
  <c r="AG3026" i="11" s="1"/>
  <c r="AF2981" i="11"/>
  <c r="AG2981" i="11" s="1"/>
  <c r="AF2974" i="11"/>
  <c r="AG2974" i="11" s="1"/>
  <c r="AF2973" i="11"/>
  <c r="AG2973" i="11" s="1"/>
  <c r="O179" i="54"/>
  <c r="AF3040" i="11"/>
  <c r="AG3040" i="11" s="1"/>
  <c r="AF3044" i="11"/>
  <c r="AG3044" i="11" s="1"/>
  <c r="AF3036" i="11"/>
  <c r="AG3036" i="11" s="1"/>
  <c r="AF3005" i="11"/>
  <c r="AG3005" i="11" s="1"/>
  <c r="AF3021" i="11"/>
  <c r="AG3021" i="11" s="1"/>
  <c r="AF2948" i="11"/>
  <c r="AG2948" i="11" s="1"/>
  <c r="AF3042" i="11"/>
  <c r="AG3042" i="11" s="1"/>
  <c r="AF2984" i="11"/>
  <c r="AG2984" i="11" s="1"/>
  <c r="AF2962" i="11"/>
  <c r="AG2962" i="11" s="1"/>
  <c r="AF2987" i="11"/>
  <c r="AG2987" i="11" s="1"/>
  <c r="P149" i="54"/>
  <c r="AI1672" i="11"/>
  <c r="AJ1672" i="11" s="1"/>
  <c r="AD3554" i="11"/>
  <c r="AE3554" i="11" s="1"/>
  <c r="AF2890" i="11"/>
  <c r="AG2890" i="11" s="1"/>
  <c r="AO2890" i="11" s="1"/>
  <c r="AF2841" i="11"/>
  <c r="AG2841" i="11" s="1"/>
  <c r="AO2841" i="11" s="1"/>
  <c r="AF2873" i="11"/>
  <c r="AG2873" i="11" s="1"/>
  <c r="AF2919" i="11"/>
  <c r="AG2919" i="11" s="1"/>
  <c r="AO2919" i="11" s="1"/>
  <c r="AF2866" i="11"/>
  <c r="AG2866" i="11" s="1"/>
  <c r="AF2902" i="11"/>
  <c r="AG2902" i="11" s="1"/>
  <c r="AF2871" i="11"/>
  <c r="AG2871" i="11" s="1"/>
  <c r="AF2906" i="11"/>
  <c r="AG2906" i="11" s="1"/>
  <c r="AF2840" i="11"/>
  <c r="AG2840" i="11" s="1"/>
  <c r="AF2845" i="11"/>
  <c r="AG2845" i="11" s="1"/>
  <c r="AO2845" i="11" s="1"/>
  <c r="AF2928" i="11"/>
  <c r="AG2928" i="11" s="1"/>
  <c r="AF2921" i="11"/>
  <c r="AG2921" i="11" s="1"/>
  <c r="AO2921" i="11" s="1"/>
  <c r="AF2844" i="11"/>
  <c r="AG2844" i="11" s="1"/>
  <c r="AF2864" i="11"/>
  <c r="AG2864" i="11" s="1"/>
  <c r="AO2864" i="11" s="1"/>
  <c r="AF2894" i="11"/>
  <c r="AG2894" i="11" s="1"/>
  <c r="AO2894" i="11" s="1"/>
  <c r="AF2874" i="11"/>
  <c r="AG2874" i="11" s="1"/>
  <c r="AF2891" i="11"/>
  <c r="AG2891" i="11" s="1"/>
  <c r="AO2891" i="11" s="1"/>
  <c r="AF2842" i="11"/>
  <c r="AG2842" i="11" s="1"/>
  <c r="AO2842" i="11" s="1"/>
  <c r="AF2870" i="11"/>
  <c r="AG2870" i="11" s="1"/>
  <c r="AF2905" i="11"/>
  <c r="AG2905" i="11" s="1"/>
  <c r="AF2851" i="11"/>
  <c r="AG2851" i="11" s="1"/>
  <c r="AO2851" i="11" s="1"/>
  <c r="AF2937" i="11"/>
  <c r="AG2937" i="11" s="1"/>
  <c r="AO2937" i="11" s="1"/>
  <c r="AF2913" i="11"/>
  <c r="AG2913" i="11" s="1"/>
  <c r="AO2913" i="11" s="1"/>
  <c r="AF2856" i="11"/>
  <c r="AG2856" i="11" s="1"/>
  <c r="AO2856" i="11" s="1"/>
  <c r="AF2943" i="11"/>
  <c r="AG2943" i="11" s="1"/>
  <c r="AF2916" i="11"/>
  <c r="AG2916" i="11" s="1"/>
  <c r="AF2850" i="11"/>
  <c r="AG2850" i="11" s="1"/>
  <c r="AO2850" i="11" s="1"/>
  <c r="AF2846" i="11"/>
  <c r="AG2846" i="11" s="1"/>
  <c r="AF2880" i="11"/>
  <c r="AG2880" i="11" s="1"/>
  <c r="AO2880" i="11" s="1"/>
  <c r="AF2882" i="11"/>
  <c r="AG2882" i="11" s="1"/>
  <c r="AF2852" i="11"/>
  <c r="AG2852" i="11" s="1"/>
  <c r="AO2852" i="11" s="1"/>
  <c r="AF2868" i="11"/>
  <c r="AG2868" i="11" s="1"/>
  <c r="AF2897" i="11"/>
  <c r="AG2897" i="11" s="1"/>
  <c r="AF2896" i="11"/>
  <c r="AG2896" i="11" s="1"/>
  <c r="AO2896" i="11" s="1"/>
  <c r="AF2926" i="11"/>
  <c r="AG2926" i="11" s="1"/>
  <c r="AO2926" i="11" s="1"/>
  <c r="AF2931" i="11"/>
  <c r="AG2931" i="11" s="1"/>
  <c r="AO2931" i="11" s="1"/>
  <c r="AF2862" i="11"/>
  <c r="AG2862" i="11" s="1"/>
  <c r="AO2862" i="11" s="1"/>
  <c r="AF2892" i="11"/>
  <c r="AG2892" i="11" s="1"/>
  <c r="AO2892" i="11" s="1"/>
  <c r="AF2908" i="11"/>
  <c r="AG2908" i="11" s="1"/>
  <c r="AO2908" i="11" s="1"/>
  <c r="AF2927" i="11"/>
  <c r="AG2927" i="11" s="1"/>
  <c r="AF2860" i="11"/>
  <c r="AG2860" i="11" s="1"/>
  <c r="AO2860" i="11" s="1"/>
  <c r="AF2895" i="11"/>
  <c r="AG2895" i="11" s="1"/>
  <c r="AF2876" i="11"/>
  <c r="AG2876" i="11" s="1"/>
  <c r="AO2876" i="11" s="1"/>
  <c r="AF2932" i="11"/>
  <c r="AG2932" i="11" s="1"/>
  <c r="AF2941" i="11"/>
  <c r="AG2941" i="11" s="1"/>
  <c r="AF2898" i="11"/>
  <c r="AG2898" i="11" s="1"/>
  <c r="AO2898" i="11" s="1"/>
  <c r="AF2884" i="11"/>
  <c r="AG2884" i="11" s="1"/>
  <c r="AO2884" i="11" s="1"/>
  <c r="AF2911" i="11"/>
  <c r="AG2911" i="11" s="1"/>
  <c r="AO2911" i="11" s="1"/>
  <c r="AF2865" i="11"/>
  <c r="AG2865" i="11" s="1"/>
  <c r="AO2865" i="11" s="1"/>
  <c r="AF2903" i="11"/>
  <c r="AG2903" i="11" s="1"/>
  <c r="AO2903" i="11" s="1"/>
  <c r="AF2912" i="11"/>
  <c r="AG2912" i="11" s="1"/>
  <c r="AO2912" i="11" s="1"/>
  <c r="AF2933" i="11"/>
  <c r="AG2933" i="11" s="1"/>
  <c r="AF2915" i="11"/>
  <c r="AG2915" i="11" s="1"/>
  <c r="AO2915" i="11" s="1"/>
  <c r="AF2936" i="11"/>
  <c r="AG2936" i="11" s="1"/>
  <c r="AO2936" i="11" s="1"/>
  <c r="AF2863" i="11"/>
  <c r="AG2863" i="11" s="1"/>
  <c r="AO2863" i="11" s="1"/>
  <c r="AF2901" i="11"/>
  <c r="AG2901" i="11" s="1"/>
  <c r="AO2901" i="11" s="1"/>
  <c r="AF2889" i="11"/>
  <c r="AG2889" i="11" s="1"/>
  <c r="AO2889" i="11" s="1"/>
  <c r="AF2858" i="11"/>
  <c r="AG2858" i="11" s="1"/>
  <c r="AF2918" i="11"/>
  <c r="AG2918" i="11" s="1"/>
  <c r="AO2918" i="11" s="1"/>
  <c r="AF2878" i="11"/>
  <c r="AG2878" i="11" s="1"/>
  <c r="AO2878" i="11" s="1"/>
  <c r="AF2888" i="11"/>
  <c r="AG2888" i="11" s="1"/>
  <c r="AF2934" i="11"/>
  <c r="AG2934" i="11" s="1"/>
  <c r="AF2843" i="11"/>
  <c r="AG2843" i="11" s="1"/>
  <c r="AO2843" i="11" s="1"/>
  <c r="AF2942" i="11"/>
  <c r="AG2942" i="11" s="1"/>
  <c r="AO2942" i="11" s="1"/>
  <c r="AF2909" i="11"/>
  <c r="AG2909" i="11" s="1"/>
  <c r="AF2854" i="11"/>
  <c r="AG2854" i="11" s="1"/>
  <c r="AF2867" i="11"/>
  <c r="AG2867" i="11" s="1"/>
  <c r="AF2904" i="11"/>
  <c r="AG2904" i="11" s="1"/>
  <c r="AO2904" i="11" s="1"/>
  <c r="AF2847" i="11"/>
  <c r="AG2847" i="11" s="1"/>
  <c r="AF2849" i="11"/>
  <c r="AG2849" i="11" s="1"/>
  <c r="AO2849" i="11" s="1"/>
  <c r="AF2935" i="11"/>
  <c r="AG2935" i="11" s="1"/>
  <c r="AO2935" i="11" s="1"/>
  <c r="AF2893" i="11"/>
  <c r="AG2893" i="11" s="1"/>
  <c r="AF2938" i="11"/>
  <c r="AG2938" i="11" s="1"/>
  <c r="AO2938" i="11" s="1"/>
  <c r="AF2924" i="11"/>
  <c r="AG2924" i="11" s="1"/>
  <c r="AO2924" i="11" s="1"/>
  <c r="AF2899" i="11"/>
  <c r="AG2899" i="11" s="1"/>
  <c r="AO2899" i="11" s="1"/>
  <c r="AF2920" i="11"/>
  <c r="AG2920" i="11" s="1"/>
  <c r="AO2920" i="11" s="1"/>
  <c r="AF2883" i="11"/>
  <c r="AG2883" i="11" s="1"/>
  <c r="AO2883" i="11" s="1"/>
  <c r="AF2877" i="11"/>
  <c r="AG2877" i="11" s="1"/>
  <c r="AF2857" i="11"/>
  <c r="AG2857" i="11" s="1"/>
  <c r="AF2907" i="11"/>
  <c r="AG2907" i="11" s="1"/>
  <c r="AO2907" i="11" s="1"/>
  <c r="AF2910" i="11"/>
  <c r="AG2910" i="11" s="1"/>
  <c r="AF2853" i="11"/>
  <c r="AG2853" i="11" s="1"/>
  <c r="AO2853" i="11" s="1"/>
  <c r="AF2900" i="11"/>
  <c r="AG2900" i="11" s="1"/>
  <c r="AO2900" i="11" s="1"/>
  <c r="AF2939" i="11"/>
  <c r="AG2939" i="11" s="1"/>
  <c r="AO2939" i="11" s="1"/>
  <c r="AF2848" i="11"/>
  <c r="AG2848" i="11" s="1"/>
  <c r="AO2848" i="11" s="1"/>
  <c r="AF2922" i="11"/>
  <c r="AG2922" i="11" s="1"/>
  <c r="AO2922" i="11" s="1"/>
  <c r="AF2855" i="11"/>
  <c r="AG2855" i="11" s="1"/>
  <c r="AF2886" i="11"/>
  <c r="AG2886" i="11" s="1"/>
  <c r="AO2886" i="11" s="1"/>
  <c r="AF2930" i="11"/>
  <c r="AG2930" i="11" s="1"/>
  <c r="AO2930" i="11" s="1"/>
  <c r="AF2944" i="11"/>
  <c r="AG2944" i="11" s="1"/>
  <c r="AO2944" i="11" s="1"/>
  <c r="AF2917" i="11"/>
  <c r="AG2917" i="11" s="1"/>
  <c r="AO2917" i="11" s="1"/>
  <c r="AF2914" i="11"/>
  <c r="AG2914" i="11" s="1"/>
  <c r="AO2914" i="11" s="1"/>
  <c r="AF2925" i="11"/>
  <c r="AG2925" i="11" s="1"/>
  <c r="AO2925" i="11" s="1"/>
  <c r="O175" i="54"/>
  <c r="AI3290" i="11"/>
  <c r="AJ3290" i="11" s="1"/>
  <c r="AI3323" i="11"/>
  <c r="AJ3323" i="11" s="1"/>
  <c r="AI3338" i="11"/>
  <c r="AJ3338" i="11" s="1"/>
  <c r="AI3289" i="11"/>
  <c r="AJ3289" i="11" s="1"/>
  <c r="AI3339" i="11"/>
  <c r="AJ3339" i="11" s="1"/>
  <c r="AI3350" i="11"/>
  <c r="AJ3350" i="11" s="1"/>
  <c r="AI3300" i="11"/>
  <c r="AJ3300" i="11" s="1"/>
  <c r="AI3362" i="11"/>
  <c r="AJ3362" i="11" s="1"/>
  <c r="AI3292" i="11"/>
  <c r="AJ3292" i="11" s="1"/>
  <c r="AI3345" i="11"/>
  <c r="AJ3345" i="11" s="1"/>
  <c r="AI3298" i="11"/>
  <c r="AJ3298" i="11" s="1"/>
  <c r="AI3342" i="11"/>
  <c r="AJ3342" i="11" s="1"/>
  <c r="AI3271" i="11"/>
  <c r="AJ3271" i="11" s="1"/>
  <c r="AI3355" i="11"/>
  <c r="AJ3355" i="11" s="1"/>
  <c r="AI3325" i="11"/>
  <c r="AJ3325" i="11" s="1"/>
  <c r="AI3353" i="11"/>
  <c r="AJ3353" i="11" s="1"/>
  <c r="AI3344" i="11"/>
  <c r="AJ3344" i="11" s="1"/>
  <c r="AI3262" i="11"/>
  <c r="AJ3262" i="11" s="1"/>
  <c r="AI3316" i="11"/>
  <c r="AJ3316" i="11" s="1"/>
  <c r="AI3277" i="11"/>
  <c r="AJ3277" i="11" s="1"/>
  <c r="AI3263" i="11"/>
  <c r="AJ3263" i="11" s="1"/>
  <c r="AI3267" i="11"/>
  <c r="AJ3267" i="11" s="1"/>
  <c r="AI3297" i="11"/>
  <c r="AJ3297" i="11" s="1"/>
  <c r="AI3295" i="11"/>
  <c r="AJ3295" i="11" s="1"/>
  <c r="AI3333" i="11"/>
  <c r="AJ3333" i="11" s="1"/>
  <c r="AI3315" i="11"/>
  <c r="AJ3315" i="11" s="1"/>
  <c r="AI3358" i="11"/>
  <c r="AJ3358" i="11" s="1"/>
  <c r="AI3347" i="11"/>
  <c r="AJ3347" i="11" s="1"/>
  <c r="AI3322" i="11"/>
  <c r="AJ3322" i="11" s="1"/>
  <c r="AI3266" i="11"/>
  <c r="AJ3266" i="11" s="1"/>
  <c r="AI3334" i="11"/>
  <c r="AJ3334" i="11" s="1"/>
  <c r="AI3317" i="11"/>
  <c r="AJ3317" i="11" s="1"/>
  <c r="AI3272" i="11"/>
  <c r="AJ3272" i="11" s="1"/>
  <c r="AI3313" i="11"/>
  <c r="AJ3313" i="11" s="1"/>
  <c r="AI3328" i="11"/>
  <c r="AJ3328" i="11" s="1"/>
  <c r="AI3314" i="11"/>
  <c r="AJ3314" i="11" s="1"/>
  <c r="AI3331" i="11"/>
  <c r="AJ3331" i="11" s="1"/>
  <c r="AI3309" i="11"/>
  <c r="AJ3309" i="11" s="1"/>
  <c r="AI3340" i="11"/>
  <c r="AJ3340" i="11" s="1"/>
  <c r="AI3279" i="11"/>
  <c r="AJ3279" i="11" s="1"/>
  <c r="AI3329" i="11"/>
  <c r="AJ3329" i="11" s="1"/>
  <c r="AI3319" i="11"/>
  <c r="AJ3319" i="11" s="1"/>
  <c r="AI3304" i="11"/>
  <c r="AJ3304" i="11" s="1"/>
  <c r="AI3352" i="11"/>
  <c r="AJ3352" i="11" s="1"/>
  <c r="AI3321" i="11"/>
  <c r="AJ3321" i="11" s="1"/>
  <c r="AI3270" i="11"/>
  <c r="AJ3270" i="11" s="1"/>
  <c r="AI3301" i="11"/>
  <c r="AJ3301" i="11" s="1"/>
  <c r="AI3294" i="11"/>
  <c r="AJ3294" i="11" s="1"/>
  <c r="AI3273" i="11"/>
  <c r="AJ3273" i="11" s="1"/>
  <c r="AI3265" i="11"/>
  <c r="AJ3265" i="11" s="1"/>
  <c r="AI3336" i="11"/>
  <c r="AJ3336" i="11" s="1"/>
  <c r="AI3268" i="11"/>
  <c r="AJ3268" i="11" s="1"/>
  <c r="AI3264" i="11"/>
  <c r="AJ3264" i="11" s="1"/>
  <c r="AI3291" i="11"/>
  <c r="AJ3291" i="11" s="1"/>
  <c r="AI3326" i="11"/>
  <c r="AJ3326" i="11" s="1"/>
  <c r="AI3327" i="11"/>
  <c r="AJ3327" i="11" s="1"/>
  <c r="AI3308" i="11"/>
  <c r="AJ3308" i="11" s="1"/>
  <c r="AI3337" i="11"/>
  <c r="AJ3337" i="11" s="1"/>
  <c r="AI3299" i="11"/>
  <c r="AJ3299" i="11" s="1"/>
  <c r="AI3320" i="11"/>
  <c r="AJ3320" i="11" s="1"/>
  <c r="AI3284" i="11"/>
  <c r="AJ3284" i="11" s="1"/>
  <c r="AI3306" i="11"/>
  <c r="AJ3306" i="11" s="1"/>
  <c r="AI3318" i="11"/>
  <c r="AJ3318" i="11" s="1"/>
  <c r="AI3288" i="11"/>
  <c r="AJ3288" i="11" s="1"/>
  <c r="AI3330" i="11"/>
  <c r="AJ3330" i="11" s="1"/>
  <c r="AI3293" i="11"/>
  <c r="AJ3293" i="11" s="1"/>
  <c r="AI3278" i="11"/>
  <c r="AJ3278" i="11" s="1"/>
  <c r="AI3354" i="11"/>
  <c r="AJ3354" i="11" s="1"/>
  <c r="AI3303" i="11"/>
  <c r="AJ3303" i="11" s="1"/>
  <c r="AI3305" i="11"/>
  <c r="AJ3305" i="11" s="1"/>
  <c r="AI3332" i="11"/>
  <c r="AJ3332" i="11" s="1"/>
  <c r="AI3346" i="11"/>
  <c r="AJ3346" i="11" s="1"/>
  <c r="AI3357" i="11"/>
  <c r="AJ3357" i="11" s="1"/>
  <c r="AI3275" i="11"/>
  <c r="AJ3275" i="11" s="1"/>
  <c r="AI3311" i="11"/>
  <c r="AJ3311" i="11" s="1"/>
  <c r="AI3360" i="11"/>
  <c r="AJ3360" i="11" s="1"/>
  <c r="AI3310" i="11"/>
  <c r="AJ3310" i="11" s="1"/>
  <c r="AI3349" i="11"/>
  <c r="AJ3349" i="11" s="1"/>
  <c r="AI3324" i="11"/>
  <c r="AJ3324" i="11" s="1"/>
  <c r="AI3283" i="11"/>
  <c r="AJ3283" i="11" s="1"/>
  <c r="AI3302" i="11"/>
  <c r="AJ3302" i="11" s="1"/>
  <c r="AI3286" i="11"/>
  <c r="AJ3286" i="11" s="1"/>
  <c r="AI3341" i="11"/>
  <c r="AJ3341" i="11" s="1"/>
  <c r="AI3361" i="11"/>
  <c r="AJ3361" i="11" s="1"/>
  <c r="AI3312" i="11"/>
  <c r="AJ3312" i="11" s="1"/>
  <c r="AI3356" i="11"/>
  <c r="AJ3356" i="11" s="1"/>
  <c r="AI3335" i="11"/>
  <c r="AJ3335" i="11" s="1"/>
  <c r="AI3364" i="11"/>
  <c r="AJ3364" i="11" s="1"/>
  <c r="AI3285" i="11"/>
  <c r="AJ3285" i="11" s="1"/>
  <c r="AI3348" i="11"/>
  <c r="AJ3348" i="11" s="1"/>
  <c r="AI3307" i="11"/>
  <c r="AJ3307" i="11" s="1"/>
  <c r="AI3280" i="11"/>
  <c r="AJ3280" i="11" s="1"/>
  <c r="AI3343" i="11"/>
  <c r="AJ3343" i="11" s="1"/>
  <c r="AI3281" i="11"/>
  <c r="AJ3281" i="11" s="1"/>
  <c r="AI3269" i="11"/>
  <c r="AJ3269" i="11" s="1"/>
  <c r="AF3189" i="11"/>
  <c r="AG3189" i="11" s="1"/>
  <c r="AO3189" i="11" s="1"/>
  <c r="N283" i="54"/>
  <c r="AK83" i="11"/>
  <c r="AL83" i="11" s="1"/>
  <c r="P138" i="54"/>
  <c r="AI2713" i="11"/>
  <c r="AJ2713" i="11" s="1"/>
  <c r="AK1632" i="11"/>
  <c r="AL1632" i="11" s="1"/>
  <c r="AK1615" i="11"/>
  <c r="AL1615" i="11" s="1"/>
  <c r="AK1652" i="11"/>
  <c r="AL1652" i="11" s="1"/>
  <c r="AK1649" i="11"/>
  <c r="AL1649" i="11" s="1"/>
  <c r="AK1582" i="11"/>
  <c r="AL1582" i="11" s="1"/>
  <c r="AK1683" i="11"/>
  <c r="AL1683" i="11" s="1"/>
  <c r="AK1607" i="11"/>
  <c r="AL1607" i="11" s="1"/>
  <c r="AK1668" i="11"/>
  <c r="AL1668" i="11" s="1"/>
  <c r="AK1585" i="11"/>
  <c r="AL1585" i="11" s="1"/>
  <c r="AK1673" i="11"/>
  <c r="AL1673" i="11" s="1"/>
  <c r="AK1678" i="11"/>
  <c r="AL1678" i="11" s="1"/>
  <c r="AK1612" i="11"/>
  <c r="AL1612" i="11" s="1"/>
  <c r="AK1591" i="11"/>
  <c r="AL1591" i="11" s="1"/>
  <c r="AK1629" i="11"/>
  <c r="AL1629" i="11" s="1"/>
  <c r="AK1641" i="11"/>
  <c r="AL1641" i="11" s="1"/>
  <c r="AK1581" i="11"/>
  <c r="AL1581" i="11" s="1"/>
  <c r="AK1657" i="11"/>
  <c r="AL1657" i="11" s="1"/>
  <c r="AK1621" i="11"/>
  <c r="AL1621" i="11" s="1"/>
  <c r="AK1611" i="11"/>
  <c r="AL1611" i="11" s="1"/>
  <c r="AK1680" i="11"/>
  <c r="AL1680" i="11" s="1"/>
  <c r="AK1655" i="11"/>
  <c r="AL1655" i="11" s="1"/>
  <c r="AK1669" i="11"/>
  <c r="AL1669" i="11" s="1"/>
  <c r="AK1660" i="11"/>
  <c r="AL1660" i="11" s="1"/>
  <c r="AK1588" i="11"/>
  <c r="AL1588" i="11" s="1"/>
  <c r="AK1590" i="11"/>
  <c r="AL1590" i="11" s="1"/>
  <c r="AK1616" i="11"/>
  <c r="AL1616" i="11" s="1"/>
  <c r="AK1653" i="11"/>
  <c r="AL1653" i="11" s="1"/>
  <c r="AK1651" i="11"/>
  <c r="AL1651" i="11" s="1"/>
  <c r="AK1598" i="11"/>
  <c r="AL1598" i="11" s="1"/>
  <c r="AK1597" i="11"/>
  <c r="AL1597" i="11" s="1"/>
  <c r="AK1665" i="11"/>
  <c r="AL1665" i="11" s="1"/>
  <c r="AK1619" i="11"/>
  <c r="AL1619" i="11" s="1"/>
  <c r="AK1608" i="11"/>
  <c r="AL1608" i="11" s="1"/>
  <c r="AK1677" i="11"/>
  <c r="AL1677" i="11" s="1"/>
  <c r="AK1670" i="11"/>
  <c r="AL1670" i="11" s="1"/>
  <c r="AK1638" i="11"/>
  <c r="AL1638" i="11" s="1"/>
  <c r="AK1617" i="11"/>
  <c r="AL1617" i="11" s="1"/>
  <c r="AK1596" i="11"/>
  <c r="AL1596" i="11" s="1"/>
  <c r="AK1620" i="11"/>
  <c r="AL1620" i="11" s="1"/>
  <c r="AK1623" i="11"/>
  <c r="AL1623" i="11" s="1"/>
  <c r="AK1610" i="11"/>
  <c r="AL1610" i="11" s="1"/>
  <c r="AK1636" i="11"/>
  <c r="AL1636" i="11" s="1"/>
  <c r="AK1637" i="11"/>
  <c r="AL1637" i="11" s="1"/>
  <c r="AK1662" i="11"/>
  <c r="AL1662" i="11" s="1"/>
  <c r="AK1626" i="11"/>
  <c r="AL1626" i="11" s="1"/>
  <c r="AK1583" i="11"/>
  <c r="AL1583" i="11" s="1"/>
  <c r="AK1593" i="11"/>
  <c r="AL1593" i="11" s="1"/>
  <c r="AK1627" i="11"/>
  <c r="AL1627" i="11" s="1"/>
  <c r="AK1604" i="11"/>
  <c r="AL1604" i="11" s="1"/>
  <c r="AK1633" i="11"/>
  <c r="AL1633" i="11" s="1"/>
  <c r="AK1605" i="11"/>
  <c r="AL1605" i="11" s="1"/>
  <c r="AK1682" i="11"/>
  <c r="AL1682" i="11" s="1"/>
  <c r="AK1603" i="11"/>
  <c r="AL1603" i="11" s="1"/>
  <c r="AK1595" i="11"/>
  <c r="AL1595" i="11" s="1"/>
  <c r="AK1644" i="11"/>
  <c r="AL1644" i="11" s="1"/>
  <c r="AK1584" i="11"/>
  <c r="AL1584" i="11" s="1"/>
  <c r="AK1666" i="11"/>
  <c r="AL1666" i="11" s="1"/>
  <c r="AK1631" i="11"/>
  <c r="AL1631" i="11" s="1"/>
  <c r="AK1664" i="11"/>
  <c r="AL1664" i="11" s="1"/>
  <c r="AK1645" i="11"/>
  <c r="AL1645" i="11" s="1"/>
  <c r="AK1609" i="11"/>
  <c r="AL1609" i="11" s="1"/>
  <c r="AK1639" i="11"/>
  <c r="AL1639" i="11" s="1"/>
  <c r="AK1602" i="11"/>
  <c r="AL1602" i="11" s="1"/>
  <c r="AK1628" i="11"/>
  <c r="AL1628" i="11" s="1"/>
  <c r="AK1675" i="11"/>
  <c r="AL1675" i="11" s="1"/>
  <c r="AK1643" i="11"/>
  <c r="AL1643" i="11" s="1"/>
  <c r="AK1580" i="11"/>
  <c r="AL1580" i="11" s="1"/>
  <c r="AK1642" i="11"/>
  <c r="AL1642" i="11" s="1"/>
  <c r="AK1650" i="11"/>
  <c r="AL1650" i="11" s="1"/>
  <c r="AK1674" i="11"/>
  <c r="AL1674" i="11" s="1"/>
  <c r="AK1622" i="11"/>
  <c r="AL1622" i="11" s="1"/>
  <c r="AK1672" i="11"/>
  <c r="AL1672" i="11" s="1"/>
  <c r="AK1594" i="11"/>
  <c r="AL1594" i="11" s="1"/>
  <c r="AK1646" i="11"/>
  <c r="AL1646" i="11" s="1"/>
  <c r="AK1671" i="11"/>
  <c r="AL1671" i="11" s="1"/>
  <c r="AK1624" i="11"/>
  <c r="AL1624" i="11" s="1"/>
  <c r="AK1618" i="11"/>
  <c r="AL1618" i="11" s="1"/>
  <c r="AK1635" i="11"/>
  <c r="AL1635" i="11" s="1"/>
  <c r="AK1640" i="11"/>
  <c r="AL1640" i="11" s="1"/>
  <c r="AK1634" i="11"/>
  <c r="AL1634" i="11" s="1"/>
  <c r="AK1648" i="11"/>
  <c r="AL1648" i="11" s="1"/>
  <c r="AK1601" i="11"/>
  <c r="AL1601" i="11" s="1"/>
  <c r="AK1614" i="11"/>
  <c r="AL1614" i="11" s="1"/>
  <c r="AK1659" i="11"/>
  <c r="AL1659" i="11" s="1"/>
  <c r="AK1606" i="11"/>
  <c r="AL1606" i="11" s="1"/>
  <c r="AK1586" i="11"/>
  <c r="AL1586" i="11" s="1"/>
  <c r="AK1587" i="11"/>
  <c r="AL1587" i="11" s="1"/>
  <c r="AK1613" i="11"/>
  <c r="AL1613" i="11" s="1"/>
  <c r="AK1656" i="11"/>
  <c r="AL1656" i="11" s="1"/>
  <c r="AK1684" i="11"/>
  <c r="AL1684" i="11" s="1"/>
  <c r="AK1625" i="11"/>
  <c r="AL1625" i="11" s="1"/>
  <c r="AK1600" i="11"/>
  <c r="AL1600" i="11" s="1"/>
  <c r="AK1679" i="11"/>
  <c r="AL1679" i="11" s="1"/>
  <c r="AK1661" i="11"/>
  <c r="AL1661" i="11" s="1"/>
  <c r="AK1630" i="11"/>
  <c r="AL1630" i="11" s="1"/>
  <c r="AK1647" i="11"/>
  <c r="AL1647" i="11" s="1"/>
  <c r="AK1667" i="11"/>
  <c r="AL1667" i="11" s="1"/>
  <c r="Q101" i="54"/>
  <c r="AK570" i="11"/>
  <c r="AL570" i="11" s="1"/>
  <c r="P96" i="54"/>
  <c r="AF3743" i="11"/>
  <c r="AG3743" i="11" s="1"/>
  <c r="AF2452" i="11"/>
  <c r="AG2452" i="11" s="1"/>
  <c r="AF2466" i="11"/>
  <c r="AG2466" i="11" s="1"/>
  <c r="AF2449" i="11"/>
  <c r="AG2449" i="11" s="1"/>
  <c r="AO2449" i="11" s="1"/>
  <c r="AF2484" i="11"/>
  <c r="AG2484" i="11" s="1"/>
  <c r="AF2454" i="11"/>
  <c r="AG2454" i="11" s="1"/>
  <c r="AO2454" i="11" s="1"/>
  <c r="AF2425" i="11"/>
  <c r="AG2425" i="11" s="1"/>
  <c r="AF2438" i="11"/>
  <c r="AG2438" i="11" s="1"/>
  <c r="AF2521" i="11"/>
  <c r="AG2521" i="11" s="1"/>
  <c r="AO2521" i="11" s="1"/>
  <c r="AF2437" i="11"/>
  <c r="AG2437" i="11" s="1"/>
  <c r="AF2491" i="11"/>
  <c r="AG2491" i="11" s="1"/>
  <c r="AF2421" i="11"/>
  <c r="AG2421" i="11" s="1"/>
  <c r="AF2453" i="11"/>
  <c r="AG2453" i="11" s="1"/>
  <c r="AF2511" i="11"/>
  <c r="AG2511" i="11" s="1"/>
  <c r="AF2420" i="11"/>
  <c r="AG2420" i="11" s="1"/>
  <c r="AF2450" i="11"/>
  <c r="AG2450" i="11" s="1"/>
  <c r="AF2483" i="11"/>
  <c r="AG2483" i="11" s="1"/>
  <c r="AF2515" i="11"/>
  <c r="AG2515" i="11" s="1"/>
  <c r="AO2515" i="11" s="1"/>
  <c r="AF2471" i="11"/>
  <c r="AG2471" i="11" s="1"/>
  <c r="AF2429" i="11"/>
  <c r="AG2429" i="11" s="1"/>
  <c r="AF2523" i="11"/>
  <c r="AG2523" i="11" s="1"/>
  <c r="AF2506" i="11"/>
  <c r="AG2506" i="11" s="1"/>
  <c r="AO2506" i="11" s="1"/>
  <c r="AF2486" i="11"/>
  <c r="AG2486" i="11" s="1"/>
  <c r="AO2486" i="11" s="1"/>
  <c r="AF2479" i="11"/>
  <c r="AG2479" i="11" s="1"/>
  <c r="AF2499" i="11"/>
  <c r="AG2499" i="11" s="1"/>
  <c r="AF2448" i="11"/>
  <c r="AG2448" i="11" s="1"/>
  <c r="AF2512" i="11"/>
  <c r="AG2512" i="11" s="1"/>
  <c r="AF2500" i="11"/>
  <c r="AG2500" i="11" s="1"/>
  <c r="AF2516" i="11"/>
  <c r="AG2516" i="11" s="1"/>
  <c r="AF2432" i="11"/>
  <c r="AG2432" i="11" s="1"/>
  <c r="AO2432" i="11" s="1"/>
  <c r="AF2507" i="11"/>
  <c r="AG2507" i="11" s="1"/>
  <c r="AF2524" i="11"/>
  <c r="AG2524" i="11" s="1"/>
  <c r="AF2497" i="11"/>
  <c r="AG2497" i="11" s="1"/>
  <c r="AO2497" i="11" s="1"/>
  <c r="AF2427" i="11"/>
  <c r="AG2427" i="11" s="1"/>
  <c r="AO2427" i="11" s="1"/>
  <c r="AF2460" i="11"/>
  <c r="AG2460" i="11" s="1"/>
  <c r="AO2460" i="11" s="1"/>
  <c r="AF2467" i="11"/>
  <c r="AG2467" i="11" s="1"/>
  <c r="AF2474" i="11"/>
  <c r="AG2474" i="11" s="1"/>
  <c r="AF2472" i="11"/>
  <c r="AG2472" i="11" s="1"/>
  <c r="AO2472" i="11" s="1"/>
  <c r="AF2473" i="11"/>
  <c r="AG2473" i="11" s="1"/>
  <c r="AO2473" i="11" s="1"/>
  <c r="AF2495" i="11"/>
  <c r="AG2495" i="11" s="1"/>
  <c r="AF2517" i="11"/>
  <c r="AG2517" i="11" s="1"/>
  <c r="AF2455" i="11"/>
  <c r="AG2455" i="11" s="1"/>
  <c r="AO2455" i="11" s="1"/>
  <c r="AF2510" i="11"/>
  <c r="AG2510" i="11" s="1"/>
  <c r="AF2492" i="11"/>
  <c r="AG2492" i="11" s="1"/>
  <c r="AO2492" i="11" s="1"/>
  <c r="AF2451" i="11"/>
  <c r="AG2451" i="11" s="1"/>
  <c r="AO2451" i="11" s="1"/>
  <c r="AF2518" i="11"/>
  <c r="AG2518" i="11" s="1"/>
  <c r="AF2426" i="11"/>
  <c r="AG2426" i="11" s="1"/>
  <c r="AF2422" i="11"/>
  <c r="AG2422" i="11" s="1"/>
  <c r="AF2442" i="11"/>
  <c r="AG2442" i="11" s="1"/>
  <c r="AF2488" i="11"/>
  <c r="AG2488" i="11" s="1"/>
  <c r="AF2434" i="11"/>
  <c r="AG2434" i="11" s="1"/>
  <c r="AF2457" i="11"/>
  <c r="AG2457" i="11" s="1"/>
  <c r="AF2504" i="11"/>
  <c r="AG2504" i="11" s="1"/>
  <c r="AO2504" i="11" s="1"/>
  <c r="AF2464" i="11"/>
  <c r="AG2464" i="11" s="1"/>
  <c r="AO2464" i="11" s="1"/>
  <c r="AF2513" i="11"/>
  <c r="AG2513" i="11" s="1"/>
  <c r="AO2513" i="11" s="1"/>
  <c r="AF2493" i="11"/>
  <c r="AG2493" i="11" s="1"/>
  <c r="AF2496" i="11"/>
  <c r="AG2496" i="11" s="1"/>
  <c r="AF2459" i="11"/>
  <c r="AG2459" i="11" s="1"/>
  <c r="AF2456" i="11"/>
  <c r="AG2456" i="11" s="1"/>
  <c r="AF2462" i="11"/>
  <c r="AG2462" i="11" s="1"/>
  <c r="O182" i="54"/>
  <c r="AF2502" i="11"/>
  <c r="AG2502" i="11" s="1"/>
  <c r="AF2470" i="11"/>
  <c r="AG2470" i="11" s="1"/>
  <c r="AF2436" i="11"/>
  <c r="AG2436" i="11" s="1"/>
  <c r="AF2461" i="11"/>
  <c r="AG2461" i="11" s="1"/>
  <c r="AF2433" i="11"/>
  <c r="AG2433" i="11" s="1"/>
  <c r="AO2433" i="11" s="1"/>
  <c r="AF2476" i="11"/>
  <c r="AG2476" i="11" s="1"/>
  <c r="AF2435" i="11"/>
  <c r="AG2435" i="11" s="1"/>
  <c r="AF2485" i="11"/>
  <c r="AG2485" i="11" s="1"/>
  <c r="AO2485" i="11" s="1"/>
  <c r="AF2487" i="11"/>
  <c r="AG2487" i="11" s="1"/>
  <c r="AF2444" i="11"/>
  <c r="AG2444" i="11" s="1"/>
  <c r="AF2490" i="11"/>
  <c r="AG2490" i="11" s="1"/>
  <c r="AF2522" i="11"/>
  <c r="AG2522" i="11" s="1"/>
  <c r="AF2463" i="11"/>
  <c r="AG2463" i="11" s="1"/>
  <c r="AF2509" i="11"/>
  <c r="AG2509" i="11" s="1"/>
  <c r="AF2514" i="11"/>
  <c r="AG2514" i="11" s="1"/>
  <c r="AF2424" i="11"/>
  <c r="AG2424" i="11" s="1"/>
  <c r="AF2505" i="11"/>
  <c r="AG2505" i="11" s="1"/>
  <c r="AO2505" i="11" s="1"/>
  <c r="AF2477" i="11"/>
  <c r="AG2477" i="11" s="1"/>
  <c r="AF2465" i="11"/>
  <c r="AG2465" i="11" s="1"/>
  <c r="AF2501" i="11"/>
  <c r="AG2501" i="11" s="1"/>
  <c r="AF2489" i="11"/>
  <c r="AG2489" i="11" s="1"/>
  <c r="AF2445" i="11"/>
  <c r="AG2445" i="11" s="1"/>
  <c r="AO2445" i="11" s="1"/>
  <c r="AF2481" i="11"/>
  <c r="AG2481" i="11" s="1"/>
  <c r="AF2423" i="11"/>
  <c r="AG2423" i="11" s="1"/>
  <c r="AF2458" i="11"/>
  <c r="AG2458" i="11" s="1"/>
  <c r="AF2446" i="11"/>
  <c r="AG2446" i="11" s="1"/>
  <c r="AF2447" i="11"/>
  <c r="AG2447" i="11" s="1"/>
  <c r="AF2468" i="11"/>
  <c r="AG2468" i="11" s="1"/>
  <c r="AF2475" i="11"/>
  <c r="AG2475" i="11" s="1"/>
  <c r="AO2475" i="11" s="1"/>
  <c r="AF2469" i="11"/>
  <c r="AG2469" i="11" s="1"/>
  <c r="AF2508" i="11"/>
  <c r="AG2508" i="11" s="1"/>
  <c r="AF2439" i="11"/>
  <c r="AG2439" i="11" s="1"/>
  <c r="AO2439" i="11" s="1"/>
  <c r="AF2519" i="11"/>
  <c r="AG2519" i="11" s="1"/>
  <c r="AF2503" i="11"/>
  <c r="AG2503" i="11" s="1"/>
  <c r="AO2503" i="11" s="1"/>
  <c r="AF2440" i="11"/>
  <c r="AG2440" i="11" s="1"/>
  <c r="AF2441" i="11"/>
  <c r="AG2441" i="11" s="1"/>
  <c r="AD1588" i="11"/>
  <c r="AE1588" i="11" s="1"/>
  <c r="Q158" i="54"/>
  <c r="AF985" i="11"/>
  <c r="AG985" i="11" s="1"/>
  <c r="AO985" i="11" s="1"/>
  <c r="AF1005" i="11"/>
  <c r="AG1005" i="11" s="1"/>
  <c r="AO1005" i="11" s="1"/>
  <c r="AF1050" i="11"/>
  <c r="AG1050" i="11" s="1"/>
  <c r="AO1050" i="11" s="1"/>
  <c r="AF1004" i="11"/>
  <c r="AG1004" i="11" s="1"/>
  <c r="AF1019" i="11"/>
  <c r="AG1019" i="11" s="1"/>
  <c r="AO1019" i="11" s="1"/>
  <c r="AF1034" i="11"/>
  <c r="AG1034" i="11" s="1"/>
  <c r="AO1034" i="11" s="1"/>
  <c r="AF1037" i="11"/>
  <c r="AG1037" i="11" s="1"/>
  <c r="AO1037" i="11" s="1"/>
  <c r="AF1012" i="11"/>
  <c r="AG1012" i="11" s="1"/>
  <c r="AO1012" i="11" s="1"/>
  <c r="AF966" i="11"/>
  <c r="AG966" i="11" s="1"/>
  <c r="AO966" i="11" s="1"/>
  <c r="AF1001" i="11"/>
  <c r="AG1001" i="11" s="1"/>
  <c r="AF984" i="11"/>
  <c r="AG984" i="11" s="1"/>
  <c r="AF1022" i="11"/>
  <c r="AG1022" i="11" s="1"/>
  <c r="AO1022" i="11" s="1"/>
  <c r="AF983" i="11"/>
  <c r="AG983" i="11" s="1"/>
  <c r="AO983" i="11" s="1"/>
  <c r="AF1047" i="11"/>
  <c r="AG1047" i="11" s="1"/>
  <c r="AO1047" i="11" s="1"/>
  <c r="AF1045" i="11"/>
  <c r="AG1045" i="11" s="1"/>
  <c r="AO1045" i="11" s="1"/>
  <c r="AF950" i="11"/>
  <c r="AG950" i="11" s="1"/>
  <c r="AO950" i="11" s="1"/>
  <c r="AF954" i="11"/>
  <c r="AG954" i="11" s="1"/>
  <c r="AF961" i="11"/>
  <c r="AG961" i="11" s="1"/>
  <c r="AO961" i="11" s="1"/>
  <c r="AF988" i="11"/>
  <c r="AG988" i="11" s="1"/>
  <c r="AF1008" i="11"/>
  <c r="AG1008" i="11" s="1"/>
  <c r="AO1008" i="11" s="1"/>
  <c r="AF1028" i="11"/>
  <c r="AG1028" i="11" s="1"/>
  <c r="AF970" i="11"/>
  <c r="AG970" i="11" s="1"/>
  <c r="AO970" i="11" s="1"/>
  <c r="AF982" i="11"/>
  <c r="AG982" i="11" s="1"/>
  <c r="AF1026" i="11"/>
  <c r="AG1026" i="11" s="1"/>
  <c r="AO1026" i="11" s="1"/>
  <c r="AF1051" i="11"/>
  <c r="AG1051" i="11" s="1"/>
  <c r="AF955" i="11"/>
  <c r="AG955" i="11" s="1"/>
  <c r="AO955" i="11" s="1"/>
  <c r="AF977" i="11"/>
  <c r="AG977" i="11" s="1"/>
  <c r="AO977" i="11" s="1"/>
  <c r="AF989" i="11"/>
  <c r="AG989" i="11" s="1"/>
  <c r="AF1017" i="11"/>
  <c r="AG1017" i="11" s="1"/>
  <c r="AO1017" i="11" s="1"/>
  <c r="AF1043" i="11"/>
  <c r="AG1043" i="11" s="1"/>
  <c r="AO1043" i="11" s="1"/>
  <c r="AF972" i="11"/>
  <c r="AG972" i="11" s="1"/>
  <c r="AO972" i="11" s="1"/>
  <c r="AF957" i="11"/>
  <c r="AG957" i="11" s="1"/>
  <c r="AO957" i="11" s="1"/>
  <c r="AF1003" i="11"/>
  <c r="AG1003" i="11" s="1"/>
  <c r="AO1003" i="11" s="1"/>
  <c r="AF1016" i="11"/>
  <c r="AG1016" i="11" s="1"/>
  <c r="AF1024" i="11"/>
  <c r="AG1024" i="11" s="1"/>
  <c r="AO1024" i="11" s="1"/>
  <c r="AF1035" i="11"/>
  <c r="AG1035" i="11" s="1"/>
  <c r="AO1035" i="11" s="1"/>
  <c r="AF968" i="11"/>
  <c r="AG968" i="11" s="1"/>
  <c r="AO968" i="11" s="1"/>
  <c r="AF963" i="11"/>
  <c r="AG963" i="11" s="1"/>
  <c r="AF990" i="11"/>
  <c r="AG990" i="11" s="1"/>
  <c r="AO990" i="11" s="1"/>
  <c r="AF986" i="11"/>
  <c r="AG986" i="11" s="1"/>
  <c r="AF967" i="11"/>
  <c r="AG967" i="11" s="1"/>
  <c r="AO967" i="11" s="1"/>
  <c r="AF1011" i="11"/>
  <c r="AG1011" i="11" s="1"/>
  <c r="AO1011" i="11" s="1"/>
  <c r="AF965" i="11"/>
  <c r="AG965" i="11" s="1"/>
  <c r="AO965" i="11" s="1"/>
  <c r="AF1036" i="11"/>
  <c r="AG1036" i="11" s="1"/>
  <c r="AO1036" i="11" s="1"/>
  <c r="AF1002" i="11"/>
  <c r="AG1002" i="11" s="1"/>
  <c r="AO1002" i="11" s="1"/>
  <c r="AF978" i="11"/>
  <c r="AG978" i="11" s="1"/>
  <c r="AF951" i="11"/>
  <c r="AG951" i="11" s="1"/>
  <c r="AO951" i="11" s="1"/>
  <c r="AF956" i="11"/>
  <c r="AG956" i="11" s="1"/>
  <c r="AF1014" i="11"/>
  <c r="AG1014" i="11" s="1"/>
  <c r="AF1048" i="11"/>
  <c r="AG1048" i="11" s="1"/>
  <c r="AO1048" i="11" s="1"/>
  <c r="AF1025" i="11"/>
  <c r="AG1025" i="11" s="1"/>
  <c r="AO1025" i="11" s="1"/>
  <c r="AF1020" i="11"/>
  <c r="AG1020" i="11" s="1"/>
  <c r="AO1020" i="11" s="1"/>
  <c r="AF973" i="11"/>
  <c r="AG973" i="11" s="1"/>
  <c r="AF1006" i="11"/>
  <c r="AG1006" i="11" s="1"/>
  <c r="AO1006" i="11" s="1"/>
  <c r="AF991" i="11"/>
  <c r="AG991" i="11" s="1"/>
  <c r="AF952" i="11"/>
  <c r="AG952" i="11" s="1"/>
  <c r="AO952" i="11" s="1"/>
  <c r="AF1009" i="11"/>
  <c r="AG1009" i="11" s="1"/>
  <c r="AO1009" i="11" s="1"/>
  <c r="AF987" i="11"/>
  <c r="AG987" i="11" s="1"/>
  <c r="AO987" i="11" s="1"/>
  <c r="AF1041" i="11"/>
  <c r="AG1041" i="11" s="1"/>
  <c r="AO1041" i="11" s="1"/>
  <c r="AF974" i="11"/>
  <c r="AG974" i="11" s="1"/>
  <c r="AO974" i="11" s="1"/>
  <c r="AF975" i="11"/>
  <c r="AG975" i="11" s="1"/>
  <c r="AO975" i="11" s="1"/>
  <c r="AF981" i="11"/>
  <c r="AG981" i="11" s="1"/>
  <c r="AO981" i="11" s="1"/>
  <c r="AF971" i="11"/>
  <c r="AG971" i="11" s="1"/>
  <c r="AO971" i="11" s="1"/>
  <c r="AF960" i="11"/>
  <c r="AG960" i="11" s="1"/>
  <c r="AF996" i="11"/>
  <c r="AG996" i="11" s="1"/>
  <c r="AF1044" i="11"/>
  <c r="AG1044" i="11" s="1"/>
  <c r="AO1044" i="11" s="1"/>
  <c r="AF1038" i="11"/>
  <c r="AG1038" i="11" s="1"/>
  <c r="O193" i="54"/>
  <c r="AF1029" i="11"/>
  <c r="AG1029" i="11" s="1"/>
  <c r="AF1054" i="11"/>
  <c r="AG1054" i="11" s="1"/>
  <c r="AF979" i="11"/>
  <c r="AG979" i="11" s="1"/>
  <c r="AO979" i="11" s="1"/>
  <c r="AF962" i="11"/>
  <c r="AG962" i="11" s="1"/>
  <c r="AO962" i="11" s="1"/>
  <c r="AF1018" i="11"/>
  <c r="AG1018" i="11" s="1"/>
  <c r="AO1018" i="11" s="1"/>
  <c r="AF1030" i="11"/>
  <c r="AG1030" i="11" s="1"/>
  <c r="AO1030" i="11" s="1"/>
  <c r="AF997" i="11"/>
  <c r="AG997" i="11" s="1"/>
  <c r="AO997" i="11" s="1"/>
  <c r="AF993" i="11"/>
  <c r="AG993" i="11" s="1"/>
  <c r="AO993" i="11" s="1"/>
  <c r="AF1031" i="11"/>
  <c r="AG1031" i="11" s="1"/>
  <c r="AO1031" i="11" s="1"/>
  <c r="AF1046" i="11"/>
  <c r="AG1046" i="11" s="1"/>
  <c r="AO1046" i="11" s="1"/>
  <c r="AF959" i="11"/>
  <c r="AG959" i="11" s="1"/>
  <c r="AF992" i="11"/>
  <c r="AG992" i="11" s="1"/>
  <c r="AO992" i="11" s="1"/>
  <c r="AF1010" i="11"/>
  <c r="AG1010" i="11" s="1"/>
  <c r="AO1010" i="11" s="1"/>
  <c r="AF1027" i="11"/>
  <c r="AG1027" i="11" s="1"/>
  <c r="AO1027" i="11" s="1"/>
  <c r="AF1049" i="11"/>
  <c r="AG1049" i="11" s="1"/>
  <c r="AO1049" i="11" s="1"/>
  <c r="AF969" i="11"/>
  <c r="AG969" i="11" s="1"/>
  <c r="AO969" i="11" s="1"/>
  <c r="AF1053" i="11"/>
  <c r="AG1053" i="11" s="1"/>
  <c r="AO1053" i="11" s="1"/>
  <c r="AF1015" i="11"/>
  <c r="AG1015" i="11" s="1"/>
  <c r="AO1015" i="11" s="1"/>
  <c r="AF1032" i="11"/>
  <c r="AG1032" i="11" s="1"/>
  <c r="AO1032" i="11" s="1"/>
  <c r="AF976" i="11"/>
  <c r="AG976" i="11" s="1"/>
  <c r="AO976" i="11" s="1"/>
  <c r="AF1023" i="11"/>
  <c r="AG1023" i="11" s="1"/>
  <c r="AO1023" i="11" s="1"/>
  <c r="AF1040" i="11"/>
  <c r="AG1040" i="11" s="1"/>
  <c r="AO1040" i="11" s="1"/>
  <c r="AF994" i="11"/>
  <c r="AG994" i="11" s="1"/>
  <c r="AO994" i="11" s="1"/>
  <c r="AF999" i="11"/>
  <c r="AG999" i="11" s="1"/>
  <c r="AO999" i="11" s="1"/>
  <c r="AF1033" i="11"/>
  <c r="AG1033" i="11" s="1"/>
  <c r="AF1007" i="11"/>
  <c r="AG1007" i="11" s="1"/>
  <c r="AO1007" i="11" s="1"/>
  <c r="AF964" i="11"/>
  <c r="AG964" i="11" s="1"/>
  <c r="AF1021" i="11"/>
  <c r="AG1021" i="11" s="1"/>
  <c r="AO1021" i="11" s="1"/>
  <c r="AF1052" i="11"/>
  <c r="AG1052" i="11" s="1"/>
  <c r="AO1052" i="11" s="1"/>
  <c r="AF1013" i="11"/>
  <c r="AG1013" i="11" s="1"/>
  <c r="AO1013" i="11" s="1"/>
  <c r="AF953" i="11"/>
  <c r="AG953" i="11" s="1"/>
  <c r="AO953" i="11" s="1"/>
  <c r="AF995" i="11"/>
  <c r="AG995" i="11" s="1"/>
  <c r="AO995" i="11" s="1"/>
  <c r="AF1039" i="11"/>
  <c r="AG1039" i="11" s="1"/>
  <c r="AO1039" i="11" s="1"/>
  <c r="Q99" i="54"/>
  <c r="AD1017" i="11"/>
  <c r="AE1017" i="11" s="1"/>
  <c r="AI3130" i="11"/>
  <c r="AJ3130" i="11" s="1"/>
  <c r="AI3887" i="11"/>
  <c r="AJ3887" i="11" s="1"/>
  <c r="AF2413" i="11"/>
  <c r="AG2413" i="11" s="1"/>
  <c r="AO2413" i="11" s="1"/>
  <c r="AK1391" i="11"/>
  <c r="AL1391" i="11" s="1"/>
  <c r="AI2953" i="11"/>
  <c r="AJ2953" i="11" s="1"/>
  <c r="AI3004" i="11"/>
  <c r="AJ3004" i="11" s="1"/>
  <c r="AI2956" i="11"/>
  <c r="AJ2956" i="11" s="1"/>
  <c r="AI2963" i="11"/>
  <c r="AJ2963" i="11" s="1"/>
  <c r="AI2983" i="11"/>
  <c r="AJ2983" i="11" s="1"/>
  <c r="AI2972" i="11"/>
  <c r="AJ2972" i="11" s="1"/>
  <c r="AI3018" i="11"/>
  <c r="AJ3018" i="11" s="1"/>
  <c r="AI3003" i="11"/>
  <c r="AJ3003" i="11" s="1"/>
  <c r="AI3002" i="11"/>
  <c r="AJ3002" i="11" s="1"/>
  <c r="AI3027" i="11"/>
  <c r="AJ3027" i="11" s="1"/>
  <c r="AI3039" i="11"/>
  <c r="AJ3039" i="11" s="1"/>
  <c r="AI2955" i="11"/>
  <c r="AJ2955" i="11" s="1"/>
  <c r="AI3036" i="11"/>
  <c r="AJ3036" i="11" s="1"/>
  <c r="AI2968" i="11"/>
  <c r="AJ2968" i="11" s="1"/>
  <c r="AI2988" i="11"/>
  <c r="AJ2988" i="11" s="1"/>
  <c r="AI2946" i="11"/>
  <c r="AJ2946" i="11" s="1"/>
  <c r="AI2994" i="11"/>
  <c r="AJ2994" i="11" s="1"/>
  <c r="AI3049" i="11"/>
  <c r="AJ3049" i="11" s="1"/>
  <c r="AI3000" i="11"/>
  <c r="AJ3000" i="11" s="1"/>
  <c r="AI2982" i="11"/>
  <c r="AJ2982" i="11" s="1"/>
  <c r="AI3007" i="11"/>
  <c r="AJ3007" i="11" s="1"/>
  <c r="AI2962" i="11"/>
  <c r="AJ2962" i="11" s="1"/>
  <c r="AI2949" i="11"/>
  <c r="AJ2949" i="11" s="1"/>
  <c r="AI3031" i="11"/>
  <c r="AJ3031" i="11" s="1"/>
  <c r="AI2973" i="11"/>
  <c r="AJ2973" i="11" s="1"/>
  <c r="AI2947" i="11"/>
  <c r="AJ2947" i="11" s="1"/>
  <c r="AI2954" i="11"/>
  <c r="AJ2954" i="11" s="1"/>
  <c r="AI2991" i="11"/>
  <c r="AJ2991" i="11" s="1"/>
  <c r="AI3017" i="11"/>
  <c r="AJ3017" i="11" s="1"/>
  <c r="AI3015" i="11"/>
  <c r="AJ3015" i="11" s="1"/>
  <c r="AI3005" i="11"/>
  <c r="AJ3005" i="11" s="1"/>
  <c r="AI2951" i="11"/>
  <c r="AJ2951" i="11" s="1"/>
  <c r="AI2980" i="11"/>
  <c r="AJ2980" i="11" s="1"/>
  <c r="AI2952" i="11"/>
  <c r="AJ2952" i="11" s="1"/>
  <c r="AI3011" i="11"/>
  <c r="AJ3011" i="11" s="1"/>
  <c r="AI2996" i="11"/>
  <c r="AJ2996" i="11" s="1"/>
  <c r="AI2977" i="11"/>
  <c r="AJ2977" i="11" s="1"/>
  <c r="AI2979" i="11"/>
  <c r="AJ2979" i="11" s="1"/>
  <c r="AI3048" i="11"/>
  <c r="AJ3048" i="11" s="1"/>
  <c r="AI3047" i="11"/>
  <c r="AJ3047" i="11" s="1"/>
  <c r="AI2948" i="11"/>
  <c r="AJ2948" i="11" s="1"/>
  <c r="AI2950" i="11"/>
  <c r="AJ2950" i="11" s="1"/>
  <c r="AI2965" i="11"/>
  <c r="AJ2965" i="11" s="1"/>
  <c r="AI2989" i="11"/>
  <c r="AJ2989" i="11" s="1"/>
  <c r="AI3045" i="11"/>
  <c r="AJ3045" i="11" s="1"/>
  <c r="AI2957" i="11"/>
  <c r="AJ2957" i="11" s="1"/>
  <c r="AI2986" i="11"/>
  <c r="AJ2986" i="11" s="1"/>
  <c r="AI3009" i="11"/>
  <c r="AJ3009" i="11" s="1"/>
  <c r="AI2964" i="11"/>
  <c r="AJ2964" i="11" s="1"/>
  <c r="AI3038" i="11"/>
  <c r="AJ3038" i="11" s="1"/>
  <c r="AI2970" i="11"/>
  <c r="AJ2970" i="11" s="1"/>
  <c r="AI2960" i="11"/>
  <c r="AJ2960" i="11" s="1"/>
  <c r="AI2959" i="11"/>
  <c r="AJ2959" i="11" s="1"/>
  <c r="AI2969" i="11"/>
  <c r="AJ2969" i="11" s="1"/>
  <c r="AI3043" i="11"/>
  <c r="AJ3043" i="11" s="1"/>
  <c r="AI2978" i="11"/>
  <c r="AJ2978" i="11" s="1"/>
  <c r="AI2961" i="11"/>
  <c r="AJ2961" i="11" s="1"/>
  <c r="AI3044" i="11"/>
  <c r="AJ3044" i="11" s="1"/>
  <c r="AI2974" i="11"/>
  <c r="AJ2974" i="11" s="1"/>
  <c r="AI3016" i="11"/>
  <c r="AJ3016" i="11" s="1"/>
  <c r="AI3022" i="11"/>
  <c r="AJ3022" i="11" s="1"/>
  <c r="AI3030" i="11"/>
  <c r="AJ3030" i="11" s="1"/>
  <c r="AI2987" i="11"/>
  <c r="AJ2987" i="11" s="1"/>
  <c r="AI2984" i="11"/>
  <c r="AJ2984" i="11" s="1"/>
  <c r="AI3010" i="11"/>
  <c r="AJ3010" i="11" s="1"/>
  <c r="AI2999" i="11"/>
  <c r="AJ2999" i="11" s="1"/>
  <c r="AI3042" i="11"/>
  <c r="AJ3042" i="11" s="1"/>
  <c r="AI3034" i="11"/>
  <c r="AJ3034" i="11" s="1"/>
  <c r="AI3041" i="11"/>
  <c r="AJ3041" i="11" s="1"/>
  <c r="AI3046" i="11"/>
  <c r="AJ3046" i="11" s="1"/>
  <c r="AI3001" i="11"/>
  <c r="AJ3001" i="11" s="1"/>
  <c r="AI2976" i="11"/>
  <c r="AJ2976" i="11" s="1"/>
  <c r="AI2967" i="11"/>
  <c r="AJ2967" i="11" s="1"/>
  <c r="AI3025" i="11"/>
  <c r="AJ3025" i="11" s="1"/>
  <c r="AI3026" i="11"/>
  <c r="AJ3026" i="11" s="1"/>
  <c r="AI3012" i="11"/>
  <c r="AJ3012" i="11" s="1"/>
  <c r="AI2945" i="11"/>
  <c r="AJ2945" i="11" s="1"/>
  <c r="AI3033" i="11"/>
  <c r="AJ3033" i="11" s="1"/>
  <c r="AI3019" i="11"/>
  <c r="AJ3019" i="11" s="1"/>
  <c r="AI3037" i="11"/>
  <c r="AJ3037" i="11" s="1"/>
  <c r="AI3040" i="11"/>
  <c r="AJ3040" i="11" s="1"/>
  <c r="AI3032" i="11"/>
  <c r="AJ3032" i="11" s="1"/>
  <c r="AI3029" i="11"/>
  <c r="AJ3029" i="11" s="1"/>
  <c r="AI2990" i="11"/>
  <c r="AJ2990" i="11" s="1"/>
  <c r="AI2966" i="11"/>
  <c r="AJ2966" i="11" s="1"/>
  <c r="AI3023" i="11"/>
  <c r="AJ3023" i="11" s="1"/>
  <c r="AI2958" i="11"/>
  <c r="AJ2958" i="11" s="1"/>
  <c r="AI2971" i="11"/>
  <c r="AJ2971" i="11" s="1"/>
  <c r="AI2995" i="11"/>
  <c r="AJ2995" i="11" s="1"/>
  <c r="AI2985" i="11"/>
  <c r="AJ2985" i="11" s="1"/>
  <c r="AI2998" i="11"/>
  <c r="AJ2998" i="11" s="1"/>
  <c r="AI3021" i="11"/>
  <c r="AJ3021" i="11" s="1"/>
  <c r="AI3014" i="11"/>
  <c r="AJ3014" i="11" s="1"/>
  <c r="AI2993" i="11"/>
  <c r="AJ2993" i="11" s="1"/>
  <c r="AI2992" i="11"/>
  <c r="AJ2992" i="11" s="1"/>
  <c r="AI3008" i="11"/>
  <c r="AJ3008" i="11" s="1"/>
  <c r="AK268" i="11"/>
  <c r="AL268" i="11" s="1"/>
  <c r="AK311" i="11"/>
  <c r="AL311" i="11" s="1"/>
  <c r="AK237" i="11"/>
  <c r="AL237" i="11" s="1"/>
  <c r="AK227" i="11"/>
  <c r="AL227" i="11" s="1"/>
  <c r="AK287" i="11"/>
  <c r="AL287" i="11" s="1"/>
  <c r="AK263" i="11"/>
  <c r="AL263" i="11" s="1"/>
  <c r="AK241" i="11"/>
  <c r="AL241" i="11" s="1"/>
  <c r="AK318" i="11"/>
  <c r="AL318" i="11" s="1"/>
  <c r="AK243" i="11"/>
  <c r="AL243" i="11" s="1"/>
  <c r="AK248" i="11"/>
  <c r="AL248" i="11" s="1"/>
  <c r="AK215" i="11"/>
  <c r="AL215" i="11" s="1"/>
  <c r="AK296" i="11"/>
  <c r="AL296" i="11" s="1"/>
  <c r="AK305" i="11"/>
  <c r="AL305" i="11" s="1"/>
  <c r="AK245" i="11"/>
  <c r="AL245" i="11" s="1"/>
  <c r="AK218" i="11"/>
  <c r="AL218" i="11" s="1"/>
  <c r="AK292" i="11"/>
  <c r="AL292" i="11" s="1"/>
  <c r="AK297" i="11"/>
  <c r="AL297" i="11" s="1"/>
  <c r="AK260" i="11"/>
  <c r="AL260" i="11" s="1"/>
  <c r="AK267" i="11"/>
  <c r="AL267" i="11" s="1"/>
  <c r="AK251" i="11"/>
  <c r="AL251" i="11" s="1"/>
  <c r="AK259" i="11"/>
  <c r="AL259" i="11" s="1"/>
  <c r="AK225" i="11"/>
  <c r="AL225" i="11" s="1"/>
  <c r="AK317" i="11"/>
  <c r="AL317" i="11" s="1"/>
  <c r="AK246" i="11"/>
  <c r="AL246" i="11" s="1"/>
  <c r="AK294" i="11"/>
  <c r="AL294" i="11" s="1"/>
  <c r="AK252" i="11"/>
  <c r="AL252" i="11" s="1"/>
  <c r="AK307" i="11"/>
  <c r="AL307" i="11" s="1"/>
  <c r="AK275" i="11"/>
  <c r="AL275" i="11" s="1"/>
  <c r="AK314" i="11"/>
  <c r="AL314" i="11" s="1"/>
  <c r="AK302" i="11"/>
  <c r="AL302" i="11" s="1"/>
  <c r="AK316" i="11"/>
  <c r="AL316" i="11" s="1"/>
  <c r="AK255" i="11"/>
  <c r="AL255" i="11" s="1"/>
  <c r="AK279" i="11"/>
  <c r="AL279" i="11" s="1"/>
  <c r="AK280" i="11"/>
  <c r="AL280" i="11" s="1"/>
  <c r="AK271" i="11"/>
  <c r="AL271" i="11" s="1"/>
  <c r="AK309" i="11"/>
  <c r="AL309" i="11" s="1"/>
  <c r="AK224" i="11"/>
  <c r="AL224" i="11" s="1"/>
  <c r="AK313" i="11"/>
  <c r="AL313" i="11" s="1"/>
  <c r="AK315" i="11"/>
  <c r="AL315" i="11" s="1"/>
  <c r="AK281" i="11"/>
  <c r="AL281" i="11" s="1"/>
  <c r="AK234" i="11"/>
  <c r="AL234" i="11" s="1"/>
  <c r="AK219" i="11"/>
  <c r="AL219" i="11" s="1"/>
  <c r="AK250" i="11"/>
  <c r="AL250" i="11" s="1"/>
  <c r="AK300" i="11"/>
  <c r="AL300" i="11" s="1"/>
  <c r="AK289" i="11"/>
  <c r="AL289" i="11" s="1"/>
  <c r="AK312" i="11"/>
  <c r="AL312" i="11" s="1"/>
  <c r="AK249" i="11"/>
  <c r="AL249" i="11" s="1"/>
  <c r="AK257" i="11"/>
  <c r="AL257" i="11" s="1"/>
  <c r="AK240" i="11"/>
  <c r="AL240" i="11" s="1"/>
  <c r="AK229" i="11"/>
  <c r="AL229" i="11" s="1"/>
  <c r="AK247" i="11"/>
  <c r="AL247" i="11" s="1"/>
  <c r="AK220" i="11"/>
  <c r="AL220" i="11" s="1"/>
  <c r="AK231" i="11"/>
  <c r="AL231" i="11" s="1"/>
  <c r="AK270" i="11"/>
  <c r="AL270" i="11" s="1"/>
  <c r="AK303" i="11"/>
  <c r="AL303" i="11" s="1"/>
  <c r="AK233" i="11"/>
  <c r="AL233" i="11" s="1"/>
  <c r="AK286" i="11"/>
  <c r="AL286" i="11" s="1"/>
  <c r="AK253" i="11"/>
  <c r="AL253" i="11" s="1"/>
  <c r="AK265" i="11"/>
  <c r="AL265" i="11" s="1"/>
  <c r="AK254" i="11"/>
  <c r="AL254" i="11" s="1"/>
  <c r="AK293" i="11"/>
  <c r="AL293" i="11" s="1"/>
  <c r="AK238" i="11"/>
  <c r="AL238" i="11" s="1"/>
  <c r="AK272" i="11"/>
  <c r="AL272" i="11" s="1"/>
  <c r="AK276" i="11"/>
  <c r="AL276" i="11" s="1"/>
  <c r="AK285" i="11"/>
  <c r="AL285" i="11" s="1"/>
  <c r="AK288" i="11"/>
  <c r="AL288" i="11" s="1"/>
  <c r="AK274" i="11"/>
  <c r="AL274" i="11" s="1"/>
  <c r="AK256" i="11"/>
  <c r="AL256" i="11" s="1"/>
  <c r="AK278" i="11"/>
  <c r="AL278" i="11" s="1"/>
  <c r="AK284" i="11"/>
  <c r="AL284" i="11" s="1"/>
  <c r="AK319" i="11"/>
  <c r="AL319" i="11" s="1"/>
  <c r="AK244" i="11"/>
  <c r="AL244" i="11" s="1"/>
  <c r="AK236" i="11"/>
  <c r="AL236" i="11" s="1"/>
  <c r="AK242" i="11"/>
  <c r="AL242" i="11" s="1"/>
  <c r="AK258" i="11"/>
  <c r="AL258" i="11" s="1"/>
  <c r="AK216" i="11"/>
  <c r="AL216" i="11" s="1"/>
  <c r="AK222" i="11"/>
  <c r="AL222" i="11" s="1"/>
  <c r="AK308" i="11"/>
  <c r="AL308" i="11" s="1"/>
  <c r="AK221" i="11"/>
  <c r="AL221" i="11" s="1"/>
  <c r="AK295" i="11"/>
  <c r="AL295" i="11" s="1"/>
  <c r="AK306" i="11"/>
  <c r="AL306" i="11" s="1"/>
  <c r="AK226" i="11"/>
  <c r="AL226" i="11" s="1"/>
  <c r="AK223" i="11"/>
  <c r="AL223" i="11" s="1"/>
  <c r="AK299" i="11"/>
  <c r="AL299" i="11" s="1"/>
  <c r="AK277" i="11"/>
  <c r="AL277" i="11" s="1"/>
  <c r="AK283" i="11"/>
  <c r="AL283" i="11" s="1"/>
  <c r="AK269" i="11"/>
  <c r="AL269" i="11" s="1"/>
  <c r="AK282" i="11"/>
  <c r="AL282" i="11" s="1"/>
  <c r="AK298" i="11"/>
  <c r="AL298" i="11" s="1"/>
  <c r="AK239" i="11"/>
  <c r="AL239" i="11" s="1"/>
  <c r="AK310" i="11"/>
  <c r="AL310" i="11" s="1"/>
  <c r="AK228" i="11"/>
  <c r="AL228" i="11" s="1"/>
  <c r="AK235" i="11"/>
  <c r="AL235" i="11" s="1"/>
  <c r="AF3088" i="11"/>
  <c r="AG3088" i="11" s="1"/>
  <c r="AI1563" i="11"/>
  <c r="AJ1563" i="11" s="1"/>
  <c r="P136" i="54"/>
  <c r="O274" i="54"/>
  <c r="AF1293" i="11"/>
  <c r="AG1293" i="11" s="1"/>
  <c r="O255" i="54"/>
  <c r="AD726" i="11"/>
  <c r="AE726" i="11" s="1"/>
  <c r="AN726" i="11" s="1"/>
  <c r="AK3807" i="11"/>
  <c r="AL3807" i="11" s="1"/>
  <c r="AK3844" i="11"/>
  <c r="AL3844" i="11" s="1"/>
  <c r="AK3793" i="11"/>
  <c r="AL3793" i="11" s="1"/>
  <c r="AK3864" i="11"/>
  <c r="AL3864" i="11" s="1"/>
  <c r="AK3843" i="11"/>
  <c r="AL3843" i="11" s="1"/>
  <c r="AK3829" i="11"/>
  <c r="AL3829" i="11" s="1"/>
  <c r="AK3887" i="11"/>
  <c r="AL3887" i="11" s="1"/>
  <c r="AK3873" i="11"/>
  <c r="AL3873" i="11" s="1"/>
  <c r="AK3837" i="11"/>
  <c r="AL3837" i="11" s="1"/>
  <c r="AK3825" i="11"/>
  <c r="AL3825" i="11" s="1"/>
  <c r="AK3875" i="11"/>
  <c r="AL3875" i="11" s="1"/>
  <c r="AK3800" i="11"/>
  <c r="AL3800" i="11" s="1"/>
  <c r="AK3795" i="11"/>
  <c r="AL3795" i="11" s="1"/>
  <c r="AK3838" i="11"/>
  <c r="AL3838" i="11" s="1"/>
  <c r="AK3809" i="11"/>
  <c r="AL3809" i="11" s="1"/>
  <c r="AK3802" i="11"/>
  <c r="AL3802" i="11" s="1"/>
  <c r="AK3817" i="11"/>
  <c r="AL3817" i="11" s="1"/>
  <c r="AK3874" i="11"/>
  <c r="AL3874" i="11" s="1"/>
  <c r="AK3876" i="11"/>
  <c r="AL3876" i="11" s="1"/>
  <c r="AK3888" i="11"/>
  <c r="AL3888" i="11" s="1"/>
  <c r="AK3853" i="11"/>
  <c r="AL3853" i="11" s="1"/>
  <c r="AK3835" i="11"/>
  <c r="AL3835" i="11" s="1"/>
  <c r="AK3828" i="11"/>
  <c r="AL3828" i="11" s="1"/>
  <c r="AK3871" i="11"/>
  <c r="AL3871" i="11" s="1"/>
  <c r="AK3789" i="11"/>
  <c r="AL3789" i="11" s="1"/>
  <c r="AK3824" i="11"/>
  <c r="AL3824" i="11" s="1"/>
  <c r="AK3854" i="11"/>
  <c r="AL3854" i="11" s="1"/>
  <c r="AK3803" i="11"/>
  <c r="AL3803" i="11" s="1"/>
  <c r="AK3808" i="11"/>
  <c r="AL3808" i="11" s="1"/>
  <c r="AK3867" i="11"/>
  <c r="AL3867" i="11" s="1"/>
  <c r="AK3832" i="11"/>
  <c r="AL3832" i="11" s="1"/>
  <c r="AK3791" i="11"/>
  <c r="AL3791" i="11" s="1"/>
  <c r="AK3818" i="11"/>
  <c r="AL3818" i="11" s="1"/>
  <c r="AK3840" i="11"/>
  <c r="AL3840" i="11" s="1"/>
  <c r="AK3810" i="11"/>
  <c r="AL3810" i="11" s="1"/>
  <c r="AK3851" i="11"/>
  <c r="AL3851" i="11" s="1"/>
  <c r="AK3857" i="11"/>
  <c r="AL3857" i="11" s="1"/>
  <c r="AK3833" i="11"/>
  <c r="AL3833" i="11" s="1"/>
  <c r="AK3869" i="11"/>
  <c r="AL3869" i="11" s="1"/>
  <c r="AK3856" i="11"/>
  <c r="AL3856" i="11" s="1"/>
  <c r="AK3859" i="11"/>
  <c r="AL3859" i="11" s="1"/>
  <c r="AK3861" i="11"/>
  <c r="AL3861" i="11" s="1"/>
  <c r="AK3811" i="11"/>
  <c r="AL3811" i="11" s="1"/>
  <c r="AK3880" i="11"/>
  <c r="AL3880" i="11" s="1"/>
  <c r="AK3863" i="11"/>
  <c r="AL3863" i="11" s="1"/>
  <c r="AK3785" i="11"/>
  <c r="AL3785" i="11" s="1"/>
  <c r="AK3815" i="11"/>
  <c r="AL3815" i="11" s="1"/>
  <c r="AK3794" i="11"/>
  <c r="AL3794" i="11" s="1"/>
  <c r="AK3836" i="11"/>
  <c r="AL3836" i="11" s="1"/>
  <c r="AK3858" i="11"/>
  <c r="AL3858" i="11" s="1"/>
  <c r="AK3797" i="11"/>
  <c r="AL3797" i="11" s="1"/>
  <c r="AK3847" i="11"/>
  <c r="AL3847" i="11" s="1"/>
  <c r="AK3872" i="11"/>
  <c r="AL3872" i="11" s="1"/>
  <c r="AK3798" i="11"/>
  <c r="AL3798" i="11" s="1"/>
  <c r="AK3877" i="11"/>
  <c r="AL3877" i="11" s="1"/>
  <c r="AK3841" i="11"/>
  <c r="AL3841" i="11" s="1"/>
  <c r="AK3826" i="11"/>
  <c r="AL3826" i="11" s="1"/>
  <c r="AK3821" i="11"/>
  <c r="AL3821" i="11" s="1"/>
  <c r="AK3866" i="11"/>
  <c r="AL3866" i="11" s="1"/>
  <c r="AK3813" i="11"/>
  <c r="AL3813" i="11" s="1"/>
  <c r="AK3849" i="11"/>
  <c r="AL3849" i="11" s="1"/>
  <c r="AK3820" i="11"/>
  <c r="AL3820" i="11" s="1"/>
  <c r="AK3790" i="11"/>
  <c r="AL3790" i="11" s="1"/>
  <c r="AK3834" i="11"/>
  <c r="AL3834" i="11" s="1"/>
  <c r="AK3865" i="11"/>
  <c r="AL3865" i="11" s="1"/>
  <c r="AK3852" i="11"/>
  <c r="AL3852" i="11" s="1"/>
  <c r="AK3884" i="11"/>
  <c r="AL3884" i="11" s="1"/>
  <c r="AK3886" i="11"/>
  <c r="AL3886" i="11" s="1"/>
  <c r="AK3830" i="11"/>
  <c r="AL3830" i="11" s="1"/>
  <c r="AK3801" i="11"/>
  <c r="AL3801" i="11" s="1"/>
  <c r="AK3882" i="11"/>
  <c r="AL3882" i="11" s="1"/>
  <c r="AK3805" i="11"/>
  <c r="AL3805" i="11" s="1"/>
  <c r="AK3850" i="11"/>
  <c r="AL3850" i="11" s="1"/>
  <c r="AK3881" i="11"/>
  <c r="AL3881" i="11" s="1"/>
  <c r="AK3889" i="11"/>
  <c r="AL3889" i="11" s="1"/>
  <c r="AK3804" i="11"/>
  <c r="AL3804" i="11" s="1"/>
  <c r="AK3862" i="11"/>
  <c r="AL3862" i="11" s="1"/>
  <c r="AK3799" i="11"/>
  <c r="AL3799" i="11" s="1"/>
  <c r="AK3848" i="11"/>
  <c r="AL3848" i="11" s="1"/>
  <c r="AK3839" i="11"/>
  <c r="AL3839" i="11" s="1"/>
  <c r="AK3796" i="11"/>
  <c r="AL3796" i="11" s="1"/>
  <c r="AK3819" i="11"/>
  <c r="AL3819" i="11" s="1"/>
  <c r="AK3827" i="11"/>
  <c r="AL3827" i="11" s="1"/>
  <c r="AK3831" i="11"/>
  <c r="AL3831" i="11" s="1"/>
  <c r="AK3860" i="11"/>
  <c r="AL3860" i="11" s="1"/>
  <c r="AK3792" i="11"/>
  <c r="AL3792" i="11" s="1"/>
  <c r="AK3868" i="11"/>
  <c r="AL3868" i="11" s="1"/>
  <c r="AK3786" i="11"/>
  <c r="AL3786" i="11" s="1"/>
  <c r="AK3788" i="11"/>
  <c r="AL3788" i="11" s="1"/>
  <c r="AK3787" i="11"/>
  <c r="AL3787" i="11" s="1"/>
  <c r="AK3879" i="11"/>
  <c r="AL3879" i="11" s="1"/>
  <c r="AK3846" i="11"/>
  <c r="AL3846" i="11" s="1"/>
  <c r="AK3293" i="11"/>
  <c r="AL3293" i="11" s="1"/>
  <c r="AI536" i="11"/>
  <c r="AJ536" i="11" s="1"/>
  <c r="AF859" i="11"/>
  <c r="AG859" i="11" s="1"/>
  <c r="AO859" i="11" s="1"/>
  <c r="AF919" i="11"/>
  <c r="AG919" i="11" s="1"/>
  <c r="AO919" i="11" s="1"/>
  <c r="AF897" i="11"/>
  <c r="AG897" i="11" s="1"/>
  <c r="AF944" i="11"/>
  <c r="AG944" i="11" s="1"/>
  <c r="AF890" i="11"/>
  <c r="AG890" i="11" s="1"/>
  <c r="AF895" i="11"/>
  <c r="AG895" i="11" s="1"/>
  <c r="AF927" i="11"/>
  <c r="AG927" i="11" s="1"/>
  <c r="AO927" i="11" s="1"/>
  <c r="AF894" i="11"/>
  <c r="AG894" i="11" s="1"/>
  <c r="AF941" i="11"/>
  <c r="AG941" i="11" s="1"/>
  <c r="AF922" i="11"/>
  <c r="AG922" i="11" s="1"/>
  <c r="AF948" i="11"/>
  <c r="AG948" i="11" s="1"/>
  <c r="AO948" i="11" s="1"/>
  <c r="AF938" i="11"/>
  <c r="AG938" i="11" s="1"/>
  <c r="AF857" i="11"/>
  <c r="AG857" i="11" s="1"/>
  <c r="AF854" i="11"/>
  <c r="AG854" i="11" s="1"/>
  <c r="AO854" i="11" s="1"/>
  <c r="AF925" i="11"/>
  <c r="AG925" i="11" s="1"/>
  <c r="AF931" i="11"/>
  <c r="AG931" i="11" s="1"/>
  <c r="AF865" i="11"/>
  <c r="AG865" i="11" s="1"/>
  <c r="AF848" i="11"/>
  <c r="AG848" i="11" s="1"/>
  <c r="AF902" i="11"/>
  <c r="AG902" i="11" s="1"/>
  <c r="AF873" i="11"/>
  <c r="AG873" i="11" s="1"/>
  <c r="AF885" i="11"/>
  <c r="AG885" i="11" s="1"/>
  <c r="AF864" i="11"/>
  <c r="AG864" i="11" s="1"/>
  <c r="AF918" i="11"/>
  <c r="AG918" i="11" s="1"/>
  <c r="AF879" i="11"/>
  <c r="AG879" i="11" s="1"/>
  <c r="AF860" i="11"/>
  <c r="AG860" i="11" s="1"/>
  <c r="AF947" i="11"/>
  <c r="AG947" i="11" s="1"/>
  <c r="AO947" i="11" s="1"/>
  <c r="AF906" i="11"/>
  <c r="AG906" i="11" s="1"/>
  <c r="AF871" i="11"/>
  <c r="AG871" i="11" s="1"/>
  <c r="AF878" i="11"/>
  <c r="AG878" i="11" s="1"/>
  <c r="AF896" i="11"/>
  <c r="AG896" i="11" s="1"/>
  <c r="AF909" i="11"/>
  <c r="AG909" i="11" s="1"/>
  <c r="AF853" i="11"/>
  <c r="AG853" i="11" s="1"/>
  <c r="AF929" i="11"/>
  <c r="AG929" i="11" s="1"/>
  <c r="AF874" i="11"/>
  <c r="AG874" i="11" s="1"/>
  <c r="AF850" i="11"/>
  <c r="AG850" i="11" s="1"/>
  <c r="AF908" i="11"/>
  <c r="AG908" i="11" s="1"/>
  <c r="AF863" i="11"/>
  <c r="AG863" i="11" s="1"/>
  <c r="AO863" i="11" s="1"/>
  <c r="AF936" i="11"/>
  <c r="AG936" i="11" s="1"/>
  <c r="AO936" i="11" s="1"/>
  <c r="AF876" i="11"/>
  <c r="AG876" i="11" s="1"/>
  <c r="AF911" i="11"/>
  <c r="AG911" i="11" s="1"/>
  <c r="AF920" i="11"/>
  <c r="AG920" i="11" s="1"/>
  <c r="AO920" i="11" s="1"/>
  <c r="AF882" i="11"/>
  <c r="AG882" i="11" s="1"/>
  <c r="AF877" i="11"/>
  <c r="AG877" i="11" s="1"/>
  <c r="AF946" i="11"/>
  <c r="AG946" i="11" s="1"/>
  <c r="AF887" i="11"/>
  <c r="AG887" i="11" s="1"/>
  <c r="AF893" i="11"/>
  <c r="AG893" i="11" s="1"/>
  <c r="AF915" i="11"/>
  <c r="AG915" i="11" s="1"/>
  <c r="AO915" i="11" s="1"/>
  <c r="AF867" i="11"/>
  <c r="AG867" i="11" s="1"/>
  <c r="AO867" i="11" s="1"/>
  <c r="AF942" i="11"/>
  <c r="AG942" i="11" s="1"/>
  <c r="AF849" i="11"/>
  <c r="AG849" i="11" s="1"/>
  <c r="AO849" i="11" s="1"/>
  <c r="AF845" i="11"/>
  <c r="AG845" i="11" s="1"/>
  <c r="AF926" i="11"/>
  <c r="AG926" i="11" s="1"/>
  <c r="AF866" i="11"/>
  <c r="AG866" i="11" s="1"/>
  <c r="AF905" i="11"/>
  <c r="AG905" i="11" s="1"/>
  <c r="AF917" i="11"/>
  <c r="AG917" i="11" s="1"/>
  <c r="AF910" i="11"/>
  <c r="AG910" i="11" s="1"/>
  <c r="AF937" i="11"/>
  <c r="AG937" i="11" s="1"/>
  <c r="AF846" i="11"/>
  <c r="AG846" i="11" s="1"/>
  <c r="AF862" i="11"/>
  <c r="AG862" i="11" s="1"/>
  <c r="AF888" i="11"/>
  <c r="AG888" i="11" s="1"/>
  <c r="AF933" i="11"/>
  <c r="AG933" i="11" s="1"/>
  <c r="AF886" i="11"/>
  <c r="AG886" i="11" s="1"/>
  <c r="AO886" i="11" s="1"/>
  <c r="AF898" i="11"/>
  <c r="AG898" i="11" s="1"/>
  <c r="AF940" i="11"/>
  <c r="AG940" i="11" s="1"/>
  <c r="AO940" i="11" s="1"/>
  <c r="AF900" i="11"/>
  <c r="AG900" i="11" s="1"/>
  <c r="AO900" i="11" s="1"/>
  <c r="AF939" i="11"/>
  <c r="AG939" i="11" s="1"/>
  <c r="AO939" i="11" s="1"/>
  <c r="AF903" i="11"/>
  <c r="AG903" i="11" s="1"/>
  <c r="AF921" i="11"/>
  <c r="AG921" i="11" s="1"/>
  <c r="AF875" i="11"/>
  <c r="AG875" i="11" s="1"/>
  <c r="AF943" i="11"/>
  <c r="AG943" i="11" s="1"/>
  <c r="AF858" i="11"/>
  <c r="AG858" i="11" s="1"/>
  <c r="AF932" i="11"/>
  <c r="AG932" i="11" s="1"/>
  <c r="AF861" i="11"/>
  <c r="AG861" i="11" s="1"/>
  <c r="AF901" i="11"/>
  <c r="AG901" i="11" s="1"/>
  <c r="AO901" i="11" s="1"/>
  <c r="AF889" i="11"/>
  <c r="AG889" i="11" s="1"/>
  <c r="AF935" i="11"/>
  <c r="AG935" i="11" s="1"/>
  <c r="AO935" i="11" s="1"/>
  <c r="AF912" i="11"/>
  <c r="AG912" i="11" s="1"/>
  <c r="AF923" i="11"/>
  <c r="AG923" i="11" s="1"/>
  <c r="AO923" i="11" s="1"/>
  <c r="AF930" i="11"/>
  <c r="AG930" i="11" s="1"/>
  <c r="AF916" i="11"/>
  <c r="AG916" i="11" s="1"/>
  <c r="AF949" i="11"/>
  <c r="AG949" i="11" s="1"/>
  <c r="AO949" i="11" s="1"/>
  <c r="AF870" i="11"/>
  <c r="AG870" i="11" s="1"/>
  <c r="AF904" i="11"/>
  <c r="AG904" i="11" s="1"/>
  <c r="AF907" i="11"/>
  <c r="AG907" i="11" s="1"/>
  <c r="AF856" i="11"/>
  <c r="AG856" i="11" s="1"/>
  <c r="AF945" i="11"/>
  <c r="AG945" i="11" s="1"/>
  <c r="AO945" i="11" s="1"/>
  <c r="AF847" i="11"/>
  <c r="AG847" i="11" s="1"/>
  <c r="AF899" i="11"/>
  <c r="AG899" i="11" s="1"/>
  <c r="AF881" i="11"/>
  <c r="AG881" i="11" s="1"/>
  <c r="AF891" i="11"/>
  <c r="AG891" i="11" s="1"/>
  <c r="AF928" i="11"/>
  <c r="AG928" i="11" s="1"/>
  <c r="AF892" i="11"/>
  <c r="AG892" i="11" s="1"/>
  <c r="AF872" i="11"/>
  <c r="AG872" i="11" s="1"/>
  <c r="AF869" i="11"/>
  <c r="AG869" i="11" s="1"/>
  <c r="AF914" i="11"/>
  <c r="AG914" i="11" s="1"/>
  <c r="AF884" i="11"/>
  <c r="AG884" i="11" s="1"/>
  <c r="O200" i="54"/>
  <c r="AF880" i="11"/>
  <c r="AG880" i="11" s="1"/>
  <c r="AF924" i="11"/>
  <c r="AG924" i="11" s="1"/>
  <c r="AF855" i="11"/>
  <c r="AG855" i="11" s="1"/>
  <c r="AF851" i="11"/>
  <c r="AG851" i="11" s="1"/>
  <c r="AO851" i="11" s="1"/>
  <c r="AF913" i="11"/>
  <c r="AG913" i="11" s="1"/>
  <c r="AK2109" i="11"/>
  <c r="AL2109" i="11" s="1"/>
  <c r="AK565" i="11"/>
  <c r="AL565" i="11" s="1"/>
  <c r="AI3013" i="11"/>
  <c r="AJ3013" i="11" s="1"/>
  <c r="P152" i="54"/>
  <c r="AK62" i="11"/>
  <c r="AL62" i="11" s="1"/>
  <c r="O258" i="54"/>
  <c r="AI1570" i="11"/>
  <c r="AJ1570" i="11" s="1"/>
  <c r="AF3570" i="11"/>
  <c r="AG3570" i="11" s="1"/>
  <c r="AO3570" i="11" s="1"/>
  <c r="Q151" i="54"/>
  <c r="AI29" i="11"/>
  <c r="AJ29" i="11" s="1"/>
  <c r="AK3487" i="11"/>
  <c r="AL3487" i="11" s="1"/>
  <c r="AD2232" i="11"/>
  <c r="AE2232" i="11" s="1"/>
  <c r="AN2232" i="11" s="1"/>
  <c r="AF1460" i="11"/>
  <c r="AG1460" i="11" s="1"/>
  <c r="AK2186" i="11"/>
  <c r="AL2186" i="11" s="1"/>
  <c r="AK478" i="11"/>
  <c r="AL478" i="11" s="1"/>
  <c r="AK3041" i="11"/>
  <c r="AL3041" i="11" s="1"/>
  <c r="AK3026" i="11"/>
  <c r="AL3026" i="11" s="1"/>
  <c r="AK3024" i="11"/>
  <c r="AL3024" i="11" s="1"/>
  <c r="AK3044" i="11"/>
  <c r="AL3044" i="11" s="1"/>
  <c r="AK2980" i="11"/>
  <c r="AL2980" i="11" s="1"/>
  <c r="AK2991" i="11"/>
  <c r="AL2991" i="11" s="1"/>
  <c r="AK2995" i="11"/>
  <c r="AL2995" i="11" s="1"/>
  <c r="AK2994" i="11"/>
  <c r="AL2994" i="11" s="1"/>
  <c r="AK3000" i="11"/>
  <c r="AL3000" i="11" s="1"/>
  <c r="AK3019" i="11"/>
  <c r="AL3019" i="11" s="1"/>
  <c r="AK3045" i="11"/>
  <c r="AL3045" i="11" s="1"/>
  <c r="AK3011" i="11"/>
  <c r="AL3011" i="11" s="1"/>
  <c r="AK3018" i="11"/>
  <c r="AL3018" i="11" s="1"/>
  <c r="AK3031" i="11"/>
  <c r="AL3031" i="11" s="1"/>
  <c r="AK2978" i="11"/>
  <c r="AL2978" i="11" s="1"/>
  <c r="AK3002" i="11"/>
  <c r="AL3002" i="11" s="1"/>
  <c r="AK3046" i="11"/>
  <c r="AL3046" i="11" s="1"/>
  <c r="AK2993" i="11"/>
  <c r="AL2993" i="11" s="1"/>
  <c r="AK2982" i="11"/>
  <c r="AL2982" i="11" s="1"/>
  <c r="AK2958" i="11"/>
  <c r="AL2958" i="11" s="1"/>
  <c r="AK2988" i="11"/>
  <c r="AL2988" i="11" s="1"/>
  <c r="AK2961" i="11"/>
  <c r="AL2961" i="11" s="1"/>
  <c r="AK3048" i="11"/>
  <c r="AL3048" i="11" s="1"/>
  <c r="AK3001" i="11"/>
  <c r="AL3001" i="11" s="1"/>
  <c r="AK3027" i="11"/>
  <c r="AL3027" i="11" s="1"/>
  <c r="AK3003" i="11"/>
  <c r="AL3003" i="11" s="1"/>
  <c r="AK2992" i="11"/>
  <c r="AL2992" i="11" s="1"/>
  <c r="AK3015" i="11"/>
  <c r="AL3015" i="11" s="1"/>
  <c r="AK2968" i="11"/>
  <c r="AL2968" i="11" s="1"/>
  <c r="AK2974" i="11"/>
  <c r="AL2974" i="11" s="1"/>
  <c r="AK3029" i="11"/>
  <c r="AL3029" i="11" s="1"/>
  <c r="AK3030" i="11"/>
  <c r="AL3030" i="11" s="1"/>
  <c r="AK2955" i="11"/>
  <c r="AL2955" i="11" s="1"/>
  <c r="AK3008" i="11"/>
  <c r="AL3008" i="11" s="1"/>
  <c r="AK2971" i="11"/>
  <c r="AL2971" i="11" s="1"/>
  <c r="AK2964" i="11"/>
  <c r="AL2964" i="11" s="1"/>
  <c r="AK3032" i="11"/>
  <c r="AL3032" i="11" s="1"/>
  <c r="AK2952" i="11"/>
  <c r="AL2952" i="11" s="1"/>
  <c r="AK2972" i="11"/>
  <c r="AL2972" i="11" s="1"/>
  <c r="AK3017" i="11"/>
  <c r="AL3017" i="11" s="1"/>
  <c r="AK2979" i="11"/>
  <c r="AL2979" i="11" s="1"/>
  <c r="AK2956" i="11"/>
  <c r="AL2956" i="11" s="1"/>
  <c r="AK2966" i="11"/>
  <c r="AL2966" i="11" s="1"/>
  <c r="AK2975" i="11"/>
  <c r="AL2975" i="11" s="1"/>
  <c r="AK2998" i="11"/>
  <c r="AL2998" i="11" s="1"/>
  <c r="AK3004" i="11"/>
  <c r="AL3004" i="11" s="1"/>
  <c r="AK3033" i="11"/>
  <c r="AL3033" i="11" s="1"/>
  <c r="AK2977" i="11"/>
  <c r="AL2977" i="11" s="1"/>
  <c r="AK3007" i="11"/>
  <c r="AL3007" i="11" s="1"/>
  <c r="AK2990" i="11"/>
  <c r="AL2990" i="11" s="1"/>
  <c r="AK3023" i="11"/>
  <c r="AL3023" i="11" s="1"/>
  <c r="AK3034" i="11"/>
  <c r="AL3034" i="11" s="1"/>
  <c r="AK2948" i="11"/>
  <c r="AL2948" i="11" s="1"/>
  <c r="AK2981" i="11"/>
  <c r="AL2981" i="11" s="1"/>
  <c r="AK3005" i="11"/>
  <c r="AL3005" i="11" s="1"/>
  <c r="AK3038" i="11"/>
  <c r="AL3038" i="11" s="1"/>
  <c r="AK3021" i="11"/>
  <c r="AL3021" i="11" s="1"/>
  <c r="AK2985" i="11"/>
  <c r="AL2985" i="11" s="1"/>
  <c r="AK3014" i="11"/>
  <c r="AL3014" i="11" s="1"/>
  <c r="AK2987" i="11"/>
  <c r="AL2987" i="11" s="1"/>
  <c r="AK2962" i="11"/>
  <c r="AL2962" i="11" s="1"/>
  <c r="AK2986" i="11"/>
  <c r="AL2986" i="11" s="1"/>
  <c r="AK2997" i="11"/>
  <c r="AL2997" i="11" s="1"/>
  <c r="AK3012" i="11"/>
  <c r="AL3012" i="11" s="1"/>
  <c r="AK3020" i="11"/>
  <c r="AL3020" i="11" s="1"/>
  <c r="AK2965" i="11"/>
  <c r="AL2965" i="11" s="1"/>
  <c r="AK3043" i="11"/>
  <c r="AL3043" i="11" s="1"/>
  <c r="AK3042" i="11"/>
  <c r="AL3042" i="11" s="1"/>
  <c r="AK2950" i="11"/>
  <c r="AL2950" i="11" s="1"/>
  <c r="AK3010" i="11"/>
  <c r="AL3010" i="11" s="1"/>
  <c r="AK2957" i="11"/>
  <c r="AL2957" i="11" s="1"/>
  <c r="AK3049" i="11"/>
  <c r="AL3049" i="11" s="1"/>
  <c r="AK3009" i="11"/>
  <c r="AL3009" i="11" s="1"/>
  <c r="AK2983" i="11"/>
  <c r="AL2983" i="11" s="1"/>
  <c r="AK3028" i="11"/>
  <c r="AL3028" i="11" s="1"/>
  <c r="AK2976" i="11"/>
  <c r="AL2976" i="11" s="1"/>
  <c r="AK2967" i="11"/>
  <c r="AL2967" i="11" s="1"/>
  <c r="AK2996" i="11"/>
  <c r="AL2996" i="11" s="1"/>
  <c r="AK3047" i="11"/>
  <c r="AL3047" i="11" s="1"/>
  <c r="AK3036" i="11"/>
  <c r="AL3036" i="11" s="1"/>
  <c r="AK2984" i="11"/>
  <c r="AL2984" i="11" s="1"/>
  <c r="AK3013" i="11"/>
  <c r="AL3013" i="11" s="1"/>
  <c r="AK2949" i="11"/>
  <c r="AL2949" i="11" s="1"/>
  <c r="AK3037" i="11"/>
  <c r="AL3037" i="11" s="1"/>
  <c r="AK2999" i="11"/>
  <c r="AL2999" i="11" s="1"/>
  <c r="AK3022" i="11"/>
  <c r="AL3022" i="11" s="1"/>
  <c r="AK2973" i="11"/>
  <c r="AL2973" i="11" s="1"/>
  <c r="AK2951" i="11"/>
  <c r="AL2951" i="11" s="1"/>
  <c r="AK2969" i="11"/>
  <c r="AL2969" i="11" s="1"/>
  <c r="AK2946" i="11"/>
  <c r="AL2946" i="11" s="1"/>
  <c r="AK3016" i="11"/>
  <c r="AL3016" i="11" s="1"/>
  <c r="AK3039" i="11"/>
  <c r="AL3039" i="11" s="1"/>
  <c r="AK2945" i="11"/>
  <c r="AL2945" i="11" s="1"/>
  <c r="AK2959" i="11"/>
  <c r="AL2959" i="11" s="1"/>
  <c r="AK3040" i="11"/>
  <c r="AL3040" i="11" s="1"/>
  <c r="AF1712" i="11"/>
  <c r="AG1712" i="11" s="1"/>
  <c r="AD194" i="11"/>
  <c r="AE194" i="11" s="1"/>
  <c r="AK217" i="11"/>
  <c r="AL217" i="11" s="1"/>
  <c r="AF2697" i="11"/>
  <c r="AG2697" i="11" s="1"/>
  <c r="AI3123" i="11"/>
  <c r="AJ3123" i="11" s="1"/>
  <c r="AN3123" i="11" s="1"/>
  <c r="AD3602" i="11"/>
  <c r="AE3602" i="11" s="1"/>
  <c r="AN3602" i="11" s="1"/>
  <c r="AF203" i="11"/>
  <c r="AG203" i="11" s="1"/>
  <c r="AF2558" i="11"/>
  <c r="AG2558" i="11" s="1"/>
  <c r="AO2558" i="11" s="1"/>
  <c r="AD1005" i="11"/>
  <c r="AE1005" i="11" s="1"/>
  <c r="AI1547" i="11"/>
  <c r="AJ1547" i="11" s="1"/>
  <c r="AF2836" i="11"/>
  <c r="AG2836" i="11" s="1"/>
  <c r="AF773" i="11"/>
  <c r="AG773" i="11" s="1"/>
  <c r="AK520" i="11"/>
  <c r="AL520" i="11" s="1"/>
  <c r="AK1325" i="11"/>
  <c r="AL1325" i="11" s="1"/>
  <c r="AK2523" i="11"/>
  <c r="AL2523" i="11" s="1"/>
  <c r="AD113" i="11"/>
  <c r="AE113" i="11" s="1"/>
  <c r="AF3771" i="11"/>
  <c r="AG3771" i="11" s="1"/>
  <c r="AO3771" i="11" s="1"/>
  <c r="AK1262" i="11"/>
  <c r="AL1262" i="11" s="1"/>
  <c r="AD1550" i="11"/>
  <c r="AE1550" i="11" s="1"/>
  <c r="AK495" i="11"/>
  <c r="AL495" i="11" s="1"/>
  <c r="AK1093" i="11"/>
  <c r="AL1093" i="11" s="1"/>
  <c r="AI3784" i="11"/>
  <c r="AJ3784" i="11" s="1"/>
  <c r="AI690" i="11"/>
  <c r="AJ690" i="11" s="1"/>
  <c r="AI1515" i="11"/>
  <c r="AJ1515" i="11" s="1"/>
  <c r="AD2807" i="11"/>
  <c r="AE2807" i="11" s="1"/>
  <c r="AI3073" i="11"/>
  <c r="AJ3073" i="11" s="1"/>
  <c r="AI2975" i="11"/>
  <c r="AJ2975" i="11" s="1"/>
  <c r="AF2140" i="11"/>
  <c r="AG2140" i="11" s="1"/>
  <c r="AK2724" i="11"/>
  <c r="AL2724" i="11" s="1"/>
  <c r="AF3829" i="11"/>
  <c r="AG3829" i="11" s="1"/>
  <c r="AI538" i="11"/>
  <c r="AJ538" i="11" s="1"/>
  <c r="AF3679" i="11"/>
  <c r="AG3679" i="11" s="1"/>
  <c r="AO3679" i="11" s="1"/>
  <c r="AD3072" i="11"/>
  <c r="AE3072" i="11" s="1"/>
  <c r="AD2343" i="11"/>
  <c r="AE2343" i="11" s="1"/>
  <c r="AD3491" i="11"/>
  <c r="AE3491" i="11" s="1"/>
  <c r="AD758" i="11"/>
  <c r="AE758" i="11" s="1"/>
  <c r="AD517" i="11"/>
  <c r="AE517" i="11" s="1"/>
  <c r="AD2239" i="11"/>
  <c r="AE2239" i="11" s="1"/>
  <c r="AN2239" i="11" s="1"/>
  <c r="AD3772" i="11"/>
  <c r="AE3772" i="11" s="1"/>
  <c r="AD3524" i="11"/>
  <c r="AE3524" i="11" s="1"/>
  <c r="AK2261" i="11"/>
  <c r="AL2261" i="11" s="1"/>
  <c r="AD290" i="11"/>
  <c r="AE290" i="11" s="1"/>
  <c r="AN290" i="11" s="1"/>
  <c r="AF3844" i="11"/>
  <c r="AG3844" i="11" s="1"/>
  <c r="AF1373" i="11"/>
  <c r="AG1373" i="11" s="1"/>
  <c r="AD904" i="11"/>
  <c r="AE904" i="11" s="1"/>
  <c r="AF255" i="11"/>
  <c r="AG255" i="11" s="1"/>
  <c r="AD1475" i="11"/>
  <c r="AE1475" i="11" s="1"/>
  <c r="AN1475" i="11" s="1"/>
  <c r="AI3676" i="11"/>
  <c r="AJ3676" i="11" s="1"/>
  <c r="AK2248" i="11"/>
  <c r="AL2248" i="11" s="1"/>
  <c r="AK2603" i="11"/>
  <c r="AL2603" i="11" s="1"/>
  <c r="AF589" i="11"/>
  <c r="AG589" i="11" s="1"/>
  <c r="AK1939" i="11"/>
  <c r="AL1939" i="11" s="1"/>
  <c r="AF1343" i="11"/>
  <c r="AG1343" i="11" s="1"/>
  <c r="AI3359" i="11"/>
  <c r="AJ3359" i="11" s="1"/>
  <c r="AD2176" i="11"/>
  <c r="AE2176" i="11" s="1"/>
  <c r="AF218" i="11"/>
  <c r="AG218" i="11" s="1"/>
  <c r="AF2131" i="11"/>
  <c r="AG2131" i="11" s="1"/>
  <c r="AO2131" i="11" s="1"/>
  <c r="AF2940" i="11"/>
  <c r="AG2940" i="11" s="1"/>
  <c r="AO2940" i="11" s="1"/>
  <c r="AF3014" i="11"/>
  <c r="AG3014" i="11" s="1"/>
  <c r="AK2943" i="11"/>
  <c r="AL2943" i="11" s="1"/>
  <c r="AI2578" i="11"/>
  <c r="AJ2578" i="11" s="1"/>
  <c r="O178" i="54"/>
  <c r="AI3683" i="11"/>
  <c r="AJ3683" i="11" s="1"/>
  <c r="AD1845" i="11"/>
  <c r="AE1845" i="11" s="1"/>
  <c r="AN1845" i="11" s="1"/>
  <c r="AF3642" i="11"/>
  <c r="AG3642" i="11" s="1"/>
  <c r="AO3642" i="11" s="1"/>
  <c r="AF1219" i="11"/>
  <c r="AG1219" i="11" s="1"/>
  <c r="AO1219" i="11" s="1"/>
  <c r="AI3351" i="11"/>
  <c r="AJ3351" i="11" s="1"/>
  <c r="AI3363" i="11"/>
  <c r="AJ3363" i="11" s="1"/>
  <c r="AI302" i="11"/>
  <c r="AJ302" i="11" s="1"/>
  <c r="AF3862" i="11"/>
  <c r="AG3862" i="11" s="1"/>
  <c r="AD3801" i="11"/>
  <c r="AE3801" i="11" s="1"/>
  <c r="AK2211" i="11"/>
  <c r="AL2211" i="11" s="1"/>
  <c r="AD2354" i="11"/>
  <c r="AE2354" i="11" s="1"/>
  <c r="AK1811" i="11"/>
  <c r="AL1811" i="11" s="1"/>
  <c r="AF1353" i="11"/>
  <c r="AG1353" i="11" s="1"/>
  <c r="AI2604" i="11"/>
  <c r="AJ2604" i="11" s="1"/>
  <c r="AI869" i="11"/>
  <c r="AJ869" i="11" s="1"/>
  <c r="AK3885" i="11"/>
  <c r="AL3885" i="11" s="1"/>
  <c r="AF2661" i="11"/>
  <c r="AG2661" i="11" s="1"/>
  <c r="AD3196" i="11"/>
  <c r="AE3196" i="11" s="1"/>
  <c r="AN3196" i="11" s="1"/>
  <c r="AF1409" i="11"/>
  <c r="AG1409" i="11" s="1"/>
  <c r="AF1421" i="11"/>
  <c r="AG1421" i="11" s="1"/>
  <c r="AD108" i="11"/>
  <c r="AE108" i="11" s="1"/>
  <c r="AF1391" i="11"/>
  <c r="AG1391" i="11" s="1"/>
  <c r="AD2184" i="11"/>
  <c r="AE2184" i="11" s="1"/>
  <c r="AF1894" i="11"/>
  <c r="AG1894" i="11" s="1"/>
  <c r="AF1042" i="11"/>
  <c r="AG1042" i="11" s="1"/>
  <c r="AO1042" i="11" s="1"/>
  <c r="AF3872" i="11"/>
  <c r="AG3872" i="11" s="1"/>
  <c r="AI2464" i="11"/>
  <c r="AJ2464" i="11" s="1"/>
  <c r="AF1534" i="11"/>
  <c r="AG1534" i="11" s="1"/>
  <c r="AK1549" i="11"/>
  <c r="AL1549" i="11" s="1"/>
  <c r="AK1191" i="11"/>
  <c r="AL1191" i="11" s="1"/>
  <c r="AF2201" i="11"/>
  <c r="AG2201" i="11" s="1"/>
  <c r="AO2201" i="11" s="1"/>
  <c r="AD3044" i="11"/>
  <c r="AE3044" i="11" s="1"/>
  <c r="AF2664" i="11"/>
  <c r="AG2664" i="11" s="1"/>
  <c r="AD1713" i="11"/>
  <c r="AE1713" i="11" s="1"/>
  <c r="AN1713" i="11" s="1"/>
  <c r="AI3006" i="11"/>
  <c r="AJ3006" i="11" s="1"/>
  <c r="AF759" i="11"/>
  <c r="AG759" i="11" s="1"/>
  <c r="AI1828" i="11"/>
  <c r="AJ1828" i="11" s="1"/>
  <c r="AF3108" i="11"/>
  <c r="AG3108" i="11" s="1"/>
  <c r="AO3108" i="11" s="1"/>
  <c r="AF560" i="11"/>
  <c r="AG560" i="11" s="1"/>
  <c r="AO560" i="11" s="1"/>
  <c r="AF2414" i="11"/>
  <c r="AG2414" i="11" s="1"/>
  <c r="AO2414" i="11" s="1"/>
  <c r="AK1508" i="11"/>
  <c r="AL1508" i="11" s="1"/>
  <c r="AK683" i="11"/>
  <c r="AL683" i="11" s="1"/>
  <c r="AF1442" i="11"/>
  <c r="AG1442" i="11" s="1"/>
  <c r="AO1442" i="11" s="1"/>
  <c r="AD907" i="11"/>
  <c r="AE907" i="11" s="1"/>
  <c r="AN907" i="11" s="1"/>
  <c r="AK2487" i="11"/>
  <c r="AL2487" i="11" s="1"/>
  <c r="AF852" i="11"/>
  <c r="AG852" i="11" s="1"/>
  <c r="AF1317" i="11"/>
  <c r="AG1317" i="11" s="1"/>
  <c r="AK1343" i="11"/>
  <c r="AL1343" i="11" s="1"/>
  <c r="AF868" i="11"/>
  <c r="AG868" i="11" s="1"/>
  <c r="AI1994" i="11"/>
  <c r="AJ1994" i="11" s="1"/>
  <c r="AK3514" i="11"/>
  <c r="AL3514" i="11" s="1"/>
  <c r="AK2954" i="11"/>
  <c r="AL2954" i="11" s="1"/>
  <c r="AF2872" i="11"/>
  <c r="AG2872" i="11" s="1"/>
  <c r="AO2872" i="11" s="1"/>
  <c r="AI511" i="11"/>
  <c r="AJ511" i="11" s="1"/>
  <c r="AK3057" i="11"/>
  <c r="AL3057" i="11" s="1"/>
  <c r="AO3057" i="11" s="1"/>
  <c r="AK111" i="11"/>
  <c r="AL111" i="11" s="1"/>
  <c r="AF3736" i="11"/>
  <c r="AG3736" i="11" s="1"/>
  <c r="AO3736" i="11" s="1"/>
  <c r="AK1033" i="11"/>
  <c r="AL1033" i="11" s="1"/>
  <c r="AD3838" i="11"/>
  <c r="AE3838" i="11" s="1"/>
  <c r="AD3604" i="11"/>
  <c r="AE3604" i="11" s="1"/>
  <c r="AK3640" i="11"/>
  <c r="AL3640" i="11" s="1"/>
  <c r="AK3063" i="11"/>
  <c r="AL3063" i="11" s="1"/>
  <c r="AF3563" i="11"/>
  <c r="AG3563" i="11" s="1"/>
  <c r="AI880" i="11"/>
  <c r="AJ880" i="11" s="1"/>
  <c r="AD718" i="11"/>
  <c r="AE718" i="11" s="1"/>
  <c r="AD1490" i="11"/>
  <c r="AE1490" i="11" s="1"/>
  <c r="AI3594" i="11"/>
  <c r="AJ3594" i="11" s="1"/>
  <c r="AI2297" i="11"/>
  <c r="AJ2297" i="11" s="1"/>
  <c r="AI3395" i="11"/>
  <c r="AJ3395" i="11" s="1"/>
  <c r="AD1525" i="11"/>
  <c r="AE1525" i="11" s="1"/>
  <c r="P94" i="54"/>
  <c r="AK438" i="11"/>
  <c r="AL438" i="11" s="1"/>
  <c r="AK484" i="11"/>
  <c r="AL484" i="11" s="1"/>
  <c r="AK490" i="11"/>
  <c r="AL490" i="11" s="1"/>
  <c r="AK468" i="11"/>
  <c r="AL468" i="11" s="1"/>
  <c r="AK461" i="11"/>
  <c r="AL461" i="11" s="1"/>
  <c r="AK492" i="11"/>
  <c r="AL492" i="11" s="1"/>
  <c r="AK529" i="11"/>
  <c r="AL529" i="11" s="1"/>
  <c r="AK441" i="11"/>
  <c r="AL441" i="11" s="1"/>
  <c r="AK454" i="11"/>
  <c r="AL454" i="11" s="1"/>
  <c r="AK431" i="11"/>
  <c r="AL431" i="11" s="1"/>
  <c r="AK426" i="11"/>
  <c r="AL426" i="11" s="1"/>
  <c r="AK501" i="11"/>
  <c r="AL501" i="11" s="1"/>
  <c r="AK475" i="11"/>
  <c r="AL475" i="11" s="1"/>
  <c r="AK522" i="11"/>
  <c r="AL522" i="11" s="1"/>
  <c r="AK445" i="11"/>
  <c r="AL445" i="11" s="1"/>
  <c r="AK433" i="11"/>
  <c r="AL433" i="11" s="1"/>
  <c r="AK449" i="11"/>
  <c r="AL449" i="11" s="1"/>
  <c r="AK472" i="11"/>
  <c r="AL472" i="11" s="1"/>
  <c r="AK479" i="11"/>
  <c r="AL479" i="11" s="1"/>
  <c r="AK428" i="11"/>
  <c r="AL428" i="11" s="1"/>
  <c r="AK477" i="11"/>
  <c r="AL477" i="11" s="1"/>
  <c r="AK485" i="11"/>
  <c r="AL485" i="11" s="1"/>
  <c r="AK502" i="11"/>
  <c r="AL502" i="11" s="1"/>
  <c r="AK446" i="11"/>
  <c r="AL446" i="11" s="1"/>
  <c r="AK509" i="11"/>
  <c r="AL509" i="11" s="1"/>
  <c r="AK463" i="11"/>
  <c r="AL463" i="11" s="1"/>
  <c r="AK515" i="11"/>
  <c r="AL515" i="11" s="1"/>
  <c r="AK519" i="11"/>
  <c r="AL519" i="11" s="1"/>
  <c r="AK451" i="11"/>
  <c r="AL451" i="11" s="1"/>
  <c r="AK525" i="11"/>
  <c r="AL525" i="11" s="1"/>
  <c r="AK444" i="11"/>
  <c r="AL444" i="11" s="1"/>
  <c r="AK473" i="11"/>
  <c r="AL473" i="11" s="1"/>
  <c r="AK504" i="11"/>
  <c r="AL504" i="11" s="1"/>
  <c r="AK489" i="11"/>
  <c r="AL489" i="11" s="1"/>
  <c r="AK512" i="11"/>
  <c r="AL512" i="11" s="1"/>
  <c r="AK466" i="11"/>
  <c r="AL466" i="11" s="1"/>
  <c r="AK481" i="11"/>
  <c r="AL481" i="11" s="1"/>
  <c r="AK471" i="11"/>
  <c r="AL471" i="11" s="1"/>
  <c r="AK458" i="11"/>
  <c r="AL458" i="11" s="1"/>
  <c r="AK521" i="11"/>
  <c r="AL521" i="11" s="1"/>
  <c r="AK513" i="11"/>
  <c r="AL513" i="11" s="1"/>
  <c r="AK527" i="11"/>
  <c r="AL527" i="11" s="1"/>
  <c r="AK523" i="11"/>
  <c r="AL523" i="11" s="1"/>
  <c r="AK476" i="11"/>
  <c r="AL476" i="11" s="1"/>
  <c r="AK452" i="11"/>
  <c r="AL452" i="11" s="1"/>
  <c r="AK462" i="11"/>
  <c r="AL462" i="11" s="1"/>
  <c r="AK425" i="11"/>
  <c r="AL425" i="11" s="1"/>
  <c r="AK517" i="11"/>
  <c r="AL517" i="11" s="1"/>
  <c r="AK436" i="11"/>
  <c r="AL436" i="11" s="1"/>
  <c r="AK488" i="11"/>
  <c r="AL488" i="11" s="1"/>
  <c r="AK459" i="11"/>
  <c r="AL459" i="11" s="1"/>
  <c r="AK453" i="11"/>
  <c r="AL453" i="11" s="1"/>
  <c r="AK487" i="11"/>
  <c r="AL487" i="11" s="1"/>
  <c r="AK500" i="11"/>
  <c r="AL500" i="11" s="1"/>
  <c r="AO500" i="11" s="1"/>
  <c r="AK511" i="11"/>
  <c r="AL511" i="11" s="1"/>
  <c r="AK430" i="11"/>
  <c r="AL430" i="11" s="1"/>
  <c r="AK467" i="11"/>
  <c r="AL467" i="11" s="1"/>
  <c r="AK457" i="11"/>
  <c r="AL457" i="11" s="1"/>
  <c r="AK493" i="11"/>
  <c r="AL493" i="11" s="1"/>
  <c r="AK510" i="11"/>
  <c r="AL510" i="11" s="1"/>
  <c r="AK508" i="11"/>
  <c r="AL508" i="11" s="1"/>
  <c r="AK518" i="11"/>
  <c r="AL518" i="11" s="1"/>
  <c r="AK437" i="11"/>
  <c r="AL437" i="11" s="1"/>
  <c r="AK516" i="11"/>
  <c r="AL516" i="11" s="1"/>
  <c r="AK464" i="11"/>
  <c r="AL464" i="11" s="1"/>
  <c r="AK440" i="11"/>
  <c r="AL440" i="11" s="1"/>
  <c r="AK505" i="11"/>
  <c r="AL505" i="11" s="1"/>
  <c r="AK497" i="11"/>
  <c r="AL497" i="11" s="1"/>
  <c r="AK448" i="11"/>
  <c r="AL448" i="11" s="1"/>
  <c r="AK524" i="11"/>
  <c r="AL524" i="11" s="1"/>
  <c r="AK506" i="11"/>
  <c r="AL506" i="11" s="1"/>
  <c r="AK439" i="11"/>
  <c r="AL439" i="11" s="1"/>
  <c r="AK429" i="11"/>
  <c r="AL429" i="11" s="1"/>
  <c r="AK498" i="11"/>
  <c r="AL498" i="11" s="1"/>
  <c r="AK514" i="11"/>
  <c r="AL514" i="11" s="1"/>
  <c r="AK469" i="11"/>
  <c r="AL469" i="11" s="1"/>
  <c r="AK483" i="11"/>
  <c r="AL483" i="11" s="1"/>
  <c r="AK442" i="11"/>
  <c r="AL442" i="11" s="1"/>
  <c r="AK450" i="11"/>
  <c r="AL450" i="11" s="1"/>
  <c r="AK443" i="11"/>
  <c r="AL443" i="11" s="1"/>
  <c r="AK460" i="11"/>
  <c r="AL460" i="11" s="1"/>
  <c r="AK456" i="11"/>
  <c r="AL456" i="11" s="1"/>
  <c r="AK503" i="11"/>
  <c r="AL503" i="11" s="1"/>
  <c r="AK455" i="11"/>
  <c r="AL455" i="11" s="1"/>
  <c r="AK427" i="11"/>
  <c r="AL427" i="11" s="1"/>
  <c r="AK494" i="11"/>
  <c r="AL494" i="11" s="1"/>
  <c r="AK499" i="11"/>
  <c r="AL499" i="11" s="1"/>
  <c r="AK435" i="11"/>
  <c r="AL435" i="11" s="1"/>
  <c r="AK482" i="11"/>
  <c r="AL482" i="11" s="1"/>
  <c r="AK526" i="11"/>
  <c r="AL526" i="11" s="1"/>
  <c r="AK496" i="11"/>
  <c r="AL496" i="11" s="1"/>
  <c r="AK432" i="11"/>
  <c r="AL432" i="11" s="1"/>
  <c r="AK465" i="11"/>
  <c r="AL465" i="11" s="1"/>
  <c r="AK474" i="11"/>
  <c r="AL474" i="11" s="1"/>
  <c r="AK470" i="11"/>
  <c r="AL470" i="11" s="1"/>
  <c r="AD2338" i="11"/>
  <c r="AE2338" i="11" s="1"/>
  <c r="AD2374" i="11"/>
  <c r="AE2374" i="11" s="1"/>
  <c r="AN2374" i="11" s="1"/>
  <c r="AD2386" i="11"/>
  <c r="AE2386" i="11" s="1"/>
  <c r="AD2404" i="11"/>
  <c r="AE2404" i="11" s="1"/>
  <c r="AD2390" i="11"/>
  <c r="AE2390" i="11" s="1"/>
  <c r="AD2328" i="11"/>
  <c r="AE2328" i="11" s="1"/>
  <c r="AD2359" i="11"/>
  <c r="AE2359" i="11" s="1"/>
  <c r="AN2359" i="11" s="1"/>
  <c r="AD2315" i="11"/>
  <c r="AE2315" i="11" s="1"/>
  <c r="AN2315" i="11" s="1"/>
  <c r="AD2382" i="11"/>
  <c r="AE2382" i="11" s="1"/>
  <c r="AN2382" i="11" s="1"/>
  <c r="AD2371" i="11"/>
  <c r="AE2371" i="11" s="1"/>
  <c r="AD2416" i="11"/>
  <c r="AE2416" i="11" s="1"/>
  <c r="AD2406" i="11"/>
  <c r="AE2406" i="11" s="1"/>
  <c r="AD2336" i="11"/>
  <c r="AE2336" i="11" s="1"/>
  <c r="AD2341" i="11"/>
  <c r="AE2341" i="11" s="1"/>
  <c r="AD2348" i="11"/>
  <c r="AE2348" i="11" s="1"/>
  <c r="AD2392" i="11"/>
  <c r="AE2392" i="11" s="1"/>
  <c r="AD2400" i="11"/>
  <c r="AE2400" i="11" s="1"/>
  <c r="AD2408" i="11"/>
  <c r="AE2408" i="11" s="1"/>
  <c r="AN2408" i="11" s="1"/>
  <c r="AD2320" i="11"/>
  <c r="AE2320" i="11" s="1"/>
  <c r="AD2411" i="11"/>
  <c r="AE2411" i="11" s="1"/>
  <c r="AN2411" i="11" s="1"/>
  <c r="AD2413" i="11"/>
  <c r="AE2413" i="11" s="1"/>
  <c r="AD2329" i="11"/>
  <c r="AE2329" i="11" s="1"/>
  <c r="AD2370" i="11"/>
  <c r="AE2370" i="11" s="1"/>
  <c r="AD2358" i="11"/>
  <c r="AE2358" i="11" s="1"/>
  <c r="AD2316" i="11"/>
  <c r="AE2316" i="11" s="1"/>
  <c r="AD2327" i="11"/>
  <c r="AE2327" i="11" s="1"/>
  <c r="AD2347" i="11"/>
  <c r="AE2347" i="11" s="1"/>
  <c r="AD2352" i="11"/>
  <c r="AE2352" i="11" s="1"/>
  <c r="AD2340" i="11"/>
  <c r="AE2340" i="11" s="1"/>
  <c r="AD2324" i="11"/>
  <c r="AE2324" i="11" s="1"/>
  <c r="AD2407" i="11"/>
  <c r="AE2407" i="11" s="1"/>
  <c r="AD2368" i="11"/>
  <c r="AE2368" i="11" s="1"/>
  <c r="AD2332" i="11"/>
  <c r="AE2332" i="11" s="1"/>
  <c r="AD2357" i="11"/>
  <c r="AE2357" i="11" s="1"/>
  <c r="AD2366" i="11"/>
  <c r="AE2366" i="11" s="1"/>
  <c r="AD2401" i="11"/>
  <c r="AE2401" i="11" s="1"/>
  <c r="AD2412" i="11"/>
  <c r="AE2412" i="11" s="1"/>
  <c r="AD2334" i="11"/>
  <c r="AE2334" i="11" s="1"/>
  <c r="AN2334" i="11" s="1"/>
  <c r="AD2418" i="11"/>
  <c r="AE2418" i="11" s="1"/>
  <c r="AD2409" i="11"/>
  <c r="AE2409" i="11" s="1"/>
  <c r="AD2393" i="11"/>
  <c r="AE2393" i="11" s="1"/>
  <c r="AD2346" i="11"/>
  <c r="AE2346" i="11" s="1"/>
  <c r="AD2325" i="11"/>
  <c r="AE2325" i="11" s="1"/>
  <c r="AD2395" i="11"/>
  <c r="AE2395" i="11" s="1"/>
  <c r="AD2387" i="11"/>
  <c r="AE2387" i="11" s="1"/>
  <c r="AD2415" i="11"/>
  <c r="AE2415" i="11" s="1"/>
  <c r="AD2342" i="11"/>
  <c r="AE2342" i="11" s="1"/>
  <c r="AD2331" i="11"/>
  <c r="AE2331" i="11" s="1"/>
  <c r="AD2398" i="11"/>
  <c r="AE2398" i="11" s="1"/>
  <c r="AD2322" i="11"/>
  <c r="AE2322" i="11" s="1"/>
  <c r="AD2410" i="11"/>
  <c r="AE2410" i="11" s="1"/>
  <c r="AD2385" i="11"/>
  <c r="AE2385" i="11" s="1"/>
  <c r="AD2323" i="11"/>
  <c r="AE2323" i="11" s="1"/>
  <c r="AD2372" i="11"/>
  <c r="AE2372" i="11" s="1"/>
  <c r="AD2364" i="11"/>
  <c r="AE2364" i="11" s="1"/>
  <c r="AD2417" i="11"/>
  <c r="AE2417" i="11" s="1"/>
  <c r="AD2375" i="11"/>
  <c r="AE2375" i="11" s="1"/>
  <c r="AD2318" i="11"/>
  <c r="AE2318" i="11" s="1"/>
  <c r="AD2362" i="11"/>
  <c r="AE2362" i="11" s="1"/>
  <c r="AD2377" i="11"/>
  <c r="AE2377" i="11" s="1"/>
  <c r="AD2379" i="11"/>
  <c r="AE2379" i="11" s="1"/>
  <c r="AD2403" i="11"/>
  <c r="AE2403" i="11" s="1"/>
  <c r="AD2394" i="11"/>
  <c r="AE2394" i="11" s="1"/>
  <c r="AN2394" i="11" s="1"/>
  <c r="AD2365" i="11"/>
  <c r="AE2365" i="11" s="1"/>
  <c r="AD2335" i="11"/>
  <c r="AE2335" i="11" s="1"/>
  <c r="AD2349" i="11"/>
  <c r="AE2349" i="11" s="1"/>
  <c r="AN2349" i="11" s="1"/>
  <c r="AD2376" i="11"/>
  <c r="AE2376" i="11" s="1"/>
  <c r="AD2383" i="11"/>
  <c r="AE2383" i="11" s="1"/>
  <c r="AD2356" i="11"/>
  <c r="AE2356" i="11" s="1"/>
  <c r="AD2378" i="11"/>
  <c r="AE2378" i="11" s="1"/>
  <c r="AD2339" i="11"/>
  <c r="AE2339" i="11" s="1"/>
  <c r="AN2339" i="11" s="1"/>
  <c r="AD2402" i="11"/>
  <c r="AE2402" i="11" s="1"/>
  <c r="AN2402" i="11" s="1"/>
  <c r="AD2381" i="11"/>
  <c r="AE2381" i="11" s="1"/>
  <c r="AD2326" i="11"/>
  <c r="AE2326" i="11" s="1"/>
  <c r="AD2333" i="11"/>
  <c r="AE2333" i="11" s="1"/>
  <c r="AD2396" i="11"/>
  <c r="AE2396" i="11" s="1"/>
  <c r="AD2384" i="11"/>
  <c r="AE2384" i="11" s="1"/>
  <c r="AD2405" i="11"/>
  <c r="AE2405" i="11" s="1"/>
  <c r="AD2388" i="11"/>
  <c r="AE2388" i="11" s="1"/>
  <c r="AD2360" i="11"/>
  <c r="AE2360" i="11" s="1"/>
  <c r="AD2380" i="11"/>
  <c r="AE2380" i="11" s="1"/>
  <c r="AN2380" i="11" s="1"/>
  <c r="AD2317" i="11"/>
  <c r="AE2317" i="11" s="1"/>
  <c r="AD2351" i="11"/>
  <c r="AE2351" i="11" s="1"/>
  <c r="AD2389" i="11"/>
  <c r="AE2389" i="11" s="1"/>
  <c r="AD2414" i="11"/>
  <c r="AE2414" i="11" s="1"/>
  <c r="AN2414" i="11" s="1"/>
  <c r="AD2367" i="11"/>
  <c r="AE2367" i="11" s="1"/>
  <c r="AD2399" i="11"/>
  <c r="AE2399" i="11" s="1"/>
  <c r="AD2391" i="11"/>
  <c r="AE2391" i="11" s="1"/>
  <c r="AD2330" i="11"/>
  <c r="AE2330" i="11" s="1"/>
  <c r="AD2337" i="11"/>
  <c r="AE2337" i="11" s="1"/>
  <c r="AD2419" i="11"/>
  <c r="AE2419" i="11" s="1"/>
  <c r="AD2361" i="11"/>
  <c r="AE2361" i="11" s="1"/>
  <c r="AD2397" i="11"/>
  <c r="AE2397" i="11" s="1"/>
  <c r="N274" i="54"/>
  <c r="AI2583" i="11"/>
  <c r="AJ2583" i="11" s="1"/>
  <c r="AF3370" i="11"/>
  <c r="AG3370" i="11" s="1"/>
  <c r="AO3370" i="11" s="1"/>
  <c r="AF3111" i="11"/>
  <c r="AG3111" i="11" s="1"/>
  <c r="AF2308" i="11"/>
  <c r="AG2308" i="11" s="1"/>
  <c r="AF2213" i="11"/>
  <c r="AG2213" i="11" s="1"/>
  <c r="AF2296" i="11"/>
  <c r="AG2296" i="11" s="1"/>
  <c r="AF2250" i="11"/>
  <c r="AG2250" i="11" s="1"/>
  <c r="AF2307" i="11"/>
  <c r="AG2307" i="11" s="1"/>
  <c r="AF2260" i="11"/>
  <c r="AG2260" i="11" s="1"/>
  <c r="AF2293" i="11"/>
  <c r="AG2293" i="11" s="1"/>
  <c r="AF2231" i="11"/>
  <c r="AG2231" i="11" s="1"/>
  <c r="AO2231" i="11" s="1"/>
  <c r="AF2252" i="11"/>
  <c r="AG2252" i="11" s="1"/>
  <c r="AF2235" i="11"/>
  <c r="AG2235" i="11" s="1"/>
  <c r="AF2256" i="11"/>
  <c r="AG2256" i="11" s="1"/>
  <c r="AF2266" i="11"/>
  <c r="AG2266" i="11" s="1"/>
  <c r="AF2267" i="11"/>
  <c r="AG2267" i="11" s="1"/>
  <c r="AF2254" i="11"/>
  <c r="AG2254" i="11" s="1"/>
  <c r="AF2281" i="11"/>
  <c r="AG2281" i="11" s="1"/>
  <c r="AF2302" i="11"/>
  <c r="AG2302" i="11" s="1"/>
  <c r="AF2298" i="11"/>
  <c r="AG2298" i="11" s="1"/>
  <c r="AF2314" i="11"/>
  <c r="AG2314" i="11" s="1"/>
  <c r="AF2220" i="11"/>
  <c r="AG2220" i="11" s="1"/>
  <c r="AF2249" i="11"/>
  <c r="AG2249" i="11" s="1"/>
  <c r="AF2225" i="11"/>
  <c r="AG2225" i="11" s="1"/>
  <c r="AF2292" i="11"/>
  <c r="AG2292" i="11" s="1"/>
  <c r="AF2221" i="11"/>
  <c r="AG2221" i="11" s="1"/>
  <c r="AF2294" i="11"/>
  <c r="AG2294" i="11" s="1"/>
  <c r="AF2309" i="11"/>
  <c r="AG2309" i="11" s="1"/>
  <c r="AO2309" i="11" s="1"/>
  <c r="AF2223" i="11"/>
  <c r="AG2223" i="11" s="1"/>
  <c r="AF2216" i="11"/>
  <c r="AG2216" i="11" s="1"/>
  <c r="AF2219" i="11"/>
  <c r="AG2219" i="11" s="1"/>
  <c r="AF2226" i="11"/>
  <c r="AG2226" i="11" s="1"/>
  <c r="AF2282" i="11"/>
  <c r="AG2282" i="11" s="1"/>
  <c r="AF2264" i="11"/>
  <c r="AG2264" i="11" s="1"/>
  <c r="AF2215" i="11"/>
  <c r="AG2215" i="11" s="1"/>
  <c r="AO2215" i="11" s="1"/>
  <c r="AF2312" i="11"/>
  <c r="AG2312" i="11" s="1"/>
  <c r="AF2286" i="11"/>
  <c r="AG2286" i="11" s="1"/>
  <c r="AF2261" i="11"/>
  <c r="AG2261" i="11" s="1"/>
  <c r="AF2212" i="11"/>
  <c r="AG2212" i="11" s="1"/>
  <c r="AF2241" i="11"/>
  <c r="AG2241" i="11" s="1"/>
  <c r="AF2245" i="11"/>
  <c r="AG2245" i="11" s="1"/>
  <c r="AO2245" i="11" s="1"/>
  <c r="AF2278" i="11"/>
  <c r="AG2278" i="11" s="1"/>
  <c r="AF2303" i="11"/>
  <c r="AG2303" i="11" s="1"/>
  <c r="AF2234" i="11"/>
  <c r="AG2234" i="11" s="1"/>
  <c r="AF2274" i="11"/>
  <c r="AG2274" i="11" s="1"/>
  <c r="AF2311" i="11"/>
  <c r="AG2311" i="11" s="1"/>
  <c r="AF2273" i="11"/>
  <c r="AG2273" i="11" s="1"/>
  <c r="AO2273" i="11" s="1"/>
  <c r="AF2310" i="11"/>
  <c r="AG2310" i="11" s="1"/>
  <c r="AF2233" i="11"/>
  <c r="AG2233" i="11" s="1"/>
  <c r="AF2284" i="11"/>
  <c r="AG2284" i="11" s="1"/>
  <c r="AO2284" i="11" s="1"/>
  <c r="AF2222" i="11"/>
  <c r="AG2222" i="11" s="1"/>
  <c r="AF2228" i="11"/>
  <c r="AG2228" i="11" s="1"/>
  <c r="AF2283" i="11"/>
  <c r="AG2283" i="11" s="1"/>
  <c r="AF2214" i="11"/>
  <c r="AG2214" i="11" s="1"/>
  <c r="AO2214" i="11" s="1"/>
  <c r="AF2210" i="11"/>
  <c r="AG2210" i="11" s="1"/>
  <c r="AF2258" i="11"/>
  <c r="AG2258" i="11" s="1"/>
  <c r="AF2253" i="11"/>
  <c r="AG2253" i="11" s="1"/>
  <c r="AF2259" i="11"/>
  <c r="AG2259" i="11" s="1"/>
  <c r="AO2259" i="11" s="1"/>
  <c r="AF2272" i="11"/>
  <c r="AG2272" i="11" s="1"/>
  <c r="AF2299" i="11"/>
  <c r="AG2299" i="11" s="1"/>
  <c r="O169" i="54"/>
  <c r="AF2247" i="11"/>
  <c r="AG2247" i="11" s="1"/>
  <c r="AF2285" i="11"/>
  <c r="AG2285" i="11" s="1"/>
  <c r="AF2211" i="11"/>
  <c r="AG2211" i="11" s="1"/>
  <c r="AF2217" i="11"/>
  <c r="AG2217" i="11" s="1"/>
  <c r="AF2270" i="11"/>
  <c r="AG2270" i="11" s="1"/>
  <c r="AF2275" i="11"/>
  <c r="AG2275" i="11" s="1"/>
  <c r="AF2238" i="11"/>
  <c r="AG2238" i="11" s="1"/>
  <c r="AF2277" i="11"/>
  <c r="AG2277" i="11" s="1"/>
  <c r="AF2297" i="11"/>
  <c r="AG2297" i="11" s="1"/>
  <c r="AF2244" i="11"/>
  <c r="AG2244" i="11" s="1"/>
  <c r="AO2244" i="11" s="1"/>
  <c r="AF2246" i="11"/>
  <c r="AG2246" i="11" s="1"/>
  <c r="AF2243" i="11"/>
  <c r="AG2243" i="11" s="1"/>
  <c r="AF2227" i="11"/>
  <c r="AG2227" i="11" s="1"/>
  <c r="AF2265" i="11"/>
  <c r="AG2265" i="11" s="1"/>
  <c r="AF2236" i="11"/>
  <c r="AG2236" i="11" s="1"/>
  <c r="AF2230" i="11"/>
  <c r="AG2230" i="11" s="1"/>
  <c r="AF2279" i="11"/>
  <c r="AG2279" i="11" s="1"/>
  <c r="AF2291" i="11"/>
  <c r="AG2291" i="11" s="1"/>
  <c r="AF2242" i="11"/>
  <c r="AG2242" i="11" s="1"/>
  <c r="AF2280" i="11"/>
  <c r="AG2280" i="11" s="1"/>
  <c r="AF2263" i="11"/>
  <c r="AG2263" i="11" s="1"/>
  <c r="AO2263" i="11" s="1"/>
  <c r="AF2288" i="11"/>
  <c r="AG2288" i="11" s="1"/>
  <c r="AF2262" i="11"/>
  <c r="AG2262" i="11" s="1"/>
  <c r="AF2232" i="11"/>
  <c r="AG2232" i="11" s="1"/>
  <c r="AF2224" i="11"/>
  <c r="AG2224" i="11" s="1"/>
  <c r="AF2240" i="11"/>
  <c r="AG2240" i="11" s="1"/>
  <c r="AF2271" i="11"/>
  <c r="AG2271" i="11" s="1"/>
  <c r="AF2313" i="11"/>
  <c r="AG2313" i="11" s="1"/>
  <c r="AO2313" i="11" s="1"/>
  <c r="AF2251" i="11"/>
  <c r="AG2251" i="11" s="1"/>
  <c r="AF2289" i="11"/>
  <c r="AG2289" i="11" s="1"/>
  <c r="AF2239" i="11"/>
  <c r="AG2239" i="11" s="1"/>
  <c r="AF2290" i="11"/>
  <c r="AG2290" i="11" s="1"/>
  <c r="AF2305" i="11"/>
  <c r="AG2305" i="11" s="1"/>
  <c r="AF2255" i="11"/>
  <c r="AG2255" i="11" s="1"/>
  <c r="AO2255" i="11" s="1"/>
  <c r="AF2276" i="11"/>
  <c r="AG2276" i="11" s="1"/>
  <c r="AO2276" i="11" s="1"/>
  <c r="AF2300" i="11"/>
  <c r="AG2300" i="11" s="1"/>
  <c r="AF2304" i="11"/>
  <c r="AG2304" i="11" s="1"/>
  <c r="AF2306" i="11"/>
  <c r="AG2306" i="11" s="1"/>
  <c r="AO2306" i="11" s="1"/>
  <c r="AF2257" i="11"/>
  <c r="AG2257" i="11" s="1"/>
  <c r="AF1321" i="11"/>
  <c r="AG1321" i="11" s="1"/>
  <c r="AF1313" i="11"/>
  <c r="AG1313" i="11" s="1"/>
  <c r="AF1324" i="11"/>
  <c r="AG1324" i="11" s="1"/>
  <c r="AF1355" i="11"/>
  <c r="AG1355" i="11" s="1"/>
  <c r="AF1333" i="11"/>
  <c r="AG1333" i="11" s="1"/>
  <c r="AF1277" i="11"/>
  <c r="AG1277" i="11" s="1"/>
  <c r="AF1290" i="11"/>
  <c r="AG1290" i="11" s="1"/>
  <c r="AO1290" i="11" s="1"/>
  <c r="AF1276" i="11"/>
  <c r="AG1276" i="11" s="1"/>
  <c r="AO1276" i="11" s="1"/>
  <c r="AF1354" i="11"/>
  <c r="AG1354" i="11" s="1"/>
  <c r="AO1354" i="11" s="1"/>
  <c r="AF1347" i="11"/>
  <c r="AG1347" i="11" s="1"/>
  <c r="AO1347" i="11" s="1"/>
  <c r="AF1362" i="11"/>
  <c r="AG1362" i="11" s="1"/>
  <c r="AF1295" i="11"/>
  <c r="AG1295" i="11" s="1"/>
  <c r="AF1360" i="11"/>
  <c r="AG1360" i="11" s="1"/>
  <c r="AO1360" i="11" s="1"/>
  <c r="AF1305" i="11"/>
  <c r="AG1305" i="11" s="1"/>
  <c r="AF1366" i="11"/>
  <c r="AG1366" i="11" s="1"/>
  <c r="AF1340" i="11"/>
  <c r="AG1340" i="11" s="1"/>
  <c r="AO1340" i="11" s="1"/>
  <c r="AF1331" i="11"/>
  <c r="AG1331" i="11" s="1"/>
  <c r="AF1300" i="11"/>
  <c r="AG1300" i="11" s="1"/>
  <c r="AF1323" i="11"/>
  <c r="AG1323" i="11" s="1"/>
  <c r="AO1323" i="11" s="1"/>
  <c r="AF1288" i="11"/>
  <c r="AG1288" i="11" s="1"/>
  <c r="AF1335" i="11"/>
  <c r="AG1335" i="11" s="1"/>
  <c r="AO1335" i="11" s="1"/>
  <c r="AF1312" i="11"/>
  <c r="AG1312" i="11" s="1"/>
  <c r="AF1292" i="11"/>
  <c r="AG1292" i="11" s="1"/>
  <c r="AF1346" i="11"/>
  <c r="AG1346" i="11" s="1"/>
  <c r="AF1299" i="11"/>
  <c r="AG1299" i="11" s="1"/>
  <c r="AF1311" i="11"/>
  <c r="AG1311" i="11" s="1"/>
  <c r="AO1311" i="11" s="1"/>
  <c r="AF1330" i="11"/>
  <c r="AG1330" i="11" s="1"/>
  <c r="AF1273" i="11"/>
  <c r="AG1273" i="11" s="1"/>
  <c r="AO1273" i="11" s="1"/>
  <c r="AF1364" i="11"/>
  <c r="AG1364" i="11" s="1"/>
  <c r="AF1287" i="11"/>
  <c r="AG1287" i="11" s="1"/>
  <c r="AO1287" i="11" s="1"/>
  <c r="AF1345" i="11"/>
  <c r="AG1345" i="11" s="1"/>
  <c r="AF1337" i="11"/>
  <c r="AG1337" i="11" s="1"/>
  <c r="AO1337" i="11" s="1"/>
  <c r="AF1272" i="11"/>
  <c r="AG1272" i="11" s="1"/>
  <c r="AO1272" i="11" s="1"/>
  <c r="AF1304" i="11"/>
  <c r="AG1304" i="11" s="1"/>
  <c r="AF1284" i="11"/>
  <c r="AG1284" i="11" s="1"/>
  <c r="AF1279" i="11"/>
  <c r="AG1279" i="11" s="1"/>
  <c r="AF1350" i="11"/>
  <c r="AG1350" i="11" s="1"/>
  <c r="AF1356" i="11"/>
  <c r="AG1356" i="11" s="1"/>
  <c r="AF1348" i="11"/>
  <c r="AG1348" i="11" s="1"/>
  <c r="AF1339" i="11"/>
  <c r="AG1339" i="11" s="1"/>
  <c r="AO1339" i="11" s="1"/>
  <c r="AF1334" i="11"/>
  <c r="AG1334" i="11" s="1"/>
  <c r="AF1296" i="11"/>
  <c r="AG1296" i="11" s="1"/>
  <c r="AO1296" i="11" s="1"/>
  <c r="AF1270" i="11"/>
  <c r="AG1270" i="11" s="1"/>
  <c r="AF1359" i="11"/>
  <c r="AG1359" i="11" s="1"/>
  <c r="AO1359" i="11" s="1"/>
  <c r="AF1352" i="11"/>
  <c r="AG1352" i="11" s="1"/>
  <c r="AF1306" i="11"/>
  <c r="AG1306" i="11" s="1"/>
  <c r="AO1306" i="11" s="1"/>
  <c r="AF1268" i="11"/>
  <c r="AG1268" i="11" s="1"/>
  <c r="AF1301" i="11"/>
  <c r="AG1301" i="11" s="1"/>
  <c r="AF1319" i="11"/>
  <c r="AG1319" i="11" s="1"/>
  <c r="AF1285" i="11"/>
  <c r="AG1285" i="11" s="1"/>
  <c r="AO1285" i="11" s="1"/>
  <c r="AF1294" i="11"/>
  <c r="AG1294" i="11" s="1"/>
  <c r="AO1294" i="11" s="1"/>
  <c r="AF1316" i="11"/>
  <c r="AG1316" i="11" s="1"/>
  <c r="AO1316" i="11" s="1"/>
  <c r="AF1326" i="11"/>
  <c r="AG1326" i="11" s="1"/>
  <c r="AF1329" i="11"/>
  <c r="AG1329" i="11" s="1"/>
  <c r="AF1332" i="11"/>
  <c r="AG1332" i="11" s="1"/>
  <c r="AO1332" i="11" s="1"/>
  <c r="AF1281" i="11"/>
  <c r="AG1281" i="11" s="1"/>
  <c r="AO1281" i="11" s="1"/>
  <c r="AF1309" i="11"/>
  <c r="AG1309" i="11" s="1"/>
  <c r="AF1327" i="11"/>
  <c r="AG1327" i="11" s="1"/>
  <c r="AF1325" i="11"/>
  <c r="AG1325" i="11" s="1"/>
  <c r="AF1357" i="11"/>
  <c r="AG1357" i="11" s="1"/>
  <c r="AF1265" i="11"/>
  <c r="AG1265" i="11" s="1"/>
  <c r="AF1310" i="11"/>
  <c r="AG1310" i="11" s="1"/>
  <c r="AO1310" i="11" s="1"/>
  <c r="AF1351" i="11"/>
  <c r="AG1351" i="11" s="1"/>
  <c r="AF1275" i="11"/>
  <c r="AG1275" i="11" s="1"/>
  <c r="AO1275" i="11" s="1"/>
  <c r="AF1291" i="11"/>
  <c r="AG1291" i="11" s="1"/>
  <c r="AF1338" i="11"/>
  <c r="AG1338" i="11" s="1"/>
  <c r="AF1315" i="11"/>
  <c r="AG1315" i="11" s="1"/>
  <c r="AO1315" i="11" s="1"/>
  <c r="AF1322" i="11"/>
  <c r="AG1322" i="11" s="1"/>
  <c r="AO1322" i="11" s="1"/>
  <c r="AF1328" i="11"/>
  <c r="AG1328" i="11" s="1"/>
  <c r="AO1328" i="11" s="1"/>
  <c r="AF1365" i="11"/>
  <c r="AG1365" i="11" s="1"/>
  <c r="AF1314" i="11"/>
  <c r="AG1314" i="11" s="1"/>
  <c r="AF1369" i="11"/>
  <c r="AG1369" i="11" s="1"/>
  <c r="AF1302" i="11"/>
  <c r="AG1302" i="11" s="1"/>
  <c r="AF1318" i="11"/>
  <c r="AG1318" i="11" s="1"/>
  <c r="AO1318" i="11" s="1"/>
  <c r="AF1303" i="11"/>
  <c r="AG1303" i="11" s="1"/>
  <c r="AO1303" i="11" s="1"/>
  <c r="AF1308" i="11"/>
  <c r="AG1308" i="11" s="1"/>
  <c r="AO1308" i="11" s="1"/>
  <c r="AF1341" i="11"/>
  <c r="AG1341" i="11" s="1"/>
  <c r="AF1266" i="11"/>
  <c r="AG1266" i="11" s="1"/>
  <c r="AO1266" i="11" s="1"/>
  <c r="AF1278" i="11"/>
  <c r="AG1278" i="11" s="1"/>
  <c r="AO1278" i="11" s="1"/>
  <c r="AF1274" i="11"/>
  <c r="AG1274" i="11" s="1"/>
  <c r="O177" i="54"/>
  <c r="AF1320" i="11"/>
  <c r="AG1320" i="11" s="1"/>
  <c r="AO1320" i="11" s="1"/>
  <c r="AF1367" i="11"/>
  <c r="AG1367" i="11" s="1"/>
  <c r="AF1297" i="11"/>
  <c r="AG1297" i="11" s="1"/>
  <c r="AF1342" i="11"/>
  <c r="AG1342" i="11" s="1"/>
  <c r="AF1349" i="11"/>
  <c r="AG1349" i="11" s="1"/>
  <c r="AO1349" i="11" s="1"/>
  <c r="AF1358" i="11"/>
  <c r="AG1358" i="11" s="1"/>
  <c r="AF1344" i="11"/>
  <c r="AG1344" i="11" s="1"/>
  <c r="AO1344" i="11" s="1"/>
  <c r="AF1289" i="11"/>
  <c r="AG1289" i="11" s="1"/>
  <c r="AF1283" i="11"/>
  <c r="AG1283" i="11" s="1"/>
  <c r="N254" i="54"/>
  <c r="AD2319" i="11"/>
  <c r="AE2319" i="11" s="1"/>
  <c r="AN2319" i="11" s="1"/>
  <c r="AK756" i="11"/>
  <c r="AL756" i="11" s="1"/>
  <c r="AK750" i="11"/>
  <c r="AL750" i="11" s="1"/>
  <c r="AK762" i="11"/>
  <c r="AL762" i="11" s="1"/>
  <c r="AK747" i="11"/>
  <c r="AL747" i="11" s="1"/>
  <c r="AK809" i="11"/>
  <c r="AL809" i="11" s="1"/>
  <c r="AK758" i="11"/>
  <c r="AL758" i="11" s="1"/>
  <c r="AK781" i="11"/>
  <c r="AL781" i="11" s="1"/>
  <c r="AK808" i="11"/>
  <c r="AL808" i="11" s="1"/>
  <c r="AK828" i="11"/>
  <c r="AL828" i="11" s="1"/>
  <c r="AK790" i="11"/>
  <c r="AL790" i="11" s="1"/>
  <c r="AK742" i="11"/>
  <c r="AL742" i="11" s="1"/>
  <c r="AK814" i="11"/>
  <c r="AL814" i="11" s="1"/>
  <c r="AK824" i="11"/>
  <c r="AL824" i="11" s="1"/>
  <c r="AK777" i="11"/>
  <c r="AL777" i="11" s="1"/>
  <c r="AK792" i="11"/>
  <c r="AL792" i="11" s="1"/>
  <c r="AK748" i="11"/>
  <c r="AL748" i="11" s="1"/>
  <c r="AK775" i="11"/>
  <c r="AL775" i="11" s="1"/>
  <c r="AK795" i="11"/>
  <c r="AL795" i="11" s="1"/>
  <c r="AK755" i="11"/>
  <c r="AL755" i="11" s="1"/>
  <c r="AK839" i="11"/>
  <c r="AL839" i="11" s="1"/>
  <c r="AK745" i="11"/>
  <c r="AL745" i="11" s="1"/>
  <c r="AK771" i="11"/>
  <c r="AL771" i="11" s="1"/>
  <c r="AK838" i="11"/>
  <c r="AL838" i="11" s="1"/>
  <c r="AK770" i="11"/>
  <c r="AL770" i="11" s="1"/>
  <c r="AK763" i="11"/>
  <c r="AL763" i="11" s="1"/>
  <c r="AK743" i="11"/>
  <c r="AL743" i="11" s="1"/>
  <c r="AK813" i="11"/>
  <c r="AL813" i="11" s="1"/>
  <c r="AK799" i="11"/>
  <c r="AL799" i="11" s="1"/>
  <c r="AK774" i="11"/>
  <c r="AL774" i="11" s="1"/>
  <c r="AK844" i="11"/>
  <c r="AL844" i="11" s="1"/>
  <c r="AK749" i="11"/>
  <c r="AL749" i="11" s="1"/>
  <c r="AK740" i="11"/>
  <c r="AL740" i="11" s="1"/>
  <c r="AK760" i="11"/>
  <c r="AL760" i="11" s="1"/>
  <c r="AK752" i="11"/>
  <c r="AL752" i="11" s="1"/>
  <c r="AK843" i="11"/>
  <c r="AL843" i="11" s="1"/>
  <c r="AK788" i="11"/>
  <c r="AL788" i="11" s="1"/>
  <c r="AK765" i="11"/>
  <c r="AL765" i="11" s="1"/>
  <c r="AK767" i="11"/>
  <c r="AL767" i="11" s="1"/>
  <c r="AK768" i="11"/>
  <c r="AL768" i="11" s="1"/>
  <c r="AK817" i="11"/>
  <c r="AL817" i="11" s="1"/>
  <c r="AK773" i="11"/>
  <c r="AL773" i="11" s="1"/>
  <c r="AK823" i="11"/>
  <c r="AL823" i="11" s="1"/>
  <c r="AK782" i="11"/>
  <c r="AL782" i="11" s="1"/>
  <c r="AK807" i="11"/>
  <c r="AL807" i="11" s="1"/>
  <c r="AK796" i="11"/>
  <c r="AL796" i="11" s="1"/>
  <c r="AK753" i="11"/>
  <c r="AL753" i="11" s="1"/>
  <c r="AK793" i="11"/>
  <c r="AL793" i="11" s="1"/>
  <c r="AK822" i="11"/>
  <c r="AL822" i="11" s="1"/>
  <c r="AK800" i="11"/>
  <c r="AL800" i="11" s="1"/>
  <c r="AK766" i="11"/>
  <c r="AL766" i="11" s="1"/>
  <c r="AK820" i="11"/>
  <c r="AL820" i="11" s="1"/>
  <c r="AK780" i="11"/>
  <c r="AL780" i="11" s="1"/>
  <c r="AK789" i="11"/>
  <c r="AL789" i="11" s="1"/>
  <c r="AK840" i="11"/>
  <c r="AL840" i="11" s="1"/>
  <c r="AK791" i="11"/>
  <c r="AL791" i="11" s="1"/>
  <c r="AK834" i="11"/>
  <c r="AL834" i="11" s="1"/>
  <c r="AK759" i="11"/>
  <c r="AL759" i="11" s="1"/>
  <c r="AK811" i="11"/>
  <c r="AL811" i="11" s="1"/>
  <c r="AK826" i="11"/>
  <c r="AL826" i="11" s="1"/>
  <c r="AK805" i="11"/>
  <c r="AL805" i="11" s="1"/>
  <c r="AK835" i="11"/>
  <c r="AL835" i="11" s="1"/>
  <c r="AK841" i="11"/>
  <c r="AL841" i="11" s="1"/>
  <c r="AK821" i="11"/>
  <c r="AL821" i="11" s="1"/>
  <c r="AK829" i="11"/>
  <c r="AL829" i="11" s="1"/>
  <c r="AK741" i="11"/>
  <c r="AL741" i="11" s="1"/>
  <c r="AK801" i="11"/>
  <c r="AL801" i="11" s="1"/>
  <c r="AK744" i="11"/>
  <c r="AL744" i="11" s="1"/>
  <c r="AK757" i="11"/>
  <c r="AL757" i="11" s="1"/>
  <c r="AK797" i="11"/>
  <c r="AL797" i="11" s="1"/>
  <c r="AK825" i="11"/>
  <c r="AL825" i="11" s="1"/>
  <c r="AK830" i="11"/>
  <c r="AL830" i="11" s="1"/>
  <c r="AK842" i="11"/>
  <c r="AL842" i="11" s="1"/>
  <c r="AK786" i="11"/>
  <c r="AL786" i="11" s="1"/>
  <c r="AK784" i="11"/>
  <c r="AL784" i="11" s="1"/>
  <c r="AK802" i="11"/>
  <c r="AL802" i="11" s="1"/>
  <c r="AK810" i="11"/>
  <c r="AL810" i="11" s="1"/>
  <c r="AK815" i="11"/>
  <c r="AL815" i="11" s="1"/>
  <c r="AK831" i="11"/>
  <c r="AL831" i="11" s="1"/>
  <c r="AK794" i="11"/>
  <c r="AL794" i="11" s="1"/>
  <c r="AK804" i="11"/>
  <c r="AL804" i="11" s="1"/>
  <c r="AK769" i="11"/>
  <c r="AL769" i="11" s="1"/>
  <c r="AK832" i="11"/>
  <c r="AL832" i="11" s="1"/>
  <c r="AK779" i="11"/>
  <c r="AL779" i="11" s="1"/>
  <c r="AK783" i="11"/>
  <c r="AL783" i="11" s="1"/>
  <c r="AK833" i="11"/>
  <c r="AL833" i="11" s="1"/>
  <c r="AK819" i="11"/>
  <c r="AL819" i="11" s="1"/>
  <c r="AK778" i="11"/>
  <c r="AL778" i="11" s="1"/>
  <c r="AK754" i="11"/>
  <c r="AL754" i="11" s="1"/>
  <c r="AK803" i="11"/>
  <c r="AL803" i="11" s="1"/>
  <c r="AK818" i="11"/>
  <c r="AL818" i="11" s="1"/>
  <c r="AK746" i="11"/>
  <c r="AL746" i="11" s="1"/>
  <c r="AK787" i="11"/>
  <c r="AL787" i="11" s="1"/>
  <c r="AK764" i="11"/>
  <c r="AL764" i="11" s="1"/>
  <c r="AK353" i="11"/>
  <c r="AL353" i="11" s="1"/>
  <c r="AK360" i="11"/>
  <c r="AL360" i="11" s="1"/>
  <c r="AK403" i="11"/>
  <c r="AL403" i="11" s="1"/>
  <c r="AK352" i="11"/>
  <c r="AL352" i="11" s="1"/>
  <c r="AK343" i="11"/>
  <c r="AL343" i="11" s="1"/>
  <c r="AK398" i="11"/>
  <c r="AL398" i="11" s="1"/>
  <c r="AK407" i="11"/>
  <c r="AL407" i="11" s="1"/>
  <c r="AK424" i="11"/>
  <c r="AL424" i="11" s="1"/>
  <c r="AK378" i="11"/>
  <c r="AL378" i="11" s="1"/>
  <c r="AK383" i="11"/>
  <c r="AL383" i="11" s="1"/>
  <c r="AK397" i="11"/>
  <c r="AL397" i="11" s="1"/>
  <c r="AK420" i="11"/>
  <c r="AL420" i="11" s="1"/>
  <c r="AK355" i="11"/>
  <c r="AL355" i="11" s="1"/>
  <c r="AK393" i="11"/>
  <c r="AL393" i="11" s="1"/>
  <c r="AK342" i="11"/>
  <c r="AL342" i="11" s="1"/>
  <c r="AK323" i="11"/>
  <c r="AL323" i="11" s="1"/>
  <c r="AK364" i="11"/>
  <c r="AL364" i="11" s="1"/>
  <c r="AK372" i="11"/>
  <c r="AL372" i="11" s="1"/>
  <c r="AK358" i="11"/>
  <c r="AL358" i="11" s="1"/>
  <c r="AK335" i="11"/>
  <c r="AL335" i="11" s="1"/>
  <c r="AK339" i="11"/>
  <c r="AL339" i="11" s="1"/>
  <c r="AK357" i="11"/>
  <c r="AL357" i="11" s="1"/>
  <c r="AK373" i="11"/>
  <c r="AL373" i="11" s="1"/>
  <c r="AK367" i="11"/>
  <c r="AL367" i="11" s="1"/>
  <c r="AK415" i="11"/>
  <c r="AL415" i="11" s="1"/>
  <c r="AK382" i="11"/>
  <c r="AL382" i="11" s="1"/>
  <c r="AK404" i="11"/>
  <c r="AL404" i="11" s="1"/>
  <c r="AK419" i="11"/>
  <c r="AL419" i="11" s="1"/>
  <c r="AK412" i="11"/>
  <c r="AL412" i="11" s="1"/>
  <c r="AK326" i="11"/>
  <c r="AL326" i="11" s="1"/>
  <c r="AK395" i="11"/>
  <c r="AL395" i="11" s="1"/>
  <c r="AK366" i="11"/>
  <c r="AL366" i="11" s="1"/>
  <c r="AK406" i="11"/>
  <c r="AL406" i="11" s="1"/>
  <c r="AK399" i="11"/>
  <c r="AL399" i="11" s="1"/>
  <c r="AK371" i="11"/>
  <c r="AL371" i="11" s="1"/>
  <c r="AK348" i="11"/>
  <c r="AL348" i="11" s="1"/>
  <c r="AK380" i="11"/>
  <c r="AL380" i="11" s="1"/>
  <c r="AK416" i="11"/>
  <c r="AL416" i="11" s="1"/>
  <c r="AK329" i="11"/>
  <c r="AL329" i="11" s="1"/>
  <c r="AK322" i="11"/>
  <c r="AL322" i="11" s="1"/>
  <c r="AK408" i="11"/>
  <c r="AL408" i="11" s="1"/>
  <c r="AK336" i="11"/>
  <c r="AL336" i="11" s="1"/>
  <c r="AK325" i="11"/>
  <c r="AL325" i="11" s="1"/>
  <c r="AK413" i="11"/>
  <c r="AL413" i="11" s="1"/>
  <c r="AK411" i="11"/>
  <c r="AL411" i="11" s="1"/>
  <c r="AK327" i="11"/>
  <c r="AL327" i="11" s="1"/>
  <c r="AK396" i="11"/>
  <c r="AL396" i="11" s="1"/>
  <c r="AK391" i="11"/>
  <c r="AL391" i="11" s="1"/>
  <c r="AK379" i="11"/>
  <c r="AL379" i="11" s="1"/>
  <c r="AK368" i="11"/>
  <c r="AL368" i="11" s="1"/>
  <c r="AK347" i="11"/>
  <c r="AL347" i="11" s="1"/>
  <c r="AK410" i="11"/>
  <c r="AL410" i="11" s="1"/>
  <c r="AK338" i="11"/>
  <c r="AL338" i="11" s="1"/>
  <c r="AK377" i="11"/>
  <c r="AL377" i="11" s="1"/>
  <c r="AK362" i="11"/>
  <c r="AL362" i="11" s="1"/>
  <c r="AK351" i="11"/>
  <c r="AL351" i="11" s="1"/>
  <c r="AK381" i="11"/>
  <c r="AL381" i="11" s="1"/>
  <c r="AK344" i="11"/>
  <c r="AL344" i="11" s="1"/>
  <c r="AK421" i="11"/>
  <c r="AL421" i="11" s="1"/>
  <c r="AK384" i="11"/>
  <c r="AL384" i="11" s="1"/>
  <c r="AK363" i="11"/>
  <c r="AL363" i="11" s="1"/>
  <c r="AK369" i="11"/>
  <c r="AL369" i="11" s="1"/>
  <c r="AK334" i="11"/>
  <c r="AL334" i="11" s="1"/>
  <c r="AK392" i="11"/>
  <c r="AL392" i="11" s="1"/>
  <c r="AK422" i="11"/>
  <c r="AL422" i="11" s="1"/>
  <c r="AK359" i="11"/>
  <c r="AL359" i="11" s="1"/>
  <c r="AK354" i="11"/>
  <c r="AL354" i="11" s="1"/>
  <c r="AK418" i="11"/>
  <c r="AL418" i="11" s="1"/>
  <c r="AK390" i="11"/>
  <c r="AL390" i="11" s="1"/>
  <c r="AK341" i="11"/>
  <c r="AL341" i="11" s="1"/>
  <c r="AK324" i="11"/>
  <c r="AL324" i="11" s="1"/>
  <c r="AK331" i="11"/>
  <c r="AL331" i="11" s="1"/>
  <c r="AK337" i="11"/>
  <c r="AL337" i="11" s="1"/>
  <c r="AK365" i="11"/>
  <c r="AL365" i="11" s="1"/>
  <c r="AK409" i="11"/>
  <c r="AL409" i="11" s="1"/>
  <c r="AK330" i="11"/>
  <c r="AL330" i="11" s="1"/>
  <c r="AK349" i="11"/>
  <c r="AL349" i="11" s="1"/>
  <c r="AK350" i="11"/>
  <c r="AL350" i="11" s="1"/>
  <c r="AK387" i="11"/>
  <c r="AL387" i="11" s="1"/>
  <c r="AK345" i="11"/>
  <c r="AL345" i="11" s="1"/>
  <c r="AK321" i="11"/>
  <c r="AL321" i="11" s="1"/>
  <c r="AK386" i="11"/>
  <c r="AL386" i="11" s="1"/>
  <c r="AK423" i="11"/>
  <c r="AL423" i="11" s="1"/>
  <c r="AK320" i="11"/>
  <c r="AL320" i="11" s="1"/>
  <c r="AK385" i="11"/>
  <c r="AL385" i="11" s="1"/>
  <c r="AK389" i="11"/>
  <c r="AL389" i="11" s="1"/>
  <c r="AK417" i="11"/>
  <c r="AL417" i="11" s="1"/>
  <c r="AK370" i="11"/>
  <c r="AL370" i="11" s="1"/>
  <c r="AK328" i="11"/>
  <c r="AL328" i="11" s="1"/>
  <c r="AK400" i="11"/>
  <c r="AL400" i="11" s="1"/>
  <c r="AK401" i="11"/>
  <c r="AL401" i="11" s="1"/>
  <c r="AK374" i="11"/>
  <c r="AL374" i="11" s="1"/>
  <c r="AK340" i="11"/>
  <c r="AL340" i="11" s="1"/>
  <c r="AK361" i="11"/>
  <c r="AL361" i="11" s="1"/>
  <c r="AK356" i="11"/>
  <c r="AL356" i="11" s="1"/>
  <c r="AK394" i="11"/>
  <c r="AL394" i="11" s="1"/>
  <c r="AK402" i="11"/>
  <c r="AL402" i="11" s="1"/>
  <c r="AK388" i="11"/>
  <c r="AL388" i="11" s="1"/>
  <c r="AK333" i="11"/>
  <c r="AL333" i="11" s="1"/>
  <c r="Q128" i="54"/>
  <c r="AI2801" i="11"/>
  <c r="AJ2801" i="11" s="1"/>
  <c r="AI2770" i="11"/>
  <c r="AJ2770" i="11" s="1"/>
  <c r="AI2741" i="11"/>
  <c r="AJ2741" i="11" s="1"/>
  <c r="AI2775" i="11"/>
  <c r="AJ2775" i="11" s="1"/>
  <c r="AI2791" i="11"/>
  <c r="AJ2791" i="11" s="1"/>
  <c r="AI2740" i="11"/>
  <c r="AJ2740" i="11" s="1"/>
  <c r="AI2782" i="11"/>
  <c r="AJ2782" i="11" s="1"/>
  <c r="AI2794" i="11"/>
  <c r="AJ2794" i="11" s="1"/>
  <c r="AI2786" i="11"/>
  <c r="AJ2786" i="11" s="1"/>
  <c r="AI2792" i="11"/>
  <c r="AJ2792" i="11" s="1"/>
  <c r="AI2813" i="11"/>
  <c r="AJ2813" i="11" s="1"/>
  <c r="AI2811" i="11"/>
  <c r="AJ2811" i="11" s="1"/>
  <c r="AI2788" i="11"/>
  <c r="AJ2788" i="11" s="1"/>
  <c r="AI2739" i="11"/>
  <c r="AJ2739" i="11" s="1"/>
  <c r="AI2826" i="11"/>
  <c r="AJ2826" i="11" s="1"/>
  <c r="AI2832" i="11"/>
  <c r="AJ2832" i="11" s="1"/>
  <c r="AI2772" i="11"/>
  <c r="AJ2772" i="11" s="1"/>
  <c r="AI2756" i="11"/>
  <c r="AJ2756" i="11" s="1"/>
  <c r="AI2776" i="11"/>
  <c r="AJ2776" i="11" s="1"/>
  <c r="AI2744" i="11"/>
  <c r="AJ2744" i="11" s="1"/>
  <c r="AI2837" i="11"/>
  <c r="AJ2837" i="11" s="1"/>
  <c r="AI2757" i="11"/>
  <c r="AJ2757" i="11" s="1"/>
  <c r="AI2828" i="11"/>
  <c r="AJ2828" i="11" s="1"/>
  <c r="AI2825" i="11"/>
  <c r="AJ2825" i="11" s="1"/>
  <c r="AI2836" i="11"/>
  <c r="AJ2836" i="11" s="1"/>
  <c r="AI2768" i="11"/>
  <c r="AJ2768" i="11" s="1"/>
  <c r="AI2800" i="11"/>
  <c r="AJ2800" i="11" s="1"/>
  <c r="AI2818" i="11"/>
  <c r="AJ2818" i="11" s="1"/>
  <c r="AI2839" i="11"/>
  <c r="AJ2839" i="11" s="1"/>
  <c r="AI2781" i="11"/>
  <c r="AJ2781" i="11" s="1"/>
  <c r="AI2802" i="11"/>
  <c r="AJ2802" i="11" s="1"/>
  <c r="AI2829" i="11"/>
  <c r="AJ2829" i="11" s="1"/>
  <c r="AI2831" i="11"/>
  <c r="AJ2831" i="11" s="1"/>
  <c r="AI2748" i="11"/>
  <c r="AJ2748" i="11" s="1"/>
  <c r="AI2784" i="11"/>
  <c r="AJ2784" i="11" s="1"/>
  <c r="AI2827" i="11"/>
  <c r="AJ2827" i="11" s="1"/>
  <c r="AI2819" i="11"/>
  <c r="AJ2819" i="11" s="1"/>
  <c r="AI2785" i="11"/>
  <c r="AJ2785" i="11" s="1"/>
  <c r="AI2760" i="11"/>
  <c r="AJ2760" i="11" s="1"/>
  <c r="AI2747" i="11"/>
  <c r="AJ2747" i="11" s="1"/>
  <c r="AI2810" i="11"/>
  <c r="AJ2810" i="11" s="1"/>
  <c r="AI2755" i="11"/>
  <c r="AJ2755" i="11" s="1"/>
  <c r="AI2807" i="11"/>
  <c r="AJ2807" i="11" s="1"/>
  <c r="AI2783" i="11"/>
  <c r="AJ2783" i="11" s="1"/>
  <c r="AI2778" i="11"/>
  <c r="AJ2778" i="11" s="1"/>
  <c r="AI2764" i="11"/>
  <c r="AJ2764" i="11" s="1"/>
  <c r="AI2820" i="11"/>
  <c r="AJ2820" i="11" s="1"/>
  <c r="AI2767" i="11"/>
  <c r="AJ2767" i="11" s="1"/>
  <c r="AI2815" i="11"/>
  <c r="AJ2815" i="11" s="1"/>
  <c r="AI2830" i="11"/>
  <c r="AJ2830" i="11" s="1"/>
  <c r="AI2833" i="11"/>
  <c r="AJ2833" i="11" s="1"/>
  <c r="AI2751" i="11"/>
  <c r="AJ2751" i="11" s="1"/>
  <c r="AI2835" i="11"/>
  <c r="AJ2835" i="11" s="1"/>
  <c r="AI2822" i="11"/>
  <c r="AJ2822" i="11" s="1"/>
  <c r="AI2817" i="11"/>
  <c r="AJ2817" i="11" s="1"/>
  <c r="AI2805" i="11"/>
  <c r="AJ2805" i="11" s="1"/>
  <c r="AI2812" i="11"/>
  <c r="AJ2812" i="11" s="1"/>
  <c r="AI2738" i="11"/>
  <c r="AJ2738" i="11" s="1"/>
  <c r="AI2753" i="11"/>
  <c r="AJ2753" i="11" s="1"/>
  <c r="AI2809" i="11"/>
  <c r="AJ2809" i="11" s="1"/>
  <c r="AI2769" i="11"/>
  <c r="AJ2769" i="11" s="1"/>
  <c r="AI2797" i="11"/>
  <c r="AJ2797" i="11" s="1"/>
  <c r="AI2789" i="11"/>
  <c r="AJ2789" i="11" s="1"/>
  <c r="AI2779" i="11"/>
  <c r="AJ2779" i="11" s="1"/>
  <c r="AI2749" i="11"/>
  <c r="AJ2749" i="11" s="1"/>
  <c r="AI2765" i="11"/>
  <c r="AJ2765" i="11" s="1"/>
  <c r="AI2752" i="11"/>
  <c r="AJ2752" i="11" s="1"/>
  <c r="AI2761" i="11"/>
  <c r="AJ2761" i="11" s="1"/>
  <c r="AI2736" i="11"/>
  <c r="AJ2736" i="11" s="1"/>
  <c r="AI2766" i="11"/>
  <c r="AJ2766" i="11" s="1"/>
  <c r="AI2834" i="11"/>
  <c r="AJ2834" i="11" s="1"/>
  <c r="AI2773" i="11"/>
  <c r="AJ2773" i="11" s="1"/>
  <c r="AI2804" i="11"/>
  <c r="AJ2804" i="11" s="1"/>
  <c r="AI2742" i="11"/>
  <c r="AJ2742" i="11" s="1"/>
  <c r="AI2735" i="11"/>
  <c r="AJ2735" i="11" s="1"/>
  <c r="AI2793" i="11"/>
  <c r="AJ2793" i="11" s="1"/>
  <c r="AI2754" i="11"/>
  <c r="AJ2754" i="11" s="1"/>
  <c r="AI2743" i="11"/>
  <c r="AJ2743" i="11" s="1"/>
  <c r="AI2799" i="11"/>
  <c r="AJ2799" i="11" s="1"/>
  <c r="AI2777" i="11"/>
  <c r="AJ2777" i="11" s="1"/>
  <c r="AI2816" i="11"/>
  <c r="AJ2816" i="11" s="1"/>
  <c r="AI2795" i="11"/>
  <c r="AJ2795" i="11" s="1"/>
  <c r="AI2762" i="11"/>
  <c r="AJ2762" i="11" s="1"/>
  <c r="AI2746" i="11"/>
  <c r="AJ2746" i="11" s="1"/>
  <c r="AI2745" i="11"/>
  <c r="AJ2745" i="11" s="1"/>
  <c r="AI2824" i="11"/>
  <c r="AJ2824" i="11" s="1"/>
  <c r="AI2774" i="11"/>
  <c r="AJ2774" i="11" s="1"/>
  <c r="AI2758" i="11"/>
  <c r="AJ2758" i="11" s="1"/>
  <c r="AI2780" i="11"/>
  <c r="AJ2780" i="11" s="1"/>
  <c r="AI2798" i="11"/>
  <c r="AJ2798" i="11" s="1"/>
  <c r="AI2838" i="11"/>
  <c r="AJ2838" i="11" s="1"/>
  <c r="AI2763" i="11"/>
  <c r="AJ2763" i="11" s="1"/>
  <c r="AI2759" i="11"/>
  <c r="AJ2759" i="11" s="1"/>
  <c r="AI2803" i="11"/>
  <c r="AJ2803" i="11" s="1"/>
  <c r="AI2806" i="11"/>
  <c r="AJ2806" i="11" s="1"/>
  <c r="AD3871" i="11"/>
  <c r="AE3871" i="11" s="1"/>
  <c r="AD2899" i="11"/>
  <c r="AE2899" i="11" s="1"/>
  <c r="AD2884" i="11"/>
  <c r="AE2884" i="11" s="1"/>
  <c r="AD2872" i="11"/>
  <c r="AE2872" i="11" s="1"/>
  <c r="AD2891" i="11"/>
  <c r="AE2891" i="11" s="1"/>
  <c r="AD2914" i="11"/>
  <c r="AE2914" i="11" s="1"/>
  <c r="AD2908" i="11"/>
  <c r="AE2908" i="11" s="1"/>
  <c r="AD2919" i="11"/>
  <c r="AE2919" i="11" s="1"/>
  <c r="AN2919" i="11" s="1"/>
  <c r="AD2874" i="11"/>
  <c r="AE2874" i="11" s="1"/>
  <c r="AD2853" i="11"/>
  <c r="AE2853" i="11" s="1"/>
  <c r="AD2897" i="11"/>
  <c r="AE2897" i="11" s="1"/>
  <c r="AD2878" i="11"/>
  <c r="AE2878" i="11" s="1"/>
  <c r="AN2878" i="11" s="1"/>
  <c r="AD2876" i="11"/>
  <c r="AE2876" i="11" s="1"/>
  <c r="AN2876" i="11" s="1"/>
  <c r="AD2840" i="11"/>
  <c r="AE2840" i="11" s="1"/>
  <c r="AN2840" i="11" s="1"/>
  <c r="AD2928" i="11"/>
  <c r="AE2928" i="11" s="1"/>
  <c r="AD2912" i="11"/>
  <c r="AE2912" i="11" s="1"/>
  <c r="AD2873" i="11"/>
  <c r="AE2873" i="11" s="1"/>
  <c r="AN2873" i="11" s="1"/>
  <c r="AD2909" i="11"/>
  <c r="AE2909" i="11" s="1"/>
  <c r="AD2942" i="11"/>
  <c r="AE2942" i="11" s="1"/>
  <c r="AD2854" i="11"/>
  <c r="AE2854" i="11" s="1"/>
  <c r="AN2854" i="11" s="1"/>
  <c r="AD2859" i="11"/>
  <c r="AE2859" i="11" s="1"/>
  <c r="AD2916" i="11"/>
  <c r="AE2916" i="11" s="1"/>
  <c r="AD2929" i="11"/>
  <c r="AE2929" i="11" s="1"/>
  <c r="AN2929" i="11" s="1"/>
  <c r="AD2903" i="11"/>
  <c r="AE2903" i="11" s="1"/>
  <c r="AN2903" i="11" s="1"/>
  <c r="AD2902" i="11"/>
  <c r="AE2902" i="11" s="1"/>
  <c r="AN2902" i="11" s="1"/>
  <c r="AD2906" i="11"/>
  <c r="AE2906" i="11" s="1"/>
  <c r="N175" i="54"/>
  <c r="AD2905" i="11"/>
  <c r="AE2905" i="11" s="1"/>
  <c r="AD2937" i="11"/>
  <c r="AE2937" i="11" s="1"/>
  <c r="AN2937" i="11" s="1"/>
  <c r="AD2915" i="11"/>
  <c r="AE2915" i="11" s="1"/>
  <c r="AD2847" i="11"/>
  <c r="AE2847" i="11" s="1"/>
  <c r="AD2943" i="11"/>
  <c r="AE2943" i="11" s="1"/>
  <c r="AN2943" i="11" s="1"/>
  <c r="AD2846" i="11"/>
  <c r="AE2846" i="11" s="1"/>
  <c r="AD2900" i="11"/>
  <c r="AE2900" i="11" s="1"/>
  <c r="AD2875" i="11"/>
  <c r="AE2875" i="11" s="1"/>
  <c r="AD2850" i="11"/>
  <c r="AE2850" i="11" s="1"/>
  <c r="AN2850" i="11" s="1"/>
  <c r="AD2894" i="11"/>
  <c r="AE2894" i="11" s="1"/>
  <c r="AD2918" i="11"/>
  <c r="AE2918" i="11" s="1"/>
  <c r="AD2923" i="11"/>
  <c r="AE2923" i="11" s="1"/>
  <c r="AN2923" i="11" s="1"/>
  <c r="AD2936" i="11"/>
  <c r="AE2936" i="11" s="1"/>
  <c r="AN2936" i="11" s="1"/>
  <c r="AD2922" i="11"/>
  <c r="AE2922" i="11" s="1"/>
  <c r="AD2851" i="11"/>
  <c r="AE2851" i="11" s="1"/>
  <c r="AN2851" i="11" s="1"/>
  <c r="AD2930" i="11"/>
  <c r="AE2930" i="11" s="1"/>
  <c r="AD2877" i="11"/>
  <c r="AE2877" i="11" s="1"/>
  <c r="AN2877" i="11" s="1"/>
  <c r="AD2925" i="11"/>
  <c r="AE2925" i="11" s="1"/>
  <c r="AD2939" i="11"/>
  <c r="AE2939" i="11" s="1"/>
  <c r="AD2944" i="11"/>
  <c r="AE2944" i="11" s="1"/>
  <c r="AN2944" i="11" s="1"/>
  <c r="AD2863" i="11"/>
  <c r="AE2863" i="11" s="1"/>
  <c r="AN2863" i="11" s="1"/>
  <c r="AD2921" i="11"/>
  <c r="AE2921" i="11" s="1"/>
  <c r="AN2921" i="11" s="1"/>
  <c r="AD2841" i="11"/>
  <c r="AE2841" i="11" s="1"/>
  <c r="AD2860" i="11"/>
  <c r="AE2860" i="11" s="1"/>
  <c r="AD2882" i="11"/>
  <c r="AE2882" i="11" s="1"/>
  <c r="AD2887" i="11"/>
  <c r="AE2887" i="11" s="1"/>
  <c r="AD2932" i="11"/>
  <c r="AE2932" i="11" s="1"/>
  <c r="AD2898" i="11"/>
  <c r="AE2898" i="11" s="1"/>
  <c r="AD2866" i="11"/>
  <c r="AE2866" i="11" s="1"/>
  <c r="AN2866" i="11" s="1"/>
  <c r="AD2924" i="11"/>
  <c r="AE2924" i="11" s="1"/>
  <c r="AD2864" i="11"/>
  <c r="AE2864" i="11" s="1"/>
  <c r="AD2910" i="11"/>
  <c r="AE2910" i="11" s="1"/>
  <c r="AD2913" i="11"/>
  <c r="AE2913" i="11" s="1"/>
  <c r="AN2913" i="11" s="1"/>
  <c r="AD2901" i="11"/>
  <c r="AE2901" i="11" s="1"/>
  <c r="AN2901" i="11" s="1"/>
  <c r="AD2861" i="11"/>
  <c r="AE2861" i="11" s="1"/>
  <c r="AN2861" i="11" s="1"/>
  <c r="AD2848" i="11"/>
  <c r="AE2848" i="11" s="1"/>
  <c r="AD2862" i="11"/>
  <c r="AE2862" i="11" s="1"/>
  <c r="AD2879" i="11"/>
  <c r="AE2879" i="11" s="1"/>
  <c r="AD2870" i="11"/>
  <c r="AE2870" i="11" s="1"/>
  <c r="AD2907" i="11"/>
  <c r="AE2907" i="11" s="1"/>
  <c r="AD2844" i="11"/>
  <c r="AE2844" i="11" s="1"/>
  <c r="AN2844" i="11" s="1"/>
  <c r="AD2911" i="11"/>
  <c r="AE2911" i="11" s="1"/>
  <c r="AD2938" i="11"/>
  <c r="AE2938" i="11" s="1"/>
  <c r="AD2852" i="11"/>
  <c r="AE2852" i="11" s="1"/>
  <c r="AN2852" i="11" s="1"/>
  <c r="AD2869" i="11"/>
  <c r="AE2869" i="11" s="1"/>
  <c r="AD2871" i="11"/>
  <c r="AE2871" i="11" s="1"/>
  <c r="AN2871" i="11" s="1"/>
  <c r="AD2896" i="11"/>
  <c r="AE2896" i="11" s="1"/>
  <c r="AD2843" i="11"/>
  <c r="AE2843" i="11" s="1"/>
  <c r="AD2890" i="11"/>
  <c r="AE2890" i="11" s="1"/>
  <c r="AD2893" i="11"/>
  <c r="AE2893" i="11" s="1"/>
  <c r="AD2927" i="11"/>
  <c r="AE2927" i="11" s="1"/>
  <c r="AD2885" i="11"/>
  <c r="AE2885" i="11" s="1"/>
  <c r="AD2934" i="11"/>
  <c r="AE2934" i="11" s="1"/>
  <c r="AN2934" i="11" s="1"/>
  <c r="AD2935" i="11"/>
  <c r="AE2935" i="11" s="1"/>
  <c r="AD2855" i="11"/>
  <c r="AE2855" i="11" s="1"/>
  <c r="AD2883" i="11"/>
  <c r="AE2883" i="11" s="1"/>
  <c r="AD2941" i="11"/>
  <c r="AE2941" i="11" s="1"/>
  <c r="AD2895" i="11"/>
  <c r="AE2895" i="11" s="1"/>
  <c r="AN2895" i="11" s="1"/>
  <c r="AD2892" i="11"/>
  <c r="AE2892" i="11" s="1"/>
  <c r="AD2880" i="11"/>
  <c r="AE2880" i="11" s="1"/>
  <c r="AD2868" i="11"/>
  <c r="AE2868" i="11" s="1"/>
  <c r="AD2845" i="11"/>
  <c r="AE2845" i="11" s="1"/>
  <c r="AD2917" i="11"/>
  <c r="AE2917" i="11" s="1"/>
  <c r="AN2917" i="11" s="1"/>
  <c r="AD2920" i="11"/>
  <c r="AE2920" i="11" s="1"/>
  <c r="AD2865" i="11"/>
  <c r="AE2865" i="11" s="1"/>
  <c r="AN2865" i="11" s="1"/>
  <c r="AD2926" i="11"/>
  <c r="AE2926" i="11" s="1"/>
  <c r="AD2849" i="11"/>
  <c r="AE2849" i="11" s="1"/>
  <c r="AD2858" i="11"/>
  <c r="AE2858" i="11" s="1"/>
  <c r="AN2858" i="11" s="1"/>
  <c r="AD2889" i="11"/>
  <c r="AE2889" i="11" s="1"/>
  <c r="AD2940" i="11"/>
  <c r="AE2940" i="11" s="1"/>
  <c r="AN2940" i="11" s="1"/>
  <c r="AD3448" i="11"/>
  <c r="AE3448" i="11" s="1"/>
  <c r="AD3424" i="11"/>
  <c r="AE3424" i="11" s="1"/>
  <c r="AD3387" i="11"/>
  <c r="AE3387" i="11" s="1"/>
  <c r="AD3410" i="11"/>
  <c r="AE3410" i="11" s="1"/>
  <c r="AD3408" i="11"/>
  <c r="AE3408" i="11" s="1"/>
  <c r="AN3408" i="11" s="1"/>
  <c r="AD3441" i="11"/>
  <c r="AE3441" i="11" s="1"/>
  <c r="AD3468" i="11"/>
  <c r="AE3468" i="11" s="1"/>
  <c r="AN3468" i="11" s="1"/>
  <c r="AD3429" i="11"/>
  <c r="AE3429" i="11" s="1"/>
  <c r="AD3417" i="11"/>
  <c r="AE3417" i="11" s="1"/>
  <c r="AN3417" i="11" s="1"/>
  <c r="AD3373" i="11"/>
  <c r="AE3373" i="11" s="1"/>
  <c r="AN3373" i="11" s="1"/>
  <c r="AD3386" i="11"/>
  <c r="AE3386" i="11" s="1"/>
  <c r="AN3386" i="11" s="1"/>
  <c r="AD3444" i="11"/>
  <c r="AE3444" i="11" s="1"/>
  <c r="AN3444" i="11" s="1"/>
  <c r="AD3464" i="11"/>
  <c r="AE3464" i="11" s="1"/>
  <c r="AD3439" i="11"/>
  <c r="AE3439" i="11" s="1"/>
  <c r="AD3391" i="11"/>
  <c r="AE3391" i="11" s="1"/>
  <c r="AD3409" i="11"/>
  <c r="AE3409" i="11" s="1"/>
  <c r="AD3465" i="11"/>
  <c r="AE3465" i="11" s="1"/>
  <c r="AN3465" i="11" s="1"/>
  <c r="AD3436" i="11"/>
  <c r="AE3436" i="11" s="1"/>
  <c r="AD3388" i="11"/>
  <c r="AE3388" i="11" s="1"/>
  <c r="AN3388" i="11" s="1"/>
  <c r="AD3369" i="11"/>
  <c r="AE3369" i="11" s="1"/>
  <c r="AD3440" i="11"/>
  <c r="AE3440" i="11" s="1"/>
  <c r="AN3440" i="11" s="1"/>
  <c r="AD3438" i="11"/>
  <c r="AE3438" i="11" s="1"/>
  <c r="AD3461" i="11"/>
  <c r="AE3461" i="11" s="1"/>
  <c r="AN3461" i="11" s="1"/>
  <c r="AD3455" i="11"/>
  <c r="AE3455" i="11" s="1"/>
  <c r="AD3396" i="11"/>
  <c r="AE3396" i="11" s="1"/>
  <c r="AD3433" i="11"/>
  <c r="AE3433" i="11" s="1"/>
  <c r="AD3432" i="11"/>
  <c r="AE3432" i="11" s="1"/>
  <c r="AD3447" i="11"/>
  <c r="AE3447" i="11" s="1"/>
  <c r="AD3466" i="11"/>
  <c r="AE3466" i="11" s="1"/>
  <c r="AN3466" i="11" s="1"/>
  <c r="AD3379" i="11"/>
  <c r="AE3379" i="11" s="1"/>
  <c r="AD3453" i="11"/>
  <c r="AE3453" i="11" s="1"/>
  <c r="AN3453" i="11" s="1"/>
  <c r="AD3435" i="11"/>
  <c r="AE3435" i="11" s="1"/>
  <c r="AD3422" i="11"/>
  <c r="AE3422" i="11" s="1"/>
  <c r="AD3467" i="11"/>
  <c r="AE3467" i="11" s="1"/>
  <c r="AN3467" i="11" s="1"/>
  <c r="AD3404" i="11"/>
  <c r="AE3404" i="11" s="1"/>
  <c r="AD3413" i="11"/>
  <c r="AE3413" i="11" s="1"/>
  <c r="AN3413" i="11" s="1"/>
  <c r="AD3394" i="11"/>
  <c r="AE3394" i="11" s="1"/>
  <c r="AD3378" i="11"/>
  <c r="AE3378" i="11" s="1"/>
  <c r="AD3366" i="11"/>
  <c r="AE3366" i="11" s="1"/>
  <c r="AD3420" i="11"/>
  <c r="AE3420" i="11" s="1"/>
  <c r="AN3420" i="11" s="1"/>
  <c r="AD3446" i="11"/>
  <c r="AE3446" i="11" s="1"/>
  <c r="AD3463" i="11"/>
  <c r="AE3463" i="11" s="1"/>
  <c r="AD3425" i="11"/>
  <c r="AE3425" i="11" s="1"/>
  <c r="AN3425" i="11" s="1"/>
  <c r="AD3399" i="11"/>
  <c r="AE3399" i="11" s="1"/>
  <c r="AD3402" i="11"/>
  <c r="AE3402" i="11" s="1"/>
  <c r="AD3437" i="11"/>
  <c r="AE3437" i="11" s="1"/>
  <c r="AN3437" i="11" s="1"/>
  <c r="AD3469" i="11"/>
  <c r="AE3469" i="11" s="1"/>
  <c r="AD3423" i="11"/>
  <c r="AE3423" i="11" s="1"/>
  <c r="AD3431" i="11"/>
  <c r="AE3431" i="11" s="1"/>
  <c r="AN3431" i="11" s="1"/>
  <c r="AD3389" i="11"/>
  <c r="AE3389" i="11" s="1"/>
  <c r="AD3418" i="11"/>
  <c r="AE3418" i="11" s="1"/>
  <c r="AD3406" i="11"/>
  <c r="AE3406" i="11" s="1"/>
  <c r="AD3381" i="11"/>
  <c r="AE3381" i="11" s="1"/>
  <c r="AN3381" i="11" s="1"/>
  <c r="AD3452" i="11"/>
  <c r="AE3452" i="11" s="1"/>
  <c r="AD3398" i="11"/>
  <c r="AE3398" i="11" s="1"/>
  <c r="AN3398" i="11" s="1"/>
  <c r="AD3462" i="11"/>
  <c r="AE3462" i="11" s="1"/>
  <c r="AD3449" i="11"/>
  <c r="AE3449" i="11" s="1"/>
  <c r="AD3428" i="11"/>
  <c r="AE3428" i="11" s="1"/>
  <c r="AN3428" i="11" s="1"/>
  <c r="AD3372" i="11"/>
  <c r="AE3372" i="11" s="1"/>
  <c r="AN3372" i="11" s="1"/>
  <c r="AD3430" i="11"/>
  <c r="AE3430" i="11" s="1"/>
  <c r="AD3459" i="11"/>
  <c r="AE3459" i="11" s="1"/>
  <c r="AD3397" i="11"/>
  <c r="AE3397" i="11" s="1"/>
  <c r="AD3434" i="11"/>
  <c r="AE3434" i="11" s="1"/>
  <c r="AD3382" i="11"/>
  <c r="AE3382" i="11" s="1"/>
  <c r="AD3451" i="11"/>
  <c r="AE3451" i="11" s="1"/>
  <c r="AD3405" i="11"/>
  <c r="AE3405" i="11" s="1"/>
  <c r="AD3403" i="11"/>
  <c r="AE3403" i="11" s="1"/>
  <c r="AD3395" i="11"/>
  <c r="AE3395" i="11" s="1"/>
  <c r="AD3445" i="11"/>
  <c r="AE3445" i="11" s="1"/>
  <c r="AD3414" i="11"/>
  <c r="AE3414" i="11" s="1"/>
  <c r="AD3385" i="11"/>
  <c r="AE3385" i="11" s="1"/>
  <c r="AN3385" i="11" s="1"/>
  <c r="AD3390" i="11"/>
  <c r="AE3390" i="11" s="1"/>
  <c r="AN3390" i="11" s="1"/>
  <c r="AD3450" i="11"/>
  <c r="AE3450" i="11" s="1"/>
  <c r="AD3375" i="11"/>
  <c r="AE3375" i="11" s="1"/>
  <c r="AN3375" i="11" s="1"/>
  <c r="AD3415" i="11"/>
  <c r="AE3415" i="11" s="1"/>
  <c r="AD3383" i="11"/>
  <c r="AE3383" i="11" s="1"/>
  <c r="AD3367" i="11"/>
  <c r="AE3367" i="11" s="1"/>
  <c r="AD3407" i="11"/>
  <c r="AE3407" i="11" s="1"/>
  <c r="AN3407" i="11" s="1"/>
  <c r="AD3376" i="11"/>
  <c r="AE3376" i="11" s="1"/>
  <c r="AN3376" i="11" s="1"/>
  <c r="AD3457" i="11"/>
  <c r="AE3457" i="11" s="1"/>
  <c r="AD3377" i="11"/>
  <c r="AE3377" i="11" s="1"/>
  <c r="AN3377" i="11" s="1"/>
  <c r="AD3384" i="11"/>
  <c r="AE3384" i="11" s="1"/>
  <c r="AN3384" i="11" s="1"/>
  <c r="AD3368" i="11"/>
  <c r="AE3368" i="11" s="1"/>
  <c r="AN3368" i="11" s="1"/>
  <c r="AD3454" i="11"/>
  <c r="AE3454" i="11" s="1"/>
  <c r="AN3454" i="11" s="1"/>
  <c r="AD3426" i="11"/>
  <c r="AE3426" i="11" s="1"/>
  <c r="AN3426" i="11" s="1"/>
  <c r="AD3427" i="11"/>
  <c r="AE3427" i="11" s="1"/>
  <c r="AD3416" i="11"/>
  <c r="AE3416" i="11" s="1"/>
  <c r="AD3412" i="11"/>
  <c r="AE3412" i="11" s="1"/>
  <c r="AD3400" i="11"/>
  <c r="AE3400" i="11" s="1"/>
  <c r="AN3400" i="11" s="1"/>
  <c r="AD3443" i="11"/>
  <c r="AE3443" i="11" s="1"/>
  <c r="AD3458" i="11"/>
  <c r="AE3458" i="11" s="1"/>
  <c r="AN3458" i="11" s="1"/>
  <c r="AD3456" i="11"/>
  <c r="AE3456" i="11" s="1"/>
  <c r="AD3370" i="11"/>
  <c r="AE3370" i="11" s="1"/>
  <c r="AD3371" i="11"/>
  <c r="AE3371" i="11" s="1"/>
  <c r="AN3371" i="11" s="1"/>
  <c r="AD3419" i="11"/>
  <c r="AE3419" i="11" s="1"/>
  <c r="AD3380" i="11"/>
  <c r="AE3380" i="11" s="1"/>
  <c r="AN3380" i="11" s="1"/>
  <c r="AD3401" i="11"/>
  <c r="AE3401" i="11" s="1"/>
  <c r="AN3401" i="11" s="1"/>
  <c r="AD3411" i="11"/>
  <c r="AE3411" i="11" s="1"/>
  <c r="AI1622" i="11"/>
  <c r="AJ1622" i="11" s="1"/>
  <c r="AI1584" i="11"/>
  <c r="AJ1584" i="11" s="1"/>
  <c r="AI1668" i="11"/>
  <c r="AJ1668" i="11" s="1"/>
  <c r="AI1664" i="11"/>
  <c r="AJ1664" i="11" s="1"/>
  <c r="AI1582" i="11"/>
  <c r="AJ1582" i="11" s="1"/>
  <c r="AI1621" i="11"/>
  <c r="AJ1621" i="11" s="1"/>
  <c r="AI1615" i="11"/>
  <c r="AJ1615" i="11" s="1"/>
  <c r="AI1669" i="11"/>
  <c r="AJ1669" i="11" s="1"/>
  <c r="AI1660" i="11"/>
  <c r="AJ1660" i="11" s="1"/>
  <c r="AI1614" i="11"/>
  <c r="AJ1614" i="11" s="1"/>
  <c r="AI1625" i="11"/>
  <c r="AJ1625" i="11" s="1"/>
  <c r="AI1640" i="11"/>
  <c r="AJ1640" i="11" s="1"/>
  <c r="AI1587" i="11"/>
  <c r="AJ1587" i="11" s="1"/>
  <c r="AI1610" i="11"/>
  <c r="AJ1610" i="11" s="1"/>
  <c r="AI1659" i="11"/>
  <c r="AJ1659" i="11" s="1"/>
  <c r="AI1619" i="11"/>
  <c r="AJ1619" i="11" s="1"/>
  <c r="AI1684" i="11"/>
  <c r="AJ1684" i="11" s="1"/>
  <c r="AI1583" i="11"/>
  <c r="AJ1583" i="11" s="1"/>
  <c r="AI1642" i="11"/>
  <c r="AJ1642" i="11" s="1"/>
  <c r="AI1588" i="11"/>
  <c r="AJ1588" i="11" s="1"/>
  <c r="AI1647" i="11"/>
  <c r="AJ1647" i="11" s="1"/>
  <c r="AI1596" i="11"/>
  <c r="AJ1596" i="11" s="1"/>
  <c r="AI1637" i="11"/>
  <c r="AJ1637" i="11" s="1"/>
  <c r="AI1599" i="11"/>
  <c r="AJ1599" i="11" s="1"/>
  <c r="AI1655" i="11"/>
  <c r="AJ1655" i="11" s="1"/>
  <c r="AI1674" i="11"/>
  <c r="AJ1674" i="11" s="1"/>
  <c r="AI1653" i="11"/>
  <c r="AJ1653" i="11" s="1"/>
  <c r="AI1630" i="11"/>
  <c r="AJ1630" i="11" s="1"/>
  <c r="AI1676" i="11"/>
  <c r="AJ1676" i="11" s="1"/>
  <c r="AI1629" i="11"/>
  <c r="AJ1629" i="11" s="1"/>
  <c r="AI1667" i="11"/>
  <c r="AJ1667" i="11" s="1"/>
  <c r="AI1604" i="11"/>
  <c r="AJ1604" i="11" s="1"/>
  <c r="AI1661" i="11"/>
  <c r="AJ1661" i="11" s="1"/>
  <c r="AI1631" i="11"/>
  <c r="AJ1631" i="11" s="1"/>
  <c r="AI1683" i="11"/>
  <c r="AJ1683" i="11" s="1"/>
  <c r="AI1605" i="11"/>
  <c r="AJ1605" i="11" s="1"/>
  <c r="AI1601" i="11"/>
  <c r="AJ1601" i="11" s="1"/>
  <c r="AI1597" i="11"/>
  <c r="AJ1597" i="11" s="1"/>
  <c r="AI1673" i="11"/>
  <c r="AJ1673" i="11" s="1"/>
  <c r="AI1627" i="11"/>
  <c r="AJ1627" i="11" s="1"/>
  <c r="AI1623" i="11"/>
  <c r="AJ1623" i="11" s="1"/>
  <c r="AI1628" i="11"/>
  <c r="AJ1628" i="11" s="1"/>
  <c r="AI1624" i="11"/>
  <c r="AJ1624" i="11" s="1"/>
  <c r="AI1651" i="11"/>
  <c r="AJ1651" i="11" s="1"/>
  <c r="AI1682" i="11"/>
  <c r="AJ1682" i="11" s="1"/>
  <c r="AI1590" i="11"/>
  <c r="AJ1590" i="11" s="1"/>
  <c r="AI1618" i="11"/>
  <c r="AJ1618" i="11" s="1"/>
  <c r="AI1662" i="11"/>
  <c r="AJ1662" i="11" s="1"/>
  <c r="AI1617" i="11"/>
  <c r="AJ1617" i="11" s="1"/>
  <c r="AI1677" i="11"/>
  <c r="AJ1677" i="11" s="1"/>
  <c r="AI1646" i="11"/>
  <c r="AJ1646" i="11" s="1"/>
  <c r="AI1633" i="11"/>
  <c r="AJ1633" i="11" s="1"/>
  <c r="AI1657" i="11"/>
  <c r="AJ1657" i="11" s="1"/>
  <c r="AI1645" i="11"/>
  <c r="AJ1645" i="11" s="1"/>
  <c r="AI1600" i="11"/>
  <c r="AJ1600" i="11" s="1"/>
  <c r="AI1641" i="11"/>
  <c r="AJ1641" i="11" s="1"/>
  <c r="AI1649" i="11"/>
  <c r="AJ1649" i="11" s="1"/>
  <c r="AI1666" i="11"/>
  <c r="AJ1666" i="11" s="1"/>
  <c r="AI1680" i="11"/>
  <c r="AJ1680" i="11" s="1"/>
  <c r="AI1663" i="11"/>
  <c r="AJ1663" i="11" s="1"/>
  <c r="AI1681" i="11"/>
  <c r="AJ1681" i="11" s="1"/>
  <c r="AI1665" i="11"/>
  <c r="AJ1665" i="11" s="1"/>
  <c r="AI1650" i="11"/>
  <c r="AJ1650" i="11" s="1"/>
  <c r="AI1603" i="11"/>
  <c r="AJ1603" i="11" s="1"/>
  <c r="AI1586" i="11"/>
  <c r="AJ1586" i="11" s="1"/>
  <c r="AI1643" i="11"/>
  <c r="AJ1643" i="11" s="1"/>
  <c r="AI1589" i="11"/>
  <c r="AJ1589" i="11" s="1"/>
  <c r="AI1580" i="11"/>
  <c r="AJ1580" i="11" s="1"/>
  <c r="AI1602" i="11"/>
  <c r="AJ1602" i="11" s="1"/>
  <c r="AI1606" i="11"/>
  <c r="AJ1606" i="11" s="1"/>
  <c r="AI1656" i="11"/>
  <c r="AJ1656" i="11" s="1"/>
  <c r="AI1609" i="11"/>
  <c r="AJ1609" i="11" s="1"/>
  <c r="AI1592" i="11"/>
  <c r="AJ1592" i="11" s="1"/>
  <c r="AI1634" i="11"/>
  <c r="AJ1634" i="11" s="1"/>
  <c r="AI1620" i="11"/>
  <c r="AJ1620" i="11" s="1"/>
  <c r="AI1654" i="11"/>
  <c r="AJ1654" i="11" s="1"/>
  <c r="AI1675" i="11"/>
  <c r="AJ1675" i="11" s="1"/>
  <c r="AI1652" i="11"/>
  <c r="AJ1652" i="11" s="1"/>
  <c r="AI1608" i="11"/>
  <c r="AJ1608" i="11" s="1"/>
  <c r="AI1658" i="11"/>
  <c r="AJ1658" i="11" s="1"/>
  <c r="AI1670" i="11"/>
  <c r="AJ1670" i="11" s="1"/>
  <c r="AI1638" i="11"/>
  <c r="AJ1638" i="11" s="1"/>
  <c r="AI1585" i="11"/>
  <c r="AJ1585" i="11" s="1"/>
  <c r="AI1678" i="11"/>
  <c r="AJ1678" i="11" s="1"/>
  <c r="AI1626" i="11"/>
  <c r="AJ1626" i="11" s="1"/>
  <c r="AI1636" i="11"/>
  <c r="AJ1636" i="11" s="1"/>
  <c r="AI1593" i="11"/>
  <c r="AJ1593" i="11" s="1"/>
  <c r="AI1679" i="11"/>
  <c r="AJ1679" i="11" s="1"/>
  <c r="AI1612" i="11"/>
  <c r="AJ1612" i="11" s="1"/>
  <c r="AI1671" i="11"/>
  <c r="AJ1671" i="11" s="1"/>
  <c r="AI1616" i="11"/>
  <c r="AJ1616" i="11" s="1"/>
  <c r="AI1611" i="11"/>
  <c r="AJ1611" i="11" s="1"/>
  <c r="AI1632" i="11"/>
  <c r="AJ1632" i="11" s="1"/>
  <c r="AI1598" i="11"/>
  <c r="AJ1598" i="11" s="1"/>
  <c r="AI1639" i="11"/>
  <c r="AJ1639" i="11" s="1"/>
  <c r="AI1581" i="11"/>
  <c r="AJ1581" i="11" s="1"/>
  <c r="AI1607" i="11"/>
  <c r="AJ1607" i="11" s="1"/>
  <c r="AI1591" i="11"/>
  <c r="AJ1591" i="11" s="1"/>
  <c r="AI1595" i="11"/>
  <c r="AJ1595" i="11" s="1"/>
  <c r="AI1648" i="11"/>
  <c r="AJ1648" i="11" s="1"/>
  <c r="Q146" i="54"/>
  <c r="AD3304" i="11"/>
  <c r="AE3304" i="11" s="1"/>
  <c r="AD3335" i="11"/>
  <c r="AE3335" i="11" s="1"/>
  <c r="AN3335" i="11" s="1"/>
  <c r="AD3288" i="11"/>
  <c r="AE3288" i="11" s="1"/>
  <c r="AD3275" i="11"/>
  <c r="AE3275" i="11" s="1"/>
  <c r="AD3303" i="11"/>
  <c r="AE3303" i="11" s="1"/>
  <c r="AD3361" i="11"/>
  <c r="AE3361" i="11" s="1"/>
  <c r="AD3274" i="11"/>
  <c r="AE3274" i="11" s="1"/>
  <c r="AD3351" i="11"/>
  <c r="AE3351" i="11" s="1"/>
  <c r="AD3353" i="11"/>
  <c r="AE3353" i="11" s="1"/>
  <c r="AD3329" i="11"/>
  <c r="AE3329" i="11" s="1"/>
  <c r="AD3334" i="11"/>
  <c r="AE3334" i="11" s="1"/>
  <c r="AD3330" i="11"/>
  <c r="AE3330" i="11" s="1"/>
  <c r="AD3266" i="11"/>
  <c r="AE3266" i="11" s="1"/>
  <c r="AD3265" i="11"/>
  <c r="AE3265" i="11" s="1"/>
  <c r="AD3314" i="11"/>
  <c r="AE3314" i="11" s="1"/>
  <c r="AD3308" i="11"/>
  <c r="AE3308" i="11" s="1"/>
  <c r="AD3326" i="11"/>
  <c r="AE3326" i="11" s="1"/>
  <c r="AN3326" i="11" s="1"/>
  <c r="AD3320" i="11"/>
  <c r="AE3320" i="11" s="1"/>
  <c r="AD3279" i="11"/>
  <c r="AE3279" i="11" s="1"/>
  <c r="AD3352" i="11"/>
  <c r="AE3352" i="11" s="1"/>
  <c r="AD3337" i="11"/>
  <c r="AE3337" i="11" s="1"/>
  <c r="AD3319" i="11"/>
  <c r="AE3319" i="11" s="1"/>
  <c r="AD3260" i="11"/>
  <c r="AE3260" i="11" s="1"/>
  <c r="AN3260" i="11" s="1"/>
  <c r="AD3307" i="11"/>
  <c r="AE3307" i="11" s="1"/>
  <c r="AN3307" i="11" s="1"/>
  <c r="AD3285" i="11"/>
  <c r="AE3285" i="11" s="1"/>
  <c r="AD3338" i="11"/>
  <c r="AE3338" i="11" s="1"/>
  <c r="AN3338" i="11" s="1"/>
  <c r="AD3263" i="11"/>
  <c r="AE3263" i="11" s="1"/>
  <c r="AN3263" i="11" s="1"/>
  <c r="AD3281" i="11"/>
  <c r="AE3281" i="11" s="1"/>
  <c r="AD3360" i="11"/>
  <c r="AE3360" i="11" s="1"/>
  <c r="AD3293" i="11"/>
  <c r="AE3293" i="11" s="1"/>
  <c r="AD3356" i="11"/>
  <c r="AE3356" i="11" s="1"/>
  <c r="AD3364" i="11"/>
  <c r="AE3364" i="11" s="1"/>
  <c r="AD3262" i="11"/>
  <c r="AE3262" i="11" s="1"/>
  <c r="AD3302" i="11"/>
  <c r="AE3302" i="11" s="1"/>
  <c r="AD3268" i="11"/>
  <c r="AE3268" i="11" s="1"/>
  <c r="AD3336" i="11"/>
  <c r="AE3336" i="11" s="1"/>
  <c r="AD3305" i="11"/>
  <c r="AE3305" i="11" s="1"/>
  <c r="AD3261" i="11"/>
  <c r="AE3261" i="11" s="1"/>
  <c r="AN3261" i="11" s="1"/>
  <c r="AD3290" i="11"/>
  <c r="AE3290" i="11" s="1"/>
  <c r="AD3348" i="11"/>
  <c r="AE3348" i="11" s="1"/>
  <c r="AD3280" i="11"/>
  <c r="AE3280" i="11" s="1"/>
  <c r="AD3323" i="11"/>
  <c r="AE3323" i="11" s="1"/>
  <c r="AD3341" i="11"/>
  <c r="AE3341" i="11" s="1"/>
  <c r="AD3344" i="11"/>
  <c r="AE3344" i="11" s="1"/>
  <c r="AD3273" i="11"/>
  <c r="AE3273" i="11" s="1"/>
  <c r="AD3283" i="11"/>
  <c r="AE3283" i="11" s="1"/>
  <c r="AD3292" i="11"/>
  <c r="AE3292" i="11" s="1"/>
  <c r="AD3282" i="11"/>
  <c r="AE3282" i="11" s="1"/>
  <c r="AN3282" i="11" s="1"/>
  <c r="AD3277" i="11"/>
  <c r="AE3277" i="11" s="1"/>
  <c r="AD3294" i="11"/>
  <c r="AE3294" i="11" s="1"/>
  <c r="AD3296" i="11"/>
  <c r="AE3296" i="11" s="1"/>
  <c r="AD3316" i="11"/>
  <c r="AE3316" i="11" s="1"/>
  <c r="AD3332" i="11"/>
  <c r="AE3332" i="11" s="1"/>
  <c r="AD3289" i="11"/>
  <c r="AE3289" i="11" s="1"/>
  <c r="AD3342" i="11"/>
  <c r="AE3342" i="11" s="1"/>
  <c r="AD3362" i="11"/>
  <c r="AE3362" i="11" s="1"/>
  <c r="AD3276" i="11"/>
  <c r="AE3276" i="11" s="1"/>
  <c r="AN3276" i="11" s="1"/>
  <c r="AD3278" i="11"/>
  <c r="AE3278" i="11" s="1"/>
  <c r="AD3333" i="11"/>
  <c r="AE3333" i="11" s="1"/>
  <c r="AN3333" i="11" s="1"/>
  <c r="AD3363" i="11"/>
  <c r="AE3363" i="11" s="1"/>
  <c r="AD3284" i="11"/>
  <c r="AE3284" i="11" s="1"/>
  <c r="AD3269" i="11"/>
  <c r="AE3269" i="11" s="1"/>
  <c r="AD3327" i="11"/>
  <c r="AE3327" i="11" s="1"/>
  <c r="AD3298" i="11"/>
  <c r="AE3298" i="11" s="1"/>
  <c r="AD3346" i="11"/>
  <c r="AE3346" i="11" s="1"/>
  <c r="AD3287" i="11"/>
  <c r="AE3287" i="11" s="1"/>
  <c r="AD3339" i="11"/>
  <c r="AE3339" i="11" s="1"/>
  <c r="AD3318" i="11"/>
  <c r="AE3318" i="11" s="1"/>
  <c r="AD3295" i="11"/>
  <c r="AE3295" i="11" s="1"/>
  <c r="AD3317" i="11"/>
  <c r="AE3317" i="11" s="1"/>
  <c r="AD3310" i="11"/>
  <c r="AE3310" i="11" s="1"/>
  <c r="AD3291" i="11"/>
  <c r="AE3291" i="11" s="1"/>
  <c r="AN3291" i="11" s="1"/>
  <c r="AD3299" i="11"/>
  <c r="AE3299" i="11" s="1"/>
  <c r="AD3355" i="11"/>
  <c r="AE3355" i="11" s="1"/>
  <c r="AD3272" i="11"/>
  <c r="AE3272" i="11" s="1"/>
  <c r="AN3272" i="11" s="1"/>
  <c r="AD3300" i="11"/>
  <c r="AE3300" i="11" s="1"/>
  <c r="AD3301" i="11"/>
  <c r="AE3301" i="11" s="1"/>
  <c r="AD3313" i="11"/>
  <c r="AE3313" i="11" s="1"/>
  <c r="AD3350" i="11"/>
  <c r="AE3350" i="11" s="1"/>
  <c r="AD3349" i="11"/>
  <c r="AE3349" i="11" s="1"/>
  <c r="AD3343" i="11"/>
  <c r="AE3343" i="11" s="1"/>
  <c r="AD3286" i="11"/>
  <c r="AE3286" i="11" s="1"/>
  <c r="AD3328" i="11"/>
  <c r="AE3328" i="11" s="1"/>
  <c r="AD3315" i="11"/>
  <c r="AE3315" i="11" s="1"/>
  <c r="AN3315" i="11" s="1"/>
  <c r="N188" i="54"/>
  <c r="AD3354" i="11"/>
  <c r="AE3354" i="11" s="1"/>
  <c r="AD3297" i="11"/>
  <c r="AE3297" i="11" s="1"/>
  <c r="AD3347" i="11"/>
  <c r="AE3347" i="11" s="1"/>
  <c r="AD3270" i="11"/>
  <c r="AE3270" i="11" s="1"/>
  <c r="AD3271" i="11"/>
  <c r="AE3271" i="11" s="1"/>
  <c r="AK751" i="11"/>
  <c r="AL751" i="11" s="1"/>
  <c r="AK785" i="11"/>
  <c r="AL785" i="11" s="1"/>
  <c r="AD3538" i="11"/>
  <c r="AE3538" i="11" s="1"/>
  <c r="AF2151" i="11"/>
  <c r="AG2151" i="11" s="1"/>
  <c r="AF3363" i="11"/>
  <c r="AG3363" i="11" s="1"/>
  <c r="AO3363" i="11" s="1"/>
  <c r="AF479" i="11"/>
  <c r="AG479" i="11" s="1"/>
  <c r="AD262" i="11"/>
  <c r="AE262" i="11" s="1"/>
  <c r="AN262" i="11" s="1"/>
  <c r="N269" i="54"/>
  <c r="AI17" i="11"/>
  <c r="AJ17" i="11" s="1"/>
  <c r="AI98" i="11"/>
  <c r="AJ98" i="11" s="1"/>
  <c r="AI62" i="11"/>
  <c r="AJ62" i="11" s="1"/>
  <c r="AI97" i="11"/>
  <c r="AJ97" i="11" s="1"/>
  <c r="AI46" i="11"/>
  <c r="AJ46" i="11" s="1"/>
  <c r="AI37" i="11"/>
  <c r="AJ37" i="11" s="1"/>
  <c r="AI94" i="11"/>
  <c r="AJ94" i="11" s="1"/>
  <c r="AI92" i="11"/>
  <c r="AJ92" i="11" s="1"/>
  <c r="AI85" i="11"/>
  <c r="AJ85" i="11" s="1"/>
  <c r="AI5" i="11"/>
  <c r="AJ5" i="11" s="1"/>
  <c r="AI80" i="11"/>
  <c r="AJ80" i="11" s="1"/>
  <c r="AI13" i="11"/>
  <c r="AJ13" i="11" s="1"/>
  <c r="AI59" i="11"/>
  <c r="AJ59" i="11" s="1"/>
  <c r="AI6" i="11"/>
  <c r="AJ6" i="11" s="1"/>
  <c r="AI24" i="11"/>
  <c r="AJ24" i="11" s="1"/>
  <c r="AI9" i="11"/>
  <c r="AJ9" i="11" s="1"/>
  <c r="AI11" i="11"/>
  <c r="AJ11" i="11" s="1"/>
  <c r="AI31" i="11"/>
  <c r="AJ31" i="11" s="1"/>
  <c r="AI77" i="11"/>
  <c r="AJ77" i="11" s="1"/>
  <c r="AI55" i="11"/>
  <c r="AJ55" i="11" s="1"/>
  <c r="AI79" i="11"/>
  <c r="AJ79" i="11" s="1"/>
  <c r="AI101" i="11"/>
  <c r="AJ101" i="11" s="1"/>
  <c r="AI61" i="11"/>
  <c r="AJ61" i="11" s="1"/>
  <c r="AI74" i="11"/>
  <c r="AJ74" i="11" s="1"/>
  <c r="AI109" i="11"/>
  <c r="AJ109" i="11" s="1"/>
  <c r="AI43" i="11"/>
  <c r="AJ43" i="11" s="1"/>
  <c r="AI106" i="11"/>
  <c r="AJ106" i="11" s="1"/>
  <c r="AI25" i="11"/>
  <c r="AJ25" i="11" s="1"/>
  <c r="AI20" i="11"/>
  <c r="AJ20" i="11" s="1"/>
  <c r="AI28" i="11"/>
  <c r="AJ28" i="11" s="1"/>
  <c r="AI70" i="11"/>
  <c r="AJ70" i="11" s="1"/>
  <c r="AI100" i="11"/>
  <c r="AJ100" i="11" s="1"/>
  <c r="AI15" i="11"/>
  <c r="AJ15" i="11" s="1"/>
  <c r="AI57" i="11"/>
  <c r="AJ57" i="11" s="1"/>
  <c r="AI96" i="11"/>
  <c r="AJ96" i="11" s="1"/>
  <c r="AI27" i="11"/>
  <c r="AJ27" i="11" s="1"/>
  <c r="AI108" i="11"/>
  <c r="AJ108" i="11" s="1"/>
  <c r="AI90" i="11"/>
  <c r="AJ90" i="11" s="1"/>
  <c r="AI71" i="11"/>
  <c r="AJ71" i="11" s="1"/>
  <c r="AI34" i="11"/>
  <c r="AJ34" i="11" s="1"/>
  <c r="AI42" i="11"/>
  <c r="AJ42" i="11" s="1"/>
  <c r="AI78" i="11"/>
  <c r="AJ78" i="11" s="1"/>
  <c r="AI63" i="11"/>
  <c r="AJ63" i="11" s="1"/>
  <c r="AI72" i="11"/>
  <c r="AJ72" i="11" s="1"/>
  <c r="AI81" i="11"/>
  <c r="AJ81" i="11" s="1"/>
  <c r="AI12" i="11"/>
  <c r="AJ12" i="11" s="1"/>
  <c r="AI47" i="11"/>
  <c r="AJ47" i="11" s="1"/>
  <c r="AI22" i="11"/>
  <c r="AJ22" i="11" s="1"/>
  <c r="AI30" i="11"/>
  <c r="AJ30" i="11" s="1"/>
  <c r="AI76" i="11"/>
  <c r="AJ76" i="11" s="1"/>
  <c r="AI75" i="11"/>
  <c r="AJ75" i="11" s="1"/>
  <c r="AI45" i="11"/>
  <c r="AJ45" i="11" s="1"/>
  <c r="AI19" i="11"/>
  <c r="AJ19" i="11" s="1"/>
  <c r="AI39" i="11"/>
  <c r="AJ39" i="11" s="1"/>
  <c r="AI84" i="11"/>
  <c r="AJ84" i="11" s="1"/>
  <c r="AI88" i="11"/>
  <c r="AJ88" i="11" s="1"/>
  <c r="AI52" i="11"/>
  <c r="AJ52" i="11" s="1"/>
  <c r="AI73" i="11"/>
  <c r="AJ73" i="11" s="1"/>
  <c r="AI68" i="11"/>
  <c r="AJ68" i="11" s="1"/>
  <c r="AI21" i="11"/>
  <c r="AJ21" i="11" s="1"/>
  <c r="AI67" i="11"/>
  <c r="AJ67" i="11" s="1"/>
  <c r="AI58" i="11"/>
  <c r="AJ58" i="11" s="1"/>
  <c r="AI54" i="11"/>
  <c r="AJ54" i="11" s="1"/>
  <c r="AI41" i="11"/>
  <c r="AJ41" i="11" s="1"/>
  <c r="AI50" i="11"/>
  <c r="AJ50" i="11" s="1"/>
  <c r="AI65" i="11"/>
  <c r="AJ65" i="11" s="1"/>
  <c r="AI51" i="11"/>
  <c r="AJ51" i="11" s="1"/>
  <c r="AI66" i="11"/>
  <c r="AJ66" i="11" s="1"/>
  <c r="AI60" i="11"/>
  <c r="AJ60" i="11" s="1"/>
  <c r="AI107" i="11"/>
  <c r="AJ107" i="11" s="1"/>
  <c r="AI53" i="11"/>
  <c r="AJ53" i="11" s="1"/>
  <c r="AI102" i="11"/>
  <c r="AJ102" i="11" s="1"/>
  <c r="AI91" i="11"/>
  <c r="AJ91" i="11" s="1"/>
  <c r="AI8" i="11"/>
  <c r="AJ8" i="11" s="1"/>
  <c r="AI14" i="11"/>
  <c r="AJ14" i="11" s="1"/>
  <c r="AI69" i="11"/>
  <c r="AJ69" i="11" s="1"/>
  <c r="AI64" i="11"/>
  <c r="AJ64" i="11" s="1"/>
  <c r="AI49" i="11"/>
  <c r="AJ49" i="11" s="1"/>
  <c r="AI36" i="11"/>
  <c r="AJ36" i="11" s="1"/>
  <c r="AI99" i="11"/>
  <c r="AJ99" i="11" s="1"/>
  <c r="AI16" i="11"/>
  <c r="AJ16" i="11" s="1"/>
  <c r="AI89" i="11"/>
  <c r="AJ89" i="11" s="1"/>
  <c r="AI40" i="11"/>
  <c r="AJ40" i="11" s="1"/>
  <c r="AI93" i="11"/>
  <c r="AJ93" i="11" s="1"/>
  <c r="AI23" i="11"/>
  <c r="AJ23" i="11" s="1"/>
  <c r="AI32" i="11"/>
  <c r="AJ32" i="11" s="1"/>
  <c r="AI38" i="11"/>
  <c r="AJ38" i="11" s="1"/>
  <c r="AI33" i="11"/>
  <c r="AJ33" i="11" s="1"/>
  <c r="AI35" i="11"/>
  <c r="AJ35" i="11" s="1"/>
  <c r="AI7" i="11"/>
  <c r="AJ7" i="11" s="1"/>
  <c r="AI95" i="11"/>
  <c r="AJ95" i="11" s="1"/>
  <c r="AI56" i="11"/>
  <c r="AJ56" i="11" s="1"/>
  <c r="AI48" i="11"/>
  <c r="AJ48" i="11" s="1"/>
  <c r="AI104" i="11"/>
  <c r="AJ104" i="11" s="1"/>
  <c r="AI105" i="11"/>
  <c r="AJ105" i="11" s="1"/>
  <c r="AI103" i="11"/>
  <c r="AJ103" i="11" s="1"/>
  <c r="AI82" i="11"/>
  <c r="AJ82" i="11" s="1"/>
  <c r="AD3843" i="11"/>
  <c r="AE3843" i="11" s="1"/>
  <c r="AD1145" i="11"/>
  <c r="AE1145" i="11" s="1"/>
  <c r="AD1073" i="11"/>
  <c r="AE1073" i="11" s="1"/>
  <c r="AD1150" i="11"/>
  <c r="AE1150" i="11" s="1"/>
  <c r="AD1108" i="11"/>
  <c r="AE1108" i="11" s="1"/>
  <c r="AD1154" i="11"/>
  <c r="AE1154" i="11" s="1"/>
  <c r="AD1075" i="11"/>
  <c r="AE1075" i="11" s="1"/>
  <c r="AD1127" i="11"/>
  <c r="AE1127" i="11" s="1"/>
  <c r="AD1151" i="11"/>
  <c r="AE1151" i="11" s="1"/>
  <c r="AD1131" i="11"/>
  <c r="AE1131" i="11" s="1"/>
  <c r="AD1083" i="11"/>
  <c r="AE1083" i="11" s="1"/>
  <c r="AD1095" i="11"/>
  <c r="AE1095" i="11" s="1"/>
  <c r="AD1070" i="11"/>
  <c r="AE1070" i="11" s="1"/>
  <c r="AN1070" i="11" s="1"/>
  <c r="AD1080" i="11"/>
  <c r="AE1080" i="11" s="1"/>
  <c r="AD1143" i="11"/>
  <c r="AE1143" i="11" s="1"/>
  <c r="AD1119" i="11"/>
  <c r="AE1119" i="11" s="1"/>
  <c r="AD1072" i="11"/>
  <c r="AE1072" i="11" s="1"/>
  <c r="AD1111" i="11"/>
  <c r="AE1111" i="11" s="1"/>
  <c r="AD1130" i="11"/>
  <c r="AE1130" i="11" s="1"/>
  <c r="AD1086" i="11"/>
  <c r="AE1086" i="11" s="1"/>
  <c r="AD1157" i="11"/>
  <c r="AE1157" i="11" s="1"/>
  <c r="AD1077" i="11"/>
  <c r="AE1077" i="11" s="1"/>
  <c r="AD1078" i="11"/>
  <c r="AE1078" i="11" s="1"/>
  <c r="AD1106" i="11"/>
  <c r="AE1106" i="11" s="1"/>
  <c r="AD1152" i="11"/>
  <c r="AE1152" i="11" s="1"/>
  <c r="AD1147" i="11"/>
  <c r="AE1147" i="11" s="1"/>
  <c r="AN1147" i="11" s="1"/>
  <c r="AD1076" i="11"/>
  <c r="AE1076" i="11" s="1"/>
  <c r="AD1092" i="11"/>
  <c r="AE1092" i="11" s="1"/>
  <c r="AD1107" i="11"/>
  <c r="AE1107" i="11" s="1"/>
  <c r="AD1124" i="11"/>
  <c r="AE1124" i="11" s="1"/>
  <c r="AD1132" i="11"/>
  <c r="AE1132" i="11" s="1"/>
  <c r="AD1102" i="11"/>
  <c r="AE1102" i="11" s="1"/>
  <c r="AD1087" i="11"/>
  <c r="AE1087" i="11" s="1"/>
  <c r="AD1094" i="11"/>
  <c r="AE1094" i="11" s="1"/>
  <c r="AD1148" i="11"/>
  <c r="AE1148" i="11" s="1"/>
  <c r="AD1096" i="11"/>
  <c r="AE1096" i="11" s="1"/>
  <c r="AN1096" i="11" s="1"/>
  <c r="AD1120" i="11"/>
  <c r="AE1120" i="11" s="1"/>
  <c r="AD1090" i="11"/>
  <c r="AE1090" i="11" s="1"/>
  <c r="AD1113" i="11"/>
  <c r="AE1113" i="11" s="1"/>
  <c r="AD1110" i="11"/>
  <c r="AE1110" i="11" s="1"/>
  <c r="AD1136" i="11"/>
  <c r="AE1136" i="11" s="1"/>
  <c r="AD1089" i="11"/>
  <c r="AE1089" i="11" s="1"/>
  <c r="AD1100" i="11"/>
  <c r="AE1100" i="11" s="1"/>
  <c r="AD1133" i="11"/>
  <c r="AE1133" i="11" s="1"/>
  <c r="AD1158" i="11"/>
  <c r="AE1158" i="11" s="1"/>
  <c r="AD1125" i="11"/>
  <c r="AE1125" i="11" s="1"/>
  <c r="AD1084" i="11"/>
  <c r="AE1084" i="11" s="1"/>
  <c r="AD1144" i="11"/>
  <c r="AE1144" i="11" s="1"/>
  <c r="AD1116" i="11"/>
  <c r="AE1116" i="11" s="1"/>
  <c r="AD1081" i="11"/>
  <c r="AE1081" i="11" s="1"/>
  <c r="AD1101" i="11"/>
  <c r="AE1101" i="11" s="1"/>
  <c r="AD1060" i="11"/>
  <c r="AE1060" i="11" s="1"/>
  <c r="AD1091" i="11"/>
  <c r="AE1091" i="11" s="1"/>
  <c r="AD1103" i="11"/>
  <c r="AE1103" i="11" s="1"/>
  <c r="AD1118" i="11"/>
  <c r="AE1118" i="11" s="1"/>
  <c r="AD1141" i="11"/>
  <c r="AE1141" i="11" s="1"/>
  <c r="AD1126" i="11"/>
  <c r="AE1126" i="11" s="1"/>
  <c r="AD1097" i="11"/>
  <c r="AE1097" i="11" s="1"/>
  <c r="AD1156" i="11"/>
  <c r="AE1156" i="11" s="1"/>
  <c r="AD1065" i="11"/>
  <c r="AE1065" i="11" s="1"/>
  <c r="AD1153" i="11"/>
  <c r="AE1153" i="11" s="1"/>
  <c r="AD1142" i="11"/>
  <c r="AE1142" i="11" s="1"/>
  <c r="AD1071" i="11"/>
  <c r="AE1071" i="11" s="1"/>
  <c r="AD1129" i="11"/>
  <c r="AE1129" i="11" s="1"/>
  <c r="AD1059" i="11"/>
  <c r="AE1059" i="11" s="1"/>
  <c r="AD1137" i="11"/>
  <c r="AE1137" i="11" s="1"/>
  <c r="AD1056" i="11"/>
  <c r="AE1056" i="11" s="1"/>
  <c r="AD1063" i="11"/>
  <c r="AE1063" i="11" s="1"/>
  <c r="AN1063" i="11" s="1"/>
  <c r="AD1155" i="11"/>
  <c r="AE1155" i="11" s="1"/>
  <c r="AD1159" i="11"/>
  <c r="AE1159" i="11" s="1"/>
  <c r="AD1074" i="11"/>
  <c r="AE1074" i="11" s="1"/>
  <c r="AD1128" i="11"/>
  <c r="AE1128" i="11" s="1"/>
  <c r="AD1122" i="11"/>
  <c r="AE1122" i="11" s="1"/>
  <c r="AD1061" i="11"/>
  <c r="AE1061" i="11" s="1"/>
  <c r="AD1109" i="11"/>
  <c r="AE1109" i="11" s="1"/>
  <c r="AD1069" i="11"/>
  <c r="AE1069" i="11" s="1"/>
  <c r="AD1067" i="11"/>
  <c r="AE1067" i="11" s="1"/>
  <c r="AD1138" i="11"/>
  <c r="AE1138" i="11" s="1"/>
  <c r="AD1064" i="11"/>
  <c r="AE1064" i="11" s="1"/>
  <c r="AD1085" i="11"/>
  <c r="AE1085" i="11" s="1"/>
  <c r="AD1112" i="11"/>
  <c r="AE1112" i="11" s="1"/>
  <c r="AD1057" i="11"/>
  <c r="AE1057" i="11" s="1"/>
  <c r="AD1117" i="11"/>
  <c r="AE1117" i="11" s="1"/>
  <c r="AD1066" i="11"/>
  <c r="AE1066" i="11" s="1"/>
  <c r="AD1055" i="11"/>
  <c r="AE1055" i="11" s="1"/>
  <c r="AD1088" i="11"/>
  <c r="AE1088" i="11" s="1"/>
  <c r="AD1104" i="11"/>
  <c r="AE1104" i="11" s="1"/>
  <c r="AD1149" i="11"/>
  <c r="AE1149" i="11" s="1"/>
  <c r="AD1134" i="11"/>
  <c r="AE1134" i="11" s="1"/>
  <c r="AD1079" i="11"/>
  <c r="AE1079" i="11" s="1"/>
  <c r="AD1062" i="11"/>
  <c r="AE1062" i="11" s="1"/>
  <c r="AD1146" i="11"/>
  <c r="AE1146" i="11" s="1"/>
  <c r="AD1135" i="11"/>
  <c r="AE1135" i="11" s="1"/>
  <c r="AD1115" i="11"/>
  <c r="AE1115" i="11" s="1"/>
  <c r="AD1068" i="11"/>
  <c r="AE1068" i="11" s="1"/>
  <c r="N201" i="54"/>
  <c r="AD1098" i="11"/>
  <c r="AE1098" i="11" s="1"/>
  <c r="AD1058" i="11"/>
  <c r="AE1058" i="11" s="1"/>
  <c r="AD1140" i="11"/>
  <c r="AE1140" i="11" s="1"/>
  <c r="AK29" i="11"/>
  <c r="AL29" i="11" s="1"/>
  <c r="AK11" i="11"/>
  <c r="AL11" i="11" s="1"/>
  <c r="AK45" i="11"/>
  <c r="AL45" i="11" s="1"/>
  <c r="AK98" i="11"/>
  <c r="AL98" i="11" s="1"/>
  <c r="AK13" i="11"/>
  <c r="AL13" i="11" s="1"/>
  <c r="AK56" i="11"/>
  <c r="AL56" i="11" s="1"/>
  <c r="AK18" i="11"/>
  <c r="AL18" i="11" s="1"/>
  <c r="AK53" i="11"/>
  <c r="AL53" i="11" s="1"/>
  <c r="AK101" i="11"/>
  <c r="AL101" i="11" s="1"/>
  <c r="AK54" i="11"/>
  <c r="AL54" i="11" s="1"/>
  <c r="AK79" i="11"/>
  <c r="AL79" i="11" s="1"/>
  <c r="AK37" i="11"/>
  <c r="AL37" i="11" s="1"/>
  <c r="AK107" i="11"/>
  <c r="AL107" i="11" s="1"/>
  <c r="AK38" i="11"/>
  <c r="AL38" i="11" s="1"/>
  <c r="AK26" i="11"/>
  <c r="AL26" i="11" s="1"/>
  <c r="AK41" i="11"/>
  <c r="AL41" i="11" s="1"/>
  <c r="AK5" i="11"/>
  <c r="AL5" i="11" s="1"/>
  <c r="AK49" i="11"/>
  <c r="AL49" i="11" s="1"/>
  <c r="AK52" i="11"/>
  <c r="AL52" i="11" s="1"/>
  <c r="AK106" i="11"/>
  <c r="AL106" i="11" s="1"/>
  <c r="AK7" i="11"/>
  <c r="AL7" i="11" s="1"/>
  <c r="AK6" i="11"/>
  <c r="AL6" i="11" s="1"/>
  <c r="AK65" i="11"/>
  <c r="AL65" i="11" s="1"/>
  <c r="AK34" i="11"/>
  <c r="AL34" i="11" s="1"/>
  <c r="AK85" i="11"/>
  <c r="AL85" i="11" s="1"/>
  <c r="AK64" i="11"/>
  <c r="AL64" i="11" s="1"/>
  <c r="AK15" i="11"/>
  <c r="AL15" i="11" s="1"/>
  <c r="AK44" i="11"/>
  <c r="AL44" i="11" s="1"/>
  <c r="AK84" i="11"/>
  <c r="AL84" i="11" s="1"/>
  <c r="AK95" i="11"/>
  <c r="AL95" i="11" s="1"/>
  <c r="AK80" i="11"/>
  <c r="AL80" i="11" s="1"/>
  <c r="AK73" i="11"/>
  <c r="AL73" i="11" s="1"/>
  <c r="AK74" i="11"/>
  <c r="AL74" i="11" s="1"/>
  <c r="AK9" i="11"/>
  <c r="AL9" i="11" s="1"/>
  <c r="AK89" i="11"/>
  <c r="AL89" i="11" s="1"/>
  <c r="AK104" i="11"/>
  <c r="AL104" i="11" s="1"/>
  <c r="AK31" i="11"/>
  <c r="AL31" i="11" s="1"/>
  <c r="AK19" i="11"/>
  <c r="AL19" i="11" s="1"/>
  <c r="AK88" i="11"/>
  <c r="AL88" i="11" s="1"/>
  <c r="AK46" i="11"/>
  <c r="AL46" i="11" s="1"/>
  <c r="AK91" i="11"/>
  <c r="AL91" i="11" s="1"/>
  <c r="AK14" i="11"/>
  <c r="AL14" i="11" s="1"/>
  <c r="AK55" i="11"/>
  <c r="AL55" i="11" s="1"/>
  <c r="AK47" i="11"/>
  <c r="AL47" i="11" s="1"/>
  <c r="AK8" i="11"/>
  <c r="AL8" i="11" s="1"/>
  <c r="AK59" i="11"/>
  <c r="AL59" i="11" s="1"/>
  <c r="AK67" i="11"/>
  <c r="AL67" i="11" s="1"/>
  <c r="AK75" i="11"/>
  <c r="AL75" i="11" s="1"/>
  <c r="AK90" i="11"/>
  <c r="AL90" i="11" s="1"/>
  <c r="AK71" i="11"/>
  <c r="AL71" i="11" s="1"/>
  <c r="AK35" i="11"/>
  <c r="AL35" i="11" s="1"/>
  <c r="AK57" i="11"/>
  <c r="AL57" i="11" s="1"/>
  <c r="AK86" i="11"/>
  <c r="AL86" i="11" s="1"/>
  <c r="AK68" i="11"/>
  <c r="AL68" i="11" s="1"/>
  <c r="AK76" i="11"/>
  <c r="AL76" i="11" s="1"/>
  <c r="AK33" i="11"/>
  <c r="AL33" i="11" s="1"/>
  <c r="AK105" i="11"/>
  <c r="AL105" i="11" s="1"/>
  <c r="AK109" i="11"/>
  <c r="AL109" i="11" s="1"/>
  <c r="AK69" i="11"/>
  <c r="AL69" i="11" s="1"/>
  <c r="AK39" i="11"/>
  <c r="AL39" i="11" s="1"/>
  <c r="AK23" i="11"/>
  <c r="AL23" i="11" s="1"/>
  <c r="AK36" i="11"/>
  <c r="AL36" i="11" s="1"/>
  <c r="AK32" i="11"/>
  <c r="AL32" i="11" s="1"/>
  <c r="AK42" i="11"/>
  <c r="AL42" i="11" s="1"/>
  <c r="AK108" i="11"/>
  <c r="AL108" i="11" s="1"/>
  <c r="AK43" i="11"/>
  <c r="AL43" i="11" s="1"/>
  <c r="AK102" i="11"/>
  <c r="AL102" i="11" s="1"/>
  <c r="AK77" i="11"/>
  <c r="AL77" i="11" s="1"/>
  <c r="AK30" i="11"/>
  <c r="AL30" i="11" s="1"/>
  <c r="AK94" i="11"/>
  <c r="AL94" i="11" s="1"/>
  <c r="AK61" i="11"/>
  <c r="AL61" i="11" s="1"/>
  <c r="AK21" i="11"/>
  <c r="AL21" i="11" s="1"/>
  <c r="AK20" i="11"/>
  <c r="AL20" i="11" s="1"/>
  <c r="AK99" i="11"/>
  <c r="AL99" i="11" s="1"/>
  <c r="AK81" i="11"/>
  <c r="AL81" i="11" s="1"/>
  <c r="AK96" i="11"/>
  <c r="AL96" i="11" s="1"/>
  <c r="AK97" i="11"/>
  <c r="AL97" i="11" s="1"/>
  <c r="AK17" i="11"/>
  <c r="AL17" i="11" s="1"/>
  <c r="AK10" i="11"/>
  <c r="AL10" i="11" s="1"/>
  <c r="AK82" i="11"/>
  <c r="AL82" i="11" s="1"/>
  <c r="AK60" i="11"/>
  <c r="AL60" i="11" s="1"/>
  <c r="AK63" i="11"/>
  <c r="AL63" i="11" s="1"/>
  <c r="AK58" i="11"/>
  <c r="AL58" i="11" s="1"/>
  <c r="AK12" i="11"/>
  <c r="AL12" i="11" s="1"/>
  <c r="AK78" i="11"/>
  <c r="AL78" i="11" s="1"/>
  <c r="AK28" i="11"/>
  <c r="AL28" i="11" s="1"/>
  <c r="AK22" i="11"/>
  <c r="AL22" i="11" s="1"/>
  <c r="AK87" i="11"/>
  <c r="AL87" i="11" s="1"/>
  <c r="AK66" i="11"/>
  <c r="AL66" i="11" s="1"/>
  <c r="AK25" i="11"/>
  <c r="AL25" i="11" s="1"/>
  <c r="AK100" i="11"/>
  <c r="AL100" i="11" s="1"/>
  <c r="AK16" i="11"/>
  <c r="AL16" i="11" s="1"/>
  <c r="AK103" i="11"/>
  <c r="AL103" i="11" s="1"/>
  <c r="AK70" i="11"/>
  <c r="AL70" i="11" s="1"/>
  <c r="AK40" i="11"/>
  <c r="AL40" i="11" s="1"/>
  <c r="P87" i="54"/>
  <c r="AI2635" i="11"/>
  <c r="AJ2635" i="11" s="1"/>
  <c r="AI2722" i="11"/>
  <c r="AJ2722" i="11" s="1"/>
  <c r="AI2690" i="11"/>
  <c r="AJ2690" i="11" s="1"/>
  <c r="AI2706" i="11"/>
  <c r="AJ2706" i="11" s="1"/>
  <c r="AI2715" i="11"/>
  <c r="AJ2715" i="11" s="1"/>
  <c r="AI2655" i="11"/>
  <c r="AJ2655" i="11" s="1"/>
  <c r="AI2704" i="11"/>
  <c r="AJ2704" i="11" s="1"/>
  <c r="AI2712" i="11"/>
  <c r="AJ2712" i="11" s="1"/>
  <c r="AI2686" i="11"/>
  <c r="AJ2686" i="11" s="1"/>
  <c r="AI2647" i="11"/>
  <c r="AJ2647" i="11" s="1"/>
  <c r="AI2696" i="11"/>
  <c r="AJ2696" i="11" s="1"/>
  <c r="AI2670" i="11"/>
  <c r="AJ2670" i="11" s="1"/>
  <c r="AI2726" i="11"/>
  <c r="AJ2726" i="11" s="1"/>
  <c r="AI2664" i="11"/>
  <c r="AJ2664" i="11" s="1"/>
  <c r="AI2714" i="11"/>
  <c r="AJ2714" i="11" s="1"/>
  <c r="AI2717" i="11"/>
  <c r="AJ2717" i="11" s="1"/>
  <c r="AI2667" i="11"/>
  <c r="AJ2667" i="11" s="1"/>
  <c r="AI2680" i="11"/>
  <c r="AJ2680" i="11" s="1"/>
  <c r="AI2734" i="11"/>
  <c r="AJ2734" i="11" s="1"/>
  <c r="AI2652" i="11"/>
  <c r="AJ2652" i="11" s="1"/>
  <c r="AI2720" i="11"/>
  <c r="AJ2720" i="11" s="1"/>
  <c r="AI2662" i="11"/>
  <c r="AJ2662" i="11" s="1"/>
  <c r="AI2639" i="11"/>
  <c r="AJ2639" i="11" s="1"/>
  <c r="AI2649" i="11"/>
  <c r="AJ2649" i="11" s="1"/>
  <c r="AI2723" i="11"/>
  <c r="AJ2723" i="11" s="1"/>
  <c r="AI2659" i="11"/>
  <c r="AJ2659" i="11" s="1"/>
  <c r="AI2709" i="11"/>
  <c r="AJ2709" i="11" s="1"/>
  <c r="AI2660" i="11"/>
  <c r="AJ2660" i="11" s="1"/>
  <c r="AI2666" i="11"/>
  <c r="AJ2666" i="11" s="1"/>
  <c r="AI2634" i="11"/>
  <c r="AJ2634" i="11" s="1"/>
  <c r="AI2675" i="11"/>
  <c r="AJ2675" i="11" s="1"/>
  <c r="AI2733" i="11"/>
  <c r="AJ2733" i="11" s="1"/>
  <c r="AI2682" i="11"/>
  <c r="AJ2682" i="11" s="1"/>
  <c r="AI2641" i="11"/>
  <c r="AJ2641" i="11" s="1"/>
  <c r="AN2641" i="11" s="1"/>
  <c r="AI2731" i="11"/>
  <c r="AJ2731" i="11" s="1"/>
  <c r="AI2661" i="11"/>
  <c r="AJ2661" i="11" s="1"/>
  <c r="AI2678" i="11"/>
  <c r="AJ2678" i="11" s="1"/>
  <c r="AI2698" i="11"/>
  <c r="AJ2698" i="11" s="1"/>
  <c r="AI2703" i="11"/>
  <c r="AJ2703" i="11" s="1"/>
  <c r="AI2650" i="11"/>
  <c r="AJ2650" i="11" s="1"/>
  <c r="AI2728" i="11"/>
  <c r="AJ2728" i="11" s="1"/>
  <c r="AI2679" i="11"/>
  <c r="AJ2679" i="11" s="1"/>
  <c r="AI2710" i="11"/>
  <c r="AJ2710" i="11" s="1"/>
  <c r="AI2653" i="11"/>
  <c r="AJ2653" i="11" s="1"/>
  <c r="AI2718" i="11"/>
  <c r="AJ2718" i="11" s="1"/>
  <c r="AI2691" i="11"/>
  <c r="AJ2691" i="11" s="1"/>
  <c r="AI2730" i="11"/>
  <c r="AJ2730" i="11" s="1"/>
  <c r="AI2695" i="11"/>
  <c r="AJ2695" i="11" s="1"/>
  <c r="AI2693" i="11"/>
  <c r="AJ2693" i="11" s="1"/>
  <c r="AI2688" i="11"/>
  <c r="AJ2688" i="11" s="1"/>
  <c r="AI2672" i="11"/>
  <c r="AJ2672" i="11" s="1"/>
  <c r="AI2673" i="11"/>
  <c r="AJ2673" i="11" s="1"/>
  <c r="AI2651" i="11"/>
  <c r="AJ2651" i="11" s="1"/>
  <c r="AI2631" i="11"/>
  <c r="AJ2631" i="11" s="1"/>
  <c r="AI2700" i="11"/>
  <c r="AJ2700" i="11" s="1"/>
  <c r="AI2645" i="11"/>
  <c r="AJ2645" i="11" s="1"/>
  <c r="AI2637" i="11"/>
  <c r="AJ2637" i="11" s="1"/>
  <c r="AI2669" i="11"/>
  <c r="AJ2669" i="11" s="1"/>
  <c r="AI2668" i="11"/>
  <c r="AJ2668" i="11" s="1"/>
  <c r="AI2636" i="11"/>
  <c r="AJ2636" i="11" s="1"/>
  <c r="AI2697" i="11"/>
  <c r="AJ2697" i="11" s="1"/>
  <c r="AI2681" i="11"/>
  <c r="AJ2681" i="11" s="1"/>
  <c r="AI2646" i="11"/>
  <c r="AJ2646" i="11" s="1"/>
  <c r="AI2716" i="11"/>
  <c r="AJ2716" i="11" s="1"/>
  <c r="AI2721" i="11"/>
  <c r="AJ2721" i="11" s="1"/>
  <c r="AI2638" i="11"/>
  <c r="AJ2638" i="11" s="1"/>
  <c r="AI2701" i="11"/>
  <c r="AJ2701" i="11" s="1"/>
  <c r="AI2632" i="11"/>
  <c r="AJ2632" i="11" s="1"/>
  <c r="AI2671" i="11"/>
  <c r="AJ2671" i="11" s="1"/>
  <c r="AI2674" i="11"/>
  <c r="AJ2674" i="11" s="1"/>
  <c r="AI2643" i="11"/>
  <c r="AJ2643" i="11" s="1"/>
  <c r="AI2665" i="11"/>
  <c r="AJ2665" i="11" s="1"/>
  <c r="AI2633" i="11"/>
  <c r="AJ2633" i="11" s="1"/>
  <c r="AI2630" i="11"/>
  <c r="AJ2630" i="11" s="1"/>
  <c r="AI2658" i="11"/>
  <c r="AJ2658" i="11" s="1"/>
  <c r="AI2687" i="11"/>
  <c r="AJ2687" i="11" s="1"/>
  <c r="AI2677" i="11"/>
  <c r="AJ2677" i="11" s="1"/>
  <c r="AI2692" i="11"/>
  <c r="AJ2692" i="11" s="1"/>
  <c r="AI2719" i="11"/>
  <c r="AJ2719" i="11" s="1"/>
  <c r="AI2685" i="11"/>
  <c r="AJ2685" i="11" s="1"/>
  <c r="AI2648" i="11"/>
  <c r="AJ2648" i="11" s="1"/>
  <c r="AI2707" i="11"/>
  <c r="AJ2707" i="11" s="1"/>
  <c r="AI2711" i="11"/>
  <c r="AJ2711" i="11" s="1"/>
  <c r="AI2663" i="11"/>
  <c r="AJ2663" i="11" s="1"/>
  <c r="AI2656" i="11"/>
  <c r="AJ2656" i="11" s="1"/>
  <c r="AI2699" i="11"/>
  <c r="AJ2699" i="11" s="1"/>
  <c r="AI2725" i="11"/>
  <c r="AJ2725" i="11" s="1"/>
  <c r="AI2676" i="11"/>
  <c r="AJ2676" i="11" s="1"/>
  <c r="AI2644" i="11"/>
  <c r="AJ2644" i="11" s="1"/>
  <c r="AI2708" i="11"/>
  <c r="AJ2708" i="11" s="1"/>
  <c r="AI2689" i="11"/>
  <c r="AJ2689" i="11" s="1"/>
  <c r="AI2642" i="11"/>
  <c r="AJ2642" i="11" s="1"/>
  <c r="AI2640" i="11"/>
  <c r="AJ2640" i="11" s="1"/>
  <c r="AD2134" i="11"/>
  <c r="AE2134" i="11" s="1"/>
  <c r="AD1139" i="11"/>
  <c r="AE1139" i="11" s="1"/>
  <c r="AN1139" i="11" s="1"/>
  <c r="AF1664" i="11"/>
  <c r="AG1664" i="11" s="1"/>
  <c r="AF1638" i="11"/>
  <c r="AG1638" i="11" s="1"/>
  <c r="AF1674" i="11"/>
  <c r="AG1674" i="11" s="1"/>
  <c r="AF1667" i="11"/>
  <c r="AG1667" i="11" s="1"/>
  <c r="AF1610" i="11"/>
  <c r="AG1610" i="11" s="1"/>
  <c r="AF1596" i="11"/>
  <c r="AG1596" i="11" s="1"/>
  <c r="AF1580" i="11"/>
  <c r="AG1580" i="11" s="1"/>
  <c r="AO1580" i="11" s="1"/>
  <c r="AF1634" i="11"/>
  <c r="AG1634" i="11" s="1"/>
  <c r="AF1602" i="11"/>
  <c r="AG1602" i="11" s="1"/>
  <c r="AF1642" i="11"/>
  <c r="AG1642" i="11" s="1"/>
  <c r="AF1682" i="11"/>
  <c r="AG1682" i="11" s="1"/>
  <c r="AF1680" i="11"/>
  <c r="AG1680" i="11" s="1"/>
  <c r="AF1615" i="11"/>
  <c r="AG1615" i="11" s="1"/>
  <c r="AF1628" i="11"/>
  <c r="AG1628" i="11" s="1"/>
  <c r="AF1653" i="11"/>
  <c r="AG1653" i="11" s="1"/>
  <c r="AF1600" i="11"/>
  <c r="AG1600" i="11" s="1"/>
  <c r="AF1614" i="11"/>
  <c r="AG1614" i="11" s="1"/>
  <c r="AF1593" i="11"/>
  <c r="AG1593" i="11" s="1"/>
  <c r="AF1676" i="11"/>
  <c r="AG1676" i="11" s="1"/>
  <c r="AO1676" i="11" s="1"/>
  <c r="AF1633" i="11"/>
  <c r="AG1633" i="11" s="1"/>
  <c r="AF1625" i="11"/>
  <c r="AG1625" i="11" s="1"/>
  <c r="AF1605" i="11"/>
  <c r="AG1605" i="11" s="1"/>
  <c r="AF1595" i="11"/>
  <c r="AG1595" i="11" s="1"/>
  <c r="AF1657" i="11"/>
  <c r="AG1657" i="11" s="1"/>
  <c r="AO1657" i="11" s="1"/>
  <c r="AF1651" i="11"/>
  <c r="AG1651" i="11" s="1"/>
  <c r="AO1651" i="11" s="1"/>
  <c r="AF1608" i="11"/>
  <c r="AG1608" i="11" s="1"/>
  <c r="AF1583" i="11"/>
  <c r="AG1583" i="11" s="1"/>
  <c r="AF1623" i="11"/>
  <c r="AG1623" i="11" s="1"/>
  <c r="AF1640" i="11"/>
  <c r="AG1640" i="11" s="1"/>
  <c r="AF1656" i="11"/>
  <c r="AG1656" i="11" s="1"/>
  <c r="AF1654" i="11"/>
  <c r="AG1654" i="11" s="1"/>
  <c r="AF1670" i="11"/>
  <c r="AG1670" i="11" s="1"/>
  <c r="AO1670" i="11" s="1"/>
  <c r="AF1649" i="11"/>
  <c r="AG1649" i="11" s="1"/>
  <c r="AF1598" i="11"/>
  <c r="AG1598" i="11" s="1"/>
  <c r="AO1598" i="11" s="1"/>
  <c r="AF1637" i="11"/>
  <c r="AG1637" i="11" s="1"/>
  <c r="AF1648" i="11"/>
  <c r="AG1648" i="11" s="1"/>
  <c r="AF1678" i="11"/>
  <c r="AG1678" i="11" s="1"/>
  <c r="AF1603" i="11"/>
  <c r="AG1603" i="11" s="1"/>
  <c r="AO1603" i="11" s="1"/>
  <c r="AF1597" i="11"/>
  <c r="AG1597" i="11" s="1"/>
  <c r="AO1597" i="11" s="1"/>
  <c r="AF1644" i="11"/>
  <c r="AG1644" i="11" s="1"/>
  <c r="AO1644" i="11" s="1"/>
  <c r="AF1624" i="11"/>
  <c r="AG1624" i="11" s="1"/>
  <c r="AF1613" i="11"/>
  <c r="AG1613" i="11" s="1"/>
  <c r="AF1582" i="11"/>
  <c r="AG1582" i="11" s="1"/>
  <c r="AO1582" i="11" s="1"/>
  <c r="AF1660" i="11"/>
  <c r="AG1660" i="11" s="1"/>
  <c r="AO1660" i="11" s="1"/>
  <c r="AF1626" i="11"/>
  <c r="AG1626" i="11" s="1"/>
  <c r="AF1611" i="11"/>
  <c r="AG1611" i="11" s="1"/>
  <c r="AF1630" i="11"/>
  <c r="AG1630" i="11" s="1"/>
  <c r="AF1645" i="11"/>
  <c r="AG1645" i="11" s="1"/>
  <c r="AF1675" i="11"/>
  <c r="AG1675" i="11" s="1"/>
  <c r="AF1662" i="11"/>
  <c r="AG1662" i="11" s="1"/>
  <c r="AF1599" i="11"/>
  <c r="AG1599" i="11" s="1"/>
  <c r="AO1599" i="11" s="1"/>
  <c r="AF1622" i="11"/>
  <c r="AG1622" i="11" s="1"/>
  <c r="AF1652" i="11"/>
  <c r="AG1652" i="11" s="1"/>
  <c r="AF1590" i="11"/>
  <c r="AG1590" i="11" s="1"/>
  <c r="AF1629" i="11"/>
  <c r="AG1629" i="11" s="1"/>
  <c r="AO1629" i="11" s="1"/>
  <c r="AF1650" i="11"/>
  <c r="AG1650" i="11" s="1"/>
  <c r="AF1601" i="11"/>
  <c r="AG1601" i="11" s="1"/>
  <c r="AF1665" i="11"/>
  <c r="AG1665" i="11" s="1"/>
  <c r="AF1585" i="11"/>
  <c r="AG1585" i="11" s="1"/>
  <c r="AF1647" i="11"/>
  <c r="AG1647" i="11" s="1"/>
  <c r="AF1617" i="11"/>
  <c r="AG1617" i="11" s="1"/>
  <c r="AF1632" i="11"/>
  <c r="AG1632" i="11" s="1"/>
  <c r="AF1661" i="11"/>
  <c r="AG1661" i="11" s="1"/>
  <c r="AF1639" i="11"/>
  <c r="AG1639" i="11" s="1"/>
  <c r="AF1581" i="11"/>
  <c r="AG1581" i="11" s="1"/>
  <c r="AF1655" i="11"/>
  <c r="AG1655" i="11" s="1"/>
  <c r="AO1655" i="11" s="1"/>
  <c r="AF1589" i="11"/>
  <c r="AG1589" i="11" s="1"/>
  <c r="AF1606" i="11"/>
  <c r="AG1606" i="11" s="1"/>
  <c r="AF1673" i="11"/>
  <c r="AG1673" i="11" s="1"/>
  <c r="AF1643" i="11"/>
  <c r="AG1643" i="11" s="1"/>
  <c r="AF1635" i="11"/>
  <c r="AG1635" i="11" s="1"/>
  <c r="AF1619" i="11"/>
  <c r="AG1619" i="11" s="1"/>
  <c r="AF1658" i="11"/>
  <c r="AG1658" i="11" s="1"/>
  <c r="AF1683" i="11"/>
  <c r="AG1683" i="11" s="1"/>
  <c r="AF1677" i="11"/>
  <c r="AG1677" i="11" s="1"/>
  <c r="AF1587" i="11"/>
  <c r="AG1587" i="11" s="1"/>
  <c r="AF1636" i="11"/>
  <c r="AG1636" i="11" s="1"/>
  <c r="AF1659" i="11"/>
  <c r="AG1659" i="11" s="1"/>
  <c r="AF1616" i="11"/>
  <c r="AG1616" i="11" s="1"/>
  <c r="AO1616" i="11" s="1"/>
  <c r="AF1663" i="11"/>
  <c r="AG1663" i="11" s="1"/>
  <c r="AF1671" i="11"/>
  <c r="AG1671" i="11" s="1"/>
  <c r="AF1620" i="11"/>
  <c r="AG1620" i="11" s="1"/>
  <c r="O194" i="54"/>
  <c r="AF1668" i="11"/>
  <c r="AG1668" i="11" s="1"/>
  <c r="AF1666" i="11"/>
  <c r="AG1666" i="11" s="1"/>
  <c r="AF1679" i="11"/>
  <c r="AG1679" i="11" s="1"/>
  <c r="AF1592" i="11"/>
  <c r="AG1592" i="11" s="1"/>
  <c r="AF1627" i="11"/>
  <c r="AG1627" i="11" s="1"/>
  <c r="AF1604" i="11"/>
  <c r="AG1604" i="11" s="1"/>
  <c r="AF1631" i="11"/>
  <c r="AG1631" i="11" s="1"/>
  <c r="AF1607" i="11"/>
  <c r="AG1607" i="11" s="1"/>
  <c r="AO1607" i="11" s="1"/>
  <c r="AF1672" i="11"/>
  <c r="AG1672" i="11" s="1"/>
  <c r="AF1612" i="11"/>
  <c r="AG1612" i="11" s="1"/>
  <c r="AO1612" i="11" s="1"/>
  <c r="AF1681" i="11"/>
  <c r="AG1681" i="11" s="1"/>
  <c r="AO1681" i="11" s="1"/>
  <c r="AF1621" i="11"/>
  <c r="AG1621" i="11" s="1"/>
  <c r="AF1641" i="11"/>
  <c r="AG1641" i="11" s="1"/>
  <c r="AO1641" i="11" s="1"/>
  <c r="AF1669" i="11"/>
  <c r="AG1669" i="11" s="1"/>
  <c r="AF1646" i="11"/>
  <c r="AG1646" i="11" s="1"/>
  <c r="AF342" i="11"/>
  <c r="AG342" i="11" s="1"/>
  <c r="P147" i="54"/>
  <c r="Q147" i="54"/>
  <c r="Q107" i="54"/>
  <c r="P144" i="54"/>
  <c r="AK405" i="11"/>
  <c r="AL405" i="11" s="1"/>
  <c r="N278" i="54"/>
  <c r="AF38" i="11"/>
  <c r="AG38" i="11" s="1"/>
  <c r="AF707" i="11"/>
  <c r="AG707" i="11" s="1"/>
  <c r="AO707" i="11" s="1"/>
  <c r="AI3812" i="11"/>
  <c r="AJ3812" i="11" s="1"/>
  <c r="AI3827" i="11"/>
  <c r="AJ3827" i="11" s="1"/>
  <c r="AI3817" i="11"/>
  <c r="AJ3817" i="11" s="1"/>
  <c r="AI3860" i="11"/>
  <c r="AJ3860" i="11" s="1"/>
  <c r="AI3799" i="11"/>
  <c r="AJ3799" i="11" s="1"/>
  <c r="AI3803" i="11"/>
  <c r="AJ3803" i="11" s="1"/>
  <c r="AI3880" i="11"/>
  <c r="AJ3880" i="11" s="1"/>
  <c r="AI3820" i="11"/>
  <c r="AJ3820" i="11" s="1"/>
  <c r="AI3829" i="11"/>
  <c r="AJ3829" i="11" s="1"/>
  <c r="AI3848" i="11"/>
  <c r="AJ3848" i="11" s="1"/>
  <c r="AI3843" i="11"/>
  <c r="AJ3843" i="11" s="1"/>
  <c r="AI3840" i="11"/>
  <c r="AJ3840" i="11" s="1"/>
  <c r="AI3785" i="11"/>
  <c r="AJ3785" i="11" s="1"/>
  <c r="AI3858" i="11"/>
  <c r="AJ3858" i="11" s="1"/>
  <c r="AI3823" i="11"/>
  <c r="AJ3823" i="11" s="1"/>
  <c r="AI3791" i="11"/>
  <c r="AJ3791" i="11" s="1"/>
  <c r="AI3788" i="11"/>
  <c r="AJ3788" i="11" s="1"/>
  <c r="AI3793" i="11"/>
  <c r="AJ3793" i="11" s="1"/>
  <c r="AI3797" i="11"/>
  <c r="AJ3797" i="11" s="1"/>
  <c r="AI3846" i="11"/>
  <c r="AJ3846" i="11" s="1"/>
  <c r="AI3852" i="11"/>
  <c r="AJ3852" i="11" s="1"/>
  <c r="AI3847" i="11"/>
  <c r="AJ3847" i="11" s="1"/>
  <c r="AI3834" i="11"/>
  <c r="AJ3834" i="11" s="1"/>
  <c r="AI3883" i="11"/>
  <c r="AJ3883" i="11" s="1"/>
  <c r="AI3792" i="11"/>
  <c r="AJ3792" i="11" s="1"/>
  <c r="AI3850" i="11"/>
  <c r="AJ3850" i="11" s="1"/>
  <c r="AI3796" i="11"/>
  <c r="AJ3796" i="11" s="1"/>
  <c r="AI3885" i="11"/>
  <c r="AJ3885" i="11" s="1"/>
  <c r="AI3798" i="11"/>
  <c r="AJ3798" i="11" s="1"/>
  <c r="AI3859" i="11"/>
  <c r="AJ3859" i="11" s="1"/>
  <c r="AI3844" i="11"/>
  <c r="AJ3844" i="11" s="1"/>
  <c r="AI3828" i="11"/>
  <c r="AJ3828" i="11" s="1"/>
  <c r="AI3815" i="11"/>
  <c r="AJ3815" i="11" s="1"/>
  <c r="AI3790" i="11"/>
  <c r="AJ3790" i="11" s="1"/>
  <c r="AI3800" i="11"/>
  <c r="AJ3800" i="11" s="1"/>
  <c r="AI3795" i="11"/>
  <c r="AJ3795" i="11" s="1"/>
  <c r="AI3821" i="11"/>
  <c r="AJ3821" i="11" s="1"/>
  <c r="AI3787" i="11"/>
  <c r="AJ3787" i="11" s="1"/>
  <c r="AI3889" i="11"/>
  <c r="AJ3889" i="11" s="1"/>
  <c r="AI3845" i="11"/>
  <c r="AJ3845" i="11" s="1"/>
  <c r="AI3832" i="11"/>
  <c r="AJ3832" i="11" s="1"/>
  <c r="AI3825" i="11"/>
  <c r="AJ3825" i="11" s="1"/>
  <c r="AI3801" i="11"/>
  <c r="AJ3801" i="11" s="1"/>
  <c r="AI3831" i="11"/>
  <c r="AJ3831" i="11" s="1"/>
  <c r="AI3816" i="11"/>
  <c r="AJ3816" i="11" s="1"/>
  <c r="AI3804" i="11"/>
  <c r="AJ3804" i="11" s="1"/>
  <c r="AI3786" i="11"/>
  <c r="AJ3786" i="11" s="1"/>
  <c r="AI3884" i="11"/>
  <c r="AJ3884" i="11" s="1"/>
  <c r="AI3867" i="11"/>
  <c r="AJ3867" i="11" s="1"/>
  <c r="AI3882" i="11"/>
  <c r="AJ3882" i="11" s="1"/>
  <c r="AI3805" i="11"/>
  <c r="AJ3805" i="11" s="1"/>
  <c r="AI3842" i="11"/>
  <c r="AJ3842" i="11" s="1"/>
  <c r="AI3856" i="11"/>
  <c r="AJ3856" i="11" s="1"/>
  <c r="AI3881" i="11"/>
  <c r="AJ3881" i="11" s="1"/>
  <c r="AI3835" i="11"/>
  <c r="AJ3835" i="11" s="1"/>
  <c r="AI3853" i="11"/>
  <c r="AJ3853" i="11" s="1"/>
  <c r="AI3822" i="11"/>
  <c r="AJ3822" i="11" s="1"/>
  <c r="AI3794" i="11"/>
  <c r="AJ3794" i="11" s="1"/>
  <c r="AI3837" i="11"/>
  <c r="AJ3837" i="11" s="1"/>
  <c r="AI3814" i="11"/>
  <c r="AJ3814" i="11" s="1"/>
  <c r="AI3839" i="11"/>
  <c r="AJ3839" i="11" s="1"/>
  <c r="AI3826" i="11"/>
  <c r="AJ3826" i="11" s="1"/>
  <c r="AI3873" i="11"/>
  <c r="AJ3873" i="11" s="1"/>
  <c r="AI3819" i="11"/>
  <c r="AJ3819" i="11" s="1"/>
  <c r="AI3857" i="11"/>
  <c r="AJ3857" i="11" s="1"/>
  <c r="AI3813" i="11"/>
  <c r="AJ3813" i="11" s="1"/>
  <c r="AI3876" i="11"/>
  <c r="AJ3876" i="11" s="1"/>
  <c r="AI3871" i="11"/>
  <c r="AJ3871" i="11" s="1"/>
  <c r="AI3789" i="11"/>
  <c r="AJ3789" i="11" s="1"/>
  <c r="AI3875" i="11"/>
  <c r="AJ3875" i="11" s="1"/>
  <c r="AI3878" i="11"/>
  <c r="AJ3878" i="11" s="1"/>
  <c r="AI3851" i="11"/>
  <c r="AJ3851" i="11" s="1"/>
  <c r="AI3841" i="11"/>
  <c r="AJ3841" i="11" s="1"/>
  <c r="AI3886" i="11"/>
  <c r="AJ3886" i="11" s="1"/>
  <c r="AI3810" i="11"/>
  <c r="AJ3810" i="11" s="1"/>
  <c r="AI3870" i="11"/>
  <c r="AJ3870" i="11" s="1"/>
  <c r="AI3854" i="11"/>
  <c r="AJ3854" i="11" s="1"/>
  <c r="AI3855" i="11"/>
  <c r="AJ3855" i="11" s="1"/>
  <c r="AI3824" i="11"/>
  <c r="AJ3824" i="11" s="1"/>
  <c r="AI3806" i="11"/>
  <c r="AJ3806" i="11" s="1"/>
  <c r="AI3807" i="11"/>
  <c r="AJ3807" i="11" s="1"/>
  <c r="AI3866" i="11"/>
  <c r="AJ3866" i="11" s="1"/>
  <c r="AI3849" i="11"/>
  <c r="AJ3849" i="11" s="1"/>
  <c r="AI3862" i="11"/>
  <c r="AJ3862" i="11" s="1"/>
  <c r="AI3872" i="11"/>
  <c r="AJ3872" i="11" s="1"/>
  <c r="AI3865" i="11"/>
  <c r="AJ3865" i="11" s="1"/>
  <c r="AI3838" i="11"/>
  <c r="AJ3838" i="11" s="1"/>
  <c r="AI3861" i="11"/>
  <c r="AJ3861" i="11" s="1"/>
  <c r="AI3863" i="11"/>
  <c r="AJ3863" i="11" s="1"/>
  <c r="AI3833" i="11"/>
  <c r="AJ3833" i="11" s="1"/>
  <c r="AI3879" i="11"/>
  <c r="AJ3879" i="11" s="1"/>
  <c r="AI3869" i="11"/>
  <c r="AJ3869" i="11" s="1"/>
  <c r="AI3802" i="11"/>
  <c r="AJ3802" i="11" s="1"/>
  <c r="AI3809" i="11"/>
  <c r="AJ3809" i="11" s="1"/>
  <c r="AI3888" i="11"/>
  <c r="AJ3888" i="11" s="1"/>
  <c r="AI3874" i="11"/>
  <c r="AJ3874" i="11" s="1"/>
  <c r="AI3811" i="11"/>
  <c r="AJ3811" i="11" s="1"/>
  <c r="AK1401" i="11"/>
  <c r="AL1401" i="11" s="1"/>
  <c r="AK1461" i="11"/>
  <c r="AL1461" i="11" s="1"/>
  <c r="AK1390" i="11"/>
  <c r="AL1390" i="11" s="1"/>
  <c r="AK1464" i="11"/>
  <c r="AL1464" i="11" s="1"/>
  <c r="AK1456" i="11"/>
  <c r="AL1456" i="11" s="1"/>
  <c r="AK1413" i="11"/>
  <c r="AL1413" i="11" s="1"/>
  <c r="AK1441" i="11"/>
  <c r="AL1441" i="11" s="1"/>
  <c r="AK1420" i="11"/>
  <c r="AL1420" i="11" s="1"/>
  <c r="AK1425" i="11"/>
  <c r="AL1425" i="11" s="1"/>
  <c r="AK1445" i="11"/>
  <c r="AL1445" i="11" s="1"/>
  <c r="AK1406" i="11"/>
  <c r="AL1406" i="11" s="1"/>
  <c r="AK1473" i="11"/>
  <c r="AL1473" i="11" s="1"/>
  <c r="AK1400" i="11"/>
  <c r="AL1400" i="11" s="1"/>
  <c r="AK1466" i="11"/>
  <c r="AL1466" i="11" s="1"/>
  <c r="AK1427" i="11"/>
  <c r="AL1427" i="11" s="1"/>
  <c r="AK1471" i="11"/>
  <c r="AL1471" i="11" s="1"/>
  <c r="AK1403" i="11"/>
  <c r="AL1403" i="11" s="1"/>
  <c r="AK1465" i="11"/>
  <c r="AL1465" i="11" s="1"/>
  <c r="AK1443" i="11"/>
  <c r="AL1443" i="11" s="1"/>
  <c r="AK1395" i="11"/>
  <c r="AL1395" i="11" s="1"/>
  <c r="AK1448" i="11"/>
  <c r="AL1448" i="11" s="1"/>
  <c r="AK1372" i="11"/>
  <c r="AL1372" i="11" s="1"/>
  <c r="AK1474" i="11"/>
  <c r="AL1474" i="11" s="1"/>
  <c r="AK1399" i="11"/>
  <c r="AL1399" i="11" s="1"/>
  <c r="AK1429" i="11"/>
  <c r="AL1429" i="11" s="1"/>
  <c r="AK1380" i="11"/>
  <c r="AL1380" i="11" s="1"/>
  <c r="AK1412" i="11"/>
  <c r="AL1412" i="11" s="1"/>
  <c r="AK1434" i="11"/>
  <c r="AL1434" i="11" s="1"/>
  <c r="AK1415" i="11"/>
  <c r="AL1415" i="11" s="1"/>
  <c r="AK1421" i="11"/>
  <c r="AL1421" i="11" s="1"/>
  <c r="AK1444" i="11"/>
  <c r="AL1444" i="11" s="1"/>
  <c r="AK1455" i="11"/>
  <c r="AL1455" i="11" s="1"/>
  <c r="AK1453" i="11"/>
  <c r="AL1453" i="11" s="1"/>
  <c r="AK1373" i="11"/>
  <c r="AL1373" i="11" s="1"/>
  <c r="AK1424" i="11"/>
  <c r="AL1424" i="11" s="1"/>
  <c r="AK1379" i="11"/>
  <c r="AL1379" i="11" s="1"/>
  <c r="AK1405" i="11"/>
  <c r="AL1405" i="11" s="1"/>
  <c r="AK1459" i="11"/>
  <c r="AL1459" i="11" s="1"/>
  <c r="AK1422" i="11"/>
  <c r="AL1422" i="11" s="1"/>
  <c r="AK1436" i="11"/>
  <c r="AL1436" i="11" s="1"/>
  <c r="AK1428" i="11"/>
  <c r="AL1428" i="11" s="1"/>
  <c r="AK1417" i="11"/>
  <c r="AL1417" i="11" s="1"/>
  <c r="AK1384" i="11"/>
  <c r="AL1384" i="11" s="1"/>
  <c r="AK1397" i="11"/>
  <c r="AL1397" i="11" s="1"/>
  <c r="AK1387" i="11"/>
  <c r="AL1387" i="11" s="1"/>
  <c r="AK1454" i="11"/>
  <c r="AL1454" i="11" s="1"/>
  <c r="AK1389" i="11"/>
  <c r="AL1389" i="11" s="1"/>
  <c r="AK1457" i="11"/>
  <c r="AL1457" i="11" s="1"/>
  <c r="AK1371" i="11"/>
  <c r="AL1371" i="11" s="1"/>
  <c r="AK1435" i="11"/>
  <c r="AL1435" i="11" s="1"/>
  <c r="AK1449" i="11"/>
  <c r="AL1449" i="11" s="1"/>
  <c r="AK1418" i="11"/>
  <c r="AL1418" i="11" s="1"/>
  <c r="AK1382" i="11"/>
  <c r="AL1382" i="11" s="1"/>
  <c r="AK1411" i="11"/>
  <c r="AL1411" i="11" s="1"/>
  <c r="AK1440" i="11"/>
  <c r="AL1440" i="11" s="1"/>
  <c r="AK1388" i="11"/>
  <c r="AL1388" i="11" s="1"/>
  <c r="AK1463" i="11"/>
  <c r="AL1463" i="11" s="1"/>
  <c r="AK1410" i="11"/>
  <c r="AL1410" i="11" s="1"/>
  <c r="AK1374" i="11"/>
  <c r="AL1374" i="11" s="1"/>
  <c r="AK1433" i="11"/>
  <c r="AL1433" i="11" s="1"/>
  <c r="AK1437" i="11"/>
  <c r="AL1437" i="11" s="1"/>
  <c r="AK1462" i="11"/>
  <c r="AL1462" i="11" s="1"/>
  <c r="AK1409" i="11"/>
  <c r="AL1409" i="11" s="1"/>
  <c r="AK1470" i="11"/>
  <c r="AL1470" i="11" s="1"/>
  <c r="AK1392" i="11"/>
  <c r="AL1392" i="11" s="1"/>
  <c r="AK1452" i="11"/>
  <c r="AL1452" i="11" s="1"/>
  <c r="AK1377" i="11"/>
  <c r="AL1377" i="11" s="1"/>
  <c r="AK1431" i="11"/>
  <c r="AL1431" i="11" s="1"/>
  <c r="AK1446" i="11"/>
  <c r="AL1446" i="11" s="1"/>
  <c r="AK1447" i="11"/>
  <c r="AL1447" i="11" s="1"/>
  <c r="AK1439" i="11"/>
  <c r="AL1439" i="11" s="1"/>
  <c r="AK1430" i="11"/>
  <c r="AL1430" i="11" s="1"/>
  <c r="AK1472" i="11"/>
  <c r="AL1472" i="11" s="1"/>
  <c r="AK1414" i="11"/>
  <c r="AL1414" i="11" s="1"/>
  <c r="AK1385" i="11"/>
  <c r="AL1385" i="11" s="1"/>
  <c r="AK1468" i="11"/>
  <c r="AL1468" i="11" s="1"/>
  <c r="AK1396" i="11"/>
  <c r="AL1396" i="11" s="1"/>
  <c r="AK1375" i="11"/>
  <c r="AL1375" i="11" s="1"/>
  <c r="AK1386" i="11"/>
  <c r="AL1386" i="11" s="1"/>
  <c r="AK1423" i="11"/>
  <c r="AL1423" i="11" s="1"/>
  <c r="AK1402" i="11"/>
  <c r="AL1402" i="11" s="1"/>
  <c r="AK1398" i="11"/>
  <c r="AL1398" i="11" s="1"/>
  <c r="AK1426" i="11"/>
  <c r="AL1426" i="11" s="1"/>
  <c r="AK1469" i="11"/>
  <c r="AL1469" i="11" s="1"/>
  <c r="AK1419" i="11"/>
  <c r="AL1419" i="11" s="1"/>
  <c r="AK1458" i="11"/>
  <c r="AL1458" i="11" s="1"/>
  <c r="AK1407" i="11"/>
  <c r="AL1407" i="11" s="1"/>
  <c r="AK1393" i="11"/>
  <c r="AL1393" i="11" s="1"/>
  <c r="AK1408" i="11"/>
  <c r="AL1408" i="11" s="1"/>
  <c r="AK1370" i="11"/>
  <c r="AL1370" i="11" s="1"/>
  <c r="AK1416" i="11"/>
  <c r="AL1416" i="11" s="1"/>
  <c r="AK1378" i="11"/>
  <c r="AL1378" i="11" s="1"/>
  <c r="AK1394" i="11"/>
  <c r="AL1394" i="11" s="1"/>
  <c r="AK1460" i="11"/>
  <c r="AL1460" i="11" s="1"/>
  <c r="AK1432" i="11"/>
  <c r="AL1432" i="11" s="1"/>
  <c r="AK1450" i="11"/>
  <c r="AL1450" i="11" s="1"/>
  <c r="AK1451" i="11"/>
  <c r="AL1451" i="11" s="1"/>
  <c r="AK1438" i="11"/>
  <c r="AL1438" i="11" s="1"/>
  <c r="AK2535" i="11"/>
  <c r="AL2535" i="11" s="1"/>
  <c r="AD3703" i="11"/>
  <c r="AE3703" i="11" s="1"/>
  <c r="AN3703" i="11" s="1"/>
  <c r="AK2320" i="11"/>
  <c r="AL2320" i="11" s="1"/>
  <c r="AD3537" i="11"/>
  <c r="AE3537" i="11" s="1"/>
  <c r="Q130" i="54"/>
  <c r="AD2115" i="11"/>
  <c r="AE2115" i="11" s="1"/>
  <c r="AD1549" i="11"/>
  <c r="AE1549" i="11" s="1"/>
  <c r="AN1549" i="11" s="1"/>
  <c r="AD3357" i="11"/>
  <c r="AE3357" i="11" s="1"/>
  <c r="AD684" i="11"/>
  <c r="AE684" i="11" s="1"/>
  <c r="AN684" i="11" s="1"/>
  <c r="AI996" i="11"/>
  <c r="AJ996" i="11" s="1"/>
  <c r="AI2533" i="11"/>
  <c r="AJ2533" i="11" s="1"/>
  <c r="AF3858" i="11"/>
  <c r="AG3858" i="11" s="1"/>
  <c r="AI26" i="11"/>
  <c r="AJ26" i="11" s="1"/>
  <c r="AF2580" i="11"/>
  <c r="AG2580" i="11" s="1"/>
  <c r="AI1133" i="11"/>
  <c r="AJ1133" i="11" s="1"/>
  <c r="AI1079" i="11"/>
  <c r="AJ1079" i="11" s="1"/>
  <c r="AI1153" i="11"/>
  <c r="AJ1153" i="11" s="1"/>
  <c r="AI1067" i="11"/>
  <c r="AJ1067" i="11" s="1"/>
  <c r="AI1138" i="11"/>
  <c r="AJ1138" i="11" s="1"/>
  <c r="AI1085" i="11"/>
  <c r="AJ1085" i="11" s="1"/>
  <c r="AI1068" i="11"/>
  <c r="AJ1068" i="11" s="1"/>
  <c r="AI1106" i="11"/>
  <c r="AJ1106" i="11" s="1"/>
  <c r="AI1071" i="11"/>
  <c r="AJ1071" i="11" s="1"/>
  <c r="AI1116" i="11"/>
  <c r="AJ1116" i="11" s="1"/>
  <c r="AI1056" i="11"/>
  <c r="AJ1056" i="11" s="1"/>
  <c r="AI1066" i="11"/>
  <c r="AJ1066" i="11" s="1"/>
  <c r="AI1094" i="11"/>
  <c r="AJ1094" i="11" s="1"/>
  <c r="AI1097" i="11"/>
  <c r="AJ1097" i="11" s="1"/>
  <c r="AI1144" i="11"/>
  <c r="AJ1144" i="11" s="1"/>
  <c r="AI1126" i="11"/>
  <c r="AJ1126" i="11" s="1"/>
  <c r="AI1074" i="11"/>
  <c r="AJ1074" i="11" s="1"/>
  <c r="AI1055" i="11"/>
  <c r="AJ1055" i="11" s="1"/>
  <c r="AI1099" i="11"/>
  <c r="AJ1099" i="11" s="1"/>
  <c r="AI1148" i="11"/>
  <c r="AJ1148" i="11" s="1"/>
  <c r="AI1117" i="11"/>
  <c r="AJ1117" i="11" s="1"/>
  <c r="AI1112" i="11"/>
  <c r="AJ1112" i="11" s="1"/>
  <c r="AI1120" i="11"/>
  <c r="AJ1120" i="11" s="1"/>
  <c r="AI1105" i="11"/>
  <c r="AJ1105" i="11" s="1"/>
  <c r="AI1113" i="11"/>
  <c r="AJ1113" i="11" s="1"/>
  <c r="AI1131" i="11"/>
  <c r="AJ1131" i="11" s="1"/>
  <c r="AI1077" i="11"/>
  <c r="AJ1077" i="11" s="1"/>
  <c r="AI1091" i="11"/>
  <c r="AJ1091" i="11" s="1"/>
  <c r="AI1057" i="11"/>
  <c r="AJ1057" i="11" s="1"/>
  <c r="AI1157" i="11"/>
  <c r="AJ1157" i="11" s="1"/>
  <c r="AI1154" i="11"/>
  <c r="AJ1154" i="11" s="1"/>
  <c r="AI1107" i="11"/>
  <c r="AJ1107" i="11" s="1"/>
  <c r="AI1080" i="11"/>
  <c r="AJ1080" i="11" s="1"/>
  <c r="AI1058" i="11"/>
  <c r="AJ1058" i="11" s="1"/>
  <c r="AI1083" i="11"/>
  <c r="AJ1083" i="11" s="1"/>
  <c r="AI1065" i="11"/>
  <c r="AJ1065" i="11" s="1"/>
  <c r="AI1092" i="11"/>
  <c r="AJ1092" i="11" s="1"/>
  <c r="AI1103" i="11"/>
  <c r="AJ1103" i="11" s="1"/>
  <c r="AI1104" i="11"/>
  <c r="AJ1104" i="11" s="1"/>
  <c r="AI1150" i="11"/>
  <c r="AJ1150" i="11" s="1"/>
  <c r="AI1128" i="11"/>
  <c r="AJ1128" i="11" s="1"/>
  <c r="AI1060" i="11"/>
  <c r="AJ1060" i="11" s="1"/>
  <c r="AI1100" i="11"/>
  <c r="AJ1100" i="11" s="1"/>
  <c r="AI1136" i="11"/>
  <c r="AJ1136" i="11" s="1"/>
  <c r="AI1155" i="11"/>
  <c r="AJ1155" i="11" s="1"/>
  <c r="AI1134" i="11"/>
  <c r="AJ1134" i="11" s="1"/>
  <c r="AI1081" i="11"/>
  <c r="AJ1081" i="11" s="1"/>
  <c r="AI1086" i="11"/>
  <c r="AJ1086" i="11" s="1"/>
  <c r="AI1090" i="11"/>
  <c r="AJ1090" i="11" s="1"/>
  <c r="AI1145" i="11"/>
  <c r="AJ1145" i="11" s="1"/>
  <c r="AI1061" i="11"/>
  <c r="AJ1061" i="11" s="1"/>
  <c r="AI1059" i="11"/>
  <c r="AJ1059" i="11" s="1"/>
  <c r="AI1141" i="11"/>
  <c r="AJ1141" i="11" s="1"/>
  <c r="AI1101" i="11"/>
  <c r="AJ1101" i="11" s="1"/>
  <c r="AI1140" i="11"/>
  <c r="AJ1140" i="11" s="1"/>
  <c r="AI1127" i="11"/>
  <c r="AJ1127" i="11" s="1"/>
  <c r="AI1062" i="11"/>
  <c r="AJ1062" i="11" s="1"/>
  <c r="AI1137" i="11"/>
  <c r="AJ1137" i="11" s="1"/>
  <c r="AI1142" i="11"/>
  <c r="AJ1142" i="11" s="1"/>
  <c r="AI1064" i="11"/>
  <c r="AJ1064" i="11" s="1"/>
  <c r="AI1110" i="11"/>
  <c r="AJ1110" i="11" s="1"/>
  <c r="AI1146" i="11"/>
  <c r="AJ1146" i="11" s="1"/>
  <c r="AI1156" i="11"/>
  <c r="AJ1156" i="11" s="1"/>
  <c r="AI1115" i="11"/>
  <c r="AJ1115" i="11" s="1"/>
  <c r="AI1119" i="11"/>
  <c r="AJ1119" i="11" s="1"/>
  <c r="AI1072" i="11"/>
  <c r="AJ1072" i="11" s="1"/>
  <c r="AI1076" i="11"/>
  <c r="AJ1076" i="11" s="1"/>
  <c r="AI1132" i="11"/>
  <c r="AJ1132" i="11" s="1"/>
  <c r="AI1124" i="11"/>
  <c r="AJ1124" i="11" s="1"/>
  <c r="AI1089" i="11"/>
  <c r="AJ1089" i="11" s="1"/>
  <c r="AI1111" i="11"/>
  <c r="AJ1111" i="11" s="1"/>
  <c r="AI1108" i="11"/>
  <c r="AJ1108" i="11" s="1"/>
  <c r="AI1082" i="11"/>
  <c r="AJ1082" i="11" s="1"/>
  <c r="AI1151" i="11"/>
  <c r="AJ1151" i="11" s="1"/>
  <c r="AI1143" i="11"/>
  <c r="AJ1143" i="11" s="1"/>
  <c r="AI1135" i="11"/>
  <c r="AJ1135" i="11" s="1"/>
  <c r="AI1130" i="11"/>
  <c r="AJ1130" i="11" s="1"/>
  <c r="AI1114" i="11"/>
  <c r="AJ1114" i="11" s="1"/>
  <c r="AI1125" i="11"/>
  <c r="AJ1125" i="11" s="1"/>
  <c r="AI1075" i="11"/>
  <c r="AJ1075" i="11" s="1"/>
  <c r="AI1118" i="11"/>
  <c r="AJ1118" i="11" s="1"/>
  <c r="AI1078" i="11"/>
  <c r="AJ1078" i="11" s="1"/>
  <c r="AI1109" i="11"/>
  <c r="AJ1109" i="11" s="1"/>
  <c r="AI1129" i="11"/>
  <c r="AJ1129" i="11" s="1"/>
  <c r="AI1149" i="11"/>
  <c r="AJ1149" i="11" s="1"/>
  <c r="AI1073" i="11"/>
  <c r="AJ1073" i="11" s="1"/>
  <c r="AI1159" i="11"/>
  <c r="AJ1159" i="11" s="1"/>
  <c r="AI1158" i="11"/>
  <c r="AJ1158" i="11" s="1"/>
  <c r="AI1093" i="11"/>
  <c r="AJ1093" i="11" s="1"/>
  <c r="AI1123" i="11"/>
  <c r="AJ1123" i="11" s="1"/>
  <c r="AI1088" i="11"/>
  <c r="AJ1088" i="11" s="1"/>
  <c r="AI1084" i="11"/>
  <c r="AJ1084" i="11" s="1"/>
  <c r="AI1095" i="11"/>
  <c r="AJ1095" i="11" s="1"/>
  <c r="AI1102" i="11"/>
  <c r="AJ1102" i="11" s="1"/>
  <c r="AI1121" i="11"/>
  <c r="AJ1121" i="11" s="1"/>
  <c r="AI1087" i="11"/>
  <c r="AJ1087" i="11" s="1"/>
  <c r="AI1069" i="11"/>
  <c r="AJ1069" i="11" s="1"/>
  <c r="AK798" i="11"/>
  <c r="AL798" i="11" s="1"/>
  <c r="N282" i="54"/>
  <c r="AD1612" i="11"/>
  <c r="AE1612" i="11" s="1"/>
  <c r="AI151" i="11"/>
  <c r="AJ151" i="11" s="1"/>
  <c r="AI165" i="11"/>
  <c r="AJ165" i="11" s="1"/>
  <c r="AI197" i="11"/>
  <c r="AJ197" i="11" s="1"/>
  <c r="AI207" i="11"/>
  <c r="AJ207" i="11" s="1"/>
  <c r="AI198" i="11"/>
  <c r="AJ198" i="11" s="1"/>
  <c r="AI121" i="11"/>
  <c r="AJ121" i="11" s="1"/>
  <c r="AI201" i="11"/>
  <c r="AJ201" i="11" s="1"/>
  <c r="AI168" i="11"/>
  <c r="AJ168" i="11" s="1"/>
  <c r="AI126" i="11"/>
  <c r="AJ126" i="11" s="1"/>
  <c r="AI118" i="11"/>
  <c r="AJ118" i="11" s="1"/>
  <c r="AI120" i="11"/>
  <c r="AJ120" i="11" s="1"/>
  <c r="AI143" i="11"/>
  <c r="AJ143" i="11" s="1"/>
  <c r="AI208" i="11"/>
  <c r="AJ208" i="11" s="1"/>
  <c r="AI110" i="11"/>
  <c r="AJ110" i="11" s="1"/>
  <c r="AI174" i="11"/>
  <c r="AJ174" i="11" s="1"/>
  <c r="AI163" i="11"/>
  <c r="AJ163" i="11" s="1"/>
  <c r="AI129" i="11"/>
  <c r="AJ129" i="11" s="1"/>
  <c r="AI148" i="11"/>
  <c r="AJ148" i="11" s="1"/>
  <c r="AI212" i="11"/>
  <c r="AJ212" i="11" s="1"/>
  <c r="AI136" i="11"/>
  <c r="AJ136" i="11" s="1"/>
  <c r="AI119" i="11"/>
  <c r="AJ119" i="11" s="1"/>
  <c r="AI160" i="11"/>
  <c r="AJ160" i="11" s="1"/>
  <c r="AI150" i="11"/>
  <c r="AJ150" i="11" s="1"/>
  <c r="AI158" i="11"/>
  <c r="AJ158" i="11" s="1"/>
  <c r="AI180" i="11"/>
  <c r="AJ180" i="11" s="1"/>
  <c r="AI111" i="11"/>
  <c r="AJ111" i="11" s="1"/>
  <c r="AI125" i="11"/>
  <c r="AJ125" i="11" s="1"/>
  <c r="AI115" i="11"/>
  <c r="AJ115" i="11" s="1"/>
  <c r="AI132" i="11"/>
  <c r="AJ132" i="11" s="1"/>
  <c r="AI149" i="11"/>
  <c r="AJ149" i="11" s="1"/>
  <c r="AI175" i="11"/>
  <c r="AJ175" i="11" s="1"/>
  <c r="AI113" i="11"/>
  <c r="AJ113" i="11" s="1"/>
  <c r="AI142" i="11"/>
  <c r="AJ142" i="11" s="1"/>
  <c r="AI117" i="11"/>
  <c r="AJ117" i="11" s="1"/>
  <c r="AI188" i="11"/>
  <c r="AJ188" i="11" s="1"/>
  <c r="AI191" i="11"/>
  <c r="AJ191" i="11" s="1"/>
  <c r="AI181" i="11"/>
  <c r="AJ181" i="11" s="1"/>
  <c r="AI138" i="11"/>
  <c r="AJ138" i="11" s="1"/>
  <c r="AI153" i="11"/>
  <c r="AJ153" i="11" s="1"/>
  <c r="AI203" i="11"/>
  <c r="AJ203" i="11" s="1"/>
  <c r="AI183" i="11"/>
  <c r="AJ183" i="11" s="1"/>
  <c r="AI187" i="11"/>
  <c r="AJ187" i="11" s="1"/>
  <c r="AI196" i="11"/>
  <c r="AJ196" i="11" s="1"/>
  <c r="AI116" i="11"/>
  <c r="AJ116" i="11" s="1"/>
  <c r="AI211" i="11"/>
  <c r="AJ211" i="11" s="1"/>
  <c r="AI200" i="11"/>
  <c r="AJ200" i="11" s="1"/>
  <c r="AI144" i="11"/>
  <c r="AJ144" i="11" s="1"/>
  <c r="AI204" i="11"/>
  <c r="AJ204" i="11" s="1"/>
  <c r="AI157" i="11"/>
  <c r="AJ157" i="11" s="1"/>
  <c r="AI169" i="11"/>
  <c r="AJ169" i="11" s="1"/>
  <c r="AI112" i="11"/>
  <c r="AJ112" i="11" s="1"/>
  <c r="AI133" i="11"/>
  <c r="AJ133" i="11" s="1"/>
  <c r="AI179" i="11"/>
  <c r="AJ179" i="11" s="1"/>
  <c r="AI167" i="11"/>
  <c r="AJ167" i="11" s="1"/>
  <c r="AI192" i="11"/>
  <c r="AJ192" i="11" s="1"/>
  <c r="AI139" i="11"/>
  <c r="AJ139" i="11" s="1"/>
  <c r="AI186" i="11"/>
  <c r="AJ186" i="11" s="1"/>
  <c r="AI159" i="11"/>
  <c r="AJ159" i="11" s="1"/>
  <c r="AI184" i="11"/>
  <c r="AJ184" i="11" s="1"/>
  <c r="AN184" i="11" s="1"/>
  <c r="AI206" i="11"/>
  <c r="AJ206" i="11" s="1"/>
  <c r="AI166" i="11"/>
  <c r="AJ166" i="11" s="1"/>
  <c r="AI124" i="11"/>
  <c r="AJ124" i="11" s="1"/>
  <c r="AI152" i="11"/>
  <c r="AJ152" i="11" s="1"/>
  <c r="AI134" i="11"/>
  <c r="AJ134" i="11" s="1"/>
  <c r="AI193" i="11"/>
  <c r="AJ193" i="11" s="1"/>
  <c r="AI140" i="11"/>
  <c r="AJ140" i="11" s="1"/>
  <c r="AI214" i="11"/>
  <c r="AJ214" i="11" s="1"/>
  <c r="AI147" i="11"/>
  <c r="AJ147" i="11" s="1"/>
  <c r="AI145" i="11"/>
  <c r="AJ145" i="11" s="1"/>
  <c r="AI178" i="11"/>
  <c r="AJ178" i="11" s="1"/>
  <c r="AI210" i="11"/>
  <c r="AJ210" i="11" s="1"/>
  <c r="AI122" i="11"/>
  <c r="AJ122" i="11" s="1"/>
  <c r="AI154" i="11"/>
  <c r="AJ154" i="11" s="1"/>
  <c r="AI205" i="11"/>
  <c r="AJ205" i="11" s="1"/>
  <c r="AI162" i="11"/>
  <c r="AJ162" i="11" s="1"/>
  <c r="AI170" i="11"/>
  <c r="AJ170" i="11" s="1"/>
  <c r="AI189" i="11"/>
  <c r="AJ189" i="11" s="1"/>
  <c r="AI177" i="11"/>
  <c r="AJ177" i="11" s="1"/>
  <c r="AI130" i="11"/>
  <c r="AJ130" i="11" s="1"/>
  <c r="AI195" i="11"/>
  <c r="AJ195" i="11" s="1"/>
  <c r="AI194" i="11"/>
  <c r="AJ194" i="11" s="1"/>
  <c r="AI199" i="11"/>
  <c r="AJ199" i="11" s="1"/>
  <c r="AI131" i="11"/>
  <c r="AJ131" i="11" s="1"/>
  <c r="AI114" i="11"/>
  <c r="AJ114" i="11" s="1"/>
  <c r="AI127" i="11"/>
  <c r="AJ127" i="11" s="1"/>
  <c r="AI128" i="11"/>
  <c r="AJ128" i="11" s="1"/>
  <c r="AI137" i="11"/>
  <c r="AJ137" i="11" s="1"/>
  <c r="AI141" i="11"/>
  <c r="AJ141" i="11" s="1"/>
  <c r="AI146" i="11"/>
  <c r="AJ146" i="11" s="1"/>
  <c r="AI173" i="11"/>
  <c r="AJ173" i="11" s="1"/>
  <c r="AI161" i="11"/>
  <c r="AJ161" i="11" s="1"/>
  <c r="AI202" i="11"/>
  <c r="AJ202" i="11" s="1"/>
  <c r="AI185" i="11"/>
  <c r="AJ185" i="11" s="1"/>
  <c r="AI123" i="11"/>
  <c r="AJ123" i="11" s="1"/>
  <c r="AI176" i="11"/>
  <c r="AJ176" i="11" s="1"/>
  <c r="AK1138" i="11"/>
  <c r="AL1138" i="11" s="1"/>
  <c r="AF3778" i="11"/>
  <c r="AG3778" i="11" s="1"/>
  <c r="AO3778" i="11" s="1"/>
  <c r="AF1891" i="11"/>
  <c r="AG1891" i="11" s="1"/>
  <c r="AO1891" i="11" s="1"/>
  <c r="AF1195" i="11"/>
  <c r="AG1195" i="11" s="1"/>
  <c r="AO1195" i="11" s="1"/>
  <c r="AD2931" i="11"/>
  <c r="AE2931" i="11" s="1"/>
  <c r="AF1190" i="11"/>
  <c r="AG1190" i="11" s="1"/>
  <c r="AO1190" i="11" s="1"/>
  <c r="AI3140" i="11"/>
  <c r="AJ3140" i="11" s="1"/>
  <c r="P134" i="54"/>
  <c r="AK3855" i="11"/>
  <c r="AL3855" i="11" s="1"/>
  <c r="AF3277" i="11"/>
  <c r="AG3277" i="11" s="1"/>
  <c r="AI3403" i="11"/>
  <c r="AJ3403" i="11" s="1"/>
  <c r="AK3335" i="11"/>
  <c r="AL3335" i="11" s="1"/>
  <c r="AF2923" i="11"/>
  <c r="AG2923" i="11" s="1"/>
  <c r="AO2923" i="11" s="1"/>
  <c r="AD56" i="11"/>
  <c r="AE56" i="11" s="1"/>
  <c r="AI1692" i="11"/>
  <c r="AJ1692" i="11" s="1"/>
  <c r="AD674" i="11"/>
  <c r="AE674" i="11" s="1"/>
  <c r="AI569" i="11"/>
  <c r="AJ569" i="11" s="1"/>
  <c r="AD3543" i="11"/>
  <c r="AE3543" i="11" s="1"/>
  <c r="AI3604" i="11"/>
  <c r="AJ3604" i="11" s="1"/>
  <c r="AF88" i="11"/>
  <c r="AG88" i="11" s="1"/>
  <c r="AF2991" i="11"/>
  <c r="AG2991" i="11" s="1"/>
  <c r="AF1826" i="11"/>
  <c r="AG1826" i="11" s="1"/>
  <c r="AO1826" i="11" s="1"/>
  <c r="AD3877" i="11"/>
  <c r="AE3877" i="11" s="1"/>
  <c r="AD3511" i="11"/>
  <c r="AE3511" i="11" s="1"/>
  <c r="AI612" i="11"/>
  <c r="AJ612" i="11" s="1"/>
  <c r="AD2904" i="11"/>
  <c r="AE2904" i="11" s="1"/>
  <c r="AN2904" i="11" s="1"/>
  <c r="AI460" i="11"/>
  <c r="AJ460" i="11" s="1"/>
  <c r="AD732" i="11"/>
  <c r="AE732" i="11" s="1"/>
  <c r="AN732" i="11" s="1"/>
  <c r="AF3238" i="11"/>
  <c r="AG3238" i="11" s="1"/>
  <c r="AO3238" i="11" s="1"/>
  <c r="AD105" i="11"/>
  <c r="AE105" i="11" s="1"/>
  <c r="AD465" i="11"/>
  <c r="AE465" i="11" s="1"/>
  <c r="AF3190" i="11"/>
  <c r="AG3190" i="11" s="1"/>
  <c r="AK193" i="11"/>
  <c r="AL193" i="11" s="1"/>
  <c r="AD1629" i="11"/>
  <c r="AE1629" i="11" s="1"/>
  <c r="AK261" i="11"/>
  <c r="AL261" i="11" s="1"/>
  <c r="AK605" i="11"/>
  <c r="AL605" i="11" s="1"/>
  <c r="AI928" i="11"/>
  <c r="AJ928" i="11" s="1"/>
  <c r="AD1715" i="11"/>
  <c r="AE1715" i="11" s="1"/>
  <c r="AN1715" i="11" s="1"/>
  <c r="AK552" i="11"/>
  <c r="AL552" i="11" s="1"/>
  <c r="AI1290" i="11"/>
  <c r="AJ1290" i="11" s="1"/>
  <c r="AD1208" i="11"/>
  <c r="AE1208" i="11" s="1"/>
  <c r="AN1208" i="11" s="1"/>
  <c r="AK480" i="11"/>
  <c r="AL480" i="11" s="1"/>
  <c r="AI2853" i="11"/>
  <c r="AJ2853" i="11" s="1"/>
  <c r="AK806" i="11"/>
  <c r="AL806" i="11" s="1"/>
  <c r="AK3651" i="11"/>
  <c r="AL3651" i="11" s="1"/>
  <c r="AI1744" i="11"/>
  <c r="AJ1744" i="11" s="1"/>
  <c r="AI2823" i="11"/>
  <c r="AJ2823" i="11" s="1"/>
  <c r="N257" i="54"/>
  <c r="AD2856" i="11"/>
  <c r="AE2856" i="11" s="1"/>
  <c r="AI1443" i="11"/>
  <c r="AJ1443" i="11" s="1"/>
  <c r="AI267" i="11"/>
  <c r="AJ267" i="11" s="1"/>
  <c r="AK2953" i="11"/>
  <c r="AL2953" i="11" s="1"/>
  <c r="AI3287" i="11"/>
  <c r="AJ3287" i="11" s="1"/>
  <c r="AK266" i="11"/>
  <c r="AL266" i="11" s="1"/>
  <c r="AI3469" i="11"/>
  <c r="AJ3469" i="11" s="1"/>
  <c r="AI794" i="11"/>
  <c r="AJ794" i="11" s="1"/>
  <c r="AI578" i="11"/>
  <c r="AJ578" i="11" s="1"/>
  <c r="AI3296" i="11"/>
  <c r="AJ3296" i="11" s="1"/>
  <c r="AK3225" i="11"/>
  <c r="AL3225" i="11" s="1"/>
  <c r="AK3542" i="11"/>
  <c r="AL3542" i="11" s="1"/>
  <c r="AI2569" i="11"/>
  <c r="AJ2569" i="11" s="1"/>
  <c r="AK3812" i="11"/>
  <c r="AL3812" i="11" s="1"/>
  <c r="AI2277" i="11"/>
  <c r="AJ2277" i="11" s="1"/>
  <c r="AK3633" i="11"/>
  <c r="AL3633" i="11" s="1"/>
  <c r="AF3565" i="11"/>
  <c r="AG3565" i="11" s="1"/>
  <c r="AI1456" i="11"/>
  <c r="AJ1456" i="11" s="1"/>
  <c r="AI2931" i="11"/>
  <c r="AJ2931" i="11" s="1"/>
  <c r="AK3148" i="11"/>
  <c r="AL3148" i="11" s="1"/>
  <c r="AF3746" i="11"/>
  <c r="AG3746" i="11" s="1"/>
  <c r="AO3746" i="11" s="1"/>
  <c r="AD1830" i="11"/>
  <c r="AE1830" i="11" s="1"/>
  <c r="AN1830" i="11" s="1"/>
  <c r="AD74" i="11"/>
  <c r="AE74" i="11" s="1"/>
  <c r="AI2253" i="11"/>
  <c r="AJ2253" i="11" s="1"/>
  <c r="AI2256" i="11"/>
  <c r="AJ2256" i="11" s="1"/>
  <c r="AD3794" i="11"/>
  <c r="AE3794" i="11" s="1"/>
  <c r="AD477" i="11"/>
  <c r="AE477" i="11" s="1"/>
  <c r="AI3576" i="11"/>
  <c r="AJ3576" i="11" s="1"/>
  <c r="AD805" i="11"/>
  <c r="AE805" i="11" s="1"/>
  <c r="AN805" i="11" s="1"/>
  <c r="AF3257" i="11"/>
  <c r="AG3257" i="11" s="1"/>
  <c r="AO3257" i="11" s="1"/>
  <c r="AF1842" i="11"/>
  <c r="AG1842" i="11" s="1"/>
  <c r="AO1842" i="11" s="1"/>
  <c r="AK636" i="11"/>
  <c r="AL636" i="11" s="1"/>
  <c r="AF2287" i="11"/>
  <c r="AG2287" i="11" s="1"/>
  <c r="AI182" i="11"/>
  <c r="AJ182" i="11" s="1"/>
  <c r="AD2670" i="11"/>
  <c r="AE2670" i="11" s="1"/>
  <c r="AK2651" i="11"/>
  <c r="AL2651" i="11" s="1"/>
  <c r="AD3650" i="11"/>
  <c r="AE3650" i="11" s="1"/>
  <c r="AI83" i="11"/>
  <c r="AJ83" i="11" s="1"/>
  <c r="AN83" i="11" s="1"/>
  <c r="N180" i="54"/>
  <c r="AK3342" i="11"/>
  <c r="AL3342" i="11" s="1"/>
  <c r="AI2161" i="11"/>
  <c r="AJ2161" i="11" s="1"/>
  <c r="AD2450" i="11"/>
  <c r="AE2450" i="11" s="1"/>
  <c r="AN2450" i="11" s="1"/>
  <c r="AK3545" i="11"/>
  <c r="AL3545" i="11" s="1"/>
  <c r="AO3545" i="11" s="1"/>
  <c r="AF2443" i="11"/>
  <c r="AG2443" i="11" s="1"/>
  <c r="AD2469" i="11"/>
  <c r="AE2469" i="11" s="1"/>
  <c r="AI3028" i="11"/>
  <c r="AJ3028" i="11" s="1"/>
  <c r="AK3066" i="11"/>
  <c r="AL3066" i="11" s="1"/>
  <c r="AK3699" i="11"/>
  <c r="AL3699" i="11" s="1"/>
  <c r="AK889" i="11"/>
  <c r="AL889" i="11" s="1"/>
  <c r="AK1383" i="11"/>
  <c r="AL1383" i="11" s="1"/>
  <c r="AK1970" i="11"/>
  <c r="AL1970" i="11" s="1"/>
  <c r="AK1376" i="11"/>
  <c r="AL1376" i="11" s="1"/>
  <c r="AK2627" i="11"/>
  <c r="AL2627" i="11" s="1"/>
  <c r="AF1058" i="11"/>
  <c r="AG1058" i="11" s="1"/>
  <c r="AO1058" i="11" s="1"/>
  <c r="AI883" i="11"/>
  <c r="AJ883" i="11" s="1"/>
  <c r="AD1557" i="11"/>
  <c r="AE1557" i="11" s="1"/>
  <c r="AK2815" i="11"/>
  <c r="AL2815" i="11" s="1"/>
  <c r="AK2683" i="11"/>
  <c r="AL2683" i="11" s="1"/>
  <c r="AD386" i="11"/>
  <c r="AE386" i="11" s="1"/>
  <c r="AN386" i="11" s="1"/>
  <c r="AF615" i="11"/>
  <c r="AG615" i="11" s="1"/>
  <c r="AO615" i="11" s="1"/>
  <c r="AK2342" i="11"/>
  <c r="AL2342" i="11" s="1"/>
  <c r="AD1685" i="11"/>
  <c r="AE1685" i="11" s="1"/>
  <c r="AN1685" i="11" s="1"/>
  <c r="AF3183" i="11"/>
  <c r="AG3183" i="11" s="1"/>
  <c r="AO3183" i="11" s="1"/>
  <c r="AD1240" i="11"/>
  <c r="AE1240" i="11" s="1"/>
  <c r="AI1435" i="11"/>
  <c r="AJ1435" i="11" s="1"/>
  <c r="AD812" i="11"/>
  <c r="AE812" i="11" s="1"/>
  <c r="AF2875" i="11"/>
  <c r="AG2875" i="11" s="1"/>
  <c r="AO2875" i="11" s="1"/>
  <c r="AK3292" i="11"/>
  <c r="AL3292" i="11" s="1"/>
  <c r="AD3800" i="11"/>
  <c r="AE3800" i="11" s="1"/>
  <c r="AF3830" i="11"/>
  <c r="AG3830" i="11" s="1"/>
  <c r="AK1283" i="11"/>
  <c r="AL1283" i="11" s="1"/>
  <c r="AK3240" i="11"/>
  <c r="AL3240" i="11" s="1"/>
  <c r="AF366" i="11"/>
  <c r="AG366" i="11" s="1"/>
  <c r="AF1519" i="11"/>
  <c r="AG1519" i="11" s="1"/>
  <c r="AF1063" i="11"/>
  <c r="AG1063" i="11" s="1"/>
  <c r="AO1063" i="11" s="1"/>
  <c r="AI1033" i="11"/>
  <c r="AJ1033" i="11" s="1"/>
  <c r="AI1366" i="11"/>
  <c r="AJ1366" i="11" s="1"/>
  <c r="AD2773" i="11"/>
  <c r="AE2773" i="11" s="1"/>
  <c r="AI430" i="11"/>
  <c r="AJ430" i="11" s="1"/>
  <c r="AF450" i="11"/>
  <c r="AG450" i="11" s="1"/>
  <c r="AF998" i="11"/>
  <c r="AG998" i="11" s="1"/>
  <c r="AO998" i="11" s="1"/>
  <c r="AF224" i="11"/>
  <c r="AG224" i="11" s="1"/>
  <c r="AD1053" i="11"/>
  <c r="AE1053" i="11" s="1"/>
  <c r="AI1530" i="11"/>
  <c r="AJ1530" i="11" s="1"/>
  <c r="AF3134" i="11"/>
  <c r="AG3134" i="11" s="1"/>
  <c r="AO3134" i="11" s="1"/>
  <c r="AI3404" i="11"/>
  <c r="AJ3404" i="11" s="1"/>
  <c r="AK2438" i="11"/>
  <c r="AL2438" i="11" s="1"/>
  <c r="AI1221" i="11"/>
  <c r="AJ1221" i="11" s="1"/>
  <c r="AD2321" i="11"/>
  <c r="AE2321" i="11" s="1"/>
  <c r="AK1952" i="11"/>
  <c r="AL1952" i="11" s="1"/>
  <c r="AK1307" i="11"/>
  <c r="AL1307" i="11" s="1"/>
  <c r="AI2318" i="11"/>
  <c r="AJ2318" i="11" s="1"/>
  <c r="AF1073" i="11"/>
  <c r="AG1073" i="11" s="1"/>
  <c r="AD2867" i="11"/>
  <c r="AE2867" i="11" s="1"/>
  <c r="AN2867" i="11" s="1"/>
  <c r="AF248" i="11"/>
  <c r="AG248" i="11" s="1"/>
  <c r="AF1280" i="11"/>
  <c r="AG1280" i="11" s="1"/>
  <c r="AD909" i="11"/>
  <c r="AE909" i="11" s="1"/>
  <c r="AN909" i="11" s="1"/>
  <c r="AI3868" i="11"/>
  <c r="AJ3868" i="11" s="1"/>
  <c r="AI2684" i="11"/>
  <c r="AJ2684" i="11" s="1"/>
  <c r="AF554" i="11"/>
  <c r="AG554" i="11" s="1"/>
  <c r="AO554" i="11" s="1"/>
  <c r="AF322" i="11"/>
  <c r="AG322" i="11" s="1"/>
  <c r="AO322" i="11" s="1"/>
  <c r="AI396" i="11"/>
  <c r="AJ396" i="11" s="1"/>
  <c r="AI3753" i="11"/>
  <c r="AJ3753" i="11" s="1"/>
  <c r="AD3669" i="11"/>
  <c r="AE3669" i="11" s="1"/>
  <c r="AN3669" i="11" s="1"/>
  <c r="AF565" i="11"/>
  <c r="AG565" i="11" s="1"/>
  <c r="AF3620" i="11"/>
  <c r="AG3620" i="11" s="1"/>
  <c r="AO3620" i="11" s="1"/>
  <c r="AK537" i="11"/>
  <c r="AL537" i="11" s="1"/>
  <c r="AI3105" i="11"/>
  <c r="AJ3105" i="11" s="1"/>
  <c r="AI3100" i="11"/>
  <c r="AJ3100" i="11" s="1"/>
  <c r="AI3072" i="11"/>
  <c r="AJ3072" i="11" s="1"/>
  <c r="AI3094" i="11"/>
  <c r="AJ3094" i="11" s="1"/>
  <c r="AI3077" i="11"/>
  <c r="AJ3077" i="11" s="1"/>
  <c r="AI3121" i="11"/>
  <c r="AJ3121" i="11" s="1"/>
  <c r="AI3084" i="11"/>
  <c r="AJ3084" i="11" s="1"/>
  <c r="AI3093" i="11"/>
  <c r="AJ3093" i="11" s="1"/>
  <c r="AI3080" i="11"/>
  <c r="AJ3080" i="11" s="1"/>
  <c r="AI3141" i="11"/>
  <c r="AJ3141" i="11" s="1"/>
  <c r="AI3063" i="11"/>
  <c r="AJ3063" i="11" s="1"/>
  <c r="AI3151" i="11"/>
  <c r="AJ3151" i="11" s="1"/>
  <c r="AI3113" i="11"/>
  <c r="AJ3113" i="11" s="1"/>
  <c r="AI3125" i="11"/>
  <c r="AJ3125" i="11" s="1"/>
  <c r="AI3119" i="11"/>
  <c r="AJ3119" i="11" s="1"/>
  <c r="AI3139" i="11"/>
  <c r="AJ3139" i="11" s="1"/>
  <c r="AI3154" i="11"/>
  <c r="AJ3154" i="11" s="1"/>
  <c r="AI3122" i="11"/>
  <c r="AJ3122" i="11" s="1"/>
  <c r="AI3142" i="11"/>
  <c r="AJ3142" i="11" s="1"/>
  <c r="AI3152" i="11"/>
  <c r="AJ3152" i="11" s="1"/>
  <c r="AI3147" i="11"/>
  <c r="AJ3147" i="11" s="1"/>
  <c r="AI3095" i="11"/>
  <c r="AJ3095" i="11" s="1"/>
  <c r="AI3064" i="11"/>
  <c r="AJ3064" i="11" s="1"/>
  <c r="AI3082" i="11"/>
  <c r="AJ3082" i="11" s="1"/>
  <c r="AI3056" i="11"/>
  <c r="AJ3056" i="11" s="1"/>
  <c r="AI3076" i="11"/>
  <c r="AJ3076" i="11" s="1"/>
  <c r="AI3054" i="11"/>
  <c r="AJ3054" i="11" s="1"/>
  <c r="AI3059" i="11"/>
  <c r="AJ3059" i="11" s="1"/>
  <c r="AI3101" i="11"/>
  <c r="AJ3101" i="11" s="1"/>
  <c r="AI3083" i="11"/>
  <c r="AJ3083" i="11" s="1"/>
  <c r="AI3144" i="11"/>
  <c r="AJ3144" i="11" s="1"/>
  <c r="AI3092" i="11"/>
  <c r="AJ3092" i="11" s="1"/>
  <c r="AI3143" i="11"/>
  <c r="AJ3143" i="11" s="1"/>
  <c r="AI3090" i="11"/>
  <c r="AJ3090" i="11" s="1"/>
  <c r="AI3132" i="11"/>
  <c r="AJ3132" i="11" s="1"/>
  <c r="AI3117" i="11"/>
  <c r="AJ3117" i="11" s="1"/>
  <c r="AI3089" i="11"/>
  <c r="AJ3089" i="11" s="1"/>
  <c r="AI3118" i="11"/>
  <c r="AJ3118" i="11" s="1"/>
  <c r="AI3069" i="11"/>
  <c r="AJ3069" i="11" s="1"/>
  <c r="AI3150" i="11"/>
  <c r="AJ3150" i="11" s="1"/>
  <c r="AI3079" i="11"/>
  <c r="AJ3079" i="11" s="1"/>
  <c r="AI3098" i="11"/>
  <c r="AJ3098" i="11" s="1"/>
  <c r="AI3112" i="11"/>
  <c r="AJ3112" i="11" s="1"/>
  <c r="AI3053" i="11"/>
  <c r="AJ3053" i="11" s="1"/>
  <c r="AI3103" i="11"/>
  <c r="AJ3103" i="11" s="1"/>
  <c r="AI3060" i="11"/>
  <c r="AJ3060" i="11" s="1"/>
  <c r="AI3109" i="11"/>
  <c r="AJ3109" i="11" s="1"/>
  <c r="AI3085" i="11"/>
  <c r="AJ3085" i="11" s="1"/>
  <c r="AI3099" i="11"/>
  <c r="AJ3099" i="11" s="1"/>
  <c r="AI3106" i="11"/>
  <c r="AJ3106" i="11" s="1"/>
  <c r="AI3058" i="11"/>
  <c r="AJ3058" i="11" s="1"/>
  <c r="AI3075" i="11"/>
  <c r="AJ3075" i="11" s="1"/>
  <c r="AI3108" i="11"/>
  <c r="AJ3108" i="11" s="1"/>
  <c r="AI3115" i="11"/>
  <c r="AJ3115" i="11" s="1"/>
  <c r="AI3061" i="11"/>
  <c r="AJ3061" i="11" s="1"/>
  <c r="AI3071" i="11"/>
  <c r="AJ3071" i="11" s="1"/>
  <c r="AI3124" i="11"/>
  <c r="AJ3124" i="11" s="1"/>
  <c r="AI3135" i="11"/>
  <c r="AJ3135" i="11" s="1"/>
  <c r="AI3145" i="11"/>
  <c r="AJ3145" i="11" s="1"/>
  <c r="AI3148" i="11"/>
  <c r="AJ3148" i="11" s="1"/>
  <c r="AI3126" i="11"/>
  <c r="AJ3126" i="11" s="1"/>
  <c r="AI3062" i="11"/>
  <c r="AJ3062" i="11" s="1"/>
  <c r="AI3087" i="11"/>
  <c r="AJ3087" i="11" s="1"/>
  <c r="AI3116" i="11"/>
  <c r="AJ3116" i="11" s="1"/>
  <c r="AI3088" i="11"/>
  <c r="AJ3088" i="11" s="1"/>
  <c r="AI3067" i="11"/>
  <c r="AJ3067" i="11" s="1"/>
  <c r="AI3086" i="11"/>
  <c r="AJ3086" i="11" s="1"/>
  <c r="AI3107" i="11"/>
  <c r="AJ3107" i="11" s="1"/>
  <c r="AI3074" i="11"/>
  <c r="AJ3074" i="11" s="1"/>
  <c r="AI3128" i="11"/>
  <c r="AJ3128" i="11" s="1"/>
  <c r="AI3081" i="11"/>
  <c r="AJ3081" i="11" s="1"/>
  <c r="AI3114" i="11"/>
  <c r="AJ3114" i="11" s="1"/>
  <c r="AI3129" i="11"/>
  <c r="AJ3129" i="11" s="1"/>
  <c r="AI3068" i="11"/>
  <c r="AJ3068" i="11" s="1"/>
  <c r="AI3091" i="11"/>
  <c r="AJ3091" i="11" s="1"/>
  <c r="AI3138" i="11"/>
  <c r="AJ3138" i="11" s="1"/>
  <c r="AI3104" i="11"/>
  <c r="AJ3104" i="11" s="1"/>
  <c r="AI3133" i="11"/>
  <c r="AJ3133" i="11" s="1"/>
  <c r="AI3055" i="11"/>
  <c r="AJ3055" i="11" s="1"/>
  <c r="AI3153" i="11"/>
  <c r="AJ3153" i="11" s="1"/>
  <c r="AI3057" i="11"/>
  <c r="AJ3057" i="11" s="1"/>
  <c r="AI3065" i="11"/>
  <c r="AJ3065" i="11" s="1"/>
  <c r="AI3102" i="11"/>
  <c r="AJ3102" i="11" s="1"/>
  <c r="AI3066" i="11"/>
  <c r="AJ3066" i="11" s="1"/>
  <c r="AI3134" i="11"/>
  <c r="AJ3134" i="11" s="1"/>
  <c r="AI3050" i="11"/>
  <c r="AJ3050" i="11" s="1"/>
  <c r="AI3070" i="11"/>
  <c r="AJ3070" i="11" s="1"/>
  <c r="AI3078" i="11"/>
  <c r="AJ3078" i="11" s="1"/>
  <c r="AI3052" i="11"/>
  <c r="AJ3052" i="11" s="1"/>
  <c r="AI3136" i="11"/>
  <c r="AJ3136" i="11" s="1"/>
  <c r="AI3146" i="11"/>
  <c r="AJ3146" i="11" s="1"/>
  <c r="AK1542" i="11"/>
  <c r="AL1542" i="11" s="1"/>
  <c r="AK1494" i="11"/>
  <c r="AL1494" i="11" s="1"/>
  <c r="AK1574" i="11"/>
  <c r="AL1574" i="11" s="1"/>
  <c r="AK1486" i="11"/>
  <c r="AL1486" i="11" s="1"/>
  <c r="AK1520" i="11"/>
  <c r="AL1520" i="11" s="1"/>
  <c r="AK1483" i="11"/>
  <c r="AL1483" i="11" s="1"/>
  <c r="AK1560" i="11"/>
  <c r="AL1560" i="11" s="1"/>
  <c r="AK1515" i="11"/>
  <c r="AL1515" i="11" s="1"/>
  <c r="AK1493" i="11"/>
  <c r="AL1493" i="11" s="1"/>
  <c r="AK1510" i="11"/>
  <c r="AL1510" i="11" s="1"/>
  <c r="AK1519" i="11"/>
  <c r="AL1519" i="11" s="1"/>
  <c r="AK1524" i="11"/>
  <c r="AL1524" i="11" s="1"/>
  <c r="AK1480" i="11"/>
  <c r="AL1480" i="11" s="1"/>
  <c r="AK1559" i="11"/>
  <c r="AL1559" i="11" s="1"/>
  <c r="AK1516" i="11"/>
  <c r="AL1516" i="11" s="1"/>
  <c r="AK1528" i="11"/>
  <c r="AL1528" i="11" s="1"/>
  <c r="AK1558" i="11"/>
  <c r="AL1558" i="11" s="1"/>
  <c r="AK1478" i="11"/>
  <c r="AL1478" i="11" s="1"/>
  <c r="AK1572" i="11"/>
  <c r="AL1572" i="11" s="1"/>
  <c r="AK1500" i="11"/>
  <c r="AL1500" i="11" s="1"/>
  <c r="AK1479" i="11"/>
  <c r="AL1479" i="11" s="1"/>
  <c r="AK1517" i="11"/>
  <c r="AL1517" i="11" s="1"/>
  <c r="AK1538" i="11"/>
  <c r="AL1538" i="11" s="1"/>
  <c r="AK1489" i="11"/>
  <c r="AL1489" i="11" s="1"/>
  <c r="AK1531" i="11"/>
  <c r="AL1531" i="11" s="1"/>
  <c r="AK1557" i="11"/>
  <c r="AL1557" i="11" s="1"/>
  <c r="AK1506" i="11"/>
  <c r="AL1506" i="11" s="1"/>
  <c r="AK1490" i="11"/>
  <c r="AL1490" i="11" s="1"/>
  <c r="AK1526" i="11"/>
  <c r="AL1526" i="11" s="1"/>
  <c r="AK1556" i="11"/>
  <c r="AL1556" i="11" s="1"/>
  <c r="AK1578" i="11"/>
  <c r="AL1578" i="11" s="1"/>
  <c r="AK1512" i="11"/>
  <c r="AL1512" i="11" s="1"/>
  <c r="AK1569" i="11"/>
  <c r="AL1569" i="11" s="1"/>
  <c r="AK1545" i="11"/>
  <c r="AL1545" i="11" s="1"/>
  <c r="AK1571" i="11"/>
  <c r="AL1571" i="11" s="1"/>
  <c r="AK1503" i="11"/>
  <c r="AL1503" i="11" s="1"/>
  <c r="AK1476" i="11"/>
  <c r="AL1476" i="11" s="1"/>
  <c r="AK1518" i="11"/>
  <c r="AL1518" i="11" s="1"/>
  <c r="AK1536" i="11"/>
  <c r="AL1536" i="11" s="1"/>
  <c r="AK1573" i="11"/>
  <c r="AL1573" i="11" s="1"/>
  <c r="AK1477" i="11"/>
  <c r="AL1477" i="11" s="1"/>
  <c r="AK1529" i="11"/>
  <c r="AL1529" i="11" s="1"/>
  <c r="AK1537" i="11"/>
  <c r="AL1537" i="11" s="1"/>
  <c r="AK1523" i="11"/>
  <c r="AL1523" i="11" s="1"/>
  <c r="AK1482" i="11"/>
  <c r="AL1482" i="11" s="1"/>
  <c r="AK1576" i="11"/>
  <c r="AL1576" i="11" s="1"/>
  <c r="AK1527" i="11"/>
  <c r="AL1527" i="11" s="1"/>
  <c r="AK1498" i="11"/>
  <c r="AL1498" i="11" s="1"/>
  <c r="AK1566" i="11"/>
  <c r="AL1566" i="11" s="1"/>
  <c r="AK1514" i="11"/>
  <c r="AL1514" i="11" s="1"/>
  <c r="AK1553" i="11"/>
  <c r="AL1553" i="11" s="1"/>
  <c r="AK1579" i="11"/>
  <c r="AL1579" i="11" s="1"/>
  <c r="AK1534" i="11"/>
  <c r="AL1534" i="11" s="1"/>
  <c r="AK1544" i="11"/>
  <c r="AL1544" i="11" s="1"/>
  <c r="AK1565" i="11"/>
  <c r="AL1565" i="11" s="1"/>
  <c r="AK1551" i="11"/>
  <c r="AL1551" i="11" s="1"/>
  <c r="AK1539" i="11"/>
  <c r="AL1539" i="11" s="1"/>
  <c r="AK1561" i="11"/>
  <c r="AL1561" i="11" s="1"/>
  <c r="AK1504" i="11"/>
  <c r="AL1504" i="11" s="1"/>
  <c r="AK1555" i="11"/>
  <c r="AL1555" i="11" s="1"/>
  <c r="AK1507" i="11"/>
  <c r="AL1507" i="11" s="1"/>
  <c r="AK1563" i="11"/>
  <c r="AL1563" i="11" s="1"/>
  <c r="AK1570" i="11"/>
  <c r="AL1570" i="11" s="1"/>
  <c r="AK1562" i="11"/>
  <c r="AL1562" i="11" s="1"/>
  <c r="AK1502" i="11"/>
  <c r="AL1502" i="11" s="1"/>
  <c r="AK1530" i="11"/>
  <c r="AL1530" i="11" s="1"/>
  <c r="AK1577" i="11"/>
  <c r="AL1577" i="11" s="1"/>
  <c r="AK1492" i="11"/>
  <c r="AL1492" i="11" s="1"/>
  <c r="AK1484" i="11"/>
  <c r="AL1484" i="11" s="1"/>
  <c r="AK1491" i="11"/>
  <c r="AL1491" i="11" s="1"/>
  <c r="AK1541" i="11"/>
  <c r="AL1541" i="11" s="1"/>
  <c r="AK1547" i="11"/>
  <c r="AL1547" i="11" s="1"/>
  <c r="AK1550" i="11"/>
  <c r="AL1550" i="11" s="1"/>
  <c r="AK1575" i="11"/>
  <c r="AL1575" i="11" s="1"/>
  <c r="AK1509" i="11"/>
  <c r="AL1509" i="11" s="1"/>
  <c r="AK1548" i="11"/>
  <c r="AL1548" i="11" s="1"/>
  <c r="AK1497" i="11"/>
  <c r="AL1497" i="11" s="1"/>
  <c r="AK1533" i="11"/>
  <c r="AL1533" i="11" s="1"/>
  <c r="AK1522" i="11"/>
  <c r="AL1522" i="11" s="1"/>
  <c r="AK1554" i="11"/>
  <c r="AL1554" i="11" s="1"/>
  <c r="AK1513" i="11"/>
  <c r="AL1513" i="11" s="1"/>
  <c r="AK1564" i="11"/>
  <c r="AL1564" i="11" s="1"/>
  <c r="AK1567" i="11"/>
  <c r="AL1567" i="11" s="1"/>
  <c r="AK1568" i="11"/>
  <c r="AL1568" i="11" s="1"/>
  <c r="AK1525" i="11"/>
  <c r="AL1525" i="11" s="1"/>
  <c r="AK1495" i="11"/>
  <c r="AL1495" i="11" s="1"/>
  <c r="AK1488" i="11"/>
  <c r="AL1488" i="11" s="1"/>
  <c r="AK1532" i="11"/>
  <c r="AL1532" i="11" s="1"/>
  <c r="AK1485" i="11"/>
  <c r="AL1485" i="11" s="1"/>
  <c r="Q82" i="54"/>
  <c r="AF2168" i="11"/>
  <c r="AG2168" i="11" s="1"/>
  <c r="AO2168" i="11" s="1"/>
  <c r="Q76" i="54"/>
  <c r="AF2105" i="11"/>
  <c r="AG2105" i="11" s="1"/>
  <c r="AO2105" i="11" s="1"/>
  <c r="Q127" i="54"/>
  <c r="AF2208" i="11"/>
  <c r="AG2208" i="11" s="1"/>
  <c r="AF2165" i="11"/>
  <c r="AG2165" i="11" s="1"/>
  <c r="AO2165" i="11" s="1"/>
  <c r="AF2146" i="11"/>
  <c r="AG2146" i="11" s="1"/>
  <c r="AF2176" i="11"/>
  <c r="AG2176" i="11" s="1"/>
  <c r="AO2176" i="11" s="1"/>
  <c r="AF2204" i="11"/>
  <c r="AG2204" i="11" s="1"/>
  <c r="AF2156" i="11"/>
  <c r="AG2156" i="11" s="1"/>
  <c r="AO2156" i="11" s="1"/>
  <c r="AF2153" i="11"/>
  <c r="AG2153" i="11" s="1"/>
  <c r="AO2153" i="11" s="1"/>
  <c r="AF2136" i="11"/>
  <c r="AG2136" i="11" s="1"/>
  <c r="AO2136" i="11" s="1"/>
  <c r="AF2182" i="11"/>
  <c r="AG2182" i="11" s="1"/>
  <c r="AO2182" i="11" s="1"/>
  <c r="AF2167" i="11"/>
  <c r="AG2167" i="11" s="1"/>
  <c r="AO2167" i="11" s="1"/>
  <c r="AF2144" i="11"/>
  <c r="AG2144" i="11" s="1"/>
  <c r="AO2144" i="11" s="1"/>
  <c r="AF2114" i="11"/>
  <c r="AG2114" i="11" s="1"/>
  <c r="AF2159" i="11"/>
  <c r="AG2159" i="11" s="1"/>
  <c r="AO2159" i="11" s="1"/>
  <c r="AF2108" i="11"/>
  <c r="AG2108" i="11" s="1"/>
  <c r="AO2108" i="11" s="1"/>
  <c r="AF2175" i="11"/>
  <c r="AG2175" i="11" s="1"/>
  <c r="AO2175" i="11" s="1"/>
  <c r="AF2145" i="11"/>
  <c r="AG2145" i="11" s="1"/>
  <c r="AO2145" i="11" s="1"/>
  <c r="AF2138" i="11"/>
  <c r="AG2138" i="11" s="1"/>
  <c r="AF2135" i="11"/>
  <c r="AG2135" i="11" s="1"/>
  <c r="AF2123" i="11"/>
  <c r="AG2123" i="11" s="1"/>
  <c r="AO2123" i="11" s="1"/>
  <c r="AF2205" i="11"/>
  <c r="AG2205" i="11" s="1"/>
  <c r="AO2205" i="11" s="1"/>
  <c r="AF2118" i="11"/>
  <c r="AG2118" i="11" s="1"/>
  <c r="AO2118" i="11" s="1"/>
  <c r="AF2166" i="11"/>
  <c r="AG2166" i="11" s="1"/>
  <c r="AO2166" i="11" s="1"/>
  <c r="AF2193" i="11"/>
  <c r="AG2193" i="11" s="1"/>
  <c r="AO2193" i="11" s="1"/>
  <c r="AF2125" i="11"/>
  <c r="AG2125" i="11" s="1"/>
  <c r="AF2185" i="11"/>
  <c r="AG2185" i="11" s="1"/>
  <c r="AO2185" i="11" s="1"/>
  <c r="AF2157" i="11"/>
  <c r="AG2157" i="11" s="1"/>
  <c r="AF2107" i="11"/>
  <c r="AG2107" i="11" s="1"/>
  <c r="AO2107" i="11" s="1"/>
  <c r="AF2132" i="11"/>
  <c r="AG2132" i="11" s="1"/>
  <c r="AO2132" i="11" s="1"/>
  <c r="Q203" i="54"/>
  <c r="Q6" i="54" s="1"/>
  <c r="Q8" i="54" s="1"/>
  <c r="Q12" i="54" s="1"/>
  <c r="Q18" i="54" s="1"/>
  <c r="AF2130" i="11"/>
  <c r="AG2130" i="11" s="1"/>
  <c r="AF2111" i="11"/>
  <c r="AG2111" i="11" s="1"/>
  <c r="AO2111" i="11" s="1"/>
  <c r="AF2154" i="11"/>
  <c r="AG2154" i="11" s="1"/>
  <c r="AO2154" i="11" s="1"/>
  <c r="AF2194" i="11"/>
  <c r="AG2194" i="11" s="1"/>
  <c r="AO2194" i="11" s="1"/>
  <c r="AF2177" i="11"/>
  <c r="AG2177" i="11" s="1"/>
  <c r="AO2177" i="11" s="1"/>
  <c r="AF2188" i="11"/>
  <c r="AG2188" i="11" s="1"/>
  <c r="AF2139" i="11"/>
  <c r="AG2139" i="11" s="1"/>
  <c r="AO2139" i="11" s="1"/>
  <c r="AF2142" i="11"/>
  <c r="AG2142" i="11" s="1"/>
  <c r="AO2142" i="11" s="1"/>
  <c r="AF2197" i="11"/>
  <c r="AG2197" i="11" s="1"/>
  <c r="AO2197" i="11" s="1"/>
  <c r="AF2121" i="11"/>
  <c r="AG2121" i="11" s="1"/>
  <c r="AO2121" i="11" s="1"/>
  <c r="AF2164" i="11"/>
  <c r="AG2164" i="11" s="1"/>
  <c r="AF2207" i="11"/>
  <c r="AG2207" i="11" s="1"/>
  <c r="AF2183" i="11"/>
  <c r="AG2183" i="11" s="1"/>
  <c r="AO2183" i="11" s="1"/>
  <c r="AF2199" i="11"/>
  <c r="AG2199" i="11" s="1"/>
  <c r="AO2199" i="11" s="1"/>
  <c r="AF2113" i="11"/>
  <c r="AG2113" i="11" s="1"/>
  <c r="AF2141" i="11"/>
  <c r="AG2141" i="11" s="1"/>
  <c r="AF2109" i="11"/>
  <c r="AG2109" i="11" s="1"/>
  <c r="AF2149" i="11"/>
  <c r="AG2149" i="11" s="1"/>
  <c r="AO2149" i="11" s="1"/>
  <c r="AF2170" i="11"/>
  <c r="AG2170" i="11" s="1"/>
  <c r="AO2170" i="11" s="1"/>
  <c r="AF2195" i="11"/>
  <c r="AG2195" i="11" s="1"/>
  <c r="AO2195" i="11" s="1"/>
  <c r="AF2173" i="11"/>
  <c r="AG2173" i="11" s="1"/>
  <c r="AO2173" i="11" s="1"/>
  <c r="AF2120" i="11"/>
  <c r="AG2120" i="11" s="1"/>
  <c r="AO2120" i="11" s="1"/>
  <c r="AF2206" i="11"/>
  <c r="AG2206" i="11" s="1"/>
  <c r="AO2206" i="11" s="1"/>
  <c r="AF2134" i="11"/>
  <c r="AG2134" i="11" s="1"/>
  <c r="AO2134" i="11" s="1"/>
  <c r="AF2143" i="11"/>
  <c r="AG2143" i="11" s="1"/>
  <c r="AO2143" i="11" s="1"/>
  <c r="AF2161" i="11"/>
  <c r="AG2161" i="11" s="1"/>
  <c r="AO2161" i="11" s="1"/>
  <c r="AF2171" i="11"/>
  <c r="AG2171" i="11" s="1"/>
  <c r="AO2171" i="11" s="1"/>
  <c r="AF2202" i="11"/>
  <c r="AG2202" i="11" s="1"/>
  <c r="AO2202" i="11" s="1"/>
  <c r="AF2116" i="11"/>
  <c r="AG2116" i="11" s="1"/>
  <c r="AF2192" i="11"/>
  <c r="AG2192" i="11" s="1"/>
  <c r="AO2192" i="11" s="1"/>
  <c r="AF2187" i="11"/>
  <c r="AG2187" i="11" s="1"/>
  <c r="AO2187" i="11" s="1"/>
  <c r="AF2122" i="11"/>
  <c r="AG2122" i="11" s="1"/>
  <c r="AO2122" i="11" s="1"/>
  <c r="AF2200" i="11"/>
  <c r="AG2200" i="11" s="1"/>
  <c r="AO2200" i="11" s="1"/>
  <c r="AF2117" i="11"/>
  <c r="AG2117" i="11" s="1"/>
  <c r="AO2117" i="11" s="1"/>
  <c r="AF2189" i="11"/>
  <c r="AG2189" i="11" s="1"/>
  <c r="AO2189" i="11" s="1"/>
  <c r="AF2191" i="11"/>
  <c r="AG2191" i="11" s="1"/>
  <c r="AO2191" i="11" s="1"/>
  <c r="O167" i="54"/>
  <c r="AF2178" i="11"/>
  <c r="AG2178" i="11" s="1"/>
  <c r="AO2178" i="11" s="1"/>
  <c r="AF2172" i="11"/>
  <c r="AG2172" i="11" s="1"/>
  <c r="AO2172" i="11" s="1"/>
  <c r="AF2181" i="11"/>
  <c r="AG2181" i="11" s="1"/>
  <c r="AO2181" i="11" s="1"/>
  <c r="AF2186" i="11"/>
  <c r="AG2186" i="11" s="1"/>
  <c r="AF2163" i="11"/>
  <c r="AG2163" i="11" s="1"/>
  <c r="AF2162" i="11"/>
  <c r="AG2162" i="11" s="1"/>
  <c r="AO2162" i="11" s="1"/>
  <c r="AF2203" i="11"/>
  <c r="AG2203" i="11" s="1"/>
  <c r="AO2203" i="11" s="1"/>
  <c r="AF2128" i="11"/>
  <c r="AG2128" i="11" s="1"/>
  <c r="AO2128" i="11" s="1"/>
  <c r="AF2119" i="11"/>
  <c r="AG2119" i="11" s="1"/>
  <c r="AO2119" i="11" s="1"/>
  <c r="AF2110" i="11"/>
  <c r="AG2110" i="11" s="1"/>
  <c r="AO2110" i="11" s="1"/>
  <c r="AF2160" i="11"/>
  <c r="AG2160" i="11" s="1"/>
  <c r="AF2126" i="11"/>
  <c r="AG2126" i="11" s="1"/>
  <c r="AO2126" i="11" s="1"/>
  <c r="AF2106" i="11"/>
  <c r="AG2106" i="11" s="1"/>
  <c r="AO2106" i="11" s="1"/>
  <c r="AF2174" i="11"/>
  <c r="AG2174" i="11" s="1"/>
  <c r="AO2174" i="11" s="1"/>
  <c r="AF2180" i="11"/>
  <c r="AG2180" i="11" s="1"/>
  <c r="AF2209" i="11"/>
  <c r="AG2209" i="11" s="1"/>
  <c r="AO2209" i="11" s="1"/>
  <c r="AF2158" i="11"/>
  <c r="AG2158" i="11" s="1"/>
  <c r="AF2112" i="11"/>
  <c r="AG2112" i="11" s="1"/>
  <c r="AF2179" i="11"/>
  <c r="AG2179" i="11" s="1"/>
  <c r="AO2179" i="11" s="1"/>
  <c r="AF2190" i="11"/>
  <c r="AG2190" i="11" s="1"/>
  <c r="AO2190" i="11" s="1"/>
  <c r="AF2152" i="11"/>
  <c r="AG2152" i="11" s="1"/>
  <c r="AO2152" i="11" s="1"/>
  <c r="AF2124" i="11"/>
  <c r="AG2124" i="11" s="1"/>
  <c r="AO2124" i="11" s="1"/>
  <c r="AF2155" i="11"/>
  <c r="AG2155" i="11" s="1"/>
  <c r="AO2155" i="11" s="1"/>
  <c r="AF2148" i="11"/>
  <c r="AG2148" i="11" s="1"/>
  <c r="AO2148" i="11" s="1"/>
  <c r="AF2133" i="11"/>
  <c r="AG2133" i="11" s="1"/>
  <c r="AO2133" i="11" s="1"/>
  <c r="AF2129" i="11"/>
  <c r="AG2129" i="11" s="1"/>
  <c r="AO2129" i="11" s="1"/>
  <c r="AF2147" i="11"/>
  <c r="AG2147" i="11" s="1"/>
  <c r="AO2147" i="11" s="1"/>
  <c r="AF2150" i="11"/>
  <c r="AG2150" i="11" s="1"/>
  <c r="AO2150" i="11" s="1"/>
  <c r="AF2127" i="11"/>
  <c r="AG2127" i="11" s="1"/>
  <c r="AO2127" i="11" s="1"/>
  <c r="AF420" i="11"/>
  <c r="AG420" i="11" s="1"/>
  <c r="AK2411" i="11"/>
  <c r="AL2411" i="11" s="1"/>
  <c r="Q144" i="54"/>
  <c r="P127" i="54"/>
  <c r="Q96" i="54"/>
  <c r="P93" i="54"/>
  <c r="AD2508" i="11"/>
  <c r="AE2508" i="11" s="1"/>
  <c r="AN2508" i="11" s="1"/>
  <c r="P148" i="54"/>
  <c r="AF458" i="11"/>
  <c r="AG458" i="11" s="1"/>
  <c r="AO458" i="11" s="1"/>
  <c r="AF96" i="11"/>
  <c r="AG96" i="11" s="1"/>
  <c r="AD2345" i="11"/>
  <c r="AE2345" i="11" s="1"/>
  <c r="AD3704" i="11"/>
  <c r="AE3704" i="11" s="1"/>
  <c r="AN3704" i="11" s="1"/>
  <c r="AD3698" i="11"/>
  <c r="AE3698" i="11" s="1"/>
  <c r="AN3698" i="11" s="1"/>
  <c r="AD3724" i="11"/>
  <c r="AE3724" i="11" s="1"/>
  <c r="AN3724" i="11" s="1"/>
  <c r="AD3729" i="11"/>
  <c r="AE3729" i="11" s="1"/>
  <c r="AN3729" i="11" s="1"/>
  <c r="AD3763" i="11"/>
  <c r="AE3763" i="11" s="1"/>
  <c r="AN3763" i="11" s="1"/>
  <c r="AD3736" i="11"/>
  <c r="AE3736" i="11" s="1"/>
  <c r="AN3736" i="11" s="1"/>
  <c r="AD3764" i="11"/>
  <c r="AE3764" i="11" s="1"/>
  <c r="AD3760" i="11"/>
  <c r="AE3760" i="11" s="1"/>
  <c r="AN3760" i="11" s="1"/>
  <c r="AD3713" i="11"/>
  <c r="AE3713" i="11" s="1"/>
  <c r="AN3713" i="11" s="1"/>
  <c r="AD3725" i="11"/>
  <c r="AE3725" i="11" s="1"/>
  <c r="AN3725" i="11" s="1"/>
  <c r="AD3700" i="11"/>
  <c r="AE3700" i="11" s="1"/>
  <c r="AD3692" i="11"/>
  <c r="AE3692" i="11" s="1"/>
  <c r="AN3692" i="11" s="1"/>
  <c r="AD3750" i="11"/>
  <c r="AE3750" i="11" s="1"/>
  <c r="AD3685" i="11"/>
  <c r="AE3685" i="11" s="1"/>
  <c r="AN3685" i="11" s="1"/>
  <c r="AD3773" i="11"/>
  <c r="AE3773" i="11" s="1"/>
  <c r="AN3773" i="11" s="1"/>
  <c r="AD3732" i="11"/>
  <c r="AE3732" i="11" s="1"/>
  <c r="AN3732" i="11" s="1"/>
  <c r="AD3728" i="11"/>
  <c r="AE3728" i="11" s="1"/>
  <c r="AN3728" i="11" s="1"/>
  <c r="AD3767" i="11"/>
  <c r="AE3767" i="11" s="1"/>
  <c r="AD3681" i="11"/>
  <c r="AE3681" i="11" s="1"/>
  <c r="AD3740" i="11"/>
  <c r="AE3740" i="11" s="1"/>
  <c r="AN3740" i="11" s="1"/>
  <c r="AD3776" i="11"/>
  <c r="AE3776" i="11" s="1"/>
  <c r="AN3776" i="11" s="1"/>
  <c r="AD3730" i="11"/>
  <c r="AE3730" i="11" s="1"/>
  <c r="AN3730" i="11" s="1"/>
  <c r="AD3733" i="11"/>
  <c r="AE3733" i="11" s="1"/>
  <c r="AD3744" i="11"/>
  <c r="AE3744" i="11" s="1"/>
  <c r="AD3768" i="11"/>
  <c r="AE3768" i="11" s="1"/>
  <c r="AN3768" i="11" s="1"/>
  <c r="AD3751" i="11"/>
  <c r="AE3751" i="11" s="1"/>
  <c r="AN3751" i="11" s="1"/>
  <c r="AD3705" i="11"/>
  <c r="AE3705" i="11" s="1"/>
  <c r="AN3705" i="11" s="1"/>
  <c r="AD3775" i="11"/>
  <c r="AE3775" i="11" s="1"/>
  <c r="AN3775" i="11" s="1"/>
  <c r="AD3770" i="11"/>
  <c r="AE3770" i="11" s="1"/>
  <c r="AN3770" i="11" s="1"/>
  <c r="AD3709" i="11"/>
  <c r="AE3709" i="11" s="1"/>
  <c r="AD3696" i="11"/>
  <c r="AE3696" i="11" s="1"/>
  <c r="AD3716" i="11"/>
  <c r="AE3716" i="11" s="1"/>
  <c r="AN3716" i="11" s="1"/>
  <c r="AD3723" i="11"/>
  <c r="AE3723" i="11" s="1"/>
  <c r="AD3741" i="11"/>
  <c r="AE3741" i="11" s="1"/>
  <c r="AN3741" i="11" s="1"/>
  <c r="AD3757" i="11"/>
  <c r="AE3757" i="11" s="1"/>
  <c r="AD3712" i="11"/>
  <c r="AE3712" i="11" s="1"/>
  <c r="AN3712" i="11" s="1"/>
  <c r="AD3722" i="11"/>
  <c r="AE3722" i="11" s="1"/>
  <c r="AN3722" i="11" s="1"/>
  <c r="AD3780" i="11"/>
  <c r="AE3780" i="11" s="1"/>
  <c r="AN3780" i="11" s="1"/>
  <c r="AD3777" i="11"/>
  <c r="AE3777" i="11" s="1"/>
  <c r="AN3777" i="11" s="1"/>
  <c r="AD3719" i="11"/>
  <c r="AE3719" i="11" s="1"/>
  <c r="AN3719" i="11" s="1"/>
  <c r="AD3687" i="11"/>
  <c r="AE3687" i="11" s="1"/>
  <c r="AN3687" i="11" s="1"/>
  <c r="AD3778" i="11"/>
  <c r="AE3778" i="11" s="1"/>
  <c r="AD3758" i="11"/>
  <c r="AE3758" i="11" s="1"/>
  <c r="AD3682" i="11"/>
  <c r="AE3682" i="11" s="1"/>
  <c r="AN3682" i="11" s="1"/>
  <c r="AD3742" i="11"/>
  <c r="AE3742" i="11" s="1"/>
  <c r="AN3742" i="11" s="1"/>
  <c r="AD3781" i="11"/>
  <c r="AE3781" i="11" s="1"/>
  <c r="AN3781" i="11" s="1"/>
  <c r="AD3783" i="11"/>
  <c r="AE3783" i="11" s="1"/>
  <c r="AD3715" i="11"/>
  <c r="AE3715" i="11" s="1"/>
  <c r="AD3746" i="11"/>
  <c r="AE3746" i="11" s="1"/>
  <c r="AD3762" i="11"/>
  <c r="AE3762" i="11" s="1"/>
  <c r="AN3762" i="11" s="1"/>
  <c r="AD3769" i="11"/>
  <c r="AE3769" i="11" s="1"/>
  <c r="AN3769" i="11" s="1"/>
  <c r="AD3690" i="11"/>
  <c r="AE3690" i="11" s="1"/>
  <c r="AD3747" i="11"/>
  <c r="AE3747" i="11" s="1"/>
  <c r="AN3747" i="11" s="1"/>
  <c r="AD3737" i="11"/>
  <c r="AE3737" i="11" s="1"/>
  <c r="AD3748" i="11"/>
  <c r="AE3748" i="11" s="1"/>
  <c r="AN3748" i="11" s="1"/>
  <c r="AD3706" i="11"/>
  <c r="AE3706" i="11" s="1"/>
  <c r="AN3706" i="11" s="1"/>
  <c r="AD3695" i="11"/>
  <c r="AE3695" i="11" s="1"/>
  <c r="AN3695" i="11" s="1"/>
  <c r="AD3717" i="11"/>
  <c r="AE3717" i="11" s="1"/>
  <c r="AN3717" i="11" s="1"/>
  <c r="AD3727" i="11"/>
  <c r="AE3727" i="11" s="1"/>
  <c r="AD3694" i="11"/>
  <c r="AE3694" i="11" s="1"/>
  <c r="AN3694" i="11" s="1"/>
  <c r="AD3726" i="11"/>
  <c r="AE3726" i="11" s="1"/>
  <c r="AN3726" i="11" s="1"/>
  <c r="AD3697" i="11"/>
  <c r="AE3697" i="11" s="1"/>
  <c r="AD3714" i="11"/>
  <c r="AE3714" i="11" s="1"/>
  <c r="AN3714" i="11" s="1"/>
  <c r="AD3721" i="11"/>
  <c r="AE3721" i="11" s="1"/>
  <c r="AN3721" i="11" s="1"/>
  <c r="AD3683" i="11"/>
  <c r="AE3683" i="11" s="1"/>
  <c r="N192" i="54"/>
  <c r="AD3784" i="11"/>
  <c r="AE3784" i="11" s="1"/>
  <c r="AD3735" i="11"/>
  <c r="AE3735" i="11" s="1"/>
  <c r="AN3735" i="11" s="1"/>
  <c r="AD3688" i="11"/>
  <c r="AE3688" i="11" s="1"/>
  <c r="AD3689" i="11"/>
  <c r="AE3689" i="11" s="1"/>
  <c r="AN3689" i="11" s="1"/>
  <c r="AD3708" i="11"/>
  <c r="AE3708" i="11" s="1"/>
  <c r="AN3708" i="11" s="1"/>
  <c r="AD3684" i="11"/>
  <c r="AE3684" i="11" s="1"/>
  <c r="AD3755" i="11"/>
  <c r="AE3755" i="11" s="1"/>
  <c r="AN3755" i="11" s="1"/>
  <c r="AD3739" i="11"/>
  <c r="AE3739" i="11" s="1"/>
  <c r="AD3756" i="11"/>
  <c r="AE3756" i="11" s="1"/>
  <c r="AN3756" i="11" s="1"/>
  <c r="AD3743" i="11"/>
  <c r="AE3743" i="11" s="1"/>
  <c r="AN3743" i="11" s="1"/>
  <c r="AD3702" i="11"/>
  <c r="AE3702" i="11" s="1"/>
  <c r="AN3702" i="11" s="1"/>
  <c r="AD3707" i="11"/>
  <c r="AE3707" i="11" s="1"/>
  <c r="AD3779" i="11"/>
  <c r="AE3779" i="11" s="1"/>
  <c r="AD3738" i="11"/>
  <c r="AE3738" i="11" s="1"/>
  <c r="AN3738" i="11" s="1"/>
  <c r="AD3701" i="11"/>
  <c r="AE3701" i="11" s="1"/>
  <c r="AD3734" i="11"/>
  <c r="AE3734" i="11" s="1"/>
  <c r="AN3734" i="11" s="1"/>
  <c r="AD3710" i="11"/>
  <c r="AE3710" i="11" s="1"/>
  <c r="AD3782" i="11"/>
  <c r="AE3782" i="11" s="1"/>
  <c r="AN3782" i="11" s="1"/>
  <c r="AD3752" i="11"/>
  <c r="AE3752" i="11" s="1"/>
  <c r="AD3774" i="11"/>
  <c r="AE3774" i="11" s="1"/>
  <c r="AN3774" i="11" s="1"/>
  <c r="AD3745" i="11"/>
  <c r="AE3745" i="11" s="1"/>
  <c r="AN3745" i="11" s="1"/>
  <c r="AD3720" i="11"/>
  <c r="AE3720" i="11" s="1"/>
  <c r="AD3711" i="11"/>
  <c r="AE3711" i="11" s="1"/>
  <c r="AN3711" i="11" s="1"/>
  <c r="AD3753" i="11"/>
  <c r="AE3753" i="11" s="1"/>
  <c r="AD3699" i="11"/>
  <c r="AE3699" i="11" s="1"/>
  <c r="AD3749" i="11"/>
  <c r="AE3749" i="11" s="1"/>
  <c r="AN3749" i="11" s="1"/>
  <c r="AD3771" i="11"/>
  <c r="AE3771" i="11" s="1"/>
  <c r="AN3771" i="11" s="1"/>
  <c r="AD3766" i="11"/>
  <c r="AE3766" i="11" s="1"/>
  <c r="AN3766" i="11" s="1"/>
  <c r="AD3680" i="11"/>
  <c r="AE3680" i="11" s="1"/>
  <c r="AD3761" i="11"/>
  <c r="AE3761" i="11" s="1"/>
  <c r="AN3761" i="11" s="1"/>
  <c r="AD3718" i="11"/>
  <c r="AE3718" i="11" s="1"/>
  <c r="AN3718" i="11" s="1"/>
  <c r="AD3731" i="11"/>
  <c r="AE3731" i="11" s="1"/>
  <c r="AN3731" i="11" s="1"/>
  <c r="AD3754" i="11"/>
  <c r="AE3754" i="11" s="1"/>
  <c r="AN3754" i="11" s="1"/>
  <c r="Q79" i="54"/>
  <c r="Q92" i="54"/>
  <c r="AD847" i="11"/>
  <c r="AE847" i="11" s="1"/>
  <c r="AN847" i="11" s="1"/>
  <c r="AI2192" i="11"/>
  <c r="AJ2192" i="11" s="1"/>
  <c r="AI1301" i="11"/>
  <c r="AJ1301" i="11" s="1"/>
  <c r="AF130" i="11"/>
  <c r="AG130" i="11" s="1"/>
  <c r="AI784" i="11"/>
  <c r="AJ784" i="11" s="1"/>
  <c r="AF1692" i="11"/>
  <c r="AG1692" i="11" s="1"/>
  <c r="AF2229" i="11"/>
  <c r="AG2229" i="11" s="1"/>
  <c r="AK3280" i="11"/>
  <c r="AL3280" i="11" s="1"/>
  <c r="AI3171" i="11"/>
  <c r="AJ3171" i="11" s="1"/>
  <c r="P158" i="54"/>
  <c r="AK491" i="11"/>
  <c r="AL491" i="11" s="1"/>
  <c r="AK447" i="11"/>
  <c r="AL447" i="11" s="1"/>
  <c r="AD2626" i="11"/>
  <c r="AE2626" i="11" s="1"/>
  <c r="AD1503" i="11"/>
  <c r="AE1503" i="11" s="1"/>
  <c r="AF1416" i="11"/>
  <c r="AG1416" i="11" s="1"/>
  <c r="AD71" i="11"/>
  <c r="AE71" i="11" s="1"/>
  <c r="AF3007" i="11"/>
  <c r="AG3007" i="11" s="1"/>
  <c r="AO3007" i="11" s="1"/>
  <c r="AD1639" i="11"/>
  <c r="AE1639" i="11" s="1"/>
  <c r="AK3558" i="11"/>
  <c r="AL3558" i="11" s="1"/>
  <c r="AD775" i="11"/>
  <c r="AE775" i="11" s="1"/>
  <c r="AN775" i="11" s="1"/>
  <c r="AF2198" i="11"/>
  <c r="AG2198" i="11" s="1"/>
  <c r="AO2198" i="11" s="1"/>
  <c r="AK2573" i="11"/>
  <c r="AL2573" i="11" s="1"/>
  <c r="P86" i="54"/>
  <c r="N255" i="54"/>
  <c r="AD233" i="11"/>
  <c r="AE233" i="11" s="1"/>
  <c r="AI2379" i="11"/>
  <c r="AJ2379" i="11" s="1"/>
  <c r="AK963" i="11"/>
  <c r="AL963" i="11" s="1"/>
  <c r="P83" i="54"/>
  <c r="AK528" i="11"/>
  <c r="AL528" i="11" s="1"/>
  <c r="AI2175" i="11"/>
  <c r="AJ2175" i="11" s="1"/>
  <c r="AK3842" i="11"/>
  <c r="AL3842" i="11" s="1"/>
  <c r="AK1487" i="11"/>
  <c r="AL1487" i="11" s="1"/>
  <c r="AK3710" i="11"/>
  <c r="AL3710" i="11" s="1"/>
  <c r="AI1792" i="11"/>
  <c r="AJ1792" i="11" s="1"/>
  <c r="AI3051" i="11"/>
  <c r="AJ3051" i="11" s="1"/>
  <c r="AI2600" i="11"/>
  <c r="AJ2600" i="11" s="1"/>
  <c r="AF2478" i="11"/>
  <c r="AG2478" i="11" s="1"/>
  <c r="AI3648" i="11"/>
  <c r="AJ3648" i="11" s="1"/>
  <c r="AK1341" i="11"/>
  <c r="AL1341" i="11" s="1"/>
  <c r="AF629" i="11"/>
  <c r="AG629" i="11" s="1"/>
  <c r="AO629" i="11" s="1"/>
  <c r="AF3604" i="11"/>
  <c r="AG3604" i="11" s="1"/>
  <c r="AO3604" i="11" s="1"/>
  <c r="AD1932" i="11"/>
  <c r="AE1932" i="11" s="1"/>
  <c r="AF2218" i="11"/>
  <c r="AG2218" i="11" s="1"/>
  <c r="AK1914" i="11"/>
  <c r="AL1914" i="11" s="1"/>
  <c r="AD602" i="11"/>
  <c r="AE602" i="11" s="1"/>
  <c r="AN602" i="11" s="1"/>
  <c r="AK179" i="11"/>
  <c r="AL179" i="11" s="1"/>
  <c r="AK2595" i="11"/>
  <c r="AL2595" i="11" s="1"/>
  <c r="AD3660" i="11"/>
  <c r="AE3660" i="11" s="1"/>
  <c r="AK864" i="11"/>
  <c r="AL864" i="11" s="1"/>
  <c r="AK2832" i="11"/>
  <c r="AL2832" i="11" s="1"/>
  <c r="AI260" i="11"/>
  <c r="AJ260" i="11" s="1"/>
  <c r="AI3120" i="11"/>
  <c r="AJ3120" i="11" s="1"/>
  <c r="AI1991" i="11"/>
  <c r="AJ1991" i="11" s="1"/>
  <c r="AD296" i="11"/>
  <c r="AE296" i="11" s="1"/>
  <c r="AD697" i="11"/>
  <c r="AE697" i="11" s="1"/>
  <c r="AK3740" i="11"/>
  <c r="AL3740" i="11" s="1"/>
  <c r="AD1412" i="11"/>
  <c r="AE1412" i="11" s="1"/>
  <c r="AK2609" i="11"/>
  <c r="AL2609" i="11" s="1"/>
  <c r="AF3638" i="11"/>
  <c r="AG3638" i="11" s="1"/>
  <c r="AI3599" i="11"/>
  <c r="AJ3599" i="11" s="1"/>
  <c r="AF354" i="11"/>
  <c r="AG354" i="11" s="1"/>
  <c r="AO354" i="11" s="1"/>
  <c r="AD3264" i="11"/>
  <c r="AE3264" i="11" s="1"/>
  <c r="AK2347" i="11"/>
  <c r="AL2347" i="11" s="1"/>
  <c r="AF3282" i="11"/>
  <c r="AG3282" i="11" s="1"/>
  <c r="AO3282" i="11" s="1"/>
  <c r="AF3650" i="11"/>
  <c r="AG3650" i="11" s="1"/>
  <c r="AO3650" i="11" s="1"/>
  <c r="AF1174" i="11"/>
  <c r="AG1174" i="11" s="1"/>
  <c r="AO1174" i="11" s="1"/>
  <c r="AD1679" i="11"/>
  <c r="AE1679" i="11" s="1"/>
  <c r="AK2466" i="11"/>
  <c r="AL2466" i="11" s="1"/>
  <c r="AF3136" i="11"/>
  <c r="AG3136" i="11" s="1"/>
  <c r="AO3136" i="11" s="1"/>
  <c r="AK1546" i="11"/>
  <c r="AL1546" i="11" s="1"/>
  <c r="AI1970" i="11"/>
  <c r="AJ1970" i="11" s="1"/>
  <c r="AI18" i="11"/>
  <c r="AJ18" i="11" s="1"/>
  <c r="AI589" i="11"/>
  <c r="AJ589" i="11" s="1"/>
  <c r="AD3527" i="11"/>
  <c r="AE3527" i="11" s="1"/>
  <c r="AD1891" i="11"/>
  <c r="AE1891" i="11" s="1"/>
  <c r="AN1891" i="11" s="1"/>
  <c r="AI2235" i="11"/>
  <c r="AJ2235" i="11" s="1"/>
  <c r="AI1190" i="11"/>
  <c r="AJ1190" i="11" s="1"/>
  <c r="AI3111" i="11"/>
  <c r="AJ3111" i="11" s="1"/>
  <c r="AK847" i="11"/>
  <c r="AL847" i="11" s="1"/>
  <c r="AF697" i="11"/>
  <c r="AG697" i="11" s="1"/>
  <c r="AO697" i="11" s="1"/>
  <c r="AI1361" i="11"/>
  <c r="AJ1361" i="11" s="1"/>
  <c r="AD1272" i="11"/>
  <c r="AE1272" i="11" s="1"/>
  <c r="AN1272" i="11" s="1"/>
  <c r="AK264" i="11"/>
  <c r="AL264" i="11" s="1"/>
  <c r="AK1658" i="11"/>
  <c r="AL1658" i="11" s="1"/>
  <c r="AF3114" i="11"/>
  <c r="AG3114" i="11" s="1"/>
  <c r="AO3114" i="11" s="1"/>
  <c r="AI3665" i="11"/>
  <c r="AJ3665" i="11" s="1"/>
  <c r="AF1706" i="11"/>
  <c r="AG1706" i="11" s="1"/>
  <c r="AF2835" i="11"/>
  <c r="AG2835" i="11" s="1"/>
  <c r="AO2835" i="11" s="1"/>
  <c r="AD694" i="11"/>
  <c r="AE694" i="11" s="1"/>
  <c r="AN694" i="11" s="1"/>
  <c r="AF2351" i="11"/>
  <c r="AG2351" i="11" s="1"/>
  <c r="AO2351" i="11" s="1"/>
  <c r="AK1280" i="11"/>
  <c r="AL1280" i="11" s="1"/>
  <c r="AI171" i="11"/>
  <c r="AJ171" i="11" s="1"/>
  <c r="AD3331" i="11"/>
  <c r="AE3331" i="11" s="1"/>
  <c r="AK2363" i="11"/>
  <c r="AL2363" i="11" s="1"/>
  <c r="AI554" i="11"/>
  <c r="AJ554" i="11" s="1"/>
  <c r="AI277" i="11"/>
  <c r="AJ277" i="11" s="1"/>
  <c r="AD2678" i="11"/>
  <c r="AE2678" i="11" s="1"/>
  <c r="AD3309" i="11"/>
  <c r="AE3309" i="11" s="1"/>
  <c r="AF3335" i="11"/>
  <c r="AG3335" i="11" s="1"/>
  <c r="AD669" i="11"/>
  <c r="AE669" i="11" s="1"/>
  <c r="AN669" i="11" s="1"/>
  <c r="AI135" i="11"/>
  <c r="AJ135" i="11" s="1"/>
  <c r="AD3267" i="11"/>
  <c r="AE3267" i="11" s="1"/>
  <c r="AD3061" i="11"/>
  <c r="AE3061" i="11" s="1"/>
  <c r="AF1882" i="11"/>
  <c r="AG1882" i="11" s="1"/>
  <c r="AO1882" i="11" s="1"/>
  <c r="AD147" i="11"/>
  <c r="AE147" i="11" s="1"/>
  <c r="AD2272" i="11"/>
  <c r="AE2272" i="11" s="1"/>
  <c r="AN2272" i="11" s="1"/>
  <c r="AD3062" i="11"/>
  <c r="AE3062" i="11" s="1"/>
  <c r="AI661" i="11"/>
  <c r="AJ661" i="11" s="1"/>
  <c r="AI164" i="11"/>
  <c r="AJ164" i="11" s="1"/>
  <c r="AF3815" i="11"/>
  <c r="AG3815" i="11" s="1"/>
  <c r="AD1791" i="11"/>
  <c r="AE1791" i="11" s="1"/>
  <c r="AN1791" i="11" s="1"/>
  <c r="AF1166" i="11"/>
  <c r="AG1166" i="11" s="1"/>
  <c r="AO1166" i="11" s="1"/>
  <c r="AI1240" i="11"/>
  <c r="AJ1240" i="11" s="1"/>
  <c r="AK3252" i="11"/>
  <c r="AL3252" i="11" s="1"/>
  <c r="AD860" i="11"/>
  <c r="AE860" i="11" s="1"/>
  <c r="AN860" i="11" s="1"/>
  <c r="AF3037" i="11"/>
  <c r="AG3037" i="11" s="1"/>
  <c r="AO3037" i="11" s="1"/>
  <c r="AF3476" i="11"/>
  <c r="AG3476" i="11" s="1"/>
  <c r="AO3476" i="11" s="1"/>
  <c r="AI229" i="11"/>
  <c r="AJ229" i="11" s="1"/>
  <c r="AK3628" i="11"/>
  <c r="AL3628" i="11" s="1"/>
  <c r="AI3131" i="11"/>
  <c r="AJ3131" i="11" s="1"/>
  <c r="AD10" i="11"/>
  <c r="AE10" i="11" s="1"/>
  <c r="AN10" i="11" s="1"/>
  <c r="AI1152" i="11"/>
  <c r="AJ1152" i="11" s="1"/>
  <c r="AK2731" i="11"/>
  <c r="AL2731" i="11" s="1"/>
  <c r="AF3715" i="11"/>
  <c r="AG3715" i="11" s="1"/>
  <c r="AO3715" i="11" s="1"/>
  <c r="AK1511" i="11"/>
  <c r="AL1511" i="11" s="1"/>
  <c r="AF2301" i="11"/>
  <c r="AG2301" i="11" s="1"/>
  <c r="AK27" i="11"/>
  <c r="AL27" i="11" s="1"/>
  <c r="AI1838" i="11"/>
  <c r="AJ1838" i="11" s="1"/>
  <c r="AD1674" i="11"/>
  <c r="AE1674" i="11" s="1"/>
  <c r="AF1563" i="11"/>
  <c r="AG1563" i="11" s="1"/>
  <c r="AD3306" i="11"/>
  <c r="AE3306" i="11" s="1"/>
  <c r="AF2559" i="11"/>
  <c r="AG2559" i="11" s="1"/>
  <c r="AO2559" i="11" s="1"/>
  <c r="AF1234" i="11"/>
  <c r="AG1234" i="11" s="1"/>
  <c r="AI651" i="11"/>
  <c r="AJ651" i="11" s="1"/>
  <c r="AD3393" i="11"/>
  <c r="AE3393" i="11" s="1"/>
  <c r="AN3393" i="11" s="1"/>
  <c r="AK2633" i="11"/>
  <c r="AL2633" i="11" s="1"/>
  <c r="AK1481" i="11"/>
  <c r="AL1481" i="11" s="1"/>
  <c r="AI984" i="11"/>
  <c r="AJ984" i="11" s="1"/>
  <c r="AK572" i="11"/>
  <c r="AL572" i="11" s="1"/>
  <c r="AF717" i="11"/>
  <c r="AG717" i="11" s="1"/>
  <c r="AO717" i="11" s="1"/>
  <c r="AK2354" i="11"/>
  <c r="AL2354" i="11" s="1"/>
  <c r="AK3233" i="11"/>
  <c r="AL3233" i="11" s="1"/>
  <c r="AK588" i="11"/>
  <c r="AL588" i="11" s="1"/>
  <c r="AF387" i="11"/>
  <c r="AG387" i="11" s="1"/>
  <c r="AK3006" i="11"/>
  <c r="AL3006" i="11" s="1"/>
  <c r="AF1455" i="11"/>
  <c r="AG1455" i="11" s="1"/>
  <c r="AD3865" i="11"/>
  <c r="AE3865" i="11" s="1"/>
  <c r="AK1663" i="11"/>
  <c r="AL1663" i="11" s="1"/>
  <c r="AF35" i="11"/>
  <c r="AG35" i="11" s="1"/>
  <c r="AK2846" i="11"/>
  <c r="AL2846" i="11" s="1"/>
  <c r="AF2790" i="11"/>
  <c r="AG2790" i="11" s="1"/>
  <c r="AO2790" i="11" s="1"/>
  <c r="AF1572" i="11"/>
  <c r="AG1572" i="11" s="1"/>
  <c r="AF556" i="11"/>
  <c r="AG556" i="11" s="1"/>
  <c r="AO556" i="11" s="1"/>
  <c r="AI285" i="11"/>
  <c r="AJ285" i="11" s="1"/>
  <c r="AI156" i="11"/>
  <c r="AJ156" i="11" s="1"/>
  <c r="AF2384" i="11"/>
  <c r="AG2384" i="11" s="1"/>
  <c r="AO2384" i="11" s="1"/>
  <c r="AI3836" i="11"/>
  <c r="AJ3836" i="11" s="1"/>
  <c r="AI940" i="11"/>
  <c r="AJ940" i="11" s="1"/>
  <c r="AD3473" i="11"/>
  <c r="AE3473" i="11" s="1"/>
  <c r="AD3560" i="11"/>
  <c r="AE3560" i="11" s="1"/>
  <c r="AD3562" i="11"/>
  <c r="AE3562" i="11" s="1"/>
  <c r="AD3514" i="11"/>
  <c r="AE3514" i="11" s="1"/>
  <c r="AD3532" i="11"/>
  <c r="AE3532" i="11" s="1"/>
  <c r="AD3499" i="11"/>
  <c r="AE3499" i="11" s="1"/>
  <c r="AD3528" i="11"/>
  <c r="AE3528" i="11" s="1"/>
  <c r="AD3533" i="11"/>
  <c r="AE3533" i="11" s="1"/>
  <c r="AD3551" i="11"/>
  <c r="AE3551" i="11" s="1"/>
  <c r="AD3481" i="11"/>
  <c r="AE3481" i="11" s="1"/>
  <c r="AD3565" i="11"/>
  <c r="AE3565" i="11" s="1"/>
  <c r="AD3548" i="11"/>
  <c r="AE3548" i="11" s="1"/>
  <c r="AD3571" i="11"/>
  <c r="AE3571" i="11" s="1"/>
  <c r="AD3572" i="11"/>
  <c r="AE3572" i="11" s="1"/>
  <c r="AD3536" i="11"/>
  <c r="AE3536" i="11" s="1"/>
  <c r="AD3487" i="11"/>
  <c r="AE3487" i="11" s="1"/>
  <c r="AD3478" i="11"/>
  <c r="AE3478" i="11" s="1"/>
  <c r="AD3480" i="11"/>
  <c r="AE3480" i="11" s="1"/>
  <c r="AD3563" i="11"/>
  <c r="AE3563" i="11" s="1"/>
  <c r="AD3479" i="11"/>
  <c r="AE3479" i="11" s="1"/>
  <c r="AD3507" i="11"/>
  <c r="AE3507" i="11" s="1"/>
  <c r="AD3566" i="11"/>
  <c r="AE3566" i="11" s="1"/>
  <c r="AD3489" i="11"/>
  <c r="AE3489" i="11" s="1"/>
  <c r="AD3526" i="11"/>
  <c r="AE3526" i="11" s="1"/>
  <c r="AD3510" i="11"/>
  <c r="AE3510" i="11" s="1"/>
  <c r="AD3474" i="11"/>
  <c r="AE3474" i="11" s="1"/>
  <c r="AD3515" i="11"/>
  <c r="AE3515" i="11" s="1"/>
  <c r="AD3523" i="11"/>
  <c r="AE3523" i="11" s="1"/>
  <c r="AD3534" i="11"/>
  <c r="AE3534" i="11" s="1"/>
  <c r="AD3558" i="11"/>
  <c r="AE3558" i="11" s="1"/>
  <c r="AD3552" i="11"/>
  <c r="AE3552" i="11" s="1"/>
  <c r="AD3530" i="11"/>
  <c r="AE3530" i="11" s="1"/>
  <c r="AD3490" i="11"/>
  <c r="AE3490" i="11" s="1"/>
  <c r="AD3546" i="11"/>
  <c r="AE3546" i="11" s="1"/>
  <c r="AD3525" i="11"/>
  <c r="AE3525" i="11" s="1"/>
  <c r="AD3570" i="11"/>
  <c r="AE3570" i="11" s="1"/>
  <c r="AD3569" i="11"/>
  <c r="AE3569" i="11" s="1"/>
  <c r="AD3549" i="11"/>
  <c r="AE3549" i="11" s="1"/>
  <c r="AD3501" i="11"/>
  <c r="AE3501" i="11" s="1"/>
  <c r="AD3506" i="11"/>
  <c r="AE3506" i="11" s="1"/>
  <c r="AD3531" i="11"/>
  <c r="AE3531" i="11" s="1"/>
  <c r="AD3574" i="11"/>
  <c r="AE3574" i="11" s="1"/>
  <c r="AD3503" i="11"/>
  <c r="AE3503" i="11" s="1"/>
  <c r="AD3539" i="11"/>
  <c r="AE3539" i="11" s="1"/>
  <c r="AD3555" i="11"/>
  <c r="AE3555" i="11" s="1"/>
  <c r="AD3512" i="11"/>
  <c r="AE3512" i="11" s="1"/>
  <c r="AD3475" i="11"/>
  <c r="AE3475" i="11" s="1"/>
  <c r="AD3485" i="11"/>
  <c r="AE3485" i="11" s="1"/>
  <c r="AD3550" i="11"/>
  <c r="AE3550" i="11" s="1"/>
  <c r="AD3498" i="11"/>
  <c r="AE3498" i="11" s="1"/>
  <c r="AD3495" i="11"/>
  <c r="AE3495" i="11" s="1"/>
  <c r="AD3477" i="11"/>
  <c r="AE3477" i="11" s="1"/>
  <c r="AD3494" i="11"/>
  <c r="AE3494" i="11" s="1"/>
  <c r="AN3494" i="11" s="1"/>
  <c r="AD3472" i="11"/>
  <c r="AE3472" i="11" s="1"/>
  <c r="AD3556" i="11"/>
  <c r="AE3556" i="11" s="1"/>
  <c r="AD3519" i="11"/>
  <c r="AE3519" i="11" s="1"/>
  <c r="AD3517" i="11"/>
  <c r="AE3517" i="11" s="1"/>
  <c r="AD3542" i="11"/>
  <c r="AE3542" i="11" s="1"/>
  <c r="AN3542" i="11" s="1"/>
  <c r="AD3516" i="11"/>
  <c r="AE3516" i="11" s="1"/>
  <c r="AD3492" i="11"/>
  <c r="AE3492" i="11" s="1"/>
  <c r="AD3529" i="11"/>
  <c r="AE3529" i="11" s="1"/>
  <c r="AD3553" i="11"/>
  <c r="AE3553" i="11" s="1"/>
  <c r="AD3500" i="11"/>
  <c r="AE3500" i="11" s="1"/>
  <c r="AD3557" i="11"/>
  <c r="AE3557" i="11" s="1"/>
  <c r="AD3493" i="11"/>
  <c r="AE3493" i="11" s="1"/>
  <c r="AD3564" i="11"/>
  <c r="AE3564" i="11" s="1"/>
  <c r="AD3520" i="11"/>
  <c r="AE3520" i="11" s="1"/>
  <c r="AD3522" i="11"/>
  <c r="AE3522" i="11" s="1"/>
  <c r="AD3547" i="11"/>
  <c r="AE3547" i="11" s="1"/>
  <c r="AD3521" i="11"/>
  <c r="AE3521" i="11" s="1"/>
  <c r="AD3559" i="11"/>
  <c r="AE3559" i="11" s="1"/>
  <c r="AD3504" i="11"/>
  <c r="AE3504" i="11" s="1"/>
  <c r="AD3544" i="11"/>
  <c r="AE3544" i="11" s="1"/>
  <c r="AD3471" i="11"/>
  <c r="AE3471" i="11" s="1"/>
  <c r="AD3502" i="11"/>
  <c r="AE3502" i="11" s="1"/>
  <c r="AD3561" i="11"/>
  <c r="AE3561" i="11" s="1"/>
  <c r="AD3567" i="11"/>
  <c r="AE3567" i="11" s="1"/>
  <c r="AD3483" i="11"/>
  <c r="AE3483" i="11" s="1"/>
  <c r="AD3497" i="11"/>
  <c r="AE3497" i="11" s="1"/>
  <c r="AD3545" i="11"/>
  <c r="AE3545" i="11" s="1"/>
  <c r="AD3518" i="11"/>
  <c r="AE3518" i="11" s="1"/>
  <c r="AD3470" i="11"/>
  <c r="AE3470" i="11" s="1"/>
  <c r="AD3573" i="11"/>
  <c r="AE3573" i="11" s="1"/>
  <c r="AD3513" i="11"/>
  <c r="AE3513" i="11" s="1"/>
  <c r="AD3486" i="11"/>
  <c r="AE3486" i="11" s="1"/>
  <c r="AN3486" i="11" s="1"/>
  <c r="AD3482" i="11"/>
  <c r="AE3482" i="11" s="1"/>
  <c r="AD3540" i="11"/>
  <c r="AE3540" i="11" s="1"/>
  <c r="AD3509" i="11"/>
  <c r="AE3509" i="11" s="1"/>
  <c r="AD3505" i="11"/>
  <c r="AE3505" i="11" s="1"/>
  <c r="AF430" i="11"/>
  <c r="AG430" i="11" s="1"/>
  <c r="AO430" i="11" s="1"/>
  <c r="AF434" i="11"/>
  <c r="AG434" i="11" s="1"/>
  <c r="AO434" i="11" s="1"/>
  <c r="AF484" i="11"/>
  <c r="AG484" i="11" s="1"/>
  <c r="AF520" i="11"/>
  <c r="AG520" i="11" s="1"/>
  <c r="AF493" i="11"/>
  <c r="AG493" i="11" s="1"/>
  <c r="AF491" i="11"/>
  <c r="AG491" i="11" s="1"/>
  <c r="AF525" i="11"/>
  <c r="AG525" i="11" s="1"/>
  <c r="AF509" i="11"/>
  <c r="AG509" i="11" s="1"/>
  <c r="AF513" i="11"/>
  <c r="AG513" i="11" s="1"/>
  <c r="AF461" i="11"/>
  <c r="AG461" i="11" s="1"/>
  <c r="AO461" i="11" s="1"/>
  <c r="AF503" i="11"/>
  <c r="AG503" i="11" s="1"/>
  <c r="AF463" i="11"/>
  <c r="AG463" i="11" s="1"/>
  <c r="AF524" i="11"/>
  <c r="AG524" i="11" s="1"/>
  <c r="AF492" i="11"/>
  <c r="AG492" i="11" s="1"/>
  <c r="AO492" i="11" s="1"/>
  <c r="AF451" i="11"/>
  <c r="AG451" i="11" s="1"/>
  <c r="AF429" i="11"/>
  <c r="AG429" i="11" s="1"/>
  <c r="AF466" i="11"/>
  <c r="AG466" i="11" s="1"/>
  <c r="AO466" i="11" s="1"/>
  <c r="AF440" i="11"/>
  <c r="AG440" i="11" s="1"/>
  <c r="AF437" i="11"/>
  <c r="AG437" i="11" s="1"/>
  <c r="AF474" i="11"/>
  <c r="AG474" i="11" s="1"/>
  <c r="AF431" i="11"/>
  <c r="AG431" i="11" s="1"/>
  <c r="AF487" i="11"/>
  <c r="AG487" i="11" s="1"/>
  <c r="AO487" i="11" s="1"/>
  <c r="AF496" i="11"/>
  <c r="AG496" i="11" s="1"/>
  <c r="AF446" i="11"/>
  <c r="AG446" i="11" s="1"/>
  <c r="AF523" i="11"/>
  <c r="AG523" i="11" s="1"/>
  <c r="AO523" i="11" s="1"/>
  <c r="AF511" i="11"/>
  <c r="AG511" i="11" s="1"/>
  <c r="AF480" i="11"/>
  <c r="AG480" i="11" s="1"/>
  <c r="AF467" i="11"/>
  <c r="AG467" i="11" s="1"/>
  <c r="AF457" i="11"/>
  <c r="AG457" i="11" s="1"/>
  <c r="AF433" i="11"/>
  <c r="AG433" i="11" s="1"/>
  <c r="AF471" i="11"/>
  <c r="AG471" i="11" s="1"/>
  <c r="AO471" i="11" s="1"/>
  <c r="AF455" i="11"/>
  <c r="AG455" i="11" s="1"/>
  <c r="AF472" i="11"/>
  <c r="AG472" i="11" s="1"/>
  <c r="AF489" i="11"/>
  <c r="AG489" i="11" s="1"/>
  <c r="AF428" i="11"/>
  <c r="AG428" i="11" s="1"/>
  <c r="AF518" i="11"/>
  <c r="AG518" i="11" s="1"/>
  <c r="AF527" i="11"/>
  <c r="AG527" i="11" s="1"/>
  <c r="AO527" i="11" s="1"/>
  <c r="AF427" i="11"/>
  <c r="AG427" i="11" s="1"/>
  <c r="AF514" i="11"/>
  <c r="AG514" i="11" s="1"/>
  <c r="AF497" i="11"/>
  <c r="AG497" i="11" s="1"/>
  <c r="AF468" i="11"/>
  <c r="AG468" i="11" s="1"/>
  <c r="AF505" i="11"/>
  <c r="AG505" i="11" s="1"/>
  <c r="AF501" i="11"/>
  <c r="AG501" i="11" s="1"/>
  <c r="AF460" i="11"/>
  <c r="AG460" i="11" s="1"/>
  <c r="AF478" i="11"/>
  <c r="AG478" i="11" s="1"/>
  <c r="AF506" i="11"/>
  <c r="AG506" i="11" s="1"/>
  <c r="AF476" i="11"/>
  <c r="AG476" i="11" s="1"/>
  <c r="AF432" i="11"/>
  <c r="AG432" i="11" s="1"/>
  <c r="AF488" i="11"/>
  <c r="AG488" i="11" s="1"/>
  <c r="AF516" i="11"/>
  <c r="AG516" i="11" s="1"/>
  <c r="AF470" i="11"/>
  <c r="AG470" i="11" s="1"/>
  <c r="AO470" i="11" s="1"/>
  <c r="AF436" i="11"/>
  <c r="AG436" i="11" s="1"/>
  <c r="AF465" i="11"/>
  <c r="AG465" i="11" s="1"/>
  <c r="AF456" i="11"/>
  <c r="AG456" i="11" s="1"/>
  <c r="AF498" i="11"/>
  <c r="AG498" i="11" s="1"/>
  <c r="AO498" i="11" s="1"/>
  <c r="AF443" i="11"/>
  <c r="AG443" i="11" s="1"/>
  <c r="AF512" i="11"/>
  <c r="AG512" i="11" s="1"/>
  <c r="AF452" i="11"/>
  <c r="AG452" i="11" s="1"/>
  <c r="AF482" i="11"/>
  <c r="AG482" i="11" s="1"/>
  <c r="AF475" i="11"/>
  <c r="AG475" i="11" s="1"/>
  <c r="AF517" i="11"/>
  <c r="AG517" i="11" s="1"/>
  <c r="AO517" i="11" s="1"/>
  <c r="AF449" i="11"/>
  <c r="AG449" i="11" s="1"/>
  <c r="AF521" i="11"/>
  <c r="AG521" i="11" s="1"/>
  <c r="AF490" i="11"/>
  <c r="AG490" i="11" s="1"/>
  <c r="AF483" i="11"/>
  <c r="AG483" i="11" s="1"/>
  <c r="AF444" i="11"/>
  <c r="AG444" i="11" s="1"/>
  <c r="AF462" i="11"/>
  <c r="AG462" i="11" s="1"/>
  <c r="AF441" i="11"/>
  <c r="AG441" i="11" s="1"/>
  <c r="AF495" i="11"/>
  <c r="AG495" i="11" s="1"/>
  <c r="AF508" i="11"/>
  <c r="AG508" i="11" s="1"/>
  <c r="AF494" i="11"/>
  <c r="AG494" i="11" s="1"/>
  <c r="AF453" i="11"/>
  <c r="AG453" i="11" s="1"/>
  <c r="AF425" i="11"/>
  <c r="AG425" i="11" s="1"/>
  <c r="AF448" i="11"/>
  <c r="AG448" i="11" s="1"/>
  <c r="AO448" i="11" s="1"/>
  <c r="AF454" i="11"/>
  <c r="AG454" i="11" s="1"/>
  <c r="AO454" i="11" s="1"/>
  <c r="AF464" i="11"/>
  <c r="AG464" i="11" s="1"/>
  <c r="AF504" i="11"/>
  <c r="AG504" i="11" s="1"/>
  <c r="AF442" i="11"/>
  <c r="AG442" i="11" s="1"/>
  <c r="AF426" i="11"/>
  <c r="AG426" i="11" s="1"/>
  <c r="AF438" i="11"/>
  <c r="AG438" i="11" s="1"/>
  <c r="AF522" i="11"/>
  <c r="AG522" i="11" s="1"/>
  <c r="AF526" i="11"/>
  <c r="AG526" i="11" s="1"/>
  <c r="AF502" i="11"/>
  <c r="AG502" i="11" s="1"/>
  <c r="AF499" i="11"/>
  <c r="AG499" i="11" s="1"/>
  <c r="AF515" i="11"/>
  <c r="AG515" i="11" s="1"/>
  <c r="AF435" i="11"/>
  <c r="AG435" i="11" s="1"/>
  <c r="AF447" i="11"/>
  <c r="AG447" i="11" s="1"/>
  <c r="AF469" i="11"/>
  <c r="AG469" i="11" s="1"/>
  <c r="AF481" i="11"/>
  <c r="AG481" i="11" s="1"/>
  <c r="O190" i="54"/>
  <c r="AF459" i="11"/>
  <c r="AG459" i="11" s="1"/>
  <c r="AF485" i="11"/>
  <c r="AG485" i="11" s="1"/>
  <c r="AF486" i="11"/>
  <c r="AG486" i="11" s="1"/>
  <c r="AO486" i="11" s="1"/>
  <c r="AF445" i="11"/>
  <c r="AG445" i="11" s="1"/>
  <c r="AO445" i="11" s="1"/>
  <c r="AF510" i="11"/>
  <c r="AG510" i="11" s="1"/>
  <c r="AI988" i="11"/>
  <c r="AJ988" i="11" s="1"/>
  <c r="AI1008" i="11"/>
  <c r="AJ1008" i="11" s="1"/>
  <c r="AI975" i="11"/>
  <c r="AJ975" i="11" s="1"/>
  <c r="AI953" i="11"/>
  <c r="AJ953" i="11" s="1"/>
  <c r="AI1047" i="11"/>
  <c r="AJ1047" i="11" s="1"/>
  <c r="AI994" i="11"/>
  <c r="AJ994" i="11" s="1"/>
  <c r="AI964" i="11"/>
  <c r="AJ964" i="11" s="1"/>
  <c r="AI986" i="11"/>
  <c r="AJ986" i="11" s="1"/>
  <c r="AI1012" i="11"/>
  <c r="AJ1012" i="11" s="1"/>
  <c r="AI1002" i="11"/>
  <c r="AJ1002" i="11" s="1"/>
  <c r="AI956" i="11"/>
  <c r="AJ956" i="11" s="1"/>
  <c r="AI1015" i="11"/>
  <c r="AJ1015" i="11" s="1"/>
  <c r="AI1017" i="11"/>
  <c r="AJ1017" i="11" s="1"/>
  <c r="AI955" i="11"/>
  <c r="AJ955" i="11" s="1"/>
  <c r="AI990" i="11"/>
  <c r="AJ990" i="11" s="1"/>
  <c r="AI1029" i="11"/>
  <c r="AJ1029" i="11" s="1"/>
  <c r="AI980" i="11"/>
  <c r="AJ980" i="11" s="1"/>
  <c r="AI1026" i="11"/>
  <c r="AJ1026" i="11" s="1"/>
  <c r="AI1007" i="11"/>
  <c r="AJ1007" i="11" s="1"/>
  <c r="AI1050" i="11"/>
  <c r="AJ1050" i="11" s="1"/>
  <c r="AI1016" i="11"/>
  <c r="AJ1016" i="11" s="1"/>
  <c r="AI1022" i="11"/>
  <c r="AJ1022" i="11" s="1"/>
  <c r="AI1052" i="11"/>
  <c r="AJ1052" i="11" s="1"/>
  <c r="AI991" i="11"/>
  <c r="AJ991" i="11" s="1"/>
  <c r="AI1044" i="11"/>
  <c r="AJ1044" i="11" s="1"/>
  <c r="AI1045" i="11"/>
  <c r="AJ1045" i="11" s="1"/>
  <c r="AI1013" i="11"/>
  <c r="AJ1013" i="11" s="1"/>
  <c r="AI1038" i="11"/>
  <c r="AJ1038" i="11" s="1"/>
  <c r="AI950" i="11"/>
  <c r="AJ950" i="11" s="1"/>
  <c r="AI1042" i="11"/>
  <c r="AJ1042" i="11" s="1"/>
  <c r="AI993" i="11"/>
  <c r="AJ993" i="11" s="1"/>
  <c r="AI1039" i="11"/>
  <c r="AJ1039" i="11" s="1"/>
  <c r="AI1000" i="11"/>
  <c r="AJ1000" i="11" s="1"/>
  <c r="AI987" i="11"/>
  <c r="AJ987" i="11" s="1"/>
  <c r="AI968" i="11"/>
  <c r="AJ968" i="11" s="1"/>
  <c r="AI995" i="11"/>
  <c r="AJ995" i="11" s="1"/>
  <c r="AI963" i="11"/>
  <c r="AJ963" i="11" s="1"/>
  <c r="AI977" i="11"/>
  <c r="AJ977" i="11" s="1"/>
  <c r="AI1025" i="11"/>
  <c r="AJ1025" i="11" s="1"/>
  <c r="AI1037" i="11"/>
  <c r="AJ1037" i="11" s="1"/>
  <c r="AI972" i="11"/>
  <c r="AJ972" i="11" s="1"/>
  <c r="AI962" i="11"/>
  <c r="AJ962" i="11" s="1"/>
  <c r="AI1031" i="11"/>
  <c r="AJ1031" i="11" s="1"/>
  <c r="AI1041" i="11"/>
  <c r="AJ1041" i="11" s="1"/>
  <c r="AI979" i="11"/>
  <c r="AJ979" i="11" s="1"/>
  <c r="AI1049" i="11"/>
  <c r="AJ1049" i="11" s="1"/>
  <c r="AI1027" i="11"/>
  <c r="AJ1027" i="11" s="1"/>
  <c r="AI960" i="11"/>
  <c r="AJ960" i="11" s="1"/>
  <c r="AI1020" i="11"/>
  <c r="AJ1020" i="11" s="1"/>
  <c r="AI1024" i="11"/>
  <c r="AJ1024" i="11" s="1"/>
  <c r="AI1036" i="11"/>
  <c r="AJ1036" i="11" s="1"/>
  <c r="AI1019" i="11"/>
  <c r="AJ1019" i="11" s="1"/>
  <c r="AI1053" i="11"/>
  <c r="AJ1053" i="11" s="1"/>
  <c r="AI954" i="11"/>
  <c r="AJ954" i="11" s="1"/>
  <c r="AI982" i="11"/>
  <c r="AJ982" i="11" s="1"/>
  <c r="AI1051" i="11"/>
  <c r="AJ1051" i="11" s="1"/>
  <c r="AI1048" i="11"/>
  <c r="AJ1048" i="11" s="1"/>
  <c r="AI976" i="11"/>
  <c r="AJ976" i="11" s="1"/>
  <c r="AI1023" i="11"/>
  <c r="AJ1023" i="11" s="1"/>
  <c r="AI1035" i="11"/>
  <c r="AJ1035" i="11" s="1"/>
  <c r="AI1014" i="11"/>
  <c r="AJ1014" i="11" s="1"/>
  <c r="AI1006" i="11"/>
  <c r="AJ1006" i="11" s="1"/>
  <c r="AI952" i="11"/>
  <c r="AJ952" i="11" s="1"/>
  <c r="AI1018" i="11"/>
  <c r="AJ1018" i="11" s="1"/>
  <c r="AI1030" i="11"/>
  <c r="AJ1030" i="11" s="1"/>
  <c r="AI957" i="11"/>
  <c r="AJ957" i="11" s="1"/>
  <c r="AI983" i="11"/>
  <c r="AJ983" i="11" s="1"/>
  <c r="AI1005" i="11"/>
  <c r="AJ1005" i="11" s="1"/>
  <c r="AI1054" i="11"/>
  <c r="AJ1054" i="11" s="1"/>
  <c r="AI1046" i="11"/>
  <c r="AJ1046" i="11" s="1"/>
  <c r="AI997" i="11"/>
  <c r="AJ997" i="11" s="1"/>
  <c r="AI989" i="11"/>
  <c r="AJ989" i="11" s="1"/>
  <c r="AI978" i="11"/>
  <c r="AJ978" i="11" s="1"/>
  <c r="AI1032" i="11"/>
  <c r="AJ1032" i="11" s="1"/>
  <c r="AI958" i="11"/>
  <c r="AJ958" i="11" s="1"/>
  <c r="AI970" i="11"/>
  <c r="AJ970" i="11" s="1"/>
  <c r="AI1011" i="11"/>
  <c r="AJ1011" i="11" s="1"/>
  <c r="AI961" i="11"/>
  <c r="AJ961" i="11" s="1"/>
  <c r="AI969" i="11"/>
  <c r="AJ969" i="11" s="1"/>
  <c r="AI966" i="11"/>
  <c r="AJ966" i="11" s="1"/>
  <c r="AI951" i="11"/>
  <c r="AJ951" i="11" s="1"/>
  <c r="AI1004" i="11"/>
  <c r="AJ1004" i="11" s="1"/>
  <c r="AI981" i="11"/>
  <c r="AJ981" i="11" s="1"/>
  <c r="AI1010" i="11"/>
  <c r="AJ1010" i="11" s="1"/>
  <c r="AI998" i="11"/>
  <c r="AJ998" i="11" s="1"/>
  <c r="AI1001" i="11"/>
  <c r="AJ1001" i="11" s="1"/>
  <c r="AI985" i="11"/>
  <c r="AJ985" i="11" s="1"/>
  <c r="AI1040" i="11"/>
  <c r="AJ1040" i="11" s="1"/>
  <c r="AI992" i="11"/>
  <c r="AJ992" i="11" s="1"/>
  <c r="AI967" i="11"/>
  <c r="AJ967" i="11" s="1"/>
  <c r="AI973" i="11"/>
  <c r="AJ973" i="11" s="1"/>
  <c r="AI959" i="11"/>
  <c r="AJ959" i="11" s="1"/>
  <c r="AI2530" i="11"/>
  <c r="AJ2530" i="11" s="1"/>
  <c r="AI2595" i="11"/>
  <c r="AJ2595" i="11" s="1"/>
  <c r="AI2602" i="11"/>
  <c r="AJ2602" i="11" s="1"/>
  <c r="AI2577" i="11"/>
  <c r="AJ2577" i="11" s="1"/>
  <c r="AI2589" i="11"/>
  <c r="AJ2589" i="11" s="1"/>
  <c r="AI2555" i="11"/>
  <c r="AJ2555" i="11" s="1"/>
  <c r="AI2620" i="11"/>
  <c r="AJ2620" i="11" s="1"/>
  <c r="AI2558" i="11"/>
  <c r="AJ2558" i="11" s="1"/>
  <c r="AI2546" i="11"/>
  <c r="AJ2546" i="11" s="1"/>
  <c r="AI2629" i="11"/>
  <c r="AJ2629" i="11" s="1"/>
  <c r="AI2565" i="11"/>
  <c r="AJ2565" i="11" s="1"/>
  <c r="AI2543" i="11"/>
  <c r="AJ2543" i="11" s="1"/>
  <c r="AI2548" i="11"/>
  <c r="AJ2548" i="11" s="1"/>
  <c r="AI2541" i="11"/>
  <c r="AJ2541" i="11" s="1"/>
  <c r="AI2566" i="11"/>
  <c r="AJ2566" i="11" s="1"/>
  <c r="AI2564" i="11"/>
  <c r="AJ2564" i="11" s="1"/>
  <c r="AI2557" i="11"/>
  <c r="AJ2557" i="11" s="1"/>
  <c r="AI2590" i="11"/>
  <c r="AJ2590" i="11" s="1"/>
  <c r="AI2614" i="11"/>
  <c r="AJ2614" i="11" s="1"/>
  <c r="AI2599" i="11"/>
  <c r="AJ2599" i="11" s="1"/>
  <c r="AI2591" i="11"/>
  <c r="AJ2591" i="11" s="1"/>
  <c r="AI2556" i="11"/>
  <c r="AJ2556" i="11" s="1"/>
  <c r="AI2582" i="11"/>
  <c r="AJ2582" i="11" s="1"/>
  <c r="AI2559" i="11"/>
  <c r="AJ2559" i="11" s="1"/>
  <c r="AI2575" i="11"/>
  <c r="AJ2575" i="11" s="1"/>
  <c r="AI2571" i="11"/>
  <c r="AJ2571" i="11" s="1"/>
  <c r="AI2593" i="11"/>
  <c r="AJ2593" i="11" s="1"/>
  <c r="AI2570" i="11"/>
  <c r="AJ2570" i="11" s="1"/>
  <c r="AI2561" i="11"/>
  <c r="AJ2561" i="11" s="1"/>
  <c r="AI2536" i="11"/>
  <c r="AJ2536" i="11" s="1"/>
  <c r="AI2545" i="11"/>
  <c r="AJ2545" i="11" s="1"/>
  <c r="AI2610" i="11"/>
  <c r="AJ2610" i="11" s="1"/>
  <c r="AI2553" i="11"/>
  <c r="AJ2553" i="11" s="1"/>
  <c r="AI2532" i="11"/>
  <c r="AJ2532" i="11" s="1"/>
  <c r="AI2626" i="11"/>
  <c r="AJ2626" i="11" s="1"/>
  <c r="AI2529" i="11"/>
  <c r="AJ2529" i="11" s="1"/>
  <c r="AI2612" i="11"/>
  <c r="AJ2612" i="11" s="1"/>
  <c r="AI2538" i="11"/>
  <c r="AJ2538" i="11" s="1"/>
  <c r="AI2526" i="11"/>
  <c r="AJ2526" i="11" s="1"/>
  <c r="AI2542" i="11"/>
  <c r="AJ2542" i="11" s="1"/>
  <c r="AI2540" i="11"/>
  <c r="AJ2540" i="11" s="1"/>
  <c r="AI2572" i="11"/>
  <c r="AJ2572" i="11" s="1"/>
  <c r="AI2585" i="11"/>
  <c r="AJ2585" i="11" s="1"/>
  <c r="AI2576" i="11"/>
  <c r="AJ2576" i="11" s="1"/>
  <c r="AI2594" i="11"/>
  <c r="AJ2594" i="11" s="1"/>
  <c r="AI2547" i="11"/>
  <c r="AJ2547" i="11" s="1"/>
  <c r="AI2624" i="11"/>
  <c r="AJ2624" i="11" s="1"/>
  <c r="AI2597" i="11"/>
  <c r="AJ2597" i="11" s="1"/>
  <c r="AI2622" i="11"/>
  <c r="AJ2622" i="11" s="1"/>
  <c r="AI2551" i="11"/>
  <c r="AJ2551" i="11" s="1"/>
  <c r="AI2562" i="11"/>
  <c r="AJ2562" i="11" s="1"/>
  <c r="AI2606" i="11"/>
  <c r="AJ2606" i="11" s="1"/>
  <c r="AI2535" i="11"/>
  <c r="AJ2535" i="11" s="1"/>
  <c r="AI2531" i="11"/>
  <c r="AJ2531" i="11" s="1"/>
  <c r="AI2573" i="11"/>
  <c r="AJ2573" i="11" s="1"/>
  <c r="AI2581" i="11"/>
  <c r="AJ2581" i="11" s="1"/>
  <c r="AI2544" i="11"/>
  <c r="AJ2544" i="11" s="1"/>
  <c r="AI2601" i="11"/>
  <c r="AJ2601" i="11" s="1"/>
  <c r="AI2568" i="11"/>
  <c r="AJ2568" i="11" s="1"/>
  <c r="AI2528" i="11"/>
  <c r="AJ2528" i="11" s="1"/>
  <c r="AI2613" i="11"/>
  <c r="AJ2613" i="11" s="1"/>
  <c r="AI2611" i="11"/>
  <c r="AJ2611" i="11" s="1"/>
  <c r="AI2627" i="11"/>
  <c r="AJ2627" i="11" s="1"/>
  <c r="AI2616" i="11"/>
  <c r="AJ2616" i="11" s="1"/>
  <c r="AI2584" i="11"/>
  <c r="AJ2584" i="11" s="1"/>
  <c r="AI2549" i="11"/>
  <c r="AJ2549" i="11" s="1"/>
  <c r="AI2574" i="11"/>
  <c r="AJ2574" i="11" s="1"/>
  <c r="AI2586" i="11"/>
  <c r="AJ2586" i="11" s="1"/>
  <c r="AI2621" i="11"/>
  <c r="AJ2621" i="11" s="1"/>
  <c r="AI2598" i="11"/>
  <c r="AJ2598" i="11" s="1"/>
  <c r="AI2608" i="11"/>
  <c r="AJ2608" i="11" s="1"/>
  <c r="AI2619" i="11"/>
  <c r="AJ2619" i="11" s="1"/>
  <c r="AI2567" i="11"/>
  <c r="AJ2567" i="11" s="1"/>
  <c r="AI2609" i="11"/>
  <c r="AJ2609" i="11" s="1"/>
  <c r="AI2579" i="11"/>
  <c r="AJ2579" i="11" s="1"/>
  <c r="AI2603" i="11"/>
  <c r="AJ2603" i="11" s="1"/>
  <c r="AI2618" i="11"/>
  <c r="AJ2618" i="11" s="1"/>
  <c r="AI2587" i="11"/>
  <c r="AJ2587" i="11" s="1"/>
  <c r="AI2525" i="11"/>
  <c r="AJ2525" i="11" s="1"/>
  <c r="AI2607" i="11"/>
  <c r="AJ2607" i="11" s="1"/>
  <c r="AI2623" i="11"/>
  <c r="AJ2623" i="11" s="1"/>
  <c r="AI2596" i="11"/>
  <c r="AJ2596" i="11" s="1"/>
  <c r="AI2592" i="11"/>
  <c r="AJ2592" i="11" s="1"/>
  <c r="AI2527" i="11"/>
  <c r="AJ2527" i="11" s="1"/>
  <c r="AI2554" i="11"/>
  <c r="AJ2554" i="11" s="1"/>
  <c r="AI2625" i="11"/>
  <c r="AJ2625" i="11" s="1"/>
  <c r="AI2537" i="11"/>
  <c r="AJ2537" i="11" s="1"/>
  <c r="AI2539" i="11"/>
  <c r="AJ2539" i="11" s="1"/>
  <c r="AI2588" i="11"/>
  <c r="AJ2588" i="11" s="1"/>
  <c r="AI2615" i="11"/>
  <c r="AJ2615" i="11" s="1"/>
  <c r="AI2605" i="11"/>
  <c r="AJ2605" i="11" s="1"/>
  <c r="AI2617" i="11"/>
  <c r="AJ2617" i="11" s="1"/>
  <c r="AI2563" i="11"/>
  <c r="AJ2563" i="11" s="1"/>
  <c r="AF3468" i="11"/>
  <c r="AG3468" i="11" s="1"/>
  <c r="AO3468" i="11" s="1"/>
  <c r="AF3433" i="11"/>
  <c r="AG3433" i="11" s="1"/>
  <c r="AO3433" i="11" s="1"/>
  <c r="AF3451" i="11"/>
  <c r="AG3451" i="11" s="1"/>
  <c r="AO3451" i="11" s="1"/>
  <c r="AF3373" i="11"/>
  <c r="AG3373" i="11" s="1"/>
  <c r="AO3373" i="11" s="1"/>
  <c r="AF3384" i="11"/>
  <c r="AG3384" i="11" s="1"/>
  <c r="AO3384" i="11" s="1"/>
  <c r="AF3381" i="11"/>
  <c r="AG3381" i="11" s="1"/>
  <c r="AO3381" i="11" s="1"/>
  <c r="AF3434" i="11"/>
  <c r="AG3434" i="11" s="1"/>
  <c r="AO3434" i="11" s="1"/>
  <c r="AF3428" i="11"/>
  <c r="AG3428" i="11" s="1"/>
  <c r="AF3405" i="11"/>
  <c r="AG3405" i="11" s="1"/>
  <c r="AO3405" i="11" s="1"/>
  <c r="AF3457" i="11"/>
  <c r="AG3457" i="11" s="1"/>
  <c r="AO3457" i="11" s="1"/>
  <c r="AF3401" i="11"/>
  <c r="AG3401" i="11" s="1"/>
  <c r="AF3420" i="11"/>
  <c r="AG3420" i="11" s="1"/>
  <c r="AO3420" i="11" s="1"/>
  <c r="AF3439" i="11"/>
  <c r="AG3439" i="11" s="1"/>
  <c r="AO3439" i="11" s="1"/>
  <c r="AF3410" i="11"/>
  <c r="AG3410" i="11" s="1"/>
  <c r="AO3410" i="11" s="1"/>
  <c r="AF3456" i="11"/>
  <c r="AG3456" i="11" s="1"/>
  <c r="AF3437" i="11"/>
  <c r="AG3437" i="11" s="1"/>
  <c r="AO3437" i="11" s="1"/>
  <c r="AF3423" i="11"/>
  <c r="AG3423" i="11" s="1"/>
  <c r="AO3423" i="11" s="1"/>
  <c r="AF3453" i="11"/>
  <c r="AG3453" i="11" s="1"/>
  <c r="AO3453" i="11" s="1"/>
  <c r="AF3438" i="11"/>
  <c r="AG3438" i="11" s="1"/>
  <c r="AO3438" i="11" s="1"/>
  <c r="AF3469" i="11"/>
  <c r="AG3469" i="11" s="1"/>
  <c r="AO3469" i="11" s="1"/>
  <c r="AF3424" i="11"/>
  <c r="AG3424" i="11" s="1"/>
  <c r="AO3424" i="11" s="1"/>
  <c r="AF3421" i="11"/>
  <c r="AG3421" i="11" s="1"/>
  <c r="AO3421" i="11" s="1"/>
  <c r="AF3408" i="11"/>
  <c r="AG3408" i="11" s="1"/>
  <c r="AO3408" i="11" s="1"/>
  <c r="AF3418" i="11"/>
  <c r="AG3418" i="11" s="1"/>
  <c r="AO3418" i="11" s="1"/>
  <c r="AF3407" i="11"/>
  <c r="AG3407" i="11" s="1"/>
  <c r="AF3442" i="11"/>
  <c r="AG3442" i="11" s="1"/>
  <c r="AO3442" i="11" s="1"/>
  <c r="AF3386" i="11"/>
  <c r="AG3386" i="11" s="1"/>
  <c r="AO3386" i="11" s="1"/>
  <c r="AF3369" i="11"/>
  <c r="AG3369" i="11" s="1"/>
  <c r="AO3369" i="11" s="1"/>
  <c r="AF3427" i="11"/>
  <c r="AG3427" i="11" s="1"/>
  <c r="AO3427" i="11" s="1"/>
  <c r="AF3367" i="11"/>
  <c r="AG3367" i="11" s="1"/>
  <c r="AO3367" i="11" s="1"/>
  <c r="AF3387" i="11"/>
  <c r="AG3387" i="11" s="1"/>
  <c r="AF3379" i="11"/>
  <c r="AG3379" i="11" s="1"/>
  <c r="AO3379" i="11" s="1"/>
  <c r="AF3378" i="11"/>
  <c r="AG3378" i="11" s="1"/>
  <c r="AO3378" i="11" s="1"/>
  <c r="AF3409" i="11"/>
  <c r="AG3409" i="11" s="1"/>
  <c r="AO3409" i="11" s="1"/>
  <c r="AF3448" i="11"/>
  <c r="AG3448" i="11" s="1"/>
  <c r="AO3448" i="11" s="1"/>
  <c r="AF3454" i="11"/>
  <c r="AG3454" i="11" s="1"/>
  <c r="AO3454" i="11" s="1"/>
  <c r="AF3394" i="11"/>
  <c r="AG3394" i="11" s="1"/>
  <c r="AO3394" i="11" s="1"/>
  <c r="AF3462" i="11"/>
  <c r="AG3462" i="11" s="1"/>
  <c r="AF3372" i="11"/>
  <c r="AG3372" i="11" s="1"/>
  <c r="AO3372" i="11" s="1"/>
  <c r="AF3452" i="11"/>
  <c r="AG3452" i="11" s="1"/>
  <c r="AO3452" i="11" s="1"/>
  <c r="AF3388" i="11"/>
  <c r="AG3388" i="11" s="1"/>
  <c r="AO3388" i="11" s="1"/>
  <c r="AF3459" i="11"/>
  <c r="AG3459" i="11" s="1"/>
  <c r="AO3459" i="11" s="1"/>
  <c r="AF3406" i="11"/>
  <c r="AG3406" i="11" s="1"/>
  <c r="AO3406" i="11" s="1"/>
  <c r="AF3425" i="11"/>
  <c r="AG3425" i="11" s="1"/>
  <c r="AO3425" i="11" s="1"/>
  <c r="AF3465" i="11"/>
  <c r="AG3465" i="11" s="1"/>
  <c r="AO3465" i="11" s="1"/>
  <c r="AF3430" i="11"/>
  <c r="AG3430" i="11" s="1"/>
  <c r="AO3430" i="11" s="1"/>
  <c r="AF3383" i="11"/>
  <c r="AG3383" i="11" s="1"/>
  <c r="AO3383" i="11" s="1"/>
  <c r="AF3443" i="11"/>
  <c r="AG3443" i="11" s="1"/>
  <c r="AO3443" i="11" s="1"/>
  <c r="AF3399" i="11"/>
  <c r="AG3399" i="11" s="1"/>
  <c r="AO3399" i="11" s="1"/>
  <c r="AF3464" i="11"/>
  <c r="AG3464" i="11" s="1"/>
  <c r="AO3464" i="11" s="1"/>
  <c r="AF3393" i="11"/>
  <c r="AG3393" i="11" s="1"/>
  <c r="AO3393" i="11" s="1"/>
  <c r="AF3397" i="11"/>
  <c r="AG3397" i="11" s="1"/>
  <c r="AO3397" i="11" s="1"/>
  <c r="AF3365" i="11"/>
  <c r="AG3365" i="11" s="1"/>
  <c r="AO3365" i="11" s="1"/>
  <c r="AF3445" i="11"/>
  <c r="AG3445" i="11" s="1"/>
  <c r="AO3445" i="11" s="1"/>
  <c r="AF3447" i="11"/>
  <c r="AG3447" i="11" s="1"/>
  <c r="AF3429" i="11"/>
  <c r="AG3429" i="11" s="1"/>
  <c r="AO3429" i="11" s="1"/>
  <c r="AF3380" i="11"/>
  <c r="AG3380" i="11" s="1"/>
  <c r="AF3414" i="11"/>
  <c r="AG3414" i="11" s="1"/>
  <c r="AO3414" i="11" s="1"/>
  <c r="AF3422" i="11"/>
  <c r="AG3422" i="11" s="1"/>
  <c r="AO3422" i="11" s="1"/>
  <c r="AF3411" i="11"/>
  <c r="AG3411" i="11" s="1"/>
  <c r="AO3411" i="11" s="1"/>
  <c r="AF3432" i="11"/>
  <c r="AG3432" i="11" s="1"/>
  <c r="AO3432" i="11" s="1"/>
  <c r="AF3417" i="11"/>
  <c r="AG3417" i="11" s="1"/>
  <c r="AF3450" i="11"/>
  <c r="AG3450" i="11" s="1"/>
  <c r="AO3450" i="11" s="1"/>
  <c r="AF3368" i="11"/>
  <c r="AG3368" i="11" s="1"/>
  <c r="AO3368" i="11" s="1"/>
  <c r="AF3455" i="11"/>
  <c r="AG3455" i="11" s="1"/>
  <c r="AO3455" i="11" s="1"/>
  <c r="AF3431" i="11"/>
  <c r="AG3431" i="11" s="1"/>
  <c r="AO3431" i="11" s="1"/>
  <c r="AF3458" i="11"/>
  <c r="AG3458" i="11" s="1"/>
  <c r="AO3458" i="11" s="1"/>
  <c r="AF3412" i="11"/>
  <c r="AG3412" i="11" s="1"/>
  <c r="AO3412" i="11" s="1"/>
  <c r="AF3436" i="11"/>
  <c r="AG3436" i="11" s="1"/>
  <c r="AO3436" i="11" s="1"/>
  <c r="AF3396" i="11"/>
  <c r="AG3396" i="11" s="1"/>
  <c r="AO3396" i="11" s="1"/>
  <c r="AF3419" i="11"/>
  <c r="AG3419" i="11" s="1"/>
  <c r="AO3419" i="11" s="1"/>
  <c r="AF3466" i="11"/>
  <c r="AG3466" i="11" s="1"/>
  <c r="AF3446" i="11"/>
  <c r="AG3446" i="11" s="1"/>
  <c r="AF3382" i="11"/>
  <c r="AG3382" i="11" s="1"/>
  <c r="AO3382" i="11" s="1"/>
  <c r="AF3463" i="11"/>
  <c r="AG3463" i="11" s="1"/>
  <c r="AF3398" i="11"/>
  <c r="AG3398" i="11" s="1"/>
  <c r="AO3398" i="11" s="1"/>
  <c r="AF3400" i="11"/>
  <c r="AG3400" i="11" s="1"/>
  <c r="AO3400" i="11" s="1"/>
  <c r="AF3389" i="11"/>
  <c r="AG3389" i="11" s="1"/>
  <c r="AO3389" i="11" s="1"/>
  <c r="AF3426" i="11"/>
  <c r="AG3426" i="11" s="1"/>
  <c r="AO3426" i="11" s="1"/>
  <c r="AF3467" i="11"/>
  <c r="AG3467" i="11" s="1"/>
  <c r="AO3467" i="11" s="1"/>
  <c r="AF3460" i="11"/>
  <c r="AG3460" i="11" s="1"/>
  <c r="AF3444" i="11"/>
  <c r="AG3444" i="11" s="1"/>
  <c r="AO3444" i="11" s="1"/>
  <c r="AF3416" i="11"/>
  <c r="AG3416" i="11" s="1"/>
  <c r="AO3416" i="11" s="1"/>
  <c r="AF3415" i="11"/>
  <c r="AG3415" i="11" s="1"/>
  <c r="AO3415" i="11" s="1"/>
  <c r="AF3374" i="11"/>
  <c r="AG3374" i="11" s="1"/>
  <c r="AO3374" i="11" s="1"/>
  <c r="AF3449" i="11"/>
  <c r="AG3449" i="11" s="1"/>
  <c r="AO3449" i="11" s="1"/>
  <c r="AF3413" i="11"/>
  <c r="AG3413" i="11" s="1"/>
  <c r="AO3413" i="11" s="1"/>
  <c r="AF3395" i="11"/>
  <c r="AG3395" i="11" s="1"/>
  <c r="AO3395" i="11" s="1"/>
  <c r="AF3377" i="11"/>
  <c r="AG3377" i="11" s="1"/>
  <c r="AO3377" i="11" s="1"/>
  <c r="AF3385" i="11"/>
  <c r="AG3385" i="11" s="1"/>
  <c r="AO3385" i="11" s="1"/>
  <c r="AF3391" i="11"/>
  <c r="AG3391" i="11" s="1"/>
  <c r="AO3391" i="11" s="1"/>
  <c r="AF3371" i="11"/>
  <c r="AG3371" i="11" s="1"/>
  <c r="AO3371" i="11" s="1"/>
  <c r="AF3404" i="11"/>
  <c r="AG3404" i="11" s="1"/>
  <c r="AO3404" i="11" s="1"/>
  <c r="O189" i="54"/>
  <c r="AF3392" i="11"/>
  <c r="AG3392" i="11" s="1"/>
  <c r="AO3392" i="11" s="1"/>
  <c r="AF3402" i="11"/>
  <c r="AG3402" i="11" s="1"/>
  <c r="AF3435" i="11"/>
  <c r="AG3435" i="11" s="1"/>
  <c r="AO3435" i="11" s="1"/>
  <c r="AF3121" i="11"/>
  <c r="AG3121" i="11" s="1"/>
  <c r="AO3121" i="11" s="1"/>
  <c r="AF3058" i="11"/>
  <c r="AG3058" i="11" s="1"/>
  <c r="AF3140" i="11"/>
  <c r="AG3140" i="11" s="1"/>
  <c r="AO3140" i="11" s="1"/>
  <c r="AF3151" i="11"/>
  <c r="AG3151" i="11" s="1"/>
  <c r="AO3151" i="11" s="1"/>
  <c r="AF3063" i="11"/>
  <c r="AG3063" i="11" s="1"/>
  <c r="AO3063" i="11" s="1"/>
  <c r="AF3105" i="11"/>
  <c r="AG3105" i="11" s="1"/>
  <c r="AO3105" i="11" s="1"/>
  <c r="AF3107" i="11"/>
  <c r="AG3107" i="11" s="1"/>
  <c r="AO3107" i="11" s="1"/>
  <c r="AF3055" i="11"/>
  <c r="AG3055" i="11" s="1"/>
  <c r="AO3055" i="11" s="1"/>
  <c r="AF3154" i="11"/>
  <c r="AG3154" i="11" s="1"/>
  <c r="AO3154" i="11" s="1"/>
  <c r="AF3127" i="11"/>
  <c r="AG3127" i="11" s="1"/>
  <c r="AO3127" i="11" s="1"/>
  <c r="AF3056" i="11"/>
  <c r="AG3056" i="11" s="1"/>
  <c r="AO3056" i="11" s="1"/>
  <c r="AF3122" i="11"/>
  <c r="AG3122" i="11" s="1"/>
  <c r="AO3122" i="11" s="1"/>
  <c r="AF3115" i="11"/>
  <c r="AG3115" i="11" s="1"/>
  <c r="AO3115" i="11" s="1"/>
  <c r="AF3141" i="11"/>
  <c r="AG3141" i="11" s="1"/>
  <c r="AO3141" i="11" s="1"/>
  <c r="AF3146" i="11"/>
  <c r="AG3146" i="11" s="1"/>
  <c r="AO3146" i="11" s="1"/>
  <c r="AF3086" i="11"/>
  <c r="AG3086" i="11" s="1"/>
  <c r="AO3086" i="11" s="1"/>
  <c r="AF3120" i="11"/>
  <c r="AG3120" i="11" s="1"/>
  <c r="AO3120" i="11" s="1"/>
  <c r="AF3124" i="11"/>
  <c r="AG3124" i="11" s="1"/>
  <c r="AO3124" i="11" s="1"/>
  <c r="AF3084" i="11"/>
  <c r="AG3084" i="11" s="1"/>
  <c r="AO3084" i="11" s="1"/>
  <c r="AF3061" i="11"/>
  <c r="AG3061" i="11" s="1"/>
  <c r="AO3061" i="11" s="1"/>
  <c r="AF3147" i="11"/>
  <c r="AG3147" i="11" s="1"/>
  <c r="AO3147" i="11" s="1"/>
  <c r="AF3073" i="11"/>
  <c r="AG3073" i="11" s="1"/>
  <c r="AO3073" i="11" s="1"/>
  <c r="AF3098" i="11"/>
  <c r="AG3098" i="11" s="1"/>
  <c r="AO3098" i="11" s="1"/>
  <c r="AF3052" i="11"/>
  <c r="AG3052" i="11" s="1"/>
  <c r="AO3052" i="11" s="1"/>
  <c r="AF3074" i="11"/>
  <c r="AG3074" i="11" s="1"/>
  <c r="AF3099" i="11"/>
  <c r="AG3099" i="11" s="1"/>
  <c r="AO3099" i="11" s="1"/>
  <c r="AF3144" i="11"/>
  <c r="AG3144" i="11" s="1"/>
  <c r="AO3144" i="11" s="1"/>
  <c r="AF3050" i="11"/>
  <c r="AG3050" i="11" s="1"/>
  <c r="AO3050" i="11" s="1"/>
  <c r="AF3150" i="11"/>
  <c r="AG3150" i="11" s="1"/>
  <c r="AO3150" i="11" s="1"/>
  <c r="AF3092" i="11"/>
  <c r="AG3092" i="11" s="1"/>
  <c r="AO3092" i="11" s="1"/>
  <c r="AF3152" i="11"/>
  <c r="AG3152" i="11" s="1"/>
  <c r="AO3152" i="11" s="1"/>
  <c r="AF3093" i="11"/>
  <c r="AG3093" i="11" s="1"/>
  <c r="AO3093" i="11" s="1"/>
  <c r="AF3085" i="11"/>
  <c r="AG3085" i="11" s="1"/>
  <c r="AO3085" i="11" s="1"/>
  <c r="AF3087" i="11"/>
  <c r="AG3087" i="11" s="1"/>
  <c r="AO3087" i="11" s="1"/>
  <c r="AF3076" i="11"/>
  <c r="AG3076" i="11" s="1"/>
  <c r="AO3076" i="11" s="1"/>
  <c r="AF3142" i="11"/>
  <c r="AG3142" i="11" s="1"/>
  <c r="AO3142" i="11" s="1"/>
  <c r="AF3103" i="11"/>
  <c r="AG3103" i="11" s="1"/>
  <c r="AO3103" i="11" s="1"/>
  <c r="AF3075" i="11"/>
  <c r="AG3075" i="11" s="1"/>
  <c r="AO3075" i="11" s="1"/>
  <c r="AF3081" i="11"/>
  <c r="AG3081" i="11" s="1"/>
  <c r="AO3081" i="11" s="1"/>
  <c r="AF3145" i="11"/>
  <c r="AG3145" i="11" s="1"/>
  <c r="AO3145" i="11" s="1"/>
  <c r="AF3148" i="11"/>
  <c r="AG3148" i="11" s="1"/>
  <c r="AF3080" i="11"/>
  <c r="AG3080" i="11" s="1"/>
  <c r="AO3080" i="11" s="1"/>
  <c r="AF3077" i="11"/>
  <c r="AG3077" i="11" s="1"/>
  <c r="AO3077" i="11" s="1"/>
  <c r="AF3054" i="11"/>
  <c r="AG3054" i="11" s="1"/>
  <c r="AO3054" i="11" s="1"/>
  <c r="AF3137" i="11"/>
  <c r="AG3137" i="11" s="1"/>
  <c r="AO3137" i="11" s="1"/>
  <c r="AF3149" i="11"/>
  <c r="AG3149" i="11" s="1"/>
  <c r="AO3149" i="11" s="1"/>
  <c r="AF3135" i="11"/>
  <c r="AG3135" i="11" s="1"/>
  <c r="AO3135" i="11" s="1"/>
  <c r="AF3104" i="11"/>
  <c r="AG3104" i="11" s="1"/>
  <c r="AO3104" i="11" s="1"/>
  <c r="AF3128" i="11"/>
  <c r="AG3128" i="11" s="1"/>
  <c r="AO3128" i="11" s="1"/>
  <c r="AF3133" i="11"/>
  <c r="AG3133" i="11" s="1"/>
  <c r="AO3133" i="11" s="1"/>
  <c r="AF3089" i="11"/>
  <c r="AG3089" i="11" s="1"/>
  <c r="AF3072" i="11"/>
  <c r="AG3072" i="11" s="1"/>
  <c r="AO3072" i="11" s="1"/>
  <c r="AF3064" i="11"/>
  <c r="AG3064" i="11" s="1"/>
  <c r="AO3064" i="11" s="1"/>
  <c r="AF3117" i="11"/>
  <c r="AG3117" i="11" s="1"/>
  <c r="AO3117" i="11" s="1"/>
  <c r="AF3110" i="11"/>
  <c r="AG3110" i="11" s="1"/>
  <c r="AO3110" i="11" s="1"/>
  <c r="AF3126" i="11"/>
  <c r="AG3126" i="11" s="1"/>
  <c r="AO3126" i="11" s="1"/>
  <c r="AF3053" i="11"/>
  <c r="AG3053" i="11" s="1"/>
  <c r="AO3053" i="11" s="1"/>
  <c r="AF3062" i="11"/>
  <c r="AG3062" i="11" s="1"/>
  <c r="AO3062" i="11" s="1"/>
  <c r="AF3143" i="11"/>
  <c r="AG3143" i="11" s="1"/>
  <c r="AO3143" i="11" s="1"/>
  <c r="O173" i="54"/>
  <c r="AF3095" i="11"/>
  <c r="AG3095" i="11" s="1"/>
  <c r="AO3095" i="11" s="1"/>
  <c r="AF3091" i="11"/>
  <c r="AG3091" i="11" s="1"/>
  <c r="AO3091" i="11" s="1"/>
  <c r="AF3059" i="11"/>
  <c r="AG3059" i="11" s="1"/>
  <c r="AO3059" i="11" s="1"/>
  <c r="AF3060" i="11"/>
  <c r="AG3060" i="11" s="1"/>
  <c r="AO3060" i="11" s="1"/>
  <c r="AF3066" i="11"/>
  <c r="AG3066" i="11" s="1"/>
  <c r="AF3083" i="11"/>
  <c r="AG3083" i="11" s="1"/>
  <c r="AO3083" i="11" s="1"/>
  <c r="AF3065" i="11"/>
  <c r="AG3065" i="11" s="1"/>
  <c r="AO3065" i="11" s="1"/>
  <c r="AF3113" i="11"/>
  <c r="AG3113" i="11" s="1"/>
  <c r="AO3113" i="11" s="1"/>
  <c r="AF3125" i="11"/>
  <c r="AG3125" i="11" s="1"/>
  <c r="AO3125" i="11" s="1"/>
  <c r="AF3078" i="11"/>
  <c r="AG3078" i="11" s="1"/>
  <c r="AO3078" i="11" s="1"/>
  <c r="AF3139" i="11"/>
  <c r="AG3139" i="11" s="1"/>
  <c r="AO3139" i="11" s="1"/>
  <c r="AF3116" i="11"/>
  <c r="AG3116" i="11" s="1"/>
  <c r="AO3116" i="11" s="1"/>
  <c r="AF3118" i="11"/>
  <c r="AG3118" i="11" s="1"/>
  <c r="AO3118" i="11" s="1"/>
  <c r="AF3132" i="11"/>
  <c r="AG3132" i="11" s="1"/>
  <c r="AF3101" i="11"/>
  <c r="AG3101" i="11" s="1"/>
  <c r="AO3101" i="11" s="1"/>
  <c r="AF3138" i="11"/>
  <c r="AG3138" i="11" s="1"/>
  <c r="AO3138" i="11" s="1"/>
  <c r="AF3130" i="11"/>
  <c r="AG3130" i="11" s="1"/>
  <c r="AO3130" i="11" s="1"/>
  <c r="AF3094" i="11"/>
  <c r="AG3094" i="11" s="1"/>
  <c r="AO3094" i="11" s="1"/>
  <c r="AF3112" i="11"/>
  <c r="AG3112" i="11" s="1"/>
  <c r="AO3112" i="11" s="1"/>
  <c r="AF3051" i="11"/>
  <c r="AG3051" i="11" s="1"/>
  <c r="AO3051" i="11" s="1"/>
  <c r="AF3082" i="11"/>
  <c r="AG3082" i="11" s="1"/>
  <c r="AO3082" i="11" s="1"/>
  <c r="AF3090" i="11"/>
  <c r="AG3090" i="11" s="1"/>
  <c r="AO3090" i="11" s="1"/>
  <c r="AF3106" i="11"/>
  <c r="AG3106" i="11" s="1"/>
  <c r="AO3106" i="11" s="1"/>
  <c r="AF3068" i="11"/>
  <c r="AG3068" i="11" s="1"/>
  <c r="AO3068" i="11" s="1"/>
  <c r="AF3069" i="11"/>
  <c r="AG3069" i="11" s="1"/>
  <c r="AO3069" i="11" s="1"/>
  <c r="AF3100" i="11"/>
  <c r="AG3100" i="11" s="1"/>
  <c r="AO3100" i="11" s="1"/>
  <c r="AF3131" i="11"/>
  <c r="AG3131" i="11" s="1"/>
  <c r="AO3131" i="11" s="1"/>
  <c r="AF3070" i="11"/>
  <c r="AG3070" i="11" s="1"/>
  <c r="AO3070" i="11" s="1"/>
  <c r="AF3102" i="11"/>
  <c r="AG3102" i="11" s="1"/>
  <c r="AO3102" i="11" s="1"/>
  <c r="AF3097" i="11"/>
  <c r="AG3097" i="11" s="1"/>
  <c r="AF3153" i="11"/>
  <c r="AG3153" i="11" s="1"/>
  <c r="AO3153" i="11" s="1"/>
  <c r="AF3109" i="11"/>
  <c r="AG3109" i="11" s="1"/>
  <c r="AO3109" i="11" s="1"/>
  <c r="AF3119" i="11"/>
  <c r="AG3119" i="11" s="1"/>
  <c r="AO3119" i="11" s="1"/>
  <c r="AF3096" i="11"/>
  <c r="AG3096" i="11" s="1"/>
  <c r="AO3096" i="11" s="1"/>
  <c r="AI3480" i="11"/>
  <c r="AJ3480" i="11" s="1"/>
  <c r="AI3574" i="11"/>
  <c r="AJ3574" i="11" s="1"/>
  <c r="AI3515" i="11"/>
  <c r="AJ3515" i="11" s="1"/>
  <c r="AI3531" i="11"/>
  <c r="AJ3531" i="11" s="1"/>
  <c r="AI3506" i="11"/>
  <c r="AJ3506" i="11" s="1"/>
  <c r="AI3472" i="11"/>
  <c r="AJ3472" i="11" s="1"/>
  <c r="AI3476" i="11"/>
  <c r="AJ3476" i="11" s="1"/>
  <c r="AI3513" i="11"/>
  <c r="AJ3513" i="11" s="1"/>
  <c r="AI3554" i="11"/>
  <c r="AJ3554" i="11" s="1"/>
  <c r="AI3504" i="11"/>
  <c r="AJ3504" i="11" s="1"/>
  <c r="AI3552" i="11"/>
  <c r="AJ3552" i="11" s="1"/>
  <c r="AI3567" i="11"/>
  <c r="AJ3567" i="11" s="1"/>
  <c r="AI3524" i="11"/>
  <c r="AJ3524" i="11" s="1"/>
  <c r="AI3563" i="11"/>
  <c r="AJ3563" i="11" s="1"/>
  <c r="AI3555" i="11"/>
  <c r="AJ3555" i="11" s="1"/>
  <c r="AI3520" i="11"/>
  <c r="AJ3520" i="11" s="1"/>
  <c r="AI3545" i="11"/>
  <c r="AJ3545" i="11" s="1"/>
  <c r="AI3568" i="11"/>
  <c r="AJ3568" i="11" s="1"/>
  <c r="AI3566" i="11"/>
  <c r="AJ3566" i="11" s="1"/>
  <c r="AI3538" i="11"/>
  <c r="AJ3538" i="11" s="1"/>
  <c r="AI3571" i="11"/>
  <c r="AJ3571" i="11" s="1"/>
  <c r="AI3500" i="11"/>
  <c r="AJ3500" i="11" s="1"/>
  <c r="AI3557" i="11"/>
  <c r="AJ3557" i="11" s="1"/>
  <c r="AI3470" i="11"/>
  <c r="AJ3470" i="11" s="1"/>
  <c r="AI3559" i="11"/>
  <c r="AJ3559" i="11" s="1"/>
  <c r="AI3519" i="11"/>
  <c r="AJ3519" i="11" s="1"/>
  <c r="AI3558" i="11"/>
  <c r="AJ3558" i="11" s="1"/>
  <c r="AI3562" i="11"/>
  <c r="AJ3562" i="11" s="1"/>
  <c r="AI3495" i="11"/>
  <c r="AJ3495" i="11" s="1"/>
  <c r="AI3511" i="11"/>
  <c r="AJ3511" i="11" s="1"/>
  <c r="AI3526" i="11"/>
  <c r="AJ3526" i="11" s="1"/>
  <c r="AI3541" i="11"/>
  <c r="AJ3541" i="11" s="1"/>
  <c r="AI3479" i="11"/>
  <c r="AJ3479" i="11" s="1"/>
  <c r="AI3546" i="11"/>
  <c r="AJ3546" i="11" s="1"/>
  <c r="AI3483" i="11"/>
  <c r="AJ3483" i="11" s="1"/>
  <c r="AI3507" i="11"/>
  <c r="AJ3507" i="11" s="1"/>
  <c r="AI3528" i="11"/>
  <c r="AJ3528" i="11" s="1"/>
  <c r="AI3498" i="11"/>
  <c r="AJ3498" i="11" s="1"/>
  <c r="AI3499" i="11"/>
  <c r="AJ3499" i="11" s="1"/>
  <c r="AI3570" i="11"/>
  <c r="AJ3570" i="11" s="1"/>
  <c r="AI3529" i="11"/>
  <c r="AJ3529" i="11" s="1"/>
  <c r="AI3522" i="11"/>
  <c r="AJ3522" i="11" s="1"/>
  <c r="AI3543" i="11"/>
  <c r="AJ3543" i="11" s="1"/>
  <c r="AI3517" i="11"/>
  <c r="AJ3517" i="11" s="1"/>
  <c r="AI3560" i="11"/>
  <c r="AJ3560" i="11" s="1"/>
  <c r="AI3548" i="11"/>
  <c r="AJ3548" i="11" s="1"/>
  <c r="AI3503" i="11"/>
  <c r="AJ3503" i="11" s="1"/>
  <c r="AI3492" i="11"/>
  <c r="AJ3492" i="11" s="1"/>
  <c r="AI3496" i="11"/>
  <c r="AJ3496" i="11" s="1"/>
  <c r="AI3569" i="11"/>
  <c r="AJ3569" i="11" s="1"/>
  <c r="AI3487" i="11"/>
  <c r="AJ3487" i="11" s="1"/>
  <c r="AI3473" i="11"/>
  <c r="AJ3473" i="11" s="1"/>
  <c r="AI3518" i="11"/>
  <c r="AJ3518" i="11" s="1"/>
  <c r="AI3482" i="11"/>
  <c r="AJ3482" i="11" s="1"/>
  <c r="AI3547" i="11"/>
  <c r="AJ3547" i="11" s="1"/>
  <c r="AI3502" i="11"/>
  <c r="AJ3502" i="11" s="1"/>
  <c r="AI3539" i="11"/>
  <c r="AJ3539" i="11" s="1"/>
  <c r="AI3490" i="11"/>
  <c r="AJ3490" i="11" s="1"/>
  <c r="AI3532" i="11"/>
  <c r="AJ3532" i="11" s="1"/>
  <c r="AI3553" i="11"/>
  <c r="AJ3553" i="11" s="1"/>
  <c r="AI3501" i="11"/>
  <c r="AJ3501" i="11" s="1"/>
  <c r="AI3475" i="11"/>
  <c r="AJ3475" i="11" s="1"/>
  <c r="AI3521" i="11"/>
  <c r="AJ3521" i="11" s="1"/>
  <c r="AI3572" i="11"/>
  <c r="AJ3572" i="11" s="1"/>
  <c r="AI3535" i="11"/>
  <c r="AJ3535" i="11" s="1"/>
  <c r="AN3535" i="11" s="1"/>
  <c r="AI3481" i="11"/>
  <c r="AJ3481" i="11" s="1"/>
  <c r="AI3509" i="11"/>
  <c r="AJ3509" i="11" s="1"/>
  <c r="AI3565" i="11"/>
  <c r="AJ3565" i="11" s="1"/>
  <c r="AI3534" i="11"/>
  <c r="AJ3534" i="11" s="1"/>
  <c r="AI3497" i="11"/>
  <c r="AJ3497" i="11" s="1"/>
  <c r="AI3471" i="11"/>
  <c r="AJ3471" i="11" s="1"/>
  <c r="AI3485" i="11"/>
  <c r="AJ3485" i="11" s="1"/>
  <c r="AI3505" i="11"/>
  <c r="AJ3505" i="11" s="1"/>
  <c r="AI3512" i="11"/>
  <c r="AJ3512" i="11" s="1"/>
  <c r="AI3550" i="11"/>
  <c r="AJ3550" i="11" s="1"/>
  <c r="AI3525" i="11"/>
  <c r="AJ3525" i="11" s="1"/>
  <c r="AI3493" i="11"/>
  <c r="AJ3493" i="11" s="1"/>
  <c r="AI3536" i="11"/>
  <c r="AJ3536" i="11" s="1"/>
  <c r="AI3514" i="11"/>
  <c r="AJ3514" i="11" s="1"/>
  <c r="AI3516" i="11"/>
  <c r="AJ3516" i="11" s="1"/>
  <c r="AI3478" i="11"/>
  <c r="AJ3478" i="11" s="1"/>
  <c r="AI3489" i="11"/>
  <c r="AJ3489" i="11" s="1"/>
  <c r="AI3564" i="11"/>
  <c r="AJ3564" i="11" s="1"/>
  <c r="AI3540" i="11"/>
  <c r="AJ3540" i="11" s="1"/>
  <c r="AI3510" i="11"/>
  <c r="AJ3510" i="11" s="1"/>
  <c r="AI3523" i="11"/>
  <c r="AJ3523" i="11" s="1"/>
  <c r="AI3533" i="11"/>
  <c r="AJ3533" i="11" s="1"/>
  <c r="AI3549" i="11"/>
  <c r="AJ3549" i="11" s="1"/>
  <c r="AI3561" i="11"/>
  <c r="AJ3561" i="11" s="1"/>
  <c r="AI3544" i="11"/>
  <c r="AJ3544" i="11" s="1"/>
  <c r="AI3556" i="11"/>
  <c r="AJ3556" i="11" s="1"/>
  <c r="AI3491" i="11"/>
  <c r="AJ3491" i="11" s="1"/>
  <c r="AI3527" i="11"/>
  <c r="AJ3527" i="11" s="1"/>
  <c r="AI3573" i="11"/>
  <c r="AJ3573" i="11" s="1"/>
  <c r="AI3484" i="11"/>
  <c r="AJ3484" i="11" s="1"/>
  <c r="AI3477" i="11"/>
  <c r="AJ3477" i="11" s="1"/>
  <c r="AI3474" i="11"/>
  <c r="AJ3474" i="11" s="1"/>
  <c r="AI3551" i="11"/>
  <c r="AJ3551" i="11" s="1"/>
  <c r="AI3530" i="11"/>
  <c r="AJ3530" i="11" s="1"/>
  <c r="AF2642" i="11"/>
  <c r="AG2642" i="11" s="1"/>
  <c r="AO2642" i="11" s="1"/>
  <c r="AF2692" i="11"/>
  <c r="AG2692" i="11" s="1"/>
  <c r="AO2692" i="11" s="1"/>
  <c r="AF2732" i="11"/>
  <c r="AG2732" i="11" s="1"/>
  <c r="AO2732" i="11" s="1"/>
  <c r="AF2683" i="11"/>
  <c r="AG2683" i="11" s="1"/>
  <c r="AF2719" i="11"/>
  <c r="AG2719" i="11" s="1"/>
  <c r="AF2721" i="11"/>
  <c r="AG2721" i="11" s="1"/>
  <c r="AO2721" i="11" s="1"/>
  <c r="AF2713" i="11"/>
  <c r="AG2713" i="11" s="1"/>
  <c r="AO2713" i="11" s="1"/>
  <c r="AF2654" i="11"/>
  <c r="AG2654" i="11" s="1"/>
  <c r="AO2654" i="11" s="1"/>
  <c r="AF2676" i="11"/>
  <c r="AG2676" i="11" s="1"/>
  <c r="AO2676" i="11" s="1"/>
  <c r="AF2635" i="11"/>
  <c r="AG2635" i="11" s="1"/>
  <c r="AF2728" i="11"/>
  <c r="AG2728" i="11" s="1"/>
  <c r="AF2733" i="11"/>
  <c r="AG2733" i="11" s="1"/>
  <c r="AF2699" i="11"/>
  <c r="AG2699" i="11" s="1"/>
  <c r="AF2720" i="11"/>
  <c r="AG2720" i="11" s="1"/>
  <c r="AO2720" i="11" s="1"/>
  <c r="AF2662" i="11"/>
  <c r="AG2662" i="11" s="1"/>
  <c r="AO2662" i="11" s="1"/>
  <c r="AF2666" i="11"/>
  <c r="AG2666" i="11" s="1"/>
  <c r="AO2666" i="11" s="1"/>
  <c r="AF2655" i="11"/>
  <c r="AG2655" i="11" s="1"/>
  <c r="AF2636" i="11"/>
  <c r="AG2636" i="11" s="1"/>
  <c r="AF2691" i="11"/>
  <c r="AG2691" i="11" s="1"/>
  <c r="AF2651" i="11"/>
  <c r="AG2651" i="11" s="1"/>
  <c r="AF2648" i="11"/>
  <c r="AG2648" i="11" s="1"/>
  <c r="AO2648" i="11" s="1"/>
  <c r="AF2687" i="11"/>
  <c r="AG2687" i="11" s="1"/>
  <c r="AF2680" i="11"/>
  <c r="AG2680" i="11" s="1"/>
  <c r="AF2637" i="11"/>
  <c r="AG2637" i="11" s="1"/>
  <c r="AF2639" i="11"/>
  <c r="AG2639" i="11" s="1"/>
  <c r="AF2679" i="11"/>
  <c r="AG2679" i="11" s="1"/>
  <c r="AF2681" i="11"/>
  <c r="AG2681" i="11" s="1"/>
  <c r="AF2698" i="11"/>
  <c r="AG2698" i="11" s="1"/>
  <c r="AO2698" i="11" s="1"/>
  <c r="AF2634" i="11"/>
  <c r="AG2634" i="11" s="1"/>
  <c r="AF2709" i="11"/>
  <c r="AG2709" i="11" s="1"/>
  <c r="AF2643" i="11"/>
  <c r="AG2643" i="11" s="1"/>
  <c r="AO2643" i="11" s="1"/>
  <c r="AF2688" i="11"/>
  <c r="AG2688" i="11" s="1"/>
  <c r="AF2704" i="11"/>
  <c r="AG2704" i="11" s="1"/>
  <c r="AO2704" i="11" s="1"/>
  <c r="AF2730" i="11"/>
  <c r="AG2730" i="11" s="1"/>
  <c r="AF2726" i="11"/>
  <c r="AG2726" i="11" s="1"/>
  <c r="AF2640" i="11"/>
  <c r="AG2640" i="11" s="1"/>
  <c r="AF2644" i="11"/>
  <c r="AG2644" i="11" s="1"/>
  <c r="AF2708" i="11"/>
  <c r="AG2708" i="11" s="1"/>
  <c r="AO2708" i="11" s="1"/>
  <c r="AF2641" i="11"/>
  <c r="AG2641" i="11" s="1"/>
  <c r="AO2641" i="11" s="1"/>
  <c r="AF2675" i="11"/>
  <c r="AG2675" i="11" s="1"/>
  <c r="AO2675" i="11" s="1"/>
  <c r="AF2650" i="11"/>
  <c r="AG2650" i="11" s="1"/>
  <c r="AF2630" i="11"/>
  <c r="AG2630" i="11" s="1"/>
  <c r="AO2630" i="11" s="1"/>
  <c r="AF2646" i="11"/>
  <c r="AG2646" i="11" s="1"/>
  <c r="AO2646" i="11" s="1"/>
  <c r="AF2725" i="11"/>
  <c r="AG2725" i="11" s="1"/>
  <c r="AF2727" i="11"/>
  <c r="AG2727" i="11" s="1"/>
  <c r="AO2727" i="11" s="1"/>
  <c r="AF2718" i="11"/>
  <c r="AG2718" i="11" s="1"/>
  <c r="AO2718" i="11" s="1"/>
  <c r="AF2695" i="11"/>
  <c r="AG2695" i="11" s="1"/>
  <c r="AF2647" i="11"/>
  <c r="AG2647" i="11" s="1"/>
  <c r="AF2707" i="11"/>
  <c r="AG2707" i="11" s="1"/>
  <c r="AF2722" i="11"/>
  <c r="AG2722" i="11" s="1"/>
  <c r="AO2722" i="11" s="1"/>
  <c r="AF2702" i="11"/>
  <c r="AG2702" i="11" s="1"/>
  <c r="AO2702" i="11" s="1"/>
  <c r="AF2660" i="11"/>
  <c r="AG2660" i="11" s="1"/>
  <c r="AO2660" i="11" s="1"/>
  <c r="AF2670" i="11"/>
  <c r="AG2670" i="11" s="1"/>
  <c r="AF2690" i="11"/>
  <c r="AG2690" i="11" s="1"/>
  <c r="AF2729" i="11"/>
  <c r="AG2729" i="11" s="1"/>
  <c r="AO2729" i="11" s="1"/>
  <c r="AF2682" i="11"/>
  <c r="AG2682" i="11" s="1"/>
  <c r="AO2682" i="11" s="1"/>
  <c r="AF2723" i="11"/>
  <c r="AG2723" i="11" s="1"/>
  <c r="AO2723" i="11" s="1"/>
  <c r="AF2665" i="11"/>
  <c r="AG2665" i="11" s="1"/>
  <c r="AF2685" i="11"/>
  <c r="AG2685" i="11" s="1"/>
  <c r="AF2659" i="11"/>
  <c r="AG2659" i="11" s="1"/>
  <c r="AF2711" i="11"/>
  <c r="AG2711" i="11" s="1"/>
  <c r="AF2712" i="11"/>
  <c r="AG2712" i="11" s="1"/>
  <c r="AF2706" i="11"/>
  <c r="AG2706" i="11" s="1"/>
  <c r="AO2706" i="11" s="1"/>
  <c r="AF2714" i="11"/>
  <c r="AG2714" i="11" s="1"/>
  <c r="AO2714" i="11" s="1"/>
  <c r="AF2715" i="11"/>
  <c r="AG2715" i="11" s="1"/>
  <c r="AF2689" i="11"/>
  <c r="AG2689" i="11" s="1"/>
  <c r="AF2656" i="11"/>
  <c r="AG2656" i="11" s="1"/>
  <c r="AF2633" i="11"/>
  <c r="AG2633" i="11" s="1"/>
  <c r="AF2678" i="11"/>
  <c r="AG2678" i="11" s="1"/>
  <c r="AO2678" i="11" s="1"/>
  <c r="AF2677" i="11"/>
  <c r="AG2677" i="11" s="1"/>
  <c r="AF2734" i="11"/>
  <c r="AG2734" i="11" s="1"/>
  <c r="AF2694" i="11"/>
  <c r="AG2694" i="11" s="1"/>
  <c r="AF2716" i="11"/>
  <c r="AG2716" i="11" s="1"/>
  <c r="AF2693" i="11"/>
  <c r="AG2693" i="11" s="1"/>
  <c r="AO2693" i="11" s="1"/>
  <c r="AF2645" i="11"/>
  <c r="AG2645" i="11" s="1"/>
  <c r="AO2645" i="11" s="1"/>
  <c r="AF2672" i="11"/>
  <c r="AG2672" i="11" s="1"/>
  <c r="AO2672" i="11" s="1"/>
  <c r="AF2632" i="11"/>
  <c r="AG2632" i="11" s="1"/>
  <c r="AO2632" i="11" s="1"/>
  <c r="AF2653" i="11"/>
  <c r="AG2653" i="11" s="1"/>
  <c r="AO2653" i="11" s="1"/>
  <c r="AF2663" i="11"/>
  <c r="AG2663" i="11" s="1"/>
  <c r="AF2710" i="11"/>
  <c r="AG2710" i="11" s="1"/>
  <c r="AO2710" i="11" s="1"/>
  <c r="AF2658" i="11"/>
  <c r="AG2658" i="11" s="1"/>
  <c r="AF2673" i="11"/>
  <c r="AG2673" i="11" s="1"/>
  <c r="AF2684" i="11"/>
  <c r="AG2684" i="11" s="1"/>
  <c r="AO2684" i="11" s="1"/>
  <c r="AF2686" i="11"/>
  <c r="AG2686" i="11" s="1"/>
  <c r="AO2686" i="11" s="1"/>
  <c r="AF2674" i="11"/>
  <c r="AG2674" i="11" s="1"/>
  <c r="AF2671" i="11"/>
  <c r="AG2671" i="11" s="1"/>
  <c r="AO2671" i="11" s="1"/>
  <c r="AF2638" i="11"/>
  <c r="AG2638" i="11" s="1"/>
  <c r="AF2652" i="11"/>
  <c r="AG2652" i="11" s="1"/>
  <c r="AO2652" i="11" s="1"/>
  <c r="AF2669" i="11"/>
  <c r="AG2669" i="11" s="1"/>
  <c r="AF2703" i="11"/>
  <c r="AG2703" i="11" s="1"/>
  <c r="AF2724" i="11"/>
  <c r="AG2724" i="11" s="1"/>
  <c r="AF2717" i="11"/>
  <c r="AG2717" i="11" s="1"/>
  <c r="O171" i="54"/>
  <c r="AF2705" i="11"/>
  <c r="AG2705" i="11" s="1"/>
  <c r="AF2700" i="11"/>
  <c r="AG2700" i="11" s="1"/>
  <c r="AO2700" i="11" s="1"/>
  <c r="AF2668" i="11"/>
  <c r="AG2668" i="11" s="1"/>
  <c r="O268" i="54"/>
  <c r="AK2352" i="11"/>
  <c r="AL2352" i="11" s="1"/>
  <c r="Q145" i="54"/>
  <c r="AD1697" i="11"/>
  <c r="AE1697" i="11" s="1"/>
  <c r="AN1697" i="11" s="1"/>
  <c r="AF1716" i="11"/>
  <c r="AG1716" i="11" s="1"/>
  <c r="Q143" i="54"/>
  <c r="AF2627" i="11"/>
  <c r="AG2627" i="11" s="1"/>
  <c r="P159" i="54"/>
  <c r="AD2881" i="11"/>
  <c r="AE2881" i="11" s="1"/>
  <c r="AN2881" i="11" s="1"/>
  <c r="AI2129" i="11"/>
  <c r="AJ2129" i="11" s="1"/>
  <c r="AI2108" i="11"/>
  <c r="AJ2108" i="11" s="1"/>
  <c r="AI2122" i="11"/>
  <c r="AJ2122" i="11" s="1"/>
  <c r="AI2126" i="11"/>
  <c r="AJ2126" i="11" s="1"/>
  <c r="AI2193" i="11"/>
  <c r="AJ2193" i="11" s="1"/>
  <c r="AI2185" i="11"/>
  <c r="AJ2185" i="11" s="1"/>
  <c r="AI2135" i="11"/>
  <c r="AJ2135" i="11" s="1"/>
  <c r="AI2179" i="11"/>
  <c r="AJ2179" i="11" s="1"/>
  <c r="AI2137" i="11"/>
  <c r="AJ2137" i="11" s="1"/>
  <c r="AI2187" i="11"/>
  <c r="AJ2187" i="11" s="1"/>
  <c r="AI2177" i="11"/>
  <c r="AJ2177" i="11" s="1"/>
  <c r="AI2144" i="11"/>
  <c r="AJ2144" i="11" s="1"/>
  <c r="AI2117" i="11"/>
  <c r="AJ2117" i="11" s="1"/>
  <c r="AI2162" i="11"/>
  <c r="AJ2162" i="11" s="1"/>
  <c r="AI2165" i="11"/>
  <c r="AJ2165" i="11" s="1"/>
  <c r="AI2112" i="11"/>
  <c r="AJ2112" i="11" s="1"/>
  <c r="AI2170" i="11"/>
  <c r="AJ2170" i="11" s="1"/>
  <c r="AI2195" i="11"/>
  <c r="AJ2195" i="11" s="1"/>
  <c r="AI2205" i="11"/>
  <c r="AJ2205" i="11" s="1"/>
  <c r="AI2140" i="11"/>
  <c r="AJ2140" i="11" s="1"/>
  <c r="AI2202" i="11"/>
  <c r="AJ2202" i="11" s="1"/>
  <c r="AI2113" i="11"/>
  <c r="AJ2113" i="11" s="1"/>
  <c r="AI2188" i="11"/>
  <c r="AJ2188" i="11" s="1"/>
  <c r="AI2107" i="11"/>
  <c r="AJ2107" i="11" s="1"/>
  <c r="AI2118" i="11"/>
  <c r="AJ2118" i="11" s="1"/>
  <c r="AI2173" i="11"/>
  <c r="AJ2173" i="11" s="1"/>
  <c r="AI2141" i="11"/>
  <c r="AJ2141" i="11" s="1"/>
  <c r="AI2174" i="11"/>
  <c r="AJ2174" i="11" s="1"/>
  <c r="P9" i="54"/>
  <c r="P11" i="54" s="1"/>
  <c r="AI2190" i="11"/>
  <c r="AJ2190" i="11" s="1"/>
  <c r="AI2194" i="11"/>
  <c r="AJ2194" i="11" s="1"/>
  <c r="AI2160" i="11"/>
  <c r="AJ2160" i="11" s="1"/>
  <c r="AI2158" i="11"/>
  <c r="AJ2158" i="11" s="1"/>
  <c r="AI2121" i="11"/>
  <c r="AJ2121" i="11" s="1"/>
  <c r="AI2203" i="11"/>
  <c r="AJ2203" i="11" s="1"/>
  <c r="AI2109" i="11"/>
  <c r="AJ2109" i="11" s="1"/>
  <c r="AI2176" i="11"/>
  <c r="AJ2176" i="11" s="1"/>
  <c r="AI2166" i="11"/>
  <c r="AJ2166" i="11" s="1"/>
  <c r="AI2156" i="11"/>
  <c r="AJ2156" i="11" s="1"/>
  <c r="AI2123" i="11"/>
  <c r="AJ2123" i="11" s="1"/>
  <c r="AI2169" i="11"/>
  <c r="AJ2169" i="11" s="1"/>
  <c r="AI2139" i="11"/>
  <c r="AJ2139" i="11" s="1"/>
  <c r="AI2114" i="11"/>
  <c r="AJ2114" i="11" s="1"/>
  <c r="AI2155" i="11"/>
  <c r="AJ2155" i="11" s="1"/>
  <c r="AI2172" i="11"/>
  <c r="AJ2172" i="11" s="1"/>
  <c r="AI2142" i="11"/>
  <c r="AJ2142" i="11" s="1"/>
  <c r="AI2189" i="11"/>
  <c r="AJ2189" i="11" s="1"/>
  <c r="AI2147" i="11"/>
  <c r="AJ2147" i="11" s="1"/>
  <c r="AI2131" i="11"/>
  <c r="AJ2131" i="11" s="1"/>
  <c r="AI2181" i="11"/>
  <c r="AJ2181" i="11" s="1"/>
  <c r="N248" i="54"/>
  <c r="AI2153" i="11"/>
  <c r="AJ2153" i="11" s="1"/>
  <c r="AI2151" i="11"/>
  <c r="AJ2151" i="11" s="1"/>
  <c r="AI2182" i="11"/>
  <c r="AJ2182" i="11" s="1"/>
  <c r="AI2200" i="11"/>
  <c r="AJ2200" i="11" s="1"/>
  <c r="AI2119" i="11"/>
  <c r="AJ2119" i="11" s="1"/>
  <c r="AI2154" i="11"/>
  <c r="AJ2154" i="11" s="1"/>
  <c r="AI2149" i="11"/>
  <c r="AJ2149" i="11" s="1"/>
  <c r="AI2180" i="11"/>
  <c r="AJ2180" i="11" s="1"/>
  <c r="AI2128" i="11"/>
  <c r="AJ2128" i="11" s="1"/>
  <c r="AI2116" i="11"/>
  <c r="AJ2116" i="11" s="1"/>
  <c r="AI2110" i="11"/>
  <c r="AJ2110" i="11" s="1"/>
  <c r="AI2136" i="11"/>
  <c r="AJ2136" i="11" s="1"/>
  <c r="AI2148" i="11"/>
  <c r="AJ2148" i="11" s="1"/>
  <c r="AI2167" i="11"/>
  <c r="AJ2167" i="11" s="1"/>
  <c r="AI2168" i="11"/>
  <c r="AJ2168" i="11" s="1"/>
  <c r="AI2134" i="11"/>
  <c r="AJ2134" i="11" s="1"/>
  <c r="AI2171" i="11"/>
  <c r="AJ2171" i="11" s="1"/>
  <c r="AI2201" i="11"/>
  <c r="AJ2201" i="11" s="1"/>
  <c r="AI2198" i="11"/>
  <c r="AJ2198" i="11" s="1"/>
  <c r="AI2208" i="11"/>
  <c r="AJ2208" i="11" s="1"/>
  <c r="AI2163" i="11"/>
  <c r="AJ2163" i="11" s="1"/>
  <c r="AI2186" i="11"/>
  <c r="AJ2186" i="11" s="1"/>
  <c r="AI2207" i="11"/>
  <c r="AJ2207" i="11" s="1"/>
  <c r="AI2115" i="11"/>
  <c r="AJ2115" i="11" s="1"/>
  <c r="AI2204" i="11"/>
  <c r="AJ2204" i="11" s="1"/>
  <c r="AI2183" i="11"/>
  <c r="AJ2183" i="11" s="1"/>
  <c r="AI2130" i="11"/>
  <c r="AJ2130" i="11" s="1"/>
  <c r="AI2178" i="11"/>
  <c r="AJ2178" i="11" s="1"/>
  <c r="AI2159" i="11"/>
  <c r="AJ2159" i="11" s="1"/>
  <c r="AI2120" i="11"/>
  <c r="AJ2120" i="11" s="1"/>
  <c r="AI2150" i="11"/>
  <c r="AJ2150" i="11" s="1"/>
  <c r="AI2146" i="11"/>
  <c r="AJ2146" i="11" s="1"/>
  <c r="AI2184" i="11"/>
  <c r="AJ2184" i="11" s="1"/>
  <c r="AI2127" i="11"/>
  <c r="AJ2127" i="11" s="1"/>
  <c r="AI2145" i="11"/>
  <c r="AJ2145" i="11" s="1"/>
  <c r="AI2152" i="11"/>
  <c r="AJ2152" i="11" s="1"/>
  <c r="AI2106" i="11"/>
  <c r="AJ2106" i="11" s="1"/>
  <c r="AI2191" i="11"/>
  <c r="AJ2191" i="11" s="1"/>
  <c r="AI2125" i="11"/>
  <c r="AJ2125" i="11" s="1"/>
  <c r="AI2124" i="11"/>
  <c r="AJ2124" i="11" s="1"/>
  <c r="AI2111" i="11"/>
  <c r="AJ2111" i="11" s="1"/>
  <c r="AI2197" i="11"/>
  <c r="AJ2197" i="11" s="1"/>
  <c r="AI2138" i="11"/>
  <c r="AJ2138" i="11" s="1"/>
  <c r="AI498" i="11"/>
  <c r="AJ498" i="11" s="1"/>
  <c r="AI452" i="11"/>
  <c r="AJ452" i="11" s="1"/>
  <c r="AI473" i="11"/>
  <c r="AJ473" i="11" s="1"/>
  <c r="AI440" i="11"/>
  <c r="AJ440" i="11" s="1"/>
  <c r="AI506" i="11"/>
  <c r="AJ506" i="11" s="1"/>
  <c r="AI425" i="11"/>
  <c r="AJ425" i="11" s="1"/>
  <c r="AI465" i="11"/>
  <c r="AJ465" i="11" s="1"/>
  <c r="AI502" i="11"/>
  <c r="AJ502" i="11" s="1"/>
  <c r="AI503" i="11"/>
  <c r="AJ503" i="11" s="1"/>
  <c r="AI474" i="11"/>
  <c r="AJ474" i="11" s="1"/>
  <c r="AI525" i="11"/>
  <c r="AJ525" i="11" s="1"/>
  <c r="AI458" i="11"/>
  <c r="AJ458" i="11" s="1"/>
  <c r="AI448" i="11"/>
  <c r="AJ448" i="11" s="1"/>
  <c r="AI510" i="11"/>
  <c r="AJ510" i="11" s="1"/>
  <c r="AI462" i="11"/>
  <c r="AJ462" i="11" s="1"/>
  <c r="AI486" i="11"/>
  <c r="AJ486" i="11" s="1"/>
  <c r="AI484" i="11"/>
  <c r="AJ484" i="11" s="1"/>
  <c r="AI515" i="11"/>
  <c r="AJ515" i="11" s="1"/>
  <c r="AI494" i="11"/>
  <c r="AJ494" i="11" s="1"/>
  <c r="AI495" i="11"/>
  <c r="AJ495" i="11" s="1"/>
  <c r="AI520" i="11"/>
  <c r="AJ520" i="11" s="1"/>
  <c r="AI433" i="11"/>
  <c r="AJ433" i="11" s="1"/>
  <c r="AI477" i="11"/>
  <c r="AJ477" i="11" s="1"/>
  <c r="AI467" i="11"/>
  <c r="AJ467" i="11" s="1"/>
  <c r="AI481" i="11"/>
  <c r="AJ481" i="11" s="1"/>
  <c r="AI489" i="11"/>
  <c r="AJ489" i="11" s="1"/>
  <c r="AI487" i="11"/>
  <c r="AJ487" i="11" s="1"/>
  <c r="AI443" i="11"/>
  <c r="AJ443" i="11" s="1"/>
  <c r="AI485" i="11"/>
  <c r="AJ485" i="11" s="1"/>
  <c r="AI500" i="11"/>
  <c r="AJ500" i="11" s="1"/>
  <c r="AI504" i="11"/>
  <c r="AJ504" i="11" s="1"/>
  <c r="AI521" i="11"/>
  <c r="AJ521" i="11" s="1"/>
  <c r="AI499" i="11"/>
  <c r="AJ499" i="11" s="1"/>
  <c r="AI524" i="11"/>
  <c r="AJ524" i="11" s="1"/>
  <c r="AI470" i="11"/>
  <c r="AJ470" i="11" s="1"/>
  <c r="AI426" i="11"/>
  <c r="AJ426" i="11" s="1"/>
  <c r="AI491" i="11"/>
  <c r="AJ491" i="11" s="1"/>
  <c r="AI476" i="11"/>
  <c r="AJ476" i="11" s="1"/>
  <c r="AI519" i="11"/>
  <c r="AJ519" i="11" s="1"/>
  <c r="AI514" i="11"/>
  <c r="AJ514" i="11" s="1"/>
  <c r="AI497" i="11"/>
  <c r="AJ497" i="11" s="1"/>
  <c r="AI461" i="11"/>
  <c r="AJ461" i="11" s="1"/>
  <c r="AI507" i="11"/>
  <c r="AJ507" i="11" s="1"/>
  <c r="AI428" i="11"/>
  <c r="AJ428" i="11" s="1"/>
  <c r="AI427" i="11"/>
  <c r="AJ427" i="11" s="1"/>
  <c r="AI472" i="11"/>
  <c r="AJ472" i="11" s="1"/>
  <c r="AI512" i="11"/>
  <c r="AJ512" i="11" s="1"/>
  <c r="AI508" i="11"/>
  <c r="AJ508" i="11" s="1"/>
  <c r="AI529" i="11"/>
  <c r="AJ529" i="11" s="1"/>
  <c r="AI518" i="11"/>
  <c r="AJ518" i="11" s="1"/>
  <c r="AI509" i="11"/>
  <c r="AJ509" i="11" s="1"/>
  <c r="AI493" i="11"/>
  <c r="AJ493" i="11" s="1"/>
  <c r="AI457" i="11"/>
  <c r="AJ457" i="11" s="1"/>
  <c r="AI436" i="11"/>
  <c r="AJ436" i="11" s="1"/>
  <c r="AI527" i="11"/>
  <c r="AJ527" i="11" s="1"/>
  <c r="AI439" i="11"/>
  <c r="AJ439" i="11" s="1"/>
  <c r="AI471" i="11"/>
  <c r="AJ471" i="11" s="1"/>
  <c r="AI496" i="11"/>
  <c r="AJ496" i="11" s="1"/>
  <c r="AI446" i="11"/>
  <c r="AJ446" i="11" s="1"/>
  <c r="AI478" i="11"/>
  <c r="AJ478" i="11" s="1"/>
  <c r="AI459" i="11"/>
  <c r="AJ459" i="11" s="1"/>
  <c r="AI468" i="11"/>
  <c r="AJ468" i="11" s="1"/>
  <c r="AI449" i="11"/>
  <c r="AJ449" i="11" s="1"/>
  <c r="AI480" i="11"/>
  <c r="AJ480" i="11" s="1"/>
  <c r="AI438" i="11"/>
  <c r="AJ438" i="11" s="1"/>
  <c r="AI516" i="11"/>
  <c r="AJ516" i="11" s="1"/>
  <c r="AI528" i="11"/>
  <c r="AJ528" i="11" s="1"/>
  <c r="AI451" i="11"/>
  <c r="AJ451" i="11" s="1"/>
  <c r="AI453" i="11"/>
  <c r="AJ453" i="11" s="1"/>
  <c r="AI492" i="11"/>
  <c r="AJ492" i="11" s="1"/>
  <c r="AI442" i="11"/>
  <c r="AJ442" i="11" s="1"/>
  <c r="AI517" i="11"/>
  <c r="AJ517" i="11" s="1"/>
  <c r="AI432" i="11"/>
  <c r="AJ432" i="11" s="1"/>
  <c r="AI479" i="11"/>
  <c r="AJ479" i="11" s="1"/>
  <c r="AI513" i="11"/>
  <c r="AJ513" i="11" s="1"/>
  <c r="AI429" i="11"/>
  <c r="AJ429" i="11" s="1"/>
  <c r="AI445" i="11"/>
  <c r="AJ445" i="11" s="1"/>
  <c r="AI434" i="11"/>
  <c r="AJ434" i="11" s="1"/>
  <c r="AI469" i="11"/>
  <c r="AJ469" i="11" s="1"/>
  <c r="AI466" i="11"/>
  <c r="AJ466" i="11" s="1"/>
  <c r="AI501" i="11"/>
  <c r="AJ501" i="11" s="1"/>
  <c r="AI463" i="11"/>
  <c r="AJ463" i="11" s="1"/>
  <c r="AI505" i="11"/>
  <c r="AJ505" i="11" s="1"/>
  <c r="AI483" i="11"/>
  <c r="AJ483" i="11" s="1"/>
  <c r="AI450" i="11"/>
  <c r="AJ450" i="11" s="1"/>
  <c r="AI444" i="11"/>
  <c r="AJ444" i="11" s="1"/>
  <c r="AI431" i="11"/>
  <c r="AJ431" i="11" s="1"/>
  <c r="AI523" i="11"/>
  <c r="AJ523" i="11" s="1"/>
  <c r="AI447" i="11"/>
  <c r="AJ447" i="11" s="1"/>
  <c r="AI522" i="11"/>
  <c r="AJ522" i="11" s="1"/>
  <c r="AI475" i="11"/>
  <c r="AJ475" i="11" s="1"/>
  <c r="AI488" i="11"/>
  <c r="AJ488" i="11" s="1"/>
  <c r="AI526" i="11"/>
  <c r="AJ526" i="11" s="1"/>
  <c r="AI437" i="11"/>
  <c r="AJ437" i="11" s="1"/>
  <c r="AI435" i="11"/>
  <c r="AJ435" i="11" s="1"/>
  <c r="AI454" i="11"/>
  <c r="AJ454" i="11" s="1"/>
  <c r="AI482" i="11"/>
  <c r="AJ482" i="11" s="1"/>
  <c r="P107" i="54"/>
  <c r="AD1494" i="11"/>
  <c r="AE1494" i="11" s="1"/>
  <c r="AK3343" i="11"/>
  <c r="AL3343" i="11" s="1"/>
  <c r="Q110" i="54"/>
  <c r="AD2487" i="11"/>
  <c r="AE2487" i="11" s="1"/>
  <c r="AN2487" i="11" s="1"/>
  <c r="AI2352" i="11"/>
  <c r="AJ2352" i="11" s="1"/>
  <c r="AI2105" i="11"/>
  <c r="AJ2105" i="11" s="1"/>
  <c r="P78" i="54"/>
  <c r="AD1093" i="11"/>
  <c r="AE1093" i="11" s="1"/>
  <c r="AK3653" i="11"/>
  <c r="AL3653" i="11" s="1"/>
  <c r="P137" i="54"/>
  <c r="AI1469" i="11"/>
  <c r="AJ1469" i="11" s="1"/>
  <c r="AI1448" i="11"/>
  <c r="AJ1448" i="11" s="1"/>
  <c r="AI1420" i="11"/>
  <c r="AJ1420" i="11" s="1"/>
  <c r="AI1418" i="11"/>
  <c r="AJ1418" i="11" s="1"/>
  <c r="AI1440" i="11"/>
  <c r="AJ1440" i="11" s="1"/>
  <c r="AI1389" i="11"/>
  <c r="AJ1389" i="11" s="1"/>
  <c r="AI1373" i="11"/>
  <c r="AJ1373" i="11" s="1"/>
  <c r="AI1387" i="11"/>
  <c r="AJ1387" i="11" s="1"/>
  <c r="AI1472" i="11"/>
  <c r="AJ1472" i="11" s="1"/>
  <c r="AI1419" i="11"/>
  <c r="AJ1419" i="11" s="1"/>
  <c r="AI1461" i="11"/>
  <c r="AJ1461" i="11" s="1"/>
  <c r="AI1413" i="11"/>
  <c r="AJ1413" i="11" s="1"/>
  <c r="AI1400" i="11"/>
  <c r="AJ1400" i="11" s="1"/>
  <c r="AI1446" i="11"/>
  <c r="AJ1446" i="11" s="1"/>
  <c r="AI1424" i="11"/>
  <c r="AJ1424" i="11" s="1"/>
  <c r="AI1459" i="11"/>
  <c r="AJ1459" i="11" s="1"/>
  <c r="AI1437" i="11"/>
  <c r="AJ1437" i="11" s="1"/>
  <c r="AI1474" i="11"/>
  <c r="AJ1474" i="11" s="1"/>
  <c r="AI1439" i="11"/>
  <c r="AJ1439" i="11" s="1"/>
  <c r="AI1390" i="11"/>
  <c r="AJ1390" i="11" s="1"/>
  <c r="AI1396" i="11"/>
  <c r="AJ1396" i="11" s="1"/>
  <c r="AI1434" i="11"/>
  <c r="AJ1434" i="11" s="1"/>
  <c r="AI1372" i="11"/>
  <c r="AJ1372" i="11" s="1"/>
  <c r="AI1379" i="11"/>
  <c r="AJ1379" i="11" s="1"/>
  <c r="AI1450" i="11"/>
  <c r="AJ1450" i="11" s="1"/>
  <c r="AI1407" i="11"/>
  <c r="AJ1407" i="11" s="1"/>
  <c r="AI1375" i="11"/>
  <c r="AJ1375" i="11" s="1"/>
  <c r="AI1445" i="11"/>
  <c r="AJ1445" i="11" s="1"/>
  <c r="AI1431" i="11"/>
  <c r="AJ1431" i="11" s="1"/>
  <c r="AI1381" i="11"/>
  <c r="AJ1381" i="11" s="1"/>
  <c r="AI1410" i="11"/>
  <c r="AJ1410" i="11" s="1"/>
  <c r="AI1398" i="11"/>
  <c r="AJ1398" i="11" s="1"/>
  <c r="AI1462" i="11"/>
  <c r="AJ1462" i="11" s="1"/>
  <c r="AI1438" i="11"/>
  <c r="AJ1438" i="11" s="1"/>
  <c r="AI1405" i="11"/>
  <c r="AJ1405" i="11" s="1"/>
  <c r="AI1442" i="11"/>
  <c r="AJ1442" i="11" s="1"/>
  <c r="AI1470" i="11"/>
  <c r="AJ1470" i="11" s="1"/>
  <c r="AI1458" i="11"/>
  <c r="AJ1458" i="11" s="1"/>
  <c r="AI1386" i="11"/>
  <c r="AJ1386" i="11" s="1"/>
  <c r="AI1391" i="11"/>
  <c r="AJ1391" i="11" s="1"/>
  <c r="AI1463" i="11"/>
  <c r="AJ1463" i="11" s="1"/>
  <c r="AI1460" i="11"/>
  <c r="AJ1460" i="11" s="1"/>
  <c r="AI1473" i="11"/>
  <c r="AJ1473" i="11" s="1"/>
  <c r="AI1402" i="11"/>
  <c r="AJ1402" i="11" s="1"/>
  <c r="AI1417" i="11"/>
  <c r="AJ1417" i="11" s="1"/>
  <c r="AI1384" i="11"/>
  <c r="AJ1384" i="11" s="1"/>
  <c r="AI1427" i="11"/>
  <c r="AJ1427" i="11" s="1"/>
  <c r="AI1447" i="11"/>
  <c r="AJ1447" i="11" s="1"/>
  <c r="AI1397" i="11"/>
  <c r="AJ1397" i="11" s="1"/>
  <c r="AI1451" i="11"/>
  <c r="AJ1451" i="11" s="1"/>
  <c r="AI1395" i="11"/>
  <c r="AJ1395" i="11" s="1"/>
  <c r="AI1411" i="11"/>
  <c r="AJ1411" i="11" s="1"/>
  <c r="AI1377" i="11"/>
  <c r="AJ1377" i="11" s="1"/>
  <c r="AI1457" i="11"/>
  <c r="AJ1457" i="11" s="1"/>
  <c r="AI1383" i="11"/>
  <c r="AJ1383" i="11" s="1"/>
  <c r="AI1466" i="11"/>
  <c r="AJ1466" i="11" s="1"/>
  <c r="AI1453" i="11"/>
  <c r="AJ1453" i="11" s="1"/>
  <c r="AI1436" i="11"/>
  <c r="AJ1436" i="11" s="1"/>
  <c r="AI1394" i="11"/>
  <c r="AJ1394" i="11" s="1"/>
  <c r="AI1403" i="11"/>
  <c r="AJ1403" i="11" s="1"/>
  <c r="AI1467" i="11"/>
  <c r="AJ1467" i="11" s="1"/>
  <c r="AI1370" i="11"/>
  <c r="AJ1370" i="11" s="1"/>
  <c r="AI1429" i="11"/>
  <c r="AJ1429" i="11" s="1"/>
  <c r="AI1404" i="11"/>
  <c r="AJ1404" i="11" s="1"/>
  <c r="AI1371" i="11"/>
  <c r="AJ1371" i="11" s="1"/>
  <c r="AI1441" i="11"/>
  <c r="AJ1441" i="11" s="1"/>
  <c r="AI1380" i="11"/>
  <c r="AJ1380" i="11" s="1"/>
  <c r="AI1376" i="11"/>
  <c r="AJ1376" i="11" s="1"/>
  <c r="AI1414" i="11"/>
  <c r="AJ1414" i="11" s="1"/>
  <c r="AI1425" i="11"/>
  <c r="AJ1425" i="11" s="1"/>
  <c r="AI1452" i="11"/>
  <c r="AJ1452" i="11" s="1"/>
  <c r="AI1455" i="11"/>
  <c r="AJ1455" i="11" s="1"/>
  <c r="AI1430" i="11"/>
  <c r="AJ1430" i="11" s="1"/>
  <c r="AI1393" i="11"/>
  <c r="AJ1393" i="11" s="1"/>
  <c r="AI1412" i="11"/>
  <c r="AJ1412" i="11" s="1"/>
  <c r="AI1415" i="11"/>
  <c r="AJ1415" i="11" s="1"/>
  <c r="AI1465" i="11"/>
  <c r="AJ1465" i="11" s="1"/>
  <c r="AI1444" i="11"/>
  <c r="AJ1444" i="11" s="1"/>
  <c r="AI1408" i="11"/>
  <c r="AJ1408" i="11" s="1"/>
  <c r="AI1464" i="11"/>
  <c r="AJ1464" i="11" s="1"/>
  <c r="AI1416" i="11"/>
  <c r="AJ1416" i="11" s="1"/>
  <c r="AI1432" i="11"/>
  <c r="AJ1432" i="11" s="1"/>
  <c r="AI1423" i="11"/>
  <c r="AJ1423" i="11" s="1"/>
  <c r="AI1433" i="11"/>
  <c r="AJ1433" i="11" s="1"/>
  <c r="AI1406" i="11"/>
  <c r="AJ1406" i="11" s="1"/>
  <c r="AI1449" i="11"/>
  <c r="AJ1449" i="11" s="1"/>
  <c r="AI1399" i="11"/>
  <c r="AJ1399" i="11" s="1"/>
  <c r="AI1428" i="11"/>
  <c r="AJ1428" i="11" s="1"/>
  <c r="AI1374" i="11"/>
  <c r="AJ1374" i="11" s="1"/>
  <c r="AI1385" i="11"/>
  <c r="AJ1385" i="11" s="1"/>
  <c r="AI1378" i="11"/>
  <c r="AJ1378" i="11" s="1"/>
  <c r="AI1382" i="11"/>
  <c r="AJ1382" i="11" s="1"/>
  <c r="AI1401" i="11"/>
  <c r="AJ1401" i="11" s="1"/>
  <c r="AI1422" i="11"/>
  <c r="AJ1422" i="11" s="1"/>
  <c r="AI1426" i="11"/>
  <c r="AJ1426" i="11" s="1"/>
  <c r="AI1388" i="11"/>
  <c r="AJ1388" i="11" s="1"/>
  <c r="AI1454" i="11"/>
  <c r="AJ1454" i="11" s="1"/>
  <c r="AI1471" i="11"/>
  <c r="AJ1471" i="11" s="1"/>
  <c r="AD2639" i="11"/>
  <c r="AE2639" i="11" s="1"/>
  <c r="AK1261" i="11"/>
  <c r="AL1261" i="11" s="1"/>
  <c r="AF3213" i="11"/>
  <c r="AG3213" i="11" s="1"/>
  <c r="AO3213" i="11" s="1"/>
  <c r="AF2881" i="11"/>
  <c r="AG2881" i="11" s="1"/>
  <c r="AO2881" i="11" s="1"/>
  <c r="AD1346" i="11"/>
  <c r="AE1346" i="11" s="1"/>
  <c r="AN1346" i="11" s="1"/>
  <c r="AK1260" i="11"/>
  <c r="AL1260" i="11" s="1"/>
  <c r="AD615" i="11"/>
  <c r="AE615" i="11" s="1"/>
  <c r="AN615" i="11" s="1"/>
  <c r="AD483" i="11"/>
  <c r="AE483" i="11" s="1"/>
  <c r="AI2290" i="11"/>
  <c r="AJ2290" i="11" s="1"/>
  <c r="AF1976" i="11"/>
  <c r="AG1976" i="11" s="1"/>
  <c r="AO1976" i="11" s="1"/>
  <c r="AI3197" i="11"/>
  <c r="AJ3197" i="11" s="1"/>
  <c r="AI2409" i="11"/>
  <c r="AJ2409" i="11" s="1"/>
  <c r="Q109" i="54"/>
  <c r="AF3470" i="11"/>
  <c r="AG3470" i="11" s="1"/>
  <c r="AO3470" i="11" s="1"/>
  <c r="AK1099" i="11"/>
  <c r="AL1099" i="11" s="1"/>
  <c r="AD3057" i="11"/>
  <c r="AE3057" i="11" s="1"/>
  <c r="AK3845" i="11"/>
  <c r="AL3845" i="11" s="1"/>
  <c r="AI3387" i="11"/>
  <c r="AJ3387" i="11" s="1"/>
  <c r="AF2430" i="11"/>
  <c r="AG2430" i="11" s="1"/>
  <c r="AO2430" i="11" s="1"/>
  <c r="AK3669" i="11"/>
  <c r="AL3669" i="11" s="1"/>
  <c r="AI2814" i="11"/>
  <c r="AJ2814" i="11" s="1"/>
  <c r="AD1082" i="11"/>
  <c r="AE1082" i="11" s="1"/>
  <c r="AD754" i="11"/>
  <c r="AE754" i="11" s="1"/>
  <c r="AN754" i="11" s="1"/>
  <c r="AF2399" i="11"/>
  <c r="AG2399" i="11" s="1"/>
  <c r="AO2399" i="11" s="1"/>
  <c r="AD485" i="11"/>
  <c r="AE485" i="11" s="1"/>
  <c r="AF2343" i="11"/>
  <c r="AG2343" i="11" s="1"/>
  <c r="AO2343" i="11" s="1"/>
  <c r="AF2237" i="11"/>
  <c r="AG2237" i="11" s="1"/>
  <c r="AI3187" i="11"/>
  <c r="AJ3187" i="11" s="1"/>
  <c r="AF1748" i="11"/>
  <c r="AG1748" i="11" s="1"/>
  <c r="AF2549" i="11"/>
  <c r="AG2549" i="11" s="1"/>
  <c r="AO2549" i="11" s="1"/>
  <c r="AK3401" i="11"/>
  <c r="AL3401" i="11" s="1"/>
  <c r="AI2927" i="11"/>
  <c r="AJ2927" i="11" s="1"/>
  <c r="AI246" i="11"/>
  <c r="AJ246" i="11" s="1"/>
  <c r="AK2866" i="11"/>
  <c r="AL2866" i="11" s="1"/>
  <c r="AK2893" i="11"/>
  <c r="AL2893" i="11" s="1"/>
  <c r="AD1483" i="11"/>
  <c r="AE1483" i="11" s="1"/>
  <c r="AN1483" i="11" s="1"/>
  <c r="AF528" i="11"/>
  <c r="AG528" i="11" s="1"/>
  <c r="AF1148" i="11"/>
  <c r="AG1148" i="11" s="1"/>
  <c r="AO1148" i="11" s="1"/>
  <c r="AF3823" i="11"/>
  <c r="AG3823" i="11" s="1"/>
  <c r="AD1099" i="11"/>
  <c r="AE1099" i="11" s="1"/>
  <c r="AI1930" i="11"/>
  <c r="AJ1930" i="11" s="1"/>
  <c r="AD1224" i="11"/>
  <c r="AE1224" i="11" s="1"/>
  <c r="AN1224" i="11" s="1"/>
  <c r="AK51" i="11"/>
  <c r="AL51" i="11" s="1"/>
  <c r="AF1125" i="11"/>
  <c r="AG1125" i="11" s="1"/>
  <c r="AO1125" i="11" s="1"/>
  <c r="AD54" i="11"/>
  <c r="AE54" i="11" s="1"/>
  <c r="P157" i="54"/>
  <c r="AF3403" i="11"/>
  <c r="AG3403" i="11" s="1"/>
  <c r="AO3403" i="11" s="1"/>
  <c r="AI254" i="11"/>
  <c r="AJ254" i="11" s="1"/>
  <c r="AK1833" i="11"/>
  <c r="AL1833" i="11" s="1"/>
  <c r="AD3508" i="11"/>
  <c r="AE3508" i="11" s="1"/>
  <c r="AI87" i="11"/>
  <c r="AJ87" i="11" s="1"/>
  <c r="AK1847" i="11"/>
  <c r="AL1847" i="11" s="1"/>
  <c r="AK48" i="11"/>
  <c r="AL48" i="11" s="1"/>
  <c r="AK1854" i="11"/>
  <c r="AL1854" i="11" s="1"/>
  <c r="AF1609" i="11"/>
  <c r="AG1609" i="11" s="1"/>
  <c r="AI1635" i="11"/>
  <c r="AJ1635" i="11" s="1"/>
  <c r="AI2896" i="11"/>
  <c r="AJ2896" i="11" s="1"/>
  <c r="AI2164" i="11"/>
  <c r="AJ2164" i="11" s="1"/>
  <c r="AD2512" i="11"/>
  <c r="AE2512" i="11" s="1"/>
  <c r="AN2512" i="11" s="1"/>
  <c r="AD1749" i="11"/>
  <c r="AE1749" i="11" s="1"/>
  <c r="AN1749" i="11" s="1"/>
  <c r="AD430" i="11"/>
  <c r="AE430" i="11" s="1"/>
  <c r="AF2859" i="11"/>
  <c r="AG2859" i="11" s="1"/>
  <c r="AO2859" i="11" s="1"/>
  <c r="AI2580" i="11"/>
  <c r="AJ2580" i="11" s="1"/>
  <c r="AK2474" i="11"/>
  <c r="AL2474" i="11" s="1"/>
  <c r="AI3418" i="11"/>
  <c r="AJ3418" i="11" s="1"/>
  <c r="AD2225" i="11"/>
  <c r="AE2225" i="11" s="1"/>
  <c r="AN2225" i="11" s="1"/>
  <c r="AI279" i="11"/>
  <c r="AJ279" i="11" s="1"/>
  <c r="AF1271" i="11"/>
  <c r="AG1271" i="11" s="1"/>
  <c r="AO1271" i="11" s="1"/>
  <c r="AK3643" i="11"/>
  <c r="AL3643" i="11" s="1"/>
  <c r="AD2230" i="11"/>
  <c r="AE2230" i="11" s="1"/>
  <c r="AN2230" i="11" s="1"/>
  <c r="AK2510" i="11"/>
  <c r="AL2510" i="11" s="1"/>
  <c r="AI3247" i="11"/>
  <c r="AJ3247" i="11" s="1"/>
  <c r="AD1010" i="11"/>
  <c r="AE1010" i="11" s="1"/>
  <c r="AD3484" i="11"/>
  <c r="AE3484" i="11" s="1"/>
  <c r="AF281" i="11"/>
  <c r="AG281" i="11" s="1"/>
  <c r="AI3244" i="11"/>
  <c r="AJ3244" i="11" s="1"/>
  <c r="AD513" i="11"/>
  <c r="AE513" i="11" s="1"/>
  <c r="AI3632" i="11"/>
  <c r="AJ3632" i="11" s="1"/>
  <c r="AI2209" i="11"/>
  <c r="AJ2209" i="11" s="1"/>
  <c r="AD3856" i="11"/>
  <c r="AE3856" i="11" s="1"/>
  <c r="AI2456" i="11"/>
  <c r="AJ2456" i="11" s="1"/>
  <c r="AK1762" i="11"/>
  <c r="AL1762" i="11" s="1"/>
  <c r="AK1758" i="11"/>
  <c r="AL1758" i="11" s="1"/>
  <c r="AK1711" i="11"/>
  <c r="AL1711" i="11" s="1"/>
  <c r="AK1707" i="11"/>
  <c r="AL1707" i="11" s="1"/>
  <c r="AK1775" i="11"/>
  <c r="AL1775" i="11" s="1"/>
  <c r="AK1717" i="11"/>
  <c r="AL1717" i="11" s="1"/>
  <c r="AK1782" i="11"/>
  <c r="AL1782" i="11" s="1"/>
  <c r="AK1715" i="11"/>
  <c r="AL1715" i="11" s="1"/>
  <c r="AK1713" i="11"/>
  <c r="AL1713" i="11" s="1"/>
  <c r="AK1771" i="11"/>
  <c r="AL1771" i="11" s="1"/>
  <c r="AK1742" i="11"/>
  <c r="AL1742" i="11" s="1"/>
  <c r="AK1749" i="11"/>
  <c r="AL1749" i="11" s="1"/>
  <c r="AK1735" i="11"/>
  <c r="AL1735" i="11" s="1"/>
  <c r="AK1748" i="11"/>
  <c r="AL1748" i="11" s="1"/>
  <c r="AK1720" i="11"/>
  <c r="AL1720" i="11" s="1"/>
  <c r="AK1747" i="11"/>
  <c r="AL1747" i="11" s="1"/>
  <c r="AK1757" i="11"/>
  <c r="AL1757" i="11" s="1"/>
  <c r="AK1691" i="11"/>
  <c r="AL1691" i="11" s="1"/>
  <c r="AK1731" i="11"/>
  <c r="AL1731" i="11" s="1"/>
  <c r="AK1694" i="11"/>
  <c r="AL1694" i="11" s="1"/>
  <c r="AK1698" i="11"/>
  <c r="AL1698" i="11" s="1"/>
  <c r="AK1709" i="11"/>
  <c r="AL1709" i="11" s="1"/>
  <c r="AK1767" i="11"/>
  <c r="AL1767" i="11" s="1"/>
  <c r="AK1687" i="11"/>
  <c r="AL1687" i="11" s="1"/>
  <c r="AK1732" i="11"/>
  <c r="AL1732" i="11" s="1"/>
  <c r="AK1750" i="11"/>
  <c r="AL1750" i="11" s="1"/>
  <c r="AK1746" i="11"/>
  <c r="AL1746" i="11" s="1"/>
  <c r="AK1695" i="11"/>
  <c r="AL1695" i="11" s="1"/>
  <c r="AK1708" i="11"/>
  <c r="AL1708" i="11" s="1"/>
  <c r="AK1733" i="11"/>
  <c r="AL1733" i="11" s="1"/>
  <c r="AK1729" i="11"/>
  <c r="AL1729" i="11" s="1"/>
  <c r="AK1788" i="11"/>
  <c r="AL1788" i="11" s="1"/>
  <c r="AK1769" i="11"/>
  <c r="AL1769" i="11" s="1"/>
  <c r="AK1764" i="11"/>
  <c r="AL1764" i="11" s="1"/>
  <c r="AK1722" i="11"/>
  <c r="AL1722" i="11" s="1"/>
  <c r="AK1710" i="11"/>
  <c r="AL1710" i="11" s="1"/>
  <c r="AK1778" i="11"/>
  <c r="AL1778" i="11" s="1"/>
  <c r="AK1780" i="11"/>
  <c r="AL1780" i="11" s="1"/>
  <c r="AK1697" i="11"/>
  <c r="AL1697" i="11" s="1"/>
  <c r="AK1789" i="11"/>
  <c r="AL1789" i="11" s="1"/>
  <c r="AK1781" i="11"/>
  <c r="AL1781" i="11" s="1"/>
  <c r="AK1773" i="11"/>
  <c r="AL1773" i="11" s="1"/>
  <c r="AK1728" i="11"/>
  <c r="AL1728" i="11" s="1"/>
  <c r="AK1706" i="11"/>
  <c r="AL1706" i="11" s="1"/>
  <c r="AK1763" i="11"/>
  <c r="AL1763" i="11" s="1"/>
  <c r="AK1725" i="11"/>
  <c r="AL1725" i="11" s="1"/>
  <c r="AK1692" i="11"/>
  <c r="AL1692" i="11" s="1"/>
  <c r="AK1772" i="11"/>
  <c r="AL1772" i="11" s="1"/>
  <c r="AK1737" i="11"/>
  <c r="AL1737" i="11" s="1"/>
  <c r="AK1787" i="11"/>
  <c r="AL1787" i="11" s="1"/>
  <c r="AK1705" i="11"/>
  <c r="AL1705" i="11" s="1"/>
  <c r="AK1712" i="11"/>
  <c r="AL1712" i="11" s="1"/>
  <c r="AK1738" i="11"/>
  <c r="AL1738" i="11" s="1"/>
  <c r="AK1777" i="11"/>
  <c r="AL1777" i="11" s="1"/>
  <c r="AK1752" i="11"/>
  <c r="AL1752" i="11" s="1"/>
  <c r="AK1776" i="11"/>
  <c r="AL1776" i="11" s="1"/>
  <c r="AK1760" i="11"/>
  <c r="AL1760" i="11" s="1"/>
  <c r="AK1688" i="11"/>
  <c r="AL1688" i="11" s="1"/>
  <c r="AK1696" i="11"/>
  <c r="AL1696" i="11" s="1"/>
  <c r="AK1700" i="11"/>
  <c r="AL1700" i="11" s="1"/>
  <c r="AK1685" i="11"/>
  <c r="AL1685" i="11" s="1"/>
  <c r="AK1754" i="11"/>
  <c r="AL1754" i="11" s="1"/>
  <c r="AK1699" i="11"/>
  <c r="AL1699" i="11" s="1"/>
  <c r="AK1755" i="11"/>
  <c r="AL1755" i="11" s="1"/>
  <c r="AK1741" i="11"/>
  <c r="AL1741" i="11" s="1"/>
  <c r="AK1785" i="11"/>
  <c r="AL1785" i="11" s="1"/>
  <c r="AK1766" i="11"/>
  <c r="AL1766" i="11" s="1"/>
  <c r="AK1719" i="11"/>
  <c r="AL1719" i="11" s="1"/>
  <c r="AK1716" i="11"/>
  <c r="AL1716" i="11" s="1"/>
  <c r="AK1751" i="11"/>
  <c r="AL1751" i="11" s="1"/>
  <c r="AK1744" i="11"/>
  <c r="AL1744" i="11" s="1"/>
  <c r="AK1724" i="11"/>
  <c r="AL1724" i="11" s="1"/>
  <c r="AK1783" i="11"/>
  <c r="AL1783" i="11" s="1"/>
  <c r="AK1704" i="11"/>
  <c r="AL1704" i="11" s="1"/>
  <c r="AK1701" i="11"/>
  <c r="AL1701" i="11" s="1"/>
  <c r="AK1736" i="11"/>
  <c r="AL1736" i="11" s="1"/>
  <c r="AK1786" i="11"/>
  <c r="AL1786" i="11" s="1"/>
  <c r="AK1759" i="11"/>
  <c r="AL1759" i="11" s="1"/>
  <c r="AK1743" i="11"/>
  <c r="AL1743" i="11" s="1"/>
  <c r="AK1714" i="11"/>
  <c r="AL1714" i="11" s="1"/>
  <c r="AK1745" i="11"/>
  <c r="AL1745" i="11" s="1"/>
  <c r="AK1702" i="11"/>
  <c r="AL1702" i="11" s="1"/>
  <c r="AK1765" i="11"/>
  <c r="AL1765" i="11" s="1"/>
  <c r="AK1770" i="11"/>
  <c r="AL1770" i="11" s="1"/>
  <c r="AK1753" i="11"/>
  <c r="AL1753" i="11" s="1"/>
  <c r="AK1739" i="11"/>
  <c r="AL1739" i="11" s="1"/>
  <c r="AK1686" i="11"/>
  <c r="AL1686" i="11" s="1"/>
  <c r="AK1726" i="11"/>
  <c r="AL1726" i="11" s="1"/>
  <c r="AK1756" i="11"/>
  <c r="AL1756" i="11" s="1"/>
  <c r="AK1784" i="11"/>
  <c r="AL1784" i="11" s="1"/>
  <c r="AK1768" i="11"/>
  <c r="AL1768" i="11" s="1"/>
  <c r="AK1774" i="11"/>
  <c r="AL1774" i="11" s="1"/>
  <c r="AK1721" i="11"/>
  <c r="AL1721" i="11" s="1"/>
  <c r="AK1779" i="11"/>
  <c r="AL1779" i="11" s="1"/>
  <c r="AK1761" i="11"/>
  <c r="AL1761" i="11" s="1"/>
  <c r="AK1727" i="11"/>
  <c r="AL1727" i="11" s="1"/>
  <c r="AK1703" i="11"/>
  <c r="AL1703" i="11" s="1"/>
  <c r="AK1718" i="11"/>
  <c r="AL1718" i="11" s="1"/>
  <c r="AK1693" i="11"/>
  <c r="AL1693" i="11" s="1"/>
  <c r="AK1689" i="11"/>
  <c r="AL1689" i="11" s="1"/>
  <c r="AK1690" i="11"/>
  <c r="AL1690" i="11" s="1"/>
  <c r="AK1740" i="11"/>
  <c r="AL1740" i="11" s="1"/>
  <c r="AK1730" i="11"/>
  <c r="AL1730" i="11" s="1"/>
  <c r="AD645" i="11"/>
  <c r="AE645" i="11" s="1"/>
  <c r="AN645" i="11" s="1"/>
  <c r="AF586" i="11"/>
  <c r="AG586" i="11" s="1"/>
  <c r="AO586" i="11" s="1"/>
  <c r="AK986" i="11"/>
  <c r="AL986" i="11" s="1"/>
  <c r="AK3576" i="11"/>
  <c r="AL3576" i="11" s="1"/>
  <c r="AI3234" i="11"/>
  <c r="AJ3234" i="11" s="1"/>
  <c r="AF390" i="11"/>
  <c r="AG390" i="11" s="1"/>
  <c r="AF3461" i="11"/>
  <c r="AG3461" i="11" s="1"/>
  <c r="AO3461" i="11" s="1"/>
  <c r="AD3197" i="11"/>
  <c r="AE3197" i="11" s="1"/>
  <c r="AF3375" i="11"/>
  <c r="AG3375" i="11" s="1"/>
  <c r="AO3375" i="11" s="1"/>
  <c r="AK3870" i="11"/>
  <c r="AL3870" i="11" s="1"/>
  <c r="AF1782" i="11"/>
  <c r="AG1782" i="11" s="1"/>
  <c r="AD1384" i="11"/>
  <c r="AE1384" i="11" s="1"/>
  <c r="AK172" i="11"/>
  <c r="AL172" i="11" s="1"/>
  <c r="AD2353" i="11"/>
  <c r="AE2353" i="11" s="1"/>
  <c r="AK2613" i="11"/>
  <c r="AL2613" i="11" s="1"/>
  <c r="AK3089" i="11"/>
  <c r="AL3089" i="11" s="1"/>
  <c r="AK3132" i="11"/>
  <c r="AL3132" i="11" s="1"/>
  <c r="AI1502" i="11"/>
  <c r="AJ1502" i="11" s="1"/>
  <c r="AD182" i="11"/>
  <c r="AE182" i="11" s="1"/>
  <c r="AI3178" i="11"/>
  <c r="AJ3178" i="11" s="1"/>
  <c r="AK3380" i="11"/>
  <c r="AL3380" i="11" s="1"/>
  <c r="AI577" i="11"/>
  <c r="AJ577" i="11" s="1"/>
  <c r="AD1743" i="11"/>
  <c r="AE1743" i="11" s="1"/>
  <c r="AF2330" i="11"/>
  <c r="AG2330" i="11" s="1"/>
  <c r="AF3536" i="11"/>
  <c r="AG3536" i="11" s="1"/>
  <c r="AK1878" i="11"/>
  <c r="AL1878" i="11" s="1"/>
  <c r="AK1336" i="11"/>
  <c r="AL1336" i="11" s="1"/>
  <c r="AK1654" i="11"/>
  <c r="AL1654" i="11" s="1"/>
  <c r="AD867" i="11"/>
  <c r="AE867" i="11" s="1"/>
  <c r="AN867" i="11" s="1"/>
  <c r="AD3244" i="11"/>
  <c r="AE3244" i="11" s="1"/>
  <c r="AF1376" i="11"/>
  <c r="AG1376" i="11" s="1"/>
  <c r="AO1376" i="11" s="1"/>
  <c r="AI2790" i="11"/>
  <c r="AJ2790" i="11" s="1"/>
  <c r="AI2869" i="11"/>
  <c r="AJ2869" i="11" s="1"/>
  <c r="AF1507" i="11"/>
  <c r="AG1507" i="11" s="1"/>
  <c r="AO1507" i="11" s="1"/>
  <c r="AF1591" i="11"/>
  <c r="AG1591" i="11" s="1"/>
  <c r="AF2861" i="11"/>
  <c r="AG2861" i="11" s="1"/>
  <c r="AO2861" i="11" s="1"/>
  <c r="AF1850" i="11"/>
  <c r="AG1850" i="11" s="1"/>
  <c r="AO1850" i="11" s="1"/>
  <c r="AD2835" i="11"/>
  <c r="AE2835" i="11" s="1"/>
  <c r="AI1858" i="11"/>
  <c r="AJ1858" i="11" s="1"/>
  <c r="AF1105" i="11"/>
  <c r="AG1105" i="11" s="1"/>
  <c r="AO1105" i="11" s="1"/>
  <c r="AF1457" i="11"/>
  <c r="AG1457" i="11" s="1"/>
  <c r="AK332" i="11"/>
  <c r="AL332" i="11" s="1"/>
  <c r="AF1880" i="11"/>
  <c r="AG1880" i="11" s="1"/>
  <c r="AO1880" i="11" s="1"/>
  <c r="AD2726" i="11"/>
  <c r="AE2726" i="11" s="1"/>
  <c r="AI1277" i="11"/>
  <c r="AJ1277" i="11" s="1"/>
  <c r="AF2394" i="11"/>
  <c r="AG2394" i="11" s="1"/>
  <c r="AO2394" i="11" s="1"/>
  <c r="AD3174" i="11"/>
  <c r="AE3174" i="11" s="1"/>
  <c r="AN3174" i="11" s="1"/>
  <c r="AI884" i="11"/>
  <c r="AJ884" i="11" s="1"/>
  <c r="AI2270" i="11"/>
  <c r="AJ2270" i="11" s="1"/>
  <c r="AK1092" i="11"/>
  <c r="AL1092" i="11" s="1"/>
  <c r="AI1305" i="11"/>
  <c r="AJ1305" i="11" s="1"/>
  <c r="AF1546" i="11"/>
  <c r="AG1546" i="11" s="1"/>
  <c r="AK2916" i="11"/>
  <c r="AL2916" i="11" s="1"/>
  <c r="AD33" i="11"/>
  <c r="AE33" i="11" s="1"/>
  <c r="AI3672" i="11"/>
  <c r="AJ3672" i="11" s="1"/>
  <c r="AD212" i="11"/>
  <c r="AE212" i="11" s="1"/>
  <c r="AI1098" i="11"/>
  <c r="AJ1098" i="11" s="1"/>
  <c r="AK24" i="11"/>
  <c r="AL24" i="11" s="1"/>
  <c r="AF1594" i="11"/>
  <c r="AG1594" i="11" s="1"/>
  <c r="AD187" i="11"/>
  <c r="AE187" i="11" s="1"/>
  <c r="AK3540" i="11"/>
  <c r="AL3540" i="11" s="1"/>
  <c r="AF670" i="11"/>
  <c r="AG670" i="11" s="1"/>
  <c r="AO670" i="11" s="1"/>
  <c r="AI1043" i="11"/>
  <c r="AJ1043" i="11" s="1"/>
  <c r="AF1471" i="11"/>
  <c r="AG1471" i="11" s="1"/>
  <c r="AI1215" i="11"/>
  <c r="AJ1215" i="11" s="1"/>
  <c r="AF3267" i="11"/>
  <c r="AG3267" i="11" s="1"/>
  <c r="AO3267" i="11" s="1"/>
  <c r="AI2771" i="11"/>
  <c r="AJ2771" i="11" s="1"/>
  <c r="AI1825" i="11"/>
  <c r="AJ1825" i="11" s="1"/>
  <c r="AK3743" i="11"/>
  <c r="AL3743" i="11" s="1"/>
  <c r="AD3127" i="11"/>
  <c r="AE3127" i="11" s="1"/>
  <c r="AK1958" i="11"/>
  <c r="AL1958" i="11" s="1"/>
  <c r="AF55" i="11"/>
  <c r="AG55" i="11" s="1"/>
  <c r="AI2552" i="11"/>
  <c r="AJ2552" i="11" s="1"/>
  <c r="AI626" i="11"/>
  <c r="AJ626" i="11" s="1"/>
  <c r="AD2842" i="11"/>
  <c r="AE2842" i="11" s="1"/>
  <c r="AN2842" i="11" s="1"/>
  <c r="AD1453" i="11"/>
  <c r="AE1453" i="11" s="1"/>
  <c r="AI1164" i="11"/>
  <c r="AJ1164" i="11" s="1"/>
  <c r="AK1592" i="11"/>
  <c r="AL1592" i="11" s="1"/>
  <c r="N199" i="54"/>
  <c r="AK3222" i="11"/>
  <c r="AL3222" i="11" s="1"/>
  <c r="AK214" i="11"/>
  <c r="AL214" i="11" s="1"/>
  <c r="AK2393" i="11"/>
  <c r="AL2393" i="11" s="1"/>
  <c r="AD1642" i="11"/>
  <c r="AE1642" i="11" s="1"/>
  <c r="AK1073" i="11"/>
  <c r="AL1073" i="11" s="1"/>
  <c r="AK2158" i="11"/>
  <c r="AL2158" i="11" s="1"/>
  <c r="AD1919" i="11"/>
  <c r="AE1919" i="11" s="1"/>
  <c r="AN1919" i="11" s="1"/>
  <c r="AD1114" i="11"/>
  <c r="AE1114" i="11" s="1"/>
  <c r="AK3719" i="11"/>
  <c r="AL3719" i="11" s="1"/>
  <c r="AD855" i="11"/>
  <c r="AE855" i="11" s="1"/>
  <c r="AN855" i="11" s="1"/>
  <c r="P243" i="54"/>
  <c r="P7" i="54" s="1"/>
  <c r="N243" i="54"/>
  <c r="N7" i="54" s="1"/>
  <c r="AO255" i="11" l="1"/>
  <c r="AN648" i="11"/>
  <c r="AN672" i="11"/>
  <c r="AO119" i="11"/>
  <c r="AO148" i="11"/>
  <c r="AN259" i="11"/>
  <c r="AO170" i="11"/>
  <c r="AN811" i="11"/>
  <c r="AN3348" i="11"/>
  <c r="AN747" i="11"/>
  <c r="AN1923" i="11"/>
  <c r="AN1258" i="11"/>
  <c r="AN2397" i="11"/>
  <c r="AN1218" i="11"/>
  <c r="AO195" i="11"/>
  <c r="AO883" i="11"/>
  <c r="AN1531" i="11"/>
  <c r="AO211" i="11"/>
  <c r="AN2539" i="11"/>
  <c r="AN1940" i="11"/>
  <c r="AO2517" i="11"/>
  <c r="AO129" i="11"/>
  <c r="AN284" i="11"/>
  <c r="AN2726" i="11"/>
  <c r="AO1645" i="11"/>
  <c r="AN3303" i="11"/>
  <c r="AN1740" i="11"/>
  <c r="AN1814" i="11"/>
  <c r="AN234" i="11"/>
  <c r="AN419" i="11"/>
  <c r="AN382" i="11"/>
  <c r="AN325" i="11"/>
  <c r="AO511" i="11"/>
  <c r="AO1630" i="11"/>
  <c r="AO1682" i="11"/>
  <c r="AN3308" i="11"/>
  <c r="AN2941" i="11"/>
  <c r="AN2317" i="11"/>
  <c r="AO848" i="11"/>
  <c r="AO2489" i="11"/>
  <c r="AN1918" i="11"/>
  <c r="AN1912" i="11"/>
  <c r="AN1733" i="11"/>
  <c r="AN1755" i="11"/>
  <c r="AN265" i="11"/>
  <c r="AO2683" i="11"/>
  <c r="AO35" i="11"/>
  <c r="AO1589" i="11"/>
  <c r="AN3336" i="11"/>
  <c r="AN3330" i="11"/>
  <c r="AO2242" i="11"/>
  <c r="AO2238" i="11"/>
  <c r="AO2258" i="11"/>
  <c r="AO2298" i="11"/>
  <c r="AO2307" i="11"/>
  <c r="AN2405" i="11"/>
  <c r="AN2372" i="11"/>
  <c r="AN2346" i="11"/>
  <c r="AN2328" i="11"/>
  <c r="AN1897" i="11"/>
  <c r="AO190" i="11"/>
  <c r="AO166" i="11"/>
  <c r="AO192" i="11"/>
  <c r="AN1235" i="11"/>
  <c r="AN1185" i="11"/>
  <c r="AN677" i="11"/>
  <c r="AN1694" i="11"/>
  <c r="AN1579" i="11"/>
  <c r="AO1171" i="11"/>
  <c r="AO1678" i="11"/>
  <c r="AO1664" i="11"/>
  <c r="AN2358" i="11"/>
  <c r="AO892" i="11"/>
  <c r="AN1908" i="11"/>
  <c r="AN1204" i="11"/>
  <c r="AN680" i="11"/>
  <c r="AN257" i="11"/>
  <c r="AO2597" i="11"/>
  <c r="AN424" i="11"/>
  <c r="AN898" i="11"/>
  <c r="AN864" i="11"/>
  <c r="AO420" i="11"/>
  <c r="AN3347" i="11"/>
  <c r="AO2299" i="11"/>
  <c r="AO2310" i="11"/>
  <c r="AN408" i="11"/>
  <c r="AN3367" i="11"/>
  <c r="AN2870" i="11"/>
  <c r="AN2915" i="11"/>
  <c r="AN2914" i="11"/>
  <c r="AN2879" i="11"/>
  <c r="AN1716" i="11"/>
  <c r="AO1355" i="11"/>
  <c r="AO3563" i="11"/>
  <c r="AO3777" i="11"/>
  <c r="AO880" i="11"/>
  <c r="AO189" i="11"/>
  <c r="AO3702" i="11"/>
  <c r="AO3784" i="11"/>
  <c r="AO130" i="11"/>
  <c r="AO1659" i="11"/>
  <c r="AO1590" i="11"/>
  <c r="AO1656" i="11"/>
  <c r="AO1593" i="11"/>
  <c r="AO1596" i="11"/>
  <c r="AO1348" i="11"/>
  <c r="AO1330" i="11"/>
  <c r="AO1324" i="11"/>
  <c r="AO2250" i="11"/>
  <c r="AO3536" i="11"/>
  <c r="AO2690" i="11"/>
  <c r="AO526" i="11"/>
  <c r="AO508" i="11"/>
  <c r="AO452" i="11"/>
  <c r="AO506" i="11"/>
  <c r="AO489" i="11"/>
  <c r="AO2113" i="11"/>
  <c r="AO3616" i="11"/>
  <c r="AO495" i="11"/>
  <c r="AO478" i="11"/>
  <c r="AO472" i="11"/>
  <c r="AO431" i="11"/>
  <c r="AO857" i="11"/>
  <c r="AO2712" i="11"/>
  <c r="AO2699" i="11"/>
  <c r="AO2160" i="11"/>
  <c r="AO2207" i="11"/>
  <c r="AO2138" i="11"/>
  <c r="AO3780" i="11"/>
  <c r="AO3587" i="11"/>
  <c r="AO3738" i="11"/>
  <c r="AO543" i="11"/>
  <c r="AO3774" i="11"/>
  <c r="AO3641" i="11"/>
  <c r="AO3781" i="11"/>
  <c r="AO3733" i="11"/>
  <c r="AO566" i="11"/>
  <c r="AO2234" i="11"/>
  <c r="AN751" i="11"/>
  <c r="AN1925" i="11"/>
  <c r="AO197" i="11"/>
  <c r="AO3654" i="11"/>
  <c r="AO3316" i="11"/>
  <c r="AN1201" i="11"/>
  <c r="AN1894" i="11"/>
  <c r="AO3757" i="11"/>
  <c r="AO3754" i="11"/>
  <c r="AN235" i="11"/>
  <c r="AO1647" i="11"/>
  <c r="AN3360" i="11"/>
  <c r="AO2243" i="11"/>
  <c r="AO2235" i="11"/>
  <c r="AN2351" i="11"/>
  <c r="AN2362" i="11"/>
  <c r="AN2416" i="11"/>
  <c r="AO903" i="11"/>
  <c r="AO877" i="11"/>
  <c r="AO902" i="11"/>
  <c r="AO2444" i="11"/>
  <c r="AO2491" i="11"/>
  <c r="AO175" i="11"/>
  <c r="AO177" i="11"/>
  <c r="AO194" i="11"/>
  <c r="AN1192" i="11"/>
  <c r="AN1236" i="11"/>
  <c r="AN1186" i="11"/>
  <c r="AN2337" i="11"/>
  <c r="AN1114" i="11"/>
  <c r="AO2674" i="11"/>
  <c r="AO2716" i="11"/>
  <c r="AO2711" i="11"/>
  <c r="AO2644" i="11"/>
  <c r="AO2639" i="11"/>
  <c r="AO3058" i="11"/>
  <c r="AN1503" i="11"/>
  <c r="AN3699" i="11"/>
  <c r="AN3779" i="11"/>
  <c r="AN3758" i="11"/>
  <c r="AN3681" i="11"/>
  <c r="AO1319" i="11"/>
  <c r="AO1321" i="11"/>
  <c r="AO1353" i="11"/>
  <c r="AO3726" i="11"/>
  <c r="AO3739" i="11"/>
  <c r="AO3725" i="11"/>
  <c r="AO1841" i="11"/>
  <c r="AN3258" i="11"/>
  <c r="AN3161" i="11"/>
  <c r="AO1594" i="11"/>
  <c r="AO1591" i="11"/>
  <c r="AO2237" i="11"/>
  <c r="AO2668" i="11"/>
  <c r="AO2659" i="11"/>
  <c r="AO2647" i="11"/>
  <c r="AO2640" i="11"/>
  <c r="AO2637" i="11"/>
  <c r="AO2733" i="11"/>
  <c r="AO2478" i="11"/>
  <c r="AN3737" i="11"/>
  <c r="AN3778" i="11"/>
  <c r="AN3709" i="11"/>
  <c r="AN3767" i="11"/>
  <c r="AO1369" i="11"/>
  <c r="AO1346" i="11"/>
  <c r="AO1295" i="11"/>
  <c r="AO3681" i="11"/>
  <c r="AO3742" i="11"/>
  <c r="AO3707" i="11"/>
  <c r="AO3776" i="11"/>
  <c r="AO3753" i="11"/>
  <c r="AO3762" i="11"/>
  <c r="AN3218" i="11"/>
  <c r="AN3175" i="11"/>
  <c r="AN3233" i="11"/>
  <c r="AN3242" i="11"/>
  <c r="AO248" i="11"/>
  <c r="AO1613" i="11"/>
  <c r="AN781" i="11"/>
  <c r="AN682" i="11"/>
  <c r="AO512" i="11"/>
  <c r="AN3057" i="11"/>
  <c r="AO426" i="11"/>
  <c r="AO525" i="11"/>
  <c r="AN3264" i="11"/>
  <c r="AO2287" i="11"/>
  <c r="AN3343" i="11"/>
  <c r="AN3262" i="11"/>
  <c r="AN3337" i="11"/>
  <c r="AN3383" i="11"/>
  <c r="AN3406" i="11"/>
  <c r="AN3409" i="11"/>
  <c r="AN3410" i="11"/>
  <c r="AN2845" i="11"/>
  <c r="AN2887" i="11"/>
  <c r="AN2922" i="11"/>
  <c r="AN2891" i="11"/>
  <c r="AO1342" i="11"/>
  <c r="AN3772" i="11"/>
  <c r="AO914" i="11"/>
  <c r="AO858" i="11"/>
  <c r="AO862" i="11"/>
  <c r="AO850" i="11"/>
  <c r="AO2470" i="11"/>
  <c r="AO2434" i="11"/>
  <c r="AO2512" i="11"/>
  <c r="AN748" i="11"/>
  <c r="AN807" i="11"/>
  <c r="AN1931" i="11"/>
  <c r="AN1953" i="11"/>
  <c r="AN1982" i="11"/>
  <c r="AN1957" i="11"/>
  <c r="AO113" i="11"/>
  <c r="AO200" i="11"/>
  <c r="AO169" i="11"/>
  <c r="AO142" i="11"/>
  <c r="AO3631" i="11"/>
  <c r="AO3658" i="11"/>
  <c r="AO3615" i="11"/>
  <c r="AO3646" i="11"/>
  <c r="AN1742" i="11"/>
  <c r="AN1720" i="11"/>
  <c r="AN1706" i="11"/>
  <c r="AN1167" i="11"/>
  <c r="AN1222" i="11"/>
  <c r="AN1216" i="11"/>
  <c r="AN1187" i="11"/>
  <c r="AN1234" i="11"/>
  <c r="AN1871" i="11"/>
  <c r="AN1795" i="11"/>
  <c r="AN1872" i="11"/>
  <c r="AO3822" i="11"/>
  <c r="AN656" i="11"/>
  <c r="AN678" i="11"/>
  <c r="AN652" i="11"/>
  <c r="AN312" i="11"/>
  <c r="AN232" i="11"/>
  <c r="AN314" i="11"/>
  <c r="AN317" i="11"/>
  <c r="AN306" i="11"/>
  <c r="AN394" i="11"/>
  <c r="AN387" i="11"/>
  <c r="AN412" i="11"/>
  <c r="AN340" i="11"/>
  <c r="AN857" i="11"/>
  <c r="AN937" i="11"/>
  <c r="AN854" i="11"/>
  <c r="AN936" i="11"/>
  <c r="AN947" i="11"/>
  <c r="AN3280" i="11"/>
  <c r="AO2300" i="11"/>
  <c r="AN2342" i="11"/>
  <c r="AO2246" i="11"/>
  <c r="AO2272" i="11"/>
  <c r="AO2726" i="11"/>
  <c r="AO2680" i="11"/>
  <c r="AO504" i="11"/>
  <c r="AO465" i="11"/>
  <c r="AO493" i="11"/>
  <c r="AO3858" i="11"/>
  <c r="AO1646" i="11"/>
  <c r="AO1632" i="11"/>
  <c r="AO1628" i="11"/>
  <c r="AO2262" i="11"/>
  <c r="AO896" i="11"/>
  <c r="AO2518" i="11"/>
  <c r="AO212" i="11"/>
  <c r="AO3590" i="11"/>
  <c r="AN695" i="11"/>
  <c r="AN311" i="11"/>
  <c r="AN318" i="11"/>
  <c r="AN263" i="11"/>
  <c r="AN320" i="11"/>
  <c r="AN321" i="11"/>
  <c r="AO273" i="11"/>
  <c r="AN3185" i="11"/>
  <c r="AN3202" i="11"/>
  <c r="AN3250" i="11"/>
  <c r="AO1140" i="11"/>
  <c r="AO1114" i="11"/>
  <c r="AO724" i="11"/>
  <c r="AO705" i="11"/>
  <c r="AN859" i="11"/>
  <c r="AN927" i="11"/>
  <c r="AN633" i="11"/>
  <c r="AO1243" i="11"/>
  <c r="AO1205" i="11"/>
  <c r="AO1638" i="11"/>
  <c r="AN3350" i="11"/>
  <c r="AN3339" i="11"/>
  <c r="AN3411" i="11"/>
  <c r="AN3427" i="11"/>
  <c r="AN3397" i="11"/>
  <c r="AN3378" i="11"/>
  <c r="AN3433" i="11"/>
  <c r="AN3424" i="11"/>
  <c r="AN2848" i="11"/>
  <c r="AN2860" i="11"/>
  <c r="AN2884" i="11"/>
  <c r="AO1367" i="11"/>
  <c r="AO1284" i="11"/>
  <c r="AO1292" i="11"/>
  <c r="AO1362" i="11"/>
  <c r="AO2240" i="11"/>
  <c r="AO2265" i="11"/>
  <c r="AO2222" i="11"/>
  <c r="AO2212" i="11"/>
  <c r="AO1317" i="11"/>
  <c r="AO937" i="11"/>
  <c r="AO887" i="11"/>
  <c r="AO885" i="11"/>
  <c r="AO978" i="11"/>
  <c r="AO2423" i="11"/>
  <c r="AO2499" i="11"/>
  <c r="AO2453" i="11"/>
  <c r="AO2857" i="11"/>
  <c r="AN750" i="11"/>
  <c r="AN1927" i="11"/>
  <c r="AN1943" i="11"/>
  <c r="AN1960" i="11"/>
  <c r="AN1986" i="11"/>
  <c r="AN1926" i="11"/>
  <c r="AO191" i="11"/>
  <c r="AO131" i="11"/>
  <c r="AO137" i="11"/>
  <c r="AO165" i="11"/>
  <c r="AO3656" i="11"/>
  <c r="AO3652" i="11"/>
  <c r="AO3596" i="11"/>
  <c r="AN1734" i="11"/>
  <c r="AN1764" i="11"/>
  <c r="AN1704" i="11"/>
  <c r="AN1710" i="11"/>
  <c r="AO1822" i="11"/>
  <c r="AN3614" i="11"/>
  <c r="AN3579" i="11"/>
  <c r="AO3329" i="11"/>
  <c r="AO3283" i="11"/>
  <c r="AN1163" i="11"/>
  <c r="AN1199" i="11"/>
  <c r="AN1803" i="11"/>
  <c r="AO3779" i="11"/>
  <c r="AO3745" i="11"/>
  <c r="AO3756" i="11"/>
  <c r="AO578" i="11"/>
  <c r="AO611" i="11"/>
  <c r="AO608" i="11"/>
  <c r="AO604" i="11"/>
  <c r="AO538" i="11"/>
  <c r="AN720" i="11"/>
  <c r="AN679" i="11"/>
  <c r="AN712" i="11"/>
  <c r="AN670" i="11"/>
  <c r="AN295" i="11"/>
  <c r="AN269" i="11"/>
  <c r="AN223" i="11"/>
  <c r="AN216" i="11"/>
  <c r="AN225" i="11"/>
  <c r="AN1034" i="11"/>
  <c r="AN417" i="11"/>
  <c r="AN418" i="11"/>
  <c r="AN402" i="11"/>
  <c r="AN3240" i="11"/>
  <c r="AN3181" i="11"/>
  <c r="AN3207" i="11"/>
  <c r="AN3209" i="11"/>
  <c r="AO1115" i="11"/>
  <c r="AO692" i="11"/>
  <c r="AN2280" i="11"/>
  <c r="AN891" i="11"/>
  <c r="AN617" i="11"/>
  <c r="AO1230" i="11"/>
  <c r="AN3163" i="11"/>
  <c r="AO1136" i="11"/>
  <c r="AN625" i="11"/>
  <c r="AN2702" i="11"/>
  <c r="AO1186" i="11"/>
  <c r="AN929" i="11"/>
  <c r="AN541" i="11"/>
  <c r="AN620" i="11"/>
  <c r="AO1173" i="11"/>
  <c r="AO1239" i="11"/>
  <c r="AN421" i="11"/>
  <c r="AN3188" i="11"/>
  <c r="AN871" i="11"/>
  <c r="AN586" i="11"/>
  <c r="AN920" i="11"/>
  <c r="AN344" i="11"/>
  <c r="AN360" i="11"/>
  <c r="AO1102" i="11"/>
  <c r="AN2252" i="11"/>
  <c r="AO1218" i="11"/>
  <c r="AO694" i="11"/>
  <c r="AN2245" i="11"/>
  <c r="AO3148" i="11"/>
  <c r="AO479" i="11"/>
  <c r="AO2239" i="11"/>
  <c r="AO2536" i="11"/>
  <c r="AO1540" i="11"/>
  <c r="AO623" i="11"/>
  <c r="AO555" i="11"/>
  <c r="AO1193" i="11"/>
  <c r="AO501" i="11"/>
  <c r="AO3600" i="11"/>
  <c r="AO612" i="11"/>
  <c r="AO603" i="11"/>
  <c r="AO585" i="11"/>
  <c r="AO584" i="11"/>
  <c r="AO610" i="11"/>
  <c r="AN2353" i="11"/>
  <c r="AN3537" i="11"/>
  <c r="AN3292" i="11"/>
  <c r="AN3268" i="11"/>
  <c r="AN3452" i="11"/>
  <c r="AN3379" i="11"/>
  <c r="AN3436" i="11"/>
  <c r="AN2885" i="11"/>
  <c r="AN2907" i="11"/>
  <c r="AN2930" i="11"/>
  <c r="AN2847" i="11"/>
  <c r="AN2942" i="11"/>
  <c r="AN2335" i="11"/>
  <c r="AN2390" i="11"/>
  <c r="AN756" i="11"/>
  <c r="AN791" i="11"/>
  <c r="AN785" i="11"/>
  <c r="AN764" i="11"/>
  <c r="AN763" i="11"/>
  <c r="AN1942" i="11"/>
  <c r="AN1989" i="11"/>
  <c r="AN1972" i="11"/>
  <c r="AN1996" i="11"/>
  <c r="AN1711" i="11"/>
  <c r="AN1776" i="11"/>
  <c r="AN1729" i="11"/>
  <c r="AN1723" i="11"/>
  <c r="AN1800" i="11"/>
  <c r="AN1881" i="11"/>
  <c r="AN1851" i="11"/>
  <c r="AN1826" i="11"/>
  <c r="AN689" i="11"/>
  <c r="AN702" i="11"/>
  <c r="AN252" i="11"/>
  <c r="AN289" i="11"/>
  <c r="AN308" i="11"/>
  <c r="AN292" i="11"/>
  <c r="AN251" i="11"/>
  <c r="AN999" i="11"/>
  <c r="AN346" i="11"/>
  <c r="AN356" i="11"/>
  <c r="AN392" i="11"/>
  <c r="AN3180" i="11"/>
  <c r="AN3212" i="11"/>
  <c r="AN3254" i="11"/>
  <c r="AN3166" i="11"/>
  <c r="AN3223" i="11"/>
  <c r="AN906" i="11"/>
  <c r="AN423" i="11"/>
  <c r="AN384" i="11"/>
  <c r="AN2336" i="11"/>
  <c r="AO3344" i="11"/>
  <c r="AN2835" i="11"/>
  <c r="AO2681" i="11"/>
  <c r="AN3701" i="11"/>
  <c r="AN3688" i="11"/>
  <c r="AN3463" i="11"/>
  <c r="AO1351" i="11"/>
  <c r="AO1366" i="11"/>
  <c r="AO933" i="11"/>
  <c r="AO2928" i="11"/>
  <c r="AN2494" i="11"/>
  <c r="AN1767" i="11"/>
  <c r="AN1768" i="11"/>
  <c r="AO2829" i="11"/>
  <c r="AO3353" i="11"/>
  <c r="AN2219" i="11"/>
  <c r="AN1821" i="11"/>
  <c r="AO3714" i="11"/>
  <c r="AO3760" i="11"/>
  <c r="AN725" i="11"/>
  <c r="AN372" i="11"/>
  <c r="AN3137" i="11"/>
  <c r="AO1609" i="11"/>
  <c r="AO3446" i="11"/>
  <c r="AO3407" i="11"/>
  <c r="AO1851" i="11"/>
  <c r="AO2785" i="11"/>
  <c r="AN3587" i="11"/>
  <c r="AO3317" i="11"/>
  <c r="AO3306" i="11"/>
  <c r="AN3508" i="11"/>
  <c r="AO2685" i="11"/>
  <c r="AN3660" i="11"/>
  <c r="AO2146" i="11"/>
  <c r="AO1016" i="11"/>
  <c r="AO2705" i="11"/>
  <c r="AO2673" i="11"/>
  <c r="AO2677" i="11"/>
  <c r="AO2687" i="11"/>
  <c r="AO2635" i="11"/>
  <c r="AO3402" i="11"/>
  <c r="AO3466" i="11"/>
  <c r="AO497" i="11"/>
  <c r="AO467" i="11"/>
  <c r="AO520" i="11"/>
  <c r="AO2157" i="11"/>
  <c r="AN105" i="11"/>
  <c r="AO1617" i="11"/>
  <c r="AO1675" i="11"/>
  <c r="AO1615" i="11"/>
  <c r="AN3289" i="11"/>
  <c r="AN3293" i="11"/>
  <c r="AN3394" i="11"/>
  <c r="AN3396" i="11"/>
  <c r="AN3464" i="11"/>
  <c r="AN3448" i="11"/>
  <c r="AN2899" i="11"/>
  <c r="AO1327" i="11"/>
  <c r="AO1304" i="11"/>
  <c r="AO2227" i="11"/>
  <c r="AO2247" i="11"/>
  <c r="AO2256" i="11"/>
  <c r="AN2389" i="11"/>
  <c r="AN2331" i="11"/>
  <c r="AN1525" i="11"/>
  <c r="AO916" i="11"/>
  <c r="AO921" i="11"/>
  <c r="AO873" i="11"/>
  <c r="AO2440" i="11"/>
  <c r="AO2490" i="11"/>
  <c r="AO2462" i="11"/>
  <c r="AO2877" i="11"/>
  <c r="AN840" i="11"/>
  <c r="AN1916" i="11"/>
  <c r="AN1959" i="11"/>
  <c r="AN1907" i="11"/>
  <c r="AO114" i="11"/>
  <c r="AO145" i="11"/>
  <c r="AO3678" i="11"/>
  <c r="AO3599" i="11"/>
  <c r="AO3589" i="11"/>
  <c r="AO3674" i="11"/>
  <c r="AN2506" i="11"/>
  <c r="AN2445" i="11"/>
  <c r="AN1745" i="11"/>
  <c r="AN1722" i="11"/>
  <c r="AN1775" i="11"/>
  <c r="AO1887" i="11"/>
  <c r="AN1231" i="11"/>
  <c r="AN1176" i="11"/>
  <c r="AN1248" i="11"/>
  <c r="AN1790" i="11"/>
  <c r="AN1839" i="11"/>
  <c r="AN1812" i="11"/>
  <c r="AN1889" i="11"/>
  <c r="AN1849" i="11"/>
  <c r="AO3744" i="11"/>
  <c r="AN209" i="11"/>
  <c r="AO627" i="11"/>
  <c r="AN681" i="11"/>
  <c r="AN256" i="11"/>
  <c r="AN3455" i="11"/>
  <c r="AO2836" i="11"/>
  <c r="AO1804" i="11"/>
  <c r="AO2748" i="11"/>
  <c r="AN3661" i="11"/>
  <c r="AO3279" i="11"/>
  <c r="AO3687" i="11"/>
  <c r="AN3697" i="11"/>
  <c r="AO1274" i="11"/>
  <c r="AO959" i="11"/>
  <c r="AO1827" i="11"/>
  <c r="AN3664" i="11"/>
  <c r="AO3313" i="11"/>
  <c r="AN1350" i="11"/>
  <c r="AN2488" i="11"/>
  <c r="AN2459" i="11"/>
  <c r="AO1820" i="11"/>
  <c r="AO2740" i="11"/>
  <c r="AO2814" i="11"/>
  <c r="AN905" i="11"/>
  <c r="AN3629" i="11"/>
  <c r="AN3184" i="11"/>
  <c r="AO3428" i="11"/>
  <c r="AN3611" i="11"/>
  <c r="AO3288" i="11"/>
  <c r="AO3357" i="11"/>
  <c r="AO3523" i="11"/>
  <c r="AO2253" i="11"/>
  <c r="AO960" i="11"/>
  <c r="AO2888" i="11"/>
  <c r="AO2844" i="11"/>
  <c r="AO2777" i="11"/>
  <c r="AO522" i="11"/>
  <c r="AN71" i="11"/>
  <c r="AN3723" i="11"/>
  <c r="AN3328" i="11"/>
  <c r="AN3310" i="11"/>
  <c r="AN3334" i="11"/>
  <c r="AN3443" i="11"/>
  <c r="AN3441" i="11"/>
  <c r="AN2920" i="11"/>
  <c r="AN2898" i="11"/>
  <c r="AO1358" i="11"/>
  <c r="AO2291" i="11"/>
  <c r="AO2275" i="11"/>
  <c r="AO2210" i="11"/>
  <c r="AO2303" i="11"/>
  <c r="AO2302" i="11"/>
  <c r="AN2384" i="11"/>
  <c r="AN2323" i="11"/>
  <c r="AN2393" i="11"/>
  <c r="AN2340" i="11"/>
  <c r="AN2400" i="11"/>
  <c r="AO856" i="11"/>
  <c r="AO861" i="11"/>
  <c r="AO942" i="11"/>
  <c r="AO2468" i="11"/>
  <c r="AO2424" i="11"/>
  <c r="AO2516" i="11"/>
  <c r="AO2483" i="11"/>
  <c r="AO2484" i="11"/>
  <c r="AN793" i="11"/>
  <c r="AN1961" i="11"/>
  <c r="AN1985" i="11"/>
  <c r="AN1974" i="11"/>
  <c r="AN1979" i="11"/>
  <c r="AO201" i="11"/>
  <c r="AO210" i="11"/>
  <c r="AO207" i="11"/>
  <c r="AO127" i="11"/>
  <c r="AO124" i="11"/>
  <c r="AO3639" i="11"/>
  <c r="AN2479" i="11"/>
  <c r="AN1783" i="11"/>
  <c r="AO2809" i="11"/>
  <c r="AO2736" i="11"/>
  <c r="AN3641" i="11"/>
  <c r="AN3651" i="11"/>
  <c r="AN1168" i="11"/>
  <c r="AN1197" i="11"/>
  <c r="AN1245" i="11"/>
  <c r="AN1210" i="11"/>
  <c r="AN1206" i="11"/>
  <c r="AN1850" i="11"/>
  <c r="AN338" i="11"/>
  <c r="AO224" i="11"/>
  <c r="AO3830" i="11"/>
  <c r="AN3446" i="11"/>
  <c r="AN2932" i="11"/>
  <c r="AN2909" i="11"/>
  <c r="AN757" i="11"/>
  <c r="AN1999" i="11"/>
  <c r="AN1896" i="11"/>
  <c r="AN1895" i="11"/>
  <c r="AO3632" i="11"/>
  <c r="AN1756" i="11"/>
  <c r="AN3616" i="11"/>
  <c r="AN1212" i="11"/>
  <c r="AN1166" i="11"/>
  <c r="AN1189" i="11"/>
  <c r="AN1180" i="11"/>
  <c r="AN1184" i="11"/>
  <c r="AN1225" i="11"/>
  <c r="AO540" i="11"/>
  <c r="AO2620" i="11"/>
  <c r="AN1817" i="11"/>
  <c r="AO387" i="11"/>
  <c r="AO1683" i="11"/>
  <c r="AO2266" i="11"/>
  <c r="AN2398" i="11"/>
  <c r="AN2338" i="11"/>
  <c r="AO872" i="11"/>
  <c r="AO3606" i="11"/>
  <c r="AN654" i="11"/>
  <c r="AO436" i="11"/>
  <c r="AO429" i="11"/>
  <c r="AN3313" i="11"/>
  <c r="AO2224" i="11"/>
  <c r="AN2401" i="11"/>
  <c r="AN2406" i="11"/>
  <c r="AO1391" i="11"/>
  <c r="AO894" i="11"/>
  <c r="AO2481" i="11"/>
  <c r="AO2479" i="11"/>
  <c r="AN819" i="11"/>
  <c r="AN835" i="11"/>
  <c r="AN1237" i="11"/>
  <c r="AN1242" i="11"/>
  <c r="AN704" i="11"/>
  <c r="AN3270" i="11"/>
  <c r="AN2370" i="11"/>
  <c r="AN792" i="11"/>
  <c r="AO187" i="11"/>
  <c r="AN1183" i="11"/>
  <c r="AO580" i="11"/>
  <c r="AO595" i="11"/>
  <c r="AN671" i="11"/>
  <c r="AO481" i="11"/>
  <c r="AN3281" i="11"/>
  <c r="AO2225" i="11"/>
  <c r="AO882" i="11"/>
  <c r="AO895" i="11"/>
  <c r="AN1797" i="11"/>
  <c r="AN1798" i="11"/>
  <c r="AO2496" i="11"/>
  <c r="AO116" i="11"/>
  <c r="AO153" i="11"/>
  <c r="AN1233" i="11"/>
  <c r="AO563" i="11"/>
  <c r="AN637" i="11"/>
  <c r="AN212" i="11"/>
  <c r="AO427" i="11"/>
  <c r="AO1621" i="11"/>
  <c r="AO1635" i="11"/>
  <c r="AO1595" i="11"/>
  <c r="AO1643" i="11"/>
  <c r="AN3414" i="11"/>
  <c r="AO2636" i="11"/>
  <c r="AN3422" i="11"/>
  <c r="AO1300" i="11"/>
  <c r="AO1277" i="11"/>
  <c r="AN753" i="11"/>
  <c r="AN1753" i="11"/>
  <c r="AN1769" i="11"/>
  <c r="AN1865" i="11"/>
  <c r="AN513" i="11"/>
  <c r="AO2679" i="11"/>
  <c r="AO485" i="11"/>
  <c r="AO438" i="11"/>
  <c r="AO441" i="11"/>
  <c r="AO443" i="11"/>
  <c r="AO460" i="11"/>
  <c r="AO455" i="11"/>
  <c r="AO474" i="11"/>
  <c r="AO509" i="11"/>
  <c r="AN3865" i="11"/>
  <c r="AO2130" i="11"/>
  <c r="AO2135" i="11"/>
  <c r="AO3277" i="11"/>
  <c r="AO1604" i="11"/>
  <c r="AO1636" i="11"/>
  <c r="AO1581" i="11"/>
  <c r="AO1652" i="11"/>
  <c r="AO1624" i="11"/>
  <c r="AO1640" i="11"/>
  <c r="AO1614" i="11"/>
  <c r="AO1610" i="11"/>
  <c r="AO2151" i="11"/>
  <c r="AO462" i="11"/>
  <c r="AN2418" i="11"/>
  <c r="AN2347" i="11"/>
  <c r="AO904" i="11"/>
  <c r="AO2446" i="11"/>
  <c r="AO2910" i="11"/>
  <c r="AO2840" i="11"/>
  <c r="AO3025" i="11"/>
  <c r="AN836" i="11"/>
  <c r="AN1997" i="11"/>
  <c r="AO125" i="11"/>
  <c r="AO2905" i="11"/>
  <c r="AO457" i="11"/>
  <c r="AN3274" i="11"/>
  <c r="AN2880" i="11"/>
  <c r="AN2316" i="11"/>
  <c r="AO2442" i="11"/>
  <c r="AO2870" i="11"/>
  <c r="AO158" i="11"/>
  <c r="AN2639" i="11"/>
  <c r="AN2773" i="11"/>
  <c r="AO2304" i="11"/>
  <c r="AO2221" i="11"/>
  <c r="AN2377" i="11"/>
  <c r="AO910" i="11"/>
  <c r="AO946" i="11"/>
  <c r="AN1987" i="11"/>
  <c r="AO3626" i="11"/>
  <c r="AO3594" i="11"/>
  <c r="AN2498" i="11"/>
  <c r="AN1784" i="11"/>
  <c r="AN1686" i="11"/>
  <c r="AO1886" i="11"/>
  <c r="AO2819" i="11"/>
  <c r="AO2767" i="11"/>
  <c r="AN3300" i="11"/>
  <c r="AN3316" i="11"/>
  <c r="AO2252" i="11"/>
  <c r="AO2437" i="11"/>
  <c r="AN1951" i="11"/>
  <c r="AO174" i="11"/>
  <c r="AO1620" i="11"/>
  <c r="AO1605" i="11"/>
  <c r="AO2249" i="11"/>
  <c r="AO866" i="11"/>
  <c r="AN786" i="11"/>
  <c r="AN768" i="11"/>
  <c r="AN823" i="11"/>
  <c r="AO209" i="11"/>
  <c r="AO151" i="11"/>
  <c r="AO3593" i="11"/>
  <c r="AN1728" i="11"/>
  <c r="AN1705" i="11"/>
  <c r="AO3326" i="11"/>
  <c r="AN1988" i="11"/>
  <c r="AN1922" i="11"/>
  <c r="AO3351" i="11"/>
  <c r="AN3286" i="11"/>
  <c r="AN3278" i="11"/>
  <c r="AN3302" i="11"/>
  <c r="AN3319" i="11"/>
  <c r="AN3329" i="11"/>
  <c r="AN3451" i="11"/>
  <c r="AO1356" i="11"/>
  <c r="AO1305" i="11"/>
  <c r="AO1313" i="11"/>
  <c r="AO2279" i="11"/>
  <c r="AO2270" i="11"/>
  <c r="AO2278" i="11"/>
  <c r="AO2216" i="11"/>
  <c r="AO2281" i="11"/>
  <c r="AO2296" i="11"/>
  <c r="AN2391" i="11"/>
  <c r="AN2396" i="11"/>
  <c r="AN2365" i="11"/>
  <c r="AN2392" i="11"/>
  <c r="AN2404" i="11"/>
  <c r="AO2140" i="11"/>
  <c r="AO2697" i="11"/>
  <c r="AO884" i="11"/>
  <c r="AO907" i="11"/>
  <c r="AO888" i="11"/>
  <c r="AO908" i="11"/>
  <c r="AO879" i="11"/>
  <c r="AO938" i="11"/>
  <c r="AO1293" i="11"/>
  <c r="AO1014" i="11"/>
  <c r="AO1051" i="11"/>
  <c r="AO2447" i="11"/>
  <c r="AO2514" i="11"/>
  <c r="AO2457" i="11"/>
  <c r="AO2495" i="11"/>
  <c r="AO2500" i="11"/>
  <c r="AO2858" i="11"/>
  <c r="AN843" i="11"/>
  <c r="AN842" i="11"/>
  <c r="AO188" i="11"/>
  <c r="AO159" i="11"/>
  <c r="AO139" i="11"/>
  <c r="AO182" i="11"/>
  <c r="AO123" i="11"/>
  <c r="AO3630" i="11"/>
  <c r="AO3634" i="11"/>
  <c r="AN2477" i="11"/>
  <c r="AN1741" i="11"/>
  <c r="AN1758" i="11"/>
  <c r="AO2739" i="11"/>
  <c r="AO2778" i="11"/>
  <c r="AO2745" i="11"/>
  <c r="AO2786" i="11"/>
  <c r="AN3607" i="11"/>
  <c r="AO3352" i="11"/>
  <c r="AO3312" i="11"/>
  <c r="AO3265" i="11"/>
  <c r="AN1249" i="11"/>
  <c r="AN1862" i="11"/>
  <c r="AO3698" i="11"/>
  <c r="AO3722" i="11"/>
  <c r="AO3763" i="11"/>
  <c r="AO3747" i="11"/>
  <c r="AO606" i="11"/>
  <c r="AN734" i="11"/>
  <c r="AN649" i="11"/>
  <c r="AN636" i="11"/>
  <c r="AO776" i="11"/>
  <c r="AN219" i="11"/>
  <c r="AN326" i="11"/>
  <c r="AN3243" i="11"/>
  <c r="AN3186" i="11"/>
  <c r="AN3157" i="11"/>
  <c r="AO1069" i="11"/>
  <c r="AO1122" i="11"/>
  <c r="AO1117" i="11"/>
  <c r="AO1074" i="11"/>
  <c r="AO712" i="11"/>
  <c r="AN2262" i="11"/>
  <c r="AN900" i="11"/>
  <c r="AN899" i="11"/>
  <c r="AN948" i="11"/>
  <c r="AN849" i="11"/>
  <c r="AN603" i="11"/>
  <c r="AO1207" i="11"/>
  <c r="AN1738" i="11"/>
  <c r="AN1782" i="11"/>
  <c r="AN3639" i="11"/>
  <c r="AN404" i="11"/>
  <c r="AN3192" i="11"/>
  <c r="AO2322" i="11"/>
  <c r="AN2420" i="11"/>
  <c r="AO2776" i="11"/>
  <c r="AN3617" i="11"/>
  <c r="AO3289" i="11"/>
  <c r="AO3390" i="11"/>
  <c r="AN3159" i="11"/>
  <c r="AO1094" i="11"/>
  <c r="AO1081" i="11"/>
  <c r="AO1834" i="11"/>
  <c r="AO2750" i="11"/>
  <c r="AN3644" i="11"/>
  <c r="AO3274" i="11"/>
  <c r="AN1257" i="11"/>
  <c r="AN1868" i="11"/>
  <c r="AO592" i="11"/>
  <c r="AN405" i="11"/>
  <c r="AO706" i="11"/>
  <c r="AN1162" i="11"/>
  <c r="AO587" i="11"/>
  <c r="AN253" i="11"/>
  <c r="AN280" i="11"/>
  <c r="AO1795" i="11"/>
  <c r="AN3580" i="11"/>
  <c r="AN1251" i="11"/>
  <c r="AO533" i="11"/>
  <c r="AN658" i="11"/>
  <c r="AN250" i="11"/>
  <c r="AN411" i="11"/>
  <c r="AN336" i="11"/>
  <c r="AN3222" i="11"/>
  <c r="AO3766" i="11"/>
  <c r="AN703" i="11"/>
  <c r="AN236" i="11"/>
  <c r="AN3176" i="11"/>
  <c r="AO1076" i="11"/>
  <c r="AN1179" i="11"/>
  <c r="AO593" i="11"/>
  <c r="AO628" i="11"/>
  <c r="AN668" i="11"/>
  <c r="AO837" i="11"/>
  <c r="AN226" i="11"/>
  <c r="AN3168" i="11"/>
  <c r="AN3164" i="11"/>
  <c r="AO1084" i="11"/>
  <c r="AO1065" i="11"/>
  <c r="AO673" i="11"/>
  <c r="AO1152" i="11"/>
  <c r="AO2461" i="11"/>
  <c r="AN787" i="11"/>
  <c r="AO150" i="11"/>
  <c r="AO3624" i="11"/>
  <c r="AO583" i="11"/>
  <c r="AO614" i="11"/>
  <c r="AN698" i="11"/>
  <c r="AO3716" i="11"/>
  <c r="AN3127" i="11"/>
  <c r="AN3683" i="11"/>
  <c r="AN3341" i="11"/>
  <c r="AN3439" i="11"/>
  <c r="AO929" i="11"/>
  <c r="AO2522" i="11"/>
  <c r="AN766" i="11"/>
  <c r="AN1900" i="11"/>
  <c r="AO199" i="11"/>
  <c r="AO136" i="11"/>
  <c r="AO3583" i="11"/>
  <c r="AN1867" i="11"/>
  <c r="AN1877" i="11"/>
  <c r="AO3737" i="11"/>
  <c r="AO772" i="11"/>
  <c r="AN379" i="11"/>
  <c r="AN2892" i="11"/>
  <c r="AN758" i="11"/>
  <c r="AO853" i="11"/>
  <c r="AO2467" i="11"/>
  <c r="AO2421" i="11"/>
  <c r="AN832" i="11"/>
  <c r="AN790" i="11"/>
  <c r="AN1976" i="11"/>
  <c r="AO117" i="11"/>
  <c r="AN1214" i="11"/>
  <c r="AN641" i="11"/>
  <c r="AN3149" i="11"/>
  <c r="AN3301" i="11"/>
  <c r="AN3332" i="11"/>
  <c r="AO2232" i="11"/>
  <c r="AO2426" i="11"/>
  <c r="AN1241" i="11"/>
  <c r="AO3705" i="11"/>
  <c r="AN663" i="11"/>
  <c r="AN733" i="11"/>
  <c r="AO3638" i="11"/>
  <c r="AN2378" i="11"/>
  <c r="AN2371" i="11"/>
  <c r="AO891" i="11"/>
  <c r="AN1990" i="11"/>
  <c r="AN1761" i="11"/>
  <c r="AN1688" i="11"/>
  <c r="AN1263" i="11"/>
  <c r="AN1226" i="11"/>
  <c r="AN1262" i="11"/>
  <c r="AO630" i="11"/>
  <c r="AO634" i="11"/>
  <c r="AN276" i="11"/>
  <c r="AN3654" i="11"/>
  <c r="AN3179" i="11"/>
  <c r="AN674" i="11"/>
  <c r="AN3298" i="11"/>
  <c r="AN3752" i="11"/>
  <c r="AO2163" i="11"/>
  <c r="AO2188" i="11"/>
  <c r="AO1665" i="11"/>
  <c r="AO1611" i="11"/>
  <c r="AN3438" i="11"/>
  <c r="AO890" i="11"/>
  <c r="AO3637" i="11"/>
  <c r="AO3677" i="11"/>
  <c r="AN1702" i="11"/>
  <c r="AN1228" i="11"/>
  <c r="AN275" i="11"/>
  <c r="AN307" i="11"/>
  <c r="AN1674" i="11"/>
  <c r="AN54" i="11"/>
  <c r="AN3061" i="11"/>
  <c r="AN3715" i="11"/>
  <c r="AN3354" i="11"/>
  <c r="AN3269" i="11"/>
  <c r="AO173" i="11"/>
  <c r="AO138" i="11"/>
  <c r="AO178" i="11"/>
  <c r="AO186" i="11"/>
  <c r="AO581" i="11"/>
  <c r="AN1244" i="11"/>
  <c r="AN3160" i="11"/>
  <c r="AO2728" i="11"/>
  <c r="AN3690" i="11"/>
  <c r="AO480" i="11"/>
  <c r="AO484" i="11"/>
  <c r="AO2208" i="11"/>
  <c r="AO2717" i="11"/>
  <c r="AO2725" i="11"/>
  <c r="AO2688" i="11"/>
  <c r="AN3739" i="11"/>
  <c r="AO2125" i="11"/>
  <c r="AO2114" i="11"/>
  <c r="AO1637" i="11"/>
  <c r="AN33" i="11"/>
  <c r="AO390" i="11"/>
  <c r="AO2627" i="11"/>
  <c r="AO2663" i="11"/>
  <c r="AO2691" i="11"/>
  <c r="AO3460" i="11"/>
  <c r="AO425" i="11"/>
  <c r="AO488" i="11"/>
  <c r="AO524" i="11"/>
  <c r="AN3297" i="11"/>
  <c r="AO1457" i="11"/>
  <c r="AO2703" i="11"/>
  <c r="AO2689" i="11"/>
  <c r="AO475" i="11"/>
  <c r="AO432" i="11"/>
  <c r="AO518" i="11"/>
  <c r="AO446" i="11"/>
  <c r="AO463" i="11"/>
  <c r="AN697" i="11"/>
  <c r="AO2218" i="11"/>
  <c r="AO2229" i="11"/>
  <c r="AN3684" i="11"/>
  <c r="AN3744" i="11"/>
  <c r="AN2345" i="11"/>
  <c r="AO2186" i="11"/>
  <c r="AO2116" i="11"/>
  <c r="AO2109" i="11"/>
  <c r="AO1671" i="11"/>
  <c r="AO1649" i="11"/>
  <c r="AO1625" i="11"/>
  <c r="AO1602" i="11"/>
  <c r="AN3370" i="11"/>
  <c r="AN3449" i="11"/>
  <c r="AN2864" i="11"/>
  <c r="AN2939" i="11"/>
  <c r="AN2900" i="11"/>
  <c r="AN2916" i="11"/>
  <c r="AO1338" i="11"/>
  <c r="AO1329" i="11"/>
  <c r="AO2297" i="11"/>
  <c r="AO2264" i="11"/>
  <c r="AO2220" i="11"/>
  <c r="AN2361" i="11"/>
  <c r="AN2360" i="11"/>
  <c r="AN2417" i="11"/>
  <c r="AN2395" i="11"/>
  <c r="AN2368" i="11"/>
  <c r="AN1490" i="11"/>
  <c r="AO855" i="11"/>
  <c r="AO871" i="11"/>
  <c r="AO931" i="11"/>
  <c r="AO2435" i="11"/>
  <c r="AO2493" i="11"/>
  <c r="AO2524" i="11"/>
  <c r="AO2429" i="11"/>
  <c r="AO1843" i="11"/>
  <c r="AO1794" i="11"/>
  <c r="AO2804" i="11"/>
  <c r="AO2755" i="11"/>
  <c r="AO632" i="11"/>
  <c r="AO1471" i="11"/>
  <c r="AN3856" i="11"/>
  <c r="AO2669" i="11"/>
  <c r="AO2715" i="11"/>
  <c r="AO2670" i="11"/>
  <c r="AO2650" i="11"/>
  <c r="AO2634" i="11"/>
  <c r="AO2655" i="11"/>
  <c r="AO2719" i="11"/>
  <c r="AO3097" i="11"/>
  <c r="AO3447" i="11"/>
  <c r="AO3387" i="11"/>
  <c r="AO510" i="11"/>
  <c r="AO502" i="11"/>
  <c r="AO494" i="11"/>
  <c r="AO476" i="11"/>
  <c r="AO428" i="11"/>
  <c r="AO496" i="11"/>
  <c r="AO503" i="11"/>
  <c r="AO2301" i="11"/>
  <c r="AN3267" i="11"/>
  <c r="AN296" i="11"/>
  <c r="AN1932" i="11"/>
  <c r="AN3680" i="11"/>
  <c r="AN3710" i="11"/>
  <c r="AN3727" i="11"/>
  <c r="AN3783" i="11"/>
  <c r="AN3757" i="11"/>
  <c r="AN3700" i="11"/>
  <c r="AO2180" i="11"/>
  <c r="AO2141" i="11"/>
  <c r="AO366" i="11"/>
  <c r="AN3650" i="11"/>
  <c r="AN2856" i="11"/>
  <c r="AO1672" i="11"/>
  <c r="AO1606" i="11"/>
  <c r="AO1633" i="11"/>
  <c r="AN3299" i="11"/>
  <c r="AN3277" i="11"/>
  <c r="AN3305" i="11"/>
  <c r="AN3285" i="11"/>
  <c r="AN3266" i="11"/>
  <c r="AN3304" i="11"/>
  <c r="AN3456" i="11"/>
  <c r="AN3435" i="11"/>
  <c r="AN3369" i="11"/>
  <c r="AN3429" i="11"/>
  <c r="AN2935" i="11"/>
  <c r="AN2911" i="11"/>
  <c r="AN2924" i="11"/>
  <c r="AN2925" i="11"/>
  <c r="AN2859" i="11"/>
  <c r="AN2874" i="11"/>
  <c r="AO1289" i="11"/>
  <c r="AO1291" i="11"/>
  <c r="AO1326" i="11"/>
  <c r="AO1334" i="11"/>
  <c r="AO1364" i="11"/>
  <c r="AO1331" i="11"/>
  <c r="AO1333" i="11"/>
  <c r="AO2290" i="11"/>
  <c r="AO2280" i="11"/>
  <c r="AO2277" i="11"/>
  <c r="AO2314" i="11"/>
  <c r="AO2260" i="11"/>
  <c r="AN2419" i="11"/>
  <c r="AN2388" i="11"/>
  <c r="AN2376" i="11"/>
  <c r="AN2364" i="11"/>
  <c r="AN2325" i="11"/>
  <c r="AN2320" i="11"/>
  <c r="AO2661" i="11"/>
  <c r="AN1550" i="11"/>
  <c r="AO203" i="11"/>
  <c r="AO924" i="11"/>
  <c r="AO898" i="11"/>
  <c r="AO845" i="11"/>
  <c r="AO1131" i="11"/>
  <c r="AN2289" i="11"/>
  <c r="AN2269" i="11"/>
  <c r="AO1264" i="11"/>
  <c r="AO1124" i="11"/>
  <c r="AO688" i="11"/>
  <c r="AN2293" i="11"/>
  <c r="AN2312" i="11"/>
  <c r="AO1233" i="11"/>
  <c r="AO980" i="11"/>
  <c r="AO737" i="11"/>
  <c r="AN935" i="11"/>
  <c r="AN568" i="11"/>
  <c r="AO1251" i="11"/>
  <c r="AO1090" i="11"/>
  <c r="AO1121" i="11"/>
  <c r="AN598" i="11"/>
  <c r="AN593" i="11"/>
  <c r="AO1120" i="11"/>
  <c r="AN594" i="11"/>
  <c r="AO1263" i="11"/>
  <c r="AO1160" i="11"/>
  <c r="AN2481" i="11"/>
  <c r="AO695" i="11"/>
  <c r="AN949" i="11"/>
  <c r="AN547" i="11"/>
  <c r="AN911" i="11"/>
  <c r="AO635" i="11"/>
  <c r="AO640" i="11"/>
  <c r="AN926" i="11"/>
  <c r="AO721" i="11"/>
  <c r="AO652" i="11"/>
  <c r="AN2304" i="11"/>
  <c r="AN587" i="11"/>
  <c r="AO906" i="11"/>
  <c r="AO925" i="11"/>
  <c r="AO897" i="11"/>
  <c r="AO2477" i="11"/>
  <c r="AO2476" i="11"/>
  <c r="AO2507" i="11"/>
  <c r="AO2471" i="11"/>
  <c r="AO2425" i="11"/>
  <c r="AO2947" i="11"/>
  <c r="AN816" i="11"/>
  <c r="AN744" i="11"/>
  <c r="AN831" i="11"/>
  <c r="AN804" i="11"/>
  <c r="AN829" i="11"/>
  <c r="AN783" i="11"/>
  <c r="AN837" i="11"/>
  <c r="AN844" i="11"/>
  <c r="AN1981" i="11"/>
  <c r="AN1965" i="11"/>
  <c r="AN1915" i="11"/>
  <c r="AO146" i="11"/>
  <c r="AO185" i="11"/>
  <c r="AO206" i="11"/>
  <c r="AO167" i="11"/>
  <c r="AO144" i="11"/>
  <c r="AO3675" i="11"/>
  <c r="AO3657" i="11"/>
  <c r="AO3610" i="11"/>
  <c r="AO3648" i="11"/>
  <c r="AN2480" i="11"/>
  <c r="AN2443" i="11"/>
  <c r="AN1778" i="11"/>
  <c r="AN1700" i="11"/>
  <c r="AN1709" i="11"/>
  <c r="AN1780" i="11"/>
  <c r="AN1717" i="11"/>
  <c r="AO1890" i="11"/>
  <c r="AN1644" i="11"/>
  <c r="AO3349" i="11"/>
  <c r="AO3201" i="11"/>
  <c r="AN1193" i="11"/>
  <c r="AN1160" i="11"/>
  <c r="AN1165" i="11"/>
  <c r="AN1170" i="11"/>
  <c r="AN1232" i="11"/>
  <c r="AN1844" i="11"/>
  <c r="AN1852" i="11"/>
  <c r="AN1886" i="11"/>
  <c r="AN1799" i="11"/>
  <c r="AO3730" i="11"/>
  <c r="AO3718" i="11"/>
  <c r="AO3769" i="11"/>
  <c r="AO3721" i="11"/>
  <c r="AO3689" i="11"/>
  <c r="AO3816" i="11"/>
  <c r="AO551" i="11"/>
  <c r="AO590" i="11"/>
  <c r="AO613" i="11"/>
  <c r="AO625" i="11"/>
  <c r="AN719" i="11"/>
  <c r="AN664" i="11"/>
  <c r="AN735" i="11"/>
  <c r="AN655" i="11"/>
  <c r="AN309" i="11"/>
  <c r="AN248" i="11"/>
  <c r="AN264" i="11"/>
  <c r="AN249" i="11"/>
  <c r="AN316" i="11"/>
  <c r="AN228" i="11"/>
  <c r="AN357" i="11"/>
  <c r="AN414" i="11"/>
  <c r="AN413" i="11"/>
  <c r="AN416" i="11"/>
  <c r="AN3198" i="11"/>
  <c r="AN3211" i="11"/>
  <c r="AN3255" i="11"/>
  <c r="AN3213" i="11"/>
  <c r="AN3259" i="11"/>
  <c r="AN2254" i="11"/>
  <c r="AN908" i="11"/>
  <c r="AN846" i="11"/>
  <c r="AN944" i="11"/>
  <c r="AN918" i="11"/>
  <c r="AN910" i="11"/>
  <c r="AN2694" i="11"/>
  <c r="AO2289" i="11"/>
  <c r="AN1725" i="11"/>
  <c r="AN1261" i="11"/>
  <c r="AO3694" i="11"/>
  <c r="AO3717" i="11"/>
  <c r="AN639" i="11"/>
  <c r="AN738" i="11"/>
  <c r="AN313" i="11"/>
  <c r="AN245" i="11"/>
  <c r="AN374" i="11"/>
  <c r="AN2385" i="11"/>
  <c r="AN1904" i="11"/>
  <c r="AO140" i="11"/>
  <c r="AO118" i="11"/>
  <c r="AN1174" i="11"/>
  <c r="AO596" i="11"/>
  <c r="AO2638" i="11"/>
  <c r="AO1631" i="11"/>
  <c r="AO2436" i="11"/>
  <c r="AO2450" i="11"/>
  <c r="AO3667" i="11"/>
  <c r="AO2330" i="11"/>
  <c r="AN1384" i="11"/>
  <c r="AN1099" i="11"/>
  <c r="AO3456" i="11"/>
  <c r="AO513" i="11"/>
  <c r="AN2908" i="11"/>
  <c r="AO932" i="11"/>
  <c r="AN1863" i="11"/>
  <c r="AO55" i="11"/>
  <c r="AN187" i="11"/>
  <c r="AO2707" i="11"/>
  <c r="AO3463" i="11"/>
  <c r="AO459" i="11"/>
  <c r="AO437" i="11"/>
  <c r="AO2734" i="11"/>
  <c r="AO2695" i="11"/>
  <c r="AO483" i="11"/>
  <c r="AO468" i="11"/>
  <c r="AO1679" i="11"/>
  <c r="AO1662" i="11"/>
  <c r="AO1608" i="11"/>
  <c r="AN3342" i="11"/>
  <c r="AN3356" i="11"/>
  <c r="AN3389" i="11"/>
  <c r="AN2843" i="11"/>
  <c r="AN2928" i="11"/>
  <c r="AN3405" i="11"/>
  <c r="AO528" i="11"/>
  <c r="AN1494" i="11"/>
  <c r="AO2665" i="11"/>
  <c r="AO2730" i="11"/>
  <c r="AO469" i="11"/>
  <c r="AO464" i="11"/>
  <c r="AO490" i="11"/>
  <c r="AN3306" i="11"/>
  <c r="AN3720" i="11"/>
  <c r="AN812" i="11"/>
  <c r="AO1669" i="11"/>
  <c r="AO1666" i="11"/>
  <c r="AN3271" i="11"/>
  <c r="AN3323" i="11"/>
  <c r="AN3320" i="11"/>
  <c r="AN3361" i="11"/>
  <c r="AN3450" i="11"/>
  <c r="AN3459" i="11"/>
  <c r="AN2841" i="11"/>
  <c r="AN2918" i="11"/>
  <c r="AN2906" i="11"/>
  <c r="AO1365" i="11"/>
  <c r="AO1312" i="11"/>
  <c r="AO2261" i="11"/>
  <c r="AO3335" i="11"/>
  <c r="AO2658" i="11"/>
  <c r="AO521" i="11"/>
  <c r="AO514" i="11"/>
  <c r="AO451" i="11"/>
  <c r="AN2321" i="11"/>
  <c r="AO3565" i="11"/>
  <c r="AO1668" i="11"/>
  <c r="AO1619" i="11"/>
  <c r="AO1648" i="11"/>
  <c r="AO1680" i="11"/>
  <c r="AN3430" i="11"/>
  <c r="AN3423" i="11"/>
  <c r="AN2894" i="11"/>
  <c r="AO1309" i="11"/>
  <c r="AO1352" i="11"/>
  <c r="AO2233" i="11"/>
  <c r="AO2286" i="11"/>
  <c r="AO2292" i="11"/>
  <c r="AN182" i="11"/>
  <c r="AO2633" i="11"/>
  <c r="AO2651" i="11"/>
  <c r="AO435" i="11"/>
  <c r="AO449" i="11"/>
  <c r="AO516" i="11"/>
  <c r="AN3331" i="11"/>
  <c r="AO2112" i="11"/>
  <c r="AO1585" i="11"/>
  <c r="AN1122" i="11"/>
  <c r="AN3275" i="11"/>
  <c r="AN3419" i="11"/>
  <c r="AN2889" i="11"/>
  <c r="AO1288" i="11"/>
  <c r="AO2312" i="11"/>
  <c r="AN2415" i="11"/>
  <c r="AN2357" i="11"/>
  <c r="AN2329" i="11"/>
  <c r="AO2724" i="11"/>
  <c r="AO2656" i="11"/>
  <c r="AO515" i="11"/>
  <c r="AN3746" i="11"/>
  <c r="AN3750" i="11"/>
  <c r="AN3357" i="11"/>
  <c r="AO1642" i="11"/>
  <c r="AN3290" i="11"/>
  <c r="AN3314" i="11"/>
  <c r="AN2883" i="11"/>
  <c r="AN2910" i="11"/>
  <c r="AN2875" i="11"/>
  <c r="AN2897" i="11"/>
  <c r="AO1270" i="11"/>
  <c r="AO1345" i="11"/>
  <c r="AO2288" i="11"/>
  <c r="AN2356" i="11"/>
  <c r="AN2375" i="11"/>
  <c r="AN2387" i="11"/>
  <c r="AN2332" i="11"/>
  <c r="AN3877" i="11"/>
  <c r="AO2709" i="11"/>
  <c r="AO499" i="11"/>
  <c r="AO453" i="11"/>
  <c r="AN56" i="11"/>
  <c r="AO1673" i="11"/>
  <c r="AO1601" i="11"/>
  <c r="AO1626" i="11"/>
  <c r="AN3355" i="11"/>
  <c r="AN3294" i="11"/>
  <c r="AN3265" i="11"/>
  <c r="AN3445" i="11"/>
  <c r="AN3402" i="11"/>
  <c r="AN2849" i="11"/>
  <c r="AN2855" i="11"/>
  <c r="AN2938" i="11"/>
  <c r="AO2311" i="11"/>
  <c r="AO218" i="11"/>
  <c r="AO482" i="11"/>
  <c r="AN3733" i="11"/>
  <c r="AO1650" i="11"/>
  <c r="AO1634" i="11"/>
  <c r="AN3284" i="11"/>
  <c r="AN3457" i="11"/>
  <c r="AN3462" i="11"/>
  <c r="AN3399" i="11"/>
  <c r="AN2926" i="11"/>
  <c r="AN2846" i="11"/>
  <c r="AO2282" i="11"/>
  <c r="AN2407" i="11"/>
  <c r="AO1455" i="11"/>
  <c r="AO3815" i="11"/>
  <c r="AN3784" i="11"/>
  <c r="AN3696" i="11"/>
  <c r="AN3764" i="11"/>
  <c r="AO2204" i="11"/>
  <c r="AO565" i="11"/>
  <c r="AN2469" i="11"/>
  <c r="AO2991" i="11"/>
  <c r="AO2580" i="11"/>
  <c r="AO1627" i="11"/>
  <c r="AO1587" i="11"/>
  <c r="AO1639" i="11"/>
  <c r="AO1622" i="11"/>
  <c r="AO1623" i="11"/>
  <c r="AO1600" i="11"/>
  <c r="AO1667" i="11"/>
  <c r="AN3295" i="11"/>
  <c r="AN3273" i="11"/>
  <c r="AN3412" i="11"/>
  <c r="AN3382" i="11"/>
  <c r="AN3447" i="11"/>
  <c r="AN2893" i="11"/>
  <c r="AO1302" i="11"/>
  <c r="AO1265" i="11"/>
  <c r="AO1350" i="11"/>
  <c r="AO1299" i="11"/>
  <c r="AO2230" i="11"/>
  <c r="AO2217" i="11"/>
  <c r="AO2283" i="11"/>
  <c r="AO2223" i="11"/>
  <c r="AO2213" i="11"/>
  <c r="AN2399" i="11"/>
  <c r="AN2333" i="11"/>
  <c r="AN2410" i="11"/>
  <c r="AN2348" i="11"/>
  <c r="AO868" i="11"/>
  <c r="AO589" i="11"/>
  <c r="AO956" i="11"/>
  <c r="AO2509" i="11"/>
  <c r="AO2420" i="11"/>
  <c r="AO2847" i="11"/>
  <c r="AO2941" i="11"/>
  <c r="AO2897" i="11"/>
  <c r="AN765" i="11"/>
  <c r="AN741" i="11"/>
  <c r="AN1899" i="11"/>
  <c r="AN1975" i="11"/>
  <c r="AO196" i="11"/>
  <c r="AO180" i="11"/>
  <c r="AN2433" i="11"/>
  <c r="AN2484" i="11"/>
  <c r="AN2509" i="11"/>
  <c r="AN1750" i="11"/>
  <c r="AO2754" i="11"/>
  <c r="AO2838" i="11"/>
  <c r="AO3290" i="11"/>
  <c r="AN266" i="11"/>
  <c r="AO1893" i="11"/>
  <c r="AN1264" i="11"/>
  <c r="AN1876" i="11"/>
  <c r="AN1853" i="11"/>
  <c r="AN1880" i="11"/>
  <c r="AO3750" i="11"/>
  <c r="AO3682" i="11"/>
  <c r="AO562" i="11"/>
  <c r="AO541" i="11"/>
  <c r="AO549" i="11"/>
  <c r="AN673" i="11"/>
  <c r="AN638" i="11"/>
  <c r="AN707" i="11"/>
  <c r="AN237" i="11"/>
  <c r="AN244" i="11"/>
  <c r="AO682" i="11"/>
  <c r="AN375" i="11"/>
  <c r="AN3204" i="11"/>
  <c r="AN3167" i="11"/>
  <c r="AN3205" i="11"/>
  <c r="AO1128" i="11"/>
  <c r="AO1067" i="11"/>
  <c r="AO719" i="11"/>
  <c r="AN2244" i="11"/>
  <c r="AN2267" i="11"/>
  <c r="AN544" i="11"/>
  <c r="AO1161" i="11"/>
  <c r="AN3309" i="11"/>
  <c r="AN1642" i="11"/>
  <c r="AN1743" i="11"/>
  <c r="AO281" i="11"/>
  <c r="AO3823" i="11"/>
  <c r="AO2694" i="11"/>
  <c r="AO3074" i="11"/>
  <c r="AO3417" i="11"/>
  <c r="AO3462" i="11"/>
  <c r="AO442" i="11"/>
  <c r="AO444" i="11"/>
  <c r="AO456" i="11"/>
  <c r="AO505" i="11"/>
  <c r="AO433" i="11"/>
  <c r="AO440" i="11"/>
  <c r="AO1234" i="11"/>
  <c r="AN233" i="11"/>
  <c r="AN3707" i="11"/>
  <c r="AO2164" i="11"/>
  <c r="AO450" i="11"/>
  <c r="AN1557" i="11"/>
  <c r="AO2443" i="11"/>
  <c r="AO3190" i="11"/>
  <c r="AO342" i="11"/>
  <c r="AO1677" i="11"/>
  <c r="AO1661" i="11"/>
  <c r="AO1583" i="11"/>
  <c r="AO1653" i="11"/>
  <c r="AO1674" i="11"/>
  <c r="AN3349" i="11"/>
  <c r="AN3318" i="11"/>
  <c r="AN3362" i="11"/>
  <c r="AN3344" i="11"/>
  <c r="AN3364" i="11"/>
  <c r="AN3352" i="11"/>
  <c r="AN3416" i="11"/>
  <c r="AN3415" i="11"/>
  <c r="AN3434" i="11"/>
  <c r="AN3366" i="11"/>
  <c r="AN3432" i="11"/>
  <c r="AN3391" i="11"/>
  <c r="AN2868" i="11"/>
  <c r="AN2890" i="11"/>
  <c r="AN2862" i="11"/>
  <c r="AN2882" i="11"/>
  <c r="AN2905" i="11"/>
  <c r="AN2912" i="11"/>
  <c r="AN2872" i="11"/>
  <c r="AO1297" i="11"/>
  <c r="AO1357" i="11"/>
  <c r="AO1301" i="11"/>
  <c r="AO1279" i="11"/>
  <c r="AO2257" i="11"/>
  <c r="AO2271" i="11"/>
  <c r="AO2236" i="11"/>
  <c r="AO2228" i="11"/>
  <c r="AO2241" i="11"/>
  <c r="AO2267" i="11"/>
  <c r="AO2308" i="11"/>
  <c r="AN2367" i="11"/>
  <c r="AN2326" i="11"/>
  <c r="AN2403" i="11"/>
  <c r="AN2322" i="11"/>
  <c r="AN2327" i="11"/>
  <c r="AN2341" i="11"/>
  <c r="AO1894" i="11"/>
  <c r="AO869" i="11"/>
  <c r="AO870" i="11"/>
  <c r="AO943" i="11"/>
  <c r="AO846" i="11"/>
  <c r="AO893" i="11"/>
  <c r="AO874" i="11"/>
  <c r="AO922" i="11"/>
  <c r="AO964" i="11"/>
  <c r="AO982" i="11"/>
  <c r="AO984" i="11"/>
  <c r="AO2458" i="11"/>
  <c r="AO2463" i="11"/>
  <c r="AO2502" i="11"/>
  <c r="AO2488" i="11"/>
  <c r="AO2448" i="11"/>
  <c r="AO2511" i="11"/>
  <c r="AO2452" i="11"/>
  <c r="AO2932" i="11"/>
  <c r="AO2868" i="11"/>
  <c r="AO2906" i="11"/>
  <c r="AO2989" i="11"/>
  <c r="AN772" i="11"/>
  <c r="AN815" i="11"/>
  <c r="AN746" i="11"/>
  <c r="AN839" i="11"/>
  <c r="AN776" i="11"/>
  <c r="AN799" i="11"/>
  <c r="AN779" i="11"/>
  <c r="AN813" i="11"/>
  <c r="AN1963" i="11"/>
  <c r="AN1906" i="11"/>
  <c r="AN1948" i="11"/>
  <c r="AN1955" i="11"/>
  <c r="AN1993" i="11"/>
  <c r="AN1956" i="11"/>
  <c r="AN1898" i="11"/>
  <c r="AO162" i="11"/>
  <c r="AO135" i="11"/>
  <c r="AO1314" i="11"/>
  <c r="AO1268" i="11"/>
  <c r="AO3111" i="11"/>
  <c r="AN2412" i="11"/>
  <c r="AN2354" i="11"/>
  <c r="AO875" i="11"/>
  <c r="AO941" i="11"/>
  <c r="AO1054" i="11"/>
  <c r="AO1001" i="11"/>
  <c r="AO2441" i="11"/>
  <c r="AO2867" i="11"/>
  <c r="AO2871" i="11"/>
  <c r="AN821" i="11"/>
  <c r="AN770" i="11"/>
  <c r="AN1998" i="11"/>
  <c r="AN1901" i="11"/>
  <c r="AO204" i="11"/>
  <c r="AO3625" i="11"/>
  <c r="AN2522" i="11"/>
  <c r="AN1781" i="11"/>
  <c r="AN1772" i="11"/>
  <c r="AN1774" i="11"/>
  <c r="AN1689" i="11"/>
  <c r="AO1884" i="11"/>
  <c r="AO2816" i="11"/>
  <c r="AN3620" i="11"/>
  <c r="AO2431" i="11"/>
  <c r="AN1178" i="11"/>
  <c r="AN1177" i="11"/>
  <c r="AN1173" i="11"/>
  <c r="AN1207" i="11"/>
  <c r="AN1873" i="11"/>
  <c r="AN1848" i="11"/>
  <c r="AN1834" i="11"/>
  <c r="AO550" i="11"/>
  <c r="AN685" i="11"/>
  <c r="AN675" i="11"/>
  <c r="AN215" i="11"/>
  <c r="AO852" i="11"/>
  <c r="AO3088" i="11"/>
  <c r="AO1029" i="11"/>
  <c r="AO1028" i="11"/>
  <c r="AO2422" i="11"/>
  <c r="AO2854" i="11"/>
  <c r="AO2895" i="11"/>
  <c r="AO2882" i="11"/>
  <c r="AO2902" i="11"/>
  <c r="AN825" i="11"/>
  <c r="AN782" i="11"/>
  <c r="AN797" i="11"/>
  <c r="AN1937" i="11"/>
  <c r="AO161" i="11"/>
  <c r="AO147" i="11"/>
  <c r="AO3664" i="11"/>
  <c r="AN2468" i="11"/>
  <c r="AN1763" i="11"/>
  <c r="AO1823" i="11"/>
  <c r="AN2440" i="11"/>
  <c r="AN1874" i="11"/>
  <c r="AN1794" i="11"/>
  <c r="AO3748" i="11"/>
  <c r="AO599" i="11"/>
  <c r="AO622" i="11"/>
  <c r="AO532" i="11"/>
  <c r="AN723" i="11"/>
  <c r="AN287" i="11"/>
  <c r="AN300" i="11"/>
  <c r="AN242" i="11"/>
  <c r="AN348" i="11"/>
  <c r="AO2664" i="11"/>
  <c r="AO928" i="11"/>
  <c r="AO930" i="11"/>
  <c r="AO2456" i="11"/>
  <c r="AO2909" i="11"/>
  <c r="AN834" i="11"/>
  <c r="AN809" i="11"/>
  <c r="AN820" i="11"/>
  <c r="AN771" i="11"/>
  <c r="AN826" i="11"/>
  <c r="AN1984" i="11"/>
  <c r="AN1967" i="11"/>
  <c r="AN1992" i="11"/>
  <c r="AO122" i="11"/>
  <c r="AO157" i="11"/>
  <c r="AO152" i="11"/>
  <c r="AO3597" i="11"/>
  <c r="AO3618" i="11"/>
  <c r="AO3663" i="11"/>
  <c r="AN2511" i="11"/>
  <c r="AN1718" i="11"/>
  <c r="AN1687" i="11"/>
  <c r="AN1765" i="11"/>
  <c r="AN1732" i="11"/>
  <c r="AO2822" i="11"/>
  <c r="AO2787" i="11"/>
  <c r="AN3596" i="11"/>
  <c r="AN1255" i="11"/>
  <c r="AN1883" i="11"/>
  <c r="AN1888" i="11"/>
  <c r="AO3706" i="11"/>
  <c r="AO3767" i="11"/>
  <c r="AO574" i="11"/>
  <c r="AO558" i="11"/>
  <c r="AN722" i="11"/>
  <c r="AN305" i="11"/>
  <c r="AN298" i="11"/>
  <c r="AN330" i="11"/>
  <c r="AN3245" i="11"/>
  <c r="AN3162" i="11"/>
  <c r="AN2343" i="11"/>
  <c r="AO913" i="11"/>
  <c r="AO905" i="11"/>
  <c r="AO1038" i="11"/>
  <c r="AO991" i="11"/>
  <c r="AO988" i="11"/>
  <c r="AO2519" i="11"/>
  <c r="AO2459" i="11"/>
  <c r="AO2933" i="11"/>
  <c r="AO2927" i="11"/>
  <c r="AO2874" i="11"/>
  <c r="AO2963" i="11"/>
  <c r="AN810" i="11"/>
  <c r="AN777" i="11"/>
  <c r="AN1938" i="11"/>
  <c r="AN1954" i="11"/>
  <c r="AN1966" i="11"/>
  <c r="AN1983" i="11"/>
  <c r="AO198" i="11"/>
  <c r="AO141" i="11"/>
  <c r="AO208" i="11"/>
  <c r="AO3635" i="11"/>
  <c r="AO3591" i="11"/>
  <c r="AO3602" i="11"/>
  <c r="AN1748" i="11"/>
  <c r="AN1696" i="11"/>
  <c r="AO1796" i="11"/>
  <c r="AO1874" i="11"/>
  <c r="AO2751" i="11"/>
  <c r="AO2766" i="11"/>
  <c r="AO3260" i="11"/>
  <c r="AO3609" i="11"/>
  <c r="AN1227" i="11"/>
  <c r="AN1172" i="11"/>
  <c r="AN1220" i="11"/>
  <c r="AN1879" i="11"/>
  <c r="AN1801" i="11"/>
  <c r="AN1846" i="11"/>
  <c r="AN1802" i="11"/>
  <c r="AO3735" i="11"/>
  <c r="AO600" i="11"/>
  <c r="AN727" i="11"/>
  <c r="AN665" i="11"/>
  <c r="AN3232" i="11"/>
  <c r="AN904" i="11"/>
  <c r="AO881" i="11"/>
  <c r="AO912" i="11"/>
  <c r="AO878" i="11"/>
  <c r="AO865" i="11"/>
  <c r="AO2501" i="11"/>
  <c r="AO2855" i="11"/>
  <c r="AO2873" i="11"/>
  <c r="AN827" i="11"/>
  <c r="AN1977" i="11"/>
  <c r="AO163" i="11"/>
  <c r="AO3672" i="11"/>
  <c r="AO2741" i="11"/>
  <c r="AO2788" i="11"/>
  <c r="AN3647" i="11"/>
  <c r="AO3340" i="11"/>
  <c r="AN1191" i="11"/>
  <c r="AN1239" i="11"/>
  <c r="AN1887" i="11"/>
  <c r="AO3727" i="11"/>
  <c r="AO3729" i="11"/>
  <c r="AO3772" i="11"/>
  <c r="AO535" i="11"/>
  <c r="AO598" i="11"/>
  <c r="AN644" i="11"/>
  <c r="AN310" i="11"/>
  <c r="AN299" i="11"/>
  <c r="AN217" i="11"/>
  <c r="AN367" i="11"/>
  <c r="AN365" i="11"/>
  <c r="AN397" i="11"/>
  <c r="AN3200" i="11"/>
  <c r="AN3251" i="11"/>
  <c r="AO899" i="11"/>
  <c r="AO926" i="11"/>
  <c r="AO911" i="11"/>
  <c r="AO944" i="11"/>
  <c r="AO996" i="11"/>
  <c r="AO973" i="11"/>
  <c r="AO954" i="11"/>
  <c r="AO2508" i="11"/>
  <c r="AO2465" i="11"/>
  <c r="AO2934" i="11"/>
  <c r="AN769" i="11"/>
  <c r="AN814" i="11"/>
  <c r="AN1945" i="11"/>
  <c r="AO184" i="11"/>
  <c r="AO3575" i="11"/>
  <c r="AN2473" i="11"/>
  <c r="AN2521" i="11"/>
  <c r="AN1737" i="11"/>
  <c r="AO1799" i="11"/>
  <c r="AO1869" i="11"/>
  <c r="AO1805" i="11"/>
  <c r="AO2771" i="11"/>
  <c r="AN3583" i="11"/>
  <c r="AN3622" i="11"/>
  <c r="AN3608" i="11"/>
  <c r="AN1171" i="11"/>
  <c r="AN1259" i="11"/>
  <c r="AN1209" i="11"/>
  <c r="AN1796" i="11"/>
  <c r="AO553" i="11"/>
  <c r="AN730" i="11"/>
  <c r="AN728" i="11"/>
  <c r="AN635" i="11"/>
  <c r="AN352" i="11"/>
  <c r="AN398" i="11"/>
  <c r="AN390" i="11"/>
  <c r="AN718" i="11"/>
  <c r="AO876" i="11"/>
  <c r="AO989" i="11"/>
  <c r="AO1004" i="11"/>
  <c r="AO2469" i="11"/>
  <c r="AN1947" i="11"/>
  <c r="AN1941" i="11"/>
  <c r="AN1962" i="11"/>
  <c r="AO121" i="11"/>
  <c r="AO202" i="11"/>
  <c r="AO3676" i="11"/>
  <c r="AN2471" i="11"/>
  <c r="AN1760" i="11"/>
  <c r="AN1786" i="11"/>
  <c r="AO1849" i="11"/>
  <c r="AO2797" i="11"/>
  <c r="AN3591" i="11"/>
  <c r="AN3637" i="11"/>
  <c r="AO3297" i="11"/>
  <c r="AO3270" i="11"/>
  <c r="AO3331" i="11"/>
  <c r="AO3347" i="11"/>
  <c r="AO1159" i="11"/>
  <c r="AN2439" i="11"/>
  <c r="AN624" i="11"/>
  <c r="AN1243" i="11"/>
  <c r="AN1246" i="11"/>
  <c r="AN1860" i="11"/>
  <c r="AN1808" i="11"/>
  <c r="AO3690" i="11"/>
  <c r="AO544" i="11"/>
  <c r="AO617" i="11"/>
  <c r="AN657" i="11"/>
  <c r="AN303" i="11"/>
  <c r="AN315" i="11"/>
  <c r="AO3441" i="11"/>
  <c r="AO1189" i="11"/>
  <c r="AN368" i="11"/>
  <c r="AN388" i="11"/>
  <c r="AN369" i="11"/>
  <c r="AN3225" i="11"/>
  <c r="AO1077" i="11"/>
  <c r="AO1108" i="11"/>
  <c r="AO718" i="11"/>
  <c r="AO643" i="11"/>
  <c r="AN2226" i="11"/>
  <c r="AN2250" i="11"/>
  <c r="AN540" i="11"/>
  <c r="AO115" i="11"/>
  <c r="AO134" i="11"/>
  <c r="AO132" i="11"/>
  <c r="AO3592" i="11"/>
  <c r="AO3585" i="11"/>
  <c r="AO3629" i="11"/>
  <c r="AO3649" i="11"/>
  <c r="AO3619" i="11"/>
  <c r="AN2491" i="11"/>
  <c r="AN2513" i="11"/>
  <c r="AN1707" i="11"/>
  <c r="AN1724" i="11"/>
  <c r="AN1754" i="11"/>
  <c r="AN1757" i="11"/>
  <c r="AN1731" i="11"/>
  <c r="AN1721" i="11"/>
  <c r="AN1779" i="11"/>
  <c r="AN1699" i="11"/>
  <c r="AO1865" i="11"/>
  <c r="AO1889" i="11"/>
  <c r="AO1791" i="11"/>
  <c r="AO2779" i="11"/>
  <c r="AN3590" i="11"/>
  <c r="AO3299" i="11"/>
  <c r="AO3275" i="11"/>
  <c r="AO3287" i="11"/>
  <c r="AN530" i="11"/>
  <c r="AO2601" i="11"/>
  <c r="AN3691" i="11"/>
  <c r="AN1161" i="11"/>
  <c r="AN1182" i="11"/>
  <c r="AN1213" i="11"/>
  <c r="AN1188" i="11"/>
  <c r="AN1219" i="11"/>
  <c r="AN1260" i="11"/>
  <c r="AN1247" i="11"/>
  <c r="AN1843" i="11"/>
  <c r="AN1793" i="11"/>
  <c r="AN1857" i="11"/>
  <c r="AN1822" i="11"/>
  <c r="AN1810" i="11"/>
  <c r="AN1890" i="11"/>
  <c r="AO619" i="11"/>
  <c r="AO530" i="11"/>
  <c r="AO536" i="11"/>
  <c r="AO567" i="11"/>
  <c r="AO607" i="11"/>
  <c r="AO597" i="11"/>
  <c r="AO559" i="11"/>
  <c r="AN666" i="11"/>
  <c r="AN731" i="11"/>
  <c r="AN643" i="11"/>
  <c r="AN642" i="11"/>
  <c r="AN659" i="11"/>
  <c r="AN271" i="11"/>
  <c r="AN243" i="11"/>
  <c r="AN230" i="11"/>
  <c r="AN273" i="11"/>
  <c r="AN272" i="11"/>
  <c r="AN270" i="11"/>
  <c r="AN222" i="11"/>
  <c r="AO290" i="11"/>
  <c r="AO2115" i="11"/>
  <c r="AN362" i="11"/>
  <c r="AN376" i="11"/>
  <c r="AN361" i="11"/>
  <c r="AN422" i="11"/>
  <c r="AN373" i="11"/>
  <c r="AN337" i="11"/>
  <c r="AN335" i="11"/>
  <c r="AN3239" i="11"/>
  <c r="AN3182" i="11"/>
  <c r="AN3214" i="11"/>
  <c r="AO1088" i="11"/>
  <c r="AO689" i="11"/>
  <c r="AO665" i="11"/>
  <c r="AN2264" i="11"/>
  <c r="AN2288" i="11"/>
  <c r="AN2271" i="11"/>
  <c r="AN901" i="11"/>
  <c r="AN875" i="11"/>
  <c r="AN946" i="11"/>
  <c r="AN886" i="11"/>
  <c r="AN583" i="11"/>
  <c r="AN539" i="11"/>
  <c r="AN3216" i="11"/>
  <c r="AN3158" i="11"/>
  <c r="AN3156" i="11"/>
  <c r="AN3612" i="11"/>
  <c r="AO1154" i="11"/>
  <c r="AO1089" i="11"/>
  <c r="AO738" i="11"/>
  <c r="AN2296" i="11"/>
  <c r="AN2222" i="11"/>
  <c r="AN902" i="11"/>
  <c r="AN550" i="11"/>
  <c r="AO1180" i="11"/>
  <c r="AO1220" i="11"/>
  <c r="AO3243" i="11"/>
  <c r="AO1123" i="11"/>
  <c r="AO671" i="11"/>
  <c r="AN2223" i="11"/>
  <c r="AN2213" i="11"/>
  <c r="AN2258" i="11"/>
  <c r="AN2302" i="11"/>
  <c r="AN2299" i="11"/>
  <c r="AN2313" i="11"/>
  <c r="AN881" i="11"/>
  <c r="AN943" i="11"/>
  <c r="AO1170" i="11"/>
  <c r="AO1253" i="11"/>
  <c r="AO1203" i="11"/>
  <c r="AO1183" i="11"/>
  <c r="AO1257" i="11"/>
  <c r="AO1057" i="11"/>
  <c r="AO1096" i="11"/>
  <c r="AO651" i="11"/>
  <c r="AO713" i="11"/>
  <c r="AO714" i="11"/>
  <c r="AO731" i="11"/>
  <c r="AN890" i="11"/>
  <c r="AN565" i="11"/>
  <c r="AN552" i="11"/>
  <c r="AO1222" i="11"/>
  <c r="AO1232" i="11"/>
  <c r="AO1153" i="11"/>
  <c r="AO674" i="11"/>
  <c r="AO653" i="11"/>
  <c r="AN2251" i="11"/>
  <c r="AN2307" i="11"/>
  <c r="AN922" i="11"/>
  <c r="AN534" i="11"/>
  <c r="AN631" i="11"/>
  <c r="AN600" i="11"/>
  <c r="AO1192" i="11"/>
  <c r="AO1164" i="11"/>
  <c r="AO1258" i="11"/>
  <c r="AO1216" i="11"/>
  <c r="AO1139" i="11"/>
  <c r="AO1066" i="11"/>
  <c r="AO732" i="11"/>
  <c r="AO702" i="11"/>
  <c r="AN941" i="11"/>
  <c r="AO1249" i="11"/>
  <c r="AO1198" i="11"/>
  <c r="AN3643" i="11"/>
  <c r="AO1129" i="11"/>
  <c r="AO1059" i="11"/>
  <c r="AN2210" i="11"/>
  <c r="AN923" i="11"/>
  <c r="AN531" i="11"/>
  <c r="AN581" i="11"/>
  <c r="AN559" i="11"/>
  <c r="AO1199" i="11"/>
  <c r="AO1095" i="11"/>
  <c r="AO664" i="11"/>
  <c r="AN2301" i="11"/>
  <c r="AN892" i="11"/>
  <c r="AN895" i="11"/>
  <c r="AN629" i="11"/>
  <c r="AN590" i="11"/>
  <c r="AN561" i="11"/>
  <c r="AN576" i="11"/>
  <c r="AO1187" i="11"/>
  <c r="AO2248" i="11"/>
  <c r="AO3814" i="11"/>
  <c r="AN2186" i="11"/>
  <c r="AO2811" i="11"/>
  <c r="AN1013" i="11"/>
  <c r="AO1100" i="11"/>
  <c r="AO1684" i="11"/>
  <c r="AO3472" i="11"/>
  <c r="AN3365" i="11"/>
  <c r="AO836" i="11"/>
  <c r="AO265" i="11"/>
  <c r="AN281" i="11"/>
  <c r="AO685" i="11"/>
  <c r="AO2137" i="11"/>
  <c r="AO1147" i="11"/>
  <c r="AN3324" i="11"/>
  <c r="AN724" i="11"/>
  <c r="AO1466" i="11"/>
  <c r="AN3041" i="11"/>
  <c r="AN1892" i="11"/>
  <c r="AO3129" i="11"/>
  <c r="AN2518" i="11"/>
  <c r="AN430" i="11"/>
  <c r="AN1679" i="11"/>
  <c r="AO2251" i="11"/>
  <c r="AO2293" i="11"/>
  <c r="AO154" i="11"/>
  <c r="AN1196" i="11"/>
  <c r="AN713" i="11"/>
  <c r="AN739" i="11"/>
  <c r="AN403" i="11"/>
  <c r="AO291" i="11"/>
  <c r="AN912" i="11"/>
  <c r="AN1229" i="11"/>
  <c r="AN1254" i="11"/>
  <c r="AN662" i="11"/>
  <c r="AN692" i="11"/>
  <c r="AN701" i="11"/>
  <c r="AN716" i="11"/>
  <c r="AN699" i="11"/>
  <c r="AN354" i="11"/>
  <c r="AN327" i="11"/>
  <c r="AN366" i="11"/>
  <c r="AO3066" i="11"/>
  <c r="AN2678" i="11"/>
  <c r="AO2226" i="11"/>
  <c r="AN2324" i="11"/>
  <c r="AO143" i="11"/>
  <c r="AN1250" i="11"/>
  <c r="AN1211" i="11"/>
  <c r="AN736" i="11"/>
  <c r="AN687" i="11"/>
  <c r="AN400" i="11"/>
  <c r="AN878" i="11"/>
  <c r="AN917" i="11"/>
  <c r="AN1558" i="11"/>
  <c r="AN1195" i="11"/>
  <c r="AN351" i="11"/>
  <c r="AN863" i="11"/>
  <c r="AN914" i="11"/>
  <c r="AN788" i="11"/>
  <c r="AN1169" i="11"/>
  <c r="AN1217" i="11"/>
  <c r="AN393" i="11"/>
  <c r="AN329" i="11"/>
  <c r="AN919" i="11"/>
  <c r="AN933" i="11"/>
  <c r="AN147" i="11"/>
  <c r="AN3351" i="11"/>
  <c r="AN862" i="11"/>
  <c r="AN925" i="11"/>
  <c r="AN2474" i="11"/>
  <c r="AN2654" i="11"/>
  <c r="AN1010" i="11"/>
  <c r="AN1629" i="11"/>
  <c r="AO2588" i="11"/>
  <c r="AN889" i="11"/>
  <c r="AN939" i="11"/>
  <c r="AN3395" i="11"/>
  <c r="AN345" i="11"/>
  <c r="AN887" i="11"/>
  <c r="AN916" i="11"/>
  <c r="N107" i="54"/>
  <c r="AN3460" i="11"/>
  <c r="AO1521" i="11"/>
  <c r="AO2196" i="11"/>
  <c r="AO1543" i="11"/>
  <c r="AN942" i="11"/>
  <c r="AN2705" i="11"/>
  <c r="AN3484" i="11"/>
  <c r="AO38" i="11"/>
  <c r="AN3327" i="11"/>
  <c r="AO1325" i="11"/>
  <c r="AO2285" i="11"/>
  <c r="AO2219" i="11"/>
  <c r="AN2413" i="11"/>
  <c r="AN853" i="11"/>
  <c r="AN485" i="11"/>
  <c r="AO1416" i="11"/>
  <c r="AN3317" i="11"/>
  <c r="AN3283" i="11"/>
  <c r="AO2305" i="11"/>
  <c r="AN2383" i="11"/>
  <c r="AO3588" i="11"/>
  <c r="AN3197" i="11"/>
  <c r="AN1612" i="11"/>
  <c r="AO2274" i="11"/>
  <c r="AN2366" i="11"/>
  <c r="AN2386" i="11"/>
  <c r="AN931" i="11"/>
  <c r="AN1082" i="11"/>
  <c r="AN3279" i="11"/>
  <c r="AN3288" i="11"/>
  <c r="AO2294" i="11"/>
  <c r="AN2330" i="11"/>
  <c r="AN2381" i="11"/>
  <c r="AO860" i="11"/>
  <c r="AO3661" i="11"/>
  <c r="AN870" i="11"/>
  <c r="AN903" i="11"/>
  <c r="AN897" i="11"/>
  <c r="AN1453" i="11"/>
  <c r="AN1093" i="11"/>
  <c r="AO1563" i="11"/>
  <c r="AN1639" i="11"/>
  <c r="AN3346" i="11"/>
  <c r="AN3353" i="11"/>
  <c r="AO2254" i="11"/>
  <c r="AO917" i="11"/>
  <c r="AO909" i="11"/>
  <c r="AO918" i="11"/>
  <c r="AN621" i="11"/>
  <c r="AO1535" i="11"/>
  <c r="AN2808" i="11"/>
  <c r="AO3872" i="11"/>
  <c r="AO3862" i="11"/>
  <c r="AN3244" i="11"/>
  <c r="AO2696" i="11"/>
  <c r="AN297" i="11"/>
  <c r="AO1267" i="11"/>
  <c r="AN268" i="11"/>
  <c r="AN3345" i="11"/>
  <c r="AN3191" i="11"/>
  <c r="AO1083" i="11"/>
  <c r="AN3237" i="11"/>
  <c r="AN1238" i="11"/>
  <c r="AN866" i="11"/>
  <c r="AO1572" i="11"/>
  <c r="AN647" i="11"/>
  <c r="AN328" i="11"/>
  <c r="AN341" i="11"/>
  <c r="AN331" i="11"/>
  <c r="AN896" i="11"/>
  <c r="AN893" i="11"/>
  <c r="AN1560" i="11"/>
  <c r="AN1499" i="11"/>
  <c r="AN930" i="11"/>
  <c r="AN874" i="11"/>
  <c r="AN852" i="11"/>
  <c r="AN873" i="11"/>
  <c r="AN856" i="11"/>
  <c r="AN3062" i="11"/>
  <c r="AN3628" i="11"/>
  <c r="AO812" i="11"/>
  <c r="AN371" i="11"/>
  <c r="AN332" i="11"/>
  <c r="AN872" i="11"/>
  <c r="AN888" i="11"/>
  <c r="AO3844" i="11"/>
  <c r="AO3662" i="11"/>
  <c r="AO2498" i="11"/>
  <c r="AO149" i="11"/>
  <c r="AN324" i="11"/>
  <c r="AO1546" i="11"/>
  <c r="AO88" i="11"/>
  <c r="AO2211" i="11"/>
  <c r="AN220" i="11"/>
  <c r="AN3686" i="11"/>
  <c r="AN333" i="11"/>
  <c r="AN322" i="11"/>
  <c r="AN380" i="11"/>
  <c r="AN483" i="11"/>
  <c r="AO447" i="11"/>
  <c r="AN3753" i="11"/>
  <c r="AO1748" i="11"/>
  <c r="AO1475" i="11"/>
  <c r="AN3800" i="11"/>
  <c r="AO2494" i="11"/>
  <c r="AN2434" i="11"/>
  <c r="AO3089" i="11"/>
  <c r="AN3567" i="11"/>
  <c r="AN3547" i="11"/>
  <c r="AN3529" i="11"/>
  <c r="AN3555" i="11"/>
  <c r="AN3569" i="11"/>
  <c r="AN3507" i="11"/>
  <c r="AN3532" i="11"/>
  <c r="AN1068" i="11"/>
  <c r="AN1104" i="11"/>
  <c r="AN1064" i="11"/>
  <c r="AN1084" i="11"/>
  <c r="AN1132" i="11"/>
  <c r="AN1078" i="11"/>
  <c r="AN1143" i="11"/>
  <c r="AN1075" i="11"/>
  <c r="AN3287" i="11"/>
  <c r="AN2853" i="11"/>
  <c r="AO773" i="11"/>
  <c r="AO1033" i="11"/>
  <c r="AO3036" i="11"/>
  <c r="AO3034" i="11"/>
  <c r="AO3011" i="11"/>
  <c r="AO3001" i="11"/>
  <c r="AO2988" i="11"/>
  <c r="AO2986" i="11"/>
  <c r="AO3004" i="11"/>
  <c r="AO2955" i="11"/>
  <c r="AN1994" i="11"/>
  <c r="AO3692" i="11"/>
  <c r="AO761" i="11"/>
  <c r="AO1782" i="11"/>
  <c r="AO376" i="11"/>
  <c r="AO2554" i="11"/>
  <c r="AN3170" i="11"/>
  <c r="N108" i="54"/>
  <c r="N58" i="54"/>
  <c r="N159" i="54"/>
  <c r="N284" i="54"/>
  <c r="N9" i="54" s="1"/>
  <c r="N11" i="54" s="1"/>
  <c r="N76" i="54"/>
  <c r="O48" i="54"/>
  <c r="O149" i="54"/>
  <c r="O98" i="54"/>
  <c r="AO491" i="11"/>
  <c r="AN3540" i="11"/>
  <c r="AN3497" i="11"/>
  <c r="AN3559" i="11"/>
  <c r="AN3500" i="11"/>
  <c r="AN3556" i="11"/>
  <c r="AN3475" i="11"/>
  <c r="AN3501" i="11"/>
  <c r="AN3552" i="11"/>
  <c r="AN3489" i="11"/>
  <c r="AN3536" i="11"/>
  <c r="AN3528" i="11"/>
  <c r="AN2626" i="11"/>
  <c r="N101" i="54"/>
  <c r="N51" i="54"/>
  <c r="N152" i="54"/>
  <c r="AO1280" i="11"/>
  <c r="AN1240" i="11"/>
  <c r="AN3511" i="11"/>
  <c r="AO1592" i="11"/>
  <c r="AO1654" i="11"/>
  <c r="AN2134" i="11"/>
  <c r="AN1098" i="11"/>
  <c r="AN1134" i="11"/>
  <c r="AN1112" i="11"/>
  <c r="AN1059" i="11"/>
  <c r="AN1126" i="11"/>
  <c r="AN1116" i="11"/>
  <c r="AN1136" i="11"/>
  <c r="AN1087" i="11"/>
  <c r="AN1152" i="11"/>
  <c r="AN1072" i="11"/>
  <c r="AN1151" i="11"/>
  <c r="AN3843" i="11"/>
  <c r="AN3363" i="11"/>
  <c r="AN3403" i="11"/>
  <c r="AN3418" i="11"/>
  <c r="AN3404" i="11"/>
  <c r="AN3387" i="11"/>
  <c r="AN2318" i="11"/>
  <c r="AN3044" i="11"/>
  <c r="O37" i="54"/>
  <c r="O87" i="54"/>
  <c r="O138" i="54"/>
  <c r="AO3829" i="11"/>
  <c r="AN1017" i="11"/>
  <c r="AN1588" i="11"/>
  <c r="AO2893" i="11"/>
  <c r="AN3554" i="11"/>
  <c r="AO3021" i="11"/>
  <c r="AO2981" i="11"/>
  <c r="AO2961" i="11"/>
  <c r="AO2957" i="11"/>
  <c r="AO2950" i="11"/>
  <c r="AO3009" i="11"/>
  <c r="AO3018" i="11"/>
  <c r="AO2990" i="11"/>
  <c r="AO3008" i="11"/>
  <c r="AO3045" i="11"/>
  <c r="AO2983" i="11"/>
  <c r="AO2958" i="11"/>
  <c r="AN1991" i="11"/>
  <c r="O105" i="54"/>
  <c r="O156" i="54"/>
  <c r="O55" i="54"/>
  <c r="AO193" i="11"/>
  <c r="AN1744" i="11"/>
  <c r="AN1616" i="11"/>
  <c r="AN1635" i="11"/>
  <c r="AN1619" i="11"/>
  <c r="AN1667" i="11"/>
  <c r="AN1637" i="11"/>
  <c r="AN1618" i="11"/>
  <c r="AN1672" i="11"/>
  <c r="AN1598" i="11"/>
  <c r="AN1675" i="11"/>
  <c r="AN1590" i="11"/>
  <c r="AN1587" i="11"/>
  <c r="O31" i="54"/>
  <c r="O81" i="54"/>
  <c r="O132" i="54"/>
  <c r="N87" i="54"/>
  <c r="N138" i="54"/>
  <c r="N37" i="54"/>
  <c r="AN3672" i="11"/>
  <c r="AN2350" i="11"/>
  <c r="AN3013" i="11"/>
  <c r="AN1970" i="11"/>
  <c r="N157" i="54"/>
  <c r="N106" i="54"/>
  <c r="N56" i="54"/>
  <c r="AN1838" i="11"/>
  <c r="AO3837" i="11"/>
  <c r="O90" i="54"/>
  <c r="O141" i="54"/>
  <c r="O40" i="54"/>
  <c r="AO3866" i="11"/>
  <c r="AO3795" i="11"/>
  <c r="AO3836" i="11"/>
  <c r="AO3864" i="11"/>
  <c r="AO3881" i="11"/>
  <c r="AO3871" i="11"/>
  <c r="AO3807" i="11"/>
  <c r="AO3889" i="11"/>
  <c r="AO3785" i="11"/>
  <c r="AN163" i="11"/>
  <c r="AN156" i="11"/>
  <c r="AN123" i="11"/>
  <c r="AN202" i="11"/>
  <c r="AN112" i="11"/>
  <c r="AN116" i="11"/>
  <c r="AN142" i="11"/>
  <c r="AN146" i="11"/>
  <c r="AN152" i="11"/>
  <c r="AN151" i="11"/>
  <c r="AN191" i="11"/>
  <c r="AN205" i="11"/>
  <c r="AN2344" i="11"/>
  <c r="AO825" i="11"/>
  <c r="AO802" i="11"/>
  <c r="AO832" i="11"/>
  <c r="AO781" i="11"/>
  <c r="AO763" i="11"/>
  <c r="AO785" i="11"/>
  <c r="AO844" i="11"/>
  <c r="AO792" i="11"/>
  <c r="AO740" i="11"/>
  <c r="AO813" i="11"/>
  <c r="AO799" i="11"/>
  <c r="AO741" i="11"/>
  <c r="AO3517" i="11"/>
  <c r="AO3500" i="11"/>
  <c r="AO3506" i="11"/>
  <c r="AO3532" i="11"/>
  <c r="AO3515" i="11"/>
  <c r="AO3551" i="11"/>
  <c r="AO3568" i="11"/>
  <c r="AO3471" i="11"/>
  <c r="AO3538" i="11"/>
  <c r="AO3540" i="11"/>
  <c r="AO3484" i="11"/>
  <c r="AN962" i="11"/>
  <c r="AN1037" i="11"/>
  <c r="AN961" i="11"/>
  <c r="AN1031" i="11"/>
  <c r="AN996" i="11"/>
  <c r="AN1036" i="11"/>
  <c r="AN1029" i="11"/>
  <c r="AN951" i="11"/>
  <c r="AN984" i="11"/>
  <c r="AN963" i="11"/>
  <c r="AN983" i="11"/>
  <c r="AN979" i="11"/>
  <c r="AN3875" i="11"/>
  <c r="AN3850" i="11"/>
  <c r="AN3787" i="11"/>
  <c r="AN3881" i="11"/>
  <c r="AN3852" i="11"/>
  <c r="AN3786" i="11"/>
  <c r="AN3867" i="11"/>
  <c r="AN3857" i="11"/>
  <c r="AN3834" i="11"/>
  <c r="AN3789" i="11"/>
  <c r="AN3815" i="11"/>
  <c r="AN3820" i="11"/>
  <c r="AN437" i="11"/>
  <c r="AO439" i="11"/>
  <c r="AN1682" i="11"/>
  <c r="O83" i="54"/>
  <c r="O33" i="54"/>
  <c r="O134" i="54"/>
  <c r="AO1462" i="11"/>
  <c r="AO1372" i="11"/>
  <c r="AO1445" i="11"/>
  <c r="AO1383" i="11"/>
  <c r="AO1448" i="11"/>
  <c r="AO1454" i="11"/>
  <c r="AO1432" i="11"/>
  <c r="AO1437" i="11"/>
  <c r="AO1397" i="11"/>
  <c r="AO1450" i="11"/>
  <c r="AN396" i="11"/>
  <c r="AN323" i="11"/>
  <c r="AO242" i="11"/>
  <c r="AO235" i="11"/>
  <c r="AO278" i="11"/>
  <c r="AO219" i="11"/>
  <c r="AO307" i="11"/>
  <c r="AO258" i="11"/>
  <c r="AO272" i="11"/>
  <c r="AO228" i="11"/>
  <c r="AO246" i="11"/>
  <c r="AO306" i="11"/>
  <c r="AO217" i="11"/>
  <c r="AO267" i="11"/>
  <c r="AN3236" i="11"/>
  <c r="AO1559" i="11"/>
  <c r="AO1514" i="11"/>
  <c r="AO1502" i="11"/>
  <c r="AO1536" i="11"/>
  <c r="AO1517" i="11"/>
  <c r="AO1491" i="11"/>
  <c r="AO1553" i="11"/>
  <c r="AO1576" i="11"/>
  <c r="AO1498" i="11"/>
  <c r="AO1530" i="11"/>
  <c r="AO1485" i="11"/>
  <c r="AO1493" i="11"/>
  <c r="AN3154" i="11"/>
  <c r="AN3067" i="11"/>
  <c r="AN3075" i="11"/>
  <c r="AN3151" i="11"/>
  <c r="AN3119" i="11"/>
  <c r="AN3126" i="11"/>
  <c r="AN3122" i="11"/>
  <c r="AN3118" i="11"/>
  <c r="AN3138" i="11"/>
  <c r="AN3141" i="11"/>
  <c r="AN3074" i="11"/>
  <c r="AN3111" i="11"/>
  <c r="AN3082" i="11"/>
  <c r="AN255" i="11"/>
  <c r="AO1361" i="11"/>
  <c r="AN973" i="11"/>
  <c r="AO934" i="11"/>
  <c r="AO1138" i="11"/>
  <c r="O29" i="54"/>
  <c r="O130" i="54"/>
  <c r="O79" i="54"/>
  <c r="AO1463" i="11"/>
  <c r="AO243" i="11"/>
  <c r="N139" i="54"/>
  <c r="N38" i="54"/>
  <c r="N88" i="54"/>
  <c r="AN2992" i="11"/>
  <c r="AN3047" i="11"/>
  <c r="AN2980" i="11"/>
  <c r="AN2988" i="11"/>
  <c r="AN2949" i="11"/>
  <c r="AN3038" i="11"/>
  <c r="AN2966" i="11"/>
  <c r="AN2963" i="11"/>
  <c r="AN2996" i="11"/>
  <c r="AN3022" i="11"/>
  <c r="AN2994" i="11"/>
  <c r="AN2962" i="11"/>
  <c r="AN2277" i="11"/>
  <c r="AN880" i="11"/>
  <c r="AN2673" i="11"/>
  <c r="AN2719" i="11"/>
  <c r="AN2653" i="11"/>
  <c r="AN2692" i="11"/>
  <c r="AN2725" i="11"/>
  <c r="AN2731" i="11"/>
  <c r="AN2707" i="11"/>
  <c r="AN2706" i="11"/>
  <c r="AN2646" i="11"/>
  <c r="AN2671" i="11"/>
  <c r="AO1261" i="11"/>
  <c r="AN1548" i="11"/>
  <c r="AN1553" i="11"/>
  <c r="AN1493" i="11"/>
  <c r="AN1543" i="11"/>
  <c r="AN1514" i="11"/>
  <c r="AN1537" i="11"/>
  <c r="AN1481" i="11"/>
  <c r="AN1528" i="11"/>
  <c r="AN1564" i="11"/>
  <c r="AO1992" i="11"/>
  <c r="AO1983" i="11"/>
  <c r="AO1918" i="11"/>
  <c r="AO1926" i="11"/>
  <c r="AO1962" i="11"/>
  <c r="AO1958" i="11"/>
  <c r="AO1930" i="11"/>
  <c r="AO1933" i="11"/>
  <c r="AO1981" i="11"/>
  <c r="AO1942" i="11"/>
  <c r="AO1970" i="11"/>
  <c r="AO1903" i="11"/>
  <c r="AO1966" i="11"/>
  <c r="AN2566" i="11"/>
  <c r="AN2606" i="11"/>
  <c r="AN2548" i="11"/>
  <c r="AN2545" i="11"/>
  <c r="AN2599" i="11"/>
  <c r="AN2554" i="11"/>
  <c r="AN2609" i="11"/>
  <c r="AN2585" i="11"/>
  <c r="AN2581" i="11"/>
  <c r="AN2627" i="11"/>
  <c r="AN2612" i="11"/>
  <c r="AN2543" i="11"/>
  <c r="AN2593" i="11"/>
  <c r="AN2757" i="11"/>
  <c r="AN2803" i="11"/>
  <c r="AN2828" i="11"/>
  <c r="AN2780" i="11"/>
  <c r="AN2752" i="11"/>
  <c r="AN2777" i="11"/>
  <c r="AN2826" i="11"/>
  <c r="AN2742" i="11"/>
  <c r="AN2797" i="11"/>
  <c r="AN2764" i="11"/>
  <c r="AN2791" i="11"/>
  <c r="AN2748" i="11"/>
  <c r="AO3490" i="11"/>
  <c r="AO37" i="11"/>
  <c r="AN1457" i="11"/>
  <c r="AN1375" i="11"/>
  <c r="AN1431" i="11"/>
  <c r="AN1404" i="11"/>
  <c r="AN1425" i="11"/>
  <c r="AN1387" i="11"/>
  <c r="AN1390" i="11"/>
  <c r="AN1450" i="11"/>
  <c r="AN1378" i="11"/>
  <c r="AN1449" i="11"/>
  <c r="AN1459" i="11"/>
  <c r="AN1462" i="11"/>
  <c r="AN1395" i="11"/>
  <c r="AN239" i="11"/>
  <c r="AN446" i="11"/>
  <c r="AN481" i="11"/>
  <c r="AN496" i="11"/>
  <c r="AN511" i="11"/>
  <c r="AN474" i="11"/>
  <c r="AN482" i="11"/>
  <c r="AN464" i="11"/>
  <c r="AN467" i="11"/>
  <c r="AN432" i="11"/>
  <c r="AN487" i="11"/>
  <c r="AN501" i="11"/>
  <c r="AO1518" i="11"/>
  <c r="AO57" i="11"/>
  <c r="AO78" i="11"/>
  <c r="AO32" i="11"/>
  <c r="AO98" i="11"/>
  <c r="AO11" i="11"/>
  <c r="AO105" i="11"/>
  <c r="AO99" i="11"/>
  <c r="AO16" i="11"/>
  <c r="AO30" i="11"/>
  <c r="AO80" i="11"/>
  <c r="AO101" i="11"/>
  <c r="AO1740" i="11"/>
  <c r="AO1772" i="11"/>
  <c r="AO1741" i="11"/>
  <c r="AO1758" i="11"/>
  <c r="AO1770" i="11"/>
  <c r="AO1702" i="11"/>
  <c r="AO1760" i="11"/>
  <c r="AO1686" i="11"/>
  <c r="AO1783" i="11"/>
  <c r="AO1759" i="11"/>
  <c r="AO1779" i="11"/>
  <c r="AO1761" i="11"/>
  <c r="AO1691" i="11"/>
  <c r="AO3240" i="11"/>
  <c r="AO3204" i="11"/>
  <c r="AO3164" i="11"/>
  <c r="AO3220" i="11"/>
  <c r="AO3194" i="11"/>
  <c r="AO3206" i="11"/>
  <c r="AO3223" i="11"/>
  <c r="AO3208" i="11"/>
  <c r="AO3230" i="11"/>
  <c r="AO3185" i="11"/>
  <c r="AO3178" i="11"/>
  <c r="AO2315" i="11"/>
  <c r="AO2326" i="11"/>
  <c r="AO2348" i="11"/>
  <c r="AO2392" i="11"/>
  <c r="AO2332" i="11"/>
  <c r="AO2321" i="11"/>
  <c r="AO2355" i="11"/>
  <c r="AO2344" i="11"/>
  <c r="AO2416" i="11"/>
  <c r="AO2364" i="11"/>
  <c r="AO2418" i="11"/>
  <c r="AO2323" i="11"/>
  <c r="AN1294" i="11"/>
  <c r="AN1320" i="11"/>
  <c r="AN1270" i="11"/>
  <c r="AN1353" i="11"/>
  <c r="AN1343" i="11"/>
  <c r="AN1286" i="11"/>
  <c r="AN1360" i="11"/>
  <c r="AN1268" i="11"/>
  <c r="AN1355" i="11"/>
  <c r="AN1317" i="11"/>
  <c r="AN1305" i="11"/>
  <c r="AN1291" i="11"/>
  <c r="AN2132" i="11"/>
  <c r="AN2164" i="11"/>
  <c r="AN2208" i="11"/>
  <c r="AN2172" i="11"/>
  <c r="AN2190" i="11"/>
  <c r="AN2131" i="11"/>
  <c r="AN2127" i="11"/>
  <c r="AN2152" i="11"/>
  <c r="AN2139" i="11"/>
  <c r="AN2163" i="11"/>
  <c r="AN2205" i="11"/>
  <c r="AN2128" i="11"/>
  <c r="AN91" i="11"/>
  <c r="AN65" i="11"/>
  <c r="AN11" i="11"/>
  <c r="AN35" i="11"/>
  <c r="AN39" i="11"/>
  <c r="AN97" i="11"/>
  <c r="AN62" i="11"/>
  <c r="AN30" i="11"/>
  <c r="AN75" i="11"/>
  <c r="AN70" i="11"/>
  <c r="AN69" i="11"/>
  <c r="AO2533" i="11"/>
  <c r="AO2603" i="11"/>
  <c r="AO2615" i="11"/>
  <c r="AO2543" i="11"/>
  <c r="AO2591" i="11"/>
  <c r="AO2539" i="11"/>
  <c r="AO2624" i="11"/>
  <c r="AO2528" i="11"/>
  <c r="AO2562" i="11"/>
  <c r="AO2582" i="11"/>
  <c r="AO358" i="11"/>
  <c r="AO413" i="11"/>
  <c r="AO378" i="11"/>
  <c r="AO372" i="11"/>
  <c r="AO331" i="11"/>
  <c r="AO381" i="11"/>
  <c r="AO334" i="11"/>
  <c r="AO345" i="11"/>
  <c r="AO400" i="11"/>
  <c r="AO414" i="11"/>
  <c r="AO337" i="11"/>
  <c r="AO394" i="11"/>
  <c r="O32" i="54"/>
  <c r="O82" i="54"/>
  <c r="O133" i="54"/>
  <c r="AN3482" i="11"/>
  <c r="AN3483" i="11"/>
  <c r="AN3521" i="11"/>
  <c r="AN3553" i="11"/>
  <c r="AN3472" i="11"/>
  <c r="AN3512" i="11"/>
  <c r="AN3549" i="11"/>
  <c r="AN3558" i="11"/>
  <c r="AN3566" i="11"/>
  <c r="AN3572" i="11"/>
  <c r="AN3499" i="11"/>
  <c r="P163" i="54"/>
  <c r="AO2158" i="11"/>
  <c r="N39" i="54"/>
  <c r="N140" i="54"/>
  <c r="N89" i="54"/>
  <c r="AN74" i="11"/>
  <c r="AN465" i="11"/>
  <c r="N60" i="54"/>
  <c r="N161" i="54"/>
  <c r="N110" i="54"/>
  <c r="AN1149" i="11"/>
  <c r="AN1085" i="11"/>
  <c r="AN1128" i="11"/>
  <c r="AN1129" i="11"/>
  <c r="AN1141" i="11"/>
  <c r="AN1144" i="11"/>
  <c r="AN1110" i="11"/>
  <c r="AN1102" i="11"/>
  <c r="AN1106" i="11"/>
  <c r="AN1119" i="11"/>
  <c r="AN1127" i="11"/>
  <c r="AN3296" i="11"/>
  <c r="N34" i="54"/>
  <c r="N135" i="54"/>
  <c r="N84" i="54"/>
  <c r="AN2184" i="11"/>
  <c r="AO1343" i="11"/>
  <c r="AN517" i="11"/>
  <c r="O160" i="54"/>
  <c r="O59" i="54"/>
  <c r="O109" i="54"/>
  <c r="AO963" i="11"/>
  <c r="AO3743" i="11"/>
  <c r="AO3005" i="11"/>
  <c r="AO3026" i="11"/>
  <c r="AO3027" i="11"/>
  <c r="AO3029" i="11"/>
  <c r="AO2993" i="11"/>
  <c r="AO2968" i="11"/>
  <c r="AO2959" i="11"/>
  <c r="AO3020" i="11"/>
  <c r="AO3012" i="11"/>
  <c r="AO3022" i="11"/>
  <c r="AO3010" i="11"/>
  <c r="AO3016" i="11"/>
  <c r="AO3576" i="11"/>
  <c r="N91" i="54"/>
  <c r="N142" i="54"/>
  <c r="N41" i="54"/>
  <c r="AO1854" i="11"/>
  <c r="AN1589" i="11"/>
  <c r="AN1650" i="11"/>
  <c r="AN1592" i="11"/>
  <c r="AN1622" i="11"/>
  <c r="AN1640" i="11"/>
  <c r="AN1583" i="11"/>
  <c r="AN1641" i="11"/>
  <c r="AN1653" i="11"/>
  <c r="AN1611" i="11"/>
  <c r="AN1661" i="11"/>
  <c r="AN1580" i="11"/>
  <c r="AN1643" i="11"/>
  <c r="AN3632" i="11"/>
  <c r="AN3599" i="11"/>
  <c r="AO3292" i="11"/>
  <c r="AO1742" i="11"/>
  <c r="AO2731" i="11"/>
  <c r="AO110" i="11"/>
  <c r="AN246" i="11"/>
  <c r="AO3819" i="11"/>
  <c r="AO3699" i="11"/>
  <c r="AO3860" i="11"/>
  <c r="AO3856" i="11"/>
  <c r="AO3786" i="11"/>
  <c r="AO3799" i="11"/>
  <c r="AO3818" i="11"/>
  <c r="AO3809" i="11"/>
  <c r="AO3887" i="11"/>
  <c r="AO3870" i="11"/>
  <c r="AO3794" i="11"/>
  <c r="AO3842" i="11"/>
  <c r="AO3876" i="11"/>
  <c r="AO3845" i="11"/>
  <c r="AN189" i="11"/>
  <c r="AN139" i="11"/>
  <c r="AN149" i="11"/>
  <c r="AN121" i="11"/>
  <c r="AN173" i="11"/>
  <c r="AN190" i="11"/>
  <c r="AN129" i="11"/>
  <c r="AN141" i="11"/>
  <c r="AN161" i="11"/>
  <c r="AN211" i="11"/>
  <c r="AN165" i="11"/>
  <c r="AN140" i="11"/>
  <c r="AO570" i="11"/>
  <c r="AO537" i="11"/>
  <c r="N29" i="54"/>
  <c r="N130" i="54"/>
  <c r="N79" i="54"/>
  <c r="AO823" i="11"/>
  <c r="AO756" i="11"/>
  <c r="AO751" i="11"/>
  <c r="AO790" i="11"/>
  <c r="AO782" i="11"/>
  <c r="AO755" i="11"/>
  <c r="AO815" i="11"/>
  <c r="AO753" i="11"/>
  <c r="AO750" i="11"/>
  <c r="AO766" i="11"/>
  <c r="AO770" i="11"/>
  <c r="AO3550" i="11"/>
  <c r="AO3553" i="11"/>
  <c r="AO3564" i="11"/>
  <c r="AO3560" i="11"/>
  <c r="AO3518" i="11"/>
  <c r="AO3533" i="11"/>
  <c r="AO3569" i="11"/>
  <c r="AO3571" i="11"/>
  <c r="AO3487" i="11"/>
  <c r="AO3544" i="11"/>
  <c r="AO3505" i="11"/>
  <c r="AN241" i="11"/>
  <c r="AN254" i="11"/>
  <c r="AN1023" i="11"/>
  <c r="AN992" i="11"/>
  <c r="AN1022" i="11"/>
  <c r="AN1051" i="11"/>
  <c r="AN995" i="11"/>
  <c r="AN1046" i="11"/>
  <c r="AN1008" i="11"/>
  <c r="AN1038" i="11"/>
  <c r="AN998" i="11"/>
  <c r="AN1048" i="11"/>
  <c r="AN3832" i="11"/>
  <c r="AN3824" i="11"/>
  <c r="AN3849" i="11"/>
  <c r="AN3846" i="11"/>
  <c r="AN3851" i="11"/>
  <c r="AN3833" i="11"/>
  <c r="AN3831" i="11"/>
  <c r="AN3813" i="11"/>
  <c r="AN3870" i="11"/>
  <c r="AN3790" i="11"/>
  <c r="AN3887" i="11"/>
  <c r="AN3802" i="11"/>
  <c r="AN2202" i="11"/>
  <c r="O158" i="54"/>
  <c r="O107" i="54"/>
  <c r="O57" i="54"/>
  <c r="AN1123" i="11"/>
  <c r="AO79" i="11"/>
  <c r="AN2373" i="11"/>
  <c r="AN2888" i="11"/>
  <c r="AN3322" i="11"/>
  <c r="AO1461" i="11"/>
  <c r="AO1379" i="11"/>
  <c r="AO1452" i="11"/>
  <c r="AO1415" i="11"/>
  <c r="AO1438" i="11"/>
  <c r="AO1393" i="11"/>
  <c r="AO1427" i="11"/>
  <c r="AO1443" i="11"/>
  <c r="AO1374" i="11"/>
  <c r="AO1384" i="11"/>
  <c r="AO1371" i="11"/>
  <c r="AO313" i="11"/>
  <c r="AO227" i="11"/>
  <c r="AO298" i="11"/>
  <c r="AO318" i="11"/>
  <c r="AO234" i="11"/>
  <c r="AO283" i="11"/>
  <c r="AO240" i="11"/>
  <c r="AO216" i="11"/>
  <c r="AO229" i="11"/>
  <c r="AO311" i="11"/>
  <c r="AO256" i="11"/>
  <c r="AO223" i="11"/>
  <c r="N147" i="54"/>
  <c r="N46" i="54"/>
  <c r="N96" i="54"/>
  <c r="AN3234" i="11"/>
  <c r="AO1528" i="11"/>
  <c r="AO1479" i="11"/>
  <c r="AO1494" i="11"/>
  <c r="AO1562" i="11"/>
  <c r="AO1557" i="11"/>
  <c r="AO1526" i="11"/>
  <c r="AO1531" i="11"/>
  <c r="AO1550" i="11"/>
  <c r="AO1569" i="11"/>
  <c r="AO1578" i="11"/>
  <c r="AO1575" i="11"/>
  <c r="AN3055" i="11"/>
  <c r="AN3128" i="11"/>
  <c r="AN3064" i="11"/>
  <c r="AN3115" i="11"/>
  <c r="AN3150" i="11"/>
  <c r="AN3101" i="11"/>
  <c r="AN3050" i="11"/>
  <c r="AN3148" i="11"/>
  <c r="AN3059" i="11"/>
  <c r="AN3083" i="11"/>
  <c r="AN3108" i="11"/>
  <c r="AN3051" i="11"/>
  <c r="AO1689" i="11"/>
  <c r="N94" i="54"/>
  <c r="N44" i="54"/>
  <c r="N145" i="54"/>
  <c r="AN3325" i="11"/>
  <c r="O50" i="54"/>
  <c r="O100" i="54"/>
  <c r="O151" i="54"/>
  <c r="AN2857" i="11"/>
  <c r="AN1917" i="11"/>
  <c r="AO2346" i="11"/>
  <c r="AO1060" i="11"/>
  <c r="AO657" i="11"/>
  <c r="AN2986" i="11"/>
  <c r="AN3021" i="11"/>
  <c r="AN3040" i="11"/>
  <c r="AN2978" i="11"/>
  <c r="AN3032" i="11"/>
  <c r="AN3028" i="11"/>
  <c r="AN3024" i="11"/>
  <c r="AN3007" i="11"/>
  <c r="AN3004" i="11"/>
  <c r="AN2973" i="11"/>
  <c r="AN3025" i="11"/>
  <c r="AN3026" i="11"/>
  <c r="AN2965" i="11"/>
  <c r="AN894" i="11"/>
  <c r="AN545" i="11"/>
  <c r="AN569" i="11"/>
  <c r="AN2662" i="11"/>
  <c r="AN2643" i="11"/>
  <c r="AN2637" i="11"/>
  <c r="AN2655" i="11"/>
  <c r="AN2631" i="11"/>
  <c r="AN2693" i="11"/>
  <c r="AN2656" i="11"/>
  <c r="AN2663" i="11"/>
  <c r="AN2710" i="11"/>
  <c r="AN2665" i="11"/>
  <c r="AN2633" i="11"/>
  <c r="AN2733" i="11"/>
  <c r="AN1478" i="11"/>
  <c r="AN1521" i="11"/>
  <c r="AN1485" i="11"/>
  <c r="AN1562" i="11"/>
  <c r="AN1570" i="11"/>
  <c r="AN1498" i="11"/>
  <c r="AN1479" i="11"/>
  <c r="AN1544" i="11"/>
  <c r="AN1480" i="11"/>
  <c r="AN1555" i="11"/>
  <c r="AN1566" i="11"/>
  <c r="AO1914" i="11"/>
  <c r="AO1906" i="11"/>
  <c r="AO1963" i="11"/>
  <c r="AO1993" i="11"/>
  <c r="O45" i="54"/>
  <c r="O146" i="54"/>
  <c r="O95" i="54"/>
  <c r="AO1936" i="11"/>
  <c r="AO1904" i="11"/>
  <c r="AO1994" i="11"/>
  <c r="AO1941" i="11"/>
  <c r="AO1998" i="11"/>
  <c r="AO1996" i="11"/>
  <c r="AO1935" i="11"/>
  <c r="AO1973" i="11"/>
  <c r="AN2607" i="11"/>
  <c r="AN2551" i="11"/>
  <c r="AN2538" i="11"/>
  <c r="AN2555" i="11"/>
  <c r="AN2621" i="11"/>
  <c r="AN2625" i="11"/>
  <c r="AN2608" i="11"/>
  <c r="AN2547" i="11"/>
  <c r="AN2562" i="11"/>
  <c r="AN2550" i="11"/>
  <c r="AN2578" i="11"/>
  <c r="AN2602" i="11"/>
  <c r="N31" i="54"/>
  <c r="N81" i="54"/>
  <c r="N132" i="54"/>
  <c r="AN2837" i="11"/>
  <c r="AN2784" i="11"/>
  <c r="AN2795" i="11"/>
  <c r="AN2810" i="11"/>
  <c r="AN2763" i="11"/>
  <c r="AN2834" i="11"/>
  <c r="AN2771" i="11"/>
  <c r="AN2813" i="11"/>
  <c r="AN2806" i="11"/>
  <c r="AN2779" i="11"/>
  <c r="AN2769" i="11"/>
  <c r="AO2268" i="11"/>
  <c r="AO1307" i="11"/>
  <c r="AN2464" i="11"/>
  <c r="AO1774" i="11"/>
  <c r="AN115" i="11"/>
  <c r="AN755" i="11"/>
  <c r="AO405" i="11"/>
  <c r="AO3013" i="11"/>
  <c r="AO1469" i="11"/>
  <c r="AO104" i="11"/>
  <c r="AN1377" i="11"/>
  <c r="AN1393" i="11"/>
  <c r="AN1409" i="11"/>
  <c r="AN1465" i="11"/>
  <c r="AN1426" i="11"/>
  <c r="AN1422" i="11"/>
  <c r="AN1469" i="11"/>
  <c r="AN1386" i="11"/>
  <c r="AN1438" i="11"/>
  <c r="AN1433" i="11"/>
  <c r="AN1464" i="11"/>
  <c r="AN1451" i="11"/>
  <c r="AN1421" i="11"/>
  <c r="AO2295" i="11"/>
  <c r="AN448" i="11"/>
  <c r="AN454" i="11"/>
  <c r="AN466" i="11"/>
  <c r="AN489" i="11"/>
  <c r="AN527" i="11"/>
  <c r="AN475" i="11"/>
  <c r="AN456" i="11"/>
  <c r="AN449" i="11"/>
  <c r="AN490" i="11"/>
  <c r="AN438" i="11"/>
  <c r="AN463" i="11"/>
  <c r="AN473" i="11"/>
  <c r="AN2664" i="11"/>
  <c r="AO1368" i="11"/>
  <c r="AO22" i="11"/>
  <c r="AO84" i="11"/>
  <c r="AO10" i="11"/>
  <c r="AO26" i="11"/>
  <c r="AO64" i="11"/>
  <c r="AO45" i="11"/>
  <c r="AO81" i="11"/>
  <c r="AO29" i="11"/>
  <c r="AO53" i="11"/>
  <c r="AO61" i="11"/>
  <c r="AO106" i="11"/>
  <c r="AO1737" i="11"/>
  <c r="AO1725" i="11"/>
  <c r="AO1705" i="11"/>
  <c r="AO1732" i="11"/>
  <c r="AO1735" i="11"/>
  <c r="AO1773" i="11"/>
  <c r="AO1687" i="11"/>
  <c r="AO1734" i="11"/>
  <c r="AO1788" i="11"/>
  <c r="AO1700" i="11"/>
  <c r="AO1762" i="11"/>
  <c r="AO1752" i="11"/>
  <c r="AO3167" i="11"/>
  <c r="AO3250" i="11"/>
  <c r="AO3246" i="11"/>
  <c r="AO3252" i="11"/>
  <c r="AO3195" i="11"/>
  <c r="AO3182" i="11"/>
  <c r="AO3256" i="11"/>
  <c r="AO3231" i="11"/>
  <c r="AO3239" i="11"/>
  <c r="AO3234" i="11"/>
  <c r="AO3249" i="11"/>
  <c r="AO3157" i="11"/>
  <c r="AO2340" i="11"/>
  <c r="AO2367" i="11"/>
  <c r="AO2373" i="11"/>
  <c r="AO2368" i="11"/>
  <c r="AO2328" i="11"/>
  <c r="AO2398" i="11"/>
  <c r="AO2325" i="11"/>
  <c r="AO2401" i="11"/>
  <c r="AO2333" i="11"/>
  <c r="AO2334" i="11"/>
  <c r="AO2362" i="11"/>
  <c r="AN1510" i="11"/>
  <c r="AN1336" i="11"/>
  <c r="AN1288" i="11"/>
  <c r="AN1297" i="11"/>
  <c r="AN1289" i="11"/>
  <c r="AN1351" i="11"/>
  <c r="AN1368" i="11"/>
  <c r="AN1267" i="11"/>
  <c r="AN1280" i="11"/>
  <c r="AN1318" i="11"/>
  <c r="AN1323" i="11"/>
  <c r="AN1292" i="11"/>
  <c r="AN1359" i="11"/>
  <c r="AN2189" i="11"/>
  <c r="AN2107" i="11"/>
  <c r="AN2141" i="11"/>
  <c r="AN2198" i="11"/>
  <c r="AN2114" i="11"/>
  <c r="AN2168" i="11"/>
  <c r="AN2137" i="11"/>
  <c r="AN2123" i="11"/>
  <c r="AN2180" i="11"/>
  <c r="AN2178" i="11"/>
  <c r="AN2194" i="11"/>
  <c r="AN2183" i="11"/>
  <c r="AN64" i="11"/>
  <c r="AN53" i="11"/>
  <c r="AN103" i="11"/>
  <c r="AN104" i="11"/>
  <c r="AN5" i="11"/>
  <c r="AN77" i="11"/>
  <c r="AN6" i="11"/>
  <c r="AN100" i="11"/>
  <c r="AN48" i="11"/>
  <c r="AN9" i="11"/>
  <c r="AN96" i="11"/>
  <c r="AN52" i="11"/>
  <c r="AO2553" i="11"/>
  <c r="AO2557" i="11"/>
  <c r="AO2535" i="11"/>
  <c r="AO2573" i="11"/>
  <c r="AO2529" i="11"/>
  <c r="AO2614" i="11"/>
  <c r="AO2570" i="11"/>
  <c r="AO2600" i="11"/>
  <c r="AO2534" i="11"/>
  <c r="AO2622" i="11"/>
  <c r="AO2616" i="11"/>
  <c r="AO2530" i="11"/>
  <c r="AO403" i="11"/>
  <c r="AO407" i="11"/>
  <c r="AO323" i="11"/>
  <c r="AO399" i="11"/>
  <c r="AO415" i="11"/>
  <c r="AO341" i="11"/>
  <c r="AO344" i="11"/>
  <c r="AO359" i="11"/>
  <c r="AO368" i="11"/>
  <c r="AO383" i="11"/>
  <c r="AO384" i="11"/>
  <c r="AO408" i="11"/>
  <c r="O26" i="54"/>
  <c r="O127" i="54"/>
  <c r="O76" i="54"/>
  <c r="O203" i="54"/>
  <c r="O6" i="54" s="1"/>
  <c r="O8" i="54" s="1"/>
  <c r="AN1074" i="11"/>
  <c r="AN1071" i="11"/>
  <c r="AN1118" i="11"/>
  <c r="AN1113" i="11"/>
  <c r="AN2896" i="11"/>
  <c r="AN2409" i="11"/>
  <c r="AO1373" i="11"/>
  <c r="AO2438" i="11"/>
  <c r="O34" i="54"/>
  <c r="O84" i="54"/>
  <c r="O135" i="54"/>
  <c r="AO2966" i="11"/>
  <c r="AO2949" i="11"/>
  <c r="AO2971" i="11"/>
  <c r="AO3628" i="11"/>
  <c r="AN1692" i="11"/>
  <c r="AN1604" i="11"/>
  <c r="AN1609" i="11"/>
  <c r="AN1628" i="11"/>
  <c r="AN1671" i="11"/>
  <c r="AN1615" i="11"/>
  <c r="AN1664" i="11"/>
  <c r="AN1652" i="11"/>
  <c r="AN1593" i="11"/>
  <c r="AN1621" i="11"/>
  <c r="AN1605" i="11"/>
  <c r="AN1676" i="11"/>
  <c r="AO2832" i="11"/>
  <c r="AO3293" i="11"/>
  <c r="AO43" i="11"/>
  <c r="AN2788" i="11"/>
  <c r="AO757" i="11"/>
  <c r="AN1215" i="11"/>
  <c r="AO3863" i="11"/>
  <c r="AO3792" i="11"/>
  <c r="AO3846" i="11"/>
  <c r="AO3793" i="11"/>
  <c r="AO3802" i="11"/>
  <c r="AO3798" i="11"/>
  <c r="AO3832" i="11"/>
  <c r="AO3867" i="11"/>
  <c r="AO3849" i="11"/>
  <c r="AO3820" i="11"/>
  <c r="AO3826" i="11"/>
  <c r="AN166" i="11"/>
  <c r="AN169" i="11"/>
  <c r="AN181" i="11"/>
  <c r="AN119" i="11"/>
  <c r="AN176" i="11"/>
  <c r="AN131" i="11"/>
  <c r="AN201" i="11"/>
  <c r="AN150" i="11"/>
  <c r="AN132" i="11"/>
  <c r="AN124" i="11"/>
  <c r="AN136" i="11"/>
  <c r="AN178" i="11"/>
  <c r="AN651" i="11"/>
  <c r="AN661" i="11"/>
  <c r="AO752" i="11"/>
  <c r="AO804" i="11"/>
  <c r="AO810" i="11"/>
  <c r="AO839" i="11"/>
  <c r="AO817" i="11"/>
  <c r="AO840" i="11"/>
  <c r="AO800" i="11"/>
  <c r="AO768" i="11"/>
  <c r="AO762" i="11"/>
  <c r="AO797" i="11"/>
  <c r="AO3542" i="11"/>
  <c r="AO3527" i="11"/>
  <c r="AO3479" i="11"/>
  <c r="AO3513" i="11"/>
  <c r="AO3541" i="11"/>
  <c r="AO3566" i="11"/>
  <c r="AO3521" i="11"/>
  <c r="AO3494" i="11"/>
  <c r="AO3512" i="11"/>
  <c r="AO3511" i="11"/>
  <c r="AO3531" i="11"/>
  <c r="AO3492" i="11"/>
  <c r="AN267" i="11"/>
  <c r="AN238" i="11"/>
  <c r="AN279" i="11"/>
  <c r="AN2525" i="11"/>
  <c r="AN953" i="11"/>
  <c r="AN954" i="11"/>
  <c r="AN1040" i="11"/>
  <c r="AN956" i="11"/>
  <c r="AN1019" i="11"/>
  <c r="AN986" i="11"/>
  <c r="AN952" i="11"/>
  <c r="AN1028" i="11"/>
  <c r="AN1004" i="11"/>
  <c r="AN981" i="11"/>
  <c r="AN967" i="11"/>
  <c r="AN1001" i="11"/>
  <c r="AN3827" i="11"/>
  <c r="AN3811" i="11"/>
  <c r="AN3858" i="11"/>
  <c r="AN3853" i="11"/>
  <c r="AN3806" i="11"/>
  <c r="AN3819" i="11"/>
  <c r="AN3814" i="11"/>
  <c r="AN3868" i="11"/>
  <c r="AN3817" i="11"/>
  <c r="AN3837" i="11"/>
  <c r="AN3882" i="11"/>
  <c r="AN3866" i="11"/>
  <c r="AN2169" i="11"/>
  <c r="AN2167" i="11"/>
  <c r="AN3311" i="11"/>
  <c r="AO1473" i="11"/>
  <c r="AN2355" i="11"/>
  <c r="AO3477" i="11"/>
  <c r="AN2756" i="11"/>
  <c r="AO1396" i="11"/>
  <c r="AO1465" i="11"/>
  <c r="AO1433" i="11"/>
  <c r="AO1468" i="11"/>
  <c r="AO1431" i="11"/>
  <c r="AO1408" i="11"/>
  <c r="AO1375" i="11"/>
  <c r="AO1434" i="11"/>
  <c r="AO1458" i="11"/>
  <c r="AO1392" i="11"/>
  <c r="AO1418" i="11"/>
  <c r="O43" i="54"/>
  <c r="O144" i="54"/>
  <c r="O93" i="54"/>
  <c r="AO260" i="11"/>
  <c r="AO263" i="11"/>
  <c r="AO270" i="11"/>
  <c r="AO297" i="11"/>
  <c r="AO269" i="11"/>
  <c r="AO249" i="11"/>
  <c r="AO300" i="11"/>
  <c r="AO225" i="11"/>
  <c r="AO264" i="11"/>
  <c r="AO233" i="11"/>
  <c r="AO247" i="11"/>
  <c r="AN3187" i="11"/>
  <c r="AO1537" i="11"/>
  <c r="AO1541" i="11"/>
  <c r="AO1566" i="11"/>
  <c r="AO1547" i="11"/>
  <c r="AO1513" i="11"/>
  <c r="AO1520" i="11"/>
  <c r="AO1549" i="11"/>
  <c r="AO1511" i="11"/>
  <c r="AO1573" i="11"/>
  <c r="AO1501" i="11"/>
  <c r="AN3076" i="11"/>
  <c r="AN3100" i="11"/>
  <c r="AN3089" i="11"/>
  <c r="AN3056" i="11"/>
  <c r="AN3054" i="11"/>
  <c r="AN3129" i="11"/>
  <c r="AN3102" i="11"/>
  <c r="AN3053" i="11"/>
  <c r="AN3144" i="11"/>
  <c r="AN3113" i="11"/>
  <c r="AN3106" i="11"/>
  <c r="AN3145" i="11"/>
  <c r="AO1811" i="11"/>
  <c r="AO3709" i="11"/>
  <c r="AN2630" i="11"/>
  <c r="AO3838" i="11"/>
  <c r="AO1400" i="11"/>
  <c r="AO2520" i="11"/>
  <c r="AO1488" i="11"/>
  <c r="AO1093" i="11"/>
  <c r="AO636" i="11"/>
  <c r="AO1286" i="11"/>
  <c r="AN3030" i="11"/>
  <c r="AN3016" i="11"/>
  <c r="AN2985" i="11"/>
  <c r="AN2989" i="11"/>
  <c r="AN2974" i="11"/>
  <c r="AN3020" i="11"/>
  <c r="AN2945" i="11"/>
  <c r="AN2950" i="11"/>
  <c r="AN3009" i="11"/>
  <c r="AN2964" i="11"/>
  <c r="AN3010" i="11"/>
  <c r="AN2290" i="11"/>
  <c r="AN2270" i="11"/>
  <c r="AN2297" i="11"/>
  <c r="AN577" i="11"/>
  <c r="AN2701" i="11"/>
  <c r="AN2698" i="11"/>
  <c r="AN2716" i="11"/>
  <c r="AN2650" i="11"/>
  <c r="AN2704" i="11"/>
  <c r="AN2658" i="11"/>
  <c r="AN2714" i="11"/>
  <c r="AN2683" i="11"/>
  <c r="N80" i="54"/>
  <c r="N131" i="54"/>
  <c r="N30" i="54"/>
  <c r="AN2685" i="11"/>
  <c r="AN2709" i="11"/>
  <c r="AN2689" i="11"/>
  <c r="AN1569" i="11"/>
  <c r="AN1554" i="11"/>
  <c r="AN1524" i="11"/>
  <c r="AN1571" i="11"/>
  <c r="AN1507" i="11"/>
  <c r="AN1546" i="11"/>
  <c r="AN1511" i="11"/>
  <c r="AN1500" i="11"/>
  <c r="AN1540" i="11"/>
  <c r="AN1518" i="11"/>
  <c r="AN1491" i="11"/>
  <c r="AN1568" i="11"/>
  <c r="AO1946" i="11"/>
  <c r="AO1959" i="11"/>
  <c r="AO1985" i="11"/>
  <c r="AO1986" i="11"/>
  <c r="AO1950" i="11"/>
  <c r="AO1902" i="11"/>
  <c r="AO1919" i="11"/>
  <c r="AO1956" i="11"/>
  <c r="AO1949" i="11"/>
  <c r="AO1934" i="11"/>
  <c r="AO1927" i="11"/>
  <c r="AN2628" i="11"/>
  <c r="AN2604" i="11"/>
  <c r="AN2572" i="11"/>
  <c r="AN2618" i="11"/>
  <c r="AN2540" i="11"/>
  <c r="AN2584" i="11"/>
  <c r="AN2552" i="11"/>
  <c r="AN2623" i="11"/>
  <c r="AN2576" i="11"/>
  <c r="AN2544" i="11"/>
  <c r="AN2532" i="11"/>
  <c r="AN2590" i="11"/>
  <c r="AN2622" i="11"/>
  <c r="AN2836" i="11"/>
  <c r="AN2811" i="11"/>
  <c r="AN2749" i="11"/>
  <c r="AN2766" i="11"/>
  <c r="AN2833" i="11"/>
  <c r="AN2792" i="11"/>
  <c r="AN2818" i="11"/>
  <c r="AN2765" i="11"/>
  <c r="AN2781" i="11"/>
  <c r="AN2735" i="11"/>
  <c r="AN2759" i="11"/>
  <c r="AN2796" i="11"/>
  <c r="AN2738" i="11"/>
  <c r="AN38" i="11"/>
  <c r="AN1856" i="11"/>
  <c r="AO3360" i="11"/>
  <c r="AN1811" i="11"/>
  <c r="AN439" i="11"/>
  <c r="AO3821" i="11"/>
  <c r="AO1588" i="11"/>
  <c r="AN1371" i="11"/>
  <c r="AN1434" i="11"/>
  <c r="AN1391" i="11"/>
  <c r="AN1381" i="11"/>
  <c r="AN1428" i="11"/>
  <c r="AN1413" i="11"/>
  <c r="AN1394" i="11"/>
  <c r="AN1447" i="11"/>
  <c r="AN1466" i="11"/>
  <c r="AN1439" i="11"/>
  <c r="AN1379" i="11"/>
  <c r="AN1417" i="11"/>
  <c r="AN1440" i="11"/>
  <c r="AN427" i="11"/>
  <c r="AN495" i="11"/>
  <c r="AN518" i="11"/>
  <c r="AN528" i="11"/>
  <c r="AN510" i="11"/>
  <c r="AN453" i="11"/>
  <c r="AN429" i="11"/>
  <c r="AN431" i="11"/>
  <c r="AN458" i="11"/>
  <c r="AN471" i="11"/>
  <c r="AN503" i="11"/>
  <c r="AN524" i="11"/>
  <c r="AO15" i="11"/>
  <c r="AO52" i="11"/>
  <c r="AO14" i="11"/>
  <c r="AO65" i="11"/>
  <c r="AO91" i="11"/>
  <c r="AO102" i="11"/>
  <c r="AO109" i="11"/>
  <c r="AO100" i="11"/>
  <c r="AO97" i="11"/>
  <c r="AO33" i="11"/>
  <c r="AO1787" i="11"/>
  <c r="AO1749" i="11"/>
  <c r="AO1690" i="11"/>
  <c r="AO1778" i="11"/>
  <c r="AO1780" i="11"/>
  <c r="AO1704" i="11"/>
  <c r="AO1722" i="11"/>
  <c r="AO1685" i="11"/>
  <c r="AO1724" i="11"/>
  <c r="AO1750" i="11"/>
  <c r="AO1721" i="11"/>
  <c r="AO1757" i="11"/>
  <c r="AO3181" i="11"/>
  <c r="O96" i="54"/>
  <c r="O46" i="54"/>
  <c r="O147" i="54"/>
  <c r="AO3202" i="11"/>
  <c r="AO3215" i="11"/>
  <c r="AO3174" i="11"/>
  <c r="AO3186" i="11"/>
  <c r="AO3168" i="11"/>
  <c r="AO3217" i="11"/>
  <c r="AO3236" i="11"/>
  <c r="AO3170" i="11"/>
  <c r="AO3219" i="11"/>
  <c r="AO3188" i="11"/>
  <c r="AO2417" i="11"/>
  <c r="AO2389" i="11"/>
  <c r="AO2386" i="11"/>
  <c r="AO2369" i="11"/>
  <c r="AO2406" i="11"/>
  <c r="AO2347" i="11"/>
  <c r="AO2358" i="11"/>
  <c r="AO2371" i="11"/>
  <c r="AO2370" i="11"/>
  <c r="AO2336" i="11"/>
  <c r="AO2338" i="11"/>
  <c r="AO2381" i="11"/>
  <c r="AN1308" i="11"/>
  <c r="AN1348" i="11"/>
  <c r="AN1301" i="11"/>
  <c r="AN1316" i="11"/>
  <c r="AN1352" i="11"/>
  <c r="AN1341" i="11"/>
  <c r="AN1367" i="11"/>
  <c r="AN1344" i="11"/>
  <c r="AN1358" i="11"/>
  <c r="AN1311" i="11"/>
  <c r="AN1293" i="11"/>
  <c r="AN2105" i="11"/>
  <c r="AN2106" i="11"/>
  <c r="AN2197" i="11"/>
  <c r="AN2155" i="11"/>
  <c r="AN2108" i="11"/>
  <c r="AN2154" i="11"/>
  <c r="AN2145" i="11"/>
  <c r="AN2119" i="11"/>
  <c r="AN2177" i="11"/>
  <c r="AN2173" i="11"/>
  <c r="AN2191" i="11"/>
  <c r="AN2147" i="11"/>
  <c r="AN73" i="11"/>
  <c r="AN72" i="11"/>
  <c r="AN85" i="11"/>
  <c r="AN8" i="11"/>
  <c r="AN109" i="11"/>
  <c r="AN92" i="11"/>
  <c r="AN43" i="11"/>
  <c r="AN37" i="11"/>
  <c r="AN18" i="11"/>
  <c r="AN27" i="11"/>
  <c r="AN31" i="11"/>
  <c r="AN81" i="11"/>
  <c r="O128" i="54"/>
  <c r="O77" i="54"/>
  <c r="O27" i="54"/>
  <c r="AO2581" i="11"/>
  <c r="AO2629" i="11"/>
  <c r="AO2585" i="11"/>
  <c r="AO2621" i="11"/>
  <c r="AO2537" i="11"/>
  <c r="AO2541" i="11"/>
  <c r="AO2525" i="11"/>
  <c r="AO2589" i="11"/>
  <c r="AO2567" i="11"/>
  <c r="AO2550" i="11"/>
  <c r="AO2586" i="11"/>
  <c r="AO386" i="11"/>
  <c r="AO416" i="11"/>
  <c r="AO351" i="11"/>
  <c r="AO370" i="11"/>
  <c r="AO355" i="11"/>
  <c r="AO418" i="11"/>
  <c r="AO406" i="11"/>
  <c r="AO389" i="11"/>
  <c r="AO424" i="11"/>
  <c r="AO343" i="11"/>
  <c r="AO388" i="11"/>
  <c r="AO3132" i="11"/>
  <c r="AO3401" i="11"/>
  <c r="AN3513" i="11"/>
  <c r="AN3561" i="11"/>
  <c r="AN3522" i="11"/>
  <c r="AN3492" i="11"/>
  <c r="AN3477" i="11"/>
  <c r="AN3539" i="11"/>
  <c r="AN3570" i="11"/>
  <c r="AN3523" i="11"/>
  <c r="AN3479" i="11"/>
  <c r="AN3548" i="11"/>
  <c r="AN3514" i="11"/>
  <c r="AN3527" i="11"/>
  <c r="AO96" i="11"/>
  <c r="AO1073" i="11"/>
  <c r="AN2931" i="11"/>
  <c r="AN2115" i="11"/>
  <c r="AN1115" i="11"/>
  <c r="AN1088" i="11"/>
  <c r="AN1138" i="11"/>
  <c r="AN1159" i="11"/>
  <c r="AN1142" i="11"/>
  <c r="AN1103" i="11"/>
  <c r="AN1125" i="11"/>
  <c r="AN1090" i="11"/>
  <c r="AN1124" i="11"/>
  <c r="AN1077" i="11"/>
  <c r="AN1080" i="11"/>
  <c r="AN1154" i="11"/>
  <c r="AN3871" i="11"/>
  <c r="AO1341" i="11"/>
  <c r="AN108" i="11"/>
  <c r="AO3014" i="11"/>
  <c r="AN3491" i="11"/>
  <c r="AO847" i="11"/>
  <c r="O153" i="54"/>
  <c r="O52" i="54"/>
  <c r="O102" i="54"/>
  <c r="AO2866" i="11"/>
  <c r="AO2987" i="11"/>
  <c r="AO3044" i="11"/>
  <c r="AO2978" i="11"/>
  <c r="AO2998" i="11"/>
  <c r="AO2964" i="11"/>
  <c r="AO2979" i="11"/>
  <c r="AO2945" i="11"/>
  <c r="AO3023" i="11"/>
  <c r="AO2954" i="11"/>
  <c r="AO3017" i="11"/>
  <c r="AO2951" i="11"/>
  <c r="N95" i="54"/>
  <c r="N45" i="54"/>
  <c r="N146" i="54"/>
  <c r="AO214" i="11"/>
  <c r="AO111" i="11"/>
  <c r="AO3640" i="11"/>
  <c r="AN2456" i="11"/>
  <c r="AN1608" i="11"/>
  <c r="AN1636" i="11"/>
  <c r="AN1599" i="11"/>
  <c r="AN1684" i="11"/>
  <c r="AN1683" i="11"/>
  <c r="AN1626" i="11"/>
  <c r="AN1623" i="11"/>
  <c r="AN1607" i="11"/>
  <c r="AN1584" i="11"/>
  <c r="AN1624" i="11"/>
  <c r="AN1677" i="11"/>
  <c r="AN1673" i="11"/>
  <c r="AO2815" i="11"/>
  <c r="AN3594" i="11"/>
  <c r="AN3676" i="11"/>
  <c r="N82" i="54"/>
  <c r="N32" i="54"/>
  <c r="N133" i="54"/>
  <c r="AN2711" i="11"/>
  <c r="AO1389" i="11"/>
  <c r="AN1221" i="11"/>
  <c r="AN1828" i="11"/>
  <c r="AO3855" i="11"/>
  <c r="AO3833" i="11"/>
  <c r="AO3853" i="11"/>
  <c r="AO3831" i="11"/>
  <c r="AO3885" i="11"/>
  <c r="AO3847" i="11"/>
  <c r="AO3857" i="11"/>
  <c r="AO3884" i="11"/>
  <c r="AO3854" i="11"/>
  <c r="AO3834" i="11"/>
  <c r="AN134" i="11"/>
  <c r="AN171" i="11"/>
  <c r="AN188" i="11"/>
  <c r="AN192" i="11"/>
  <c r="AN145" i="11"/>
  <c r="AN213" i="11"/>
  <c r="AN144" i="11"/>
  <c r="AN120" i="11"/>
  <c r="AN143" i="11"/>
  <c r="AN170" i="11"/>
  <c r="AN206" i="11"/>
  <c r="AO605" i="11"/>
  <c r="AO552" i="11"/>
  <c r="AN683" i="11"/>
  <c r="AO747" i="11"/>
  <c r="AO824" i="11"/>
  <c r="O58" i="54"/>
  <c r="O159" i="54"/>
  <c r="O108" i="54"/>
  <c r="AO796" i="11"/>
  <c r="AO803" i="11"/>
  <c r="AO841" i="11"/>
  <c r="AO754" i="11"/>
  <c r="AO748" i="11"/>
  <c r="AO777" i="11"/>
  <c r="AO791" i="11"/>
  <c r="AO789" i="11"/>
  <c r="AO835" i="11"/>
  <c r="AO3567" i="11"/>
  <c r="AO3499" i="11"/>
  <c r="AO3572" i="11"/>
  <c r="AO3558" i="11"/>
  <c r="AO3559" i="11"/>
  <c r="AO3516" i="11"/>
  <c r="AO3562" i="11"/>
  <c r="AO3549" i="11"/>
  <c r="AO3530" i="11"/>
  <c r="AO3520" i="11"/>
  <c r="AO3498" i="11"/>
  <c r="AO3491" i="11"/>
  <c r="AN229" i="11"/>
  <c r="AN302" i="11"/>
  <c r="AN1012" i="11"/>
  <c r="AN997" i="11"/>
  <c r="AN1054" i="11"/>
  <c r="AN966" i="11"/>
  <c r="AN957" i="11"/>
  <c r="AN964" i="11"/>
  <c r="AN978" i="11"/>
  <c r="AN985" i="11"/>
  <c r="AN960" i="11"/>
  <c r="AN974" i="11"/>
  <c r="AN1021" i="11"/>
  <c r="AN1041" i="11"/>
  <c r="N203" i="54"/>
  <c r="N6" i="54" s="1"/>
  <c r="N8" i="54" s="1"/>
  <c r="AN3864" i="11"/>
  <c r="AN3842" i="11"/>
  <c r="AN3862" i="11"/>
  <c r="AN3826" i="11"/>
  <c r="AN3884" i="11"/>
  <c r="AN3816" i="11"/>
  <c r="AN3798" i="11"/>
  <c r="AN3880" i="11"/>
  <c r="AN3835" i="11"/>
  <c r="AN3805" i="11"/>
  <c r="AO86" i="11"/>
  <c r="AN2955" i="11"/>
  <c r="AO7" i="11"/>
  <c r="AN274" i="11"/>
  <c r="AN1648" i="11"/>
  <c r="AO156" i="11"/>
  <c r="AN3033" i="11"/>
  <c r="AO24" i="11"/>
  <c r="AO1429" i="11"/>
  <c r="AO1417" i="11"/>
  <c r="AO1420" i="11"/>
  <c r="AO1441" i="11"/>
  <c r="AO1410" i="11"/>
  <c r="AO1398" i="11"/>
  <c r="AO1406" i="11"/>
  <c r="AO1453" i="11"/>
  <c r="AO1413" i="11"/>
  <c r="AO1422" i="11"/>
  <c r="AN391" i="11"/>
  <c r="AN415" i="11"/>
  <c r="AN3442" i="11"/>
  <c r="AO295" i="11"/>
  <c r="AO259" i="11"/>
  <c r="AO299" i="11"/>
  <c r="AO309" i="11"/>
  <c r="AO257" i="11"/>
  <c r="AO304" i="11"/>
  <c r="AO253" i="11"/>
  <c r="AO276" i="11"/>
  <c r="AO274" i="11"/>
  <c r="AO303" i="11"/>
  <c r="AO285" i="11"/>
  <c r="AO239" i="11"/>
  <c r="AN3171" i="11"/>
  <c r="AN3178" i="11"/>
  <c r="AO1567" i="11"/>
  <c r="AO1477" i="11"/>
  <c r="AO1516" i="11"/>
  <c r="AO1548" i="11"/>
  <c r="AO1545" i="11"/>
  <c r="AO1522" i="11"/>
  <c r="AO1565" i="11"/>
  <c r="AO1483" i="11"/>
  <c r="AO1558" i="11"/>
  <c r="AO1492" i="11"/>
  <c r="AO1561" i="11"/>
  <c r="AO1551" i="11"/>
  <c r="AN3133" i="11"/>
  <c r="AN3079" i="11"/>
  <c r="AN3107" i="11"/>
  <c r="AN3125" i="11"/>
  <c r="AN3116" i="11"/>
  <c r="AN3091" i="11"/>
  <c r="AN3088" i="11"/>
  <c r="AN3081" i="11"/>
  <c r="AN3110" i="11"/>
  <c r="AN3131" i="11"/>
  <c r="AN3104" i="11"/>
  <c r="AN3077" i="11"/>
  <c r="AN2148" i="11"/>
  <c r="AO2482" i="11"/>
  <c r="AN1552" i="11"/>
  <c r="N48" i="54"/>
  <c r="N149" i="54"/>
  <c r="N98" i="54"/>
  <c r="AO3261" i="11"/>
  <c r="AO1584" i="11"/>
  <c r="AO1404" i="11"/>
  <c r="AO683" i="11"/>
  <c r="AO734" i="11"/>
  <c r="AN2983" i="11"/>
  <c r="AN3042" i="11"/>
  <c r="AN2956" i="11"/>
  <c r="AN3039" i="11"/>
  <c r="AN3029" i="11"/>
  <c r="AN3043" i="11"/>
  <c r="AN3019" i="11"/>
  <c r="AN3036" i="11"/>
  <c r="AN3037" i="11"/>
  <c r="AN2993" i="11"/>
  <c r="AN2995" i="11"/>
  <c r="AN2292" i="11"/>
  <c r="AN556" i="11"/>
  <c r="AN626" i="11"/>
  <c r="AN612" i="11"/>
  <c r="AN554" i="11"/>
  <c r="AN578" i="11"/>
  <c r="AN630" i="11"/>
  <c r="AN2649" i="11"/>
  <c r="AN2691" i="11"/>
  <c r="AN2657" i="11"/>
  <c r="AN2730" i="11"/>
  <c r="AN2680" i="11"/>
  <c r="AN2634" i="11"/>
  <c r="AN2734" i="11"/>
  <c r="AN2687" i="11"/>
  <c r="AN2721" i="11"/>
  <c r="AN2669" i="11"/>
  <c r="AN2717" i="11"/>
  <c r="AN2667" i="11"/>
  <c r="AO1262" i="11"/>
  <c r="AO1191" i="11"/>
  <c r="AN1530" i="11"/>
  <c r="AN1574" i="11"/>
  <c r="AN1559" i="11"/>
  <c r="AN1536" i="11"/>
  <c r="AN1542" i="11"/>
  <c r="AN1501" i="11"/>
  <c r="AN1522" i="11"/>
  <c r="AN1567" i="11"/>
  <c r="AN1482" i="11"/>
  <c r="AN1578" i="11"/>
  <c r="AN1488" i="11"/>
  <c r="AN1487" i="11"/>
  <c r="AO1977" i="11"/>
  <c r="AO1975" i="11"/>
  <c r="AO1982" i="11"/>
  <c r="AO1964" i="11"/>
  <c r="AO1895" i="11"/>
  <c r="AO1943" i="11"/>
  <c r="AO1909" i="11"/>
  <c r="AO1910" i="11"/>
  <c r="AO1968" i="11"/>
  <c r="AO1898" i="11"/>
  <c r="AO1969" i="11"/>
  <c r="AO1961" i="11"/>
  <c r="AN2533" i="11"/>
  <c r="AN2565" i="11"/>
  <c r="AN2586" i="11"/>
  <c r="AN2610" i="11"/>
  <c r="AN2588" i="11"/>
  <c r="AN2620" i="11"/>
  <c r="N128" i="54"/>
  <c r="N27" i="54"/>
  <c r="N77" i="54"/>
  <c r="AN2580" i="11"/>
  <c r="AN2556" i="11"/>
  <c r="AN2527" i="11"/>
  <c r="AN2530" i="11"/>
  <c r="AN2526" i="11"/>
  <c r="AN2824" i="11"/>
  <c r="AN2783" i="11"/>
  <c r="AN2736" i="11"/>
  <c r="AN2838" i="11"/>
  <c r="AN2760" i="11"/>
  <c r="AN2821" i="11"/>
  <c r="AN2776" i="11"/>
  <c r="AN2799" i="11"/>
  <c r="AN2758" i="11"/>
  <c r="AN2802" i="11"/>
  <c r="AN2768" i="11"/>
  <c r="AN2839" i="11"/>
  <c r="AN2775" i="11"/>
  <c r="AO2760" i="11"/>
  <c r="AN2159" i="11"/>
  <c r="AN1902" i="11"/>
  <c r="AN1256" i="11"/>
  <c r="AN3359" i="11"/>
  <c r="AO40" i="11"/>
  <c r="AN1458" i="11"/>
  <c r="AN1392" i="11"/>
  <c r="AN1403" i="11"/>
  <c r="AN1467" i="11"/>
  <c r="AN1446" i="11"/>
  <c r="AN1410" i="11"/>
  <c r="AN1419" i="11"/>
  <c r="AN1444" i="11"/>
  <c r="AN1472" i="11"/>
  <c r="AN1398" i="11"/>
  <c r="AN1452" i="11"/>
  <c r="AN1420" i="11"/>
  <c r="AN515" i="11"/>
  <c r="AN452" i="11"/>
  <c r="AN508" i="11"/>
  <c r="AN442" i="11"/>
  <c r="AN519" i="11"/>
  <c r="AN443" i="11"/>
  <c r="AN526" i="11"/>
  <c r="AN441" i="11"/>
  <c r="AN460" i="11"/>
  <c r="AN497" i="11"/>
  <c r="AN445" i="11"/>
  <c r="AN522" i="11"/>
  <c r="AO2169" i="11"/>
  <c r="AO74" i="11"/>
  <c r="AO89" i="11"/>
  <c r="AO13" i="11"/>
  <c r="O162" i="54"/>
  <c r="O61" i="54"/>
  <c r="O111" i="54"/>
  <c r="AO94" i="11"/>
  <c r="AO70" i="11"/>
  <c r="AO20" i="11"/>
  <c r="AO36" i="11"/>
  <c r="AO77" i="11"/>
  <c r="AO48" i="11"/>
  <c r="AO27" i="11"/>
  <c r="AO1726" i="11"/>
  <c r="AO1736" i="11"/>
  <c r="AO1730" i="11"/>
  <c r="AO1718" i="11"/>
  <c r="AO1754" i="11"/>
  <c r="AO1784" i="11"/>
  <c r="AO1697" i="11"/>
  <c r="AO1753" i="11"/>
  <c r="AO1708" i="11"/>
  <c r="AO1747" i="11"/>
  <c r="AO1717" i="11"/>
  <c r="AO3247" i="11"/>
  <c r="AO3229" i="11"/>
  <c r="AO3165" i="11"/>
  <c r="AO3255" i="11"/>
  <c r="AO3207" i="11"/>
  <c r="AO3180" i="11"/>
  <c r="AO3200" i="11"/>
  <c r="AO3244" i="11"/>
  <c r="AO3158" i="11"/>
  <c r="AO3253" i="11"/>
  <c r="AO3156" i="11"/>
  <c r="AO3245" i="11"/>
  <c r="AO2352" i="11"/>
  <c r="AO2404" i="11"/>
  <c r="AO2415" i="11"/>
  <c r="AO2395" i="11"/>
  <c r="AO2400" i="11"/>
  <c r="AO2316" i="11"/>
  <c r="AO2354" i="11"/>
  <c r="AO2372" i="11"/>
  <c r="AO2402" i="11"/>
  <c r="AO2408" i="11"/>
  <c r="AO2375" i="11"/>
  <c r="AO2387" i="11"/>
  <c r="N36" i="54"/>
  <c r="N86" i="54"/>
  <c r="N137" i="54"/>
  <c r="AN1331" i="11"/>
  <c r="AN1314" i="11"/>
  <c r="AN1309" i="11"/>
  <c r="AN1342" i="11"/>
  <c r="AN1283" i="11"/>
  <c r="AN1349" i="11"/>
  <c r="AN1302" i="11"/>
  <c r="AN1279" i="11"/>
  <c r="AN1313" i="11"/>
  <c r="AN1278" i="11"/>
  <c r="AN1361" i="11"/>
  <c r="AN1282" i="11"/>
  <c r="AN2136" i="11"/>
  <c r="AN2166" i="11"/>
  <c r="AN2200" i="11"/>
  <c r="AN2203" i="11"/>
  <c r="AN2161" i="11"/>
  <c r="AN2196" i="11"/>
  <c r="AN2201" i="11"/>
  <c r="AN2112" i="11"/>
  <c r="AN2118" i="11"/>
  <c r="AN2120" i="11"/>
  <c r="AN2124" i="11"/>
  <c r="AN2188" i="11"/>
  <c r="AN42" i="11"/>
  <c r="AN40" i="11"/>
  <c r="AN23" i="11"/>
  <c r="AN50" i="11"/>
  <c r="AN95" i="11"/>
  <c r="AN57" i="11"/>
  <c r="AN86" i="11"/>
  <c r="AN15" i="11"/>
  <c r="AN80" i="11"/>
  <c r="AN36" i="11"/>
  <c r="AN58" i="11"/>
  <c r="AO2566" i="11"/>
  <c r="AO2552" i="11"/>
  <c r="AO2556" i="11"/>
  <c r="AO2565" i="11"/>
  <c r="AO2578" i="11"/>
  <c r="AO2555" i="11"/>
  <c r="AO2628" i="11"/>
  <c r="AO2560" i="11"/>
  <c r="AO2623" i="11"/>
  <c r="AO2575" i="11"/>
  <c r="AO2527" i="11"/>
  <c r="AO2617" i="11"/>
  <c r="AO374" i="11"/>
  <c r="AO419" i="11"/>
  <c r="AO324" i="11"/>
  <c r="AO321" i="11"/>
  <c r="AO423" i="11"/>
  <c r="AO329" i="11"/>
  <c r="AO380" i="11"/>
  <c r="AO411" i="11"/>
  <c r="AO338" i="11"/>
  <c r="AO421" i="11"/>
  <c r="AO363" i="11"/>
  <c r="AN3571" i="11"/>
  <c r="O150" i="54"/>
  <c r="O99" i="54"/>
  <c r="O49" i="54"/>
  <c r="AN3573" i="11"/>
  <c r="AN3502" i="11"/>
  <c r="AN3520" i="11"/>
  <c r="AN3516" i="11"/>
  <c r="AN3495" i="11"/>
  <c r="AN3503" i="11"/>
  <c r="AN3525" i="11"/>
  <c r="AN3515" i="11"/>
  <c r="AN3563" i="11"/>
  <c r="AN3565" i="11"/>
  <c r="AN3562" i="11"/>
  <c r="AN1412" i="11"/>
  <c r="Q163" i="54"/>
  <c r="O154" i="54"/>
  <c r="O53" i="54"/>
  <c r="O103" i="54"/>
  <c r="AN1135" i="11"/>
  <c r="AN1055" i="11"/>
  <c r="AN1067" i="11"/>
  <c r="AN1155" i="11"/>
  <c r="AN1153" i="11"/>
  <c r="AN1091" i="11"/>
  <c r="AN1158" i="11"/>
  <c r="AN1120" i="11"/>
  <c r="AN1107" i="11"/>
  <c r="AN1157" i="11"/>
  <c r="AN1108" i="11"/>
  <c r="AN3469" i="11"/>
  <c r="AN2869" i="11"/>
  <c r="AN3604" i="11"/>
  <c r="AO759" i="11"/>
  <c r="AO1534" i="11"/>
  <c r="AO1421" i="11"/>
  <c r="AN194" i="11"/>
  <c r="AO864" i="11"/>
  <c r="AO2487" i="11"/>
  <c r="AO2846" i="11"/>
  <c r="AO2962" i="11"/>
  <c r="AO3040" i="11"/>
  <c r="AO2953" i="11"/>
  <c r="AO2946" i="11"/>
  <c r="AO2996" i="11"/>
  <c r="AO3039" i="11"/>
  <c r="AO3028" i="11"/>
  <c r="AO2994" i="11"/>
  <c r="AO3032" i="11"/>
  <c r="AO3002" i="11"/>
  <c r="AO3643" i="11"/>
  <c r="AO3669" i="11"/>
  <c r="AO3651" i="11"/>
  <c r="O106" i="54"/>
  <c r="O157" i="54"/>
  <c r="O56" i="54"/>
  <c r="AN1597" i="11"/>
  <c r="AN1658" i="11"/>
  <c r="AN1631" i="11"/>
  <c r="AN1617" i="11"/>
  <c r="AN1625" i="11"/>
  <c r="AN1610" i="11"/>
  <c r="AN1654" i="11"/>
  <c r="AN1678" i="11"/>
  <c r="AN1659" i="11"/>
  <c r="AN1638" i="11"/>
  <c r="AN1632" i="11"/>
  <c r="AN1657" i="11"/>
  <c r="AN3576" i="11"/>
  <c r="AN3665" i="11"/>
  <c r="AO3342" i="11"/>
  <c r="AO1490" i="11"/>
  <c r="AO250" i="11"/>
  <c r="AO1527" i="11"/>
  <c r="AO3710" i="11"/>
  <c r="AN13" i="11"/>
  <c r="AO767" i="11"/>
  <c r="N136" i="54"/>
  <c r="N85" i="54"/>
  <c r="N35" i="54"/>
  <c r="AN1825" i="11"/>
  <c r="AO3808" i="11"/>
  <c r="AO3810" i="11"/>
  <c r="AO3888" i="11"/>
  <c r="AO3850" i="11"/>
  <c r="AO3874" i="11"/>
  <c r="AO3805" i="11"/>
  <c r="AO3835" i="11"/>
  <c r="AO3790" i="11"/>
  <c r="AO3865" i="11"/>
  <c r="AO3852" i="11"/>
  <c r="AO3813" i="11"/>
  <c r="AN158" i="11"/>
  <c r="AN110" i="11"/>
  <c r="N105" i="54"/>
  <c r="N55" i="54"/>
  <c r="N156" i="54"/>
  <c r="AN130" i="11"/>
  <c r="AN196" i="11"/>
  <c r="AN199" i="11"/>
  <c r="AN174" i="11"/>
  <c r="AN185" i="11"/>
  <c r="AN135" i="11"/>
  <c r="AN127" i="11"/>
  <c r="AN137" i="11"/>
  <c r="AN159" i="11"/>
  <c r="AO588" i="11"/>
  <c r="AN709" i="11"/>
  <c r="AN640" i="11"/>
  <c r="AO820" i="11"/>
  <c r="AO805" i="11"/>
  <c r="AO794" i="11"/>
  <c r="AO769" i="11"/>
  <c r="AO801" i="11"/>
  <c r="AO838" i="11"/>
  <c r="AO819" i="11"/>
  <c r="AO778" i="11"/>
  <c r="AO822" i="11"/>
  <c r="AO818" i="11"/>
  <c r="AO771" i="11"/>
  <c r="AO821" i="11"/>
  <c r="AO793" i="11"/>
  <c r="AO3478" i="11"/>
  <c r="AO3486" i="11"/>
  <c r="AO3475" i="11"/>
  <c r="AO3528" i="11"/>
  <c r="AO3485" i="11"/>
  <c r="AO3557" i="11"/>
  <c r="AO3504" i="11"/>
  <c r="AO3519" i="11"/>
  <c r="AO3482" i="11"/>
  <c r="AO3539" i="11"/>
  <c r="AO3534" i="11"/>
  <c r="AO3556" i="11"/>
  <c r="N43" i="54"/>
  <c r="N93" i="54"/>
  <c r="N144" i="54"/>
  <c r="AN247" i="11"/>
  <c r="AN1052" i="11"/>
  <c r="AN959" i="11"/>
  <c r="AN1027" i="11"/>
  <c r="AN989" i="11"/>
  <c r="AN1006" i="11"/>
  <c r="AN1045" i="11"/>
  <c r="AN955" i="11"/>
  <c r="AN980" i="11"/>
  <c r="AN994" i="11"/>
  <c r="AN1050" i="11"/>
  <c r="AN1024" i="11"/>
  <c r="AN1042" i="11"/>
  <c r="AN3874" i="11"/>
  <c r="AN3810" i="11"/>
  <c r="AN3861" i="11"/>
  <c r="AN3796" i="11"/>
  <c r="AN3841" i="11"/>
  <c r="AN3844" i="11"/>
  <c r="AN3809" i="11"/>
  <c r="AN3795" i="11"/>
  <c r="AN3885" i="11"/>
  <c r="AN3854" i="11"/>
  <c r="AN3785" i="11"/>
  <c r="AO176" i="11"/>
  <c r="AN447" i="11"/>
  <c r="AO31" i="11"/>
  <c r="AN459" i="11"/>
  <c r="AO3547" i="11"/>
  <c r="AN1033" i="11"/>
  <c r="AN3374" i="11"/>
  <c r="AN1668" i="11"/>
  <c r="AO1449" i="11"/>
  <c r="AO1425" i="11"/>
  <c r="AO1402" i="11"/>
  <c r="AO1382" i="11"/>
  <c r="AO1459" i="11"/>
  <c r="AO1446" i="11"/>
  <c r="AO1423" i="11"/>
  <c r="AO1390" i="11"/>
  <c r="AO1378" i="11"/>
  <c r="AN353" i="11"/>
  <c r="AN377" i="11"/>
  <c r="AN339" i="11"/>
  <c r="AN385" i="11"/>
  <c r="AO226" i="11"/>
  <c r="AO271" i="11"/>
  <c r="AO288" i="11"/>
  <c r="AO301" i="11"/>
  <c r="AO215" i="11"/>
  <c r="AO319" i="11"/>
  <c r="AO238" i="11"/>
  <c r="AO305" i="11"/>
  <c r="AO237" i="11"/>
  <c r="AO251" i="11"/>
  <c r="AN3257" i="11"/>
  <c r="O39" i="54"/>
  <c r="O89" i="54"/>
  <c r="O140" i="54"/>
  <c r="AO1503" i="11"/>
  <c r="AO1509" i="11"/>
  <c r="AO1497" i="11"/>
  <c r="AO1570" i="11"/>
  <c r="AO1515" i="11"/>
  <c r="AO1481" i="11"/>
  <c r="AO1508" i="11"/>
  <c r="AO1523" i="11"/>
  <c r="AO1478" i="11"/>
  <c r="AO1476" i="11"/>
  <c r="AN3090" i="11"/>
  <c r="AN3085" i="11"/>
  <c r="AN3063" i="11"/>
  <c r="AN3103" i="11"/>
  <c r="AN3112" i="11"/>
  <c r="AN3052" i="11"/>
  <c r="AN3143" i="11"/>
  <c r="AN3060" i="11"/>
  <c r="AN3070" i="11"/>
  <c r="AN3153" i="11"/>
  <c r="AN2666" i="11"/>
  <c r="AO814" i="11"/>
  <c r="AO2701" i="11"/>
  <c r="AO339" i="11"/>
  <c r="AN420" i="11"/>
  <c r="AO1336" i="11"/>
  <c r="AO1618" i="11"/>
  <c r="AO3501" i="11"/>
  <c r="AO1099" i="11"/>
  <c r="AO659" i="11"/>
  <c r="O284" i="54"/>
  <c r="O9" i="54" s="1"/>
  <c r="O11" i="54" s="1"/>
  <c r="AN2982" i="11"/>
  <c r="AN3018" i="11"/>
  <c r="AN2958" i="11"/>
  <c r="AN3049" i="11"/>
  <c r="AN2984" i="11"/>
  <c r="AN3046" i="11"/>
  <c r="AN2961" i="11"/>
  <c r="AN2952" i="11"/>
  <c r="AN3000" i="11"/>
  <c r="AN3048" i="11"/>
  <c r="AN2960" i="11"/>
  <c r="AN2959" i="11"/>
  <c r="AN2256" i="11"/>
  <c r="N160" i="54"/>
  <c r="N59" i="54"/>
  <c r="N109" i="54"/>
  <c r="AN2684" i="11"/>
  <c r="AN2720" i="11"/>
  <c r="AN2674" i="11"/>
  <c r="AN2688" i="11"/>
  <c r="AN2645" i="11"/>
  <c r="AN2686" i="11"/>
  <c r="AN2681" i="11"/>
  <c r="AN2647" i="11"/>
  <c r="AN2703" i="11"/>
  <c r="AN2635" i="11"/>
  <c r="AN2640" i="11"/>
  <c r="AN1527" i="11"/>
  <c r="AN1489" i="11"/>
  <c r="AN1556" i="11"/>
  <c r="AN1529" i="11"/>
  <c r="AN1575" i="11"/>
  <c r="AN1541" i="11"/>
  <c r="AN1520" i="11"/>
  <c r="AN1539" i="11"/>
  <c r="AN1551" i="11"/>
  <c r="AN1497" i="11"/>
  <c r="AN1477" i="11"/>
  <c r="AN1517" i="11"/>
  <c r="AO1907" i="11"/>
  <c r="AO1945" i="11"/>
  <c r="AO1960" i="11"/>
  <c r="AO1901" i="11"/>
  <c r="AO1954" i="11"/>
  <c r="AO1908" i="11"/>
  <c r="AO1984" i="11"/>
  <c r="AO1911" i="11"/>
  <c r="AO1948" i="11"/>
  <c r="AO1896" i="11"/>
  <c r="AO1924" i="11"/>
  <c r="AO1916" i="11"/>
  <c r="AO1938" i="11"/>
  <c r="AN2541" i="11"/>
  <c r="AN2528" i="11"/>
  <c r="AN2542" i="11"/>
  <c r="AN2575" i="11"/>
  <c r="AN2561" i="11"/>
  <c r="AN2617" i="11"/>
  <c r="AN2571" i="11"/>
  <c r="AN2592" i="11"/>
  <c r="AN2616" i="11"/>
  <c r="AN2573" i="11"/>
  <c r="AN2549" i="11"/>
  <c r="AN2603" i="11"/>
  <c r="AN2753" i="11"/>
  <c r="AN2814" i="11"/>
  <c r="AN2800" i="11"/>
  <c r="AN2830" i="11"/>
  <c r="AN2827" i="11"/>
  <c r="AN2744" i="11"/>
  <c r="AN2745" i="11"/>
  <c r="AN2746" i="11"/>
  <c r="AN2801" i="11"/>
  <c r="AN2831" i="11"/>
  <c r="AN2747" i="11"/>
  <c r="AO477" i="11"/>
  <c r="AN2363" i="11"/>
  <c r="AO1482" i="11"/>
  <c r="AN1049" i="11"/>
  <c r="AN3869" i="11"/>
  <c r="AN3476" i="11"/>
  <c r="AN486" i="11"/>
  <c r="AO3526" i="11"/>
  <c r="N33" i="54"/>
  <c r="N83" i="54"/>
  <c r="N134" i="54"/>
  <c r="AN1415" i="11"/>
  <c r="AN1383" i="11"/>
  <c r="AN1418" i="11"/>
  <c r="AN1397" i="11"/>
  <c r="AN1471" i="11"/>
  <c r="AN1380" i="11"/>
  <c r="AN1470" i="11"/>
  <c r="AN1423" i="11"/>
  <c r="AN1474" i="11"/>
  <c r="AN1456" i="11"/>
  <c r="AN435" i="11"/>
  <c r="AN428" i="11"/>
  <c r="AN505" i="11"/>
  <c r="AN494" i="11"/>
  <c r="AN425" i="11"/>
  <c r="AN468" i="11"/>
  <c r="AN520" i="11"/>
  <c r="AN440" i="11"/>
  <c r="AN500" i="11"/>
  <c r="AN507" i="11"/>
  <c r="AN472" i="11"/>
  <c r="AO809" i="11"/>
  <c r="AN970" i="11"/>
  <c r="AO69" i="11"/>
  <c r="AO107" i="11"/>
  <c r="AO49" i="11"/>
  <c r="AO6" i="11"/>
  <c r="AO19" i="11"/>
  <c r="AO108" i="11"/>
  <c r="AO34" i="11"/>
  <c r="AO21" i="11"/>
  <c r="AO60" i="11"/>
  <c r="AO66" i="11"/>
  <c r="AO92" i="11"/>
  <c r="AO1765" i="11"/>
  <c r="AO1771" i="11"/>
  <c r="AO1744" i="11"/>
  <c r="AO1786" i="11"/>
  <c r="AO1775" i="11"/>
  <c r="AO1728" i="11"/>
  <c r="AO1698" i="11"/>
  <c r="AO1720" i="11"/>
  <c r="AO1707" i="11"/>
  <c r="AO1776" i="11"/>
  <c r="AO1715" i="11"/>
  <c r="AO1767" i="11"/>
  <c r="AO3214" i="11"/>
  <c r="AO3237" i="11"/>
  <c r="AO3235" i="11"/>
  <c r="AO3226" i="11"/>
  <c r="AO3177" i="11"/>
  <c r="AO3199" i="11"/>
  <c r="AO3232" i="11"/>
  <c r="AO3224" i="11"/>
  <c r="AO3172" i="11"/>
  <c r="AO3187" i="11"/>
  <c r="AO3254" i="11"/>
  <c r="AO3175" i="11"/>
  <c r="AO2383" i="11"/>
  <c r="AO2360" i="11"/>
  <c r="AO2411" i="11"/>
  <c r="AO2378" i="11"/>
  <c r="AO2350" i="11"/>
  <c r="AO2341" i="11"/>
  <c r="AO2335" i="11"/>
  <c r="AO2365" i="11"/>
  <c r="AO2377" i="11"/>
  <c r="AO2317" i="11"/>
  <c r="AO2405" i="11"/>
  <c r="AO2339" i="11"/>
  <c r="AN1335" i="11"/>
  <c r="AN1338" i="11"/>
  <c r="AN1329" i="11"/>
  <c r="AN1273" i="11"/>
  <c r="AN1265" i="11"/>
  <c r="AN1319" i="11"/>
  <c r="AN1285" i="11"/>
  <c r="AN1295" i="11"/>
  <c r="AN1312" i="11"/>
  <c r="AN1306" i="11"/>
  <c r="AN1337" i="11"/>
  <c r="AN1325" i="11"/>
  <c r="AN1328" i="11"/>
  <c r="AN2193" i="11"/>
  <c r="AN2171" i="11"/>
  <c r="AN2175" i="11"/>
  <c r="AN2135" i="11"/>
  <c r="AN2110" i="11"/>
  <c r="AN2182" i="11"/>
  <c r="AN2138" i="11"/>
  <c r="AN2153" i="11"/>
  <c r="AN2133" i="11"/>
  <c r="AN2125" i="11"/>
  <c r="AN2144" i="11"/>
  <c r="AN2109" i="11"/>
  <c r="AN107" i="11"/>
  <c r="AN87" i="11"/>
  <c r="AN24" i="11"/>
  <c r="AN106" i="11"/>
  <c r="AN78" i="11"/>
  <c r="AN47" i="11"/>
  <c r="AN17" i="11"/>
  <c r="AN59" i="11"/>
  <c r="AN12" i="11"/>
  <c r="AN55" i="11"/>
  <c r="AN29" i="11"/>
  <c r="AN93" i="11"/>
  <c r="AO2618" i="11"/>
  <c r="AO2542" i="11"/>
  <c r="AO2605" i="11"/>
  <c r="AO2544" i="11"/>
  <c r="AO2563" i="11"/>
  <c r="AO2546" i="11"/>
  <c r="AO2576" i="11"/>
  <c r="AO2607" i="11"/>
  <c r="AO2610" i="11"/>
  <c r="AO2545" i="11"/>
  <c r="AO2547" i="11"/>
  <c r="AO369" i="11"/>
  <c r="AO364" i="11"/>
  <c r="AO362" i="11"/>
  <c r="AO350" i="11"/>
  <c r="AO397" i="11"/>
  <c r="AO393" i="11"/>
  <c r="AO333" i="11"/>
  <c r="AO367" i="11"/>
  <c r="AO412" i="11"/>
  <c r="AO340" i="11"/>
  <c r="AO332" i="11"/>
  <c r="AO375" i="11"/>
  <c r="AN3534" i="11"/>
  <c r="AO3380" i="11"/>
  <c r="AN3470" i="11"/>
  <c r="AN3471" i="11"/>
  <c r="AN3564" i="11"/>
  <c r="AN3498" i="11"/>
  <c r="AN3574" i="11"/>
  <c r="AN3546" i="11"/>
  <c r="AN3474" i="11"/>
  <c r="AN3480" i="11"/>
  <c r="AN3481" i="11"/>
  <c r="AN3560" i="11"/>
  <c r="AN1053" i="11"/>
  <c r="AN2670" i="11"/>
  <c r="AN477" i="11"/>
  <c r="AN1146" i="11"/>
  <c r="AN1066" i="11"/>
  <c r="AN1069" i="11"/>
  <c r="AN1065" i="11"/>
  <c r="AN1060" i="11"/>
  <c r="AN1133" i="11"/>
  <c r="AN1092" i="11"/>
  <c r="AN1086" i="11"/>
  <c r="AN1095" i="11"/>
  <c r="AN1150" i="11"/>
  <c r="AN2379" i="11"/>
  <c r="AN3838" i="11"/>
  <c r="AO1409" i="11"/>
  <c r="AN3072" i="11"/>
  <c r="AN2807" i="11"/>
  <c r="AN1005" i="11"/>
  <c r="AO1712" i="11"/>
  <c r="O142" i="54"/>
  <c r="O41" i="54"/>
  <c r="O91" i="54"/>
  <c r="AO2474" i="11"/>
  <c r="AO2523" i="11"/>
  <c r="AO2984" i="11"/>
  <c r="O88" i="54"/>
  <c r="O38" i="54"/>
  <c r="O139" i="54"/>
  <c r="AO3019" i="11"/>
  <c r="AO2965" i="11"/>
  <c r="AO3049" i="11"/>
  <c r="AO2956" i="11"/>
  <c r="AO3047" i="11"/>
  <c r="AO2976" i="11"/>
  <c r="AO2952" i="11"/>
  <c r="AO3038" i="11"/>
  <c r="AO2975" i="11"/>
  <c r="AO3046" i="11"/>
  <c r="AN794" i="11"/>
  <c r="AO3653" i="11"/>
  <c r="AO3633" i="11"/>
  <c r="AO1878" i="11"/>
  <c r="AO1847" i="11"/>
  <c r="AN1633" i="11"/>
  <c r="N103" i="54"/>
  <c r="N154" i="54"/>
  <c r="N53" i="54"/>
  <c r="AN1603" i="11"/>
  <c r="AN1656" i="11"/>
  <c r="AN1680" i="11"/>
  <c r="AN1663" i="11"/>
  <c r="AN1600" i="11"/>
  <c r="AN1595" i="11"/>
  <c r="AN1591" i="11"/>
  <c r="AN1581" i="11"/>
  <c r="AN1606" i="11"/>
  <c r="AN1620" i="11"/>
  <c r="AN76" i="11"/>
  <c r="AO1394" i="11"/>
  <c r="AO51" i="11"/>
  <c r="AO68" i="11"/>
  <c r="AN1164" i="11"/>
  <c r="AN1190" i="11"/>
  <c r="AN1792" i="11"/>
  <c r="AO473" i="11"/>
  <c r="AO3740" i="11"/>
  <c r="AO3719" i="11"/>
  <c r="AO3868" i="11"/>
  <c r="AO3791" i="11"/>
  <c r="AO3811" i="11"/>
  <c r="AO3851" i="11"/>
  <c r="AO3877" i="11"/>
  <c r="AO3843" i="11"/>
  <c r="AO3801" i="11"/>
  <c r="AO3873" i="11"/>
  <c r="AO3861" i="11"/>
  <c r="AO3812" i="11"/>
  <c r="AO3788" i="11"/>
  <c r="AO3882" i="11"/>
  <c r="AN157" i="11"/>
  <c r="AN138" i="11"/>
  <c r="AN118" i="11"/>
  <c r="AN214" i="11"/>
  <c r="AN204" i="11"/>
  <c r="AN125" i="11"/>
  <c r="AN203" i="11"/>
  <c r="AN133" i="11"/>
  <c r="AN195" i="11"/>
  <c r="AN122" i="11"/>
  <c r="AN197" i="11"/>
  <c r="AN114" i="11"/>
  <c r="AO775" i="11"/>
  <c r="AO830" i="11"/>
  <c r="AO787" i="11"/>
  <c r="AO779" i="11"/>
  <c r="AO758" i="11"/>
  <c r="AO744" i="11"/>
  <c r="AO842" i="11"/>
  <c r="AO828" i="11"/>
  <c r="AO811" i="11"/>
  <c r="AO784" i="11"/>
  <c r="AO806" i="11"/>
  <c r="AO786" i="11"/>
  <c r="AO3525" i="11"/>
  <c r="AO3529" i="11"/>
  <c r="AO3496" i="11"/>
  <c r="AO3480" i="11"/>
  <c r="AO3474" i="11"/>
  <c r="AO3514" i="11"/>
  <c r="AO3489" i="11"/>
  <c r="AO3473" i="11"/>
  <c r="AO3554" i="11"/>
  <c r="AO3524" i="11"/>
  <c r="AO3537" i="11"/>
  <c r="AO3488" i="11"/>
  <c r="AN260" i="11"/>
  <c r="AN1026" i="11"/>
  <c r="AN1030" i="11"/>
  <c r="AN968" i="11"/>
  <c r="N102" i="54"/>
  <c r="N153" i="54"/>
  <c r="N52" i="54"/>
  <c r="AN1016" i="11"/>
  <c r="AN975" i="11"/>
  <c r="AN1000" i="11"/>
  <c r="AN1032" i="11"/>
  <c r="AN988" i="11"/>
  <c r="AN950" i="11"/>
  <c r="AN1002" i="11"/>
  <c r="N26" i="54"/>
  <c r="AN3803" i="11"/>
  <c r="AN3839" i="11"/>
  <c r="AN3797" i="11"/>
  <c r="AN3855" i="11"/>
  <c r="AN3821" i="11"/>
  <c r="AN3804" i="11"/>
  <c r="AN3848" i="11"/>
  <c r="AN3872" i="11"/>
  <c r="AN3788" i="11"/>
  <c r="AN3822" i="11"/>
  <c r="AN2632" i="11"/>
  <c r="AN2579" i="11"/>
  <c r="AO2428" i="11"/>
  <c r="AN1105" i="11"/>
  <c r="AN752" i="11"/>
  <c r="AO1447" i="11"/>
  <c r="AO312" i="11"/>
  <c r="AN3496" i="11"/>
  <c r="AO2613" i="11"/>
  <c r="AO3015" i="11"/>
  <c r="AO1399" i="11"/>
  <c r="AO1370" i="11"/>
  <c r="AO1435" i="11"/>
  <c r="AO1472" i="11"/>
  <c r="AO1412" i="11"/>
  <c r="AO1426" i="11"/>
  <c r="AO1403" i="11"/>
  <c r="AO1464" i="11"/>
  <c r="AO1470" i="11"/>
  <c r="AO254" i="11"/>
  <c r="AO277" i="11"/>
  <c r="AO280" i="11"/>
  <c r="AO294" i="11"/>
  <c r="AO232" i="11"/>
  <c r="AO279" i="11"/>
  <c r="AO293" i="11"/>
  <c r="AO286" i="11"/>
  <c r="AO220" i="11"/>
  <c r="AO244" i="11"/>
  <c r="AO221" i="11"/>
  <c r="AN3247" i="11"/>
  <c r="AO1495" i="11"/>
  <c r="AO1524" i="11"/>
  <c r="AO1556" i="11"/>
  <c r="AO1542" i="11"/>
  <c r="AO1574" i="11"/>
  <c r="AO1525" i="11"/>
  <c r="AO1579" i="11"/>
  <c r="AO1529" i="11"/>
  <c r="AO1487" i="11"/>
  <c r="AO1539" i="11"/>
  <c r="AO1533" i="11"/>
  <c r="AN3084" i="11"/>
  <c r="AN3132" i="11"/>
  <c r="AN3068" i="11"/>
  <c r="AN3130" i="11"/>
  <c r="AN3142" i="11"/>
  <c r="AN3093" i="11"/>
  <c r="AN3095" i="11"/>
  <c r="AN3065" i="11"/>
  <c r="AN3117" i="11"/>
  <c r="AN3073" i="11"/>
  <c r="AN3066" i="11"/>
  <c r="AN3058" i="11"/>
  <c r="AN3421" i="11"/>
  <c r="AN3105" i="11"/>
  <c r="N143" i="54"/>
  <c r="N42" i="54"/>
  <c r="N92" i="54"/>
  <c r="AN3392" i="11"/>
  <c r="AO1282" i="11"/>
  <c r="AO3817" i="11"/>
  <c r="P112" i="54"/>
  <c r="AO3573" i="11"/>
  <c r="O161" i="54"/>
  <c r="O110" i="54"/>
  <c r="O60" i="54"/>
  <c r="AO698" i="11"/>
  <c r="AN3092" i="11"/>
  <c r="AN3027" i="11"/>
  <c r="AN3015" i="11"/>
  <c r="AN3001" i="11"/>
  <c r="AN3017" i="11"/>
  <c r="AN3014" i="11"/>
  <c r="AN2957" i="11"/>
  <c r="AN2998" i="11"/>
  <c r="AN2946" i="11"/>
  <c r="AN3003" i="11"/>
  <c r="AN2967" i="11"/>
  <c r="AN3008" i="11"/>
  <c r="AN3045" i="11"/>
  <c r="N129" i="54"/>
  <c r="N28" i="54"/>
  <c r="N78" i="54"/>
  <c r="AN2243" i="11"/>
  <c r="AN921" i="11"/>
  <c r="AN869" i="11"/>
  <c r="AN851" i="11"/>
  <c r="N151" i="54"/>
  <c r="N100" i="54"/>
  <c r="N50" i="54"/>
  <c r="AN618" i="11"/>
  <c r="AN610" i="11"/>
  <c r="AN627" i="11"/>
  <c r="AN2661" i="11"/>
  <c r="AN2644" i="11"/>
  <c r="AN2675" i="11"/>
  <c r="AN2699" i="11"/>
  <c r="AN2638" i="11"/>
  <c r="AN2679" i="11"/>
  <c r="AN2722" i="11"/>
  <c r="AN2652" i="11"/>
  <c r="AN2723" i="11"/>
  <c r="AN2732" i="11"/>
  <c r="AN2677" i="11"/>
  <c r="AN1547" i="11"/>
  <c r="AN1502" i="11"/>
  <c r="AN1533" i="11"/>
  <c r="AN1505" i="11"/>
  <c r="AN1561" i="11"/>
  <c r="AN1513" i="11"/>
  <c r="AN1538" i="11"/>
  <c r="AN1508" i="11"/>
  <c r="AN1576" i="11"/>
  <c r="AN1516" i="11"/>
  <c r="AN1484" i="11"/>
  <c r="AO1951" i="11"/>
  <c r="AO1989" i="11"/>
  <c r="AO1925" i="11"/>
  <c r="AO1974" i="11"/>
  <c r="AO1944" i="11"/>
  <c r="AO1997" i="11"/>
  <c r="AO1999" i="11"/>
  <c r="AO1929" i="11"/>
  <c r="AO1940" i="11"/>
  <c r="AO1912" i="11"/>
  <c r="AO1932" i="11"/>
  <c r="AO1957" i="11"/>
  <c r="AO1923" i="11"/>
  <c r="AN2529" i="11"/>
  <c r="AN2624" i="11"/>
  <c r="AN2569" i="11"/>
  <c r="AN2536" i="11"/>
  <c r="AN2546" i="11"/>
  <c r="AN2534" i="11"/>
  <c r="AN2597" i="11"/>
  <c r="AN2629" i="11"/>
  <c r="AN2583" i="11"/>
  <c r="AN2568" i="11"/>
  <c r="AN2587" i="11"/>
  <c r="AN2596" i="11"/>
  <c r="AN2570" i="11"/>
  <c r="AN2761" i="11"/>
  <c r="AN2778" i="11"/>
  <c r="AN2782" i="11"/>
  <c r="AN2787" i="11"/>
  <c r="AN2819" i="11"/>
  <c r="AN2772" i="11"/>
  <c r="AN2785" i="11"/>
  <c r="AN2770" i="11"/>
  <c r="AN2817" i="11"/>
  <c r="AN2790" i="11"/>
  <c r="AN2825" i="11"/>
  <c r="AN2750" i="11"/>
  <c r="AO3227" i="11"/>
  <c r="AO3033" i="11"/>
  <c r="AN1736" i="11"/>
  <c r="AN283" i="11"/>
  <c r="AO3251" i="11"/>
  <c r="AN3759" i="11"/>
  <c r="AN1441" i="11"/>
  <c r="AN1443" i="11"/>
  <c r="AN1454" i="11"/>
  <c r="AN1372" i="11"/>
  <c r="AN1445" i="11"/>
  <c r="AN1473" i="11"/>
  <c r="AN1388" i="11"/>
  <c r="AN1405" i="11"/>
  <c r="AN1416" i="11"/>
  <c r="AN1382" i="11"/>
  <c r="AN1414" i="11"/>
  <c r="AN1374" i="11"/>
  <c r="AN457" i="11"/>
  <c r="N99" i="54"/>
  <c r="N49" i="54"/>
  <c r="N150" i="54"/>
  <c r="AN461" i="11"/>
  <c r="AN516" i="11"/>
  <c r="AN433" i="11"/>
  <c r="AN469" i="11"/>
  <c r="AN509" i="11"/>
  <c r="AN436" i="11"/>
  <c r="AN484" i="11"/>
  <c r="AN480" i="11"/>
  <c r="AN504" i="11"/>
  <c r="AN1121" i="11"/>
  <c r="AO1864" i="11"/>
  <c r="AO8" i="11"/>
  <c r="AO73" i="11"/>
  <c r="AO25" i="11"/>
  <c r="AO95" i="11"/>
  <c r="AO82" i="11"/>
  <c r="AO47" i="11"/>
  <c r="AO41" i="11"/>
  <c r="AO23" i="11"/>
  <c r="AO18" i="11"/>
  <c r="AO62" i="11"/>
  <c r="AO44" i="11"/>
  <c r="AO50" i="11"/>
  <c r="AO1727" i="11"/>
  <c r="AO1781" i="11"/>
  <c r="AO1713" i="11"/>
  <c r="AO1763" i="11"/>
  <c r="AO1714" i="11"/>
  <c r="AO1695" i="11"/>
  <c r="AO1729" i="11"/>
  <c r="AO1743" i="11"/>
  <c r="AO1745" i="11"/>
  <c r="AO1738" i="11"/>
  <c r="AO1751" i="11"/>
  <c r="AO1764" i="11"/>
  <c r="AO3241" i="11"/>
  <c r="AO3205" i="11"/>
  <c r="AO3173" i="11"/>
  <c r="AO3210" i="11"/>
  <c r="AO3203" i="11"/>
  <c r="AO3166" i="11"/>
  <c r="AO3193" i="11"/>
  <c r="AO3197" i="11"/>
  <c r="AO3161" i="11"/>
  <c r="AO3211" i="11"/>
  <c r="AO3222" i="11"/>
  <c r="AO2359" i="11"/>
  <c r="AO2324" i="11"/>
  <c r="AO2319" i="11"/>
  <c r="AO2407" i="11"/>
  <c r="AO2357" i="11"/>
  <c r="AO2353" i="11"/>
  <c r="AO2403" i="11"/>
  <c r="AO2412" i="11"/>
  <c r="AO2342" i="11"/>
  <c r="AO2379" i="11"/>
  <c r="AO2385" i="11"/>
  <c r="AO2393" i="11"/>
  <c r="AN1296" i="11"/>
  <c r="AN1298" i="11"/>
  <c r="AN1330" i="11"/>
  <c r="AN1357" i="11"/>
  <c r="AN1324" i="11"/>
  <c r="AN1284" i="11"/>
  <c r="AN1299" i="11"/>
  <c r="AN1321" i="11"/>
  <c r="AN1303" i="11"/>
  <c r="AN1332" i="11"/>
  <c r="AN1274" i="11"/>
  <c r="AN1366" i="11"/>
  <c r="AN1326" i="11"/>
  <c r="AN2160" i="11"/>
  <c r="AN2206" i="11"/>
  <c r="AN2111" i="11"/>
  <c r="AN2158" i="11"/>
  <c r="AN2149" i="11"/>
  <c r="AN2150" i="11"/>
  <c r="AN2174" i="11"/>
  <c r="AN2192" i="11"/>
  <c r="AN2204" i="11"/>
  <c r="AN2130" i="11"/>
  <c r="AN2140" i="11"/>
  <c r="AN68" i="11"/>
  <c r="AN84" i="11"/>
  <c r="AN28" i="11"/>
  <c r="AN7" i="11"/>
  <c r="AN89" i="11"/>
  <c r="AN16" i="11"/>
  <c r="AN79" i="11"/>
  <c r="AN67" i="11"/>
  <c r="AN25" i="11"/>
  <c r="AN90" i="11"/>
  <c r="AN34" i="11"/>
  <c r="AN101" i="11"/>
  <c r="AO2608" i="11"/>
  <c r="AO2561" i="11"/>
  <c r="AO2571" i="11"/>
  <c r="AO2587" i="11"/>
  <c r="AO2583" i="11"/>
  <c r="AO2538" i="11"/>
  <c r="AO2526" i="11"/>
  <c r="AO2598" i="11"/>
  <c r="AO2595" i="11"/>
  <c r="AO2594" i="11"/>
  <c r="AO2569" i="11"/>
  <c r="AO409" i="11"/>
  <c r="AO325" i="11"/>
  <c r="AO401" i="11"/>
  <c r="AO422" i="11"/>
  <c r="AO327" i="11"/>
  <c r="AO360" i="11"/>
  <c r="AO404" i="11"/>
  <c r="AO330" i="11"/>
  <c r="AO373" i="11"/>
  <c r="AO352" i="11"/>
  <c r="AO356" i="11"/>
  <c r="AO336" i="11"/>
  <c r="AN3505" i="11"/>
  <c r="AN3518" i="11"/>
  <c r="AN3544" i="11"/>
  <c r="AN3493" i="11"/>
  <c r="AN3517" i="11"/>
  <c r="AN3550" i="11"/>
  <c r="AN3531" i="11"/>
  <c r="AN3490" i="11"/>
  <c r="AN3510" i="11"/>
  <c r="AN3478" i="11"/>
  <c r="AN3551" i="11"/>
  <c r="AN3473" i="11"/>
  <c r="AO1706" i="11"/>
  <c r="Q112" i="54"/>
  <c r="AO1519" i="11"/>
  <c r="AN3794" i="11"/>
  <c r="AN3543" i="11"/>
  <c r="AO1658" i="11"/>
  <c r="AN1140" i="11"/>
  <c r="AN1062" i="11"/>
  <c r="AN1117" i="11"/>
  <c r="AN1109" i="11"/>
  <c r="AN1056" i="11"/>
  <c r="AN1156" i="11"/>
  <c r="AN1101" i="11"/>
  <c r="AN1100" i="11"/>
  <c r="AN1148" i="11"/>
  <c r="AN1076" i="11"/>
  <c r="AN1130" i="11"/>
  <c r="AN1083" i="11"/>
  <c r="AN1073" i="11"/>
  <c r="AN2927" i="11"/>
  <c r="AO1283" i="11"/>
  <c r="AN2352" i="11"/>
  <c r="AN3524" i="11"/>
  <c r="AN113" i="11"/>
  <c r="AO2916" i="11"/>
  <c r="AO3042" i="11"/>
  <c r="AO2973" i="11"/>
  <c r="AO3000" i="11"/>
  <c r="AO2995" i="11"/>
  <c r="AO3043" i="11"/>
  <c r="AO2977" i="11"/>
  <c r="AO3006" i="11"/>
  <c r="AO3031" i="11"/>
  <c r="AO2980" i="11"/>
  <c r="AO2982" i="11"/>
  <c r="AO2972" i="11"/>
  <c r="AO172" i="11"/>
  <c r="AN1646" i="11"/>
  <c r="AN1645" i="11"/>
  <c r="AN1651" i="11"/>
  <c r="AN1585" i="11"/>
  <c r="AN1660" i="11"/>
  <c r="AN1596" i="11"/>
  <c r="AN1670" i="11"/>
  <c r="AN1601" i="11"/>
  <c r="AN1669" i="11"/>
  <c r="AN1665" i="11"/>
  <c r="AN1655" i="11"/>
  <c r="AN1582" i="11"/>
  <c r="O47" i="54"/>
  <c r="O97" i="54"/>
  <c r="O148" i="54"/>
  <c r="AN525" i="11"/>
  <c r="AN2743" i="11"/>
  <c r="AN3541" i="11"/>
  <c r="AO1439" i="11"/>
  <c r="AN1858" i="11"/>
  <c r="AO3828" i="11"/>
  <c r="AO3797" i="11"/>
  <c r="AO3796" i="11"/>
  <c r="AO3848" i="11"/>
  <c r="AO3879" i="11"/>
  <c r="AO3787" i="11"/>
  <c r="AO3880" i="11"/>
  <c r="AO3841" i="11"/>
  <c r="AO3875" i="11"/>
  <c r="AO3886" i="11"/>
  <c r="AN186" i="11"/>
  <c r="AN128" i="11"/>
  <c r="AN117" i="11"/>
  <c r="AN164" i="11"/>
  <c r="AN111" i="11"/>
  <c r="AN193" i="11"/>
  <c r="AN207" i="11"/>
  <c r="AN210" i="11"/>
  <c r="AN153" i="11"/>
  <c r="AN148" i="11"/>
  <c r="AN162" i="11"/>
  <c r="AO572" i="11"/>
  <c r="AN690" i="11"/>
  <c r="AO808" i="11"/>
  <c r="AO746" i="11"/>
  <c r="AO760" i="11"/>
  <c r="AO774" i="11"/>
  <c r="AO834" i="11"/>
  <c r="AO798" i="11"/>
  <c r="AO843" i="11"/>
  <c r="AO826" i="11"/>
  <c r="AO749" i="11"/>
  <c r="AO780" i="11"/>
  <c r="O94" i="54"/>
  <c r="O145" i="54"/>
  <c r="O44" i="54"/>
  <c r="AO3493" i="11"/>
  <c r="AO3510" i="11"/>
  <c r="AO3546" i="11"/>
  <c r="AO3555" i="11"/>
  <c r="AO3483" i="11"/>
  <c r="AO3497" i="11"/>
  <c r="AO3552" i="11"/>
  <c r="AO3507" i="11"/>
  <c r="AN277" i="11"/>
  <c r="AN976" i="11"/>
  <c r="AN1015" i="11"/>
  <c r="AN1003" i="11"/>
  <c r="AN1039" i="11"/>
  <c r="AN972" i="11"/>
  <c r="AN1009" i="11"/>
  <c r="AN1043" i="11"/>
  <c r="AN990" i="11"/>
  <c r="AN977" i="11"/>
  <c r="AN1044" i="11"/>
  <c r="AN991" i="11"/>
  <c r="AN3836" i="11"/>
  <c r="AN3791" i="11"/>
  <c r="AN3792" i="11"/>
  <c r="N90" i="54"/>
  <c r="N141" i="54"/>
  <c r="N40" i="54"/>
  <c r="AN3799" i="11"/>
  <c r="AN3793" i="11"/>
  <c r="AN3879" i="11"/>
  <c r="AN3873" i="11"/>
  <c r="AN3840" i="11"/>
  <c r="AN3876" i="11"/>
  <c r="AN3886" i="11"/>
  <c r="AN3829" i="11"/>
  <c r="AN3358" i="11"/>
  <c r="AO1586" i="11"/>
  <c r="AN3340" i="11"/>
  <c r="AO287" i="11"/>
  <c r="AN1435" i="11"/>
  <c r="AO1456" i="11"/>
  <c r="AO1388" i="11"/>
  <c r="AO1387" i="11"/>
  <c r="AO1444" i="11"/>
  <c r="AO1419" i="11"/>
  <c r="AO1440" i="11"/>
  <c r="AO1405" i="11"/>
  <c r="AO1377" i="11"/>
  <c r="AO1386" i="11"/>
  <c r="AO1428" i="11"/>
  <c r="AN358" i="11"/>
  <c r="AN363" i="11"/>
  <c r="AO261" i="11"/>
  <c r="AO282" i="11"/>
  <c r="AO245" i="11"/>
  <c r="AO236" i="11"/>
  <c r="AO230" i="11"/>
  <c r="AO252" i="11"/>
  <c r="AO268" i="11"/>
  <c r="AO315" i="11"/>
  <c r="AO296" i="11"/>
  <c r="AO317" i="11"/>
  <c r="AO1500" i="11"/>
  <c r="AO1480" i="11"/>
  <c r="AO1510" i="11"/>
  <c r="AO1496" i="11"/>
  <c r="AO1564" i="11"/>
  <c r="AO1544" i="11"/>
  <c r="AO1489" i="11"/>
  <c r="AO1571" i="11"/>
  <c r="AO1532" i="11"/>
  <c r="AO1552" i="11"/>
  <c r="AN3071" i="11"/>
  <c r="AN3140" i="11"/>
  <c r="AN3152" i="11"/>
  <c r="AN3134" i="11"/>
  <c r="AN3124" i="11"/>
  <c r="AN3080" i="11"/>
  <c r="AN3139" i="11"/>
  <c r="AN3121" i="11"/>
  <c r="AN3147" i="11"/>
  <c r="AN3069" i="11"/>
  <c r="AN3114" i="11"/>
  <c r="AN3321" i="11"/>
  <c r="AN3011" i="11"/>
  <c r="AN506" i="11"/>
  <c r="AN2755" i="11"/>
  <c r="AN958" i="11"/>
  <c r="AN1930" i="11"/>
  <c r="AO3209" i="11"/>
  <c r="AN2981" i="11"/>
  <c r="AN177" i="11"/>
  <c r="AO2969" i="11"/>
  <c r="AO1092" i="11"/>
  <c r="AO1070" i="11"/>
  <c r="AO3647" i="11"/>
  <c r="AN2969" i="11"/>
  <c r="AN3031" i="11"/>
  <c r="AN3012" i="11"/>
  <c r="AN2954" i="11"/>
  <c r="AN3023" i="11"/>
  <c r="AN2970" i="11"/>
  <c r="AN3006" i="11"/>
  <c r="AN2951" i="11"/>
  <c r="AN2990" i="11"/>
  <c r="AN2971" i="11"/>
  <c r="AN3034" i="11"/>
  <c r="AN3002" i="11"/>
  <c r="AN2253" i="11"/>
  <c r="AN883" i="11"/>
  <c r="AN928" i="11"/>
  <c r="AN589" i="11"/>
  <c r="AN538" i="11"/>
  <c r="AN2651" i="11"/>
  <c r="AN2712" i="11"/>
  <c r="AN2728" i="11"/>
  <c r="AN2636" i="11"/>
  <c r="AN2690" i="11"/>
  <c r="AN2682" i="11"/>
  <c r="AN2659" i="11"/>
  <c r="AN2695" i="11"/>
  <c r="AN2713" i="11"/>
  <c r="AN2642" i="11"/>
  <c r="AO1260" i="11"/>
  <c r="AN1496" i="11"/>
  <c r="AN1526" i="11"/>
  <c r="AN1563" i="11"/>
  <c r="AN1492" i="11"/>
  <c r="AN1519" i="11"/>
  <c r="AN1486" i="11"/>
  <c r="AN1535" i="11"/>
  <c r="AN1512" i="11"/>
  <c r="AN1495" i="11"/>
  <c r="AN1504" i="11"/>
  <c r="AN1545" i="11"/>
  <c r="AO1990" i="11"/>
  <c r="AO1905" i="11"/>
  <c r="AO1915" i="11"/>
  <c r="AO1913" i="11"/>
  <c r="AO1922" i="11"/>
  <c r="AO1937" i="11"/>
  <c r="AO1931" i="11"/>
  <c r="AO1988" i="11"/>
  <c r="AO1952" i="11"/>
  <c r="AO1995" i="11"/>
  <c r="AO1899" i="11"/>
  <c r="AO1921" i="11"/>
  <c r="AO1939" i="11"/>
  <c r="AN2611" i="11"/>
  <c r="AN2558" i="11"/>
  <c r="AN2559" i="11"/>
  <c r="AN2613" i="11"/>
  <c r="AN2563" i="11"/>
  <c r="AN2594" i="11"/>
  <c r="AN2577" i="11"/>
  <c r="AN2535" i="11"/>
  <c r="AN2601" i="11"/>
  <c r="AN2600" i="11"/>
  <c r="AN2595" i="11"/>
  <c r="AN2564" i="11"/>
  <c r="AN2567" i="11"/>
  <c r="AN2789" i="11"/>
  <c r="AN2741" i="11"/>
  <c r="AN2820" i="11"/>
  <c r="AN2786" i="11"/>
  <c r="AN2804" i="11"/>
  <c r="AN2823" i="11"/>
  <c r="AN2740" i="11"/>
  <c r="AN2829" i="11"/>
  <c r="AN2798" i="11"/>
  <c r="AN2816" i="11"/>
  <c r="AN2809" i="11"/>
  <c r="AN2739" i="11"/>
  <c r="AO519" i="11"/>
  <c r="AN3847" i="11"/>
  <c r="AN1370" i="11"/>
  <c r="AN1893" i="11"/>
  <c r="AN3621" i="11"/>
  <c r="AN3807" i="11"/>
  <c r="AN1402" i="11"/>
  <c r="AN1463" i="11"/>
  <c r="AN1406" i="11"/>
  <c r="AN1432" i="11"/>
  <c r="AN1401" i="11"/>
  <c r="AN1460" i="11"/>
  <c r="AN1461" i="11"/>
  <c r="AN1436" i="11"/>
  <c r="AN1400" i="11"/>
  <c r="AN1429" i="11"/>
  <c r="AN1442" i="11"/>
  <c r="AN1396" i="11"/>
  <c r="AN46" i="11"/>
  <c r="AN3860" i="11"/>
  <c r="AN521" i="11"/>
  <c r="AN492" i="11"/>
  <c r="AN493" i="11"/>
  <c r="AN523" i="11"/>
  <c r="AN451" i="11"/>
  <c r="AN498" i="11"/>
  <c r="AN499" i="11"/>
  <c r="AN476" i="11"/>
  <c r="AN470" i="11"/>
  <c r="AN434" i="11"/>
  <c r="AN478" i="11"/>
  <c r="AN774" i="11"/>
  <c r="AO42" i="11"/>
  <c r="AO85" i="11"/>
  <c r="AO90" i="11"/>
  <c r="AO71" i="11"/>
  <c r="AO28" i="11"/>
  <c r="AO12" i="11"/>
  <c r="AO75" i="11"/>
  <c r="AO76" i="11"/>
  <c r="AO93" i="11"/>
  <c r="AO58" i="11"/>
  <c r="AO103" i="11"/>
  <c r="O104" i="54"/>
  <c r="O155" i="54"/>
  <c r="O54" i="54"/>
  <c r="AO1755" i="11"/>
  <c r="AO1768" i="11"/>
  <c r="AO1699" i="11"/>
  <c r="AO1709" i="11"/>
  <c r="AO1739" i="11"/>
  <c r="AO1777" i="11"/>
  <c r="AO1746" i="11"/>
  <c r="AO1785" i="11"/>
  <c r="AO1688" i="11"/>
  <c r="AO1766" i="11"/>
  <c r="AO1789" i="11"/>
  <c r="AO3242" i="11"/>
  <c r="AO3248" i="11"/>
  <c r="AO3159" i="11"/>
  <c r="AO3218" i="11"/>
  <c r="AO3221" i="11"/>
  <c r="AO3196" i="11"/>
  <c r="AO3155" i="11"/>
  <c r="AO3259" i="11"/>
  <c r="AO3171" i="11"/>
  <c r="AO3163" i="11"/>
  <c r="AO3160" i="11"/>
  <c r="AO3258" i="11"/>
  <c r="AO2419" i="11"/>
  <c r="AO2409" i="11"/>
  <c r="AO2366" i="11"/>
  <c r="AO2410" i="11"/>
  <c r="AO2374" i="11"/>
  <c r="AO2356" i="11"/>
  <c r="AO2320" i="11"/>
  <c r="AO2391" i="11"/>
  <c r="AO2337" i="11"/>
  <c r="AO2318" i="11"/>
  <c r="AO2331" i="11"/>
  <c r="AO2361" i="11"/>
  <c r="AN1365" i="11"/>
  <c r="AN1304" i="11"/>
  <c r="AN1310" i="11"/>
  <c r="AN1340" i="11"/>
  <c r="AN1287" i="11"/>
  <c r="AN1300" i="11"/>
  <c r="AN1269" i="11"/>
  <c r="AN1345" i="11"/>
  <c r="AN1276" i="11"/>
  <c r="AN1266" i="11"/>
  <c r="AN1333" i="11"/>
  <c r="AN1364" i="11"/>
  <c r="AN1307" i="11"/>
  <c r="AN2170" i="11"/>
  <c r="AN2156" i="11"/>
  <c r="AN2151" i="11"/>
  <c r="AN2162" i="11"/>
  <c r="AN2113" i="11"/>
  <c r="AN2116" i="11"/>
  <c r="AN2179" i="11"/>
  <c r="AN2195" i="11"/>
  <c r="AN2185" i="11"/>
  <c r="AN2117" i="11"/>
  <c r="AN2122" i="11"/>
  <c r="AN2207" i="11"/>
  <c r="AN20" i="11"/>
  <c r="AN88" i="11"/>
  <c r="AN41" i="11"/>
  <c r="AN99" i="11"/>
  <c r="AN63" i="11"/>
  <c r="AN14" i="11"/>
  <c r="AN60" i="11"/>
  <c r="AN26" i="11"/>
  <c r="AN82" i="11"/>
  <c r="AN94" i="11"/>
  <c r="AN66" i="11"/>
  <c r="AO2531" i="11"/>
  <c r="AO2540" i="11"/>
  <c r="AO2568" i="11"/>
  <c r="AO2592" i="11"/>
  <c r="AO2606" i="11"/>
  <c r="AO2584" i="11"/>
  <c r="AO2612" i="11"/>
  <c r="AO2590" i="11"/>
  <c r="AO2596" i="11"/>
  <c r="AO2532" i="11"/>
  <c r="AO2611" i="11"/>
  <c r="AO2626" i="11"/>
  <c r="AO382" i="11"/>
  <c r="AO335" i="11"/>
  <c r="AO410" i="11"/>
  <c r="AO357" i="11"/>
  <c r="AO417" i="11"/>
  <c r="AO326" i="11"/>
  <c r="AO377" i="11"/>
  <c r="AO392" i="11"/>
  <c r="AO347" i="11"/>
  <c r="AO385" i="11"/>
  <c r="AO349" i="11"/>
  <c r="AO391" i="11"/>
  <c r="AO1716" i="11"/>
  <c r="O30" i="54"/>
  <c r="O80" i="54"/>
  <c r="O131" i="54"/>
  <c r="AN3509" i="11"/>
  <c r="AN3545" i="11"/>
  <c r="AN3504" i="11"/>
  <c r="AN3557" i="11"/>
  <c r="AN3519" i="11"/>
  <c r="AN3485" i="11"/>
  <c r="AN3506" i="11"/>
  <c r="AN3530" i="11"/>
  <c r="AN3526" i="11"/>
  <c r="AN3487" i="11"/>
  <c r="AN3533" i="11"/>
  <c r="AO1692" i="11"/>
  <c r="AO1663" i="11"/>
  <c r="AN1058" i="11"/>
  <c r="AN1079" i="11"/>
  <c r="AN1057" i="11"/>
  <c r="AN1061" i="11"/>
  <c r="AN1137" i="11"/>
  <c r="AN1097" i="11"/>
  <c r="AN1081" i="11"/>
  <c r="AN1089" i="11"/>
  <c r="AN1094" i="11"/>
  <c r="AN1111" i="11"/>
  <c r="AN1131" i="11"/>
  <c r="AN1145" i="11"/>
  <c r="AN3538" i="11"/>
  <c r="N47" i="54"/>
  <c r="N148" i="54"/>
  <c r="N97" i="54"/>
  <c r="O36" i="54"/>
  <c r="O86" i="54"/>
  <c r="O137" i="54"/>
  <c r="O129" i="54"/>
  <c r="O28" i="54"/>
  <c r="O78" i="54"/>
  <c r="AN3801" i="11"/>
  <c r="AN2176" i="11"/>
  <c r="AO1460" i="11"/>
  <c r="AO889" i="11"/>
  <c r="AO986" i="11"/>
  <c r="AO2510" i="11"/>
  <c r="AO2466" i="11"/>
  <c r="AO2943" i="11"/>
  <c r="AO2948" i="11"/>
  <c r="AO2974" i="11"/>
  <c r="AO2967" i="11"/>
  <c r="AO3003" i="11"/>
  <c r="AO3041" i="11"/>
  <c r="AO2999" i="11"/>
  <c r="AO3030" i="11"/>
  <c r="AO3024" i="11"/>
  <c r="AO2992" i="11"/>
  <c r="AO2997" i="11"/>
  <c r="AO3048" i="11"/>
  <c r="AN784" i="11"/>
  <c r="AO179" i="11"/>
  <c r="N104" i="54"/>
  <c r="N155" i="54"/>
  <c r="N54" i="54"/>
  <c r="AO1833" i="11"/>
  <c r="AN1649" i="11"/>
  <c r="AN1614" i="11"/>
  <c r="AN1662" i="11"/>
  <c r="AN1681" i="11"/>
  <c r="AN1586" i="11"/>
  <c r="AN1634" i="11"/>
  <c r="AN1627" i="11"/>
  <c r="AN1647" i="11"/>
  <c r="AN1602" i="11"/>
  <c r="AN1666" i="11"/>
  <c r="AN1630" i="11"/>
  <c r="AN3648" i="11"/>
  <c r="AO3343" i="11"/>
  <c r="AO3280" i="11"/>
  <c r="AN3568" i="11"/>
  <c r="AN3312" i="11"/>
  <c r="AN2805" i="11"/>
  <c r="AO1407" i="11"/>
  <c r="AO2631" i="11"/>
  <c r="AO3789" i="11"/>
  <c r="AO3859" i="11"/>
  <c r="AO3803" i="11"/>
  <c r="AO3824" i="11"/>
  <c r="AO3827" i="11"/>
  <c r="AO3869" i="11"/>
  <c r="AO3839" i="11"/>
  <c r="AO3825" i="11"/>
  <c r="AO3800" i="11"/>
  <c r="AO3840" i="11"/>
  <c r="AO3804" i="11"/>
  <c r="AN154" i="11"/>
  <c r="AN175" i="11"/>
  <c r="AN208" i="11"/>
  <c r="AN167" i="11"/>
  <c r="AN180" i="11"/>
  <c r="AN160" i="11"/>
  <c r="AN168" i="11"/>
  <c r="AN183" i="11"/>
  <c r="AN126" i="11"/>
  <c r="AN198" i="11"/>
  <c r="AN200" i="11"/>
  <c r="AN179" i="11"/>
  <c r="AO557" i="11"/>
  <c r="AO765" i="11"/>
  <c r="AO831" i="11"/>
  <c r="AO833" i="11"/>
  <c r="AO745" i="11"/>
  <c r="AO742" i="11"/>
  <c r="AO764" i="11"/>
  <c r="AO788" i="11"/>
  <c r="AO795" i="11"/>
  <c r="AO783" i="11"/>
  <c r="AO829" i="11"/>
  <c r="AO743" i="11"/>
  <c r="AO807" i="11"/>
  <c r="AO3535" i="11"/>
  <c r="AO3509" i="11"/>
  <c r="AO3574" i="11"/>
  <c r="AO3495" i="11"/>
  <c r="AO3481" i="11"/>
  <c r="AO3548" i="11"/>
  <c r="AO3502" i="11"/>
  <c r="AO3503" i="11"/>
  <c r="AO3508" i="11"/>
  <c r="AN285" i="11"/>
  <c r="AN1020" i="11"/>
  <c r="AN969" i="11"/>
  <c r="AN987" i="11"/>
  <c r="AN1014" i="11"/>
  <c r="AN982" i="11"/>
  <c r="AN1007" i="11"/>
  <c r="AN1025" i="11"/>
  <c r="AN1035" i="11"/>
  <c r="AN1047" i="11"/>
  <c r="AN1018" i="11"/>
  <c r="AN1011" i="11"/>
  <c r="AN993" i="11"/>
  <c r="AN3863" i="11"/>
  <c r="AN3845" i="11"/>
  <c r="AN3859" i="11"/>
  <c r="AN3888" i="11"/>
  <c r="AN3823" i="11"/>
  <c r="AN3883" i="11"/>
  <c r="AN3828" i="11"/>
  <c r="AN3889" i="11"/>
  <c r="AN3878" i="11"/>
  <c r="AN3825" i="11"/>
  <c r="AN3812" i="11"/>
  <c r="AO275" i="11"/>
  <c r="AN444" i="11"/>
  <c r="AO2667" i="11"/>
  <c r="AN1407" i="11"/>
  <c r="AO1538" i="11"/>
  <c r="AO2985" i="11"/>
  <c r="AN1698" i="11"/>
  <c r="AO1424" i="11"/>
  <c r="AO1385" i="11"/>
  <c r="AO1414" i="11"/>
  <c r="AO1436" i="11"/>
  <c r="AO1411" i="11"/>
  <c r="AO1395" i="11"/>
  <c r="AO1451" i="11"/>
  <c r="AO1430" i="11"/>
  <c r="AO1474" i="11"/>
  <c r="AO1380" i="11"/>
  <c r="AO1401" i="11"/>
  <c r="AN406" i="11"/>
  <c r="AO289" i="11"/>
  <c r="AO302" i="11"/>
  <c r="AO284" i="11"/>
  <c r="AO292" i="11"/>
  <c r="AO316" i="11"/>
  <c r="AO222" i="11"/>
  <c r="AO314" i="11"/>
  <c r="AO241" i="11"/>
  <c r="AO266" i="11"/>
  <c r="AO231" i="11"/>
  <c r="AO310" i="11"/>
  <c r="AO308" i="11"/>
  <c r="AO1499" i="11"/>
  <c r="AO1504" i="11"/>
  <c r="AO1560" i="11"/>
  <c r="AO1512" i="11"/>
  <c r="AO1484" i="11"/>
  <c r="AO1577" i="11"/>
  <c r="AO1486" i="11"/>
  <c r="AO1554" i="11"/>
  <c r="AO1568" i="11"/>
  <c r="AO1555" i="11"/>
  <c r="AO1506" i="11"/>
  <c r="AN3087" i="11"/>
  <c r="AN3086" i="11"/>
  <c r="AN3109" i="11"/>
  <c r="AN3099" i="11"/>
  <c r="AN3120" i="11"/>
  <c r="AN3098" i="11"/>
  <c r="AN3094" i="11"/>
  <c r="AN3135" i="11"/>
  <c r="AN3146" i="11"/>
  <c r="AN3078" i="11"/>
  <c r="AN3136" i="11"/>
  <c r="AO320" i="11"/>
  <c r="AN1399" i="11"/>
  <c r="O51" i="54"/>
  <c r="O101" i="54"/>
  <c r="O152" i="54"/>
  <c r="AN3693" i="11"/>
  <c r="AO2657" i="11"/>
  <c r="AO1363" i="11"/>
  <c r="AO716" i="11"/>
  <c r="AO696" i="11"/>
  <c r="AN2968" i="11"/>
  <c r="AN2976" i="11"/>
  <c r="AN3005" i="11"/>
  <c r="AN2977" i="11"/>
  <c r="AN2972" i="11"/>
  <c r="AN2947" i="11"/>
  <c r="AN2999" i="11"/>
  <c r="AN2979" i="11"/>
  <c r="AN2948" i="11"/>
  <c r="AN2975" i="11"/>
  <c r="AN2991" i="11"/>
  <c r="AN2987" i="11"/>
  <c r="AN2953" i="11"/>
  <c r="AN2235" i="11"/>
  <c r="AN2274" i="11"/>
  <c r="AN2211" i="11"/>
  <c r="AN940" i="11"/>
  <c r="AN884" i="11"/>
  <c r="AN536" i="11"/>
  <c r="AN2715" i="11"/>
  <c r="AN2672" i="11"/>
  <c r="AN2648" i="11"/>
  <c r="AN2718" i="11"/>
  <c r="AN2708" i="11"/>
  <c r="AN2697" i="11"/>
  <c r="AN2676" i="11"/>
  <c r="AN2660" i="11"/>
  <c r="AN2668" i="11"/>
  <c r="AN2696" i="11"/>
  <c r="AN2700" i="11"/>
  <c r="O136" i="54"/>
  <c r="O35" i="54"/>
  <c r="O85" i="54"/>
  <c r="AN1523" i="11"/>
  <c r="AN1476" i="11"/>
  <c r="AN1532" i="11"/>
  <c r="AN1534" i="11"/>
  <c r="AN1577" i="11"/>
  <c r="AN1509" i="11"/>
  <c r="AN1515" i="11"/>
  <c r="AN1506" i="11"/>
  <c r="AN1565" i="11"/>
  <c r="AO1917" i="11"/>
  <c r="AO1920" i="11"/>
  <c r="AO1987" i="11"/>
  <c r="AO1900" i="11"/>
  <c r="AO1967" i="11"/>
  <c r="AO1955" i="11"/>
  <c r="AO1971" i="11"/>
  <c r="AO1991" i="11"/>
  <c r="AO1980" i="11"/>
  <c r="AO1979" i="11"/>
  <c r="AO1965" i="11"/>
  <c r="AO1972" i="11"/>
  <c r="AO1947" i="11"/>
  <c r="AN2557" i="11"/>
  <c r="AN2605" i="11"/>
  <c r="AN2614" i="11"/>
  <c r="AN2591" i="11"/>
  <c r="AN2574" i="11"/>
  <c r="AN2582" i="11"/>
  <c r="AN2553" i="11"/>
  <c r="AN2615" i="11"/>
  <c r="AN2589" i="11"/>
  <c r="AN2619" i="11"/>
  <c r="AN2531" i="11"/>
  <c r="AN2537" i="11"/>
  <c r="AN2598" i="11"/>
  <c r="AN2794" i="11"/>
  <c r="AN2822" i="11"/>
  <c r="AN2774" i="11"/>
  <c r="AN2767" i="11"/>
  <c r="AN2762" i="11"/>
  <c r="AN2832" i="11"/>
  <c r="AN2751" i="11"/>
  <c r="AN2812" i="11"/>
  <c r="AN2793" i="11"/>
  <c r="AN2754" i="11"/>
  <c r="AN2815" i="11"/>
  <c r="AO529" i="11"/>
  <c r="AO2758" i="11"/>
  <c r="AO2184" i="11"/>
  <c r="AO67" i="11"/>
  <c r="AO1837" i="11"/>
  <c r="AN1376" i="11"/>
  <c r="AN1448" i="11"/>
  <c r="AN1373" i="11"/>
  <c r="AN1389" i="11"/>
  <c r="AN1430" i="11"/>
  <c r="AN1408" i="11"/>
  <c r="AN1437" i="11"/>
  <c r="AN1427" i="11"/>
  <c r="AN1385" i="11"/>
  <c r="AN1455" i="11"/>
  <c r="AN1424" i="11"/>
  <c r="AN1411" i="11"/>
  <c r="AO2794" i="11"/>
  <c r="AN426" i="11"/>
  <c r="AN488" i="11"/>
  <c r="AN450" i="11"/>
  <c r="AN462" i="11"/>
  <c r="AN502" i="11"/>
  <c r="AN512" i="11"/>
  <c r="AN491" i="11"/>
  <c r="AN455" i="11"/>
  <c r="AN514" i="11"/>
  <c r="AN479" i="11"/>
  <c r="AN529" i="11"/>
  <c r="AO83" i="11"/>
  <c r="AO39" i="11"/>
  <c r="AO63" i="11"/>
  <c r="AO56" i="11"/>
  <c r="AO59" i="11"/>
  <c r="AO17" i="11"/>
  <c r="AO54" i="11"/>
  <c r="AO5" i="11"/>
  <c r="AO87" i="11"/>
  <c r="AO46" i="11"/>
  <c r="AO9" i="11"/>
  <c r="AO1731" i="11"/>
  <c r="AO1719" i="11"/>
  <c r="AO1703" i="11"/>
  <c r="AO1769" i="11"/>
  <c r="AO1756" i="11"/>
  <c r="AO1693" i="11"/>
  <c r="AO1711" i="11"/>
  <c r="AO1694" i="11"/>
  <c r="AO1710" i="11"/>
  <c r="AO1733" i="11"/>
  <c r="AO1701" i="11"/>
  <c r="AO1696" i="11"/>
  <c r="AO3169" i="11"/>
  <c r="AO3225" i="11"/>
  <c r="AO3228" i="11"/>
  <c r="AO3233" i="11"/>
  <c r="AO3176" i="11"/>
  <c r="AO3192" i="11"/>
  <c r="AO3184" i="11"/>
  <c r="AO3179" i="11"/>
  <c r="AO3212" i="11"/>
  <c r="AO3198" i="11"/>
  <c r="AO3216" i="11"/>
  <c r="AO2345" i="11"/>
  <c r="AO2349" i="11"/>
  <c r="AO2327" i="11"/>
  <c r="AO2329" i="11"/>
  <c r="O143" i="54"/>
  <c r="O92" i="54"/>
  <c r="O42" i="54"/>
  <c r="AO2363" i="11"/>
  <c r="AO2396" i="11"/>
  <c r="AO2397" i="11"/>
  <c r="AO2390" i="11"/>
  <c r="AO2388" i="11"/>
  <c r="AO2382" i="11"/>
  <c r="AO2380" i="11"/>
  <c r="AN1363" i="11"/>
  <c r="AN1290" i="11"/>
  <c r="AN1347" i="11"/>
  <c r="AN1354" i="11"/>
  <c r="AN1322" i="11"/>
  <c r="AN1369" i="11"/>
  <c r="AN1334" i="11"/>
  <c r="AN1277" i="11"/>
  <c r="AN1315" i="11"/>
  <c r="AN1339" i="11"/>
  <c r="AN1327" i="11"/>
  <c r="AN1362" i="11"/>
  <c r="AN1281" i="11"/>
  <c r="AN2142" i="11"/>
  <c r="AN2126" i="11"/>
  <c r="AN2187" i="11"/>
  <c r="AN2121" i="11"/>
  <c r="P8" i="54"/>
  <c r="P12" i="54" s="1"/>
  <c r="P18" i="54" s="1"/>
  <c r="AN2165" i="11"/>
  <c r="AN2143" i="11"/>
  <c r="AN2199" i="11"/>
  <c r="AN2181" i="11"/>
  <c r="AN2146" i="11"/>
  <c r="AN2129" i="11"/>
  <c r="AN2209" i="11"/>
  <c r="AN61" i="11"/>
  <c r="AN22" i="11"/>
  <c r="AN45" i="11"/>
  <c r="AN19" i="11"/>
  <c r="AN32" i="11"/>
  <c r="N111" i="54"/>
  <c r="N61" i="54"/>
  <c r="N162" i="54"/>
  <c r="AN21" i="11"/>
  <c r="AN51" i="11"/>
  <c r="AN49" i="11"/>
  <c r="AN98" i="11"/>
  <c r="AN102" i="11"/>
  <c r="AO2551" i="11"/>
  <c r="AO2572" i="11"/>
  <c r="AO2593" i="11"/>
  <c r="AO2625" i="11"/>
  <c r="AO2564" i="11"/>
  <c r="AO2619" i="11"/>
  <c r="AO2602" i="11"/>
  <c r="AO2609" i="11"/>
  <c r="AO2604" i="11"/>
  <c r="AO2574" i="11"/>
  <c r="AO2579" i="11"/>
  <c r="AO2599" i="11"/>
  <c r="AO328" i="11"/>
  <c r="AO348" i="11"/>
  <c r="AO402" i="11"/>
  <c r="AO396" i="11"/>
  <c r="AO395" i="11"/>
  <c r="AO371" i="11"/>
  <c r="AO365" i="11"/>
  <c r="AO346" i="11"/>
  <c r="AO398" i="11"/>
  <c r="AO379" i="11"/>
  <c r="AO353" i="11"/>
  <c r="AO361" i="11"/>
  <c r="N12" i="54" l="1"/>
  <c r="N18" i="54" s="1"/>
  <c r="N163" i="54"/>
  <c r="O62" i="54"/>
  <c r="N62" i="54"/>
  <c r="N112" i="54"/>
  <c r="O12" i="54"/>
  <c r="O18" i="54" s="1"/>
  <c r="O112" i="54"/>
  <c r="O163" i="54"/>
  <c r="D12" i="54" l="1"/>
  <c r="D18" i="54" s="1"/>
  <c r="E12" i="54" l="1"/>
  <c r="E18" i="54" s="1"/>
  <c r="C12" i="54" l="1"/>
  <c r="C18" i="54" s="1"/>
  <c r="F12" i="54"/>
  <c r="F18" i="54" s="1"/>
</calcChain>
</file>

<file path=xl/sharedStrings.xml><?xml version="1.0" encoding="utf-8"?>
<sst xmlns="http://schemas.openxmlformats.org/spreadsheetml/2006/main" count="4940" uniqueCount="525">
  <si>
    <t>FICE</t>
  </si>
  <si>
    <t>TOTAL</t>
  </si>
  <si>
    <t>Total</t>
  </si>
  <si>
    <t>TAMU</t>
  </si>
  <si>
    <t>Liberal Arts</t>
  </si>
  <si>
    <t>Developmental Ed</t>
  </si>
  <si>
    <t>Science</t>
  </si>
  <si>
    <t>Fine Arts</t>
  </si>
  <si>
    <t>Teacher Ed</t>
  </si>
  <si>
    <t>Agriculture</t>
  </si>
  <si>
    <t>Engineering</t>
  </si>
  <si>
    <t>Home Economics</t>
  </si>
  <si>
    <t>Law</t>
  </si>
  <si>
    <t>Social Services</t>
  </si>
  <si>
    <t>Library Science</t>
  </si>
  <si>
    <t>Vocational Training</t>
  </si>
  <si>
    <t>Physical Training</t>
  </si>
  <si>
    <t>Health Services</t>
  </si>
  <si>
    <t>Pharmacy</t>
  </si>
  <si>
    <t>Business Admin</t>
  </si>
  <si>
    <t>Optometry</t>
  </si>
  <si>
    <t>Teacher Ed Practice</t>
  </si>
  <si>
    <t>Technology</t>
  </si>
  <si>
    <t>Nursing</t>
  </si>
  <si>
    <t>Veterinary Medicine</t>
  </si>
  <si>
    <t>Level</t>
  </si>
  <si>
    <t>Difference</t>
  </si>
  <si>
    <t>Institution</t>
  </si>
  <si>
    <t>Fiscal Year</t>
  </si>
  <si>
    <t>Discipline</t>
  </si>
  <si>
    <t>Relative Weights</t>
  </si>
  <si>
    <t>Tarleton</t>
  </si>
  <si>
    <t>WTAMU</t>
  </si>
  <si>
    <t>Lamar</t>
  </si>
  <si>
    <t>PCT CHG</t>
  </si>
  <si>
    <t>Nonvet3</t>
  </si>
  <si>
    <t>NonVet2</t>
  </si>
  <si>
    <t>NonVet1</t>
  </si>
  <si>
    <t>ResVet3</t>
  </si>
  <si>
    <t>ResVet2</t>
  </si>
  <si>
    <t>ResVet1</t>
  </si>
  <si>
    <t>Source: IFRS database</t>
  </si>
  <si>
    <t>For Vet</t>
  </si>
  <si>
    <t>D + E Tuition Amount Furnished LBB (Statutory + BAT)</t>
  </si>
  <si>
    <t>D + E + F Total Tuition</t>
  </si>
  <si>
    <t>F Total Designated Tuition</t>
  </si>
  <si>
    <t>E Total Special (Board Authorized) Tuition</t>
  </si>
  <si>
    <t>D Total Statutory Tuition</t>
  </si>
  <si>
    <t>Designated Tuition for Resident Graduate Vet Tuition</t>
  </si>
  <si>
    <t>For Law</t>
  </si>
  <si>
    <t>ResLaw3</t>
  </si>
  <si>
    <t>NonLaw2</t>
  </si>
  <si>
    <t>NonLaw1</t>
  </si>
  <si>
    <t>ResLaw2</t>
  </si>
  <si>
    <t>ResLaw1</t>
  </si>
  <si>
    <t>A + B Tuition Amount Furnished LBB (Statutory + BAT)</t>
  </si>
  <si>
    <t>C Total Designated Tuition</t>
  </si>
  <si>
    <t>A Total Statutory Tuition</t>
  </si>
  <si>
    <t>Statutory Tuition for Non-Resident Graduate Law Tuition</t>
  </si>
  <si>
    <t>Designated Tuition for Resident Graduate Law Tuition</t>
  </si>
  <si>
    <t>Statutory Tuition for Resident Graduate Law Tuition</t>
  </si>
  <si>
    <t>Vet Med and Law Tuition</t>
  </si>
  <si>
    <t>Vet Med</t>
  </si>
  <si>
    <t>Full Time Student Equivalents</t>
  </si>
  <si>
    <t>Base Rate</t>
  </si>
  <si>
    <t xml:space="preserve">Teaching Experience Supplement for Tenure and Tenure Track </t>
  </si>
  <si>
    <t>University Total</t>
  </si>
  <si>
    <t>O&amp;M 
Funding</t>
  </si>
  <si>
    <t>Utility 
Funding</t>
  </si>
  <si>
    <t>Total Universities</t>
  </si>
  <si>
    <t>Texas A&amp;M at Galveston Marine and Maritime Academy Infrastructure Formula Funding</t>
  </si>
  <si>
    <t>Structure</t>
  </si>
  <si>
    <t>Small Boat Fleet</t>
  </si>
  <si>
    <t>Small Boat Basin</t>
  </si>
  <si>
    <t>Recreational Sailing Center</t>
  </si>
  <si>
    <t>Electricity</t>
  </si>
  <si>
    <t>Natural Gas</t>
  </si>
  <si>
    <t>Water</t>
  </si>
  <si>
    <t>Thermal Energy</t>
  </si>
  <si>
    <t>Debt Service</t>
  </si>
  <si>
    <t>All Other Cost</t>
  </si>
  <si>
    <t>Small Institution Supplement</t>
  </si>
  <si>
    <t>UT-Arlington</t>
  </si>
  <si>
    <t>UT-Austin</t>
  </si>
  <si>
    <t>UT-Dallas</t>
  </si>
  <si>
    <t>UT-El Paso</t>
  </si>
  <si>
    <t>UT-Permian Basin</t>
  </si>
  <si>
    <t>UT-San Antonio</t>
  </si>
  <si>
    <t>UT-Tyler</t>
  </si>
  <si>
    <t>Prairie View</t>
  </si>
  <si>
    <t>TAMU-CC</t>
  </si>
  <si>
    <t>TAMU-Kingsville</t>
  </si>
  <si>
    <t>TAMI</t>
  </si>
  <si>
    <t>TAMU-Texarkana</t>
  </si>
  <si>
    <t>TAMU-Commerce</t>
  </si>
  <si>
    <t>UH</t>
  </si>
  <si>
    <t>UH-Clear Lake</t>
  </si>
  <si>
    <t>UH-Downtown</t>
  </si>
  <si>
    <t>UH-Victoria</t>
  </si>
  <si>
    <t>Midwestern</t>
  </si>
  <si>
    <t>UNT</t>
  </si>
  <si>
    <t>SFA</t>
  </si>
  <si>
    <t>TSU</t>
  </si>
  <si>
    <t>TTU</t>
  </si>
  <si>
    <t>Angelo</t>
  </si>
  <si>
    <t>TWU</t>
  </si>
  <si>
    <t>Sam Houston</t>
  </si>
  <si>
    <t>Sul Ross</t>
  </si>
  <si>
    <t>TSTC-Harlingen</t>
  </si>
  <si>
    <t>TSTC-Waco</t>
  </si>
  <si>
    <t>TSTC-Marshall</t>
  </si>
  <si>
    <t>Lamar-IOT</t>
  </si>
  <si>
    <t>Lamar-Orange</t>
  </si>
  <si>
    <t>TAMU-Central</t>
  </si>
  <si>
    <t>TAMU-San Antonio</t>
  </si>
  <si>
    <t>UNT-Dallas</t>
  </si>
  <si>
    <t>TAMU-Galveston</t>
  </si>
  <si>
    <t>Lamar-Port Arthur</t>
  </si>
  <si>
    <t>TAMU-CVM</t>
  </si>
  <si>
    <t>Cost</t>
  </si>
  <si>
    <t>MCF</t>
  </si>
  <si>
    <t>BTUs 
(MM)</t>
  </si>
  <si>
    <t>KWH</t>
  </si>
  <si>
    <t>Teaching Experience Supplement</t>
  </si>
  <si>
    <t>Total TSTC and Lamar</t>
  </si>
  <si>
    <t>Rate</t>
  </si>
  <si>
    <t>Weight</t>
  </si>
  <si>
    <t>Weighted Rate</t>
  </si>
  <si>
    <t>Total 
Cost</t>
  </si>
  <si>
    <t>1000 
Gallon
Units</t>
  </si>
  <si>
    <t>Annual Funding</t>
  </si>
  <si>
    <t>Law - 2007</t>
  </si>
  <si>
    <t>Law - 2005</t>
  </si>
  <si>
    <t>Law - 2009</t>
  </si>
  <si>
    <t>Designated Tuition for Non-Resident Graduate Vet Tuition</t>
  </si>
  <si>
    <t>2008-2009 
Biennium</t>
  </si>
  <si>
    <t>2010-2011 
Biennium</t>
  </si>
  <si>
    <t>2012-2013 
Biennium</t>
  </si>
  <si>
    <t>Formula</t>
  </si>
  <si>
    <t>Formula Funding - Summary</t>
  </si>
  <si>
    <t>I&amp;O Weighted 
SCH</t>
  </si>
  <si>
    <t>TS Weighted 
SCH</t>
  </si>
  <si>
    <t>Adjusted Utility Square Feet</t>
  </si>
  <si>
    <t>Utility Rate Adjustment</t>
  </si>
  <si>
    <t>2. THECB Rules Chapter 17</t>
  </si>
  <si>
    <t>3. THECB publication on TAMUG Maritime Funding Recommendation, April 2007</t>
  </si>
  <si>
    <t xml:space="preserve">  Total Gross Square Feet</t>
  </si>
  <si>
    <t>Adjusted Net Square Feet</t>
  </si>
  <si>
    <t>Rates</t>
  </si>
  <si>
    <t>Texas Engineering Experiment Station (TEES)</t>
  </si>
  <si>
    <t>Texas Engineering Extension Service (TEEX)</t>
  </si>
  <si>
    <t>Texas Transportation Institute (TTI)</t>
  </si>
  <si>
    <t>Texas Forest Service (TFS)</t>
  </si>
  <si>
    <t>Semester Credit Hours (State Funded)</t>
  </si>
  <si>
    <t>Comparison - SCH and Headcount</t>
  </si>
  <si>
    <t>Formula Total</t>
  </si>
  <si>
    <t>Small Institution Set-Aside</t>
  </si>
  <si>
    <t>TAMUG Set-Aside</t>
  </si>
  <si>
    <t>Total General Revenue Dedidcated</t>
  </si>
  <si>
    <t>General Revenue Dedidcated - Texas Public Education Grants</t>
  </si>
  <si>
    <t>General Revenue Dedidcated - Staff Group Insurance Premiums</t>
  </si>
  <si>
    <t>General Revenue Dedidcated - Organized Activities</t>
  </si>
  <si>
    <t>Weighted Semester Credit Hours</t>
  </si>
  <si>
    <t>2014-2015
Biennium</t>
  </si>
  <si>
    <t>Law - 2011</t>
  </si>
  <si>
    <t>2014-2015 
Biennium</t>
  </si>
  <si>
    <t>Fall Doctoral Deduction</t>
  </si>
  <si>
    <t>Fall Total 
SCH</t>
  </si>
  <si>
    <t>Summer Doctoral Deduction</t>
  </si>
  <si>
    <t>Summer Total 
SCH</t>
  </si>
  <si>
    <t>Spring Doctoral Deduction</t>
  </si>
  <si>
    <t>Spring Total 
SCH</t>
  </si>
  <si>
    <t>Base Year Total 
SCH</t>
  </si>
  <si>
    <t>Base Year Doctoral Deduction</t>
  </si>
  <si>
    <t>Biennial Funding</t>
  </si>
  <si>
    <t>Undergraduate Lower-Level</t>
  </si>
  <si>
    <t>Undergraduate Upper-Level</t>
  </si>
  <si>
    <t>Master's</t>
  </si>
  <si>
    <t>Doctoral</t>
  </si>
  <si>
    <t>Professional Practice</t>
  </si>
  <si>
    <t>Special (Board Authorized) Tuition for Non-Resident Graduate Vet Tuition</t>
  </si>
  <si>
    <t>Special (Board Authorized) Tuition for Resident Graduate Law Tuition</t>
  </si>
  <si>
    <t>Special (Board Authorized) Tuition for Non-Resident Graduate Law Tuition</t>
  </si>
  <si>
    <t>B Total Special (Board Authorized) Tuition</t>
  </si>
  <si>
    <t>A + B + C Total Tuition</t>
  </si>
  <si>
    <t>Statutory Tuition for Resident Graduate Vet Tuition</t>
  </si>
  <si>
    <t>Special (Board Authorized) Tuition for Resident Graduate Vet Tuition</t>
  </si>
  <si>
    <t>Statutory Tuition for Non-Resident Graduate Vet Tuition</t>
  </si>
  <si>
    <t>Percent 
Change</t>
  </si>
  <si>
    <t>Total General Revenue Dedicated</t>
  </si>
  <si>
    <t>General Revenue Dedicated - Texas Public Education Grants</t>
  </si>
  <si>
    <t>General Revenue Dedicated - Staff Group Insurance Premiums</t>
  </si>
  <si>
    <t>General Revenue Dedicated - Organized Activities</t>
  </si>
  <si>
    <t>Texas AgriLife Extension Service (TALX)</t>
  </si>
  <si>
    <t>Percent</t>
  </si>
  <si>
    <t>Total Non-Utility Cost</t>
  </si>
  <si>
    <t>Added to TAMUG's annual funding amounts above.</t>
  </si>
  <si>
    <t>Not included in table above</t>
  </si>
  <si>
    <t>Predicted Square Feet</t>
  </si>
  <si>
    <t>Headcounts</t>
  </si>
  <si>
    <t>2016-2017
Biennium</t>
  </si>
  <si>
    <t>2016-2017 
Biennium</t>
  </si>
  <si>
    <t>Law - 2013</t>
  </si>
  <si>
    <t>TXST</t>
  </si>
  <si>
    <t>TSTC-West Tx</t>
  </si>
  <si>
    <t>Sul Ross-Rio Grande</t>
  </si>
  <si>
    <t>Ratio of Utility to Total OMP</t>
  </si>
  <si>
    <t>Rate Differential</t>
  </si>
  <si>
    <t>Operations Support and Teaching Experience Supplement</t>
  </si>
  <si>
    <t>Operations Support</t>
  </si>
  <si>
    <t>Technical and State Colleges</t>
  </si>
  <si>
    <t>Operations Support Subtotal</t>
  </si>
  <si>
    <t>General Academics Institutions</t>
  </si>
  <si>
    <t>UT-Rio Grande Valley</t>
  </si>
  <si>
    <t>At-Risk Degrees</t>
  </si>
  <si>
    <t>Law - 2015</t>
  </si>
  <si>
    <t>2018-2019 
Biennium</t>
  </si>
  <si>
    <t>2018-2019
Biennium</t>
  </si>
  <si>
    <t>TSTC-Fort Bend</t>
  </si>
  <si>
    <t>TSTC-North Texas</t>
  </si>
  <si>
    <t>01</t>
  </si>
  <si>
    <t>02</t>
  </si>
  <si>
    <t>03</t>
  </si>
  <si>
    <t>04</t>
  </si>
  <si>
    <t>05</t>
  </si>
  <si>
    <t>06</t>
  </si>
  <si>
    <t>07</t>
  </si>
  <si>
    <t>08</t>
  </si>
  <si>
    <t>09</t>
  </si>
  <si>
    <t>10</t>
  </si>
  <si>
    <t>11</t>
  </si>
  <si>
    <t>12</t>
  </si>
  <si>
    <t>13</t>
  </si>
  <si>
    <t>14</t>
  </si>
  <si>
    <t>15</t>
  </si>
  <si>
    <t>16</t>
  </si>
  <si>
    <t>17</t>
  </si>
  <si>
    <t>18</t>
  </si>
  <si>
    <t>19</t>
  </si>
  <si>
    <t>20</t>
  </si>
  <si>
    <t>21</t>
  </si>
  <si>
    <t>Avg Rate on Adjst. Pred. SF</t>
  </si>
  <si>
    <t>Avg Rate on Predicted SF</t>
  </si>
  <si>
    <t>Source: CBM009, CBM00N, CBM00B, FAD</t>
  </si>
  <si>
    <t>Teaching Experience WSCH</t>
  </si>
  <si>
    <t>2020-2021
Biennium</t>
  </si>
  <si>
    <t>Law - 2017</t>
  </si>
  <si>
    <t>2020-2021 
Biennium</t>
  </si>
  <si>
    <t>Rate Adjustment</t>
  </si>
  <si>
    <t>Space Support</t>
  </si>
  <si>
    <t>Lamar Total</t>
  </si>
  <si>
    <t>TSTC Total</t>
  </si>
  <si>
    <t>Grand Total</t>
  </si>
  <si>
    <t>Law - 2019</t>
  </si>
  <si>
    <t>2022-2023 
Biennium</t>
  </si>
  <si>
    <t>2022-2023
Biennium</t>
  </si>
  <si>
    <t>2022-2023 Biennium</t>
  </si>
  <si>
    <t>Square Footage</t>
  </si>
  <si>
    <t>Funding for Marine and Maritime Instruction, Ship Operation and Maintenance, and Marine Terminal Operation</t>
  </si>
  <si>
    <t>Percent Change</t>
  </si>
  <si>
    <t>Statewide</t>
  </si>
  <si>
    <t>Non-Resident</t>
  </si>
  <si>
    <t>Resident</t>
  </si>
  <si>
    <t>Fall 2020</t>
  </si>
  <si>
    <t>State-Funded Semester Credit Hours by Tuition Status</t>
  </si>
  <si>
    <t>Total Weighted Semester Credit Hours</t>
  </si>
  <si>
    <t>Total Biennial I&amp;O Support</t>
  </si>
  <si>
    <t>FY 2022-23 Rate</t>
  </si>
  <si>
    <t>NA</t>
  </si>
  <si>
    <t>Infrastructure Support Subtotal</t>
  </si>
  <si>
    <t>Technical and State Colleges Infrastructure Support</t>
  </si>
  <si>
    <t>4. Includes formula supplement to TAMU Galveston as recommended by the Coordinating Board, April 2007.</t>
  </si>
  <si>
    <t>FY 2020</t>
  </si>
  <si>
    <t>Texas Vet. Med. Diagnostic Lab. (TVMDL)</t>
  </si>
  <si>
    <t>Texas AgriLife Research (TAR)</t>
  </si>
  <si>
    <t>2022 I&amp;O GR-Dedicated</t>
  </si>
  <si>
    <t>2022 I&amp;O GR</t>
  </si>
  <si>
    <t>2023 I&amp;O GR-Dedicated</t>
  </si>
  <si>
    <t>2023 I&amp;O GR</t>
  </si>
  <si>
    <t>2022 Space Support GR-Dedicated</t>
  </si>
  <si>
    <t>2022 Space Support GR</t>
  </si>
  <si>
    <t>2023 Space Support GR-Dedicated</t>
  </si>
  <si>
    <t>2023 Space Support GR</t>
  </si>
  <si>
    <t>2023 Total GR</t>
  </si>
  <si>
    <t>2022 Total GR</t>
  </si>
  <si>
    <t>Actual GAA Appropriation    FY 2024</t>
  </si>
  <si>
    <t>Actual GAA Appropriation    FY 2025</t>
  </si>
  <si>
    <t>FY 2022-23 Metrics</t>
  </si>
  <si>
    <t>FY 2024-2025 Metrics</t>
  </si>
  <si>
    <t>FY 2024-25 Rate</t>
  </si>
  <si>
    <t>FY 2022-2023 Weighted SCH</t>
  </si>
  <si>
    <t>FY 2024-25 Weighted SCH</t>
  </si>
  <si>
    <t>FY 2022-23 Headcount</t>
  </si>
  <si>
    <t>FY 2024-2025 Headcount</t>
  </si>
  <si>
    <t>Expenditure Study Relative Weights Matrix</t>
  </si>
  <si>
    <t>2024-2025
Biennium</t>
  </si>
  <si>
    <t>Law - 2021</t>
  </si>
  <si>
    <t>2024-2025 
Biennium</t>
  </si>
  <si>
    <t>Fall 2021</t>
  </si>
  <si>
    <t>Difference Fall 2020-Fall 2022</t>
  </si>
  <si>
    <t>Fall 2022</t>
  </si>
  <si>
    <t>2024-2025 Biennium</t>
  </si>
  <si>
    <t>TTU-CVM</t>
  </si>
  <si>
    <t>3. Colleges of Veterinary Medicine are funded at the recommended HRI Infrastructure rate.</t>
  </si>
  <si>
    <r>
      <t>Waste Water</t>
    </r>
    <r>
      <rPr>
        <b/>
        <vertAlign val="superscript"/>
        <sz val="11"/>
        <color theme="0"/>
        <rFont val="Overpass"/>
      </rPr>
      <t>3</t>
    </r>
  </si>
  <si>
    <r>
      <t>TSTC-North Texas</t>
    </r>
    <r>
      <rPr>
        <vertAlign val="superscript"/>
        <sz val="11"/>
        <color indexed="8"/>
        <rFont val="Overpass"/>
      </rPr>
      <t>2</t>
    </r>
  </si>
  <si>
    <r>
      <rPr>
        <vertAlign val="superscript"/>
        <sz val="11"/>
        <rFont val="Overpass"/>
      </rPr>
      <t>2</t>
    </r>
    <r>
      <rPr>
        <sz val="11"/>
        <rFont val="Overpass"/>
      </rPr>
      <t>The utilities for TSTC North Texas are provided by the Red Oak ISD, so TSTC North Texas incurs no costs for electricity, natural gas and water/waste water.</t>
    </r>
  </si>
  <si>
    <r>
      <t>Predicted
Square Feet</t>
    </r>
    <r>
      <rPr>
        <b/>
        <vertAlign val="superscript"/>
        <sz val="11"/>
        <color indexed="9"/>
        <rFont val="Overpass"/>
      </rPr>
      <t>1</t>
    </r>
  </si>
  <si>
    <r>
      <t>Adjusted Predicted
Square Feet</t>
    </r>
    <r>
      <rPr>
        <b/>
        <vertAlign val="superscript"/>
        <sz val="11"/>
        <color indexed="9"/>
        <rFont val="Overpass"/>
      </rPr>
      <t>1</t>
    </r>
  </si>
  <si>
    <r>
      <t>Percentages</t>
    </r>
    <r>
      <rPr>
        <b/>
        <vertAlign val="superscript"/>
        <sz val="11"/>
        <rFont val="Overpass"/>
      </rPr>
      <t>2</t>
    </r>
  </si>
  <si>
    <r>
      <t>HRI Rate</t>
    </r>
    <r>
      <rPr>
        <b/>
        <vertAlign val="superscript"/>
        <sz val="11"/>
        <color indexed="8"/>
        <rFont val="Overpass"/>
      </rPr>
      <t>3</t>
    </r>
  </si>
  <si>
    <r>
      <t>Texas A&amp;M University Agencies - Inside Brazos County</t>
    </r>
    <r>
      <rPr>
        <sz val="11"/>
        <rFont val="Overpass"/>
      </rPr>
      <t xml:space="preserve"> (In addition to total funding recommendation, which excludes outside Brazos County)</t>
    </r>
  </si>
  <si>
    <r>
      <t>Predicted
Square Feet</t>
    </r>
    <r>
      <rPr>
        <b/>
        <vertAlign val="superscript"/>
        <sz val="11"/>
        <color indexed="9"/>
        <rFont val="Overpass"/>
      </rPr>
      <t>1</t>
    </r>
    <r>
      <rPr>
        <b/>
        <sz val="11"/>
        <color indexed="9"/>
        <rFont val="Overpass"/>
      </rPr>
      <t xml:space="preserve"> </t>
    </r>
  </si>
  <si>
    <r>
      <t>General Rudder</t>
    </r>
    <r>
      <rPr>
        <vertAlign val="superscript"/>
        <sz val="11"/>
        <rFont val="Overpass"/>
      </rPr>
      <t>1</t>
    </r>
  </si>
  <si>
    <r>
      <t>Efficiency (NASF)</t>
    </r>
    <r>
      <rPr>
        <b/>
        <vertAlign val="superscript"/>
        <sz val="11"/>
        <color indexed="9"/>
        <rFont val="Overpass"/>
      </rPr>
      <t>2</t>
    </r>
  </si>
  <si>
    <r>
      <t>Reduction Factor</t>
    </r>
    <r>
      <rPr>
        <b/>
        <vertAlign val="superscript"/>
        <sz val="11"/>
        <color indexed="9"/>
        <rFont val="Overpass"/>
      </rPr>
      <t>3</t>
    </r>
  </si>
  <si>
    <t>FY 2021</t>
  </si>
  <si>
    <t>FY 2024 I&amp;O Support (includes Teaching Support Supplement)</t>
  </si>
  <si>
    <t>FY 2025 I&amp;O Support (includes Teaching Support Supplement)</t>
  </si>
  <si>
    <t>Base Funding</t>
  </si>
  <si>
    <t>Rate per At-Risk Grad</t>
  </si>
  <si>
    <t>1. Comprehensive regional universities are those designated as a comprehensive, doctoral, or masters university in THECB's Accountability System.</t>
  </si>
  <si>
    <t>2. This exercise matches unduplicated baccalaureate graduates to FAD and CBM00B for prior 10 years.</t>
  </si>
  <si>
    <t>3. Includes students flagged as receiving Pell and/or below national average SAT/ACT score at any time in the prior 10 years.</t>
  </si>
  <si>
    <t>4.  At-risk total only counts students once in any of the 3 categories for an unduplicated total.</t>
  </si>
  <si>
    <r>
      <rPr>
        <b/>
        <sz val="11"/>
        <rFont val="Overpass"/>
      </rPr>
      <t>Notes</t>
    </r>
    <r>
      <rPr>
        <sz val="11"/>
        <rFont val="Overpass"/>
      </rPr>
      <t>:</t>
    </r>
  </si>
  <si>
    <t>Biennial At-Risk Funding Total</t>
  </si>
  <si>
    <t>FY 2024-2025 Funding</t>
  </si>
  <si>
    <t>% Increase Fall 2022 Over Fall 2021</t>
  </si>
  <si>
    <t>Texas Research University Fund (TRUF)</t>
  </si>
  <si>
    <t>Comprehensive Research Fund (CRF)</t>
  </si>
  <si>
    <t>Texas A&amp;M University</t>
  </si>
  <si>
    <t>003632</t>
  </si>
  <si>
    <t>The University of Texas at Austin</t>
  </si>
  <si>
    <t>003658</t>
  </si>
  <si>
    <t>Updated Oct 2022</t>
  </si>
  <si>
    <t>FY 2024 - FY 2025 Total</t>
  </si>
  <si>
    <t>FY 2024</t>
  </si>
  <si>
    <t>FY 2025</t>
  </si>
  <si>
    <t>FY 2021                    Total Research Expenditures</t>
  </si>
  <si>
    <t>3-Year Avg        Total Research Expenditures</t>
  </si>
  <si>
    <t>Biennial Total</t>
  </si>
  <si>
    <t>003656</t>
  </si>
  <si>
    <t>The University of Texas at Arlington</t>
  </si>
  <si>
    <t>009741</t>
  </si>
  <si>
    <t>The University of Texas at Dallas</t>
  </si>
  <si>
    <t>003661</t>
  </si>
  <si>
    <t>The University of Texas at El Paso</t>
  </si>
  <si>
    <t>010115</t>
  </si>
  <si>
    <t xml:space="preserve">003652 </t>
  </si>
  <si>
    <t>003594</t>
  </si>
  <si>
    <t>003644</t>
  </si>
  <si>
    <t>003615</t>
  </si>
  <si>
    <t>Note: Total Core Research Support funding is split 50-50 to the three-year average of total restricted research expenditures and total research expenditures. Each institution receives a proportionate share of the available funding allocated to match the three-year average of total restricted research expenditures and total research expenditures.</t>
  </si>
  <si>
    <t>Note: Comprehensive Research Fund allocations equal the rate times the average of the most recent three years of restricted research expenditures.</t>
  </si>
  <si>
    <t>003599</t>
  </si>
  <si>
    <t>The University of Texas-Rio Grande Valley</t>
  </si>
  <si>
    <t>009930</t>
  </si>
  <si>
    <t>The University of Texas Permian Basin</t>
  </si>
  <si>
    <t>011163</t>
  </si>
  <si>
    <t>The University of Texas at Tyler</t>
  </si>
  <si>
    <t>010298</t>
  </si>
  <si>
    <t>Texas A&amp;M University at Galveston</t>
  </si>
  <si>
    <t>003630</t>
  </si>
  <si>
    <t>Prairie View A&amp;M University</t>
  </si>
  <si>
    <t>003631</t>
  </si>
  <si>
    <t>Tarleton State University</t>
  </si>
  <si>
    <t>011161</t>
  </si>
  <si>
    <t>Texas A&amp;M University-Corpus Christi</t>
  </si>
  <si>
    <t>003639</t>
  </si>
  <si>
    <t>Texas A&amp;M University-Kingsville</t>
  </si>
  <si>
    <t>Texas A&amp;M University-San Antonio</t>
  </si>
  <si>
    <t>009651</t>
  </si>
  <si>
    <t>Texas A&amp;M International University</t>
  </si>
  <si>
    <t>003665</t>
  </si>
  <si>
    <t>West Texas A&amp;M University</t>
  </si>
  <si>
    <t>003565</t>
  </si>
  <si>
    <t>Texas A&amp;M University-Commerce</t>
  </si>
  <si>
    <t>University of Houston-Clear Lake</t>
  </si>
  <si>
    <t>University of Houston-Downtown</t>
  </si>
  <si>
    <t>University of Houston-Victoria</t>
  </si>
  <si>
    <t>003592</t>
  </si>
  <si>
    <t>Midwestern State University</t>
  </si>
  <si>
    <t>042421</t>
  </si>
  <si>
    <t>University of North Texas at Dallas</t>
  </si>
  <si>
    <t>003624</t>
  </si>
  <si>
    <t>Stephen F. Austin State University</t>
  </si>
  <si>
    <t>003642</t>
  </si>
  <si>
    <t>Texas Southern University</t>
  </si>
  <si>
    <t>Angelo State University</t>
  </si>
  <si>
    <t>Texas Woman's University</t>
  </si>
  <si>
    <t>003581</t>
  </si>
  <si>
    <t>Lamar University</t>
  </si>
  <si>
    <t>003606</t>
  </si>
  <si>
    <t>Sam Houston State University</t>
  </si>
  <si>
    <t>Sul Ross State University</t>
  </si>
  <si>
    <t xml:space="preserve"> </t>
  </si>
  <si>
    <t>Source: CBM0C1</t>
  </si>
  <si>
    <t xml:space="preserve">Note: Since the SCH shown above are from the CBM0C1 (Student Report), the amounts will vary from the SCH provided in the Comparison tab, which is based on the CBM0CS (Class Report). </t>
  </si>
  <si>
    <t>Residency status is not available on the CBM0CS; therefore CBM0C1 data was used, and classification of SCHs is determined by Tuition Status as reported in Item #7 of the CBM0C1 report.</t>
  </si>
  <si>
    <t>Biennial Total for Core Research Support Fund</t>
  </si>
  <si>
    <t>Biennial Total for TRUF</t>
  </si>
  <si>
    <t>Comprehensive Research Funds (CRF)</t>
  </si>
  <si>
    <t>Texas Research University Funds (TRUF)</t>
  </si>
  <si>
    <t>Texas A&amp;M University-Texarkana</t>
  </si>
  <si>
    <t>029269</t>
  </si>
  <si>
    <t xml:space="preserve">1. This total includes 198,211 square feet for TAMUG's existing General Rudder, 635,650 square feet for the new National Security Multi-Mission Vessel (NSMV), and 200,000 square feet for dock space. The new NSMV will not only serve as a training platform for TAMUG students but will be equipped to respond to national security concerns such as natural disasters like Hurricanes Katrina, Ike and Laura. Due to size constraints, TAMUG was only able to train 50 cadets aboard the General Rudder which led to a delay in graduation for cadets. With the larger vessel, TAMUG is able to train its current license option population of over 450 cadets each year with the ability to grow.  </t>
  </si>
  <si>
    <t>Notes:</t>
  </si>
  <si>
    <r>
      <t>Headcount</t>
    </r>
    <r>
      <rPr>
        <b/>
        <vertAlign val="superscript"/>
        <sz val="11"/>
        <color theme="0"/>
        <rFont val="Overpass"/>
      </rPr>
      <t>1</t>
    </r>
  </si>
  <si>
    <r>
      <rPr>
        <vertAlign val="superscript"/>
        <sz val="11"/>
        <rFont val="Overpass"/>
      </rPr>
      <t>2</t>
    </r>
    <r>
      <rPr>
        <sz val="11"/>
        <rFont val="Overpass"/>
      </rPr>
      <t>Fall 2020 and Fall 2021 FTSE are actual data. 2022 data are derived from calculations based on semester credit hours.</t>
    </r>
  </si>
  <si>
    <r>
      <t>FTSE Count</t>
    </r>
    <r>
      <rPr>
        <b/>
        <vertAlign val="superscript"/>
        <sz val="11"/>
        <color theme="0"/>
        <rFont val="Overpass"/>
      </rPr>
      <t>1,2</t>
    </r>
  </si>
  <si>
    <r>
      <t>Semester Credit Hours (State Funded)</t>
    </r>
    <r>
      <rPr>
        <b/>
        <vertAlign val="superscript"/>
        <sz val="11"/>
        <color theme="0"/>
        <rFont val="Overpass"/>
      </rPr>
      <t>1</t>
    </r>
  </si>
  <si>
    <r>
      <rPr>
        <vertAlign val="superscript"/>
        <sz val="11"/>
        <rFont val="Overpass"/>
      </rPr>
      <t>1</t>
    </r>
    <r>
      <rPr>
        <sz val="11"/>
        <rFont val="Overpass"/>
      </rPr>
      <t>TSTC-Waco includes the TSTC Connect campus. TSTC-West Texas includes Abilene, Brownwood, and Breckenridge.</t>
    </r>
  </si>
  <si>
    <t>FY 2022-23 Percent Funded</t>
  </si>
  <si>
    <t>FY 2024-25 Percent Funded</t>
  </si>
  <si>
    <t>Texas A&amp;M University-Central</t>
  </si>
  <si>
    <t>042295</t>
  </si>
  <si>
    <t>General Academics Grand Total</t>
  </si>
  <si>
    <t>Attempted Semester Credit Hours by Institution, Level, Discipline, and Instructor Tenure (CBM0CS &amp; CBM0C8)</t>
  </si>
  <si>
    <t>3-Yr Avg Research Exp</t>
  </si>
  <si>
    <t>3-Yr Avg Restricted Research Exp</t>
  </si>
  <si>
    <t>Fund Code</t>
  </si>
  <si>
    <t>Base Year Non-Tenured</t>
  </si>
  <si>
    <t>Base Year Tenured or Tenure Track</t>
  </si>
  <si>
    <t>Spring Tenured or Tenure Track</t>
  </si>
  <si>
    <t>Fall Tenured or Tenure Track</t>
  </si>
  <si>
    <t>Summer Tenured or Tenure Track</t>
  </si>
  <si>
    <t>Spring Non-Tenured</t>
  </si>
  <si>
    <t xml:space="preserve">Fall              Non-Tenured </t>
  </si>
  <si>
    <t>Summer Non-Tenured</t>
  </si>
  <si>
    <t>Funded SCH generated by inter-institutional enrollments are not included.</t>
  </si>
  <si>
    <t>023485</t>
  </si>
  <si>
    <t>023582</t>
  </si>
  <si>
    <t>036273</t>
  </si>
  <si>
    <t>Lamar State College-Port Arthur</t>
  </si>
  <si>
    <t>Lamar Stat College-Orange</t>
  </si>
  <si>
    <t>Lamar Institute of Technology</t>
  </si>
  <si>
    <t xml:space="preserve">The Semester Credit Hours exclude Colleges of Veterinary Medicine (CVM) hours, whereas the Predicted Square Feet includes space for CVMs. </t>
  </si>
  <si>
    <t>Source: SCH – CBM0CS; Headcount – CBM0C1; FTSE – CBM0CS</t>
  </si>
  <si>
    <t>TAMU*</t>
  </si>
  <si>
    <t xml:space="preserve">*includes Vet Med hours for TAMU and TTU </t>
  </si>
  <si>
    <r>
      <t>Utilities Expenditures FY 2022</t>
    </r>
    <r>
      <rPr>
        <b/>
        <vertAlign val="superscript"/>
        <sz val="11"/>
        <rFont val="Overpass"/>
      </rPr>
      <t>1</t>
    </r>
  </si>
  <si>
    <r>
      <rPr>
        <vertAlign val="superscript"/>
        <sz val="11"/>
        <rFont val="Overpass"/>
      </rPr>
      <t>1</t>
    </r>
    <r>
      <rPr>
        <sz val="11"/>
        <rFont val="Overpass"/>
      </rPr>
      <t>Source: Sources and Uses Survey, FY 2022</t>
    </r>
  </si>
  <si>
    <t>FY 2022                    Total Research Expenditures</t>
  </si>
  <si>
    <r>
      <t xml:space="preserve">3 </t>
    </r>
    <r>
      <rPr>
        <sz val="11"/>
        <rFont val="Overpass"/>
      </rPr>
      <t>Certain institutions are charged a flat rate for waste water and usage data is not available. Water consumption values are used as a proxy in these situations. These institutions include UT-Tyler, Prairie View, WTAMU, TAMU-Texarkana, UH-Downtown, UNT-Dallas, Lamar, Sul Ross, TSTC Harlingen, TSTC-Waco, TSTC-Fort Bend, Lamar-IOT, and Lamar-Orange.</t>
    </r>
  </si>
  <si>
    <t>Fall 2022 (Certified)</t>
  </si>
  <si>
    <t xml:space="preserve">1. Fall 2022 Space Projection Model, Published February 2023. </t>
  </si>
  <si>
    <t>2. Sources and Uses Fiscal Year 2022 Utility Study.</t>
  </si>
  <si>
    <t>Fall 2022 Headcount     (Certified)</t>
  </si>
  <si>
    <t>Expenditure Study - FY 2020, FY 2021, and FY 2022</t>
  </si>
  <si>
    <t>FY 2020                    Total Research Expenditures</t>
  </si>
  <si>
    <t>042485</t>
  </si>
  <si>
    <t>011711</t>
  </si>
  <si>
    <t>012826</t>
  </si>
  <si>
    <t>013231</t>
  </si>
  <si>
    <t>003646</t>
  </si>
  <si>
    <t>003541</t>
  </si>
  <si>
    <t>003625</t>
  </si>
  <si>
    <t>Certified Fall 2022</t>
  </si>
  <si>
    <t>Certified Fall 2021</t>
  </si>
  <si>
    <t>3-Year Avg FY 20-22</t>
  </si>
  <si>
    <t>FY 2022</t>
  </si>
  <si>
    <t>Total Funding</t>
  </si>
  <si>
    <t>Note: Texas A&amp;M University research funding excludes pass-throughs reported in the Research Expenditure Survey in Fiscal Year 2020 and 2021.</t>
  </si>
  <si>
    <t>3-Yr Avg At-Risk Degrees</t>
  </si>
  <si>
    <t>Source: Educational Data Center - Attempted Base Year (2/27/2023) - Summer and Fall 2022 (certified) and Spring 2023 (preliminary)</t>
  </si>
  <si>
    <t>FY 2024-25 Predicted          SQ FT</t>
  </si>
  <si>
    <t>FY 2022-23 Predicted            SQ FT</t>
  </si>
  <si>
    <t>FY 2020                   Federal and Private Research Expenditures</t>
  </si>
  <si>
    <t>FY 2022                   Federal and Private Research Expenditures</t>
  </si>
  <si>
    <t>FY 2021                   Federal and Private Research Expenditures</t>
  </si>
  <si>
    <t>3-Year Avg            Federal and Private Research Expenditures</t>
  </si>
  <si>
    <t>3-Year Avg Federal and Private Research Expenditures</t>
  </si>
  <si>
    <t>FY 2021                    Federal and Private Research Expenditures</t>
  </si>
  <si>
    <t>FY 2020                Federal and Private Research Expenditures</t>
  </si>
  <si>
    <r>
      <t>3-Year Avg Research Doctorates</t>
    </r>
    <r>
      <rPr>
        <b/>
        <vertAlign val="superscript"/>
        <sz val="11"/>
        <color theme="0"/>
        <rFont val="Overpass"/>
      </rPr>
      <t>1</t>
    </r>
    <r>
      <rPr>
        <b/>
        <sz val="11"/>
        <color theme="0"/>
        <rFont val="Overpass"/>
      </rPr>
      <t xml:space="preserve"> </t>
    </r>
  </si>
  <si>
    <r>
      <t>The University of Texas at San Antonio</t>
    </r>
    <r>
      <rPr>
        <vertAlign val="superscript"/>
        <sz val="11"/>
        <rFont val="Overpass"/>
      </rPr>
      <t>2</t>
    </r>
  </si>
  <si>
    <r>
      <rPr>
        <vertAlign val="superscript"/>
        <sz val="11"/>
        <rFont val="Overpass"/>
      </rPr>
      <t>2</t>
    </r>
    <r>
      <rPr>
        <sz val="11"/>
        <rFont val="Overpass"/>
      </rPr>
      <t>The University of Texas at San Antonio includes updated figures from those reported in the Research Expenditure Survey in Fiscal Year 2020 and 2021.</t>
    </r>
  </si>
  <si>
    <t>FY 2022 Research Doctorates</t>
  </si>
  <si>
    <t>FY 2021 Research Doctorates</t>
  </si>
  <si>
    <t>FY 2020 Research Doctorates</t>
  </si>
  <si>
    <t>Biennial Total for Federal and Private Research Expenditures</t>
  </si>
  <si>
    <t>Biennial Total for Research Doctorates</t>
  </si>
  <si>
    <r>
      <t>3-Year Avg Research Doctorates</t>
    </r>
    <r>
      <rPr>
        <b/>
        <vertAlign val="superscript"/>
        <sz val="11"/>
        <color theme="0"/>
        <rFont val="Overpass"/>
      </rPr>
      <t xml:space="preserve">1 </t>
    </r>
  </si>
  <si>
    <t>Permanent Endowment for Education and Research (PEER)</t>
  </si>
  <si>
    <t xml:space="preserve"> Research Preformance Funding (25% of Total Funding) </t>
  </si>
  <si>
    <t>Texas University Fund (non-formula)</t>
  </si>
  <si>
    <t>3-Yr Avg Federal &amp; Private Research Expenditures</t>
  </si>
  <si>
    <t>Comprehensive Regional University (CRU) Performance-Based Funding</t>
  </si>
  <si>
    <r>
      <rPr>
        <b/>
        <sz val="11"/>
        <rFont val="Overpass"/>
      </rPr>
      <t>Performance-Based Funding for At-Risk Students at Comprehensive Regional Universities</t>
    </r>
    <r>
      <rPr>
        <sz val="11"/>
        <rFont val="Overpass"/>
      </rPr>
      <t xml:space="preserve">                                                                              The data below represents the 3-year average of undergraduate degrees of at-risk students (Pell recipient and/or below national average SAT/ACT) for FY 2020-2022.</t>
    </r>
  </si>
  <si>
    <t>General Academics Total                                      (excluding CRU &amp; Research Funds)</t>
  </si>
  <si>
    <t>Formula Funding - Total by Institution (excluding CRU &amp; Research Funds)</t>
  </si>
  <si>
    <t>2024-25 Recommended Rate</t>
  </si>
  <si>
    <t>2024-25 Funding Rate</t>
  </si>
  <si>
    <r>
      <rPr>
        <vertAlign val="superscript"/>
        <sz val="11"/>
        <color theme="1"/>
        <rFont val="Overpass"/>
      </rPr>
      <t>1</t>
    </r>
    <r>
      <rPr>
        <sz val="11"/>
        <color theme="1"/>
        <rFont val="Overpass"/>
      </rPr>
      <t>Source: Public institutional reporting of research doctoral degrees awarded in Higher Education Coordinating Board Accountability System, including PhD, DA, DBA, DDes, Deng, DESc, DES, DFA, DHL, DMA, DME, DML, DNSc, DPH, DSc, ScD, EdD, JCD, JSD, SJD, STD, ThD.</t>
    </r>
  </si>
  <si>
    <t>Federal and Private Research</t>
  </si>
  <si>
    <t>Research Doctorates</t>
  </si>
  <si>
    <t xml:space="preserve">Federal and Private Research </t>
  </si>
  <si>
    <t xml:space="preserve">Research Doctorates </t>
  </si>
  <si>
    <t>Base Funding
(75% of Total Funding)</t>
  </si>
  <si>
    <t>% Share of Base Funding</t>
  </si>
  <si>
    <t>University of Houston (Level 1)</t>
  </si>
  <si>
    <t>University of North Texas (Level 2)</t>
  </si>
  <si>
    <t>Texas Tech University (Level 1)</t>
  </si>
  <si>
    <t>Texas State University (Level 2)</t>
  </si>
  <si>
    <t>Permanent Endowment for Education and Research Base Funding</t>
  </si>
  <si>
    <t>Research Performance Funding</t>
  </si>
  <si>
    <t>Estimated Total Funding</t>
  </si>
  <si>
    <r>
      <t xml:space="preserve">National Research Support Fund (NRSF) - </t>
    </r>
    <r>
      <rPr>
        <sz val="11"/>
        <color rgb="FFFF0000"/>
        <rFont val="Overpass"/>
      </rPr>
      <t>formerly Core Research Support Fund in FY22-23</t>
    </r>
  </si>
  <si>
    <r>
      <t xml:space="preserve">Comprehensive Regional University (CRU) Performance-Based Funding </t>
    </r>
    <r>
      <rPr>
        <sz val="11"/>
        <color rgb="FFFF0000"/>
        <rFont val="Overpass"/>
      </rPr>
      <t>(Federally Funded in FY22-23)</t>
    </r>
  </si>
  <si>
    <t>1. Amounts assume the following contingencies are met:
 - Art. III Special Provisions Sec.58, Higher Education Affordability;
 - Art. III Special Provisions Sec. 56 (2)(a) contingency providing additional $50.0 million for the Core Research Support Fund; and
 - Art. IX Sec. 18.16 (c), Contingency for House Bill 1595 and House Joint Resolution 3 providing for the reallocation of the FY24-25 Comprehensive Research Fund and Core Research Support Fund ("National Research Support Fund").</t>
  </si>
  <si>
    <t xml:space="preserve">Note:  Institutions with a headcount of less than 10,000 receive an annual Small Institution Supplement. General Academic Institutions, Texas State Technical Colleges, and Lamar State Colleges with a headcount of less than 5,000 receive up to $2,633,133 each biennium. Institutions with a headcount of less than 10,000 and more than 5,000 receive a portion of the supplement equal to the inverse percentage of the range. [(1-(5,000 - Head Count)/(10,000 - 5,000)) X Small Institution Supplement] </t>
  </si>
  <si>
    <t>National Research Support Fund</t>
  </si>
  <si>
    <t xml:space="preserve"> Core Research Support Fund</t>
  </si>
  <si>
    <t>Basis of Legislative Appropriations - Allocation Summary. Assumes all contingencies and passage of HJR3 are met for additional funding - See Footnote 1. Aligns with LBB informational files for research funds. Actual research fund allocations subject to change.</t>
  </si>
  <si>
    <t>Assumes enactment of House Bill 1595, 88th Texas Legislature, 2023 and aligns allocations with LBB informational files and preliminary federal/private research data. Final amounts by school are pending rulemaking and LBB reallocation.</t>
  </si>
  <si>
    <t xml:space="preserve">Texas Research University Fund (TRUF) </t>
  </si>
  <si>
    <t xml:space="preserve">Assumes enactment of House Bill 1595, 88th Texas Legislature, 2023 and aligns allocations with LBB informational files and </t>
  </si>
  <si>
    <t>preliminary federal/private research data. Final amounts by school are pending rulemaking and LBB reallocation.</t>
  </si>
  <si>
    <t xml:space="preserve">National Research Support Fund </t>
  </si>
  <si>
    <t xml:space="preserve">Texas University Fund </t>
  </si>
  <si>
    <t xml:space="preserve"> INFORMATIONAL ONLY. Assumes enactment of House Bill 1595, 88th Texas Legislature, 2023 and aligns allocations with LBB informational files and preliminary federal/private research data. Final amounts by school are pending rulemaking and LBB reallocation.</t>
  </si>
  <si>
    <t xml:space="preserve">Assumes all contingencies and passage of HJR3 are met for additional funding - See Footnote 1. Aligns with LBB informational files </t>
  </si>
  <si>
    <t>for research funds. Actual research fund allocations subject to change.</t>
  </si>
  <si>
    <t>Total by Institution (Includes I&amp;O, Inf, CRU, TRUF, NRSF, &amp; CRF. Includes TUF for comparison purposes)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</si>
</sst>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5" formatCode="&quot;$&quot;#,##0_);\(&quot;$&quot;#,##0\)"/>
    <numFmt numFmtId="6" formatCode="&quot;$&quot;#,##0_);[Red]\(&quot;$&quot;#,##0\)"/>
    <numFmt numFmtId="7" formatCode="&quot;$&quot;#,##0.00_);\(&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00000"/>
    <numFmt numFmtId="165" formatCode="00"/>
    <numFmt numFmtId="166" formatCode="###,###,##0"/>
    <numFmt numFmtId="167" formatCode="0.0%"/>
    <numFmt numFmtId="168" formatCode="#,##0.0%_);[Red]\(#,##0.0%\)"/>
    <numFmt numFmtId="169" formatCode="_(* #,##0_);_(* \(#,##0\);_(* &quot;-&quot;??_);_(@_)"/>
    <numFmt numFmtId="170" formatCode="_(&quot;$&quot;* #,##0_);_(&quot;$&quot;* \(#,##0\);_(&quot;$&quot;* &quot;-&quot;??_);_(@_)"/>
    <numFmt numFmtId="171" formatCode="_(* #,##0.0000000_);_(* \(#,##0.0000000\);_(* &quot;-&quot;??_);_(@_)"/>
    <numFmt numFmtId="172" formatCode="&quot;$&quot;#,##0.000000_);\(&quot;$&quot;#,##0.000000\)"/>
    <numFmt numFmtId="173" formatCode="_(&quot;$&quot;* #,##0.000000_);_(&quot;$&quot;* \(#,##0.000000\);_(&quot;$&quot;* &quot;-&quot;??_);_(@_)"/>
    <numFmt numFmtId="174" formatCode="_(&quot;$&quot;* #,##0.00000_);_(&quot;$&quot;* \(#,##0.00000\);_(&quot;$&quot;* &quot;-&quot;??_);_(@_)"/>
    <numFmt numFmtId="175" formatCode="&quot;$&quot;#,##0.000_);\(&quot;$&quot;#,##0.000\)"/>
    <numFmt numFmtId="176" formatCode="#,##0.000_);\(#,##0.000\)"/>
    <numFmt numFmtId="177" formatCode="&quot;$&quot;#,##0\ ;\(&quot;$&quot;#,##0\)"/>
    <numFmt numFmtId="178" formatCode="_(&quot;$&quot;* #,##0.0000000_);_(&quot;$&quot;* \(#,##0.0000000\);_(&quot;$&quot;* &quot;-&quot;??_);_(@_)"/>
    <numFmt numFmtId="179" formatCode="&quot;$&quot;#,##0.0000000000_);\(&quot;$&quot;#,##0.0000000000\)"/>
    <numFmt numFmtId="180" formatCode="&quot;$&quot;#,##0;\(&quot;$&quot;#,##0\)"/>
    <numFmt numFmtId="181" formatCode="_(&quot;$&quot;* #,##0.00000000_);_(&quot;$&quot;* \(#,##0.00000000\);_(&quot;$&quot;* &quot;-&quot;??_);_(@_)"/>
    <numFmt numFmtId="182" formatCode="_(&quot;$&quot;* #,##0.00_);_(&quot;$&quot;* \(#,##0.00\);_(&quot;$&quot;* &quot;-&quot;_);_(@_)"/>
    <numFmt numFmtId="183" formatCode="\$#,##0;\(\$#,##0\)"/>
    <numFmt numFmtId="184" formatCode="_(* #,##0.00000_);_(* \(#,##0.00000\);_(* &quot;-&quot;??_);_(@_)"/>
    <numFmt numFmtId="185" formatCode="0_)"/>
  </numFmts>
  <fonts count="114">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2"/>
      <name val="Arial"/>
      <family val="2"/>
    </font>
    <font>
      <sz val="8"/>
      <name val="Arial"/>
      <family val="2"/>
    </font>
    <font>
      <sz val="10"/>
      <name val="Arial"/>
      <family val="2"/>
    </font>
    <font>
      <sz val="11"/>
      <name val="Tahoma"/>
      <family val="2"/>
    </font>
    <font>
      <sz val="10"/>
      <name val="MS Sans Serif"/>
      <family val="2"/>
    </font>
    <font>
      <sz val="10"/>
      <name val="MS Sans Serif"/>
      <family val="2"/>
    </font>
    <font>
      <sz val="10"/>
      <name val="MS Sans Serif"/>
      <family val="2"/>
    </font>
    <font>
      <sz val="10"/>
      <name val="Arial"/>
      <family val="2"/>
    </font>
    <font>
      <sz val="10"/>
      <name val="System"/>
      <family val="2"/>
    </font>
    <font>
      <i/>
      <sz val="10"/>
      <name val="System"/>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sz val="10"/>
      <color indexed="24"/>
      <name val="Arial"/>
      <family val="2"/>
    </font>
    <font>
      <i/>
      <sz val="11"/>
      <color indexed="23"/>
      <name val="Calibri"/>
      <family val="2"/>
    </font>
    <font>
      <sz val="11"/>
      <color indexed="17"/>
      <name val="Calibri"/>
      <family val="2"/>
    </font>
    <font>
      <b/>
      <sz val="18"/>
      <color indexed="24"/>
      <name val="Arial"/>
      <family val="2"/>
    </font>
    <font>
      <b/>
      <sz val="12"/>
      <color indexed="24"/>
      <name val="Arial"/>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sz val="11"/>
      <color indexed="10"/>
      <name val="Calibri"/>
      <family val="2"/>
    </font>
    <font>
      <sz val="11"/>
      <color theme="1"/>
      <name val="Calibri"/>
      <family val="2"/>
      <scheme val="minor"/>
    </font>
    <font>
      <sz val="10"/>
      <color theme="1"/>
      <name val="Tahoma"/>
      <family val="2"/>
    </font>
    <font>
      <sz val="11"/>
      <color theme="1"/>
      <name val="Tahoma"/>
      <family val="2"/>
    </font>
    <font>
      <sz val="10"/>
      <color indexed="8"/>
      <name val="Arial"/>
      <family val="2"/>
    </font>
    <font>
      <sz val="10"/>
      <name val="Arial"/>
      <family val="2"/>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Verdana"/>
      <family val="2"/>
    </font>
    <font>
      <u/>
      <sz val="10"/>
      <color theme="10"/>
      <name val="Arial"/>
      <family val="2"/>
    </font>
    <font>
      <sz val="11"/>
      <color theme="1"/>
      <name val="Calibri"/>
      <family val="2"/>
    </font>
    <font>
      <u/>
      <sz val="11"/>
      <color theme="10"/>
      <name val="Calibri"/>
      <family val="2"/>
      <scheme val="minor"/>
    </font>
    <font>
      <sz val="11"/>
      <color rgb="FF9C6500"/>
      <name val="Calibri"/>
      <family val="2"/>
      <scheme val="minor"/>
    </font>
    <font>
      <b/>
      <sz val="18"/>
      <color theme="3"/>
      <name val="Cambria"/>
      <family val="2"/>
      <scheme val="major"/>
    </font>
    <font>
      <sz val="10"/>
      <color rgb="FF000000"/>
      <name val="Arial"/>
      <family val="2"/>
    </font>
    <font>
      <u/>
      <sz val="10"/>
      <color rgb="FF0000FF"/>
      <name val="Arial"/>
      <family val="2"/>
    </font>
    <font>
      <u/>
      <sz val="10"/>
      <color rgb="FF800080"/>
      <name val="Arial"/>
      <family val="2"/>
    </font>
    <font>
      <sz val="10"/>
      <color indexed="8"/>
      <name val="Arial"/>
      <family val="2"/>
    </font>
    <font>
      <b/>
      <sz val="11"/>
      <name val="Overpass"/>
    </font>
    <font>
      <sz val="11"/>
      <name val="Overpass"/>
    </font>
    <font>
      <b/>
      <vertAlign val="superscript"/>
      <sz val="11"/>
      <name val="Overpass"/>
    </font>
    <font>
      <b/>
      <sz val="11"/>
      <color theme="0"/>
      <name val="Overpass"/>
    </font>
    <font>
      <b/>
      <vertAlign val="superscript"/>
      <sz val="11"/>
      <color theme="0"/>
      <name val="Overpass"/>
    </font>
    <font>
      <sz val="11"/>
      <color indexed="8"/>
      <name val="Overpass"/>
    </font>
    <font>
      <sz val="11"/>
      <color indexed="12"/>
      <name val="Overpass"/>
    </font>
    <font>
      <sz val="11"/>
      <color indexed="10"/>
      <name val="Overpass"/>
    </font>
    <font>
      <b/>
      <sz val="11"/>
      <color indexed="8"/>
      <name val="Overpass"/>
    </font>
    <font>
      <vertAlign val="superscript"/>
      <sz val="11"/>
      <color indexed="8"/>
      <name val="Overpass"/>
    </font>
    <font>
      <vertAlign val="superscript"/>
      <sz val="11"/>
      <name val="Overpass"/>
    </font>
    <font>
      <sz val="10"/>
      <name val="Overpass"/>
    </font>
    <font>
      <sz val="11"/>
      <color theme="0"/>
      <name val="Overpass"/>
    </font>
    <font>
      <strike/>
      <sz val="11"/>
      <color indexed="10"/>
      <name val="Overpass"/>
    </font>
    <font>
      <strike/>
      <sz val="11"/>
      <name val="Overpass"/>
    </font>
    <font>
      <b/>
      <u/>
      <sz val="11"/>
      <color theme="0"/>
      <name val="Overpass"/>
    </font>
    <font>
      <sz val="11"/>
      <color rgb="FFFF0000"/>
      <name val="Overpass"/>
    </font>
    <font>
      <b/>
      <vertAlign val="superscript"/>
      <sz val="11"/>
      <color indexed="9"/>
      <name val="Overpass"/>
    </font>
    <font>
      <b/>
      <vertAlign val="superscript"/>
      <sz val="11"/>
      <color indexed="8"/>
      <name val="Overpass"/>
    </font>
    <font>
      <b/>
      <sz val="11"/>
      <color indexed="9"/>
      <name val="Overpass"/>
    </font>
    <font>
      <sz val="10"/>
      <color rgb="FFFF0000"/>
      <name val="Overpass"/>
    </font>
    <font>
      <sz val="11"/>
      <color rgb="FF000000"/>
      <name val="Overpass"/>
    </font>
    <font>
      <b/>
      <sz val="11"/>
      <color theme="1"/>
      <name val="Overpass"/>
    </font>
    <font>
      <sz val="11"/>
      <color theme="1"/>
      <name val="Overpass"/>
    </font>
    <font>
      <b/>
      <sz val="10"/>
      <color theme="1"/>
      <name val="Overpass"/>
    </font>
    <font>
      <sz val="11"/>
      <color rgb="FF000000"/>
      <name val="Tahoma"/>
      <family val="2"/>
    </font>
    <font>
      <b/>
      <sz val="11"/>
      <name val="Tahoma"/>
      <family val="2"/>
    </font>
    <font>
      <b/>
      <sz val="12"/>
      <name val="Overpass"/>
    </font>
    <font>
      <sz val="11"/>
      <color theme="0"/>
      <name val="Tahoma"/>
      <family val="2"/>
    </font>
    <font>
      <sz val="11"/>
      <color theme="1"/>
      <name val="Verdana"/>
      <family val="2"/>
    </font>
    <font>
      <b/>
      <i/>
      <sz val="10"/>
      <name val="Arial"/>
      <family val="2"/>
    </font>
    <font>
      <sz val="12"/>
      <name val="Helv"/>
    </font>
    <font>
      <sz val="12"/>
      <color indexed="8"/>
      <name val="Times New Roman"/>
      <family val="2"/>
    </font>
    <font>
      <sz val="12"/>
      <color indexed="9"/>
      <name val="Times New Roman"/>
      <family val="2"/>
    </font>
    <font>
      <sz val="12"/>
      <color indexed="20"/>
      <name val="Times New Roman"/>
      <family val="2"/>
    </font>
    <font>
      <b/>
      <sz val="12"/>
      <color indexed="52"/>
      <name val="Times New Roman"/>
      <family val="2"/>
    </font>
    <font>
      <b/>
      <sz val="12"/>
      <color indexed="9"/>
      <name val="Times New Roman"/>
      <family val="2"/>
    </font>
    <font>
      <i/>
      <sz val="12"/>
      <color indexed="23"/>
      <name val="Times New Roman"/>
      <family val="2"/>
    </font>
    <font>
      <sz val="12"/>
      <color indexed="17"/>
      <name val="Times New Roman"/>
      <family val="2"/>
    </font>
    <font>
      <b/>
      <sz val="15"/>
      <color indexed="56"/>
      <name val="Times New Roman"/>
      <family val="2"/>
    </font>
    <font>
      <b/>
      <sz val="13"/>
      <color indexed="56"/>
      <name val="Times New Roman"/>
      <family val="2"/>
    </font>
    <font>
      <b/>
      <sz val="11"/>
      <color indexed="56"/>
      <name val="Times New Roman"/>
      <family val="2"/>
    </font>
    <font>
      <sz val="12"/>
      <color indexed="62"/>
      <name val="Times New Roman"/>
      <family val="2"/>
    </font>
    <font>
      <sz val="12"/>
      <color indexed="52"/>
      <name val="Times New Roman"/>
      <family val="2"/>
    </font>
    <font>
      <sz val="12"/>
      <color indexed="60"/>
      <name val="Times New Roman"/>
      <family val="2"/>
    </font>
    <font>
      <b/>
      <sz val="12"/>
      <color indexed="63"/>
      <name val="Times New Roman"/>
      <family val="2"/>
    </font>
    <font>
      <b/>
      <sz val="12"/>
      <color indexed="8"/>
      <name val="Times New Roman"/>
      <family val="2"/>
    </font>
    <font>
      <sz val="12"/>
      <color indexed="10"/>
      <name val="Times New Roman"/>
      <family val="2"/>
    </font>
    <font>
      <vertAlign val="superscript"/>
      <sz val="11"/>
      <color theme="1"/>
      <name val="Overpass"/>
    </font>
    <font>
      <sz val="10"/>
      <color theme="0"/>
      <name val="Arial"/>
      <family val="2"/>
    </font>
    <font>
      <b/>
      <sz val="10"/>
      <name val="Arial"/>
      <family val="2"/>
    </font>
    <font>
      <sz val="11"/>
      <name val="Arial"/>
      <family val="2"/>
    </font>
  </fonts>
  <fills count="6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3" tint="0.79998168889431442"/>
        <bgColor indexed="64"/>
      </patternFill>
    </fill>
    <fill>
      <patternFill patternType="solid">
        <fgColor theme="4" tint="0.79998168889431442"/>
        <bgColor indexed="64"/>
      </patternFill>
    </fill>
    <fill>
      <patternFill patternType="solid">
        <fgColor theme="0"/>
        <bgColor indexed="64"/>
      </patternFill>
    </fill>
    <fill>
      <patternFill patternType="solid">
        <fgColor theme="3"/>
        <bgColor indexed="64"/>
      </patternFill>
    </fill>
    <fill>
      <patternFill patternType="solid">
        <fgColor theme="6" tint="0.59999389629810485"/>
        <bgColor indexed="64"/>
      </patternFill>
    </fill>
    <fill>
      <patternFill patternType="solid">
        <fgColor rgb="FFFFFF00"/>
        <bgColor indexed="64"/>
      </patternFill>
    </fill>
    <fill>
      <patternFill patternType="solid">
        <fgColor theme="4" tint="0.59999389629810485"/>
        <bgColor indexed="64"/>
      </patternFill>
    </fill>
    <fill>
      <patternFill patternType="solid">
        <fgColor theme="9"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92D050"/>
        <bgColor indexed="64"/>
      </patternFill>
    </fill>
    <fill>
      <patternFill patternType="solid">
        <fgColor theme="0" tint="-0.14999847407452621"/>
        <bgColor indexed="64"/>
      </patternFill>
    </fill>
    <fill>
      <patternFill patternType="solid">
        <fgColor rgb="FF00B0F0"/>
        <bgColor indexed="64"/>
      </patternFill>
    </fill>
    <fill>
      <patternFill patternType="solid">
        <fgColor theme="0" tint="-4.9989318521683403E-2"/>
        <bgColor indexed="64"/>
      </patternFill>
    </fill>
  </fills>
  <borders count="113">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double">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top/>
      <bottom style="double">
        <color indexed="64"/>
      </bottom>
      <diagonal/>
    </border>
    <border>
      <left/>
      <right/>
      <top style="thin">
        <color indexed="64"/>
      </top>
      <bottom/>
      <diagonal/>
    </border>
    <border>
      <left style="thin">
        <color indexed="64"/>
      </left>
      <right style="medium">
        <color indexed="64"/>
      </right>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style="medium">
        <color indexed="64"/>
      </top>
      <bottom/>
      <diagonal/>
    </border>
    <border>
      <left/>
      <right/>
      <top/>
      <bottom style="medium">
        <color indexed="64"/>
      </bottom>
      <diagonal/>
    </border>
    <border>
      <left style="medium">
        <color indexed="64"/>
      </left>
      <right style="thin">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thin">
        <color indexed="64"/>
      </right>
      <top/>
      <bottom style="thin">
        <color indexed="64"/>
      </bottom>
      <diagonal/>
    </border>
    <border>
      <left/>
      <right style="thin">
        <color indexed="64"/>
      </right>
      <top style="medium">
        <color indexed="64"/>
      </top>
      <bottom style="thin">
        <color indexed="64"/>
      </bottom>
      <diagonal/>
    </border>
    <border>
      <left style="medium">
        <color indexed="64"/>
      </left>
      <right/>
      <top/>
      <bottom style="thin">
        <color indexed="64"/>
      </bottom>
      <diagonal/>
    </border>
    <border>
      <left style="thin">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medium">
        <color indexed="64"/>
      </top>
      <bottom/>
      <diagonal/>
    </border>
    <border>
      <left style="thin">
        <color indexed="64"/>
      </left>
      <right/>
      <top/>
      <bottom/>
      <diagonal/>
    </border>
    <border>
      <left style="thin">
        <color indexed="64"/>
      </left>
      <right/>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bottom/>
      <diagonal/>
    </border>
    <border>
      <left/>
      <right/>
      <top style="medium">
        <color indexed="64"/>
      </top>
      <bottom style="thin">
        <color indexed="64"/>
      </bottom>
      <diagonal/>
    </border>
    <border>
      <left style="medium">
        <color indexed="64"/>
      </left>
      <right style="medium">
        <color indexed="64"/>
      </right>
      <top style="medium">
        <color indexed="64"/>
      </top>
      <bottom/>
      <diagonal/>
    </border>
    <border>
      <left style="thin">
        <color theme="0"/>
      </left>
      <right style="thin">
        <color theme="0"/>
      </right>
      <top style="thin">
        <color theme="0"/>
      </top>
      <bottom style="medium">
        <color indexed="64"/>
      </bottom>
      <diagonal/>
    </border>
    <border>
      <left style="thin">
        <color theme="0"/>
      </left>
      <right style="medium">
        <color indexed="64"/>
      </right>
      <top style="thin">
        <color theme="0"/>
      </top>
      <bottom style="medium">
        <color indexed="64"/>
      </bottom>
      <diagonal/>
    </border>
    <border>
      <left style="thin">
        <color indexed="64"/>
      </left>
      <right style="thin">
        <color theme="0"/>
      </right>
      <top style="thin">
        <color theme="0"/>
      </top>
      <bottom style="medium">
        <color indexed="64"/>
      </bottom>
      <diagonal/>
    </border>
    <border>
      <left style="thin">
        <color theme="0"/>
      </left>
      <right style="thin">
        <color theme="0"/>
      </right>
      <top style="medium">
        <color indexed="64"/>
      </top>
      <bottom style="medium">
        <color theme="0"/>
      </bottom>
      <diagonal/>
    </border>
    <border>
      <left style="thin">
        <color theme="0"/>
      </left>
      <right style="medium">
        <color indexed="64"/>
      </right>
      <top style="medium">
        <color indexed="64"/>
      </top>
      <bottom style="medium">
        <color theme="0"/>
      </bottom>
      <diagonal/>
    </border>
    <border>
      <left style="thin">
        <color theme="0"/>
      </left>
      <right style="thin">
        <color theme="0"/>
      </right>
      <top style="thin">
        <color theme="0"/>
      </top>
      <bottom/>
      <diagonal/>
    </border>
    <border>
      <left style="medium">
        <color indexed="64"/>
      </left>
      <right/>
      <top/>
      <bottom style="thin">
        <color theme="0"/>
      </bottom>
      <diagonal/>
    </border>
    <border>
      <left/>
      <right/>
      <top/>
      <bottom style="thin">
        <color theme="0"/>
      </bottom>
      <diagonal/>
    </border>
    <border>
      <left style="medium">
        <color indexed="64"/>
      </left>
      <right style="thin">
        <color theme="0"/>
      </right>
      <top style="medium">
        <color indexed="64"/>
      </top>
      <bottom style="medium">
        <color theme="0"/>
      </bottom>
      <diagonal/>
    </border>
    <border>
      <left style="medium">
        <color indexed="64"/>
      </left>
      <right/>
      <top style="medium">
        <color theme="0"/>
      </top>
      <bottom style="medium">
        <color indexed="64"/>
      </bottom>
      <diagonal/>
    </border>
    <border>
      <left/>
      <right/>
      <top style="medium">
        <color theme="0"/>
      </top>
      <bottom style="medium">
        <color indexed="64"/>
      </bottom>
      <diagonal/>
    </border>
    <border>
      <left/>
      <right style="medium">
        <color indexed="64"/>
      </right>
      <top style="medium">
        <color theme="0"/>
      </top>
      <bottom style="medium">
        <color indexed="64"/>
      </bottom>
      <diagonal/>
    </border>
    <border>
      <left style="medium">
        <color indexed="64"/>
      </left>
      <right style="thin">
        <color theme="0"/>
      </right>
      <top style="medium">
        <color indexed="64"/>
      </top>
      <bottom style="thin">
        <color theme="0"/>
      </bottom>
      <diagonal/>
    </border>
    <border>
      <left style="medium">
        <color indexed="64"/>
      </left>
      <right style="thin">
        <color theme="0"/>
      </right>
      <top style="thin">
        <color theme="0"/>
      </top>
      <bottom style="medium">
        <color indexed="64"/>
      </bottom>
      <diagonal/>
    </border>
    <border>
      <left style="thin">
        <color theme="0"/>
      </left>
      <right style="thin">
        <color theme="0"/>
      </right>
      <top style="medium">
        <color indexed="64"/>
      </top>
      <bottom style="thin">
        <color theme="0"/>
      </bottom>
      <diagonal/>
    </border>
    <border>
      <left style="thin">
        <color indexed="64"/>
      </left>
      <right style="thin">
        <color theme="0"/>
      </right>
      <top style="medium">
        <color indexed="64"/>
      </top>
      <bottom style="thin">
        <color theme="0"/>
      </bottom>
      <diagonal/>
    </border>
    <border>
      <left style="thin">
        <color theme="0"/>
      </left>
      <right style="medium">
        <color indexed="64"/>
      </right>
      <top style="medium">
        <color indexed="64"/>
      </top>
      <bottom style="thin">
        <color theme="0"/>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medium">
        <color indexed="64"/>
      </right>
      <top/>
      <bottom/>
      <diagonal/>
    </border>
    <border>
      <left style="thin">
        <color indexed="64"/>
      </left>
      <right style="thin">
        <color indexed="64"/>
      </right>
      <top/>
      <bottom/>
      <diagonal/>
    </border>
    <border>
      <left style="thin">
        <color rgb="FFD0D7E5"/>
      </left>
      <right style="thin">
        <color rgb="FFD0D7E5"/>
      </right>
      <top style="thin">
        <color rgb="FFD0D7E5"/>
      </top>
      <bottom style="thin">
        <color rgb="FFD0D7E5"/>
      </bottom>
      <diagonal/>
    </border>
    <border>
      <left/>
      <right/>
      <top/>
      <bottom style="thick">
        <color indexed="62"/>
      </bottom>
      <diagonal/>
    </border>
    <border>
      <left/>
      <right/>
      <top/>
      <bottom style="thick">
        <color indexed="22"/>
      </bottom>
      <diagonal/>
    </border>
    <border>
      <left/>
      <right/>
      <top style="thin">
        <color indexed="62"/>
      </top>
      <bottom style="double">
        <color indexed="62"/>
      </bottom>
      <diagonal/>
    </border>
    <border>
      <left/>
      <right style="thin">
        <color theme="0"/>
      </right>
      <top style="medium">
        <color indexed="64"/>
      </top>
      <bottom style="thin">
        <color theme="0"/>
      </bottom>
      <diagonal/>
    </border>
    <border>
      <left style="thin">
        <color indexed="64"/>
      </left>
      <right style="medium">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medium">
        <color rgb="FFF8F8F8"/>
      </left>
      <right/>
      <top style="medium">
        <color rgb="FFF8F8F8"/>
      </top>
      <bottom style="medium">
        <color rgb="FFF8F8F8"/>
      </bottom>
      <diagonal/>
    </border>
    <border>
      <left/>
      <right/>
      <top style="medium">
        <color rgb="FFF8F8F8"/>
      </top>
      <bottom style="medium">
        <color rgb="FFF8F8F8"/>
      </bottom>
      <diagonal/>
    </border>
    <border>
      <left/>
      <right style="medium">
        <color rgb="FFF8F8F8"/>
      </right>
      <top style="medium">
        <color rgb="FFF8F8F8"/>
      </top>
      <bottom style="medium">
        <color rgb="FFF8F8F8"/>
      </bottom>
      <diagonal/>
    </border>
    <border>
      <left style="medium">
        <color rgb="FFF8F8F8"/>
      </left>
      <right/>
      <top/>
      <bottom style="medium">
        <color rgb="FFF8F8F8"/>
      </bottom>
      <diagonal/>
    </border>
    <border>
      <left/>
      <right/>
      <top/>
      <bottom style="medium">
        <color rgb="FFF8F8F8"/>
      </bottom>
      <diagonal/>
    </border>
  </borders>
  <cellStyleXfs count="855">
    <xf numFmtId="0" fontId="0" fillId="0" borderId="0"/>
    <xf numFmtId="0" fontId="16" fillId="2" borderId="0" applyNumberFormat="0" applyBorder="0" applyAlignment="0" applyProtection="0"/>
    <xf numFmtId="0" fontId="16" fillId="3" borderId="0" applyNumberFormat="0" applyBorder="0" applyAlignment="0" applyProtection="0"/>
    <xf numFmtId="0" fontId="16" fillId="4" borderId="0" applyNumberFormat="0" applyBorder="0" applyAlignment="0" applyProtection="0"/>
    <xf numFmtId="0" fontId="16" fillId="5"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5" borderId="0" applyNumberFormat="0" applyBorder="0" applyAlignment="0" applyProtection="0"/>
    <xf numFmtId="0" fontId="16" fillId="8" borderId="0" applyNumberFormat="0" applyBorder="0" applyAlignment="0" applyProtection="0"/>
    <xf numFmtId="0" fontId="16" fillId="11" borderId="0" applyNumberFormat="0" applyBorder="0" applyAlignment="0" applyProtection="0"/>
    <xf numFmtId="0" fontId="17" fillId="12" borderId="0" applyNumberFormat="0" applyBorder="0" applyAlignment="0" applyProtection="0"/>
    <xf numFmtId="0" fontId="17" fillId="9" borderId="0" applyNumberFormat="0" applyBorder="0" applyAlignment="0" applyProtection="0"/>
    <xf numFmtId="0" fontId="17" fillId="10" borderId="0" applyNumberFormat="0" applyBorder="0" applyAlignment="0" applyProtection="0"/>
    <xf numFmtId="0" fontId="17" fillId="13"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7" fillId="18" borderId="0" applyNumberFormat="0" applyBorder="0" applyAlignment="0" applyProtection="0"/>
    <xf numFmtId="0" fontId="17" fillId="13" borderId="0" applyNumberFormat="0" applyBorder="0" applyAlignment="0" applyProtection="0"/>
    <xf numFmtId="0" fontId="17" fillId="14" borderId="0" applyNumberFormat="0" applyBorder="0" applyAlignment="0" applyProtection="0"/>
    <xf numFmtId="0" fontId="17" fillId="19" borderId="0" applyNumberFormat="0" applyBorder="0" applyAlignment="0" applyProtection="0"/>
    <xf numFmtId="0" fontId="18" fillId="3" borderId="0" applyNumberFormat="0" applyBorder="0" applyAlignment="0" applyProtection="0"/>
    <xf numFmtId="0" fontId="19" fillId="20" borderId="1" applyNumberFormat="0" applyAlignment="0" applyProtection="0"/>
    <xf numFmtId="0" fontId="20" fillId="21" borderId="2" applyNumberFormat="0" applyAlignment="0" applyProtection="0"/>
    <xf numFmtId="43" fontId="5" fillId="0" borderId="0" applyFont="0" applyFill="0" applyBorder="0" applyAlignment="0" applyProtection="0"/>
    <xf numFmtId="43" fontId="11" fillId="0" borderId="0" applyFont="0" applyFill="0" applyBorder="0" applyAlignment="0" applyProtection="0"/>
    <xf numFmtId="43" fontId="10" fillId="0" borderId="0" applyFont="0" applyFill="0" applyBorder="0" applyAlignment="0" applyProtection="0"/>
    <xf numFmtId="43" fontId="8" fillId="0" borderId="0" applyFont="0" applyFill="0" applyBorder="0" applyAlignment="0" applyProtection="0"/>
    <xf numFmtId="43" fontId="5" fillId="0" borderId="0" applyFont="0" applyFill="0" applyBorder="0" applyAlignment="0" applyProtection="0"/>
    <xf numFmtId="43" fontId="13" fillId="0" borderId="0" applyFont="0" applyFill="0" applyBorder="0" applyAlignment="0" applyProtection="0"/>
    <xf numFmtId="43" fontId="15" fillId="0" borderId="0" applyFont="0" applyFill="0" applyBorder="0" applyAlignment="0" applyProtection="0"/>
    <xf numFmtId="43" fontId="33"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3" fontId="8" fillId="0" borderId="0"/>
    <xf numFmtId="3" fontId="5" fillId="0" borderId="0"/>
    <xf numFmtId="3" fontId="21" fillId="0" borderId="0" applyFont="0" applyFill="0" applyBorder="0" applyAlignment="0" applyProtection="0"/>
    <xf numFmtId="3" fontId="21" fillId="0" borderId="0" applyFont="0" applyFill="0" applyBorder="0" applyAlignment="0" applyProtection="0"/>
    <xf numFmtId="3" fontId="21" fillId="0" borderId="0" applyFont="0" applyFill="0" applyBorder="0" applyAlignment="0" applyProtection="0"/>
    <xf numFmtId="44" fontId="5" fillId="0" borderId="0" applyFont="0" applyFill="0" applyBorder="0" applyAlignment="0" applyProtection="0"/>
    <xf numFmtId="44" fontId="8" fillId="0" borderId="0" applyFont="0" applyFill="0" applyBorder="0" applyAlignment="0" applyProtection="0"/>
    <xf numFmtId="44" fontId="5" fillId="0" borderId="0" applyFont="0" applyFill="0" applyBorder="0" applyAlignment="0" applyProtection="0"/>
    <xf numFmtId="44" fontId="10" fillId="0" borderId="0" applyFont="0" applyFill="0" applyBorder="0" applyAlignment="0" applyProtection="0"/>
    <xf numFmtId="44" fontId="35" fillId="0" borderId="0" applyFont="0" applyFill="0" applyBorder="0" applyAlignment="0" applyProtection="0"/>
    <xf numFmtId="44" fontId="14" fillId="0" borderId="0" applyFont="0" applyFill="0" applyBorder="0" applyAlignment="0" applyProtection="0"/>
    <xf numFmtId="44" fontId="34" fillId="0" borderId="0" applyFont="0" applyFill="0" applyBorder="0" applyAlignment="0" applyProtection="0"/>
    <xf numFmtId="44" fontId="33" fillId="0" borderId="0" applyFont="0" applyFill="0" applyBorder="0" applyAlignment="0" applyProtection="0"/>
    <xf numFmtId="177" fontId="21" fillId="0" borderId="0" applyFont="0" applyFill="0" applyBorder="0" applyAlignment="0" applyProtection="0"/>
    <xf numFmtId="177" fontId="21" fillId="0" borderId="0" applyFont="0" applyFill="0" applyBorder="0" applyAlignment="0" applyProtection="0"/>
    <xf numFmtId="177"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2" fillId="0" borderId="0" applyNumberFormat="0" applyFill="0" applyBorder="0" applyAlignment="0" applyProtection="0"/>
    <xf numFmtId="2" fontId="21" fillId="0" borderId="0" applyFont="0" applyFill="0" applyBorder="0" applyAlignment="0" applyProtection="0"/>
    <xf numFmtId="2" fontId="21" fillId="0" borderId="0" applyFont="0" applyFill="0" applyBorder="0" applyAlignment="0" applyProtection="0"/>
    <xf numFmtId="2" fontId="21" fillId="0" borderId="0" applyFont="0" applyFill="0" applyBorder="0" applyAlignment="0" applyProtection="0"/>
    <xf numFmtId="0" fontId="23" fillId="4" borderId="0" applyNumberFormat="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6" fillId="0" borderId="3" applyNumberFormat="0" applyFill="0" applyAlignment="0" applyProtection="0"/>
    <xf numFmtId="0" fontId="26" fillId="0" borderId="0" applyNumberFormat="0" applyFill="0" applyBorder="0" applyAlignment="0" applyProtection="0"/>
    <xf numFmtId="0" fontId="27" fillId="7" borderId="1" applyNumberFormat="0" applyAlignment="0" applyProtection="0"/>
    <xf numFmtId="0" fontId="28" fillId="0" borderId="4" applyNumberFormat="0" applyFill="0" applyAlignment="0" applyProtection="0"/>
    <xf numFmtId="0" fontId="29" fillId="22" borderId="0" applyNumberFormat="0" applyBorder="0" applyAlignment="0" applyProtection="0"/>
    <xf numFmtId="0" fontId="5" fillId="0" borderId="0"/>
    <xf numFmtId="0" fontId="5" fillId="0" borderId="0"/>
    <xf numFmtId="0" fontId="14" fillId="0" borderId="0"/>
    <xf numFmtId="0" fontId="33" fillId="0" borderId="0"/>
    <xf numFmtId="0" fontId="33" fillId="0" borderId="0"/>
    <xf numFmtId="0" fontId="8" fillId="0" borderId="0"/>
    <xf numFmtId="0" fontId="5" fillId="0" borderId="0"/>
    <xf numFmtId="0" fontId="5" fillId="0" borderId="0"/>
    <xf numFmtId="0" fontId="5" fillId="0" borderId="0"/>
    <xf numFmtId="0" fontId="5" fillId="0" borderId="0"/>
    <xf numFmtId="0" fontId="5" fillId="0" borderId="0"/>
    <xf numFmtId="0" fontId="10" fillId="0" borderId="0"/>
    <xf numFmtId="0" fontId="5" fillId="0" borderId="0"/>
    <xf numFmtId="0" fontId="14" fillId="0" borderId="0"/>
    <xf numFmtId="0" fontId="5" fillId="0" borderId="0"/>
    <xf numFmtId="0" fontId="5" fillId="0" borderId="0"/>
    <xf numFmtId="0" fontId="5" fillId="0" borderId="0"/>
    <xf numFmtId="0" fontId="5" fillId="0" borderId="0"/>
    <xf numFmtId="0" fontId="5" fillId="0" borderId="0"/>
    <xf numFmtId="0" fontId="5" fillId="0" borderId="0"/>
    <xf numFmtId="0" fontId="10" fillId="0" borderId="0"/>
    <xf numFmtId="0" fontId="35" fillId="0" borderId="0"/>
    <xf numFmtId="0" fontId="10" fillId="0" borderId="0"/>
    <xf numFmtId="0" fontId="5" fillId="0" borderId="0"/>
    <xf numFmtId="0" fontId="5" fillId="0" borderId="0"/>
    <xf numFmtId="0" fontId="12" fillId="0" borderId="0"/>
    <xf numFmtId="0" fontId="10" fillId="0" borderId="0"/>
    <xf numFmtId="0" fontId="5" fillId="0" borderId="0"/>
    <xf numFmtId="0" fontId="5" fillId="0" borderId="0"/>
    <xf numFmtId="0" fontId="6" fillId="0" borderId="0"/>
    <xf numFmtId="0" fontId="5" fillId="0" borderId="0"/>
    <xf numFmtId="0" fontId="6" fillId="0" borderId="0"/>
    <xf numFmtId="0" fontId="5" fillId="0" borderId="0"/>
    <xf numFmtId="0" fontId="6" fillId="0" borderId="0"/>
    <xf numFmtId="0" fontId="5" fillId="0" borderId="0"/>
    <xf numFmtId="0" fontId="6" fillId="0" borderId="0"/>
    <xf numFmtId="0" fontId="33" fillId="0" borderId="0"/>
    <xf numFmtId="0" fontId="35" fillId="0" borderId="0"/>
    <xf numFmtId="0" fontId="6" fillId="0" borderId="0"/>
    <xf numFmtId="0" fontId="6" fillId="0" borderId="0"/>
    <xf numFmtId="0" fontId="5" fillId="23" borderId="5" applyNumberFormat="0" applyFont="0" applyAlignment="0" applyProtection="0"/>
    <xf numFmtId="0" fontId="30" fillId="20" borderId="6" applyNumberFormat="0" applyAlignment="0" applyProtection="0"/>
    <xf numFmtId="9" fontId="5" fillId="0" borderId="0" applyFont="0" applyFill="0" applyBorder="0" applyAlignment="0" applyProtection="0"/>
    <xf numFmtId="9" fontId="11" fillId="0" borderId="0" applyFont="0" applyFill="0" applyBorder="0" applyAlignment="0" applyProtection="0"/>
    <xf numFmtId="9" fontId="10" fillId="0" borderId="0" applyFont="0" applyFill="0" applyBorder="0" applyAlignment="0" applyProtection="0"/>
    <xf numFmtId="9" fontId="5" fillId="0" borderId="0" applyFont="0" applyFill="0" applyBorder="0" applyAlignment="0" applyProtection="0"/>
    <xf numFmtId="9" fontId="8" fillId="0" borderId="0" applyFont="0" applyFill="0" applyBorder="0" applyAlignment="0" applyProtection="0"/>
    <xf numFmtId="9" fontId="5" fillId="0" borderId="0" applyFont="0" applyFill="0" applyBorder="0" applyAlignment="0" applyProtection="0"/>
    <xf numFmtId="9" fontId="13" fillId="0" borderId="0" applyFont="0" applyFill="0" applyBorder="0" applyAlignment="0" applyProtection="0"/>
    <xf numFmtId="9" fontId="14" fillId="0" borderId="0" applyFont="0" applyFill="0" applyBorder="0" applyAlignment="0" applyProtection="0"/>
    <xf numFmtId="9" fontId="5" fillId="0" borderId="0" applyFont="0" applyFill="0" applyBorder="0" applyAlignment="0" applyProtection="0"/>
    <xf numFmtId="0" fontId="31" fillId="0" borderId="0" applyNumberFormat="0" applyFill="0" applyBorder="0" applyAlignment="0" applyProtection="0"/>
    <xf numFmtId="0" fontId="21" fillId="0" borderId="7" applyNumberFormat="0" applyFont="0" applyFill="0" applyAlignment="0" applyProtection="0"/>
    <xf numFmtId="0" fontId="21" fillId="0" borderId="7" applyNumberFormat="0" applyFont="0" applyFill="0" applyAlignment="0" applyProtection="0"/>
    <xf numFmtId="0" fontId="32" fillId="0" borderId="0" applyNumberFormat="0" applyFill="0" applyBorder="0" applyAlignment="0" applyProtection="0"/>
    <xf numFmtId="0" fontId="36" fillId="0" borderId="0"/>
    <xf numFmtId="0" fontId="36" fillId="0" borderId="0"/>
    <xf numFmtId="0" fontId="4" fillId="0" borderId="0"/>
    <xf numFmtId="0" fontId="37" fillId="0" borderId="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9" fontId="5" fillId="0" borderId="0" applyFont="0" applyFill="0" applyBorder="0" applyAlignment="0" applyProtection="0"/>
    <xf numFmtId="0" fontId="21" fillId="0" borderId="7" applyNumberFormat="0" applyFont="0" applyFill="0" applyAlignment="0" applyProtection="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9" fontId="5"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4" fontId="5" fillId="0" borderId="0" applyFont="0" applyFill="0" applyBorder="0" applyAlignment="0" applyProtection="0"/>
    <xf numFmtId="44" fontId="5" fillId="0" borderId="0" applyFont="0" applyFill="0" applyBorder="0" applyAlignment="0" applyProtection="0"/>
    <xf numFmtId="9" fontId="5" fillId="0" borderId="0" applyFont="0" applyFill="0" applyBorder="0" applyAlignment="0" applyProtection="0"/>
    <xf numFmtId="0" fontId="52" fillId="0" borderId="0"/>
    <xf numFmtId="43" fontId="5" fillId="0" borderId="0" applyFont="0" applyFill="0" applyBorder="0" applyAlignment="0" applyProtection="0"/>
    <xf numFmtId="43" fontId="5" fillId="0" borderId="0" applyFont="0" applyFill="0" applyBorder="0" applyAlignment="0" applyProtection="0"/>
    <xf numFmtId="9" fontId="5" fillId="0" borderId="0" applyFont="0" applyFill="0" applyBorder="0" applyAlignment="0" applyProtection="0"/>
    <xf numFmtId="0" fontId="52"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44"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44"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21" fillId="0" borderId="7" applyNumberFormat="0" applyFont="0" applyFill="0" applyAlignment="0" applyProtection="0"/>
    <xf numFmtId="0" fontId="21" fillId="0" borderId="7" applyNumberFormat="0" applyFont="0" applyFill="0" applyAlignment="0" applyProtection="0"/>
    <xf numFmtId="0" fontId="21" fillId="0" borderId="7" applyNumberFormat="0" applyFont="0" applyFill="0" applyAlignment="0" applyProtection="0"/>
    <xf numFmtId="0" fontId="21" fillId="0" borderId="7" applyNumberFormat="0" applyFont="0" applyFill="0" applyAlignment="0" applyProtection="0"/>
    <xf numFmtId="0" fontId="21" fillId="0" borderId="7" applyNumberFormat="0" applyFont="0" applyFill="0" applyAlignment="0" applyProtection="0"/>
    <xf numFmtId="0" fontId="21" fillId="0" borderId="7" applyNumberFormat="0" applyFont="0" applyFill="0" applyAlignment="0" applyProtection="0"/>
    <xf numFmtId="0" fontId="21" fillId="0" borderId="7" applyNumberFormat="0" applyFont="0" applyFill="0" applyAlignment="0" applyProtection="0"/>
    <xf numFmtId="0" fontId="21" fillId="0" borderId="7" applyNumberFormat="0" applyFont="0" applyFill="0" applyAlignment="0" applyProtection="0"/>
    <xf numFmtId="0" fontId="21" fillId="0" borderId="7" applyNumberFormat="0" applyFont="0" applyFill="0" applyAlignment="0" applyProtection="0"/>
    <xf numFmtId="0" fontId="21" fillId="0" borderId="7" applyNumberFormat="0" applyFont="0" applyFill="0" applyAlignment="0" applyProtection="0"/>
    <xf numFmtId="0" fontId="21" fillId="0" borderId="7" applyNumberFormat="0" applyFont="0" applyFill="0" applyAlignment="0" applyProtection="0"/>
    <xf numFmtId="0" fontId="21" fillId="0" borderId="7" applyNumberFormat="0" applyFont="0" applyFill="0" applyAlignment="0" applyProtection="0"/>
    <xf numFmtId="0" fontId="21" fillId="0" borderId="7" applyNumberFormat="0" applyFont="0" applyFill="0" applyAlignment="0" applyProtection="0"/>
    <xf numFmtId="0" fontId="21" fillId="0" borderId="7" applyNumberFormat="0" applyFont="0" applyFill="0" applyAlignment="0" applyProtection="0"/>
    <xf numFmtId="0" fontId="21" fillId="0" borderId="7" applyNumberFormat="0" applyFont="0" applyFill="0" applyAlignment="0" applyProtection="0"/>
    <xf numFmtId="0" fontId="21" fillId="0" borderId="7" applyNumberFormat="0" applyFont="0" applyFill="0" applyAlignment="0" applyProtection="0"/>
    <xf numFmtId="0" fontId="4" fillId="0" borderId="0"/>
    <xf numFmtId="0" fontId="5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9" fontId="4" fillId="0" borderId="0" applyFont="0" applyFill="0" applyBorder="0" applyAlignment="0" applyProtection="0"/>
    <xf numFmtId="0" fontId="55" fillId="0" borderId="0" applyNumberFormat="0" applyFill="0" applyBorder="0" applyAlignment="0" applyProtection="0"/>
    <xf numFmtId="0" fontId="57" fillId="0" borderId="0" applyNumberFormat="0" applyFill="0" applyBorder="0" applyAlignment="0" applyProtection="0"/>
    <xf numFmtId="0" fontId="38" fillId="0" borderId="90" applyNumberFormat="0" applyFill="0" applyAlignment="0" applyProtection="0"/>
    <xf numFmtId="0" fontId="39" fillId="0" borderId="91" applyNumberFormat="0" applyFill="0" applyAlignment="0" applyProtection="0"/>
    <xf numFmtId="0" fontId="40" fillId="0" borderId="92" applyNumberFormat="0" applyFill="0" applyAlignment="0" applyProtection="0"/>
    <xf numFmtId="0" fontId="40" fillId="0" borderId="0" applyNumberFormat="0" applyFill="0" applyBorder="0" applyAlignment="0" applyProtection="0"/>
    <xf numFmtId="0" fontId="41" fillId="32" borderId="0" applyNumberFormat="0" applyBorder="0" applyAlignment="0" applyProtection="0"/>
    <xf numFmtId="0" fontId="42" fillId="33" borderId="0" applyNumberFormat="0" applyBorder="0" applyAlignment="0" applyProtection="0"/>
    <xf numFmtId="0" fontId="56" fillId="34" borderId="0" applyNumberFormat="0" applyBorder="0" applyAlignment="0" applyProtection="0"/>
    <xf numFmtId="0" fontId="43" fillId="35" borderId="93" applyNumberFormat="0" applyAlignment="0" applyProtection="0"/>
    <xf numFmtId="0" fontId="44" fillId="36" borderId="94" applyNumberFormat="0" applyAlignment="0" applyProtection="0"/>
    <xf numFmtId="0" fontId="45" fillId="36" borderId="93" applyNumberFormat="0" applyAlignment="0" applyProtection="0"/>
    <xf numFmtId="0" fontId="46" fillId="0" borderId="95" applyNumberFormat="0" applyFill="0" applyAlignment="0" applyProtection="0"/>
    <xf numFmtId="0" fontId="47" fillId="37" borderId="96" applyNumberFormat="0" applyAlignment="0" applyProtection="0"/>
    <xf numFmtId="0" fontId="48" fillId="0" borderId="0" applyNumberFormat="0" applyFill="0" applyBorder="0" applyAlignment="0" applyProtection="0"/>
    <xf numFmtId="0" fontId="49" fillId="0" borderId="0" applyNumberFormat="0" applyFill="0" applyBorder="0" applyAlignment="0" applyProtection="0"/>
    <xf numFmtId="0" fontId="50" fillId="0" borderId="98" applyNumberFormat="0" applyFill="0" applyAlignment="0" applyProtection="0"/>
    <xf numFmtId="0" fontId="51" fillId="39" borderId="0" applyNumberFormat="0" applyBorder="0" applyAlignment="0" applyProtection="0"/>
    <xf numFmtId="0" fontId="4" fillId="40" borderId="0" applyNumberFormat="0" applyBorder="0" applyAlignment="0" applyProtection="0"/>
    <xf numFmtId="0" fontId="4" fillId="41" borderId="0" applyNumberFormat="0" applyBorder="0" applyAlignment="0" applyProtection="0"/>
    <xf numFmtId="0" fontId="51" fillId="42" borderId="0" applyNumberFormat="0" applyBorder="0" applyAlignment="0" applyProtection="0"/>
    <xf numFmtId="0" fontId="51" fillId="43" borderId="0" applyNumberFormat="0" applyBorder="0" applyAlignment="0" applyProtection="0"/>
    <xf numFmtId="0" fontId="4" fillId="44" borderId="0" applyNumberFormat="0" applyBorder="0" applyAlignment="0" applyProtection="0"/>
    <xf numFmtId="0" fontId="4" fillId="45" borderId="0" applyNumberFormat="0" applyBorder="0" applyAlignment="0" applyProtection="0"/>
    <xf numFmtId="0" fontId="51" fillId="46" borderId="0" applyNumberFormat="0" applyBorder="0" applyAlignment="0" applyProtection="0"/>
    <xf numFmtId="0" fontId="51" fillId="47" borderId="0" applyNumberFormat="0" applyBorder="0" applyAlignment="0" applyProtection="0"/>
    <xf numFmtId="0" fontId="4" fillId="48" borderId="0" applyNumberFormat="0" applyBorder="0" applyAlignment="0" applyProtection="0"/>
    <xf numFmtId="0" fontId="4" fillId="49" borderId="0" applyNumberFormat="0" applyBorder="0" applyAlignment="0" applyProtection="0"/>
    <xf numFmtId="0" fontId="51" fillId="50" borderId="0" applyNumberFormat="0" applyBorder="0" applyAlignment="0" applyProtection="0"/>
    <xf numFmtId="0" fontId="51" fillId="51" borderId="0" applyNumberFormat="0" applyBorder="0" applyAlignment="0" applyProtection="0"/>
    <xf numFmtId="0" fontId="4" fillId="52" borderId="0" applyNumberFormat="0" applyBorder="0" applyAlignment="0" applyProtection="0"/>
    <xf numFmtId="0" fontId="4" fillId="53" borderId="0" applyNumberFormat="0" applyBorder="0" applyAlignment="0" applyProtection="0"/>
    <xf numFmtId="0" fontId="51" fillId="54" borderId="0" applyNumberFormat="0" applyBorder="0" applyAlignment="0" applyProtection="0"/>
    <xf numFmtId="0" fontId="51" fillId="55" borderId="0" applyNumberFormat="0" applyBorder="0" applyAlignment="0" applyProtection="0"/>
    <xf numFmtId="0" fontId="4" fillId="56" borderId="0" applyNumberFormat="0" applyBorder="0" applyAlignment="0" applyProtection="0"/>
    <xf numFmtId="0" fontId="4" fillId="57" borderId="0" applyNumberFormat="0" applyBorder="0" applyAlignment="0" applyProtection="0"/>
    <xf numFmtId="0" fontId="51" fillId="58" borderId="0" applyNumberFormat="0" applyBorder="0" applyAlignment="0" applyProtection="0"/>
    <xf numFmtId="0" fontId="51" fillId="59" borderId="0" applyNumberFormat="0" applyBorder="0" applyAlignment="0" applyProtection="0"/>
    <xf numFmtId="0" fontId="4" fillId="60" borderId="0" applyNumberFormat="0" applyBorder="0" applyAlignment="0" applyProtection="0"/>
    <xf numFmtId="0" fontId="4" fillId="61" borderId="0" applyNumberFormat="0" applyBorder="0" applyAlignment="0" applyProtection="0"/>
    <xf numFmtId="0" fontId="51" fillId="62" borderId="0" applyNumberFormat="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0" fontId="4" fillId="0" borderId="0"/>
    <xf numFmtId="0" fontId="5" fillId="0" borderId="0"/>
    <xf numFmtId="0" fontId="58" fillId="0" borderId="0"/>
    <xf numFmtId="0" fontId="4" fillId="0" borderId="0"/>
    <xf numFmtId="0" fontId="5" fillId="0" borderId="0"/>
    <xf numFmtId="0" fontId="4" fillId="38" borderId="97" applyNumberFormat="0" applyFont="0" applyAlignment="0" applyProtection="0"/>
    <xf numFmtId="9" fontId="5" fillId="0" borderId="0" applyFont="0" applyFill="0" applyBorder="0" applyAlignment="0" applyProtection="0"/>
    <xf numFmtId="0" fontId="4" fillId="0" borderId="0"/>
    <xf numFmtId="43" fontId="58" fillId="0" borderId="0" applyFont="0" applyFill="0" applyBorder="0" applyAlignment="0" applyProtection="0"/>
    <xf numFmtId="0" fontId="4" fillId="0" borderId="0"/>
    <xf numFmtId="0" fontId="4" fillId="0" borderId="0"/>
    <xf numFmtId="0" fontId="4" fillId="38" borderId="97" applyNumberFormat="0" applyFont="0" applyAlignment="0" applyProtection="0"/>
    <xf numFmtId="0" fontId="59" fillId="0" borderId="0" applyNumberFormat="0" applyFill="0" applyBorder="0" applyAlignment="0" applyProtection="0"/>
    <xf numFmtId="0" fontId="60" fillId="0" borderId="0" applyNumberFormat="0" applyFill="0" applyBorder="0" applyAlignment="0" applyProtection="0"/>
    <xf numFmtId="0" fontId="4" fillId="0" borderId="0"/>
    <xf numFmtId="0" fontId="58" fillId="0" borderId="0"/>
    <xf numFmtId="0" fontId="4" fillId="0" borderId="0"/>
    <xf numFmtId="0" fontId="4" fillId="0" borderId="0"/>
    <xf numFmtId="0" fontId="4" fillId="40" borderId="0" applyNumberFormat="0" applyBorder="0" applyAlignment="0" applyProtection="0"/>
    <xf numFmtId="0" fontId="4" fillId="41" borderId="0" applyNumberFormat="0" applyBorder="0" applyAlignment="0" applyProtection="0"/>
    <xf numFmtId="0" fontId="4" fillId="44" borderId="0" applyNumberFormat="0" applyBorder="0" applyAlignment="0" applyProtection="0"/>
    <xf numFmtId="0" fontId="4" fillId="45" borderId="0" applyNumberFormat="0" applyBorder="0" applyAlignment="0" applyProtection="0"/>
    <xf numFmtId="0" fontId="4" fillId="48" borderId="0" applyNumberFormat="0" applyBorder="0" applyAlignment="0" applyProtection="0"/>
    <xf numFmtId="0" fontId="4" fillId="49" borderId="0" applyNumberFormat="0" applyBorder="0" applyAlignment="0" applyProtection="0"/>
    <xf numFmtId="0" fontId="4" fillId="52" borderId="0" applyNumberFormat="0" applyBorder="0" applyAlignment="0" applyProtection="0"/>
    <xf numFmtId="0" fontId="4" fillId="53" borderId="0" applyNumberFormat="0" applyBorder="0" applyAlignment="0" applyProtection="0"/>
    <xf numFmtId="0" fontId="4" fillId="56" borderId="0" applyNumberFormat="0" applyBorder="0" applyAlignment="0" applyProtection="0"/>
    <xf numFmtId="0" fontId="4" fillId="57" borderId="0" applyNumberFormat="0" applyBorder="0" applyAlignment="0" applyProtection="0"/>
    <xf numFmtId="0" fontId="4" fillId="60" borderId="0" applyNumberFormat="0" applyBorder="0" applyAlignment="0" applyProtection="0"/>
    <xf numFmtId="0" fontId="4" fillId="61" borderId="0" applyNumberFormat="0" applyBorder="0" applyAlignment="0" applyProtection="0"/>
    <xf numFmtId="0" fontId="4" fillId="38" borderId="97" applyNumberFormat="0" applyFont="0" applyAlignment="0" applyProtection="0"/>
    <xf numFmtId="0" fontId="4" fillId="0" borderId="0"/>
    <xf numFmtId="0" fontId="4" fillId="0" borderId="0"/>
    <xf numFmtId="0" fontId="53" fillId="0" borderId="0" applyNumberFormat="0" applyFill="0" applyBorder="0" applyAlignment="0" applyProtection="0"/>
    <xf numFmtId="0" fontId="37" fillId="0" borderId="0"/>
    <xf numFmtId="0" fontId="55" fillId="0" borderId="0" applyNumberFormat="0" applyFill="0" applyBorder="0" applyAlignment="0" applyProtection="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9" fontId="4" fillId="0" borderId="0" applyFont="0" applyFill="0" applyBorder="0" applyAlignment="0" applyProtection="0"/>
    <xf numFmtId="0" fontId="4" fillId="40" borderId="0" applyNumberFormat="0" applyBorder="0" applyAlignment="0" applyProtection="0"/>
    <xf numFmtId="0" fontId="4" fillId="41" borderId="0" applyNumberFormat="0" applyBorder="0" applyAlignment="0" applyProtection="0"/>
    <xf numFmtId="0" fontId="4" fillId="44" borderId="0" applyNumberFormat="0" applyBorder="0" applyAlignment="0" applyProtection="0"/>
    <xf numFmtId="0" fontId="4" fillId="45" borderId="0" applyNumberFormat="0" applyBorder="0" applyAlignment="0" applyProtection="0"/>
    <xf numFmtId="0" fontId="4" fillId="48" borderId="0" applyNumberFormat="0" applyBorder="0" applyAlignment="0" applyProtection="0"/>
    <xf numFmtId="0" fontId="4" fillId="49" borderId="0" applyNumberFormat="0" applyBorder="0" applyAlignment="0" applyProtection="0"/>
    <xf numFmtId="0" fontId="4" fillId="52" borderId="0" applyNumberFormat="0" applyBorder="0" applyAlignment="0" applyProtection="0"/>
    <xf numFmtId="0" fontId="4" fillId="53" borderId="0" applyNumberFormat="0" applyBorder="0" applyAlignment="0" applyProtection="0"/>
    <xf numFmtId="0" fontId="4" fillId="56" borderId="0" applyNumberFormat="0" applyBorder="0" applyAlignment="0" applyProtection="0"/>
    <xf numFmtId="0" fontId="4" fillId="57" borderId="0" applyNumberFormat="0" applyBorder="0" applyAlignment="0" applyProtection="0"/>
    <xf numFmtId="0" fontId="4" fillId="60" borderId="0" applyNumberFormat="0" applyBorder="0" applyAlignment="0" applyProtection="0"/>
    <xf numFmtId="0" fontId="4" fillId="61" borderId="0" applyNumberFormat="0" applyBorder="0" applyAlignment="0" applyProtection="0"/>
    <xf numFmtId="0" fontId="4" fillId="0" borderId="0"/>
    <xf numFmtId="0" fontId="4" fillId="0" borderId="0"/>
    <xf numFmtId="0" fontId="4" fillId="38" borderId="97" applyNumberFormat="0" applyFont="0" applyAlignment="0" applyProtection="0"/>
    <xf numFmtId="0" fontId="4" fillId="0" borderId="0"/>
    <xf numFmtId="0" fontId="4" fillId="0" borderId="0"/>
    <xf numFmtId="0" fontId="4" fillId="0" borderId="0"/>
    <xf numFmtId="0" fontId="4" fillId="38" borderId="97" applyNumberFormat="0" applyFont="0" applyAlignment="0" applyProtection="0"/>
    <xf numFmtId="0" fontId="4" fillId="0" borderId="0"/>
    <xf numFmtId="0" fontId="4" fillId="0" borderId="0"/>
    <xf numFmtId="0" fontId="4" fillId="0" borderId="0"/>
    <xf numFmtId="0" fontId="4" fillId="40" borderId="0" applyNumberFormat="0" applyBorder="0" applyAlignment="0" applyProtection="0"/>
    <xf numFmtId="0" fontId="4" fillId="41" borderId="0" applyNumberFormat="0" applyBorder="0" applyAlignment="0" applyProtection="0"/>
    <xf numFmtId="0" fontId="4" fillId="44" borderId="0" applyNumberFormat="0" applyBorder="0" applyAlignment="0" applyProtection="0"/>
    <xf numFmtId="0" fontId="4" fillId="45" borderId="0" applyNumberFormat="0" applyBorder="0" applyAlignment="0" applyProtection="0"/>
    <xf numFmtId="0" fontId="4" fillId="48" borderId="0" applyNumberFormat="0" applyBorder="0" applyAlignment="0" applyProtection="0"/>
    <xf numFmtId="0" fontId="4" fillId="49" borderId="0" applyNumberFormat="0" applyBorder="0" applyAlignment="0" applyProtection="0"/>
    <xf numFmtId="0" fontId="4" fillId="52" borderId="0" applyNumberFormat="0" applyBorder="0" applyAlignment="0" applyProtection="0"/>
    <xf numFmtId="0" fontId="4" fillId="53" borderId="0" applyNumberFormat="0" applyBorder="0" applyAlignment="0" applyProtection="0"/>
    <xf numFmtId="0" fontId="4" fillId="56" borderId="0" applyNumberFormat="0" applyBorder="0" applyAlignment="0" applyProtection="0"/>
    <xf numFmtId="0" fontId="4" fillId="57" borderId="0" applyNumberFormat="0" applyBorder="0" applyAlignment="0" applyProtection="0"/>
    <xf numFmtId="0" fontId="4" fillId="60" borderId="0" applyNumberFormat="0" applyBorder="0" applyAlignment="0" applyProtection="0"/>
    <xf numFmtId="0" fontId="4" fillId="61" borderId="0" applyNumberFormat="0" applyBorder="0" applyAlignment="0" applyProtection="0"/>
    <xf numFmtId="0" fontId="4" fillId="38" borderId="97" applyNumberFormat="0" applyFont="0" applyAlignment="0" applyProtection="0"/>
    <xf numFmtId="0" fontId="4" fillId="0" borderId="0"/>
    <xf numFmtId="0" fontId="4" fillId="0" borderId="0"/>
    <xf numFmtId="0" fontId="58" fillId="0" borderId="0"/>
    <xf numFmtId="0" fontId="58" fillId="0" borderId="0"/>
    <xf numFmtId="0" fontId="58" fillId="0" borderId="0"/>
    <xf numFmtId="0" fontId="5"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9" fontId="4" fillId="0" borderId="0" applyFont="0" applyFill="0" applyBorder="0" applyAlignment="0" applyProtection="0"/>
    <xf numFmtId="0" fontId="4" fillId="40" borderId="0" applyNumberFormat="0" applyBorder="0" applyAlignment="0" applyProtection="0"/>
    <xf numFmtId="0" fontId="4" fillId="41" borderId="0" applyNumberFormat="0" applyBorder="0" applyAlignment="0" applyProtection="0"/>
    <xf numFmtId="0" fontId="4" fillId="44" borderId="0" applyNumberFormat="0" applyBorder="0" applyAlignment="0" applyProtection="0"/>
    <xf numFmtId="0" fontId="4" fillId="45" borderId="0" applyNumberFormat="0" applyBorder="0" applyAlignment="0" applyProtection="0"/>
    <xf numFmtId="0" fontId="4" fillId="48" borderId="0" applyNumberFormat="0" applyBorder="0" applyAlignment="0" applyProtection="0"/>
    <xf numFmtId="0" fontId="4" fillId="49" borderId="0" applyNumberFormat="0" applyBorder="0" applyAlignment="0" applyProtection="0"/>
    <xf numFmtId="0" fontId="4" fillId="52" borderId="0" applyNumberFormat="0" applyBorder="0" applyAlignment="0" applyProtection="0"/>
    <xf numFmtId="0" fontId="4" fillId="53" borderId="0" applyNumberFormat="0" applyBorder="0" applyAlignment="0" applyProtection="0"/>
    <xf numFmtId="0" fontId="4" fillId="56" borderId="0" applyNumberFormat="0" applyBorder="0" applyAlignment="0" applyProtection="0"/>
    <xf numFmtId="0" fontId="4" fillId="57" borderId="0" applyNumberFormat="0" applyBorder="0" applyAlignment="0" applyProtection="0"/>
    <xf numFmtId="0" fontId="4" fillId="60" borderId="0" applyNumberFormat="0" applyBorder="0" applyAlignment="0" applyProtection="0"/>
    <xf numFmtId="0" fontId="4" fillId="61"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38" borderId="97" applyNumberFormat="0" applyFont="0" applyAlignment="0" applyProtection="0"/>
    <xf numFmtId="0" fontId="4" fillId="0" borderId="0"/>
    <xf numFmtId="0" fontId="4" fillId="0" borderId="0"/>
    <xf numFmtId="0" fontId="4" fillId="0" borderId="0"/>
    <xf numFmtId="0" fontId="4" fillId="38" borderId="97" applyNumberFormat="0" applyFont="0" applyAlignment="0" applyProtection="0"/>
    <xf numFmtId="0" fontId="4" fillId="0" borderId="0"/>
    <xf numFmtId="0" fontId="4" fillId="0" borderId="0"/>
    <xf numFmtId="0" fontId="3" fillId="0" borderId="0"/>
    <xf numFmtId="9" fontId="3" fillId="0" borderId="0" applyFont="0" applyFill="0" applyBorder="0" applyAlignment="0" applyProtection="0"/>
    <xf numFmtId="43" fontId="3" fillId="0" borderId="0" applyFont="0" applyFill="0" applyBorder="0" applyAlignment="0" applyProtection="0"/>
    <xf numFmtId="0" fontId="61" fillId="0" borderId="0"/>
    <xf numFmtId="0" fontId="2" fillId="0" borderId="0"/>
    <xf numFmtId="9" fontId="2" fillId="0" borderId="0" applyFont="0" applyFill="0" applyBorder="0" applyAlignment="0" applyProtection="0"/>
    <xf numFmtId="44" fontId="2" fillId="0" borderId="0" applyFont="0" applyFill="0" applyBorder="0" applyAlignment="0" applyProtection="0"/>
    <xf numFmtId="0" fontId="40" fillId="0" borderId="92" applyNumberFormat="0" applyFill="0" applyAlignment="0" applyProtection="0"/>
    <xf numFmtId="0" fontId="40" fillId="0" borderId="0" applyNumberFormat="0" applyFill="0" applyBorder="0" applyAlignment="0" applyProtection="0"/>
    <xf numFmtId="0" fontId="41" fillId="32" borderId="0" applyNumberFormat="0" applyBorder="0" applyAlignment="0" applyProtection="0"/>
    <xf numFmtId="0" fontId="42" fillId="33" borderId="0" applyNumberFormat="0" applyBorder="0" applyAlignment="0" applyProtection="0"/>
    <xf numFmtId="0" fontId="43" fillId="35" borderId="93" applyNumberFormat="0" applyAlignment="0" applyProtection="0"/>
    <xf numFmtId="0" fontId="44" fillId="36" borderId="94" applyNumberFormat="0" applyAlignment="0" applyProtection="0"/>
    <xf numFmtId="0" fontId="45" fillId="36" borderId="93" applyNumberFormat="0" applyAlignment="0" applyProtection="0"/>
    <xf numFmtId="0" fontId="46" fillId="0" borderId="95" applyNumberFormat="0" applyFill="0" applyAlignment="0" applyProtection="0"/>
    <xf numFmtId="0" fontId="47" fillId="37" borderId="96" applyNumberFormat="0" applyAlignment="0" applyProtection="0"/>
    <xf numFmtId="0" fontId="48" fillId="0" borderId="0" applyNumberFormat="0" applyFill="0" applyBorder="0" applyAlignment="0" applyProtection="0"/>
    <xf numFmtId="0" fontId="49" fillId="0" borderId="0" applyNumberFormat="0" applyFill="0" applyBorder="0" applyAlignment="0" applyProtection="0"/>
    <xf numFmtId="0" fontId="51" fillId="39"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51" fillId="43"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51" fillId="47"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51" fillId="51" borderId="0" applyNumberFormat="0" applyBorder="0" applyAlignment="0" applyProtection="0"/>
    <xf numFmtId="0" fontId="1" fillId="52" borderId="0" applyNumberFormat="0" applyBorder="0" applyAlignment="0" applyProtection="0"/>
    <xf numFmtId="0" fontId="1" fillId="53" borderId="0" applyNumberFormat="0" applyBorder="0" applyAlignment="0" applyProtection="0"/>
    <xf numFmtId="0" fontId="51" fillId="55" borderId="0" applyNumberFormat="0" applyBorder="0" applyAlignment="0" applyProtection="0"/>
    <xf numFmtId="0" fontId="1" fillId="56" borderId="0" applyNumberFormat="0" applyBorder="0" applyAlignment="0" applyProtection="0"/>
    <xf numFmtId="0" fontId="1" fillId="57" borderId="0" applyNumberFormat="0" applyBorder="0" applyAlignment="0" applyProtection="0"/>
    <xf numFmtId="0" fontId="51" fillId="59" borderId="0" applyNumberFormat="0" applyBorder="0" applyAlignment="0" applyProtection="0"/>
    <xf numFmtId="0" fontId="1" fillId="60" borderId="0" applyNumberFormat="0" applyBorder="0" applyAlignment="0" applyProtection="0"/>
    <xf numFmtId="0" fontId="1" fillId="61" borderId="0" applyNumberFormat="0" applyBorder="0" applyAlignment="0" applyProtection="0"/>
    <xf numFmtId="185" fontId="5" fillId="0" borderId="0"/>
    <xf numFmtId="0" fontId="1" fillId="0" borderId="0"/>
    <xf numFmtId="0" fontId="1" fillId="38" borderId="97" applyNumberFormat="0" applyFont="0" applyAlignment="0" applyProtection="0"/>
    <xf numFmtId="0" fontId="1" fillId="38" borderId="97" applyNumberFormat="0" applyFont="0" applyAlignment="0" applyProtection="0"/>
    <xf numFmtId="0" fontId="1" fillId="38" borderId="97" applyNumberFormat="0" applyFont="0" applyAlignment="0" applyProtection="0"/>
    <xf numFmtId="0" fontId="1" fillId="38" borderId="97" applyNumberFormat="0" applyFont="0" applyAlignment="0" applyProtection="0"/>
    <xf numFmtId="0" fontId="1" fillId="0" borderId="0"/>
    <xf numFmtId="0" fontId="1" fillId="0" borderId="0"/>
    <xf numFmtId="0" fontId="1" fillId="38" borderId="97" applyNumberFormat="0" applyFont="0" applyAlignment="0" applyProtection="0"/>
    <xf numFmtId="0" fontId="1" fillId="38" borderId="97" applyNumberFormat="0" applyFont="0" applyAlignment="0" applyProtection="0"/>
    <xf numFmtId="0" fontId="1" fillId="0" borderId="0"/>
    <xf numFmtId="185" fontId="5" fillId="0" borderId="0"/>
    <xf numFmtId="0" fontId="91" fillId="0" borderId="0"/>
    <xf numFmtId="0" fontId="1" fillId="38" borderId="97" applyNumberFormat="0" applyFont="0" applyAlignment="0" applyProtection="0"/>
    <xf numFmtId="0" fontId="1" fillId="38" borderId="97" applyNumberFormat="0" applyFont="0" applyAlignment="0" applyProtection="0"/>
    <xf numFmtId="0" fontId="1" fillId="0" borderId="0"/>
    <xf numFmtId="44" fontId="1" fillId="0" borderId="0" applyFont="0" applyFill="0" applyBorder="0" applyAlignment="0" applyProtection="0"/>
    <xf numFmtId="43" fontId="5" fillId="0" borderId="0" applyFont="0" applyFill="0" applyBorder="0" applyAlignment="0" applyProtection="0"/>
    <xf numFmtId="0" fontId="1" fillId="0" borderId="0"/>
    <xf numFmtId="43" fontId="1" fillId="0" borderId="0" applyFont="0" applyFill="0" applyBorder="0" applyAlignment="0" applyProtection="0"/>
    <xf numFmtId="0" fontId="38" fillId="0" borderId="90" applyNumberFormat="0" applyFill="0" applyAlignment="0" applyProtection="0"/>
    <xf numFmtId="0" fontId="39" fillId="0" borderId="91" applyNumberFormat="0" applyFill="0" applyAlignment="0" applyProtection="0"/>
    <xf numFmtId="0" fontId="1" fillId="38" borderId="97" applyNumberFormat="0" applyFont="0" applyAlignment="0" applyProtection="0"/>
    <xf numFmtId="0" fontId="50" fillId="0" borderId="98" applyNumberFormat="0" applyFill="0" applyAlignment="0" applyProtection="0"/>
    <xf numFmtId="0" fontId="1" fillId="0" borderId="0"/>
    <xf numFmtId="43" fontId="1" fillId="0" borderId="0" applyFont="0" applyFill="0" applyBorder="0" applyAlignment="0" applyProtection="0"/>
    <xf numFmtId="0" fontId="1" fillId="38" borderId="97" applyNumberFormat="0" applyFont="0" applyAlignment="0" applyProtection="0"/>
    <xf numFmtId="0" fontId="1" fillId="40" borderId="0" applyNumberFormat="0" applyBorder="0" applyAlignment="0" applyProtection="0"/>
    <xf numFmtId="0" fontId="1" fillId="41"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1" fillId="52" borderId="0" applyNumberFormat="0" applyBorder="0" applyAlignment="0" applyProtection="0"/>
    <xf numFmtId="0" fontId="1" fillId="53" borderId="0" applyNumberFormat="0" applyBorder="0" applyAlignment="0" applyProtection="0"/>
    <xf numFmtId="0" fontId="1" fillId="56" borderId="0" applyNumberFormat="0" applyBorder="0" applyAlignment="0" applyProtection="0"/>
    <xf numFmtId="0" fontId="1" fillId="57" borderId="0" applyNumberFormat="0" applyBorder="0" applyAlignment="0" applyProtection="0"/>
    <xf numFmtId="0" fontId="1" fillId="60" borderId="0" applyNumberFormat="0" applyBorder="0" applyAlignment="0" applyProtection="0"/>
    <xf numFmtId="0" fontId="1" fillId="61" borderId="0" applyNumberFormat="0" applyBorder="0" applyAlignment="0" applyProtection="0"/>
    <xf numFmtId="0" fontId="1" fillId="0" borderId="0"/>
    <xf numFmtId="0" fontId="1" fillId="38" borderId="97" applyNumberFormat="0" applyFont="0" applyAlignment="0" applyProtection="0"/>
    <xf numFmtId="0" fontId="1" fillId="40" borderId="0" applyNumberFormat="0" applyBorder="0" applyAlignment="0" applyProtection="0"/>
    <xf numFmtId="0" fontId="1" fillId="41"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1" fillId="52" borderId="0" applyNumberFormat="0" applyBorder="0" applyAlignment="0" applyProtection="0"/>
    <xf numFmtId="0" fontId="1" fillId="53" borderId="0" applyNumberFormat="0" applyBorder="0" applyAlignment="0" applyProtection="0"/>
    <xf numFmtId="0" fontId="1" fillId="56" borderId="0" applyNumberFormat="0" applyBorder="0" applyAlignment="0" applyProtection="0"/>
    <xf numFmtId="0" fontId="1" fillId="57" borderId="0" applyNumberFormat="0" applyBorder="0" applyAlignment="0" applyProtection="0"/>
    <xf numFmtId="0" fontId="1" fillId="60" borderId="0" applyNumberFormat="0" applyBorder="0" applyAlignment="0" applyProtection="0"/>
    <xf numFmtId="0" fontId="1" fillId="61"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1" fillId="52" borderId="0" applyNumberFormat="0" applyBorder="0" applyAlignment="0" applyProtection="0"/>
    <xf numFmtId="0" fontId="1" fillId="53" borderId="0" applyNumberFormat="0" applyBorder="0" applyAlignment="0" applyProtection="0"/>
    <xf numFmtId="0" fontId="1" fillId="56" borderId="0" applyNumberFormat="0" applyBorder="0" applyAlignment="0" applyProtection="0"/>
    <xf numFmtId="0" fontId="1" fillId="57" borderId="0" applyNumberFormat="0" applyBorder="0" applyAlignment="0" applyProtection="0"/>
    <xf numFmtId="0" fontId="1" fillId="60" borderId="0" applyNumberFormat="0" applyBorder="0" applyAlignment="0" applyProtection="0"/>
    <xf numFmtId="0" fontId="1" fillId="61" borderId="0" applyNumberFormat="0" applyBorder="0" applyAlignment="0" applyProtection="0"/>
    <xf numFmtId="0" fontId="1" fillId="0" borderId="0"/>
    <xf numFmtId="0" fontId="38" fillId="0" borderId="90" applyNumberFormat="0" applyFill="0" applyAlignment="0" applyProtection="0"/>
    <xf numFmtId="0" fontId="39" fillId="0" borderId="91" applyNumberFormat="0" applyFill="0" applyAlignment="0" applyProtection="0"/>
    <xf numFmtId="0" fontId="1" fillId="38" borderId="97" applyNumberFormat="0" applyFont="0" applyAlignment="0" applyProtection="0"/>
    <xf numFmtId="0" fontId="50" fillId="0" borderId="98" applyNumberFormat="0" applyFill="0" applyAlignment="0" applyProtection="0"/>
    <xf numFmtId="44" fontId="92" fillId="0" borderId="0" applyFont="0" applyFill="0" applyBorder="0" applyAlignment="0" applyProtection="0"/>
    <xf numFmtId="44" fontId="1" fillId="0" borderId="0" applyFont="0" applyFill="0" applyBorder="0" applyAlignment="0" applyProtection="0"/>
    <xf numFmtId="0" fontId="94" fillId="2" borderId="0" applyNumberFormat="0" applyBorder="0" applyAlignment="0" applyProtection="0"/>
    <xf numFmtId="0" fontId="94" fillId="2" borderId="0" applyNumberFormat="0" applyBorder="0" applyAlignment="0" applyProtection="0"/>
    <xf numFmtId="0" fontId="94" fillId="3" borderId="0" applyNumberFormat="0" applyBorder="0" applyAlignment="0" applyProtection="0"/>
    <xf numFmtId="0" fontId="94" fillId="3" borderId="0" applyNumberFormat="0" applyBorder="0" applyAlignment="0" applyProtection="0"/>
    <xf numFmtId="0" fontId="94" fillId="4" borderId="0" applyNumberFormat="0" applyBorder="0" applyAlignment="0" applyProtection="0"/>
    <xf numFmtId="0" fontId="94" fillId="4" borderId="0" applyNumberFormat="0" applyBorder="0" applyAlignment="0" applyProtection="0"/>
    <xf numFmtId="0" fontId="94" fillId="5" borderId="0" applyNumberFormat="0" applyBorder="0" applyAlignment="0" applyProtection="0"/>
    <xf numFmtId="0" fontId="94" fillId="5" borderId="0" applyNumberFormat="0" applyBorder="0" applyAlignment="0" applyProtection="0"/>
    <xf numFmtId="0" fontId="94" fillId="6" borderId="0" applyNumberFormat="0" applyBorder="0" applyAlignment="0" applyProtection="0"/>
    <xf numFmtId="0" fontId="94" fillId="6" borderId="0" applyNumberFormat="0" applyBorder="0" applyAlignment="0" applyProtection="0"/>
    <xf numFmtId="0" fontId="94" fillId="7" borderId="0" applyNumberFormat="0" applyBorder="0" applyAlignment="0" applyProtection="0"/>
    <xf numFmtId="0" fontId="94" fillId="7" borderId="0" applyNumberFormat="0" applyBorder="0" applyAlignment="0" applyProtection="0"/>
    <xf numFmtId="0" fontId="94" fillId="8" borderId="0" applyNumberFormat="0" applyBorder="0" applyAlignment="0" applyProtection="0"/>
    <xf numFmtId="0" fontId="94" fillId="8" borderId="0" applyNumberFormat="0" applyBorder="0" applyAlignment="0" applyProtection="0"/>
    <xf numFmtId="0" fontId="94" fillId="9" borderId="0" applyNumberFormat="0" applyBorder="0" applyAlignment="0" applyProtection="0"/>
    <xf numFmtId="0" fontId="94" fillId="9" borderId="0" applyNumberFormat="0" applyBorder="0" applyAlignment="0" applyProtection="0"/>
    <xf numFmtId="0" fontId="94" fillId="10" borderId="0" applyNumberFormat="0" applyBorder="0" applyAlignment="0" applyProtection="0"/>
    <xf numFmtId="0" fontId="94" fillId="10" borderId="0" applyNumberFormat="0" applyBorder="0" applyAlignment="0" applyProtection="0"/>
    <xf numFmtId="0" fontId="94" fillId="5" borderId="0" applyNumberFormat="0" applyBorder="0" applyAlignment="0" applyProtection="0"/>
    <xf numFmtId="0" fontId="94" fillId="5" borderId="0" applyNumberFormat="0" applyBorder="0" applyAlignment="0" applyProtection="0"/>
    <xf numFmtId="0" fontId="94" fillId="8" borderId="0" applyNumberFormat="0" applyBorder="0" applyAlignment="0" applyProtection="0"/>
    <xf numFmtId="0" fontId="94" fillId="8" borderId="0" applyNumberFormat="0" applyBorder="0" applyAlignment="0" applyProtection="0"/>
    <xf numFmtId="0" fontId="94" fillId="11" borderId="0" applyNumberFormat="0" applyBorder="0" applyAlignment="0" applyProtection="0"/>
    <xf numFmtId="0" fontId="94" fillId="11" borderId="0" applyNumberFormat="0" applyBorder="0" applyAlignment="0" applyProtection="0"/>
    <xf numFmtId="0" fontId="95" fillId="12" borderId="0" applyNumberFormat="0" applyBorder="0" applyAlignment="0" applyProtection="0"/>
    <xf numFmtId="0" fontId="95" fillId="12" borderId="0" applyNumberFormat="0" applyBorder="0" applyAlignment="0" applyProtection="0"/>
    <xf numFmtId="0" fontId="95" fillId="9" borderId="0" applyNumberFormat="0" applyBorder="0" applyAlignment="0" applyProtection="0"/>
    <xf numFmtId="0" fontId="95" fillId="9" borderId="0" applyNumberFormat="0" applyBorder="0" applyAlignment="0" applyProtection="0"/>
    <xf numFmtId="0" fontId="95" fillId="10" borderId="0" applyNumberFormat="0" applyBorder="0" applyAlignment="0" applyProtection="0"/>
    <xf numFmtId="0" fontId="95" fillId="10" borderId="0" applyNumberFormat="0" applyBorder="0" applyAlignment="0" applyProtection="0"/>
    <xf numFmtId="0" fontId="95" fillId="13" borderId="0" applyNumberFormat="0" applyBorder="0" applyAlignment="0" applyProtection="0"/>
    <xf numFmtId="0" fontId="95" fillId="13" borderId="0" applyNumberFormat="0" applyBorder="0" applyAlignment="0" applyProtection="0"/>
    <xf numFmtId="0" fontId="95" fillId="14" borderId="0" applyNumberFormat="0" applyBorder="0" applyAlignment="0" applyProtection="0"/>
    <xf numFmtId="0" fontId="95" fillId="14" borderId="0" applyNumberFormat="0" applyBorder="0" applyAlignment="0" applyProtection="0"/>
    <xf numFmtId="0" fontId="95" fillId="15" borderId="0" applyNumberFormat="0" applyBorder="0" applyAlignment="0" applyProtection="0"/>
    <xf numFmtId="0" fontId="95" fillId="15" borderId="0" applyNumberFormat="0" applyBorder="0" applyAlignment="0" applyProtection="0"/>
    <xf numFmtId="0" fontId="95" fillId="16" borderId="0" applyNumberFormat="0" applyBorder="0" applyAlignment="0" applyProtection="0"/>
    <xf numFmtId="0" fontId="95" fillId="16" borderId="0" applyNumberFormat="0" applyBorder="0" applyAlignment="0" applyProtection="0"/>
    <xf numFmtId="0" fontId="95" fillId="17" borderId="0" applyNumberFormat="0" applyBorder="0" applyAlignment="0" applyProtection="0"/>
    <xf numFmtId="0" fontId="95" fillId="17" borderId="0" applyNumberFormat="0" applyBorder="0" applyAlignment="0" applyProtection="0"/>
    <xf numFmtId="0" fontId="95" fillId="18" borderId="0" applyNumberFormat="0" applyBorder="0" applyAlignment="0" applyProtection="0"/>
    <xf numFmtId="0" fontId="95" fillId="18" borderId="0" applyNumberFormat="0" applyBorder="0" applyAlignment="0" applyProtection="0"/>
    <xf numFmtId="0" fontId="95" fillId="13" borderId="0" applyNumberFormat="0" applyBorder="0" applyAlignment="0" applyProtection="0"/>
    <xf numFmtId="0" fontId="95" fillId="13" borderId="0" applyNumberFormat="0" applyBorder="0" applyAlignment="0" applyProtection="0"/>
    <xf numFmtId="0" fontId="95" fillId="14" borderId="0" applyNumberFormat="0" applyBorder="0" applyAlignment="0" applyProtection="0"/>
    <xf numFmtId="0" fontId="95" fillId="14" borderId="0" applyNumberFormat="0" applyBorder="0" applyAlignment="0" applyProtection="0"/>
    <xf numFmtId="0" fontId="95" fillId="19" borderId="0" applyNumberFormat="0" applyBorder="0" applyAlignment="0" applyProtection="0"/>
    <xf numFmtId="0" fontId="95" fillId="19" borderId="0" applyNumberFormat="0" applyBorder="0" applyAlignment="0" applyProtection="0"/>
    <xf numFmtId="0" fontId="96" fillId="3" borderId="0" applyNumberFormat="0" applyBorder="0" applyAlignment="0" applyProtection="0"/>
    <xf numFmtId="0" fontId="96" fillId="3" borderId="0" applyNumberFormat="0" applyBorder="0" applyAlignment="0" applyProtection="0"/>
    <xf numFmtId="0" fontId="97" fillId="20" borderId="1" applyNumberFormat="0" applyAlignment="0" applyProtection="0"/>
    <xf numFmtId="0" fontId="97" fillId="20" borderId="1" applyNumberFormat="0" applyAlignment="0" applyProtection="0"/>
    <xf numFmtId="0" fontId="98" fillId="21" borderId="2" applyNumberFormat="0" applyAlignment="0" applyProtection="0"/>
    <xf numFmtId="0" fontId="98" fillId="21" borderId="2" applyNumberFormat="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100" fillId="4" borderId="0" applyNumberFormat="0" applyBorder="0" applyAlignment="0" applyProtection="0"/>
    <xf numFmtId="0" fontId="100" fillId="4" borderId="0" applyNumberFormat="0" applyBorder="0" applyAlignment="0" applyProtection="0"/>
    <xf numFmtId="0" fontId="101" fillId="0" borderId="102" applyNumberFormat="0" applyFill="0" applyAlignment="0" applyProtection="0"/>
    <xf numFmtId="0" fontId="101" fillId="0" borderId="102" applyNumberFormat="0" applyFill="0" applyAlignment="0" applyProtection="0"/>
    <xf numFmtId="0" fontId="102" fillId="0" borderId="103" applyNumberFormat="0" applyFill="0" applyAlignment="0" applyProtection="0"/>
    <xf numFmtId="0" fontId="102" fillId="0" borderId="103" applyNumberFormat="0" applyFill="0" applyAlignment="0" applyProtection="0"/>
    <xf numFmtId="0" fontId="103" fillId="0" borderId="3" applyNumberFormat="0" applyFill="0" applyAlignment="0" applyProtection="0"/>
    <xf numFmtId="0" fontId="103" fillId="0" borderId="3" applyNumberFormat="0" applyFill="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4" fillId="7" borderId="1" applyNumberFormat="0" applyAlignment="0" applyProtection="0"/>
    <xf numFmtId="0" fontId="104" fillId="7" borderId="1" applyNumberFormat="0" applyAlignment="0" applyProtection="0"/>
    <xf numFmtId="0" fontId="105" fillId="0" borderId="4" applyNumberFormat="0" applyFill="0" applyAlignment="0" applyProtection="0"/>
    <xf numFmtId="0" fontId="105" fillId="0" borderId="4" applyNumberFormat="0" applyFill="0" applyAlignment="0" applyProtection="0"/>
    <xf numFmtId="0" fontId="106" fillId="22" borderId="0" applyNumberFormat="0" applyBorder="0" applyAlignment="0" applyProtection="0"/>
    <xf numFmtId="0" fontId="106" fillId="22" borderId="0" applyNumberFormat="0" applyBorder="0" applyAlignment="0" applyProtection="0"/>
    <xf numFmtId="0" fontId="93" fillId="0" borderId="0"/>
    <xf numFmtId="0" fontId="93" fillId="23" borderId="5" applyNumberFormat="0" applyFont="0" applyAlignment="0" applyProtection="0"/>
    <xf numFmtId="0" fontId="93" fillId="23" borderId="5" applyNumberFormat="0" applyFont="0" applyAlignment="0" applyProtection="0"/>
    <xf numFmtId="0" fontId="107" fillId="20" borderId="6" applyNumberFormat="0" applyAlignment="0" applyProtection="0"/>
    <xf numFmtId="0" fontId="107" fillId="20" borderId="6" applyNumberFormat="0" applyAlignment="0" applyProtection="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93" fillId="0" borderId="0"/>
    <xf numFmtId="0" fontId="31" fillId="0" borderId="0" applyNumberFormat="0" applyFill="0" applyBorder="0" applyAlignment="0" applyProtection="0"/>
    <xf numFmtId="0" fontId="108" fillId="0" borderId="104" applyNumberFormat="0" applyFill="0" applyAlignment="0" applyProtection="0"/>
    <xf numFmtId="0" fontId="108" fillId="0" borderId="104" applyNumberFormat="0" applyFill="0" applyAlignment="0" applyProtection="0"/>
    <xf numFmtId="0" fontId="109" fillId="0" borderId="0" applyNumberFormat="0" applyFill="0" applyBorder="0" applyAlignment="0" applyProtection="0"/>
    <xf numFmtId="0" fontId="109" fillId="0" borderId="0" applyNumberFormat="0" applyFill="0" applyBorder="0" applyAlignment="0" applyProtection="0"/>
    <xf numFmtId="0" fontId="1" fillId="0" borderId="0"/>
    <xf numFmtId="185" fontId="53" fillId="0" borderId="0" applyNumberFormat="0" applyFill="0" applyBorder="0" applyAlignment="0" applyProtection="0"/>
    <xf numFmtId="0" fontId="1" fillId="0" borderId="0"/>
    <xf numFmtId="0" fontId="1" fillId="40" borderId="0" applyNumberFormat="0" applyBorder="0" applyAlignment="0" applyProtection="0"/>
    <xf numFmtId="0" fontId="1" fillId="41"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1" fillId="52" borderId="0" applyNumberFormat="0" applyBorder="0" applyAlignment="0" applyProtection="0"/>
    <xf numFmtId="0" fontId="1" fillId="53" borderId="0" applyNumberFormat="0" applyBorder="0" applyAlignment="0" applyProtection="0"/>
    <xf numFmtId="0" fontId="1" fillId="56" borderId="0" applyNumberFormat="0" applyBorder="0" applyAlignment="0" applyProtection="0"/>
    <xf numFmtId="0" fontId="1" fillId="57" borderId="0" applyNumberFormat="0" applyBorder="0" applyAlignment="0" applyProtection="0"/>
    <xf numFmtId="0" fontId="1" fillId="60" borderId="0" applyNumberFormat="0" applyBorder="0" applyAlignment="0" applyProtection="0"/>
    <xf numFmtId="0" fontId="1" fillId="61" borderId="0" applyNumberFormat="0" applyBorder="0" applyAlignment="0" applyProtection="0"/>
    <xf numFmtId="185" fontId="5" fillId="0" borderId="0"/>
    <xf numFmtId="0" fontId="1" fillId="0" borderId="0"/>
    <xf numFmtId="0" fontId="1" fillId="38" borderId="97" applyNumberFormat="0" applyFont="0" applyAlignment="0" applyProtection="0"/>
    <xf numFmtId="0" fontId="1" fillId="38" borderId="97" applyNumberFormat="0" applyFont="0" applyAlignment="0" applyProtection="0"/>
    <xf numFmtId="0" fontId="1" fillId="38" borderId="97" applyNumberFormat="0" applyFont="0" applyAlignment="0" applyProtection="0"/>
    <xf numFmtId="0" fontId="1" fillId="38" borderId="97" applyNumberFormat="0" applyFont="0" applyAlignment="0" applyProtection="0"/>
    <xf numFmtId="0" fontId="1" fillId="0" borderId="0"/>
    <xf numFmtId="0" fontId="1" fillId="0" borderId="0"/>
    <xf numFmtId="0" fontId="1" fillId="38" borderId="97" applyNumberFormat="0" applyFont="0" applyAlignment="0" applyProtection="0"/>
    <xf numFmtId="0" fontId="1" fillId="38" borderId="97" applyNumberFormat="0" applyFont="0" applyAlignment="0" applyProtection="0"/>
    <xf numFmtId="0" fontId="1" fillId="0" borderId="0"/>
    <xf numFmtId="185" fontId="5" fillId="0" borderId="0"/>
    <xf numFmtId="0" fontId="1" fillId="38" borderId="97" applyNumberFormat="0" applyFont="0" applyAlignment="0" applyProtection="0"/>
    <xf numFmtId="0" fontId="1" fillId="38" borderId="97" applyNumberFormat="0" applyFont="0" applyAlignment="0" applyProtection="0"/>
    <xf numFmtId="0" fontId="57" fillId="0" borderId="0" applyNumberFormat="0" applyFill="0" applyBorder="0" applyAlignment="0" applyProtection="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0" fontId="1" fillId="38" borderId="97" applyNumberFormat="0" applyFont="0" applyAlignment="0" applyProtection="0"/>
    <xf numFmtId="0" fontId="1" fillId="0" borderId="0"/>
    <xf numFmtId="43" fontId="1" fillId="0" borderId="0" applyFont="0" applyFill="0" applyBorder="0" applyAlignment="0" applyProtection="0"/>
    <xf numFmtId="0" fontId="1" fillId="38" borderId="97" applyNumberFormat="0" applyFont="0" applyAlignment="0" applyProtection="0"/>
    <xf numFmtId="0" fontId="1" fillId="40" borderId="0" applyNumberFormat="0" applyBorder="0" applyAlignment="0" applyProtection="0"/>
    <xf numFmtId="0" fontId="1" fillId="41"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1" fillId="52" borderId="0" applyNumberFormat="0" applyBorder="0" applyAlignment="0" applyProtection="0"/>
    <xf numFmtId="0" fontId="1" fillId="53" borderId="0" applyNumberFormat="0" applyBorder="0" applyAlignment="0" applyProtection="0"/>
    <xf numFmtId="0" fontId="1" fillId="56" borderId="0" applyNumberFormat="0" applyBorder="0" applyAlignment="0" applyProtection="0"/>
    <xf numFmtId="0" fontId="1" fillId="57" borderId="0" applyNumberFormat="0" applyBorder="0" applyAlignment="0" applyProtection="0"/>
    <xf numFmtId="0" fontId="1" fillId="60" borderId="0" applyNumberFormat="0" applyBorder="0" applyAlignment="0" applyProtection="0"/>
    <xf numFmtId="0" fontId="1" fillId="61" borderId="0" applyNumberFormat="0" applyBorder="0" applyAlignment="0" applyProtection="0"/>
    <xf numFmtId="0" fontId="1" fillId="0" borderId="0"/>
    <xf numFmtId="0" fontId="1" fillId="38" borderId="97" applyNumberFormat="0" applyFont="0" applyAlignment="0" applyProtection="0"/>
    <xf numFmtId="0" fontId="1" fillId="40" borderId="0" applyNumberFormat="0" applyBorder="0" applyAlignment="0" applyProtection="0"/>
    <xf numFmtId="0" fontId="1" fillId="41"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1" fillId="52" borderId="0" applyNumberFormat="0" applyBorder="0" applyAlignment="0" applyProtection="0"/>
    <xf numFmtId="0" fontId="1" fillId="53" borderId="0" applyNumberFormat="0" applyBorder="0" applyAlignment="0" applyProtection="0"/>
    <xf numFmtId="0" fontId="1" fillId="56" borderId="0" applyNumberFormat="0" applyBorder="0" applyAlignment="0" applyProtection="0"/>
    <xf numFmtId="0" fontId="1" fillId="57" borderId="0" applyNumberFormat="0" applyBorder="0" applyAlignment="0" applyProtection="0"/>
    <xf numFmtId="0" fontId="1" fillId="60" borderId="0" applyNumberFormat="0" applyBorder="0" applyAlignment="0" applyProtection="0"/>
    <xf numFmtId="0" fontId="1" fillId="61"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1" fillId="52" borderId="0" applyNumberFormat="0" applyBorder="0" applyAlignment="0" applyProtection="0"/>
    <xf numFmtId="0" fontId="1" fillId="53" borderId="0" applyNumberFormat="0" applyBorder="0" applyAlignment="0" applyProtection="0"/>
    <xf numFmtId="0" fontId="1" fillId="56" borderId="0" applyNumberFormat="0" applyBorder="0" applyAlignment="0" applyProtection="0"/>
    <xf numFmtId="0" fontId="1" fillId="57" borderId="0" applyNumberFormat="0" applyBorder="0" applyAlignment="0" applyProtection="0"/>
    <xf numFmtId="0" fontId="1" fillId="60" borderId="0" applyNumberFormat="0" applyBorder="0" applyAlignment="0" applyProtection="0"/>
    <xf numFmtId="0" fontId="1" fillId="61" borderId="0" applyNumberFormat="0" applyBorder="0" applyAlignment="0" applyProtection="0"/>
    <xf numFmtId="0" fontId="1" fillId="0" borderId="0"/>
    <xf numFmtId="0" fontId="1" fillId="38" borderId="97" applyNumberFormat="0" applyFont="0" applyAlignment="0" applyProtection="0"/>
    <xf numFmtId="44" fontId="1" fillId="0" borderId="0" applyFont="0" applyFill="0" applyBorder="0" applyAlignment="0" applyProtection="0"/>
    <xf numFmtId="0" fontId="1" fillId="0" borderId="0"/>
    <xf numFmtId="0" fontId="1" fillId="0" borderId="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2"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5"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53" borderId="0" applyNumberFormat="0" applyBorder="0" applyAlignment="0" applyProtection="0"/>
    <xf numFmtId="0" fontId="1" fillId="53" borderId="0" applyNumberFormat="0" applyBorder="0" applyAlignment="0" applyProtection="0"/>
    <xf numFmtId="0" fontId="1" fillId="53" borderId="0" applyNumberFormat="0" applyBorder="0" applyAlignment="0" applyProtection="0"/>
    <xf numFmtId="0" fontId="1" fillId="53"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38" borderId="97" applyNumberFormat="0" applyFont="0" applyAlignment="0" applyProtection="0"/>
    <xf numFmtId="0" fontId="1" fillId="38" borderId="97" applyNumberFormat="0" applyFont="0" applyAlignment="0" applyProtection="0"/>
    <xf numFmtId="0" fontId="1" fillId="38" borderId="97" applyNumberFormat="0" applyFont="0" applyAlignment="0" applyProtection="0"/>
    <xf numFmtId="0" fontId="1" fillId="38" borderId="97" applyNumberFormat="0" applyFont="0" applyAlignment="0" applyProtection="0"/>
    <xf numFmtId="0" fontId="1" fillId="0" borderId="0"/>
    <xf numFmtId="0" fontId="1" fillId="38" borderId="97" applyNumberFormat="0" applyFont="0" applyAlignment="0" applyProtection="0"/>
    <xf numFmtId="0" fontId="1" fillId="38" borderId="97" applyNumberFormat="0" applyFont="0" applyAlignment="0" applyProtection="0"/>
    <xf numFmtId="0" fontId="1" fillId="0" borderId="0"/>
    <xf numFmtId="0" fontId="1" fillId="38" borderId="97" applyNumberFormat="0" applyFont="0" applyAlignment="0" applyProtection="0"/>
    <xf numFmtId="0" fontId="1" fillId="38" borderId="97" applyNumberFormat="0" applyFont="0" applyAlignment="0" applyProtection="0"/>
    <xf numFmtId="0" fontId="1" fillId="0" borderId="0"/>
    <xf numFmtId="0" fontId="1" fillId="38" borderId="97" applyNumberFormat="0" applyFont="0" applyAlignment="0" applyProtection="0"/>
    <xf numFmtId="0" fontId="1" fillId="38" borderId="97" applyNumberFormat="0" applyFont="0" applyAlignment="0" applyProtection="0"/>
    <xf numFmtId="0" fontId="1" fillId="0" borderId="0"/>
    <xf numFmtId="0" fontId="1" fillId="38" borderId="97" applyNumberFormat="0" applyFont="0" applyAlignment="0" applyProtection="0"/>
    <xf numFmtId="0" fontId="1" fillId="38" borderId="97" applyNumberFormat="0" applyFont="0" applyAlignment="0" applyProtection="0"/>
  </cellStyleXfs>
  <cellXfs count="755">
    <xf numFmtId="0" fontId="0" fillId="0" borderId="0" xfId="0"/>
    <xf numFmtId="0" fontId="9" fillId="0" borderId="0" xfId="100" applyFont="1"/>
    <xf numFmtId="9" fontId="9" fillId="0" borderId="0" xfId="100" applyNumberFormat="1" applyFont="1"/>
    <xf numFmtId="0" fontId="62" fillId="0" borderId="0" xfId="100" applyFont="1"/>
    <xf numFmtId="0" fontId="63" fillId="0" borderId="0" xfId="100" applyFont="1"/>
    <xf numFmtId="0" fontId="65" fillId="27" borderId="18" xfId="100" applyFont="1" applyFill="1" applyBorder="1" applyAlignment="1" applyProtection="1">
      <alignment horizontal="center" wrapText="1"/>
      <protection locked="0"/>
    </xf>
    <xf numFmtId="5" fontId="65" fillId="27" borderId="19" xfId="100" applyNumberFormat="1" applyFont="1" applyFill="1" applyBorder="1" applyAlignment="1" applyProtection="1">
      <alignment horizontal="center" wrapText="1"/>
      <protection locked="0"/>
    </xf>
    <xf numFmtId="0" fontId="65" fillId="27" borderId="19" xfId="100" applyFont="1" applyFill="1" applyBorder="1" applyAlignment="1">
      <alignment horizontal="center" wrapText="1"/>
    </xf>
    <xf numFmtId="0" fontId="65" fillId="27" borderId="17" xfId="100" applyFont="1" applyFill="1" applyBorder="1" applyAlignment="1">
      <alignment horizontal="center" wrapText="1"/>
    </xf>
    <xf numFmtId="0" fontId="65" fillId="27" borderId="12" xfId="100" applyFont="1" applyFill="1" applyBorder="1" applyAlignment="1" applyProtection="1">
      <alignment horizontal="center" wrapText="1"/>
      <protection locked="0"/>
    </xf>
    <xf numFmtId="5" fontId="65" fillId="27" borderId="12" xfId="100" applyNumberFormat="1" applyFont="1" applyFill="1" applyBorder="1" applyAlignment="1" applyProtection="1">
      <alignment horizontal="center" wrapText="1"/>
      <protection locked="0"/>
    </xf>
    <xf numFmtId="164" fontId="63" fillId="0" borderId="33" xfId="110" applyNumberFormat="1" applyFont="1" applyBorder="1" applyAlignment="1">
      <alignment horizontal="right" indent="1" shrinkToFit="1"/>
    </xf>
    <xf numFmtId="0" fontId="67" fillId="0" borderId="23" xfId="100" applyFont="1" applyBorder="1" applyAlignment="1">
      <alignment horizontal="left" wrapText="1"/>
    </xf>
    <xf numFmtId="37" fontId="67" fillId="24" borderId="40" xfId="100" applyNumberFormat="1" applyFont="1" applyFill="1" applyBorder="1" applyProtection="1">
      <protection locked="0"/>
    </xf>
    <xf numFmtId="175" fontId="67" fillId="0" borderId="26" xfId="100" applyNumberFormat="1" applyFont="1" applyBorder="1"/>
    <xf numFmtId="10" fontId="68" fillId="0" borderId="23" xfId="100" applyNumberFormat="1" applyFont="1" applyBorder="1"/>
    <xf numFmtId="7" fontId="67" fillId="0" borderId="26" xfId="100" applyNumberFormat="1" applyFont="1" applyBorder="1"/>
    <xf numFmtId="167" fontId="69" fillId="0" borderId="23" xfId="100" applyNumberFormat="1" applyFont="1" applyBorder="1"/>
    <xf numFmtId="167" fontId="69" fillId="0" borderId="25" xfId="100" applyNumberFormat="1" applyFont="1" applyBorder="1"/>
    <xf numFmtId="10" fontId="68" fillId="0" borderId="34" xfId="100" applyNumberFormat="1" applyFont="1" applyBorder="1"/>
    <xf numFmtId="5" fontId="67" fillId="0" borderId="24" xfId="100" applyNumberFormat="1" applyFont="1" applyBorder="1"/>
    <xf numFmtId="9" fontId="67" fillId="0" borderId="24" xfId="113" applyFont="1" applyFill="1" applyBorder="1" applyProtection="1"/>
    <xf numFmtId="164" fontId="63" fillId="0" borderId="11" xfId="110" applyNumberFormat="1" applyFont="1" applyBorder="1" applyAlignment="1">
      <alignment horizontal="right" indent="1" shrinkToFit="1"/>
    </xf>
    <xf numFmtId="0" fontId="67" fillId="0" borderId="13" xfId="100" applyFont="1" applyBorder="1" applyAlignment="1">
      <alignment horizontal="left" wrapText="1"/>
    </xf>
    <xf numFmtId="176" fontId="67" fillId="0" borderId="8" xfId="100" applyNumberFormat="1" applyFont="1" applyBorder="1"/>
    <xf numFmtId="10" fontId="68" fillId="0" borderId="13" xfId="100" applyNumberFormat="1" applyFont="1" applyBorder="1"/>
    <xf numFmtId="39" fontId="67" fillId="0" borderId="8" xfId="100" applyNumberFormat="1" applyFont="1" applyBorder="1"/>
    <xf numFmtId="167" fontId="69" fillId="0" borderId="13" xfId="100" applyNumberFormat="1" applyFont="1" applyBorder="1"/>
    <xf numFmtId="10" fontId="68" fillId="0" borderId="35" xfId="100" applyNumberFormat="1" applyFont="1" applyBorder="1"/>
    <xf numFmtId="37" fontId="67" fillId="0" borderId="38" xfId="100" applyNumberFormat="1" applyFont="1" applyBorder="1"/>
    <xf numFmtId="9" fontId="67" fillId="0" borderId="38" xfId="113" applyFont="1" applyFill="1" applyBorder="1" applyProtection="1"/>
    <xf numFmtId="164" fontId="63" fillId="0" borderId="12" xfId="110" applyNumberFormat="1" applyFont="1" applyBorder="1" applyAlignment="1">
      <alignment horizontal="right" indent="1" shrinkToFit="1"/>
    </xf>
    <xf numFmtId="0" fontId="67" fillId="0" borderId="17" xfId="100" applyFont="1" applyBorder="1" applyAlignment="1">
      <alignment horizontal="left" wrapText="1"/>
    </xf>
    <xf numFmtId="10" fontId="68" fillId="0" borderId="17" xfId="100" applyNumberFormat="1" applyFont="1" applyBorder="1"/>
    <xf numFmtId="39" fontId="67" fillId="0" borderId="19" xfId="100" applyNumberFormat="1" applyFont="1" applyBorder="1"/>
    <xf numFmtId="37" fontId="67" fillId="24" borderId="12" xfId="100" applyNumberFormat="1" applyFont="1" applyFill="1" applyBorder="1" applyProtection="1">
      <protection locked="0"/>
    </xf>
    <xf numFmtId="167" fontId="69" fillId="0" borderId="17" xfId="100" applyNumberFormat="1" applyFont="1" applyBorder="1"/>
    <xf numFmtId="10" fontId="68" fillId="0" borderId="36" xfId="100" applyNumberFormat="1" applyFont="1" applyBorder="1"/>
    <xf numFmtId="37" fontId="67" fillId="0" borderId="36" xfId="100" applyNumberFormat="1" applyFont="1" applyBorder="1"/>
    <xf numFmtId="0" fontId="70" fillId="0" borderId="0" xfId="100" applyFont="1" applyAlignment="1">
      <alignment horizontal="right"/>
    </xf>
    <xf numFmtId="3" fontId="67" fillId="0" borderId="0" xfId="100" applyNumberFormat="1" applyFont="1"/>
    <xf numFmtId="37" fontId="67" fillId="0" borderId="0" xfId="100" applyNumberFormat="1" applyFont="1"/>
    <xf numFmtId="176" fontId="67" fillId="0" borderId="0" xfId="100" applyNumberFormat="1" applyFont="1"/>
    <xf numFmtId="10" fontId="68" fillId="0" borderId="0" xfId="100" applyNumberFormat="1" applyFont="1"/>
    <xf numFmtId="37" fontId="67" fillId="0" borderId="32" xfId="100" applyNumberFormat="1" applyFont="1" applyBorder="1"/>
    <xf numFmtId="39" fontId="67" fillId="0" borderId="0" xfId="100" applyNumberFormat="1" applyFont="1"/>
    <xf numFmtId="167" fontId="69" fillId="0" borderId="0" xfId="100" applyNumberFormat="1" applyFont="1"/>
    <xf numFmtId="9" fontId="67" fillId="0" borderId="0" xfId="113" applyFont="1" applyFill="1" applyBorder="1" applyProtection="1"/>
    <xf numFmtId="164" fontId="63" fillId="0" borderId="10" xfId="110" applyNumberFormat="1" applyFont="1" applyBorder="1" applyAlignment="1">
      <alignment horizontal="right" indent="1" shrinkToFit="1"/>
    </xf>
    <xf numFmtId="0" fontId="67" fillId="0" borderId="25" xfId="100" applyFont="1" applyBorder="1" applyAlignment="1">
      <alignment horizontal="left" wrapText="1"/>
    </xf>
    <xf numFmtId="3" fontId="67" fillId="30" borderId="41" xfId="100" applyNumberFormat="1" applyFont="1" applyFill="1" applyBorder="1" applyProtection="1">
      <protection locked="0"/>
    </xf>
    <xf numFmtId="37" fontId="67" fillId="30" borderId="9" xfId="100" applyNumberFormat="1" applyFont="1" applyFill="1" applyBorder="1" applyProtection="1">
      <protection locked="0"/>
    </xf>
    <xf numFmtId="176" fontId="67" fillId="0" borderId="9" xfId="101" applyNumberFormat="1" applyFont="1" applyBorder="1"/>
    <xf numFmtId="10" fontId="68" fillId="0" borderId="25" xfId="100" applyNumberFormat="1" applyFont="1" applyBorder="1"/>
    <xf numFmtId="37" fontId="67" fillId="30" borderId="40" xfId="100" applyNumberFormat="1" applyFont="1" applyFill="1" applyBorder="1" applyProtection="1">
      <protection locked="0"/>
    </xf>
    <xf numFmtId="39" fontId="67" fillId="0" borderId="9" xfId="100" applyNumberFormat="1" applyFont="1" applyBorder="1"/>
    <xf numFmtId="3" fontId="67" fillId="24" borderId="41" xfId="100" applyNumberFormat="1" applyFont="1" applyFill="1" applyBorder="1" applyProtection="1">
      <protection locked="0"/>
    </xf>
    <xf numFmtId="37" fontId="67" fillId="24" borderId="9" xfId="100" applyNumberFormat="1" applyFont="1" applyFill="1" applyBorder="1" applyProtection="1">
      <protection locked="0"/>
    </xf>
    <xf numFmtId="37" fontId="67" fillId="30" borderId="41" xfId="100" applyNumberFormat="1" applyFont="1" applyFill="1" applyBorder="1" applyProtection="1">
      <protection locked="0"/>
    </xf>
    <xf numFmtId="37" fontId="67" fillId="30" borderId="10" xfId="100" applyNumberFormat="1" applyFont="1" applyFill="1" applyBorder="1" applyProtection="1">
      <protection locked="0"/>
    </xf>
    <xf numFmtId="10" fontId="68" fillId="0" borderId="20" xfId="100" applyNumberFormat="1" applyFont="1" applyBorder="1"/>
    <xf numFmtId="37" fontId="67" fillId="0" borderId="24" xfId="100" applyNumberFormat="1" applyFont="1" applyBorder="1"/>
    <xf numFmtId="37" fontId="67" fillId="30" borderId="24" xfId="100" applyNumberFormat="1" applyFont="1" applyFill="1" applyBorder="1"/>
    <xf numFmtId="176" fontId="67" fillId="0" borderId="8" xfId="101" applyNumberFormat="1" applyFont="1" applyBorder="1"/>
    <xf numFmtId="176" fontId="67" fillId="0" borderId="19" xfId="101" applyNumberFormat="1" applyFont="1" applyBorder="1"/>
    <xf numFmtId="37" fontId="67" fillId="0" borderId="39" xfId="100" applyNumberFormat="1" applyFont="1" applyBorder="1"/>
    <xf numFmtId="9" fontId="67" fillId="0" borderId="39" xfId="113" applyFont="1" applyFill="1" applyBorder="1" applyProtection="1"/>
    <xf numFmtId="37" fontId="67" fillId="0" borderId="0" xfId="100" applyNumberFormat="1" applyFont="1" applyProtection="1">
      <protection locked="0"/>
    </xf>
    <xf numFmtId="5" fontId="67" fillId="0" borderId="0" xfId="100" applyNumberFormat="1" applyFont="1"/>
    <xf numFmtId="0" fontId="70" fillId="0" borderId="0" xfId="100" applyFont="1" applyAlignment="1">
      <alignment horizontal="right" wrapText="1"/>
    </xf>
    <xf numFmtId="7" fontId="67" fillId="0" borderId="0" xfId="100" applyNumberFormat="1" applyFont="1"/>
    <xf numFmtId="167" fontId="67" fillId="0" borderId="0" xfId="113" applyNumberFormat="1" applyFont="1" applyFill="1" applyBorder="1" applyProtection="1"/>
    <xf numFmtId="0" fontId="63" fillId="0" borderId="0" xfId="0" quotePrefix="1" applyFont="1" applyAlignment="1">
      <alignment horizontal="left"/>
    </xf>
    <xf numFmtId="0" fontId="73" fillId="0" borderId="0" xfId="0" applyFont="1"/>
    <xf numFmtId="9" fontId="63" fillId="0" borderId="0" xfId="113" applyFont="1" applyFill="1"/>
    <xf numFmtId="0" fontId="72" fillId="0" borderId="0" xfId="100" applyFont="1"/>
    <xf numFmtId="0" fontId="62" fillId="0" borderId="0" xfId="110" quotePrefix="1" applyFont="1" applyAlignment="1">
      <alignment horizontal="left"/>
    </xf>
    <xf numFmtId="0" fontId="63" fillId="0" borderId="0" xfId="110" applyFont="1"/>
    <xf numFmtId="0" fontId="74" fillId="0" borderId="0" xfId="110" applyFont="1"/>
    <xf numFmtId="169" fontId="63" fillId="0" borderId="0" xfId="28" applyNumberFormat="1" applyFont="1" applyFill="1" applyBorder="1"/>
    <xf numFmtId="167" fontId="63" fillId="0" borderId="0" xfId="113" applyNumberFormat="1" applyFont="1" applyFill="1" applyBorder="1"/>
    <xf numFmtId="0" fontId="74" fillId="27" borderId="74" xfId="110" applyFont="1" applyFill="1" applyBorder="1" applyAlignment="1">
      <alignment horizontal="center" wrapText="1"/>
    </xf>
    <xf numFmtId="0" fontId="74" fillId="27" borderId="74" xfId="110" applyFont="1" applyFill="1" applyBorder="1" applyAlignment="1">
      <alignment horizontal="center"/>
    </xf>
    <xf numFmtId="0" fontId="74" fillId="27" borderId="75" xfId="110" applyFont="1" applyFill="1" applyBorder="1" applyAlignment="1">
      <alignment horizontal="center" wrapText="1"/>
    </xf>
    <xf numFmtId="0" fontId="63" fillId="0" borderId="0" xfId="110" applyFont="1" applyAlignment="1">
      <alignment vertical="top"/>
    </xf>
    <xf numFmtId="0" fontId="74" fillId="27" borderId="74" xfId="110" quotePrefix="1" applyFont="1" applyFill="1" applyBorder="1" applyAlignment="1">
      <alignment horizontal="center" wrapText="1"/>
    </xf>
    <xf numFmtId="0" fontId="65" fillId="27" borderId="0" xfId="110" quotePrefix="1" applyFont="1" applyFill="1" applyAlignment="1">
      <alignment horizontal="center" wrapText="1"/>
    </xf>
    <xf numFmtId="37" fontId="65" fillId="27" borderId="0" xfId="110" quotePrefix="1" applyNumberFormat="1" applyFont="1" applyFill="1" applyAlignment="1">
      <alignment horizontal="center" wrapText="1"/>
    </xf>
    <xf numFmtId="0" fontId="65" fillId="27" borderId="32" xfId="110" applyFont="1" applyFill="1" applyBorder="1" applyAlignment="1">
      <alignment horizontal="center" wrapText="1"/>
    </xf>
    <xf numFmtId="0" fontId="74" fillId="27" borderId="0" xfId="110" applyFont="1" applyFill="1"/>
    <xf numFmtId="169" fontId="74" fillId="27" borderId="0" xfId="28" applyNumberFormat="1" applyFont="1" applyFill="1" applyBorder="1"/>
    <xf numFmtId="0" fontId="63" fillId="0" borderId="0" xfId="110" applyFont="1" applyAlignment="1">
      <alignment vertical="top" wrapText="1"/>
    </xf>
    <xf numFmtId="37" fontId="65" fillId="0" borderId="0" xfId="110" quotePrefix="1" applyNumberFormat="1" applyFont="1" applyAlignment="1">
      <alignment horizontal="center"/>
    </xf>
    <xf numFmtId="169" fontId="63" fillId="0" borderId="0" xfId="28" applyNumberFormat="1" applyFont="1" applyFill="1" applyBorder="1" applyAlignment="1">
      <alignment vertical="top" wrapText="1"/>
    </xf>
    <xf numFmtId="167" fontId="63" fillId="0" borderId="0" xfId="113" applyNumberFormat="1" applyFont="1" applyFill="1" applyBorder="1" applyAlignment="1">
      <alignment vertical="top" wrapText="1"/>
    </xf>
    <xf numFmtId="42" fontId="63" fillId="0" borderId="8" xfId="110" applyNumberFormat="1" applyFont="1" applyBorder="1"/>
    <xf numFmtId="167" fontId="63" fillId="0" borderId="13" xfId="113" applyNumberFormat="1" applyFont="1" applyFill="1" applyBorder="1" applyProtection="1"/>
    <xf numFmtId="37" fontId="63" fillId="0" borderId="0" xfId="110" applyNumberFormat="1" applyFont="1"/>
    <xf numFmtId="44" fontId="63" fillId="0" borderId="0" xfId="43" applyFont="1" applyFill="1" applyBorder="1" applyProtection="1"/>
    <xf numFmtId="170" fontId="63" fillId="0" borderId="0" xfId="43" applyNumberFormat="1" applyFont="1" applyFill="1" applyBorder="1"/>
    <xf numFmtId="37" fontId="63" fillId="0" borderId="8" xfId="110" applyNumberFormat="1" applyFont="1" applyBorder="1"/>
    <xf numFmtId="9" fontId="63" fillId="0" borderId="0" xfId="113" applyFont="1" applyFill="1" applyBorder="1" applyProtection="1"/>
    <xf numFmtId="37" fontId="63" fillId="0" borderId="0" xfId="110" applyNumberFormat="1" applyFont="1" applyAlignment="1">
      <alignment horizontal="center" wrapText="1"/>
    </xf>
    <xf numFmtId="43" fontId="63" fillId="0" borderId="0" xfId="28" applyFont="1" applyFill="1" applyBorder="1"/>
    <xf numFmtId="10" fontId="63" fillId="0" borderId="0" xfId="113" applyNumberFormat="1" applyFont="1" applyFill="1" applyBorder="1"/>
    <xf numFmtId="0" fontId="62" fillId="0" borderId="0" xfId="110" applyFont="1"/>
    <xf numFmtId="37" fontId="65" fillId="0" borderId="0" xfId="110" quotePrefix="1" applyNumberFormat="1" applyFont="1" applyAlignment="1">
      <alignment horizontal="center" wrapText="1"/>
    </xf>
    <xf numFmtId="164" fontId="63" fillId="0" borderId="10" xfId="110" applyNumberFormat="1" applyFont="1" applyBorder="1" applyAlignment="1">
      <alignment shrinkToFit="1"/>
    </xf>
    <xf numFmtId="0" fontId="63" fillId="0" borderId="9" xfId="110" applyFont="1" applyBorder="1"/>
    <xf numFmtId="42" fontId="63" fillId="0" borderId="9" xfId="110" applyNumberFormat="1" applyFont="1" applyBorder="1"/>
    <xf numFmtId="5" fontId="63" fillId="28" borderId="9" xfId="110" applyNumberFormat="1" applyFont="1" applyFill="1" applyBorder="1"/>
    <xf numFmtId="5" fontId="63" fillId="0" borderId="9" xfId="110" applyNumberFormat="1" applyFont="1" applyBorder="1"/>
    <xf numFmtId="167" fontId="63" fillId="0" borderId="25" xfId="113" applyNumberFormat="1" applyFont="1" applyFill="1" applyBorder="1" applyProtection="1"/>
    <xf numFmtId="42" fontId="63" fillId="0" borderId="0" xfId="110" applyNumberFormat="1" applyFont="1"/>
    <xf numFmtId="5" fontId="63" fillId="0" borderId="0" xfId="110" applyNumberFormat="1" applyFont="1"/>
    <xf numFmtId="167" fontId="63" fillId="0" borderId="0" xfId="110" applyNumberFormat="1" applyFont="1"/>
    <xf numFmtId="167" fontId="63" fillId="0" borderId="9" xfId="113" applyNumberFormat="1" applyFont="1" applyFill="1" applyBorder="1" applyProtection="1"/>
    <xf numFmtId="164" fontId="63" fillId="0" borderId="11" xfId="110" applyNumberFormat="1" applyFont="1" applyBorder="1" applyAlignment="1">
      <alignment shrinkToFit="1"/>
    </xf>
    <xf numFmtId="0" fontId="63" fillId="0" borderId="8" xfId="110" applyFont="1" applyBorder="1"/>
    <xf numFmtId="37" fontId="63" fillId="28" borderId="8" xfId="110" applyNumberFormat="1" applyFont="1" applyFill="1" applyBorder="1"/>
    <xf numFmtId="167" fontId="63" fillId="0" borderId="8" xfId="113" applyNumberFormat="1" applyFont="1" applyFill="1" applyBorder="1" applyProtection="1"/>
    <xf numFmtId="0" fontId="63" fillId="0" borderId="8" xfId="110" quotePrefix="1" applyFont="1" applyBorder="1" applyAlignment="1">
      <alignment horizontal="left"/>
    </xf>
    <xf numFmtId="164" fontId="63" fillId="0" borderId="12" xfId="110" applyNumberFormat="1" applyFont="1" applyBorder="1" applyAlignment="1">
      <alignment shrinkToFit="1"/>
    </xf>
    <xf numFmtId="0" fontId="63" fillId="0" borderId="19" xfId="110" applyFont="1" applyBorder="1"/>
    <xf numFmtId="37" fontId="63" fillId="0" borderId="19" xfId="110" applyNumberFormat="1" applyFont="1" applyBorder="1"/>
    <xf numFmtId="37" fontId="63" fillId="28" borderId="19" xfId="110" applyNumberFormat="1" applyFont="1" applyFill="1" applyBorder="1"/>
    <xf numFmtId="167" fontId="63" fillId="0" borderId="17" xfId="113" applyNumberFormat="1" applyFont="1" applyFill="1" applyBorder="1" applyProtection="1"/>
    <xf numFmtId="167" fontId="63" fillId="0" borderId="19" xfId="113" applyNumberFormat="1" applyFont="1" applyFill="1" applyBorder="1" applyProtection="1"/>
    <xf numFmtId="0" fontId="62" fillId="0" borderId="0" xfId="110" quotePrefix="1" applyFont="1" applyAlignment="1">
      <alignment horizontal="right"/>
    </xf>
    <xf numFmtId="42" fontId="63" fillId="0" borderId="0" xfId="28" applyNumberFormat="1" applyFont="1" applyFill="1" applyBorder="1" applyProtection="1"/>
    <xf numFmtId="167" fontId="63" fillId="0" borderId="0" xfId="113" applyNumberFormat="1" applyFont="1" applyFill="1" applyBorder="1" applyProtection="1"/>
    <xf numFmtId="169" fontId="63" fillId="0" borderId="0" xfId="28" applyNumberFormat="1" applyFont="1" applyFill="1" applyBorder="1" applyProtection="1"/>
    <xf numFmtId="42" fontId="63" fillId="28" borderId="9" xfId="110" applyNumberFormat="1" applyFont="1" applyFill="1" applyBorder="1"/>
    <xf numFmtId="37" fontId="63" fillId="0" borderId="9" xfId="110" applyNumberFormat="1" applyFont="1" applyBorder="1"/>
    <xf numFmtId="44" fontId="63" fillId="29" borderId="0" xfId="43" applyFont="1" applyFill="1" applyBorder="1"/>
    <xf numFmtId="3" fontId="63" fillId="0" borderId="0" xfId="110" applyNumberFormat="1" applyFont="1"/>
    <xf numFmtId="169" fontId="62" fillId="0" borderId="0" xfId="28" applyNumberFormat="1" applyFont="1" applyFill="1" applyBorder="1" applyProtection="1"/>
    <xf numFmtId="5" fontId="63" fillId="25" borderId="9" xfId="110" applyNumberFormat="1" applyFont="1" applyFill="1" applyBorder="1"/>
    <xf numFmtId="37" fontId="63" fillId="25" borderId="8" xfId="110" applyNumberFormat="1" applyFont="1" applyFill="1" applyBorder="1"/>
    <xf numFmtId="37" fontId="63" fillId="25" borderId="19" xfId="110" applyNumberFormat="1" applyFont="1" applyFill="1" applyBorder="1"/>
    <xf numFmtId="37" fontId="63" fillId="26" borderId="19" xfId="110" applyNumberFormat="1" applyFont="1" applyFill="1" applyBorder="1"/>
    <xf numFmtId="169" fontId="63" fillId="0" borderId="0" xfId="110" applyNumberFormat="1" applyFont="1"/>
    <xf numFmtId="42" fontId="63" fillId="25" borderId="9" xfId="110" applyNumberFormat="1" applyFont="1" applyFill="1" applyBorder="1"/>
    <xf numFmtId="182" fontId="63" fillId="29" borderId="0" xfId="28" applyNumberFormat="1" applyFont="1" applyFill="1" applyBorder="1" applyAlignment="1" applyProtection="1">
      <alignment horizontal="center"/>
    </xf>
    <xf numFmtId="9" fontId="63" fillId="0" borderId="0" xfId="113" applyFont="1" applyFill="1" applyBorder="1"/>
    <xf numFmtId="42" fontId="63" fillId="0" borderId="51" xfId="28" applyNumberFormat="1" applyFont="1" applyFill="1" applyBorder="1" applyProtection="1"/>
    <xf numFmtId="37" fontId="62" fillId="0" borderId="0" xfId="110" applyNumberFormat="1" applyFont="1"/>
    <xf numFmtId="5" fontId="63" fillId="0" borderId="48" xfId="110" applyNumberFormat="1" applyFont="1" applyBorder="1"/>
    <xf numFmtId="5" fontId="63" fillId="0" borderId="31" xfId="110" applyNumberFormat="1" applyFont="1" applyBorder="1"/>
    <xf numFmtId="37" fontId="63" fillId="0" borderId="49" xfId="110" applyNumberFormat="1" applyFont="1" applyBorder="1"/>
    <xf numFmtId="37" fontId="63" fillId="0" borderId="50" xfId="110" applyNumberFormat="1" applyFont="1" applyBorder="1"/>
    <xf numFmtId="37" fontId="63" fillId="0" borderId="32" xfId="110" applyNumberFormat="1" applyFont="1" applyBorder="1"/>
    <xf numFmtId="169" fontId="63" fillId="0" borderId="51" xfId="28" applyNumberFormat="1" applyFont="1" applyFill="1" applyBorder="1" applyProtection="1"/>
    <xf numFmtId="37" fontId="63" fillId="0" borderId="48" xfId="110" applyNumberFormat="1" applyFont="1" applyBorder="1"/>
    <xf numFmtId="37" fontId="63" fillId="25" borderId="9" xfId="110" applyNumberFormat="1" applyFont="1" applyFill="1" applyBorder="1"/>
    <xf numFmtId="37" fontId="63" fillId="0" borderId="31" xfId="110" applyNumberFormat="1" applyFont="1" applyBorder="1"/>
    <xf numFmtId="37" fontId="63" fillId="25" borderId="26" xfId="110" applyNumberFormat="1" applyFont="1" applyFill="1" applyBorder="1"/>
    <xf numFmtId="0" fontId="63" fillId="0" borderId="0" xfId="73" applyFont="1"/>
    <xf numFmtId="0" fontId="63" fillId="0" borderId="0" xfId="73" applyFont="1" applyAlignment="1">
      <alignment horizontal="left" vertical="top" wrapText="1"/>
    </xf>
    <xf numFmtId="0" fontId="62" fillId="0" borderId="0" xfId="73" applyFont="1"/>
    <xf numFmtId="3" fontId="62" fillId="0" borderId="0" xfId="73" applyNumberFormat="1" applyFont="1"/>
    <xf numFmtId="0" fontId="63" fillId="0" borderId="0" xfId="73" applyFont="1" applyAlignment="1">
      <alignment horizontal="center"/>
    </xf>
    <xf numFmtId="0" fontId="74" fillId="27" borderId="46" xfId="73" applyFont="1" applyFill="1" applyBorder="1" applyAlignment="1">
      <alignment horizontal="center" wrapText="1"/>
    </xf>
    <xf numFmtId="0" fontId="74" fillId="27" borderId="47" xfId="73" applyFont="1" applyFill="1" applyBorder="1" applyAlignment="1">
      <alignment horizontal="center" wrapText="1"/>
    </xf>
    <xf numFmtId="0" fontId="74" fillId="27" borderId="20" xfId="73" applyFont="1" applyFill="1" applyBorder="1" applyAlignment="1">
      <alignment horizontal="center" wrapText="1"/>
    </xf>
    <xf numFmtId="164" fontId="63" fillId="0" borderId="44" xfId="73" applyNumberFormat="1" applyFont="1" applyBorder="1"/>
    <xf numFmtId="0" fontId="63" fillId="0" borderId="14" xfId="73" applyFont="1" applyBorder="1"/>
    <xf numFmtId="164" fontId="63" fillId="0" borderId="44" xfId="73" quotePrefix="1" applyNumberFormat="1" applyFont="1" applyBorder="1"/>
    <xf numFmtId="0" fontId="63" fillId="0" borderId="45" xfId="73" applyFont="1" applyBorder="1"/>
    <xf numFmtId="0" fontId="63" fillId="0" borderId="16" xfId="73" applyFont="1" applyBorder="1" applyAlignment="1">
      <alignment horizontal="right"/>
    </xf>
    <xf numFmtId="169" fontId="63" fillId="0" borderId="45" xfId="34" applyNumberFormat="1" applyFont="1" applyBorder="1"/>
    <xf numFmtId="169" fontId="63" fillId="0" borderId="17" xfId="34" applyNumberFormat="1" applyFont="1" applyBorder="1"/>
    <xf numFmtId="169" fontId="63" fillId="0" borderId="17" xfId="73" applyNumberFormat="1" applyFont="1" applyBorder="1"/>
    <xf numFmtId="170" fontId="63" fillId="0" borderId="0" xfId="73" applyNumberFormat="1" applyFont="1"/>
    <xf numFmtId="44" fontId="63" fillId="0" borderId="0" xfId="214" applyFont="1"/>
    <xf numFmtId="169" fontId="63" fillId="0" borderId="0" xfId="73" applyNumberFormat="1" applyFont="1"/>
    <xf numFmtId="1" fontId="62" fillId="0" borderId="0" xfId="0" applyNumberFormat="1" applyFont="1"/>
    <xf numFmtId="1" fontId="63" fillId="0" borderId="0" xfId="0" applyNumberFormat="1" applyFont="1" applyAlignment="1">
      <alignment horizontal="right"/>
    </xf>
    <xf numFmtId="165" fontId="63" fillId="0" borderId="0" xfId="0" applyNumberFormat="1" applyFont="1"/>
    <xf numFmtId="166" fontId="63" fillId="0" borderId="0" xfId="0" applyNumberFormat="1" applyFont="1"/>
    <xf numFmtId="0" fontId="63" fillId="0" borderId="0" xfId="0" applyFont="1"/>
    <xf numFmtId="1" fontId="62" fillId="0" borderId="0" xfId="0" applyNumberFormat="1" applyFont="1" applyAlignment="1">
      <alignment horizontal="left"/>
    </xf>
    <xf numFmtId="43" fontId="63" fillId="0" borderId="0" xfId="0" applyNumberFormat="1" applyFont="1"/>
    <xf numFmtId="1" fontId="63" fillId="0" borderId="0" xfId="0" applyNumberFormat="1" applyFont="1" applyAlignment="1">
      <alignment horizontal="left"/>
    </xf>
    <xf numFmtId="1" fontId="65" fillId="27" borderId="8" xfId="0" applyNumberFormat="1" applyFont="1" applyFill="1" applyBorder="1" applyAlignment="1">
      <alignment horizontal="center"/>
    </xf>
    <xf numFmtId="1" fontId="65" fillId="27" borderId="8" xfId="0" applyNumberFormat="1" applyFont="1" applyFill="1" applyBorder="1" applyAlignment="1">
      <alignment horizontal="right"/>
    </xf>
    <xf numFmtId="164" fontId="65" fillId="27" borderId="8" xfId="0" applyNumberFormat="1" applyFont="1" applyFill="1" applyBorder="1" applyAlignment="1">
      <alignment horizontal="center" wrapText="1"/>
    </xf>
    <xf numFmtId="166" fontId="65" fillId="27" borderId="8" xfId="0" applyNumberFormat="1" applyFont="1" applyFill="1" applyBorder="1" applyAlignment="1">
      <alignment horizontal="center" wrapText="1"/>
    </xf>
    <xf numFmtId="164" fontId="65" fillId="0" borderId="8" xfId="0" applyNumberFormat="1" applyFont="1" applyBorder="1" applyAlignment="1">
      <alignment horizontal="center" wrapText="1"/>
    </xf>
    <xf numFmtId="164" fontId="63" fillId="0" borderId="8" xfId="0" applyNumberFormat="1" applyFont="1" applyBorder="1"/>
    <xf numFmtId="0" fontId="63" fillId="0" borderId="8" xfId="0" applyFont="1" applyBorder="1" applyAlignment="1">
      <alignment horizontal="right"/>
    </xf>
    <xf numFmtId="165" fontId="63" fillId="0" borderId="8" xfId="0" applyNumberFormat="1" applyFont="1" applyBorder="1" applyAlignment="1">
      <alignment horizontal="right"/>
    </xf>
    <xf numFmtId="166" fontId="63" fillId="31" borderId="8" xfId="0" applyNumberFormat="1" applyFont="1" applyFill="1" applyBorder="1"/>
    <xf numFmtId="166" fontId="63" fillId="0" borderId="8" xfId="0" applyNumberFormat="1" applyFont="1" applyBorder="1"/>
    <xf numFmtId="166" fontId="63" fillId="24" borderId="8" xfId="0" applyNumberFormat="1" applyFont="1" applyFill="1" applyBorder="1"/>
    <xf numFmtId="170" fontId="63" fillId="0" borderId="8" xfId="43" applyNumberFormat="1" applyFont="1" applyFill="1" applyBorder="1" applyProtection="1"/>
    <xf numFmtId="170" fontId="63" fillId="0" borderId="8" xfId="43" applyNumberFormat="1" applyFont="1" applyBorder="1"/>
    <xf numFmtId="170" fontId="63" fillId="0" borderId="8" xfId="0" applyNumberFormat="1" applyFont="1" applyBorder="1"/>
    <xf numFmtId="170" fontId="63" fillId="0" borderId="0" xfId="43" applyNumberFormat="1" applyFont="1"/>
    <xf numFmtId="169" fontId="63" fillId="0" borderId="8" xfId="28" applyNumberFormat="1" applyFont="1" applyFill="1" applyBorder="1" applyProtection="1"/>
    <xf numFmtId="169" fontId="63" fillId="0" borderId="8" xfId="28" applyNumberFormat="1" applyFont="1" applyFill="1" applyBorder="1"/>
    <xf numFmtId="0" fontId="62" fillId="0" borderId="0" xfId="0" applyFont="1"/>
    <xf numFmtId="1" fontId="63" fillId="0" borderId="9" xfId="0" applyNumberFormat="1" applyFont="1" applyBorder="1"/>
    <xf numFmtId="1" fontId="63" fillId="0" borderId="8" xfId="0" applyNumberFormat="1" applyFont="1" applyBorder="1"/>
    <xf numFmtId="165" fontId="63" fillId="0" borderId="8" xfId="28" applyNumberFormat="1" applyFont="1" applyFill="1" applyBorder="1" applyAlignment="1">
      <alignment horizontal="right"/>
    </xf>
    <xf numFmtId="1" fontId="63" fillId="0" borderId="0" xfId="0" applyNumberFormat="1" applyFont="1"/>
    <xf numFmtId="0" fontId="75" fillId="0" borderId="0" xfId="110" applyFont="1"/>
    <xf numFmtId="0" fontId="76" fillId="0" borderId="0" xfId="110" applyFont="1"/>
    <xf numFmtId="0" fontId="74" fillId="27" borderId="28" xfId="77" applyFont="1" applyFill="1" applyBorder="1" applyAlignment="1">
      <alignment horizontal="center"/>
    </xf>
    <xf numFmtId="2" fontId="74" fillId="27" borderId="31" xfId="77" applyNumberFormat="1" applyFont="1" applyFill="1" applyBorder="1" applyAlignment="1">
      <alignment horizontal="center" wrapText="1"/>
    </xf>
    <xf numFmtId="2" fontId="74" fillId="27" borderId="31" xfId="77" applyNumberFormat="1" applyFont="1" applyFill="1" applyBorder="1" applyAlignment="1">
      <alignment horizontal="center"/>
    </xf>
    <xf numFmtId="2" fontId="74" fillId="27" borderId="59" xfId="77" applyNumberFormat="1" applyFont="1" applyFill="1" applyBorder="1" applyAlignment="1">
      <alignment horizontal="center" wrapText="1"/>
    </xf>
    <xf numFmtId="43" fontId="63" fillId="24" borderId="8" xfId="172" applyFont="1" applyFill="1" applyBorder="1" applyAlignment="1">
      <alignment horizontal="right"/>
    </xf>
    <xf numFmtId="2" fontId="63" fillId="0" borderId="0" xfId="110" applyNumberFormat="1" applyFont="1"/>
    <xf numFmtId="0" fontId="78" fillId="0" borderId="0" xfId="110" applyFont="1"/>
    <xf numFmtId="39" fontId="63" fillId="0" borderId="0" xfId="110" applyNumberFormat="1" applyFont="1"/>
    <xf numFmtId="0" fontId="62" fillId="0" borderId="0" xfId="110" applyFont="1" applyAlignment="1">
      <alignment horizontal="left"/>
    </xf>
    <xf numFmtId="0" fontId="63" fillId="0" borderId="0" xfId="110" applyFont="1" applyAlignment="1">
      <alignment horizontal="left"/>
    </xf>
    <xf numFmtId="178" fontId="63" fillId="29" borderId="0" xfId="43" applyNumberFormat="1" applyFont="1" applyFill="1"/>
    <xf numFmtId="43" fontId="63" fillId="0" borderId="0" xfId="110" applyNumberFormat="1" applyFont="1"/>
    <xf numFmtId="9" fontId="63" fillId="0" borderId="36" xfId="110" applyNumberFormat="1" applyFont="1" applyBorder="1"/>
    <xf numFmtId="0" fontId="73" fillId="0" borderId="0" xfId="0" applyFont="1" applyAlignment="1">
      <alignment horizontal="left"/>
    </xf>
    <xf numFmtId="169" fontId="63" fillId="0" borderId="0" xfId="28" applyNumberFormat="1" applyFont="1"/>
    <xf numFmtId="170" fontId="63" fillId="0" borderId="0" xfId="110" applyNumberFormat="1" applyFont="1"/>
    <xf numFmtId="0" fontId="67" fillId="0" borderId="0" xfId="100" applyFont="1"/>
    <xf numFmtId="0" fontId="70" fillId="0" borderId="0" xfId="100" applyFont="1" applyAlignment="1">
      <alignment horizontal="center"/>
    </xf>
    <xf numFmtId="0" fontId="65" fillId="27" borderId="52" xfId="100" applyFont="1" applyFill="1" applyBorder="1" applyAlignment="1">
      <alignment horizontal="center" wrapText="1"/>
    </xf>
    <xf numFmtId="0" fontId="65" fillId="27" borderId="54" xfId="100" applyFont="1" applyFill="1" applyBorder="1" applyAlignment="1">
      <alignment horizontal="center" wrapText="1"/>
    </xf>
    <xf numFmtId="0" fontId="65" fillId="27" borderId="60" xfId="100" applyFont="1" applyFill="1" applyBorder="1" applyAlignment="1">
      <alignment horizontal="center" wrapText="1"/>
    </xf>
    <xf numFmtId="0" fontId="65" fillId="27" borderId="51" xfId="100" applyFont="1" applyFill="1" applyBorder="1" applyAlignment="1">
      <alignment horizontal="center" wrapText="1"/>
    </xf>
    <xf numFmtId="0" fontId="65" fillId="27" borderId="61" xfId="100" applyFont="1" applyFill="1" applyBorder="1" applyAlignment="1">
      <alignment horizontal="center" wrapText="1"/>
    </xf>
    <xf numFmtId="0" fontId="65" fillId="27" borderId="62" xfId="100" applyFont="1" applyFill="1" applyBorder="1" applyAlignment="1">
      <alignment horizontal="center" wrapText="1"/>
    </xf>
    <xf numFmtId="0" fontId="63" fillId="0" borderId="0" xfId="100" applyFont="1" applyAlignment="1">
      <alignment horizontal="center" wrapText="1"/>
    </xf>
    <xf numFmtId="170" fontId="67" fillId="0" borderId="24" xfId="43" applyNumberFormat="1" applyFont="1" applyFill="1" applyBorder="1" applyAlignment="1" applyProtection="1">
      <alignment horizontal="left" wrapText="1"/>
    </xf>
    <xf numFmtId="5" fontId="67" fillId="25" borderId="42" xfId="100" applyNumberFormat="1" applyFont="1" applyFill="1" applyBorder="1"/>
    <xf numFmtId="5" fontId="67" fillId="25" borderId="43" xfId="100" applyNumberFormat="1" applyFont="1" applyFill="1" applyBorder="1"/>
    <xf numFmtId="5" fontId="67" fillId="0" borderId="20" xfId="100" applyNumberFormat="1" applyFont="1" applyBorder="1"/>
    <xf numFmtId="10" fontId="68" fillId="0" borderId="9" xfId="100" applyNumberFormat="1" applyFont="1" applyBorder="1"/>
    <xf numFmtId="5" fontId="67" fillId="0" borderId="26" xfId="100" applyNumberFormat="1" applyFont="1" applyBorder="1"/>
    <xf numFmtId="38" fontId="67" fillId="24" borderId="63" xfId="100" applyNumberFormat="1" applyFont="1" applyFill="1" applyBorder="1" applyProtection="1">
      <protection locked="0"/>
    </xf>
    <xf numFmtId="38" fontId="67" fillId="0" borderId="38" xfId="100" applyNumberFormat="1" applyFont="1" applyBorder="1" applyProtection="1">
      <protection locked="0"/>
    </xf>
    <xf numFmtId="169" fontId="67" fillId="0" borderId="38" xfId="28" applyNumberFormat="1" applyFont="1" applyFill="1" applyBorder="1" applyAlignment="1" applyProtection="1">
      <alignment horizontal="left" wrapText="1"/>
    </xf>
    <xf numFmtId="37" fontId="67" fillId="25" borderId="44" xfId="100" applyNumberFormat="1" applyFont="1" applyFill="1" applyBorder="1"/>
    <xf numFmtId="37" fontId="67" fillId="25" borderId="14" xfId="100" applyNumberFormat="1" applyFont="1" applyFill="1" applyBorder="1"/>
    <xf numFmtId="37" fontId="67" fillId="0" borderId="35" xfId="100" applyNumberFormat="1" applyFont="1" applyBorder="1"/>
    <xf numFmtId="10" fontId="68" fillId="0" borderId="8" xfId="100" applyNumberFormat="1" applyFont="1" applyBorder="1"/>
    <xf numFmtId="169" fontId="67" fillId="0" borderId="8" xfId="28" applyNumberFormat="1" applyFont="1" applyFill="1" applyBorder="1" applyProtection="1"/>
    <xf numFmtId="38" fontId="67" fillId="24" borderId="37" xfId="100" applyNumberFormat="1" applyFont="1" applyFill="1" applyBorder="1" applyProtection="1">
      <protection locked="0"/>
    </xf>
    <xf numFmtId="38" fontId="78" fillId="24" borderId="37" xfId="100" applyNumberFormat="1" applyFont="1" applyFill="1" applyBorder="1" applyProtection="1">
      <protection locked="0"/>
    </xf>
    <xf numFmtId="0" fontId="63" fillId="0" borderId="17" xfId="100" applyFont="1" applyBorder="1" applyAlignment="1">
      <alignment horizontal="left" vertical="center" wrapText="1"/>
    </xf>
    <xf numFmtId="169" fontId="63" fillId="0" borderId="39" xfId="28" applyNumberFormat="1" applyFont="1" applyFill="1" applyBorder="1" applyAlignment="1">
      <alignment horizontal="left" vertical="center" wrapText="1"/>
    </xf>
    <xf numFmtId="37" fontId="67" fillId="25" borderId="45" xfId="100" applyNumberFormat="1" applyFont="1" applyFill="1" applyBorder="1"/>
    <xf numFmtId="37" fontId="67" fillId="25" borderId="16" xfId="100" applyNumberFormat="1" applyFont="1" applyFill="1" applyBorder="1"/>
    <xf numFmtId="169" fontId="67" fillId="0" borderId="36" xfId="100" applyNumberFormat="1" applyFont="1" applyBorder="1"/>
    <xf numFmtId="5" fontId="67" fillId="25" borderId="16" xfId="100" applyNumberFormat="1" applyFont="1" applyFill="1" applyBorder="1"/>
    <xf numFmtId="10" fontId="68" fillId="0" borderId="19" xfId="100" applyNumberFormat="1" applyFont="1" applyBorder="1"/>
    <xf numFmtId="7" fontId="67" fillId="0" borderId="19" xfId="100" applyNumberFormat="1" applyFont="1" applyBorder="1"/>
    <xf numFmtId="38" fontId="78" fillId="24" borderId="39" xfId="100" applyNumberFormat="1" applyFont="1" applyFill="1" applyBorder="1" applyProtection="1">
      <protection locked="0"/>
    </xf>
    <xf numFmtId="38" fontId="67" fillId="0" borderId="39" xfId="100" applyNumberFormat="1" applyFont="1" applyBorder="1" applyProtection="1">
      <protection locked="0"/>
    </xf>
    <xf numFmtId="0" fontId="67" fillId="0" borderId="0" xfId="100" applyFont="1" applyAlignment="1">
      <alignment horizontal="right"/>
    </xf>
    <xf numFmtId="169" fontId="67" fillId="0" borderId="0" xfId="28" applyNumberFormat="1" applyFont="1" applyFill="1" applyBorder="1" applyProtection="1"/>
    <xf numFmtId="169" fontId="67" fillId="0" borderId="24" xfId="28" applyNumberFormat="1" applyFont="1" applyFill="1" applyBorder="1" applyAlignment="1" applyProtection="1">
      <alignment horizontal="left" wrapText="1"/>
    </xf>
    <xf numFmtId="37" fontId="67" fillId="25" borderId="46" xfId="100" applyNumberFormat="1" applyFont="1" applyFill="1" applyBorder="1"/>
    <xf numFmtId="37" fontId="67" fillId="25" borderId="47" xfId="100" applyNumberFormat="1" applyFont="1" applyFill="1" applyBorder="1"/>
    <xf numFmtId="37" fontId="67" fillId="0" borderId="20" xfId="100" applyNumberFormat="1" applyFont="1" applyBorder="1"/>
    <xf numFmtId="169" fontId="67" fillId="0" borderId="9" xfId="28" applyNumberFormat="1" applyFont="1" applyFill="1" applyBorder="1" applyProtection="1"/>
    <xf numFmtId="38" fontId="67" fillId="24" borderId="24" xfId="100" applyNumberFormat="1" applyFont="1" applyFill="1" applyBorder="1" applyProtection="1">
      <protection locked="0"/>
    </xf>
    <xf numFmtId="38" fontId="67" fillId="0" borderId="24" xfId="100" applyNumberFormat="1" applyFont="1" applyBorder="1" applyProtection="1">
      <protection locked="0"/>
    </xf>
    <xf numFmtId="38" fontId="67" fillId="24" borderId="38" xfId="100" applyNumberFormat="1" applyFont="1" applyFill="1" applyBorder="1" applyProtection="1">
      <protection locked="0"/>
    </xf>
    <xf numFmtId="169" fontId="67" fillId="0" borderId="39" xfId="28" applyNumberFormat="1" applyFont="1" applyFill="1" applyBorder="1" applyAlignment="1" applyProtection="1">
      <alignment horizontal="left" wrapText="1"/>
    </xf>
    <xf numFmtId="169" fontId="67" fillId="0" borderId="19" xfId="28" applyNumberFormat="1" applyFont="1" applyFill="1" applyBorder="1" applyProtection="1"/>
    <xf numFmtId="38" fontId="67" fillId="24" borderId="39" xfId="100" applyNumberFormat="1" applyFont="1" applyFill="1" applyBorder="1" applyProtection="1">
      <protection locked="0"/>
    </xf>
    <xf numFmtId="169" fontId="67" fillId="0" borderId="31" xfId="100" applyNumberFormat="1" applyFont="1" applyBorder="1"/>
    <xf numFmtId="0" fontId="67" fillId="0" borderId="0" xfId="100" quotePrefix="1" applyFont="1" applyAlignment="1">
      <alignment horizontal="right"/>
    </xf>
    <xf numFmtId="5" fontId="67" fillId="0" borderId="0" xfId="100" applyNumberFormat="1" applyFont="1" applyAlignment="1">
      <alignment horizontal="right"/>
    </xf>
    <xf numFmtId="0" fontId="62" fillId="0" borderId="0" xfId="100" applyFont="1" applyAlignment="1">
      <alignment horizontal="center" wrapText="1"/>
    </xf>
    <xf numFmtId="170" fontId="63" fillId="0" borderId="0" xfId="43" applyNumberFormat="1" applyFont="1" applyFill="1" applyBorder="1" applyProtection="1"/>
    <xf numFmtId="174" fontId="67" fillId="0" borderId="0" xfId="43" applyNumberFormat="1" applyFont="1" applyFill="1" applyBorder="1" applyProtection="1"/>
    <xf numFmtId="179" fontId="67" fillId="0" borderId="0" xfId="100" applyNumberFormat="1" applyFont="1"/>
    <xf numFmtId="169" fontId="63" fillId="0" borderId="0" xfId="100" applyNumberFormat="1" applyFont="1"/>
    <xf numFmtId="170" fontId="67" fillId="0" borderId="0" xfId="43" applyNumberFormat="1" applyFont="1" applyFill="1" applyBorder="1" applyAlignment="1" applyProtection="1">
      <alignment horizontal="right"/>
    </xf>
    <xf numFmtId="6" fontId="63" fillId="0" borderId="54" xfId="0" applyNumberFormat="1" applyFont="1" applyBorder="1"/>
    <xf numFmtId="0" fontId="63" fillId="0" borderId="51" xfId="110" quotePrefix="1" applyFont="1" applyBorder="1" applyAlignment="1">
      <alignment horizontal="left"/>
    </xf>
    <xf numFmtId="0" fontId="63" fillId="0" borderId="51" xfId="110" applyFont="1" applyBorder="1"/>
    <xf numFmtId="0" fontId="63" fillId="0" borderId="52" xfId="110" applyFont="1" applyBorder="1"/>
    <xf numFmtId="170" fontId="63" fillId="0" borderId="0" xfId="43" applyNumberFormat="1" applyFont="1" applyBorder="1" applyProtection="1"/>
    <xf numFmtId="173" fontId="63" fillId="0" borderId="0" xfId="28" applyNumberFormat="1" applyFont="1" applyBorder="1" applyProtection="1"/>
    <xf numFmtId="0" fontId="62" fillId="0" borderId="10" xfId="100" applyFont="1" applyBorder="1"/>
    <xf numFmtId="179" fontId="67" fillId="29" borderId="9" xfId="100" applyNumberFormat="1" applyFont="1" applyFill="1" applyBorder="1" applyProtection="1">
      <protection locked="0"/>
    </xf>
    <xf numFmtId="172" fontId="67" fillId="0" borderId="9" xfId="100" applyNumberFormat="1" applyFont="1" applyBorder="1" applyProtection="1">
      <protection locked="0"/>
    </xf>
    <xf numFmtId="172" fontId="67" fillId="26" borderId="9" xfId="100" applyNumberFormat="1" applyFont="1" applyFill="1" applyBorder="1" applyProtection="1">
      <protection locked="0"/>
    </xf>
    <xf numFmtId="0" fontId="67" fillId="0" borderId="47" xfId="100" applyFont="1" applyBorder="1"/>
    <xf numFmtId="0" fontId="63" fillId="0" borderId="24" xfId="100" applyFont="1" applyBorder="1"/>
    <xf numFmtId="171" fontId="63" fillId="0" borderId="20" xfId="100" quotePrefix="1" applyNumberFormat="1" applyFont="1" applyBorder="1" applyAlignment="1">
      <alignment horizontal="center" wrapText="1"/>
    </xf>
    <xf numFmtId="170" fontId="63" fillId="0" borderId="0" xfId="100" applyNumberFormat="1" applyFont="1"/>
    <xf numFmtId="181" fontId="63" fillId="0" borderId="0" xfId="100" applyNumberFormat="1" applyFont="1"/>
    <xf numFmtId="0" fontId="62" fillId="0" borderId="56" xfId="100" applyFont="1" applyBorder="1"/>
    <xf numFmtId="10" fontId="67" fillId="0" borderId="57" xfId="100" applyNumberFormat="1" applyFont="1" applyBorder="1"/>
    <xf numFmtId="10" fontId="67" fillId="24" borderId="57" xfId="100" applyNumberFormat="1" applyFont="1" applyFill="1" applyBorder="1"/>
    <xf numFmtId="10" fontId="63" fillId="0" borderId="57" xfId="100" applyNumberFormat="1" applyFont="1" applyBorder="1"/>
    <xf numFmtId="0" fontId="67" fillId="0" borderId="58" xfId="100" applyFont="1" applyBorder="1"/>
    <xf numFmtId="5" fontId="67" fillId="0" borderId="22" xfId="100" applyNumberFormat="1" applyFont="1" applyBorder="1"/>
    <xf numFmtId="173" fontId="63" fillId="29" borderId="36" xfId="43" applyNumberFormat="1" applyFont="1" applyFill="1" applyBorder="1" applyProtection="1"/>
    <xf numFmtId="173" fontId="63" fillId="0" borderId="36" xfId="43" applyNumberFormat="1" applyFont="1" applyBorder="1" applyProtection="1"/>
    <xf numFmtId="7" fontId="63" fillId="0" borderId="0" xfId="100" applyNumberFormat="1" applyFont="1"/>
    <xf numFmtId="0" fontId="62" fillId="0" borderId="12" xfId="100" applyFont="1" applyBorder="1"/>
    <xf numFmtId="174" fontId="67" fillId="25" borderId="19" xfId="43" applyNumberFormat="1" applyFont="1" applyFill="1" applyBorder="1" applyProtection="1"/>
    <xf numFmtId="10" fontId="67" fillId="0" borderId="16" xfId="100" applyNumberFormat="1" applyFont="1" applyBorder="1"/>
    <xf numFmtId="10" fontId="67" fillId="0" borderId="39" xfId="100" applyNumberFormat="1" applyFont="1" applyBorder="1"/>
    <xf numFmtId="174" fontId="67" fillId="0" borderId="18" xfId="43" applyNumberFormat="1" applyFont="1" applyFill="1" applyBorder="1" applyProtection="1"/>
    <xf numFmtId="10" fontId="63" fillId="0" borderId="16" xfId="100" applyNumberFormat="1" applyFont="1" applyBorder="1"/>
    <xf numFmtId="10" fontId="63" fillId="0" borderId="53" xfId="100" applyNumberFormat="1" applyFont="1" applyBorder="1"/>
    <xf numFmtId="0" fontId="67" fillId="0" borderId="53" xfId="100" applyFont="1" applyBorder="1"/>
    <xf numFmtId="5" fontId="67" fillId="0" borderId="53" xfId="100" applyNumberFormat="1" applyFont="1" applyBorder="1"/>
    <xf numFmtId="173" fontId="63" fillId="0" borderId="39" xfId="43" applyNumberFormat="1" applyFont="1" applyBorder="1" applyProtection="1"/>
    <xf numFmtId="0" fontId="63" fillId="0" borderId="0" xfId="100" quotePrefix="1" applyFont="1" applyAlignment="1">
      <alignment horizontal="left"/>
    </xf>
    <xf numFmtId="169" fontId="63" fillId="0" borderId="0" xfId="28" applyNumberFormat="1" applyFont="1" applyBorder="1" applyAlignment="1" applyProtection="1"/>
    <xf numFmtId="0" fontId="63" fillId="0" borderId="0" xfId="109" applyFont="1"/>
    <xf numFmtId="0" fontId="63" fillId="0" borderId="0" xfId="100" applyFont="1" applyAlignment="1">
      <alignment horizontal="left" vertical="top"/>
    </xf>
    <xf numFmtId="5" fontId="63" fillId="0" borderId="0" xfId="100" applyNumberFormat="1" applyFont="1"/>
    <xf numFmtId="167" fontId="63" fillId="0" borderId="0" xfId="113" applyNumberFormat="1" applyFont="1" applyAlignment="1"/>
    <xf numFmtId="0" fontId="73" fillId="0" borderId="0" xfId="100" applyFont="1"/>
    <xf numFmtId="2" fontId="73" fillId="0" borderId="0" xfId="110" applyNumberFormat="1" applyFont="1"/>
    <xf numFmtId="0" fontId="63" fillId="0" borderId="0" xfId="100" applyFont="1" applyAlignment="1">
      <alignment horizontal="right"/>
    </xf>
    <xf numFmtId="38" fontId="63" fillId="0" borderId="0" xfId="100" applyNumberFormat="1" applyFont="1"/>
    <xf numFmtId="0" fontId="63" fillId="0" borderId="0" xfId="100" applyFont="1" applyAlignment="1">
      <alignment vertical="top"/>
    </xf>
    <xf numFmtId="0" fontId="65" fillId="27" borderId="28" xfId="100" applyFont="1" applyFill="1" applyBorder="1" applyAlignment="1">
      <alignment horizontal="center"/>
    </xf>
    <xf numFmtId="0" fontId="65" fillId="27" borderId="59" xfId="100" applyFont="1" applyFill="1" applyBorder="1" applyAlignment="1">
      <alignment horizontal="center" wrapText="1"/>
    </xf>
    <xf numFmtId="0" fontId="63" fillId="0" borderId="28" xfId="100" applyFont="1" applyBorder="1" applyAlignment="1">
      <alignment horizontal="left"/>
    </xf>
    <xf numFmtId="169" fontId="63" fillId="24" borderId="25" xfId="32" applyNumberFormat="1" applyFont="1" applyFill="1" applyBorder="1"/>
    <xf numFmtId="0" fontId="63" fillId="0" borderId="29" xfId="100" applyFont="1" applyBorder="1" applyAlignment="1">
      <alignment horizontal="left"/>
    </xf>
    <xf numFmtId="169" fontId="63" fillId="24" borderId="13" xfId="32" applyNumberFormat="1" applyFont="1" applyFill="1" applyBorder="1"/>
    <xf numFmtId="0" fontId="63" fillId="0" borderId="0" xfId="100" applyFont="1" applyAlignment="1">
      <alignment horizontal="center"/>
    </xf>
    <xf numFmtId="0" fontId="63" fillId="0" borderId="30" xfId="100" applyFont="1" applyBorder="1" applyAlignment="1">
      <alignment horizontal="left"/>
    </xf>
    <xf numFmtId="169" fontId="63" fillId="24" borderId="17" xfId="32" applyNumberFormat="1" applyFont="1" applyFill="1" applyBorder="1"/>
    <xf numFmtId="0" fontId="62" fillId="0" borderId="0" xfId="100" applyFont="1" applyAlignment="1">
      <alignment horizontal="right"/>
    </xf>
    <xf numFmtId="169" fontId="62" fillId="0" borderId="21" xfId="100" applyNumberFormat="1" applyFont="1" applyBorder="1"/>
    <xf numFmtId="169" fontId="63" fillId="0" borderId="22" xfId="100" applyNumberFormat="1" applyFont="1" applyBorder="1"/>
    <xf numFmtId="9" fontId="65" fillId="27" borderId="8" xfId="117" applyFont="1" applyFill="1" applyBorder="1" applyAlignment="1">
      <alignment horizontal="left" wrapText="1"/>
    </xf>
    <xf numFmtId="9" fontId="62" fillId="24" borderId="15" xfId="113" applyFont="1" applyFill="1" applyBorder="1"/>
    <xf numFmtId="43" fontId="63" fillId="0" borderId="0" xfId="100" applyNumberFormat="1" applyFont="1"/>
    <xf numFmtId="44" fontId="63" fillId="0" borderId="0" xfId="43" applyFont="1" applyFill="1"/>
    <xf numFmtId="44" fontId="63" fillId="0" borderId="0" xfId="43" applyFont="1" applyFill="1" applyBorder="1"/>
    <xf numFmtId="37" fontId="63" fillId="0" borderId="0" xfId="100" applyNumberFormat="1" applyFont="1"/>
    <xf numFmtId="0" fontId="63" fillId="0" borderId="0" xfId="100" applyFont="1" applyAlignment="1">
      <alignment horizontal="left"/>
    </xf>
    <xf numFmtId="170" fontId="63" fillId="0" borderId="0" xfId="43" applyNumberFormat="1" applyFont="1" applyBorder="1"/>
    <xf numFmtId="0" fontId="62" fillId="0" borderId="0" xfId="76" applyFont="1"/>
    <xf numFmtId="0" fontId="63" fillId="0" borderId="0" xfId="76" applyFont="1"/>
    <xf numFmtId="0" fontId="65" fillId="27" borderId="51" xfId="77" applyFont="1" applyFill="1" applyBorder="1" applyAlignment="1">
      <alignment horizontal="center" wrapText="1"/>
    </xf>
    <xf numFmtId="0" fontId="65" fillId="27" borderId="52" xfId="76" applyFont="1" applyFill="1" applyBorder="1" applyAlignment="1">
      <alignment horizontal="center" wrapText="1"/>
    </xf>
    <xf numFmtId="0" fontId="63" fillId="0" borderId="0" xfId="76" applyFont="1" applyAlignment="1">
      <alignment horizontal="center" wrapText="1"/>
    </xf>
    <xf numFmtId="164" fontId="63" fillId="0" borderId="70" xfId="110" applyNumberFormat="1" applyFont="1" applyBorder="1" applyAlignment="1">
      <alignment shrinkToFit="1"/>
    </xf>
    <xf numFmtId="0" fontId="63" fillId="0" borderId="70" xfId="76" applyFont="1" applyBorder="1"/>
    <xf numFmtId="169" fontId="63" fillId="24" borderId="40" xfId="32" applyNumberFormat="1" applyFont="1" applyFill="1" applyBorder="1"/>
    <xf numFmtId="169" fontId="63" fillId="0" borderId="23" xfId="31" applyNumberFormat="1" applyFont="1" applyBorder="1"/>
    <xf numFmtId="9" fontId="63" fillId="0" borderId="0" xfId="113" applyFont="1"/>
    <xf numFmtId="170" fontId="63" fillId="0" borderId="0" xfId="76" applyNumberFormat="1" applyFont="1"/>
    <xf numFmtId="164" fontId="63" fillId="0" borderId="99" xfId="110" applyNumberFormat="1" applyFont="1" applyBorder="1" applyAlignment="1">
      <alignment shrinkToFit="1"/>
    </xf>
    <xf numFmtId="0" fontId="63" fillId="0" borderId="99" xfId="76" applyFont="1" applyBorder="1"/>
    <xf numFmtId="169" fontId="63" fillId="0" borderId="13" xfId="31" applyNumberFormat="1" applyFont="1" applyBorder="1"/>
    <xf numFmtId="164" fontId="63" fillId="0" borderId="55" xfId="110" applyNumberFormat="1" applyFont="1" applyBorder="1" applyAlignment="1">
      <alignment shrinkToFit="1"/>
    </xf>
    <xf numFmtId="0" fontId="63" fillId="0" borderId="55" xfId="76" applyFont="1" applyBorder="1"/>
    <xf numFmtId="0" fontId="63" fillId="0" borderId="26" xfId="76" applyFont="1" applyBorder="1"/>
    <xf numFmtId="0" fontId="62" fillId="0" borderId="26" xfId="76" applyFont="1" applyBorder="1" applyAlignment="1">
      <alignment horizontal="right"/>
    </xf>
    <xf numFmtId="169" fontId="62" fillId="0" borderId="0" xfId="28" applyNumberFormat="1" applyFont="1"/>
    <xf numFmtId="170" fontId="62" fillId="0" borderId="0" xfId="43" applyNumberFormat="1" applyFont="1"/>
    <xf numFmtId="170" fontId="62" fillId="0" borderId="0" xfId="76" applyNumberFormat="1" applyFont="1"/>
    <xf numFmtId="44" fontId="63" fillId="0" borderId="0" xfId="76" applyNumberFormat="1" applyFont="1"/>
    <xf numFmtId="164" fontId="63" fillId="0" borderId="8" xfId="110" applyNumberFormat="1" applyFont="1" applyBorder="1" applyAlignment="1">
      <alignment shrinkToFit="1"/>
    </xf>
    <xf numFmtId="0" fontId="67" fillId="0" borderId="8" xfId="76" applyFont="1" applyBorder="1" applyAlignment="1">
      <alignment wrapText="1"/>
    </xf>
    <xf numFmtId="169" fontId="63" fillId="24" borderId="8" xfId="32" applyNumberFormat="1" applyFont="1" applyFill="1" applyBorder="1" applyProtection="1"/>
    <xf numFmtId="169" fontId="63" fillId="24" borderId="8" xfId="32" applyNumberFormat="1" applyFont="1" applyFill="1" applyBorder="1"/>
    <xf numFmtId="169" fontId="62" fillId="0" borderId="23" xfId="31" applyNumberFormat="1" applyFont="1" applyBorder="1"/>
    <xf numFmtId="0" fontId="62" fillId="0" borderId="0" xfId="76" applyFont="1" applyAlignment="1">
      <alignment horizontal="right"/>
    </xf>
    <xf numFmtId="169" fontId="62" fillId="0" borderId="0" xfId="76" applyNumberFormat="1" applyFont="1"/>
    <xf numFmtId="169" fontId="63" fillId="0" borderId="0" xfId="76" applyNumberFormat="1" applyFont="1"/>
    <xf numFmtId="0" fontId="65" fillId="27" borderId="71" xfId="110" applyFont="1" applyFill="1" applyBorder="1" applyAlignment="1">
      <alignment horizontal="center"/>
    </xf>
    <xf numFmtId="0" fontId="65" fillId="27" borderId="76" xfId="110" applyFont="1" applyFill="1" applyBorder="1" applyAlignment="1">
      <alignment horizontal="center"/>
    </xf>
    <xf numFmtId="0" fontId="65" fillId="27" borderId="71" xfId="110" applyFont="1" applyFill="1" applyBorder="1" applyAlignment="1">
      <alignment horizontal="center" wrapText="1"/>
    </xf>
    <xf numFmtId="0" fontId="65" fillId="27" borderId="76" xfId="110" applyFont="1" applyFill="1" applyBorder="1" applyAlignment="1">
      <alignment horizontal="center" wrapText="1"/>
    </xf>
    <xf numFmtId="0" fontId="65" fillId="27" borderId="72" xfId="110" applyFont="1" applyFill="1" applyBorder="1" applyAlignment="1">
      <alignment horizontal="center"/>
    </xf>
    <xf numFmtId="0" fontId="65" fillId="27" borderId="73" xfId="110" applyFont="1" applyFill="1" applyBorder="1" applyAlignment="1">
      <alignment horizontal="center" wrapText="1"/>
    </xf>
    <xf numFmtId="0" fontId="67" fillId="0" borderId="0" xfId="127" applyFont="1" applyAlignment="1">
      <alignment horizontal="center"/>
    </xf>
    <xf numFmtId="164" fontId="67" fillId="0" borderId="33" xfId="110" applyNumberFormat="1" applyFont="1" applyBorder="1"/>
    <xf numFmtId="0" fontId="63" fillId="0" borderId="43" xfId="110" applyFont="1" applyBorder="1"/>
    <xf numFmtId="37" fontId="67" fillId="0" borderId="33" xfId="110" applyNumberFormat="1" applyFont="1" applyBorder="1"/>
    <xf numFmtId="3" fontId="67" fillId="0" borderId="8" xfId="127" applyNumberFormat="1" applyFont="1" applyBorder="1" applyAlignment="1">
      <alignment horizontal="right" wrapText="1"/>
    </xf>
    <xf numFmtId="37" fontId="63" fillId="0" borderId="26" xfId="110" applyNumberFormat="1" applyFont="1" applyBorder="1"/>
    <xf numFmtId="38" fontId="63" fillId="0" borderId="26" xfId="110" applyNumberFormat="1" applyFont="1" applyBorder="1"/>
    <xf numFmtId="168" fontId="63" fillId="0" borderId="23" xfId="110" applyNumberFormat="1" applyFont="1" applyBorder="1"/>
    <xf numFmtId="37" fontId="63" fillId="0" borderId="40" xfId="110" applyNumberFormat="1" applyFont="1" applyBorder="1"/>
    <xf numFmtId="38" fontId="67" fillId="0" borderId="26" xfId="110" applyNumberFormat="1" applyFont="1" applyBorder="1"/>
    <xf numFmtId="3" fontId="83" fillId="0" borderId="8" xfId="0" applyNumberFormat="1" applyFont="1" applyBorder="1" applyAlignment="1">
      <alignment horizontal="right" vertical="center" wrapText="1"/>
    </xf>
    <xf numFmtId="37" fontId="63" fillId="0" borderId="15" xfId="110" applyNumberFormat="1" applyFont="1" applyBorder="1"/>
    <xf numFmtId="0" fontId="67" fillId="0" borderId="0" xfId="127" applyFont="1" applyAlignment="1">
      <alignment horizontal="right" wrapText="1"/>
    </xf>
    <xf numFmtId="164" fontId="67" fillId="0" borderId="11" xfId="110" applyNumberFormat="1" applyFont="1" applyBorder="1"/>
    <xf numFmtId="0" fontId="63" fillId="0" borderId="14" xfId="110" applyFont="1" applyBorder="1"/>
    <xf numFmtId="37" fontId="67" fillId="0" borderId="11" xfId="110" applyNumberFormat="1" applyFont="1" applyBorder="1"/>
    <xf numFmtId="38" fontId="63" fillId="0" borderId="8" xfId="110" applyNumberFormat="1" applyFont="1" applyBorder="1"/>
    <xf numFmtId="168" fontId="63" fillId="0" borderId="13" xfId="110" applyNumberFormat="1" applyFont="1" applyBorder="1"/>
    <xf numFmtId="38" fontId="67" fillId="0" borderId="8" xfId="110" applyNumberFormat="1" applyFont="1" applyBorder="1"/>
    <xf numFmtId="37" fontId="63" fillId="29" borderId="26" xfId="110" applyNumberFormat="1" applyFont="1" applyFill="1" applyBorder="1"/>
    <xf numFmtId="37" fontId="63" fillId="29" borderId="15" xfId="110" applyNumberFormat="1" applyFont="1" applyFill="1" applyBorder="1"/>
    <xf numFmtId="0" fontId="67" fillId="0" borderId="14" xfId="110" applyFont="1" applyBorder="1"/>
    <xf numFmtId="0" fontId="67" fillId="0" borderId="12" xfId="110" applyFont="1" applyBorder="1"/>
    <xf numFmtId="0" fontId="62" fillId="0" borderId="16" xfId="110" applyFont="1" applyBorder="1" applyAlignment="1">
      <alignment horizontal="right"/>
    </xf>
    <xf numFmtId="37" fontId="62" fillId="0" borderId="12" xfId="110" applyNumberFormat="1" applyFont="1" applyBorder="1"/>
    <xf numFmtId="168" fontId="62" fillId="0" borderId="17" xfId="110" applyNumberFormat="1" applyFont="1" applyBorder="1"/>
    <xf numFmtId="37" fontId="70" fillId="0" borderId="18" xfId="110" applyNumberFormat="1" applyFont="1" applyBorder="1"/>
    <xf numFmtId="37" fontId="70" fillId="0" borderId="19" xfId="110" applyNumberFormat="1" applyFont="1" applyBorder="1"/>
    <xf numFmtId="0" fontId="67" fillId="0" borderId="0" xfId="110" applyFont="1"/>
    <xf numFmtId="37" fontId="62" fillId="0" borderId="56" xfId="110" applyNumberFormat="1" applyFont="1" applyBorder="1"/>
    <xf numFmtId="37" fontId="67" fillId="0" borderId="15" xfId="110" applyNumberFormat="1" applyFont="1" applyBorder="1"/>
    <xf numFmtId="37" fontId="63" fillId="0" borderId="41" xfId="110" applyNumberFormat="1" applyFont="1" applyBorder="1"/>
    <xf numFmtId="38" fontId="67" fillId="0" borderId="9" xfId="110" applyNumberFormat="1" applyFont="1" applyBorder="1"/>
    <xf numFmtId="168" fontId="63" fillId="0" borderId="25" xfId="110" applyNumberFormat="1" applyFont="1" applyBorder="1"/>
    <xf numFmtId="37" fontId="70" fillId="0" borderId="12" xfId="110" applyNumberFormat="1" applyFont="1" applyBorder="1"/>
    <xf numFmtId="0" fontId="63" fillId="29" borderId="0" xfId="110" quotePrefix="1" applyFont="1" applyFill="1" applyAlignment="1">
      <alignment horizontal="left"/>
    </xf>
    <xf numFmtId="0" fontId="63" fillId="29" borderId="0" xfId="110" applyFont="1" applyFill="1"/>
    <xf numFmtId="38" fontId="63" fillId="0" borderId="0" xfId="110" applyNumberFormat="1" applyFont="1"/>
    <xf numFmtId="0" fontId="63" fillId="0" borderId="0" xfId="110" quotePrefix="1" applyFont="1"/>
    <xf numFmtId="0" fontId="62" fillId="0" borderId="0" xfId="97" applyFont="1"/>
    <xf numFmtId="0" fontId="63" fillId="0" borderId="0" xfId="97" applyFont="1"/>
    <xf numFmtId="0" fontId="63" fillId="0" borderId="0" xfId="96" applyFont="1"/>
    <xf numFmtId="0" fontId="65" fillId="27" borderId="8" xfId="97" applyFont="1" applyFill="1" applyBorder="1" applyAlignment="1">
      <alignment horizontal="center" wrapText="1"/>
    </xf>
    <xf numFmtId="0" fontId="63" fillId="0" borderId="0" xfId="96" quotePrefix="1" applyFont="1"/>
    <xf numFmtId="0" fontId="65" fillId="27" borderId="8" xfId="97" quotePrefix="1" applyFont="1" applyFill="1" applyBorder="1" applyAlignment="1">
      <alignment horizontal="center"/>
    </xf>
    <xf numFmtId="38" fontId="63" fillId="0" borderId="0" xfId="96" applyNumberFormat="1" applyFont="1"/>
    <xf numFmtId="0" fontId="63" fillId="0" borderId="8" xfId="97" applyFont="1" applyBorder="1" applyAlignment="1">
      <alignment horizontal="left" wrapText="1"/>
    </xf>
    <xf numFmtId="0" fontId="63" fillId="0" borderId="8" xfId="97" quotePrefix="1" applyFont="1" applyBorder="1" applyAlignment="1">
      <alignment horizontal="left" wrapText="1"/>
    </xf>
    <xf numFmtId="170" fontId="63" fillId="0" borderId="8" xfId="43" applyNumberFormat="1" applyFont="1" applyBorder="1" applyAlignment="1"/>
    <xf numFmtId="170" fontId="63" fillId="0" borderId="8" xfId="43" applyNumberFormat="1" applyFont="1" applyFill="1" applyBorder="1"/>
    <xf numFmtId="38" fontId="63" fillId="0" borderId="8" xfId="97" applyNumberFormat="1" applyFont="1" applyBorder="1"/>
    <xf numFmtId="0" fontId="65" fillId="27" borderId="57" xfId="97" applyFont="1" applyFill="1" applyBorder="1"/>
    <xf numFmtId="0" fontId="65" fillId="27" borderId="57" xfId="97" quotePrefix="1" applyFont="1" applyFill="1" applyBorder="1" applyAlignment="1">
      <alignment horizontal="center" wrapText="1"/>
    </xf>
    <xf numFmtId="38" fontId="63" fillId="0" borderId="8" xfId="97" applyNumberFormat="1" applyFont="1" applyBorder="1" applyAlignment="1">
      <alignment horizontal="right"/>
    </xf>
    <xf numFmtId="180" fontId="67" fillId="0" borderId="8" xfId="126" applyNumberFormat="1" applyFont="1" applyBorder="1" applyAlignment="1">
      <alignment horizontal="right" wrapText="1"/>
    </xf>
    <xf numFmtId="0" fontId="67" fillId="0" borderId="0" xfId="507" applyFont="1" applyAlignment="1">
      <alignment horizontal="center"/>
    </xf>
    <xf numFmtId="0" fontId="67" fillId="0" borderId="0" xfId="507" applyFont="1" applyAlignment="1">
      <alignment horizontal="right" wrapText="1"/>
    </xf>
    <xf numFmtId="0" fontId="67" fillId="0" borderId="0" xfId="507" applyFont="1" applyAlignment="1">
      <alignment wrapText="1"/>
    </xf>
    <xf numFmtId="180" fontId="67" fillId="0" borderId="0" xfId="507" applyNumberFormat="1" applyFont="1" applyAlignment="1">
      <alignment horizontal="right" wrapText="1"/>
    </xf>
    <xf numFmtId="183" fontId="83" fillId="0" borderId="101" xfId="0" applyNumberFormat="1" applyFont="1" applyBorder="1" applyAlignment="1">
      <alignment horizontal="right" vertical="center" wrapText="1"/>
    </xf>
    <xf numFmtId="169" fontId="67" fillId="0" borderId="8" xfId="28" applyNumberFormat="1" applyFont="1" applyFill="1" applyBorder="1" applyAlignment="1">
      <alignment horizontal="right" wrapText="1"/>
    </xf>
    <xf numFmtId="0" fontId="63" fillId="0" borderId="0" xfId="97" applyFont="1" applyAlignment="1">
      <alignment horizontal="left" wrapText="1"/>
    </xf>
    <xf numFmtId="180" fontId="67" fillId="0" borderId="0" xfId="126" applyNumberFormat="1" applyFont="1" applyAlignment="1">
      <alignment horizontal="right" wrapText="1"/>
    </xf>
    <xf numFmtId="0" fontId="65" fillId="27" borderId="100" xfId="97" applyFont="1" applyFill="1" applyBorder="1"/>
    <xf numFmtId="0" fontId="65" fillId="27" borderId="100" xfId="97" quotePrefix="1" applyFont="1" applyFill="1" applyBorder="1" applyAlignment="1">
      <alignment horizontal="center" wrapText="1"/>
    </xf>
    <xf numFmtId="0" fontId="65" fillId="27" borderId="26" xfId="97" quotePrefix="1" applyFont="1" applyFill="1" applyBorder="1" applyAlignment="1">
      <alignment horizontal="center"/>
    </xf>
    <xf numFmtId="0" fontId="65" fillId="27" borderId="26" xfId="97" applyFont="1" applyFill="1" applyBorder="1" applyAlignment="1">
      <alignment horizontal="center" wrapText="1"/>
    </xf>
    <xf numFmtId="0" fontId="63" fillId="0" borderId="57" xfId="97" applyFont="1" applyBorder="1" applyAlignment="1">
      <alignment horizontal="left" wrapText="1"/>
    </xf>
    <xf numFmtId="0" fontId="62" fillId="0" borderId="0" xfId="96" applyFont="1"/>
    <xf numFmtId="0" fontId="62" fillId="0" borderId="0" xfId="96" applyFont="1" applyAlignment="1">
      <alignment horizontal="center"/>
    </xf>
    <xf numFmtId="0" fontId="65" fillId="27" borderId="57" xfId="97" applyFont="1" applyFill="1" applyBorder="1" applyAlignment="1">
      <alignment horizontal="left"/>
    </xf>
    <xf numFmtId="0" fontId="84" fillId="0" borderId="0" xfId="504" applyFont="1"/>
    <xf numFmtId="0" fontId="85" fillId="0" borderId="0" xfId="504" applyFont="1"/>
    <xf numFmtId="0" fontId="86" fillId="0" borderId="0" xfId="504" applyFont="1"/>
    <xf numFmtId="3" fontId="85" fillId="25" borderId="8" xfId="504" applyNumberFormat="1" applyFont="1" applyFill="1" applyBorder="1" applyAlignment="1">
      <alignment horizontal="center" wrapText="1"/>
    </xf>
    <xf numFmtId="3" fontId="85" fillId="0" borderId="0" xfId="504" applyNumberFormat="1" applyFont="1" applyAlignment="1">
      <alignment horizontal="center" wrapText="1"/>
    </xf>
    <xf numFmtId="169" fontId="85" fillId="0" borderId="8" xfId="28" applyNumberFormat="1" applyFont="1" applyBorder="1"/>
    <xf numFmtId="167" fontId="85" fillId="0" borderId="8" xfId="113" applyNumberFormat="1" applyFont="1" applyBorder="1"/>
    <xf numFmtId="169" fontId="85" fillId="0" borderId="8" xfId="504" applyNumberFormat="1" applyFont="1" applyBorder="1"/>
    <xf numFmtId="0" fontId="85" fillId="0" borderId="49" xfId="504" applyFont="1" applyBorder="1"/>
    <xf numFmtId="0" fontId="85" fillId="0" borderId="22" xfId="504" applyFont="1" applyBorder="1"/>
    <xf numFmtId="0" fontId="63" fillId="0" borderId="0" xfId="0" applyFont="1" applyAlignment="1">
      <alignment horizontal="left" vertical="center" indent="2"/>
    </xf>
    <xf numFmtId="169" fontId="63" fillId="0" borderId="0" xfId="28" applyNumberFormat="1" applyFont="1" applyFill="1" applyBorder="1" applyAlignment="1">
      <alignment horizontal="left" wrapText="1"/>
    </xf>
    <xf numFmtId="2" fontId="63" fillId="24" borderId="8" xfId="77" applyNumberFormat="1" applyFont="1" applyFill="1" applyBorder="1" applyAlignment="1">
      <alignment horizontal="right"/>
    </xf>
    <xf numFmtId="3" fontId="62" fillId="0" borderId="0" xfId="73" applyNumberFormat="1" applyFont="1" applyProtection="1">
      <protection locked="0"/>
    </xf>
    <xf numFmtId="0" fontId="65" fillId="27" borderId="67" xfId="73" applyFont="1" applyFill="1" applyBorder="1" applyAlignment="1" applyProtection="1">
      <alignment horizontal="center" wrapText="1"/>
      <protection locked="0"/>
    </xf>
    <xf numFmtId="0" fontId="65" fillId="27" borderId="67" xfId="73" applyFont="1" applyFill="1" applyBorder="1" applyAlignment="1" applyProtection="1">
      <alignment horizontal="center"/>
      <protection locked="0"/>
    </xf>
    <xf numFmtId="0" fontId="74" fillId="27" borderId="20" xfId="73" applyFont="1" applyFill="1" applyBorder="1" applyAlignment="1" applyProtection="1">
      <alignment horizontal="center" wrapText="1"/>
      <protection locked="0"/>
    </xf>
    <xf numFmtId="169" fontId="74" fillId="27" borderId="88" xfId="34" applyNumberFormat="1" applyFont="1" applyFill="1" applyBorder="1" applyAlignment="1" applyProtection="1">
      <alignment horizontal="center" wrapText="1"/>
      <protection locked="0"/>
    </xf>
    <xf numFmtId="0" fontId="74" fillId="27" borderId="10" xfId="73" applyFont="1" applyFill="1" applyBorder="1" applyAlignment="1" applyProtection="1">
      <alignment horizontal="center" wrapText="1"/>
      <protection locked="0"/>
    </xf>
    <xf numFmtId="0" fontId="63" fillId="0" borderId="0" xfId="73" applyFont="1" applyProtection="1">
      <protection locked="0"/>
    </xf>
    <xf numFmtId="169" fontId="63" fillId="0" borderId="44" xfId="182" applyNumberFormat="1" applyFont="1" applyBorder="1"/>
    <xf numFmtId="170" fontId="63" fillId="0" borderId="35" xfId="43" applyNumberFormat="1" applyFont="1" applyBorder="1" applyProtection="1">
      <protection locked="0"/>
    </xf>
    <xf numFmtId="169" fontId="63" fillId="0" borderId="15" xfId="34" applyNumberFormat="1" applyFont="1" applyBorder="1" applyProtection="1">
      <protection locked="0"/>
    </xf>
    <xf numFmtId="169" fontId="63" fillId="0" borderId="13" xfId="34" applyNumberFormat="1" applyFont="1" applyBorder="1" applyProtection="1">
      <protection locked="0"/>
    </xf>
    <xf numFmtId="170" fontId="63" fillId="0" borderId="45" xfId="214" applyNumberFormat="1" applyFont="1" applyBorder="1"/>
    <xf numFmtId="37" fontId="67" fillId="30" borderId="11" xfId="100" applyNumberFormat="1" applyFont="1" applyFill="1" applyBorder="1" applyProtection="1">
      <protection locked="0"/>
    </xf>
    <xf numFmtId="37" fontId="67" fillId="30" borderId="12" xfId="100" applyNumberFormat="1" applyFont="1" applyFill="1" applyBorder="1" applyProtection="1">
      <protection locked="0"/>
    </xf>
    <xf numFmtId="37" fontId="67" fillId="24" borderId="18" xfId="100" applyNumberFormat="1" applyFont="1" applyFill="1" applyBorder="1" applyProtection="1">
      <protection locked="0"/>
    </xf>
    <xf numFmtId="37" fontId="67" fillId="30" borderId="18" xfId="100" applyNumberFormat="1" applyFont="1" applyFill="1" applyBorder="1" applyProtection="1">
      <protection locked="0"/>
    </xf>
    <xf numFmtId="0" fontId="63" fillId="0" borderId="0" xfId="0" applyFont="1" applyAlignment="1">
      <alignment wrapText="1"/>
    </xf>
    <xf numFmtId="0" fontId="67" fillId="0" borderId="13" xfId="100" applyFont="1" applyBorder="1" applyAlignment="1">
      <alignment horizontal="left"/>
    </xf>
    <xf numFmtId="169" fontId="63" fillId="0" borderId="35" xfId="182" applyNumberFormat="1" applyFont="1" applyFill="1" applyBorder="1"/>
    <xf numFmtId="169" fontId="63" fillId="0" borderId="38" xfId="34" applyNumberFormat="1" applyFont="1" applyFill="1" applyBorder="1" applyProtection="1">
      <protection locked="0"/>
    </xf>
    <xf numFmtId="164" fontId="63" fillId="0" borderId="42" xfId="73" applyNumberFormat="1" applyFont="1" applyBorder="1"/>
    <xf numFmtId="0" fontId="63" fillId="0" borderId="43" xfId="73" applyFont="1" applyBorder="1"/>
    <xf numFmtId="164" fontId="63" fillId="0" borderId="0" xfId="73" applyNumberFormat="1" applyFont="1"/>
    <xf numFmtId="169" fontId="63" fillId="0" borderId="0" xfId="182" applyNumberFormat="1" applyFont="1" applyFill="1" applyBorder="1"/>
    <xf numFmtId="169" fontId="63" fillId="0" borderId="0" xfId="34" applyNumberFormat="1" applyFont="1" applyFill="1" applyBorder="1" applyProtection="1">
      <protection locked="0"/>
    </xf>
    <xf numFmtId="164" fontId="63" fillId="0" borderId="8" xfId="73" applyNumberFormat="1" applyFont="1" applyBorder="1"/>
    <xf numFmtId="169" fontId="63" fillId="0" borderId="8" xfId="34" applyNumberFormat="1" applyFont="1" applyBorder="1" applyProtection="1">
      <protection locked="0"/>
    </xf>
    <xf numFmtId="170" fontId="63" fillId="0" borderId="36" xfId="214" applyNumberFormat="1" applyFont="1" applyFill="1" applyBorder="1"/>
    <xf numFmtId="169" fontId="63" fillId="0" borderId="8" xfId="34" applyNumberFormat="1" applyFont="1" applyFill="1" applyBorder="1" applyProtection="1">
      <protection locked="0"/>
    </xf>
    <xf numFmtId="164" fontId="62" fillId="0" borderId="0" xfId="73" applyNumberFormat="1" applyFont="1"/>
    <xf numFmtId="169" fontId="62" fillId="0" borderId="8" xfId="182" applyNumberFormat="1" applyFont="1" applyFill="1" applyBorder="1"/>
    <xf numFmtId="0" fontId="63" fillId="0" borderId="0" xfId="110" applyFont="1" applyAlignment="1">
      <alignment horizontal="right"/>
    </xf>
    <xf numFmtId="0" fontId="63" fillId="0" borderId="8" xfId="73" applyFont="1" applyBorder="1" applyAlignment="1">
      <alignment horizontal="right"/>
    </xf>
    <xf numFmtId="0" fontId="35" fillId="0" borderId="8" xfId="0" applyFont="1" applyBorder="1"/>
    <xf numFmtId="49" fontId="35" fillId="0" borderId="8" xfId="0" applyNumberFormat="1" applyFont="1" applyBorder="1"/>
    <xf numFmtId="49" fontId="9" fillId="0" borderId="8" xfId="98" applyNumberFormat="1" applyFont="1" applyBorder="1"/>
    <xf numFmtId="0" fontId="87" fillId="0" borderId="8" xfId="0" applyFont="1" applyBorder="1" applyAlignment="1">
      <alignment vertical="center"/>
    </xf>
    <xf numFmtId="0" fontId="74" fillId="27" borderId="8" xfId="73" applyFont="1" applyFill="1" applyBorder="1" applyAlignment="1" applyProtection="1">
      <alignment horizontal="center" wrapText="1"/>
      <protection locked="0"/>
    </xf>
    <xf numFmtId="0" fontId="74" fillId="27" borderId="8" xfId="73" applyFont="1" applyFill="1" applyBorder="1" applyAlignment="1">
      <alignment horizontal="center" wrapText="1"/>
    </xf>
    <xf numFmtId="0" fontId="65" fillId="27" borderId="8" xfId="73" applyFont="1" applyFill="1" applyBorder="1" applyAlignment="1" applyProtection="1">
      <alignment horizontal="center" wrapText="1"/>
      <protection locked="0"/>
    </xf>
    <xf numFmtId="169" fontId="63" fillId="0" borderId="8" xfId="182" applyNumberFormat="1" applyFont="1" applyBorder="1"/>
    <xf numFmtId="0" fontId="63" fillId="0" borderId="0" xfId="73" applyFont="1" applyAlignment="1">
      <alignment horizontal="right"/>
    </xf>
    <xf numFmtId="49" fontId="9" fillId="0" borderId="8" xfId="98" applyNumberFormat="1" applyFont="1" applyBorder="1" applyAlignment="1">
      <alignment horizontal="right"/>
    </xf>
    <xf numFmtId="43" fontId="63" fillId="0" borderId="0" xfId="73" applyNumberFormat="1" applyFont="1"/>
    <xf numFmtId="169" fontId="63" fillId="0" borderId="15" xfId="34" applyNumberFormat="1" applyFont="1" applyFill="1" applyBorder="1" applyProtection="1">
      <protection locked="0"/>
    </xf>
    <xf numFmtId="0" fontId="63" fillId="0" borderId="0" xfId="0" applyFont="1" applyProtection="1">
      <protection locked="0"/>
    </xf>
    <xf numFmtId="0" fontId="63" fillId="0" borderId="0" xfId="73" applyFont="1" applyAlignment="1" applyProtection="1">
      <alignment wrapText="1"/>
      <protection locked="0"/>
    </xf>
    <xf numFmtId="10" fontId="88" fillId="0" borderId="0" xfId="113" applyNumberFormat="1" applyFont="1" applyFill="1" applyBorder="1"/>
    <xf numFmtId="170" fontId="63" fillId="63" borderId="43" xfId="43" applyNumberFormat="1" applyFont="1" applyFill="1" applyBorder="1"/>
    <xf numFmtId="170" fontId="63" fillId="26" borderId="8" xfId="43" applyNumberFormat="1" applyFont="1" applyFill="1" applyBorder="1" applyProtection="1">
      <protection locked="0"/>
    </xf>
    <xf numFmtId="170" fontId="63" fillId="0" borderId="40" xfId="43" applyNumberFormat="1" applyFont="1" applyBorder="1" applyProtection="1">
      <protection locked="0"/>
    </xf>
    <xf numFmtId="170" fontId="63" fillId="0" borderId="63" xfId="43" applyNumberFormat="1" applyFont="1" applyBorder="1" applyProtection="1">
      <protection locked="0"/>
    </xf>
    <xf numFmtId="170" fontId="63" fillId="0" borderId="8" xfId="43" applyNumberFormat="1" applyFont="1" applyBorder="1" applyProtection="1">
      <protection locked="0"/>
    </xf>
    <xf numFmtId="170" fontId="63" fillId="29" borderId="8" xfId="43" applyNumberFormat="1" applyFont="1" applyFill="1" applyBorder="1" applyProtection="1">
      <protection locked="0"/>
    </xf>
    <xf numFmtId="170" fontId="63" fillId="0" borderId="15" xfId="43" applyNumberFormat="1" applyFont="1" applyBorder="1" applyProtection="1">
      <protection locked="0"/>
    </xf>
    <xf numFmtId="170" fontId="63" fillId="0" borderId="65" xfId="43" applyNumberFormat="1" applyFont="1" applyBorder="1" applyProtection="1">
      <protection locked="0"/>
    </xf>
    <xf numFmtId="170" fontId="62" fillId="0" borderId="8" xfId="43" applyNumberFormat="1" applyFont="1" applyFill="1" applyBorder="1" applyAlignment="1">
      <alignment horizontal="right"/>
    </xf>
    <xf numFmtId="170" fontId="62" fillId="0" borderId="8" xfId="43" applyNumberFormat="1" applyFont="1" applyFill="1" applyBorder="1"/>
    <xf numFmtId="10" fontId="62" fillId="0" borderId="0" xfId="113" applyNumberFormat="1" applyFont="1" applyFill="1"/>
    <xf numFmtId="0" fontId="65" fillId="27" borderId="8" xfId="73" applyFont="1" applyFill="1" applyBorder="1" applyAlignment="1">
      <alignment horizontal="center" wrapText="1"/>
    </xf>
    <xf numFmtId="170" fontId="62" fillId="0" borderId="8" xfId="214" applyNumberFormat="1" applyFont="1" applyBorder="1"/>
    <xf numFmtId="169" fontId="63" fillId="63" borderId="8" xfId="182" applyNumberFormat="1" applyFont="1" applyFill="1" applyBorder="1"/>
    <xf numFmtId="184" fontId="63" fillId="0" borderId="0" xfId="34" applyNumberFormat="1" applyFont="1" applyFill="1" applyBorder="1" applyProtection="1">
      <protection locked="0"/>
    </xf>
    <xf numFmtId="164" fontId="63" fillId="0" borderId="0" xfId="110" applyNumberFormat="1" applyFont="1" applyAlignment="1">
      <alignment shrinkToFit="1"/>
    </xf>
    <xf numFmtId="167" fontId="63" fillId="0" borderId="89" xfId="113" applyNumberFormat="1" applyFont="1" applyFill="1" applyBorder="1" applyProtection="1"/>
    <xf numFmtId="167" fontId="63" fillId="0" borderId="22" xfId="113" applyNumberFormat="1" applyFont="1" applyFill="1" applyBorder="1" applyProtection="1"/>
    <xf numFmtId="37" fontId="65" fillId="0" borderId="77" xfId="110" applyNumberFormat="1" applyFont="1" applyBorder="1" applyAlignment="1">
      <alignment horizontal="center"/>
    </xf>
    <xf numFmtId="37" fontId="65" fillId="0" borderId="78" xfId="110" applyNumberFormat="1" applyFont="1" applyBorder="1" applyAlignment="1">
      <alignment horizontal="center"/>
    </xf>
    <xf numFmtId="37" fontId="65" fillId="0" borderId="32" xfId="110" quotePrefix="1" applyNumberFormat="1" applyFont="1" applyBorder="1" applyAlignment="1">
      <alignment horizontal="center" wrapText="1"/>
    </xf>
    <xf numFmtId="164" fontId="63" fillId="0" borderId="29" xfId="110" applyNumberFormat="1" applyFont="1" applyBorder="1" applyAlignment="1">
      <alignment shrinkToFit="1"/>
    </xf>
    <xf numFmtId="0" fontId="63" fillId="0" borderId="0" xfId="110" quotePrefix="1" applyFont="1" applyAlignment="1">
      <alignment horizontal="left"/>
    </xf>
    <xf numFmtId="10" fontId="63" fillId="29" borderId="0" xfId="113" applyNumberFormat="1" applyFont="1" applyFill="1"/>
    <xf numFmtId="10" fontId="63" fillId="29" borderId="0" xfId="110" applyNumberFormat="1" applyFont="1" applyFill="1"/>
    <xf numFmtId="42" fontId="63" fillId="0" borderId="0" xfId="28" applyNumberFormat="1" applyFont="1" applyFill="1" applyBorder="1" applyAlignment="1" applyProtection="1">
      <alignment horizontal="center" wrapText="1"/>
    </xf>
    <xf numFmtId="42" fontId="63" fillId="29" borderId="0" xfId="28" applyNumberFormat="1" applyFont="1" applyFill="1" applyBorder="1" applyProtection="1"/>
    <xf numFmtId="167" fontId="63" fillId="0" borderId="0" xfId="113" applyNumberFormat="1" applyFont="1"/>
    <xf numFmtId="42" fontId="62" fillId="0" borderId="8" xfId="110" applyNumberFormat="1" applyFont="1" applyBorder="1"/>
    <xf numFmtId="167" fontId="62" fillId="0" borderId="13" xfId="113" applyNumberFormat="1" applyFont="1" applyFill="1" applyBorder="1" applyProtection="1"/>
    <xf numFmtId="0" fontId="89" fillId="0" borderId="0" xfId="110" applyFont="1"/>
    <xf numFmtId="170" fontId="63" fillId="0" borderId="0" xfId="43" quotePrefix="1" applyNumberFormat="1" applyFont="1" applyAlignment="1">
      <alignment horizontal="right" wrapText="1"/>
    </xf>
    <xf numFmtId="170" fontId="63" fillId="0" borderId="0" xfId="43" applyNumberFormat="1" applyFont="1" applyAlignment="1">
      <alignment horizontal="right"/>
    </xf>
    <xf numFmtId="0" fontId="90" fillId="27" borderId="28" xfId="77" applyFont="1" applyFill="1" applyBorder="1" applyAlignment="1">
      <alignment horizontal="center" wrapText="1"/>
    </xf>
    <xf numFmtId="169" fontId="63" fillId="0" borderId="41" xfId="28" applyNumberFormat="1" applyFont="1" applyFill="1" applyBorder="1"/>
    <xf numFmtId="169" fontId="63" fillId="0" borderId="15" xfId="28" applyNumberFormat="1" applyFont="1" applyFill="1" applyBorder="1"/>
    <xf numFmtId="0" fontId="9" fillId="0" borderId="8" xfId="110" applyFont="1" applyBorder="1" applyAlignment="1">
      <alignment horizontal="center"/>
    </xf>
    <xf numFmtId="165" fontId="65" fillId="27" borderId="8" xfId="0" applyNumberFormat="1" applyFont="1" applyFill="1" applyBorder="1" applyAlignment="1">
      <alignment horizontal="center" wrapText="1"/>
    </xf>
    <xf numFmtId="170" fontId="63" fillId="0" borderId="8" xfId="43" applyNumberFormat="1" applyFont="1" applyFill="1" applyBorder="1" applyAlignment="1"/>
    <xf numFmtId="168" fontId="63" fillId="0" borderId="0" xfId="113" applyNumberFormat="1" applyFont="1" applyFill="1" applyBorder="1"/>
    <xf numFmtId="168" fontId="62" fillId="0" borderId="0" xfId="113" applyNumberFormat="1" applyFont="1" applyFill="1" applyBorder="1"/>
    <xf numFmtId="168" fontId="63" fillId="0" borderId="0" xfId="113" applyNumberFormat="1" applyFont="1" applyFill="1" applyBorder="1" applyAlignment="1">
      <alignment horizontal="right"/>
    </xf>
    <xf numFmtId="169" fontId="85" fillId="0" borderId="8" xfId="28" applyNumberFormat="1" applyFont="1" applyFill="1" applyBorder="1"/>
    <xf numFmtId="0" fontId="63" fillId="0" borderId="58" xfId="73" applyFont="1" applyBorder="1"/>
    <xf numFmtId="37" fontId="63" fillId="29" borderId="8" xfId="110" applyNumberFormat="1" applyFont="1" applyFill="1" applyBorder="1"/>
    <xf numFmtId="176" fontId="67" fillId="0" borderId="19" xfId="100" applyNumberFormat="1" applyFont="1" applyBorder="1"/>
    <xf numFmtId="169" fontId="62" fillId="0" borderId="26" xfId="32" applyNumberFormat="1" applyFont="1" applyBorder="1" applyProtection="1"/>
    <xf numFmtId="169" fontId="62" fillId="0" borderId="26" xfId="31" applyNumberFormat="1" applyFont="1" applyBorder="1"/>
    <xf numFmtId="169" fontId="63" fillId="24" borderId="12" xfId="32" applyNumberFormat="1" applyFont="1" applyFill="1" applyBorder="1"/>
    <xf numFmtId="169" fontId="63" fillId="0" borderId="17" xfId="31" applyNumberFormat="1" applyFont="1" applyBorder="1"/>
    <xf numFmtId="0" fontId="35" fillId="0" borderId="8" xfId="0" quotePrefix="1" applyFont="1" applyBorder="1"/>
    <xf numFmtId="0" fontId="67" fillId="0" borderId="0" xfId="100" applyFont="1" applyAlignment="1">
      <alignment horizontal="right" vertical="top"/>
    </xf>
    <xf numFmtId="170" fontId="67" fillId="0" borderId="0" xfId="100" applyNumberFormat="1" applyFont="1" applyAlignment="1">
      <alignment vertical="top"/>
    </xf>
    <xf numFmtId="5" fontId="67" fillId="0" borderId="0" xfId="100" applyNumberFormat="1" applyFont="1" applyAlignment="1">
      <alignment vertical="top"/>
    </xf>
    <xf numFmtId="10" fontId="68" fillId="0" borderId="0" xfId="100" applyNumberFormat="1" applyFont="1" applyAlignment="1">
      <alignment vertical="top"/>
    </xf>
    <xf numFmtId="169" fontId="67" fillId="0" borderId="0" xfId="28" applyNumberFormat="1" applyFont="1" applyFill="1" applyBorder="1" applyAlignment="1" applyProtection="1">
      <alignment vertical="top"/>
    </xf>
    <xf numFmtId="37" fontId="67" fillId="0" borderId="0" xfId="100" applyNumberFormat="1" applyFont="1" applyAlignment="1">
      <alignment vertical="top"/>
    </xf>
    <xf numFmtId="173" fontId="63" fillId="0" borderId="0" xfId="100" applyNumberFormat="1" applyFont="1"/>
    <xf numFmtId="37" fontId="62" fillId="0" borderId="18" xfId="110" applyNumberFormat="1" applyFont="1" applyBorder="1"/>
    <xf numFmtId="169" fontId="63" fillId="0" borderId="16" xfId="34" applyNumberFormat="1" applyFont="1" applyBorder="1"/>
    <xf numFmtId="169" fontId="63" fillId="0" borderId="19" xfId="34" applyNumberFormat="1" applyFont="1" applyBorder="1"/>
    <xf numFmtId="178" fontId="63" fillId="0" borderId="0" xfId="100" applyNumberFormat="1" applyFont="1"/>
    <xf numFmtId="164" fontId="63" fillId="0" borderId="0" xfId="73" quotePrefix="1" applyNumberFormat="1" applyFont="1"/>
    <xf numFmtId="170" fontId="62" fillId="0" borderId="0" xfId="43" applyNumberFormat="1" applyFont="1" applyFill="1" applyBorder="1"/>
    <xf numFmtId="164" fontId="62" fillId="0" borderId="0" xfId="73" quotePrefix="1" applyNumberFormat="1" applyFont="1" applyAlignment="1">
      <alignment horizontal="center"/>
    </xf>
    <xf numFmtId="0" fontId="62" fillId="0" borderId="0" xfId="73" applyFont="1" applyAlignment="1">
      <alignment horizontal="center"/>
    </xf>
    <xf numFmtId="170" fontId="62" fillId="0" borderId="0" xfId="43" applyNumberFormat="1" applyFont="1" applyFill="1" applyBorder="1" applyAlignment="1">
      <alignment horizontal="center"/>
    </xf>
    <xf numFmtId="10" fontId="63" fillId="0" borderId="0" xfId="113" quotePrefix="1" applyNumberFormat="1" applyFont="1" applyBorder="1"/>
    <xf numFmtId="10" fontId="63" fillId="0" borderId="0" xfId="113" applyNumberFormat="1" applyFont="1" applyBorder="1" applyAlignment="1">
      <alignment horizontal="right"/>
    </xf>
    <xf numFmtId="10" fontId="62" fillId="0" borderId="0" xfId="113" applyNumberFormat="1" applyFont="1" applyFill="1" applyBorder="1"/>
    <xf numFmtId="10" fontId="63" fillId="0" borderId="0" xfId="113" applyNumberFormat="1" applyFont="1"/>
    <xf numFmtId="0" fontId="62" fillId="64" borderId="0" xfId="73" applyFont="1" applyFill="1" applyAlignment="1">
      <alignment horizontal="left" indent="1"/>
    </xf>
    <xf numFmtId="170" fontId="62" fillId="64" borderId="0" xfId="43" applyNumberFormat="1" applyFont="1" applyFill="1" applyBorder="1" applyAlignment="1">
      <alignment horizontal="right"/>
    </xf>
    <xf numFmtId="10" fontId="62" fillId="64" borderId="0" xfId="113" applyNumberFormat="1" applyFont="1" applyFill="1" applyAlignment="1">
      <alignment horizontal="center"/>
    </xf>
    <xf numFmtId="0" fontId="62" fillId="0" borderId="0" xfId="73" applyFont="1" applyAlignment="1">
      <alignment horizontal="center" wrapText="1"/>
    </xf>
    <xf numFmtId="0" fontId="62" fillId="0" borderId="0" xfId="110" applyFont="1" applyAlignment="1">
      <alignment horizontal="center" wrapText="1"/>
    </xf>
    <xf numFmtId="167" fontId="62" fillId="0" borderId="0" xfId="113" applyNumberFormat="1" applyFont="1" applyFill="1" applyBorder="1"/>
    <xf numFmtId="166" fontId="62" fillId="0" borderId="0" xfId="0" applyNumberFormat="1" applyFont="1"/>
    <xf numFmtId="169" fontId="63" fillId="0" borderId="0" xfId="0" applyNumberFormat="1" applyFont="1"/>
    <xf numFmtId="1" fontId="63" fillId="0" borderId="57" xfId="0" applyNumberFormat="1" applyFont="1" applyBorder="1"/>
    <xf numFmtId="164" fontId="63" fillId="0" borderId="107" xfId="110" applyNumberFormat="1" applyFont="1" applyBorder="1" applyAlignment="1">
      <alignment shrinkToFit="1"/>
    </xf>
    <xf numFmtId="0" fontId="67" fillId="0" borderId="107" xfId="76" applyFont="1" applyBorder="1" applyAlignment="1">
      <alignment wrapText="1"/>
    </xf>
    <xf numFmtId="169" fontId="63" fillId="24" borderId="107" xfId="32" applyNumberFormat="1" applyFont="1" applyFill="1" applyBorder="1"/>
    <xf numFmtId="169" fontId="63" fillId="0" borderId="106" xfId="31" applyNumberFormat="1" applyFont="1" applyBorder="1"/>
    <xf numFmtId="164" fontId="63" fillId="0" borderId="26" xfId="110" applyNumberFormat="1" applyFont="1" applyBorder="1" applyAlignment="1">
      <alignment shrinkToFit="1"/>
    </xf>
    <xf numFmtId="170" fontId="63" fillId="29" borderId="0" xfId="28" applyNumberFormat="1" applyFont="1" applyFill="1" applyBorder="1" applyProtection="1"/>
    <xf numFmtId="3" fontId="63" fillId="0" borderId="0" xfId="73" applyNumberFormat="1" applyFont="1"/>
    <xf numFmtId="44" fontId="63" fillId="0" borderId="0" xfId="73" applyNumberFormat="1" applyFont="1"/>
    <xf numFmtId="167" fontId="62" fillId="0" borderId="0" xfId="214" applyNumberFormat="1" applyFont="1"/>
    <xf numFmtId="10" fontId="62" fillId="0" borderId="0" xfId="113" applyNumberFormat="1" applyFont="1" applyFill="1" applyBorder="1" applyAlignment="1">
      <alignment horizontal="center"/>
    </xf>
    <xf numFmtId="9" fontId="62" fillId="64" borderId="0" xfId="113" applyFont="1" applyFill="1" applyAlignment="1">
      <alignment horizontal="center"/>
    </xf>
    <xf numFmtId="37" fontId="63" fillId="0" borderId="8" xfId="43" applyNumberFormat="1" applyFont="1" applyFill="1" applyBorder="1" applyProtection="1">
      <protection locked="0"/>
    </xf>
    <xf numFmtId="37" fontId="63" fillId="0" borderId="8" xfId="43" applyNumberFormat="1" applyFont="1" applyBorder="1" applyProtection="1">
      <protection locked="0"/>
    </xf>
    <xf numFmtId="37" fontId="62" fillId="0" borderId="8" xfId="43" applyNumberFormat="1" applyFont="1" applyFill="1" applyBorder="1"/>
    <xf numFmtId="37" fontId="62" fillId="0" borderId="0" xfId="43" applyNumberFormat="1" applyFont="1" applyFill="1" applyBorder="1"/>
    <xf numFmtId="37" fontId="62" fillId="0" borderId="8" xfId="43" applyNumberFormat="1" applyFont="1" applyFill="1" applyBorder="1" applyProtection="1">
      <protection locked="0"/>
    </xf>
    <xf numFmtId="0" fontId="63" fillId="0" borderId="0" xfId="73" applyFont="1" applyAlignment="1" applyProtection="1">
      <alignment horizontal="center" wrapText="1"/>
      <protection locked="0"/>
    </xf>
    <xf numFmtId="3" fontId="0" fillId="0" borderId="8" xfId="0" applyNumberFormat="1" applyBorder="1"/>
    <xf numFmtId="0" fontId="74" fillId="27" borderId="26" xfId="73" applyFont="1" applyFill="1" applyBorder="1" applyAlignment="1">
      <alignment horizontal="center" wrapText="1"/>
    </xf>
    <xf numFmtId="0" fontId="65" fillId="27" borderId="26" xfId="73" applyFont="1" applyFill="1" applyBorder="1" applyAlignment="1" applyProtection="1">
      <alignment horizontal="center" wrapText="1"/>
      <protection locked="0"/>
    </xf>
    <xf numFmtId="0" fontId="74" fillId="27" borderId="26" xfId="73" applyFont="1" applyFill="1" applyBorder="1" applyAlignment="1" applyProtection="1">
      <alignment horizontal="center" wrapText="1"/>
      <protection locked="0"/>
    </xf>
    <xf numFmtId="0" fontId="74" fillId="65" borderId="0" xfId="73" applyFont="1" applyFill="1" applyAlignment="1">
      <alignment horizontal="center" wrapText="1"/>
    </xf>
    <xf numFmtId="170" fontId="63" fillId="0" borderId="8" xfId="73" applyNumberFormat="1" applyFont="1" applyBorder="1"/>
    <xf numFmtId="170" fontId="62" fillId="0" borderId="8" xfId="73" applyNumberFormat="1" applyFont="1" applyBorder="1"/>
    <xf numFmtId="0" fontId="74" fillId="0" borderId="0" xfId="73" applyFont="1" applyAlignment="1">
      <alignment horizontal="center" wrapText="1"/>
    </xf>
    <xf numFmtId="169" fontId="73" fillId="0" borderId="0" xfId="28" applyNumberFormat="1" applyFont="1" applyFill="1" applyBorder="1" applyAlignment="1"/>
    <xf numFmtId="37" fontId="63" fillId="0" borderId="0" xfId="43" quotePrefix="1" applyNumberFormat="1" applyFont="1" applyAlignment="1">
      <alignment horizontal="right" wrapText="1"/>
    </xf>
    <xf numFmtId="37" fontId="62" fillId="0" borderId="0" xfId="43" applyNumberFormat="1" applyFont="1"/>
    <xf numFmtId="42" fontId="63" fillId="63" borderId="8" xfId="110" applyNumberFormat="1" applyFont="1" applyFill="1" applyBorder="1"/>
    <xf numFmtId="169" fontId="62" fillId="0" borderId="0" xfId="28" applyNumberFormat="1" applyFont="1" applyFill="1" applyBorder="1"/>
    <xf numFmtId="5" fontId="63" fillId="0" borderId="8" xfId="110" applyNumberFormat="1" applyFont="1" applyBorder="1"/>
    <xf numFmtId="5" fontId="63" fillId="0" borderId="61" xfId="110" applyNumberFormat="1" applyFont="1" applyBorder="1"/>
    <xf numFmtId="5" fontId="63" fillId="0" borderId="26" xfId="110" applyNumberFormat="1" applyFont="1" applyBorder="1"/>
    <xf numFmtId="5" fontId="63" fillId="0" borderId="0" xfId="28" applyNumberFormat="1" applyFont="1" applyFill="1" applyBorder="1" applyProtection="1"/>
    <xf numFmtId="42" fontId="78" fillId="0" borderId="0" xfId="110" applyNumberFormat="1" applyFont="1"/>
    <xf numFmtId="3" fontId="63" fillId="0" borderId="8" xfId="110" applyNumberFormat="1" applyFont="1" applyBorder="1"/>
    <xf numFmtId="3" fontId="78" fillId="0" borderId="0" xfId="110" applyNumberFormat="1" applyFont="1"/>
    <xf numFmtId="3" fontId="63" fillId="0" borderId="57" xfId="110" applyNumberFormat="1" applyFont="1" applyBorder="1"/>
    <xf numFmtId="170" fontId="63" fillId="0" borderId="26" xfId="43" applyNumberFormat="1" applyFont="1" applyBorder="1"/>
    <xf numFmtId="170" fontId="63" fillId="0" borderId="9" xfId="43" applyNumberFormat="1" applyFont="1" applyBorder="1"/>
    <xf numFmtId="170" fontId="63" fillId="25" borderId="9" xfId="43" applyNumberFormat="1" applyFont="1" applyFill="1" applyBorder="1"/>
    <xf numFmtId="41" fontId="63" fillId="25" borderId="8" xfId="43" applyNumberFormat="1" applyFont="1" applyFill="1" applyBorder="1"/>
    <xf numFmtId="41" fontId="63" fillId="25" borderId="19" xfId="43" applyNumberFormat="1" applyFont="1" applyFill="1" applyBorder="1"/>
    <xf numFmtId="0" fontId="111" fillId="0" borderId="0" xfId="0" applyFont="1"/>
    <xf numFmtId="169" fontId="62" fillId="0" borderId="13" xfId="31" applyNumberFormat="1" applyFont="1" applyBorder="1"/>
    <xf numFmtId="169" fontId="62" fillId="0" borderId="8" xfId="31" applyNumberFormat="1" applyFont="1" applyBorder="1"/>
    <xf numFmtId="0" fontId="74" fillId="0" borderId="0" xfId="73" applyFont="1"/>
    <xf numFmtId="12" fontId="63" fillId="0" borderId="8" xfId="73" applyNumberFormat="1" applyFont="1" applyBorder="1"/>
    <xf numFmtId="12" fontId="62" fillId="0" borderId="8" xfId="73" applyNumberFormat="1" applyFont="1" applyBorder="1"/>
    <xf numFmtId="0" fontId="62" fillId="66" borderId="0" xfId="73" applyFont="1" applyFill="1" applyAlignment="1">
      <alignment horizontal="left" wrapText="1" indent="1"/>
    </xf>
    <xf numFmtId="170" fontId="62" fillId="66" borderId="0" xfId="43" applyNumberFormat="1" applyFont="1" applyFill="1" applyBorder="1" applyAlignment="1">
      <alignment horizontal="right"/>
    </xf>
    <xf numFmtId="0" fontId="62" fillId="66" borderId="0" xfId="73" applyFont="1" applyFill="1" applyAlignment="1">
      <alignment horizontal="left" indent="1"/>
    </xf>
    <xf numFmtId="164" fontId="63" fillId="0" borderId="33" xfId="110" applyNumberFormat="1" applyFont="1" applyBorder="1" applyAlignment="1">
      <alignment shrinkToFit="1"/>
    </xf>
    <xf numFmtId="0" fontId="63" fillId="0" borderId="26" xfId="110" applyFont="1" applyBorder="1"/>
    <xf numFmtId="42" fontId="63" fillId="0" borderId="26" xfId="110" applyNumberFormat="1" applyFont="1" applyBorder="1"/>
    <xf numFmtId="167" fontId="63" fillId="0" borderId="23" xfId="113" applyNumberFormat="1" applyFont="1" applyFill="1" applyBorder="1" applyProtection="1"/>
    <xf numFmtId="37" fontId="65" fillId="27" borderId="111" xfId="110" applyNumberFormat="1" applyFont="1" applyFill="1" applyBorder="1" applyAlignment="1">
      <alignment horizontal="center" wrapText="1"/>
    </xf>
    <xf numFmtId="37" fontId="65" fillId="27" borderId="112" xfId="110" applyNumberFormat="1" applyFont="1" applyFill="1" applyBorder="1" applyAlignment="1">
      <alignment horizontal="center"/>
    </xf>
    <xf numFmtId="167" fontId="63" fillId="0" borderId="26" xfId="113" applyNumberFormat="1" applyFont="1" applyFill="1" applyBorder="1" applyProtection="1"/>
    <xf numFmtId="37" fontId="65" fillId="27" borderId="108" xfId="110" applyNumberFormat="1" applyFont="1" applyFill="1" applyBorder="1" applyAlignment="1">
      <alignment horizontal="center"/>
    </xf>
    <xf numFmtId="0" fontId="0" fillId="0" borderId="109" xfId="0" applyBorder="1" applyAlignment="1">
      <alignment horizontal="center"/>
    </xf>
    <xf numFmtId="0" fontId="0" fillId="0" borderId="110" xfId="0" applyBorder="1" applyAlignment="1">
      <alignment horizontal="center"/>
    </xf>
    <xf numFmtId="164" fontId="62" fillId="0" borderId="44" xfId="110" applyNumberFormat="1" applyFont="1" applyBorder="1" applyAlignment="1">
      <alignment horizontal="right" wrapText="1" shrinkToFit="1"/>
    </xf>
    <xf numFmtId="164" fontId="62" fillId="0" borderId="15" xfId="110" applyNumberFormat="1" applyFont="1" applyBorder="1" applyAlignment="1">
      <alignment horizontal="right" wrapText="1" shrinkToFit="1"/>
    </xf>
    <xf numFmtId="164" fontId="63" fillId="0" borderId="44" xfId="110" applyNumberFormat="1" applyFont="1" applyBorder="1" applyAlignment="1">
      <alignment horizontal="left" wrapText="1" shrinkToFit="1"/>
    </xf>
    <xf numFmtId="164" fontId="63" fillId="0" borderId="15" xfId="110" applyNumberFormat="1" applyFont="1" applyBorder="1" applyAlignment="1">
      <alignment horizontal="left" wrapText="1" shrinkToFit="1"/>
    </xf>
    <xf numFmtId="0" fontId="0" fillId="0" borderId="15" xfId="0" applyBorder="1" applyAlignment="1">
      <alignment wrapText="1" shrinkToFit="1"/>
    </xf>
    <xf numFmtId="0" fontId="74" fillId="27" borderId="79" xfId="110" applyFont="1" applyFill="1" applyBorder="1" applyAlignment="1">
      <alignment horizontal="center"/>
    </xf>
    <xf numFmtId="0" fontId="74" fillId="27" borderId="74" xfId="110" applyFont="1" applyFill="1" applyBorder="1" applyAlignment="1">
      <alignment horizontal="center"/>
    </xf>
    <xf numFmtId="0" fontId="62" fillId="0" borderId="63" xfId="110" applyFont="1" applyBorder="1" applyAlignment="1">
      <alignment horizontal="left" wrapText="1"/>
    </xf>
    <xf numFmtId="164" fontId="63" fillId="0" borderId="44" xfId="110" applyNumberFormat="1" applyFont="1" applyBorder="1" applyAlignment="1">
      <alignment horizontal="left" vertical="center" wrapText="1" shrinkToFit="1"/>
    </xf>
    <xf numFmtId="164" fontId="63" fillId="0" borderId="15" xfId="110" applyNumberFormat="1" applyFont="1" applyBorder="1" applyAlignment="1">
      <alignment horizontal="left" vertical="center" wrapText="1" shrinkToFit="1"/>
    </xf>
    <xf numFmtId="37" fontId="65" fillId="27" borderId="80" xfId="110" applyNumberFormat="1" applyFont="1" applyFill="1" applyBorder="1" applyAlignment="1">
      <alignment horizontal="center"/>
    </xf>
    <xf numFmtId="37" fontId="65" fillId="27" borderId="81" xfId="110" applyNumberFormat="1" applyFont="1" applyFill="1" applyBorder="1" applyAlignment="1">
      <alignment horizontal="center"/>
    </xf>
    <xf numFmtId="37" fontId="65" fillId="27" borderId="82" xfId="110" applyNumberFormat="1" applyFont="1" applyFill="1" applyBorder="1" applyAlignment="1">
      <alignment horizontal="center"/>
    </xf>
    <xf numFmtId="37" fontId="65" fillId="27" borderId="77" xfId="110" applyNumberFormat="1" applyFont="1" applyFill="1" applyBorder="1" applyAlignment="1">
      <alignment horizontal="center"/>
    </xf>
    <xf numFmtId="37" fontId="65" fillId="27" borderId="78" xfId="110" applyNumberFormat="1" applyFont="1" applyFill="1" applyBorder="1" applyAlignment="1">
      <alignment horizontal="center"/>
    </xf>
    <xf numFmtId="0" fontId="63" fillId="0" borderId="0" xfId="110" applyFont="1" applyAlignment="1">
      <alignment wrapText="1"/>
    </xf>
    <xf numFmtId="0" fontId="113" fillId="0" borderId="0" xfId="0" applyFont="1" applyAlignment="1">
      <alignment wrapText="1"/>
    </xf>
    <xf numFmtId="37" fontId="65" fillId="27" borderId="32" xfId="110" quotePrefix="1" applyNumberFormat="1" applyFont="1" applyFill="1" applyBorder="1" applyAlignment="1">
      <alignment horizontal="center" wrapText="1"/>
    </xf>
    <xf numFmtId="37" fontId="65" fillId="27" borderId="32" xfId="110" quotePrefix="1" applyNumberFormat="1" applyFont="1" applyFill="1" applyBorder="1" applyAlignment="1">
      <alignment horizontal="center"/>
    </xf>
    <xf numFmtId="37" fontId="65" fillId="27" borderId="0" xfId="110" quotePrefix="1" applyNumberFormat="1" applyFont="1" applyFill="1" applyAlignment="1">
      <alignment horizontal="center" wrapText="1"/>
    </xf>
    <xf numFmtId="164" fontId="62" fillId="0" borderId="44" xfId="110" applyNumberFormat="1" applyFont="1" applyBorder="1" applyAlignment="1">
      <alignment horizontal="left" wrapText="1" shrinkToFit="1"/>
    </xf>
    <xf numFmtId="164" fontId="62" fillId="0" borderId="15" xfId="110" applyNumberFormat="1" applyFont="1" applyBorder="1" applyAlignment="1">
      <alignment horizontal="left" wrapText="1" shrinkToFit="1"/>
    </xf>
    <xf numFmtId="0" fontId="65" fillId="27" borderId="32" xfId="110" applyFont="1" applyFill="1" applyBorder="1" applyAlignment="1">
      <alignment horizontal="center" wrapText="1"/>
    </xf>
    <xf numFmtId="0" fontId="62" fillId="0" borderId="0" xfId="110" applyFont="1" applyAlignment="1">
      <alignment horizontal="center" wrapText="1"/>
    </xf>
    <xf numFmtId="0" fontId="62" fillId="0" borderId="32" xfId="110" applyFont="1" applyBorder="1" applyAlignment="1">
      <alignment horizontal="center" wrapText="1"/>
    </xf>
    <xf numFmtId="0" fontId="62" fillId="0" borderId="65" xfId="110" applyFont="1" applyBorder="1" applyAlignment="1">
      <alignment horizontal="left" wrapText="1"/>
    </xf>
    <xf numFmtId="169" fontId="65" fillId="27" borderId="28" xfId="28" applyNumberFormat="1" applyFont="1" applyFill="1" applyBorder="1" applyAlignment="1">
      <alignment horizontal="center"/>
    </xf>
    <xf numFmtId="169" fontId="65" fillId="27" borderId="31" xfId="28" quotePrefix="1" applyNumberFormat="1" applyFont="1" applyFill="1" applyBorder="1" applyAlignment="1">
      <alignment horizontal="center"/>
    </xf>
    <xf numFmtId="169" fontId="65" fillId="27" borderId="59" xfId="28" quotePrefix="1" applyNumberFormat="1" applyFont="1" applyFill="1" applyBorder="1" applyAlignment="1">
      <alignment horizontal="center"/>
    </xf>
    <xf numFmtId="169" fontId="65" fillId="27" borderId="29" xfId="28" applyNumberFormat="1" applyFont="1" applyFill="1" applyBorder="1" applyAlignment="1">
      <alignment horizontal="center"/>
    </xf>
    <xf numFmtId="169" fontId="65" fillId="27" borderId="0" xfId="28" applyNumberFormat="1" applyFont="1" applyFill="1" applyBorder="1" applyAlignment="1">
      <alignment horizontal="center"/>
    </xf>
    <xf numFmtId="169" fontId="65" fillId="27" borderId="68" xfId="28" applyNumberFormat="1" applyFont="1" applyFill="1" applyBorder="1" applyAlignment="1">
      <alignment horizontal="center"/>
    </xf>
    <xf numFmtId="0" fontId="77" fillId="27" borderId="29" xfId="77" applyFont="1" applyFill="1" applyBorder="1" applyAlignment="1">
      <alignment horizontal="center"/>
    </xf>
    <xf numFmtId="0" fontId="77" fillId="27" borderId="0" xfId="77" applyFont="1" applyFill="1" applyAlignment="1">
      <alignment horizontal="center"/>
    </xf>
    <xf numFmtId="0" fontId="77" fillId="27" borderId="68" xfId="77" applyFont="1" applyFill="1" applyBorder="1" applyAlignment="1">
      <alignment horizontal="center"/>
    </xf>
    <xf numFmtId="0" fontId="63" fillId="0" borderId="0" xfId="73" applyFont="1" applyProtection="1">
      <protection locked="0"/>
    </xf>
    <xf numFmtId="0" fontId="85" fillId="0" borderId="0" xfId="0" applyFont="1" applyProtection="1">
      <protection locked="0"/>
    </xf>
    <xf numFmtId="0" fontId="63" fillId="0" borderId="0" xfId="0" applyFont="1" applyProtection="1">
      <protection locked="0"/>
    </xf>
    <xf numFmtId="0" fontId="63" fillId="0" borderId="0" xfId="73" applyFont="1" applyAlignment="1" applyProtection="1">
      <alignment wrapText="1"/>
      <protection locked="0"/>
    </xf>
    <xf numFmtId="0" fontId="85" fillId="0" borderId="0" xfId="0" applyFont="1" applyAlignment="1" applyProtection="1">
      <alignment wrapText="1"/>
      <protection locked="0"/>
    </xf>
    <xf numFmtId="0" fontId="63" fillId="0" borderId="0" xfId="0" applyFont="1" applyAlignment="1">
      <alignment wrapText="1"/>
    </xf>
    <xf numFmtId="0" fontId="62" fillId="0" borderId="0" xfId="73" applyFont="1"/>
    <xf numFmtId="0" fontId="63" fillId="0" borderId="0" xfId="0" applyFont="1"/>
    <xf numFmtId="0" fontId="63" fillId="0" borderId="0" xfId="73" applyFont="1" applyAlignment="1">
      <alignment horizontal="left" vertical="top" wrapText="1"/>
    </xf>
    <xf numFmtId="0" fontId="63" fillId="0" borderId="31" xfId="73" applyFont="1" applyBorder="1" applyAlignment="1">
      <alignment horizontal="right"/>
    </xf>
    <xf numFmtId="0" fontId="0" fillId="0" borderId="31" xfId="0" applyBorder="1" applyAlignment="1">
      <alignment horizontal="right"/>
    </xf>
    <xf numFmtId="0" fontId="62" fillId="64" borderId="67" xfId="73" applyFont="1" applyFill="1" applyBorder="1" applyAlignment="1">
      <alignment horizontal="center"/>
    </xf>
    <xf numFmtId="0" fontId="112" fillId="64" borderId="51" xfId="0" applyFont="1" applyFill="1" applyBorder="1" applyAlignment="1">
      <alignment horizontal="center"/>
    </xf>
    <xf numFmtId="0" fontId="112" fillId="64" borderId="52" xfId="0" applyFont="1" applyFill="1" applyBorder="1" applyAlignment="1">
      <alignment horizontal="center"/>
    </xf>
    <xf numFmtId="0" fontId="62" fillId="64" borderId="67" xfId="73" applyFont="1" applyFill="1" applyBorder="1" applyAlignment="1">
      <alignment horizontal="center" wrapText="1"/>
    </xf>
    <xf numFmtId="0" fontId="62" fillId="64" borderId="52" xfId="73" applyFont="1" applyFill="1" applyBorder="1" applyAlignment="1">
      <alignment horizontal="center" wrapText="1"/>
    </xf>
    <xf numFmtId="164" fontId="63" fillId="0" borderId="0" xfId="73" applyNumberFormat="1" applyFont="1" applyAlignment="1">
      <alignment wrapText="1"/>
    </xf>
    <xf numFmtId="0" fontId="0" fillId="0" borderId="0" xfId="0"/>
    <xf numFmtId="0" fontId="65" fillId="27" borderId="67" xfId="100" applyFont="1" applyFill="1" applyBorder="1" applyAlignment="1">
      <alignment horizontal="center" wrapText="1"/>
    </xf>
    <xf numFmtId="0" fontId="65" fillId="27" borderId="52" xfId="100" quotePrefix="1" applyFont="1" applyFill="1" applyBorder="1" applyAlignment="1">
      <alignment horizontal="center" wrapText="1"/>
    </xf>
    <xf numFmtId="5" fontId="65" fillId="27" borderId="70" xfId="100" applyNumberFormat="1" applyFont="1" applyFill="1" applyBorder="1" applyAlignment="1">
      <alignment horizontal="center" wrapText="1"/>
    </xf>
    <xf numFmtId="5" fontId="65" fillId="27" borderId="55" xfId="100" applyNumberFormat="1" applyFont="1" applyFill="1" applyBorder="1" applyAlignment="1">
      <alignment horizontal="center" wrapText="1"/>
    </xf>
    <xf numFmtId="0" fontId="65" fillId="27" borderId="70" xfId="100" applyFont="1" applyFill="1" applyBorder="1" applyAlignment="1">
      <alignment horizontal="center" wrapText="1"/>
    </xf>
    <xf numFmtId="0" fontId="65" fillId="27" borderId="55" xfId="100" applyFont="1" applyFill="1" applyBorder="1" applyAlignment="1">
      <alignment horizontal="center" wrapText="1"/>
    </xf>
    <xf numFmtId="5" fontId="65" fillId="27" borderId="67" xfId="100" applyNumberFormat="1" applyFont="1" applyFill="1" applyBorder="1" applyAlignment="1" applyProtection="1">
      <alignment horizontal="center" wrapText="1"/>
      <protection locked="0"/>
    </xf>
    <xf numFmtId="5" fontId="65" fillId="27" borderId="52" xfId="100" applyNumberFormat="1" applyFont="1" applyFill="1" applyBorder="1" applyAlignment="1" applyProtection="1">
      <alignment horizontal="center" wrapText="1"/>
      <protection locked="0"/>
    </xf>
    <xf numFmtId="5" fontId="65" fillId="27" borderId="46" xfId="100" applyNumberFormat="1" applyFont="1" applyFill="1" applyBorder="1" applyAlignment="1" applyProtection="1">
      <alignment horizontal="center" wrapText="1"/>
      <protection locked="0"/>
    </xf>
    <xf numFmtId="5" fontId="65" fillId="27" borderId="24" xfId="100" applyNumberFormat="1" applyFont="1" applyFill="1" applyBorder="1" applyAlignment="1" applyProtection="1">
      <alignment horizontal="center" wrapText="1"/>
      <protection locked="0"/>
    </xf>
    <xf numFmtId="0" fontId="65" fillId="27" borderId="46" xfId="100" applyFont="1" applyFill="1" applyBorder="1" applyAlignment="1">
      <alignment horizontal="center" wrapText="1"/>
    </xf>
    <xf numFmtId="0" fontId="65" fillId="27" borderId="69" xfId="100" applyFont="1" applyFill="1" applyBorder="1" applyAlignment="1">
      <alignment horizontal="center" wrapText="1"/>
    </xf>
    <xf numFmtId="0" fontId="65" fillId="27" borderId="24" xfId="100" applyFont="1" applyFill="1" applyBorder="1" applyAlignment="1">
      <alignment horizontal="center" wrapText="1"/>
    </xf>
    <xf numFmtId="0" fontId="65" fillId="27" borderId="28" xfId="100" applyFont="1" applyFill="1" applyBorder="1" applyAlignment="1">
      <alignment horizontal="center" wrapText="1"/>
    </xf>
    <xf numFmtId="0" fontId="65" fillId="27" borderId="59" xfId="100" applyFont="1" applyFill="1" applyBorder="1" applyAlignment="1">
      <alignment horizontal="center" wrapText="1"/>
    </xf>
    <xf numFmtId="0" fontId="65" fillId="27" borderId="30" xfId="100" applyFont="1" applyFill="1" applyBorder="1" applyAlignment="1">
      <alignment horizontal="center" wrapText="1"/>
    </xf>
    <xf numFmtId="0" fontId="65" fillId="27" borderId="66" xfId="100" applyFont="1" applyFill="1" applyBorder="1" applyAlignment="1">
      <alignment horizontal="center" wrapText="1"/>
    </xf>
    <xf numFmtId="0" fontId="65" fillId="27" borderId="41" xfId="100" applyFont="1" applyFill="1" applyBorder="1" applyAlignment="1">
      <alignment horizontal="center" wrapText="1"/>
    </xf>
    <xf numFmtId="0" fontId="65" fillId="27" borderId="9" xfId="100" applyFont="1" applyFill="1" applyBorder="1" applyAlignment="1">
      <alignment horizontal="center" wrapText="1"/>
    </xf>
    <xf numFmtId="0" fontId="65" fillId="27" borderId="25" xfId="100" applyFont="1" applyFill="1" applyBorder="1" applyAlignment="1">
      <alignment horizontal="center" wrapText="1"/>
    </xf>
    <xf numFmtId="0" fontId="65" fillId="27" borderId="10" xfId="100" applyFont="1" applyFill="1" applyBorder="1" applyAlignment="1">
      <alignment horizontal="center" wrapText="1"/>
    </xf>
    <xf numFmtId="0" fontId="62" fillId="0" borderId="0" xfId="100" applyFont="1" applyAlignment="1">
      <alignment horizontal="left" vertical="top" wrapText="1"/>
    </xf>
    <xf numFmtId="0" fontId="63" fillId="0" borderId="32" xfId="100" applyFont="1" applyBorder="1" applyAlignment="1">
      <alignment horizontal="left" vertical="top" wrapText="1"/>
    </xf>
    <xf numFmtId="0" fontId="63" fillId="0" borderId="0" xfId="100" applyFont="1" applyAlignment="1">
      <alignment wrapText="1"/>
    </xf>
    <xf numFmtId="0" fontId="73" fillId="0" borderId="0" xfId="0" applyFont="1" applyAlignment="1">
      <alignment wrapText="1"/>
    </xf>
    <xf numFmtId="0" fontId="65" fillId="27" borderId="67" xfId="76" applyFont="1" applyFill="1" applyBorder="1" applyAlignment="1">
      <alignment horizontal="right"/>
    </xf>
    <xf numFmtId="0" fontId="65" fillId="27" borderId="51" xfId="76" applyFont="1" applyFill="1" applyBorder="1" applyAlignment="1">
      <alignment horizontal="right"/>
    </xf>
    <xf numFmtId="0" fontId="63" fillId="0" borderId="0" xfId="76" applyFont="1" applyAlignment="1">
      <alignment vertical="center" wrapText="1"/>
    </xf>
    <xf numFmtId="0" fontId="73" fillId="0" borderId="0" xfId="0" applyFont="1" applyAlignment="1">
      <alignment vertical="center" wrapText="1"/>
    </xf>
    <xf numFmtId="169" fontId="78" fillId="0" borderId="0" xfId="28" applyNumberFormat="1" applyFont="1" applyAlignment="1">
      <alignment horizontal="center" wrapText="1"/>
    </xf>
    <xf numFmtId="0" fontId="82" fillId="0" borderId="0" xfId="0" applyFont="1" applyAlignment="1">
      <alignment horizontal="center" wrapText="1"/>
    </xf>
    <xf numFmtId="0" fontId="65" fillId="27" borderId="83" xfId="110" applyFont="1" applyFill="1" applyBorder="1" applyAlignment="1">
      <alignment horizontal="center"/>
    </xf>
    <xf numFmtId="0" fontId="65" fillId="27" borderId="84" xfId="110" applyFont="1" applyFill="1" applyBorder="1" applyAlignment="1">
      <alignment horizontal="center"/>
    </xf>
    <xf numFmtId="0" fontId="65" fillId="27" borderId="85" xfId="110" applyFont="1" applyFill="1" applyBorder="1" applyAlignment="1">
      <alignment horizontal="center"/>
    </xf>
    <xf numFmtId="0" fontId="65" fillId="27" borderId="71" xfId="110" applyFont="1" applyFill="1" applyBorder="1" applyAlignment="1">
      <alignment horizontal="center"/>
    </xf>
    <xf numFmtId="0" fontId="65" fillId="27" borderId="86" xfId="110" applyFont="1" applyFill="1" applyBorder="1" applyAlignment="1">
      <alignment horizontal="center"/>
    </xf>
    <xf numFmtId="0" fontId="65" fillId="27" borderId="87" xfId="110" applyFont="1" applyFill="1" applyBorder="1" applyAlignment="1">
      <alignment horizontal="center"/>
    </xf>
    <xf numFmtId="0" fontId="65" fillId="27" borderId="105" xfId="110" applyFont="1" applyFill="1" applyBorder="1" applyAlignment="1">
      <alignment horizontal="center"/>
    </xf>
    <xf numFmtId="0" fontId="74" fillId="27" borderId="47" xfId="73" applyFont="1" applyFill="1" applyBorder="1" applyAlignment="1">
      <alignment horizontal="center" wrapText="1"/>
    </xf>
    <xf numFmtId="0" fontId="74" fillId="27" borderId="69" xfId="73" applyFont="1" applyFill="1" applyBorder="1" applyAlignment="1">
      <alignment horizontal="center" wrapText="1"/>
    </xf>
    <xf numFmtId="0" fontId="65" fillId="27" borderId="58" xfId="97" applyFont="1" applyFill="1" applyBorder="1" applyAlignment="1">
      <alignment horizontal="left" vertical="top"/>
    </xf>
    <xf numFmtId="0" fontId="65" fillId="27" borderId="64" xfId="97" applyFont="1" applyFill="1" applyBorder="1" applyAlignment="1">
      <alignment horizontal="left" vertical="top"/>
    </xf>
    <xf numFmtId="0" fontId="65" fillId="27" borderId="49" xfId="97" applyFont="1" applyFill="1" applyBorder="1" applyAlignment="1">
      <alignment horizontal="left" vertical="top"/>
    </xf>
    <xf numFmtId="0" fontId="65" fillId="27" borderId="27" xfId="97" applyFont="1" applyFill="1" applyBorder="1" applyAlignment="1">
      <alignment horizontal="left" vertical="top"/>
    </xf>
    <xf numFmtId="0" fontId="65" fillId="27" borderId="43" xfId="97" applyFont="1" applyFill="1" applyBorder="1" applyAlignment="1">
      <alignment horizontal="left" vertical="top"/>
    </xf>
    <xf numFmtId="0" fontId="65" fillId="27" borderId="40" xfId="97" applyFont="1" applyFill="1" applyBorder="1" applyAlignment="1">
      <alignment horizontal="left" vertical="top"/>
    </xf>
  </cellXfs>
  <cellStyles count="855">
    <cellStyle name="20% - Accent1" xfId="523" builtinId="30" customBuiltin="1"/>
    <cellStyle name="20% - Accent1 2" xfId="1" xr:uid="{00000000-0005-0000-0000-000000000000}"/>
    <cellStyle name="20% - Accent1 2 2" xfId="456" xr:uid="{00000000-0005-0000-0000-000000000000}"/>
    <cellStyle name="20% - Accent1 2 2 2" xfId="612" xr:uid="{BA2121A1-3B03-4B55-B218-47781D32EF74}"/>
    <cellStyle name="20% - Accent1 2 3" xfId="411" xr:uid="{00000000-0005-0000-0000-000000000000}"/>
    <cellStyle name="20% - Accent1 2 3 2" xfId="740" xr:uid="{9C3D8B88-F877-4BC0-86A1-40815D7C4506}"/>
    <cellStyle name="20% - Accent1 2 3 3" xfId="567" xr:uid="{346F0723-6660-4111-843F-58FF49A72066}"/>
    <cellStyle name="20% - Accent1 2 4" xfId="784" xr:uid="{A604B68C-7BF0-41C8-89A0-6D1BA2EDD76A}"/>
    <cellStyle name="20% - Accent1 3" xfId="366" xr:uid="{00000000-0005-0000-0000-000001000000}"/>
    <cellStyle name="20% - Accent1 3 2" xfId="434" xr:uid="{00000000-0005-0000-0000-000001000000}"/>
    <cellStyle name="20% - Accent1 3 2 2" xfId="613" xr:uid="{C0FC84BC-1D51-4C66-A75E-F9B0766D3AF7}"/>
    <cellStyle name="20% - Accent1 3 3" xfId="480" xr:uid="{00000000-0005-0000-0000-000001000000}"/>
    <cellStyle name="20% - Accent1 3 3 2" xfId="754" xr:uid="{98CE60C7-E5EC-4C11-91C8-743174E72D59}"/>
    <cellStyle name="20% - Accent1 3 4" xfId="785" xr:uid="{49188A0F-CF78-4346-A038-F8D3AA013989}"/>
    <cellStyle name="20% - Accent1 3 5" xfId="581" xr:uid="{F19267A0-352E-4F82-B0D3-E6CE90EDBFA3}"/>
    <cellStyle name="20% - Accent1 4" xfId="593" xr:uid="{C70A112F-13C6-4FEC-A3C8-44EB8122832C}"/>
    <cellStyle name="20% - Accent1 4 2" xfId="766" xr:uid="{F6C32625-7429-4FDE-BA9C-71755C190676}"/>
    <cellStyle name="20% - Accent1 4 3" xfId="786" xr:uid="{9BDBE1E7-75BC-49C5-9B0A-570406C39F6E}"/>
    <cellStyle name="20% - Accent1 5" xfId="705" xr:uid="{9ED1A45B-8506-4B87-8344-178718162812}"/>
    <cellStyle name="20% - Accent1 6" xfId="783" xr:uid="{93F3E4D0-DCC5-44A6-A378-9635CAA50D41}"/>
    <cellStyle name="20% - Accent2" xfId="526" builtinId="34" customBuiltin="1"/>
    <cellStyle name="20% - Accent2 2" xfId="2" xr:uid="{00000000-0005-0000-0000-000001000000}"/>
    <cellStyle name="20% - Accent2 2 2" xfId="458" xr:uid="{00000000-0005-0000-0000-000002000000}"/>
    <cellStyle name="20% - Accent2 2 2 2" xfId="614" xr:uid="{4FF9D98E-4076-4922-A6ED-835A063E3295}"/>
    <cellStyle name="20% - Accent2 2 3" xfId="413" xr:uid="{00000000-0005-0000-0000-000002000000}"/>
    <cellStyle name="20% - Accent2 2 3 2" xfId="742" xr:uid="{F56816D6-28A6-4D16-904A-0C50E62CDB85}"/>
    <cellStyle name="20% - Accent2 2 3 3" xfId="569" xr:uid="{993DEEDE-9C35-41F7-B3F1-A6C2270E7BEC}"/>
    <cellStyle name="20% - Accent2 2 4" xfId="788" xr:uid="{322D888E-6E55-4B03-A2A8-B981E3F533B2}"/>
    <cellStyle name="20% - Accent2 3" xfId="370" xr:uid="{00000000-0005-0000-0000-000003000000}"/>
    <cellStyle name="20% - Accent2 3 2" xfId="436" xr:uid="{00000000-0005-0000-0000-000003000000}"/>
    <cellStyle name="20% - Accent2 3 2 2" xfId="615" xr:uid="{B09EE891-0474-4B8E-B098-BCD759198E0F}"/>
    <cellStyle name="20% - Accent2 3 3" xfId="482" xr:uid="{00000000-0005-0000-0000-000003000000}"/>
    <cellStyle name="20% - Accent2 3 3 2" xfId="756" xr:uid="{D55FE452-C858-4C13-A4D6-740AAF7AEF9B}"/>
    <cellStyle name="20% - Accent2 3 4" xfId="789" xr:uid="{B43D894C-5031-4066-810A-03AD62197C78}"/>
    <cellStyle name="20% - Accent2 3 5" xfId="583" xr:uid="{B3C4D226-3947-4728-B7F8-1713305B50DF}"/>
    <cellStyle name="20% - Accent2 4" xfId="595" xr:uid="{785979EA-E85E-414C-B5B7-9E68691DF41F}"/>
    <cellStyle name="20% - Accent2 4 2" xfId="768" xr:uid="{FF97E930-D1CE-4BFB-B118-88EAF25AE801}"/>
    <cellStyle name="20% - Accent2 4 3" xfId="790" xr:uid="{ACB5EEBD-78C1-4C76-A805-7B1E859769D3}"/>
    <cellStyle name="20% - Accent2 5" xfId="707" xr:uid="{20F906B4-4C24-48F9-A717-7123194AFD9B}"/>
    <cellStyle name="20% - Accent2 6" xfId="787" xr:uid="{2EBE83A4-884F-441F-A7E2-81CDD50D6F9D}"/>
    <cellStyle name="20% - Accent3" xfId="529" builtinId="38" customBuiltin="1"/>
    <cellStyle name="20% - Accent3 2" xfId="3" xr:uid="{00000000-0005-0000-0000-000002000000}"/>
    <cellStyle name="20% - Accent3 2 2" xfId="460" xr:uid="{00000000-0005-0000-0000-000004000000}"/>
    <cellStyle name="20% - Accent3 2 2 2" xfId="616" xr:uid="{EC30BCC0-DD2A-461D-9D75-1B608EE57AB6}"/>
    <cellStyle name="20% - Accent3 2 3" xfId="415" xr:uid="{00000000-0005-0000-0000-000004000000}"/>
    <cellStyle name="20% - Accent3 2 3 2" xfId="744" xr:uid="{2BAD6614-9018-424F-8B91-02D3024DBAE7}"/>
    <cellStyle name="20% - Accent3 2 3 3" xfId="571" xr:uid="{82C7D3F0-8DD6-4662-950A-5A0B587289A8}"/>
    <cellStyle name="20% - Accent3 2 4" xfId="792" xr:uid="{40204E31-CCED-4DA4-AB9F-FFBA174FEB26}"/>
    <cellStyle name="20% - Accent3 3" xfId="374" xr:uid="{00000000-0005-0000-0000-000005000000}"/>
    <cellStyle name="20% - Accent3 3 2" xfId="438" xr:uid="{00000000-0005-0000-0000-000005000000}"/>
    <cellStyle name="20% - Accent3 3 2 2" xfId="617" xr:uid="{B1E46BD7-6E1D-4EAE-9864-A153B38B3141}"/>
    <cellStyle name="20% - Accent3 3 3" xfId="484" xr:uid="{00000000-0005-0000-0000-000005000000}"/>
    <cellStyle name="20% - Accent3 3 3 2" xfId="758" xr:uid="{ABB9BDE7-6777-4C93-9B6A-04788A6F036E}"/>
    <cellStyle name="20% - Accent3 3 4" xfId="793" xr:uid="{D0E0E630-EEBE-4E42-B51E-7954F8A001C2}"/>
    <cellStyle name="20% - Accent3 3 5" xfId="585" xr:uid="{47572C8C-62A4-40AD-B9E4-442C5D734BE9}"/>
    <cellStyle name="20% - Accent3 4" xfId="597" xr:uid="{ABBA5FCE-0C4B-43B6-8CB1-46EBE5915627}"/>
    <cellStyle name="20% - Accent3 4 2" xfId="770" xr:uid="{AA603EF5-2734-4AE3-A952-2616846A3EAB}"/>
    <cellStyle name="20% - Accent3 4 3" xfId="794" xr:uid="{DDD7CB66-3AD6-45D8-8401-8E1B43399B53}"/>
    <cellStyle name="20% - Accent3 5" xfId="709" xr:uid="{3977CA63-4213-4D82-95DF-868AB03C78C2}"/>
    <cellStyle name="20% - Accent3 6" xfId="791" xr:uid="{F70576DE-4852-429A-8038-37AFD6F44896}"/>
    <cellStyle name="20% - Accent4" xfId="532" builtinId="42" customBuiltin="1"/>
    <cellStyle name="20% - Accent4 2" xfId="4" xr:uid="{00000000-0005-0000-0000-000003000000}"/>
    <cellStyle name="20% - Accent4 2 2" xfId="462" xr:uid="{00000000-0005-0000-0000-000006000000}"/>
    <cellStyle name="20% - Accent4 2 2 2" xfId="618" xr:uid="{1BED1D81-CC99-4961-93EB-264E536186E8}"/>
    <cellStyle name="20% - Accent4 2 3" xfId="417" xr:uid="{00000000-0005-0000-0000-000006000000}"/>
    <cellStyle name="20% - Accent4 2 3 2" xfId="746" xr:uid="{6E60B3B4-77D7-4938-BD75-D03AB5A2110D}"/>
    <cellStyle name="20% - Accent4 2 3 3" xfId="573" xr:uid="{C5FF4375-4530-47C8-90BF-4198A46324E5}"/>
    <cellStyle name="20% - Accent4 2 4" xfId="796" xr:uid="{144E59C0-C8BB-4EBD-8025-D82D3236BA71}"/>
    <cellStyle name="20% - Accent4 3" xfId="378" xr:uid="{00000000-0005-0000-0000-000007000000}"/>
    <cellStyle name="20% - Accent4 3 2" xfId="440" xr:uid="{00000000-0005-0000-0000-000007000000}"/>
    <cellStyle name="20% - Accent4 3 2 2" xfId="619" xr:uid="{82388396-C3BF-4EA3-9E7D-61805F690D00}"/>
    <cellStyle name="20% - Accent4 3 3" xfId="486" xr:uid="{00000000-0005-0000-0000-000007000000}"/>
    <cellStyle name="20% - Accent4 3 3 2" xfId="760" xr:uid="{077E5893-9595-4432-9404-3E82CE3ECA77}"/>
    <cellStyle name="20% - Accent4 3 4" xfId="797" xr:uid="{FB31FA2A-4598-41EE-9E3A-571E397E764D}"/>
    <cellStyle name="20% - Accent4 3 5" xfId="587" xr:uid="{B0EACEE5-85B2-49CC-AC94-606660B8C705}"/>
    <cellStyle name="20% - Accent4 4" xfId="599" xr:uid="{ED368A4D-A8F7-4F4B-9C06-1AAA7DFE73AB}"/>
    <cellStyle name="20% - Accent4 4 2" xfId="772" xr:uid="{B6D93AE8-71CF-4DB5-A511-F248E1424C3C}"/>
    <cellStyle name="20% - Accent4 4 3" xfId="798" xr:uid="{CA74FAB6-E82B-40C2-A313-113B5BFB5CF2}"/>
    <cellStyle name="20% - Accent4 5" xfId="711" xr:uid="{10CF829F-B2DD-4FA5-9E3E-4462CD0F66F2}"/>
    <cellStyle name="20% - Accent4 6" xfId="795" xr:uid="{B444FFAE-7831-4E97-B408-0D38B1480409}"/>
    <cellStyle name="20% - Accent5" xfId="535" builtinId="46" customBuiltin="1"/>
    <cellStyle name="20% - Accent5 2" xfId="5" xr:uid="{00000000-0005-0000-0000-000004000000}"/>
    <cellStyle name="20% - Accent5 2 2" xfId="464" xr:uid="{00000000-0005-0000-0000-000008000000}"/>
    <cellStyle name="20% - Accent5 2 2 2" xfId="620" xr:uid="{97D4CA00-62C1-4F13-9751-EB5D35BF4835}"/>
    <cellStyle name="20% - Accent5 2 3" xfId="419" xr:uid="{00000000-0005-0000-0000-000008000000}"/>
    <cellStyle name="20% - Accent5 2 3 2" xfId="748" xr:uid="{D4A5B7C2-C778-43ED-BB10-C36DC0FD73DE}"/>
    <cellStyle name="20% - Accent5 2 3 3" xfId="575" xr:uid="{88A4ABC1-79C9-4F69-A619-56B0D3D50E31}"/>
    <cellStyle name="20% - Accent5 2 4" xfId="800" xr:uid="{E2A37F06-FE43-4A2E-A86E-2688FF27D5B3}"/>
    <cellStyle name="20% - Accent5 3" xfId="382" xr:uid="{00000000-0005-0000-0000-000009000000}"/>
    <cellStyle name="20% - Accent5 3 2" xfId="442" xr:uid="{00000000-0005-0000-0000-000009000000}"/>
    <cellStyle name="20% - Accent5 3 2 2" xfId="621" xr:uid="{BC017D96-4980-484E-8174-A0B1B44281BC}"/>
    <cellStyle name="20% - Accent5 3 3" xfId="488" xr:uid="{00000000-0005-0000-0000-000009000000}"/>
    <cellStyle name="20% - Accent5 3 3 2" xfId="762" xr:uid="{0729C9FD-E863-4945-9844-A0D2BF4C6E6F}"/>
    <cellStyle name="20% - Accent5 3 4" xfId="801" xr:uid="{4F6813F7-7C2B-4587-BE0E-23606696ADC8}"/>
    <cellStyle name="20% - Accent5 3 5" xfId="589" xr:uid="{A61181F6-7253-48CF-B795-C4B8FD0DB4F7}"/>
    <cellStyle name="20% - Accent5 4" xfId="601" xr:uid="{D1BF1F3E-F4F7-4C04-8948-979B0C62B7B8}"/>
    <cellStyle name="20% - Accent5 4 2" xfId="774" xr:uid="{FDA23488-8C0A-4B04-8D5B-0515750D3CE7}"/>
    <cellStyle name="20% - Accent5 4 3" xfId="802" xr:uid="{218ACDB4-3B68-4FE0-B88D-1DF627B65063}"/>
    <cellStyle name="20% - Accent5 5" xfId="713" xr:uid="{082F30C7-C7A1-4A8D-B610-A97F922CDB45}"/>
    <cellStyle name="20% - Accent5 6" xfId="799" xr:uid="{C1E8104E-EE75-404E-AA76-A57042C078D0}"/>
    <cellStyle name="20% - Accent6" xfId="538" builtinId="50" customBuiltin="1"/>
    <cellStyle name="20% - Accent6 2" xfId="6" xr:uid="{00000000-0005-0000-0000-000005000000}"/>
    <cellStyle name="20% - Accent6 2 2" xfId="466" xr:uid="{00000000-0005-0000-0000-00000A000000}"/>
    <cellStyle name="20% - Accent6 2 2 2" xfId="622" xr:uid="{4418BF6D-2B05-4B3A-8412-58C75DE5F132}"/>
    <cellStyle name="20% - Accent6 2 3" xfId="421" xr:uid="{00000000-0005-0000-0000-00000A000000}"/>
    <cellStyle name="20% - Accent6 2 3 2" xfId="750" xr:uid="{55FEC4C5-30A3-4D8F-B14E-5372C88DAF65}"/>
    <cellStyle name="20% - Accent6 2 3 3" xfId="577" xr:uid="{F4E740E7-A0DE-4E9F-90BE-3434B7BC35AC}"/>
    <cellStyle name="20% - Accent6 2 4" xfId="804" xr:uid="{75050E99-14EE-483D-8EB2-988D7B683562}"/>
    <cellStyle name="20% - Accent6 3" xfId="386" xr:uid="{00000000-0005-0000-0000-00000B000000}"/>
    <cellStyle name="20% - Accent6 3 2" xfId="444" xr:uid="{00000000-0005-0000-0000-00000B000000}"/>
    <cellStyle name="20% - Accent6 3 2 2" xfId="623" xr:uid="{1434E43B-CA60-49EE-BF2A-FF992402B855}"/>
    <cellStyle name="20% - Accent6 3 3" xfId="490" xr:uid="{00000000-0005-0000-0000-00000B000000}"/>
    <cellStyle name="20% - Accent6 3 3 2" xfId="764" xr:uid="{D8B8377B-C567-402A-BBB8-9C2336D0380E}"/>
    <cellStyle name="20% - Accent6 3 4" xfId="805" xr:uid="{02091DFD-CFB5-419B-AD85-0C09C3378E0E}"/>
    <cellStyle name="20% - Accent6 3 5" xfId="591" xr:uid="{8E925B72-3163-4FF6-818F-847F8FCD1E74}"/>
    <cellStyle name="20% - Accent6 4" xfId="603" xr:uid="{5648BD64-C98C-40FB-82BC-D521EC6A55FA}"/>
    <cellStyle name="20% - Accent6 4 2" xfId="776" xr:uid="{D5D7130A-8EC4-4693-9DD9-88C7F0B78D24}"/>
    <cellStyle name="20% - Accent6 4 3" xfId="806" xr:uid="{7092F81D-3F8E-4FBF-8197-45394C59EBD6}"/>
    <cellStyle name="20% - Accent6 5" xfId="715" xr:uid="{781DF0A9-0319-4649-8FD0-4F12E2BB6500}"/>
    <cellStyle name="20% - Accent6 6" xfId="803" xr:uid="{D10ABD6A-D797-466B-8F16-E3EBAEE8B0C2}"/>
    <cellStyle name="40% - Accent1" xfId="524" builtinId="31" customBuiltin="1"/>
    <cellStyle name="40% - Accent1 2" xfId="7" xr:uid="{00000000-0005-0000-0000-000006000000}"/>
    <cellStyle name="40% - Accent1 2 2" xfId="457" xr:uid="{00000000-0005-0000-0000-00000C000000}"/>
    <cellStyle name="40% - Accent1 2 2 2" xfId="624" xr:uid="{A66CDE6D-CD17-46AB-A3EA-D06A6583BF7F}"/>
    <cellStyle name="40% - Accent1 2 3" xfId="412" xr:uid="{00000000-0005-0000-0000-00000C000000}"/>
    <cellStyle name="40% - Accent1 2 3 2" xfId="741" xr:uid="{F9039239-35E4-4973-897F-45D61AB9BBD5}"/>
    <cellStyle name="40% - Accent1 2 3 3" xfId="568" xr:uid="{EA70CC50-9499-4FC8-B37B-AD7FC83B5A9A}"/>
    <cellStyle name="40% - Accent1 2 4" xfId="808" xr:uid="{712BEAEA-8A50-4F3A-A981-98D7ED6F50FF}"/>
    <cellStyle name="40% - Accent1 3" xfId="367" xr:uid="{00000000-0005-0000-0000-00000D000000}"/>
    <cellStyle name="40% - Accent1 3 2" xfId="435" xr:uid="{00000000-0005-0000-0000-00000D000000}"/>
    <cellStyle name="40% - Accent1 3 2 2" xfId="625" xr:uid="{C189A867-AEF0-46A3-92FA-64C4C7008029}"/>
    <cellStyle name="40% - Accent1 3 3" xfId="481" xr:uid="{00000000-0005-0000-0000-00000D000000}"/>
    <cellStyle name="40% - Accent1 3 3 2" xfId="755" xr:uid="{B47B5532-2F80-4608-8E33-82DC7AA6FE37}"/>
    <cellStyle name="40% - Accent1 3 4" xfId="809" xr:uid="{4E9E44FC-B5C0-456A-A994-67A106A9E831}"/>
    <cellStyle name="40% - Accent1 3 5" xfId="582" xr:uid="{E87D64EA-A1F3-45BD-AB35-947CC419CFBD}"/>
    <cellStyle name="40% - Accent1 4" xfId="594" xr:uid="{22365EB2-26F3-43E8-8183-3B6C480649F3}"/>
    <cellStyle name="40% - Accent1 4 2" xfId="767" xr:uid="{71018C59-79A0-4828-A573-83C197167D90}"/>
    <cellStyle name="40% - Accent1 4 3" xfId="810" xr:uid="{667266C9-3AE3-407A-9BC2-DB44CD055F4F}"/>
    <cellStyle name="40% - Accent1 5" xfId="706" xr:uid="{D408386F-958D-47A3-BF04-09D28890D558}"/>
    <cellStyle name="40% - Accent1 6" xfId="807" xr:uid="{504F02DF-25BB-4769-85BF-F73A86BF9B15}"/>
    <cellStyle name="40% - Accent2" xfId="527" builtinId="35" customBuiltin="1"/>
    <cellStyle name="40% - Accent2 2" xfId="8" xr:uid="{00000000-0005-0000-0000-000007000000}"/>
    <cellStyle name="40% - Accent2 2 2" xfId="459" xr:uid="{00000000-0005-0000-0000-00000E000000}"/>
    <cellStyle name="40% - Accent2 2 2 2" xfId="626" xr:uid="{83AD9772-A478-4C51-99E8-A8284C157C0B}"/>
    <cellStyle name="40% - Accent2 2 3" xfId="414" xr:uid="{00000000-0005-0000-0000-00000E000000}"/>
    <cellStyle name="40% - Accent2 2 3 2" xfId="743" xr:uid="{11957659-7A4A-47C8-91A5-3B8ED21D9FD6}"/>
    <cellStyle name="40% - Accent2 2 3 3" xfId="570" xr:uid="{124B8CEC-5732-4B03-859C-FE7C087BF2B0}"/>
    <cellStyle name="40% - Accent2 2 4" xfId="812" xr:uid="{D391DEF8-1282-427B-B861-CFFCC7622F0F}"/>
    <cellStyle name="40% - Accent2 3" xfId="371" xr:uid="{00000000-0005-0000-0000-00000F000000}"/>
    <cellStyle name="40% - Accent2 3 2" xfId="437" xr:uid="{00000000-0005-0000-0000-00000F000000}"/>
    <cellStyle name="40% - Accent2 3 2 2" xfId="627" xr:uid="{532CF679-D0F7-43BA-9B5D-249D13362C3B}"/>
    <cellStyle name="40% - Accent2 3 3" xfId="483" xr:uid="{00000000-0005-0000-0000-00000F000000}"/>
    <cellStyle name="40% - Accent2 3 3 2" xfId="757" xr:uid="{34E51FC9-3792-4B91-AC22-0A8FF0AAA318}"/>
    <cellStyle name="40% - Accent2 3 4" xfId="813" xr:uid="{B3767696-47D5-443F-9563-370FD095B726}"/>
    <cellStyle name="40% - Accent2 3 5" xfId="584" xr:uid="{40400D91-BE90-4561-A4AE-5E9556393B0F}"/>
    <cellStyle name="40% - Accent2 4" xfId="596" xr:uid="{3CBBFE01-3C3A-4799-9ECE-757A7E671B8F}"/>
    <cellStyle name="40% - Accent2 4 2" xfId="769" xr:uid="{9015B1C1-6769-47C6-AB78-66DC22F564B6}"/>
    <cellStyle name="40% - Accent2 4 3" xfId="814" xr:uid="{E5E829DD-88D4-4DE2-B07F-5283BD4C10EA}"/>
    <cellStyle name="40% - Accent2 5" xfId="708" xr:uid="{0791D3EC-5458-4423-9570-6053B121A57F}"/>
    <cellStyle name="40% - Accent2 6" xfId="811" xr:uid="{2B1481C4-9F07-4322-B5EF-788E729534B2}"/>
    <cellStyle name="40% - Accent3" xfId="530" builtinId="39" customBuiltin="1"/>
    <cellStyle name="40% - Accent3 2" xfId="9" xr:uid="{00000000-0005-0000-0000-000008000000}"/>
    <cellStyle name="40% - Accent3 2 2" xfId="461" xr:uid="{00000000-0005-0000-0000-000010000000}"/>
    <cellStyle name="40% - Accent3 2 2 2" xfId="628" xr:uid="{2BF976A6-1B24-4370-AC52-DDB335BA440A}"/>
    <cellStyle name="40% - Accent3 2 3" xfId="416" xr:uid="{00000000-0005-0000-0000-000010000000}"/>
    <cellStyle name="40% - Accent3 2 3 2" xfId="745" xr:uid="{2FB7D4F8-19C0-4374-AD7D-A72B041FC12A}"/>
    <cellStyle name="40% - Accent3 2 3 3" xfId="572" xr:uid="{8B263447-1E05-497E-AD47-313279A1A51D}"/>
    <cellStyle name="40% - Accent3 2 4" xfId="816" xr:uid="{7ECADFCD-8143-4931-ABB8-B5B5B790C313}"/>
    <cellStyle name="40% - Accent3 3" xfId="375" xr:uid="{00000000-0005-0000-0000-000011000000}"/>
    <cellStyle name="40% - Accent3 3 2" xfId="439" xr:uid="{00000000-0005-0000-0000-000011000000}"/>
    <cellStyle name="40% - Accent3 3 2 2" xfId="629" xr:uid="{3ED6E657-7ED3-485B-B9C2-40F86441FB29}"/>
    <cellStyle name="40% - Accent3 3 3" xfId="485" xr:uid="{00000000-0005-0000-0000-000011000000}"/>
    <cellStyle name="40% - Accent3 3 3 2" xfId="759" xr:uid="{68574D6D-195F-4FFF-A695-2F9BFF14A1EE}"/>
    <cellStyle name="40% - Accent3 3 4" xfId="817" xr:uid="{E959B1CC-2CC7-4FA3-8BD2-59F54777E803}"/>
    <cellStyle name="40% - Accent3 3 5" xfId="586" xr:uid="{0E8CB36D-5CF7-41AA-BACF-0CC61B406124}"/>
    <cellStyle name="40% - Accent3 4" xfId="598" xr:uid="{2362DC2A-BCFE-45E7-B593-4F767CE1394B}"/>
    <cellStyle name="40% - Accent3 4 2" xfId="771" xr:uid="{41C5CB32-A52B-4ED3-A2A0-C0EC5890F47C}"/>
    <cellStyle name="40% - Accent3 4 3" xfId="818" xr:uid="{FDB08F1C-C574-40B6-80D9-27B7E956AB6E}"/>
    <cellStyle name="40% - Accent3 5" xfId="710" xr:uid="{A7875C7A-51AF-4C25-A69D-A581373F43E1}"/>
    <cellStyle name="40% - Accent3 6" xfId="815" xr:uid="{7FFEA59E-8639-475B-9E24-C695DFF90C7A}"/>
    <cellStyle name="40% - Accent4" xfId="533" builtinId="43" customBuiltin="1"/>
    <cellStyle name="40% - Accent4 2" xfId="10" xr:uid="{00000000-0005-0000-0000-000009000000}"/>
    <cellStyle name="40% - Accent4 2 2" xfId="463" xr:uid="{00000000-0005-0000-0000-000012000000}"/>
    <cellStyle name="40% - Accent4 2 2 2" xfId="630" xr:uid="{20E4FE85-518A-4C12-8050-9C396BF42D51}"/>
    <cellStyle name="40% - Accent4 2 3" xfId="418" xr:uid="{00000000-0005-0000-0000-000012000000}"/>
    <cellStyle name="40% - Accent4 2 3 2" xfId="747" xr:uid="{9ADB5DC4-1DD9-4CD3-8D9C-40CD563F6F6E}"/>
    <cellStyle name="40% - Accent4 2 3 3" xfId="574" xr:uid="{15543685-26F7-4404-B865-BB89D622E8AC}"/>
    <cellStyle name="40% - Accent4 2 4" xfId="820" xr:uid="{F077BAC0-2CCD-4E58-8F26-BBF7DF0F18F2}"/>
    <cellStyle name="40% - Accent4 3" xfId="379" xr:uid="{00000000-0005-0000-0000-000013000000}"/>
    <cellStyle name="40% - Accent4 3 2" xfId="441" xr:uid="{00000000-0005-0000-0000-000013000000}"/>
    <cellStyle name="40% - Accent4 3 2 2" xfId="631" xr:uid="{A1EEFD3C-C483-4F6B-BCD9-7884AF079F68}"/>
    <cellStyle name="40% - Accent4 3 3" xfId="487" xr:uid="{00000000-0005-0000-0000-000013000000}"/>
    <cellStyle name="40% - Accent4 3 3 2" xfId="761" xr:uid="{01795472-3597-4C99-B5A3-9DC0E16C8B6F}"/>
    <cellStyle name="40% - Accent4 3 4" xfId="821" xr:uid="{83174D97-1BFB-4A95-B480-CBA9991AA8F4}"/>
    <cellStyle name="40% - Accent4 3 5" xfId="588" xr:uid="{6DC1C5CB-7157-4DCB-A1ED-F6571400225D}"/>
    <cellStyle name="40% - Accent4 4" xfId="600" xr:uid="{79F48562-04EF-4373-8568-9C48855A8350}"/>
    <cellStyle name="40% - Accent4 4 2" xfId="773" xr:uid="{39062E2D-10CC-4E18-9D50-8052579C3EE0}"/>
    <cellStyle name="40% - Accent4 4 3" xfId="822" xr:uid="{15262592-1FAB-4A34-803D-39BB6D15DC0E}"/>
    <cellStyle name="40% - Accent4 5" xfId="712" xr:uid="{A5EDD49F-C4C0-4E28-B2A2-7BD119373718}"/>
    <cellStyle name="40% - Accent4 6" xfId="819" xr:uid="{6BA192F0-D48D-4DA3-A2E2-E603DFB9A312}"/>
    <cellStyle name="40% - Accent5" xfId="536" builtinId="47" customBuiltin="1"/>
    <cellStyle name="40% - Accent5 2" xfId="11" xr:uid="{00000000-0005-0000-0000-00000A000000}"/>
    <cellStyle name="40% - Accent5 2 2" xfId="465" xr:uid="{00000000-0005-0000-0000-000014000000}"/>
    <cellStyle name="40% - Accent5 2 2 2" xfId="632" xr:uid="{059914AB-D6D6-4EE3-BD64-02379B17F8AE}"/>
    <cellStyle name="40% - Accent5 2 3" xfId="420" xr:uid="{00000000-0005-0000-0000-000014000000}"/>
    <cellStyle name="40% - Accent5 2 3 2" xfId="749" xr:uid="{CD9A9095-DE39-40BB-BB8C-4ED67B61FB63}"/>
    <cellStyle name="40% - Accent5 2 3 3" xfId="576" xr:uid="{5CD04F8F-CEF6-4BBC-BB08-03192B72598F}"/>
    <cellStyle name="40% - Accent5 2 4" xfId="824" xr:uid="{573E82AB-47A8-4C82-AECE-680F62C9EA97}"/>
    <cellStyle name="40% - Accent5 3" xfId="383" xr:uid="{00000000-0005-0000-0000-000015000000}"/>
    <cellStyle name="40% - Accent5 3 2" xfId="443" xr:uid="{00000000-0005-0000-0000-000015000000}"/>
    <cellStyle name="40% - Accent5 3 2 2" xfId="633" xr:uid="{3C752F5C-C766-44BA-9E9E-5BF2030C2815}"/>
    <cellStyle name="40% - Accent5 3 3" xfId="489" xr:uid="{00000000-0005-0000-0000-000015000000}"/>
    <cellStyle name="40% - Accent5 3 3 2" xfId="763" xr:uid="{1F5A8252-85C2-457E-9693-83E48ECE6E12}"/>
    <cellStyle name="40% - Accent5 3 4" xfId="825" xr:uid="{1E4EA8FF-EC07-4AED-ABF7-A9FAE9F61B89}"/>
    <cellStyle name="40% - Accent5 3 5" xfId="590" xr:uid="{2198F95E-1FC6-400D-8B64-17B718B732BD}"/>
    <cellStyle name="40% - Accent5 4" xfId="602" xr:uid="{4F5AE325-0F15-40AD-AA05-1851CC2726F4}"/>
    <cellStyle name="40% - Accent5 4 2" xfId="775" xr:uid="{61C89A20-F5D5-4FF9-998B-0544FE53877E}"/>
    <cellStyle name="40% - Accent5 4 3" xfId="826" xr:uid="{10E4DC31-F561-406E-A97D-EA5EFA59C7D5}"/>
    <cellStyle name="40% - Accent5 5" xfId="714" xr:uid="{3A336B31-2220-43DE-ABB7-111324DD74C5}"/>
    <cellStyle name="40% - Accent5 6" xfId="823" xr:uid="{8D319A63-20B3-4B0A-B63B-09A2F5A7AC29}"/>
    <cellStyle name="40% - Accent6" xfId="539" builtinId="51" customBuiltin="1"/>
    <cellStyle name="40% - Accent6 2" xfId="12" xr:uid="{00000000-0005-0000-0000-00000B000000}"/>
    <cellStyle name="40% - Accent6 2 2" xfId="467" xr:uid="{00000000-0005-0000-0000-000016000000}"/>
    <cellStyle name="40% - Accent6 2 2 2" xfId="634" xr:uid="{D26BC1CB-FED7-4B9E-88F2-8EBFBF3AA6DB}"/>
    <cellStyle name="40% - Accent6 2 3" xfId="422" xr:uid="{00000000-0005-0000-0000-000016000000}"/>
    <cellStyle name="40% - Accent6 2 3 2" xfId="751" xr:uid="{47D16604-02FB-4FDD-8EA7-5AA2CE9ABEDF}"/>
    <cellStyle name="40% - Accent6 2 3 3" xfId="578" xr:uid="{CE494E4F-52E7-4265-8CEE-BE6BFA7F6099}"/>
    <cellStyle name="40% - Accent6 2 4" xfId="828" xr:uid="{D0D97A8B-1139-4586-B131-D86D88D6153E}"/>
    <cellStyle name="40% - Accent6 3" xfId="387" xr:uid="{00000000-0005-0000-0000-000017000000}"/>
    <cellStyle name="40% - Accent6 3 2" xfId="445" xr:uid="{00000000-0005-0000-0000-000017000000}"/>
    <cellStyle name="40% - Accent6 3 2 2" xfId="635" xr:uid="{F05942BD-C376-4702-8B27-87A5A0EEB04A}"/>
    <cellStyle name="40% - Accent6 3 3" xfId="491" xr:uid="{00000000-0005-0000-0000-000017000000}"/>
    <cellStyle name="40% - Accent6 3 3 2" xfId="765" xr:uid="{8AEA3C02-3C38-424E-B009-2E2A8F98F35E}"/>
    <cellStyle name="40% - Accent6 3 4" xfId="829" xr:uid="{E8DDB23F-4A05-4412-BBB5-275961AE9FFD}"/>
    <cellStyle name="40% - Accent6 3 5" xfId="592" xr:uid="{095B9D33-78DA-46B8-9996-54A3B7D1B6AC}"/>
    <cellStyle name="40% - Accent6 4" xfId="604" xr:uid="{A4343618-41BF-419D-AA34-DFE99AA0E2EB}"/>
    <cellStyle name="40% - Accent6 4 2" xfId="777" xr:uid="{5A490FAE-488C-41B6-9A76-29D74711C39B}"/>
    <cellStyle name="40% - Accent6 4 3" xfId="830" xr:uid="{7E0D864A-6C51-4AFC-9DDE-BA1FD5DC4C1F}"/>
    <cellStyle name="40% - Accent6 5" xfId="716" xr:uid="{02CD39B4-1922-414E-A90B-91B357E0F071}"/>
    <cellStyle name="40% - Accent6 6" xfId="827" xr:uid="{B5ECAD52-C6D0-4C28-8CBB-C838B113DA1D}"/>
    <cellStyle name="60% - Accent1 2" xfId="13" xr:uid="{00000000-0005-0000-0000-00000C000000}"/>
    <cellStyle name="60% - Accent1 2 2" xfId="368" xr:uid="{00000000-0005-0000-0000-000018000000}"/>
    <cellStyle name="60% - Accent1 2 2 2" xfId="636" xr:uid="{315B7735-CD0C-4BFC-93CE-1D7CA7674667}"/>
    <cellStyle name="60% - Accent1 3" xfId="637" xr:uid="{32FE4C27-DF6A-4C27-A101-486285F3D729}"/>
    <cellStyle name="60% - Accent2 2" xfId="14" xr:uid="{00000000-0005-0000-0000-00000D000000}"/>
    <cellStyle name="60% - Accent2 2 2" xfId="372" xr:uid="{00000000-0005-0000-0000-000019000000}"/>
    <cellStyle name="60% - Accent2 2 2 2" xfId="638" xr:uid="{80615E53-FBB5-4BC5-81F4-699CA3F2D9C8}"/>
    <cellStyle name="60% - Accent2 3" xfId="639" xr:uid="{848BB596-F350-4F9C-A890-FC05BDFB3DAC}"/>
    <cellStyle name="60% - Accent3 2" xfId="15" xr:uid="{00000000-0005-0000-0000-00000E000000}"/>
    <cellStyle name="60% - Accent3 2 2" xfId="376" xr:uid="{00000000-0005-0000-0000-00001A000000}"/>
    <cellStyle name="60% - Accent3 2 2 2" xfId="640" xr:uid="{9AD38DEC-2704-42DB-A52D-FC99CFC07D22}"/>
    <cellStyle name="60% - Accent3 3" xfId="641" xr:uid="{1C09536C-5E08-45A2-BD87-0F7A9CC5CBB0}"/>
    <cellStyle name="60% - Accent4 2" xfId="16" xr:uid="{00000000-0005-0000-0000-00000F000000}"/>
    <cellStyle name="60% - Accent4 2 2" xfId="380" xr:uid="{00000000-0005-0000-0000-00001B000000}"/>
    <cellStyle name="60% - Accent4 2 2 2" xfId="642" xr:uid="{90739FE8-E01F-43EF-B683-B983FFEFA522}"/>
    <cellStyle name="60% - Accent4 3" xfId="643" xr:uid="{C0B3C441-1F18-45A4-9B8A-FED0DBD23B2A}"/>
    <cellStyle name="60% - Accent5 2" xfId="17" xr:uid="{00000000-0005-0000-0000-000010000000}"/>
    <cellStyle name="60% - Accent5 2 2" xfId="384" xr:uid="{00000000-0005-0000-0000-00001C000000}"/>
    <cellStyle name="60% - Accent5 2 2 2" xfId="644" xr:uid="{3AAA65E0-020C-492A-B66E-7368F0D5375C}"/>
    <cellStyle name="60% - Accent5 3" xfId="645" xr:uid="{68C0B6D3-05BF-48D9-8128-30A3D9EF2119}"/>
    <cellStyle name="60% - Accent6 2" xfId="18" xr:uid="{00000000-0005-0000-0000-000011000000}"/>
    <cellStyle name="60% - Accent6 2 2" xfId="388" xr:uid="{00000000-0005-0000-0000-00001D000000}"/>
    <cellStyle name="60% - Accent6 2 2 2" xfId="646" xr:uid="{BCE2CB9A-4074-4885-B4C3-B2CD93A2C5C2}"/>
    <cellStyle name="60% - Accent6 3" xfId="647" xr:uid="{85B1EC20-604A-4069-93FC-3224A679FE58}"/>
    <cellStyle name="Accent1" xfId="522" builtinId="29" customBuiltin="1"/>
    <cellStyle name="Accent1 2" xfId="19" xr:uid="{00000000-0005-0000-0000-000012000000}"/>
    <cellStyle name="Accent1 2 2" xfId="365" xr:uid="{00000000-0005-0000-0000-00001E000000}"/>
    <cellStyle name="Accent1 2 2 2" xfId="648" xr:uid="{7B37C97B-DC8F-49A7-A646-3F8AD6D1528D}"/>
    <cellStyle name="Accent1 3" xfId="649" xr:uid="{DDDDCD64-523B-4926-84F0-A671FC623EB7}"/>
    <cellStyle name="Accent2" xfId="525" builtinId="33" customBuiltin="1"/>
    <cellStyle name="Accent2 2" xfId="20" xr:uid="{00000000-0005-0000-0000-000013000000}"/>
    <cellStyle name="Accent2 2 2" xfId="369" xr:uid="{00000000-0005-0000-0000-00001F000000}"/>
    <cellStyle name="Accent2 2 2 2" xfId="650" xr:uid="{D20B240C-B8F0-41C7-B8A8-0229B81FA4F2}"/>
    <cellStyle name="Accent2 3" xfId="651" xr:uid="{FD848121-DA88-4144-830C-358B489EB028}"/>
    <cellStyle name="Accent3" xfId="528" builtinId="37" customBuiltin="1"/>
    <cellStyle name="Accent3 2" xfId="21" xr:uid="{00000000-0005-0000-0000-000014000000}"/>
    <cellStyle name="Accent3 2 2" xfId="373" xr:uid="{00000000-0005-0000-0000-000020000000}"/>
    <cellStyle name="Accent3 2 2 2" xfId="652" xr:uid="{33A4D0AA-5F52-4C48-8AC6-BFEEB20B2DC3}"/>
    <cellStyle name="Accent3 3" xfId="653" xr:uid="{0E8F4A4B-511D-4983-8BB2-389F54BA94E0}"/>
    <cellStyle name="Accent4" xfId="531" builtinId="41" customBuiltin="1"/>
    <cellStyle name="Accent4 2" xfId="22" xr:uid="{00000000-0005-0000-0000-000015000000}"/>
    <cellStyle name="Accent4 2 2" xfId="377" xr:uid="{00000000-0005-0000-0000-000021000000}"/>
    <cellStyle name="Accent4 2 2 2" xfId="654" xr:uid="{890C289C-81E8-4E1E-8A07-754D0C556125}"/>
    <cellStyle name="Accent4 3" xfId="655" xr:uid="{9F4F7276-5243-46D7-A631-8C4DC65E1772}"/>
    <cellStyle name="Accent5" xfId="534" builtinId="45" customBuiltin="1"/>
    <cellStyle name="Accent5 2" xfId="23" xr:uid="{00000000-0005-0000-0000-000016000000}"/>
    <cellStyle name="Accent5 2 2" xfId="381" xr:uid="{00000000-0005-0000-0000-000022000000}"/>
    <cellStyle name="Accent5 2 2 2" xfId="656" xr:uid="{2CB7E1DB-4A8F-483B-8866-2F3445A1D017}"/>
    <cellStyle name="Accent5 3" xfId="657" xr:uid="{D3AFDF25-AEB4-47A4-97E6-1FE0C5F22C8B}"/>
    <cellStyle name="Accent6" xfId="537" builtinId="49" customBuiltin="1"/>
    <cellStyle name="Accent6 2" xfId="24" xr:uid="{00000000-0005-0000-0000-000017000000}"/>
    <cellStyle name="Accent6 2 2" xfId="385" xr:uid="{00000000-0005-0000-0000-000023000000}"/>
    <cellStyle name="Accent6 2 2 2" xfId="658" xr:uid="{02B648DF-F25F-44C9-9B24-4C6CE6F29E2A}"/>
    <cellStyle name="Accent6 3" xfId="659" xr:uid="{EB83C8E0-D4AA-4389-ABE9-980F0D2066E9}"/>
    <cellStyle name="Bad" xfId="514" builtinId="27" customBuiltin="1"/>
    <cellStyle name="Bad 2" xfId="25" xr:uid="{00000000-0005-0000-0000-000018000000}"/>
    <cellStyle name="Bad 2 2" xfId="355" xr:uid="{00000000-0005-0000-0000-000024000000}"/>
    <cellStyle name="Bad 2 2 2" xfId="660" xr:uid="{1096D00B-2CC7-42DC-A700-8D682989290B}"/>
    <cellStyle name="Bad 3" xfId="661" xr:uid="{FC61F99A-D0A4-4F2C-9314-819660A6C81E}"/>
    <cellStyle name="Calculation" xfId="517" builtinId="22" customBuiltin="1"/>
    <cellStyle name="Calculation 2" xfId="26" xr:uid="{00000000-0005-0000-0000-000019000000}"/>
    <cellStyle name="Calculation 2 2" xfId="359" xr:uid="{00000000-0005-0000-0000-000025000000}"/>
    <cellStyle name="Calculation 2 2 2" xfId="662" xr:uid="{E7306078-DAD3-4104-8EEE-F2EC4B133297}"/>
    <cellStyle name="Calculation 3" xfId="663" xr:uid="{680C578B-8D0F-47EB-BEAD-73D929C5D008}"/>
    <cellStyle name="Check Cell" xfId="519" builtinId="23" customBuiltin="1"/>
    <cellStyle name="Check Cell 2" xfId="27" xr:uid="{00000000-0005-0000-0000-00001A000000}"/>
    <cellStyle name="Check Cell 2 2" xfId="361" xr:uid="{00000000-0005-0000-0000-000026000000}"/>
    <cellStyle name="Check Cell 2 2 2" xfId="664" xr:uid="{4D6EC657-0E40-4299-B083-C47DC61EB2E7}"/>
    <cellStyle name="Check Cell 3" xfId="665" xr:uid="{CAE01106-86FE-46A9-8F11-A3FFC848F815}"/>
    <cellStyle name="Comma" xfId="28" builtinId="3"/>
    <cellStyle name="Comma 10" xfId="172" xr:uid="{00000000-0005-0000-0000-000001000000}"/>
    <cellStyle name="Comma 11" xfId="173" xr:uid="{00000000-0005-0000-0000-000002000000}"/>
    <cellStyle name="Comma 12" xfId="174" xr:uid="{00000000-0005-0000-0000-000003000000}"/>
    <cellStyle name="Comma 13" xfId="175" xr:uid="{00000000-0005-0000-0000-000004000000}"/>
    <cellStyle name="Comma 14" xfId="176" xr:uid="{00000000-0005-0000-0000-000005000000}"/>
    <cellStyle name="Comma 15" xfId="177" xr:uid="{00000000-0005-0000-0000-000006000000}"/>
    <cellStyle name="Comma 16" xfId="178" xr:uid="{00000000-0005-0000-0000-000007000000}"/>
    <cellStyle name="Comma 17" xfId="179" xr:uid="{00000000-0005-0000-0000-000008000000}"/>
    <cellStyle name="Comma 18" xfId="180" xr:uid="{00000000-0005-0000-0000-000009000000}"/>
    <cellStyle name="Comma 19" xfId="181" xr:uid="{00000000-0005-0000-0000-00000A000000}"/>
    <cellStyle name="Comma 2" xfId="29" xr:uid="{00000000-0005-0000-0000-00001C000000}"/>
    <cellStyle name="Comma 2 10" xfId="182" xr:uid="{00000000-0005-0000-0000-00000C000000}"/>
    <cellStyle name="Comma 2 11" xfId="183" xr:uid="{00000000-0005-0000-0000-00000D000000}"/>
    <cellStyle name="Comma 2 12" xfId="184" xr:uid="{00000000-0005-0000-0000-00000E000000}"/>
    <cellStyle name="Comma 2 13" xfId="185" xr:uid="{00000000-0005-0000-0000-00000F000000}"/>
    <cellStyle name="Comma 2 14" xfId="186" xr:uid="{00000000-0005-0000-0000-000010000000}"/>
    <cellStyle name="Comma 2 15" xfId="187" xr:uid="{00000000-0005-0000-0000-000011000000}"/>
    <cellStyle name="Comma 2 16" xfId="188" xr:uid="{00000000-0005-0000-0000-000012000000}"/>
    <cellStyle name="Comma 2 17" xfId="189" xr:uid="{00000000-0005-0000-0000-000013000000}"/>
    <cellStyle name="Comma 2 18" xfId="190" xr:uid="{00000000-0005-0000-0000-000014000000}"/>
    <cellStyle name="Comma 2 19" xfId="191" xr:uid="{00000000-0005-0000-0000-000015000000}"/>
    <cellStyle name="Comma 2 2" xfId="30" xr:uid="{00000000-0005-0000-0000-00001D000000}"/>
    <cellStyle name="Comma 2 2 2" xfId="139" xr:uid="{00000000-0005-0000-0000-000016000000}"/>
    <cellStyle name="Comma 2 2 3" xfId="735" xr:uid="{C03C6C04-9777-4FEB-B01E-B1BE3DA1AF8C}"/>
    <cellStyle name="Comma 2 20" xfId="192" xr:uid="{00000000-0005-0000-0000-000017000000}"/>
    <cellStyle name="Comma 2 21" xfId="193" xr:uid="{00000000-0005-0000-0000-000018000000}"/>
    <cellStyle name="Comma 2 22" xfId="194" xr:uid="{00000000-0005-0000-0000-000019000000}"/>
    <cellStyle name="Comma 2 23" xfId="195" xr:uid="{00000000-0005-0000-0000-00001A000000}"/>
    <cellStyle name="Comma 2 24" xfId="196" xr:uid="{00000000-0005-0000-0000-00001B000000}"/>
    <cellStyle name="Comma 2 25" xfId="390" xr:uid="{00000000-0005-0000-0000-000043000000}"/>
    <cellStyle name="Comma 2 26" xfId="345" xr:uid="{00000000-0005-0000-0000-000032000000}"/>
    <cellStyle name="Comma 2 27" xfId="431" xr:uid="{00000000-0005-0000-0000-000032000000}"/>
    <cellStyle name="Comma 2 28" xfId="131" xr:uid="{00000000-0005-0000-0000-00000B000000}"/>
    <cellStyle name="Comma 2 28 2" xfId="477" xr:uid="{00000000-0005-0000-0000-000032000000}"/>
    <cellStyle name="Comma 2 29" xfId="559" xr:uid="{65D6FAD3-490A-4881-B935-E123295F1B2C}"/>
    <cellStyle name="Comma 2 3" xfId="137" xr:uid="{00000000-0005-0000-0000-00001C000000}"/>
    <cellStyle name="Comma 2 3 2" xfId="831" xr:uid="{9D7BB6CD-9463-4B97-8188-EDC3A39DB8C1}"/>
    <cellStyle name="Comma 2 4" xfId="153" xr:uid="{00000000-0005-0000-0000-00001D000000}"/>
    <cellStyle name="Comma 2 5" xfId="159" xr:uid="{00000000-0005-0000-0000-00001E000000}"/>
    <cellStyle name="Comma 2 6" xfId="158" xr:uid="{00000000-0005-0000-0000-00001F000000}"/>
    <cellStyle name="Comma 2 7" xfId="163" xr:uid="{00000000-0005-0000-0000-000020000000}"/>
    <cellStyle name="Comma 2 8" xfId="197" xr:uid="{00000000-0005-0000-0000-000021000000}"/>
    <cellStyle name="Comma 2 9" xfId="198" xr:uid="{00000000-0005-0000-0000-000022000000}"/>
    <cellStyle name="Comma 20" xfId="199" xr:uid="{00000000-0005-0000-0000-000023000000}"/>
    <cellStyle name="Comma 21" xfId="344" xr:uid="{00000000-0005-0000-0000-00004C010000}"/>
    <cellStyle name="Comma 22" xfId="430" xr:uid="{00000000-0005-0000-0000-000094010000}"/>
    <cellStyle name="Comma 23" xfId="130" xr:uid="{00000000-0005-0000-0000-00006E000000}"/>
    <cellStyle name="Comma 23 2" xfId="476" xr:uid="{00000000-0005-0000-0000-0000C3010000}"/>
    <cellStyle name="Comma 24" xfId="506" xr:uid="{38D8BC0A-BEEE-425C-ACF8-4E3277A92E5E}"/>
    <cellStyle name="Comma 3" xfId="31" xr:uid="{00000000-0005-0000-0000-00001E000000}"/>
    <cellStyle name="Comma 3 2" xfId="32" xr:uid="{00000000-0005-0000-0000-00001F000000}"/>
    <cellStyle name="Comma 3 2 2" xfId="738" xr:uid="{86673485-7405-4C4B-B651-5E4F7484F12A}"/>
    <cellStyle name="Comma 3 3" xfId="140" xr:uid="{00000000-0005-0000-0000-000026000000}"/>
    <cellStyle name="Comma 3 3 2" xfId="832" xr:uid="{BC8325AE-7737-44CE-824F-3449AB596A34}"/>
    <cellStyle name="Comma 3 4" xfId="154" xr:uid="{00000000-0005-0000-0000-000027000000}"/>
    <cellStyle name="Comma 3 5" xfId="160" xr:uid="{00000000-0005-0000-0000-000028000000}"/>
    <cellStyle name="Comma 3 6" xfId="161" xr:uid="{00000000-0005-0000-0000-000029000000}"/>
    <cellStyle name="Comma 3 7" xfId="157" xr:uid="{00000000-0005-0000-0000-00002A000000}"/>
    <cellStyle name="Comma 3 8" xfId="565" xr:uid="{D1A9CCE9-4987-4EEA-9CB7-1D158485CFC6}"/>
    <cellStyle name="Comma 4" xfId="33" xr:uid="{00000000-0005-0000-0000-000020000000}"/>
    <cellStyle name="Comma 4 2" xfId="200" xr:uid="{00000000-0005-0000-0000-00002B000000}"/>
    <cellStyle name="Comma 4 3" xfId="557" xr:uid="{31F52A39-8699-4FA2-9043-B585857C8127}"/>
    <cellStyle name="Comma 5" xfId="34" xr:uid="{00000000-0005-0000-0000-000021000000}"/>
    <cellStyle name="Comma 5 2" xfId="201" xr:uid="{00000000-0005-0000-0000-00002C000000}"/>
    <cellStyle name="Comma 6" xfId="35" xr:uid="{00000000-0005-0000-0000-000022000000}"/>
    <cellStyle name="Comma 6 2" xfId="202" xr:uid="{00000000-0005-0000-0000-00002D000000}"/>
    <cellStyle name="Comma 7" xfId="36" xr:uid="{00000000-0005-0000-0000-000023000000}"/>
    <cellStyle name="Comma 7 2" xfId="391" xr:uid="{00000000-0005-0000-0000-000056000000}"/>
    <cellStyle name="Comma 8" xfId="37" xr:uid="{00000000-0005-0000-0000-000024000000}"/>
    <cellStyle name="Comma 8 2" xfId="401" xr:uid="{00000000-0005-0000-0000-000057000000}"/>
    <cellStyle name="Comma 9" xfId="203" xr:uid="{00000000-0005-0000-0000-00002E000000}"/>
    <cellStyle name="Comma0" xfId="38" xr:uid="{00000000-0005-0000-0000-000025000000}"/>
    <cellStyle name="Comma0 2" xfId="39" xr:uid="{00000000-0005-0000-0000-000026000000}"/>
    <cellStyle name="Comma0 2 2" xfId="40" xr:uid="{00000000-0005-0000-0000-000027000000}"/>
    <cellStyle name="Comma0 3" xfId="41" xr:uid="{00000000-0005-0000-0000-000028000000}"/>
    <cellStyle name="Comma0 4" xfId="42" xr:uid="{00000000-0005-0000-0000-000029000000}"/>
    <cellStyle name="Currency" xfId="43" builtinId="4"/>
    <cellStyle name="Currency 10" xfId="204" xr:uid="{00000000-0005-0000-0000-000031000000}"/>
    <cellStyle name="Currency 11" xfId="205" xr:uid="{00000000-0005-0000-0000-000032000000}"/>
    <cellStyle name="Currency 12" xfId="206" xr:uid="{00000000-0005-0000-0000-000033000000}"/>
    <cellStyle name="Currency 13" xfId="207" xr:uid="{00000000-0005-0000-0000-000034000000}"/>
    <cellStyle name="Currency 14" xfId="208" xr:uid="{00000000-0005-0000-0000-000035000000}"/>
    <cellStyle name="Currency 15" xfId="209" xr:uid="{00000000-0005-0000-0000-000036000000}"/>
    <cellStyle name="Currency 16" xfId="210" xr:uid="{00000000-0005-0000-0000-000037000000}"/>
    <cellStyle name="Currency 17" xfId="211" xr:uid="{00000000-0005-0000-0000-000038000000}"/>
    <cellStyle name="Currency 18" xfId="212" xr:uid="{00000000-0005-0000-0000-000039000000}"/>
    <cellStyle name="Currency 19" xfId="213" xr:uid="{00000000-0005-0000-0000-00003A000000}"/>
    <cellStyle name="Currency 2" xfId="44" xr:uid="{00000000-0005-0000-0000-00002B000000}"/>
    <cellStyle name="Currency 2 10" xfId="214" xr:uid="{00000000-0005-0000-0000-00003C000000}"/>
    <cellStyle name="Currency 2 11" xfId="215" xr:uid="{00000000-0005-0000-0000-00003D000000}"/>
    <cellStyle name="Currency 2 12" xfId="216" xr:uid="{00000000-0005-0000-0000-00003E000000}"/>
    <cellStyle name="Currency 2 13" xfId="217" xr:uid="{00000000-0005-0000-0000-00003F000000}"/>
    <cellStyle name="Currency 2 14" xfId="218" xr:uid="{00000000-0005-0000-0000-000040000000}"/>
    <cellStyle name="Currency 2 15" xfId="219" xr:uid="{00000000-0005-0000-0000-000041000000}"/>
    <cellStyle name="Currency 2 16" xfId="220" xr:uid="{00000000-0005-0000-0000-000042000000}"/>
    <cellStyle name="Currency 2 17" xfId="221" xr:uid="{00000000-0005-0000-0000-000043000000}"/>
    <cellStyle name="Currency 2 18" xfId="222" xr:uid="{00000000-0005-0000-0000-000044000000}"/>
    <cellStyle name="Currency 2 19" xfId="223" xr:uid="{00000000-0005-0000-0000-000045000000}"/>
    <cellStyle name="Currency 2 2" xfId="45" xr:uid="{00000000-0005-0000-0000-00002C000000}"/>
    <cellStyle name="Currency 2 20" xfId="224" xr:uid="{00000000-0005-0000-0000-000047000000}"/>
    <cellStyle name="Currency 2 21" xfId="225" xr:uid="{00000000-0005-0000-0000-000048000000}"/>
    <cellStyle name="Currency 2 22" xfId="226" xr:uid="{00000000-0005-0000-0000-000049000000}"/>
    <cellStyle name="Currency 2 23" xfId="227" xr:uid="{00000000-0005-0000-0000-00004A000000}"/>
    <cellStyle name="Currency 2 24" xfId="228" xr:uid="{00000000-0005-0000-0000-00004B000000}"/>
    <cellStyle name="Currency 2 25" xfId="610" xr:uid="{193B812F-C629-4883-9DAB-6CBCDF3420D7}"/>
    <cellStyle name="Currency 2 3" xfId="149" xr:uid="{00000000-0005-0000-0000-00004C000000}"/>
    <cellStyle name="Currency 2 4" xfId="150" xr:uid="{00000000-0005-0000-0000-00004D000000}"/>
    <cellStyle name="Currency 2 5" xfId="162" xr:uid="{00000000-0005-0000-0000-00004E000000}"/>
    <cellStyle name="Currency 2 6" xfId="166" xr:uid="{00000000-0005-0000-0000-00004F000000}"/>
    <cellStyle name="Currency 2 7" xfId="169" xr:uid="{00000000-0005-0000-0000-000050000000}"/>
    <cellStyle name="Currency 2 8" xfId="229" xr:uid="{00000000-0005-0000-0000-000051000000}"/>
    <cellStyle name="Currency 2 9" xfId="230" xr:uid="{00000000-0005-0000-0000-000052000000}"/>
    <cellStyle name="Currency 20" xfId="510" xr:uid="{C9F92BC5-CC96-4C9C-95ED-295EB8C9498C}"/>
    <cellStyle name="Currency 3" xfId="46" xr:uid="{00000000-0005-0000-0000-00002D000000}"/>
    <cellStyle name="Currency 3 2" xfId="47" xr:uid="{00000000-0005-0000-0000-00002E000000}"/>
    <cellStyle name="Currency 3 2 2" xfId="780" xr:uid="{C2E6C228-2C96-4012-9BA8-25560B8BC1E1}"/>
    <cellStyle name="Currency 3 3" xfId="834" xr:uid="{0BEDEE26-51E6-445C-BB63-A0565FE7F69D}"/>
    <cellStyle name="Currency 3 4" xfId="611" xr:uid="{9A7FB1D8-A8F4-4E46-B20D-D165C85E78F0}"/>
    <cellStyle name="Currency 4" xfId="48" xr:uid="{00000000-0005-0000-0000-00002F000000}"/>
    <cellStyle name="Currency 4 2" xfId="231" xr:uid="{00000000-0005-0000-0000-000054000000}"/>
    <cellStyle name="Currency 4 2 2" xfId="733" xr:uid="{D5D055F5-D115-45BF-A2FA-A8A2E8683B59}"/>
    <cellStyle name="Currency 4 3" xfId="556" xr:uid="{EED5A46D-6FDB-42E2-943C-C3C0D7557C14}"/>
    <cellStyle name="Currency 5" xfId="49" xr:uid="{00000000-0005-0000-0000-000030000000}"/>
    <cellStyle name="Currency 5 2" xfId="232" xr:uid="{00000000-0005-0000-0000-000055000000}"/>
    <cellStyle name="Currency 6" xfId="50" xr:uid="{00000000-0005-0000-0000-000031000000}"/>
    <cellStyle name="Currency 6 2" xfId="132" xr:uid="{00000000-0005-0000-0000-0000A5000000}"/>
    <cellStyle name="Currency 6 3" xfId="833" xr:uid="{A649F71F-1816-416F-BE20-83AB1606FC42}"/>
    <cellStyle name="Currency 7" xfId="233" xr:uid="{00000000-0005-0000-0000-000056000000}"/>
    <cellStyle name="Currency 8" xfId="234" xr:uid="{00000000-0005-0000-0000-000057000000}"/>
    <cellStyle name="Currency 9" xfId="235" xr:uid="{00000000-0005-0000-0000-000058000000}"/>
    <cellStyle name="Currency0" xfId="51" xr:uid="{00000000-0005-0000-0000-000032000000}"/>
    <cellStyle name="Currency0 2" xfId="52" xr:uid="{00000000-0005-0000-0000-000033000000}"/>
    <cellStyle name="Currency0 3" xfId="53" xr:uid="{00000000-0005-0000-0000-000034000000}"/>
    <cellStyle name="Date" xfId="54" xr:uid="{00000000-0005-0000-0000-000035000000}"/>
    <cellStyle name="Date 2" xfId="55" xr:uid="{00000000-0005-0000-0000-000036000000}"/>
    <cellStyle name="Date 3" xfId="56" xr:uid="{00000000-0005-0000-0000-000037000000}"/>
    <cellStyle name="Explanatory Text" xfId="521" builtinId="53" customBuiltin="1"/>
    <cellStyle name="Explanatory Text 2" xfId="57" xr:uid="{00000000-0005-0000-0000-000038000000}"/>
    <cellStyle name="Explanatory Text 2 2" xfId="363" xr:uid="{00000000-0005-0000-0000-000084000000}"/>
    <cellStyle name="Explanatory Text 2 2 2" xfId="666" xr:uid="{EB12CABB-E854-4CD0-B740-138BD1F91AE6}"/>
    <cellStyle name="Explanatory Text 3" xfId="667" xr:uid="{D200BA39-C724-4F5A-A5D4-57876CA3F854}"/>
    <cellStyle name="Fixed" xfId="58" xr:uid="{00000000-0005-0000-0000-000039000000}"/>
    <cellStyle name="Fixed 2" xfId="59" xr:uid="{00000000-0005-0000-0000-00003A000000}"/>
    <cellStyle name="Fixed 3" xfId="60" xr:uid="{00000000-0005-0000-0000-00003B000000}"/>
    <cellStyle name="Followed Hyperlink 2" xfId="406" xr:uid="{00000000-0005-0000-0000-000052010000}"/>
    <cellStyle name="Good" xfId="513" builtinId="26" customBuiltin="1"/>
    <cellStyle name="Good 2" xfId="61" xr:uid="{00000000-0005-0000-0000-00003C000000}"/>
    <cellStyle name="Good 2 2" xfId="354" xr:uid="{00000000-0005-0000-0000-000087000000}"/>
    <cellStyle name="Good 2 2 2" xfId="668" xr:uid="{B84D7254-2283-4CF4-9D90-86D9BF987F00}"/>
    <cellStyle name="Good 3" xfId="669" xr:uid="{14D688D8-C5B3-4701-91ED-B9ADC490BA0C}"/>
    <cellStyle name="Heading 1 10" xfId="236" xr:uid="{00000000-0005-0000-0000-00005D000000}"/>
    <cellStyle name="Heading 1 11" xfId="237" xr:uid="{00000000-0005-0000-0000-00005E000000}"/>
    <cellStyle name="Heading 1 12" xfId="238" xr:uid="{00000000-0005-0000-0000-00005F000000}"/>
    <cellStyle name="Heading 1 13" xfId="239" xr:uid="{00000000-0005-0000-0000-000060000000}"/>
    <cellStyle name="Heading 1 14" xfId="240" xr:uid="{00000000-0005-0000-0000-000061000000}"/>
    <cellStyle name="Heading 1 15" xfId="241" xr:uid="{00000000-0005-0000-0000-000062000000}"/>
    <cellStyle name="Heading 1 16" xfId="242" xr:uid="{00000000-0005-0000-0000-000063000000}"/>
    <cellStyle name="Heading 1 17" xfId="243" xr:uid="{00000000-0005-0000-0000-000064000000}"/>
    <cellStyle name="Heading 1 18" xfId="244" xr:uid="{00000000-0005-0000-0000-000065000000}"/>
    <cellStyle name="Heading 1 19" xfId="245" xr:uid="{00000000-0005-0000-0000-000066000000}"/>
    <cellStyle name="Heading 1 2" xfId="62" xr:uid="{00000000-0005-0000-0000-00003D000000}"/>
    <cellStyle name="Heading 1 2 2" xfId="670" xr:uid="{6EBE1F8F-73A3-45B4-9241-44D382416549}"/>
    <cellStyle name="Heading 1 2 3" xfId="560" xr:uid="{CC5E46F4-15B5-48CD-953A-5B25AA85D826}"/>
    <cellStyle name="Heading 1 20" xfId="350" xr:uid="{00000000-0005-0000-0000-000093000000}"/>
    <cellStyle name="Heading 1 21" xfId="133" xr:uid="{00000000-0005-0000-0000-0000D4000000}"/>
    <cellStyle name="Heading 1 3" xfId="63" xr:uid="{00000000-0005-0000-0000-00003E000000}"/>
    <cellStyle name="Heading 1 3 2" xfId="671" xr:uid="{048329EE-7424-48DD-AC7A-533ACE22EB2C}"/>
    <cellStyle name="Heading 1 4" xfId="246" xr:uid="{00000000-0005-0000-0000-000069000000}"/>
    <cellStyle name="Heading 1 4 2" xfId="606" xr:uid="{6B4AD67F-3975-41E9-AF8E-E09E0D234E00}"/>
    <cellStyle name="Heading 1 5" xfId="247" xr:uid="{00000000-0005-0000-0000-00006A000000}"/>
    <cellStyle name="Heading 1 6" xfId="248" xr:uid="{00000000-0005-0000-0000-00006B000000}"/>
    <cellStyle name="Heading 1 7" xfId="249" xr:uid="{00000000-0005-0000-0000-00006C000000}"/>
    <cellStyle name="Heading 1 8" xfId="250" xr:uid="{00000000-0005-0000-0000-00006D000000}"/>
    <cellStyle name="Heading 1 9" xfId="251" xr:uid="{00000000-0005-0000-0000-00006E000000}"/>
    <cellStyle name="Heading 2 10" xfId="252" xr:uid="{00000000-0005-0000-0000-000070000000}"/>
    <cellStyle name="Heading 2 11" xfId="253" xr:uid="{00000000-0005-0000-0000-000071000000}"/>
    <cellStyle name="Heading 2 12" xfId="254" xr:uid="{00000000-0005-0000-0000-000072000000}"/>
    <cellStyle name="Heading 2 13" xfId="255" xr:uid="{00000000-0005-0000-0000-000073000000}"/>
    <cellStyle name="Heading 2 14" xfId="256" xr:uid="{00000000-0005-0000-0000-000074000000}"/>
    <cellStyle name="Heading 2 15" xfId="257" xr:uid="{00000000-0005-0000-0000-000075000000}"/>
    <cellStyle name="Heading 2 16" xfId="258" xr:uid="{00000000-0005-0000-0000-000076000000}"/>
    <cellStyle name="Heading 2 17" xfId="259" xr:uid="{00000000-0005-0000-0000-000077000000}"/>
    <cellStyle name="Heading 2 18" xfId="260" xr:uid="{00000000-0005-0000-0000-000078000000}"/>
    <cellStyle name="Heading 2 19" xfId="261" xr:uid="{00000000-0005-0000-0000-000079000000}"/>
    <cellStyle name="Heading 2 2" xfId="64" xr:uid="{00000000-0005-0000-0000-00003F000000}"/>
    <cellStyle name="Heading 2 2 2" xfId="672" xr:uid="{9CCAFD18-A09F-4448-8803-7A1898EBBB62}"/>
    <cellStyle name="Heading 2 2 3" xfId="561" xr:uid="{287AA029-138E-4DEA-A246-25EDB184EAD7}"/>
    <cellStyle name="Heading 2 20" xfId="351" xr:uid="{00000000-0005-0000-0000-0000A6000000}"/>
    <cellStyle name="Heading 2 21" xfId="134" xr:uid="{00000000-0005-0000-0000-0000E8000000}"/>
    <cellStyle name="Heading 2 3" xfId="65" xr:uid="{00000000-0005-0000-0000-000040000000}"/>
    <cellStyle name="Heading 2 3 2" xfId="673" xr:uid="{1ADE91EB-0EBE-4AB3-BE5F-C554E472F7B8}"/>
    <cellStyle name="Heading 2 4" xfId="262" xr:uid="{00000000-0005-0000-0000-00007C000000}"/>
    <cellStyle name="Heading 2 4 2" xfId="607" xr:uid="{B278A8F9-33FF-44F0-9E73-847AA047A628}"/>
    <cellStyle name="Heading 2 5" xfId="263" xr:uid="{00000000-0005-0000-0000-00007D000000}"/>
    <cellStyle name="Heading 2 6" xfId="264" xr:uid="{00000000-0005-0000-0000-00007E000000}"/>
    <cellStyle name="Heading 2 7" xfId="265" xr:uid="{00000000-0005-0000-0000-00007F000000}"/>
    <cellStyle name="Heading 2 8" xfId="266" xr:uid="{00000000-0005-0000-0000-000080000000}"/>
    <cellStyle name="Heading 2 9" xfId="267" xr:uid="{00000000-0005-0000-0000-000081000000}"/>
    <cellStyle name="Heading 3" xfId="511" builtinId="18" customBuiltin="1"/>
    <cellStyle name="Heading 3 2" xfId="66" xr:uid="{00000000-0005-0000-0000-000041000000}"/>
    <cellStyle name="Heading 3 2 2" xfId="352" xr:uid="{00000000-0005-0000-0000-0000AE000000}"/>
    <cellStyle name="Heading 3 2 2 2" xfId="674" xr:uid="{69F3196F-78CA-4A92-9387-09557B47E1D1}"/>
    <cellStyle name="Heading 3 3" xfId="675" xr:uid="{CE0A44B5-521B-4371-B7CC-C3213E6DFD08}"/>
    <cellStyle name="Heading 4" xfId="512" builtinId="19" customBuiltin="1"/>
    <cellStyle name="Heading 4 2" xfId="67" xr:uid="{00000000-0005-0000-0000-000042000000}"/>
    <cellStyle name="Heading 4 2 2" xfId="353" xr:uid="{00000000-0005-0000-0000-0000AF000000}"/>
    <cellStyle name="Heading 4 2 2 2" xfId="676" xr:uid="{1F681EC3-4138-4B75-985C-A58B07801496}"/>
    <cellStyle name="Heading 4 3" xfId="677" xr:uid="{17B71D18-A131-4F7A-8D70-E79A5D31E5E0}"/>
    <cellStyle name="Hyperlink 2" xfId="348" xr:uid="{00000000-0005-0000-0000-0000B0000000}"/>
    <cellStyle name="Hyperlink 3" xfId="405" xr:uid="{00000000-0005-0000-0000-0000B1000000}"/>
    <cellStyle name="Hyperlink 4" xfId="426" xr:uid="{00000000-0005-0000-0000-0000B2000000}"/>
    <cellStyle name="Hyperlink 5" xfId="428" xr:uid="{00000000-0005-0000-0000-000058010000}"/>
    <cellStyle name="Hyperlink 6" xfId="703" xr:uid="{FE5B3090-4701-4993-91EA-86B49E42A234}"/>
    <cellStyle name="Input" xfId="515" builtinId="20" customBuiltin="1"/>
    <cellStyle name="Input 2" xfId="68" xr:uid="{00000000-0005-0000-0000-000043000000}"/>
    <cellStyle name="Input 2 2" xfId="357" xr:uid="{00000000-0005-0000-0000-0000B3000000}"/>
    <cellStyle name="Input 2 2 2" xfId="678" xr:uid="{4C986104-2829-4FE1-8394-74B6DB242120}"/>
    <cellStyle name="Input 3" xfId="679" xr:uid="{D87EECC6-8B69-4DD4-9ABB-7C601F24DF83}"/>
    <cellStyle name="Linked Cell" xfId="518" builtinId="24" customBuiltin="1"/>
    <cellStyle name="Linked Cell 2" xfId="69" xr:uid="{00000000-0005-0000-0000-000044000000}"/>
    <cellStyle name="Linked Cell 2 2" xfId="360" xr:uid="{00000000-0005-0000-0000-0000B4000000}"/>
    <cellStyle name="Linked Cell 2 2 2" xfId="680" xr:uid="{2CC26ECC-1B9A-41D1-8BF3-56190B4F04A2}"/>
    <cellStyle name="Linked Cell 3" xfId="681" xr:uid="{B7ED3A6F-9799-4B5C-97F8-265E663C19B1}"/>
    <cellStyle name="Neutral 2" xfId="70" xr:uid="{00000000-0005-0000-0000-000045000000}"/>
    <cellStyle name="Neutral 2 2" xfId="356" xr:uid="{00000000-0005-0000-0000-0000B5000000}"/>
    <cellStyle name="Neutral 2 2 2" xfId="682" xr:uid="{2192996A-B9D9-4981-9425-6C28C21B0E8D}"/>
    <cellStyle name="Neutral 3" xfId="683" xr:uid="{865A9CD1-D8A4-4C93-A079-B432FE5F45E5}"/>
    <cellStyle name="Normal" xfId="0" builtinId="0"/>
    <cellStyle name="Normal 10" xfId="71" xr:uid="{00000000-0005-0000-0000-000047000000}"/>
    <cellStyle name="Normal 10 2" xfId="72" xr:uid="{00000000-0005-0000-0000-000048000000}"/>
    <cellStyle name="Normal 10 3" xfId="717" xr:uid="{E77DFCAE-315E-4222-A518-A0C964028DBB}"/>
    <cellStyle name="Normal 11" xfId="73" xr:uid="{00000000-0005-0000-0000-000049000000}"/>
    <cellStyle name="Normal 11 2" xfId="268" xr:uid="{00000000-0005-0000-0000-000085000000}"/>
    <cellStyle name="Normal 11 3" xfId="704" xr:uid="{1B854144-D094-4ADA-9A9F-35A1911F960B}"/>
    <cellStyle name="Normal 12" xfId="74" xr:uid="{00000000-0005-0000-0000-00004A000000}"/>
    <cellStyle name="Normal 12 2" xfId="269" xr:uid="{00000000-0005-0000-0000-000086000000}"/>
    <cellStyle name="Normal 12 3" xfId="782" xr:uid="{658D2AF0-9D89-4219-9F56-4BBC67B6ACDB}"/>
    <cellStyle name="Normal 13" xfId="75" xr:uid="{00000000-0005-0000-0000-00004B000000}"/>
    <cellStyle name="Normal 13 2" xfId="270" xr:uid="{00000000-0005-0000-0000-000087000000}"/>
    <cellStyle name="Normal 14" xfId="271" xr:uid="{00000000-0005-0000-0000-000088000000}"/>
    <cellStyle name="Normal 15" xfId="272" xr:uid="{00000000-0005-0000-0000-000089000000}"/>
    <cellStyle name="Normal 16" xfId="273" xr:uid="{00000000-0005-0000-0000-00008A000000}"/>
    <cellStyle name="Normal 17" xfId="274" xr:uid="{00000000-0005-0000-0000-00008B000000}"/>
    <cellStyle name="Normal 18" xfId="275" xr:uid="{00000000-0005-0000-0000-00008C000000}"/>
    <cellStyle name="Normal 19" xfId="276" xr:uid="{00000000-0005-0000-0000-00008D000000}"/>
    <cellStyle name="Normal 2" xfId="76" xr:uid="{00000000-0005-0000-0000-00004C000000}"/>
    <cellStyle name="Normal 2 10" xfId="77" xr:uid="{00000000-0005-0000-0000-00004D000000}"/>
    <cellStyle name="Normal 2 11" xfId="78" xr:uid="{00000000-0005-0000-0000-00004E000000}"/>
    <cellStyle name="Normal 2 12" xfId="79" xr:uid="{00000000-0005-0000-0000-00004F000000}"/>
    <cellStyle name="Normal 2 13" xfId="80" xr:uid="{00000000-0005-0000-0000-000050000000}"/>
    <cellStyle name="Normal 2 14" xfId="277" xr:uid="{00000000-0005-0000-0000-000093000000}"/>
    <cellStyle name="Normal 2 15" xfId="278" xr:uid="{00000000-0005-0000-0000-000094000000}"/>
    <cellStyle name="Normal 2 16" xfId="279" xr:uid="{00000000-0005-0000-0000-000095000000}"/>
    <cellStyle name="Normal 2 17" xfId="280" xr:uid="{00000000-0005-0000-0000-000096000000}"/>
    <cellStyle name="Normal 2 18" xfId="281" xr:uid="{00000000-0005-0000-0000-000097000000}"/>
    <cellStyle name="Normal 2 19" xfId="282" xr:uid="{00000000-0005-0000-0000-000098000000}"/>
    <cellStyle name="Normal 2 2" xfId="81" xr:uid="{00000000-0005-0000-0000-000051000000}"/>
    <cellStyle name="Normal 2 2 2" xfId="82" xr:uid="{00000000-0005-0000-0000-000052000000}"/>
    <cellStyle name="Normal 2 2 2 2" xfId="143" xr:uid="{00000000-0005-0000-0000-00009A000000}"/>
    <cellStyle name="Normal 2 2 3" xfId="152" xr:uid="{00000000-0005-0000-0000-00009B000000}"/>
    <cellStyle name="Normal 2 2 4" xfId="156" xr:uid="{00000000-0005-0000-0000-00009C000000}"/>
    <cellStyle name="Normal 2 2 5" xfId="392" xr:uid="{00000000-0005-0000-0000-0000D0000000}"/>
    <cellStyle name="Normal 2 2 6" xfId="346" xr:uid="{00000000-0005-0000-0000-0000CC000000}"/>
    <cellStyle name="Normal 2 2 7" xfId="432" xr:uid="{00000000-0005-0000-0000-0000CC000000}"/>
    <cellStyle name="Normal 2 2 8" xfId="478" xr:uid="{00000000-0005-0000-0000-0000CC000000}"/>
    <cellStyle name="Normal 2 20" xfId="283" xr:uid="{00000000-0005-0000-0000-00009D000000}"/>
    <cellStyle name="Normal 2 21" xfId="284" xr:uid="{00000000-0005-0000-0000-00009E000000}"/>
    <cellStyle name="Normal 2 22" xfId="285" xr:uid="{00000000-0005-0000-0000-00009F000000}"/>
    <cellStyle name="Normal 2 23" xfId="286" xr:uid="{00000000-0005-0000-0000-0000A0000000}"/>
    <cellStyle name="Normal 2 24" xfId="287" xr:uid="{00000000-0005-0000-0000-0000A1000000}"/>
    <cellStyle name="Normal 2 25" xfId="288" xr:uid="{00000000-0005-0000-0000-0000A2000000}"/>
    <cellStyle name="Normal 2 26" xfId="289" xr:uid="{00000000-0005-0000-0000-0000A3000000}"/>
    <cellStyle name="Normal 2 27" xfId="342" xr:uid="{00000000-0005-0000-0000-0000A4000000}"/>
    <cellStyle name="Normal 2 27 2" xfId="407" xr:uid="{00000000-0005-0000-0000-0000D9000000}"/>
    <cellStyle name="Normal 2 27 2 2" xfId="453" xr:uid="{00000000-0005-0000-0000-0000D9000000}"/>
    <cellStyle name="Normal 2 27 2 3" xfId="498" xr:uid="{00000000-0005-0000-0000-0000D9000000}"/>
    <cellStyle name="Normal 2 27 3" xfId="424" xr:uid="{00000000-0005-0000-0000-0000DA000000}"/>
    <cellStyle name="Normal 2 27 3 2" xfId="469" xr:uid="{00000000-0005-0000-0000-0000DA000000}"/>
    <cellStyle name="Normal 2 27 3 3" xfId="502" xr:uid="{00000000-0005-0000-0000-0000DA000000}"/>
    <cellStyle name="Normal 2 27 4" xfId="393" xr:uid="{00000000-0005-0000-0000-0000D8000000}"/>
    <cellStyle name="Normal 2 27 5" xfId="446" xr:uid="{00000000-0005-0000-0000-0000D8000000}"/>
    <cellStyle name="Normal 2 27 6" xfId="492" xr:uid="{00000000-0005-0000-0000-0000D8000000}"/>
    <cellStyle name="Normal 2 3" xfId="83" xr:uid="{00000000-0005-0000-0000-000053000000}"/>
    <cellStyle name="Normal 2 3 2" xfId="84" xr:uid="{00000000-0005-0000-0000-000054000000}"/>
    <cellStyle name="Normal 2 3 3" xfId="145" xr:uid="{00000000-0005-0000-0000-0000A5000000}"/>
    <cellStyle name="Normal 2 4" xfId="85" xr:uid="{00000000-0005-0000-0000-000055000000}"/>
    <cellStyle name="Normal 2 4 2" xfId="147" xr:uid="{00000000-0005-0000-0000-0000A6000000}"/>
    <cellStyle name="Normal 2 5" xfId="86" xr:uid="{00000000-0005-0000-0000-000056000000}"/>
    <cellStyle name="Normal 2 6" xfId="87" xr:uid="{00000000-0005-0000-0000-000057000000}"/>
    <cellStyle name="Normal 2 7" xfId="88" xr:uid="{00000000-0005-0000-0000-000058000000}"/>
    <cellStyle name="Normal 2 8" xfId="89" xr:uid="{00000000-0005-0000-0000-000059000000}"/>
    <cellStyle name="Normal 2 9" xfId="90" xr:uid="{00000000-0005-0000-0000-00005A000000}"/>
    <cellStyle name="Normal 20" xfId="290" xr:uid="{00000000-0005-0000-0000-0000AC000000}"/>
    <cellStyle name="Normal 21" xfId="394" xr:uid="{00000000-0005-0000-0000-0000E3000000}"/>
    <cellStyle name="Normal 22" xfId="395" xr:uid="{00000000-0005-0000-0000-0000E4000000}"/>
    <cellStyle name="Normal 22 2" xfId="408" xr:uid="{00000000-0005-0000-0000-0000E5000000}"/>
    <cellStyle name="Normal 22 3" xfId="474" xr:uid="{00000000-0005-0000-0000-000006000000}"/>
    <cellStyle name="Normal 23" xfId="396" xr:uid="{00000000-0005-0000-0000-0000E6000000}"/>
    <cellStyle name="Normal 23 2" xfId="409" xr:uid="{00000000-0005-0000-0000-0000E7000000}"/>
    <cellStyle name="Normal 23 2 2" xfId="454" xr:uid="{00000000-0005-0000-0000-0000E7000000}"/>
    <cellStyle name="Normal 23 2 3" xfId="499" xr:uid="{00000000-0005-0000-0000-0000E7000000}"/>
    <cellStyle name="Normal 23 3" xfId="425" xr:uid="{00000000-0005-0000-0000-0000E8000000}"/>
    <cellStyle name="Normal 23 3 2" xfId="470" xr:uid="{00000000-0005-0000-0000-0000E8000000}"/>
    <cellStyle name="Normal 23 3 3" xfId="503" xr:uid="{00000000-0005-0000-0000-0000E8000000}"/>
    <cellStyle name="Normal 23 4" xfId="447" xr:uid="{00000000-0005-0000-0000-0000E6000000}"/>
    <cellStyle name="Normal 23 5" xfId="473" xr:uid="{00000000-0005-0000-0000-000007000000}"/>
    <cellStyle name="Normal 23 6" xfId="493" xr:uid="{00000000-0005-0000-0000-0000E6000000}"/>
    <cellStyle name="Normal 24" xfId="400" xr:uid="{00000000-0005-0000-0000-0000E9000000}"/>
    <cellStyle name="Normal 24 2" xfId="449" xr:uid="{00000000-0005-0000-0000-0000E9000000}"/>
    <cellStyle name="Normal 24 3" xfId="494" xr:uid="{00000000-0005-0000-0000-0000E9000000}"/>
    <cellStyle name="Normal 25" xfId="402" xr:uid="{00000000-0005-0000-0000-0000EA000000}"/>
    <cellStyle name="Normal 25 2" xfId="450" xr:uid="{00000000-0005-0000-0000-0000EA000000}"/>
    <cellStyle name="Normal 25 3" xfId="495" xr:uid="{00000000-0005-0000-0000-0000EA000000}"/>
    <cellStyle name="Normal 26" xfId="403" xr:uid="{00000000-0005-0000-0000-0000EB000000}"/>
    <cellStyle name="Normal 26 2" xfId="451" xr:uid="{00000000-0005-0000-0000-0000EB000000}"/>
    <cellStyle name="Normal 26 3" xfId="496" xr:uid="{00000000-0005-0000-0000-0000EB000000}"/>
    <cellStyle name="Normal 27" xfId="410" xr:uid="{00000000-0005-0000-0000-0000EC000000}"/>
    <cellStyle name="Normal 27 2" xfId="455" xr:uid="{00000000-0005-0000-0000-0000EC000000}"/>
    <cellStyle name="Normal 27 3" xfId="500" xr:uid="{00000000-0005-0000-0000-0000EC000000}"/>
    <cellStyle name="Normal 28" xfId="389" xr:uid="{00000000-0005-0000-0000-0000ED000000}"/>
    <cellStyle name="Normal 29" xfId="427" xr:uid="{00000000-0005-0000-0000-000071010000}"/>
    <cellStyle name="Normal 3" xfId="91" xr:uid="{00000000-0005-0000-0000-00005B000000}"/>
    <cellStyle name="Normal 3 10" xfId="846" xr:uid="{8FD63E51-02A3-4D63-8888-9837BA3BCD3E}"/>
    <cellStyle name="Normal 3 11" xfId="849" xr:uid="{A713C2A8-F86B-4C2B-98F4-A74DF78E72A4}"/>
    <cellStyle name="Normal 3 12" xfId="852" xr:uid="{58513A21-BD58-460C-9979-4EB9EB050658}"/>
    <cellStyle name="Normal 3 13" xfId="541" xr:uid="{A4A0FFAE-1676-4FBD-91ED-EC95D934B36F}"/>
    <cellStyle name="Normal 3 2" xfId="92" xr:uid="{00000000-0005-0000-0000-00005C000000}"/>
    <cellStyle name="Normal 3 2 2" xfId="93" xr:uid="{00000000-0005-0000-0000-00005D000000}"/>
    <cellStyle name="Normal 3 2 2 2" xfId="472" xr:uid="{00000000-0005-0000-0000-000009000000}"/>
    <cellStyle name="Normal 3 2 3" xfId="94" xr:uid="{00000000-0005-0000-0000-00005E000000}"/>
    <cellStyle name="Normal 3 2 4" xfId="144" xr:uid="{00000000-0005-0000-0000-0000AE000000}"/>
    <cellStyle name="Normal 3 3" xfId="95" xr:uid="{00000000-0005-0000-0000-00005F000000}"/>
    <cellStyle name="Normal 3 3 2" xfId="146" xr:uid="{00000000-0005-0000-0000-0000AF000000}"/>
    <cellStyle name="Normal 3 3 2 2" xfId="724" xr:uid="{24EA1596-0F30-402A-9A28-7EFD6613AADB}"/>
    <cellStyle name="Normal 3 3 3" xfId="547" xr:uid="{B29A020B-89E1-4571-BEF2-C05B965815E2}"/>
    <cellStyle name="Normal 3 4" xfId="148" xr:uid="{00000000-0005-0000-0000-0000B0000000}"/>
    <cellStyle name="Normal 3 4 2" xfId="723" xr:uid="{6358E774-1A00-4B08-B14B-0605C032CEFC}"/>
    <cellStyle name="Normal 3 4 3" xfId="546" xr:uid="{CB88DC83-C023-41BC-9FD4-FD2E41CD9C8F}"/>
    <cellStyle name="Normal 3 5" xfId="397" xr:uid="{00000000-0005-0000-0000-0000F2000000}"/>
    <cellStyle name="Normal 3 5 2" xfId="727" xr:uid="{5705C72C-E1EB-48A8-BB2A-8481EA9CB5CB}"/>
    <cellStyle name="Normal 3 5 3" xfId="550" xr:uid="{8819514C-F374-4BA8-BF53-4699C94EBF02}"/>
    <cellStyle name="Normal 3 6" xfId="471" xr:uid="{00000000-0005-0000-0000-000008000000}"/>
    <cellStyle name="Normal 3 6 2" xfId="734" xr:uid="{3CCFD10D-5DA3-4D86-BCF6-227E5E606D1F}"/>
    <cellStyle name="Normal 3 6 3" xfId="558" xr:uid="{3CED933A-B949-40B1-B297-8488FA3BBEA8}"/>
    <cellStyle name="Normal 3 7" xfId="718" xr:uid="{3AD138A7-ABC4-44EC-B5E2-5490303AD9A4}"/>
    <cellStyle name="Normal 3 8" xfId="835" xr:uid="{47A8FB9A-D6F8-406D-966F-00747C1F6156}"/>
    <cellStyle name="Normal 3 9" xfId="843" xr:uid="{D68F2255-7190-4502-970D-FDE07C5649C4}"/>
    <cellStyle name="Normal 30" xfId="343" xr:uid="{00000000-0005-0000-0000-00005F010000}"/>
    <cellStyle name="Normal 31" xfId="429" xr:uid="{00000000-0005-0000-0000-000096010000}"/>
    <cellStyle name="Normal 32" xfId="129" xr:uid="{00000000-0005-0000-0000-000006010000}"/>
    <cellStyle name="Normal 32 2" xfId="475" xr:uid="{00000000-0005-0000-0000-0000C5010000}"/>
    <cellStyle name="Normal 33" xfId="128" xr:uid="{00000000-0005-0000-0000-000075010000}"/>
    <cellStyle name="Normal 34" xfId="504" xr:uid="{3B22024C-5DC8-491E-8AE7-1CAA3423FD9D}"/>
    <cellStyle name="Normal 35" xfId="508" xr:uid="{9D7D5574-9C3E-43AF-9EB8-F2AA47561864}"/>
    <cellStyle name="Normal 36" xfId="540" xr:uid="{4F4685F8-B643-4B82-B127-A61A45A1C17A}"/>
    <cellStyle name="Normal 4" xfId="96" xr:uid="{00000000-0005-0000-0000-000060000000}"/>
    <cellStyle name="Normal 4 2" xfId="97" xr:uid="{00000000-0005-0000-0000-000061000000}"/>
    <cellStyle name="Normal 4 2 2" xfId="98" xr:uid="{00000000-0005-0000-0000-000062000000}"/>
    <cellStyle name="Normal 4 2 2 2" xfId="684" xr:uid="{834E4047-412D-47E9-BEDB-DD48B9D881FA}"/>
    <cellStyle name="Normal 4 3" xfId="99" xr:uid="{00000000-0005-0000-0000-000063000000}"/>
    <cellStyle name="Normal 4 3 2" xfId="737" xr:uid="{6C63433D-485C-4FE2-AA1E-F637B2DE145A}"/>
    <cellStyle name="Normal 4 3 3" xfId="564" xr:uid="{A7420FEC-53DC-4654-8B8B-0919849C1E8B}"/>
    <cellStyle name="Normal 4 4" xfId="142" xr:uid="{00000000-0005-0000-0000-0000B1000000}"/>
    <cellStyle name="Normal 4 4 2" xfId="728" xr:uid="{70859E5A-A538-4C5D-8568-23EEB6A82A07}"/>
    <cellStyle name="Normal 4 5" xfId="836" xr:uid="{42074B9E-A888-4D50-94AF-DB6B4082C472}"/>
    <cellStyle name="Normal 4 6" xfId="551" xr:uid="{8AE6DDFD-A82D-4862-8730-93B09FF8A13A}"/>
    <cellStyle name="Normal 5" xfId="100" xr:uid="{00000000-0005-0000-0000-000064000000}"/>
    <cellStyle name="Normal 5 2" xfId="101" xr:uid="{00000000-0005-0000-0000-000065000000}"/>
    <cellStyle name="Normal 5 2 2" xfId="778" xr:uid="{61AF4754-1F68-4264-A16C-58116D43EF23}"/>
    <cellStyle name="Normal 5 2 3" xfId="838" xr:uid="{694C4802-DA45-48C8-B1F1-379AE6615F81}"/>
    <cellStyle name="Normal 5 2 4" xfId="605" xr:uid="{A714F314-811D-4866-B20C-C06E29F4C567}"/>
    <cellStyle name="Normal 5 3" xfId="579" xr:uid="{970D0497-A0D9-48BC-8A2D-629842E88285}"/>
    <cellStyle name="Normal 5 3 2" xfId="752" xr:uid="{BDA89FFB-0C6F-40D4-AD58-F7D28023E1C8}"/>
    <cellStyle name="Normal 5 4" xfId="837" xr:uid="{799A5738-52F0-483D-B9E3-906E36302EE1}"/>
    <cellStyle name="Normal 5 5" xfId="552" xr:uid="{41FB1ADB-D950-442F-B493-3722E2725727}"/>
    <cellStyle name="Normal 6" xfId="102" xr:uid="{00000000-0005-0000-0000-000066000000}"/>
    <cellStyle name="Normal 6 2" xfId="103" xr:uid="{00000000-0005-0000-0000-000067000000}"/>
    <cellStyle name="Normal 7" xfId="104" xr:uid="{00000000-0005-0000-0000-000068000000}"/>
    <cellStyle name="Normal 7 2" xfId="105" xr:uid="{00000000-0005-0000-0000-000069000000}"/>
    <cellStyle name="Normal 7 3" xfId="341" xr:uid="{00000000-0005-0000-0000-0000B4000000}"/>
    <cellStyle name="Normal 8" xfId="106" xr:uid="{00000000-0005-0000-0000-00006A000000}"/>
    <cellStyle name="Normal 8 2" xfId="107" xr:uid="{00000000-0005-0000-0000-00006B000000}"/>
    <cellStyle name="Normal 8 2 2" xfId="732" xr:uid="{4EA5CDB5-D4E8-43DB-B61B-8E7924BDE12C}"/>
    <cellStyle name="Normal 8 3" xfId="291" xr:uid="{00000000-0005-0000-0000-0000B5000000}"/>
    <cellStyle name="Normal 8 4" xfId="555" xr:uid="{A823209E-1B63-4175-BF65-8119ABC0D111}"/>
    <cellStyle name="Normal 9" xfId="108" xr:uid="{00000000-0005-0000-0000-00006C000000}"/>
    <cellStyle name="Normal 9 2" xfId="292" xr:uid="{00000000-0005-0000-0000-0000B6000000}"/>
    <cellStyle name="Normal 9 2 2" xfId="781" xr:uid="{81F98C26-A385-44D9-AD98-4EE043BA789D}"/>
    <cellStyle name="Normal 9 3" xfId="702" xr:uid="{66BE656C-CF49-4951-8135-F24D04315A53}"/>
    <cellStyle name="Normal_AttchGrework" xfId="109" xr:uid="{00000000-0005-0000-0000-00006D000000}"/>
    <cellStyle name="Normal_Comparison_1" xfId="127" xr:uid="{00000000-0005-0000-0000-00006E000000}"/>
    <cellStyle name="Normal_IONov04final113004Jefffinalnovassample" xfId="110" xr:uid="{00000000-0005-0000-0000-000070000000}"/>
    <cellStyle name="Normal_Law VM Tuition" xfId="507" xr:uid="{04F220CB-80E8-492D-AA19-025B7553198C}"/>
    <cellStyle name="Normal_Sheet2" xfId="126" xr:uid="{00000000-0005-0000-0000-000071000000}"/>
    <cellStyle name="Note 2" xfId="111" xr:uid="{00000000-0005-0000-0000-000072000000}"/>
    <cellStyle name="Note 2 2" xfId="404" xr:uid="{00000000-0005-0000-0000-0000FC000000}"/>
    <cellStyle name="Note 2 2 2" xfId="452" xr:uid="{00000000-0005-0000-0000-0000FC000000}"/>
    <cellStyle name="Note 2 2 3" xfId="497" xr:uid="{00000000-0005-0000-0000-0000FC000000}"/>
    <cellStyle name="Note 2 2 4" xfId="685" xr:uid="{01F7335A-625B-4B6A-BB16-F40ED5020EA3}"/>
    <cellStyle name="Note 2 3" xfId="423" xr:uid="{00000000-0005-0000-0000-0000FD000000}"/>
    <cellStyle name="Note 2 3 2" xfId="468" xr:uid="{00000000-0005-0000-0000-0000FD000000}"/>
    <cellStyle name="Note 2 3 2 2" xfId="736" xr:uid="{F6CE6265-FDA9-4F24-BD83-026CF8BF0EC7}"/>
    <cellStyle name="Note 2 3 3" xfId="501" xr:uid="{00000000-0005-0000-0000-0000FD000000}"/>
    <cellStyle name="Note 2 3 4" xfId="562" xr:uid="{1722279E-9591-49F4-AC71-40AC0DC28C62}"/>
    <cellStyle name="Note 2 4" xfId="448" xr:uid="{00000000-0005-0000-0000-0000FB000000}"/>
    <cellStyle name="Note 2 4 2" xfId="839" xr:uid="{2ADD2EDD-A6ED-4F26-B309-E2C6F41CBA42}"/>
    <cellStyle name="Note 2 5" xfId="398" xr:uid="{00000000-0005-0000-0000-0000FB000000}"/>
    <cellStyle name="Note 3" xfId="542" xr:uid="{D8DC659D-90E1-48D1-96EE-0B2E6AFC0FA3}"/>
    <cellStyle name="Note 3 10" xfId="850" xr:uid="{BDBEED69-BBD3-4F85-9457-B4551368CF17}"/>
    <cellStyle name="Note 3 11" xfId="853" xr:uid="{F505486A-DB5D-423E-82EF-D59DE5B5B0D0}"/>
    <cellStyle name="Note 3 2" xfId="548" xr:uid="{7C922319-538D-4291-8161-887548FF3AE3}"/>
    <cellStyle name="Note 3 2 2" xfId="686" xr:uid="{1E95B9F1-B333-45D6-A71A-30AD1CCA91EA}"/>
    <cellStyle name="Note 3 2 3" xfId="725" xr:uid="{7ECF0D3D-BCB6-45BC-9459-2F33B91CCEBD}"/>
    <cellStyle name="Note 3 3" xfId="545" xr:uid="{1292A950-D65B-4C47-98B1-025F2B06C1C2}"/>
    <cellStyle name="Note 3 3 2" xfId="722" xr:uid="{0F646844-D0F9-4DAA-B52D-A6105611D84F}"/>
    <cellStyle name="Note 3 4" xfId="553" xr:uid="{00FF3701-E9C2-444B-BF13-5651B9A332A1}"/>
    <cellStyle name="Note 3 4 2" xfId="729" xr:uid="{F4D4880D-F884-4588-9265-88F89BF037F3}"/>
    <cellStyle name="Note 3 5" xfId="566" xr:uid="{D6B791F6-C9DA-47CC-A788-20DF3C7B870E}"/>
    <cellStyle name="Note 3 5 2" xfId="739" xr:uid="{7C8FCB23-F5E1-4779-A51A-42C623589E6B}"/>
    <cellStyle name="Note 3 6" xfId="719" xr:uid="{A025B2CB-4A7D-4714-846F-9DA2E286A470}"/>
    <cellStyle name="Note 3 7" xfId="840" xr:uid="{50730D7E-7876-4B1B-88F4-CEA85EDA7974}"/>
    <cellStyle name="Note 3 8" xfId="844" xr:uid="{7CA25C14-FE94-40FE-BDB5-B679708104B1}"/>
    <cellStyle name="Note 3 9" xfId="847" xr:uid="{96E376DA-32CD-4EE3-A640-05ED7B38EA37}"/>
    <cellStyle name="Note 4" xfId="543" xr:uid="{367785FE-1959-427A-B5F9-CDBF28011EC3}"/>
    <cellStyle name="Note 4 10" xfId="851" xr:uid="{7D5F470C-407A-42AD-82B5-17B4FB898693}"/>
    <cellStyle name="Note 4 11" xfId="854" xr:uid="{AEFBB50F-041D-4D42-B00C-E482992D33FB}"/>
    <cellStyle name="Note 4 2" xfId="549" xr:uid="{9FD421FD-306C-4C47-A48F-A927BD2BFBBF}"/>
    <cellStyle name="Note 4 2 2" xfId="608" xr:uid="{E3BFF6C0-BAB7-40BE-9DB6-840254B86148}"/>
    <cellStyle name="Note 4 2 2 2" xfId="779" xr:uid="{AA6AB8B5-CFAC-402B-91D2-485535F4384D}"/>
    <cellStyle name="Note 4 2 3" xfId="726" xr:uid="{D0DAC369-A7EC-40C4-BA3F-7381A0C58D2A}"/>
    <cellStyle name="Note 4 2 4" xfId="842" xr:uid="{87A252EF-A9C3-48A9-B0A2-96AFEAE04002}"/>
    <cellStyle name="Note 4 3" xfId="544" xr:uid="{13B736E9-9A78-427B-B029-24AAE20153D3}"/>
    <cellStyle name="Note 4 3 2" xfId="721" xr:uid="{062D1450-1EE7-46F6-A57C-A00BACA1BF74}"/>
    <cellStyle name="Note 4 4" xfId="554" xr:uid="{7753E8C8-F74D-4A4E-8922-267E72051502}"/>
    <cellStyle name="Note 4 4 2" xfId="730" xr:uid="{408001FC-993A-43A5-98D6-1DA6DD02A009}"/>
    <cellStyle name="Note 4 5" xfId="580" xr:uid="{8F618F4D-BB2E-4AB1-AD37-00A1FD942E21}"/>
    <cellStyle name="Note 4 5 2" xfId="753" xr:uid="{D40B6F1B-4BD6-4EF0-A12A-3633DCD31EE9}"/>
    <cellStyle name="Note 4 6" xfId="720" xr:uid="{709548A6-A7CB-4102-B1A9-F58EFF84B03E}"/>
    <cellStyle name="Note 4 7" xfId="841" xr:uid="{D1821FF9-7EA2-4E8F-807E-2B84573BE027}"/>
    <cellStyle name="Note 4 8" xfId="845" xr:uid="{2FABB1E0-BB5B-4003-9263-4F796C4B0A93}"/>
    <cellStyle name="Note 4 9" xfId="848" xr:uid="{DE67A27B-E49B-404F-AA2C-30BF6BC0AB01}"/>
    <cellStyle name="Output" xfId="516" builtinId="21" customBuiltin="1"/>
    <cellStyle name="Output 2" xfId="112" xr:uid="{00000000-0005-0000-0000-000073000000}"/>
    <cellStyle name="Output 2 2" xfId="358" xr:uid="{00000000-0005-0000-0000-0000FE000000}"/>
    <cellStyle name="Output 2 2 2" xfId="687" xr:uid="{BDEE05F7-090A-416E-B55C-DC208CFAAE03}"/>
    <cellStyle name="Output 3" xfId="688" xr:uid="{8EF8D9BE-EC69-4672-B81E-AED83218E04F}"/>
    <cellStyle name="Percent" xfId="113" builtinId="5"/>
    <cellStyle name="Percent 10" xfId="293" xr:uid="{00000000-0005-0000-0000-0000BB000000}"/>
    <cellStyle name="Percent 11" xfId="294" xr:uid="{00000000-0005-0000-0000-0000BC000000}"/>
    <cellStyle name="Percent 12" xfId="295" xr:uid="{00000000-0005-0000-0000-0000BD000000}"/>
    <cellStyle name="Percent 13" xfId="296" xr:uid="{00000000-0005-0000-0000-0000BE000000}"/>
    <cellStyle name="Percent 14" xfId="297" xr:uid="{00000000-0005-0000-0000-0000BF000000}"/>
    <cellStyle name="Percent 15" xfId="298" xr:uid="{00000000-0005-0000-0000-0000C0000000}"/>
    <cellStyle name="Percent 16" xfId="299" xr:uid="{00000000-0005-0000-0000-0000C1000000}"/>
    <cellStyle name="Percent 17" xfId="300" xr:uid="{00000000-0005-0000-0000-0000C2000000}"/>
    <cellStyle name="Percent 18" xfId="301" xr:uid="{00000000-0005-0000-0000-0000C3000000}"/>
    <cellStyle name="Percent 19" xfId="302" xr:uid="{00000000-0005-0000-0000-0000C4000000}"/>
    <cellStyle name="Percent 2" xfId="114" xr:uid="{00000000-0005-0000-0000-000075000000}"/>
    <cellStyle name="Percent 2 10" xfId="303" xr:uid="{00000000-0005-0000-0000-0000C6000000}"/>
    <cellStyle name="Percent 2 11" xfId="304" xr:uid="{00000000-0005-0000-0000-0000C7000000}"/>
    <cellStyle name="Percent 2 12" xfId="305" xr:uid="{00000000-0005-0000-0000-0000C8000000}"/>
    <cellStyle name="Percent 2 13" xfId="306" xr:uid="{00000000-0005-0000-0000-0000C9000000}"/>
    <cellStyle name="Percent 2 14" xfId="307" xr:uid="{00000000-0005-0000-0000-0000CA000000}"/>
    <cellStyle name="Percent 2 15" xfId="308" xr:uid="{00000000-0005-0000-0000-0000CB000000}"/>
    <cellStyle name="Percent 2 16" xfId="309" xr:uid="{00000000-0005-0000-0000-0000CC000000}"/>
    <cellStyle name="Percent 2 17" xfId="310" xr:uid="{00000000-0005-0000-0000-0000CD000000}"/>
    <cellStyle name="Percent 2 18" xfId="311" xr:uid="{00000000-0005-0000-0000-0000CE000000}"/>
    <cellStyle name="Percent 2 19" xfId="312" xr:uid="{00000000-0005-0000-0000-0000CF000000}"/>
    <cellStyle name="Percent 2 2" xfId="115" xr:uid="{00000000-0005-0000-0000-000076000000}"/>
    <cellStyle name="Percent 2 2 2" xfId="141" xr:uid="{00000000-0005-0000-0000-0000D0000000}"/>
    <cellStyle name="Percent 2 20" xfId="313" xr:uid="{00000000-0005-0000-0000-0000D1000000}"/>
    <cellStyle name="Percent 2 21" xfId="314" xr:uid="{00000000-0005-0000-0000-0000D2000000}"/>
    <cellStyle name="Percent 2 22" xfId="315" xr:uid="{00000000-0005-0000-0000-0000D3000000}"/>
    <cellStyle name="Percent 2 23" xfId="316" xr:uid="{00000000-0005-0000-0000-0000D4000000}"/>
    <cellStyle name="Percent 2 24" xfId="317" xr:uid="{00000000-0005-0000-0000-0000D5000000}"/>
    <cellStyle name="Percent 2 25" xfId="399" xr:uid="{00000000-0005-0000-0000-00001A010000}"/>
    <cellStyle name="Percent 2 26" xfId="347" xr:uid="{00000000-0005-0000-0000-000009010000}"/>
    <cellStyle name="Percent 2 27" xfId="433" xr:uid="{00000000-0005-0000-0000-000009010000}"/>
    <cellStyle name="Percent 2 28" xfId="479" xr:uid="{00000000-0005-0000-0000-000009010000}"/>
    <cellStyle name="Percent 2 3" xfId="116" xr:uid="{00000000-0005-0000-0000-000077000000}"/>
    <cellStyle name="Percent 2 4" xfId="138" xr:uid="{00000000-0005-0000-0000-0000D7000000}"/>
    <cellStyle name="Percent 2 5" xfId="164" xr:uid="{00000000-0005-0000-0000-0000D8000000}"/>
    <cellStyle name="Percent 2 6" xfId="167" xr:uid="{00000000-0005-0000-0000-0000D9000000}"/>
    <cellStyle name="Percent 2 7" xfId="170" xr:uid="{00000000-0005-0000-0000-0000DA000000}"/>
    <cellStyle name="Percent 2 8" xfId="318" xr:uid="{00000000-0005-0000-0000-0000DB000000}"/>
    <cellStyle name="Percent 2 9" xfId="319" xr:uid="{00000000-0005-0000-0000-0000DC000000}"/>
    <cellStyle name="Percent 20" xfId="320" xr:uid="{00000000-0005-0000-0000-0000DD000000}"/>
    <cellStyle name="Percent 21" xfId="505" xr:uid="{0B3826CA-5639-4D3E-AD92-FA9C48DEC7A4}"/>
    <cellStyle name="Percent 22" xfId="509" xr:uid="{9364272B-03C1-410F-9418-1B13CB1B3F7B}"/>
    <cellStyle name="Percent 3" xfId="117" xr:uid="{00000000-0005-0000-0000-000078000000}"/>
    <cellStyle name="Percent 3 2" xfId="118" xr:uid="{00000000-0005-0000-0000-000079000000}"/>
    <cellStyle name="Percent 3 3" xfId="151" xr:uid="{00000000-0005-0000-0000-0000E0000000}"/>
    <cellStyle name="Percent 3 4" xfId="155" xr:uid="{00000000-0005-0000-0000-0000E1000000}"/>
    <cellStyle name="Percent 3 5" xfId="165" xr:uid="{00000000-0005-0000-0000-0000E2000000}"/>
    <cellStyle name="Percent 3 6" xfId="168" xr:uid="{00000000-0005-0000-0000-0000E3000000}"/>
    <cellStyle name="Percent 3 7" xfId="171" xr:uid="{00000000-0005-0000-0000-0000E4000000}"/>
    <cellStyle name="Percent 4" xfId="119" xr:uid="{00000000-0005-0000-0000-00007A000000}"/>
    <cellStyle name="Percent 4 2" xfId="135" xr:uid="{00000000-0005-0000-0000-000064010000}"/>
    <cellStyle name="Percent 5" xfId="120" xr:uid="{00000000-0005-0000-0000-00007B000000}"/>
    <cellStyle name="Percent 5 2" xfId="321" xr:uid="{00000000-0005-0000-0000-0000E5000000}"/>
    <cellStyle name="Percent 6" xfId="322" xr:uid="{00000000-0005-0000-0000-0000E6000000}"/>
    <cellStyle name="Percent 7" xfId="121" xr:uid="{00000000-0005-0000-0000-00007C000000}"/>
    <cellStyle name="Percent 8" xfId="323" xr:uid="{00000000-0005-0000-0000-0000E7000000}"/>
    <cellStyle name="Percent 9" xfId="324" xr:uid="{00000000-0005-0000-0000-0000E8000000}"/>
    <cellStyle name="STYL0 - Style1" xfId="689" xr:uid="{D9AACCFB-1F78-4DD9-B9A3-0EFBC0F7A825}"/>
    <cellStyle name="STYL1 - Style2" xfId="690" xr:uid="{68379C4E-223E-4CFD-BC91-50FD5C9CA872}"/>
    <cellStyle name="STYL2 - Style3" xfId="691" xr:uid="{0E4C76A7-9FE1-4160-9572-38E0EDC6A720}"/>
    <cellStyle name="STYL3 - Style4" xfId="692" xr:uid="{6B7F63BC-DAFC-40C0-B989-9C9DBBD4916B}"/>
    <cellStyle name="STYL4 - Style5" xfId="693" xr:uid="{383957F7-CC04-4292-A629-5036FA2A1058}"/>
    <cellStyle name="STYL5 - Style6" xfId="694" xr:uid="{781D5BBB-3810-4E2E-B753-0D6FAF6D3273}"/>
    <cellStyle name="STYL6 - Style7" xfId="695" xr:uid="{16E94F17-8930-40A3-9CA7-027651324462}"/>
    <cellStyle name="STYL7 - Style8" xfId="696" xr:uid="{F9CF0F48-C53B-4ACC-B042-9F397D7DD4D5}"/>
    <cellStyle name="Title 2" xfId="122" xr:uid="{00000000-0005-0000-0000-00007D000000}"/>
    <cellStyle name="Title 2 2" xfId="349" xr:uid="{00000000-0005-0000-0000-00002E010000}"/>
    <cellStyle name="Title 3" xfId="697" xr:uid="{2ADC6CBD-55C1-4C79-92C4-515585B3E6D1}"/>
    <cellStyle name="Title 4" xfId="731" xr:uid="{D93849E6-50E0-4A9B-892C-CA77385F62CD}"/>
    <cellStyle name="Total 10" xfId="325" xr:uid="{00000000-0005-0000-0000-0000EA000000}"/>
    <cellStyle name="Total 11" xfId="326" xr:uid="{00000000-0005-0000-0000-0000EB000000}"/>
    <cellStyle name="Total 12" xfId="327" xr:uid="{00000000-0005-0000-0000-0000EC000000}"/>
    <cellStyle name="Total 13" xfId="328" xr:uid="{00000000-0005-0000-0000-0000ED000000}"/>
    <cellStyle name="Total 14" xfId="329" xr:uid="{00000000-0005-0000-0000-0000EE000000}"/>
    <cellStyle name="Total 15" xfId="330" xr:uid="{00000000-0005-0000-0000-0000EF000000}"/>
    <cellStyle name="Total 16" xfId="331" xr:uid="{00000000-0005-0000-0000-0000F0000000}"/>
    <cellStyle name="Total 17" xfId="332" xr:uid="{00000000-0005-0000-0000-0000F1000000}"/>
    <cellStyle name="Total 18" xfId="333" xr:uid="{00000000-0005-0000-0000-0000F2000000}"/>
    <cellStyle name="Total 19" xfId="334" xr:uid="{00000000-0005-0000-0000-0000F3000000}"/>
    <cellStyle name="Total 2" xfId="123" xr:uid="{00000000-0005-0000-0000-00007E000000}"/>
    <cellStyle name="Total 2 2" xfId="698" xr:uid="{834D85E3-E20E-42F0-8E76-C742BB3D8E38}"/>
    <cellStyle name="Total 2 3" xfId="563" xr:uid="{95759513-7159-4087-8A5F-BC510065E854}"/>
    <cellStyle name="Total 20" xfId="364" xr:uid="{00000000-0005-0000-0000-00003A010000}"/>
    <cellStyle name="Total 21" xfId="136" xr:uid="{00000000-0005-0000-0000-000097010000}"/>
    <cellStyle name="Total 3" xfId="124" xr:uid="{00000000-0005-0000-0000-00007F000000}"/>
    <cellStyle name="Total 3 2" xfId="699" xr:uid="{16F9D831-8988-4947-9F9C-D9F898BFFA59}"/>
    <cellStyle name="Total 4" xfId="335" xr:uid="{00000000-0005-0000-0000-0000F6000000}"/>
    <cellStyle name="Total 4 2" xfId="609" xr:uid="{3343A843-3E8C-4874-93F1-5E88A7448416}"/>
    <cellStyle name="Total 5" xfId="336" xr:uid="{00000000-0005-0000-0000-0000F7000000}"/>
    <cellStyle name="Total 6" xfId="337" xr:uid="{00000000-0005-0000-0000-0000F8000000}"/>
    <cellStyle name="Total 7" xfId="338" xr:uid="{00000000-0005-0000-0000-0000F9000000}"/>
    <cellStyle name="Total 8" xfId="339" xr:uid="{00000000-0005-0000-0000-0000FA000000}"/>
    <cellStyle name="Total 9" xfId="340" xr:uid="{00000000-0005-0000-0000-0000FB000000}"/>
    <cellStyle name="Warning Text" xfId="520" builtinId="11" customBuiltin="1"/>
    <cellStyle name="Warning Text 2" xfId="125" xr:uid="{00000000-0005-0000-0000-000080000000}"/>
    <cellStyle name="Warning Text 2 2" xfId="362" xr:uid="{00000000-0005-0000-0000-000042010000}"/>
    <cellStyle name="Warning Text 2 2 2" xfId="700" xr:uid="{579861E9-BBD1-4F83-B4DD-5A974DA0F3F6}"/>
    <cellStyle name="Warning Text 3" xfId="701" xr:uid="{DF6782B6-AC42-4012-B242-FFDC86F8F6E6}"/>
  </cellStyles>
  <dxfs count="62">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theme="0"/>
      </font>
      <fill>
        <patternFill>
          <bgColor rgb="FFFF0000"/>
        </patternFill>
      </fill>
    </dxf>
    <dxf>
      <font>
        <color theme="3" tint="0.79998168889431442"/>
      </font>
    </dxf>
    <dxf>
      <font>
        <color theme="0"/>
      </font>
      <fill>
        <patternFill>
          <bgColor rgb="FFFF0000"/>
        </patternFill>
      </fill>
    </dxf>
    <dxf>
      <font>
        <color theme="3" tint="0.79998168889431442"/>
      </font>
    </dxf>
  </dxfs>
  <tableStyles count="0" defaultTableStyle="TableStyleMedium9" defaultPivotStyle="PivotStyleLight16"/>
  <colors>
    <mruColors>
      <color rgb="FFF8F8F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9.bin"/><Relationship Id="rId3" Type="http://schemas.openxmlformats.org/officeDocument/2006/relationships/printerSettings" Target="../printerSettings/printerSettings4.bin"/><Relationship Id="rId7" Type="http://schemas.openxmlformats.org/officeDocument/2006/relationships/printerSettings" Target="../printerSettings/printerSettings8.bin"/><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6" Type="http://schemas.openxmlformats.org/officeDocument/2006/relationships/printerSettings" Target="../printerSettings/printerSettings7.bin"/><Relationship Id="rId5" Type="http://schemas.openxmlformats.org/officeDocument/2006/relationships/printerSettings" Target="../printerSettings/printerSettings6.bin"/><Relationship Id="rId4" Type="http://schemas.openxmlformats.org/officeDocument/2006/relationships/printerSettings" Target="../printerSettings/printerSettings5.bin"/><Relationship Id="rId9" Type="http://schemas.openxmlformats.org/officeDocument/2006/relationships/printerSettings" Target="../printerSettings/printerSettings10.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18.bin"/><Relationship Id="rId3" Type="http://schemas.openxmlformats.org/officeDocument/2006/relationships/printerSettings" Target="../printerSettings/printerSettings13.bin"/><Relationship Id="rId7" Type="http://schemas.openxmlformats.org/officeDocument/2006/relationships/printerSettings" Target="../printerSettings/printerSettings17.bin"/><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 Id="rId6" Type="http://schemas.openxmlformats.org/officeDocument/2006/relationships/printerSettings" Target="../printerSettings/printerSettings16.bin"/><Relationship Id="rId5" Type="http://schemas.openxmlformats.org/officeDocument/2006/relationships/printerSettings" Target="../printerSettings/printerSettings15.bin"/><Relationship Id="rId4" Type="http://schemas.openxmlformats.org/officeDocument/2006/relationships/printerSettings" Target="../printerSettings/printerSettings14.bin"/><Relationship Id="rId9" Type="http://schemas.openxmlformats.org/officeDocument/2006/relationships/printerSettings" Target="../printerSettings/printerSettings1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ransitionEvaluation="1" codeName="Sheet23">
    <tabColor rgb="FF00B050"/>
    <pageSetUpPr autoPageBreaks="0" fitToPage="1"/>
  </sheetPr>
  <dimension ref="A1:AH644"/>
  <sheetViews>
    <sheetView showGridLines="0" tabSelected="1" zoomScale="60" zoomScaleNormal="60" workbookViewId="0">
      <pane xSplit="2" ySplit="3" topLeftCell="C4" activePane="bottomRight" state="frozen"/>
      <selection pane="topRight" activeCell="C1" sqref="C1"/>
      <selection pane="bottomLeft" activeCell="A3" sqref="A3"/>
      <selection pane="bottomRight"/>
    </sheetView>
  </sheetViews>
  <sheetFormatPr defaultColWidth="12.5546875" defaultRowHeight="19.95" customHeight="1" outlineLevelRow="1" outlineLevelCol="1"/>
  <cols>
    <col min="1" max="1" width="8.5546875" style="77" customWidth="1"/>
    <col min="2" max="2" width="35" style="77" customWidth="1"/>
    <col min="3" max="3" width="22.88671875" style="77" customWidth="1" outlineLevel="1"/>
    <col min="4" max="4" width="20" style="77" customWidth="1" outlineLevel="1"/>
    <col min="5" max="5" width="22.88671875" style="77" customWidth="1" outlineLevel="1"/>
    <col min="6" max="6" width="22" style="77" customWidth="1" outlineLevel="1"/>
    <col min="7" max="7" width="24" style="77" customWidth="1"/>
    <col min="8" max="8" width="22.6640625" style="77" customWidth="1"/>
    <col min="9" max="9" width="23.44140625" style="77" bestFit="1" customWidth="1"/>
    <col min="10" max="10" width="15.6640625" style="77" customWidth="1"/>
    <col min="11" max="11" width="2.44140625" style="77" customWidth="1"/>
    <col min="12" max="12" width="22.109375" style="77" hidden="1" customWidth="1" outlineLevel="1"/>
    <col min="13" max="13" width="21.6640625" style="77" hidden="1" customWidth="1" outlineLevel="1"/>
    <col min="14" max="14" width="22" style="77" hidden="1" customWidth="1" outlineLevel="1"/>
    <col min="15" max="15" width="21.88671875" style="77" hidden="1" customWidth="1" outlineLevel="1"/>
    <col min="16" max="16" width="21.5546875" style="77" hidden="1" customWidth="1" outlineLevel="1"/>
    <col min="17" max="17" width="21.6640625" style="77" hidden="1" customWidth="1" outlineLevel="1"/>
    <col min="18" max="18" width="18.6640625" style="77" hidden="1" customWidth="1" outlineLevel="1"/>
    <col min="19" max="19" width="20.109375" style="77" hidden="1" customWidth="1" outlineLevel="1"/>
    <col min="20" max="20" width="23" style="77" hidden="1" customWidth="1" outlineLevel="1"/>
    <col min="21" max="21" width="22.44140625" style="77" hidden="1" customWidth="1" outlineLevel="1"/>
    <col min="22" max="22" width="21.88671875" style="77" customWidth="1" collapsed="1"/>
    <col min="23" max="23" width="22.109375" style="77" customWidth="1"/>
    <col min="24" max="24" width="12.33203125" style="77" customWidth="1"/>
    <col min="25" max="25" width="18.109375" style="77" hidden="1" customWidth="1" outlineLevel="1"/>
    <col min="26" max="26" width="18.6640625" style="77" hidden="1" customWidth="1" outlineLevel="1"/>
    <col min="27" max="27" width="4" style="77" hidden="1" customWidth="1" outlineLevel="1"/>
    <col min="28" max="29" width="16.44140625" style="77" hidden="1" customWidth="1" outlineLevel="1"/>
    <col min="30" max="30" width="4" style="79" hidden="1" customWidth="1" outlineLevel="1"/>
    <col min="31" max="31" width="9.88671875" style="80" hidden="1" customWidth="1" outlineLevel="1"/>
    <col min="32" max="32" width="10.88671875" style="80" hidden="1" customWidth="1" outlineLevel="1"/>
    <col min="33" max="33" width="21.44140625" style="77" bestFit="1" customWidth="1" collapsed="1"/>
    <col min="34" max="34" width="16" style="77" bestFit="1" customWidth="1"/>
    <col min="35" max="16384" width="12.5546875" style="77"/>
  </cols>
  <sheetData>
    <row r="1" spans="1:34" ht="19.95" customHeight="1">
      <c r="A1" s="76" t="str">
        <f>"General Academic Institutions - "&amp;H3</f>
        <v>General Academic Institutions - Formula Funding - 2024-2025</v>
      </c>
      <c r="B1"/>
      <c r="C1"/>
      <c r="D1"/>
      <c r="E1"/>
      <c r="F1"/>
      <c r="G1"/>
      <c r="H1"/>
      <c r="I1"/>
      <c r="J1" s="637">
        <v>2024</v>
      </c>
    </row>
    <row r="2" spans="1:34" ht="19.95" customHeight="1" thickBot="1">
      <c r="A2" s="76" t="s">
        <v>514</v>
      </c>
    </row>
    <row r="3" spans="1:34" s="84" customFormat="1" ht="84" customHeight="1" thickBot="1">
      <c r="A3" s="661" t="s">
        <v>138</v>
      </c>
      <c r="B3" s="662"/>
      <c r="C3" s="81" t="str">
        <f>"Appropriations w/ BAT "&amp;TEXT(J1-2,"@@@@")&amp;"-"&amp;TEXT(J1-1,"@@@@")</f>
        <v>Appropriations w/ BAT 2022-2023</v>
      </c>
      <c r="D3" s="81" t="str">
        <f>"Board Authorized Tuition (BAT) "&amp;TEXT(J1-2,"@@@@")&amp;"-"&amp;TEXT(J1-1,"@@@@")</f>
        <v>Board Authorized Tuition (BAT) 2022-2023</v>
      </c>
      <c r="E3" s="81" t="str">
        <f>"General Revenue "&amp;TEXT(J1-2,"@@@@")&amp;"-"&amp;TEXT(J1-1,"@@@@")</f>
        <v>General Revenue 2022-2023</v>
      </c>
      <c r="F3" s="81" t="str">
        <f>"General Revenue Dedicated "&amp;TEXT(J1-2,"@@@@")&amp;"-"&amp;TEXT(J1-1,"@@@@")</f>
        <v>General Revenue Dedicated 2022-2023</v>
      </c>
      <c r="G3" s="81" t="str">
        <f>"Formula Funding Appropriations "&amp;TEXT(J1-2,"@@@@")&amp;"-"&amp;TEXT(J1-1,"@@@@")</f>
        <v>Formula Funding Appropriations 2022-2023</v>
      </c>
      <c r="H3" s="81" t="str">
        <f>"Formula Funding - "&amp;TEXT(J1,"@@@@")&amp;"-"&amp;TEXT(J1+1,"@@@@")</f>
        <v>Formula Funding - 2024-2025</v>
      </c>
      <c r="I3" s="82" t="s">
        <v>26</v>
      </c>
      <c r="J3" s="83" t="s">
        <v>188</v>
      </c>
      <c r="L3" s="85" t="str">
        <f>"Formula Funding - "&amp;TEXT(J1,"@@@@")</f>
        <v>Formula Funding - 2024</v>
      </c>
      <c r="M3" s="85" t="str">
        <f>"Formula Funding - "&amp;TEXT(J1+1,"@@@@")</f>
        <v>Formula Funding - 2025</v>
      </c>
      <c r="N3" s="85" t="str">
        <f>"General Revenue - "&amp;TEXT(J1,"@@@@")</f>
        <v>General Revenue - 2024</v>
      </c>
      <c r="O3" s="85" t="str">
        <f>"General Revenue - "&amp;TEXT(J1+1,"@@@@")</f>
        <v>General Revenue - 2025</v>
      </c>
      <c r="P3" s="85" t="str">
        <f>"General Revenue Dedicated - "&amp;TEXT(J1,"@@@@")</f>
        <v>General Revenue Dedicated - 2024</v>
      </c>
      <c r="Q3" s="85" t="str">
        <f>"General Revenue Dedicated - "&amp;TEXT(J1+1,"@@@@")</f>
        <v>General Revenue Dedicated - 2025</v>
      </c>
      <c r="R3" s="85" t="str">
        <f>"Board Authorized Tuition (BAT) - "&amp;TEXT(J1,"@@@@")</f>
        <v>Board Authorized Tuition (BAT) - 2024</v>
      </c>
      <c r="S3" s="85" t="str">
        <f>"Board Authorized Tuition (BAT) - "&amp;TEXT(J1+1,"@@@@")</f>
        <v>Board Authorized Tuition (BAT) - 2025</v>
      </c>
      <c r="T3" s="85" t="str">
        <f>"Appropriations w/ BAT - "&amp;TEXT(J1,"@@@@")</f>
        <v>Appropriations w/ BAT - 2024</v>
      </c>
      <c r="U3" s="85" t="str">
        <f>"Appropriations w/ BAT - "&amp;TEXT(J1+1,"@@@@")</f>
        <v>Appropriations w/ BAT - 2025</v>
      </c>
      <c r="V3" s="86" t="s">
        <v>287</v>
      </c>
      <c r="W3" s="86" t="s">
        <v>288</v>
      </c>
      <c r="X3" s="87" t="s">
        <v>259</v>
      </c>
      <c r="Y3" s="88" t="s">
        <v>285</v>
      </c>
      <c r="Z3" s="88" t="s">
        <v>286</v>
      </c>
      <c r="AA3" s="89"/>
      <c r="AB3" s="678" t="s">
        <v>26</v>
      </c>
      <c r="AC3" s="678"/>
      <c r="AD3" s="90"/>
      <c r="AE3" s="678" t="s">
        <v>194</v>
      </c>
      <c r="AF3" s="678"/>
    </row>
    <row r="4" spans="1:34" s="91" customFormat="1" ht="19.95" customHeight="1" thickBot="1">
      <c r="A4" s="666" t="s">
        <v>139</v>
      </c>
      <c r="B4" s="667"/>
      <c r="C4" s="667"/>
      <c r="D4" s="667"/>
      <c r="E4" s="667"/>
      <c r="F4" s="667"/>
      <c r="G4" s="667"/>
      <c r="H4" s="667"/>
      <c r="I4" s="667"/>
      <c r="J4" s="668"/>
      <c r="L4" s="674" t="str">
        <f>A4</f>
        <v>Formula Funding - Summary</v>
      </c>
      <c r="M4" s="674"/>
      <c r="N4" s="674"/>
      <c r="O4" s="674"/>
      <c r="P4" s="674"/>
      <c r="Q4" s="674"/>
      <c r="R4" s="674"/>
      <c r="S4" s="674"/>
      <c r="T4" s="674" t="str">
        <f>A4</f>
        <v>Formula Funding - Summary</v>
      </c>
      <c r="U4" s="674"/>
      <c r="V4" s="92"/>
      <c r="W4" s="92"/>
      <c r="AD4" s="93"/>
      <c r="AE4" s="94"/>
      <c r="AF4" s="94"/>
    </row>
    <row r="5" spans="1:34" ht="19.95" customHeight="1">
      <c r="A5" s="663" t="s">
        <v>212</v>
      </c>
      <c r="B5" s="663"/>
    </row>
    <row r="6" spans="1:34" ht="21" customHeight="1">
      <c r="A6" s="664" t="s">
        <v>209</v>
      </c>
      <c r="B6" s="665"/>
      <c r="C6" s="95">
        <f t="shared" ref="C6:H6" si="0">C203</f>
        <v>4533746960</v>
      </c>
      <c r="D6" s="95">
        <f t="shared" si="0"/>
        <v>224089812</v>
      </c>
      <c r="E6" s="95">
        <f t="shared" si="0"/>
        <v>3213278737.3855996</v>
      </c>
      <c r="F6" s="95">
        <f t="shared" si="0"/>
        <v>1096378410.6144016</v>
      </c>
      <c r="G6" s="95">
        <f t="shared" si="0"/>
        <v>4309657148</v>
      </c>
      <c r="H6" s="95">
        <f t="shared" ca="1" si="0"/>
        <v>4531406834.4649382</v>
      </c>
      <c r="I6" s="95">
        <f ca="1">H6-G6</f>
        <v>221749686.46493816</v>
      </c>
      <c r="J6" s="96">
        <f t="shared" ref="J6:J18" ca="1" si="1">IF(OR(I6=0,G6=0),0,I6/G6)</f>
        <v>5.1454136338396766E-2</v>
      </c>
      <c r="K6" s="97"/>
      <c r="L6" s="95">
        <f t="shared" ref="L6:U6" ca="1" si="2">L203</f>
        <v>2265703417.2324691</v>
      </c>
      <c r="M6" s="95">
        <f t="shared" ca="1" si="2"/>
        <v>2265703417.2324691</v>
      </c>
      <c r="N6" s="95">
        <f ca="1">N203</f>
        <v>1722376782.6258595</v>
      </c>
      <c r="O6" s="95">
        <f ca="1">O203</f>
        <v>1720360967.1497431</v>
      </c>
      <c r="P6" s="95">
        <f>P203</f>
        <v>543326634.60660994</v>
      </c>
      <c r="Q6" s="95">
        <f t="shared" si="2"/>
        <v>545342450.08272612</v>
      </c>
      <c r="R6" s="95">
        <f t="shared" si="2"/>
        <v>125853787</v>
      </c>
      <c r="S6" s="95">
        <f t="shared" si="2"/>
        <v>125853787</v>
      </c>
      <c r="T6" s="95">
        <f t="shared" ca="1" si="2"/>
        <v>2391557204.2324691</v>
      </c>
      <c r="U6" s="95">
        <f t="shared" ca="1" si="2"/>
        <v>2391557204.2324691</v>
      </c>
      <c r="V6" s="98"/>
      <c r="W6" s="98"/>
      <c r="Y6" s="97"/>
      <c r="Z6" s="97"/>
      <c r="AG6" s="99"/>
    </row>
    <row r="7" spans="1:34" ht="21.75" customHeight="1">
      <c r="A7" s="664" t="s">
        <v>123</v>
      </c>
      <c r="B7" s="665" t="s">
        <v>83</v>
      </c>
      <c r="C7" s="95">
        <f t="shared" ref="C7:H7" si="3">C243</f>
        <v>97236564</v>
      </c>
      <c r="D7" s="95">
        <f t="shared" si="3"/>
        <v>0</v>
      </c>
      <c r="E7" s="95">
        <f>E243</f>
        <v>72760558.283139452</v>
      </c>
      <c r="F7" s="95">
        <f t="shared" si="3"/>
        <v>24476005.716860574</v>
      </c>
      <c r="G7" s="95">
        <f t="shared" si="3"/>
        <v>97236564</v>
      </c>
      <c r="H7" s="95">
        <f t="shared" ca="1" si="3"/>
        <v>88697767.595352829</v>
      </c>
      <c r="I7" s="100">
        <f t="shared" ref="I7:I18" ca="1" si="4">H7-G7</f>
        <v>-8538796.4046471715</v>
      </c>
      <c r="J7" s="96">
        <f t="shared" ca="1" si="1"/>
        <v>-8.781466614397411E-2</v>
      </c>
      <c r="K7" s="97"/>
      <c r="L7" s="95">
        <f t="shared" ref="L7:U7" ca="1" si="5">L243</f>
        <v>44348883.797676414</v>
      </c>
      <c r="M7" s="95">
        <f t="shared" ca="1" si="5"/>
        <v>44348883.797676414</v>
      </c>
      <c r="N7" s="95">
        <f t="shared" ca="1" si="5"/>
        <v>31861638.052514214</v>
      </c>
      <c r="O7" s="95">
        <f t="shared" ca="1" si="5"/>
        <v>31815308.677836332</v>
      </c>
      <c r="P7" s="95">
        <f t="shared" si="5"/>
        <v>12487245.7451622</v>
      </c>
      <c r="Q7" s="95">
        <f t="shared" si="5"/>
        <v>12533575.119840082</v>
      </c>
      <c r="R7" s="95">
        <f t="shared" si="5"/>
        <v>0</v>
      </c>
      <c r="S7" s="95">
        <f t="shared" si="5"/>
        <v>0</v>
      </c>
      <c r="T7" s="95">
        <f t="shared" ca="1" si="5"/>
        <v>44348883.797676414</v>
      </c>
      <c r="U7" s="95">
        <f t="shared" ca="1" si="5"/>
        <v>44348883.797676414</v>
      </c>
      <c r="V7" s="101"/>
      <c r="W7" s="101"/>
      <c r="Y7" s="97"/>
      <c r="AG7" s="99"/>
    </row>
    <row r="8" spans="1:34" ht="25.95" customHeight="1">
      <c r="A8" s="656" t="s">
        <v>211</v>
      </c>
      <c r="B8" s="657" t="s">
        <v>83</v>
      </c>
      <c r="C8" s="542">
        <f t="shared" ref="C8:H8" si="6">SUM(C6:C7)</f>
        <v>4630983524</v>
      </c>
      <c r="D8" s="542">
        <f t="shared" si="6"/>
        <v>224089812</v>
      </c>
      <c r="E8" s="542">
        <f t="shared" si="6"/>
        <v>3286039295.6687388</v>
      </c>
      <c r="F8" s="542">
        <f t="shared" si="6"/>
        <v>1120854416.3312621</v>
      </c>
      <c r="G8" s="542">
        <f t="shared" si="6"/>
        <v>4406893712</v>
      </c>
      <c r="H8" s="542">
        <f t="shared" ca="1" si="6"/>
        <v>4620104602.0602913</v>
      </c>
      <c r="I8" s="542">
        <f t="shared" ca="1" si="4"/>
        <v>213210890.06029129</v>
      </c>
      <c r="J8" s="543">
        <f t="shared" ca="1" si="1"/>
        <v>4.8381219061334892E-2</v>
      </c>
      <c r="L8" s="542">
        <f ca="1">SUM(L6:L7)</f>
        <v>2310052301.0301456</v>
      </c>
      <c r="M8" s="542">
        <f t="shared" ref="M8:U8" ca="1" si="7">SUM(M6:M7)</f>
        <v>2310052301.0301456</v>
      </c>
      <c r="N8" s="542">
        <f t="shared" ca="1" si="7"/>
        <v>1754238420.6783738</v>
      </c>
      <c r="O8" s="542">
        <f t="shared" ca="1" si="7"/>
        <v>1752176275.8275795</v>
      </c>
      <c r="P8" s="542">
        <f t="shared" si="7"/>
        <v>555813880.35177219</v>
      </c>
      <c r="Q8" s="542">
        <f t="shared" si="7"/>
        <v>557876025.20256615</v>
      </c>
      <c r="R8" s="542">
        <f t="shared" si="7"/>
        <v>125853787</v>
      </c>
      <c r="S8" s="542">
        <f t="shared" si="7"/>
        <v>125853787</v>
      </c>
      <c r="T8" s="542">
        <f t="shared" ca="1" si="7"/>
        <v>2435906088.0301456</v>
      </c>
      <c r="U8" s="542">
        <f t="shared" ca="1" si="7"/>
        <v>2435906088.0301456</v>
      </c>
      <c r="V8" s="97"/>
      <c r="W8" s="97"/>
      <c r="Y8" s="97"/>
      <c r="AG8" s="99"/>
    </row>
    <row r="9" spans="1:34" ht="19.95" customHeight="1">
      <c r="A9" s="658" t="s">
        <v>249</v>
      </c>
      <c r="B9" s="659" t="s">
        <v>83</v>
      </c>
      <c r="C9" s="95">
        <f t="shared" ref="C9:H9" si="8">C284</f>
        <v>793134824.25994515</v>
      </c>
      <c r="D9" s="95">
        <f t="shared" si="8"/>
        <v>0</v>
      </c>
      <c r="E9" s="95">
        <f t="shared" si="8"/>
        <v>581804387.25994515</v>
      </c>
      <c r="F9" s="95">
        <f t="shared" si="8"/>
        <v>211330437</v>
      </c>
      <c r="G9" s="95">
        <f t="shared" si="8"/>
        <v>793134824.25994515</v>
      </c>
      <c r="H9" s="95">
        <f t="shared" si="8"/>
        <v>822942433.43280208</v>
      </c>
      <c r="I9" s="95">
        <f t="shared" si="4"/>
        <v>29807609.172856927</v>
      </c>
      <c r="J9" s="96">
        <f t="shared" si="1"/>
        <v>3.7582020434759854E-2</v>
      </c>
      <c r="K9" s="79"/>
      <c r="L9" s="95">
        <f t="shared" ref="L9:U9" si="9">L284</f>
        <v>411471216.71640104</v>
      </c>
      <c r="M9" s="95">
        <f t="shared" si="9"/>
        <v>411471216.71640104</v>
      </c>
      <c r="N9" s="95">
        <f t="shared" si="9"/>
        <v>310104635.12101138</v>
      </c>
      <c r="O9" s="95">
        <f t="shared" si="9"/>
        <v>309728551.36047775</v>
      </c>
      <c r="P9" s="95">
        <f t="shared" si="9"/>
        <v>101366581.59538957</v>
      </c>
      <c r="Q9" s="95">
        <f t="shared" si="9"/>
        <v>101742665.35592332</v>
      </c>
      <c r="R9" s="95">
        <f t="shared" si="9"/>
        <v>0</v>
      </c>
      <c r="S9" s="95">
        <f t="shared" si="9"/>
        <v>0</v>
      </c>
      <c r="T9" s="95">
        <f t="shared" si="9"/>
        <v>411471216.71640104</v>
      </c>
      <c r="U9" s="95">
        <f t="shared" si="9"/>
        <v>411471216.71640104</v>
      </c>
      <c r="V9" s="98"/>
      <c r="W9" s="98"/>
      <c r="Y9" s="97"/>
      <c r="AG9" s="99"/>
    </row>
    <row r="10" spans="1:34" ht="19.95" customHeight="1">
      <c r="A10" s="658" t="s">
        <v>81</v>
      </c>
      <c r="B10" s="659" t="s">
        <v>83</v>
      </c>
      <c r="C10" s="95">
        <f t="shared" ref="C10:H10" si="10">C334</f>
        <v>30245752</v>
      </c>
      <c r="D10" s="95">
        <f t="shared" si="10"/>
        <v>0</v>
      </c>
      <c r="E10" s="95">
        <f t="shared" si="10"/>
        <v>30245752</v>
      </c>
      <c r="F10" s="95">
        <f t="shared" si="10"/>
        <v>0</v>
      </c>
      <c r="G10" s="95">
        <f t="shared" si="10"/>
        <v>30245752</v>
      </c>
      <c r="H10" s="95">
        <f t="shared" si="10"/>
        <v>30776058.504000001</v>
      </c>
      <c r="I10" s="100">
        <f t="shared" si="4"/>
        <v>530306.50400000066</v>
      </c>
      <c r="J10" s="96">
        <f t="shared" si="1"/>
        <v>1.7533255711413644E-2</v>
      </c>
      <c r="K10" s="103"/>
      <c r="L10" s="95">
        <f t="shared" ref="L10:U10" si="11">L334</f>
        <v>15388029.252</v>
      </c>
      <c r="M10" s="95">
        <f t="shared" si="11"/>
        <v>15388029.252</v>
      </c>
      <c r="N10" s="95">
        <f t="shared" si="11"/>
        <v>15388029.252</v>
      </c>
      <c r="O10" s="95">
        <f t="shared" si="11"/>
        <v>15388029.252</v>
      </c>
      <c r="P10" s="95">
        <f t="shared" si="11"/>
        <v>0</v>
      </c>
      <c r="Q10" s="95">
        <f t="shared" si="11"/>
        <v>0</v>
      </c>
      <c r="R10" s="95">
        <f t="shared" si="11"/>
        <v>0</v>
      </c>
      <c r="S10" s="95">
        <f t="shared" si="11"/>
        <v>0</v>
      </c>
      <c r="T10" s="95">
        <f t="shared" si="11"/>
        <v>15388029.252</v>
      </c>
      <c r="U10" s="95">
        <f t="shared" si="11"/>
        <v>15388029.252</v>
      </c>
      <c r="V10" s="97"/>
      <c r="W10" s="97"/>
      <c r="Y10" s="97"/>
      <c r="AG10" s="99"/>
    </row>
    <row r="11" spans="1:34" ht="24" customHeight="1">
      <c r="A11" s="656" t="s">
        <v>269</v>
      </c>
      <c r="B11" s="657" t="s">
        <v>83</v>
      </c>
      <c r="C11" s="542">
        <f t="shared" ref="C11:H11" si="12">SUM(C9:C10)</f>
        <v>823380576.25994515</v>
      </c>
      <c r="D11" s="542">
        <f t="shared" si="12"/>
        <v>0</v>
      </c>
      <c r="E11" s="542">
        <f t="shared" si="12"/>
        <v>612050139.25994515</v>
      </c>
      <c r="F11" s="542">
        <f t="shared" si="12"/>
        <v>211330437</v>
      </c>
      <c r="G11" s="542">
        <f t="shared" si="12"/>
        <v>823380576.25994515</v>
      </c>
      <c r="H11" s="542">
        <f t="shared" si="12"/>
        <v>853718491.93680203</v>
      </c>
      <c r="I11" s="542">
        <f t="shared" si="4"/>
        <v>30337915.676856875</v>
      </c>
      <c r="J11" s="543">
        <f t="shared" si="1"/>
        <v>3.6845556661855294E-2</v>
      </c>
      <c r="K11" s="104"/>
      <c r="L11" s="542">
        <f t="shared" ref="L11:U11" si="13">SUM(L9:L10)</f>
        <v>426859245.96840101</v>
      </c>
      <c r="M11" s="542">
        <f t="shared" si="13"/>
        <v>426859245.96840101</v>
      </c>
      <c r="N11" s="542">
        <f>SUM(N9:N10)</f>
        <v>325492664.37301135</v>
      </c>
      <c r="O11" s="542">
        <f>SUM(O9:O10)</f>
        <v>325116580.61247772</v>
      </c>
      <c r="P11" s="542">
        <f t="shared" si="13"/>
        <v>101366581.59538957</v>
      </c>
      <c r="Q11" s="542">
        <f t="shared" si="13"/>
        <v>101742665.35592332</v>
      </c>
      <c r="R11" s="542">
        <f t="shared" si="13"/>
        <v>0</v>
      </c>
      <c r="S11" s="542">
        <f t="shared" si="13"/>
        <v>0</v>
      </c>
      <c r="T11" s="542">
        <f t="shared" si="13"/>
        <v>426859245.96840101</v>
      </c>
      <c r="U11" s="542">
        <f t="shared" si="13"/>
        <v>426859245.96840101</v>
      </c>
      <c r="V11" s="97"/>
      <c r="W11" s="97"/>
      <c r="Y11" s="97"/>
      <c r="AG11" s="99"/>
    </row>
    <row r="12" spans="1:34" s="105" customFormat="1" ht="38.25" customHeight="1">
      <c r="A12" s="676" t="s">
        <v>490</v>
      </c>
      <c r="B12" s="677" t="s">
        <v>83</v>
      </c>
      <c r="C12" s="542">
        <f t="shared" ref="C12:H12" si="14">C8+C11</f>
        <v>5454364100.2599449</v>
      </c>
      <c r="D12" s="542">
        <f t="shared" si="14"/>
        <v>224089812</v>
      </c>
      <c r="E12" s="542">
        <f t="shared" si="14"/>
        <v>3898089434.9286842</v>
      </c>
      <c r="F12" s="542">
        <f t="shared" si="14"/>
        <v>1332184853.3312621</v>
      </c>
      <c r="G12" s="542">
        <f t="shared" si="14"/>
        <v>5230274288.2599449</v>
      </c>
      <c r="H12" s="542">
        <f t="shared" ca="1" si="14"/>
        <v>5473823093.9970932</v>
      </c>
      <c r="I12" s="542">
        <f ca="1">H12-G12</f>
        <v>243548805.73714828</v>
      </c>
      <c r="J12" s="543">
        <f ca="1">IF(OR(I12=0,G12=0),0,I12/G12)</f>
        <v>4.6565207160134292E-2</v>
      </c>
      <c r="K12" s="583"/>
      <c r="L12" s="542">
        <f t="shared" ref="L12:U12" ca="1" si="15">L8+L11</f>
        <v>2736911546.9985466</v>
      </c>
      <c r="M12" s="542">
        <f t="shared" ca="1" si="15"/>
        <v>2736911546.9985466</v>
      </c>
      <c r="N12" s="542">
        <f t="shared" ca="1" si="15"/>
        <v>2079731085.0513852</v>
      </c>
      <c r="O12" s="542">
        <f t="shared" ca="1" si="15"/>
        <v>2077292856.4400573</v>
      </c>
      <c r="P12" s="542">
        <f t="shared" si="15"/>
        <v>657180461.94716179</v>
      </c>
      <c r="Q12" s="542">
        <f t="shared" si="15"/>
        <v>659618690.55848944</v>
      </c>
      <c r="R12" s="542">
        <f t="shared" si="15"/>
        <v>125853787</v>
      </c>
      <c r="S12" s="542">
        <f t="shared" si="15"/>
        <v>125853787</v>
      </c>
      <c r="T12" s="542">
        <f t="shared" ca="1" si="15"/>
        <v>2862765333.9985466</v>
      </c>
      <c r="U12" s="542">
        <f t="shared" ca="1" si="15"/>
        <v>2862765333.9985466</v>
      </c>
      <c r="V12" s="146"/>
      <c r="W12" s="146"/>
      <c r="Y12" s="146"/>
      <c r="AD12" s="623"/>
      <c r="AE12" s="590"/>
      <c r="AF12" s="590"/>
      <c r="AG12" s="577"/>
    </row>
    <row r="13" spans="1:34" ht="43.5" customHeight="1">
      <c r="A13" s="658" t="s">
        <v>509</v>
      </c>
      <c r="B13" s="659"/>
      <c r="C13" s="95">
        <f t="shared" ref="C13:H13" si="16">C385</f>
        <v>20000000.000000015</v>
      </c>
      <c r="D13" s="95">
        <f t="shared" si="16"/>
        <v>0</v>
      </c>
      <c r="E13" s="95">
        <f t="shared" si="16"/>
        <v>20000000.000000015</v>
      </c>
      <c r="F13" s="95">
        <f t="shared" si="16"/>
        <v>0</v>
      </c>
      <c r="G13" s="95">
        <f t="shared" si="16"/>
        <v>20000000.000000015</v>
      </c>
      <c r="H13" s="95">
        <f t="shared" si="16"/>
        <v>71507528.319999993</v>
      </c>
      <c r="I13" s="100">
        <f>H13-G13</f>
        <v>51507528.319999978</v>
      </c>
      <c r="J13" s="96">
        <f>IF(OR(I13=0,G13=0),0,I13/G13)</f>
        <v>2.575376415999997</v>
      </c>
      <c r="K13" s="97"/>
      <c r="L13" s="95">
        <f t="shared" ref="L13:U13" si="17">L385</f>
        <v>35753764.159999996</v>
      </c>
      <c r="M13" s="95">
        <f t="shared" si="17"/>
        <v>35753764.159999996</v>
      </c>
      <c r="N13" s="95">
        <f t="shared" si="17"/>
        <v>35753764.159999996</v>
      </c>
      <c r="O13" s="95">
        <f t="shared" si="17"/>
        <v>35753764.159999996</v>
      </c>
      <c r="P13" s="95">
        <f t="shared" si="17"/>
        <v>0</v>
      </c>
      <c r="Q13" s="95">
        <f t="shared" si="17"/>
        <v>0</v>
      </c>
      <c r="R13" s="95">
        <f t="shared" si="17"/>
        <v>0</v>
      </c>
      <c r="S13" s="95">
        <f t="shared" si="17"/>
        <v>0</v>
      </c>
      <c r="T13" s="95">
        <f t="shared" si="17"/>
        <v>35753764.159999996</v>
      </c>
      <c r="U13" s="95">
        <f t="shared" si="17"/>
        <v>35753764.159999996</v>
      </c>
      <c r="V13" s="102"/>
      <c r="W13" s="102"/>
      <c r="Y13" s="97"/>
      <c r="AG13" s="99"/>
      <c r="AH13" s="97"/>
    </row>
    <row r="14" spans="1:34" ht="22.5" customHeight="1">
      <c r="A14" s="658" t="s">
        <v>329</v>
      </c>
      <c r="B14" s="659"/>
      <c r="C14" s="95">
        <f t="shared" ref="C14:H14" si="18">C391</f>
        <v>147075792</v>
      </c>
      <c r="D14" s="95">
        <f t="shared" si="18"/>
        <v>0</v>
      </c>
      <c r="E14" s="95">
        <f t="shared" si="18"/>
        <v>147075792</v>
      </c>
      <c r="F14" s="95">
        <f t="shared" si="18"/>
        <v>0</v>
      </c>
      <c r="G14" s="95">
        <f t="shared" si="18"/>
        <v>147075792</v>
      </c>
      <c r="H14" s="95">
        <f t="shared" si="18"/>
        <v>156935502.30424309</v>
      </c>
      <c r="I14" s="95">
        <f t="shared" si="4"/>
        <v>9859710.3042430878</v>
      </c>
      <c r="J14" s="96">
        <f t="shared" si="1"/>
        <v>6.7038294814982788E-2</v>
      </c>
      <c r="K14" s="104"/>
      <c r="L14" s="95">
        <f>L391</f>
        <v>78467751.152121544</v>
      </c>
      <c r="M14" s="95">
        <f>M391</f>
        <v>78467751.152121544</v>
      </c>
      <c r="N14" s="95">
        <f>N391</f>
        <v>78467751.152121544</v>
      </c>
      <c r="O14" s="95">
        <f>O391</f>
        <v>78467751.152121544</v>
      </c>
      <c r="P14" s="95">
        <v>0</v>
      </c>
      <c r="Q14" s="95">
        <v>0</v>
      </c>
      <c r="R14" s="95">
        <v>0</v>
      </c>
      <c r="S14" s="95">
        <v>0</v>
      </c>
      <c r="T14" s="95">
        <f>T391</f>
        <v>78467751.152121544</v>
      </c>
      <c r="U14" s="95">
        <f>U391</f>
        <v>78467751.152121544</v>
      </c>
      <c r="V14" s="97"/>
      <c r="W14" s="97"/>
      <c r="Y14" s="97"/>
      <c r="AG14" s="99"/>
    </row>
    <row r="15" spans="1:34" ht="45.75" customHeight="1">
      <c r="A15" s="658" t="s">
        <v>508</v>
      </c>
      <c r="B15" s="660"/>
      <c r="C15" s="95">
        <f>C403</f>
        <v>117111410</v>
      </c>
      <c r="D15" s="95">
        <f t="shared" ref="D15:F15" si="19">D403</f>
        <v>0</v>
      </c>
      <c r="E15" s="95">
        <f t="shared" si="19"/>
        <v>117111410</v>
      </c>
      <c r="F15" s="95">
        <f t="shared" si="19"/>
        <v>1.862645149230957E-8</v>
      </c>
      <c r="G15" s="95">
        <f>G403</f>
        <v>117111410.00000001</v>
      </c>
      <c r="H15" s="95">
        <f>H403</f>
        <v>174958890.99999997</v>
      </c>
      <c r="I15" s="95">
        <f>H15-G15</f>
        <v>57847480.999999955</v>
      </c>
      <c r="J15" s="96">
        <f>IF(OR(I15=0,G15=0),0,I15/G15)</f>
        <v>0.49395256192372672</v>
      </c>
      <c r="K15" s="104"/>
      <c r="L15" s="95">
        <f>L403</f>
        <v>87479445.499999985</v>
      </c>
      <c r="M15" s="95">
        <f>M403</f>
        <v>87479445.499999985</v>
      </c>
      <c r="N15" s="95">
        <f>N403</f>
        <v>87479445.499999985</v>
      </c>
      <c r="O15" s="95">
        <f>O403</f>
        <v>87479445.499999985</v>
      </c>
      <c r="P15" s="95">
        <v>0</v>
      </c>
      <c r="Q15" s="95">
        <v>0</v>
      </c>
      <c r="R15" s="95">
        <v>0</v>
      </c>
      <c r="S15" s="95">
        <v>0</v>
      </c>
      <c r="T15" s="95">
        <f>T403</f>
        <v>87479445.499999985</v>
      </c>
      <c r="U15" s="95">
        <f>U403</f>
        <v>87479445.499999985</v>
      </c>
      <c r="V15" s="97"/>
      <c r="W15" s="97"/>
      <c r="Y15" s="97"/>
      <c r="AG15" s="99"/>
    </row>
    <row r="16" spans="1:34" ht="22.2" customHeight="1">
      <c r="A16" s="658" t="s">
        <v>486</v>
      </c>
      <c r="B16" s="659"/>
      <c r="C16" s="95">
        <f t="shared" ref="C16:H16" si="20">C410</f>
        <v>0</v>
      </c>
      <c r="D16" s="95">
        <f t="shared" si="20"/>
        <v>0</v>
      </c>
      <c r="E16" s="95">
        <f t="shared" si="20"/>
        <v>0</v>
      </c>
      <c r="F16" s="95">
        <f t="shared" si="20"/>
        <v>0</v>
      </c>
      <c r="G16" s="95">
        <f t="shared" si="20"/>
        <v>0</v>
      </c>
      <c r="H16" s="95">
        <f t="shared" si="20"/>
        <v>273364139</v>
      </c>
      <c r="I16" s="95">
        <f t="shared" si="4"/>
        <v>273364139</v>
      </c>
      <c r="J16" s="96">
        <f t="shared" si="1"/>
        <v>0</v>
      </c>
      <c r="K16" s="104"/>
      <c r="L16" s="95">
        <f>L410</f>
        <v>136682069.5</v>
      </c>
      <c r="M16" s="95">
        <f>M410</f>
        <v>136682069.5</v>
      </c>
      <c r="N16" s="95">
        <f>N410</f>
        <v>136682069.5</v>
      </c>
      <c r="O16" s="95">
        <f>O410</f>
        <v>136682069.5</v>
      </c>
      <c r="P16" s="95">
        <v>0</v>
      </c>
      <c r="Q16" s="95">
        <v>0</v>
      </c>
      <c r="R16" s="95">
        <v>0</v>
      </c>
      <c r="S16" s="95">
        <v>0</v>
      </c>
      <c r="T16" s="95">
        <f>T410</f>
        <v>136682069.5</v>
      </c>
      <c r="U16" s="95">
        <f>U410</f>
        <v>136682069.5</v>
      </c>
      <c r="V16" s="97"/>
      <c r="W16" s="97"/>
      <c r="Y16" s="97"/>
      <c r="AG16" s="99"/>
    </row>
    <row r="17" spans="1:33" ht="21" customHeight="1">
      <c r="A17" s="658" t="s">
        <v>330</v>
      </c>
      <c r="B17" s="659"/>
      <c r="C17" s="95">
        <f t="shared" ref="C17:H17" si="21">C440</f>
        <v>14272374.000000006</v>
      </c>
      <c r="D17" s="95">
        <f t="shared" si="21"/>
        <v>0</v>
      </c>
      <c r="E17" s="95">
        <f t="shared" si="21"/>
        <v>14272374.000000006</v>
      </c>
      <c r="F17" s="95">
        <f t="shared" si="21"/>
        <v>0</v>
      </c>
      <c r="G17" s="95">
        <f t="shared" si="21"/>
        <v>14272374.000000006</v>
      </c>
      <c r="H17" s="95">
        <f t="shared" si="21"/>
        <v>30956033.474558208</v>
      </c>
      <c r="I17" s="95">
        <f t="shared" si="4"/>
        <v>16683659.474558203</v>
      </c>
      <c r="J17" s="96">
        <f t="shared" si="1"/>
        <v>1.1689477500069851</v>
      </c>
      <c r="K17" s="104"/>
      <c r="L17" s="95">
        <f>L440</f>
        <v>15478016.737279104</v>
      </c>
      <c r="M17" s="95">
        <f>M440</f>
        <v>15478016.737279104</v>
      </c>
      <c r="N17" s="95">
        <f>+N440</f>
        <v>15478016.737279104</v>
      </c>
      <c r="O17" s="95">
        <f>+O440</f>
        <v>15478016.737279104</v>
      </c>
      <c r="P17" s="95">
        <v>0</v>
      </c>
      <c r="Q17" s="95">
        <v>0</v>
      </c>
      <c r="R17" s="95">
        <v>0</v>
      </c>
      <c r="S17" s="95">
        <v>0</v>
      </c>
      <c r="T17" s="95">
        <f>+T440</f>
        <v>15478016.737279104</v>
      </c>
      <c r="U17" s="95">
        <f>U440</f>
        <v>15478016.737279104</v>
      </c>
      <c r="V17" s="97"/>
      <c r="W17" s="97"/>
      <c r="Y17" s="97"/>
      <c r="AG17" s="99"/>
    </row>
    <row r="18" spans="1:33" ht="27" customHeight="1">
      <c r="A18" s="656" t="s">
        <v>417</v>
      </c>
      <c r="B18" s="657" t="s">
        <v>83</v>
      </c>
      <c r="C18" s="542">
        <f t="shared" ref="C18:H18" si="22">SUM(C12:C17)</f>
        <v>5752823676.2599449</v>
      </c>
      <c r="D18" s="542">
        <f t="shared" si="22"/>
        <v>224089812</v>
      </c>
      <c r="E18" s="542">
        <f t="shared" si="22"/>
        <v>4196549010.9286842</v>
      </c>
      <c r="F18" s="542">
        <f t="shared" si="22"/>
        <v>1332184853.3312621</v>
      </c>
      <c r="G18" s="542">
        <f t="shared" si="22"/>
        <v>5528733864.2599449</v>
      </c>
      <c r="H18" s="542">
        <f t="shared" ca="1" si="22"/>
        <v>6181545188.0958939</v>
      </c>
      <c r="I18" s="542">
        <f t="shared" ca="1" si="4"/>
        <v>652811323.83594894</v>
      </c>
      <c r="J18" s="543">
        <f t="shared" ca="1" si="1"/>
        <v>0.11807609840943786</v>
      </c>
      <c r="K18" s="103"/>
      <c r="L18" s="542">
        <f ca="1">SUM(L12:L17)</f>
        <v>3090772594.0479469</v>
      </c>
      <c r="M18" s="542">
        <f t="shared" ref="M18:U18" ca="1" si="23">SUM(M12:M17)</f>
        <v>3090772594.0479469</v>
      </c>
      <c r="N18" s="542">
        <f t="shared" ca="1" si="23"/>
        <v>2433592132.1007857</v>
      </c>
      <c r="O18" s="542">
        <f t="shared" ca="1" si="23"/>
        <v>2431153903.4894581</v>
      </c>
      <c r="P18" s="542">
        <f t="shared" si="23"/>
        <v>657180461.94716179</v>
      </c>
      <c r="Q18" s="542">
        <f t="shared" si="23"/>
        <v>659618690.55848944</v>
      </c>
      <c r="R18" s="542">
        <f t="shared" si="23"/>
        <v>125853787</v>
      </c>
      <c r="S18" s="542">
        <f t="shared" si="23"/>
        <v>125853787</v>
      </c>
      <c r="T18" s="542">
        <f t="shared" ca="1" si="23"/>
        <v>3216626381.0479469</v>
      </c>
      <c r="U18" s="542">
        <f t="shared" ca="1" si="23"/>
        <v>3216626381.0479469</v>
      </c>
      <c r="V18" s="104"/>
      <c r="W18" s="97"/>
      <c r="Y18" s="97"/>
      <c r="AG18" s="99"/>
    </row>
    <row r="19" spans="1:33" ht="36.6" customHeight="1">
      <c r="A19" s="681" t="s">
        <v>210</v>
      </c>
      <c r="B19" s="681"/>
      <c r="C19" s="95"/>
      <c r="D19" s="95"/>
      <c r="E19" s="95"/>
      <c r="F19" s="95"/>
      <c r="G19" s="95"/>
      <c r="H19" s="95"/>
      <c r="M19" s="97"/>
      <c r="N19" s="104"/>
      <c r="O19" s="97"/>
      <c r="P19" s="104"/>
      <c r="Q19" s="97"/>
      <c r="R19" s="80"/>
      <c r="Y19" s="97"/>
      <c r="AG19" s="97"/>
    </row>
    <row r="20" spans="1:33" ht="19.95" customHeight="1">
      <c r="A20" s="658" t="s">
        <v>249</v>
      </c>
      <c r="B20" s="659" t="s">
        <v>83</v>
      </c>
      <c r="C20" s="95">
        <f t="shared" ref="C20:H20" si="24">C294</f>
        <v>23363472</v>
      </c>
      <c r="D20" s="95">
        <f t="shared" si="24"/>
        <v>0</v>
      </c>
      <c r="E20" s="95">
        <f t="shared" si="24"/>
        <v>21142828.863418963</v>
      </c>
      <c r="F20" s="95">
        <f t="shared" si="24"/>
        <v>2220643.1365810381</v>
      </c>
      <c r="G20" s="95">
        <f t="shared" si="24"/>
        <v>23363472</v>
      </c>
      <c r="H20" s="95">
        <f t="shared" si="24"/>
        <v>22419284.889677633</v>
      </c>
      <c r="I20" s="95">
        <f>H20-G20</f>
        <v>-944187.1103223674</v>
      </c>
      <c r="J20" s="96">
        <f>IF(OR(I20=0,G20=0),0,I20/G20)</f>
        <v>-4.0412962179695186E-2</v>
      </c>
      <c r="L20" s="95">
        <f t="shared" ref="L20:U20" si="25">L294</f>
        <v>11209642.444838816</v>
      </c>
      <c r="M20" s="95">
        <f t="shared" si="25"/>
        <v>11209642.444838816</v>
      </c>
      <c r="N20" s="95">
        <f t="shared" si="25"/>
        <v>9973322.5781392492</v>
      </c>
      <c r="O20" s="95">
        <f t="shared" si="25"/>
        <v>9954836.5771519914</v>
      </c>
      <c r="P20" s="95">
        <f t="shared" si="25"/>
        <v>1236319.866699568</v>
      </c>
      <c r="Q20" s="95">
        <f t="shared" si="25"/>
        <v>1254805.867686826</v>
      </c>
      <c r="R20" s="95">
        <f t="shared" si="25"/>
        <v>0</v>
      </c>
      <c r="S20" s="95">
        <f t="shared" si="25"/>
        <v>0</v>
      </c>
      <c r="T20" s="95">
        <f t="shared" si="25"/>
        <v>11209642.444838816</v>
      </c>
      <c r="U20" s="95">
        <f t="shared" si="25"/>
        <v>11209642.444838816</v>
      </c>
      <c r="V20" s="98"/>
      <c r="W20" s="98"/>
      <c r="Y20" s="97"/>
    </row>
    <row r="21" spans="1:33" ht="19.95" customHeight="1">
      <c r="A21" s="658" t="s">
        <v>81</v>
      </c>
      <c r="B21" s="659" t="s">
        <v>83</v>
      </c>
      <c r="C21" s="95">
        <f t="shared" ref="C21:H21" si="26">C344</f>
        <v>15798799.989616703</v>
      </c>
      <c r="D21" s="95">
        <f t="shared" si="26"/>
        <v>0</v>
      </c>
      <c r="E21" s="95">
        <f t="shared" si="26"/>
        <v>15798799.989616703</v>
      </c>
      <c r="F21" s="95">
        <f t="shared" si="26"/>
        <v>0</v>
      </c>
      <c r="G21" s="95">
        <f t="shared" si="26"/>
        <v>15798799.989616703</v>
      </c>
      <c r="H21" s="95">
        <f t="shared" si="26"/>
        <v>21961909.099799998</v>
      </c>
      <c r="I21" s="100">
        <f>H21-G21</f>
        <v>6163109.1101832949</v>
      </c>
      <c r="J21" s="96">
        <f>IF(OR(I21=0,G21=0),0,I21/G21)</f>
        <v>0.3900998249382116</v>
      </c>
      <c r="L21" s="100">
        <f t="shared" ref="L21:U21" si="27">L344</f>
        <v>10980954.549899999</v>
      </c>
      <c r="M21" s="100">
        <f t="shared" si="27"/>
        <v>10980954.549899999</v>
      </c>
      <c r="N21" s="100">
        <f t="shared" si="27"/>
        <v>10980954.549899999</v>
      </c>
      <c r="O21" s="100">
        <f t="shared" si="27"/>
        <v>10980954.549899999</v>
      </c>
      <c r="P21" s="100">
        <f t="shared" si="27"/>
        <v>0</v>
      </c>
      <c r="Q21" s="100">
        <f t="shared" si="27"/>
        <v>0</v>
      </c>
      <c r="R21" s="100">
        <f t="shared" si="27"/>
        <v>0</v>
      </c>
      <c r="S21" s="100">
        <f t="shared" si="27"/>
        <v>0</v>
      </c>
      <c r="T21" s="100">
        <f t="shared" si="27"/>
        <v>10980954.549899999</v>
      </c>
      <c r="U21" s="100">
        <f t="shared" si="27"/>
        <v>10980954.549899999</v>
      </c>
      <c r="V21" s="97"/>
      <c r="W21" s="97"/>
      <c r="Y21" s="97"/>
    </row>
    <row r="22" spans="1:33" ht="37.950000000000003" customHeight="1">
      <c r="A22" s="656" t="s">
        <v>270</v>
      </c>
      <c r="B22" s="657" t="s">
        <v>83</v>
      </c>
      <c r="C22" s="542">
        <f t="shared" ref="C22:H22" si="28">SUM(C20:C21)</f>
        <v>39162271.989616707</v>
      </c>
      <c r="D22" s="542">
        <f t="shared" si="28"/>
        <v>0</v>
      </c>
      <c r="E22" s="542">
        <f t="shared" si="28"/>
        <v>36941628.853035666</v>
      </c>
      <c r="F22" s="542">
        <f t="shared" si="28"/>
        <v>2220643.1365810381</v>
      </c>
      <c r="G22" s="542">
        <f t="shared" si="28"/>
        <v>39162271.989616707</v>
      </c>
      <c r="H22" s="542">
        <f t="shared" si="28"/>
        <v>44381193.989477634</v>
      </c>
      <c r="I22" s="542">
        <f>H22-G22</f>
        <v>5218921.9998609275</v>
      </c>
      <c r="J22" s="543">
        <f>IF(OR(I22=0,G22=0),0,I22/G22)</f>
        <v>0.13326402516290797</v>
      </c>
      <c r="L22" s="542">
        <f t="shared" ref="L22:U22" si="29">SUM(L20:L21)</f>
        <v>22190596.994738817</v>
      </c>
      <c r="M22" s="542">
        <f t="shared" si="29"/>
        <v>22190596.994738817</v>
      </c>
      <c r="N22" s="542">
        <f>SUM(N20:N21)</f>
        <v>20954277.128039248</v>
      </c>
      <c r="O22" s="542">
        <f>SUM(O20:O21)</f>
        <v>20935791.12705199</v>
      </c>
      <c r="P22" s="542">
        <f t="shared" si="29"/>
        <v>1236319.866699568</v>
      </c>
      <c r="Q22" s="542">
        <f t="shared" si="29"/>
        <v>1254805.867686826</v>
      </c>
      <c r="R22" s="542">
        <f t="shared" si="29"/>
        <v>0</v>
      </c>
      <c r="S22" s="542">
        <f t="shared" si="29"/>
        <v>0</v>
      </c>
      <c r="T22" s="542">
        <f t="shared" si="29"/>
        <v>22190596.994738817</v>
      </c>
      <c r="U22" s="542">
        <f t="shared" si="29"/>
        <v>22190596.994738817</v>
      </c>
      <c r="V22" s="97"/>
      <c r="W22" s="97"/>
      <c r="Y22" s="97"/>
    </row>
    <row r="23" spans="1:33" ht="19.95" customHeight="1">
      <c r="A23" s="105"/>
    </row>
    <row r="24" spans="1:33" s="91" customFormat="1" ht="19.95" customHeight="1" thickBot="1">
      <c r="A24" s="669" t="s">
        <v>524</v>
      </c>
      <c r="B24" s="670"/>
      <c r="C24" s="670"/>
      <c r="D24" s="670"/>
      <c r="E24" s="670"/>
      <c r="F24" s="670"/>
      <c r="G24" s="670"/>
      <c r="H24" s="670"/>
      <c r="I24" s="670"/>
      <c r="J24" s="670"/>
      <c r="L24" s="673" t="str">
        <f>A24</f>
        <v>Total by Institution (Includes I&amp;O, Inf, CRU, TRUF, NRSF, &amp; CRF. Includes TUF for comparison purposes)</v>
      </c>
      <c r="M24" s="673"/>
      <c r="N24" s="673"/>
      <c r="O24" s="673"/>
      <c r="P24" s="673"/>
      <c r="Q24" s="673"/>
      <c r="R24" s="673"/>
      <c r="S24" s="673"/>
      <c r="T24" s="675" t="str">
        <f>A24</f>
        <v>Total by Institution (Includes I&amp;O, Inf, CRU, TRUF, NRSF, &amp; CRF. Includes TUF for comparison purposes)</v>
      </c>
      <c r="U24" s="673"/>
      <c r="V24" s="106"/>
      <c r="W24" s="106"/>
      <c r="Y24" s="679"/>
      <c r="Z24" s="679"/>
      <c r="AA24" s="77"/>
      <c r="AB24" s="680"/>
      <c r="AC24" s="680"/>
      <c r="AD24" s="79"/>
      <c r="AE24" s="680"/>
      <c r="AF24" s="680"/>
    </row>
    <row r="25" spans="1:33" ht="19.95" customHeight="1" outlineLevel="1">
      <c r="A25" s="107">
        <v>3656</v>
      </c>
      <c r="B25" s="108" t="s">
        <v>82</v>
      </c>
      <c r="C25" s="109">
        <f>C166+C206+C348+C247+C297+C395</f>
        <v>337185774.52709436</v>
      </c>
      <c r="D25" s="110">
        <v>18451176</v>
      </c>
      <c r="E25" s="100">
        <f t="shared" ref="E25:F33" si="30">E166+E206+E247+E297+E348+E388</f>
        <v>216822218.86625138</v>
      </c>
      <c r="F25" s="100">
        <f t="shared" si="30"/>
        <v>87685054.133748621</v>
      </c>
      <c r="G25" s="109">
        <f>G166+G206+G348+G247+G297+G395</f>
        <v>318734598.52709436</v>
      </c>
      <c r="H25" s="109">
        <f ca="1">H166+H206+H348+H247+H297+H395</f>
        <v>353640374.0032745</v>
      </c>
      <c r="I25" s="109">
        <f t="shared" ref="I25:I72" ca="1" si="31">H25-G25</f>
        <v>34905775.476180136</v>
      </c>
      <c r="J25" s="112">
        <f t="shared" ref="J25:J72" ca="1" si="32">IF(OR(I25=0,G25=0),0,I25/G25)</f>
        <v>0.10951360673577122</v>
      </c>
      <c r="L25" s="95">
        <f ca="1">L166+L206+L348+L395+L247+L297</f>
        <v>176820187.00163725</v>
      </c>
      <c r="M25" s="95">
        <f ca="1">M166+M206+M348+M395+M247+M297</f>
        <v>176820187.00163725</v>
      </c>
      <c r="N25" s="95">
        <f ca="1">N166+N206+N348+N395+N247+N297</f>
        <v>128750722.93970458</v>
      </c>
      <c r="O25" s="95">
        <f ca="1">O166+O206+O348+O395+O247+O297</f>
        <v>128588416.34329224</v>
      </c>
      <c r="P25" s="95">
        <f t="shared" ref="P25:Q44" si="33">P443-P493-P543-P593</f>
        <v>48072609.174326509</v>
      </c>
      <c r="Q25" s="95">
        <f t="shared" si="33"/>
        <v>48234926.390214205</v>
      </c>
      <c r="R25" s="95">
        <f>R166+R206+R348+R395+R247+R297</f>
        <v>9200000</v>
      </c>
      <c r="S25" s="95">
        <f>S166+S206+S348+S395+S247+S297</f>
        <v>9200000</v>
      </c>
      <c r="T25" s="95">
        <f ca="1">T166+T206+T348+T395+T247+T297</f>
        <v>186020187.00163725</v>
      </c>
      <c r="U25" s="109">
        <f ca="1">U166+U206+U348+U395+U247+U297</f>
        <v>186020187.00163725</v>
      </c>
      <c r="V25" s="113"/>
      <c r="W25" s="114"/>
      <c r="X25" s="115"/>
      <c r="Y25" s="95">
        <f>Y166+Y206+Y348+Y395+Y247+Y297</f>
        <v>186021156</v>
      </c>
      <c r="Z25" s="95">
        <f>Z166+Z206+Z348+Z395+Z247+Z297</f>
        <v>186021156</v>
      </c>
      <c r="AA25" s="115"/>
      <c r="AB25" s="109">
        <f ca="1">T25-Y25</f>
        <v>-968.99836274981499</v>
      </c>
      <c r="AC25" s="111">
        <f t="shared" ref="AC25:AC61" ca="1" si="34">U25-Z25</f>
        <v>-968.99836274981499</v>
      </c>
      <c r="AE25" s="116">
        <f t="shared" ref="AE25:AE66" ca="1" si="35">IFERROR(AB25/T25,0)</f>
        <v>-5.209103261149213E-6</v>
      </c>
      <c r="AF25" s="116">
        <f t="shared" ref="AF25:AF66" ca="1" si="36">IFERROR(AC25/U25,0)</f>
        <v>-5.209103261149213E-6</v>
      </c>
    </row>
    <row r="26" spans="1:33" ht="19.95" customHeight="1" outlineLevel="1">
      <c r="A26" s="117">
        <v>3658</v>
      </c>
      <c r="B26" s="118" t="s">
        <v>83</v>
      </c>
      <c r="C26" s="100">
        <f>C167+C207+C248+C298+C349+C389</f>
        <v>666864205</v>
      </c>
      <c r="D26" s="119">
        <v>34156000</v>
      </c>
      <c r="E26" s="100">
        <f t="shared" si="30"/>
        <v>484850330.24491704</v>
      </c>
      <c r="F26" s="100">
        <f t="shared" si="30"/>
        <v>147857874.75508299</v>
      </c>
      <c r="G26" s="100">
        <f>G167+G207+G248+G298+G349+G389</f>
        <v>632708205</v>
      </c>
      <c r="H26" s="100">
        <f ca="1">H167+H207+H248+H298+H349+H389</f>
        <v>660668362.4192313</v>
      </c>
      <c r="I26" s="100">
        <f t="shared" ca="1" si="31"/>
        <v>27960157.419231296</v>
      </c>
      <c r="J26" s="96">
        <f t="shared" ca="1" si="32"/>
        <v>4.419123570435015E-2</v>
      </c>
      <c r="L26" s="100">
        <f ca="1">L167+L207+L349+L389+L248+L298</f>
        <v>330334181.20961565</v>
      </c>
      <c r="M26" s="100">
        <f ca="1">M167+M207+M349+M389+M248+M298</f>
        <v>330334181.20961565</v>
      </c>
      <c r="N26" s="100">
        <f ca="1">N167+N207+N349+N389+N248+N298</f>
        <v>255632217.05350617</v>
      </c>
      <c r="O26" s="100">
        <f ca="1">O167+O207+O349+O389+O248+O298</f>
        <v>255208826.20594609</v>
      </c>
      <c r="P26" s="100">
        <f t="shared" si="33"/>
        <v>74706851.792739064</v>
      </c>
      <c r="Q26" s="100">
        <f t="shared" si="33"/>
        <v>75130270.342122465</v>
      </c>
      <c r="R26" s="100">
        <f>R167+R207+R349+R389+R248+R298</f>
        <v>19100000</v>
      </c>
      <c r="S26" s="100">
        <f>S167+S207+S349+S389+S248+S298</f>
        <v>19100000</v>
      </c>
      <c r="T26" s="100">
        <f ca="1">T167+T207+T349+T389+T248+T298</f>
        <v>349434181.20961565</v>
      </c>
      <c r="U26" s="100">
        <f ca="1">U167+U207+U349+U389+U248+U298</f>
        <v>349434181.20961565</v>
      </c>
      <c r="V26" s="113"/>
      <c r="W26" s="97"/>
      <c r="X26" s="115"/>
      <c r="Y26" s="100">
        <f>Y167+Y207+Y349+Y389+Y248+Y298</f>
        <v>349434766.5</v>
      </c>
      <c r="Z26" s="100">
        <f>Z167+Z207+Z349+Z389+Z248+Z298</f>
        <v>349434766.5</v>
      </c>
      <c r="AA26" s="115"/>
      <c r="AB26" s="100">
        <f t="shared" ref="AB26:AB61" ca="1" si="37">T26-Y26</f>
        <v>-585.29038435220718</v>
      </c>
      <c r="AC26" s="100">
        <f t="shared" ca="1" si="34"/>
        <v>-585.29038435220718</v>
      </c>
      <c r="AE26" s="120">
        <f t="shared" ca="1" si="35"/>
        <v>-1.6749660331629323E-6</v>
      </c>
      <c r="AF26" s="120">
        <f t="shared" ca="1" si="36"/>
        <v>-1.6749660331629323E-6</v>
      </c>
    </row>
    <row r="27" spans="1:33" ht="19.95" customHeight="1" outlineLevel="1">
      <c r="A27" s="117">
        <v>9741</v>
      </c>
      <c r="B27" s="118" t="s">
        <v>84</v>
      </c>
      <c r="C27" s="626">
        <f>C168+C208+C350+C396+C249+C299</f>
        <v>301135883.04596424</v>
      </c>
      <c r="D27" s="119">
        <v>11702330</v>
      </c>
      <c r="E27" s="100">
        <f t="shared" si="30"/>
        <v>269923374.87535524</v>
      </c>
      <c r="F27" s="100">
        <f t="shared" si="30"/>
        <v>83213728.124644712</v>
      </c>
      <c r="G27" s="100">
        <f>G168+G208+G350+G396+G249+G299</f>
        <v>289433553.04596424</v>
      </c>
      <c r="H27" s="100">
        <f ca="1">H168+H208+H350+H396+H249+H299</f>
        <v>374939774.23608547</v>
      </c>
      <c r="I27" s="100">
        <f t="shared" ca="1" si="31"/>
        <v>85506221.190121233</v>
      </c>
      <c r="J27" s="96">
        <f t="shared" ca="1" si="32"/>
        <v>0.29542608412281141</v>
      </c>
      <c r="L27" s="100">
        <f t="shared" ref="L27:O28" ca="1" si="38">L168+L208+L350+L396+L249+L299</f>
        <v>187469887.11804274</v>
      </c>
      <c r="M27" s="100">
        <f t="shared" ca="1" si="38"/>
        <v>187469887.11804274</v>
      </c>
      <c r="N27" s="100">
        <f t="shared" ca="1" si="38"/>
        <v>142942141.3048391</v>
      </c>
      <c r="O27" s="100">
        <f t="shared" ca="1" si="38"/>
        <v>142632480.92764223</v>
      </c>
      <c r="P27" s="100">
        <f t="shared" si="33"/>
        <v>44530659.196324468</v>
      </c>
      <c r="Q27" s="100">
        <f t="shared" si="33"/>
        <v>44840339.834131882</v>
      </c>
      <c r="R27" s="100">
        <f t="shared" ref="R27:U28" si="39">R168+R208+R350+R396+R249+R299</f>
        <v>8263214</v>
      </c>
      <c r="S27" s="100">
        <f t="shared" si="39"/>
        <v>8263214</v>
      </c>
      <c r="T27" s="100">
        <f t="shared" ca="1" si="39"/>
        <v>195733101.11804274</v>
      </c>
      <c r="U27" s="100">
        <f t="shared" ca="1" si="39"/>
        <v>195733101.11804274</v>
      </c>
      <c r="V27" s="113"/>
      <c r="W27" s="97"/>
      <c r="X27" s="115"/>
      <c r="Y27" s="100">
        <f>Y168+Y208+Y350+Y396+Y249+Y299</f>
        <v>195733987</v>
      </c>
      <c r="Z27" s="100">
        <f>Z168+Z208+Z350+Z396+Z249+Z299</f>
        <v>195733987</v>
      </c>
      <c r="AA27" s="115"/>
      <c r="AB27" s="100">
        <f t="shared" ca="1" si="37"/>
        <v>-885.88195726275444</v>
      </c>
      <c r="AC27" s="100">
        <f t="shared" ca="1" si="34"/>
        <v>-885.88195726275444</v>
      </c>
      <c r="AE27" s="120">
        <f t="shared" ca="1" si="35"/>
        <v>-4.525969047659939E-6</v>
      </c>
      <c r="AF27" s="120">
        <f t="shared" ca="1" si="36"/>
        <v>-4.525969047659939E-6</v>
      </c>
    </row>
    <row r="28" spans="1:33" ht="19.95" customHeight="1" outlineLevel="1">
      <c r="A28" s="117">
        <v>3661</v>
      </c>
      <c r="B28" s="118" t="s">
        <v>85</v>
      </c>
      <c r="C28" s="626">
        <f>C169+C209+C351+C397+C250+C300</f>
        <v>186687289.77854258</v>
      </c>
      <c r="D28" s="119">
        <v>7485900</v>
      </c>
      <c r="E28" s="100">
        <f t="shared" si="30"/>
        <v>276904160.45720994</v>
      </c>
      <c r="F28" s="100">
        <f t="shared" si="30"/>
        <v>35838833.542790025</v>
      </c>
      <c r="G28" s="100">
        <f>G169+G209+G351+G397+G250+G300</f>
        <v>179201389.77854258</v>
      </c>
      <c r="H28" s="100">
        <f ca="1">H169+H209+H351+H397+H250+H300</f>
        <v>210827785.68593788</v>
      </c>
      <c r="I28" s="100">
        <f t="shared" ca="1" si="31"/>
        <v>31626395.907395303</v>
      </c>
      <c r="J28" s="96">
        <f t="shared" ca="1" si="32"/>
        <v>0.17648521558052235</v>
      </c>
      <c r="L28" s="100">
        <f t="shared" ca="1" si="38"/>
        <v>105413892.84296894</v>
      </c>
      <c r="M28" s="100">
        <f t="shared" ca="1" si="38"/>
        <v>105413892.84296894</v>
      </c>
      <c r="N28" s="100">
        <f t="shared" ca="1" si="38"/>
        <v>88311501.540627941</v>
      </c>
      <c r="O28" s="100">
        <f t="shared" ca="1" si="38"/>
        <v>88277076.904766113</v>
      </c>
      <c r="P28" s="100">
        <f t="shared" si="33"/>
        <v>17103510.285959791</v>
      </c>
      <c r="Q28" s="100">
        <f t="shared" si="33"/>
        <v>17137937.174173526</v>
      </c>
      <c r="R28" s="100">
        <f t="shared" si="39"/>
        <v>4109550</v>
      </c>
      <c r="S28" s="100">
        <f t="shared" si="39"/>
        <v>4109550</v>
      </c>
      <c r="T28" s="100">
        <f t="shared" ca="1" si="39"/>
        <v>109523442.84296894</v>
      </c>
      <c r="U28" s="100">
        <f t="shared" ca="1" si="39"/>
        <v>109523442.84296894</v>
      </c>
      <c r="V28" s="113"/>
      <c r="W28" s="97"/>
      <c r="X28" s="115"/>
      <c r="Y28" s="100">
        <f>Y169+Y209+Y351+Y397+Y250+Y300</f>
        <v>109523613.5</v>
      </c>
      <c r="Z28" s="100">
        <f>Z169+Z209+Z351+Z397+Z250+Z300</f>
        <v>109523613.5</v>
      </c>
      <c r="AA28" s="115"/>
      <c r="AB28" s="100">
        <f t="shared" ca="1" si="37"/>
        <v>-170.65703105926514</v>
      </c>
      <c r="AC28" s="100">
        <f t="shared" ca="1" si="34"/>
        <v>-170.65703105926514</v>
      </c>
      <c r="AE28" s="120">
        <f t="shared" ca="1" si="35"/>
        <v>-1.5581781089912185E-6</v>
      </c>
      <c r="AF28" s="120">
        <f t="shared" ca="1" si="36"/>
        <v>-1.5581781089912185E-6</v>
      </c>
    </row>
    <row r="29" spans="1:33" ht="19.95" customHeight="1" outlineLevel="1">
      <c r="A29" s="117">
        <v>3599</v>
      </c>
      <c r="B29" s="118" t="s">
        <v>213</v>
      </c>
      <c r="C29" s="626">
        <f>C170+C210+C352+C414+C251+C301</f>
        <v>222963257.12173757</v>
      </c>
      <c r="D29" s="119">
        <v>6790780</v>
      </c>
      <c r="E29" s="100">
        <f t="shared" si="30"/>
        <v>158215776.6713832</v>
      </c>
      <c r="F29" s="100">
        <f t="shared" si="30"/>
        <v>56533436.817753986</v>
      </c>
      <c r="G29" s="100">
        <f>G170+G210+G352+G414+G251+G301</f>
        <v>216172477.12173757</v>
      </c>
      <c r="H29" s="100">
        <f ca="1">H170+H210+H352+H414+H251+H301</f>
        <v>220997396.21727583</v>
      </c>
      <c r="I29" s="100">
        <f t="shared" ca="1" si="31"/>
        <v>4824919.0955382586</v>
      </c>
      <c r="J29" s="96">
        <f t="shared" ca="1" si="32"/>
        <v>2.231976595624199E-2</v>
      </c>
      <c r="L29" s="100">
        <f t="shared" ref="L29:O30" ca="1" si="40">L170+L210+L352+L414+L251+L301</f>
        <v>110498698.10863791</v>
      </c>
      <c r="M29" s="100">
        <f t="shared" ca="1" si="40"/>
        <v>110498698.10863791</v>
      </c>
      <c r="N29" s="100">
        <f t="shared" ca="1" si="40"/>
        <v>86595123.439337537</v>
      </c>
      <c r="O29" s="100">
        <f t="shared" ca="1" si="40"/>
        <v>86579367.963452876</v>
      </c>
      <c r="P29" s="100">
        <f t="shared" si="33"/>
        <v>23905138.644069329</v>
      </c>
      <c r="Q29" s="100">
        <f t="shared" si="33"/>
        <v>23920895.150810976</v>
      </c>
      <c r="R29" s="100">
        <f t="shared" ref="R29:U30" si="41">R170+R210+R352+R414+R251+R301</f>
        <v>4862450</v>
      </c>
      <c r="S29" s="100">
        <f t="shared" si="41"/>
        <v>4862450</v>
      </c>
      <c r="T29" s="100">
        <f t="shared" ca="1" si="41"/>
        <v>115361148.10863791</v>
      </c>
      <c r="U29" s="100">
        <f t="shared" ca="1" si="41"/>
        <v>115361148.10863791</v>
      </c>
      <c r="V29" s="628" t="s">
        <v>396</v>
      </c>
      <c r="W29" s="97"/>
      <c r="X29" s="115"/>
      <c r="Y29" s="100">
        <f>Y170+Y210+Y352+Y414+Y251+Y301</f>
        <v>115362252.5</v>
      </c>
      <c r="Z29" s="100">
        <f>Z170+Z210+Z352+Z414+Z251+Z301</f>
        <v>115362252.5</v>
      </c>
      <c r="AA29" s="115"/>
      <c r="AB29" s="100">
        <f t="shared" ca="1" si="37"/>
        <v>-1104.3913620859385</v>
      </c>
      <c r="AC29" s="100">
        <f t="shared" ca="1" si="34"/>
        <v>-1104.3913620859385</v>
      </c>
      <c r="AE29" s="120">
        <f t="shared" ca="1" si="35"/>
        <v>-9.5733388596818657E-6</v>
      </c>
      <c r="AF29" s="120">
        <f t="shared" ca="1" si="36"/>
        <v>-9.5733388596818657E-6</v>
      </c>
    </row>
    <row r="30" spans="1:33" ht="19.95" customHeight="1" outlineLevel="1">
      <c r="A30" s="117">
        <v>9930</v>
      </c>
      <c r="B30" s="118" t="s">
        <v>86</v>
      </c>
      <c r="C30" s="626">
        <f>C171+C211+C353+C415+C252+C302</f>
        <v>34109481.705019519</v>
      </c>
      <c r="D30" s="119">
        <v>0</v>
      </c>
      <c r="E30" s="100">
        <f t="shared" si="30"/>
        <v>23378041.076407544</v>
      </c>
      <c r="F30" s="100">
        <f t="shared" si="30"/>
        <v>10567366.779405173</v>
      </c>
      <c r="G30" s="100">
        <f>G171+G211+G353+G415+G252+G302</f>
        <v>34109481.705019519</v>
      </c>
      <c r="H30" s="100">
        <f ca="1">H171+H211+H353+H415+H252+H302</f>
        <v>34856914.357454136</v>
      </c>
      <c r="I30" s="100">
        <f t="shared" ca="1" si="31"/>
        <v>747432.65243461728</v>
      </c>
      <c r="J30" s="96">
        <f t="shared" ca="1" si="32"/>
        <v>2.1912753142907644E-2</v>
      </c>
      <c r="L30" s="100">
        <f t="shared" ca="1" si="40"/>
        <v>17428457.178727068</v>
      </c>
      <c r="M30" s="100">
        <f t="shared" ca="1" si="40"/>
        <v>17428457.178727068</v>
      </c>
      <c r="N30" s="100">
        <f t="shared" ca="1" si="40"/>
        <v>12197755.323631626</v>
      </c>
      <c r="O30" s="100">
        <f t="shared" ca="1" si="40"/>
        <v>12192555.432105001</v>
      </c>
      <c r="P30" s="100">
        <f t="shared" si="33"/>
        <v>5231044.0920134932</v>
      </c>
      <c r="Q30" s="100">
        <f t="shared" si="33"/>
        <v>5236244.3237611633</v>
      </c>
      <c r="R30" s="100">
        <f t="shared" si="41"/>
        <v>0</v>
      </c>
      <c r="S30" s="100">
        <f t="shared" si="41"/>
        <v>0</v>
      </c>
      <c r="T30" s="100">
        <f t="shared" ca="1" si="41"/>
        <v>17428457.178727068</v>
      </c>
      <c r="U30" s="100">
        <f t="shared" ca="1" si="41"/>
        <v>17428457.178727068</v>
      </c>
      <c r="V30" s="628" t="s">
        <v>396</v>
      </c>
      <c r="W30" s="97"/>
      <c r="X30" s="115"/>
      <c r="Y30" s="100">
        <f>Y171+Y211+Y353+Y415+Y252+Y302</f>
        <v>17428542</v>
      </c>
      <c r="Z30" s="100">
        <f>Z171+Z211+Z353+Z415+Z252+Z302</f>
        <v>17428542</v>
      </c>
      <c r="AA30" s="115"/>
      <c r="AB30" s="100">
        <f t="shared" ca="1" si="37"/>
        <v>-84.821272931993008</v>
      </c>
      <c r="AC30" s="100">
        <f t="shared" ca="1" si="34"/>
        <v>-84.821272931993008</v>
      </c>
      <c r="AE30" s="120">
        <f t="shared" ca="1" si="35"/>
        <v>-4.8668262521552777E-6</v>
      </c>
      <c r="AF30" s="120">
        <f t="shared" ca="1" si="36"/>
        <v>-4.8668262521552777E-6</v>
      </c>
    </row>
    <row r="31" spans="1:33" ht="19.95" customHeight="1" outlineLevel="1">
      <c r="A31" s="117">
        <v>10115</v>
      </c>
      <c r="B31" s="118" t="s">
        <v>87</v>
      </c>
      <c r="C31" s="100">
        <f>C172+C212+C354+C398+C253+C303</f>
        <v>269892308.90008914</v>
      </c>
      <c r="D31" s="119">
        <v>7738400</v>
      </c>
      <c r="E31" s="100">
        <f t="shared" si="30"/>
        <v>190650201.96501437</v>
      </c>
      <c r="F31" s="100">
        <f t="shared" si="30"/>
        <v>58815663.034985624</v>
      </c>
      <c r="G31" s="100">
        <f>G172+G212+G354+G398+G253+G303</f>
        <v>262153908.9000892</v>
      </c>
      <c r="H31" s="100">
        <f ca="1">H172+H212+H354+H398+H253+H303</f>
        <v>286575788.13419586</v>
      </c>
      <c r="I31" s="100">
        <f t="shared" ca="1" si="31"/>
        <v>24421879.23410666</v>
      </c>
      <c r="J31" s="96">
        <f t="shared" ca="1" si="32"/>
        <v>9.3158554593264539E-2</v>
      </c>
      <c r="L31" s="100">
        <f ca="1">L172+L212+L354+L398+L253+L303</f>
        <v>143287894.06709793</v>
      </c>
      <c r="M31" s="100">
        <f ca="1">M172+M212+M354+M398+M253+M303</f>
        <v>143287894.06709793</v>
      </c>
      <c r="N31" s="100">
        <f ca="1">N172+N212+N354+N398+N253+N303</f>
        <v>118146996.48478834</v>
      </c>
      <c r="O31" s="100">
        <f ca="1">O172+O212+O354+O398+O253+O303</f>
        <v>118112503.13356157</v>
      </c>
      <c r="P31" s="100">
        <f t="shared" si="33"/>
        <v>25142542.513246939</v>
      </c>
      <c r="Q31" s="100">
        <f t="shared" si="33"/>
        <v>25177038.121321574</v>
      </c>
      <c r="R31" s="100">
        <f>R172+R212+R354+R398+R253+R303</f>
        <v>4397600</v>
      </c>
      <c r="S31" s="100">
        <f>S172+S212+S354+S398+S253+S303</f>
        <v>4397600</v>
      </c>
      <c r="T31" s="100">
        <f ca="1">T172+T212+T354+T398+T253+T303</f>
        <v>147685494.06709793</v>
      </c>
      <c r="U31" s="100">
        <f ca="1">U172+U212+U354+U398+U253+U303</f>
        <v>147685494.06709793</v>
      </c>
      <c r="V31" s="113"/>
      <c r="W31" s="97"/>
      <c r="X31" s="115"/>
      <c r="Y31" s="100">
        <f>Y172+Y212+Y354+Y398+Y253+Y303</f>
        <v>147685142.5</v>
      </c>
      <c r="Z31" s="100">
        <f>Z172+Z212+Z354+Z398+Z253+Z303</f>
        <v>147685142.5</v>
      </c>
      <c r="AA31" s="115"/>
      <c r="AB31" s="100">
        <f t="shared" ca="1" si="37"/>
        <v>351.5670979321003</v>
      </c>
      <c r="AC31" s="100">
        <f t="shared" ca="1" si="34"/>
        <v>351.5670979321003</v>
      </c>
      <c r="AE31" s="120">
        <f t="shared" ca="1" si="35"/>
        <v>2.3805120479359529E-6</v>
      </c>
      <c r="AF31" s="120">
        <f t="shared" ca="1" si="36"/>
        <v>2.3805120479359529E-6</v>
      </c>
    </row>
    <row r="32" spans="1:33" ht="19.95" customHeight="1" outlineLevel="1">
      <c r="A32" s="117">
        <v>11163</v>
      </c>
      <c r="B32" s="118" t="s">
        <v>88</v>
      </c>
      <c r="C32" s="100">
        <f>C173+C213+C355+C416+C254+C304</f>
        <v>65540060.777189501</v>
      </c>
      <c r="D32" s="119">
        <v>0</v>
      </c>
      <c r="E32" s="100">
        <f t="shared" si="30"/>
        <v>62209879.491269112</v>
      </c>
      <c r="F32" s="100">
        <f t="shared" si="30"/>
        <v>17342396.502527401</v>
      </c>
      <c r="G32" s="100">
        <f>G173+G213+G355+G416+G254+G304</f>
        <v>65540060.777189501</v>
      </c>
      <c r="H32" s="100">
        <f ca="1">H173+H213+H355+H416+H254+H304</f>
        <v>67336188.42997624</v>
      </c>
      <c r="I32" s="100">
        <f t="shared" ca="1" si="31"/>
        <v>1796127.6527867392</v>
      </c>
      <c r="J32" s="96">
        <f t="shared" ca="1" si="32"/>
        <v>2.7405034897554775E-2</v>
      </c>
      <c r="L32" s="100">
        <f ca="1">L173+L213+L355+L416+L254+L304</f>
        <v>33668094.21498812</v>
      </c>
      <c r="M32" s="100">
        <f ca="1">M173+M213+M355+M416+M254+M304</f>
        <v>33668094.21498812</v>
      </c>
      <c r="N32" s="100">
        <f ca="1">N173+N213+N355+N416+N254+N304</f>
        <v>26260137.005126681</v>
      </c>
      <c r="O32" s="100">
        <f ca="1">O173+O213+O355+O416+O254+O304</f>
        <v>26247013.42622827</v>
      </c>
      <c r="P32" s="100">
        <f t="shared" si="33"/>
        <v>7408441.9013072122</v>
      </c>
      <c r="Q32" s="100">
        <f t="shared" si="33"/>
        <v>7421566.3388615567</v>
      </c>
      <c r="R32" s="100">
        <f>R173+R213+R355+R416+R254+R304</f>
        <v>0</v>
      </c>
      <c r="S32" s="100">
        <f>S173+S213+S355+S416+S254+S304</f>
        <v>0</v>
      </c>
      <c r="T32" s="100">
        <f ca="1">T173+T213+T355+T416+T254+T304</f>
        <v>33668094.21498812</v>
      </c>
      <c r="U32" s="100">
        <f ca="1">U173+U213+U355+U416+U254+U304</f>
        <v>33668094.21498812</v>
      </c>
      <c r="V32" s="97"/>
      <c r="W32" s="97"/>
      <c r="X32" s="97"/>
      <c r="Y32" s="100">
        <f>Y173+Y213+Y355+Y416+Y254+Y304</f>
        <v>33668038</v>
      </c>
      <c r="Z32" s="100">
        <f>Z173+Z213+Z355+Z416+Z254+Z304</f>
        <v>33668038</v>
      </c>
      <c r="AA32" s="115"/>
      <c r="AB32" s="100">
        <f t="shared" ca="1" si="37"/>
        <v>56.214988119900227</v>
      </c>
      <c r="AC32" s="100">
        <f t="shared" ca="1" si="34"/>
        <v>56.214988119900227</v>
      </c>
      <c r="AE32" s="120">
        <f t="shared" ca="1" si="35"/>
        <v>1.6696813238355156E-6</v>
      </c>
      <c r="AF32" s="120">
        <f t="shared" ca="1" si="36"/>
        <v>1.6696813238355156E-6</v>
      </c>
    </row>
    <row r="33" spans="1:32" ht="19.95" customHeight="1" outlineLevel="1">
      <c r="A33" s="117">
        <v>3632</v>
      </c>
      <c r="B33" s="121" t="s">
        <v>3</v>
      </c>
      <c r="C33" s="100">
        <f>C174+C214+C356+C390+C255+C305</f>
        <v>802743412.73806632</v>
      </c>
      <c r="D33" s="119">
        <v>20639592</v>
      </c>
      <c r="E33" s="100">
        <f t="shared" si="30"/>
        <v>567247773.53397739</v>
      </c>
      <c r="F33" s="100">
        <f t="shared" si="30"/>
        <v>151152497.25005317</v>
      </c>
      <c r="G33" s="100">
        <f>G174+G214+G356+G390+G255+G305</f>
        <v>782103820.73806632</v>
      </c>
      <c r="H33" s="100">
        <f ca="1">H174+H214+H356+H390+H255+H305</f>
        <v>814442884.24101067</v>
      </c>
      <c r="I33" s="100">
        <f t="shared" ca="1" si="31"/>
        <v>32339063.50294435</v>
      </c>
      <c r="J33" s="96">
        <f t="shared" ca="1" si="32"/>
        <v>4.1348811558580785E-2</v>
      </c>
      <c r="L33" s="100">
        <f ca="1">L174+L214+L356+L390+L255+L305</f>
        <v>407221442.12050533</v>
      </c>
      <c r="M33" s="100">
        <f ca="1">M174+M214+M356+M390+M255+M305</f>
        <v>407221442.12050533</v>
      </c>
      <c r="N33" s="100">
        <f ca="1">N174+N214+N356+N390+N255+N305</f>
        <v>339753394.81801313</v>
      </c>
      <c r="O33" s="100">
        <f ca="1">O174+O214+O356+O390+O255+O305</f>
        <v>339476607.65986383</v>
      </c>
      <c r="P33" s="100">
        <f t="shared" si="33"/>
        <v>67472461.634873495</v>
      </c>
      <c r="Q33" s="100">
        <f t="shared" si="33"/>
        <v>67749266.902788252</v>
      </c>
      <c r="R33" s="100">
        <f>R174+R214+R356+R390+R255+R305</f>
        <v>10906430</v>
      </c>
      <c r="S33" s="100">
        <f>S174+S214+S356+S390+S255+S305</f>
        <v>10906430</v>
      </c>
      <c r="T33" s="100">
        <f ca="1">T174+T214+T356+T390+T255+T305</f>
        <v>418127872.12050533</v>
      </c>
      <c r="U33" s="100">
        <f ca="1">U174+U214+U356+U390+U255+U305</f>
        <v>418127872.12050533</v>
      </c>
      <c r="V33" s="113"/>
      <c r="W33" s="97"/>
      <c r="X33" s="115"/>
      <c r="Y33" s="100">
        <f>Y174+Y214+Y356+Y390+Y255+Y305</f>
        <v>418128498.6363861</v>
      </c>
      <c r="Z33" s="100">
        <f>Z174+Z214+Z356+Z390+Z255+Z305</f>
        <v>418128498.6363861</v>
      </c>
      <c r="AA33" s="115"/>
      <c r="AB33" s="100">
        <f t="shared" ca="1" si="37"/>
        <v>-626.51588076353073</v>
      </c>
      <c r="AC33" s="100">
        <f t="shared" ca="1" si="34"/>
        <v>-626.51588076353073</v>
      </c>
      <c r="AE33" s="120">
        <f t="shared" ca="1" si="35"/>
        <v>-1.4983834432902084E-6</v>
      </c>
      <c r="AF33" s="120">
        <f t="shared" ca="1" si="36"/>
        <v>-1.4983834432902084E-6</v>
      </c>
    </row>
    <row r="34" spans="1:32" ht="19.95" customHeight="1" outlineLevel="1">
      <c r="A34" s="117">
        <v>10298</v>
      </c>
      <c r="B34" s="118" t="s">
        <v>116</v>
      </c>
      <c r="C34" s="100">
        <f t="shared" ref="C34:C44" si="42">C175+C215+C256+C306+C357+C417</f>
        <v>29060277.291154712</v>
      </c>
      <c r="D34" s="119">
        <v>320000</v>
      </c>
      <c r="E34" s="100">
        <f t="shared" ref="E34:H44" si="43">E175+E215+E256+E306+E357+E417</f>
        <v>24567947.508112296</v>
      </c>
      <c r="F34" s="100">
        <f t="shared" si="43"/>
        <v>4172329.7830424127</v>
      </c>
      <c r="G34" s="100">
        <f t="shared" si="43"/>
        <v>28740277.291154712</v>
      </c>
      <c r="H34" s="100">
        <f t="shared" ca="1" si="43"/>
        <v>33046969.700813547</v>
      </c>
      <c r="I34" s="100">
        <f t="shared" ca="1" si="31"/>
        <v>4306692.4096588343</v>
      </c>
      <c r="J34" s="96">
        <f t="shared" ca="1" si="32"/>
        <v>0.14984867285829176</v>
      </c>
      <c r="L34" s="100">
        <f t="shared" ref="L34:O44" ca="1" si="44">L175+L215+L256+L306+L357+L417</f>
        <v>16523484.850406773</v>
      </c>
      <c r="M34" s="100">
        <f t="shared" ca="1" si="44"/>
        <v>16523484.850406773</v>
      </c>
      <c r="N34" s="100">
        <f t="shared" ca="1" si="44"/>
        <v>13328361.614891918</v>
      </c>
      <c r="O34" s="100">
        <f t="shared" ca="1" si="44"/>
        <v>13314660.093728032</v>
      </c>
      <c r="P34" s="100">
        <f t="shared" si="33"/>
        <v>3195332.2875998728</v>
      </c>
      <c r="Q34" s="100">
        <f t="shared" si="33"/>
        <v>3209034.7052335832</v>
      </c>
      <c r="R34" s="100">
        <f t="shared" ref="R34:U44" si="45">R175+R215+R256+R306+R357+R417</f>
        <v>177768</v>
      </c>
      <c r="S34" s="100">
        <f t="shared" si="45"/>
        <v>177768</v>
      </c>
      <c r="T34" s="100">
        <f t="shared" ca="1" si="45"/>
        <v>16701252.850406773</v>
      </c>
      <c r="U34" s="100">
        <f t="shared" ca="1" si="45"/>
        <v>16701252.850406773</v>
      </c>
      <c r="V34" s="113"/>
      <c r="W34" s="97"/>
      <c r="X34" s="115"/>
      <c r="Y34" s="100">
        <f t="shared" ref="Y34:Z44" si="46">Y175+Y215+Y256+Y306+Y357+Y417</f>
        <v>16701249.859765558</v>
      </c>
      <c r="Z34" s="100">
        <f t="shared" si="46"/>
        <v>16701249.859765558</v>
      </c>
      <c r="AA34" s="115"/>
      <c r="AB34" s="100">
        <f t="shared" ca="1" si="37"/>
        <v>2.9906412158161402</v>
      </c>
      <c r="AC34" s="100">
        <f t="shared" ca="1" si="34"/>
        <v>2.9906412158161402</v>
      </c>
      <c r="AE34" s="120">
        <f t="shared" ca="1" si="35"/>
        <v>1.7906687855116813E-7</v>
      </c>
      <c r="AF34" s="120">
        <f t="shared" ca="1" si="36"/>
        <v>1.7906687855116813E-7</v>
      </c>
    </row>
    <row r="35" spans="1:32" ht="19.95" customHeight="1" outlineLevel="1">
      <c r="A35" s="117">
        <v>3630</v>
      </c>
      <c r="B35" s="118" t="s">
        <v>89</v>
      </c>
      <c r="C35" s="100">
        <f t="shared" si="42"/>
        <v>64317467.321561866</v>
      </c>
      <c r="D35" s="119">
        <v>790532</v>
      </c>
      <c r="E35" s="100">
        <f t="shared" si="43"/>
        <v>38321172.153120689</v>
      </c>
      <c r="F35" s="100">
        <f t="shared" si="43"/>
        <v>25205763.168441176</v>
      </c>
      <c r="G35" s="100">
        <f t="shared" si="43"/>
        <v>63526935.321561866</v>
      </c>
      <c r="H35" s="100">
        <f t="shared" ca="1" si="43"/>
        <v>70284093.162493706</v>
      </c>
      <c r="I35" s="100">
        <f t="shared" ca="1" si="31"/>
        <v>6757157.8409318402</v>
      </c>
      <c r="J35" s="96">
        <f t="shared" ca="1" si="32"/>
        <v>0.10636681600849039</v>
      </c>
      <c r="L35" s="100">
        <f t="shared" ca="1" si="44"/>
        <v>35142046.581246853</v>
      </c>
      <c r="M35" s="100">
        <f t="shared" ca="1" si="44"/>
        <v>35142046.581246853</v>
      </c>
      <c r="N35" s="100">
        <f t="shared" ca="1" si="44"/>
        <v>21609541.892469801</v>
      </c>
      <c r="O35" s="100">
        <f t="shared" ca="1" si="44"/>
        <v>21537389.2919809</v>
      </c>
      <c r="P35" s="100">
        <f t="shared" si="33"/>
        <v>13533390.100109316</v>
      </c>
      <c r="Q35" s="100">
        <f t="shared" si="33"/>
        <v>13605547.421433836</v>
      </c>
      <c r="R35" s="100">
        <f t="shared" si="45"/>
        <v>364150</v>
      </c>
      <c r="S35" s="100">
        <f t="shared" si="45"/>
        <v>364150</v>
      </c>
      <c r="T35" s="100">
        <f t="shared" ca="1" si="45"/>
        <v>35506196.581246845</v>
      </c>
      <c r="U35" s="100">
        <f t="shared" ca="1" si="45"/>
        <v>35506196.581246845</v>
      </c>
      <c r="V35" s="113"/>
      <c r="W35" s="97"/>
      <c r="X35" s="115"/>
      <c r="Y35" s="100">
        <f t="shared" si="46"/>
        <v>35506008.5</v>
      </c>
      <c r="Z35" s="100">
        <f t="shared" si="46"/>
        <v>35506008.5</v>
      </c>
      <c r="AA35" s="115"/>
      <c r="AB35" s="100">
        <f t="shared" ca="1" si="37"/>
        <v>188.08124684542418</v>
      </c>
      <c r="AC35" s="100">
        <f t="shared" ca="1" si="34"/>
        <v>188.08124684542418</v>
      </c>
      <c r="AE35" s="120">
        <f t="shared" ca="1" si="35"/>
        <v>5.2971386674731088E-6</v>
      </c>
      <c r="AF35" s="120">
        <f t="shared" ca="1" si="36"/>
        <v>5.2971386674731088E-6</v>
      </c>
    </row>
    <row r="36" spans="1:32" ht="19.95" customHeight="1" outlineLevel="1">
      <c r="A36" s="117">
        <v>3631</v>
      </c>
      <c r="B36" s="118" t="s">
        <v>31</v>
      </c>
      <c r="C36" s="100">
        <f t="shared" si="42"/>
        <v>91743087.34878397</v>
      </c>
      <c r="D36" s="119">
        <v>2908862</v>
      </c>
      <c r="E36" s="100">
        <f t="shared" si="43"/>
        <v>66921787.890168317</v>
      </c>
      <c r="F36" s="100">
        <f t="shared" si="43"/>
        <v>21912437.458615642</v>
      </c>
      <c r="G36" s="100">
        <f t="shared" si="43"/>
        <v>88834225.34878397</v>
      </c>
      <c r="H36" s="100">
        <f t="shared" ca="1" si="43"/>
        <v>102688039.62538742</v>
      </c>
      <c r="I36" s="100">
        <f t="shared" ca="1" si="31"/>
        <v>13853814.276603445</v>
      </c>
      <c r="J36" s="96">
        <f t="shared" ca="1" si="32"/>
        <v>0.15595131518522423</v>
      </c>
      <c r="L36" s="100">
        <f t="shared" ca="1" si="44"/>
        <v>51344019.812693708</v>
      </c>
      <c r="M36" s="100">
        <f t="shared" ca="1" si="44"/>
        <v>51344019.812693708</v>
      </c>
      <c r="N36" s="100">
        <f t="shared" ca="1" si="44"/>
        <v>42401387.136396162</v>
      </c>
      <c r="O36" s="100">
        <f t="shared" ca="1" si="44"/>
        <v>42386983.118734643</v>
      </c>
      <c r="P36" s="100">
        <f t="shared" si="33"/>
        <v>8943217.7792399768</v>
      </c>
      <c r="Q36" s="100">
        <f t="shared" si="33"/>
        <v>8957622.7393346094</v>
      </c>
      <c r="R36" s="100">
        <f t="shared" si="45"/>
        <v>1911416</v>
      </c>
      <c r="S36" s="100">
        <f t="shared" si="45"/>
        <v>1911416</v>
      </c>
      <c r="T36" s="100">
        <f t="shared" ca="1" si="45"/>
        <v>53255435.812693708</v>
      </c>
      <c r="U36" s="100">
        <f t="shared" ca="1" si="45"/>
        <v>53255435.812693708</v>
      </c>
      <c r="V36" s="113"/>
      <c r="W36" s="97"/>
      <c r="X36" s="115"/>
      <c r="Y36" s="100">
        <f t="shared" si="46"/>
        <v>53255734.5</v>
      </c>
      <c r="Z36" s="100">
        <f t="shared" si="46"/>
        <v>53255734.5</v>
      </c>
      <c r="AA36" s="115"/>
      <c r="AB36" s="100">
        <f t="shared" ca="1" si="37"/>
        <v>-298.68730629235506</v>
      </c>
      <c r="AC36" s="100">
        <f t="shared" ca="1" si="34"/>
        <v>-298.68730629235506</v>
      </c>
      <c r="AE36" s="120">
        <f t="shared" ca="1" si="35"/>
        <v>-5.6085787626051388E-6</v>
      </c>
      <c r="AF36" s="120">
        <f t="shared" ca="1" si="36"/>
        <v>-5.6085787626051388E-6</v>
      </c>
    </row>
    <row r="37" spans="1:32" ht="19.95" customHeight="1" outlineLevel="1">
      <c r="A37" s="117">
        <v>42295</v>
      </c>
      <c r="B37" s="118" t="s">
        <v>113</v>
      </c>
      <c r="C37" s="100">
        <f t="shared" si="42"/>
        <v>17957571.731754899</v>
      </c>
      <c r="D37" s="119">
        <v>261064</v>
      </c>
      <c r="E37" s="100">
        <f t="shared" si="43"/>
        <v>14199536.896710675</v>
      </c>
      <c r="F37" s="100">
        <f t="shared" si="43"/>
        <v>3496970.8350442238</v>
      </c>
      <c r="G37" s="100">
        <f t="shared" si="43"/>
        <v>17696507.731754899</v>
      </c>
      <c r="H37" s="100">
        <f t="shared" ca="1" si="43"/>
        <v>18132996.539308388</v>
      </c>
      <c r="I37" s="100">
        <f t="shared" ca="1" si="31"/>
        <v>436488.80755348876</v>
      </c>
      <c r="J37" s="96">
        <f t="shared" ca="1" si="32"/>
        <v>2.4665251142757742E-2</v>
      </c>
      <c r="L37" s="100">
        <f t="shared" ca="1" si="44"/>
        <v>9066498.2696541939</v>
      </c>
      <c r="M37" s="100">
        <f t="shared" ca="1" si="44"/>
        <v>9066498.2696541939</v>
      </c>
      <c r="N37" s="100">
        <f t="shared" ca="1" si="44"/>
        <v>7766525.0356671317</v>
      </c>
      <c r="O37" s="100">
        <f t="shared" ca="1" si="44"/>
        <v>7764315.3819381427</v>
      </c>
      <c r="P37" s="100">
        <f t="shared" si="33"/>
        <v>1300058.2892713191</v>
      </c>
      <c r="Q37" s="100">
        <f t="shared" si="33"/>
        <v>1302268.0875746126</v>
      </c>
      <c r="R37" s="100">
        <f t="shared" si="45"/>
        <v>170532</v>
      </c>
      <c r="S37" s="100">
        <f t="shared" si="45"/>
        <v>170532</v>
      </c>
      <c r="T37" s="100">
        <f t="shared" ca="1" si="45"/>
        <v>9237030.2696541939</v>
      </c>
      <c r="U37" s="100">
        <f t="shared" ca="1" si="45"/>
        <v>9237030.2696541939</v>
      </c>
      <c r="V37" s="113"/>
      <c r="W37" s="97"/>
      <c r="X37" s="115"/>
      <c r="Y37" s="100">
        <f t="shared" si="46"/>
        <v>9237024</v>
      </c>
      <c r="Z37" s="100">
        <f t="shared" si="46"/>
        <v>9237024</v>
      </c>
      <c r="AA37" s="115"/>
      <c r="AB37" s="100">
        <f t="shared" ca="1" si="37"/>
        <v>6.269654193893075</v>
      </c>
      <c r="AC37" s="100">
        <f t="shared" ca="1" si="34"/>
        <v>6.269654193893075</v>
      </c>
      <c r="AE37" s="120">
        <f t="shared" ca="1" si="35"/>
        <v>6.7875215419509407E-7</v>
      </c>
      <c r="AF37" s="120">
        <f t="shared" ca="1" si="36"/>
        <v>6.7875215419509407E-7</v>
      </c>
    </row>
    <row r="38" spans="1:32" ht="19.95" customHeight="1" outlineLevel="1">
      <c r="A38" s="117">
        <v>11161</v>
      </c>
      <c r="B38" s="118" t="s">
        <v>90</v>
      </c>
      <c r="C38" s="100">
        <f t="shared" si="42"/>
        <v>86447797.67317605</v>
      </c>
      <c r="D38" s="119">
        <v>2015708</v>
      </c>
      <c r="E38" s="100">
        <f t="shared" si="43"/>
        <v>62976848.206783578</v>
      </c>
      <c r="F38" s="100">
        <f t="shared" si="43"/>
        <v>21455241.466392476</v>
      </c>
      <c r="G38" s="100">
        <f t="shared" si="43"/>
        <v>84432089.67317605</v>
      </c>
      <c r="H38" s="100">
        <f t="shared" ca="1" si="43"/>
        <v>92032877.447642565</v>
      </c>
      <c r="I38" s="100">
        <f t="shared" ca="1" si="31"/>
        <v>7600787.7744665146</v>
      </c>
      <c r="J38" s="96">
        <f t="shared" ca="1" si="32"/>
        <v>9.0022499785188587E-2</v>
      </c>
      <c r="L38" s="100">
        <f t="shared" ca="1" si="44"/>
        <v>46016438.723821282</v>
      </c>
      <c r="M38" s="100">
        <f t="shared" ca="1" si="44"/>
        <v>46016438.723821282</v>
      </c>
      <c r="N38" s="100">
        <f t="shared" ca="1" si="44"/>
        <v>35224203.929553077</v>
      </c>
      <c r="O38" s="100">
        <f t="shared" ca="1" si="44"/>
        <v>35221496.089432716</v>
      </c>
      <c r="P38" s="100">
        <f t="shared" si="33"/>
        <v>10792940.913882194</v>
      </c>
      <c r="Q38" s="100">
        <f t="shared" si="33"/>
        <v>10795648.931172442</v>
      </c>
      <c r="R38" s="100">
        <f t="shared" si="45"/>
        <v>1196955</v>
      </c>
      <c r="S38" s="100">
        <f t="shared" si="45"/>
        <v>1196955</v>
      </c>
      <c r="T38" s="100">
        <f t="shared" ca="1" si="45"/>
        <v>47213393.723821282</v>
      </c>
      <c r="U38" s="100">
        <f t="shared" ca="1" si="45"/>
        <v>47213393.723821282</v>
      </c>
      <c r="V38" s="113"/>
      <c r="W38" s="97"/>
      <c r="X38" s="115"/>
      <c r="Y38" s="100">
        <f t="shared" si="46"/>
        <v>47213539</v>
      </c>
      <c r="Z38" s="100">
        <f t="shared" si="46"/>
        <v>47213539</v>
      </c>
      <c r="AA38" s="115"/>
      <c r="AB38" s="100">
        <f t="shared" ca="1" si="37"/>
        <v>-145.27617871761322</v>
      </c>
      <c r="AC38" s="100">
        <f t="shared" ca="1" si="34"/>
        <v>-145.27617871761322</v>
      </c>
      <c r="AE38" s="120">
        <f t="shared" ca="1" si="35"/>
        <v>-3.0770119929827211E-6</v>
      </c>
      <c r="AF38" s="120">
        <f t="shared" ca="1" si="36"/>
        <v>-3.0770119929827211E-6</v>
      </c>
    </row>
    <row r="39" spans="1:32" ht="19.95" customHeight="1" outlineLevel="1">
      <c r="A39" s="117">
        <v>3639</v>
      </c>
      <c r="B39" s="118" t="s">
        <v>91</v>
      </c>
      <c r="C39" s="100">
        <f t="shared" si="42"/>
        <v>57647048.792173177</v>
      </c>
      <c r="D39" s="119">
        <v>1287600</v>
      </c>
      <c r="E39" s="100">
        <f t="shared" si="43"/>
        <v>40597310.985445894</v>
      </c>
      <c r="F39" s="100">
        <f t="shared" si="43"/>
        <v>15762137.806727283</v>
      </c>
      <c r="G39" s="100">
        <f t="shared" si="43"/>
        <v>56359448.792173177</v>
      </c>
      <c r="H39" s="100">
        <f t="shared" ca="1" si="43"/>
        <v>57339698.793945812</v>
      </c>
      <c r="I39" s="100">
        <f t="shared" ca="1" si="31"/>
        <v>980250.00177263469</v>
      </c>
      <c r="J39" s="96">
        <f t="shared" ca="1" si="32"/>
        <v>1.7392824500241835E-2</v>
      </c>
      <c r="L39" s="100">
        <f t="shared" ca="1" si="44"/>
        <v>28669849.396972906</v>
      </c>
      <c r="M39" s="100">
        <f t="shared" ca="1" si="44"/>
        <v>28669849.396972906</v>
      </c>
      <c r="N39" s="100">
        <f t="shared" ca="1" si="44"/>
        <v>20769383.651554655</v>
      </c>
      <c r="O39" s="100">
        <f t="shared" ca="1" si="44"/>
        <v>20719063.567991346</v>
      </c>
      <c r="P39" s="100">
        <f t="shared" si="33"/>
        <v>7900982.6609532535</v>
      </c>
      <c r="Q39" s="100">
        <f t="shared" si="33"/>
        <v>7951306.0368835907</v>
      </c>
      <c r="R39" s="100">
        <f t="shared" si="45"/>
        <v>683000</v>
      </c>
      <c r="S39" s="100">
        <f t="shared" si="45"/>
        <v>683000</v>
      </c>
      <c r="T39" s="100">
        <f t="shared" ca="1" si="45"/>
        <v>29352849.396972906</v>
      </c>
      <c r="U39" s="100">
        <f t="shared" ca="1" si="45"/>
        <v>29352849.396972906</v>
      </c>
      <c r="V39" s="113"/>
      <c r="W39" s="97"/>
      <c r="X39" s="115"/>
      <c r="Y39" s="100">
        <f t="shared" si="46"/>
        <v>29352939.5</v>
      </c>
      <c r="Z39" s="100">
        <f t="shared" si="46"/>
        <v>29352939.5</v>
      </c>
      <c r="AA39" s="115"/>
      <c r="AB39" s="100">
        <f t="shared" ca="1" si="37"/>
        <v>-90.10302709415555</v>
      </c>
      <c r="AC39" s="100">
        <f t="shared" ca="1" si="34"/>
        <v>-90.10302709415555</v>
      </c>
      <c r="AE39" s="120">
        <f t="shared" ca="1" si="35"/>
        <v>-3.0696518036660413E-6</v>
      </c>
      <c r="AF39" s="120">
        <f t="shared" ca="1" si="36"/>
        <v>-3.0696518036660413E-6</v>
      </c>
    </row>
    <row r="40" spans="1:32" ht="19.95" customHeight="1" outlineLevel="1">
      <c r="A40" s="117">
        <v>42485</v>
      </c>
      <c r="B40" s="118" t="s">
        <v>114</v>
      </c>
      <c r="C40" s="100">
        <f t="shared" si="42"/>
        <v>37870772.117205814</v>
      </c>
      <c r="D40" s="119">
        <v>1018350</v>
      </c>
      <c r="E40" s="100">
        <f t="shared" si="43"/>
        <v>27254135.644871797</v>
      </c>
      <c r="F40" s="100">
        <f t="shared" si="43"/>
        <v>9598286.4723340198</v>
      </c>
      <c r="G40" s="100">
        <f t="shared" si="43"/>
        <v>36852422.117205814</v>
      </c>
      <c r="H40" s="100">
        <f t="shared" ca="1" si="43"/>
        <v>40730502.293735668</v>
      </c>
      <c r="I40" s="100">
        <f t="shared" ca="1" si="31"/>
        <v>3878080.1765298545</v>
      </c>
      <c r="J40" s="96">
        <f t="shared" ca="1" si="32"/>
        <v>0.10523270802108935</v>
      </c>
      <c r="L40" s="100">
        <f t="shared" ca="1" si="44"/>
        <v>20365251.146867834</v>
      </c>
      <c r="M40" s="100">
        <f t="shared" ca="1" si="44"/>
        <v>20365251.146867834</v>
      </c>
      <c r="N40" s="100">
        <f t="shared" ca="1" si="44"/>
        <v>15303442.018034874</v>
      </c>
      <c r="O40" s="100">
        <f t="shared" ca="1" si="44"/>
        <v>15299950.320263859</v>
      </c>
      <c r="P40" s="100">
        <f t="shared" si="33"/>
        <v>5062140.3153551528</v>
      </c>
      <c r="Q40" s="100">
        <f t="shared" si="33"/>
        <v>5065632.241582674</v>
      </c>
      <c r="R40" s="100">
        <f t="shared" si="45"/>
        <v>372330</v>
      </c>
      <c r="S40" s="100">
        <f t="shared" si="45"/>
        <v>372330</v>
      </c>
      <c r="T40" s="100">
        <f t="shared" ca="1" si="45"/>
        <v>20737581.146867834</v>
      </c>
      <c r="U40" s="100">
        <f t="shared" ca="1" si="45"/>
        <v>20737581.146867834</v>
      </c>
      <c r="V40" s="113"/>
      <c r="W40" s="97"/>
      <c r="X40" s="115"/>
      <c r="Y40" s="100">
        <f t="shared" si="46"/>
        <v>20737660.5</v>
      </c>
      <c r="Z40" s="100">
        <f t="shared" si="46"/>
        <v>20737660.5</v>
      </c>
      <c r="AA40" s="115"/>
      <c r="AB40" s="100">
        <f t="shared" ca="1" si="37"/>
        <v>-79.353132165968418</v>
      </c>
      <c r="AC40" s="100">
        <f t="shared" ca="1" si="34"/>
        <v>-79.353132165968418</v>
      </c>
      <c r="AE40" s="120">
        <f t="shared" ca="1" si="35"/>
        <v>-3.8265375119679163E-6</v>
      </c>
      <c r="AF40" s="120">
        <f t="shared" ca="1" si="36"/>
        <v>-3.8265375119679163E-6</v>
      </c>
    </row>
    <row r="41" spans="1:32" ht="19.95" customHeight="1" outlineLevel="1">
      <c r="A41" s="117">
        <v>9651</v>
      </c>
      <c r="B41" s="118" t="s">
        <v>92</v>
      </c>
      <c r="C41" s="100">
        <f t="shared" si="42"/>
        <v>56257745.322129637</v>
      </c>
      <c r="D41" s="119">
        <v>1188902</v>
      </c>
      <c r="E41" s="100">
        <f t="shared" si="43"/>
        <v>41013090.036190666</v>
      </c>
      <c r="F41" s="100">
        <f t="shared" si="43"/>
        <v>14055753.285938967</v>
      </c>
      <c r="G41" s="100">
        <f t="shared" si="43"/>
        <v>55068843.322129637</v>
      </c>
      <c r="H41" s="100">
        <f t="shared" ca="1" si="43"/>
        <v>61753751.256092191</v>
      </c>
      <c r="I41" s="100">
        <f t="shared" ca="1" si="31"/>
        <v>6684907.9339625537</v>
      </c>
      <c r="J41" s="96">
        <f t="shared" ca="1" si="32"/>
        <v>0.12139183485040073</v>
      </c>
      <c r="L41" s="100">
        <f t="shared" ca="1" si="44"/>
        <v>30876875.628046095</v>
      </c>
      <c r="M41" s="100">
        <f t="shared" ca="1" si="44"/>
        <v>30876875.628046095</v>
      </c>
      <c r="N41" s="100">
        <f t="shared" ca="1" si="44"/>
        <v>23600642.984022427</v>
      </c>
      <c r="O41" s="100">
        <f t="shared" ca="1" si="44"/>
        <v>23597861.048615135</v>
      </c>
      <c r="P41" s="100">
        <f t="shared" si="33"/>
        <v>7276708.7169301566</v>
      </c>
      <c r="Q41" s="100">
        <f t="shared" si="33"/>
        <v>7279490.8343552798</v>
      </c>
      <c r="R41" s="100">
        <f t="shared" si="45"/>
        <v>747125</v>
      </c>
      <c r="S41" s="100">
        <f t="shared" si="45"/>
        <v>747125</v>
      </c>
      <c r="T41" s="100">
        <f t="shared" ca="1" si="45"/>
        <v>31624000.628046095</v>
      </c>
      <c r="U41" s="100">
        <f t="shared" ca="1" si="45"/>
        <v>31624000.628046095</v>
      </c>
      <c r="V41" s="113"/>
      <c r="W41" s="97"/>
      <c r="X41" s="115"/>
      <c r="Y41" s="100">
        <f t="shared" si="46"/>
        <v>31624077</v>
      </c>
      <c r="Z41" s="100">
        <f t="shared" si="46"/>
        <v>31624077</v>
      </c>
      <c r="AA41" s="115"/>
      <c r="AB41" s="100">
        <f t="shared" ca="1" si="37"/>
        <v>-76.371953904628754</v>
      </c>
      <c r="AC41" s="100">
        <f t="shared" ca="1" si="34"/>
        <v>-76.371953904628754</v>
      </c>
      <c r="AE41" s="120">
        <f t="shared" ca="1" si="35"/>
        <v>-2.414999759293498E-6</v>
      </c>
      <c r="AF41" s="120">
        <f t="shared" ca="1" si="36"/>
        <v>-2.414999759293498E-6</v>
      </c>
    </row>
    <row r="42" spans="1:32" ht="19.95" customHeight="1" outlineLevel="1">
      <c r="A42" s="117">
        <v>3665</v>
      </c>
      <c r="B42" s="118" t="s">
        <v>32</v>
      </c>
      <c r="C42" s="100">
        <f t="shared" si="42"/>
        <v>66223729.980772406</v>
      </c>
      <c r="D42" s="119">
        <v>3758606</v>
      </c>
      <c r="E42" s="100">
        <f t="shared" si="43"/>
        <v>46713302.02229055</v>
      </c>
      <c r="F42" s="100">
        <f t="shared" si="43"/>
        <v>15751821.958481858</v>
      </c>
      <c r="G42" s="100">
        <f t="shared" si="43"/>
        <v>62465123.980772406</v>
      </c>
      <c r="H42" s="100">
        <f t="shared" ca="1" si="43"/>
        <v>64549116.187924653</v>
      </c>
      <c r="I42" s="100">
        <f t="shared" ca="1" si="31"/>
        <v>2083992.2071522474</v>
      </c>
      <c r="J42" s="96">
        <f t="shared" ca="1" si="32"/>
        <v>3.3362492129107565E-2</v>
      </c>
      <c r="L42" s="100">
        <f t="shared" ca="1" si="44"/>
        <v>32274558.093962327</v>
      </c>
      <c r="M42" s="100">
        <f t="shared" ca="1" si="44"/>
        <v>32274558.093962327</v>
      </c>
      <c r="N42" s="100">
        <f t="shared" ca="1" si="44"/>
        <v>25363019.990918152</v>
      </c>
      <c r="O42" s="100">
        <f t="shared" ca="1" si="44"/>
        <v>25343615.370049953</v>
      </c>
      <c r="P42" s="100">
        <f t="shared" si="33"/>
        <v>6911990.3145379517</v>
      </c>
      <c r="Q42" s="100">
        <f t="shared" si="33"/>
        <v>6931396.2050211728</v>
      </c>
      <c r="R42" s="100">
        <f t="shared" si="45"/>
        <v>1675882</v>
      </c>
      <c r="S42" s="100">
        <f t="shared" si="45"/>
        <v>1675882</v>
      </c>
      <c r="T42" s="100">
        <f t="shared" ca="1" si="45"/>
        <v>33950440.093962327</v>
      </c>
      <c r="U42" s="100">
        <f t="shared" ca="1" si="45"/>
        <v>33950440.093962327</v>
      </c>
      <c r="V42" s="113"/>
      <c r="W42" s="97"/>
      <c r="X42" s="115"/>
      <c r="Y42" s="100">
        <f t="shared" si="46"/>
        <v>33950492.5</v>
      </c>
      <c r="Z42" s="100">
        <f t="shared" si="46"/>
        <v>33950492.5</v>
      </c>
      <c r="AA42" s="115"/>
      <c r="AB42" s="100">
        <f t="shared" ca="1" si="37"/>
        <v>-52.406037673354149</v>
      </c>
      <c r="AC42" s="100">
        <f t="shared" ca="1" si="34"/>
        <v>-52.406037673354149</v>
      </c>
      <c r="AE42" s="120">
        <f t="shared" ca="1" si="35"/>
        <v>-1.5436040748901493E-6</v>
      </c>
      <c r="AF42" s="120">
        <f t="shared" ca="1" si="36"/>
        <v>-1.5436040748901493E-6</v>
      </c>
    </row>
    <row r="43" spans="1:32" ht="19.95" customHeight="1" outlineLevel="1">
      <c r="A43" s="117">
        <v>3565</v>
      </c>
      <c r="B43" s="118" t="s">
        <v>94</v>
      </c>
      <c r="C43" s="100">
        <f t="shared" si="42"/>
        <v>94806060.795620382</v>
      </c>
      <c r="D43" s="119">
        <v>4991800</v>
      </c>
      <c r="E43" s="100">
        <f t="shared" si="43"/>
        <v>72573158.951875001</v>
      </c>
      <c r="F43" s="100">
        <f t="shared" si="43"/>
        <v>17241101.843745373</v>
      </c>
      <c r="G43" s="100">
        <f t="shared" si="43"/>
        <v>89814260.795620382</v>
      </c>
      <c r="H43" s="100">
        <f t="shared" ca="1" si="43"/>
        <v>90853198.08069998</v>
      </c>
      <c r="I43" s="100">
        <f t="shared" ca="1" si="31"/>
        <v>1038937.2850795984</v>
      </c>
      <c r="J43" s="96">
        <f t="shared" ca="1" si="32"/>
        <v>1.1567620507881085E-2</v>
      </c>
      <c r="L43" s="100">
        <f t="shared" ca="1" si="44"/>
        <v>45426599.04034999</v>
      </c>
      <c r="M43" s="100">
        <f t="shared" ca="1" si="44"/>
        <v>45426599.04034999</v>
      </c>
      <c r="N43" s="100">
        <f t="shared" ca="1" si="44"/>
        <v>41620918.266613074</v>
      </c>
      <c r="O43" s="100">
        <f t="shared" ca="1" si="44"/>
        <v>41612795.793807738</v>
      </c>
      <c r="P43" s="100">
        <f t="shared" si="33"/>
        <v>3805929.773679018</v>
      </c>
      <c r="Q43" s="100">
        <f t="shared" si="33"/>
        <v>3814052.7779254783</v>
      </c>
      <c r="R43" s="100">
        <f t="shared" si="45"/>
        <v>2720000</v>
      </c>
      <c r="S43" s="100">
        <f t="shared" si="45"/>
        <v>2720000</v>
      </c>
      <c r="T43" s="100">
        <f t="shared" ca="1" si="45"/>
        <v>48146599.04034999</v>
      </c>
      <c r="U43" s="100">
        <f t="shared" ca="1" si="45"/>
        <v>48146599.04034999</v>
      </c>
      <c r="V43" s="113"/>
      <c r="W43" s="97"/>
      <c r="X43" s="115"/>
      <c r="Y43" s="100">
        <f t="shared" si="46"/>
        <v>48146687</v>
      </c>
      <c r="Z43" s="100">
        <f t="shared" si="46"/>
        <v>48146687</v>
      </c>
      <c r="AA43" s="115"/>
      <c r="AB43" s="100">
        <f t="shared" ca="1" si="37"/>
        <v>-87.959650009870529</v>
      </c>
      <c r="AC43" s="100">
        <f t="shared" ca="1" si="34"/>
        <v>-87.959650009870529</v>
      </c>
      <c r="AE43" s="120">
        <f t="shared" ca="1" si="35"/>
        <v>-1.8269130481294143E-6</v>
      </c>
      <c r="AF43" s="120">
        <f t="shared" ca="1" si="36"/>
        <v>-1.8269130481294143E-6</v>
      </c>
    </row>
    <row r="44" spans="1:32" ht="19.95" customHeight="1" outlineLevel="1">
      <c r="A44" s="117">
        <v>29269</v>
      </c>
      <c r="B44" s="118" t="s">
        <v>93</v>
      </c>
      <c r="C44" s="100">
        <f t="shared" si="42"/>
        <v>16071364.837811476</v>
      </c>
      <c r="D44" s="119">
        <v>186250</v>
      </c>
      <c r="E44" s="100">
        <f t="shared" si="43"/>
        <v>12467165.034956077</v>
      </c>
      <c r="F44" s="100">
        <f t="shared" si="43"/>
        <v>3417949.8028553999</v>
      </c>
      <c r="G44" s="100">
        <f t="shared" si="43"/>
        <v>15885114.837811476</v>
      </c>
      <c r="H44" s="100">
        <f t="shared" ca="1" si="43"/>
        <v>16306355.74910933</v>
      </c>
      <c r="I44" s="100">
        <f t="shared" ca="1" si="31"/>
        <v>421240.91129785404</v>
      </c>
      <c r="J44" s="96">
        <f t="shared" ca="1" si="32"/>
        <v>2.6517964496874186E-2</v>
      </c>
      <c r="L44" s="100">
        <f t="shared" ca="1" si="44"/>
        <v>8153177.8745546648</v>
      </c>
      <c r="M44" s="100">
        <f t="shared" ca="1" si="44"/>
        <v>8153177.8745546648</v>
      </c>
      <c r="N44" s="100">
        <f t="shared" ca="1" si="44"/>
        <v>6431084.6157735484</v>
      </c>
      <c r="O44" s="100">
        <f t="shared" ca="1" si="44"/>
        <v>6425338.9164318731</v>
      </c>
      <c r="P44" s="100">
        <f t="shared" si="33"/>
        <v>1722205.9327407139</v>
      </c>
      <c r="Q44" s="100">
        <f t="shared" si="33"/>
        <v>1727952.008014814</v>
      </c>
      <c r="R44" s="100">
        <f t="shared" si="45"/>
        <v>112115</v>
      </c>
      <c r="S44" s="100">
        <f t="shared" si="45"/>
        <v>112115</v>
      </c>
      <c r="T44" s="100">
        <f t="shared" ca="1" si="45"/>
        <v>8265292.8745546648</v>
      </c>
      <c r="U44" s="100">
        <f t="shared" ca="1" si="45"/>
        <v>8265292.8745546648</v>
      </c>
      <c r="V44" s="113"/>
      <c r="W44" s="97"/>
      <c r="X44" s="115"/>
      <c r="Y44" s="100">
        <f t="shared" si="46"/>
        <v>8265251</v>
      </c>
      <c r="Z44" s="100">
        <f t="shared" si="46"/>
        <v>8265251</v>
      </c>
      <c r="AA44" s="115"/>
      <c r="AB44" s="100">
        <f t="shared" ca="1" si="37"/>
        <v>41.874554664827883</v>
      </c>
      <c r="AC44" s="100">
        <f t="shared" ca="1" si="34"/>
        <v>41.874554664827883</v>
      </c>
      <c r="AE44" s="120">
        <f t="shared" ca="1" si="35"/>
        <v>5.066312265079184E-6</v>
      </c>
      <c r="AF44" s="120">
        <f t="shared" ca="1" si="36"/>
        <v>5.066312265079184E-6</v>
      </c>
    </row>
    <row r="45" spans="1:32" ht="19.95" customHeight="1" outlineLevel="1">
      <c r="A45" s="117">
        <v>3652</v>
      </c>
      <c r="B45" s="118" t="s">
        <v>95</v>
      </c>
      <c r="C45" s="100">
        <f>C186+C226+C267+C317+C368+C406</f>
        <v>417661870</v>
      </c>
      <c r="D45" s="119">
        <v>25309680</v>
      </c>
      <c r="E45" s="100">
        <f>E186+E226+E267+E317+E368+E406</f>
        <v>285464179.6161257</v>
      </c>
      <c r="F45" s="100">
        <f>F186+F226+F267+F317+F368+F406</f>
        <v>106888010.38387434</v>
      </c>
      <c r="G45" s="100">
        <f>G186+G226+G267+G317+G368+G406</f>
        <v>392352190</v>
      </c>
      <c r="H45" s="100">
        <f ca="1">H186+H226+H267+H317+H368+H406</f>
        <v>480189500.82331586</v>
      </c>
      <c r="I45" s="100">
        <f t="shared" ca="1" si="31"/>
        <v>87837310.823315859</v>
      </c>
      <c r="J45" s="96">
        <f t="shared" ca="1" si="32"/>
        <v>0.2238736346120965</v>
      </c>
      <c r="L45" s="100">
        <f ca="1">L186+L226+L267+L317+L368+L406</f>
        <v>240094750.41165793</v>
      </c>
      <c r="M45" s="100">
        <f ca="1">M186+M226+M267+M317+M368+M406</f>
        <v>240094750.41165793</v>
      </c>
      <c r="N45" s="100">
        <f ca="1">N186+N226+N267+N317+N368+N406</f>
        <v>191959676.90674216</v>
      </c>
      <c r="O45" s="100">
        <f ca="1">O186+O226+O267+O317+O368+O406</f>
        <v>191794507.37854815</v>
      </c>
      <c r="P45" s="100">
        <f t="shared" ref="P45:Q61" si="47">P463-P513-P563-P613</f>
        <v>48138222.910036311</v>
      </c>
      <c r="Q45" s="100">
        <f t="shared" si="47"/>
        <v>48303403.245022997</v>
      </c>
      <c r="R45" s="100">
        <f>R186+R226+R267+R317+R368+R406</f>
        <v>12540421</v>
      </c>
      <c r="S45" s="100">
        <f>S186+S226+S267+S317+S368+S406</f>
        <v>12540421</v>
      </c>
      <c r="T45" s="100">
        <f ca="1">T186+T226+T267+T317+T368+T406</f>
        <v>252635171.41165793</v>
      </c>
      <c r="U45" s="100">
        <f ca="1">U186+U226+U267+U317+U368+U406</f>
        <v>252635171.41165793</v>
      </c>
      <c r="V45" s="113"/>
      <c r="W45" s="97"/>
      <c r="X45" s="115"/>
      <c r="Y45" s="100">
        <f>Y186+Y226+Y267+Y317+Y368+Y406</f>
        <v>252633090.37726161</v>
      </c>
      <c r="Z45" s="100">
        <f>Z186+Z226+Z267+Z317+Z368+Z406</f>
        <v>252633090.37726161</v>
      </c>
      <c r="AA45" s="115"/>
      <c r="AB45" s="100">
        <f t="shared" ca="1" si="37"/>
        <v>2081.0343963205814</v>
      </c>
      <c r="AC45" s="100">
        <f t="shared" ca="1" si="34"/>
        <v>2081.0343963205814</v>
      </c>
      <c r="AE45" s="120">
        <f t="shared" ca="1" si="35"/>
        <v>8.2373106828012757E-6</v>
      </c>
      <c r="AF45" s="120">
        <f t="shared" ca="1" si="36"/>
        <v>8.2373106828012757E-6</v>
      </c>
    </row>
    <row r="46" spans="1:32" ht="19.95" customHeight="1" outlineLevel="1">
      <c r="A46" s="117">
        <v>11711</v>
      </c>
      <c r="B46" s="118" t="s">
        <v>96</v>
      </c>
      <c r="C46" s="100">
        <f>C187+C227+C268+C318+C369+C428</f>
        <v>67759522.323484942</v>
      </c>
      <c r="D46" s="119">
        <v>3575740</v>
      </c>
      <c r="E46" s="100">
        <f t="shared" ref="E46:H49" si="48">E187+E227+E268+E318+E369+E428</f>
        <v>47991067.257294752</v>
      </c>
      <c r="F46" s="100">
        <f t="shared" si="48"/>
        <v>16192715.066190187</v>
      </c>
      <c r="G46" s="100">
        <f t="shared" si="48"/>
        <v>64183782.323484935</v>
      </c>
      <c r="H46" s="100">
        <f t="shared" ca="1" si="48"/>
        <v>62845078.340592459</v>
      </c>
      <c r="I46" s="100">
        <f t="shared" ca="1" si="31"/>
        <v>-1338703.982892476</v>
      </c>
      <c r="J46" s="96">
        <f t="shared" ca="1" si="32"/>
        <v>-2.0857355774788023E-2</v>
      </c>
      <c r="L46" s="100">
        <f t="shared" ref="L46:O49" ca="1" si="49">L187+L227+L268+L318+L369+L428</f>
        <v>31422539.170296229</v>
      </c>
      <c r="M46" s="100">
        <f t="shared" ca="1" si="49"/>
        <v>31422539.170296229</v>
      </c>
      <c r="N46" s="100">
        <f t="shared" ca="1" si="49"/>
        <v>23763556.03134302</v>
      </c>
      <c r="O46" s="100">
        <f t="shared" ca="1" si="49"/>
        <v>23729936.073890809</v>
      </c>
      <c r="P46" s="100">
        <f t="shared" si="47"/>
        <v>7659484.2546461858</v>
      </c>
      <c r="Q46" s="100">
        <f t="shared" si="47"/>
        <v>7693106.4118014108</v>
      </c>
      <c r="R46" s="100">
        <f t="shared" ref="R46:U49" si="50">R187+R227+R268+R318+R369+R428</f>
        <v>1913398</v>
      </c>
      <c r="S46" s="100">
        <f t="shared" si="50"/>
        <v>1913398</v>
      </c>
      <c r="T46" s="100">
        <f t="shared" ca="1" si="50"/>
        <v>33335937.170296229</v>
      </c>
      <c r="U46" s="100">
        <f t="shared" ca="1" si="50"/>
        <v>33335937.170296229</v>
      </c>
      <c r="V46" s="113"/>
      <c r="W46" s="97"/>
      <c r="X46" s="115"/>
      <c r="Y46" s="100">
        <f t="shared" ref="Y46:Z49" si="51">Y187+Y227+Y268+Y318+Y369+Y428</f>
        <v>33335919.5</v>
      </c>
      <c r="Z46" s="100">
        <f t="shared" si="51"/>
        <v>33335919.5</v>
      </c>
      <c r="AA46" s="115"/>
      <c r="AB46" s="100">
        <f t="shared" ca="1" si="37"/>
        <v>17.670296229422092</v>
      </c>
      <c r="AC46" s="100">
        <f t="shared" ca="1" si="34"/>
        <v>17.670296229422092</v>
      </c>
      <c r="AE46" s="120">
        <f t="shared" ca="1" si="35"/>
        <v>5.3006748060369806E-7</v>
      </c>
      <c r="AF46" s="120">
        <f t="shared" ca="1" si="36"/>
        <v>5.3006748060369806E-7</v>
      </c>
    </row>
    <row r="47" spans="1:32" ht="19.95" customHeight="1" outlineLevel="1">
      <c r="A47" s="117">
        <v>12826</v>
      </c>
      <c r="B47" s="118" t="s">
        <v>97</v>
      </c>
      <c r="C47" s="100">
        <f>C188+C228+C269+C319+C370+C429</f>
        <v>82566267.810963511</v>
      </c>
      <c r="D47" s="119">
        <v>2377684</v>
      </c>
      <c r="E47" s="100">
        <f t="shared" si="48"/>
        <v>50221677.12639387</v>
      </c>
      <c r="F47" s="100">
        <f t="shared" si="48"/>
        <v>29966906.684569642</v>
      </c>
      <c r="G47" s="100">
        <f t="shared" si="48"/>
        <v>80188583.810963511</v>
      </c>
      <c r="H47" s="100">
        <f t="shared" ca="1" si="48"/>
        <v>77820028.949633092</v>
      </c>
      <c r="I47" s="100">
        <f t="shared" ca="1" si="31"/>
        <v>-2368554.8613304198</v>
      </c>
      <c r="J47" s="96">
        <f t="shared" ca="1" si="32"/>
        <v>-2.9537307541358363E-2</v>
      </c>
      <c r="L47" s="100">
        <f t="shared" ca="1" si="49"/>
        <v>38910014.474816546</v>
      </c>
      <c r="M47" s="100">
        <f t="shared" ca="1" si="49"/>
        <v>38910014.474816546</v>
      </c>
      <c r="N47" s="100">
        <f t="shared" ca="1" si="49"/>
        <v>26596814.45913757</v>
      </c>
      <c r="O47" s="100">
        <f t="shared" ca="1" si="49"/>
        <v>26564661.79000495</v>
      </c>
      <c r="P47" s="100">
        <f t="shared" si="47"/>
        <v>12314005.649749018</v>
      </c>
      <c r="Q47" s="100">
        <f t="shared" si="47"/>
        <v>12346160.422582194</v>
      </c>
      <c r="R47" s="100">
        <f t="shared" si="50"/>
        <v>1140388</v>
      </c>
      <c r="S47" s="100">
        <f t="shared" si="50"/>
        <v>1140388</v>
      </c>
      <c r="T47" s="100">
        <f t="shared" ca="1" si="50"/>
        <v>40050402.474816546</v>
      </c>
      <c r="U47" s="100">
        <f t="shared" ca="1" si="50"/>
        <v>40050402.474816546</v>
      </c>
      <c r="V47" s="113"/>
      <c r="W47" s="97"/>
      <c r="X47" s="115"/>
      <c r="Y47" s="100">
        <f t="shared" si="51"/>
        <v>40050672</v>
      </c>
      <c r="Z47" s="100">
        <f t="shared" si="51"/>
        <v>40050672</v>
      </c>
      <c r="AA47" s="115"/>
      <c r="AB47" s="100">
        <f t="shared" ca="1" si="37"/>
        <v>-269.52518345415592</v>
      </c>
      <c r="AC47" s="100">
        <f t="shared" ca="1" si="34"/>
        <v>-269.52518345415592</v>
      </c>
      <c r="AE47" s="120">
        <f t="shared" ca="1" si="35"/>
        <v>-6.7296498112255364E-6</v>
      </c>
      <c r="AF47" s="120">
        <f t="shared" ca="1" si="36"/>
        <v>-6.7296498112255364E-6</v>
      </c>
    </row>
    <row r="48" spans="1:32" ht="19.95" customHeight="1" outlineLevel="1">
      <c r="A48" s="117">
        <v>13231</v>
      </c>
      <c r="B48" s="118" t="s">
        <v>98</v>
      </c>
      <c r="C48" s="100">
        <f>C189+C229+C270+C320+C371+C430</f>
        <v>34200678.838158898</v>
      </c>
      <c r="D48" s="119">
        <v>1657200</v>
      </c>
      <c r="E48" s="100">
        <f t="shared" si="48"/>
        <v>23584610.945209373</v>
      </c>
      <c r="F48" s="100">
        <f t="shared" si="48"/>
        <v>8958867.8929495215</v>
      </c>
      <c r="G48" s="100">
        <f t="shared" si="48"/>
        <v>32543478.838158894</v>
      </c>
      <c r="H48" s="100">
        <f t="shared" ca="1" si="48"/>
        <v>29069029.334224958</v>
      </c>
      <c r="I48" s="100">
        <f t="shared" ca="1" si="31"/>
        <v>-3474449.5039339364</v>
      </c>
      <c r="J48" s="96">
        <f t="shared" ca="1" si="32"/>
        <v>-0.10676330951625143</v>
      </c>
      <c r="L48" s="100">
        <f t="shared" ca="1" si="49"/>
        <v>14534514.667112479</v>
      </c>
      <c r="M48" s="100">
        <f t="shared" ca="1" si="49"/>
        <v>14534514.667112479</v>
      </c>
      <c r="N48" s="100">
        <f t="shared" ca="1" si="49"/>
        <v>10849976.19879883</v>
      </c>
      <c r="O48" s="100">
        <f t="shared" ca="1" si="49"/>
        <v>10842465.259839339</v>
      </c>
      <c r="P48" s="100">
        <f t="shared" si="47"/>
        <v>3684779.5420977753</v>
      </c>
      <c r="Q48" s="100">
        <f t="shared" si="47"/>
        <v>3692290.9724866478</v>
      </c>
      <c r="R48" s="100">
        <f t="shared" si="50"/>
        <v>828600</v>
      </c>
      <c r="S48" s="100">
        <f t="shared" si="50"/>
        <v>828600</v>
      </c>
      <c r="T48" s="100">
        <f t="shared" ca="1" si="50"/>
        <v>15363114.667112479</v>
      </c>
      <c r="U48" s="100">
        <f t="shared" ca="1" si="50"/>
        <v>15363114.667112479</v>
      </c>
      <c r="V48" s="113"/>
      <c r="W48" s="97"/>
      <c r="X48" s="115"/>
      <c r="Y48" s="100">
        <f t="shared" si="51"/>
        <v>15363097.5</v>
      </c>
      <c r="Z48" s="100">
        <f t="shared" si="51"/>
        <v>15363097.5</v>
      </c>
      <c r="AA48" s="115"/>
      <c r="AB48" s="100">
        <f t="shared" ca="1" si="37"/>
        <v>17.167112478986382</v>
      </c>
      <c r="AC48" s="100">
        <f t="shared" ca="1" si="34"/>
        <v>17.167112478986382</v>
      </c>
      <c r="AE48" s="120">
        <f t="shared" ca="1" si="35"/>
        <v>1.1174239632368093E-6</v>
      </c>
      <c r="AF48" s="120">
        <f t="shared" ca="1" si="36"/>
        <v>1.1174239632368093E-6</v>
      </c>
    </row>
    <row r="49" spans="1:32" ht="19.95" customHeight="1" outlineLevel="1">
      <c r="A49" s="117">
        <v>3592</v>
      </c>
      <c r="B49" s="118" t="s">
        <v>99</v>
      </c>
      <c r="C49" s="100">
        <f>C190+C230+C271+C321+C372+C431</f>
        <v>34838930.012590379</v>
      </c>
      <c r="D49" s="119">
        <v>905000</v>
      </c>
      <c r="E49" s="100">
        <f t="shared" si="48"/>
        <v>27229500.571566831</v>
      </c>
      <c r="F49" s="100">
        <f t="shared" si="48"/>
        <v>6704429.4410235425</v>
      </c>
      <c r="G49" s="100">
        <f t="shared" si="48"/>
        <v>33933930.012590379</v>
      </c>
      <c r="H49" s="100">
        <f t="shared" ca="1" si="48"/>
        <v>36966518.893235989</v>
      </c>
      <c r="I49" s="100">
        <f t="shared" ca="1" si="31"/>
        <v>3032588.8806456104</v>
      </c>
      <c r="J49" s="96">
        <f t="shared" ca="1" si="32"/>
        <v>8.9367452562094649E-2</v>
      </c>
      <c r="L49" s="100">
        <f t="shared" ca="1" si="49"/>
        <v>18483259.446617994</v>
      </c>
      <c r="M49" s="100">
        <f t="shared" ca="1" si="49"/>
        <v>18483259.446617994</v>
      </c>
      <c r="N49" s="100">
        <f t="shared" ca="1" si="49"/>
        <v>15187315.818239616</v>
      </c>
      <c r="O49" s="100">
        <f t="shared" ca="1" si="49"/>
        <v>15181732.853358028</v>
      </c>
      <c r="P49" s="100">
        <f t="shared" si="47"/>
        <v>3296159.2769893445</v>
      </c>
      <c r="Q49" s="100">
        <f t="shared" si="47"/>
        <v>3301742.6071558893</v>
      </c>
      <c r="R49" s="100">
        <f t="shared" si="50"/>
        <v>472500</v>
      </c>
      <c r="S49" s="100">
        <f t="shared" si="50"/>
        <v>472500</v>
      </c>
      <c r="T49" s="100">
        <f t="shared" ca="1" si="50"/>
        <v>18955759.446617994</v>
      </c>
      <c r="U49" s="100">
        <f t="shared" ca="1" si="50"/>
        <v>18955759.446617994</v>
      </c>
      <c r="V49" s="113"/>
      <c r="W49" s="97"/>
      <c r="X49" s="115"/>
      <c r="Y49" s="100">
        <f t="shared" si="51"/>
        <v>18955889</v>
      </c>
      <c r="Z49" s="100">
        <f t="shared" si="51"/>
        <v>18955889</v>
      </c>
      <c r="AA49" s="115"/>
      <c r="AB49" s="100">
        <f t="shared" ca="1" si="37"/>
        <v>-129.55338200554252</v>
      </c>
      <c r="AC49" s="100">
        <f t="shared" ca="1" si="34"/>
        <v>-129.55338200554252</v>
      </c>
      <c r="AE49" s="120">
        <f t="shared" ca="1" si="35"/>
        <v>-6.8345128756451314E-6</v>
      </c>
      <c r="AF49" s="120">
        <f t="shared" ca="1" si="36"/>
        <v>-6.8345128756451314E-6</v>
      </c>
    </row>
    <row r="50" spans="1:32" ht="19.95" customHeight="1" outlineLevel="1">
      <c r="A50" s="117">
        <v>3594</v>
      </c>
      <c r="B50" s="118" t="s">
        <v>100</v>
      </c>
      <c r="C50" s="100">
        <f>C191+C231+C272+C322+C373+C407</f>
        <v>314551423</v>
      </c>
      <c r="D50" s="119">
        <v>12044000</v>
      </c>
      <c r="E50" s="100">
        <f>E191+E231+E272+E322+E373+E407</f>
        <v>209811652.64461321</v>
      </c>
      <c r="F50" s="100">
        <f>F191+F231+F272+F322+F373+F407</f>
        <v>92695770.355386794</v>
      </c>
      <c r="G50" s="100">
        <f>G191+G231+G272+G322+G373+G407</f>
        <v>302507423</v>
      </c>
      <c r="H50" s="100">
        <f ca="1">H191+H231+H272+H322+H373+H407</f>
        <v>403026393.03769094</v>
      </c>
      <c r="I50" s="100">
        <f t="shared" ca="1" si="31"/>
        <v>100518970.03769094</v>
      </c>
      <c r="J50" s="96">
        <f t="shared" ca="1" si="32"/>
        <v>0.3322859619140352</v>
      </c>
      <c r="L50" s="100">
        <f ca="1">L191+L231+L272+L322+L373+L407</f>
        <v>201513196.51884547</v>
      </c>
      <c r="M50" s="100">
        <f ca="1">M191+M231+M272+M322+M373+M407</f>
        <v>201513196.51884547</v>
      </c>
      <c r="N50" s="100">
        <f ca="1">N191+N231+N272+N322+N373+N407</f>
        <v>139616023.68950939</v>
      </c>
      <c r="O50" s="100">
        <f ca="1">O191+O231+O272+O322+O373+O407</f>
        <v>139232152.22522733</v>
      </c>
      <c r="P50" s="100">
        <f t="shared" si="47"/>
        <v>61901222.667818978</v>
      </c>
      <c r="Q50" s="100">
        <f t="shared" si="47"/>
        <v>62285119.248230845</v>
      </c>
      <c r="R50" s="100">
        <f>R191+R231+R272+R322+R373+R407</f>
        <v>9308769</v>
      </c>
      <c r="S50" s="100">
        <f>S191+S231+S272+S322+S373+S407</f>
        <v>9308769</v>
      </c>
      <c r="T50" s="100">
        <f ca="1">T191+T231+T272+T322+T373+T407</f>
        <v>210821965.51884547</v>
      </c>
      <c r="U50" s="100">
        <f ca="1">U191+U231+U272+U322+U373+U407</f>
        <v>210821965.51884547</v>
      </c>
      <c r="V50" s="113"/>
      <c r="W50" s="97"/>
      <c r="X50" s="115"/>
      <c r="Y50" s="100">
        <f>Y191+Y231+Y272+Y322+Y373+Y407</f>
        <v>210820490.58957034</v>
      </c>
      <c r="Z50" s="100">
        <f>Z191+Z231+Z272+Z322+Z373+Z407</f>
        <v>210820490.58957034</v>
      </c>
      <c r="AA50" s="115"/>
      <c r="AB50" s="100">
        <f t="shared" ca="1" si="37"/>
        <v>1474.9292751252651</v>
      </c>
      <c r="AC50" s="100">
        <f t="shared" ca="1" si="34"/>
        <v>1474.9292751252651</v>
      </c>
      <c r="AE50" s="120">
        <f t="shared" ca="1" si="35"/>
        <v>6.996089195427886E-6</v>
      </c>
      <c r="AF50" s="120">
        <f t="shared" ca="1" si="36"/>
        <v>6.996089195427886E-6</v>
      </c>
    </row>
    <row r="51" spans="1:32" ht="19.95" customHeight="1" outlineLevel="1">
      <c r="A51" s="117">
        <v>42421</v>
      </c>
      <c r="B51" s="118" t="s">
        <v>115</v>
      </c>
      <c r="C51" s="100">
        <f>C192+C232+C273+C323+C374+C432</f>
        <v>35942077.056835055</v>
      </c>
      <c r="D51" s="119">
        <v>4929794</v>
      </c>
      <c r="E51" s="100">
        <f t="shared" ref="E51:H53" si="52">E192+E232+E273+E323+E374+E432</f>
        <v>24641581.374285389</v>
      </c>
      <c r="F51" s="100">
        <f t="shared" si="52"/>
        <v>6370701.6825496675</v>
      </c>
      <c r="G51" s="100">
        <f t="shared" si="52"/>
        <v>31012283.056835055</v>
      </c>
      <c r="H51" s="100">
        <f t="shared" ca="1" si="52"/>
        <v>30933834.809228323</v>
      </c>
      <c r="I51" s="100">
        <f t="shared" ca="1" si="31"/>
        <v>-78448.247606731951</v>
      </c>
      <c r="J51" s="96">
        <f t="shared" ca="1" si="32"/>
        <v>-2.529586340449775E-3</v>
      </c>
      <c r="L51" s="100">
        <f t="shared" ref="L51:O53" ca="1" si="53">L192+L232+L273+L323+L374+L432</f>
        <v>15466917.404614162</v>
      </c>
      <c r="M51" s="100">
        <f t="shared" ca="1" si="53"/>
        <v>15466917.404614162</v>
      </c>
      <c r="N51" s="100">
        <f t="shared" ca="1" si="53"/>
        <v>13380713.777799504</v>
      </c>
      <c r="O51" s="100">
        <f t="shared" ca="1" si="53"/>
        <v>13379400.892217707</v>
      </c>
      <c r="P51" s="100">
        <f t="shared" si="47"/>
        <v>2086340.1239654128</v>
      </c>
      <c r="Q51" s="100">
        <f t="shared" si="47"/>
        <v>2087653.0954473298</v>
      </c>
      <c r="R51" s="100">
        <f t="shared" ref="R51:U53" si="54">R192+R232+R273+R323+R374+R432</f>
        <v>2379799</v>
      </c>
      <c r="S51" s="100">
        <f t="shared" si="54"/>
        <v>2379799</v>
      </c>
      <c r="T51" s="100">
        <f t="shared" ca="1" si="54"/>
        <v>17846716.404614165</v>
      </c>
      <c r="U51" s="100">
        <f t="shared" ca="1" si="54"/>
        <v>17846716.404614165</v>
      </c>
      <c r="V51" s="113"/>
      <c r="W51" s="97"/>
      <c r="X51" s="115"/>
      <c r="Y51" s="100">
        <f t="shared" ref="Y51:Z53" si="55">Y192+Y232+Y273+Y323+Y374+Y432</f>
        <v>17846776.5</v>
      </c>
      <c r="Z51" s="100">
        <f t="shared" si="55"/>
        <v>17846776.5</v>
      </c>
      <c r="AA51" s="115"/>
      <c r="AB51" s="100">
        <f t="shared" ca="1" si="37"/>
        <v>-60.095385834574699</v>
      </c>
      <c r="AC51" s="100">
        <f t="shared" ca="1" si="34"/>
        <v>-60.095385834574699</v>
      </c>
      <c r="AE51" s="120">
        <f t="shared" ca="1" si="35"/>
        <v>-3.3673077148823514E-6</v>
      </c>
      <c r="AF51" s="120">
        <f t="shared" ca="1" si="36"/>
        <v>-3.3673077148823514E-6</v>
      </c>
    </row>
    <row r="52" spans="1:32" ht="19.95" customHeight="1" outlineLevel="1">
      <c r="A52" s="117">
        <v>3624</v>
      </c>
      <c r="B52" s="118" t="s">
        <v>101</v>
      </c>
      <c r="C52" s="100">
        <f>C193+C233+C274+C324+C375+C433</f>
        <v>76941143.52822125</v>
      </c>
      <c r="D52" s="119">
        <v>1573368</v>
      </c>
      <c r="E52" s="100">
        <f t="shared" si="52"/>
        <v>58827190.544430286</v>
      </c>
      <c r="F52" s="100">
        <f t="shared" si="52"/>
        <v>16540584.983790968</v>
      </c>
      <c r="G52" s="100">
        <f t="shared" si="52"/>
        <v>75367775.52822125</v>
      </c>
      <c r="H52" s="100">
        <f t="shared" ca="1" si="52"/>
        <v>74235867.437068701</v>
      </c>
      <c r="I52" s="100">
        <f t="shared" ca="1" si="31"/>
        <v>-1131908.0911525488</v>
      </c>
      <c r="J52" s="96">
        <f t="shared" ca="1" si="32"/>
        <v>-1.5018462243571312E-2</v>
      </c>
      <c r="L52" s="100">
        <f t="shared" ca="1" si="53"/>
        <v>37117933.71853435</v>
      </c>
      <c r="M52" s="100">
        <f t="shared" ca="1" si="53"/>
        <v>37117933.71853435</v>
      </c>
      <c r="N52" s="100">
        <f t="shared" ca="1" si="53"/>
        <v>32026010.65618182</v>
      </c>
      <c r="O52" s="100">
        <f t="shared" ca="1" si="53"/>
        <v>32022207.426816687</v>
      </c>
      <c r="P52" s="100">
        <f t="shared" si="47"/>
        <v>5092256.2191838883</v>
      </c>
      <c r="Q52" s="100">
        <f t="shared" si="47"/>
        <v>5096059.6973885689</v>
      </c>
      <c r="R52" s="100">
        <f t="shared" si="54"/>
        <v>793731</v>
      </c>
      <c r="S52" s="100">
        <f t="shared" si="54"/>
        <v>793731</v>
      </c>
      <c r="T52" s="100">
        <f t="shared" ca="1" si="54"/>
        <v>37911664.71853435</v>
      </c>
      <c r="U52" s="100">
        <f t="shared" ca="1" si="54"/>
        <v>37911664.71853435</v>
      </c>
      <c r="V52" s="113"/>
      <c r="W52" s="97"/>
      <c r="X52" s="115"/>
      <c r="Y52" s="100">
        <f t="shared" si="55"/>
        <v>37911566.5</v>
      </c>
      <c r="Z52" s="100">
        <f t="shared" si="55"/>
        <v>37911566.5</v>
      </c>
      <c r="AA52" s="115"/>
      <c r="AB52" s="100">
        <f t="shared" ca="1" si="37"/>
        <v>98.218534350395203</v>
      </c>
      <c r="AC52" s="100">
        <f t="shared" ca="1" si="34"/>
        <v>98.218534350395203</v>
      </c>
      <c r="AE52" s="120">
        <f t="shared" ca="1" si="35"/>
        <v>2.5907206945301422E-6</v>
      </c>
      <c r="AF52" s="120">
        <f t="shared" ca="1" si="36"/>
        <v>2.5907206945301422E-6</v>
      </c>
    </row>
    <row r="53" spans="1:32" ht="19.95" customHeight="1" outlineLevel="1">
      <c r="A53" s="117">
        <v>3642</v>
      </c>
      <c r="B53" s="118" t="s">
        <v>102</v>
      </c>
      <c r="C53" s="100">
        <f>C194+C234+C275+C325+C376+C434</f>
        <v>69612738.77302815</v>
      </c>
      <c r="D53" s="119">
        <v>6966938</v>
      </c>
      <c r="E53" s="100">
        <f t="shared" si="52"/>
        <v>44515945.643035509</v>
      </c>
      <c r="F53" s="100">
        <f t="shared" si="52"/>
        <v>18129855.129992634</v>
      </c>
      <c r="G53" s="100">
        <f t="shared" si="52"/>
        <v>62645800.773028143</v>
      </c>
      <c r="H53" s="100">
        <f t="shared" ca="1" si="52"/>
        <v>71895984.470769674</v>
      </c>
      <c r="I53" s="100">
        <f t="shared" ca="1" si="31"/>
        <v>9250183.6977415308</v>
      </c>
      <c r="J53" s="96">
        <f t="shared" ca="1" si="32"/>
        <v>0.14765847963626247</v>
      </c>
      <c r="L53" s="100">
        <f t="shared" ca="1" si="53"/>
        <v>35947992.235384837</v>
      </c>
      <c r="M53" s="100">
        <f t="shared" ca="1" si="53"/>
        <v>35947992.235384837</v>
      </c>
      <c r="N53" s="100">
        <f t="shared" ca="1" si="53"/>
        <v>20754741.161892831</v>
      </c>
      <c r="O53" s="100">
        <f t="shared" ca="1" si="53"/>
        <v>20682602.911402214</v>
      </c>
      <c r="P53" s="100">
        <f t="shared" si="47"/>
        <v>15194245.144950595</v>
      </c>
      <c r="Q53" s="100">
        <f t="shared" si="47"/>
        <v>15266388.115337931</v>
      </c>
      <c r="R53" s="100">
        <f t="shared" si="54"/>
        <v>3483469</v>
      </c>
      <c r="S53" s="100">
        <f t="shared" si="54"/>
        <v>3483469</v>
      </c>
      <c r="T53" s="100">
        <f t="shared" ca="1" si="54"/>
        <v>39431461.235384837</v>
      </c>
      <c r="U53" s="100">
        <f t="shared" ca="1" si="54"/>
        <v>39431461.235384837</v>
      </c>
      <c r="V53" s="113"/>
      <c r="W53" s="97"/>
      <c r="X53" s="115"/>
      <c r="Y53" s="100">
        <f t="shared" si="55"/>
        <v>39431465</v>
      </c>
      <c r="Z53" s="100">
        <f t="shared" si="55"/>
        <v>39431465</v>
      </c>
      <c r="AA53" s="115"/>
      <c r="AB53" s="100">
        <f t="shared" ca="1" si="37"/>
        <v>-3.7646151632070541</v>
      </c>
      <c r="AC53" s="100">
        <f t="shared" ca="1" si="34"/>
        <v>-3.7646151632070541</v>
      </c>
      <c r="AE53" s="120">
        <f t="shared" ca="1" si="35"/>
        <v>-9.5472372700933021E-8</v>
      </c>
      <c r="AF53" s="120">
        <f t="shared" ca="1" si="36"/>
        <v>-9.5472372700933021E-8</v>
      </c>
    </row>
    <row r="54" spans="1:32" ht="19.95" customHeight="1" outlineLevel="1">
      <c r="A54" s="117">
        <v>3644</v>
      </c>
      <c r="B54" s="118" t="s">
        <v>103</v>
      </c>
      <c r="C54" s="100">
        <f>C195+C235+C276+C326+C377+C408</f>
        <v>365117139</v>
      </c>
      <c r="D54" s="119">
        <v>15141820</v>
      </c>
      <c r="E54" s="100">
        <f>E195+E235+E276+E326+E377+E408</f>
        <v>274783119.42449802</v>
      </c>
      <c r="F54" s="100">
        <f>F195+F235+F276+F326+F377+F408</f>
        <v>75192199.575501978</v>
      </c>
      <c r="G54" s="100">
        <f>G195+G235+G276+G326+G377+G408</f>
        <v>349975319</v>
      </c>
      <c r="H54" s="100">
        <f ca="1">H195+H235+H276+H326+H377+H408</f>
        <v>486172166.77329338</v>
      </c>
      <c r="I54" s="100">
        <f t="shared" ca="1" si="31"/>
        <v>136196847.77329338</v>
      </c>
      <c r="J54" s="96">
        <f t="shared" ca="1" si="32"/>
        <v>0.38916129332335397</v>
      </c>
      <c r="L54" s="100">
        <f ca="1">L195+L235+L276+L326+L377+L408</f>
        <v>243086083.38664669</v>
      </c>
      <c r="M54" s="100">
        <f ca="1">M195+M235+M276+M326+M377+M408</f>
        <v>243086083.38664669</v>
      </c>
      <c r="N54" s="100">
        <f ca="1">N195+N235+N276+N326+N377+N408</f>
        <v>206182141.91981274</v>
      </c>
      <c r="O54" s="100">
        <f ca="1">O195+O235+O276+O326+O377+O408</f>
        <v>206057620.62735295</v>
      </c>
      <c r="P54" s="100">
        <f t="shared" si="47"/>
        <v>36906356.035957098</v>
      </c>
      <c r="Q54" s="100">
        <f t="shared" si="47"/>
        <v>37030885.475656845</v>
      </c>
      <c r="R54" s="100">
        <f>R195+R235+R276+R326+R377+R408</f>
        <v>8468847</v>
      </c>
      <c r="S54" s="100">
        <f>S195+S235+S276+S326+S377+S408</f>
        <v>8468847</v>
      </c>
      <c r="T54" s="100">
        <f ca="1">T195+T235+T276+T326+T377+T408</f>
        <v>251554930.38664669</v>
      </c>
      <c r="U54" s="100">
        <f ca="1">U195+U235+U276+U326+U377+U408</f>
        <v>251554930.38664669</v>
      </c>
      <c r="V54" s="113"/>
      <c r="W54" s="97"/>
      <c r="X54" s="115"/>
      <c r="Y54" s="100">
        <f>Y195+Y235+Y276+Y326+Y377+Y408</f>
        <v>251553852.00055563</v>
      </c>
      <c r="Z54" s="100">
        <f>Z195+Z235+Z276+Z326+Z377+Z408</f>
        <v>251553852.00055563</v>
      </c>
      <c r="AA54" s="115"/>
      <c r="AB54" s="100">
        <f t="shared" ca="1" si="37"/>
        <v>1078.3860910534859</v>
      </c>
      <c r="AC54" s="100">
        <f t="shared" ca="1" si="34"/>
        <v>1078.3860910534859</v>
      </c>
      <c r="AE54" s="120">
        <f t="shared" ca="1" si="35"/>
        <v>4.2868811571133886E-6</v>
      </c>
      <c r="AF54" s="120">
        <f t="shared" ca="1" si="36"/>
        <v>4.2868811571133886E-6</v>
      </c>
    </row>
    <row r="55" spans="1:32" ht="19.95" customHeight="1" outlineLevel="1">
      <c r="A55" s="117">
        <v>3541</v>
      </c>
      <c r="B55" s="118" t="s">
        <v>104</v>
      </c>
      <c r="C55" s="100">
        <f>C196+C236+C277+C327+C378+C435</f>
        <v>53162638.414944388</v>
      </c>
      <c r="D55" s="119">
        <v>2499722</v>
      </c>
      <c r="E55" s="100">
        <f t="shared" ref="E55:H58" si="56">E196+E236+E277+E327+E378+E435</f>
        <v>39037899.954338305</v>
      </c>
      <c r="F55" s="100">
        <f t="shared" si="56"/>
        <v>11625016.460606085</v>
      </c>
      <c r="G55" s="100">
        <f t="shared" si="56"/>
        <v>50662916.414944388</v>
      </c>
      <c r="H55" s="100">
        <f t="shared" ca="1" si="56"/>
        <v>53180385.223475747</v>
      </c>
      <c r="I55" s="100">
        <f t="shared" ca="1" si="31"/>
        <v>2517468.8085313588</v>
      </c>
      <c r="J55" s="96">
        <f t="shared" ca="1" si="32"/>
        <v>4.969056238122059E-2</v>
      </c>
      <c r="L55" s="100">
        <f t="shared" ref="L55:O58" ca="1" si="57">L196+L236+L277+L327+L378+L435</f>
        <v>26590192.611737873</v>
      </c>
      <c r="M55" s="100">
        <f t="shared" ca="1" si="57"/>
        <v>26590192.611737873</v>
      </c>
      <c r="N55" s="100">
        <f t="shared" ca="1" si="57"/>
        <v>21002442.695786454</v>
      </c>
      <c r="O55" s="100">
        <f t="shared" ca="1" si="57"/>
        <v>20998720.547602192</v>
      </c>
      <c r="P55" s="100">
        <f t="shared" si="47"/>
        <v>5588115.5139845423</v>
      </c>
      <c r="Q55" s="100">
        <f t="shared" si="47"/>
        <v>5591837.9057033341</v>
      </c>
      <c r="R55" s="100">
        <f t="shared" ref="R55:U58" si="58">R196+R236+R277+R327+R378+R435</f>
        <v>1324655</v>
      </c>
      <c r="S55" s="100">
        <f t="shared" si="58"/>
        <v>1324655</v>
      </c>
      <c r="T55" s="100">
        <f t="shared" ca="1" si="58"/>
        <v>27914847.611737873</v>
      </c>
      <c r="U55" s="100">
        <f t="shared" ca="1" si="58"/>
        <v>27914847.611737873</v>
      </c>
      <c r="V55" s="113"/>
      <c r="W55" s="97"/>
      <c r="X55" s="115"/>
      <c r="Y55" s="100">
        <f t="shared" ref="Y55:Z58" si="59">Y196+Y236+Y277+Y327+Y378+Y435</f>
        <v>27914904.5</v>
      </c>
      <c r="Z55" s="100">
        <f t="shared" si="59"/>
        <v>27914904.5</v>
      </c>
      <c r="AA55" s="115"/>
      <c r="AB55" s="100">
        <f t="shared" ca="1" si="37"/>
        <v>-56.888262126594782</v>
      </c>
      <c r="AC55" s="100">
        <f t="shared" ca="1" si="34"/>
        <v>-56.888262126594782</v>
      </c>
      <c r="AE55" s="120">
        <f t="shared" ca="1" si="35"/>
        <v>-2.0379212853977366E-6</v>
      </c>
      <c r="AF55" s="120">
        <f t="shared" ca="1" si="36"/>
        <v>-2.0379212853977366E-6</v>
      </c>
    </row>
    <row r="56" spans="1:32" ht="19.95" customHeight="1" outlineLevel="1">
      <c r="A56" s="117">
        <v>3646</v>
      </c>
      <c r="B56" s="118" t="s">
        <v>105</v>
      </c>
      <c r="C56" s="100">
        <f>C197+C237+C278+C328+C379+C436</f>
        <v>131864758.17859797</v>
      </c>
      <c r="D56" s="119">
        <v>10618092</v>
      </c>
      <c r="E56" s="100">
        <f t="shared" si="56"/>
        <v>99198945.000255778</v>
      </c>
      <c r="F56" s="100">
        <f t="shared" si="56"/>
        <v>22047721.178342178</v>
      </c>
      <c r="G56" s="100">
        <f t="shared" si="56"/>
        <v>121246666.17859797</v>
      </c>
      <c r="H56" s="100">
        <f t="shared" ca="1" si="56"/>
        <v>127351513.2849398</v>
      </c>
      <c r="I56" s="100">
        <f t="shared" ca="1" si="31"/>
        <v>6104847.1063418239</v>
      </c>
      <c r="J56" s="96">
        <f t="shared" ca="1" si="32"/>
        <v>5.035063889797433E-2</v>
      </c>
      <c r="L56" s="100">
        <f t="shared" ca="1" si="57"/>
        <v>63675756.642469898</v>
      </c>
      <c r="M56" s="100">
        <f t="shared" ca="1" si="57"/>
        <v>63675756.642469898</v>
      </c>
      <c r="N56" s="100">
        <f t="shared" ca="1" si="57"/>
        <v>54332345.499537468</v>
      </c>
      <c r="O56" s="100">
        <f t="shared" ca="1" si="57"/>
        <v>54312508.693989307</v>
      </c>
      <c r="P56" s="100">
        <f t="shared" si="47"/>
        <v>9344022.4682043046</v>
      </c>
      <c r="Q56" s="100">
        <f t="shared" si="47"/>
        <v>9363860.5716446694</v>
      </c>
      <c r="R56" s="100">
        <f t="shared" si="58"/>
        <v>6183085</v>
      </c>
      <c r="S56" s="100">
        <f t="shared" si="58"/>
        <v>6183085</v>
      </c>
      <c r="T56" s="100">
        <f t="shared" ca="1" si="58"/>
        <v>69858841.642469898</v>
      </c>
      <c r="U56" s="100">
        <f t="shared" ca="1" si="58"/>
        <v>69858841.642469898</v>
      </c>
      <c r="V56" s="113"/>
      <c r="W56" s="97"/>
      <c r="X56" s="115"/>
      <c r="Y56" s="100">
        <f t="shared" si="59"/>
        <v>69858570</v>
      </c>
      <c r="Z56" s="100">
        <f t="shared" si="59"/>
        <v>69858570</v>
      </c>
      <c r="AA56" s="115"/>
      <c r="AB56" s="100">
        <f t="shared" ca="1" si="37"/>
        <v>271.64246989786625</v>
      </c>
      <c r="AC56" s="100">
        <f t="shared" ca="1" si="34"/>
        <v>271.64246989786625</v>
      </c>
      <c r="AE56" s="120">
        <f t="shared" ca="1" si="35"/>
        <v>3.8884479546354839E-6</v>
      </c>
      <c r="AF56" s="120">
        <f t="shared" ca="1" si="36"/>
        <v>3.8884479546354839E-6</v>
      </c>
    </row>
    <row r="57" spans="1:32" ht="19.95" customHeight="1" outlineLevel="1">
      <c r="A57" s="117">
        <v>3581</v>
      </c>
      <c r="B57" s="118" t="s">
        <v>33</v>
      </c>
      <c r="C57" s="100">
        <f>C198+C238+C279+C329+C380+C437</f>
        <v>107659357.32288714</v>
      </c>
      <c r="D57" s="119">
        <v>0</v>
      </c>
      <c r="E57" s="100">
        <f t="shared" si="56"/>
        <v>82349414.042771086</v>
      </c>
      <c r="F57" s="100">
        <f t="shared" si="56"/>
        <v>25309943.280116051</v>
      </c>
      <c r="G57" s="100">
        <f t="shared" si="56"/>
        <v>107659357.32288714</v>
      </c>
      <c r="H57" s="100">
        <f t="shared" ca="1" si="56"/>
        <v>131690522.27470447</v>
      </c>
      <c r="I57" s="100">
        <f t="shared" ca="1" si="31"/>
        <v>24031164.951817334</v>
      </c>
      <c r="J57" s="96">
        <f t="shared" ca="1" si="32"/>
        <v>0.22321482822662722</v>
      </c>
      <c r="L57" s="100">
        <f t="shared" ca="1" si="57"/>
        <v>65845261.137352236</v>
      </c>
      <c r="M57" s="100">
        <f t="shared" ca="1" si="57"/>
        <v>65845261.137352236</v>
      </c>
      <c r="N57" s="100">
        <f t="shared" ca="1" si="57"/>
        <v>50041920.843845703</v>
      </c>
      <c r="O57" s="100">
        <f t="shared" ca="1" si="57"/>
        <v>50022111.982497014</v>
      </c>
      <c r="P57" s="100">
        <f t="shared" si="47"/>
        <v>15804374.282180868</v>
      </c>
      <c r="Q57" s="100">
        <f t="shared" si="47"/>
        <v>15824184.439593419</v>
      </c>
      <c r="R57" s="100">
        <f t="shared" si="58"/>
        <v>0</v>
      </c>
      <c r="S57" s="100">
        <f t="shared" si="58"/>
        <v>0</v>
      </c>
      <c r="T57" s="100">
        <f t="shared" ca="1" si="58"/>
        <v>65845261.137352236</v>
      </c>
      <c r="U57" s="100">
        <f t="shared" ca="1" si="58"/>
        <v>65845261.137352236</v>
      </c>
      <c r="V57" s="113"/>
      <c r="W57" s="97"/>
      <c r="X57" s="115"/>
      <c r="Y57" s="100">
        <f t="shared" si="59"/>
        <v>65845437.5</v>
      </c>
      <c r="Z57" s="100">
        <f t="shared" si="59"/>
        <v>65845437.5</v>
      </c>
      <c r="AA57" s="115"/>
      <c r="AB57" s="100">
        <f t="shared" ca="1" si="37"/>
        <v>-176.36264776438475</v>
      </c>
      <c r="AC57" s="100">
        <f t="shared" ca="1" si="34"/>
        <v>-176.36264776438475</v>
      </c>
      <c r="AE57" s="120">
        <f t="shared" ca="1" si="35"/>
        <v>-2.6784410103028507E-6</v>
      </c>
      <c r="AF57" s="120">
        <f t="shared" ca="1" si="36"/>
        <v>-2.6784410103028507E-6</v>
      </c>
    </row>
    <row r="58" spans="1:32" ht="19.95" customHeight="1" outlineLevel="1">
      <c r="A58" s="117">
        <v>3606</v>
      </c>
      <c r="B58" s="118" t="s">
        <v>106</v>
      </c>
      <c r="C58" s="100">
        <f>C199+C239+C280+C330+C381+C438</f>
        <v>137846100.33189619</v>
      </c>
      <c r="D58" s="119">
        <v>4428000</v>
      </c>
      <c r="E58" s="100">
        <f t="shared" si="56"/>
        <v>100537870.96642177</v>
      </c>
      <c r="F58" s="100">
        <f t="shared" si="56"/>
        <v>32880229.365474422</v>
      </c>
      <c r="G58" s="100">
        <f t="shared" si="56"/>
        <v>133418100.33189619</v>
      </c>
      <c r="H58" s="100">
        <f t="shared" ca="1" si="56"/>
        <v>141589593.07500628</v>
      </c>
      <c r="I58" s="100">
        <f t="shared" ca="1" si="31"/>
        <v>8171492.7431100905</v>
      </c>
      <c r="J58" s="96">
        <f t="shared" ca="1" si="32"/>
        <v>6.1247257476926741E-2</v>
      </c>
      <c r="L58" s="100">
        <f t="shared" ca="1" si="57"/>
        <v>70794796.537503138</v>
      </c>
      <c r="M58" s="100">
        <f t="shared" ca="1" si="57"/>
        <v>70794796.537503138</v>
      </c>
      <c r="N58" s="100">
        <f t="shared" ca="1" si="57"/>
        <v>54954409.929025136</v>
      </c>
      <c r="O58" s="100">
        <f t="shared" ca="1" si="57"/>
        <v>54918872.015172154</v>
      </c>
      <c r="P58" s="100">
        <f t="shared" si="47"/>
        <v>15841423.021036752</v>
      </c>
      <c r="Q58" s="100">
        <f t="shared" si="47"/>
        <v>15876963.260081723</v>
      </c>
      <c r="R58" s="100">
        <f t="shared" si="58"/>
        <v>2435650</v>
      </c>
      <c r="S58" s="100">
        <f t="shared" si="58"/>
        <v>2435650</v>
      </c>
      <c r="T58" s="100">
        <f t="shared" ca="1" si="58"/>
        <v>73230446.537503153</v>
      </c>
      <c r="U58" s="100">
        <f t="shared" ca="1" si="58"/>
        <v>73230446.537503153</v>
      </c>
      <c r="V58" s="113"/>
      <c r="W58" s="97"/>
      <c r="X58" s="115"/>
      <c r="Y58" s="100">
        <f t="shared" si="59"/>
        <v>73230275</v>
      </c>
      <c r="Z58" s="100">
        <f t="shared" si="59"/>
        <v>73230275</v>
      </c>
      <c r="AA58" s="115"/>
      <c r="AB58" s="100">
        <f t="shared" ca="1" si="37"/>
        <v>171.53750315308571</v>
      </c>
      <c r="AC58" s="100">
        <f t="shared" ca="1" si="34"/>
        <v>171.53750315308571</v>
      </c>
      <c r="AE58" s="120">
        <f t="shared" ca="1" si="35"/>
        <v>2.3424342095911846E-6</v>
      </c>
      <c r="AF58" s="120">
        <f t="shared" ca="1" si="36"/>
        <v>2.3424342095911846E-6</v>
      </c>
    </row>
    <row r="59" spans="1:32" ht="19.95" customHeight="1" outlineLevel="1">
      <c r="A59" s="117">
        <v>3615</v>
      </c>
      <c r="B59" s="118" t="s">
        <v>203</v>
      </c>
      <c r="C59" s="100">
        <f>C200+C240+C281+C331+C382+C409</f>
        <v>236696384</v>
      </c>
      <c r="D59" s="119">
        <v>6193672</v>
      </c>
      <c r="E59" s="100">
        <f>E200+E240+E281+E331+E382+E409</f>
        <v>172231186.13250005</v>
      </c>
      <c r="F59" s="100">
        <f>F200+F240+F281+F331+F382+F409</f>
        <v>58271525.867499948</v>
      </c>
      <c r="G59" s="100">
        <f>G200+G240+G281+G331+G382+G409</f>
        <v>230502712</v>
      </c>
      <c r="H59" s="100">
        <f ca="1">H200+H240+H281+H331+H382+H409</f>
        <v>282515733.04374051</v>
      </c>
      <c r="I59" s="100">
        <f t="shared" ca="1" si="31"/>
        <v>52013021.043740511</v>
      </c>
      <c r="J59" s="96">
        <f t="shared" ca="1" si="32"/>
        <v>0.22565036477202277</v>
      </c>
      <c r="L59" s="100">
        <f ca="1">L200+L240+L281+L331+L382+L409</f>
        <v>141257866.52187026</v>
      </c>
      <c r="M59" s="100">
        <f ca="1">M200+M240+M281+M331+M382+M409</f>
        <v>141257866.52187026</v>
      </c>
      <c r="N59" s="100">
        <f ca="1">N200+N240+N281+N331+N382+N409</f>
        <v>112353982.98320688</v>
      </c>
      <c r="O59" s="100">
        <f ca="1">O200+O240+O281+O331+O382+O409</f>
        <v>112296523.15916745</v>
      </c>
      <c r="P59" s="100">
        <f t="shared" si="47"/>
        <v>28905774.676085465</v>
      </c>
      <c r="Q59" s="100">
        <f t="shared" si="47"/>
        <v>28963238.259634353</v>
      </c>
      <c r="R59" s="100">
        <f>R200+R240+R281+R331+R382+R409</f>
        <v>3520007</v>
      </c>
      <c r="S59" s="100">
        <f>S200+S240+S281+S331+S382+S409</f>
        <v>3520007</v>
      </c>
      <c r="T59" s="100">
        <f ca="1">T200+T240+T281+T331+T382+T409</f>
        <v>144777873.52187026</v>
      </c>
      <c r="U59" s="100">
        <f ca="1">U200+U240+U281+U331+U382+U409</f>
        <v>144777873.52187026</v>
      </c>
      <c r="V59" s="113"/>
      <c r="W59" s="97"/>
      <c r="X59" s="115"/>
      <c r="Y59" s="100">
        <f>Y200+Y240+Y281+Y331+Y382+Y409</f>
        <v>144777409.21073991</v>
      </c>
      <c r="Z59" s="100">
        <f>Z200+Z240+Z281+Z331+Z382+Z409</f>
        <v>144777409.21073991</v>
      </c>
      <c r="AA59" s="115"/>
      <c r="AB59" s="100">
        <f t="shared" ca="1" si="37"/>
        <v>464.31113034486771</v>
      </c>
      <c r="AC59" s="100">
        <f t="shared" ca="1" si="34"/>
        <v>464.31113034486771</v>
      </c>
      <c r="AE59" s="120">
        <f t="shared" ca="1" si="35"/>
        <v>3.2070586412828374E-6</v>
      </c>
      <c r="AF59" s="120">
        <f t="shared" ca="1" si="36"/>
        <v>3.2070586412828374E-6</v>
      </c>
    </row>
    <row r="60" spans="1:32" ht="19.95" customHeight="1" outlineLevel="1">
      <c r="A60" s="117">
        <v>3625</v>
      </c>
      <c r="B60" s="118" t="s">
        <v>107</v>
      </c>
      <c r="C60" s="100">
        <f>C201+C241+C282+C332+C383+C439</f>
        <v>13589932.124289054</v>
      </c>
      <c r="D60" s="119">
        <v>148184</v>
      </c>
      <c r="E60" s="100">
        <f>E201+E241+E282+E332+E383+E439</f>
        <v>11485338.792913381</v>
      </c>
      <c r="F60" s="100">
        <f>F201+F241+F282+F332+F383+F439</f>
        <v>1956409.3313756748</v>
      </c>
      <c r="G60" s="100">
        <f>G201+G241+G282+G332+G383+G439</f>
        <v>13441748.124289054</v>
      </c>
      <c r="H60" s="100">
        <f ca="1">H201+H241+H282+H332+H383+H439</f>
        <v>13061215.946340196</v>
      </c>
      <c r="I60" s="100">
        <f t="shared" ca="1" si="31"/>
        <v>-380532.17794885859</v>
      </c>
      <c r="J60" s="96">
        <f t="shared" ca="1" si="32"/>
        <v>-2.8309723886377706E-2</v>
      </c>
      <c r="L60" s="100">
        <f ca="1">L201+L241+L282+L332+L383+L439</f>
        <v>6530607.9731700979</v>
      </c>
      <c r="M60" s="100">
        <f ca="1">M201+M241+M282+M332+M383+M439</f>
        <v>6530607.9731700979</v>
      </c>
      <c r="N60" s="100">
        <f ca="1">N201+N241+N282+N332+N383+N439</f>
        <v>5500704.2812518291</v>
      </c>
      <c r="O60" s="100">
        <f ca="1">O201+O241+O282+O332+O383+O439</f>
        <v>5498725.3835667353</v>
      </c>
      <c r="P60" s="100">
        <f t="shared" si="47"/>
        <v>1029971.076960501</v>
      </c>
      <c r="Q60" s="100">
        <f t="shared" si="47"/>
        <v>1031950.1041218811</v>
      </c>
      <c r="R60" s="100">
        <f>R201+R241+R282+R332+R383+R439</f>
        <v>69508</v>
      </c>
      <c r="S60" s="100">
        <f>S201+S241+S282+S332+S383+S439</f>
        <v>69508</v>
      </c>
      <c r="T60" s="100">
        <f ca="1">T201+T241+T282+T332+T383+T439</f>
        <v>6600115.9731700979</v>
      </c>
      <c r="U60" s="100">
        <f ca="1">U201+U241+U282+U332+U383+U439</f>
        <v>6600115.9731700979</v>
      </c>
      <c r="V60" s="113"/>
      <c r="W60" s="97"/>
      <c r="X60" s="115"/>
      <c r="Y60" s="100">
        <f>Y201+Y241+Y282+Y332+Y383+Y439</f>
        <v>6600117.5</v>
      </c>
      <c r="Z60" s="100">
        <f>Z201+Z241+Z282+Z332+Z383+Z439</f>
        <v>6600117.5</v>
      </c>
      <c r="AA60" s="115"/>
      <c r="AB60" s="100">
        <f t="shared" ca="1" si="37"/>
        <v>-1.5268299020826817</v>
      </c>
      <c r="AC60" s="100">
        <f t="shared" ca="1" si="34"/>
        <v>-1.5268299020826817</v>
      </c>
      <c r="AE60" s="120">
        <f t="shared" ca="1" si="35"/>
        <v>-2.3133379902555423E-7</v>
      </c>
      <c r="AF60" s="120">
        <f t="shared" ca="1" si="36"/>
        <v>-2.3133379902555423E-7</v>
      </c>
    </row>
    <row r="61" spans="1:32" ht="19.95" customHeight="1" outlineLevel="1" thickBot="1">
      <c r="A61" s="122">
        <v>20</v>
      </c>
      <c r="B61" s="123" t="s">
        <v>205</v>
      </c>
      <c r="C61" s="124">
        <f>C202+C242+C283+C333+C384</f>
        <v>7567665.9898909284</v>
      </c>
      <c r="D61" s="125">
        <v>29066</v>
      </c>
      <c r="E61" s="124">
        <f>E202+E242+E283+E333+E384</f>
        <v>6161278.1604831005</v>
      </c>
      <c r="F61" s="124">
        <f>F202+F242+F283+F333+F384</f>
        <v>1377321.8294078279</v>
      </c>
      <c r="G61" s="124">
        <f>G202+G242+G283+G333+G384</f>
        <v>7538599.9898909284</v>
      </c>
      <c r="H61" s="124">
        <f ca="1">H202+H242+H283+H333+H384</f>
        <v>6998755.8170391489</v>
      </c>
      <c r="I61" s="124">
        <f t="shared" ca="1" si="31"/>
        <v>-539844.1728517795</v>
      </c>
      <c r="J61" s="126">
        <f t="shared" ca="1" si="32"/>
        <v>-7.1610666911057344E-2</v>
      </c>
      <c r="L61" s="124">
        <f t="shared" ref="L61:U61" ca="1" si="60">L202+L242+L283+L333+L384</f>
        <v>3499377.9085195744</v>
      </c>
      <c r="M61" s="124">
        <f t="shared" ca="1" si="60"/>
        <v>3499377.9085195744</v>
      </c>
      <c r="N61" s="124">
        <f t="shared" ca="1" si="60"/>
        <v>3080854.2032047966</v>
      </c>
      <c r="O61" s="124">
        <f t="shared" ca="1" si="60"/>
        <v>3080837.2789721284</v>
      </c>
      <c r="P61" s="124">
        <f t="shared" si="47"/>
        <v>418551.08868836798</v>
      </c>
      <c r="Q61" s="124">
        <f t="shared" si="47"/>
        <v>418568.01402836316</v>
      </c>
      <c r="R61" s="124">
        <f t="shared" si="60"/>
        <v>20443</v>
      </c>
      <c r="S61" s="124">
        <f t="shared" si="60"/>
        <v>20443</v>
      </c>
      <c r="T61" s="124">
        <f t="shared" ca="1" si="60"/>
        <v>3519820.9085195744</v>
      </c>
      <c r="U61" s="124">
        <f t="shared" ca="1" si="60"/>
        <v>3519820.9085195744</v>
      </c>
      <c r="V61" s="113"/>
      <c r="W61" s="97"/>
      <c r="X61" s="115"/>
      <c r="Y61" s="124">
        <f>Y202+Y242+Y283+Y333+Y384</f>
        <v>3519809</v>
      </c>
      <c r="Z61" s="124">
        <f>Z202+Z242+Z283+Z333+Z384</f>
        <v>3519809</v>
      </c>
      <c r="AA61" s="115"/>
      <c r="AB61" s="124">
        <f t="shared" ca="1" si="37"/>
        <v>11.908519574441016</v>
      </c>
      <c r="AC61" s="124">
        <f t="shared" ca="1" si="34"/>
        <v>11.908519574441016</v>
      </c>
      <c r="AE61" s="127">
        <f t="shared" ca="1" si="35"/>
        <v>3.383274286943679E-6</v>
      </c>
      <c r="AF61" s="127">
        <f t="shared" ca="1" si="36"/>
        <v>3.383274286943679E-6</v>
      </c>
    </row>
    <row r="62" spans="1:32" s="105" customFormat="1" ht="19.95" customHeight="1" outlineLevel="1" thickBot="1">
      <c r="B62" s="128" t="s">
        <v>1</v>
      </c>
      <c r="C62" s="129">
        <f>C203+C243+C284+C334+C385</f>
        <v>5474364100.2599449</v>
      </c>
      <c r="D62" s="129">
        <f>D203+D243+D284+D334</f>
        <v>224089812</v>
      </c>
      <c r="E62" s="129">
        <f>E203+E243+E385+E284+E334</f>
        <v>3918089434.9286842</v>
      </c>
      <c r="F62" s="129">
        <f>F203+F243+F385+F284+F334</f>
        <v>1332184853.3312621</v>
      </c>
      <c r="G62" s="129">
        <f>SUM(G25:G61)</f>
        <v>5469013411.5116367</v>
      </c>
      <c r="H62" s="129">
        <f ca="1">SUM(H25:H61)</f>
        <v>6181545188.0958958</v>
      </c>
      <c r="I62" s="129">
        <f t="shared" ca="1" si="31"/>
        <v>712531776.58425903</v>
      </c>
      <c r="J62" s="130">
        <f t="shared" ca="1" si="32"/>
        <v>0.13028524945366976</v>
      </c>
      <c r="L62" s="129">
        <f t="shared" ref="L62:U62" ca="1" si="61">SUM(L25:L61)</f>
        <v>3090772594.0479479</v>
      </c>
      <c r="M62" s="129">
        <f t="shared" ca="1" si="61"/>
        <v>3090772594.0479479</v>
      </c>
      <c r="N62" s="129">
        <f t="shared" ca="1" si="61"/>
        <v>2433592132.1007857</v>
      </c>
      <c r="O62" s="129">
        <f t="shared" ca="1" si="61"/>
        <v>2431153903.4894581</v>
      </c>
      <c r="P62" s="129">
        <f t="shared" si="61"/>
        <v>657223460.27169454</v>
      </c>
      <c r="Q62" s="129">
        <f t="shared" si="61"/>
        <v>659661848.41263616</v>
      </c>
      <c r="R62" s="129">
        <f t="shared" si="61"/>
        <v>125853787</v>
      </c>
      <c r="S62" s="129">
        <f t="shared" si="61"/>
        <v>125853787</v>
      </c>
      <c r="T62" s="129">
        <f t="shared" ca="1" si="61"/>
        <v>3216626381.0479474</v>
      </c>
      <c r="U62" s="129">
        <f t="shared" ca="1" si="61"/>
        <v>3216626381.0479474</v>
      </c>
      <c r="V62" s="113"/>
      <c r="W62" s="131"/>
      <c r="X62" s="115"/>
      <c r="Y62" s="131">
        <f>SUM(Y25:Y61)</f>
        <v>3216626001.6742792</v>
      </c>
      <c r="Z62" s="131">
        <f>SUM(Z25:Z61)</f>
        <v>3216626001.6742792</v>
      </c>
      <c r="AA62" s="115"/>
      <c r="AB62" s="131">
        <f ca="1">SUM(AB25:AB61)</f>
        <v>379.37366818636656</v>
      </c>
      <c r="AC62" s="131">
        <f ca="1">SUM(AC25:AC61)</f>
        <v>379.37366818636656</v>
      </c>
      <c r="AD62" s="79"/>
      <c r="AE62" s="130">
        <f t="shared" ca="1" si="35"/>
        <v>1.1794147757464145E-7</v>
      </c>
      <c r="AF62" s="130">
        <f t="shared" ca="1" si="36"/>
        <v>1.1794147757464145E-7</v>
      </c>
    </row>
    <row r="63" spans="1:32" ht="19.95" customHeight="1" outlineLevel="1">
      <c r="A63" s="107">
        <v>9225</v>
      </c>
      <c r="B63" s="108" t="s">
        <v>108</v>
      </c>
      <c r="C63" s="109">
        <f t="shared" ref="C63:C72" si="62">C285+C335</f>
        <v>6042676.3316027839</v>
      </c>
      <c r="D63" s="132">
        <f>0</f>
        <v>0</v>
      </c>
      <c r="E63" s="109">
        <f t="shared" ref="E63:H71" si="63">E285+E335</f>
        <v>5713679.7456738697</v>
      </c>
      <c r="F63" s="109">
        <f t="shared" si="63"/>
        <v>328996.58592891414</v>
      </c>
      <c r="G63" s="109">
        <f t="shared" si="63"/>
        <v>6042676.3316027839</v>
      </c>
      <c r="H63" s="109">
        <f t="shared" si="63"/>
        <v>5610894.5001281481</v>
      </c>
      <c r="I63" s="109">
        <f t="shared" si="31"/>
        <v>-431781.83147463575</v>
      </c>
      <c r="J63" s="112">
        <f t="shared" si="32"/>
        <v>-7.1455396215158229E-2</v>
      </c>
      <c r="L63" s="109">
        <f t="shared" ref="L63:O71" si="64">L285+L335</f>
        <v>2805447.2500640741</v>
      </c>
      <c r="M63" s="109">
        <f t="shared" si="64"/>
        <v>2805447.2500640741</v>
      </c>
      <c r="N63" s="109">
        <f t="shared" si="64"/>
        <v>2630904.3898196453</v>
      </c>
      <c r="O63" s="109">
        <f t="shared" si="64"/>
        <v>2624940.7898196457</v>
      </c>
      <c r="P63" s="109">
        <f t="shared" ref="P63:Q66" si="65">(P481-P531-P581-P631)*0.1</f>
        <v>174542.86024442848</v>
      </c>
      <c r="Q63" s="109">
        <f t="shared" si="65"/>
        <v>180506.46024442848</v>
      </c>
      <c r="R63" s="109">
        <f t="shared" ref="R63:S66" si="66">R481</f>
        <v>0</v>
      </c>
      <c r="S63" s="109">
        <f t="shared" si="66"/>
        <v>0</v>
      </c>
      <c r="T63" s="109">
        <f t="shared" ref="T63:U71" si="67">T285+T335</f>
        <v>2805447.2500640741</v>
      </c>
      <c r="U63" s="109">
        <f t="shared" si="67"/>
        <v>2805447.2500640741</v>
      </c>
      <c r="V63" s="113"/>
      <c r="W63" s="97"/>
      <c r="Y63" s="111">
        <f t="shared" ref="Y63:Z71" si="68">Y285+Y335</f>
        <v>2805571.1221000003</v>
      </c>
      <c r="Z63" s="111">
        <f t="shared" si="68"/>
        <v>2805571.1221000003</v>
      </c>
      <c r="AA63" s="115"/>
      <c r="AB63" s="111">
        <f t="shared" ref="AB63:AB71" si="69">T63-Y63</f>
        <v>-123.8720359262079</v>
      </c>
      <c r="AC63" s="111">
        <f t="shared" ref="AC63:AC71" si="70">U63-Z63</f>
        <v>-123.8720359262079</v>
      </c>
      <c r="AE63" s="116">
        <f t="shared" si="35"/>
        <v>-4.4154113367620356E-5</v>
      </c>
      <c r="AF63" s="116">
        <f t="shared" si="36"/>
        <v>-4.4154113367620356E-5</v>
      </c>
    </row>
    <row r="64" spans="1:32" ht="19.95" customHeight="1" outlineLevel="1">
      <c r="A64" s="117">
        <v>9932</v>
      </c>
      <c r="B64" s="118" t="s">
        <v>204</v>
      </c>
      <c r="C64" s="100">
        <f t="shared" si="62"/>
        <v>3552238.3316027839</v>
      </c>
      <c r="D64" s="119">
        <f>0</f>
        <v>0</v>
      </c>
      <c r="E64" s="100">
        <f t="shared" si="63"/>
        <v>3449763.2968513304</v>
      </c>
      <c r="F64" s="100">
        <f t="shared" si="63"/>
        <v>102475.03475145344</v>
      </c>
      <c r="G64" s="100">
        <f t="shared" si="63"/>
        <v>3552238.3316027839</v>
      </c>
      <c r="H64" s="100">
        <f t="shared" si="63"/>
        <v>4189360.0933000725</v>
      </c>
      <c r="I64" s="100">
        <f t="shared" si="31"/>
        <v>637121.7616972886</v>
      </c>
      <c r="J64" s="96">
        <f t="shared" si="32"/>
        <v>0.17935783081587794</v>
      </c>
      <c r="L64" s="100">
        <f t="shared" si="64"/>
        <v>2094680.0466500362</v>
      </c>
      <c r="M64" s="100">
        <f t="shared" si="64"/>
        <v>2094680.0466500362</v>
      </c>
      <c r="N64" s="100">
        <f t="shared" si="64"/>
        <v>2033297.1200504676</v>
      </c>
      <c r="O64" s="100">
        <f t="shared" si="64"/>
        <v>2031125.0200504677</v>
      </c>
      <c r="P64" s="100">
        <f t="shared" si="65"/>
        <v>61382.926599568658</v>
      </c>
      <c r="Q64" s="100">
        <f t="shared" si="65"/>
        <v>63555.026599568657</v>
      </c>
      <c r="R64" s="100">
        <f t="shared" si="66"/>
        <v>0</v>
      </c>
      <c r="S64" s="100">
        <f t="shared" si="66"/>
        <v>0</v>
      </c>
      <c r="T64" s="100">
        <f t="shared" si="67"/>
        <v>2094680.0466500362</v>
      </c>
      <c r="U64" s="100">
        <f t="shared" si="67"/>
        <v>2094680.0466500362</v>
      </c>
      <c r="V64" s="113"/>
      <c r="W64" s="97"/>
      <c r="Y64" s="100">
        <f t="shared" si="68"/>
        <v>2094636.5</v>
      </c>
      <c r="Z64" s="100">
        <f t="shared" si="68"/>
        <v>2094636.5</v>
      </c>
      <c r="AA64" s="115"/>
      <c r="AB64" s="100">
        <f t="shared" si="69"/>
        <v>43.546650036238134</v>
      </c>
      <c r="AC64" s="100">
        <f t="shared" si="70"/>
        <v>43.546650036238134</v>
      </c>
      <c r="AE64" s="120">
        <f t="shared" si="35"/>
        <v>2.0789165441223869E-5</v>
      </c>
      <c r="AF64" s="120">
        <f t="shared" si="36"/>
        <v>2.0789165441223869E-5</v>
      </c>
    </row>
    <row r="65" spans="1:32" ht="19.95" customHeight="1" outlineLevel="1">
      <c r="A65" s="117">
        <v>33965</v>
      </c>
      <c r="B65" s="118" t="s">
        <v>110</v>
      </c>
      <c r="C65" s="100">
        <f t="shared" si="62"/>
        <v>2549664.3316027839</v>
      </c>
      <c r="D65" s="119">
        <f>0</f>
        <v>0</v>
      </c>
      <c r="E65" s="100">
        <f t="shared" si="63"/>
        <v>2501389.4331242396</v>
      </c>
      <c r="F65" s="100">
        <f t="shared" si="63"/>
        <v>48274.898478543852</v>
      </c>
      <c r="G65" s="100">
        <f t="shared" si="63"/>
        <v>2549664.3316027839</v>
      </c>
      <c r="H65" s="100">
        <f t="shared" si="63"/>
        <v>3368286.7880877168</v>
      </c>
      <c r="I65" s="100">
        <f t="shared" si="31"/>
        <v>818622.45648493292</v>
      </c>
      <c r="J65" s="96">
        <f t="shared" si="32"/>
        <v>0.32107067833918596</v>
      </c>
      <c r="L65" s="100">
        <f t="shared" si="64"/>
        <v>1684143.3940438584</v>
      </c>
      <c r="M65" s="100">
        <f t="shared" si="64"/>
        <v>1684143.3940438584</v>
      </c>
      <c r="N65" s="100">
        <f t="shared" si="64"/>
        <v>1656418.6823975607</v>
      </c>
      <c r="O65" s="100">
        <f t="shared" si="64"/>
        <v>1655439.9823975607</v>
      </c>
      <c r="P65" s="100">
        <f>(P483-P533-P583-P633)*0.1</f>
        <v>27724.711646297626</v>
      </c>
      <c r="Q65" s="100">
        <f t="shared" si="65"/>
        <v>28703.411646297627</v>
      </c>
      <c r="R65" s="100">
        <f t="shared" si="66"/>
        <v>0</v>
      </c>
      <c r="S65" s="100">
        <f t="shared" si="66"/>
        <v>0</v>
      </c>
      <c r="T65" s="100">
        <f t="shared" si="67"/>
        <v>1684143.3940438584</v>
      </c>
      <c r="U65" s="100">
        <f t="shared" si="67"/>
        <v>1684143.3940438584</v>
      </c>
      <c r="V65" s="113"/>
      <c r="W65" s="97"/>
      <c r="Y65" s="100">
        <f t="shared" si="68"/>
        <v>1684152.5</v>
      </c>
      <c r="Z65" s="100">
        <f t="shared" si="68"/>
        <v>1684152.5</v>
      </c>
      <c r="AA65" s="115"/>
      <c r="AB65" s="100">
        <f t="shared" si="69"/>
        <v>-9.1059561416041106</v>
      </c>
      <c r="AC65" s="100">
        <f t="shared" si="70"/>
        <v>-9.1059561416041106</v>
      </c>
      <c r="AE65" s="120">
        <f t="shared" si="35"/>
        <v>-5.4068769760391162E-6</v>
      </c>
      <c r="AF65" s="120">
        <f t="shared" si="36"/>
        <v>-5.4068769760391162E-6</v>
      </c>
    </row>
    <row r="66" spans="1:32" ht="19.95" customHeight="1" outlineLevel="1">
      <c r="A66" s="117">
        <v>3634</v>
      </c>
      <c r="B66" s="118" t="s">
        <v>109</v>
      </c>
      <c r="C66" s="100">
        <f t="shared" si="62"/>
        <v>7593320.3316027839</v>
      </c>
      <c r="D66" s="119">
        <f>0</f>
        <v>0</v>
      </c>
      <c r="E66" s="100">
        <f t="shared" si="63"/>
        <v>7233307.5909980126</v>
      </c>
      <c r="F66" s="100">
        <f t="shared" si="63"/>
        <v>360012.7406047713</v>
      </c>
      <c r="G66" s="100">
        <f t="shared" si="63"/>
        <v>7593320.3316027839</v>
      </c>
      <c r="H66" s="100">
        <f t="shared" si="63"/>
        <v>8341916.9760529194</v>
      </c>
      <c r="I66" s="100">
        <f t="shared" si="31"/>
        <v>748596.64445013553</v>
      </c>
      <c r="J66" s="96">
        <f t="shared" si="32"/>
        <v>9.8586206265332571E-2</v>
      </c>
      <c r="L66" s="100">
        <f t="shared" si="64"/>
        <v>4170958.4880264597</v>
      </c>
      <c r="M66" s="100">
        <f t="shared" si="64"/>
        <v>4170958.4880264597</v>
      </c>
      <c r="N66" s="100">
        <f t="shared" si="64"/>
        <v>3949929.0093780048</v>
      </c>
      <c r="O66" s="100">
        <f t="shared" si="64"/>
        <v>3942352.4093780052</v>
      </c>
      <c r="P66" s="100">
        <f t="shared" si="65"/>
        <v>221029.47864845439</v>
      </c>
      <c r="Q66" s="100">
        <f t="shared" si="65"/>
        <v>228606.07864845439</v>
      </c>
      <c r="R66" s="100">
        <f t="shared" si="66"/>
        <v>0</v>
      </c>
      <c r="S66" s="100">
        <f t="shared" si="66"/>
        <v>0</v>
      </c>
      <c r="T66" s="100">
        <f t="shared" si="67"/>
        <v>4170958.4880264597</v>
      </c>
      <c r="U66" s="100">
        <f t="shared" si="67"/>
        <v>4170958.4880264597</v>
      </c>
      <c r="V66" s="113"/>
      <c r="W66" s="97"/>
      <c r="Y66" s="100">
        <f t="shared" si="68"/>
        <v>4171072.9277999997</v>
      </c>
      <c r="Z66" s="100">
        <f t="shared" si="68"/>
        <v>4171072.9277999997</v>
      </c>
      <c r="AA66" s="115"/>
      <c r="AB66" s="100">
        <f t="shared" si="69"/>
        <v>-114.43977354001254</v>
      </c>
      <c r="AC66" s="100">
        <f t="shared" si="70"/>
        <v>-114.43977354001254</v>
      </c>
      <c r="AE66" s="120">
        <f t="shared" si="35"/>
        <v>-2.7437284228201733E-5</v>
      </c>
      <c r="AF66" s="120">
        <f t="shared" si="36"/>
        <v>-2.7437284228201733E-5</v>
      </c>
    </row>
    <row r="67" spans="1:32" ht="19.95" customHeight="1" outlineLevel="1">
      <c r="A67" s="117">
        <v>203634</v>
      </c>
      <c r="B67" s="118" t="s">
        <v>218</v>
      </c>
      <c r="C67" s="100">
        <f t="shared" si="62"/>
        <v>2399920.3316027839</v>
      </c>
      <c r="D67" s="119">
        <v>0</v>
      </c>
      <c r="E67" s="100">
        <f t="shared" si="63"/>
        <v>2360935.9316027835</v>
      </c>
      <c r="F67" s="100">
        <f t="shared" si="63"/>
        <v>38984.400000000023</v>
      </c>
      <c r="G67" s="100">
        <f t="shared" si="63"/>
        <v>2399920.3316027839</v>
      </c>
      <c r="H67" s="100">
        <f t="shared" si="63"/>
        <v>3486927.8040719517</v>
      </c>
      <c r="I67" s="100">
        <f t="shared" si="31"/>
        <v>1087007.4724691678</v>
      </c>
      <c r="J67" s="96">
        <f t="shared" si="32"/>
        <v>0.45293481544164893</v>
      </c>
      <c r="L67" s="100">
        <f t="shared" si="64"/>
        <v>1743463.9020359758</v>
      </c>
      <c r="M67" s="100">
        <f t="shared" si="64"/>
        <v>1743463.9020359758</v>
      </c>
      <c r="N67" s="100">
        <f t="shared" si="64"/>
        <v>1716328.4020359758</v>
      </c>
      <c r="O67" s="100">
        <f t="shared" si="64"/>
        <v>1715427.5020359759</v>
      </c>
      <c r="P67" s="100">
        <f t="shared" ref="P67:Q69" si="71">(P485-P535-P585-P635)*0.1</f>
        <v>27135.5</v>
      </c>
      <c r="Q67" s="100">
        <f t="shared" si="71"/>
        <v>28036.400000000001</v>
      </c>
      <c r="R67" s="100">
        <f t="shared" ref="R67:S69" si="72">R487</f>
        <v>0</v>
      </c>
      <c r="S67" s="100">
        <f t="shared" si="72"/>
        <v>0</v>
      </c>
      <c r="T67" s="100">
        <f t="shared" si="67"/>
        <v>1743463.9020359758</v>
      </c>
      <c r="U67" s="100">
        <f t="shared" si="67"/>
        <v>1743463.9020359758</v>
      </c>
      <c r="V67" s="113"/>
      <c r="W67" s="97"/>
      <c r="Y67" s="100">
        <f t="shared" si="68"/>
        <v>1743474.5</v>
      </c>
      <c r="Z67" s="100">
        <f t="shared" si="68"/>
        <v>1743474.5</v>
      </c>
      <c r="AA67" s="115"/>
      <c r="AB67" s="100">
        <f t="shared" si="69"/>
        <v>-10.597964024171233</v>
      </c>
      <c r="AC67" s="100">
        <f t="shared" si="70"/>
        <v>-10.597964024171233</v>
      </c>
      <c r="AE67" s="120">
        <f t="shared" ref="AE67:AF72" si="73">IFERROR(AB67/T67,0)</f>
        <v>-6.0786827945191075E-6</v>
      </c>
      <c r="AF67" s="120">
        <f t="shared" si="73"/>
        <v>-6.0786827945191075E-6</v>
      </c>
    </row>
    <row r="68" spans="1:32" ht="19.95" customHeight="1" outlineLevel="1">
      <c r="A68" s="117">
        <v>133965</v>
      </c>
      <c r="B68" s="118" t="s">
        <v>219</v>
      </c>
      <c r="C68" s="100">
        <f t="shared" si="62"/>
        <v>1617470.3316027836</v>
      </c>
      <c r="D68" s="119">
        <v>0</v>
      </c>
      <c r="E68" s="100">
        <f t="shared" si="63"/>
        <v>1595006.8316027836</v>
      </c>
      <c r="F68" s="100">
        <f t="shared" si="63"/>
        <v>22463.5</v>
      </c>
      <c r="G68" s="100">
        <f t="shared" si="63"/>
        <v>1617470.3316027836</v>
      </c>
      <c r="H68" s="100">
        <f t="shared" si="63"/>
        <v>2892816.1365805706</v>
      </c>
      <c r="I68" s="100">
        <f t="shared" si="31"/>
        <v>1275345.804977787</v>
      </c>
      <c r="J68" s="96">
        <f t="shared" si="32"/>
        <v>0.78848172980954856</v>
      </c>
      <c r="L68" s="100">
        <f t="shared" si="64"/>
        <v>1446408.0682902853</v>
      </c>
      <c r="M68" s="100">
        <f t="shared" si="64"/>
        <v>1446408.0682902853</v>
      </c>
      <c r="N68" s="100">
        <f t="shared" si="64"/>
        <v>1433027.4682902852</v>
      </c>
      <c r="O68" s="100">
        <f t="shared" si="64"/>
        <v>1432564.8682902851</v>
      </c>
      <c r="P68" s="100">
        <f t="shared" si="71"/>
        <v>13380.6</v>
      </c>
      <c r="Q68" s="100">
        <f t="shared" si="71"/>
        <v>13843.2</v>
      </c>
      <c r="R68" s="100">
        <f t="shared" si="72"/>
        <v>0</v>
      </c>
      <c r="S68" s="100">
        <f t="shared" si="72"/>
        <v>0</v>
      </c>
      <c r="T68" s="100">
        <f t="shared" si="67"/>
        <v>1446408.0682902853</v>
      </c>
      <c r="U68" s="100">
        <f t="shared" si="67"/>
        <v>1446408.0682902853</v>
      </c>
      <c r="V68" s="113"/>
      <c r="W68" s="97"/>
      <c r="Y68" s="100">
        <f t="shared" si="68"/>
        <v>1446409.5</v>
      </c>
      <c r="Z68" s="100">
        <f t="shared" si="68"/>
        <v>1446409.5</v>
      </c>
      <c r="AA68" s="115"/>
      <c r="AB68" s="100">
        <f t="shared" si="69"/>
        <v>-1.4317097146995366</v>
      </c>
      <c r="AC68" s="100">
        <f t="shared" si="70"/>
        <v>-1.4317097146995366</v>
      </c>
      <c r="AE68" s="120">
        <f t="shared" si="73"/>
        <v>-9.8983803124928437E-7</v>
      </c>
      <c r="AF68" s="120">
        <f t="shared" si="73"/>
        <v>-9.8983803124928437E-7</v>
      </c>
    </row>
    <row r="69" spans="1:32" ht="19.95" customHeight="1" outlineLevel="1">
      <c r="A69" s="117">
        <v>36273</v>
      </c>
      <c r="B69" s="118" t="s">
        <v>111</v>
      </c>
      <c r="C69" s="100">
        <f t="shared" si="62"/>
        <v>5710500</v>
      </c>
      <c r="D69" s="119">
        <f>0</f>
        <v>0</v>
      </c>
      <c r="E69" s="100">
        <f t="shared" si="63"/>
        <v>5053739.684138516</v>
      </c>
      <c r="F69" s="100">
        <f t="shared" si="63"/>
        <v>656760.31586148404</v>
      </c>
      <c r="G69" s="100">
        <f t="shared" si="63"/>
        <v>5710500</v>
      </c>
      <c r="H69" s="100">
        <f t="shared" si="63"/>
        <v>6332564.0839848043</v>
      </c>
      <c r="I69" s="100">
        <f t="shared" si="31"/>
        <v>622064.08398480434</v>
      </c>
      <c r="J69" s="96">
        <f t="shared" si="32"/>
        <v>0.10893338306362041</v>
      </c>
      <c r="L69" s="100">
        <f t="shared" si="64"/>
        <v>3166282.0419924022</v>
      </c>
      <c r="M69" s="100">
        <f t="shared" si="64"/>
        <v>3166282.0419924022</v>
      </c>
      <c r="N69" s="100">
        <f t="shared" si="64"/>
        <v>2793811.4746001922</v>
      </c>
      <c r="O69" s="100">
        <f t="shared" si="64"/>
        <v>2793181.9391517453</v>
      </c>
      <c r="P69" s="100">
        <f t="shared" si="71"/>
        <v>372470.5673922103</v>
      </c>
      <c r="Q69" s="100">
        <f t="shared" si="71"/>
        <v>373100.10284065717</v>
      </c>
      <c r="R69" s="100">
        <f t="shared" si="72"/>
        <v>0</v>
      </c>
      <c r="S69" s="100">
        <f t="shared" si="72"/>
        <v>0</v>
      </c>
      <c r="T69" s="100">
        <f t="shared" si="67"/>
        <v>3166282.0419924022</v>
      </c>
      <c r="U69" s="100">
        <f t="shared" si="67"/>
        <v>3166282.0419924022</v>
      </c>
      <c r="V69" s="113"/>
      <c r="W69" s="97"/>
      <c r="Y69" s="100">
        <f t="shared" si="68"/>
        <v>3166288</v>
      </c>
      <c r="Z69" s="100">
        <f t="shared" si="68"/>
        <v>3166288</v>
      </c>
      <c r="AA69" s="115"/>
      <c r="AB69" s="100">
        <f t="shared" si="69"/>
        <v>-5.9580075978301466</v>
      </c>
      <c r="AC69" s="100">
        <f t="shared" si="70"/>
        <v>-5.9580075978301466</v>
      </c>
      <c r="AE69" s="120">
        <f t="shared" si="73"/>
        <v>-1.8817046361672297E-6</v>
      </c>
      <c r="AF69" s="120">
        <f t="shared" si="73"/>
        <v>-1.8817046361672297E-6</v>
      </c>
    </row>
    <row r="70" spans="1:32" ht="19.95" customHeight="1" outlineLevel="1">
      <c r="A70" s="117">
        <v>23582</v>
      </c>
      <c r="B70" s="118" t="s">
        <v>112</v>
      </c>
      <c r="C70" s="100">
        <f t="shared" si="62"/>
        <v>4535708</v>
      </c>
      <c r="D70" s="119">
        <f>0</f>
        <v>0</v>
      </c>
      <c r="E70" s="100">
        <f t="shared" si="63"/>
        <v>4222481.8316108212</v>
      </c>
      <c r="F70" s="100">
        <f t="shared" si="63"/>
        <v>313226.16838917881</v>
      </c>
      <c r="G70" s="100">
        <f t="shared" si="63"/>
        <v>4535708</v>
      </c>
      <c r="H70" s="100">
        <f t="shared" si="63"/>
        <v>4777763.8298007473</v>
      </c>
      <c r="I70" s="100">
        <f t="shared" si="31"/>
        <v>242055.82980074733</v>
      </c>
      <c r="J70" s="96">
        <f t="shared" si="32"/>
        <v>5.3366713598130069E-2</v>
      </c>
      <c r="L70" s="100">
        <f t="shared" si="64"/>
        <v>2388881.9149003737</v>
      </c>
      <c r="M70" s="100">
        <f t="shared" si="64"/>
        <v>2388881.9149003737</v>
      </c>
      <c r="N70" s="100">
        <f t="shared" si="64"/>
        <v>2223697.0609495617</v>
      </c>
      <c r="O70" s="100">
        <f t="shared" si="64"/>
        <v>2223653.5890588854</v>
      </c>
      <c r="P70" s="100">
        <f>(P488-P538-P588-P638)*0.1</f>
        <v>165184.85395081202</v>
      </c>
      <c r="Q70" s="100">
        <f>(Q488-Q538-Q588-Q638)*0.1</f>
        <v>165228.32584148805</v>
      </c>
      <c r="R70" s="100">
        <f>R488</f>
        <v>0</v>
      </c>
      <c r="S70" s="100">
        <f>S488</f>
        <v>0</v>
      </c>
      <c r="T70" s="100">
        <f t="shared" si="67"/>
        <v>2388881.9149003737</v>
      </c>
      <c r="U70" s="100">
        <f t="shared" si="67"/>
        <v>2388881.9149003737</v>
      </c>
      <c r="V70" s="113"/>
      <c r="W70" s="97"/>
      <c r="Y70" s="100">
        <f t="shared" si="68"/>
        <v>2388915</v>
      </c>
      <c r="Z70" s="100">
        <f t="shared" si="68"/>
        <v>2388915</v>
      </c>
      <c r="AA70" s="115"/>
      <c r="AB70" s="100">
        <f t="shared" si="69"/>
        <v>-33.085099626332521</v>
      </c>
      <c r="AC70" s="100">
        <f t="shared" si="70"/>
        <v>-33.085099626332521</v>
      </c>
      <c r="AE70" s="120">
        <f t="shared" si="73"/>
        <v>-1.3849617019563861E-5</v>
      </c>
      <c r="AF70" s="120">
        <f t="shared" si="73"/>
        <v>-1.3849617019563861E-5</v>
      </c>
    </row>
    <row r="71" spans="1:32" ht="19.95" customHeight="1" outlineLevel="1" thickBot="1">
      <c r="A71" s="122">
        <v>23485</v>
      </c>
      <c r="B71" s="123" t="s">
        <v>117</v>
      </c>
      <c r="C71" s="124">
        <f t="shared" si="62"/>
        <v>5160774</v>
      </c>
      <c r="D71" s="125">
        <f>0</f>
        <v>0</v>
      </c>
      <c r="E71" s="124">
        <f t="shared" si="63"/>
        <v>4811324.5074333074</v>
      </c>
      <c r="F71" s="124">
        <f t="shared" si="63"/>
        <v>349449.49256669264</v>
      </c>
      <c r="G71" s="124">
        <f t="shared" si="63"/>
        <v>5160774</v>
      </c>
      <c r="H71" s="124">
        <f t="shared" si="63"/>
        <v>5380663.7774707051</v>
      </c>
      <c r="I71" s="124">
        <f t="shared" si="31"/>
        <v>219889.7774707051</v>
      </c>
      <c r="J71" s="126">
        <f t="shared" si="32"/>
        <v>4.2607906773422959E-2</v>
      </c>
      <c r="L71" s="124">
        <f t="shared" si="64"/>
        <v>2690331.8887353525</v>
      </c>
      <c r="M71" s="124">
        <f t="shared" si="64"/>
        <v>2690331.8887353525</v>
      </c>
      <c r="N71" s="124">
        <f t="shared" si="64"/>
        <v>2516863.520517556</v>
      </c>
      <c r="O71" s="124">
        <f t="shared" si="64"/>
        <v>2517105.0268694209</v>
      </c>
      <c r="P71" s="124">
        <f>(P489-P539-P589-P639)*0.1</f>
        <v>173468.36821779667</v>
      </c>
      <c r="Q71" s="124">
        <f>(Q489-Q539-Q589-Q639)*0.1</f>
        <v>173226.86186593166</v>
      </c>
      <c r="R71" s="124">
        <f>R489</f>
        <v>0</v>
      </c>
      <c r="S71" s="124">
        <f>S489</f>
        <v>0</v>
      </c>
      <c r="T71" s="124">
        <f t="shared" si="67"/>
        <v>2690331.8887353525</v>
      </c>
      <c r="U71" s="124">
        <f t="shared" si="67"/>
        <v>2690331.8887353525</v>
      </c>
      <c r="V71" s="113"/>
      <c r="W71" s="97"/>
      <c r="Y71" s="124">
        <f t="shared" si="68"/>
        <v>2690441</v>
      </c>
      <c r="Z71" s="124">
        <f t="shared" si="68"/>
        <v>2690441</v>
      </c>
      <c r="AA71" s="115"/>
      <c r="AB71" s="124">
        <f t="shared" si="69"/>
        <v>-109.1112646474503</v>
      </c>
      <c r="AC71" s="124">
        <f t="shared" si="70"/>
        <v>-109.1112646474503</v>
      </c>
      <c r="AE71" s="127">
        <f t="shared" si="73"/>
        <v>-4.0556804572814381E-5</v>
      </c>
      <c r="AF71" s="127">
        <f t="shared" si="73"/>
        <v>-4.0556804572814381E-5</v>
      </c>
    </row>
    <row r="72" spans="1:32" ht="19.5" customHeight="1" outlineLevel="1">
      <c r="A72" s="105"/>
      <c r="B72" s="128" t="s">
        <v>1</v>
      </c>
      <c r="C72" s="129">
        <f t="shared" si="62"/>
        <v>39162271.989616707</v>
      </c>
      <c r="D72" s="129">
        <f>D294+D344</f>
        <v>0</v>
      </c>
      <c r="E72" s="129">
        <f>SUM(E63:E71)</f>
        <v>36941628.853035666</v>
      </c>
      <c r="F72" s="129">
        <f>SUM(F63:F71)</f>
        <v>2220643.1365810381</v>
      </c>
      <c r="G72" s="129">
        <f>SUM(G63:G71)</f>
        <v>39162271.9896167</v>
      </c>
      <c r="H72" s="129">
        <f>SUM(H63:H71)</f>
        <v>44381193.989477642</v>
      </c>
      <c r="I72" s="129">
        <f t="shared" si="31"/>
        <v>5218921.9998609424</v>
      </c>
      <c r="J72" s="130">
        <f t="shared" si="32"/>
        <v>0.13326402516290839</v>
      </c>
      <c r="L72" s="129">
        <f>SUM(L63:L71)</f>
        <v>22190596.994738821</v>
      </c>
      <c r="M72" s="129">
        <f>SUM(M63:M71)</f>
        <v>22190596.994738821</v>
      </c>
      <c r="N72" s="129">
        <f>SUM(N63:N71)</f>
        <v>20954277.128039248</v>
      </c>
      <c r="O72" s="129">
        <f>SUM(O63:O71)</f>
        <v>20935791.12705199</v>
      </c>
      <c r="P72" s="129">
        <f t="shared" ref="P72:U72" si="74">SUM(P63:P71)</f>
        <v>1236319.866699568</v>
      </c>
      <c r="Q72" s="129">
        <f t="shared" si="74"/>
        <v>1254805.867686826</v>
      </c>
      <c r="R72" s="129">
        <f t="shared" si="74"/>
        <v>0</v>
      </c>
      <c r="S72" s="129">
        <f t="shared" si="74"/>
        <v>0</v>
      </c>
      <c r="T72" s="129">
        <f t="shared" si="74"/>
        <v>22190596.994738821</v>
      </c>
      <c r="U72" s="129">
        <f t="shared" si="74"/>
        <v>22190596.994738821</v>
      </c>
      <c r="V72" s="129"/>
      <c r="W72" s="131"/>
      <c r="Y72" s="131">
        <f>SUM(Y63:Y71)</f>
        <v>22190961.049899999</v>
      </c>
      <c r="Z72" s="131">
        <f>SUM(Z63:Z71)</f>
        <v>22190961.049899999</v>
      </c>
      <c r="AA72" s="115"/>
      <c r="AB72" s="131">
        <f>SUM(AB63:AB71)</f>
        <v>-364.05516118207015</v>
      </c>
      <c r="AC72" s="131">
        <f>SUM(AC63:AC71)</f>
        <v>-364.05516118207015</v>
      </c>
      <c r="AE72" s="130">
        <f t="shared" si="73"/>
        <v>-1.6405829967908666E-5</v>
      </c>
      <c r="AF72" s="130">
        <f t="shared" si="73"/>
        <v>-1.6405829967908666E-5</v>
      </c>
    </row>
    <row r="73" spans="1:32" ht="19.5" customHeight="1" outlineLevel="1">
      <c r="A73" s="105"/>
      <c r="B73" s="128"/>
      <c r="C73" s="129"/>
      <c r="D73" s="129"/>
      <c r="E73" s="129"/>
      <c r="F73" s="129"/>
      <c r="G73" s="129"/>
      <c r="H73" s="129"/>
      <c r="I73" s="129"/>
      <c r="J73" s="130"/>
      <c r="L73" s="129"/>
      <c r="M73" s="129"/>
      <c r="N73" s="129"/>
      <c r="O73" s="129"/>
      <c r="P73" s="129"/>
      <c r="Q73" s="129"/>
      <c r="R73" s="129"/>
      <c r="S73" s="129"/>
      <c r="T73" s="129"/>
      <c r="U73" s="129"/>
      <c r="V73" s="129"/>
      <c r="W73" s="131"/>
      <c r="Y73" s="131"/>
      <c r="Z73" s="131"/>
      <c r="AA73" s="115"/>
      <c r="AB73" s="131"/>
      <c r="AC73" s="131"/>
      <c r="AE73" s="130"/>
      <c r="AF73" s="130"/>
    </row>
    <row r="74" spans="1:32" s="91" customFormat="1" ht="19.95" customHeight="1" thickBot="1">
      <c r="A74" s="669" t="s">
        <v>491</v>
      </c>
      <c r="B74" s="670"/>
      <c r="C74" s="670"/>
      <c r="D74" s="670"/>
      <c r="E74" s="670"/>
      <c r="F74" s="670"/>
      <c r="G74" s="670"/>
      <c r="H74" s="670"/>
      <c r="I74" s="670"/>
      <c r="J74" s="670"/>
      <c r="L74" s="673" t="str">
        <f>A74</f>
        <v>Formula Funding - Total by Institution (excluding CRU &amp; Research Funds)</v>
      </c>
      <c r="M74" s="673"/>
      <c r="N74" s="673"/>
      <c r="O74" s="673"/>
      <c r="P74" s="673"/>
      <c r="Q74" s="673"/>
      <c r="R74" s="673"/>
      <c r="S74" s="673"/>
      <c r="T74" s="675" t="str">
        <f>A74</f>
        <v>Formula Funding - Total by Institution (excluding CRU &amp; Research Funds)</v>
      </c>
      <c r="U74" s="673"/>
      <c r="V74" s="106"/>
      <c r="W74" s="106"/>
      <c r="Y74" s="679"/>
      <c r="Z74" s="679"/>
      <c r="AA74" s="77"/>
      <c r="AB74" s="680"/>
      <c r="AC74" s="680"/>
      <c r="AD74" s="79"/>
      <c r="AE74" s="680"/>
      <c r="AF74" s="680"/>
    </row>
    <row r="75" spans="1:32" ht="19.95" customHeight="1" outlineLevel="1">
      <c r="A75" s="107">
        <v>3656</v>
      </c>
      <c r="B75" s="108" t="s">
        <v>82</v>
      </c>
      <c r="C75" s="622">
        <f>C166+C206+C247+C297</f>
        <v>322958449</v>
      </c>
      <c r="D75" s="110">
        <v>18451176</v>
      </c>
      <c r="E75" s="100">
        <f>E215+E356+E397+E295+E442</f>
        <v>13780592.266261499</v>
      </c>
      <c r="F75" s="100">
        <f>F215+F356+F397+F295+F442</f>
        <v>76657.512281075644</v>
      </c>
      <c r="G75" s="109">
        <f t="shared" ref="G75:H94" si="75">G166+G206+G247+G297</f>
        <v>304507273</v>
      </c>
      <c r="H75" s="109">
        <f t="shared" ca="1" si="75"/>
        <v>311085127.71330041</v>
      </c>
      <c r="I75" s="109">
        <f t="shared" ref="I75:I122" ca="1" si="76">H75-G75</f>
        <v>6577854.7133004069</v>
      </c>
      <c r="J75" s="112">
        <f t="shared" ref="J75:J122" ca="1" si="77">IF(OR(I75=0,G75=0),0,I75/G75)</f>
        <v>2.1601634169507691E-2</v>
      </c>
      <c r="L75" s="95">
        <f ca="1">L166+L206+L247+L297</f>
        <v>155542563.8566502</v>
      </c>
      <c r="M75" s="95">
        <f t="shared" ref="M75:U75" ca="1" si="78">M166+M206+M247+M297</f>
        <v>155542563.8566502</v>
      </c>
      <c r="N75" s="95">
        <f t="shared" ca="1" si="78"/>
        <v>107473099.79471754</v>
      </c>
      <c r="O75" s="95">
        <f t="shared" ca="1" si="78"/>
        <v>107310793.19830519</v>
      </c>
      <c r="P75" s="95">
        <f t="shared" si="78"/>
        <v>48069464.061932676</v>
      </c>
      <c r="Q75" s="95">
        <f t="shared" si="78"/>
        <v>48231770.658345029</v>
      </c>
      <c r="R75" s="95">
        <f t="shared" si="78"/>
        <v>9200000</v>
      </c>
      <c r="S75" s="95">
        <f t="shared" si="78"/>
        <v>9200000</v>
      </c>
      <c r="T75" s="95">
        <f t="shared" ca="1" si="78"/>
        <v>164742563.8566502</v>
      </c>
      <c r="U75" s="95">
        <f t="shared" ca="1" si="78"/>
        <v>164742563.8566502</v>
      </c>
      <c r="V75" s="113"/>
      <c r="W75" s="114"/>
      <c r="X75" s="115"/>
      <c r="Y75" s="624">
        <f t="shared" ref="Y75:Z94" si="79">Y166+Y206+Y247+Y297</f>
        <v>164743533</v>
      </c>
      <c r="Z75" s="624">
        <f t="shared" si="79"/>
        <v>164743533</v>
      </c>
      <c r="AA75" s="115"/>
      <c r="AB75" s="109">
        <f ca="1">T75-Y75</f>
        <v>-969.14334979653358</v>
      </c>
      <c r="AC75" s="111">
        <f t="shared" ref="AC75:AC111" ca="1" si="80">U75-Z75</f>
        <v>-969.14334979653358</v>
      </c>
      <c r="AE75" s="116">
        <f t="shared" ref="AE75:AE122" ca="1" si="81">IFERROR(AB75/T75,0)</f>
        <v>-5.8827744761810804E-6</v>
      </c>
      <c r="AF75" s="116">
        <f t="shared" ref="AF75:AF122" ca="1" si="82">IFERROR(AC75/U75,0)</f>
        <v>-5.8827744761810804E-6</v>
      </c>
    </row>
    <row r="76" spans="1:32" ht="19.95" customHeight="1" outlineLevel="1">
      <c r="A76" s="117">
        <v>3658</v>
      </c>
      <c r="B76" s="118" t="s">
        <v>83</v>
      </c>
      <c r="C76" s="622">
        <f t="shared" ref="C76:C111" si="83">C167+C207+C248+C298</f>
        <v>600433363</v>
      </c>
      <c r="D76" s="119">
        <v>34156000</v>
      </c>
      <c r="E76" s="100">
        <f>E216+E357+E398+E296+E443</f>
        <v>14237590.227236059</v>
      </c>
      <c r="F76" s="100">
        <f>F216+F357+F398+F296+F443</f>
        <v>117773453.32925852</v>
      </c>
      <c r="G76" s="100">
        <f t="shared" si="75"/>
        <v>566277363</v>
      </c>
      <c r="H76" s="100">
        <f t="shared" ca="1" si="75"/>
        <v>589045392.14082527</v>
      </c>
      <c r="I76" s="100">
        <f t="shared" ca="1" si="76"/>
        <v>22768029.140825272</v>
      </c>
      <c r="J76" s="96">
        <f t="shared" ca="1" si="77"/>
        <v>4.0206497078049845E-2</v>
      </c>
      <c r="L76" s="629">
        <f t="shared" ref="L76:U76" ca="1" si="84">L167+L207+L248+L298</f>
        <v>294522696.07041264</v>
      </c>
      <c r="M76" s="629">
        <f t="shared" ca="1" si="84"/>
        <v>294522696.07041264</v>
      </c>
      <c r="N76" s="629">
        <f t="shared" ca="1" si="84"/>
        <v>219820731.91430312</v>
      </c>
      <c r="O76" s="629">
        <f t="shared" ca="1" si="84"/>
        <v>219397341.06674308</v>
      </c>
      <c r="P76" s="629">
        <f t="shared" si="84"/>
        <v>74701964.156109527</v>
      </c>
      <c r="Q76" s="629">
        <f t="shared" si="84"/>
        <v>75125355.003669575</v>
      </c>
      <c r="R76" s="629">
        <f t="shared" si="84"/>
        <v>19100000</v>
      </c>
      <c r="S76" s="629">
        <f t="shared" si="84"/>
        <v>19100000</v>
      </c>
      <c r="T76" s="629">
        <f t="shared" ca="1" si="84"/>
        <v>313622696.07041264</v>
      </c>
      <c r="U76" s="629">
        <f t="shared" ca="1" si="84"/>
        <v>313622696.07041264</v>
      </c>
      <c r="V76" s="135"/>
      <c r="W76" s="135"/>
      <c r="X76" s="135"/>
      <c r="Y76" s="629">
        <f t="shared" si="79"/>
        <v>313623281.5</v>
      </c>
      <c r="Z76" s="629">
        <f t="shared" si="79"/>
        <v>313623281.5</v>
      </c>
      <c r="AA76" s="115"/>
      <c r="AB76" s="100">
        <f t="shared" ref="AB76:AB111" ca="1" si="85">T76-Y76</f>
        <v>-585.42958736419678</v>
      </c>
      <c r="AC76" s="100">
        <f t="shared" ca="1" si="80"/>
        <v>-585.42958736419678</v>
      </c>
      <c r="AE76" s="120">
        <f t="shared" ca="1" si="81"/>
        <v>-1.8666684353506092E-6</v>
      </c>
      <c r="AF76" s="120">
        <f t="shared" ca="1" si="82"/>
        <v>-1.8666684353506092E-6</v>
      </c>
    </row>
    <row r="77" spans="1:32" ht="19.95" customHeight="1" outlineLevel="1">
      <c r="A77" s="117">
        <v>9741</v>
      </c>
      <c r="B77" s="118" t="s">
        <v>84</v>
      </c>
      <c r="C77" s="622">
        <f t="shared" si="83"/>
        <v>284194483</v>
      </c>
      <c r="D77" s="119">
        <v>11702330</v>
      </c>
      <c r="E77" s="100">
        <f t="shared" ref="E77:F103" si="86">E217+E358+E403+E297+E444</f>
        <v>120289400.04448457</v>
      </c>
      <c r="F77" s="100">
        <f t="shared" si="86"/>
        <v>197545135.23813239</v>
      </c>
      <c r="G77" s="100">
        <f t="shared" si="75"/>
        <v>272492153</v>
      </c>
      <c r="H77" s="100">
        <f t="shared" ca="1" si="75"/>
        <v>317971732.98371911</v>
      </c>
      <c r="I77" s="100">
        <f t="shared" ca="1" si="76"/>
        <v>45479579.98371911</v>
      </c>
      <c r="J77" s="96">
        <f t="shared" ca="1" si="77"/>
        <v>0.16690234739977672</v>
      </c>
      <c r="L77" s="629">
        <f t="shared" ref="L77:U77" ca="1" si="87">L168+L208+L249+L299</f>
        <v>158985866.49185956</v>
      </c>
      <c r="M77" s="629">
        <f t="shared" ca="1" si="87"/>
        <v>158985866.49185956</v>
      </c>
      <c r="N77" s="629">
        <f t="shared" ca="1" si="87"/>
        <v>114458120.67865595</v>
      </c>
      <c r="O77" s="629">
        <f t="shared" ca="1" si="87"/>
        <v>114148460.30145906</v>
      </c>
      <c r="P77" s="629">
        <f t="shared" si="87"/>
        <v>44527745.81320361</v>
      </c>
      <c r="Q77" s="629">
        <f t="shared" si="87"/>
        <v>44837406.190400481</v>
      </c>
      <c r="R77" s="629">
        <f t="shared" si="87"/>
        <v>8263214</v>
      </c>
      <c r="S77" s="629">
        <f t="shared" si="87"/>
        <v>8263214</v>
      </c>
      <c r="T77" s="629">
        <f t="shared" ca="1" si="87"/>
        <v>167249080.49185956</v>
      </c>
      <c r="U77" s="629">
        <f t="shared" ca="1" si="87"/>
        <v>167249080.49185956</v>
      </c>
      <c r="V77" s="135"/>
      <c r="W77" s="135"/>
      <c r="X77" s="135"/>
      <c r="Y77" s="629">
        <f t="shared" si="79"/>
        <v>167249966</v>
      </c>
      <c r="Z77" s="629">
        <f t="shared" si="79"/>
        <v>167249966</v>
      </c>
      <c r="AA77" s="115"/>
      <c r="AB77" s="100">
        <f t="shared" ca="1" si="85"/>
        <v>-885.50814044475555</v>
      </c>
      <c r="AC77" s="100">
        <f t="shared" ca="1" si="80"/>
        <v>-885.50814044475555</v>
      </c>
      <c r="AE77" s="120">
        <f t="shared" ca="1" si="81"/>
        <v>-5.2945471379608302E-6</v>
      </c>
      <c r="AF77" s="120">
        <f t="shared" ca="1" si="82"/>
        <v>-5.2945471379608302E-6</v>
      </c>
    </row>
    <row r="78" spans="1:32" ht="19.95" customHeight="1" outlineLevel="1">
      <c r="A78" s="117">
        <v>3661</v>
      </c>
      <c r="B78" s="118" t="s">
        <v>85</v>
      </c>
      <c r="C78" s="622">
        <f t="shared" si="83"/>
        <v>173153102</v>
      </c>
      <c r="D78" s="119">
        <v>7485900</v>
      </c>
      <c r="E78" s="100">
        <f t="shared" si="86"/>
        <v>1369163.8787397095</v>
      </c>
      <c r="F78" s="100">
        <f t="shared" si="86"/>
        <v>121483204.37732293</v>
      </c>
      <c r="G78" s="100">
        <f t="shared" si="75"/>
        <v>165667202</v>
      </c>
      <c r="H78" s="100">
        <f t="shared" ca="1" si="75"/>
        <v>171471616.87489736</v>
      </c>
      <c r="I78" s="100">
        <f t="shared" ca="1" si="76"/>
        <v>5804414.8748973608</v>
      </c>
      <c r="J78" s="96">
        <f t="shared" ca="1" si="77"/>
        <v>3.5036596289574326E-2</v>
      </c>
      <c r="L78" s="629">
        <f t="shared" ref="L78:U78" ca="1" si="88">L169+L209+L250+L300</f>
        <v>85735808.43744868</v>
      </c>
      <c r="M78" s="629">
        <f t="shared" ca="1" si="88"/>
        <v>85735808.43744868</v>
      </c>
      <c r="N78" s="629">
        <f t="shared" ca="1" si="88"/>
        <v>68633417.135107666</v>
      </c>
      <c r="O78" s="629">
        <f t="shared" ca="1" si="88"/>
        <v>68598992.499245837</v>
      </c>
      <c r="P78" s="629">
        <f t="shared" si="88"/>
        <v>17102391.302341003</v>
      </c>
      <c r="Q78" s="629">
        <f t="shared" si="88"/>
        <v>17136815.938202836</v>
      </c>
      <c r="R78" s="629">
        <f t="shared" si="88"/>
        <v>4109550</v>
      </c>
      <c r="S78" s="629">
        <f t="shared" si="88"/>
        <v>4109550</v>
      </c>
      <c r="T78" s="629">
        <f t="shared" ca="1" si="88"/>
        <v>89845358.43744868</v>
      </c>
      <c r="U78" s="629">
        <f t="shared" ca="1" si="88"/>
        <v>89845358.43744868</v>
      </c>
      <c r="V78" s="135"/>
      <c r="W78" s="135"/>
      <c r="X78" s="135"/>
      <c r="Y78" s="629">
        <f t="shared" si="79"/>
        <v>89845529.5</v>
      </c>
      <c r="Z78" s="629">
        <f t="shared" si="79"/>
        <v>89845529.5</v>
      </c>
      <c r="AA78" s="115"/>
      <c r="AB78" s="100">
        <f t="shared" ca="1" si="85"/>
        <v>-171.06255131959915</v>
      </c>
      <c r="AC78" s="100">
        <f t="shared" ca="1" si="80"/>
        <v>-171.06255131959915</v>
      </c>
      <c r="AE78" s="120">
        <f t="shared" ca="1" si="81"/>
        <v>-1.903966485243584E-6</v>
      </c>
      <c r="AF78" s="120">
        <f t="shared" ca="1" si="82"/>
        <v>-1.903966485243584E-6</v>
      </c>
    </row>
    <row r="79" spans="1:32" ht="19.95" customHeight="1" outlineLevel="1">
      <c r="A79" s="117">
        <v>3599</v>
      </c>
      <c r="B79" s="118" t="s">
        <v>213</v>
      </c>
      <c r="C79" s="622">
        <f t="shared" si="83"/>
        <v>219511401</v>
      </c>
      <c r="D79" s="119">
        <v>6790780</v>
      </c>
      <c r="E79" s="100">
        <f t="shared" si="86"/>
        <v>1977389.2338407971</v>
      </c>
      <c r="F79" s="100">
        <f t="shared" si="86"/>
        <v>56745091.040704139</v>
      </c>
      <c r="G79" s="100">
        <f t="shared" si="75"/>
        <v>212720621</v>
      </c>
      <c r="H79" s="100">
        <f t="shared" ca="1" si="75"/>
        <v>209249608.3783986</v>
      </c>
      <c r="I79" s="100">
        <f t="shared" ca="1" si="76"/>
        <v>-3471012.6216014028</v>
      </c>
      <c r="J79" s="96">
        <f t="shared" ca="1" si="77"/>
        <v>-1.6317236219432638E-2</v>
      </c>
      <c r="L79" s="629">
        <f t="shared" ref="L79:U79" ca="1" si="89">L170+L210+L251+L301</f>
        <v>104624804.1891993</v>
      </c>
      <c r="M79" s="629">
        <f t="shared" ca="1" si="89"/>
        <v>104624804.1891993</v>
      </c>
      <c r="N79" s="629">
        <f t="shared" ca="1" si="89"/>
        <v>80721229.519898921</v>
      </c>
      <c r="O79" s="629">
        <f t="shared" ca="1" si="89"/>
        <v>80705474.04401426</v>
      </c>
      <c r="P79" s="629">
        <f t="shared" si="89"/>
        <v>23903574.669300385</v>
      </c>
      <c r="Q79" s="629">
        <f t="shared" si="89"/>
        <v>23919330.145185057</v>
      </c>
      <c r="R79" s="629">
        <f t="shared" si="89"/>
        <v>4862450</v>
      </c>
      <c r="S79" s="629">
        <f t="shared" si="89"/>
        <v>4862450</v>
      </c>
      <c r="T79" s="629">
        <f t="shared" ca="1" si="89"/>
        <v>109487254.1891993</v>
      </c>
      <c r="U79" s="629">
        <f t="shared" ca="1" si="89"/>
        <v>109487254.1891993</v>
      </c>
      <c r="V79" s="630" t="s">
        <v>396</v>
      </c>
      <c r="W79" s="135"/>
      <c r="X79" s="135"/>
      <c r="Y79" s="629">
        <f t="shared" si="79"/>
        <v>109488359.5</v>
      </c>
      <c r="Z79" s="629">
        <f t="shared" si="79"/>
        <v>109488359.5</v>
      </c>
      <c r="AA79" s="115"/>
      <c r="AB79" s="100">
        <f t="shared" ca="1" si="85"/>
        <v>-1105.3108007013798</v>
      </c>
      <c r="AC79" s="100">
        <f t="shared" ca="1" si="80"/>
        <v>-1105.3108007013798</v>
      </c>
      <c r="AE79" s="120">
        <f t="shared" ca="1" si="81"/>
        <v>-1.0095337661782521E-5</v>
      </c>
      <c r="AF79" s="120">
        <f t="shared" ca="1" si="82"/>
        <v>-1.0095337661782521E-5</v>
      </c>
    </row>
    <row r="80" spans="1:32" ht="19.95" customHeight="1" outlineLevel="1">
      <c r="A80" s="117">
        <v>9930</v>
      </c>
      <c r="B80" s="118" t="s">
        <v>86</v>
      </c>
      <c r="C80" s="622">
        <f t="shared" si="83"/>
        <v>33443820</v>
      </c>
      <c r="D80" s="119">
        <v>0</v>
      </c>
      <c r="E80" s="100">
        <f t="shared" si="86"/>
        <v>2313978.3379395711</v>
      </c>
      <c r="F80" s="100">
        <f t="shared" si="86"/>
        <v>80589626.902089849</v>
      </c>
      <c r="G80" s="100">
        <f t="shared" si="75"/>
        <v>33443820</v>
      </c>
      <c r="H80" s="100">
        <f t="shared" ca="1" si="75"/>
        <v>32542588.061041728</v>
      </c>
      <c r="I80" s="100">
        <f t="shared" ca="1" si="76"/>
        <v>-901231.93895827234</v>
      </c>
      <c r="J80" s="96">
        <f t="shared" ca="1" si="77"/>
        <v>-2.6947637529393244E-2</v>
      </c>
      <c r="L80" s="629">
        <f t="shared" ref="L80:U80" ca="1" si="90">L171+L211+L252+L302</f>
        <v>16271294.030520864</v>
      </c>
      <c r="M80" s="629">
        <f t="shared" ca="1" si="90"/>
        <v>16271294.030520864</v>
      </c>
      <c r="N80" s="629">
        <f t="shared" ca="1" si="90"/>
        <v>11040592.175425423</v>
      </c>
      <c r="O80" s="629">
        <f t="shared" ca="1" si="90"/>
        <v>11035392.283898797</v>
      </c>
      <c r="P80" s="629">
        <f t="shared" si="90"/>
        <v>5230701.8550954415</v>
      </c>
      <c r="Q80" s="629">
        <f t="shared" si="90"/>
        <v>5235901.7466220669</v>
      </c>
      <c r="R80" s="629">
        <f t="shared" si="90"/>
        <v>0</v>
      </c>
      <c r="S80" s="629">
        <f t="shared" si="90"/>
        <v>0</v>
      </c>
      <c r="T80" s="629">
        <f t="shared" ca="1" si="90"/>
        <v>16271294.030520864</v>
      </c>
      <c r="U80" s="629">
        <f t="shared" ca="1" si="90"/>
        <v>16271294.030520864</v>
      </c>
      <c r="V80" s="630" t="s">
        <v>396</v>
      </c>
      <c r="W80" s="135"/>
      <c r="X80" s="135"/>
      <c r="Y80" s="629">
        <f t="shared" si="79"/>
        <v>16271379</v>
      </c>
      <c r="Z80" s="629">
        <f t="shared" si="79"/>
        <v>16271379</v>
      </c>
      <c r="AA80" s="115"/>
      <c r="AB80" s="100">
        <f t="shared" ca="1" si="85"/>
        <v>-84.969479136168957</v>
      </c>
      <c r="AC80" s="100">
        <f t="shared" ca="1" si="80"/>
        <v>-84.969479136168957</v>
      </c>
      <c r="AE80" s="120">
        <f t="shared" ca="1" si="81"/>
        <v>-5.2220480422016554E-6</v>
      </c>
      <c r="AF80" s="120">
        <f t="shared" ca="1" si="82"/>
        <v>-5.2220480422016554E-6</v>
      </c>
    </row>
    <row r="81" spans="1:32" ht="19.95" customHeight="1" outlineLevel="1">
      <c r="A81" s="117">
        <v>10115</v>
      </c>
      <c r="B81" s="118" t="s">
        <v>87</v>
      </c>
      <c r="C81" s="622">
        <f t="shared" si="83"/>
        <v>257204265</v>
      </c>
      <c r="D81" s="119">
        <v>7738400</v>
      </c>
      <c r="E81" s="100">
        <f t="shared" si="86"/>
        <v>1294545.7164953724</v>
      </c>
      <c r="F81" s="100">
        <f t="shared" si="86"/>
        <v>13857145.465587817</v>
      </c>
      <c r="G81" s="100">
        <f t="shared" si="75"/>
        <v>249465865</v>
      </c>
      <c r="H81" s="100">
        <f t="shared" ca="1" si="75"/>
        <v>250496353.48757684</v>
      </c>
      <c r="I81" s="100">
        <f t="shared" ca="1" si="76"/>
        <v>1030488.4875768423</v>
      </c>
      <c r="J81" s="96">
        <f t="shared" ca="1" si="77"/>
        <v>4.13077952599584E-3</v>
      </c>
      <c r="L81" s="629">
        <f t="shared" ref="L81:U81" ca="1" si="91">L172+L212+L253+L303</f>
        <v>125248176.74378842</v>
      </c>
      <c r="M81" s="629">
        <f t="shared" ca="1" si="91"/>
        <v>125248176.74378842</v>
      </c>
      <c r="N81" s="629">
        <f t="shared" ca="1" si="91"/>
        <v>100107279.16147885</v>
      </c>
      <c r="O81" s="629">
        <f t="shared" ca="1" si="91"/>
        <v>100072785.81025207</v>
      </c>
      <c r="P81" s="629">
        <f t="shared" si="91"/>
        <v>25140897.58230957</v>
      </c>
      <c r="Q81" s="629">
        <f t="shared" si="91"/>
        <v>25175390.933536354</v>
      </c>
      <c r="R81" s="629">
        <f t="shared" si="91"/>
        <v>4397600</v>
      </c>
      <c r="S81" s="629">
        <f t="shared" si="91"/>
        <v>4397600</v>
      </c>
      <c r="T81" s="629">
        <f t="shared" ca="1" si="91"/>
        <v>129645776.74378842</v>
      </c>
      <c r="U81" s="629">
        <f t="shared" ca="1" si="91"/>
        <v>129645776.74378842</v>
      </c>
      <c r="V81" s="135"/>
      <c r="W81" s="135"/>
      <c r="X81" s="135"/>
      <c r="Y81" s="629">
        <f t="shared" si="79"/>
        <v>129645425.5</v>
      </c>
      <c r="Z81" s="629">
        <f t="shared" si="79"/>
        <v>129645425.5</v>
      </c>
      <c r="AA81" s="115"/>
      <c r="AB81" s="100">
        <f t="shared" ca="1" si="85"/>
        <v>351.24378842115402</v>
      </c>
      <c r="AC81" s="100">
        <f t="shared" ca="1" si="80"/>
        <v>351.24378842115402</v>
      </c>
      <c r="AE81" s="120">
        <f t="shared" ca="1" si="81"/>
        <v>2.7092574647865094E-6</v>
      </c>
      <c r="AF81" s="120">
        <f t="shared" ca="1" si="82"/>
        <v>2.7092574647865094E-6</v>
      </c>
    </row>
    <row r="82" spans="1:32" ht="19.95" customHeight="1" outlineLevel="1">
      <c r="A82" s="117">
        <v>11163</v>
      </c>
      <c r="B82" s="118" t="s">
        <v>88</v>
      </c>
      <c r="C82" s="622">
        <f t="shared" si="83"/>
        <v>64557969</v>
      </c>
      <c r="D82" s="119">
        <v>0</v>
      </c>
      <c r="E82" s="100">
        <f t="shared" si="86"/>
        <v>4170980.7782017877</v>
      </c>
      <c r="F82" s="100">
        <f t="shared" si="86"/>
        <v>83226373.998027086</v>
      </c>
      <c r="G82" s="100">
        <f t="shared" si="75"/>
        <v>64557969</v>
      </c>
      <c r="H82" s="100">
        <f t="shared" ca="1" si="75"/>
        <v>64099185.879249528</v>
      </c>
      <c r="I82" s="100">
        <f t="shared" ca="1" si="76"/>
        <v>-458783.12075047195</v>
      </c>
      <c r="J82" s="96">
        <f t="shared" ca="1" si="77"/>
        <v>-7.1065296485778844E-3</v>
      </c>
      <c r="L82" s="629">
        <f t="shared" ref="L82:U82" ca="1" si="92">L173+L213+L254+L304</f>
        <v>32049592.939624764</v>
      </c>
      <c r="M82" s="629">
        <f t="shared" ca="1" si="92"/>
        <v>32049592.939624764</v>
      </c>
      <c r="N82" s="629">
        <f t="shared" ca="1" si="92"/>
        <v>24641635.729763329</v>
      </c>
      <c r="O82" s="629">
        <f t="shared" ca="1" si="92"/>
        <v>24628512.150864914</v>
      </c>
      <c r="P82" s="629">
        <f t="shared" si="92"/>
        <v>7407957.2098614387</v>
      </c>
      <c r="Q82" s="629">
        <f t="shared" si="92"/>
        <v>7421080.7887598472</v>
      </c>
      <c r="R82" s="629">
        <f t="shared" si="92"/>
        <v>0</v>
      </c>
      <c r="S82" s="629">
        <f t="shared" si="92"/>
        <v>0</v>
      </c>
      <c r="T82" s="629">
        <f t="shared" ca="1" si="92"/>
        <v>32049592.939624764</v>
      </c>
      <c r="U82" s="629">
        <f t="shared" ca="1" si="92"/>
        <v>32049592.939624764</v>
      </c>
      <c r="V82" s="135"/>
      <c r="W82" s="135"/>
      <c r="X82" s="135"/>
      <c r="Y82" s="629">
        <f t="shared" si="79"/>
        <v>32049537</v>
      </c>
      <c r="Z82" s="629">
        <f t="shared" si="79"/>
        <v>32049537</v>
      </c>
      <c r="AA82" s="115"/>
      <c r="AB82" s="100">
        <f t="shared" ca="1" si="85"/>
        <v>55.939624764025211</v>
      </c>
      <c r="AC82" s="100">
        <f t="shared" ca="1" si="80"/>
        <v>55.939624764025211</v>
      </c>
      <c r="AE82" s="120">
        <f t="shared" ca="1" si="81"/>
        <v>1.7454082761489249E-6</v>
      </c>
      <c r="AF82" s="120">
        <f t="shared" ca="1" si="82"/>
        <v>1.7454082761489249E-6</v>
      </c>
    </row>
    <row r="83" spans="1:32" ht="19.95" customHeight="1" outlineLevel="1">
      <c r="A83" s="117">
        <v>3632</v>
      </c>
      <c r="B83" s="121" t="s">
        <v>3</v>
      </c>
      <c r="C83" s="622">
        <f t="shared" si="83"/>
        <v>722098462.73806632</v>
      </c>
      <c r="D83" s="119">
        <v>20639592</v>
      </c>
      <c r="E83" s="100">
        <f t="shared" si="86"/>
        <v>2259873.2752762521</v>
      </c>
      <c r="F83" s="100">
        <f t="shared" si="86"/>
        <v>23241686.045731243</v>
      </c>
      <c r="G83" s="100">
        <f t="shared" si="75"/>
        <v>701458870.73806632</v>
      </c>
      <c r="H83" s="100">
        <f t="shared" ca="1" si="75"/>
        <v>729130352.2151736</v>
      </c>
      <c r="I83" s="100">
        <f t="shared" ca="1" si="76"/>
        <v>27671481.477107286</v>
      </c>
      <c r="J83" s="96">
        <f t="shared" ca="1" si="77"/>
        <v>3.9448473219807878E-2</v>
      </c>
      <c r="L83" s="629">
        <f t="shared" ref="L83:U83" ca="1" si="93">L174+L214+L255+L305</f>
        <v>364565176.1075868</v>
      </c>
      <c r="M83" s="629">
        <f t="shared" ca="1" si="93"/>
        <v>364565176.1075868</v>
      </c>
      <c r="N83" s="629">
        <f t="shared" ca="1" si="93"/>
        <v>297097128.8050946</v>
      </c>
      <c r="O83" s="629">
        <f t="shared" ca="1" si="93"/>
        <v>296820341.64694536</v>
      </c>
      <c r="P83" s="629">
        <f t="shared" si="93"/>
        <v>67468047.302492231</v>
      </c>
      <c r="Q83" s="629">
        <f t="shared" si="93"/>
        <v>67744834.460641488</v>
      </c>
      <c r="R83" s="629">
        <f t="shared" si="93"/>
        <v>10906430</v>
      </c>
      <c r="S83" s="629">
        <f t="shared" si="93"/>
        <v>10906430</v>
      </c>
      <c r="T83" s="629">
        <f t="shared" ca="1" si="93"/>
        <v>375471606.1075868</v>
      </c>
      <c r="U83" s="629">
        <f t="shared" ca="1" si="93"/>
        <v>375471606.1075868</v>
      </c>
      <c r="V83" s="135"/>
      <c r="W83" s="135"/>
      <c r="X83" s="135"/>
      <c r="Y83" s="629">
        <f t="shared" si="79"/>
        <v>375472232.6363861</v>
      </c>
      <c r="Z83" s="629">
        <f t="shared" si="79"/>
        <v>375472232.6363861</v>
      </c>
      <c r="AA83" s="115"/>
      <c r="AB83" s="100">
        <f t="shared" ca="1" si="85"/>
        <v>-626.52879929542542</v>
      </c>
      <c r="AC83" s="100">
        <f t="shared" ca="1" si="80"/>
        <v>-626.52879929542542</v>
      </c>
      <c r="AE83" s="120">
        <f t="shared" ca="1" si="81"/>
        <v>-1.6686449497219805E-6</v>
      </c>
      <c r="AF83" s="120">
        <f t="shared" ca="1" si="82"/>
        <v>-1.6686449497219805E-6</v>
      </c>
    </row>
    <row r="84" spans="1:32" ht="19.95" customHeight="1" outlineLevel="1">
      <c r="A84" s="117">
        <v>10298</v>
      </c>
      <c r="B84" s="118" t="s">
        <v>116</v>
      </c>
      <c r="C84" s="622">
        <f t="shared" si="83"/>
        <v>27909989.521878786</v>
      </c>
      <c r="D84" s="119">
        <v>320000</v>
      </c>
      <c r="E84" s="100">
        <f t="shared" si="86"/>
        <v>2482659.0404257756</v>
      </c>
      <c r="F84" s="100">
        <f t="shared" si="86"/>
        <v>252008891.08193389</v>
      </c>
      <c r="G84" s="100">
        <f t="shared" si="75"/>
        <v>27589989.521878786</v>
      </c>
      <c r="H84" s="100">
        <f t="shared" ca="1" si="75"/>
        <v>31309244.777876504</v>
      </c>
      <c r="I84" s="100">
        <f t="shared" ca="1" si="76"/>
        <v>3719255.2559977174</v>
      </c>
      <c r="J84" s="96">
        <f t="shared" ca="1" si="77"/>
        <v>0.13480451861166379</v>
      </c>
      <c r="L84" s="629">
        <f t="shared" ref="L84:U84" ca="1" si="94">L175+L215+L256+L306</f>
        <v>15654622.388938252</v>
      </c>
      <c r="M84" s="629">
        <f t="shared" ca="1" si="94"/>
        <v>15654622.388938252</v>
      </c>
      <c r="N84" s="629">
        <f t="shared" ca="1" si="94"/>
        <v>12459499.153423397</v>
      </c>
      <c r="O84" s="629">
        <f t="shared" ca="1" si="94"/>
        <v>12445797.63225951</v>
      </c>
      <c r="P84" s="629">
        <f t="shared" si="94"/>
        <v>3195123.2355148545</v>
      </c>
      <c r="Q84" s="629">
        <f t="shared" si="94"/>
        <v>3208824.7566787405</v>
      </c>
      <c r="R84" s="629">
        <f t="shared" si="94"/>
        <v>177768</v>
      </c>
      <c r="S84" s="629">
        <f t="shared" si="94"/>
        <v>177768</v>
      </c>
      <c r="T84" s="629">
        <f t="shared" ca="1" si="94"/>
        <v>15832390.388938252</v>
      </c>
      <c r="U84" s="629">
        <f t="shared" ca="1" si="94"/>
        <v>15832390.388938252</v>
      </c>
      <c r="V84" s="135"/>
      <c r="W84" s="135"/>
      <c r="X84" s="135"/>
      <c r="Y84" s="629">
        <f t="shared" si="79"/>
        <v>15832386.859765558</v>
      </c>
      <c r="Z84" s="629">
        <f t="shared" si="79"/>
        <v>15832386.859765558</v>
      </c>
      <c r="AA84" s="115"/>
      <c r="AB84" s="100">
        <f t="shared" ca="1" si="85"/>
        <v>3.5291726943105459</v>
      </c>
      <c r="AC84" s="100">
        <f t="shared" ca="1" si="80"/>
        <v>3.5291726943105459</v>
      </c>
      <c r="AE84" s="120">
        <f t="shared" ca="1" si="81"/>
        <v>2.2290839270716205E-7</v>
      </c>
      <c r="AF84" s="120">
        <f t="shared" ca="1" si="82"/>
        <v>2.2290839270716205E-7</v>
      </c>
    </row>
    <row r="85" spans="1:32" ht="19.95" customHeight="1" outlineLevel="1">
      <c r="A85" s="117">
        <v>3630</v>
      </c>
      <c r="B85" s="118" t="s">
        <v>89</v>
      </c>
      <c r="C85" s="622">
        <f t="shared" si="83"/>
        <v>62241343</v>
      </c>
      <c r="D85" s="119">
        <v>790532</v>
      </c>
      <c r="E85" s="100">
        <f t="shared" si="86"/>
        <v>1105770.401805944</v>
      </c>
      <c r="F85" s="100">
        <f t="shared" si="86"/>
        <v>5529643.1857057428</v>
      </c>
      <c r="G85" s="100">
        <f t="shared" si="75"/>
        <v>61450811</v>
      </c>
      <c r="H85" s="100">
        <f t="shared" ca="1" si="75"/>
        <v>63980018.740802482</v>
      </c>
      <c r="I85" s="100">
        <f t="shared" ca="1" si="76"/>
        <v>2529207.7408024818</v>
      </c>
      <c r="J85" s="96">
        <f t="shared" ca="1" si="77"/>
        <v>4.1158248355786256E-2</v>
      </c>
      <c r="L85" s="629">
        <f t="shared" ref="L85:U85" ca="1" si="95">L176+L216+L257+L307</f>
        <v>31990009.370401241</v>
      </c>
      <c r="M85" s="629">
        <f t="shared" ca="1" si="95"/>
        <v>31990009.370401241</v>
      </c>
      <c r="N85" s="629">
        <f t="shared" ca="1" si="95"/>
        <v>18457504.681624189</v>
      </c>
      <c r="O85" s="629">
        <f t="shared" ca="1" si="95"/>
        <v>18385352.081135288</v>
      </c>
      <c r="P85" s="629">
        <f t="shared" si="95"/>
        <v>13532504.688777052</v>
      </c>
      <c r="Q85" s="629">
        <f t="shared" si="95"/>
        <v>13604657.289265953</v>
      </c>
      <c r="R85" s="629">
        <f t="shared" si="95"/>
        <v>364150</v>
      </c>
      <c r="S85" s="629">
        <f t="shared" si="95"/>
        <v>364150</v>
      </c>
      <c r="T85" s="629">
        <f t="shared" ca="1" si="95"/>
        <v>32354159.370401241</v>
      </c>
      <c r="U85" s="629">
        <f t="shared" ca="1" si="95"/>
        <v>32354159.370401241</v>
      </c>
      <c r="V85" s="135"/>
      <c r="W85" s="135"/>
      <c r="X85" s="135"/>
      <c r="Y85" s="629">
        <f t="shared" si="79"/>
        <v>32353971.5</v>
      </c>
      <c r="Z85" s="629">
        <f t="shared" si="79"/>
        <v>32353971.5</v>
      </c>
      <c r="AA85" s="115"/>
      <c r="AB85" s="100">
        <f t="shared" ca="1" si="85"/>
        <v>187.87040124088526</v>
      </c>
      <c r="AC85" s="100">
        <f t="shared" ca="1" si="80"/>
        <v>187.87040124088526</v>
      </c>
      <c r="AE85" s="120">
        <f t="shared" ca="1" si="81"/>
        <v>5.8066846704339328E-6</v>
      </c>
      <c r="AF85" s="120">
        <f t="shared" ca="1" si="82"/>
        <v>5.8066846704339328E-6</v>
      </c>
    </row>
    <row r="86" spans="1:32" ht="19.95" customHeight="1" outlineLevel="1">
      <c r="A86" s="117">
        <v>3631</v>
      </c>
      <c r="B86" s="118" t="s">
        <v>31</v>
      </c>
      <c r="C86" s="622">
        <f t="shared" si="83"/>
        <v>89832657</v>
      </c>
      <c r="D86" s="119">
        <v>2908862</v>
      </c>
      <c r="E86" s="100">
        <f t="shared" si="86"/>
        <v>6415620.6119907163</v>
      </c>
      <c r="F86" s="100">
        <f t="shared" si="86"/>
        <v>34597427.394261934</v>
      </c>
      <c r="G86" s="100">
        <f t="shared" si="75"/>
        <v>86923795</v>
      </c>
      <c r="H86" s="100">
        <f t="shared" ca="1" si="75"/>
        <v>96812095.39035289</v>
      </c>
      <c r="I86" s="100">
        <f t="shared" ca="1" si="76"/>
        <v>9888300.3903528899</v>
      </c>
      <c r="J86" s="96">
        <f t="shared" ca="1" si="77"/>
        <v>0.11375826826650734</v>
      </c>
      <c r="L86" s="629">
        <f t="shared" ref="L86:U86" ca="1" si="96">L177+L217+L258+L308</f>
        <v>48406047.695176445</v>
      </c>
      <c r="M86" s="629">
        <f t="shared" ca="1" si="96"/>
        <v>48406047.695176445</v>
      </c>
      <c r="N86" s="629">
        <f t="shared" ca="1" si="96"/>
        <v>39463415.0188789</v>
      </c>
      <c r="O86" s="629">
        <f t="shared" ca="1" si="96"/>
        <v>39449011.00121738</v>
      </c>
      <c r="P86" s="629">
        <f t="shared" si="96"/>
        <v>8942632.6762975454</v>
      </c>
      <c r="Q86" s="629">
        <f t="shared" si="96"/>
        <v>8957036.6939590685</v>
      </c>
      <c r="R86" s="629">
        <f t="shared" si="96"/>
        <v>1911416</v>
      </c>
      <c r="S86" s="629">
        <f t="shared" si="96"/>
        <v>1911416</v>
      </c>
      <c r="T86" s="629">
        <f t="shared" ca="1" si="96"/>
        <v>50317463.695176445</v>
      </c>
      <c r="U86" s="629">
        <f t="shared" ca="1" si="96"/>
        <v>50317463.695176445</v>
      </c>
      <c r="V86" s="135"/>
      <c r="W86" s="135"/>
      <c r="X86" s="135"/>
      <c r="Y86" s="629">
        <f t="shared" si="79"/>
        <v>50317763.5</v>
      </c>
      <c r="Z86" s="629">
        <f t="shared" si="79"/>
        <v>50317763.5</v>
      </c>
      <c r="AA86" s="115"/>
      <c r="AB86" s="100">
        <f t="shared" ca="1" si="85"/>
        <v>-299.80482355505228</v>
      </c>
      <c r="AC86" s="100">
        <f t="shared" ca="1" si="80"/>
        <v>-299.80482355505228</v>
      </c>
      <c r="AE86" s="120">
        <f t="shared" ca="1" si="81"/>
        <v>-5.9582658094865842E-6</v>
      </c>
      <c r="AF86" s="120">
        <f t="shared" ca="1" si="82"/>
        <v>-5.9582658094865842E-6</v>
      </c>
    </row>
    <row r="87" spans="1:32" ht="19.95" customHeight="1" outlineLevel="1">
      <c r="A87" s="117">
        <v>42295</v>
      </c>
      <c r="B87" s="118" t="s">
        <v>113</v>
      </c>
      <c r="C87" s="622">
        <f t="shared" si="83"/>
        <v>17525747</v>
      </c>
      <c r="D87" s="119">
        <v>261064</v>
      </c>
      <c r="E87" s="100">
        <f t="shared" si="86"/>
        <v>1827298.0061395364</v>
      </c>
      <c r="F87" s="100">
        <f t="shared" si="86"/>
        <v>32777212.452476103</v>
      </c>
      <c r="G87" s="100">
        <f t="shared" si="75"/>
        <v>17264683</v>
      </c>
      <c r="H87" s="100">
        <f t="shared" ca="1" si="75"/>
        <v>16660592.480067421</v>
      </c>
      <c r="I87" s="100">
        <f t="shared" ca="1" si="76"/>
        <v>-604090.51993257925</v>
      </c>
      <c r="J87" s="96">
        <f t="shared" ca="1" si="77"/>
        <v>-3.4989957240024579E-2</v>
      </c>
      <c r="L87" s="629">
        <f t="shared" ref="L87:U87" ca="1" si="97">L178+L218+L259+L309</f>
        <v>8330296.2400337104</v>
      </c>
      <c r="M87" s="629">
        <f t="shared" ca="1" si="97"/>
        <v>8330296.2400337104</v>
      </c>
      <c r="N87" s="629">
        <f t="shared" ca="1" si="97"/>
        <v>7030323.0060466491</v>
      </c>
      <c r="O87" s="629">
        <f t="shared" ca="1" si="97"/>
        <v>7028113.3523176601</v>
      </c>
      <c r="P87" s="629">
        <f t="shared" si="97"/>
        <v>1299973.233987062</v>
      </c>
      <c r="Q87" s="629">
        <f t="shared" si="97"/>
        <v>1302182.8877160512</v>
      </c>
      <c r="R87" s="629">
        <f t="shared" si="97"/>
        <v>170532</v>
      </c>
      <c r="S87" s="629">
        <f t="shared" si="97"/>
        <v>170532</v>
      </c>
      <c r="T87" s="629">
        <f t="shared" ca="1" si="97"/>
        <v>8500828.2400337104</v>
      </c>
      <c r="U87" s="629">
        <f t="shared" ca="1" si="97"/>
        <v>8500828.2400337104</v>
      </c>
      <c r="V87" s="135"/>
      <c r="W87" s="135"/>
      <c r="X87" s="135"/>
      <c r="Y87" s="629">
        <f t="shared" si="79"/>
        <v>8500823</v>
      </c>
      <c r="Z87" s="629">
        <f t="shared" si="79"/>
        <v>8500823</v>
      </c>
      <c r="AA87" s="115"/>
      <c r="AB87" s="100">
        <f t="shared" ca="1" si="85"/>
        <v>5.2400337103754282</v>
      </c>
      <c r="AC87" s="100">
        <f t="shared" ca="1" si="80"/>
        <v>5.2400337103754282</v>
      </c>
      <c r="AE87" s="120">
        <f t="shared" ca="1" si="81"/>
        <v>6.1641449073139355E-7</v>
      </c>
      <c r="AF87" s="120">
        <f t="shared" ca="1" si="82"/>
        <v>6.1641449073139355E-7</v>
      </c>
    </row>
    <row r="88" spans="1:32" ht="19.95" customHeight="1" outlineLevel="1">
      <c r="A88" s="117">
        <v>11161</v>
      </c>
      <c r="B88" s="118" t="s">
        <v>90</v>
      </c>
      <c r="C88" s="622">
        <f t="shared" si="83"/>
        <v>82680904</v>
      </c>
      <c r="D88" s="119">
        <v>2015708</v>
      </c>
      <c r="E88" s="100">
        <f t="shared" si="86"/>
        <v>3810120.3836175762</v>
      </c>
      <c r="F88" s="100">
        <f t="shared" si="86"/>
        <v>5036631.6989068799</v>
      </c>
      <c r="G88" s="100">
        <f t="shared" si="75"/>
        <v>80665196</v>
      </c>
      <c r="H88" s="100">
        <f t="shared" ca="1" si="75"/>
        <v>82915742.25508067</v>
      </c>
      <c r="I88" s="100">
        <f t="shared" ca="1" si="76"/>
        <v>2250546.2550806701</v>
      </c>
      <c r="J88" s="96">
        <f t="shared" ca="1" si="77"/>
        <v>2.7899842393994432E-2</v>
      </c>
      <c r="L88" s="629">
        <f t="shared" ref="L88:U88" ca="1" si="98">L179+L219+L260+L310</f>
        <v>41457871.127540335</v>
      </c>
      <c r="M88" s="629">
        <f t="shared" ca="1" si="98"/>
        <v>41457871.127540335</v>
      </c>
      <c r="N88" s="629">
        <f t="shared" ca="1" si="98"/>
        <v>30665636.333272137</v>
      </c>
      <c r="O88" s="629">
        <f t="shared" ca="1" si="98"/>
        <v>30662928.493151776</v>
      </c>
      <c r="P88" s="629">
        <f t="shared" si="98"/>
        <v>10792234.794268193</v>
      </c>
      <c r="Q88" s="629">
        <f t="shared" si="98"/>
        <v>10794942.634388553</v>
      </c>
      <c r="R88" s="629">
        <f t="shared" si="98"/>
        <v>1196955</v>
      </c>
      <c r="S88" s="629">
        <f t="shared" si="98"/>
        <v>1196955</v>
      </c>
      <c r="T88" s="629">
        <f t="shared" ca="1" si="98"/>
        <v>42654826.127540335</v>
      </c>
      <c r="U88" s="629">
        <f t="shared" ca="1" si="98"/>
        <v>42654826.127540335</v>
      </c>
      <c r="V88" s="135"/>
      <c r="W88" s="135"/>
      <c r="X88" s="135"/>
      <c r="Y88" s="629">
        <f t="shared" si="79"/>
        <v>42654972</v>
      </c>
      <c r="Z88" s="629">
        <f t="shared" si="79"/>
        <v>42654972</v>
      </c>
      <c r="AA88" s="115"/>
      <c r="AB88" s="100">
        <f t="shared" ca="1" si="85"/>
        <v>-145.87245966494083</v>
      </c>
      <c r="AC88" s="100">
        <f t="shared" ca="1" si="80"/>
        <v>-145.87245966494083</v>
      </c>
      <c r="AE88" s="120">
        <f t="shared" ca="1" si="81"/>
        <v>-3.419834820772073E-6</v>
      </c>
      <c r="AF88" s="120">
        <f t="shared" ca="1" si="82"/>
        <v>-3.419834820772073E-6</v>
      </c>
    </row>
    <row r="89" spans="1:32" ht="19.95" customHeight="1" outlineLevel="1">
      <c r="A89" s="117">
        <v>3639</v>
      </c>
      <c r="B89" s="118" t="s">
        <v>91</v>
      </c>
      <c r="C89" s="622">
        <f t="shared" si="83"/>
        <v>54727923</v>
      </c>
      <c r="D89" s="119">
        <v>1287600</v>
      </c>
      <c r="E89" s="100">
        <f t="shared" si="86"/>
        <v>4749462.7054739352</v>
      </c>
      <c r="F89" s="100">
        <f t="shared" si="86"/>
        <v>29095500.2275768</v>
      </c>
      <c r="G89" s="100">
        <f t="shared" si="75"/>
        <v>53440323</v>
      </c>
      <c r="H89" s="100">
        <f t="shared" ca="1" si="75"/>
        <v>50245040.079465739</v>
      </c>
      <c r="I89" s="100">
        <f t="shared" ca="1" si="76"/>
        <v>-3195282.9205342606</v>
      </c>
      <c r="J89" s="96">
        <f t="shared" ca="1" si="77"/>
        <v>-5.9791609428226332E-2</v>
      </c>
      <c r="L89" s="629">
        <f t="shared" ref="L89:U89" ca="1" si="99">L180+L220+L261+L311</f>
        <v>25122520.03973287</v>
      </c>
      <c r="M89" s="629">
        <f t="shared" ca="1" si="99"/>
        <v>25122520.03973287</v>
      </c>
      <c r="N89" s="629">
        <f t="shared" ca="1" si="99"/>
        <v>17222054.294314619</v>
      </c>
      <c r="O89" s="629">
        <f t="shared" ca="1" si="99"/>
        <v>17171734.21075131</v>
      </c>
      <c r="P89" s="629">
        <f t="shared" si="99"/>
        <v>7900465.7454182478</v>
      </c>
      <c r="Q89" s="629">
        <f t="shared" si="99"/>
        <v>7950785.8289815579</v>
      </c>
      <c r="R89" s="629">
        <f t="shared" si="99"/>
        <v>683000</v>
      </c>
      <c r="S89" s="629">
        <f t="shared" si="99"/>
        <v>683000</v>
      </c>
      <c r="T89" s="629">
        <f t="shared" ca="1" si="99"/>
        <v>25805520.03973287</v>
      </c>
      <c r="U89" s="629">
        <f t="shared" ca="1" si="99"/>
        <v>25805520.03973287</v>
      </c>
      <c r="V89" s="135"/>
      <c r="W89" s="135"/>
      <c r="X89" s="135"/>
      <c r="Y89" s="629">
        <f t="shared" si="79"/>
        <v>25805610.5</v>
      </c>
      <c r="Z89" s="629">
        <f t="shared" si="79"/>
        <v>25805610.5</v>
      </c>
      <c r="AA89" s="115"/>
      <c r="AB89" s="100">
        <f t="shared" ca="1" si="85"/>
        <v>-90.460267130285501</v>
      </c>
      <c r="AC89" s="100">
        <f t="shared" ca="1" si="80"/>
        <v>-90.460267130285501</v>
      </c>
      <c r="AE89" s="120">
        <f t="shared" ca="1" si="81"/>
        <v>-3.5054618930757234E-6</v>
      </c>
      <c r="AF89" s="120">
        <f t="shared" ca="1" si="82"/>
        <v>-3.5054618930757234E-6</v>
      </c>
    </row>
    <row r="90" spans="1:32" ht="19.95" customHeight="1" outlineLevel="1">
      <c r="A90" s="117">
        <v>42485</v>
      </c>
      <c r="B90" s="118" t="s">
        <v>114</v>
      </c>
      <c r="C90" s="622">
        <f t="shared" si="83"/>
        <v>37152214</v>
      </c>
      <c r="D90" s="119">
        <v>1018350</v>
      </c>
      <c r="E90" s="100">
        <f t="shared" si="86"/>
        <v>1775837.9441435242</v>
      </c>
      <c r="F90" s="100">
        <f t="shared" si="86"/>
        <v>22687876.139640246</v>
      </c>
      <c r="G90" s="100">
        <f t="shared" si="75"/>
        <v>36133864</v>
      </c>
      <c r="H90" s="100">
        <f t="shared" ca="1" si="75"/>
        <v>38217439.61012207</v>
      </c>
      <c r="I90" s="100">
        <f t="shared" ca="1" si="76"/>
        <v>2083575.6101220697</v>
      </c>
      <c r="J90" s="96">
        <f t="shared" ca="1" si="77"/>
        <v>5.766268479125481E-2</v>
      </c>
      <c r="L90" s="629">
        <f t="shared" ref="L90:U90" ca="1" si="100">L181+L221+L262+L312</f>
        <v>19108719.805061035</v>
      </c>
      <c r="M90" s="629">
        <f t="shared" ca="1" si="100"/>
        <v>19108719.805061035</v>
      </c>
      <c r="N90" s="629">
        <f t="shared" ca="1" si="100"/>
        <v>14046910.676228074</v>
      </c>
      <c r="O90" s="629">
        <f t="shared" ca="1" si="100"/>
        <v>14043418.97845706</v>
      </c>
      <c r="P90" s="629">
        <f t="shared" si="100"/>
        <v>5061809.1288329605</v>
      </c>
      <c r="Q90" s="629">
        <f t="shared" si="100"/>
        <v>5065300.8266039733</v>
      </c>
      <c r="R90" s="629">
        <f t="shared" si="100"/>
        <v>372330</v>
      </c>
      <c r="S90" s="629">
        <f t="shared" si="100"/>
        <v>372330</v>
      </c>
      <c r="T90" s="629">
        <f t="shared" ca="1" si="100"/>
        <v>19481049.805061035</v>
      </c>
      <c r="U90" s="629">
        <f t="shared" ca="1" si="100"/>
        <v>19481049.805061035</v>
      </c>
      <c r="V90" s="135"/>
      <c r="W90" s="135"/>
      <c r="X90" s="135"/>
      <c r="Y90" s="629">
        <f t="shared" si="79"/>
        <v>19481129.5</v>
      </c>
      <c r="Z90" s="629">
        <f t="shared" si="79"/>
        <v>19481129.5</v>
      </c>
      <c r="AA90" s="115"/>
      <c r="AB90" s="100">
        <f t="shared" ca="1" si="85"/>
        <v>-79.694938965141773</v>
      </c>
      <c r="AC90" s="100">
        <f t="shared" ca="1" si="80"/>
        <v>-79.694938965141773</v>
      </c>
      <c r="AE90" s="120">
        <f t="shared" ca="1" si="81"/>
        <v>-4.0908954990935658E-6</v>
      </c>
      <c r="AF90" s="120">
        <f t="shared" ca="1" si="82"/>
        <v>-4.0908954990935658E-6</v>
      </c>
    </row>
    <row r="91" spans="1:32" ht="19.95" customHeight="1" outlineLevel="1">
      <c r="A91" s="117">
        <v>9651</v>
      </c>
      <c r="B91" s="118" t="s">
        <v>92</v>
      </c>
      <c r="C91" s="622">
        <f t="shared" si="83"/>
        <v>55106748</v>
      </c>
      <c r="D91" s="119">
        <v>1188902</v>
      </c>
      <c r="E91" s="100">
        <f t="shared" si="86"/>
        <v>6490560.0295504415</v>
      </c>
      <c r="F91" s="100">
        <f t="shared" si="86"/>
        <v>14726962.098288111</v>
      </c>
      <c r="G91" s="100">
        <f t="shared" si="75"/>
        <v>53917846</v>
      </c>
      <c r="H91" s="100">
        <f t="shared" ca="1" si="75"/>
        <v>58446847.92505493</v>
      </c>
      <c r="I91" s="100">
        <f t="shared" ca="1" si="76"/>
        <v>4529001.9250549302</v>
      </c>
      <c r="J91" s="96">
        <f t="shared" ca="1" si="77"/>
        <v>8.3998198389730369E-2</v>
      </c>
      <c r="L91" s="629">
        <f t="shared" ref="L91:U91" ca="1" si="101">L182+L222+L263+L313</f>
        <v>29223423.962527465</v>
      </c>
      <c r="M91" s="629">
        <f t="shared" ca="1" si="101"/>
        <v>29223423.962527465</v>
      </c>
      <c r="N91" s="629">
        <f t="shared" ca="1" si="101"/>
        <v>21947191.318503797</v>
      </c>
      <c r="O91" s="629">
        <f t="shared" ca="1" si="101"/>
        <v>21944409.383096505</v>
      </c>
      <c r="P91" s="629">
        <f t="shared" si="101"/>
        <v>7276232.6440236699</v>
      </c>
      <c r="Q91" s="629">
        <f t="shared" si="101"/>
        <v>7279014.5794309638</v>
      </c>
      <c r="R91" s="629">
        <f t="shared" si="101"/>
        <v>747125</v>
      </c>
      <c r="S91" s="629">
        <f t="shared" si="101"/>
        <v>747125</v>
      </c>
      <c r="T91" s="629">
        <f t="shared" ca="1" si="101"/>
        <v>29970548.962527465</v>
      </c>
      <c r="U91" s="629">
        <f t="shared" ca="1" si="101"/>
        <v>29970548.962527465</v>
      </c>
      <c r="V91" s="135"/>
      <c r="W91" s="135"/>
      <c r="X91" s="135"/>
      <c r="Y91" s="629">
        <f t="shared" si="79"/>
        <v>29970625</v>
      </c>
      <c r="Z91" s="629">
        <f t="shared" si="79"/>
        <v>29970625</v>
      </c>
      <c r="AA91" s="115"/>
      <c r="AB91" s="100">
        <f t="shared" ca="1" si="85"/>
        <v>-76.037472534924746</v>
      </c>
      <c r="AC91" s="100">
        <f t="shared" ca="1" si="80"/>
        <v>-76.037472534924746</v>
      </c>
      <c r="AE91" s="120">
        <f t="shared" ca="1" si="81"/>
        <v>-2.5370730656283708E-6</v>
      </c>
      <c r="AF91" s="120">
        <f t="shared" ca="1" si="82"/>
        <v>-2.5370730656283708E-6</v>
      </c>
    </row>
    <row r="92" spans="1:32" ht="19.95" customHeight="1" outlineLevel="1">
      <c r="A92" s="117">
        <v>3665</v>
      </c>
      <c r="B92" s="118" t="s">
        <v>32</v>
      </c>
      <c r="C92" s="622">
        <f t="shared" si="83"/>
        <v>65138054</v>
      </c>
      <c r="D92" s="119">
        <v>3758606</v>
      </c>
      <c r="E92" s="100">
        <f t="shared" si="86"/>
        <v>3336916.9784585671</v>
      </c>
      <c r="F92" s="100">
        <f t="shared" si="86"/>
        <v>19433616.375846181</v>
      </c>
      <c r="G92" s="100">
        <f t="shared" si="75"/>
        <v>61379448</v>
      </c>
      <c r="H92" s="100">
        <f t="shared" ca="1" si="75"/>
        <v>60906904.00800617</v>
      </c>
      <c r="I92" s="100">
        <f t="shared" ca="1" si="76"/>
        <v>-472543.99199382961</v>
      </c>
      <c r="J92" s="96">
        <f t="shared" ca="1" si="77"/>
        <v>-7.6987331654372257E-3</v>
      </c>
      <c r="L92" s="629">
        <f t="shared" ref="L92:U92" ca="1" si="102">L183+L223+L264+L314</f>
        <v>30453452.004003085</v>
      </c>
      <c r="M92" s="629">
        <f t="shared" ca="1" si="102"/>
        <v>30453452.004003085</v>
      </c>
      <c r="N92" s="629">
        <f t="shared" ca="1" si="102"/>
        <v>23541913.900958911</v>
      </c>
      <c r="O92" s="629">
        <f t="shared" ca="1" si="102"/>
        <v>23522509.280090712</v>
      </c>
      <c r="P92" s="629">
        <f t="shared" si="102"/>
        <v>6911538.1030441774</v>
      </c>
      <c r="Q92" s="629">
        <f t="shared" si="102"/>
        <v>6930942.7239123788</v>
      </c>
      <c r="R92" s="629">
        <f t="shared" si="102"/>
        <v>1675882</v>
      </c>
      <c r="S92" s="629">
        <f t="shared" si="102"/>
        <v>1675882</v>
      </c>
      <c r="T92" s="629">
        <f t="shared" ca="1" si="102"/>
        <v>32129334.004003085</v>
      </c>
      <c r="U92" s="629">
        <f t="shared" ca="1" si="102"/>
        <v>32129334.004003085</v>
      </c>
      <c r="V92" s="135"/>
      <c r="W92" s="135"/>
      <c r="X92" s="135"/>
      <c r="Y92" s="629">
        <f t="shared" si="79"/>
        <v>32129386.5</v>
      </c>
      <c r="Z92" s="629">
        <f t="shared" si="79"/>
        <v>32129386.5</v>
      </c>
      <c r="AA92" s="115"/>
      <c r="AB92" s="100">
        <f t="shared" ca="1" si="85"/>
        <v>-52.495996914803982</v>
      </c>
      <c r="AC92" s="100">
        <f t="shared" ca="1" si="80"/>
        <v>-52.495996914803982</v>
      </c>
      <c r="AE92" s="120">
        <f t="shared" ca="1" si="81"/>
        <v>-1.6338962055131102E-6</v>
      </c>
      <c r="AF92" s="120">
        <f t="shared" ca="1" si="82"/>
        <v>-1.6338962055131102E-6</v>
      </c>
    </row>
    <row r="93" spans="1:32" ht="19.95" customHeight="1" outlineLevel="1">
      <c r="A93" s="117">
        <v>3565</v>
      </c>
      <c r="B93" s="118" t="s">
        <v>94</v>
      </c>
      <c r="C93" s="622">
        <f t="shared" si="83"/>
        <v>93786779</v>
      </c>
      <c r="D93" s="119">
        <v>4991800</v>
      </c>
      <c r="E93" s="100">
        <f t="shared" si="86"/>
        <v>4681852.8013563529</v>
      </c>
      <c r="F93" s="100">
        <f t="shared" si="86"/>
        <v>23561679.310644776</v>
      </c>
      <c r="G93" s="100">
        <f t="shared" si="75"/>
        <v>88794979</v>
      </c>
      <c r="H93" s="100">
        <f t="shared" ca="1" si="75"/>
        <v>87598877.701205343</v>
      </c>
      <c r="I93" s="100">
        <f t="shared" ca="1" si="76"/>
        <v>-1196101.298794657</v>
      </c>
      <c r="J93" s="96">
        <f t="shared" ca="1" si="77"/>
        <v>-1.3470370873049668E-2</v>
      </c>
      <c r="L93" s="629">
        <f t="shared" ref="L93:U93" ca="1" si="103">L184+L224+L265+L315</f>
        <v>43799438.850602672</v>
      </c>
      <c r="M93" s="629">
        <f t="shared" ca="1" si="103"/>
        <v>43799438.850602672</v>
      </c>
      <c r="N93" s="629">
        <f t="shared" ca="1" si="103"/>
        <v>39993758.076865755</v>
      </c>
      <c r="O93" s="629">
        <f t="shared" ca="1" si="103"/>
        <v>39985635.604060419</v>
      </c>
      <c r="P93" s="629">
        <f t="shared" si="103"/>
        <v>3805680.7737369128</v>
      </c>
      <c r="Q93" s="629">
        <f t="shared" si="103"/>
        <v>3813803.2465422512</v>
      </c>
      <c r="R93" s="629">
        <f t="shared" si="103"/>
        <v>2720000</v>
      </c>
      <c r="S93" s="629">
        <f t="shared" si="103"/>
        <v>2720000</v>
      </c>
      <c r="T93" s="629">
        <f t="shared" ca="1" si="103"/>
        <v>46519438.850602672</v>
      </c>
      <c r="U93" s="629">
        <f t="shared" ca="1" si="103"/>
        <v>46519438.850602672</v>
      </c>
      <c r="V93" s="135"/>
      <c r="W93" s="135"/>
      <c r="X93" s="135"/>
      <c r="Y93" s="629">
        <f t="shared" si="79"/>
        <v>46519527</v>
      </c>
      <c r="Z93" s="629">
        <f t="shared" si="79"/>
        <v>46519527</v>
      </c>
      <c r="AA93" s="115"/>
      <c r="AB93" s="100">
        <f t="shared" ca="1" si="85"/>
        <v>-88.149397328495979</v>
      </c>
      <c r="AC93" s="100">
        <f t="shared" ca="1" si="80"/>
        <v>-88.149397328495979</v>
      </c>
      <c r="AE93" s="120">
        <f t="shared" ca="1" si="81"/>
        <v>-1.8948938230228455E-6</v>
      </c>
      <c r="AF93" s="120">
        <f t="shared" ca="1" si="82"/>
        <v>-1.8948938230228455E-6</v>
      </c>
    </row>
    <row r="94" spans="1:32" ht="19.95" customHeight="1" outlineLevel="1">
      <c r="A94" s="117">
        <v>29269</v>
      </c>
      <c r="B94" s="118" t="s">
        <v>93</v>
      </c>
      <c r="C94" s="622">
        <f t="shared" si="83"/>
        <v>15698288</v>
      </c>
      <c r="D94" s="119">
        <v>186250</v>
      </c>
      <c r="E94" s="100">
        <f t="shared" si="86"/>
        <v>1496944.585969806</v>
      </c>
      <c r="F94" s="100">
        <f t="shared" si="86"/>
        <v>26576668.586497746</v>
      </c>
      <c r="G94" s="100">
        <f t="shared" si="75"/>
        <v>15512038</v>
      </c>
      <c r="H94" s="100">
        <f t="shared" ca="1" si="75"/>
        <v>15264398.568984691</v>
      </c>
      <c r="I94" s="100">
        <f t="shared" ca="1" si="76"/>
        <v>-247639.43101530895</v>
      </c>
      <c r="J94" s="96">
        <f t="shared" ca="1" si="77"/>
        <v>-1.596433885833112E-2</v>
      </c>
      <c r="L94" s="629">
        <f t="shared" ref="L94:U94" ca="1" si="104">L185+L225+L266+L316</f>
        <v>7632199.2844923455</v>
      </c>
      <c r="M94" s="629">
        <f t="shared" ca="1" si="104"/>
        <v>7632199.2844923455</v>
      </c>
      <c r="N94" s="629">
        <f t="shared" ca="1" si="104"/>
        <v>5910106.0257112291</v>
      </c>
      <c r="O94" s="629">
        <f t="shared" ca="1" si="104"/>
        <v>5904360.3263695538</v>
      </c>
      <c r="P94" s="629">
        <f t="shared" si="104"/>
        <v>1722093.2587811174</v>
      </c>
      <c r="Q94" s="629">
        <f t="shared" si="104"/>
        <v>1727838.9581227922</v>
      </c>
      <c r="R94" s="629">
        <f t="shared" si="104"/>
        <v>112115</v>
      </c>
      <c r="S94" s="629">
        <f t="shared" si="104"/>
        <v>112115</v>
      </c>
      <c r="T94" s="629">
        <f t="shared" ca="1" si="104"/>
        <v>7744314.2844923455</v>
      </c>
      <c r="U94" s="629">
        <f t="shared" ca="1" si="104"/>
        <v>7744314.2844923455</v>
      </c>
      <c r="V94" s="135"/>
      <c r="W94" s="135"/>
      <c r="X94" s="135"/>
      <c r="Y94" s="629">
        <f t="shared" si="79"/>
        <v>7744273</v>
      </c>
      <c r="Z94" s="629">
        <f t="shared" si="79"/>
        <v>7744273</v>
      </c>
      <c r="AA94" s="115"/>
      <c r="AB94" s="100">
        <f t="shared" ca="1" si="85"/>
        <v>41.284492345526814</v>
      </c>
      <c r="AC94" s="100">
        <f t="shared" ca="1" si="80"/>
        <v>41.284492345526814</v>
      </c>
      <c r="AE94" s="120">
        <f t="shared" ca="1" si="81"/>
        <v>5.3309422666635867E-6</v>
      </c>
      <c r="AF94" s="120">
        <f t="shared" ca="1" si="82"/>
        <v>5.3309422666635867E-6</v>
      </c>
    </row>
    <row r="95" spans="1:32" ht="19.95" customHeight="1" outlineLevel="1">
      <c r="A95" s="117">
        <v>3652</v>
      </c>
      <c r="B95" s="118" t="s">
        <v>95</v>
      </c>
      <c r="C95" s="622">
        <f t="shared" si="83"/>
        <v>417661870</v>
      </c>
      <c r="D95" s="119">
        <v>25309680</v>
      </c>
      <c r="E95" s="100">
        <f t="shared" si="86"/>
        <v>8745366.0273946226</v>
      </c>
      <c r="F95" s="100">
        <f t="shared" si="86"/>
        <v>5980665.28627095</v>
      </c>
      <c r="G95" s="100">
        <f t="shared" ref="G95:H111" si="105">G186+G226+G267+G317</f>
        <v>392352190</v>
      </c>
      <c r="H95" s="100">
        <f t="shared" ca="1" si="105"/>
        <v>383422296.04524803</v>
      </c>
      <c r="I95" s="100">
        <f t="shared" ca="1" si="76"/>
        <v>-8929893.9547519684</v>
      </c>
      <c r="J95" s="96">
        <f t="shared" ca="1" si="77"/>
        <v>-2.2759893234575723E-2</v>
      </c>
      <c r="L95" s="629">
        <f t="shared" ref="L95:U95" ca="1" si="106">L186+L226+L267+L317</f>
        <v>191711148.02262402</v>
      </c>
      <c r="M95" s="629">
        <f t="shared" ca="1" si="106"/>
        <v>191711148.02262402</v>
      </c>
      <c r="N95" s="629">
        <f t="shared" ca="1" si="106"/>
        <v>143576074.51770827</v>
      </c>
      <c r="O95" s="629">
        <f t="shared" ca="1" si="106"/>
        <v>143410904.98951423</v>
      </c>
      <c r="P95" s="629">
        <f t="shared" si="106"/>
        <v>48135073.504915766</v>
      </c>
      <c r="Q95" s="629">
        <f t="shared" si="106"/>
        <v>48300243.033109814</v>
      </c>
      <c r="R95" s="629">
        <f t="shared" si="106"/>
        <v>12540421</v>
      </c>
      <c r="S95" s="629">
        <f t="shared" si="106"/>
        <v>12540421</v>
      </c>
      <c r="T95" s="629">
        <f t="shared" ca="1" si="106"/>
        <v>204251569.02262402</v>
      </c>
      <c r="U95" s="629">
        <f t="shared" ca="1" si="106"/>
        <v>204251569.02262402</v>
      </c>
      <c r="V95" s="135"/>
      <c r="W95" s="135"/>
      <c r="X95" s="135"/>
      <c r="Y95" s="629">
        <f t="shared" ref="Y95:Z111" si="107">Y186+Y226+Y267+Y317</f>
        <v>204249488</v>
      </c>
      <c r="Z95" s="629">
        <f t="shared" si="107"/>
        <v>204249488</v>
      </c>
      <c r="AA95" s="115"/>
      <c r="AB95" s="100">
        <f t="shared" ca="1" si="85"/>
        <v>2081.0226240158081</v>
      </c>
      <c r="AC95" s="100">
        <f t="shared" ca="1" si="80"/>
        <v>2081.0226240158081</v>
      </c>
      <c r="AE95" s="120">
        <f t="shared" ca="1" si="81"/>
        <v>1.0188526991365744E-5</v>
      </c>
      <c r="AF95" s="120">
        <f t="shared" ca="1" si="82"/>
        <v>1.0188526991365744E-5</v>
      </c>
    </row>
    <row r="96" spans="1:32" ht="19.95" customHeight="1" outlineLevel="1">
      <c r="A96" s="117">
        <v>11711</v>
      </c>
      <c r="B96" s="118" t="s">
        <v>96</v>
      </c>
      <c r="C96" s="622">
        <f t="shared" si="83"/>
        <v>66883143</v>
      </c>
      <c r="D96" s="119">
        <v>3575740</v>
      </c>
      <c r="E96" s="100">
        <f t="shared" si="86"/>
        <v>6227710.9328855388</v>
      </c>
      <c r="F96" s="100">
        <f t="shared" si="86"/>
        <v>137990763.84048393</v>
      </c>
      <c r="G96" s="100">
        <f t="shared" si="105"/>
        <v>63307403</v>
      </c>
      <c r="H96" s="100">
        <f t="shared" ca="1" si="105"/>
        <v>60007691.566290587</v>
      </c>
      <c r="I96" s="100">
        <f t="shared" ca="1" si="76"/>
        <v>-3299711.4337094128</v>
      </c>
      <c r="J96" s="96">
        <f t="shared" ca="1" si="77"/>
        <v>-5.2122046985712128E-2</v>
      </c>
      <c r="L96" s="629">
        <f t="shared" ref="L96:U96" ca="1" si="108">L187+L227+L268+L318</f>
        <v>30003845.783145294</v>
      </c>
      <c r="M96" s="629">
        <f t="shared" ca="1" si="108"/>
        <v>30003845.783145294</v>
      </c>
      <c r="N96" s="629">
        <f t="shared" ca="1" si="108"/>
        <v>22344862.644192085</v>
      </c>
      <c r="O96" s="629">
        <f t="shared" ca="1" si="108"/>
        <v>22311242.686739873</v>
      </c>
      <c r="P96" s="629">
        <f t="shared" si="108"/>
        <v>7658983.1389532071</v>
      </c>
      <c r="Q96" s="629">
        <f t="shared" si="108"/>
        <v>7692603.0964054205</v>
      </c>
      <c r="R96" s="629">
        <f t="shared" si="108"/>
        <v>1913398</v>
      </c>
      <c r="S96" s="629">
        <f t="shared" si="108"/>
        <v>1913398</v>
      </c>
      <c r="T96" s="629">
        <f t="shared" ca="1" si="108"/>
        <v>31917243.783145294</v>
      </c>
      <c r="U96" s="629">
        <f t="shared" ca="1" si="108"/>
        <v>31917243.783145294</v>
      </c>
      <c r="V96" s="135"/>
      <c r="W96" s="135"/>
      <c r="X96" s="135"/>
      <c r="Y96" s="629">
        <f t="shared" si="107"/>
        <v>31917226.5</v>
      </c>
      <c r="Z96" s="629">
        <f t="shared" si="107"/>
        <v>31917226.5</v>
      </c>
      <c r="AA96" s="115"/>
      <c r="AB96" s="100">
        <f t="shared" ca="1" si="85"/>
        <v>17.283145293593407</v>
      </c>
      <c r="AC96" s="100">
        <f t="shared" ca="1" si="80"/>
        <v>17.283145293593407</v>
      </c>
      <c r="AE96" s="120">
        <f t="shared" ca="1" si="81"/>
        <v>5.4149867736136436E-7</v>
      </c>
      <c r="AF96" s="120">
        <f t="shared" ca="1" si="82"/>
        <v>5.4149867736136436E-7</v>
      </c>
    </row>
    <row r="97" spans="1:32" ht="19.95" customHeight="1" outlineLevel="1">
      <c r="A97" s="117">
        <v>12826</v>
      </c>
      <c r="B97" s="118" t="s">
        <v>97</v>
      </c>
      <c r="C97" s="622">
        <f t="shared" si="83"/>
        <v>81075833</v>
      </c>
      <c r="D97" s="119">
        <v>2377684</v>
      </c>
      <c r="E97" s="100">
        <f t="shared" si="86"/>
        <v>1896056.9992240819</v>
      </c>
      <c r="F97" s="100">
        <f t="shared" si="86"/>
        <v>22813934.10844256</v>
      </c>
      <c r="G97" s="100">
        <f t="shared" si="105"/>
        <v>78698149</v>
      </c>
      <c r="H97" s="100">
        <f t="shared" ca="1" si="105"/>
        <v>72643057.339838013</v>
      </c>
      <c r="I97" s="100">
        <f t="shared" ca="1" si="76"/>
        <v>-6055091.6601619869</v>
      </c>
      <c r="J97" s="96">
        <f t="shared" ca="1" si="77"/>
        <v>-7.6940712546644349E-2</v>
      </c>
      <c r="L97" s="629">
        <f t="shared" ref="L97:U97" ca="1" si="109">L188+L228+L269+L319</f>
        <v>36321528.669919007</v>
      </c>
      <c r="M97" s="629">
        <f t="shared" ca="1" si="109"/>
        <v>36321528.669919007</v>
      </c>
      <c r="N97" s="629">
        <f t="shared" ca="1" si="109"/>
        <v>24008328.654240035</v>
      </c>
      <c r="O97" s="629">
        <f t="shared" ca="1" si="109"/>
        <v>23976175.985107414</v>
      </c>
      <c r="P97" s="629">
        <f t="shared" si="109"/>
        <v>12313200.015678972</v>
      </c>
      <c r="Q97" s="629">
        <f t="shared" si="109"/>
        <v>12345352.684811596</v>
      </c>
      <c r="R97" s="629">
        <f t="shared" si="109"/>
        <v>1140388</v>
      </c>
      <c r="S97" s="629">
        <f t="shared" si="109"/>
        <v>1140388</v>
      </c>
      <c r="T97" s="629">
        <f t="shared" ca="1" si="109"/>
        <v>37461916.669919007</v>
      </c>
      <c r="U97" s="629">
        <f t="shared" ca="1" si="109"/>
        <v>37461916.669919007</v>
      </c>
      <c r="V97" s="135"/>
      <c r="W97" s="135"/>
      <c r="X97" s="135"/>
      <c r="Y97" s="629">
        <f t="shared" si="107"/>
        <v>37462187</v>
      </c>
      <c r="Z97" s="629">
        <f t="shared" si="107"/>
        <v>37462187</v>
      </c>
      <c r="AA97" s="115"/>
      <c r="AB97" s="100">
        <f t="shared" ca="1" si="85"/>
        <v>-270.33008099347353</v>
      </c>
      <c r="AC97" s="100">
        <f t="shared" ca="1" si="80"/>
        <v>-270.33008099347353</v>
      </c>
      <c r="AE97" s="120">
        <f t="shared" ca="1" si="81"/>
        <v>-7.216130540660294E-6</v>
      </c>
      <c r="AF97" s="120">
        <f t="shared" ca="1" si="82"/>
        <v>-7.216130540660294E-6</v>
      </c>
    </row>
    <row r="98" spans="1:32" ht="19.95" customHeight="1" outlineLevel="1">
      <c r="A98" s="117">
        <v>13231</v>
      </c>
      <c r="B98" s="118" t="s">
        <v>98</v>
      </c>
      <c r="C98" s="622">
        <f t="shared" si="83"/>
        <v>33703327</v>
      </c>
      <c r="D98" s="119">
        <v>1657200</v>
      </c>
      <c r="E98" s="100">
        <f t="shared" si="86"/>
        <v>3365883.4710053555</v>
      </c>
      <c r="F98" s="100">
        <f t="shared" si="86"/>
        <v>40313931.975704566</v>
      </c>
      <c r="G98" s="100">
        <f t="shared" si="105"/>
        <v>32046127</v>
      </c>
      <c r="H98" s="100">
        <f t="shared" ca="1" si="105"/>
        <v>27446863.968680609</v>
      </c>
      <c r="I98" s="100">
        <f t="shared" ca="1" si="76"/>
        <v>-4599263.031319391</v>
      </c>
      <c r="J98" s="96">
        <f t="shared" ca="1" si="77"/>
        <v>-0.14352009000399302</v>
      </c>
      <c r="L98" s="629">
        <f t="shared" ref="L98:U98" ca="1" si="110">L189+L229+L270+L320</f>
        <v>13723431.984340305</v>
      </c>
      <c r="M98" s="629">
        <f t="shared" ca="1" si="110"/>
        <v>13723431.984340305</v>
      </c>
      <c r="N98" s="629">
        <f t="shared" ca="1" si="110"/>
        <v>10038893.516026655</v>
      </c>
      <c r="O98" s="629">
        <f t="shared" ca="1" si="110"/>
        <v>10031382.577067167</v>
      </c>
      <c r="P98" s="629">
        <f t="shared" si="110"/>
        <v>3684538.4683136502</v>
      </c>
      <c r="Q98" s="629">
        <f t="shared" si="110"/>
        <v>3692049.407273137</v>
      </c>
      <c r="R98" s="629">
        <f t="shared" si="110"/>
        <v>828600</v>
      </c>
      <c r="S98" s="629">
        <f t="shared" si="110"/>
        <v>828600</v>
      </c>
      <c r="T98" s="629">
        <f t="shared" ca="1" si="110"/>
        <v>14552031.984340305</v>
      </c>
      <c r="U98" s="629">
        <f t="shared" ca="1" si="110"/>
        <v>14552031.984340305</v>
      </c>
      <c r="V98" s="135"/>
      <c r="W98" s="135"/>
      <c r="X98" s="135"/>
      <c r="Y98" s="629">
        <f t="shared" si="107"/>
        <v>14552014.5</v>
      </c>
      <c r="Z98" s="629">
        <f t="shared" si="107"/>
        <v>14552014.5</v>
      </c>
      <c r="AA98" s="115"/>
      <c r="AB98" s="100">
        <f t="shared" ca="1" si="85"/>
        <v>17.484340304508805</v>
      </c>
      <c r="AC98" s="100">
        <f t="shared" ca="1" si="80"/>
        <v>17.484340304508805</v>
      </c>
      <c r="AE98" s="120">
        <f t="shared" ca="1" si="81"/>
        <v>1.2015050766328722E-6</v>
      </c>
      <c r="AF98" s="120">
        <f t="shared" ca="1" si="82"/>
        <v>1.2015050766328722E-6</v>
      </c>
    </row>
    <row r="99" spans="1:32" ht="19.95" customHeight="1" outlineLevel="1">
      <c r="A99" s="117">
        <v>3592</v>
      </c>
      <c r="B99" s="118" t="s">
        <v>99</v>
      </c>
      <c r="C99" s="622">
        <f t="shared" si="83"/>
        <v>34164665</v>
      </c>
      <c r="D99" s="119">
        <v>905000</v>
      </c>
      <c r="E99" s="100">
        <f t="shared" si="86"/>
        <v>4649390.0919356793</v>
      </c>
      <c r="F99" s="100">
        <f t="shared" si="86"/>
        <v>12435993.747468613</v>
      </c>
      <c r="G99" s="100">
        <f t="shared" si="105"/>
        <v>33259665</v>
      </c>
      <c r="H99" s="100">
        <f t="shared" ca="1" si="105"/>
        <v>34870692.591830827</v>
      </c>
      <c r="I99" s="100">
        <f t="shared" ca="1" si="76"/>
        <v>1611027.5918308273</v>
      </c>
      <c r="J99" s="96">
        <f t="shared" ca="1" si="77"/>
        <v>4.8437877886948873E-2</v>
      </c>
      <c r="L99" s="629">
        <f t="shared" ref="L99:U99" ca="1" si="111">L190+L230+L271+L321</f>
        <v>17435346.295915414</v>
      </c>
      <c r="M99" s="629">
        <f t="shared" ca="1" si="111"/>
        <v>17435346.295915414</v>
      </c>
      <c r="N99" s="629">
        <f t="shared" ca="1" si="111"/>
        <v>14139402.667537037</v>
      </c>
      <c r="O99" s="629">
        <f t="shared" ca="1" si="111"/>
        <v>14133819.70265545</v>
      </c>
      <c r="P99" s="629">
        <f t="shared" si="111"/>
        <v>3295943.628378375</v>
      </c>
      <c r="Q99" s="629">
        <f t="shared" si="111"/>
        <v>3301526.5932599641</v>
      </c>
      <c r="R99" s="629">
        <f t="shared" si="111"/>
        <v>472500</v>
      </c>
      <c r="S99" s="629">
        <f t="shared" si="111"/>
        <v>472500</v>
      </c>
      <c r="T99" s="629">
        <f t="shared" ca="1" si="111"/>
        <v>17907846.295915414</v>
      </c>
      <c r="U99" s="629">
        <f t="shared" ca="1" si="111"/>
        <v>17907846.295915414</v>
      </c>
      <c r="V99" s="135"/>
      <c r="W99" s="135"/>
      <c r="X99" s="135"/>
      <c r="Y99" s="629">
        <f t="shared" si="107"/>
        <v>17907976</v>
      </c>
      <c r="Z99" s="629">
        <f t="shared" si="107"/>
        <v>17907976</v>
      </c>
      <c r="AA99" s="115"/>
      <c r="AB99" s="100">
        <f t="shared" ca="1" si="85"/>
        <v>-129.70408458635211</v>
      </c>
      <c r="AC99" s="100">
        <f t="shared" ca="1" si="80"/>
        <v>-129.70408458635211</v>
      </c>
      <c r="AE99" s="120">
        <f t="shared" ca="1" si="81"/>
        <v>-7.2428634042909011E-6</v>
      </c>
      <c r="AF99" s="120">
        <f t="shared" ca="1" si="82"/>
        <v>-7.2428634042909011E-6</v>
      </c>
    </row>
    <row r="100" spans="1:32" ht="19.95" customHeight="1" outlineLevel="1">
      <c r="A100" s="117">
        <v>3594</v>
      </c>
      <c r="B100" s="118" t="s">
        <v>100</v>
      </c>
      <c r="C100" s="622">
        <f t="shared" si="83"/>
        <v>314551423</v>
      </c>
      <c r="D100" s="119">
        <v>12044000</v>
      </c>
      <c r="E100" s="100">
        <f t="shared" si="86"/>
        <v>8244794.452108955</v>
      </c>
      <c r="F100" s="100">
        <f t="shared" si="86"/>
        <v>11805176.263031023</v>
      </c>
      <c r="G100" s="100">
        <f t="shared" si="105"/>
        <v>302507423</v>
      </c>
      <c r="H100" s="100">
        <f t="shared" ca="1" si="105"/>
        <v>360269075.87024105</v>
      </c>
      <c r="I100" s="100">
        <f t="shared" ca="1" si="76"/>
        <v>57761652.870241046</v>
      </c>
      <c r="J100" s="96">
        <f t="shared" ca="1" si="77"/>
        <v>0.19094292727567563</v>
      </c>
      <c r="L100" s="629">
        <f t="shared" ref="L100:U100" ca="1" si="112">L191+L231+L272+L322</f>
        <v>180134537.93512052</v>
      </c>
      <c r="M100" s="629">
        <f t="shared" ca="1" si="112"/>
        <v>180134537.93512052</v>
      </c>
      <c r="N100" s="629">
        <f t="shared" ca="1" si="112"/>
        <v>118237365.10578445</v>
      </c>
      <c r="O100" s="629">
        <f t="shared" ca="1" si="112"/>
        <v>117853493.64150238</v>
      </c>
      <c r="P100" s="629">
        <f t="shared" si="112"/>
        <v>61897172.829336099</v>
      </c>
      <c r="Q100" s="629">
        <f t="shared" si="112"/>
        <v>62281044.29361815</v>
      </c>
      <c r="R100" s="629">
        <f t="shared" si="112"/>
        <v>9308769</v>
      </c>
      <c r="S100" s="629">
        <f t="shared" si="112"/>
        <v>9308769</v>
      </c>
      <c r="T100" s="629">
        <f t="shared" ca="1" si="112"/>
        <v>189443306.93512052</v>
      </c>
      <c r="U100" s="629">
        <f t="shared" ca="1" si="112"/>
        <v>189443306.93512052</v>
      </c>
      <c r="V100" s="135"/>
      <c r="W100" s="135"/>
      <c r="X100" s="135"/>
      <c r="Y100" s="629">
        <f t="shared" si="107"/>
        <v>189441832</v>
      </c>
      <c r="Z100" s="629">
        <f t="shared" si="107"/>
        <v>189441832</v>
      </c>
      <c r="AA100" s="115"/>
      <c r="AB100" s="100">
        <f t="shared" ca="1" si="85"/>
        <v>1474.9351205229759</v>
      </c>
      <c r="AC100" s="100">
        <f t="shared" ca="1" si="80"/>
        <v>1474.9351205229759</v>
      </c>
      <c r="AE100" s="120">
        <f t="shared" ca="1" si="81"/>
        <v>7.785628029751948E-6</v>
      </c>
      <c r="AF100" s="120">
        <f t="shared" ca="1" si="82"/>
        <v>7.785628029751948E-6</v>
      </c>
    </row>
    <row r="101" spans="1:32" ht="19.95" customHeight="1" outlineLevel="1">
      <c r="A101" s="117">
        <v>42421</v>
      </c>
      <c r="B101" s="118" t="s">
        <v>115</v>
      </c>
      <c r="C101" s="622">
        <f t="shared" si="83"/>
        <v>35440071</v>
      </c>
      <c r="D101" s="119">
        <v>4929794</v>
      </c>
      <c r="E101" s="100">
        <f t="shared" si="86"/>
        <v>2676341.2251549293</v>
      </c>
      <c r="F101" s="100">
        <f t="shared" si="86"/>
        <v>122654364.13023186</v>
      </c>
      <c r="G101" s="100">
        <f t="shared" si="105"/>
        <v>30510277</v>
      </c>
      <c r="H101" s="100">
        <f t="shared" ca="1" si="105"/>
        <v>29208278.029338114</v>
      </c>
      <c r="I101" s="100">
        <f t="shared" ca="1" si="76"/>
        <v>-1301998.970661886</v>
      </c>
      <c r="J101" s="96">
        <f t="shared" ca="1" si="77"/>
        <v>-4.2674111764435509E-2</v>
      </c>
      <c r="L101" s="629">
        <f t="shared" ref="L101:U101" ca="1" si="113">L192+L232+L273+L323</f>
        <v>14604139.014669057</v>
      </c>
      <c r="M101" s="629">
        <f t="shared" ca="1" si="113"/>
        <v>14604139.014669057</v>
      </c>
      <c r="N101" s="629">
        <f t="shared" ca="1" si="113"/>
        <v>12517935.387854399</v>
      </c>
      <c r="O101" s="629">
        <f t="shared" ca="1" si="113"/>
        <v>12516622.502272602</v>
      </c>
      <c r="P101" s="629">
        <f t="shared" si="113"/>
        <v>2086203.6268146583</v>
      </c>
      <c r="Q101" s="629">
        <f t="shared" si="113"/>
        <v>2087516.5123964555</v>
      </c>
      <c r="R101" s="629">
        <f t="shared" si="113"/>
        <v>2379799</v>
      </c>
      <c r="S101" s="629">
        <f t="shared" si="113"/>
        <v>2379799</v>
      </c>
      <c r="T101" s="629">
        <f t="shared" ca="1" si="113"/>
        <v>16983938.014669057</v>
      </c>
      <c r="U101" s="629">
        <f t="shared" ca="1" si="113"/>
        <v>16983938.014669057</v>
      </c>
      <c r="V101" s="135"/>
      <c r="W101" s="135"/>
      <c r="X101" s="135"/>
      <c r="Y101" s="629">
        <f t="shared" si="107"/>
        <v>16983997.5</v>
      </c>
      <c r="Z101" s="629">
        <f t="shared" si="107"/>
        <v>16983997.5</v>
      </c>
      <c r="AA101" s="115"/>
      <c r="AB101" s="100">
        <f t="shared" ca="1" si="85"/>
        <v>-59.485330943018198</v>
      </c>
      <c r="AC101" s="100">
        <f t="shared" ca="1" si="80"/>
        <v>-59.485330943018198</v>
      </c>
      <c r="AE101" s="120">
        <f t="shared" ca="1" si="81"/>
        <v>-3.5024463049523975E-6</v>
      </c>
      <c r="AF101" s="120">
        <f t="shared" ca="1" si="82"/>
        <v>-3.5024463049523975E-6</v>
      </c>
    </row>
    <row r="102" spans="1:32" ht="19.95" customHeight="1" outlineLevel="1">
      <c r="A102" s="117">
        <v>3624</v>
      </c>
      <c r="B102" s="118" t="s">
        <v>101</v>
      </c>
      <c r="C102" s="622">
        <f t="shared" si="83"/>
        <v>75705977</v>
      </c>
      <c r="D102" s="119">
        <v>1573368</v>
      </c>
      <c r="E102" s="100">
        <f t="shared" si="86"/>
        <v>694090.60158715351</v>
      </c>
      <c r="F102" s="100">
        <f t="shared" si="86"/>
        <v>10000848.997867685</v>
      </c>
      <c r="G102" s="100">
        <f t="shared" si="105"/>
        <v>74132609</v>
      </c>
      <c r="H102" s="100">
        <f t="shared" ca="1" si="105"/>
        <v>70181222.457985952</v>
      </c>
      <c r="I102" s="100">
        <f t="shared" ca="1" si="76"/>
        <v>-3951386.5420140475</v>
      </c>
      <c r="J102" s="96">
        <f t="shared" ca="1" si="77"/>
        <v>-5.3301598248269494E-2</v>
      </c>
      <c r="L102" s="629">
        <f t="shared" ref="L102:U102" ca="1" si="114">L193+L233+L274+L324</f>
        <v>35090611.228992976</v>
      </c>
      <c r="M102" s="629">
        <f t="shared" ca="1" si="114"/>
        <v>35090611.228992976</v>
      </c>
      <c r="N102" s="629">
        <f t="shared" ca="1" si="114"/>
        <v>29998688.166640446</v>
      </c>
      <c r="O102" s="629">
        <f t="shared" ca="1" si="114"/>
        <v>29994884.937275313</v>
      </c>
      <c r="P102" s="629">
        <f t="shared" si="114"/>
        <v>5091923.0623525316</v>
      </c>
      <c r="Q102" s="629">
        <f t="shared" si="114"/>
        <v>5095726.2917176625</v>
      </c>
      <c r="R102" s="629">
        <f t="shared" si="114"/>
        <v>793731</v>
      </c>
      <c r="S102" s="629">
        <f t="shared" si="114"/>
        <v>793731</v>
      </c>
      <c r="T102" s="629">
        <f t="shared" ca="1" si="114"/>
        <v>35884342.228992976</v>
      </c>
      <c r="U102" s="629">
        <f t="shared" ca="1" si="114"/>
        <v>35884342.228992976</v>
      </c>
      <c r="V102" s="135"/>
      <c r="W102" s="135"/>
      <c r="X102" s="135"/>
      <c r="Y102" s="629">
        <f t="shared" si="107"/>
        <v>35884244.5</v>
      </c>
      <c r="Z102" s="629">
        <f t="shared" si="107"/>
        <v>35884244.5</v>
      </c>
      <c r="AA102" s="115"/>
      <c r="AB102" s="100">
        <f t="shared" ca="1" si="85"/>
        <v>97.728992976248264</v>
      </c>
      <c r="AC102" s="100">
        <f t="shared" ca="1" si="80"/>
        <v>97.728992976248264</v>
      </c>
      <c r="AE102" s="120">
        <f t="shared" ca="1" si="81"/>
        <v>2.7234439007575711E-6</v>
      </c>
      <c r="AF102" s="120">
        <f t="shared" ca="1" si="82"/>
        <v>2.7234439007575711E-6</v>
      </c>
    </row>
    <row r="103" spans="1:32" ht="19.95" customHeight="1" outlineLevel="1">
      <c r="A103" s="117">
        <v>3642</v>
      </c>
      <c r="B103" s="118" t="s">
        <v>102</v>
      </c>
      <c r="C103" s="622">
        <f t="shared" si="83"/>
        <v>68363296</v>
      </c>
      <c r="D103" s="119">
        <v>6966938</v>
      </c>
      <c r="E103" s="100">
        <f t="shared" si="86"/>
        <v>76002027.466542453</v>
      </c>
      <c r="F103" s="100">
        <f t="shared" si="86"/>
        <v>52382155.700651541</v>
      </c>
      <c r="G103" s="100">
        <f t="shared" si="105"/>
        <v>61396358</v>
      </c>
      <c r="H103" s="100">
        <f t="shared" ca="1" si="105"/>
        <v>68864956.343254834</v>
      </c>
      <c r="I103" s="100">
        <f t="shared" ca="1" si="76"/>
        <v>7468598.3432548344</v>
      </c>
      <c r="J103" s="96">
        <f t="shared" ca="1" si="77"/>
        <v>0.12164562502640359</v>
      </c>
      <c r="L103" s="629">
        <f t="shared" ref="L103:U103" ca="1" si="115">L194+L234+L275+L325</f>
        <v>34432478.171627417</v>
      </c>
      <c r="M103" s="629">
        <f t="shared" ca="1" si="115"/>
        <v>34432478.171627417</v>
      </c>
      <c r="N103" s="629">
        <f t="shared" ca="1" si="115"/>
        <v>19239227.098135415</v>
      </c>
      <c r="O103" s="629">
        <f t="shared" ca="1" si="115"/>
        <v>19167088.847644798</v>
      </c>
      <c r="P103" s="629">
        <f t="shared" si="115"/>
        <v>15193251.073492</v>
      </c>
      <c r="Q103" s="629">
        <f t="shared" si="115"/>
        <v>15265389.323982615</v>
      </c>
      <c r="R103" s="629">
        <f t="shared" si="115"/>
        <v>3483469</v>
      </c>
      <c r="S103" s="629">
        <f t="shared" si="115"/>
        <v>3483469</v>
      </c>
      <c r="T103" s="629">
        <f t="shared" ca="1" si="115"/>
        <v>37915947.171627417</v>
      </c>
      <c r="U103" s="629">
        <f t="shared" ca="1" si="115"/>
        <v>37915947.171627417</v>
      </c>
      <c r="V103" s="135"/>
      <c r="W103" s="135"/>
      <c r="X103" s="135"/>
      <c r="Y103" s="629">
        <f t="shared" si="107"/>
        <v>37915951</v>
      </c>
      <c r="Z103" s="629">
        <f t="shared" si="107"/>
        <v>37915951</v>
      </c>
      <c r="AA103" s="115"/>
      <c r="AB103" s="100">
        <f t="shared" ca="1" si="85"/>
        <v>-3.8283725827932358</v>
      </c>
      <c r="AC103" s="100">
        <f t="shared" ca="1" si="80"/>
        <v>-3.8283725827932358</v>
      </c>
      <c r="AE103" s="120">
        <f t="shared" ca="1" si="81"/>
        <v>-1.0096998409307879E-7</v>
      </c>
      <c r="AF103" s="120">
        <f t="shared" ca="1" si="82"/>
        <v>-1.0096998409307879E-7</v>
      </c>
    </row>
    <row r="104" spans="1:32" ht="19.95" customHeight="1" outlineLevel="1">
      <c r="A104" s="117">
        <v>3644</v>
      </c>
      <c r="B104" s="118" t="s">
        <v>103</v>
      </c>
      <c r="C104" s="622">
        <f t="shared" si="83"/>
        <v>365117139</v>
      </c>
      <c r="D104" s="119">
        <v>15141820</v>
      </c>
      <c r="E104" s="100">
        <f t="shared" ref="E104:F111" si="116">E345+E385+E430+E324+E471</f>
        <v>20012800.871589787</v>
      </c>
      <c r="F104" s="100">
        <f t="shared" si="116"/>
        <v>28153227.129992638</v>
      </c>
      <c r="G104" s="100">
        <f t="shared" si="105"/>
        <v>349975319</v>
      </c>
      <c r="H104" s="100">
        <f t="shared" ca="1" si="105"/>
        <v>397145312.13717186</v>
      </c>
      <c r="I104" s="100">
        <f t="shared" ca="1" si="76"/>
        <v>47169993.137171865</v>
      </c>
      <c r="J104" s="96">
        <f t="shared" ca="1" si="77"/>
        <v>0.13478091332826778</v>
      </c>
      <c r="L104" s="629">
        <f t="shared" ref="L104:U104" ca="1" si="117">L195+L235+L276+L326</f>
        <v>198572656.06858593</v>
      </c>
      <c r="M104" s="629">
        <f t="shared" ca="1" si="117"/>
        <v>198572656.06858593</v>
      </c>
      <c r="N104" s="629">
        <f t="shared" ca="1" si="117"/>
        <v>161668714.60175195</v>
      </c>
      <c r="O104" s="629">
        <f t="shared" ca="1" si="117"/>
        <v>161544193.3092922</v>
      </c>
      <c r="P104" s="629">
        <f t="shared" si="117"/>
        <v>36903941.466833979</v>
      </c>
      <c r="Q104" s="629">
        <f t="shared" si="117"/>
        <v>37028462.759293728</v>
      </c>
      <c r="R104" s="629">
        <f t="shared" si="117"/>
        <v>8468847</v>
      </c>
      <c r="S104" s="629">
        <f t="shared" si="117"/>
        <v>8468847</v>
      </c>
      <c r="T104" s="629">
        <f t="shared" ca="1" si="117"/>
        <v>207041503.06858593</v>
      </c>
      <c r="U104" s="629">
        <f t="shared" ca="1" si="117"/>
        <v>207041503.06858593</v>
      </c>
      <c r="V104" s="135"/>
      <c r="W104" s="135"/>
      <c r="X104" s="135"/>
      <c r="Y104" s="629">
        <f t="shared" si="107"/>
        <v>207040424.6781275</v>
      </c>
      <c r="Z104" s="629">
        <f t="shared" si="107"/>
        <v>207040424.6781275</v>
      </c>
      <c r="AA104" s="115"/>
      <c r="AB104" s="100">
        <f t="shared" ca="1" si="85"/>
        <v>1078.3904584348202</v>
      </c>
      <c r="AC104" s="100">
        <f t="shared" ca="1" si="80"/>
        <v>1078.3904584348202</v>
      </c>
      <c r="AE104" s="120">
        <f t="shared" ca="1" si="81"/>
        <v>5.2085714335139148E-6</v>
      </c>
      <c r="AF104" s="120">
        <f t="shared" ca="1" si="82"/>
        <v>5.2085714335139148E-6</v>
      </c>
    </row>
    <row r="105" spans="1:32" ht="19.95" customHeight="1" outlineLevel="1">
      <c r="A105" s="117">
        <v>3541</v>
      </c>
      <c r="B105" s="118" t="s">
        <v>104</v>
      </c>
      <c r="C105" s="622">
        <f t="shared" si="83"/>
        <v>52555623</v>
      </c>
      <c r="D105" s="119">
        <v>2499722</v>
      </c>
      <c r="E105" s="100">
        <f t="shared" si="116"/>
        <v>1679887.6037050339</v>
      </c>
      <c r="F105" s="100">
        <f t="shared" si="116"/>
        <v>106917286.57550201</v>
      </c>
      <c r="G105" s="100">
        <f t="shared" si="105"/>
        <v>50055901</v>
      </c>
      <c r="H105" s="100">
        <f t="shared" ca="1" si="105"/>
        <v>51179063.010433488</v>
      </c>
      <c r="I105" s="100">
        <f t="shared" ca="1" si="76"/>
        <v>1123162.0104334876</v>
      </c>
      <c r="J105" s="96">
        <f t="shared" ca="1" si="77"/>
        <v>2.2438153903842177E-2</v>
      </c>
      <c r="L105" s="629">
        <f t="shared" ref="L105:U105" ca="1" si="118">L196+L236+L277+L327</f>
        <v>25589531.505216744</v>
      </c>
      <c r="M105" s="629">
        <f t="shared" ca="1" si="118"/>
        <v>25589531.505216744</v>
      </c>
      <c r="N105" s="629">
        <f t="shared" ca="1" si="118"/>
        <v>20001781.589265324</v>
      </c>
      <c r="O105" s="629">
        <f t="shared" ca="1" si="118"/>
        <v>19998059.441081062</v>
      </c>
      <c r="P105" s="629">
        <f t="shared" si="118"/>
        <v>5587749.9159514196</v>
      </c>
      <c r="Q105" s="629">
        <f t="shared" si="118"/>
        <v>5591472.06413568</v>
      </c>
      <c r="R105" s="629">
        <f t="shared" si="118"/>
        <v>1324655</v>
      </c>
      <c r="S105" s="629">
        <f t="shared" si="118"/>
        <v>1324655</v>
      </c>
      <c r="T105" s="629">
        <f t="shared" ca="1" si="118"/>
        <v>26914186.505216744</v>
      </c>
      <c r="U105" s="629">
        <f t="shared" ca="1" si="118"/>
        <v>26914186.505216744</v>
      </c>
      <c r="V105" s="135"/>
      <c r="W105" s="135"/>
      <c r="X105" s="135"/>
      <c r="Y105" s="629">
        <f t="shared" si="107"/>
        <v>26914243.5</v>
      </c>
      <c r="Z105" s="629">
        <f t="shared" si="107"/>
        <v>26914243.5</v>
      </c>
      <c r="AA105" s="115"/>
      <c r="AB105" s="100">
        <f t="shared" ca="1" si="85"/>
        <v>-56.994783256202936</v>
      </c>
      <c r="AC105" s="100">
        <f t="shared" ca="1" si="80"/>
        <v>-56.994783256202936</v>
      </c>
      <c r="AE105" s="120">
        <f t="shared" ca="1" si="81"/>
        <v>-2.1176483727329342E-6</v>
      </c>
      <c r="AF105" s="120">
        <f t="shared" ca="1" si="82"/>
        <v>-2.1176483727329342E-6</v>
      </c>
    </row>
    <row r="106" spans="1:32" ht="19.95" customHeight="1" outlineLevel="1">
      <c r="A106" s="117">
        <v>3646</v>
      </c>
      <c r="B106" s="118" t="s">
        <v>105</v>
      </c>
      <c r="C106" s="622">
        <f t="shared" si="83"/>
        <v>130495252</v>
      </c>
      <c r="D106" s="119">
        <v>10618092</v>
      </c>
      <c r="E106" s="100">
        <f t="shared" si="116"/>
        <v>6146.1206818215833</v>
      </c>
      <c r="F106" s="100">
        <f t="shared" si="116"/>
        <v>19372922.460606091</v>
      </c>
      <c r="G106" s="100">
        <f t="shared" si="105"/>
        <v>119877160</v>
      </c>
      <c r="H106" s="100">
        <f t="shared" ca="1" si="105"/>
        <v>123214203.53657737</v>
      </c>
      <c r="I106" s="100">
        <f t="shared" ca="1" si="76"/>
        <v>3337043.5365773737</v>
      </c>
      <c r="J106" s="96">
        <f t="shared" ca="1" si="77"/>
        <v>2.783719214383602E-2</v>
      </c>
      <c r="L106" s="629">
        <f t="shared" ref="L106:U106" ca="1" si="119">L197+L237+L278+L328</f>
        <v>61607101.768288687</v>
      </c>
      <c r="M106" s="629">
        <f t="shared" ca="1" si="119"/>
        <v>61607101.768288687</v>
      </c>
      <c r="N106" s="629">
        <f t="shared" ca="1" si="119"/>
        <v>52263690.625356257</v>
      </c>
      <c r="O106" s="629">
        <f t="shared" ca="1" si="119"/>
        <v>52243853.819808096</v>
      </c>
      <c r="P106" s="629">
        <f t="shared" si="119"/>
        <v>9343411.1429324336</v>
      </c>
      <c r="Q106" s="629">
        <f t="shared" si="119"/>
        <v>9363247.9484805875</v>
      </c>
      <c r="R106" s="629">
        <f t="shared" si="119"/>
        <v>6183085</v>
      </c>
      <c r="S106" s="629">
        <f t="shared" si="119"/>
        <v>6183085</v>
      </c>
      <c r="T106" s="629">
        <f t="shared" ca="1" si="119"/>
        <v>67790186.768288687</v>
      </c>
      <c r="U106" s="629">
        <f t="shared" ca="1" si="119"/>
        <v>67790186.768288687</v>
      </c>
      <c r="V106" s="135"/>
      <c r="W106" s="135"/>
      <c r="X106" s="135"/>
      <c r="Y106" s="629">
        <f t="shared" si="107"/>
        <v>67789915</v>
      </c>
      <c r="Z106" s="629">
        <f t="shared" si="107"/>
        <v>67789915</v>
      </c>
      <c r="AA106" s="115"/>
      <c r="AB106" s="100">
        <f t="shared" ca="1" si="85"/>
        <v>271.76828868687153</v>
      </c>
      <c r="AC106" s="100">
        <f t="shared" ca="1" si="80"/>
        <v>271.76828868687153</v>
      </c>
      <c r="AE106" s="120">
        <f t="shared" ca="1" si="81"/>
        <v>4.0089620879168457E-6</v>
      </c>
      <c r="AF106" s="120">
        <f t="shared" ca="1" si="82"/>
        <v>4.0089620879168457E-6</v>
      </c>
    </row>
    <row r="107" spans="1:32" ht="19.95" customHeight="1" outlineLevel="1">
      <c r="A107" s="117">
        <v>3581</v>
      </c>
      <c r="B107" s="118" t="s">
        <v>33</v>
      </c>
      <c r="C107" s="622">
        <f t="shared" si="83"/>
        <v>106575508</v>
      </c>
      <c r="D107" s="119">
        <v>0</v>
      </c>
      <c r="E107" s="100">
        <f t="shared" si="116"/>
        <v>286507.19949906884</v>
      </c>
      <c r="F107" s="100">
        <f t="shared" si="116"/>
        <v>32088950.178342186</v>
      </c>
      <c r="G107" s="100">
        <f t="shared" si="105"/>
        <v>106575508</v>
      </c>
      <c r="H107" s="100">
        <f t="shared" ca="1" si="105"/>
        <v>128302763.25448582</v>
      </c>
      <c r="I107" s="100">
        <f t="shared" ca="1" si="76"/>
        <v>21727255.254485816</v>
      </c>
      <c r="J107" s="96">
        <f t="shared" ca="1" si="77"/>
        <v>0.20386724550715551</v>
      </c>
      <c r="L107" s="629">
        <f t="shared" ref="L107:U107" ca="1" si="120">L198+L238+L279+L329</f>
        <v>64151381.627242908</v>
      </c>
      <c r="M107" s="629">
        <f t="shared" ca="1" si="120"/>
        <v>64151381.627242908</v>
      </c>
      <c r="N107" s="629">
        <f t="shared" ca="1" si="120"/>
        <v>48348041.333736375</v>
      </c>
      <c r="O107" s="629">
        <f t="shared" ca="1" si="120"/>
        <v>48328232.472387686</v>
      </c>
      <c r="P107" s="629">
        <f t="shared" si="120"/>
        <v>15803340.293506537</v>
      </c>
      <c r="Q107" s="629">
        <f t="shared" si="120"/>
        <v>15823149.154855225</v>
      </c>
      <c r="R107" s="629">
        <f t="shared" si="120"/>
        <v>0</v>
      </c>
      <c r="S107" s="629">
        <f t="shared" si="120"/>
        <v>0</v>
      </c>
      <c r="T107" s="629">
        <f t="shared" ca="1" si="120"/>
        <v>64151381.627242908</v>
      </c>
      <c r="U107" s="629">
        <f t="shared" ca="1" si="120"/>
        <v>64151381.627242908</v>
      </c>
      <c r="V107" s="135"/>
      <c r="W107" s="135"/>
      <c r="X107" s="135"/>
      <c r="Y107" s="629">
        <f t="shared" si="107"/>
        <v>64151558.5</v>
      </c>
      <c r="Z107" s="629">
        <f t="shared" si="107"/>
        <v>64151558.5</v>
      </c>
      <c r="AA107" s="115"/>
      <c r="AB107" s="100">
        <f t="shared" ca="1" si="85"/>
        <v>-176.87275709211826</v>
      </c>
      <c r="AC107" s="100">
        <f t="shared" ca="1" si="80"/>
        <v>-176.87275709211826</v>
      </c>
      <c r="AE107" s="120">
        <f t="shared" ca="1" si="81"/>
        <v>-2.7571153201321921E-6</v>
      </c>
      <c r="AF107" s="120">
        <f t="shared" ca="1" si="82"/>
        <v>-2.7571153201321921E-6</v>
      </c>
    </row>
    <row r="108" spans="1:32" ht="19.95" customHeight="1" outlineLevel="1">
      <c r="A108" s="117">
        <v>3606</v>
      </c>
      <c r="B108" s="118" t="s">
        <v>106</v>
      </c>
      <c r="C108" s="622">
        <f t="shared" si="83"/>
        <v>135729469</v>
      </c>
      <c r="D108" s="119">
        <v>4428000</v>
      </c>
      <c r="E108" s="100">
        <f t="shared" si="116"/>
        <v>67092337.513118595</v>
      </c>
      <c r="F108" s="100">
        <f t="shared" si="116"/>
        <v>36564122.280116051</v>
      </c>
      <c r="G108" s="100">
        <f t="shared" si="105"/>
        <v>131301469</v>
      </c>
      <c r="H108" s="100">
        <f t="shared" ca="1" si="105"/>
        <v>133935952.89559035</v>
      </c>
      <c r="I108" s="100">
        <f t="shared" ca="1" si="76"/>
        <v>2634483.89559035</v>
      </c>
      <c r="J108" s="96">
        <f t="shared" ca="1" si="77"/>
        <v>2.0064390106635823E-2</v>
      </c>
      <c r="L108" s="629">
        <f t="shared" ref="L108:U108" ca="1" si="121">L199+L239+L280+L330</f>
        <v>66967976.447795175</v>
      </c>
      <c r="M108" s="629">
        <f t="shared" ca="1" si="121"/>
        <v>66967976.447795175</v>
      </c>
      <c r="N108" s="629">
        <f t="shared" ca="1" si="121"/>
        <v>51127589.839317165</v>
      </c>
      <c r="O108" s="629">
        <f t="shared" ca="1" si="121"/>
        <v>51092051.925464183</v>
      </c>
      <c r="P108" s="629">
        <f t="shared" si="121"/>
        <v>15840386.608478015</v>
      </c>
      <c r="Q108" s="629">
        <f t="shared" si="121"/>
        <v>15875924.522330986</v>
      </c>
      <c r="R108" s="629">
        <f t="shared" si="121"/>
        <v>2435650</v>
      </c>
      <c r="S108" s="629">
        <f t="shared" si="121"/>
        <v>2435650</v>
      </c>
      <c r="T108" s="629">
        <f t="shared" ca="1" si="121"/>
        <v>69403626.447795182</v>
      </c>
      <c r="U108" s="629">
        <f t="shared" ca="1" si="121"/>
        <v>69403626.447795182</v>
      </c>
      <c r="V108" s="135"/>
      <c r="W108" s="135"/>
      <c r="X108" s="135"/>
      <c r="Y108" s="629">
        <f t="shared" si="107"/>
        <v>69403455</v>
      </c>
      <c r="Z108" s="629">
        <f t="shared" si="107"/>
        <v>69403455</v>
      </c>
      <c r="AA108" s="115"/>
      <c r="AB108" s="100">
        <f t="shared" ca="1" si="85"/>
        <v>171.44779518246651</v>
      </c>
      <c r="AC108" s="100">
        <f t="shared" ca="1" si="80"/>
        <v>171.44779518246651</v>
      </c>
      <c r="AE108" s="120">
        <f t="shared" ca="1" si="81"/>
        <v>2.4703002416080962E-6</v>
      </c>
      <c r="AF108" s="120">
        <f t="shared" ca="1" si="82"/>
        <v>2.4703002416080962E-6</v>
      </c>
    </row>
    <row r="109" spans="1:32" ht="19.95" customHeight="1" outlineLevel="1">
      <c r="A109" s="117">
        <v>3615</v>
      </c>
      <c r="B109" s="118" t="s">
        <v>203</v>
      </c>
      <c r="C109" s="622">
        <f t="shared" si="83"/>
        <v>236696384</v>
      </c>
      <c r="D109" s="119">
        <v>6193672</v>
      </c>
      <c r="E109" s="100">
        <f t="shared" si="116"/>
        <v>80689279.749430507</v>
      </c>
      <c r="F109" s="100">
        <f t="shared" si="116"/>
        <v>50184816.365474418</v>
      </c>
      <c r="G109" s="100">
        <f t="shared" si="105"/>
        <v>230502712</v>
      </c>
      <c r="H109" s="100">
        <f t="shared" ca="1" si="105"/>
        <v>237702970.62537977</v>
      </c>
      <c r="I109" s="100">
        <f t="shared" ca="1" si="76"/>
        <v>7200258.625379771</v>
      </c>
      <c r="J109" s="96">
        <f t="shared" ca="1" si="77"/>
        <v>3.1237197006947888E-2</v>
      </c>
      <c r="L109" s="629">
        <f t="shared" ref="L109:U109" ca="1" si="122">L200+L240+L281+L331</f>
        <v>118851485.31268989</v>
      </c>
      <c r="M109" s="629">
        <f t="shared" ca="1" si="122"/>
        <v>118851485.31268989</v>
      </c>
      <c r="N109" s="629">
        <f t="shared" ca="1" si="122"/>
        <v>89947601.774026513</v>
      </c>
      <c r="O109" s="629">
        <f t="shared" ca="1" si="122"/>
        <v>89890141.949987084</v>
      </c>
      <c r="P109" s="629">
        <f t="shared" si="122"/>
        <v>28903883.538663372</v>
      </c>
      <c r="Q109" s="629">
        <f t="shared" si="122"/>
        <v>28961343.362702802</v>
      </c>
      <c r="R109" s="629">
        <f t="shared" si="122"/>
        <v>3520007</v>
      </c>
      <c r="S109" s="629">
        <f t="shared" si="122"/>
        <v>3520007</v>
      </c>
      <c r="T109" s="629">
        <f t="shared" ca="1" si="122"/>
        <v>122371492.31268989</v>
      </c>
      <c r="U109" s="629">
        <f t="shared" ca="1" si="122"/>
        <v>122371492.31268989</v>
      </c>
      <c r="V109" s="135"/>
      <c r="W109" s="135"/>
      <c r="X109" s="135"/>
      <c r="Y109" s="629">
        <f t="shared" si="107"/>
        <v>122371028</v>
      </c>
      <c r="Z109" s="629">
        <f t="shared" si="107"/>
        <v>122371028</v>
      </c>
      <c r="AA109" s="115"/>
      <c r="AB109" s="100">
        <f t="shared" ca="1" si="85"/>
        <v>464.31268988549709</v>
      </c>
      <c r="AC109" s="100">
        <f t="shared" ca="1" si="80"/>
        <v>464.31268988549709</v>
      </c>
      <c r="AE109" s="120">
        <f t="shared" ca="1" si="81"/>
        <v>3.7942880413606594E-6</v>
      </c>
      <c r="AF109" s="120">
        <f t="shared" ca="1" si="82"/>
        <v>3.7942880413606594E-6</v>
      </c>
    </row>
    <row r="110" spans="1:32" ht="19.95" customHeight="1" outlineLevel="1">
      <c r="A110" s="117">
        <v>3625</v>
      </c>
      <c r="B110" s="118" t="s">
        <v>107</v>
      </c>
      <c r="C110" s="622">
        <f t="shared" si="83"/>
        <v>13038025</v>
      </c>
      <c r="D110" s="119">
        <v>148184</v>
      </c>
      <c r="E110" s="100">
        <f t="shared" si="116"/>
        <v>147557442.92010725</v>
      </c>
      <c r="F110" s="100">
        <f t="shared" si="116"/>
        <v>86592080.867499962</v>
      </c>
      <c r="G110" s="100">
        <f t="shared" si="105"/>
        <v>12889841</v>
      </c>
      <c r="H110" s="100">
        <f t="shared" ca="1" si="105"/>
        <v>11771275.556506164</v>
      </c>
      <c r="I110" s="100">
        <f t="shared" ca="1" si="76"/>
        <v>-1118565.4434938356</v>
      </c>
      <c r="J110" s="96">
        <f t="shared" ca="1" si="77"/>
        <v>-8.6778839513523526E-2</v>
      </c>
      <c r="L110" s="629">
        <f t="shared" ref="L110:U110" ca="1" si="123">L201+L241+L282+L332</f>
        <v>5885637.7782530822</v>
      </c>
      <c r="M110" s="629">
        <f t="shared" ca="1" si="123"/>
        <v>5885637.7782530822</v>
      </c>
      <c r="N110" s="629">
        <f t="shared" ca="1" si="123"/>
        <v>4855734.0863348134</v>
      </c>
      <c r="O110" s="629">
        <f t="shared" ca="1" si="123"/>
        <v>4853755.1886497196</v>
      </c>
      <c r="P110" s="629">
        <f t="shared" si="123"/>
        <v>1029903.6919182685</v>
      </c>
      <c r="Q110" s="629">
        <f t="shared" si="123"/>
        <v>1031882.5896033633</v>
      </c>
      <c r="R110" s="629">
        <f t="shared" si="123"/>
        <v>69508</v>
      </c>
      <c r="S110" s="629">
        <f t="shared" si="123"/>
        <v>69508</v>
      </c>
      <c r="T110" s="629">
        <f t="shared" ca="1" si="123"/>
        <v>5955145.7782530822</v>
      </c>
      <c r="U110" s="629">
        <f t="shared" ca="1" si="123"/>
        <v>5955145.7782530822</v>
      </c>
      <c r="V110" s="135"/>
      <c r="W110" s="135"/>
      <c r="X110" s="135"/>
      <c r="Y110" s="629">
        <f t="shared" si="107"/>
        <v>5955147.5</v>
      </c>
      <c r="Z110" s="629">
        <f t="shared" si="107"/>
        <v>5955147.5</v>
      </c>
      <c r="AA110" s="115"/>
      <c r="AB110" s="100">
        <f t="shared" ca="1" si="85"/>
        <v>-1.7217469178140163</v>
      </c>
      <c r="AC110" s="100">
        <f t="shared" ca="1" si="80"/>
        <v>-1.7217469178140163</v>
      </c>
      <c r="AE110" s="120">
        <f t="shared" ca="1" si="81"/>
        <v>-2.8911918900482127E-7</v>
      </c>
      <c r="AF110" s="120">
        <f t="shared" ca="1" si="82"/>
        <v>-2.8911918900482127E-7</v>
      </c>
    </row>
    <row r="111" spans="1:32" ht="19.95" customHeight="1" outlineLevel="1" thickBot="1">
      <c r="A111" s="122">
        <v>20</v>
      </c>
      <c r="B111" s="123" t="s">
        <v>205</v>
      </c>
      <c r="C111" s="622">
        <f t="shared" si="83"/>
        <v>7251134</v>
      </c>
      <c r="D111" s="125">
        <v>29066</v>
      </c>
      <c r="E111" s="124">
        <f t="shared" si="116"/>
        <v>2362790.974035494</v>
      </c>
      <c r="F111" s="124">
        <f t="shared" si="116"/>
        <v>3243379.3313756748</v>
      </c>
      <c r="G111" s="124">
        <f t="shared" si="105"/>
        <v>7222068</v>
      </c>
      <c r="H111" s="124">
        <f t="shared" ca="1" si="105"/>
        <v>6208259.4970391486</v>
      </c>
      <c r="I111" s="124">
        <f t="shared" ca="1" si="76"/>
        <v>-1013808.5029608514</v>
      </c>
      <c r="J111" s="126">
        <f t="shared" ca="1" si="77"/>
        <v>-0.1403764826031618</v>
      </c>
      <c r="L111" s="629">
        <f t="shared" ref="L111:U111" ca="1" si="124">L202+L242+L283+L333</f>
        <v>3104129.7485195743</v>
      </c>
      <c r="M111" s="629">
        <f t="shared" ca="1" si="124"/>
        <v>3104129.7485195743</v>
      </c>
      <c r="N111" s="629">
        <f t="shared" ca="1" si="124"/>
        <v>2685606.0432047965</v>
      </c>
      <c r="O111" s="629">
        <f t="shared" ca="1" si="124"/>
        <v>2685589.1189721283</v>
      </c>
      <c r="P111" s="629">
        <f t="shared" si="124"/>
        <v>418523.70531477756</v>
      </c>
      <c r="Q111" s="629">
        <f t="shared" si="124"/>
        <v>418540.62954744569</v>
      </c>
      <c r="R111" s="629">
        <f t="shared" si="124"/>
        <v>20443</v>
      </c>
      <c r="S111" s="629">
        <f t="shared" si="124"/>
        <v>20443</v>
      </c>
      <c r="T111" s="629">
        <f t="shared" ca="1" si="124"/>
        <v>3124572.7485195743</v>
      </c>
      <c r="U111" s="629">
        <f t="shared" ca="1" si="124"/>
        <v>3124572.7485195743</v>
      </c>
      <c r="V111" s="135"/>
      <c r="W111" s="135"/>
      <c r="X111" s="135"/>
      <c r="Y111" s="631">
        <f t="shared" si="107"/>
        <v>3124561</v>
      </c>
      <c r="Z111" s="631">
        <f t="shared" si="107"/>
        <v>3124561</v>
      </c>
      <c r="AA111" s="115"/>
      <c r="AB111" s="124">
        <f t="shared" ca="1" si="85"/>
        <v>11.748519574292004</v>
      </c>
      <c r="AC111" s="124">
        <f t="shared" ca="1" si="80"/>
        <v>11.748519574292004</v>
      </c>
      <c r="AE111" s="127">
        <f t="shared" ca="1" si="81"/>
        <v>3.7600403382697567E-6</v>
      </c>
      <c r="AF111" s="127">
        <f t="shared" ca="1" si="82"/>
        <v>3.7600403382697567E-6</v>
      </c>
    </row>
    <row r="112" spans="1:32" s="105" customFormat="1" ht="19.95" customHeight="1" outlineLevel="1" thickBot="1">
      <c r="B112" s="128" t="s">
        <v>1</v>
      </c>
      <c r="C112" s="129">
        <f t="shared" ref="C112:H112" si="125">SUM(C75:C111)</f>
        <v>5454364100.2599449</v>
      </c>
      <c r="D112" s="627">
        <f t="shared" si="125"/>
        <v>224089812</v>
      </c>
      <c r="E112" s="129">
        <f t="shared" si="125"/>
        <v>632055411.46741414</v>
      </c>
      <c r="F112" s="129">
        <f t="shared" si="125"/>
        <v>1940065101.6999755</v>
      </c>
      <c r="G112" s="129">
        <f t="shared" si="125"/>
        <v>5230274288.2599449</v>
      </c>
      <c r="H112" s="129">
        <f t="shared" ca="1" si="125"/>
        <v>5473823093.9970922</v>
      </c>
      <c r="I112" s="129">
        <f t="shared" ca="1" si="76"/>
        <v>243548805.73714733</v>
      </c>
      <c r="J112" s="130">
        <f t="shared" ca="1" si="77"/>
        <v>4.6565207160134112E-2</v>
      </c>
      <c r="L112" s="129">
        <f t="shared" ref="L112:U112" ca="1" si="126">SUM(L75:L111)</f>
        <v>2736911546.9985461</v>
      </c>
      <c r="M112" s="129">
        <f t="shared" ca="1" si="126"/>
        <v>2736911546.9985461</v>
      </c>
      <c r="N112" s="129">
        <f t="shared" ca="1" si="126"/>
        <v>2079731085.0513849</v>
      </c>
      <c r="O112" s="129">
        <f t="shared" ca="1" si="126"/>
        <v>2077292856.4400573</v>
      </c>
      <c r="P112" s="129">
        <f t="shared" si="126"/>
        <v>657180461.94716156</v>
      </c>
      <c r="Q112" s="129">
        <f t="shared" si="126"/>
        <v>659618690.55848956</v>
      </c>
      <c r="R112" s="129">
        <f t="shared" si="126"/>
        <v>125853787</v>
      </c>
      <c r="S112" s="129">
        <f t="shared" si="126"/>
        <v>125853787</v>
      </c>
      <c r="T112" s="129">
        <f t="shared" ca="1" si="126"/>
        <v>2862765333.9985461</v>
      </c>
      <c r="U112" s="129">
        <f t="shared" ca="1" si="126"/>
        <v>2862765333.9985461</v>
      </c>
      <c r="V112" s="113"/>
      <c r="W112" s="131"/>
      <c r="X112" s="115"/>
      <c r="Y112" s="625">
        <f>SUM(Y75:Y111)</f>
        <v>2862764962.1742792</v>
      </c>
      <c r="Z112" s="625">
        <f>SUM(Z75:Z111)</f>
        <v>2862764962.1742792</v>
      </c>
      <c r="AA112" s="115"/>
      <c r="AB112" s="131">
        <f ca="1">SUM(AB75:AB111)</f>
        <v>371.82426752988249</v>
      </c>
      <c r="AC112" s="131">
        <f ca="1">SUM(AC75:AC111)</f>
        <v>371.82426752988249</v>
      </c>
      <c r="AD112" s="79"/>
      <c r="AE112" s="130">
        <f t="shared" ca="1" si="81"/>
        <v>1.29882901373037E-7</v>
      </c>
      <c r="AF112" s="130">
        <f t="shared" ca="1" si="82"/>
        <v>1.29882901373037E-7</v>
      </c>
    </row>
    <row r="113" spans="1:32" ht="19.95" customHeight="1" outlineLevel="1">
      <c r="A113" s="107">
        <v>9225</v>
      </c>
      <c r="B113" s="108" t="s">
        <v>108</v>
      </c>
      <c r="C113" s="109">
        <f t="shared" ref="C113:C122" si="127">C333+C480</f>
        <v>2633134</v>
      </c>
      <c r="D113" s="132">
        <f>0</f>
        <v>0</v>
      </c>
      <c r="E113" s="109">
        <f t="shared" ref="E113:F121" si="128">E333+E480</f>
        <v>2633134</v>
      </c>
      <c r="F113" s="109">
        <f t="shared" si="128"/>
        <v>1904764880.6056004</v>
      </c>
      <c r="G113" s="109">
        <f>G285+G335</f>
        <v>6042676.3316027839</v>
      </c>
      <c r="H113" s="133">
        <f>H285+H335</f>
        <v>5610894.5001281481</v>
      </c>
      <c r="I113" s="109">
        <f t="shared" si="76"/>
        <v>-431781.83147463575</v>
      </c>
      <c r="J113" s="112">
        <f t="shared" si="77"/>
        <v>-7.1455396215158229E-2</v>
      </c>
      <c r="L113" s="109">
        <f>L285+L335</f>
        <v>2805447.2500640741</v>
      </c>
      <c r="M113" s="109">
        <f t="shared" ref="M113:U113" si="129">M285+M335</f>
        <v>2805447.2500640741</v>
      </c>
      <c r="N113" s="109">
        <f t="shared" si="129"/>
        <v>2630904.3898196453</v>
      </c>
      <c r="O113" s="109">
        <f t="shared" si="129"/>
        <v>2624940.7898196457</v>
      </c>
      <c r="P113" s="109">
        <f t="shared" si="129"/>
        <v>174542.86024442848</v>
      </c>
      <c r="Q113" s="109">
        <f t="shared" si="129"/>
        <v>180506.46024442848</v>
      </c>
      <c r="R113" s="109">
        <f t="shared" si="129"/>
        <v>0</v>
      </c>
      <c r="S113" s="109">
        <f t="shared" si="129"/>
        <v>0</v>
      </c>
      <c r="T113" s="109">
        <f t="shared" si="129"/>
        <v>2805447.2500640741</v>
      </c>
      <c r="U113" s="109">
        <f t="shared" si="129"/>
        <v>2805447.2500640741</v>
      </c>
      <c r="V113" s="113"/>
      <c r="W113" s="97"/>
      <c r="Y113" s="109">
        <f t="shared" ref="Y113:Z121" si="130">Y285+Y335</f>
        <v>2805571.1221000003</v>
      </c>
      <c r="Z113" s="109">
        <f t="shared" si="130"/>
        <v>2805571.1221000003</v>
      </c>
      <c r="AA113" s="115"/>
      <c r="AB113" s="111">
        <f t="shared" ref="AB113:AB121" si="131">T113-Y113</f>
        <v>-123.8720359262079</v>
      </c>
      <c r="AC113" s="111">
        <f t="shared" ref="AC113:AC121" si="132">U113-Z113</f>
        <v>-123.8720359262079</v>
      </c>
      <c r="AE113" s="116">
        <f t="shared" si="81"/>
        <v>-4.4154113367620356E-5</v>
      </c>
      <c r="AF113" s="116">
        <f t="shared" si="82"/>
        <v>-4.4154113367620356E-5</v>
      </c>
    </row>
    <row r="114" spans="1:32" ht="19.95" customHeight="1" outlineLevel="1">
      <c r="A114" s="117">
        <v>9932</v>
      </c>
      <c r="B114" s="118" t="s">
        <v>204</v>
      </c>
      <c r="C114" s="100">
        <f t="shared" si="127"/>
        <v>30245752</v>
      </c>
      <c r="D114" s="119">
        <f>0</f>
        <v>0</v>
      </c>
      <c r="E114" s="100">
        <f t="shared" si="128"/>
        <v>30245752</v>
      </c>
      <c r="F114" s="100">
        <f t="shared" si="128"/>
        <v>4358562</v>
      </c>
      <c r="G114" s="100">
        <f t="shared" ref="G114:G121" si="133">G286+G336</f>
        <v>3552238.3316027839</v>
      </c>
      <c r="H114" s="100">
        <f t="shared" ref="H114:H121" si="134">H286+H336</f>
        <v>4189360.0933000725</v>
      </c>
      <c r="I114" s="100">
        <f t="shared" si="76"/>
        <v>637121.7616972886</v>
      </c>
      <c r="J114" s="96">
        <f t="shared" si="77"/>
        <v>0.17935783081587794</v>
      </c>
      <c r="L114" s="100">
        <f t="shared" ref="L114:U114" si="135">L286+L336</f>
        <v>2094680.0466500362</v>
      </c>
      <c r="M114" s="100">
        <f t="shared" si="135"/>
        <v>2094680.0466500362</v>
      </c>
      <c r="N114" s="100">
        <f t="shared" si="135"/>
        <v>2033297.1200504676</v>
      </c>
      <c r="O114" s="100">
        <f t="shared" si="135"/>
        <v>2031125.0200504677</v>
      </c>
      <c r="P114" s="100">
        <f t="shared" si="135"/>
        <v>61382.926599568658</v>
      </c>
      <c r="Q114" s="100">
        <f t="shared" si="135"/>
        <v>63555.026599568657</v>
      </c>
      <c r="R114" s="100">
        <f t="shared" si="135"/>
        <v>0</v>
      </c>
      <c r="S114" s="100">
        <f t="shared" si="135"/>
        <v>0</v>
      </c>
      <c r="T114" s="100">
        <f t="shared" si="135"/>
        <v>2094680.0466500362</v>
      </c>
      <c r="U114" s="100">
        <f t="shared" si="135"/>
        <v>2094680.0466500362</v>
      </c>
      <c r="V114" s="113"/>
      <c r="W114" s="97"/>
      <c r="Y114" s="100">
        <f t="shared" si="130"/>
        <v>2094636.5</v>
      </c>
      <c r="Z114" s="100">
        <f t="shared" si="130"/>
        <v>2094636.5</v>
      </c>
      <c r="AA114" s="115"/>
      <c r="AB114" s="100">
        <f t="shared" si="131"/>
        <v>43.546650036238134</v>
      </c>
      <c r="AC114" s="100">
        <f t="shared" si="132"/>
        <v>43.546650036238134</v>
      </c>
      <c r="AE114" s="120">
        <f t="shared" si="81"/>
        <v>2.0789165441223869E-5</v>
      </c>
      <c r="AF114" s="120">
        <f t="shared" si="82"/>
        <v>2.0789165441223869E-5</v>
      </c>
    </row>
    <row r="115" spans="1:32" ht="19.95" customHeight="1" outlineLevel="1">
      <c r="A115" s="117">
        <v>33965</v>
      </c>
      <c r="B115" s="118" t="s">
        <v>110</v>
      </c>
      <c r="C115" s="100">
        <f t="shared" si="127"/>
        <v>1316566.3316027836</v>
      </c>
      <c r="D115" s="119">
        <f>0</f>
        <v>0</v>
      </c>
      <c r="E115" s="100">
        <f t="shared" si="128"/>
        <v>1316566.3316027836</v>
      </c>
      <c r="F115" s="100">
        <f t="shared" si="128"/>
        <v>1476371</v>
      </c>
      <c r="G115" s="100">
        <f t="shared" si="133"/>
        <v>2549664.3316027839</v>
      </c>
      <c r="H115" s="100">
        <f t="shared" si="134"/>
        <v>3368286.7880877168</v>
      </c>
      <c r="I115" s="100">
        <f t="shared" si="76"/>
        <v>818622.45648493292</v>
      </c>
      <c r="J115" s="96">
        <f t="shared" si="77"/>
        <v>0.32107067833918596</v>
      </c>
      <c r="L115" s="100">
        <f t="shared" ref="L115:U115" si="136">L287+L337</f>
        <v>1684143.3940438584</v>
      </c>
      <c r="M115" s="100">
        <f t="shared" si="136"/>
        <v>1684143.3940438584</v>
      </c>
      <c r="N115" s="100">
        <f t="shared" si="136"/>
        <v>1656418.6823975607</v>
      </c>
      <c r="O115" s="100">
        <f t="shared" si="136"/>
        <v>1655439.9823975607</v>
      </c>
      <c r="P115" s="100">
        <f t="shared" si="136"/>
        <v>27724.711646297626</v>
      </c>
      <c r="Q115" s="100">
        <f t="shared" si="136"/>
        <v>28703.411646297627</v>
      </c>
      <c r="R115" s="100">
        <f t="shared" si="136"/>
        <v>0</v>
      </c>
      <c r="S115" s="100">
        <f t="shared" si="136"/>
        <v>0</v>
      </c>
      <c r="T115" s="100">
        <f t="shared" si="136"/>
        <v>1684143.3940438584</v>
      </c>
      <c r="U115" s="100">
        <f t="shared" si="136"/>
        <v>1684143.3940438584</v>
      </c>
      <c r="V115" s="113"/>
      <c r="W115" s="97"/>
      <c r="Y115" s="100">
        <f t="shared" si="130"/>
        <v>1684152.5</v>
      </c>
      <c r="Z115" s="100">
        <f t="shared" si="130"/>
        <v>1684152.5</v>
      </c>
      <c r="AA115" s="115"/>
      <c r="AB115" s="100">
        <f t="shared" si="131"/>
        <v>-9.1059561416041106</v>
      </c>
      <c r="AC115" s="100">
        <f t="shared" si="132"/>
        <v>-9.1059561416041106</v>
      </c>
      <c r="AE115" s="120">
        <f t="shared" si="81"/>
        <v>-5.4068769760391162E-6</v>
      </c>
      <c r="AF115" s="120">
        <f t="shared" si="82"/>
        <v>-5.4068769760391162E-6</v>
      </c>
    </row>
    <row r="116" spans="1:32" ht="19.95" customHeight="1" outlineLevel="1">
      <c r="A116" s="117">
        <v>3634</v>
      </c>
      <c r="B116" s="118" t="s">
        <v>109</v>
      </c>
      <c r="C116" s="100">
        <f t="shared" si="127"/>
        <v>1316566.3316027836</v>
      </c>
      <c r="D116" s="119">
        <f>0</f>
        <v>0</v>
      </c>
      <c r="E116" s="100">
        <f t="shared" si="128"/>
        <v>1316566.3316027836</v>
      </c>
      <c r="F116" s="100">
        <f t="shared" si="128"/>
        <v>667915.98478543956</v>
      </c>
      <c r="G116" s="100">
        <f t="shared" si="133"/>
        <v>7593320.3316027839</v>
      </c>
      <c r="H116" s="100">
        <f t="shared" si="134"/>
        <v>8341916.9760529194</v>
      </c>
      <c r="I116" s="100">
        <f t="shared" si="76"/>
        <v>748596.64445013553</v>
      </c>
      <c r="J116" s="96">
        <f t="shared" si="77"/>
        <v>9.8586206265332571E-2</v>
      </c>
      <c r="L116" s="100">
        <f t="shared" ref="L116:U116" si="137">L288+L338</f>
        <v>4170958.4880264597</v>
      </c>
      <c r="M116" s="100">
        <f t="shared" si="137"/>
        <v>4170958.4880264597</v>
      </c>
      <c r="N116" s="100">
        <f t="shared" si="137"/>
        <v>3949929.0093780048</v>
      </c>
      <c r="O116" s="100">
        <f t="shared" si="137"/>
        <v>3942352.4093780052</v>
      </c>
      <c r="P116" s="100">
        <f t="shared" si="137"/>
        <v>221029.47864845439</v>
      </c>
      <c r="Q116" s="100">
        <f t="shared" si="137"/>
        <v>228606.07864845439</v>
      </c>
      <c r="R116" s="100">
        <f t="shared" si="137"/>
        <v>0</v>
      </c>
      <c r="S116" s="100">
        <f t="shared" si="137"/>
        <v>0</v>
      </c>
      <c r="T116" s="100">
        <f t="shared" si="137"/>
        <v>4170958.4880264597</v>
      </c>
      <c r="U116" s="100">
        <f t="shared" si="137"/>
        <v>4170958.4880264597</v>
      </c>
      <c r="V116" s="113"/>
      <c r="W116" s="97"/>
      <c r="Y116" s="100">
        <f t="shared" si="130"/>
        <v>4171072.9277999997</v>
      </c>
      <c r="Z116" s="100">
        <f t="shared" si="130"/>
        <v>4171072.9277999997</v>
      </c>
      <c r="AA116" s="115"/>
      <c r="AB116" s="100">
        <f t="shared" si="131"/>
        <v>-114.43977354001254</v>
      </c>
      <c r="AC116" s="100">
        <f t="shared" si="132"/>
        <v>-114.43977354001254</v>
      </c>
      <c r="AE116" s="120">
        <f t="shared" si="81"/>
        <v>-2.7437284228201733E-5</v>
      </c>
      <c r="AF116" s="120">
        <f t="shared" si="82"/>
        <v>-2.7437284228201733E-5</v>
      </c>
    </row>
    <row r="117" spans="1:32" ht="19.95" customHeight="1" outlineLevel="1">
      <c r="A117" s="117">
        <v>203634</v>
      </c>
      <c r="B117" s="118" t="s">
        <v>218</v>
      </c>
      <c r="C117" s="100">
        <f t="shared" si="127"/>
        <v>1316566.3316027836</v>
      </c>
      <c r="D117" s="119">
        <v>0</v>
      </c>
      <c r="E117" s="100">
        <f t="shared" si="128"/>
        <v>1316566.3316027836</v>
      </c>
      <c r="F117" s="100">
        <f t="shared" si="128"/>
        <v>4929274.4060477074</v>
      </c>
      <c r="G117" s="100">
        <f t="shared" si="133"/>
        <v>2399920.3316027839</v>
      </c>
      <c r="H117" s="100">
        <f t="shared" si="134"/>
        <v>3486927.8040719517</v>
      </c>
      <c r="I117" s="100">
        <f t="shared" si="76"/>
        <v>1087007.4724691678</v>
      </c>
      <c r="J117" s="96">
        <f t="shared" si="77"/>
        <v>0.45293481544164893</v>
      </c>
      <c r="L117" s="100">
        <f t="shared" ref="L117:U117" si="138">L289+L339</f>
        <v>1743463.9020359758</v>
      </c>
      <c r="M117" s="100">
        <f t="shared" si="138"/>
        <v>1743463.9020359758</v>
      </c>
      <c r="N117" s="100">
        <f t="shared" si="138"/>
        <v>1716328.4020359758</v>
      </c>
      <c r="O117" s="100">
        <f t="shared" si="138"/>
        <v>1715427.5020359759</v>
      </c>
      <c r="P117" s="100">
        <f t="shared" si="138"/>
        <v>27135.5</v>
      </c>
      <c r="Q117" s="100">
        <f t="shared" si="138"/>
        <v>28036.400000000001</v>
      </c>
      <c r="R117" s="100">
        <f t="shared" si="138"/>
        <v>0</v>
      </c>
      <c r="S117" s="100">
        <f t="shared" si="138"/>
        <v>0</v>
      </c>
      <c r="T117" s="100">
        <f t="shared" si="138"/>
        <v>1743463.9020359758</v>
      </c>
      <c r="U117" s="100">
        <f t="shared" si="138"/>
        <v>1743463.9020359758</v>
      </c>
      <c r="V117" s="113"/>
      <c r="W117" s="97"/>
      <c r="Y117" s="100">
        <f t="shared" si="130"/>
        <v>1743474.5</v>
      </c>
      <c r="Z117" s="100">
        <f t="shared" si="130"/>
        <v>1743474.5</v>
      </c>
      <c r="AA117" s="115"/>
      <c r="AB117" s="100">
        <f t="shared" si="131"/>
        <v>-10.597964024171233</v>
      </c>
      <c r="AC117" s="100">
        <f t="shared" si="132"/>
        <v>-10.597964024171233</v>
      </c>
      <c r="AE117" s="120">
        <f t="shared" si="81"/>
        <v>-6.0786827945191075E-6</v>
      </c>
      <c r="AF117" s="120">
        <f t="shared" si="82"/>
        <v>-6.0786827945191075E-6</v>
      </c>
    </row>
    <row r="118" spans="1:32" ht="19.95" customHeight="1" outlineLevel="1">
      <c r="A118" s="117">
        <v>133965</v>
      </c>
      <c r="B118" s="118" t="s">
        <v>219</v>
      </c>
      <c r="C118" s="100">
        <f t="shared" si="127"/>
        <v>1316566.3316027836</v>
      </c>
      <c r="D118" s="119">
        <v>0</v>
      </c>
      <c r="E118" s="100">
        <f t="shared" si="128"/>
        <v>1316566.3316027836</v>
      </c>
      <c r="F118" s="100">
        <f t="shared" si="128"/>
        <v>529086.4</v>
      </c>
      <c r="G118" s="100">
        <f t="shared" si="133"/>
        <v>1617470.3316027836</v>
      </c>
      <c r="H118" s="100">
        <f t="shared" si="134"/>
        <v>2892816.1365805706</v>
      </c>
      <c r="I118" s="100">
        <f t="shared" si="76"/>
        <v>1275345.804977787</v>
      </c>
      <c r="J118" s="96">
        <f t="shared" si="77"/>
        <v>0.78848172980954856</v>
      </c>
      <c r="L118" s="100">
        <f t="shared" ref="L118:U118" si="139">L290+L340</f>
        <v>1446408.0682902853</v>
      </c>
      <c r="M118" s="100">
        <f t="shared" si="139"/>
        <v>1446408.0682902853</v>
      </c>
      <c r="N118" s="100">
        <f t="shared" si="139"/>
        <v>1433027.4682902852</v>
      </c>
      <c r="O118" s="100">
        <f t="shared" si="139"/>
        <v>1432564.8682902851</v>
      </c>
      <c r="P118" s="100">
        <f t="shared" si="139"/>
        <v>13380.6</v>
      </c>
      <c r="Q118" s="100">
        <f t="shared" si="139"/>
        <v>13843.2</v>
      </c>
      <c r="R118" s="100">
        <f t="shared" si="139"/>
        <v>0</v>
      </c>
      <c r="S118" s="100">
        <f t="shared" si="139"/>
        <v>0</v>
      </c>
      <c r="T118" s="100">
        <f t="shared" si="139"/>
        <v>1446408.0682902853</v>
      </c>
      <c r="U118" s="100">
        <f t="shared" si="139"/>
        <v>1446408.0682902853</v>
      </c>
      <c r="V118" s="113"/>
      <c r="W118" s="97"/>
      <c r="Y118" s="100">
        <f t="shared" si="130"/>
        <v>1446409.5</v>
      </c>
      <c r="Z118" s="100">
        <f t="shared" si="130"/>
        <v>1446409.5</v>
      </c>
      <c r="AA118" s="115"/>
      <c r="AB118" s="100">
        <f t="shared" si="131"/>
        <v>-1.4317097146995366</v>
      </c>
      <c r="AC118" s="100">
        <f t="shared" si="132"/>
        <v>-1.4317097146995366</v>
      </c>
      <c r="AE118" s="120">
        <f t="shared" si="81"/>
        <v>-9.8983803124928437E-7</v>
      </c>
      <c r="AF118" s="120">
        <f t="shared" si="82"/>
        <v>-9.8983803124928437E-7</v>
      </c>
    </row>
    <row r="119" spans="1:32" ht="19.95" customHeight="1" outlineLevel="1">
      <c r="A119" s="117">
        <v>36273</v>
      </c>
      <c r="B119" s="118" t="s">
        <v>111</v>
      </c>
      <c r="C119" s="100">
        <f t="shared" si="127"/>
        <v>1316566.3316027836</v>
      </c>
      <c r="D119" s="119">
        <f>0</f>
        <v>0</v>
      </c>
      <c r="E119" s="100">
        <f t="shared" si="128"/>
        <v>1316566.3316027836</v>
      </c>
      <c r="F119" s="100">
        <f t="shared" si="128"/>
        <v>302455.5</v>
      </c>
      <c r="G119" s="100">
        <f t="shared" si="133"/>
        <v>5710500</v>
      </c>
      <c r="H119" s="100">
        <f t="shared" si="134"/>
        <v>6332564.0839848043</v>
      </c>
      <c r="I119" s="100">
        <f t="shared" si="76"/>
        <v>622064.08398480434</v>
      </c>
      <c r="J119" s="96">
        <f t="shared" si="77"/>
        <v>0.10893338306362041</v>
      </c>
      <c r="L119" s="100">
        <f t="shared" ref="L119:U119" si="140">L291+L341</f>
        <v>3166282.0419924022</v>
      </c>
      <c r="M119" s="100">
        <f t="shared" si="140"/>
        <v>3166282.0419924022</v>
      </c>
      <c r="N119" s="100">
        <f t="shared" si="140"/>
        <v>2793811.4746001922</v>
      </c>
      <c r="O119" s="100">
        <f t="shared" si="140"/>
        <v>2793181.9391517453</v>
      </c>
      <c r="P119" s="100">
        <f t="shared" si="140"/>
        <v>372470.5673922103</v>
      </c>
      <c r="Q119" s="100">
        <f t="shared" si="140"/>
        <v>373100.10284065717</v>
      </c>
      <c r="R119" s="100">
        <f t="shared" si="140"/>
        <v>0</v>
      </c>
      <c r="S119" s="100">
        <f t="shared" si="140"/>
        <v>0</v>
      </c>
      <c r="T119" s="100">
        <f t="shared" si="140"/>
        <v>3166282.0419924022</v>
      </c>
      <c r="U119" s="100">
        <f t="shared" si="140"/>
        <v>3166282.0419924022</v>
      </c>
      <c r="V119" s="113"/>
      <c r="W119" s="97"/>
      <c r="Y119" s="100">
        <f t="shared" si="130"/>
        <v>3166288</v>
      </c>
      <c r="Z119" s="100">
        <f t="shared" si="130"/>
        <v>3166288</v>
      </c>
      <c r="AA119" s="115"/>
      <c r="AB119" s="100">
        <f t="shared" si="131"/>
        <v>-5.9580075978301466</v>
      </c>
      <c r="AC119" s="100">
        <f t="shared" si="132"/>
        <v>-5.9580075978301466</v>
      </c>
      <c r="AE119" s="120">
        <f t="shared" si="81"/>
        <v>-1.8817046361672297E-6</v>
      </c>
      <c r="AF119" s="120">
        <f t="shared" si="82"/>
        <v>-1.8817046361672297E-6</v>
      </c>
    </row>
    <row r="120" spans="1:32" ht="19.95" customHeight="1" outlineLevel="1">
      <c r="A120" s="117">
        <v>23582</v>
      </c>
      <c r="B120" s="118" t="s">
        <v>112</v>
      </c>
      <c r="C120" s="100">
        <f t="shared" si="127"/>
        <v>1316566.3316027836</v>
      </c>
      <c r="D120" s="119">
        <f>0</f>
        <v>0</v>
      </c>
      <c r="E120" s="100">
        <f t="shared" si="128"/>
        <v>1316566.3316027836</v>
      </c>
      <c r="F120" s="100">
        <f t="shared" si="128"/>
        <v>7967318.1586148432</v>
      </c>
      <c r="G120" s="100">
        <f t="shared" si="133"/>
        <v>4535708</v>
      </c>
      <c r="H120" s="100">
        <f t="shared" si="134"/>
        <v>4777763.8298007473</v>
      </c>
      <c r="I120" s="100">
        <f t="shared" si="76"/>
        <v>242055.82980074733</v>
      </c>
      <c r="J120" s="96">
        <f t="shared" si="77"/>
        <v>5.3366713598130069E-2</v>
      </c>
      <c r="L120" s="100">
        <f t="shared" ref="L120:U120" si="141">L292+L342</f>
        <v>2388881.9149003737</v>
      </c>
      <c r="M120" s="100">
        <f t="shared" si="141"/>
        <v>2388881.9149003737</v>
      </c>
      <c r="N120" s="100">
        <f t="shared" si="141"/>
        <v>2223697.0609495617</v>
      </c>
      <c r="O120" s="100">
        <f t="shared" si="141"/>
        <v>2223653.5890588854</v>
      </c>
      <c r="P120" s="100">
        <f t="shared" si="141"/>
        <v>165184.85395081202</v>
      </c>
      <c r="Q120" s="100">
        <f t="shared" si="141"/>
        <v>165228.32584148805</v>
      </c>
      <c r="R120" s="100">
        <f t="shared" si="141"/>
        <v>0</v>
      </c>
      <c r="S120" s="100">
        <f t="shared" si="141"/>
        <v>0</v>
      </c>
      <c r="T120" s="100">
        <f t="shared" si="141"/>
        <v>2388881.9149003737</v>
      </c>
      <c r="U120" s="100">
        <f t="shared" si="141"/>
        <v>2388881.9149003737</v>
      </c>
      <c r="V120" s="113"/>
      <c r="W120" s="97"/>
      <c r="Y120" s="100">
        <f t="shared" si="130"/>
        <v>2388915</v>
      </c>
      <c r="Z120" s="100">
        <f t="shared" si="130"/>
        <v>2388915</v>
      </c>
      <c r="AA120" s="115"/>
      <c r="AB120" s="100">
        <f t="shared" si="131"/>
        <v>-33.085099626332521</v>
      </c>
      <c r="AC120" s="100">
        <f t="shared" si="132"/>
        <v>-33.085099626332521</v>
      </c>
      <c r="AE120" s="120">
        <f t="shared" si="81"/>
        <v>-1.3849617019563861E-5</v>
      </c>
      <c r="AF120" s="120">
        <f t="shared" si="82"/>
        <v>-1.3849617019563861E-5</v>
      </c>
    </row>
    <row r="121" spans="1:32" ht="19.95" customHeight="1" outlineLevel="1" thickBot="1">
      <c r="A121" s="122">
        <v>23485</v>
      </c>
      <c r="B121" s="123" t="s">
        <v>117</v>
      </c>
      <c r="C121" s="124">
        <f t="shared" si="127"/>
        <v>2633134</v>
      </c>
      <c r="D121" s="125">
        <f>0</f>
        <v>0</v>
      </c>
      <c r="E121" s="124">
        <f t="shared" si="128"/>
        <v>2633134</v>
      </c>
      <c r="F121" s="124">
        <f t="shared" si="128"/>
        <v>4450328.68389179</v>
      </c>
      <c r="G121" s="124">
        <f t="shared" si="133"/>
        <v>5160774</v>
      </c>
      <c r="H121" s="124">
        <f t="shared" si="134"/>
        <v>5380663.7774707051</v>
      </c>
      <c r="I121" s="124">
        <f t="shared" si="76"/>
        <v>219889.7774707051</v>
      </c>
      <c r="J121" s="126">
        <f t="shared" si="77"/>
        <v>4.2607906773422959E-2</v>
      </c>
      <c r="L121" s="124">
        <f t="shared" ref="L121:U121" si="142">L293+L343</f>
        <v>2690331.8887353525</v>
      </c>
      <c r="M121" s="124">
        <f t="shared" si="142"/>
        <v>2690331.8887353525</v>
      </c>
      <c r="N121" s="124">
        <f t="shared" si="142"/>
        <v>2516863.520517556</v>
      </c>
      <c r="O121" s="124">
        <f t="shared" si="142"/>
        <v>2517105.0268694209</v>
      </c>
      <c r="P121" s="124">
        <f t="shared" si="142"/>
        <v>173468.36821779667</v>
      </c>
      <c r="Q121" s="124">
        <f t="shared" si="142"/>
        <v>173226.86186593166</v>
      </c>
      <c r="R121" s="124">
        <f t="shared" si="142"/>
        <v>0</v>
      </c>
      <c r="S121" s="124">
        <f t="shared" si="142"/>
        <v>0</v>
      </c>
      <c r="T121" s="124">
        <f t="shared" si="142"/>
        <v>2690331.8887353525</v>
      </c>
      <c r="U121" s="124">
        <f t="shared" si="142"/>
        <v>2690331.8887353525</v>
      </c>
      <c r="V121" s="113"/>
      <c r="W121" s="97"/>
      <c r="Y121" s="124">
        <f t="shared" si="130"/>
        <v>2690441</v>
      </c>
      <c r="Z121" s="124">
        <f t="shared" si="130"/>
        <v>2690441</v>
      </c>
      <c r="AA121" s="115"/>
      <c r="AB121" s="124">
        <f t="shared" si="131"/>
        <v>-109.1112646474503</v>
      </c>
      <c r="AC121" s="124">
        <f t="shared" si="132"/>
        <v>-109.1112646474503</v>
      </c>
      <c r="AE121" s="127">
        <f t="shared" si="81"/>
        <v>-4.0556804572814381E-5</v>
      </c>
      <c r="AF121" s="127">
        <f t="shared" si="82"/>
        <v>-4.0556804572814381E-5</v>
      </c>
    </row>
    <row r="122" spans="1:32" ht="19.5" customHeight="1" outlineLevel="1">
      <c r="A122" s="105"/>
      <c r="B122" s="128" t="s">
        <v>1</v>
      </c>
      <c r="C122" s="129">
        <f t="shared" si="127"/>
        <v>2633134</v>
      </c>
      <c r="D122" s="129">
        <f>D342+D489</f>
        <v>0</v>
      </c>
      <c r="E122" s="129">
        <f>SUM(E113:E121)</f>
        <v>43411417.989616692</v>
      </c>
      <c r="F122" s="129">
        <f>SUM(F113:F121)</f>
        <v>1929446192.7389405</v>
      </c>
      <c r="G122" s="129">
        <f>SUM(G113:G121)</f>
        <v>39162271.9896167</v>
      </c>
      <c r="H122" s="129">
        <f>SUM(H113:H121)</f>
        <v>44381193.989477642</v>
      </c>
      <c r="I122" s="129">
        <f t="shared" si="76"/>
        <v>5218921.9998609424</v>
      </c>
      <c r="J122" s="130">
        <f t="shared" si="77"/>
        <v>0.13326402516290839</v>
      </c>
      <c r="L122" s="129">
        <f>SUM(L113:L121)</f>
        <v>22190596.994738821</v>
      </c>
      <c r="M122" s="129">
        <f>SUM(M113:M121)</f>
        <v>22190596.994738821</v>
      </c>
      <c r="N122" s="129">
        <f>SUM(N113:N121)</f>
        <v>20954277.128039248</v>
      </c>
      <c r="O122" s="129">
        <f>SUM(O113:O121)</f>
        <v>20935791.12705199</v>
      </c>
      <c r="P122" s="129">
        <f t="shared" ref="P122:U122" si="143">SUM(P113:P121)</f>
        <v>1236319.866699568</v>
      </c>
      <c r="Q122" s="129">
        <f t="shared" si="143"/>
        <v>1254805.867686826</v>
      </c>
      <c r="R122" s="129">
        <f t="shared" si="143"/>
        <v>0</v>
      </c>
      <c r="S122" s="129">
        <f t="shared" si="143"/>
        <v>0</v>
      </c>
      <c r="T122" s="129">
        <f t="shared" si="143"/>
        <v>22190596.994738821</v>
      </c>
      <c r="U122" s="129">
        <f t="shared" si="143"/>
        <v>22190596.994738821</v>
      </c>
      <c r="V122" s="129"/>
      <c r="W122" s="131"/>
      <c r="Y122" s="276">
        <f>SUM(Y113:Y121)</f>
        <v>22190961.049899999</v>
      </c>
      <c r="Z122" s="276">
        <f>SUM(Z113:Z121)</f>
        <v>22190961.049899999</v>
      </c>
      <c r="AA122" s="115"/>
      <c r="AB122" s="131">
        <f>SUM(AB113:AB121)</f>
        <v>-364.05516118207015</v>
      </c>
      <c r="AC122" s="131">
        <f>SUM(AC113:AC121)</f>
        <v>-364.05516118207015</v>
      </c>
      <c r="AE122" s="130">
        <f t="shared" si="81"/>
        <v>-1.6405829967908666E-5</v>
      </c>
      <c r="AF122" s="130">
        <f t="shared" si="82"/>
        <v>-1.6405829967908666E-5</v>
      </c>
    </row>
    <row r="123" spans="1:32" ht="19.95" customHeight="1">
      <c r="A123" s="105"/>
      <c r="V123" s="129" t="s">
        <v>267</v>
      </c>
      <c r="W123" s="129" t="s">
        <v>289</v>
      </c>
    </row>
    <row r="124" spans="1:32" ht="19.95" customHeight="1">
      <c r="A124" s="105"/>
      <c r="N124" s="113" t="s">
        <v>396</v>
      </c>
      <c r="V124" s="134">
        <v>55.658929810462425</v>
      </c>
      <c r="W124" s="134">
        <f>'Expenditure Study'!B31</f>
        <v>59.083180800000001</v>
      </c>
      <c r="Y124" s="77">
        <f>(W124-V124)/V124</f>
        <v>6.1522041498072541E-2</v>
      </c>
    </row>
    <row r="125" spans="1:32" s="91" customFormat="1" ht="64.5" customHeight="1" thickBot="1">
      <c r="A125" s="669" t="s">
        <v>208</v>
      </c>
      <c r="B125" s="670"/>
      <c r="C125" s="670"/>
      <c r="D125" s="670"/>
      <c r="E125" s="670"/>
      <c r="F125" s="670"/>
      <c r="G125" s="670"/>
      <c r="H125" s="670"/>
      <c r="I125" s="670"/>
      <c r="J125" s="670"/>
      <c r="L125" s="673" t="str">
        <f>A125</f>
        <v>Operations Support and Teaching Experience Supplement</v>
      </c>
      <c r="M125" s="673"/>
      <c r="N125" s="673"/>
      <c r="O125" s="673"/>
      <c r="P125" s="673"/>
      <c r="Q125" s="673"/>
      <c r="R125" s="673"/>
      <c r="S125" s="673"/>
      <c r="T125" s="673" t="str">
        <f>A125</f>
        <v>Operations Support and Teaching Experience Supplement</v>
      </c>
      <c r="U125" s="673"/>
      <c r="V125" s="87" t="s">
        <v>290</v>
      </c>
      <c r="W125" s="87" t="s">
        <v>291</v>
      </c>
      <c r="X125" s="87" t="s">
        <v>259</v>
      </c>
    </row>
    <row r="126" spans="1:32" ht="19.95" customHeight="1" outlineLevel="1">
      <c r="A126" s="107">
        <v>3656</v>
      </c>
      <c r="B126" s="108" t="str">
        <f t="shared" ref="B126:B162" si="144">B25</f>
        <v>UT-Arlington</v>
      </c>
      <c r="C126" s="109">
        <f t="shared" ref="C126:H135" si="145">C166+C206</f>
        <v>282502295</v>
      </c>
      <c r="D126" s="109">
        <f t="shared" si="145"/>
        <v>18451176</v>
      </c>
      <c r="E126" s="109">
        <f t="shared" si="145"/>
        <v>190275936.86625138</v>
      </c>
      <c r="F126" s="109">
        <f t="shared" si="145"/>
        <v>73775182.133748621</v>
      </c>
      <c r="G126" s="109">
        <f t="shared" si="145"/>
        <v>264051119</v>
      </c>
      <c r="H126" s="109">
        <f t="shared" ca="1" si="145"/>
        <v>269298507.17498708</v>
      </c>
      <c r="I126" s="109">
        <f t="shared" ref="I126:I163" ca="1" si="146">H126-G126</f>
        <v>5247388.1749870777</v>
      </c>
      <c r="J126" s="112">
        <f ca="1">IF(OR(I126=0,G126=0),0,I126/G126)</f>
        <v>1.9872622372742444E-2</v>
      </c>
      <c r="K126" s="114"/>
      <c r="L126" s="100">
        <f t="shared" ref="L126:U127" ca="1" si="147">L166+L206</f>
        <v>134649253.58749354</v>
      </c>
      <c r="M126" s="109">
        <f t="shared" ref="M126:U126" ca="1" si="148">M166+M206</f>
        <v>134649253.58749354</v>
      </c>
      <c r="N126" s="109">
        <f t="shared" ca="1" si="148"/>
        <v>93994248.008765608</v>
      </c>
      <c r="O126" s="109">
        <f t="shared" ca="1" si="148"/>
        <v>93856976.339289397</v>
      </c>
      <c r="P126" s="109">
        <f>P166+P206</f>
        <v>40655005.578727931</v>
      </c>
      <c r="Q126" s="109">
        <f t="shared" si="148"/>
        <v>40792277.248204149</v>
      </c>
      <c r="R126" s="109">
        <f t="shared" si="148"/>
        <v>9200000</v>
      </c>
      <c r="S126" s="109">
        <f t="shared" si="148"/>
        <v>9200000</v>
      </c>
      <c r="T126" s="109">
        <f t="shared" ca="1" si="148"/>
        <v>143849253.58749354</v>
      </c>
      <c r="U126" s="109">
        <f t="shared" ca="1" si="148"/>
        <v>143849253.58749354</v>
      </c>
      <c r="V126" s="97">
        <v>2372046.3180000004</v>
      </c>
      <c r="W126" s="135">
        <f ca="1">SUMIF('Operations Support'!A:A,Summary!A166,'Operations Support'!U:U)+SUMIF('Operations Support'!A:A,Summary!A206,'Operations Support'!W:W)</f>
        <v>2278977.7355299992</v>
      </c>
      <c r="X126" s="553">
        <f ca="1">(W126-V126)/V126</f>
        <v>-3.9235567098231158E-2</v>
      </c>
    </row>
    <row r="127" spans="1:32" ht="19.95" customHeight="1" outlineLevel="1">
      <c r="A127" s="117">
        <v>3658</v>
      </c>
      <c r="B127" s="118" t="str">
        <f t="shared" si="144"/>
        <v>UT-Austin</v>
      </c>
      <c r="C127" s="100">
        <f t="shared" si="145"/>
        <v>481618892</v>
      </c>
      <c r="D127" s="100">
        <f t="shared" si="145"/>
        <v>34156000</v>
      </c>
      <c r="E127" s="100">
        <f t="shared" si="145"/>
        <v>323060372.24491704</v>
      </c>
      <c r="F127" s="100">
        <f t="shared" si="145"/>
        <v>124402519.75508299</v>
      </c>
      <c r="G127" s="100">
        <f t="shared" si="145"/>
        <v>447462892</v>
      </c>
      <c r="H127" s="100">
        <f t="shared" ca="1" si="145"/>
        <v>469932097.54669511</v>
      </c>
      <c r="I127" s="100">
        <f t="shared" ca="1" si="146"/>
        <v>22469205.546695113</v>
      </c>
      <c r="J127" s="96">
        <f t="shared" ref="J127:J163" ca="1" si="149">IF(OR(I127=0,G127=0),0,I127/G127)</f>
        <v>5.0214679135214442E-2</v>
      </c>
      <c r="K127" s="114"/>
      <c r="L127" s="100">
        <f t="shared" ca="1" si="147"/>
        <v>234966048.77334756</v>
      </c>
      <c r="M127" s="100">
        <f t="shared" ca="1" si="147"/>
        <v>234966048.77334756</v>
      </c>
      <c r="N127" s="100">
        <f t="shared" ca="1" si="147"/>
        <v>171786464.21222815</v>
      </c>
      <c r="O127" s="100">
        <f t="shared" ca="1" si="147"/>
        <v>171428379.14501458</v>
      </c>
      <c r="P127" s="100">
        <f t="shared" si="147"/>
        <v>63179584.561119422</v>
      </c>
      <c r="Q127" s="100">
        <f t="shared" si="147"/>
        <v>63537669.628332973</v>
      </c>
      <c r="R127" s="100">
        <f t="shared" si="147"/>
        <v>19100000</v>
      </c>
      <c r="S127" s="100">
        <f t="shared" si="147"/>
        <v>19100000</v>
      </c>
      <c r="T127" s="100">
        <f t="shared" ca="1" si="147"/>
        <v>254066048.77334756</v>
      </c>
      <c r="U127" s="100">
        <f t="shared" ca="1" si="147"/>
        <v>254066048.77334756</v>
      </c>
      <c r="V127" s="97">
        <v>4019686.4179999991</v>
      </c>
      <c r="W127" s="135">
        <f ca="1">SUMIF('Operations Support'!A:A,Summary!A167,'Operations Support'!U:U)+SUMIF('Operations Support'!A:A,Summary!A207,'Operations Support'!W:W)</f>
        <v>3976868.6382800089</v>
      </c>
      <c r="X127" s="553">
        <f t="shared" ref="X127:X162" ca="1" si="150">(W127-V127)/V127</f>
        <v>-1.0652019900919102E-2</v>
      </c>
    </row>
    <row r="128" spans="1:32" ht="19.95" customHeight="1" outlineLevel="1">
      <c r="A128" s="117">
        <v>9741</v>
      </c>
      <c r="B128" s="118" t="str">
        <f t="shared" si="144"/>
        <v>UT-Dallas</v>
      </c>
      <c r="C128" s="100">
        <f t="shared" si="145"/>
        <v>247350488</v>
      </c>
      <c r="D128" s="100">
        <f t="shared" si="145"/>
        <v>11702330</v>
      </c>
      <c r="E128" s="100">
        <f t="shared" si="145"/>
        <v>165634994.87535527</v>
      </c>
      <c r="F128" s="100">
        <f t="shared" si="145"/>
        <v>70013163.124644712</v>
      </c>
      <c r="G128" s="100">
        <f t="shared" si="145"/>
        <v>235648158</v>
      </c>
      <c r="H128" s="100">
        <f t="shared" ca="1" si="145"/>
        <v>278673794.82244909</v>
      </c>
      <c r="I128" s="100">
        <f t="shared" ca="1" si="146"/>
        <v>43025636.822449088</v>
      </c>
      <c r="J128" s="96">
        <f t="shared" ca="1" si="149"/>
        <v>0.18258422721237264</v>
      </c>
      <c r="K128" s="114"/>
      <c r="L128" s="100">
        <f t="shared" ref="L128:U128" ca="1" si="151">L168+L208</f>
        <v>139336897.41122454</v>
      </c>
      <c r="M128" s="100">
        <f t="shared" ca="1" si="151"/>
        <v>139336897.41122454</v>
      </c>
      <c r="N128" s="100">
        <f t="shared" ca="1" si="151"/>
        <v>101677318.92889294</v>
      </c>
      <c r="O128" s="100">
        <f t="shared" ca="1" si="151"/>
        <v>101415422.0134992</v>
      </c>
      <c r="P128" s="100">
        <f t="shared" si="151"/>
        <v>37659578.482331604</v>
      </c>
      <c r="Q128" s="100">
        <f t="shared" si="151"/>
        <v>37921475.397725329</v>
      </c>
      <c r="R128" s="100">
        <f t="shared" si="151"/>
        <v>8263214</v>
      </c>
      <c r="S128" s="100">
        <f t="shared" si="151"/>
        <v>8263214</v>
      </c>
      <c r="T128" s="100">
        <f t="shared" ca="1" si="151"/>
        <v>147600111.41122454</v>
      </c>
      <c r="U128" s="100">
        <f t="shared" ca="1" si="151"/>
        <v>147600111.41122454</v>
      </c>
      <c r="V128" s="97">
        <v>2116894.4200000004</v>
      </c>
      <c r="W128" s="135">
        <f ca="1">SUMIF('Operations Support'!A:A,Summary!A168,'Operations Support'!U:U)+SUMIF('Operations Support'!A:A,Summary!A208,'Operations Support'!W:W)</f>
        <v>2358317.469109999</v>
      </c>
      <c r="X128" s="553">
        <f t="shared" ca="1" si="150"/>
        <v>0.11404586210303232</v>
      </c>
    </row>
    <row r="129" spans="1:24" ht="19.95" customHeight="1" outlineLevel="1">
      <c r="A129" s="117">
        <v>3661</v>
      </c>
      <c r="B129" s="118" t="str">
        <f t="shared" si="144"/>
        <v>UT-El Paso</v>
      </c>
      <c r="C129" s="100">
        <f t="shared" si="145"/>
        <v>146578729</v>
      </c>
      <c r="D129" s="100">
        <f t="shared" si="145"/>
        <v>7485900</v>
      </c>
      <c r="E129" s="100">
        <f t="shared" si="145"/>
        <v>108939269.45720997</v>
      </c>
      <c r="F129" s="100">
        <f t="shared" si="145"/>
        <v>30153559.542790025</v>
      </c>
      <c r="G129" s="100">
        <f t="shared" si="145"/>
        <v>139092829</v>
      </c>
      <c r="H129" s="100">
        <f t="shared" ca="1" si="145"/>
        <v>141601127.35282198</v>
      </c>
      <c r="I129" s="100">
        <f t="shared" ca="1" si="146"/>
        <v>2508298.3528219759</v>
      </c>
      <c r="J129" s="96">
        <f t="shared" ca="1" si="149"/>
        <v>1.8033268651268686E-2</v>
      </c>
      <c r="K129" s="114"/>
      <c r="L129" s="100">
        <f t="shared" ref="L129:U129" ca="1" si="152">L169+L209</f>
        <v>70800563.676410988</v>
      </c>
      <c r="M129" s="100">
        <f t="shared" ca="1" si="152"/>
        <v>70800563.676410988</v>
      </c>
      <c r="N129" s="100">
        <f t="shared" ca="1" si="152"/>
        <v>56336125.027574793</v>
      </c>
      <c r="O129" s="100">
        <f t="shared" ca="1" si="152"/>
        <v>56307010.208212435</v>
      </c>
      <c r="P129" s="100">
        <f t="shared" si="152"/>
        <v>14464438.648836195</v>
      </c>
      <c r="Q129" s="100">
        <f t="shared" si="152"/>
        <v>14493553.468198553</v>
      </c>
      <c r="R129" s="100">
        <f t="shared" si="152"/>
        <v>4109550</v>
      </c>
      <c r="S129" s="100">
        <f t="shared" si="152"/>
        <v>4109550</v>
      </c>
      <c r="T129" s="100">
        <f t="shared" ca="1" si="152"/>
        <v>74910113.676410988</v>
      </c>
      <c r="U129" s="100">
        <f t="shared" ca="1" si="152"/>
        <v>74910113.676410988</v>
      </c>
      <c r="V129" s="97">
        <v>1249510.486</v>
      </c>
      <c r="W129" s="135">
        <f ca="1">SUMIF('Operations Support'!A:A,Summary!A169,'Operations Support'!U:U)+SUMIF('Operations Support'!A:A,Summary!A209,'Operations Support'!W:W)</f>
        <v>1198320.1093400002</v>
      </c>
      <c r="X129" s="553">
        <f t="shared" ca="1" si="150"/>
        <v>-4.0968344990743706E-2</v>
      </c>
    </row>
    <row r="130" spans="1:24" ht="19.95" customHeight="1" outlineLevel="1">
      <c r="A130" s="117">
        <v>3599</v>
      </c>
      <c r="B130" s="118" t="str">
        <f t="shared" si="144"/>
        <v>UT-Rio Grande Valley</v>
      </c>
      <c r="C130" s="100">
        <f t="shared" si="145"/>
        <v>190250551</v>
      </c>
      <c r="D130" s="100">
        <f t="shared" si="145"/>
        <v>6790780</v>
      </c>
      <c r="E130" s="100">
        <f t="shared" si="145"/>
        <v>135894485.18224603</v>
      </c>
      <c r="F130" s="100">
        <f t="shared" si="145"/>
        <v>47565285.817753986</v>
      </c>
      <c r="G130" s="100">
        <f t="shared" si="145"/>
        <v>183459771</v>
      </c>
      <c r="H130" s="100">
        <f t="shared" ca="1" si="145"/>
        <v>179570022.15005818</v>
      </c>
      <c r="I130" s="100">
        <f t="shared" ca="1" si="146"/>
        <v>-3889748.8499418199</v>
      </c>
      <c r="J130" s="96">
        <f t="shared" ca="1" si="149"/>
        <v>-2.1202189606689414E-2</v>
      </c>
      <c r="K130" s="114"/>
      <c r="L130" s="100">
        <f t="shared" ref="L130:U130" ca="1" si="153">L170+L210</f>
        <v>89785011.07502909</v>
      </c>
      <c r="M130" s="100">
        <f t="shared" ca="1" si="153"/>
        <v>89785011.07502909</v>
      </c>
      <c r="N130" s="100">
        <f t="shared" ca="1" si="153"/>
        <v>69568435.323739663</v>
      </c>
      <c r="O130" s="100">
        <f t="shared" ca="1" si="153"/>
        <v>69555110.045988262</v>
      </c>
      <c r="P130" s="100">
        <f t="shared" si="153"/>
        <v>20216575.751289431</v>
      </c>
      <c r="Q130" s="100">
        <f t="shared" si="153"/>
        <v>20229901.029040843</v>
      </c>
      <c r="R130" s="100">
        <f t="shared" si="153"/>
        <v>4862450</v>
      </c>
      <c r="S130" s="100">
        <f t="shared" si="153"/>
        <v>4862450</v>
      </c>
      <c r="T130" s="100">
        <f t="shared" ca="1" si="153"/>
        <v>94647461.07502909</v>
      </c>
      <c r="U130" s="100">
        <f t="shared" ca="1" si="153"/>
        <v>94647461.07502909</v>
      </c>
      <c r="V130" s="97">
        <v>1648071.3429999994</v>
      </c>
      <c r="W130" s="135">
        <f ca="1">SUMIF('Operations Support'!A:A,Summary!A170,'Operations Support'!U:U)+SUMIF('Operations Support'!A:A,Summary!A210,'Operations Support'!W:W)</f>
        <v>1519637.39696</v>
      </c>
      <c r="X130" s="553">
        <f t="shared" ca="1" si="150"/>
        <v>-7.7929846050359616E-2</v>
      </c>
    </row>
    <row r="131" spans="1:24" ht="19.95" customHeight="1" outlineLevel="1">
      <c r="A131" s="117">
        <v>9930</v>
      </c>
      <c r="B131" s="118" t="str">
        <f t="shared" si="144"/>
        <v>UT-Permian Basin</v>
      </c>
      <c r="C131" s="100">
        <f t="shared" si="145"/>
        <v>26231653</v>
      </c>
      <c r="D131" s="100">
        <f t="shared" si="145"/>
        <v>0</v>
      </c>
      <c r="E131" s="100">
        <f t="shared" si="145"/>
        <v>17340634.220594827</v>
      </c>
      <c r="F131" s="100">
        <f t="shared" si="145"/>
        <v>8891018.7794051729</v>
      </c>
      <c r="G131" s="100">
        <f t="shared" si="145"/>
        <v>26231653</v>
      </c>
      <c r="H131" s="100">
        <f t="shared" ca="1" si="145"/>
        <v>25504848.583872542</v>
      </c>
      <c r="I131" s="100">
        <f t="shared" ca="1" si="146"/>
        <v>-726804.41612745821</v>
      </c>
      <c r="J131" s="96">
        <f t="shared" ca="1" si="149"/>
        <v>-2.7707152733663341E-2</v>
      </c>
      <c r="K131" s="114"/>
      <c r="L131" s="100">
        <f t="shared" ref="L131:U131" ca="1" si="154">L171+L211</f>
        <v>12752424.291936271</v>
      </c>
      <c r="M131" s="100">
        <f t="shared" ca="1" si="154"/>
        <v>12752424.291936271</v>
      </c>
      <c r="N131" s="100">
        <f t="shared" ca="1" si="154"/>
        <v>8328530.30332046</v>
      </c>
      <c r="O131" s="100">
        <f t="shared" ca="1" si="154"/>
        <v>8324132.4673314551</v>
      </c>
      <c r="P131" s="100">
        <f t="shared" si="154"/>
        <v>4423893.9886158109</v>
      </c>
      <c r="Q131" s="100">
        <f t="shared" si="154"/>
        <v>4428291.8246048158</v>
      </c>
      <c r="R131" s="100">
        <f t="shared" si="154"/>
        <v>0</v>
      </c>
      <c r="S131" s="100">
        <f t="shared" si="154"/>
        <v>0</v>
      </c>
      <c r="T131" s="100">
        <f t="shared" ca="1" si="154"/>
        <v>12752424.291936271</v>
      </c>
      <c r="U131" s="100">
        <f t="shared" ca="1" si="154"/>
        <v>12752424.291936271</v>
      </c>
      <c r="V131" s="97">
        <v>235646.38800000004</v>
      </c>
      <c r="W131" s="135">
        <f ca="1">SUMIF('Operations Support'!A:A,Summary!A171,'Operations Support'!U:U)+SUMIF('Operations Support'!A:A,Summary!A211,'Operations Support'!W:W)</f>
        <v>215838.486</v>
      </c>
      <c r="X131" s="553">
        <f t="shared" ca="1" si="150"/>
        <v>-8.4057736543791312E-2</v>
      </c>
    </row>
    <row r="132" spans="1:24" ht="19.95" customHeight="1" outlineLevel="1">
      <c r="A132" s="117">
        <v>10115</v>
      </c>
      <c r="B132" s="118" t="str">
        <f t="shared" si="144"/>
        <v>UT-San Antonio</v>
      </c>
      <c r="C132" s="100">
        <f t="shared" si="145"/>
        <v>218518650</v>
      </c>
      <c r="D132" s="100">
        <f t="shared" si="145"/>
        <v>7738400</v>
      </c>
      <c r="E132" s="100">
        <f t="shared" si="145"/>
        <v>161294778.96501437</v>
      </c>
      <c r="F132" s="100">
        <f t="shared" si="145"/>
        <v>49485471.034985624</v>
      </c>
      <c r="G132" s="100">
        <f t="shared" si="145"/>
        <v>210780250</v>
      </c>
      <c r="H132" s="100">
        <f t="shared" ca="1" si="145"/>
        <v>208399840.97813812</v>
      </c>
      <c r="I132" s="100">
        <f t="shared" ca="1" si="146"/>
        <v>-2380409.021861881</v>
      </c>
      <c r="J132" s="96">
        <f t="shared" ca="1" si="149"/>
        <v>-1.1293320991230824E-2</v>
      </c>
      <c r="K132" s="114"/>
      <c r="L132" s="100">
        <f t="shared" ref="L132:U132" ca="1" si="155">L172+L212</f>
        <v>104199920.48906906</v>
      </c>
      <c r="M132" s="100">
        <f t="shared" ca="1" si="155"/>
        <v>104199920.48906906</v>
      </c>
      <c r="N132" s="100">
        <f t="shared" ca="1" si="155"/>
        <v>82936872.285616115</v>
      </c>
      <c r="O132" s="100">
        <f t="shared" ca="1" si="155"/>
        <v>82907699.349867404</v>
      </c>
      <c r="P132" s="100">
        <f t="shared" si="155"/>
        <v>21263048.203452937</v>
      </c>
      <c r="Q132" s="100">
        <f t="shared" si="155"/>
        <v>21292221.139201652</v>
      </c>
      <c r="R132" s="100">
        <f t="shared" si="155"/>
        <v>4397600</v>
      </c>
      <c r="S132" s="100">
        <f t="shared" si="155"/>
        <v>4397600</v>
      </c>
      <c r="T132" s="100">
        <f t="shared" ca="1" si="155"/>
        <v>108597520.48906906</v>
      </c>
      <c r="U132" s="100">
        <f t="shared" ca="1" si="155"/>
        <v>108597520.48906906</v>
      </c>
      <c r="V132" s="97">
        <v>1893498.9610000001</v>
      </c>
      <c r="W132" s="135">
        <f ca="1">SUMIF('Operations Support'!A:A,Summary!A172,'Operations Support'!U:U)+SUMIF('Operations Support'!A:A,Summary!A212,'Operations Support'!W:W)</f>
        <v>1763613.9266400002</v>
      </c>
      <c r="X132" s="553">
        <f t="shared" ca="1" si="150"/>
        <v>-6.8595249870855315E-2</v>
      </c>
    </row>
    <row r="133" spans="1:24" ht="19.95" customHeight="1" outlineLevel="1">
      <c r="A133" s="117">
        <v>11163</v>
      </c>
      <c r="B133" s="118" t="str">
        <f t="shared" si="144"/>
        <v>UT-Tyler</v>
      </c>
      <c r="C133" s="100">
        <f t="shared" si="145"/>
        <v>54991408</v>
      </c>
      <c r="D133" s="100">
        <f t="shared" si="145"/>
        <v>0</v>
      </c>
      <c r="E133" s="100">
        <f t="shared" si="145"/>
        <v>40400113.497472599</v>
      </c>
      <c r="F133" s="100">
        <f t="shared" si="145"/>
        <v>14591294.502527399</v>
      </c>
      <c r="G133" s="100">
        <f t="shared" si="145"/>
        <v>54991408</v>
      </c>
      <c r="H133" s="100">
        <f t="shared" ca="1" si="145"/>
        <v>55031873.878494844</v>
      </c>
      <c r="I133" s="100">
        <f t="shared" ca="1" si="146"/>
        <v>40465.878494843841</v>
      </c>
      <c r="J133" s="96">
        <f t="shared" ca="1" si="149"/>
        <v>7.3585819979084439E-4</v>
      </c>
      <c r="K133" s="114"/>
      <c r="L133" s="100">
        <f t="shared" ref="L133:U133" ca="1" si="156">L173+L213</f>
        <v>27515936.939247422</v>
      </c>
      <c r="M133" s="100">
        <f t="shared" ca="1" si="156"/>
        <v>27515936.939247422</v>
      </c>
      <c r="N133" s="100">
        <f t="shared" ca="1" si="156"/>
        <v>21250617.623311915</v>
      </c>
      <c r="O133" s="100">
        <f t="shared" ca="1" si="156"/>
        <v>21239518.286472201</v>
      </c>
      <c r="P133" s="100">
        <f t="shared" si="156"/>
        <v>6265319.3159355093</v>
      </c>
      <c r="Q133" s="100">
        <f t="shared" si="156"/>
        <v>6276418.6527752187</v>
      </c>
      <c r="R133" s="100">
        <f t="shared" si="156"/>
        <v>0</v>
      </c>
      <c r="S133" s="100">
        <f t="shared" si="156"/>
        <v>0</v>
      </c>
      <c r="T133" s="100">
        <f t="shared" ca="1" si="156"/>
        <v>27515936.939247422</v>
      </c>
      <c r="U133" s="100">
        <f t="shared" ca="1" si="156"/>
        <v>27515936.939247422</v>
      </c>
      <c r="V133" s="97">
        <v>494003.46300000005</v>
      </c>
      <c r="W133" s="135">
        <f ca="1">SUMIF('Operations Support'!A:A,Summary!A173,'Operations Support'!U:U)+SUMIF('Operations Support'!A:A,Summary!A213,'Operations Support'!W:W)</f>
        <v>465715.22667999991</v>
      </c>
      <c r="X133" s="553">
        <f t="shared" ca="1" si="150"/>
        <v>-5.7263234853072553E-2</v>
      </c>
    </row>
    <row r="134" spans="1:24" ht="19.95" customHeight="1" outlineLevel="1">
      <c r="A134" s="117">
        <v>3632</v>
      </c>
      <c r="B134" s="121" t="str">
        <f t="shared" si="144"/>
        <v>TAMU</v>
      </c>
      <c r="C134" s="100">
        <f t="shared" si="145"/>
        <v>626817331</v>
      </c>
      <c r="D134" s="100">
        <f t="shared" si="145"/>
        <v>20639592</v>
      </c>
      <c r="E134" s="100">
        <f t="shared" si="145"/>
        <v>479003239.74994683</v>
      </c>
      <c r="F134" s="100">
        <f t="shared" si="145"/>
        <v>127174499.25005318</v>
      </c>
      <c r="G134" s="100">
        <f t="shared" si="145"/>
        <v>606177739</v>
      </c>
      <c r="H134" s="100">
        <f t="shared" ca="1" si="145"/>
        <v>632613418.06946993</v>
      </c>
      <c r="I134" s="100">
        <f t="shared" ca="1" si="146"/>
        <v>26435679.069469929</v>
      </c>
      <c r="J134" s="96">
        <f t="shared" ca="1" si="149"/>
        <v>4.3610441902865602E-2</v>
      </c>
      <c r="K134" s="114"/>
      <c r="L134" s="100">
        <f t="shared" ref="L134:U134" ca="1" si="157">L174+L214</f>
        <v>316306709.03473496</v>
      </c>
      <c r="M134" s="100">
        <f t="shared" ca="1" si="157"/>
        <v>316306709.03473496</v>
      </c>
      <c r="N134" s="100">
        <f t="shared" ca="1" si="157"/>
        <v>259245248.23012248</v>
      </c>
      <c r="O134" s="100">
        <f t="shared" ca="1" si="157"/>
        <v>259011154.01504695</v>
      </c>
      <c r="P134" s="100">
        <f t="shared" si="157"/>
        <v>57061460.804612517</v>
      </c>
      <c r="Q134" s="100">
        <f t="shared" si="157"/>
        <v>57295555.019688025</v>
      </c>
      <c r="R134" s="100">
        <f t="shared" si="157"/>
        <v>10906430</v>
      </c>
      <c r="S134" s="100">
        <f t="shared" si="157"/>
        <v>10906430</v>
      </c>
      <c r="T134" s="100">
        <f t="shared" ca="1" si="157"/>
        <v>327213139.03473496</v>
      </c>
      <c r="U134" s="100">
        <f t="shared" ca="1" si="157"/>
        <v>327213139.03473496</v>
      </c>
      <c r="V134" s="97">
        <v>5445467.0729999999</v>
      </c>
      <c r="W134" s="135">
        <f ca="1">SUMIF('Operations Support'!A:A,Summary!A174,'Operations Support'!U:U)+SUMIF('Operations Support'!A:A,Summary!A214,'Operations Support'!W:W)</f>
        <v>5353582.944449991</v>
      </c>
      <c r="X134" s="553">
        <f t="shared" ca="1" si="150"/>
        <v>-1.6873507326046203E-2</v>
      </c>
    </row>
    <row r="135" spans="1:24" ht="19.95" customHeight="1" outlineLevel="1">
      <c r="A135" s="117">
        <v>10298</v>
      </c>
      <c r="B135" s="118" t="str">
        <f t="shared" si="144"/>
        <v>TAMU-Galveston</v>
      </c>
      <c r="C135" s="100">
        <f t="shared" si="145"/>
        <v>18271990</v>
      </c>
      <c r="D135" s="100">
        <f t="shared" si="145"/>
        <v>320000</v>
      </c>
      <c r="E135" s="100">
        <f t="shared" si="145"/>
        <v>14441535.216957588</v>
      </c>
      <c r="F135" s="100">
        <f t="shared" si="145"/>
        <v>3510454.7830424127</v>
      </c>
      <c r="G135" s="100">
        <f t="shared" si="145"/>
        <v>17951990</v>
      </c>
      <c r="H135" s="100">
        <f t="shared" ca="1" si="145"/>
        <v>20926462.858606908</v>
      </c>
      <c r="I135" s="100">
        <f t="shared" ca="1" si="146"/>
        <v>2974472.8586069085</v>
      </c>
      <c r="J135" s="96">
        <f t="shared" ca="1" si="149"/>
        <v>0.16569042532927594</v>
      </c>
      <c r="K135" s="114"/>
      <c r="L135" s="100">
        <f t="shared" ref="L135:U135" ca="1" si="158">L175+L215</f>
        <v>10463231.429303454</v>
      </c>
      <c r="M135" s="100">
        <f t="shared" ca="1" si="158"/>
        <v>10463231.429303454</v>
      </c>
      <c r="N135" s="100">
        <f t="shared" ca="1" si="158"/>
        <v>7760938.9136802424</v>
      </c>
      <c r="O135" s="100">
        <f t="shared" ca="1" si="158"/>
        <v>7749350.7790874131</v>
      </c>
      <c r="P135" s="100">
        <f t="shared" si="158"/>
        <v>2702292.5156232123</v>
      </c>
      <c r="Q135" s="100">
        <f t="shared" si="158"/>
        <v>2713880.6502160416</v>
      </c>
      <c r="R135" s="100">
        <f t="shared" si="158"/>
        <v>177768</v>
      </c>
      <c r="S135" s="100">
        <f t="shared" si="158"/>
        <v>177768</v>
      </c>
      <c r="T135" s="100">
        <f t="shared" ca="1" si="158"/>
        <v>10640999.429303454</v>
      </c>
      <c r="U135" s="100">
        <f t="shared" ca="1" si="158"/>
        <v>10640999.429303454</v>
      </c>
      <c r="V135" s="97">
        <v>161267.85051000005</v>
      </c>
      <c r="W135" s="135">
        <f ca="1">SUMIF('Operations Support'!A:A,Summary!A175,'Operations Support'!U:U)+SUMIF('Operations Support'!A:A,Summary!A215,'Operations Support'!W:W)</f>
        <v>177093.23173920004</v>
      </c>
      <c r="X135" s="553">
        <f t="shared" ca="1" si="150"/>
        <v>9.8131035907982653E-2</v>
      </c>
    </row>
    <row r="136" spans="1:24" ht="19.95" customHeight="1" outlineLevel="1">
      <c r="A136" s="117">
        <v>3630</v>
      </c>
      <c r="B136" s="118" t="str">
        <f t="shared" si="144"/>
        <v>Prairie View</v>
      </c>
      <c r="C136" s="100">
        <f t="shared" ref="C136:H145" si="159">C176+C216</f>
        <v>48427906</v>
      </c>
      <c r="D136" s="100">
        <f t="shared" si="159"/>
        <v>790532</v>
      </c>
      <c r="E136" s="100">
        <f t="shared" si="159"/>
        <v>26430113.831558824</v>
      </c>
      <c r="F136" s="100">
        <f t="shared" si="159"/>
        <v>21207260.168441176</v>
      </c>
      <c r="G136" s="100">
        <f t="shared" si="159"/>
        <v>47637374</v>
      </c>
      <c r="H136" s="100">
        <f t="shared" ca="1" si="159"/>
        <v>48977218.531386197</v>
      </c>
      <c r="I136" s="100">
        <f t="shared" ca="1" si="146"/>
        <v>1339844.5313861966</v>
      </c>
      <c r="J136" s="96">
        <f t="shared" ca="1" si="149"/>
        <v>2.8125910789839018E-2</v>
      </c>
      <c r="K136" s="114"/>
      <c r="L136" s="100">
        <f t="shared" ref="L136:U136" ca="1" si="160">L176+L216</f>
        <v>24488609.265693098</v>
      </c>
      <c r="M136" s="100">
        <f t="shared" ca="1" si="160"/>
        <v>24488609.265693098</v>
      </c>
      <c r="N136" s="100">
        <f t="shared" ca="1" si="160"/>
        <v>13043421.258030649</v>
      </c>
      <c r="O136" s="100">
        <f t="shared" ca="1" si="160"/>
        <v>12982397.811386503</v>
      </c>
      <c r="P136" s="100">
        <f t="shared" si="160"/>
        <v>11445188.007662449</v>
      </c>
      <c r="Q136" s="100">
        <f t="shared" si="160"/>
        <v>11506211.454306595</v>
      </c>
      <c r="R136" s="100">
        <f t="shared" si="160"/>
        <v>364150</v>
      </c>
      <c r="S136" s="100">
        <f t="shared" si="160"/>
        <v>364150</v>
      </c>
      <c r="T136" s="100">
        <f t="shared" ca="1" si="160"/>
        <v>24852759.265693098</v>
      </c>
      <c r="U136" s="100">
        <f t="shared" ca="1" si="160"/>
        <v>24852759.265693098</v>
      </c>
      <c r="V136" s="97">
        <v>427940.10000000009</v>
      </c>
      <c r="W136" s="135">
        <f ca="1">SUMIF('Operations Support'!A:A,Summary!A176,'Operations Support'!U:U)+SUMIF('Operations Support'!A:A,Summary!A216,'Operations Support'!W:W)</f>
        <v>414476.82629999996</v>
      </c>
      <c r="X136" s="553">
        <f t="shared" ca="1" si="150"/>
        <v>-3.146064998349099E-2</v>
      </c>
    </row>
    <row r="137" spans="1:24" ht="19.95" customHeight="1" outlineLevel="1">
      <c r="A137" s="117">
        <v>3631</v>
      </c>
      <c r="B137" s="118" t="str">
        <f t="shared" si="144"/>
        <v>Tarleton</v>
      </c>
      <c r="C137" s="100">
        <f t="shared" si="159"/>
        <v>77471092</v>
      </c>
      <c r="D137" s="100">
        <f t="shared" si="159"/>
        <v>2908862</v>
      </c>
      <c r="E137" s="100">
        <f t="shared" si="159"/>
        <v>56125860.541384354</v>
      </c>
      <c r="F137" s="100">
        <f t="shared" si="159"/>
        <v>18436369.458615642</v>
      </c>
      <c r="G137" s="100">
        <f t="shared" si="159"/>
        <v>74562230</v>
      </c>
      <c r="H137" s="100">
        <f t="shared" ca="1" si="159"/>
        <v>83318609.52533862</v>
      </c>
      <c r="I137" s="100">
        <f t="shared" ca="1" si="146"/>
        <v>8756379.5253386199</v>
      </c>
      <c r="J137" s="96">
        <f t="shared" ca="1" si="149"/>
        <v>0.11743720011242448</v>
      </c>
      <c r="K137" s="114"/>
      <c r="L137" s="100">
        <f t="shared" ref="L137:U137" ca="1" si="161">L177+L217</f>
        <v>41659304.76266931</v>
      </c>
      <c r="M137" s="100">
        <f t="shared" ca="1" si="161"/>
        <v>41659304.76266931</v>
      </c>
      <c r="N137" s="100">
        <f t="shared" ca="1" si="161"/>
        <v>34096025.486766063</v>
      </c>
      <c r="O137" s="100">
        <f t="shared" ca="1" si="161"/>
        <v>34083843.212014034</v>
      </c>
      <c r="P137" s="100">
        <f t="shared" si="161"/>
        <v>7563279.2759032482</v>
      </c>
      <c r="Q137" s="100">
        <f t="shared" si="161"/>
        <v>7575461.5506552784</v>
      </c>
      <c r="R137" s="100">
        <f t="shared" si="161"/>
        <v>1911416</v>
      </c>
      <c r="S137" s="100">
        <f t="shared" si="161"/>
        <v>1911416</v>
      </c>
      <c r="T137" s="100">
        <f t="shared" ca="1" si="161"/>
        <v>43570720.76266931</v>
      </c>
      <c r="U137" s="100">
        <f t="shared" ca="1" si="161"/>
        <v>43570720.76266931</v>
      </c>
      <c r="V137" s="97">
        <v>669813.73199999984</v>
      </c>
      <c r="W137" s="135">
        <f ca="1">SUMIF('Operations Support'!A:A,Summary!A177,'Operations Support'!U:U)+SUMIF('Operations Support'!A:A,Summary!A217,'Operations Support'!W:W)</f>
        <v>705095.83605000016</v>
      </c>
      <c r="X137" s="553">
        <f t="shared" ca="1" si="150"/>
        <v>5.2674500931253414E-2</v>
      </c>
    </row>
    <row r="138" spans="1:24" ht="19.95" customHeight="1" outlineLevel="1">
      <c r="A138" s="117">
        <v>42295</v>
      </c>
      <c r="B138" s="118" t="str">
        <f t="shared" si="144"/>
        <v>TAMU-Central</v>
      </c>
      <c r="C138" s="100">
        <f t="shared" si="159"/>
        <v>13081585</v>
      </c>
      <c r="D138" s="100">
        <f t="shared" si="159"/>
        <v>261064</v>
      </c>
      <c r="E138" s="100">
        <f t="shared" si="159"/>
        <v>9878290.1649557762</v>
      </c>
      <c r="F138" s="100">
        <f t="shared" si="159"/>
        <v>2942230.8350442238</v>
      </c>
      <c r="G138" s="100">
        <f t="shared" si="159"/>
        <v>12820521</v>
      </c>
      <c r="H138" s="100">
        <f t="shared" ca="1" si="159"/>
        <v>12306832.295141529</v>
      </c>
      <c r="I138" s="100">
        <f t="shared" ca="1" si="146"/>
        <v>-513688.70485847071</v>
      </c>
      <c r="J138" s="96">
        <f t="shared" ca="1" si="149"/>
        <v>-4.0067693415772314E-2</v>
      </c>
      <c r="K138" s="114"/>
      <c r="L138" s="100">
        <f t="shared" ref="L138:U138" ca="1" si="162">L178+L218</f>
        <v>6153416.1475707646</v>
      </c>
      <c r="M138" s="100">
        <f t="shared" ca="1" si="162"/>
        <v>6153416.1475707646</v>
      </c>
      <c r="N138" s="100">
        <f t="shared" ca="1" si="162"/>
        <v>5053956.8523340104</v>
      </c>
      <c r="O138" s="100">
        <f t="shared" ca="1" si="162"/>
        <v>5052088.0259089153</v>
      </c>
      <c r="P138" s="100">
        <f t="shared" si="162"/>
        <v>1099459.2952367545</v>
      </c>
      <c r="Q138" s="100">
        <f t="shared" si="162"/>
        <v>1101328.1216618498</v>
      </c>
      <c r="R138" s="100">
        <f t="shared" si="162"/>
        <v>170532</v>
      </c>
      <c r="S138" s="100">
        <f t="shared" si="162"/>
        <v>170532</v>
      </c>
      <c r="T138" s="100">
        <f t="shared" ca="1" si="162"/>
        <v>6323948.1475707646</v>
      </c>
      <c r="U138" s="100">
        <f t="shared" ca="1" si="162"/>
        <v>6323948.1475707646</v>
      </c>
      <c r="V138" s="97">
        <v>115170.36699999998</v>
      </c>
      <c r="W138" s="135">
        <f ca="1">SUMIF('Operations Support'!A:A,Summary!A178,'Operations Support'!U:U)+SUMIF('Operations Support'!A:A,Summary!A218,'Operations Support'!W:W)</f>
        <v>104148.35599999999</v>
      </c>
      <c r="X138" s="553">
        <f t="shared" ca="1" si="150"/>
        <v>-9.5701796278898715E-2</v>
      </c>
    </row>
    <row r="139" spans="1:24" ht="19.95" customHeight="1" outlineLevel="1">
      <c r="A139" s="117">
        <v>11161</v>
      </c>
      <c r="B139" s="118" t="str">
        <f t="shared" si="144"/>
        <v>TAMU-CC</v>
      </c>
      <c r="C139" s="100">
        <f t="shared" si="159"/>
        <v>69532838</v>
      </c>
      <c r="D139" s="100">
        <f t="shared" si="159"/>
        <v>2015708</v>
      </c>
      <c r="E139" s="100">
        <f t="shared" si="159"/>
        <v>49465429.53360752</v>
      </c>
      <c r="F139" s="100">
        <f t="shared" si="159"/>
        <v>18051700.466392476</v>
      </c>
      <c r="G139" s="100">
        <f t="shared" si="159"/>
        <v>67517130</v>
      </c>
      <c r="H139" s="100">
        <f t="shared" ca="1" si="159"/>
        <v>69516286.262571067</v>
      </c>
      <c r="I139" s="100">
        <f t="shared" ca="1" si="146"/>
        <v>1999156.2625710666</v>
      </c>
      <c r="J139" s="96">
        <f t="shared" ca="1" si="149"/>
        <v>2.960961555343165E-2</v>
      </c>
      <c r="K139" s="114"/>
      <c r="L139" s="100">
        <f t="shared" ref="L139:U139" ca="1" si="163">L179+L219</f>
        <v>34758143.131285533</v>
      </c>
      <c r="M139" s="100">
        <f t="shared" ca="1" si="163"/>
        <v>34758143.131285533</v>
      </c>
      <c r="N139" s="100">
        <f t="shared" ca="1" si="163"/>
        <v>25630553.000415362</v>
      </c>
      <c r="O139" s="100">
        <f t="shared" ca="1" si="163"/>
        <v>25628262.830192998</v>
      </c>
      <c r="P139" s="100">
        <f t="shared" si="163"/>
        <v>9127590.1308701709</v>
      </c>
      <c r="Q139" s="100">
        <f t="shared" si="163"/>
        <v>9129880.3010925334</v>
      </c>
      <c r="R139" s="100">
        <f t="shared" si="163"/>
        <v>1196955</v>
      </c>
      <c r="S139" s="100">
        <f t="shared" si="163"/>
        <v>1196955</v>
      </c>
      <c r="T139" s="100">
        <f t="shared" ca="1" si="163"/>
        <v>35955098.131285533</v>
      </c>
      <c r="U139" s="100">
        <f t="shared" ca="1" si="163"/>
        <v>35955098.131285533</v>
      </c>
      <c r="V139" s="97">
        <v>606525.59</v>
      </c>
      <c r="W139" s="135">
        <f ca="1">SUMIF('Operations Support'!A:A,Summary!A179,'Operations Support'!U:U)+SUMIF('Operations Support'!A:A,Summary!A219,'Operations Support'!W:W)</f>
        <v>588291.67050000012</v>
      </c>
      <c r="X139" s="553">
        <f t="shared" ca="1" si="150"/>
        <v>-3.006290220994607E-2</v>
      </c>
    </row>
    <row r="140" spans="1:24" ht="19.95" customHeight="1" outlineLevel="1">
      <c r="A140" s="117">
        <v>3639</v>
      </c>
      <c r="B140" s="118" t="str">
        <f t="shared" si="144"/>
        <v>TAMU-Kingsville</v>
      </c>
      <c r="C140" s="100">
        <f t="shared" si="159"/>
        <v>44423054</v>
      </c>
      <c r="D140" s="100">
        <f t="shared" si="159"/>
        <v>1287600</v>
      </c>
      <c r="E140" s="100">
        <f t="shared" si="159"/>
        <v>29873734.193272717</v>
      </c>
      <c r="F140" s="100">
        <f t="shared" si="159"/>
        <v>13261719.806727283</v>
      </c>
      <c r="G140" s="100">
        <f t="shared" si="159"/>
        <v>43135454</v>
      </c>
      <c r="H140" s="100">
        <f t="shared" ca="1" si="159"/>
        <v>40143417.578532092</v>
      </c>
      <c r="I140" s="100">
        <f t="shared" ca="1" si="146"/>
        <v>-2992036.4214679077</v>
      </c>
      <c r="J140" s="96">
        <f t="shared" ca="1" si="149"/>
        <v>-6.9363740125881312E-2</v>
      </c>
      <c r="K140" s="114"/>
      <c r="L140" s="100">
        <f t="shared" ref="L140:U140" ca="1" si="164">L180+L220</f>
        <v>20071708.789266046</v>
      </c>
      <c r="M140" s="100">
        <f t="shared" ca="1" si="164"/>
        <v>20071708.789266046</v>
      </c>
      <c r="N140" s="100">
        <f t="shared" ca="1" si="164"/>
        <v>13389847.752897879</v>
      </c>
      <c r="O140" s="100">
        <f t="shared" ca="1" si="164"/>
        <v>13347289.273873594</v>
      </c>
      <c r="P140" s="100">
        <f t="shared" si="164"/>
        <v>6681861.0363681661</v>
      </c>
      <c r="Q140" s="100">
        <f t="shared" si="164"/>
        <v>6724419.5153924525</v>
      </c>
      <c r="R140" s="100">
        <f t="shared" si="164"/>
        <v>683000</v>
      </c>
      <c r="S140" s="100">
        <f t="shared" si="164"/>
        <v>683000</v>
      </c>
      <c r="T140" s="100">
        <f t="shared" ca="1" si="164"/>
        <v>20754708.789266046</v>
      </c>
      <c r="U140" s="100">
        <f t="shared" ca="1" si="164"/>
        <v>20754708.789266046</v>
      </c>
      <c r="V140" s="97">
        <v>387498.05600000004</v>
      </c>
      <c r="W140" s="135">
        <f ca="1">SUMIF('Operations Support'!A:A,Summary!A180,'Operations Support'!U:U)+SUMIF('Operations Support'!A:A,Summary!A220,'Operations Support'!W:W)</f>
        <v>339719.50252999994</v>
      </c>
      <c r="X140" s="553">
        <f t="shared" ca="1" si="150"/>
        <v>-0.1233001113946236</v>
      </c>
    </row>
    <row r="141" spans="1:24" ht="19.95" customHeight="1" outlineLevel="1">
      <c r="A141" s="117">
        <v>42485</v>
      </c>
      <c r="B141" s="118" t="str">
        <f t="shared" si="144"/>
        <v>TAMU-San Antonio</v>
      </c>
      <c r="C141" s="100">
        <f t="shared" si="159"/>
        <v>29645918</v>
      </c>
      <c r="D141" s="100">
        <f t="shared" si="159"/>
        <v>1018350</v>
      </c>
      <c r="E141" s="100">
        <f t="shared" si="159"/>
        <v>20551900.52766598</v>
      </c>
      <c r="F141" s="100">
        <f t="shared" si="159"/>
        <v>8075667.4723340208</v>
      </c>
      <c r="G141" s="100">
        <f t="shared" si="159"/>
        <v>28627568</v>
      </c>
      <c r="H141" s="100">
        <f t="shared" ca="1" si="159"/>
        <v>29926533.039038096</v>
      </c>
      <c r="I141" s="100">
        <f t="shared" ca="1" si="146"/>
        <v>1298965.0390380956</v>
      </c>
      <c r="J141" s="96">
        <f t="shared" ca="1" si="149"/>
        <v>4.5374620681648388E-2</v>
      </c>
      <c r="K141" s="114"/>
      <c r="L141" s="100">
        <f t="shared" ref="L141:U141" ca="1" si="165">L181+L221</f>
        <v>14963266.519519048</v>
      </c>
      <c r="M141" s="100">
        <f t="shared" ca="1" si="165"/>
        <v>14963266.519519048</v>
      </c>
      <c r="N141" s="100">
        <f t="shared" ca="1" si="165"/>
        <v>10682214.454823196</v>
      </c>
      <c r="O141" s="100">
        <f t="shared" ca="1" si="165"/>
        <v>10679261.332812579</v>
      </c>
      <c r="P141" s="100">
        <f t="shared" si="165"/>
        <v>4281052.0646958528</v>
      </c>
      <c r="Q141" s="100">
        <f t="shared" si="165"/>
        <v>4284005.1867064675</v>
      </c>
      <c r="R141" s="100">
        <f t="shared" si="165"/>
        <v>372330</v>
      </c>
      <c r="S141" s="100">
        <f t="shared" si="165"/>
        <v>372330</v>
      </c>
      <c r="T141" s="100">
        <f t="shared" ca="1" si="165"/>
        <v>15335596.519519048</v>
      </c>
      <c r="U141" s="100">
        <f t="shared" ca="1" si="165"/>
        <v>15335596.519519048</v>
      </c>
      <c r="V141" s="97">
        <v>257169.56100000002</v>
      </c>
      <c r="W141" s="135">
        <f ca="1">SUMIF('Operations Support'!A:A,Summary!A181,'Operations Support'!U:U)+SUMIF('Operations Support'!A:A,Summary!A221,'Operations Support'!W:W)</f>
        <v>253257.63300000003</v>
      </c>
      <c r="X141" s="553">
        <f t="shared" ca="1" si="150"/>
        <v>-1.5211473647147476E-2</v>
      </c>
    </row>
    <row r="142" spans="1:24" ht="19.95" customHeight="1" outlineLevel="1">
      <c r="A142" s="117">
        <v>9651</v>
      </c>
      <c r="B142" s="118" t="str">
        <f t="shared" si="144"/>
        <v>TAMI</v>
      </c>
      <c r="C142" s="100">
        <f t="shared" si="159"/>
        <v>46123976</v>
      </c>
      <c r="D142" s="100">
        <f t="shared" si="159"/>
        <v>1188902</v>
      </c>
      <c r="E142" s="100">
        <f t="shared" si="159"/>
        <v>33109047.714061033</v>
      </c>
      <c r="F142" s="100">
        <f t="shared" si="159"/>
        <v>11826026.285938967</v>
      </c>
      <c r="G142" s="100">
        <f t="shared" si="159"/>
        <v>44935074</v>
      </c>
      <c r="H142" s="100">
        <f t="shared" ca="1" si="159"/>
        <v>48087631.757056549</v>
      </c>
      <c r="I142" s="100">
        <f t="shared" ca="1" si="146"/>
        <v>3152557.7570565492</v>
      </c>
      <c r="J142" s="96">
        <f t="shared" ca="1" si="149"/>
        <v>7.0158063099140536E-2</v>
      </c>
      <c r="K142" s="114"/>
      <c r="L142" s="100">
        <f t="shared" ref="L142:U142" ca="1" si="166">L182+L222</f>
        <v>24043815.878528275</v>
      </c>
      <c r="M142" s="100">
        <f t="shared" ca="1" si="166"/>
        <v>24043815.878528275</v>
      </c>
      <c r="N142" s="100">
        <f t="shared" ca="1" si="166"/>
        <v>17889903.316620443</v>
      </c>
      <c r="O142" s="100">
        <f t="shared" ca="1" si="166"/>
        <v>17887550.479914017</v>
      </c>
      <c r="P142" s="100">
        <f t="shared" si="166"/>
        <v>6153912.5619078325</v>
      </c>
      <c r="Q142" s="100">
        <f t="shared" si="166"/>
        <v>6156265.3986142594</v>
      </c>
      <c r="R142" s="100">
        <f t="shared" si="166"/>
        <v>747125</v>
      </c>
      <c r="S142" s="100">
        <f t="shared" si="166"/>
        <v>747125</v>
      </c>
      <c r="T142" s="100">
        <f t="shared" ca="1" si="166"/>
        <v>24790940.878528275</v>
      </c>
      <c r="U142" s="100">
        <f t="shared" ca="1" si="166"/>
        <v>24790940.878528275</v>
      </c>
      <c r="V142" s="97">
        <v>403664.549</v>
      </c>
      <c r="W142" s="135">
        <f ca="1">SUMIF('Operations Support'!A:A,Summary!A182,'Operations Support'!U:U)+SUMIF('Operations Support'!A:A,Summary!A222,'Operations Support'!W:W)</f>
        <v>406948.56900000008</v>
      </c>
      <c r="X142" s="553">
        <f t="shared" ca="1" si="150"/>
        <v>8.1355174937595941E-3</v>
      </c>
    </row>
    <row r="143" spans="1:24" ht="19.95" customHeight="1" outlineLevel="1">
      <c r="A143" s="117">
        <v>3665</v>
      </c>
      <c r="B143" s="118" t="str">
        <f t="shared" si="144"/>
        <v>WTAMU</v>
      </c>
      <c r="C143" s="100">
        <f t="shared" si="159"/>
        <v>57063693</v>
      </c>
      <c r="D143" s="100">
        <f t="shared" si="159"/>
        <v>3758606</v>
      </c>
      <c r="E143" s="100">
        <f t="shared" si="159"/>
        <v>40052047.041518144</v>
      </c>
      <c r="F143" s="100">
        <f t="shared" si="159"/>
        <v>13253039.958481858</v>
      </c>
      <c r="G143" s="100">
        <f t="shared" si="159"/>
        <v>53305087</v>
      </c>
      <c r="H143" s="100">
        <f t="shared" ca="1" si="159"/>
        <v>51385902.940505542</v>
      </c>
      <c r="I143" s="100">
        <f t="shared" ca="1" si="146"/>
        <v>-1919184.0594944581</v>
      </c>
      <c r="J143" s="96">
        <f t="shared" ca="1" si="149"/>
        <v>-3.600376938685905E-2</v>
      </c>
      <c r="K143" s="114"/>
      <c r="L143" s="100">
        <f t="shared" ref="L143:U143" ca="1" si="167">L183+L223</f>
        <v>25692951.470252771</v>
      </c>
      <c r="M143" s="100">
        <f t="shared" ca="1" si="167"/>
        <v>25692951.470252771</v>
      </c>
      <c r="N143" s="100">
        <f t="shared" ca="1" si="167"/>
        <v>19847481.261248026</v>
      </c>
      <c r="O143" s="100">
        <f t="shared" ca="1" si="167"/>
        <v>19831069.699666366</v>
      </c>
      <c r="P143" s="100">
        <f t="shared" si="167"/>
        <v>5845470.2090047458</v>
      </c>
      <c r="Q143" s="100">
        <f t="shared" si="167"/>
        <v>5861881.7705864059</v>
      </c>
      <c r="R143" s="100">
        <f t="shared" si="167"/>
        <v>1675882</v>
      </c>
      <c r="S143" s="100">
        <f t="shared" si="167"/>
        <v>1675882</v>
      </c>
      <c r="T143" s="100">
        <f t="shared" ca="1" si="167"/>
        <v>27368833.470252771</v>
      </c>
      <c r="U143" s="100">
        <f t="shared" ca="1" si="167"/>
        <v>27368833.470252771</v>
      </c>
      <c r="V143" s="97">
        <v>478854.71600000007</v>
      </c>
      <c r="W143" s="135">
        <f ca="1">SUMIF('Operations Support'!A:A,Summary!A183,'Operations Support'!U:U)+SUMIF('Operations Support'!A:A,Summary!A223,'Operations Support'!W:W)</f>
        <v>434860.66800000001</v>
      </c>
      <c r="X143" s="553">
        <f t="shared" ca="1" si="150"/>
        <v>-9.1873477549712715E-2</v>
      </c>
    </row>
    <row r="144" spans="1:24" ht="19.95" customHeight="1" outlineLevel="1">
      <c r="A144" s="117">
        <v>3565</v>
      </c>
      <c r="B144" s="118" t="str">
        <f t="shared" si="144"/>
        <v>TAMU-Commerce</v>
      </c>
      <c r="C144" s="100">
        <f t="shared" si="159"/>
        <v>84020821</v>
      </c>
      <c r="D144" s="100">
        <f t="shared" si="159"/>
        <v>4991800</v>
      </c>
      <c r="E144" s="100">
        <f t="shared" si="159"/>
        <v>64522952.156254627</v>
      </c>
      <c r="F144" s="100">
        <f t="shared" si="159"/>
        <v>14506068.843745373</v>
      </c>
      <c r="G144" s="100">
        <f t="shared" si="159"/>
        <v>79029021</v>
      </c>
      <c r="H144" s="100">
        <f t="shared" ca="1" si="159"/>
        <v>78036927.300496012</v>
      </c>
      <c r="I144" s="100">
        <f t="shared" ca="1" si="146"/>
        <v>-992093.69950398803</v>
      </c>
      <c r="J144" s="96">
        <f t="shared" ca="1" si="149"/>
        <v>-1.2553536497737812E-2</v>
      </c>
      <c r="K144" s="114"/>
      <c r="L144" s="100">
        <f t="shared" ref="L144:U144" ca="1" si="168">L184+L224</f>
        <v>39018463.650248006</v>
      </c>
      <c r="M144" s="100">
        <f t="shared" ca="1" si="168"/>
        <v>39018463.650248006</v>
      </c>
      <c r="N144" s="100">
        <f t="shared" ca="1" si="168"/>
        <v>35799788.84064766</v>
      </c>
      <c r="O144" s="100">
        <f t="shared" ca="1" si="168"/>
        <v>35792919.215956435</v>
      </c>
      <c r="P144" s="100">
        <f t="shared" si="168"/>
        <v>3218674.8096003458</v>
      </c>
      <c r="Q144" s="100">
        <f t="shared" si="168"/>
        <v>3225544.434291577</v>
      </c>
      <c r="R144" s="100">
        <f t="shared" si="168"/>
        <v>2720000</v>
      </c>
      <c r="S144" s="100">
        <f t="shared" si="168"/>
        <v>2720000</v>
      </c>
      <c r="T144" s="100">
        <f t="shared" ca="1" si="168"/>
        <v>41738463.650248006</v>
      </c>
      <c r="U144" s="100">
        <f t="shared" ca="1" si="168"/>
        <v>41738463.650248006</v>
      </c>
      <c r="V144" s="97">
        <v>709940.20299999998</v>
      </c>
      <c r="W144" s="135">
        <f ca="1">SUMIF('Operations Support'!A:A,Summary!A184,'Operations Support'!U:U)+SUMIF('Operations Support'!A:A,Summary!A224,'Operations Support'!W:W)</f>
        <v>660398.83299999998</v>
      </c>
      <c r="X144" s="553">
        <f t="shared" ca="1" si="150"/>
        <v>-6.9782454621745094E-2</v>
      </c>
    </row>
    <row r="145" spans="1:24" ht="19.95" customHeight="1" outlineLevel="1">
      <c r="A145" s="117">
        <v>29269</v>
      </c>
      <c r="B145" s="118" t="str">
        <f t="shared" si="144"/>
        <v>TAMU-Texarkana</v>
      </c>
      <c r="C145" s="100">
        <f t="shared" si="159"/>
        <v>10784420</v>
      </c>
      <c r="D145" s="100">
        <f t="shared" si="159"/>
        <v>186250</v>
      </c>
      <c r="E145" s="100">
        <f t="shared" si="159"/>
        <v>7722425.1971446006</v>
      </c>
      <c r="F145" s="100">
        <f t="shared" si="159"/>
        <v>2875744.8028553999</v>
      </c>
      <c r="G145" s="100">
        <f t="shared" si="159"/>
        <v>10598170</v>
      </c>
      <c r="H145" s="100">
        <f t="shared" ca="1" si="159"/>
        <v>10319493.882462103</v>
      </c>
      <c r="I145" s="100">
        <f t="shared" ca="1" si="146"/>
        <v>-278676.11753789708</v>
      </c>
      <c r="J145" s="96">
        <f t="shared" ca="1" si="149"/>
        <v>-2.6294739331214453E-2</v>
      </c>
      <c r="K145" s="114"/>
      <c r="L145" s="100">
        <f t="shared" ref="L145:U145" ca="1" si="169">L185+L225</f>
        <v>5159746.9412310515</v>
      </c>
      <c r="M145" s="100">
        <f t="shared" ca="1" si="169"/>
        <v>5159746.9412310515</v>
      </c>
      <c r="N145" s="100">
        <f t="shared" ca="1" si="169"/>
        <v>3703277.3839122304</v>
      </c>
      <c r="O145" s="100">
        <f t="shared" ca="1" si="169"/>
        <v>3698417.9280529236</v>
      </c>
      <c r="P145" s="100">
        <f t="shared" si="169"/>
        <v>1456469.5573188218</v>
      </c>
      <c r="Q145" s="100">
        <f t="shared" si="169"/>
        <v>1461329.0131781283</v>
      </c>
      <c r="R145" s="100">
        <f t="shared" si="169"/>
        <v>112115</v>
      </c>
      <c r="S145" s="100">
        <f t="shared" si="169"/>
        <v>112115</v>
      </c>
      <c r="T145" s="100">
        <f t="shared" ca="1" si="169"/>
        <v>5271861.9412310515</v>
      </c>
      <c r="U145" s="100">
        <f t="shared" ca="1" si="169"/>
        <v>5271861.9412310515</v>
      </c>
      <c r="V145" s="97">
        <v>95206.361000000019</v>
      </c>
      <c r="W145" s="135">
        <f ca="1">SUMIF('Operations Support'!A:A,Summary!A185,'Operations Support'!U:U)+SUMIF('Operations Support'!A:A,Summary!A225,'Operations Support'!W:W)</f>
        <v>87330.215999999986</v>
      </c>
      <c r="X145" s="553">
        <f t="shared" ca="1" si="150"/>
        <v>-8.272708795161314E-2</v>
      </c>
    </row>
    <row r="146" spans="1:24" ht="19.95" customHeight="1" outlineLevel="1">
      <c r="A146" s="117">
        <v>3652</v>
      </c>
      <c r="B146" s="118" t="str">
        <f t="shared" si="144"/>
        <v>UH</v>
      </c>
      <c r="C146" s="100">
        <f t="shared" ref="C146:H155" si="170">C186+C226</f>
        <v>365261480</v>
      </c>
      <c r="D146" s="100">
        <f t="shared" si="170"/>
        <v>25309680</v>
      </c>
      <c r="E146" s="100">
        <f t="shared" si="170"/>
        <v>250019912.61612567</v>
      </c>
      <c r="F146" s="100">
        <f t="shared" si="170"/>
        <v>89931887.383874342</v>
      </c>
      <c r="G146" s="100">
        <f t="shared" si="170"/>
        <v>339951800</v>
      </c>
      <c r="H146" s="100">
        <f t="shared" ca="1" si="170"/>
        <v>332888004.72158319</v>
      </c>
      <c r="I146" s="100">
        <f t="shared" ca="1" si="146"/>
        <v>-7063795.2784168124</v>
      </c>
      <c r="J146" s="96">
        <f t="shared" ca="1" si="149"/>
        <v>-2.0778814168410969E-2</v>
      </c>
      <c r="K146" s="114"/>
      <c r="L146" s="100">
        <f t="shared" ref="L146:U146" ca="1" si="171">L186+L226</f>
        <v>166444002.36079159</v>
      </c>
      <c r="M146" s="100">
        <f t="shared" ca="1" si="171"/>
        <v>166444002.36079159</v>
      </c>
      <c r="N146" s="100">
        <f t="shared" ca="1" si="171"/>
        <v>125733507.24577388</v>
      </c>
      <c r="O146" s="100">
        <f t="shared" ca="1" si="171"/>
        <v>125593814.23647565</v>
      </c>
      <c r="P146" s="100">
        <f t="shared" si="171"/>
        <v>40710495.115017712</v>
      </c>
      <c r="Q146" s="100">
        <f t="shared" si="171"/>
        <v>40850188.124315947</v>
      </c>
      <c r="R146" s="100">
        <f t="shared" si="171"/>
        <v>12540421</v>
      </c>
      <c r="S146" s="100">
        <f t="shared" si="171"/>
        <v>12540421</v>
      </c>
      <c r="T146" s="100">
        <f t="shared" ca="1" si="171"/>
        <v>178984423.36079159</v>
      </c>
      <c r="U146" s="100">
        <f t="shared" ca="1" si="171"/>
        <v>178984423.36079159</v>
      </c>
      <c r="V146" s="97">
        <v>3053883.7420000001</v>
      </c>
      <c r="W146" s="135">
        <f ca="1">SUMIF('Operations Support'!A:A,Summary!A186,'Operations Support'!U:U)+SUMIF('Operations Support'!A:A,Summary!A226,'Operations Support'!W:W)</f>
        <v>2817113.0955899991</v>
      </c>
      <c r="X146" s="553">
        <f t="shared" ca="1" si="150"/>
        <v>-7.7530995418620283E-2</v>
      </c>
    </row>
    <row r="147" spans="1:24" ht="19.95" customHeight="1" outlineLevel="1">
      <c r="A147" s="117">
        <v>11711</v>
      </c>
      <c r="B147" s="118" t="str">
        <f t="shared" si="144"/>
        <v>UH-Clear Lake</v>
      </c>
      <c r="C147" s="100">
        <f t="shared" si="170"/>
        <v>58995989</v>
      </c>
      <c r="D147" s="100">
        <f t="shared" si="170"/>
        <v>3575740</v>
      </c>
      <c r="E147" s="100">
        <f t="shared" si="170"/>
        <v>41796256.933809817</v>
      </c>
      <c r="F147" s="100">
        <f t="shared" si="170"/>
        <v>13623992.066190187</v>
      </c>
      <c r="G147" s="100">
        <f t="shared" si="170"/>
        <v>55420249</v>
      </c>
      <c r="H147" s="100">
        <f t="shared" ca="1" si="170"/>
        <v>52547922.994135432</v>
      </c>
      <c r="I147" s="100">
        <f t="shared" ca="1" si="146"/>
        <v>-2872326.0058645681</v>
      </c>
      <c r="J147" s="96">
        <f t="shared" ca="1" si="149"/>
        <v>-5.1828096367170201E-2</v>
      </c>
      <c r="K147" s="114"/>
      <c r="L147" s="100">
        <f t="shared" ref="L147:U147" ca="1" si="172">L187+L227</f>
        <v>26273961.497067716</v>
      </c>
      <c r="M147" s="100">
        <f t="shared" ca="1" si="172"/>
        <v>26273961.497067716</v>
      </c>
      <c r="N147" s="100">
        <f t="shared" ca="1" si="172"/>
        <v>19796335.662913434</v>
      </c>
      <c r="O147" s="100">
        <f t="shared" ca="1" si="172"/>
        <v>19767901.404607262</v>
      </c>
      <c r="P147" s="100">
        <f t="shared" si="172"/>
        <v>6477625.834154279</v>
      </c>
      <c r="Q147" s="100">
        <f t="shared" si="172"/>
        <v>6506060.0924604526</v>
      </c>
      <c r="R147" s="100">
        <f t="shared" si="172"/>
        <v>1913398</v>
      </c>
      <c r="S147" s="100">
        <f t="shared" si="172"/>
        <v>1913398</v>
      </c>
      <c r="T147" s="100">
        <f t="shared" ca="1" si="172"/>
        <v>28187359.497067716</v>
      </c>
      <c r="U147" s="100">
        <f t="shared" ca="1" si="172"/>
        <v>28187359.497067716</v>
      </c>
      <c r="V147" s="97">
        <v>497855.86699999985</v>
      </c>
      <c r="W147" s="135">
        <f ca="1">SUMIF('Operations Support'!A:A,Summary!A187,'Operations Support'!U:U)+SUMIF('Operations Support'!A:A,Summary!A227,'Operations Support'!W:W)</f>
        <v>444694.43150000001</v>
      </c>
      <c r="X147" s="553">
        <f t="shared" ca="1" si="150"/>
        <v>-0.10678077536846596</v>
      </c>
    </row>
    <row r="148" spans="1:24" ht="19.95" customHeight="1" outlineLevel="1">
      <c r="A148" s="117">
        <v>12826</v>
      </c>
      <c r="B148" s="118" t="str">
        <f t="shared" si="144"/>
        <v>UH-Downtown</v>
      </c>
      <c r="C148" s="100">
        <f t="shared" si="170"/>
        <v>70248737</v>
      </c>
      <c r="D148" s="100">
        <f t="shared" si="170"/>
        <v>2377684</v>
      </c>
      <c r="E148" s="100">
        <f t="shared" si="170"/>
        <v>42657931.315430358</v>
      </c>
      <c r="F148" s="100">
        <f t="shared" si="170"/>
        <v>25213121.684569642</v>
      </c>
      <c r="G148" s="100">
        <f t="shared" si="170"/>
        <v>67871053</v>
      </c>
      <c r="H148" s="100">
        <f t="shared" ca="1" si="170"/>
        <v>62189987.677663498</v>
      </c>
      <c r="I148" s="100">
        <f t="shared" ca="1" si="146"/>
        <v>-5681065.3223365024</v>
      </c>
      <c r="J148" s="96">
        <f t="shared" ca="1" si="149"/>
        <v>-8.3703804069998777E-2</v>
      </c>
      <c r="K148" s="114"/>
      <c r="L148" s="100">
        <f t="shared" ref="L148:U148" ca="1" si="173">L188+L228</f>
        <v>31094993.838831749</v>
      </c>
      <c r="M148" s="100">
        <f t="shared" ca="1" si="173"/>
        <v>31094993.838831749</v>
      </c>
      <c r="N148" s="100">
        <f t="shared" ca="1" si="173"/>
        <v>20681039.260839004</v>
      </c>
      <c r="O148" s="100">
        <f t="shared" ca="1" si="173"/>
        <v>20653845.969453987</v>
      </c>
      <c r="P148" s="100">
        <f t="shared" si="173"/>
        <v>10413954.577992745</v>
      </c>
      <c r="Q148" s="100">
        <f t="shared" si="173"/>
        <v>10441147.869377762</v>
      </c>
      <c r="R148" s="100">
        <f t="shared" si="173"/>
        <v>1140388</v>
      </c>
      <c r="S148" s="100">
        <f t="shared" si="173"/>
        <v>1140388</v>
      </c>
      <c r="T148" s="100">
        <f t="shared" ca="1" si="173"/>
        <v>32235381.838831749</v>
      </c>
      <c r="U148" s="100">
        <f t="shared" ca="1" si="173"/>
        <v>32235381.838831749</v>
      </c>
      <c r="V148" s="97">
        <v>609705.00200000009</v>
      </c>
      <c r="W148" s="135">
        <f ca="1">SUMIF('Operations Support'!A:A,Summary!A188,'Operations Support'!U:U)+SUMIF('Operations Support'!A:A,Summary!A228,'Operations Support'!W:W)</f>
        <v>526291.80449999997</v>
      </c>
      <c r="X148" s="553">
        <f t="shared" ca="1" si="150"/>
        <v>-0.13680910805452129</v>
      </c>
    </row>
    <row r="149" spans="1:24" ht="19.95" customHeight="1" outlineLevel="1">
      <c r="A149" s="117">
        <v>13231</v>
      </c>
      <c r="B149" s="118" t="str">
        <f t="shared" si="144"/>
        <v>UH-Victoria</v>
      </c>
      <c r="C149" s="100">
        <f t="shared" si="170"/>
        <v>27001352</v>
      </c>
      <c r="D149" s="100">
        <f t="shared" si="170"/>
        <v>1657200</v>
      </c>
      <c r="E149" s="100">
        <f t="shared" si="170"/>
        <v>17806469.107050478</v>
      </c>
      <c r="F149" s="100">
        <f t="shared" si="170"/>
        <v>7537682.8929495206</v>
      </c>
      <c r="G149" s="100">
        <f t="shared" si="170"/>
        <v>25344152</v>
      </c>
      <c r="H149" s="100">
        <f t="shared" ca="1" si="170"/>
        <v>21522614.783356648</v>
      </c>
      <c r="I149" s="100">
        <f t="shared" ca="1" si="146"/>
        <v>-3821537.2166433521</v>
      </c>
      <c r="J149" s="96">
        <f t="shared" ca="1" si="149"/>
        <v>-0.15078575983301204</v>
      </c>
      <c r="K149" s="114"/>
      <c r="L149" s="100">
        <f t="shared" ref="L149:U149" ca="1" si="174">L189+L229</f>
        <v>10761307.391678324</v>
      </c>
      <c r="M149" s="100">
        <f t="shared" ca="1" si="174"/>
        <v>10761307.391678324</v>
      </c>
      <c r="N149" s="100">
        <f t="shared" ca="1" si="174"/>
        <v>7645089.3329262352</v>
      </c>
      <c r="O149" s="100">
        <f t="shared" ca="1" si="174"/>
        <v>7638736.9162463648</v>
      </c>
      <c r="P149" s="100">
        <f t="shared" si="174"/>
        <v>3116218.0587520883</v>
      </c>
      <c r="Q149" s="100">
        <f t="shared" si="174"/>
        <v>3122570.4754319582</v>
      </c>
      <c r="R149" s="100">
        <f t="shared" si="174"/>
        <v>828600</v>
      </c>
      <c r="S149" s="100">
        <f t="shared" si="174"/>
        <v>828600</v>
      </c>
      <c r="T149" s="100">
        <f t="shared" ca="1" si="174"/>
        <v>11589907.391678324</v>
      </c>
      <c r="U149" s="100">
        <f t="shared" ca="1" si="174"/>
        <v>11589907.391678324</v>
      </c>
      <c r="V149" s="97">
        <v>227673.70200000002</v>
      </c>
      <c r="W149" s="135">
        <f ca="1">SUMIF('Operations Support'!A:A,Summary!A189,'Operations Support'!U:U)+SUMIF('Operations Support'!A:A,Summary!A229,'Operations Support'!W:W)</f>
        <v>182138.25399999999</v>
      </c>
      <c r="X149" s="553">
        <f t="shared" ca="1" si="150"/>
        <v>-0.20000310795666698</v>
      </c>
    </row>
    <row r="150" spans="1:24" ht="19.95" customHeight="1" outlineLevel="1">
      <c r="A150" s="117">
        <v>3592</v>
      </c>
      <c r="B150" s="118" t="str">
        <f t="shared" si="144"/>
        <v>Midwestern</v>
      </c>
      <c r="C150" s="100">
        <f t="shared" si="170"/>
        <v>26044101</v>
      </c>
      <c r="D150" s="100">
        <f t="shared" si="170"/>
        <v>905000</v>
      </c>
      <c r="E150" s="100">
        <f t="shared" si="170"/>
        <v>19498225.558976457</v>
      </c>
      <c r="F150" s="100">
        <f t="shared" si="170"/>
        <v>5640875.4410235425</v>
      </c>
      <c r="G150" s="100">
        <f t="shared" si="170"/>
        <v>25139101</v>
      </c>
      <c r="H150" s="100">
        <f t="shared" ca="1" si="170"/>
        <v>27013807.426670615</v>
      </c>
      <c r="I150" s="100">
        <f t="shared" ca="1" si="146"/>
        <v>1874706.4266706146</v>
      </c>
      <c r="J150" s="96">
        <f t="shared" ca="1" si="149"/>
        <v>7.457332808641863E-2</v>
      </c>
      <c r="K150" s="114"/>
      <c r="L150" s="100">
        <f t="shared" ref="L150:U150" ca="1" si="175">L190+L230</f>
        <v>13506903.713335307</v>
      </c>
      <c r="M150" s="100">
        <f t="shared" ca="1" si="175"/>
        <v>13506903.713335307</v>
      </c>
      <c r="N150" s="100">
        <f t="shared" ca="1" si="175"/>
        <v>10719341.812785419</v>
      </c>
      <c r="O150" s="100">
        <f t="shared" ca="1" si="175"/>
        <v>10714619.990463573</v>
      </c>
      <c r="P150" s="100">
        <f t="shared" si="175"/>
        <v>2787561.9005498886</v>
      </c>
      <c r="Q150" s="100">
        <f t="shared" si="175"/>
        <v>2792283.7228717357</v>
      </c>
      <c r="R150" s="100">
        <f t="shared" si="175"/>
        <v>472500</v>
      </c>
      <c r="S150" s="100">
        <f t="shared" si="175"/>
        <v>472500</v>
      </c>
      <c r="T150" s="100">
        <f t="shared" ca="1" si="175"/>
        <v>13979403.713335307</v>
      </c>
      <c r="U150" s="100">
        <f t="shared" ca="1" si="175"/>
        <v>13979403.713335307</v>
      </c>
      <c r="V150" s="97">
        <v>225831.71300000002</v>
      </c>
      <c r="W150" s="135">
        <f ca="1">SUMIF('Operations Support'!A:A,Summary!A190,'Operations Support'!U:U)+SUMIF('Operations Support'!A:A,Summary!A230,'Operations Support'!W:W)</f>
        <v>228608.26940000002</v>
      </c>
      <c r="X150" s="553">
        <f t="shared" ca="1" si="150"/>
        <v>1.2294802900423472E-2</v>
      </c>
    </row>
    <row r="151" spans="1:24" ht="19.95" customHeight="1" outlineLevel="1">
      <c r="A151" s="117">
        <v>3594</v>
      </c>
      <c r="B151" s="118" t="str">
        <f t="shared" si="144"/>
        <v>UNT</v>
      </c>
      <c r="C151" s="100">
        <f t="shared" si="170"/>
        <v>271192922</v>
      </c>
      <c r="D151" s="100">
        <f t="shared" si="170"/>
        <v>12044000</v>
      </c>
      <c r="E151" s="100">
        <f t="shared" si="170"/>
        <v>181157895.64461321</v>
      </c>
      <c r="F151" s="100">
        <f t="shared" si="170"/>
        <v>77991026.355386794</v>
      </c>
      <c r="G151" s="100">
        <f t="shared" si="170"/>
        <v>259148922</v>
      </c>
      <c r="H151" s="100">
        <f t="shared" ca="1" si="170"/>
        <v>313349908.88497502</v>
      </c>
      <c r="I151" s="100">
        <f t="shared" ca="1" si="146"/>
        <v>54200986.884975016</v>
      </c>
      <c r="J151" s="96">
        <f t="shared" ca="1" si="149"/>
        <v>0.20914996082821835</v>
      </c>
      <c r="K151" s="114"/>
      <c r="L151" s="100">
        <f t="shared" ref="L151:U151" ca="1" si="176">L191+L231</f>
        <v>156674954.44248751</v>
      </c>
      <c r="M151" s="100">
        <f t="shared" ca="1" si="176"/>
        <v>156674954.44248751</v>
      </c>
      <c r="N151" s="100">
        <f t="shared" ca="1" si="176"/>
        <v>104325090.43231301</v>
      </c>
      <c r="O151" s="100">
        <f t="shared" ca="1" si="176"/>
        <v>104000429.09425868</v>
      </c>
      <c r="P151" s="100">
        <f t="shared" si="176"/>
        <v>52349864.010174505</v>
      </c>
      <c r="Q151" s="100">
        <f t="shared" si="176"/>
        <v>52674525.348228827</v>
      </c>
      <c r="R151" s="100">
        <f t="shared" si="176"/>
        <v>9308769</v>
      </c>
      <c r="S151" s="100">
        <f t="shared" si="176"/>
        <v>9308769</v>
      </c>
      <c r="T151" s="100">
        <f t="shared" ca="1" si="176"/>
        <v>165983723.44248751</v>
      </c>
      <c r="U151" s="100">
        <f t="shared" ca="1" si="176"/>
        <v>165983723.44248751</v>
      </c>
      <c r="V151" s="97">
        <v>2328008.514</v>
      </c>
      <c r="W151" s="135">
        <f ca="1">SUMIF('Operations Support'!A:A,Summary!A191,'Operations Support'!U:U)+SUMIF('Operations Support'!A:A,Summary!A231,'Operations Support'!W:W)</f>
        <v>2651769.1214500009</v>
      </c>
      <c r="X151" s="553">
        <f t="shared" ca="1" si="150"/>
        <v>0.13907191726447482</v>
      </c>
    </row>
    <row r="152" spans="1:24" ht="19.95" customHeight="1" outlineLevel="1">
      <c r="A152" s="117">
        <v>42421</v>
      </c>
      <c r="B152" s="118" t="str">
        <f t="shared" si="144"/>
        <v>UNT-Dallas</v>
      </c>
      <c r="C152" s="100">
        <f t="shared" si="170"/>
        <v>29209297</v>
      </c>
      <c r="D152" s="100">
        <f t="shared" si="170"/>
        <v>4929794</v>
      </c>
      <c r="E152" s="100">
        <f t="shared" si="170"/>
        <v>18919414.317450333</v>
      </c>
      <c r="F152" s="100">
        <f t="shared" si="170"/>
        <v>5360088.6825496675</v>
      </c>
      <c r="G152" s="100">
        <f t="shared" si="170"/>
        <v>24279503</v>
      </c>
      <c r="H152" s="100">
        <f t="shared" ca="1" si="170"/>
        <v>22907791.892701767</v>
      </c>
      <c r="I152" s="100">
        <f t="shared" ca="1" si="146"/>
        <v>-1371711.1072982326</v>
      </c>
      <c r="J152" s="96">
        <f t="shared" ca="1" si="149"/>
        <v>-5.6496671587479882E-2</v>
      </c>
      <c r="K152" s="114"/>
      <c r="L152" s="100">
        <f t="shared" ref="L152:U152" ca="1" si="177">L192+L232</f>
        <v>11453895.946350884</v>
      </c>
      <c r="M152" s="100">
        <f t="shared" ca="1" si="177"/>
        <v>11453895.946350884</v>
      </c>
      <c r="N152" s="100">
        <f t="shared" ca="1" si="177"/>
        <v>9689478.1035133339</v>
      </c>
      <c r="O152" s="100">
        <f t="shared" ca="1" si="177"/>
        <v>9688367.7235310767</v>
      </c>
      <c r="P152" s="100">
        <f t="shared" si="177"/>
        <v>1764417.8428375497</v>
      </c>
      <c r="Q152" s="100">
        <f t="shared" si="177"/>
        <v>1765528.222819807</v>
      </c>
      <c r="R152" s="100">
        <f t="shared" si="177"/>
        <v>2379799</v>
      </c>
      <c r="S152" s="100">
        <f t="shared" si="177"/>
        <v>2379799</v>
      </c>
      <c r="T152" s="100">
        <f t="shared" ca="1" si="177"/>
        <v>13833694.946350884</v>
      </c>
      <c r="U152" s="100">
        <f t="shared" ca="1" si="177"/>
        <v>13833694.946350884</v>
      </c>
      <c r="V152" s="97">
        <v>218109.69800000003</v>
      </c>
      <c r="W152" s="135">
        <f ca="1">SUMIF('Operations Support'!A:A,Summary!A192,'Operations Support'!U:U)+SUMIF('Operations Support'!A:A,Summary!A232,'Operations Support'!W:W)</f>
        <v>193860.5165</v>
      </c>
      <c r="X152" s="553">
        <f t="shared" ca="1" si="150"/>
        <v>-0.11117883213060994</v>
      </c>
    </row>
    <row r="153" spans="1:24" ht="19.95" customHeight="1" outlineLevel="1">
      <c r="A153" s="117">
        <v>3624</v>
      </c>
      <c r="B153" s="118" t="str">
        <f t="shared" si="144"/>
        <v>SFA</v>
      </c>
      <c r="C153" s="100">
        <f t="shared" si="170"/>
        <v>63433049</v>
      </c>
      <c r="D153" s="100">
        <f t="shared" si="170"/>
        <v>1573368</v>
      </c>
      <c r="E153" s="100">
        <f t="shared" ref="E153:E162" si="178">E193+E233</f>
        <v>47943003.016209036</v>
      </c>
      <c r="F153" s="100">
        <f t="shared" si="170"/>
        <v>13916677.983790968</v>
      </c>
      <c r="G153" s="100">
        <f t="shared" si="170"/>
        <v>61859681</v>
      </c>
      <c r="H153" s="100">
        <f t="shared" ca="1" si="170"/>
        <v>58317371.788733549</v>
      </c>
      <c r="I153" s="100">
        <f t="shared" ca="1" si="146"/>
        <v>-3542309.2112664506</v>
      </c>
      <c r="J153" s="96">
        <f t="shared" ca="1" si="149"/>
        <v>-5.726361911349738E-2</v>
      </c>
      <c r="K153" s="114"/>
      <c r="L153" s="100">
        <f t="shared" ref="L153:U153" ca="1" si="179">L193+L233</f>
        <v>29158685.894366775</v>
      </c>
      <c r="M153" s="100">
        <f t="shared" ca="1" si="179"/>
        <v>29158685.894366775</v>
      </c>
      <c r="N153" s="100">
        <f t="shared" ca="1" si="179"/>
        <v>24852164.809802961</v>
      </c>
      <c r="O153" s="100">
        <f t="shared" ca="1" si="179"/>
        <v>24848948.208285261</v>
      </c>
      <c r="P153" s="100">
        <f t="shared" si="179"/>
        <v>4306521.0845638141</v>
      </c>
      <c r="Q153" s="100">
        <f t="shared" si="179"/>
        <v>4309737.6860815128</v>
      </c>
      <c r="R153" s="100">
        <f t="shared" si="179"/>
        <v>793731</v>
      </c>
      <c r="S153" s="100">
        <f t="shared" si="179"/>
        <v>793731</v>
      </c>
      <c r="T153" s="100">
        <f t="shared" ca="1" si="179"/>
        <v>29952416.894366775</v>
      </c>
      <c r="U153" s="100">
        <f t="shared" ca="1" si="179"/>
        <v>29952416.894366775</v>
      </c>
      <c r="V153" s="97">
        <v>555703.07999999996</v>
      </c>
      <c r="W153" s="135">
        <f ca="1">SUMIF('Operations Support'!A:A,Summary!A193,'Operations Support'!U:U)+SUMIF('Operations Support'!A:A,Summary!A233,'Operations Support'!W:W)</f>
        <v>493519.23000000004</v>
      </c>
      <c r="X153" s="553">
        <f t="shared" ca="1" si="150"/>
        <v>-0.11190121530368326</v>
      </c>
    </row>
    <row r="154" spans="1:24" ht="19.95" customHeight="1" outlineLevel="1">
      <c r="A154" s="117">
        <v>3642</v>
      </c>
      <c r="B154" s="118" t="str">
        <f t="shared" si="144"/>
        <v>TSU</v>
      </c>
      <c r="C154" s="100">
        <f t="shared" si="170"/>
        <v>56156287</v>
      </c>
      <c r="D154" s="100">
        <f t="shared" si="170"/>
        <v>6966938</v>
      </c>
      <c r="E154" s="100">
        <f t="shared" si="178"/>
        <v>33935513.870007366</v>
      </c>
      <c r="F154" s="100">
        <f t="shared" si="170"/>
        <v>15253835.129992634</v>
      </c>
      <c r="G154" s="100">
        <f t="shared" si="170"/>
        <v>49189349</v>
      </c>
      <c r="H154" s="100">
        <f t="shared" ca="1" si="170"/>
        <v>55441297.84501522</v>
      </c>
      <c r="I154" s="100">
        <f t="shared" ca="1" si="146"/>
        <v>6251948.8450152203</v>
      </c>
      <c r="J154" s="96">
        <f t="shared" ca="1" si="149"/>
        <v>0.12709964600294305</v>
      </c>
      <c r="K154" s="114"/>
      <c r="L154" s="100">
        <f t="shared" ref="L154:U154" ca="1" si="180">L194+L234</f>
        <v>27720648.92250761</v>
      </c>
      <c r="M154" s="100">
        <f t="shared" ca="1" si="180"/>
        <v>27720648.92250761</v>
      </c>
      <c r="N154" s="100">
        <f t="shared" ca="1" si="180"/>
        <v>14870875.803422891</v>
      </c>
      <c r="O154" s="100">
        <f t="shared" ca="1" si="180"/>
        <v>14809864.493366322</v>
      </c>
      <c r="P154" s="100">
        <f t="shared" si="180"/>
        <v>12849773.119084718</v>
      </c>
      <c r="Q154" s="100">
        <f t="shared" si="180"/>
        <v>12910784.429141287</v>
      </c>
      <c r="R154" s="100">
        <f t="shared" si="180"/>
        <v>3483469</v>
      </c>
      <c r="S154" s="100">
        <f t="shared" si="180"/>
        <v>3483469</v>
      </c>
      <c r="T154" s="100">
        <f t="shared" ca="1" si="180"/>
        <v>31204117.92250761</v>
      </c>
      <c r="U154" s="100">
        <f t="shared" ca="1" si="180"/>
        <v>31204117.92250761</v>
      </c>
      <c r="V154" s="97">
        <v>441881.90099999995</v>
      </c>
      <c r="W154" s="135">
        <f ca="1">SUMIF('Operations Support'!A:A,Summary!A194,'Operations Support'!U:U)+SUMIF('Operations Support'!A:A,Summary!A234,'Operations Support'!W:W)</f>
        <v>469180.03647000011</v>
      </c>
      <c r="X154" s="553">
        <f t="shared" ca="1" si="150"/>
        <v>6.1776993826230864E-2</v>
      </c>
    </row>
    <row r="155" spans="1:24" ht="19.95" customHeight="1" outlineLevel="1">
      <c r="A155" s="117">
        <v>3644</v>
      </c>
      <c r="B155" s="118" t="str">
        <f t="shared" si="144"/>
        <v>TTU</v>
      </c>
      <c r="C155" s="100">
        <f t="shared" si="170"/>
        <v>309311311</v>
      </c>
      <c r="D155" s="100">
        <f t="shared" si="170"/>
        <v>15141820</v>
      </c>
      <c r="E155" s="100">
        <f t="shared" si="178"/>
        <v>230905366.42449802</v>
      </c>
      <c r="F155" s="100">
        <f t="shared" si="170"/>
        <v>63264124.575501986</v>
      </c>
      <c r="G155" s="100">
        <f t="shared" si="170"/>
        <v>294169491</v>
      </c>
      <c r="H155" s="100">
        <f t="shared" ca="1" si="170"/>
        <v>334361905.0878824</v>
      </c>
      <c r="I155" s="100">
        <f t="shared" ca="1" si="146"/>
        <v>40192414.0878824</v>
      </c>
      <c r="J155" s="96">
        <f t="shared" ca="1" si="149"/>
        <v>0.13663012418878748</v>
      </c>
      <c r="K155" s="114"/>
      <c r="L155" s="100">
        <f t="shared" ref="L155:U155" ca="1" si="181">L195+L235</f>
        <v>167180952.5439412</v>
      </c>
      <c r="M155" s="100">
        <f t="shared" ca="1" si="181"/>
        <v>167180952.5439412</v>
      </c>
      <c r="N155" s="100">
        <f t="shared" ca="1" si="181"/>
        <v>135969247.24433228</v>
      </c>
      <c r="O155" s="100">
        <f t="shared" ca="1" si="181"/>
        <v>135863932.69717821</v>
      </c>
      <c r="P155" s="100">
        <f t="shared" si="181"/>
        <v>31211705.299608916</v>
      </c>
      <c r="Q155" s="100">
        <f t="shared" si="181"/>
        <v>31317019.846762992</v>
      </c>
      <c r="R155" s="100">
        <f t="shared" si="181"/>
        <v>8468847</v>
      </c>
      <c r="S155" s="100">
        <f t="shared" si="181"/>
        <v>8468847</v>
      </c>
      <c r="T155" s="100">
        <f t="shared" ca="1" si="181"/>
        <v>175649799.5439412</v>
      </c>
      <c r="U155" s="100">
        <f t="shared" ca="1" si="181"/>
        <v>175649799.5439412</v>
      </c>
      <c r="V155" s="97">
        <v>2642608.2246099999</v>
      </c>
      <c r="W155" s="135">
        <f ca="1">SUMIF('Operations Support'!A:A,Summary!A195,'Operations Support'!U:U)+SUMIF('Operations Support'!A:A,Summary!A235,'Operations Support'!W:W)</f>
        <v>2829586.1915399986</v>
      </c>
      <c r="X155" s="553">
        <f t="shared" ca="1" si="150"/>
        <v>7.075508400704883E-2</v>
      </c>
    </row>
    <row r="156" spans="1:24" ht="19.95" customHeight="1" outlineLevel="1">
      <c r="A156" s="117">
        <v>3541</v>
      </c>
      <c r="B156" s="118" t="str">
        <f t="shared" si="144"/>
        <v>Angelo</v>
      </c>
      <c r="C156" s="100">
        <f t="shared" ref="C156:H162" si="182">C196+C236</f>
        <v>44489801</v>
      </c>
      <c r="D156" s="100">
        <f t="shared" si="182"/>
        <v>2499722</v>
      </c>
      <c r="E156" s="100">
        <f t="shared" si="178"/>
        <v>32209190.539393913</v>
      </c>
      <c r="F156" s="100">
        <f t="shared" si="182"/>
        <v>9780888.4606060851</v>
      </c>
      <c r="G156" s="100">
        <f t="shared" si="182"/>
        <v>41990079</v>
      </c>
      <c r="H156" s="100">
        <f t="shared" ca="1" si="182"/>
        <v>42982229.637783386</v>
      </c>
      <c r="I156" s="100">
        <f t="shared" ca="1" si="146"/>
        <v>992150.63778338581</v>
      </c>
      <c r="J156" s="96">
        <f t="shared" ca="1" si="149"/>
        <v>2.3628215554997785E-2</v>
      </c>
      <c r="K156" s="114"/>
      <c r="L156" s="100">
        <f t="shared" ref="L156:U156" ca="1" si="183">L196+L236</f>
        <v>21491114.818891693</v>
      </c>
      <c r="M156" s="100">
        <f t="shared" ca="1" si="183"/>
        <v>21491114.818891693</v>
      </c>
      <c r="N156" s="100">
        <f t="shared" ca="1" si="183"/>
        <v>16765245.528714966</v>
      </c>
      <c r="O156" s="100">
        <f t="shared" ca="1" si="183"/>
        <v>16762097.502038384</v>
      </c>
      <c r="P156" s="100">
        <f t="shared" si="183"/>
        <v>4725869.2901767278</v>
      </c>
      <c r="Q156" s="100">
        <f t="shared" si="183"/>
        <v>4729017.31685331</v>
      </c>
      <c r="R156" s="100">
        <f t="shared" si="183"/>
        <v>1324655</v>
      </c>
      <c r="S156" s="100">
        <f t="shared" si="183"/>
        <v>1324655</v>
      </c>
      <c r="T156" s="100">
        <f t="shared" ca="1" si="183"/>
        <v>22815769.818891693</v>
      </c>
      <c r="U156" s="100">
        <f t="shared" ca="1" si="183"/>
        <v>22815769.818891693</v>
      </c>
      <c r="V156" s="97">
        <v>377208.79399999994</v>
      </c>
      <c r="W156" s="135">
        <f ca="1">SUMIF('Operations Support'!A:A,Summary!A196,'Operations Support'!U:U)+SUMIF('Operations Support'!A:A,Summary!A236,'Operations Support'!W:W)</f>
        <v>363743.36194999999</v>
      </c>
      <c r="X156" s="553">
        <f t="shared" ca="1" si="150"/>
        <v>-3.5697556006607699E-2</v>
      </c>
    </row>
    <row r="157" spans="1:24" ht="19.95" customHeight="1" outlineLevel="1">
      <c r="A157" s="117">
        <v>3646</v>
      </c>
      <c r="B157" s="118" t="str">
        <f t="shared" si="144"/>
        <v>TWU</v>
      </c>
      <c r="C157" s="100">
        <f t="shared" si="182"/>
        <v>117344809</v>
      </c>
      <c r="D157" s="100">
        <f t="shared" si="182"/>
        <v>10618092</v>
      </c>
      <c r="E157" s="100">
        <f t="shared" si="178"/>
        <v>88176523.821657822</v>
      </c>
      <c r="F157" s="100">
        <f t="shared" si="182"/>
        <v>18550193.178342178</v>
      </c>
      <c r="G157" s="100">
        <f t="shared" si="182"/>
        <v>106726717</v>
      </c>
      <c r="H157" s="100">
        <f t="shared" ca="1" si="182"/>
        <v>110001767.43005586</v>
      </c>
      <c r="I157" s="100">
        <f t="shared" ca="1" si="146"/>
        <v>3275050.4300558567</v>
      </c>
      <c r="J157" s="96">
        <f t="shared" ca="1" si="149"/>
        <v>3.0686322245402308E-2</v>
      </c>
      <c r="K157" s="114"/>
      <c r="L157" s="100">
        <f t="shared" ref="L157:U157" ca="1" si="184">L197+L237</f>
        <v>55000883.715027928</v>
      </c>
      <c r="M157" s="100">
        <f t="shared" ca="1" si="184"/>
        <v>55000883.715027928</v>
      </c>
      <c r="N157" s="100">
        <f t="shared" ca="1" si="184"/>
        <v>47098643.913667552</v>
      </c>
      <c r="O157" s="100">
        <f t="shared" ca="1" si="184"/>
        <v>47081866.829588026</v>
      </c>
      <c r="P157" s="100">
        <f t="shared" si="184"/>
        <v>7902239.8013603808</v>
      </c>
      <c r="Q157" s="100">
        <f t="shared" si="184"/>
        <v>7919016.885439897</v>
      </c>
      <c r="R157" s="100">
        <f t="shared" si="184"/>
        <v>6183085</v>
      </c>
      <c r="S157" s="100">
        <f t="shared" si="184"/>
        <v>6183085</v>
      </c>
      <c r="T157" s="100">
        <f t="shared" ca="1" si="184"/>
        <v>61183968.715027928</v>
      </c>
      <c r="U157" s="100">
        <f t="shared" ca="1" si="184"/>
        <v>61183968.715027928</v>
      </c>
      <c r="V157" s="97">
        <v>958756.42000000016</v>
      </c>
      <c r="W157" s="135">
        <f ca="1">SUMIF('Operations Support'!A:A,Summary!A197,'Operations Support'!U:U)+SUMIF('Operations Support'!A:A,Summary!A237,'Operations Support'!W:W)</f>
        <v>930905.93583999982</v>
      </c>
      <c r="X157" s="553">
        <f t="shared" ca="1" si="150"/>
        <v>-2.9048550371115468E-2</v>
      </c>
    </row>
    <row r="158" spans="1:24" ht="19.95" customHeight="1" outlineLevel="1">
      <c r="A158" s="117">
        <v>3581</v>
      </c>
      <c r="B158" s="118" t="str">
        <f t="shared" si="144"/>
        <v>Lamar</v>
      </c>
      <c r="C158" s="100">
        <f t="shared" si="182"/>
        <v>95098399</v>
      </c>
      <c r="D158" s="100">
        <f t="shared" si="182"/>
        <v>0</v>
      </c>
      <c r="E158" s="100">
        <f t="shared" si="178"/>
        <v>73803484.719883949</v>
      </c>
      <c r="F158" s="100">
        <f t="shared" si="182"/>
        <v>21294914.280116051</v>
      </c>
      <c r="G158" s="100">
        <f t="shared" si="182"/>
        <v>95098399</v>
      </c>
      <c r="H158" s="100">
        <f t="shared" ca="1" si="182"/>
        <v>114837460.87436801</v>
      </c>
      <c r="I158" s="100">
        <f t="shared" ca="1" si="146"/>
        <v>19739061.874368012</v>
      </c>
      <c r="J158" s="96">
        <f t="shared" ca="1" si="149"/>
        <v>0.20756460762675943</v>
      </c>
      <c r="K158" s="114"/>
      <c r="L158" s="100">
        <f t="shared" ref="L158:U158" ca="1" si="185">L198+L238</f>
        <v>57418730.437184006</v>
      </c>
      <c r="M158" s="100">
        <f t="shared" ca="1" si="185"/>
        <v>57418730.437184006</v>
      </c>
      <c r="N158" s="100">
        <f t="shared" ca="1" si="185"/>
        <v>44052971.106743649</v>
      </c>
      <c r="O158" s="100">
        <f t="shared" ca="1" si="185"/>
        <v>44036217.656619854</v>
      </c>
      <c r="P158" s="100">
        <f t="shared" si="185"/>
        <v>13365759.330440359</v>
      </c>
      <c r="Q158" s="100">
        <f t="shared" si="185"/>
        <v>13382512.780564155</v>
      </c>
      <c r="R158" s="100">
        <f t="shared" si="185"/>
        <v>0</v>
      </c>
      <c r="S158" s="100">
        <f t="shared" si="185"/>
        <v>0</v>
      </c>
      <c r="T158" s="100">
        <f t="shared" ca="1" si="185"/>
        <v>57418730.437184006</v>
      </c>
      <c r="U158" s="100">
        <f t="shared" ca="1" si="185"/>
        <v>57418730.437184006</v>
      </c>
      <c r="V158" s="97">
        <v>854295.98199999996</v>
      </c>
      <c r="W158" s="135">
        <f ca="1">SUMIF('Operations Support'!A:A,Summary!A198,'Operations Support'!U:U)+SUMIF('Operations Support'!A:A,Summary!A238,'Operations Support'!W:W)</f>
        <v>971828.69404999993</v>
      </c>
      <c r="X158" s="553">
        <f t="shared" ca="1" si="150"/>
        <v>0.13757844415332857</v>
      </c>
    </row>
    <row r="159" spans="1:24" ht="19.95" customHeight="1" outlineLevel="1">
      <c r="A159" s="117">
        <v>3606</v>
      </c>
      <c r="B159" s="118" t="str">
        <f t="shared" si="144"/>
        <v>Sam Houston</v>
      </c>
      <c r="C159" s="100">
        <f t="shared" si="182"/>
        <v>114826669</v>
      </c>
      <c r="D159" s="100">
        <f t="shared" si="182"/>
        <v>4428000</v>
      </c>
      <c r="E159" s="100">
        <f t="shared" si="178"/>
        <v>82734377.634525582</v>
      </c>
      <c r="F159" s="100">
        <f t="shared" si="182"/>
        <v>27664291.365474422</v>
      </c>
      <c r="G159" s="100">
        <f t="shared" si="182"/>
        <v>110398669</v>
      </c>
      <c r="H159" s="100">
        <f t="shared" ca="1" si="182"/>
        <v>112349769.21286114</v>
      </c>
      <c r="I159" s="100">
        <f t="shared" ca="1" si="146"/>
        <v>1951100.2128611356</v>
      </c>
      <c r="J159" s="96">
        <f t="shared" ca="1" si="149"/>
        <v>1.7673222245651671E-2</v>
      </c>
      <c r="K159" s="114"/>
      <c r="L159" s="100">
        <f t="shared" ref="L159:U159" ca="1" si="186">L199+L239</f>
        <v>56174884.606430568</v>
      </c>
      <c r="M159" s="100">
        <f t="shared" ca="1" si="186"/>
        <v>56174884.606430568</v>
      </c>
      <c r="N159" s="100">
        <f t="shared" ca="1" si="186"/>
        <v>42777793.157539792</v>
      </c>
      <c r="O159" s="100">
        <f t="shared" ca="1" si="186"/>
        <v>42747736.777379453</v>
      </c>
      <c r="P159" s="100">
        <f t="shared" si="186"/>
        <v>13397091.448890781</v>
      </c>
      <c r="Q159" s="100">
        <f t="shared" si="186"/>
        <v>13427147.829051113</v>
      </c>
      <c r="R159" s="100">
        <f t="shared" si="186"/>
        <v>2435650</v>
      </c>
      <c r="S159" s="100">
        <f t="shared" si="186"/>
        <v>2435650</v>
      </c>
      <c r="T159" s="100">
        <f t="shared" ca="1" si="186"/>
        <v>58610534.606430568</v>
      </c>
      <c r="U159" s="100">
        <f t="shared" ca="1" si="186"/>
        <v>58610534.606430568</v>
      </c>
      <c r="V159" s="97">
        <v>991742.62500000023</v>
      </c>
      <c r="W159" s="135">
        <f ca="1">SUMIF('Operations Support'!A:A,Summary!A199,'Operations Support'!U:U)+SUMIF('Operations Support'!A:A,Summary!A239,'Operations Support'!W:W)</f>
        <v>950776.24199999997</v>
      </c>
      <c r="X159" s="553">
        <f t="shared" ca="1" si="150"/>
        <v>-4.1307474305644826E-2</v>
      </c>
    </row>
    <row r="160" spans="1:24" ht="19.95" customHeight="1" outlineLevel="1">
      <c r="A160" s="117">
        <v>3615</v>
      </c>
      <c r="B160" s="118" t="str">
        <f t="shared" si="144"/>
        <v>TXST</v>
      </c>
      <c r="C160" s="100">
        <f t="shared" si="182"/>
        <v>196993888</v>
      </c>
      <c r="D160" s="100">
        <f t="shared" si="182"/>
        <v>6193672</v>
      </c>
      <c r="E160" s="100">
        <f t="shared" si="178"/>
        <v>141772563.13250005</v>
      </c>
      <c r="F160" s="100">
        <f t="shared" si="182"/>
        <v>49027652.867499948</v>
      </c>
      <c r="G160" s="100">
        <f t="shared" si="182"/>
        <v>190800216</v>
      </c>
      <c r="H160" s="100">
        <f t="shared" ca="1" si="182"/>
        <v>195963997.63428396</v>
      </c>
      <c r="I160" s="100">
        <f t="shared" ca="1" si="146"/>
        <v>5163781.6342839599</v>
      </c>
      <c r="J160" s="96">
        <f t="shared" ca="1" si="149"/>
        <v>2.706381440513652E-2</v>
      </c>
      <c r="K160" s="114"/>
      <c r="L160" s="100">
        <f t="shared" ref="L160:U160" ca="1" si="187">L200+L240</f>
        <v>97981998.81714198</v>
      </c>
      <c r="M160" s="100">
        <f t="shared" ca="1" si="187"/>
        <v>97981998.81714198</v>
      </c>
      <c r="N160" s="100">
        <f t="shared" ca="1" si="187"/>
        <v>73536385.173576504</v>
      </c>
      <c r="O160" s="100">
        <f t="shared" ca="1" si="187"/>
        <v>73487788.2209692</v>
      </c>
      <c r="P160" s="100">
        <f t="shared" si="187"/>
        <v>24445613.64356548</v>
      </c>
      <c r="Q160" s="100">
        <f t="shared" si="187"/>
        <v>24494210.596172772</v>
      </c>
      <c r="R160" s="100">
        <f t="shared" si="187"/>
        <v>3520007</v>
      </c>
      <c r="S160" s="100">
        <f t="shared" si="187"/>
        <v>3520007</v>
      </c>
      <c r="T160" s="100">
        <f t="shared" ca="1" si="187"/>
        <v>101502005.81714198</v>
      </c>
      <c r="U160" s="100">
        <f t="shared" ca="1" si="187"/>
        <v>101502005.81714198</v>
      </c>
      <c r="V160" s="97">
        <v>1714012.612</v>
      </c>
      <c r="W160" s="135">
        <f ca="1">SUMIF('Operations Support'!A:A,Summary!A200,'Operations Support'!U:U)+SUMIF('Operations Support'!A:A,Summary!A240,'Operations Support'!W:W)</f>
        <v>1658373.7959000003</v>
      </c>
      <c r="X160" s="553">
        <f t="shared" ca="1" si="150"/>
        <v>-3.2461147432910314E-2</v>
      </c>
    </row>
    <row r="161" spans="1:33" ht="19.95" customHeight="1" outlineLevel="1">
      <c r="A161" s="117">
        <v>3625</v>
      </c>
      <c r="B161" s="118" t="str">
        <f t="shared" si="144"/>
        <v>Sul Ross</v>
      </c>
      <c r="C161" s="100">
        <f t="shared" si="182"/>
        <v>7858888</v>
      </c>
      <c r="D161" s="100">
        <f t="shared" si="182"/>
        <v>148184</v>
      </c>
      <c r="E161" s="100">
        <f t="shared" si="178"/>
        <v>6064648.6686243257</v>
      </c>
      <c r="F161" s="100">
        <f t="shared" si="182"/>
        <v>1646055.3313756748</v>
      </c>
      <c r="G161" s="100">
        <f t="shared" si="182"/>
        <v>7710704</v>
      </c>
      <c r="H161" s="100">
        <f t="shared" ca="1" si="182"/>
        <v>6918281.6004398195</v>
      </c>
      <c r="I161" s="100">
        <f t="shared" ca="1" si="146"/>
        <v>-792422.39956018049</v>
      </c>
      <c r="J161" s="96">
        <f t="shared" ca="1" si="149"/>
        <v>-0.10276913749512114</v>
      </c>
      <c r="K161" s="114"/>
      <c r="L161" s="100">
        <f t="shared" ref="L161:U161" ca="1" si="188">L201+L241</f>
        <v>3459140.8002199098</v>
      </c>
      <c r="M161" s="100">
        <f t="shared" ca="1" si="188"/>
        <v>3459140.8002199098</v>
      </c>
      <c r="N161" s="100">
        <f t="shared" ca="1" si="188"/>
        <v>2588094.2604344138</v>
      </c>
      <c r="O161" s="100">
        <f t="shared" ca="1" si="188"/>
        <v>2586420.5971640348</v>
      </c>
      <c r="P161" s="100">
        <f t="shared" si="188"/>
        <v>871046.53978549573</v>
      </c>
      <c r="Q161" s="100">
        <f t="shared" si="188"/>
        <v>872720.20305587479</v>
      </c>
      <c r="R161" s="100">
        <f t="shared" si="188"/>
        <v>69508</v>
      </c>
      <c r="S161" s="100">
        <f t="shared" si="188"/>
        <v>69508</v>
      </c>
      <c r="T161" s="100">
        <f t="shared" ca="1" si="188"/>
        <v>3528648.8002199098</v>
      </c>
      <c r="U161" s="100">
        <f t="shared" ca="1" si="188"/>
        <v>3528648.8002199098</v>
      </c>
      <c r="V161" s="97">
        <v>69267.518999999986</v>
      </c>
      <c r="W161" s="135">
        <f ca="1">SUMIF('Operations Support'!A:A,Summary!A201,'Operations Support'!U:U)+SUMIF('Operations Support'!A:A,Summary!A241,'Operations Support'!W:W)</f>
        <v>58546.962999999996</v>
      </c>
      <c r="X161" s="553">
        <f t="shared" ca="1" si="150"/>
        <v>-0.1547703188272124</v>
      </c>
    </row>
    <row r="162" spans="1:33" ht="19.95" customHeight="1" outlineLevel="1" thickBot="1">
      <c r="A162" s="122">
        <v>20</v>
      </c>
      <c r="B162" s="123" t="str">
        <f t="shared" si="144"/>
        <v>Sul Ross-Rio Grande</v>
      </c>
      <c r="C162" s="124">
        <f t="shared" si="182"/>
        <v>3809255</v>
      </c>
      <c r="D162" s="124">
        <f t="shared" si="182"/>
        <v>29066</v>
      </c>
      <c r="E162" s="124">
        <f t="shared" si="178"/>
        <v>2621357.1705921721</v>
      </c>
      <c r="F162" s="124">
        <f t="shared" si="182"/>
        <v>1158831.8294078279</v>
      </c>
      <c r="G162" s="124">
        <f t="shared" si="182"/>
        <v>3780189</v>
      </c>
      <c r="H162" s="124">
        <f t="shared" ca="1" si="182"/>
        <v>2939636.039660275</v>
      </c>
      <c r="I162" s="124">
        <f t="shared" ca="1" si="146"/>
        <v>-840552.96033972502</v>
      </c>
      <c r="J162" s="126">
        <f t="shared" ca="1" si="149"/>
        <v>-0.22235739015687445</v>
      </c>
      <c r="K162" s="114"/>
      <c r="L162" s="124">
        <f t="shared" ref="L162:U162" ca="1" si="189">L202+L242</f>
        <v>1469818.0198301375</v>
      </c>
      <c r="M162" s="124">
        <f t="shared" ca="1" si="189"/>
        <v>1469818.0198301375</v>
      </c>
      <c r="N162" s="124">
        <f t="shared" ca="1" si="189"/>
        <v>1115849.3641263847</v>
      </c>
      <c r="O162" s="124">
        <f t="shared" ca="1" si="189"/>
        <v>1115835.0503663509</v>
      </c>
      <c r="P162" s="124">
        <f t="shared" si="189"/>
        <v>353968.65570375283</v>
      </c>
      <c r="Q162" s="124">
        <f t="shared" si="189"/>
        <v>353982.96946378669</v>
      </c>
      <c r="R162" s="124">
        <f t="shared" si="189"/>
        <v>20443</v>
      </c>
      <c r="S162" s="124">
        <f t="shared" si="189"/>
        <v>20443</v>
      </c>
      <c r="T162" s="124">
        <f t="shared" ca="1" si="189"/>
        <v>1490261.0198301375</v>
      </c>
      <c r="U162" s="124">
        <f t="shared" ca="1" si="189"/>
        <v>1490261.0198301375</v>
      </c>
      <c r="V162" s="97">
        <v>33958.509999999995</v>
      </c>
      <c r="W162" s="135">
        <f ca="1">SUMIF('Operations Support'!A:A,Summary!A202,'Operations Support'!U:U)+SUMIF('Operations Support'!A:A,Summary!A242,'Operations Support'!W:W)</f>
        <v>24877.097000000005</v>
      </c>
      <c r="X162" s="553">
        <f t="shared" ca="1" si="150"/>
        <v>-0.26742672160822106</v>
      </c>
    </row>
    <row r="163" spans="1:33" ht="19.95" customHeight="1" outlineLevel="1">
      <c r="A163" s="105"/>
      <c r="B163" s="128" t="s">
        <v>1</v>
      </c>
      <c r="C163" s="129">
        <f t="shared" ref="C163:H163" si="190">SUM(C126:C162)</f>
        <v>4630983524</v>
      </c>
      <c r="D163" s="129">
        <f t="shared" si="190"/>
        <v>224089812</v>
      </c>
      <c r="E163" s="129">
        <f t="shared" si="190"/>
        <v>3286039295.6687393</v>
      </c>
      <c r="F163" s="129">
        <f t="shared" si="190"/>
        <v>1120854416.3312624</v>
      </c>
      <c r="G163" s="129">
        <f t="shared" si="190"/>
        <v>4406893712</v>
      </c>
      <c r="H163" s="129">
        <f t="shared" ca="1" si="190"/>
        <v>4620104602.0602913</v>
      </c>
      <c r="I163" s="129">
        <f t="shared" ca="1" si="146"/>
        <v>213210890.06029129</v>
      </c>
      <c r="J163" s="130">
        <f t="shared" ca="1" si="149"/>
        <v>4.8381219061334892E-2</v>
      </c>
      <c r="L163" s="129">
        <f ca="1">SUM(L126:L162)</f>
        <v>2310052301.0301456</v>
      </c>
      <c r="M163" s="129">
        <f t="shared" ref="M163:U163" ca="1" si="191">SUM(M126:M162)</f>
        <v>2310052301.0301456</v>
      </c>
      <c r="N163" s="129">
        <f t="shared" ca="1" si="191"/>
        <v>1754238420.6783733</v>
      </c>
      <c r="O163" s="129">
        <f t="shared" ca="1" si="191"/>
        <v>1752176275.8275795</v>
      </c>
      <c r="P163" s="129">
        <f t="shared" si="191"/>
        <v>555813880.35177219</v>
      </c>
      <c r="Q163" s="129">
        <f t="shared" si="191"/>
        <v>557876025.20256639</v>
      </c>
      <c r="R163" s="129">
        <f t="shared" si="191"/>
        <v>125853787</v>
      </c>
      <c r="S163" s="129">
        <f t="shared" si="191"/>
        <v>125853787</v>
      </c>
      <c r="T163" s="129">
        <f t="shared" ca="1" si="191"/>
        <v>2435906088.0301456</v>
      </c>
      <c r="U163" s="129">
        <f t="shared" ca="1" si="191"/>
        <v>2435906088.0301456</v>
      </c>
      <c r="V163" s="136">
        <f>SUM(V126:V162)</f>
        <v>39588379.86112</v>
      </c>
      <c r="W163" s="136">
        <f ca="1">SUM(W126:W162)</f>
        <v>39098306.315799199</v>
      </c>
      <c r="X163" s="554">
        <f ca="1">(W163-V163)/V163</f>
        <v>-1.2379227112602953E-2</v>
      </c>
    </row>
    <row r="164" spans="1:33" ht="19.95" customHeight="1">
      <c r="A164" s="105"/>
      <c r="X164" s="80"/>
      <c r="Y164" s="80"/>
      <c r="Z164" s="115"/>
      <c r="AB164" s="80"/>
      <c r="AC164" s="79"/>
    </row>
    <row r="165" spans="1:33" s="91" customFormat="1" ht="19.95" customHeight="1" thickBot="1">
      <c r="A165" s="669" t="s">
        <v>209</v>
      </c>
      <c r="B165" s="670"/>
      <c r="C165" s="670"/>
      <c r="D165" s="670"/>
      <c r="E165" s="670"/>
      <c r="F165" s="670"/>
      <c r="G165" s="670"/>
      <c r="H165" s="670"/>
      <c r="I165" s="670"/>
      <c r="J165" s="670"/>
      <c r="L165" s="674" t="str">
        <f>A165</f>
        <v>Operations Support</v>
      </c>
      <c r="M165" s="674"/>
      <c r="N165" s="674"/>
      <c r="O165" s="674"/>
      <c r="P165" s="674"/>
      <c r="Q165" s="674"/>
      <c r="R165" s="674"/>
      <c r="S165" s="674"/>
      <c r="T165" s="674" t="str">
        <f>A165</f>
        <v>Operations Support</v>
      </c>
      <c r="U165" s="674"/>
      <c r="V165" s="92"/>
      <c r="W165" s="92"/>
      <c r="Y165" s="679"/>
      <c r="Z165" s="679"/>
      <c r="AA165" s="77"/>
      <c r="AB165" s="679"/>
      <c r="AC165" s="679"/>
      <c r="AD165" s="79"/>
      <c r="AE165" s="679"/>
      <c r="AF165" s="679"/>
    </row>
    <row r="166" spans="1:33" ht="19.95" hidden="1" customHeight="1" outlineLevel="1">
      <c r="A166" s="107">
        <v>3656</v>
      </c>
      <c r="B166" s="108" t="str">
        <f t="shared" ref="B166:B202" si="192">B25</f>
        <v>UT-Arlington</v>
      </c>
      <c r="C166" s="137">
        <v>279454495</v>
      </c>
      <c r="D166" s="109">
        <f t="shared" ref="D166:D202" si="193">D25</f>
        <v>18451176</v>
      </c>
      <c r="E166" s="132">
        <v>188839159.4487884</v>
      </c>
      <c r="F166" s="109">
        <f>G166-E166</f>
        <v>72164159.551211596</v>
      </c>
      <c r="G166" s="109">
        <f>C166-D166</f>
        <v>261003319</v>
      </c>
      <c r="H166" s="109">
        <f ca="1">L166+M166</f>
        <v>266608823.88706937</v>
      </c>
      <c r="I166" s="109">
        <f t="shared" ref="I166:I203" ca="1" si="194">H166-G166</f>
        <v>5605504.8870693743</v>
      </c>
      <c r="J166" s="112">
        <f t="shared" ref="J166:J203" ca="1" si="195">IF(OR(I166=0,G166=0),0,I166/G166)</f>
        <v>2.1476757110009678E-2</v>
      </c>
      <c r="K166" s="114"/>
      <c r="L166" s="109">
        <f ca="1">SUMIF('Operations Support'!$A:$A,A166,'Operations Support'!$V:$V)</f>
        <v>133304411.94353469</v>
      </c>
      <c r="M166" s="109">
        <f ca="1">SUMIF('Operations Support'!$A:$A,A166,'Operations Support'!$Y:$Y)</f>
        <v>133304411.94353469</v>
      </c>
      <c r="N166" s="109">
        <f ca="1">L166-P166</f>
        <v>93562785.939118952</v>
      </c>
      <c r="O166" s="109">
        <f t="shared" ref="O166:O202" ca="1" si="196">M166-Q166</f>
        <v>93428598.296744615</v>
      </c>
      <c r="P166" s="109">
        <f>P25*0.8267</f>
        <v>39741626.004415728</v>
      </c>
      <c r="Q166" s="109">
        <f>Q25*0.8267</f>
        <v>39875813.64679008</v>
      </c>
      <c r="R166" s="109">
        <f t="shared" ref="R166:S169" si="197">R443</f>
        <v>9200000</v>
      </c>
      <c r="S166" s="109">
        <f t="shared" si="197"/>
        <v>9200000</v>
      </c>
      <c r="T166" s="109">
        <f ca="1">L166+R166</f>
        <v>142504411.94353467</v>
      </c>
      <c r="U166" s="109">
        <f ca="1">M166+S166</f>
        <v>142504411.94353467</v>
      </c>
      <c r="V166" s="113"/>
      <c r="W166" s="97"/>
      <c r="X166" s="79"/>
      <c r="Y166" s="632">
        <v>142504411.5</v>
      </c>
      <c r="Z166" s="632">
        <v>142504411.5</v>
      </c>
      <c r="AA166" s="115"/>
      <c r="AB166" s="626">
        <f t="shared" ref="AB166:AB203" ca="1" si="198">T166-Y166</f>
        <v>0.44353467226028442</v>
      </c>
      <c r="AC166" s="626">
        <f t="shared" ref="AC166:AC203" ca="1" si="199">U166-Z166</f>
        <v>0.44353467226028442</v>
      </c>
      <c r="AE166" s="652">
        <f t="shared" ref="AE166:AE203" ca="1" si="200">IFERROR(AB166/T166,0)</f>
        <v>3.1124276519665138E-9</v>
      </c>
      <c r="AF166" s="652">
        <f t="shared" ref="AF166:AF203" ca="1" si="201">IFERROR(AC166/U166,0)</f>
        <v>3.1124276519665138E-9</v>
      </c>
      <c r="AG166" s="114"/>
    </row>
    <row r="167" spans="1:33" ht="19.95" hidden="1" customHeight="1" outlineLevel="1">
      <c r="A167" s="117">
        <v>3658</v>
      </c>
      <c r="B167" s="118" t="str">
        <f t="shared" si="192"/>
        <v>UT-Austin</v>
      </c>
      <c r="C167" s="138">
        <v>473213827</v>
      </c>
      <c r="D167" s="100">
        <f t="shared" si="193"/>
        <v>34156000</v>
      </c>
      <c r="E167" s="119">
        <v>317371874.83381987</v>
      </c>
      <c r="F167" s="100">
        <f t="shared" ref="F167:F202" si="202">G167-E167</f>
        <v>121685952.16618013</v>
      </c>
      <c r="G167" s="100">
        <f t="shared" ref="G167:G202" si="203">C167-D167</f>
        <v>439057827</v>
      </c>
      <c r="H167" s="100">
        <f t="shared" ref="H167:H202" ca="1" si="204">L167+M167</f>
        <v>461457456.80867583</v>
      </c>
      <c r="I167" s="100">
        <f t="shared" ca="1" si="194"/>
        <v>22399629.808675826</v>
      </c>
      <c r="J167" s="96">
        <f t="shared" ca="1" si="195"/>
        <v>5.1017493439823876E-2</v>
      </c>
      <c r="K167" s="114"/>
      <c r="L167" s="100">
        <f ca="1">SUMIF('Operations Support'!$A:$A,A167,'Operations Support'!$V:$V)</f>
        <v>230728728.40433791</v>
      </c>
      <c r="M167" s="100">
        <f ca="1">SUMIF('Operations Support'!$A:$A,A167,'Operations Support'!$Y:$Y)</f>
        <v>230728728.40433791</v>
      </c>
      <c r="N167" s="100">
        <f t="shared" ref="N167:N202" ca="1" si="205">L167-P167</f>
        <v>168968574.02728054</v>
      </c>
      <c r="O167" s="100">
        <f t="shared" ca="1" si="196"/>
        <v>168618533.91250527</v>
      </c>
      <c r="P167" s="100">
        <f t="shared" ref="P167:Q167" si="206">P26*0.8267</f>
        <v>61760154.377057381</v>
      </c>
      <c r="Q167" s="100">
        <f t="shared" si="206"/>
        <v>62110194.491832644</v>
      </c>
      <c r="R167" s="100">
        <f t="shared" si="197"/>
        <v>19100000</v>
      </c>
      <c r="S167" s="100">
        <f t="shared" si="197"/>
        <v>19100000</v>
      </c>
      <c r="T167" s="100">
        <f t="shared" ref="T167:T202" ca="1" si="207">L167+R167</f>
        <v>249828728.40433791</v>
      </c>
      <c r="U167" s="100">
        <f t="shared" ref="U167:U202" ca="1" si="208">M167+S167</f>
        <v>249828728.40433791</v>
      </c>
      <c r="V167" s="97"/>
      <c r="W167" s="97"/>
      <c r="X167" s="79"/>
      <c r="Y167" s="387">
        <v>249828725.5</v>
      </c>
      <c r="Z167" s="387">
        <v>249828725.5</v>
      </c>
      <c r="AA167" s="115"/>
      <c r="AB167" s="100">
        <f t="shared" ca="1" si="198"/>
        <v>2.9043379127979279</v>
      </c>
      <c r="AC167" s="100">
        <f t="shared" ca="1" si="199"/>
        <v>2.9043379127979279</v>
      </c>
      <c r="AE167" s="120">
        <f t="shared" ca="1" si="200"/>
        <v>1.1625315996875155E-8</v>
      </c>
      <c r="AF167" s="120">
        <f t="shared" ca="1" si="201"/>
        <v>1.1625315996875155E-8</v>
      </c>
      <c r="AG167" s="114"/>
    </row>
    <row r="168" spans="1:33" ht="19.95" hidden="1" customHeight="1" outlineLevel="1">
      <c r="A168" s="117">
        <v>9741</v>
      </c>
      <c r="B168" s="118" t="str">
        <f t="shared" si="192"/>
        <v>UT-Dallas</v>
      </c>
      <c r="C168" s="138">
        <v>244602220</v>
      </c>
      <c r="D168" s="100">
        <f t="shared" si="193"/>
        <v>11702330</v>
      </c>
      <c r="E168" s="119">
        <v>164415598.55830371</v>
      </c>
      <c r="F168" s="100">
        <f t="shared" si="202"/>
        <v>68484291.441696286</v>
      </c>
      <c r="G168" s="100">
        <f t="shared" si="203"/>
        <v>232899890</v>
      </c>
      <c r="H168" s="100">
        <f t="shared" ca="1" si="204"/>
        <v>276224359.86791921</v>
      </c>
      <c r="I168" s="100">
        <f t="shared" ca="1" si="194"/>
        <v>43324469.867919207</v>
      </c>
      <c r="J168" s="96">
        <f t="shared" ca="1" si="195"/>
        <v>0.18602185629164189</v>
      </c>
      <c r="K168" s="114"/>
      <c r="L168" s="100">
        <f ca="1">SUMIF('Operations Support'!$A:$A,A168,'Operations Support'!$V:$V)</f>
        <v>138112179.9339596</v>
      </c>
      <c r="M168" s="100">
        <f ca="1">SUMIF('Operations Support'!$A:$A,A168,'Operations Support'!$Y:$Y)</f>
        <v>138112179.9339596</v>
      </c>
      <c r="N168" s="100">
        <f t="shared" ca="1" si="205"/>
        <v>101298683.97635818</v>
      </c>
      <c r="O168" s="100">
        <f t="shared" ca="1" si="196"/>
        <v>101042670.99308278</v>
      </c>
      <c r="P168" s="100">
        <f t="shared" ref="P168:Q168" si="209">P27*0.8267</f>
        <v>36813495.957601435</v>
      </c>
      <c r="Q168" s="100">
        <f t="shared" si="209"/>
        <v>37069508.940876827</v>
      </c>
      <c r="R168" s="100">
        <f t="shared" si="197"/>
        <v>8263214</v>
      </c>
      <c r="S168" s="100">
        <f t="shared" si="197"/>
        <v>8263214</v>
      </c>
      <c r="T168" s="100">
        <f t="shared" ca="1" si="207"/>
        <v>146375393.9339596</v>
      </c>
      <c r="U168" s="100">
        <f t="shared" ca="1" si="208"/>
        <v>146375393.9339596</v>
      </c>
      <c r="V168" s="97"/>
      <c r="W168" s="97"/>
      <c r="X168" s="79"/>
      <c r="Y168" s="387">
        <v>146375394</v>
      </c>
      <c r="Z168" s="387">
        <v>146375394</v>
      </c>
      <c r="AA168" s="115"/>
      <c r="AB168" s="100">
        <f t="shared" ca="1" si="198"/>
        <v>-6.6040396690368652E-2</v>
      </c>
      <c r="AC168" s="100">
        <f t="shared" ca="1" si="199"/>
        <v>-6.6040396690368652E-2</v>
      </c>
      <c r="AE168" s="120">
        <f t="shared" ca="1" si="200"/>
        <v>-4.5117143609645343E-10</v>
      </c>
      <c r="AF168" s="120">
        <f t="shared" ca="1" si="201"/>
        <v>-4.5117143609645343E-10</v>
      </c>
      <c r="AG168" s="114"/>
    </row>
    <row r="169" spans="1:33" ht="19.95" hidden="1" customHeight="1" outlineLevel="1">
      <c r="A169" s="117">
        <v>3661</v>
      </c>
      <c r="B169" s="118" t="str">
        <f t="shared" si="192"/>
        <v>UT-El Paso</v>
      </c>
      <c r="C169" s="138">
        <v>143178009</v>
      </c>
      <c r="D169" s="100">
        <f t="shared" si="193"/>
        <v>7485900</v>
      </c>
      <c r="E169" s="119">
        <v>106197010.25611714</v>
      </c>
      <c r="F169" s="100">
        <f t="shared" si="202"/>
        <v>29495098.743882865</v>
      </c>
      <c r="G169" s="100">
        <f t="shared" si="203"/>
        <v>135692109</v>
      </c>
      <c r="H169" s="100">
        <f t="shared" ca="1" si="204"/>
        <v>138406873.25065842</v>
      </c>
      <c r="I169" s="100">
        <f t="shared" ca="1" si="194"/>
        <v>2714764.2506584227</v>
      </c>
      <c r="J169" s="96">
        <f t="shared" ca="1" si="195"/>
        <v>2.0006795315256121E-2</v>
      </c>
      <c r="K169" s="114"/>
      <c r="L169" s="100">
        <f ca="1">SUMIF('Operations Support'!$A:$A,A169,'Operations Support'!$V:$V)</f>
        <v>69203436.625329211</v>
      </c>
      <c r="M169" s="100">
        <f ca="1">SUMIF('Operations Support'!$A:$A,A169,'Operations Support'!$Y:$Y)</f>
        <v>69203436.625329211</v>
      </c>
      <c r="N169" s="100">
        <f t="shared" ca="1" si="205"/>
        <v>55063964.671926253</v>
      </c>
      <c r="O169" s="100">
        <f t="shared" ca="1" si="196"/>
        <v>55035503.963439956</v>
      </c>
      <c r="P169" s="100">
        <f t="shared" ref="P169:Q169" si="210">P28*0.8267</f>
        <v>14139471.953402959</v>
      </c>
      <c r="Q169" s="100">
        <f t="shared" si="210"/>
        <v>14167932.661889255</v>
      </c>
      <c r="R169" s="100">
        <f t="shared" si="197"/>
        <v>4109550</v>
      </c>
      <c r="S169" s="100">
        <f t="shared" si="197"/>
        <v>4109550</v>
      </c>
      <c r="T169" s="100">
        <f t="shared" ca="1" si="207"/>
        <v>73312986.625329211</v>
      </c>
      <c r="U169" s="100">
        <f t="shared" ca="1" si="208"/>
        <v>73312986.625329211</v>
      </c>
      <c r="V169" s="97"/>
      <c r="W169" s="97"/>
      <c r="X169" s="79"/>
      <c r="Y169" s="387">
        <v>73312985</v>
      </c>
      <c r="Z169" s="387">
        <v>73312985</v>
      </c>
      <c r="AA169" s="115"/>
      <c r="AB169" s="100">
        <f t="shared" ca="1" si="198"/>
        <v>1.6253292113542557</v>
      </c>
      <c r="AC169" s="100">
        <f t="shared" ca="1" si="199"/>
        <v>1.6253292113542557</v>
      </c>
      <c r="AE169" s="120">
        <f t="shared" ca="1" si="200"/>
        <v>2.2169731260037275E-8</v>
      </c>
      <c r="AF169" s="120">
        <f t="shared" ca="1" si="201"/>
        <v>2.2169731260037275E-8</v>
      </c>
      <c r="AG169" s="114"/>
    </row>
    <row r="170" spans="1:33" ht="19.95" hidden="1" customHeight="1" outlineLevel="1">
      <c r="A170" s="117">
        <v>3599</v>
      </c>
      <c r="B170" s="118" t="str">
        <f t="shared" si="192"/>
        <v>UT-Rio Grande Valley</v>
      </c>
      <c r="C170" s="138">
        <v>185187467</v>
      </c>
      <c r="D170" s="100">
        <f t="shared" si="193"/>
        <v>6790780</v>
      </c>
      <c r="E170" s="119">
        <v>131870080.41530176</v>
      </c>
      <c r="F170" s="100">
        <f>G170-E170</f>
        <v>46526606.584698245</v>
      </c>
      <c r="G170" s="100">
        <f>C170-D170</f>
        <v>178396687</v>
      </c>
      <c r="H170" s="100">
        <f ca="1">L170+M170</f>
        <v>175254461.72730863</v>
      </c>
      <c r="I170" s="100">
        <f t="shared" ca="1" si="194"/>
        <v>-3142225.2726913691</v>
      </c>
      <c r="J170" s="96">
        <f t="shared" ca="1" si="195"/>
        <v>-1.7613697460039542E-2</v>
      </c>
      <c r="K170" s="114"/>
      <c r="L170" s="100">
        <f ca="1">SUMIF('Operations Support'!$A:$A,A170,'Operations Support'!$V:$V)</f>
        <v>87627230.863654315</v>
      </c>
      <c r="M170" s="100">
        <f ca="1">SUMIF('Operations Support'!$A:$A,A170,'Operations Support'!$Y:$Y)</f>
        <v>87627230.863654315</v>
      </c>
      <c r="N170" s="100">
        <f ca="1">L170-P170</f>
        <v>67864852.746602207</v>
      </c>
      <c r="O170" s="100">
        <f ca="1">M170-Q170</f>
        <v>67851826.842478886</v>
      </c>
      <c r="P170" s="100">
        <f t="shared" ref="P170:Q170" si="211">P29*0.8267</f>
        <v>19762378.117052115</v>
      </c>
      <c r="Q170" s="100">
        <f t="shared" si="211"/>
        <v>19775404.021175433</v>
      </c>
      <c r="R170" s="100">
        <f>R447</f>
        <v>4862450</v>
      </c>
      <c r="S170" s="100">
        <f>S447</f>
        <v>4862450</v>
      </c>
      <c r="T170" s="100">
        <f t="shared" ca="1" si="207"/>
        <v>92489680.863654315</v>
      </c>
      <c r="U170" s="100">
        <f t="shared" ca="1" si="208"/>
        <v>92489680.863654315</v>
      </c>
      <c r="V170" s="97"/>
      <c r="W170" s="97"/>
      <c r="X170" s="79"/>
      <c r="Y170" s="387">
        <v>92489680.5</v>
      </c>
      <c r="Z170" s="387">
        <v>92489680.5</v>
      </c>
      <c r="AA170" s="115"/>
      <c r="AB170" s="100">
        <f t="shared" ca="1" si="198"/>
        <v>0.36365431547164917</v>
      </c>
      <c r="AC170" s="100">
        <f t="shared" ca="1" si="199"/>
        <v>0.36365431547164917</v>
      </c>
      <c r="AE170" s="120">
        <f t="shared" ca="1" si="200"/>
        <v>3.9318366338374344E-9</v>
      </c>
      <c r="AF170" s="120">
        <f t="shared" ca="1" si="201"/>
        <v>3.9318366338374344E-9</v>
      </c>
      <c r="AG170" s="114"/>
    </row>
    <row r="171" spans="1:33" ht="19.95" hidden="1" customHeight="1" outlineLevel="1">
      <c r="A171" s="117">
        <v>9930</v>
      </c>
      <c r="B171" s="118" t="str">
        <f t="shared" si="192"/>
        <v>UT-Permian Basin</v>
      </c>
      <c r="C171" s="138">
        <v>25259320</v>
      </c>
      <c r="D171" s="100">
        <f t="shared" si="193"/>
        <v>0</v>
      </c>
      <c r="E171" s="119">
        <v>16562453.666188452</v>
      </c>
      <c r="F171" s="100">
        <f t="shared" si="202"/>
        <v>8696866.3338115476</v>
      </c>
      <c r="G171" s="100">
        <f t="shared" si="203"/>
        <v>25259320</v>
      </c>
      <c r="H171" s="100">
        <f t="shared" ca="1" si="204"/>
        <v>24760118.560853764</v>
      </c>
      <c r="I171" s="100">
        <f t="shared" ca="1" si="194"/>
        <v>-499201.43914623559</v>
      </c>
      <c r="J171" s="96">
        <f t="shared" ca="1" si="195"/>
        <v>-1.9763059304297802E-2</v>
      </c>
      <c r="K171" s="114"/>
      <c r="L171" s="100">
        <f ca="1">SUMIF('Operations Support'!$A:$A,A171,'Operations Support'!$V:$V)</f>
        <v>12380059.280426882</v>
      </c>
      <c r="M171" s="100">
        <f ca="1">SUMIF('Operations Support'!$A:$A,A171,'Operations Support'!$Y:$Y)</f>
        <v>12380059.280426882</v>
      </c>
      <c r="N171" s="100">
        <f t="shared" ca="1" si="205"/>
        <v>8055555.1295593278</v>
      </c>
      <c r="O171" s="100">
        <f t="shared" ca="1" si="196"/>
        <v>8051256.0979735283</v>
      </c>
      <c r="P171" s="100">
        <f t="shared" ref="P171:Q171" si="212">P30*0.8267</f>
        <v>4324504.1508675544</v>
      </c>
      <c r="Q171" s="100">
        <f t="shared" si="212"/>
        <v>4328803.1824533539</v>
      </c>
      <c r="R171" s="100">
        <f>R448</f>
        <v>0</v>
      </c>
      <c r="S171" s="100">
        <f>S448</f>
        <v>0</v>
      </c>
      <c r="T171" s="100">
        <f t="shared" ca="1" si="207"/>
        <v>12380059.280426882</v>
      </c>
      <c r="U171" s="100">
        <f t="shared" ca="1" si="208"/>
        <v>12380059.280426882</v>
      </c>
      <c r="V171" s="97"/>
      <c r="W171" s="97"/>
      <c r="X171" s="79"/>
      <c r="Y171" s="387">
        <v>12380060</v>
      </c>
      <c r="Z171" s="387">
        <v>12380060</v>
      </c>
      <c r="AA171" s="115"/>
      <c r="AB171" s="100">
        <f t="shared" ca="1" si="198"/>
        <v>-0.71957311779260635</v>
      </c>
      <c r="AC171" s="100">
        <f t="shared" ca="1" si="199"/>
        <v>-0.71957311779260635</v>
      </c>
      <c r="AE171" s="120">
        <f t="shared" ca="1" si="200"/>
        <v>-5.8123559951790025E-8</v>
      </c>
      <c r="AF171" s="120">
        <f t="shared" ca="1" si="201"/>
        <v>-5.8123559951790025E-8</v>
      </c>
      <c r="AG171" s="114"/>
    </row>
    <row r="172" spans="1:33" ht="19.95" hidden="1" customHeight="1" outlineLevel="1">
      <c r="A172" s="117">
        <v>10115</v>
      </c>
      <c r="B172" s="118" t="str">
        <f t="shared" si="192"/>
        <v>UT-San Antonio</v>
      </c>
      <c r="C172" s="138">
        <v>213889877</v>
      </c>
      <c r="D172" s="100">
        <f t="shared" si="193"/>
        <v>7738400</v>
      </c>
      <c r="E172" s="119">
        <v>157746616.12467909</v>
      </c>
      <c r="F172" s="100">
        <f t="shared" si="202"/>
        <v>48404860.875320911</v>
      </c>
      <c r="G172" s="100">
        <f t="shared" si="203"/>
        <v>206151477</v>
      </c>
      <c r="H172" s="100">
        <f t="shared" ca="1" si="204"/>
        <v>204508411.56990182</v>
      </c>
      <c r="I172" s="100">
        <f t="shared" ca="1" si="194"/>
        <v>-1643065.430098176</v>
      </c>
      <c r="J172" s="96">
        <f t="shared" ca="1" si="195"/>
        <v>-7.9701850988832638E-3</v>
      </c>
      <c r="K172" s="114"/>
      <c r="L172" s="100">
        <f ca="1">SUMIF('Operations Support'!$A:$A,A172,'Operations Support'!$V:$V)</f>
        <v>102254205.78495091</v>
      </c>
      <c r="M172" s="100">
        <f ca="1">SUMIF('Operations Support'!$A:$A,A172,'Operations Support'!$Y:$Y)</f>
        <v>102254205.78495091</v>
      </c>
      <c r="N172" s="100">
        <f t="shared" ca="1" si="205"/>
        <v>81468865.889249668</v>
      </c>
      <c r="O172" s="100">
        <f t="shared" ca="1" si="196"/>
        <v>81440348.370054364</v>
      </c>
      <c r="P172" s="100">
        <f t="shared" ref="P172:Q172" si="213">P31*0.8267</f>
        <v>20785339.895701244</v>
      </c>
      <c r="Q172" s="100">
        <f t="shared" si="213"/>
        <v>20813857.414896544</v>
      </c>
      <c r="R172" s="100">
        <f t="shared" ref="R172:S191" si="214">R449</f>
        <v>4397600</v>
      </c>
      <c r="S172" s="100">
        <f t="shared" si="214"/>
        <v>4397600</v>
      </c>
      <c r="T172" s="100">
        <f t="shared" ca="1" si="207"/>
        <v>106651805.78495091</v>
      </c>
      <c r="U172" s="100">
        <f t="shared" ca="1" si="208"/>
        <v>106651805.78495091</v>
      </c>
      <c r="V172" s="97"/>
      <c r="W172" s="97"/>
      <c r="X172" s="79"/>
      <c r="Y172" s="387">
        <v>106651805.5</v>
      </c>
      <c r="Z172" s="387">
        <v>106651805.5</v>
      </c>
      <c r="AA172" s="115"/>
      <c r="AB172" s="100">
        <f t="shared" ca="1" si="198"/>
        <v>0.28495091199874878</v>
      </c>
      <c r="AC172" s="100">
        <f t="shared" ca="1" si="199"/>
        <v>0.28495091199874878</v>
      </c>
      <c r="AE172" s="120">
        <f t="shared" ca="1" si="200"/>
        <v>2.6717870354048591E-9</v>
      </c>
      <c r="AF172" s="120">
        <f t="shared" ca="1" si="201"/>
        <v>2.6717870354048591E-9</v>
      </c>
      <c r="AG172" s="114"/>
    </row>
    <row r="173" spans="1:33" ht="19.95" hidden="1" customHeight="1" outlineLevel="1">
      <c r="A173" s="117">
        <v>11163</v>
      </c>
      <c r="B173" s="118" t="str">
        <f t="shared" si="192"/>
        <v>UT-Tyler</v>
      </c>
      <c r="C173" s="138">
        <v>53599947</v>
      </c>
      <c r="D173" s="100">
        <f t="shared" si="193"/>
        <v>0</v>
      </c>
      <c r="E173" s="119">
        <v>39327281.395052329</v>
      </c>
      <c r="F173" s="100">
        <f t="shared" si="202"/>
        <v>14272665.604947671</v>
      </c>
      <c r="G173" s="100">
        <f t="shared" si="203"/>
        <v>53599947</v>
      </c>
      <c r="H173" s="100">
        <f t="shared" ca="1" si="204"/>
        <v>53691776.742164731</v>
      </c>
      <c r="I173" s="100">
        <f t="shared" ca="1" si="194"/>
        <v>91829.742164731026</v>
      </c>
      <c r="J173" s="96">
        <f t="shared" ca="1" si="195"/>
        <v>1.7132431523622781E-3</v>
      </c>
      <c r="K173" s="114"/>
      <c r="L173" s="100">
        <f ca="1">SUMIF('Operations Support'!$A:$A,A173,'Operations Support'!$V:$V)</f>
        <v>26845888.371082366</v>
      </c>
      <c r="M173" s="100">
        <f ca="1">SUMIF('Operations Support'!$A:$A,A173,'Operations Support'!$Y:$Y)</f>
        <v>26845888.371082366</v>
      </c>
      <c r="N173" s="100">
        <f t="shared" ca="1" si="205"/>
        <v>20721329.451271694</v>
      </c>
      <c r="O173" s="100">
        <f t="shared" ca="1" si="196"/>
        <v>20710479.478745516</v>
      </c>
      <c r="P173" s="100">
        <f t="shared" ref="P173:Q173" si="215">P32*0.8267</f>
        <v>6124558.9198106723</v>
      </c>
      <c r="Q173" s="100">
        <f t="shared" si="215"/>
        <v>6135408.8923368491</v>
      </c>
      <c r="R173" s="100">
        <f t="shared" si="214"/>
        <v>0</v>
      </c>
      <c r="S173" s="100">
        <f t="shared" si="214"/>
        <v>0</v>
      </c>
      <c r="T173" s="100">
        <f t="shared" ca="1" si="207"/>
        <v>26845888.371082366</v>
      </c>
      <c r="U173" s="100">
        <f t="shared" ca="1" si="208"/>
        <v>26845888.371082366</v>
      </c>
      <c r="V173" s="97"/>
      <c r="W173" s="97"/>
      <c r="X173" s="79"/>
      <c r="Y173" s="387">
        <v>26845888.5</v>
      </c>
      <c r="Z173" s="387">
        <v>26845888.5</v>
      </c>
      <c r="AA173" s="115"/>
      <c r="AB173" s="100">
        <f t="shared" ca="1" si="198"/>
        <v>-0.1289176344871521</v>
      </c>
      <c r="AC173" s="100">
        <f t="shared" ca="1" si="199"/>
        <v>-0.1289176344871521</v>
      </c>
      <c r="AE173" s="120">
        <f t="shared" ca="1" si="200"/>
        <v>-4.8021370239331901E-9</v>
      </c>
      <c r="AF173" s="120">
        <f t="shared" ca="1" si="201"/>
        <v>-4.8021370239331901E-9</v>
      </c>
      <c r="AG173" s="114"/>
    </row>
    <row r="174" spans="1:33" ht="19.95" hidden="1" customHeight="1" outlineLevel="1">
      <c r="A174" s="117">
        <v>3632</v>
      </c>
      <c r="B174" s="121" t="str">
        <f t="shared" si="192"/>
        <v>TAMU</v>
      </c>
      <c r="C174" s="138">
        <v>616456331</v>
      </c>
      <c r="D174" s="100">
        <f t="shared" si="193"/>
        <v>20639592</v>
      </c>
      <c r="E174" s="119">
        <v>471419338.87069565</v>
      </c>
      <c r="F174" s="100">
        <f t="shared" si="202"/>
        <v>124397400.12930435</v>
      </c>
      <c r="G174" s="100">
        <f t="shared" si="203"/>
        <v>595816739</v>
      </c>
      <c r="H174" s="100">
        <f t="shared" ca="1" si="204"/>
        <v>622848639.2205745</v>
      </c>
      <c r="I174" s="100">
        <f t="shared" ca="1" si="194"/>
        <v>27031900.220574498</v>
      </c>
      <c r="J174" s="96">
        <f t="shared" ca="1" si="195"/>
        <v>4.5369487715205832E-2</v>
      </c>
      <c r="K174" s="114"/>
      <c r="L174" s="100">
        <f ca="1">SUMIF('Operations Support'!$A:$A,A174,'Operations Support'!$V:$V)</f>
        <v>311424319.61028725</v>
      </c>
      <c r="M174" s="100">
        <f ca="1">SUMIF('Operations Support'!$A:$A,A174,'Operations Support'!$Y:$Y)</f>
        <v>311424319.61028725</v>
      </c>
      <c r="N174" s="100">
        <f t="shared" ca="1" si="205"/>
        <v>255644835.57673734</v>
      </c>
      <c r="O174" s="100">
        <f t="shared" ca="1" si="196"/>
        <v>255416000.66175219</v>
      </c>
      <c r="P174" s="100">
        <f t="shared" ref="P174:Q174" si="216">P33*0.8267</f>
        <v>55779484.03354992</v>
      </c>
      <c r="Q174" s="100">
        <f t="shared" si="216"/>
        <v>56008318.948535047</v>
      </c>
      <c r="R174" s="100">
        <f t="shared" si="214"/>
        <v>10906430</v>
      </c>
      <c r="S174" s="100">
        <f t="shared" si="214"/>
        <v>10906430</v>
      </c>
      <c r="T174" s="100">
        <f t="shared" ca="1" si="207"/>
        <v>322330749.61028725</v>
      </c>
      <c r="U174" s="100">
        <f t="shared" ca="1" si="208"/>
        <v>322330749.61028725</v>
      </c>
      <c r="V174" s="97"/>
      <c r="W174" s="97"/>
      <c r="X174" s="79"/>
      <c r="Y174" s="387">
        <v>322330749.5</v>
      </c>
      <c r="Z174" s="387">
        <v>322330749.5</v>
      </c>
      <c r="AA174" s="115"/>
      <c r="AB174" s="100">
        <f t="shared" ca="1" si="198"/>
        <v>0.11028724908828735</v>
      </c>
      <c r="AC174" s="100">
        <f t="shared" ca="1" si="199"/>
        <v>0.11028724908828735</v>
      </c>
      <c r="AE174" s="120">
        <f t="shared" ca="1" si="200"/>
        <v>3.4215553192374518E-10</v>
      </c>
      <c r="AF174" s="120">
        <f t="shared" ca="1" si="201"/>
        <v>3.4215553192374518E-10</v>
      </c>
      <c r="AG174" s="114"/>
    </row>
    <row r="175" spans="1:33" ht="19.95" hidden="1" customHeight="1" outlineLevel="1">
      <c r="A175" s="117">
        <v>10298</v>
      </c>
      <c r="B175" s="118" t="str">
        <f t="shared" si="192"/>
        <v>TAMU-Galveston</v>
      </c>
      <c r="C175" s="138">
        <v>17948928</v>
      </c>
      <c r="D175" s="100">
        <f t="shared" si="193"/>
        <v>320000</v>
      </c>
      <c r="E175" s="119">
        <v>14195130.729238663</v>
      </c>
      <c r="F175" s="100">
        <f t="shared" si="202"/>
        <v>3433797.2707613371</v>
      </c>
      <c r="G175" s="100">
        <f t="shared" si="203"/>
        <v>17628928</v>
      </c>
      <c r="H175" s="100">
        <f t="shared" ca="1" si="204"/>
        <v>20626972.160244554</v>
      </c>
      <c r="I175" s="100">
        <f t="shared" ca="1" si="194"/>
        <v>2998044.1602445543</v>
      </c>
      <c r="J175" s="96">
        <f t="shared" ca="1" si="195"/>
        <v>0.17006389499375993</v>
      </c>
      <c r="K175" s="114"/>
      <c r="L175" s="100">
        <f ca="1">SUMIF('Operations Support'!$A:$A,A175,'Operations Support'!$V:$V)</f>
        <v>10313486.080122277</v>
      </c>
      <c r="M175" s="100">
        <f ca="1">SUMIF('Operations Support'!$A:$A,A175,'Operations Support'!$Y:$Y)</f>
        <v>10313486.080122277</v>
      </c>
      <c r="N175" s="100">
        <f t="shared" ca="1" si="205"/>
        <v>7671904.8779634628</v>
      </c>
      <c r="O175" s="100">
        <f t="shared" ca="1" si="196"/>
        <v>7660577.0893056737</v>
      </c>
      <c r="P175" s="100">
        <f t="shared" ref="P175:Q175" si="217">P34*0.8267</f>
        <v>2641581.2021588148</v>
      </c>
      <c r="Q175" s="100">
        <f t="shared" si="217"/>
        <v>2652908.9908166034</v>
      </c>
      <c r="R175" s="100">
        <f t="shared" si="214"/>
        <v>177768</v>
      </c>
      <c r="S175" s="100">
        <f t="shared" si="214"/>
        <v>177768</v>
      </c>
      <c r="T175" s="100">
        <f t="shared" ca="1" si="207"/>
        <v>10491254.080122277</v>
      </c>
      <c r="U175" s="100">
        <f t="shared" ca="1" si="208"/>
        <v>10491254.080122277</v>
      </c>
      <c r="V175" s="97"/>
      <c r="W175" s="97"/>
      <c r="X175" s="79"/>
      <c r="Y175" s="387">
        <v>10491255</v>
      </c>
      <c r="Z175" s="387">
        <v>10491255</v>
      </c>
      <c r="AA175" s="115"/>
      <c r="AB175" s="100">
        <f t="shared" ca="1" si="198"/>
        <v>-0.91987772285938263</v>
      </c>
      <c r="AC175" s="100">
        <f t="shared" ca="1" si="199"/>
        <v>-0.91987772285938263</v>
      </c>
      <c r="AE175" s="120">
        <f t="shared" ca="1" si="200"/>
        <v>-8.7680435135230403E-8</v>
      </c>
      <c r="AF175" s="120">
        <f t="shared" ca="1" si="201"/>
        <v>-8.7680435135230403E-8</v>
      </c>
      <c r="AG175" s="114"/>
    </row>
    <row r="176" spans="1:33" ht="19.95" hidden="1" customHeight="1" outlineLevel="1">
      <c r="A176" s="117">
        <v>3630</v>
      </c>
      <c r="B176" s="118" t="str">
        <f t="shared" si="192"/>
        <v>Prairie View</v>
      </c>
      <c r="C176" s="138">
        <v>46741337</v>
      </c>
      <c r="D176" s="100">
        <f t="shared" si="193"/>
        <v>790532</v>
      </c>
      <c r="E176" s="119">
        <v>25206646.027068682</v>
      </c>
      <c r="F176" s="100">
        <f t="shared" si="202"/>
        <v>20744158.972931318</v>
      </c>
      <c r="G176" s="100">
        <f t="shared" si="203"/>
        <v>45950805</v>
      </c>
      <c r="H176" s="100">
        <f t="shared" ca="1" si="204"/>
        <v>47262111.038112774</v>
      </c>
      <c r="I176" s="100">
        <f t="shared" ca="1" si="194"/>
        <v>1311306.0381127745</v>
      </c>
      <c r="J176" s="96">
        <f t="shared" ca="1" si="195"/>
        <v>2.8537172267445031E-2</v>
      </c>
      <c r="K176" s="114"/>
      <c r="L176" s="100">
        <f ca="1">SUMIF('Operations Support'!$A:$A,A176,'Operations Support'!$V:$V)</f>
        <v>23631055.519056387</v>
      </c>
      <c r="M176" s="100">
        <f ca="1">SUMIF('Operations Support'!$A:$A,A176,'Operations Support'!$Y:$Y)</f>
        <v>23631055.519056387</v>
      </c>
      <c r="N176" s="100">
        <f t="shared" ca="1" si="205"/>
        <v>12443001.923296016</v>
      </c>
      <c r="O176" s="100">
        <f t="shared" ca="1" si="196"/>
        <v>12383349.465757035</v>
      </c>
      <c r="P176" s="100">
        <f t="shared" ref="P176:Q176" si="218">P35*0.8267</f>
        <v>11188053.595760372</v>
      </c>
      <c r="Q176" s="100">
        <f t="shared" si="218"/>
        <v>11247706.053299353</v>
      </c>
      <c r="R176" s="100">
        <f t="shared" si="214"/>
        <v>364150</v>
      </c>
      <c r="S176" s="100">
        <f t="shared" si="214"/>
        <v>364150</v>
      </c>
      <c r="T176" s="100">
        <f t="shared" ca="1" si="207"/>
        <v>23995205.519056387</v>
      </c>
      <c r="U176" s="100">
        <f t="shared" ca="1" si="208"/>
        <v>23995205.519056387</v>
      </c>
      <c r="V176" s="97"/>
      <c r="W176" s="97"/>
      <c r="X176" s="79"/>
      <c r="Y176" s="387">
        <v>23995204</v>
      </c>
      <c r="Z176" s="387">
        <v>23995204</v>
      </c>
      <c r="AA176" s="115"/>
      <c r="AB176" s="100">
        <f t="shared" ca="1" si="198"/>
        <v>1.5190563872456551</v>
      </c>
      <c r="AC176" s="100">
        <f t="shared" ca="1" si="199"/>
        <v>1.5190563872456551</v>
      </c>
      <c r="AE176" s="120">
        <f t="shared" ca="1" si="200"/>
        <v>6.3306662909774151E-8</v>
      </c>
      <c r="AF176" s="120">
        <f t="shared" ca="1" si="201"/>
        <v>6.3306662909774151E-8</v>
      </c>
      <c r="AG176" s="114"/>
    </row>
    <row r="177" spans="1:33" ht="19.95" hidden="1" customHeight="1" outlineLevel="1">
      <c r="A177" s="117">
        <v>3631</v>
      </c>
      <c r="B177" s="118" t="str">
        <f t="shared" si="192"/>
        <v>Tarleton</v>
      </c>
      <c r="C177" s="138">
        <v>74634872</v>
      </c>
      <c r="D177" s="100">
        <f t="shared" si="193"/>
        <v>2908862</v>
      </c>
      <c r="E177" s="119">
        <v>53692234.024433702</v>
      </c>
      <c r="F177" s="100">
        <f t="shared" si="202"/>
        <v>18033775.975566298</v>
      </c>
      <c r="G177" s="100">
        <f t="shared" si="203"/>
        <v>71726010</v>
      </c>
      <c r="H177" s="100">
        <f t="shared" ca="1" si="204"/>
        <v>80828615.510442242</v>
      </c>
      <c r="I177" s="100">
        <f t="shared" ca="1" si="194"/>
        <v>9102605.510442242</v>
      </c>
      <c r="J177" s="96">
        <f t="shared" ca="1" si="195"/>
        <v>0.1269080144070783</v>
      </c>
      <c r="K177" s="114"/>
      <c r="L177" s="100">
        <f ca="1">SUMIF('Operations Support'!$A:$A,A177,'Operations Support'!$V:$V)</f>
        <v>40414307.755221121</v>
      </c>
      <c r="M177" s="100">
        <f ca="1">SUMIF('Operations Support'!$A:$A,A177,'Operations Support'!$Y:$Y)</f>
        <v>40414307.755221121</v>
      </c>
      <c r="N177" s="100">
        <f t="shared" ca="1" si="205"/>
        <v>33020949.617123432</v>
      </c>
      <c r="O177" s="100">
        <f t="shared" ca="1" si="196"/>
        <v>33009041.0366132</v>
      </c>
      <c r="P177" s="100">
        <f t="shared" ref="P177:Q177" si="219">P36*0.8267</f>
        <v>7393358.1380976886</v>
      </c>
      <c r="Q177" s="100">
        <f t="shared" si="219"/>
        <v>7405266.7186079212</v>
      </c>
      <c r="R177" s="100">
        <f t="shared" si="214"/>
        <v>1911416</v>
      </c>
      <c r="S177" s="100">
        <f t="shared" si="214"/>
        <v>1911416</v>
      </c>
      <c r="T177" s="100">
        <f t="shared" ca="1" si="207"/>
        <v>42325723.755221121</v>
      </c>
      <c r="U177" s="100">
        <f t="shared" ca="1" si="208"/>
        <v>42325723.755221121</v>
      </c>
      <c r="V177" s="97"/>
      <c r="W177" s="97"/>
      <c r="X177" s="79"/>
      <c r="Y177" s="387">
        <v>42325722.5</v>
      </c>
      <c r="Z177" s="387">
        <v>42325722.5</v>
      </c>
      <c r="AA177" s="115"/>
      <c r="AB177" s="100">
        <f t="shared" ca="1" si="198"/>
        <v>1.2552211210131645</v>
      </c>
      <c r="AC177" s="100">
        <f t="shared" ca="1" si="199"/>
        <v>1.2552211210131645</v>
      </c>
      <c r="AE177" s="120">
        <f t="shared" ca="1" si="200"/>
        <v>2.9656223441621025E-8</v>
      </c>
      <c r="AF177" s="120">
        <f t="shared" ca="1" si="201"/>
        <v>2.9656223441621025E-8</v>
      </c>
      <c r="AG177" s="114"/>
    </row>
    <row r="178" spans="1:33" ht="19.95" hidden="1" customHeight="1" outlineLevel="1">
      <c r="A178" s="117">
        <v>42295</v>
      </c>
      <c r="B178" s="118" t="str">
        <f t="shared" si="192"/>
        <v>TAMU-Central</v>
      </c>
      <c r="C178" s="138">
        <v>12689506</v>
      </c>
      <c r="D178" s="100">
        <f t="shared" si="193"/>
        <v>261064</v>
      </c>
      <c r="E178" s="119">
        <v>9550460.4176339973</v>
      </c>
      <c r="F178" s="100">
        <f>G178-E178</f>
        <v>2877981.5823660027</v>
      </c>
      <c r="G178" s="100">
        <f>C178-D178</f>
        <v>12428442</v>
      </c>
      <c r="H178" s="100">
        <f t="shared" ca="1" si="204"/>
        <v>11942148.924300672</v>
      </c>
      <c r="I178" s="100">
        <f t="shared" ca="1" si="194"/>
        <v>-486293.07569932751</v>
      </c>
      <c r="J178" s="96">
        <f t="shared" ca="1" si="195"/>
        <v>-3.9127436544285077E-2</v>
      </c>
      <c r="K178" s="114"/>
      <c r="L178" s="100">
        <f ca="1">SUMIF('Operations Support'!$A:$A,A178,'Operations Support'!$V:$V)</f>
        <v>5971074.4621503362</v>
      </c>
      <c r="M178" s="100">
        <f ca="1">SUMIF('Operations Support'!$A:$A,A178,'Operations Support'!$Y:$Y)</f>
        <v>5971074.4621503362</v>
      </c>
      <c r="N178" s="100">
        <f t="shared" ca="1" si="205"/>
        <v>4896316.2744097365</v>
      </c>
      <c r="O178" s="100">
        <f t="shared" ca="1" si="196"/>
        <v>4894489.4341524038</v>
      </c>
      <c r="P178" s="100">
        <f t="shared" ref="P178:Q178" si="220">P37*0.8267</f>
        <v>1074758.1877405995</v>
      </c>
      <c r="Q178" s="100">
        <f t="shared" si="220"/>
        <v>1076585.0279979322</v>
      </c>
      <c r="R178" s="100">
        <f t="shared" si="214"/>
        <v>170532</v>
      </c>
      <c r="S178" s="100">
        <f t="shared" si="214"/>
        <v>170532</v>
      </c>
      <c r="T178" s="100">
        <f t="shared" ca="1" si="207"/>
        <v>6141606.4621503362</v>
      </c>
      <c r="U178" s="100">
        <f t="shared" ca="1" si="208"/>
        <v>6141606.4621503362</v>
      </c>
      <c r="V178" s="97"/>
      <c r="W178" s="97"/>
      <c r="X178" s="79"/>
      <c r="Y178" s="387">
        <v>6141607</v>
      </c>
      <c r="Z178" s="387">
        <v>6141607</v>
      </c>
      <c r="AA178" s="115"/>
      <c r="AB178" s="100">
        <f t="shared" ca="1" si="198"/>
        <v>-0.53784966375678778</v>
      </c>
      <c r="AC178" s="100">
        <f t="shared" ca="1" si="199"/>
        <v>-0.53784966375678778</v>
      </c>
      <c r="AE178" s="120">
        <f t="shared" ca="1" si="200"/>
        <v>-8.7574752155069315E-8</v>
      </c>
      <c r="AF178" s="120">
        <f t="shared" ca="1" si="201"/>
        <v>-8.7574752155069315E-8</v>
      </c>
      <c r="AG178" s="114"/>
    </row>
    <row r="179" spans="1:33" ht="19.95" hidden="1" customHeight="1" outlineLevel="1">
      <c r="A179" s="117">
        <v>11161</v>
      </c>
      <c r="B179" s="118" t="str">
        <f t="shared" si="192"/>
        <v>TAMU-CC</v>
      </c>
      <c r="C179" s="138">
        <v>67593080</v>
      </c>
      <c r="D179" s="100">
        <f t="shared" si="193"/>
        <v>2015708</v>
      </c>
      <c r="E179" s="119">
        <v>47919865.031521626</v>
      </c>
      <c r="F179" s="100">
        <f t="shared" si="202"/>
        <v>17657506.968478374</v>
      </c>
      <c r="G179" s="100">
        <f t="shared" si="203"/>
        <v>65577372</v>
      </c>
      <c r="H179" s="100">
        <f t="shared" ca="1" si="204"/>
        <v>67692058.72804302</v>
      </c>
      <c r="I179" s="100">
        <f t="shared" ca="1" si="194"/>
        <v>2114686.7280430198</v>
      </c>
      <c r="J179" s="96">
        <f t="shared" ca="1" si="195"/>
        <v>3.2247201489608635E-2</v>
      </c>
      <c r="K179" s="114"/>
      <c r="L179" s="100">
        <f ca="1">SUMIF('Operations Support'!$A:$A,A179,'Operations Support'!$V:$V)</f>
        <v>33846029.36402151</v>
      </c>
      <c r="M179" s="100">
        <f ca="1">SUMIF('Operations Support'!$A:$A,A179,'Operations Support'!$Y:$Y)</f>
        <v>33846029.36402151</v>
      </c>
      <c r="N179" s="100">
        <f t="shared" ca="1" si="205"/>
        <v>24923505.110515103</v>
      </c>
      <c r="O179" s="100">
        <f t="shared" ca="1" si="196"/>
        <v>24921266.392621253</v>
      </c>
      <c r="P179" s="100">
        <f t="shared" ref="P179:Q179" si="221">P38*0.8267</f>
        <v>8922524.253506409</v>
      </c>
      <c r="Q179" s="100">
        <f t="shared" si="221"/>
        <v>8924762.9714002572</v>
      </c>
      <c r="R179" s="100">
        <f t="shared" si="214"/>
        <v>1196955</v>
      </c>
      <c r="S179" s="100">
        <f t="shared" si="214"/>
        <v>1196955</v>
      </c>
      <c r="T179" s="100">
        <f t="shared" ca="1" si="207"/>
        <v>35042984.36402151</v>
      </c>
      <c r="U179" s="100">
        <f t="shared" ca="1" si="208"/>
        <v>35042984.36402151</v>
      </c>
      <c r="V179" s="97"/>
      <c r="W179" s="97"/>
      <c r="X179" s="79"/>
      <c r="Y179" s="387">
        <v>35042986</v>
      </c>
      <c r="Z179" s="387">
        <v>35042986</v>
      </c>
      <c r="AA179" s="115"/>
      <c r="AB179" s="100">
        <f t="shared" ca="1" si="198"/>
        <v>-1.635978490114212</v>
      </c>
      <c r="AC179" s="100">
        <f t="shared" ca="1" si="199"/>
        <v>-1.635978490114212</v>
      </c>
      <c r="AE179" s="120">
        <f t="shared" ca="1" si="200"/>
        <v>-4.6684907687082281E-8</v>
      </c>
      <c r="AF179" s="120">
        <f t="shared" ca="1" si="201"/>
        <v>-4.6684907687082281E-8</v>
      </c>
      <c r="AG179" s="114"/>
    </row>
    <row r="180" spans="1:33" ht="19.95" hidden="1" customHeight="1" outlineLevel="1">
      <c r="A180" s="117">
        <v>3639</v>
      </c>
      <c r="B180" s="118" t="str">
        <f t="shared" si="192"/>
        <v>TAMU-Kingsville</v>
      </c>
      <c r="C180" s="138">
        <v>42660925</v>
      </c>
      <c r="D180" s="100">
        <f t="shared" si="193"/>
        <v>1287600</v>
      </c>
      <c r="E180" s="119">
        <v>28401200.277608573</v>
      </c>
      <c r="F180" s="100">
        <f t="shared" si="202"/>
        <v>12972124.722391427</v>
      </c>
      <c r="G180" s="100">
        <f t="shared" si="203"/>
        <v>41373325</v>
      </c>
      <c r="H180" s="100">
        <f t="shared" ca="1" si="204"/>
        <v>38692173.652871422</v>
      </c>
      <c r="I180" s="100">
        <f t="shared" ca="1" si="194"/>
        <v>-2681151.3471285775</v>
      </c>
      <c r="J180" s="96">
        <f t="shared" ca="1" si="195"/>
        <v>-6.4803864497924149E-2</v>
      </c>
      <c r="K180" s="114"/>
      <c r="L180" s="100">
        <f ca="1">SUMIF('Operations Support'!$A:$A,A180,'Operations Support'!$V:$V)</f>
        <v>19346086.826435711</v>
      </c>
      <c r="M180" s="100">
        <f ca="1">SUMIF('Operations Support'!$A:$A,A180,'Operations Support'!$Y:$Y)</f>
        <v>19346086.826435711</v>
      </c>
      <c r="N180" s="100">
        <f t="shared" ca="1" si="205"/>
        <v>12814344.460625656</v>
      </c>
      <c r="O180" s="100">
        <f t="shared" ca="1" si="196"/>
        <v>12772742.125744047</v>
      </c>
      <c r="P180" s="100">
        <f t="shared" ref="P180:Q180" si="222">P39*0.8267</f>
        <v>6531742.3658100544</v>
      </c>
      <c r="Q180" s="100">
        <f t="shared" si="222"/>
        <v>6573344.7006916646</v>
      </c>
      <c r="R180" s="100">
        <f t="shared" si="214"/>
        <v>683000</v>
      </c>
      <c r="S180" s="100">
        <f t="shared" si="214"/>
        <v>683000</v>
      </c>
      <c r="T180" s="100">
        <f t="shared" ca="1" si="207"/>
        <v>20029086.826435711</v>
      </c>
      <c r="U180" s="100">
        <f t="shared" ca="1" si="208"/>
        <v>20029086.826435711</v>
      </c>
      <c r="V180" s="97"/>
      <c r="W180" s="97"/>
      <c r="X180" s="79"/>
      <c r="Y180" s="387">
        <v>20029087</v>
      </c>
      <c r="Z180" s="387">
        <v>20029087</v>
      </c>
      <c r="AA180" s="115"/>
      <c r="AB180" s="100">
        <f t="shared" ca="1" si="198"/>
        <v>-0.17356428876519203</v>
      </c>
      <c r="AC180" s="100">
        <f t="shared" ca="1" si="199"/>
        <v>-0.17356428876519203</v>
      </c>
      <c r="AE180" s="120">
        <f t="shared" ca="1" si="200"/>
        <v>-8.6656116811132117E-9</v>
      </c>
      <c r="AF180" s="120">
        <f t="shared" ca="1" si="201"/>
        <v>-8.6656116811132117E-9</v>
      </c>
      <c r="AG180" s="114"/>
    </row>
    <row r="181" spans="1:33" ht="19.95" hidden="1" customHeight="1" outlineLevel="1">
      <c r="A181" s="117">
        <v>42485</v>
      </c>
      <c r="B181" s="118" t="str">
        <f t="shared" si="192"/>
        <v>TAMU-San Antonio</v>
      </c>
      <c r="C181" s="138">
        <v>28811292</v>
      </c>
      <c r="D181" s="100">
        <f t="shared" si="193"/>
        <v>1018350</v>
      </c>
      <c r="E181" s="119">
        <v>19893622.213848624</v>
      </c>
      <c r="F181" s="100">
        <f>G181-E181</f>
        <v>7899319.7861513756</v>
      </c>
      <c r="G181" s="100">
        <f>C181-D181</f>
        <v>27792942</v>
      </c>
      <c r="H181" s="100">
        <f t="shared" ca="1" si="204"/>
        <v>29137618.60458893</v>
      </c>
      <c r="I181" s="100">
        <f t="shared" ca="1" si="194"/>
        <v>1344676.6045889296</v>
      </c>
      <c r="J181" s="96">
        <f t="shared" ca="1" si="195"/>
        <v>4.8381945480580273E-2</v>
      </c>
      <c r="K181" s="114"/>
      <c r="L181" s="100">
        <f ca="1">SUMIF('Operations Support'!$A:$A,A181,'Operations Support'!$V:$V)</f>
        <v>14568809.302294465</v>
      </c>
      <c r="M181" s="100">
        <f ca="1">SUMIF('Operations Support'!$A:$A,A181,'Operations Support'!$Y:$Y)</f>
        <v>14568809.302294465</v>
      </c>
      <c r="N181" s="100">
        <f t="shared" ca="1" si="205"/>
        <v>10383937.903590361</v>
      </c>
      <c r="O181" s="100">
        <f t="shared" ca="1" si="196"/>
        <v>10381051.128178068</v>
      </c>
      <c r="P181" s="100">
        <f t="shared" ref="P181:Q181" si="223">P40*0.8267</f>
        <v>4184871.3987041046</v>
      </c>
      <c r="Q181" s="100">
        <f t="shared" si="223"/>
        <v>4187758.1741163963</v>
      </c>
      <c r="R181" s="100">
        <f t="shared" si="214"/>
        <v>372330</v>
      </c>
      <c r="S181" s="100">
        <f t="shared" si="214"/>
        <v>372330</v>
      </c>
      <c r="T181" s="100">
        <f t="shared" ca="1" si="207"/>
        <v>14941139.302294465</v>
      </c>
      <c r="U181" s="100">
        <f t="shared" ca="1" si="208"/>
        <v>14941139.302294465</v>
      </c>
      <c r="V181" s="97"/>
      <c r="W181" s="97"/>
      <c r="X181" s="79"/>
      <c r="Y181" s="387">
        <v>14941139.5</v>
      </c>
      <c r="Z181" s="387">
        <v>14941139.5</v>
      </c>
      <c r="AA181" s="115"/>
      <c r="AB181" s="100">
        <f t="shared" ca="1" si="198"/>
        <v>-0.19770553521811962</v>
      </c>
      <c r="AC181" s="100">
        <f t="shared" ca="1" si="199"/>
        <v>-0.19770553521811962</v>
      </c>
      <c r="AE181" s="120">
        <f t="shared" ca="1" si="200"/>
        <v>-1.3232293148338332E-8</v>
      </c>
      <c r="AF181" s="120">
        <f t="shared" ca="1" si="201"/>
        <v>-1.3232293148338332E-8</v>
      </c>
      <c r="AG181" s="114"/>
    </row>
    <row r="182" spans="1:33" ht="19.95" hidden="1" customHeight="1" outlineLevel="1">
      <c r="A182" s="117">
        <v>9651</v>
      </c>
      <c r="B182" s="118" t="str">
        <f t="shared" si="192"/>
        <v>TAMI</v>
      </c>
      <c r="C182" s="138">
        <v>44752305</v>
      </c>
      <c r="D182" s="100">
        <f t="shared" si="193"/>
        <v>1188902</v>
      </c>
      <c r="E182" s="119">
        <v>31995620.677102484</v>
      </c>
      <c r="F182" s="100">
        <f t="shared" si="202"/>
        <v>11567782.322897516</v>
      </c>
      <c r="G182" s="100">
        <f t="shared" si="203"/>
        <v>43563403</v>
      </c>
      <c r="H182" s="100">
        <f t="shared" ca="1" si="204"/>
        <v>46847517.268457472</v>
      </c>
      <c r="I182" s="100">
        <f t="shared" ca="1" si="194"/>
        <v>3284114.2684574723</v>
      </c>
      <c r="J182" s="96">
        <f t="shared" ca="1" si="195"/>
        <v>7.5387000149126832E-2</v>
      </c>
      <c r="K182" s="114"/>
      <c r="L182" s="100">
        <f ca="1">SUMIF('Operations Support'!$A:$A,A182,'Operations Support'!$V:$V)</f>
        <v>23423758.634228736</v>
      </c>
      <c r="M182" s="100">
        <f ca="1">SUMIF('Operations Support'!$A:$A,A182,'Operations Support'!$Y:$Y)</f>
        <v>23423758.634228736</v>
      </c>
      <c r="N182" s="100">
        <f t="shared" ca="1" si="205"/>
        <v>17408103.537942577</v>
      </c>
      <c r="O182" s="100">
        <f t="shared" ca="1" si="196"/>
        <v>17405803.561467227</v>
      </c>
      <c r="P182" s="100">
        <f t="shared" ref="P182:Q182" si="224">P41*0.8267</f>
        <v>6015655.0962861599</v>
      </c>
      <c r="Q182" s="100">
        <f t="shared" si="224"/>
        <v>6017955.0727615096</v>
      </c>
      <c r="R182" s="100">
        <f t="shared" si="214"/>
        <v>747125</v>
      </c>
      <c r="S182" s="100">
        <f t="shared" si="214"/>
        <v>747125</v>
      </c>
      <c r="T182" s="100">
        <f t="shared" ca="1" si="207"/>
        <v>24170883.634228736</v>
      </c>
      <c r="U182" s="100">
        <f t="shared" ca="1" si="208"/>
        <v>24170883.634228736</v>
      </c>
      <c r="V182" s="97"/>
      <c r="W182" s="97"/>
      <c r="X182" s="79"/>
      <c r="Y182" s="387">
        <v>24170884</v>
      </c>
      <c r="Z182" s="387">
        <v>24170884</v>
      </c>
      <c r="AA182" s="115"/>
      <c r="AB182" s="100">
        <f t="shared" ca="1" si="198"/>
        <v>-0.36577126383781433</v>
      </c>
      <c r="AC182" s="100">
        <f t="shared" ca="1" si="199"/>
        <v>-0.36577126383781433</v>
      </c>
      <c r="AE182" s="120">
        <f t="shared" ca="1" si="200"/>
        <v>-1.5132722054060132E-8</v>
      </c>
      <c r="AF182" s="120">
        <f t="shared" ca="1" si="201"/>
        <v>-1.5132722054060132E-8</v>
      </c>
      <c r="AG182" s="114"/>
    </row>
    <row r="183" spans="1:33" ht="19.95" hidden="1" customHeight="1" outlineLevel="1">
      <c r="A183" s="117">
        <v>3665</v>
      </c>
      <c r="B183" s="118" t="str">
        <f t="shared" si="192"/>
        <v>WTAMU</v>
      </c>
      <c r="C183" s="138">
        <v>55247175</v>
      </c>
      <c r="D183" s="100">
        <f t="shared" si="193"/>
        <v>3758606</v>
      </c>
      <c r="E183" s="119">
        <v>38524934.584721982</v>
      </c>
      <c r="F183" s="100">
        <f t="shared" si="202"/>
        <v>12963634.415278018</v>
      </c>
      <c r="G183" s="100">
        <f t="shared" si="203"/>
        <v>51488569</v>
      </c>
      <c r="H183" s="100">
        <f t="shared" ca="1" si="204"/>
        <v>49909631.914751612</v>
      </c>
      <c r="I183" s="100">
        <f t="shared" ca="1" si="194"/>
        <v>-1578937.0852483884</v>
      </c>
      <c r="J183" s="96">
        <f t="shared" ca="1" si="195"/>
        <v>-3.0665779141160213E-2</v>
      </c>
      <c r="K183" s="114"/>
      <c r="L183" s="100">
        <f ca="1">SUMIF('Operations Support'!$A:$A,A183,'Operations Support'!$V:$V)</f>
        <v>24954815.957375806</v>
      </c>
      <c r="M183" s="100">
        <f ca="1">SUMIF('Operations Support'!$A:$A,A183,'Operations Support'!$Y:$Y)</f>
        <v>24954815.957375806</v>
      </c>
      <c r="N183" s="100">
        <f t="shared" ca="1" si="205"/>
        <v>19240673.564347282</v>
      </c>
      <c r="O183" s="100">
        <f t="shared" ca="1" si="196"/>
        <v>19224630.714684803</v>
      </c>
      <c r="P183" s="100">
        <f t="shared" ref="P183:Q183" si="225">P42*0.8267</f>
        <v>5714142.3930285247</v>
      </c>
      <c r="Q183" s="100">
        <f t="shared" si="225"/>
        <v>5730185.2426910037</v>
      </c>
      <c r="R183" s="100">
        <f t="shared" si="214"/>
        <v>1675882</v>
      </c>
      <c r="S183" s="100">
        <f t="shared" si="214"/>
        <v>1675882</v>
      </c>
      <c r="T183" s="100">
        <f t="shared" ca="1" si="207"/>
        <v>26630697.957375806</v>
      </c>
      <c r="U183" s="100">
        <f t="shared" ca="1" si="208"/>
        <v>26630697.957375806</v>
      </c>
      <c r="V183" s="97"/>
      <c r="W183" s="97"/>
      <c r="X183" s="79"/>
      <c r="Y183" s="387">
        <v>26630697</v>
      </c>
      <c r="Z183" s="387">
        <v>26630697</v>
      </c>
      <c r="AA183" s="115"/>
      <c r="AB183" s="100">
        <f t="shared" ca="1" si="198"/>
        <v>0.95737580582499504</v>
      </c>
      <c r="AC183" s="100">
        <f t="shared" ca="1" si="199"/>
        <v>0.95737580582499504</v>
      </c>
      <c r="AE183" s="120">
        <f t="shared" ca="1" si="200"/>
        <v>3.5950083146800674E-8</v>
      </c>
      <c r="AF183" s="120">
        <f t="shared" ca="1" si="201"/>
        <v>3.5950083146800674E-8</v>
      </c>
      <c r="AG183" s="114"/>
    </row>
    <row r="184" spans="1:33" ht="19.95" hidden="1" customHeight="1" outlineLevel="1">
      <c r="A184" s="117">
        <v>3565</v>
      </c>
      <c r="B184" s="118" t="str">
        <f t="shared" si="192"/>
        <v>TAMU-Commerce</v>
      </c>
      <c r="C184" s="138">
        <v>82274876</v>
      </c>
      <c r="D184" s="100">
        <f t="shared" si="193"/>
        <v>4991800</v>
      </c>
      <c r="E184" s="119">
        <v>63093774.988135315</v>
      </c>
      <c r="F184" s="100">
        <f t="shared" si="202"/>
        <v>14189301.011864685</v>
      </c>
      <c r="G184" s="100">
        <f t="shared" si="203"/>
        <v>77283076</v>
      </c>
      <c r="H184" s="100">
        <f t="shared" ca="1" si="204"/>
        <v>76723299.864016518</v>
      </c>
      <c r="I184" s="100">
        <f t="shared" ca="1" si="194"/>
        <v>-559776.135983482</v>
      </c>
      <c r="J184" s="96">
        <f t="shared" ca="1" si="195"/>
        <v>-7.2431917174658267E-3</v>
      </c>
      <c r="K184" s="114"/>
      <c r="L184" s="100">
        <f ca="1">SUMIF('Operations Support'!$A:$A,A184,'Operations Support'!$V:$V)</f>
        <v>38361649.932008259</v>
      </c>
      <c r="M184" s="100">
        <f ca="1">SUMIF('Operations Support'!$A:$A,A184,'Operations Support'!$Y:$Y)</f>
        <v>38361649.932008259</v>
      </c>
      <c r="N184" s="100">
        <f t="shared" ca="1" si="205"/>
        <v>35215287.788107812</v>
      </c>
      <c r="O184" s="100">
        <f t="shared" ca="1" si="196"/>
        <v>35208572.500497267</v>
      </c>
      <c r="P184" s="100">
        <f t="shared" ref="P184:Q184" si="226">P43*0.8267</f>
        <v>3146362.1439004443</v>
      </c>
      <c r="Q184" s="100">
        <f t="shared" si="226"/>
        <v>3153077.4315109928</v>
      </c>
      <c r="R184" s="100">
        <f t="shared" si="214"/>
        <v>2720000</v>
      </c>
      <c r="S184" s="100">
        <f t="shared" si="214"/>
        <v>2720000</v>
      </c>
      <c r="T184" s="100">
        <f t="shared" ca="1" si="207"/>
        <v>41081649.932008259</v>
      </c>
      <c r="U184" s="100">
        <f t="shared" ca="1" si="208"/>
        <v>41081649.932008259</v>
      </c>
      <c r="V184" s="97"/>
      <c r="W184" s="97"/>
      <c r="X184" s="79"/>
      <c r="Y184" s="387">
        <v>41081649</v>
      </c>
      <c r="Z184" s="387">
        <v>41081649</v>
      </c>
      <c r="AA184" s="115"/>
      <c r="AB184" s="100">
        <f t="shared" ca="1" si="198"/>
        <v>0.93200825899839401</v>
      </c>
      <c r="AC184" s="100">
        <f t="shared" ca="1" si="199"/>
        <v>0.93200825899839401</v>
      </c>
      <c r="AE184" s="120">
        <f t="shared" ca="1" si="200"/>
        <v>2.2686729002873648E-8</v>
      </c>
      <c r="AF184" s="120">
        <f t="shared" ca="1" si="201"/>
        <v>2.2686729002873648E-8</v>
      </c>
      <c r="AG184" s="114"/>
    </row>
    <row r="185" spans="1:33" ht="19.95" hidden="1" customHeight="1" outlineLevel="1">
      <c r="A185" s="117">
        <v>29269</v>
      </c>
      <c r="B185" s="118" t="str">
        <f t="shared" si="192"/>
        <v>TAMU-Texarkana</v>
      </c>
      <c r="C185" s="138">
        <v>10411767</v>
      </c>
      <c r="D185" s="100">
        <f t="shared" si="193"/>
        <v>186250</v>
      </c>
      <c r="E185" s="119">
        <v>7412569.5998079302</v>
      </c>
      <c r="F185" s="100">
        <f t="shared" si="202"/>
        <v>2812947.4001920698</v>
      </c>
      <c r="G185" s="100">
        <f t="shared" si="203"/>
        <v>10225517</v>
      </c>
      <c r="H185" s="100">
        <f t="shared" ca="1" si="204"/>
        <v>9919267.2517155819</v>
      </c>
      <c r="I185" s="100">
        <f t="shared" ca="1" si="194"/>
        <v>-306249.74828441814</v>
      </c>
      <c r="J185" s="96">
        <f t="shared" ca="1" si="195"/>
        <v>-2.9949561306721034E-2</v>
      </c>
      <c r="K185" s="114"/>
      <c r="L185" s="100">
        <f ca="1">SUMIF('Operations Support'!$A:$A,A185,'Operations Support'!$V:$V)</f>
        <v>4959633.6258577909</v>
      </c>
      <c r="M185" s="100">
        <f ca="1">SUMIF('Operations Support'!$A:$A,A185,'Operations Support'!$Y:$Y)</f>
        <v>4959633.6258577909</v>
      </c>
      <c r="N185" s="100">
        <f t="shared" ca="1" si="205"/>
        <v>3535885.9812610429</v>
      </c>
      <c r="O185" s="100">
        <f t="shared" ca="1" si="196"/>
        <v>3531135.7008319441</v>
      </c>
      <c r="P185" s="100">
        <f t="shared" ref="P185:Q185" si="227">P44*0.8267</f>
        <v>1423747.6445967483</v>
      </c>
      <c r="Q185" s="100">
        <f t="shared" si="227"/>
        <v>1428497.9250258468</v>
      </c>
      <c r="R185" s="100">
        <f t="shared" si="214"/>
        <v>112115</v>
      </c>
      <c r="S185" s="100">
        <f t="shared" si="214"/>
        <v>112115</v>
      </c>
      <c r="T185" s="100">
        <f t="shared" ca="1" si="207"/>
        <v>5071748.6258577909</v>
      </c>
      <c r="U185" s="100">
        <f t="shared" ca="1" si="208"/>
        <v>5071748.6258577909</v>
      </c>
      <c r="V185" s="97"/>
      <c r="W185" s="97"/>
      <c r="X185" s="79"/>
      <c r="Y185" s="387">
        <v>5071749</v>
      </c>
      <c r="Z185" s="387">
        <v>5071749</v>
      </c>
      <c r="AA185" s="115"/>
      <c r="AB185" s="100">
        <f t="shared" ca="1" si="198"/>
        <v>-0.37414220906794071</v>
      </c>
      <c r="AC185" s="100">
        <f t="shared" ca="1" si="199"/>
        <v>-0.37414220906794071</v>
      </c>
      <c r="AE185" s="120">
        <f t="shared" ca="1" si="200"/>
        <v>-7.3769864531616368E-8</v>
      </c>
      <c r="AF185" s="120">
        <f t="shared" ca="1" si="201"/>
        <v>-7.3769864531616368E-8</v>
      </c>
      <c r="AG185" s="114"/>
    </row>
    <row r="186" spans="1:33" ht="19.95" hidden="1" customHeight="1" outlineLevel="1">
      <c r="A186" s="117">
        <v>3652</v>
      </c>
      <c r="B186" s="118" t="str">
        <f t="shared" si="192"/>
        <v>UH</v>
      </c>
      <c r="C186" s="138">
        <v>359888235</v>
      </c>
      <c r="D186" s="100">
        <f t="shared" si="193"/>
        <v>25309680</v>
      </c>
      <c r="E186" s="119">
        <v>246610502.84194642</v>
      </c>
      <c r="F186" s="100">
        <f t="shared" si="202"/>
        <v>87968052.158053577</v>
      </c>
      <c r="G186" s="100">
        <f t="shared" si="203"/>
        <v>334578555</v>
      </c>
      <c r="H186" s="100">
        <f t="shared" ca="1" si="204"/>
        <v>328235431.63411111</v>
      </c>
      <c r="I186" s="100">
        <f t="shared" ca="1" si="194"/>
        <v>-6343123.3658888936</v>
      </c>
      <c r="J186" s="96">
        <f t="shared" ca="1" si="195"/>
        <v>-1.8958547316007428E-2</v>
      </c>
      <c r="K186" s="114"/>
      <c r="L186" s="100">
        <f ca="1">SUMIF('Operations Support'!$A:$A,A186,'Operations Support'!$V:$V)</f>
        <v>164117715.81705555</v>
      </c>
      <c r="M186" s="100">
        <f ca="1">SUMIF('Operations Support'!$A:$A,A186,'Operations Support'!$Y:$Y)</f>
        <v>164117715.81705555</v>
      </c>
      <c r="N186" s="100">
        <f t="shared" ca="1" si="205"/>
        <v>124321846.93732853</v>
      </c>
      <c r="O186" s="100">
        <f t="shared" ca="1" si="196"/>
        <v>124185292.35439503</v>
      </c>
      <c r="P186" s="100">
        <f t="shared" ref="P186:Q186" si="228">P45*0.8267</f>
        <v>39795868.879727021</v>
      </c>
      <c r="Q186" s="100">
        <f t="shared" si="228"/>
        <v>39932423.462660514</v>
      </c>
      <c r="R186" s="100">
        <f t="shared" si="214"/>
        <v>12540421</v>
      </c>
      <c r="S186" s="100">
        <f t="shared" si="214"/>
        <v>12540421</v>
      </c>
      <c r="T186" s="100">
        <f t="shared" ca="1" si="207"/>
        <v>176658136.81705555</v>
      </c>
      <c r="U186" s="100">
        <f t="shared" ca="1" si="208"/>
        <v>176658136.81705555</v>
      </c>
      <c r="V186" s="97"/>
      <c r="W186" s="97"/>
      <c r="X186" s="79"/>
      <c r="Y186" s="387">
        <v>176658136.5</v>
      </c>
      <c r="Z186" s="387">
        <v>176658136.5</v>
      </c>
      <c r="AA186" s="115"/>
      <c r="AB186" s="100">
        <f t="shared" ca="1" si="198"/>
        <v>0.31705555319786072</v>
      </c>
      <c r="AC186" s="100">
        <f t="shared" ca="1" si="199"/>
        <v>0.31705555319786072</v>
      </c>
      <c r="AE186" s="120">
        <f t="shared" ca="1" si="200"/>
        <v>1.7947407286775507E-9</v>
      </c>
      <c r="AF186" s="120">
        <f t="shared" ca="1" si="201"/>
        <v>1.7947407286775507E-9</v>
      </c>
      <c r="AG186" s="114"/>
    </row>
    <row r="187" spans="1:33" ht="19.95" hidden="1" customHeight="1" outlineLevel="1">
      <c r="A187" s="117">
        <v>11711</v>
      </c>
      <c r="B187" s="118" t="str">
        <f t="shared" si="192"/>
        <v>UH-Clear Lake</v>
      </c>
      <c r="C187" s="138">
        <v>57267209</v>
      </c>
      <c r="D187" s="100">
        <f t="shared" si="193"/>
        <v>3575740</v>
      </c>
      <c r="E187" s="119">
        <v>40364982.927670278</v>
      </c>
      <c r="F187" s="100">
        <f t="shared" si="202"/>
        <v>13326486.072329722</v>
      </c>
      <c r="G187" s="100">
        <f t="shared" si="203"/>
        <v>53691469</v>
      </c>
      <c r="H187" s="100">
        <f t="shared" ca="1" si="204"/>
        <v>50869623.708035327</v>
      </c>
      <c r="I187" s="100">
        <f t="shared" ca="1" si="194"/>
        <v>-2821845.2919646725</v>
      </c>
      <c r="J187" s="96">
        <f t="shared" ca="1" si="195"/>
        <v>-5.2556678826661873E-2</v>
      </c>
      <c r="K187" s="114"/>
      <c r="L187" s="100">
        <f ca="1">SUMIF('Operations Support'!$A:$A,A187,'Operations Support'!$V:$V)</f>
        <v>25434811.854017664</v>
      </c>
      <c r="M187" s="100">
        <f ca="1">SUMIF('Operations Support'!$A:$A,A187,'Operations Support'!$Y:$Y)</f>
        <v>25434811.854017664</v>
      </c>
      <c r="N187" s="100">
        <f t="shared" ca="1" si="205"/>
        <v>19102716.220701661</v>
      </c>
      <c r="O187" s="100">
        <f t="shared" ca="1" si="196"/>
        <v>19074920.78338144</v>
      </c>
      <c r="P187" s="100">
        <f t="shared" ref="P187:Q187" si="229">P46*0.8267</f>
        <v>6332095.6333160019</v>
      </c>
      <c r="Q187" s="100">
        <f t="shared" si="229"/>
        <v>6359891.0706362259</v>
      </c>
      <c r="R187" s="100">
        <f t="shared" si="214"/>
        <v>1913398</v>
      </c>
      <c r="S187" s="100">
        <f t="shared" si="214"/>
        <v>1913398</v>
      </c>
      <c r="T187" s="100">
        <f t="shared" ca="1" si="207"/>
        <v>27348209.854017664</v>
      </c>
      <c r="U187" s="100">
        <f t="shared" ca="1" si="208"/>
        <v>27348209.854017664</v>
      </c>
      <c r="V187" s="97"/>
      <c r="W187" s="97"/>
      <c r="X187" s="79"/>
      <c r="Y187" s="387">
        <v>27348210</v>
      </c>
      <c r="Z187" s="387">
        <v>27348210</v>
      </c>
      <c r="AA187" s="115"/>
      <c r="AB187" s="100">
        <f t="shared" ca="1" si="198"/>
        <v>-0.14598233625292778</v>
      </c>
      <c r="AC187" s="100">
        <f t="shared" ca="1" si="199"/>
        <v>-0.14598233625292778</v>
      </c>
      <c r="AE187" s="120">
        <f t="shared" ca="1" si="200"/>
        <v>-5.3379119522692216E-9</v>
      </c>
      <c r="AF187" s="120">
        <f t="shared" ca="1" si="201"/>
        <v>-5.3379119522692216E-9</v>
      </c>
      <c r="AG187" s="114"/>
    </row>
    <row r="188" spans="1:33" ht="19.95" hidden="1" customHeight="1" outlineLevel="1">
      <c r="A188" s="117">
        <v>12826</v>
      </c>
      <c r="B188" s="118" t="str">
        <f t="shared" si="192"/>
        <v>UH-Downtown</v>
      </c>
      <c r="C188" s="138">
        <v>68018362</v>
      </c>
      <c r="D188" s="100">
        <f t="shared" si="193"/>
        <v>2377684</v>
      </c>
      <c r="E188" s="119">
        <v>40978133.179293014</v>
      </c>
      <c r="F188" s="100">
        <f t="shared" si="202"/>
        <v>24662544.820706986</v>
      </c>
      <c r="G188" s="100">
        <f t="shared" si="203"/>
        <v>65640678</v>
      </c>
      <c r="H188" s="100">
        <f t="shared" ca="1" si="204"/>
        <v>60201367.809875704</v>
      </c>
      <c r="I188" s="100">
        <f t="shared" ca="1" si="194"/>
        <v>-5439310.1901242957</v>
      </c>
      <c r="J188" s="96">
        <f t="shared" ca="1" si="195"/>
        <v>-8.2864930038112891E-2</v>
      </c>
      <c r="K188" s="114"/>
      <c r="L188" s="100">
        <f ca="1">SUMIF('Operations Support'!$A:$A,A188,'Operations Support'!$V:$V)</f>
        <v>30100683.904937852</v>
      </c>
      <c r="M188" s="100">
        <f ca="1">SUMIF('Operations Support'!$A:$A,A188,'Operations Support'!$Y:$Y)</f>
        <v>30100683.904937852</v>
      </c>
      <c r="N188" s="100">
        <f t="shared" ca="1" si="205"/>
        <v>19920695.434290338</v>
      </c>
      <c r="O188" s="100">
        <f t="shared" ca="1" si="196"/>
        <v>19894113.083589152</v>
      </c>
      <c r="P188" s="100">
        <f t="shared" ref="P188:Q188" si="230">P47*0.8267</f>
        <v>10179988.470647514</v>
      </c>
      <c r="Q188" s="100">
        <f t="shared" si="230"/>
        <v>10206570.821348701</v>
      </c>
      <c r="R188" s="100">
        <f t="shared" si="214"/>
        <v>1140388</v>
      </c>
      <c r="S188" s="100">
        <f t="shared" si="214"/>
        <v>1140388</v>
      </c>
      <c r="T188" s="100">
        <f t="shared" ca="1" si="207"/>
        <v>31241071.904937852</v>
      </c>
      <c r="U188" s="100">
        <f t="shared" ca="1" si="208"/>
        <v>31241071.904937852</v>
      </c>
      <c r="V188" s="97"/>
      <c r="W188" s="97"/>
      <c r="X188" s="79"/>
      <c r="Y188" s="387">
        <v>31241071.5</v>
      </c>
      <c r="Z188" s="387">
        <v>31241071.5</v>
      </c>
      <c r="AA188" s="115"/>
      <c r="AB188" s="100">
        <f t="shared" ca="1" si="198"/>
        <v>0.40493785217404366</v>
      </c>
      <c r="AC188" s="100">
        <f t="shared" ca="1" si="199"/>
        <v>0.40493785217404366</v>
      </c>
      <c r="AE188" s="120">
        <f t="shared" ca="1" si="200"/>
        <v>1.2961714418961425E-8</v>
      </c>
      <c r="AF188" s="120">
        <f t="shared" ca="1" si="201"/>
        <v>1.2961714418961425E-8</v>
      </c>
      <c r="AG188" s="114"/>
    </row>
    <row r="189" spans="1:33" ht="19.95" hidden="1" customHeight="1" outlineLevel="1">
      <c r="A189" s="117">
        <v>13231</v>
      </c>
      <c r="B189" s="118" t="str">
        <f t="shared" si="192"/>
        <v>UH-Victoria</v>
      </c>
      <c r="C189" s="138">
        <v>26083129</v>
      </c>
      <c r="D189" s="100">
        <f t="shared" si="193"/>
        <v>1657200</v>
      </c>
      <c r="E189" s="119">
        <v>17052845.868234798</v>
      </c>
      <c r="F189" s="100">
        <f t="shared" si="202"/>
        <v>7373083.1317652017</v>
      </c>
      <c r="G189" s="100">
        <f t="shared" si="203"/>
        <v>24425929</v>
      </c>
      <c r="H189" s="100">
        <f t="shared" ca="1" si="204"/>
        <v>20862174.244063489</v>
      </c>
      <c r="I189" s="100">
        <f t="shared" ca="1" si="194"/>
        <v>-3563754.7559365109</v>
      </c>
      <c r="J189" s="96">
        <f t="shared" ca="1" si="195"/>
        <v>-0.14590047960658981</v>
      </c>
      <c r="K189" s="114"/>
      <c r="L189" s="100">
        <f ca="1">SUMIF('Operations Support'!$A:$A,A189,'Operations Support'!$V:$V)</f>
        <v>10431087.122031745</v>
      </c>
      <c r="M189" s="100">
        <f ca="1">SUMIF('Operations Support'!$A:$A,A189,'Operations Support'!$Y:$Y)</f>
        <v>10431087.122031745</v>
      </c>
      <c r="N189" s="100">
        <f t="shared" ca="1" si="205"/>
        <v>7384879.8745795134</v>
      </c>
      <c r="O189" s="100">
        <f t="shared" ca="1" si="196"/>
        <v>7378670.1750770323</v>
      </c>
      <c r="P189" s="100">
        <f t="shared" ref="P189:Q189" si="231">P48*0.8267</f>
        <v>3046207.2474522307</v>
      </c>
      <c r="Q189" s="100">
        <f t="shared" si="231"/>
        <v>3052416.9469547118</v>
      </c>
      <c r="R189" s="100">
        <f t="shared" si="214"/>
        <v>828600</v>
      </c>
      <c r="S189" s="100">
        <f t="shared" si="214"/>
        <v>828600</v>
      </c>
      <c r="T189" s="100">
        <f t="shared" ca="1" si="207"/>
        <v>11259687.122031745</v>
      </c>
      <c r="U189" s="100">
        <f t="shared" ca="1" si="208"/>
        <v>11259687.122031745</v>
      </c>
      <c r="V189" s="97"/>
      <c r="W189" s="97"/>
      <c r="X189" s="79"/>
      <c r="Y189" s="387">
        <v>11259688</v>
      </c>
      <c r="Z189" s="387">
        <v>11259688</v>
      </c>
      <c r="AA189" s="115"/>
      <c r="AB189" s="100">
        <f t="shared" ca="1" si="198"/>
        <v>-0.87796825543045998</v>
      </c>
      <c r="AC189" s="100">
        <f t="shared" ca="1" si="199"/>
        <v>-0.87796825543045998</v>
      </c>
      <c r="AE189" s="120">
        <f t="shared" ca="1" si="200"/>
        <v>-7.7974480632996114E-8</v>
      </c>
      <c r="AF189" s="120">
        <f t="shared" ca="1" si="201"/>
        <v>-7.7974480632996114E-8</v>
      </c>
      <c r="AG189" s="114"/>
    </row>
    <row r="190" spans="1:33" ht="19.95" hidden="1" customHeight="1" outlineLevel="1">
      <c r="A190" s="117">
        <v>3592</v>
      </c>
      <c r="B190" s="118" t="str">
        <f t="shared" si="192"/>
        <v>Midwestern</v>
      </c>
      <c r="C190" s="138">
        <v>24844745</v>
      </c>
      <c r="D190" s="100">
        <f t="shared" si="193"/>
        <v>905000</v>
      </c>
      <c r="E190" s="119">
        <v>18422048.891889419</v>
      </c>
      <c r="F190" s="100">
        <f t="shared" si="202"/>
        <v>5517696.1081105806</v>
      </c>
      <c r="G190" s="100">
        <f t="shared" si="203"/>
        <v>23939745</v>
      </c>
      <c r="H190" s="100">
        <f t="shared" ca="1" si="204"/>
        <v>25920853.732550785</v>
      </c>
      <c r="I190" s="100">
        <f t="shared" ca="1" si="194"/>
        <v>1981108.7325507849</v>
      </c>
      <c r="J190" s="96">
        <f t="shared" ca="1" si="195"/>
        <v>8.2753961353840028E-2</v>
      </c>
      <c r="K190" s="114"/>
      <c r="L190" s="100">
        <f ca="1">SUMIF('Operations Support'!$A:$A,A190,'Operations Support'!$V:$V)</f>
        <v>12960426.866275392</v>
      </c>
      <c r="M190" s="100">
        <f ca="1">SUMIF('Operations Support'!$A:$A,A190,'Operations Support'!$Y:$Y)</f>
        <v>12960426.866275392</v>
      </c>
      <c r="N190" s="100">
        <f t="shared" ca="1" si="205"/>
        <v>10235491.991988301</v>
      </c>
      <c r="O190" s="100">
        <f t="shared" ca="1" si="196"/>
        <v>10230876.252939619</v>
      </c>
      <c r="P190" s="100">
        <f t="shared" ref="P190:Q190" si="232">P49*0.8267</f>
        <v>2724934.8742870912</v>
      </c>
      <c r="Q190" s="100">
        <f t="shared" si="232"/>
        <v>2729550.6133357738</v>
      </c>
      <c r="R190" s="100">
        <f t="shared" si="214"/>
        <v>472500</v>
      </c>
      <c r="S190" s="100">
        <f t="shared" si="214"/>
        <v>472500</v>
      </c>
      <c r="T190" s="100">
        <f t="shared" ca="1" si="207"/>
        <v>13432926.866275392</v>
      </c>
      <c r="U190" s="100">
        <f t="shared" ca="1" si="208"/>
        <v>13432926.866275392</v>
      </c>
      <c r="V190" s="97"/>
      <c r="W190" s="97"/>
      <c r="X190" s="79"/>
      <c r="Y190" s="387">
        <v>13432926</v>
      </c>
      <c r="Z190" s="387">
        <v>13432926</v>
      </c>
      <c r="AA190" s="115"/>
      <c r="AB190" s="100">
        <f t="shared" ca="1" si="198"/>
        <v>0.86627539247274399</v>
      </c>
      <c r="AC190" s="100">
        <f t="shared" ca="1" si="199"/>
        <v>0.86627539247274399</v>
      </c>
      <c r="AE190" s="120">
        <f t="shared" ca="1" si="200"/>
        <v>6.4488953233833839E-8</v>
      </c>
      <c r="AF190" s="120">
        <f t="shared" ca="1" si="201"/>
        <v>6.4488953233833839E-8</v>
      </c>
      <c r="AG190" s="114"/>
    </row>
    <row r="191" spans="1:33" ht="19.95" hidden="1" customHeight="1" outlineLevel="1">
      <c r="A191" s="117">
        <v>3594</v>
      </c>
      <c r="B191" s="118" t="str">
        <f t="shared" si="192"/>
        <v>UNT</v>
      </c>
      <c r="C191" s="138">
        <v>266014489</v>
      </c>
      <c r="D191" s="100">
        <f t="shared" si="193"/>
        <v>12044000</v>
      </c>
      <c r="E191" s="119">
        <v>177682546.2705673</v>
      </c>
      <c r="F191" s="100">
        <f t="shared" si="202"/>
        <v>76287942.729432702</v>
      </c>
      <c r="G191" s="100">
        <f t="shared" si="203"/>
        <v>253970489</v>
      </c>
      <c r="H191" s="100">
        <f t="shared" ca="1" si="204"/>
        <v>309093541.00717479</v>
      </c>
      <c r="I191" s="100">
        <f t="shared" ca="1" si="194"/>
        <v>55123052.00717479</v>
      </c>
      <c r="J191" s="96">
        <f t="shared" ca="1" si="195"/>
        <v>0.21704510718635026</v>
      </c>
      <c r="K191" s="114"/>
      <c r="L191" s="100">
        <f ca="1">SUMIF('Operations Support'!$A:$A,A191,'Operations Support'!$V:$V)</f>
        <v>154546770.50358739</v>
      </c>
      <c r="M191" s="100">
        <f ca="1">SUMIF('Operations Support'!$A:$A,A191,'Operations Support'!$Y:$Y)</f>
        <v>154546770.50358739</v>
      </c>
      <c r="N191" s="100">
        <f t="shared" ca="1" si="205"/>
        <v>103373029.72410145</v>
      </c>
      <c r="O191" s="100">
        <f t="shared" ca="1" si="196"/>
        <v>103055662.42107496</v>
      </c>
      <c r="P191" s="100">
        <f t="shared" ref="P191:Q191" si="233">P50*0.8267</f>
        <v>51173740.779485948</v>
      </c>
      <c r="Q191" s="100">
        <f t="shared" si="233"/>
        <v>51491108.082512438</v>
      </c>
      <c r="R191" s="100">
        <f t="shared" si="214"/>
        <v>9308769</v>
      </c>
      <c r="S191" s="100">
        <f t="shared" si="214"/>
        <v>9308769</v>
      </c>
      <c r="T191" s="100">
        <f t="shared" ca="1" si="207"/>
        <v>163855539.50358739</v>
      </c>
      <c r="U191" s="100">
        <f t="shared" ca="1" si="208"/>
        <v>163855539.50358739</v>
      </c>
      <c r="V191" s="97"/>
      <c r="W191" s="97"/>
      <c r="X191" s="79"/>
      <c r="Y191" s="387">
        <v>163855538.5</v>
      </c>
      <c r="Z191" s="387">
        <v>163855538.5</v>
      </c>
      <c r="AA191" s="115"/>
      <c r="AB191" s="100">
        <f t="shared" ca="1" si="198"/>
        <v>1.003587394952774</v>
      </c>
      <c r="AC191" s="100">
        <f t="shared" ca="1" si="199"/>
        <v>1.003587394952774</v>
      </c>
      <c r="AE191" s="120">
        <f t="shared" ca="1" si="200"/>
        <v>6.1248304329119242E-9</v>
      </c>
      <c r="AF191" s="120">
        <f t="shared" ca="1" si="201"/>
        <v>6.1248304329119242E-9</v>
      </c>
      <c r="AG191" s="114"/>
    </row>
    <row r="192" spans="1:33" ht="19.95" hidden="1" customHeight="1" outlineLevel="1">
      <c r="A192" s="117">
        <v>42421</v>
      </c>
      <c r="B192" s="118" t="str">
        <f t="shared" si="192"/>
        <v>UNT-Dallas</v>
      </c>
      <c r="C192" s="138">
        <v>28803369</v>
      </c>
      <c r="D192" s="100">
        <f t="shared" si="193"/>
        <v>4929794</v>
      </c>
      <c r="E192" s="119">
        <v>18630534.133019716</v>
      </c>
      <c r="F192" s="100">
        <f t="shared" si="202"/>
        <v>5243040.8669802845</v>
      </c>
      <c r="G192" s="100">
        <f t="shared" si="203"/>
        <v>23873575</v>
      </c>
      <c r="H192" s="100">
        <f t="shared" ca="1" si="204"/>
        <v>22461509.863438465</v>
      </c>
      <c r="I192" s="100">
        <f t="shared" ca="1" si="194"/>
        <v>-1412065.1365615353</v>
      </c>
      <c r="J192" s="96">
        <f t="shared" ca="1" si="195"/>
        <v>-5.9147619766270254E-2</v>
      </c>
      <c r="K192" s="114"/>
      <c r="L192" s="100">
        <f ca="1">SUMIF('Operations Support'!$A:$A,A192,'Operations Support'!$V:$V)</f>
        <v>11230754.931719232</v>
      </c>
      <c r="M192" s="100">
        <f ca="1">SUMIF('Operations Support'!$A:$A,A192,'Operations Support'!$Y:$Y)</f>
        <v>11230754.931719232</v>
      </c>
      <c r="N192" s="100">
        <f t="shared" ca="1" si="205"/>
        <v>9505977.5512370262</v>
      </c>
      <c r="O192" s="100">
        <f t="shared" ca="1" si="196"/>
        <v>9504892.1177129243</v>
      </c>
      <c r="P192" s="100">
        <f t="shared" ref="P192:Q192" si="234">P51*0.8267</f>
        <v>1724777.3804822068</v>
      </c>
      <c r="Q192" s="100">
        <f t="shared" si="234"/>
        <v>1725862.8140063076</v>
      </c>
      <c r="R192" s="100">
        <f t="shared" ref="R192:S202" si="235">R469</f>
        <v>2379799</v>
      </c>
      <c r="S192" s="100">
        <f t="shared" si="235"/>
        <v>2379799</v>
      </c>
      <c r="T192" s="100">
        <f t="shared" ca="1" si="207"/>
        <v>13610553.931719232</v>
      </c>
      <c r="U192" s="100">
        <f t="shared" ca="1" si="208"/>
        <v>13610553.931719232</v>
      </c>
      <c r="V192" s="97"/>
      <c r="W192" s="97"/>
      <c r="X192" s="79"/>
      <c r="Y192" s="387">
        <v>13610554</v>
      </c>
      <c r="Z192" s="387">
        <v>13610554</v>
      </c>
      <c r="AA192" s="115"/>
      <c r="AB192" s="100">
        <f t="shared" ca="1" si="198"/>
        <v>-6.8280767649412155E-2</v>
      </c>
      <c r="AC192" s="100">
        <f t="shared" ca="1" si="199"/>
        <v>-6.8280767649412155E-2</v>
      </c>
      <c r="AE192" s="120">
        <f t="shared" ca="1" si="200"/>
        <v>-5.0167515585302262E-9</v>
      </c>
      <c r="AF192" s="120">
        <f t="shared" ca="1" si="201"/>
        <v>-5.0167515585302262E-9</v>
      </c>
      <c r="AG192" s="114"/>
    </row>
    <row r="193" spans="1:33" ht="19.95" hidden="1" customHeight="1" outlineLevel="1">
      <c r="A193" s="117">
        <v>3624</v>
      </c>
      <c r="B193" s="118" t="str">
        <f t="shared" si="192"/>
        <v>SFA</v>
      </c>
      <c r="C193" s="138">
        <v>60723319</v>
      </c>
      <c r="D193" s="100">
        <f t="shared" si="193"/>
        <v>1573368</v>
      </c>
      <c r="E193" s="119">
        <v>45537170.368371949</v>
      </c>
      <c r="F193" s="100">
        <f t="shared" si="202"/>
        <v>13612780.631628051</v>
      </c>
      <c r="G193" s="100">
        <f t="shared" si="203"/>
        <v>59149951</v>
      </c>
      <c r="H193" s="100">
        <f t="shared" ca="1" si="204"/>
        <v>55823996.567474671</v>
      </c>
      <c r="I193" s="100">
        <f t="shared" ca="1" si="194"/>
        <v>-3325954.4325253293</v>
      </c>
      <c r="J193" s="96">
        <f t="shared" ca="1" si="195"/>
        <v>-5.6229200131126554E-2</v>
      </c>
      <c r="K193" s="114"/>
      <c r="L193" s="100">
        <f ca="1">SUMIF('Operations Support'!$A:$A,A193,'Operations Support'!$V:$V)</f>
        <v>27911998.283737335</v>
      </c>
      <c r="M193" s="100">
        <f ca="1">SUMIF('Operations Support'!$A:$A,A193,'Operations Support'!$Y:$Y)</f>
        <v>27911998.283737335</v>
      </c>
      <c r="N193" s="100">
        <f t="shared" ca="1" si="205"/>
        <v>23702230.067338016</v>
      </c>
      <c r="O193" s="100">
        <f t="shared" ca="1" si="196"/>
        <v>23699085.731906205</v>
      </c>
      <c r="P193" s="100">
        <f t="shared" ref="P193:Q193" si="236">P52*0.8267</f>
        <v>4209768.2163993204</v>
      </c>
      <c r="Q193" s="100">
        <f t="shared" si="236"/>
        <v>4212912.5518311299</v>
      </c>
      <c r="R193" s="100">
        <f t="shared" si="235"/>
        <v>793731</v>
      </c>
      <c r="S193" s="100">
        <f t="shared" si="235"/>
        <v>793731</v>
      </c>
      <c r="T193" s="100">
        <f t="shared" ca="1" si="207"/>
        <v>28705729.283737335</v>
      </c>
      <c r="U193" s="100">
        <f t="shared" ca="1" si="208"/>
        <v>28705729.283737335</v>
      </c>
      <c r="V193" s="97"/>
      <c r="W193" s="97"/>
      <c r="X193" s="79"/>
      <c r="Y193" s="387">
        <v>28705729</v>
      </c>
      <c r="Z193" s="387">
        <v>28705729</v>
      </c>
      <c r="AA193" s="115"/>
      <c r="AB193" s="100">
        <f t="shared" ca="1" si="198"/>
        <v>0.28373733535408974</v>
      </c>
      <c r="AC193" s="100">
        <f t="shared" ca="1" si="199"/>
        <v>0.28373733535408974</v>
      </c>
      <c r="AE193" s="120">
        <f t="shared" ca="1" si="200"/>
        <v>9.8843451267003878E-9</v>
      </c>
      <c r="AF193" s="120">
        <f t="shared" ca="1" si="201"/>
        <v>9.8843451267003878E-9</v>
      </c>
      <c r="AG193" s="114"/>
    </row>
    <row r="194" spans="1:33" ht="19.95" hidden="1" customHeight="1" outlineLevel="1">
      <c r="A194" s="117">
        <v>3642</v>
      </c>
      <c r="B194" s="118" t="str">
        <f t="shared" si="192"/>
        <v>TSU</v>
      </c>
      <c r="C194" s="138">
        <v>55274905</v>
      </c>
      <c r="D194" s="100">
        <f t="shared" si="193"/>
        <v>6966938</v>
      </c>
      <c r="E194" s="119">
        <v>33387228.612759739</v>
      </c>
      <c r="F194" s="100">
        <f t="shared" si="202"/>
        <v>14920738.387240261</v>
      </c>
      <c r="G194" s="100">
        <f t="shared" si="203"/>
        <v>48307967</v>
      </c>
      <c r="H194" s="100">
        <f t="shared" ca="1" si="204"/>
        <v>54316875.613365129</v>
      </c>
      <c r="I194" s="100">
        <f t="shared" ca="1" si="194"/>
        <v>6008908.6133651286</v>
      </c>
      <c r="J194" s="96">
        <f t="shared" ca="1" si="195"/>
        <v>0.12438752832146981</v>
      </c>
      <c r="K194" s="114"/>
      <c r="L194" s="100">
        <f ca="1">SUMIF('Operations Support'!$A:$A,A194,'Operations Support'!$V:$V)</f>
        <v>27158437.806682564</v>
      </c>
      <c r="M194" s="100">
        <f ca="1">SUMIF('Operations Support'!$A:$A,A194,'Operations Support'!$Y:$Y)</f>
        <v>27158437.806682564</v>
      </c>
      <c r="N194" s="100">
        <f t="shared" ca="1" si="205"/>
        <v>14597355.345351908</v>
      </c>
      <c r="O194" s="100">
        <f t="shared" ca="1" si="196"/>
        <v>14537714.751732698</v>
      </c>
      <c r="P194" s="100">
        <f t="shared" ref="P194:Q194" si="237">P53*0.8267</f>
        <v>12561082.461330656</v>
      </c>
      <c r="Q194" s="100">
        <f t="shared" si="237"/>
        <v>12620723.054949867</v>
      </c>
      <c r="R194" s="100">
        <f t="shared" si="235"/>
        <v>3483469</v>
      </c>
      <c r="S194" s="100">
        <f t="shared" si="235"/>
        <v>3483469</v>
      </c>
      <c r="T194" s="100">
        <f t="shared" ca="1" si="207"/>
        <v>30641906.806682564</v>
      </c>
      <c r="U194" s="100">
        <f t="shared" ca="1" si="208"/>
        <v>30641906.806682564</v>
      </c>
      <c r="V194" s="97"/>
      <c r="W194" s="97"/>
      <c r="X194" s="79"/>
      <c r="Y194" s="387">
        <v>30641907.5</v>
      </c>
      <c r="Z194" s="387">
        <v>30641907.5</v>
      </c>
      <c r="AA194" s="115"/>
      <c r="AB194" s="100">
        <f t="shared" ca="1" si="198"/>
        <v>-0.69331743568181992</v>
      </c>
      <c r="AC194" s="100">
        <f t="shared" ca="1" si="199"/>
        <v>-0.69331743568181992</v>
      </c>
      <c r="AE194" s="120">
        <f t="shared" ca="1" si="200"/>
        <v>-2.2626445542567123E-8</v>
      </c>
      <c r="AF194" s="120">
        <f t="shared" ca="1" si="201"/>
        <v>-2.2626445542567123E-8</v>
      </c>
      <c r="AG194" s="114"/>
    </row>
    <row r="195" spans="1:33" ht="19.95" hidden="1" customHeight="1" outlineLevel="1">
      <c r="A195" s="117">
        <v>3644</v>
      </c>
      <c r="B195" s="118" t="str">
        <f t="shared" si="192"/>
        <v>TTU</v>
      </c>
      <c r="C195" s="138">
        <v>302697848</v>
      </c>
      <c r="D195" s="100">
        <f t="shared" si="193"/>
        <v>15141820</v>
      </c>
      <c r="E195" s="119">
        <v>225673396.90791357</v>
      </c>
      <c r="F195" s="100">
        <f t="shared" si="202"/>
        <v>61882631.092086434</v>
      </c>
      <c r="G195" s="100">
        <f t="shared" si="203"/>
        <v>287556028</v>
      </c>
      <c r="H195" s="100">
        <f t="shared" ca="1" si="204"/>
        <v>328548578.40066922</v>
      </c>
      <c r="I195" s="100">
        <f t="shared" ca="1" si="194"/>
        <v>40992550.400669217</v>
      </c>
      <c r="J195" s="96">
        <f t="shared" ca="1" si="195"/>
        <v>0.14255500288336581</v>
      </c>
      <c r="K195" s="114"/>
      <c r="L195" s="100">
        <f ca="1">SUMIF('Operations Support'!$A:$A,A195,'Operations Support'!$V:$V)</f>
        <v>164274289.20033461</v>
      </c>
      <c r="M195" s="100">
        <f ca="1">SUMIF('Operations Support'!$A:$A,A195,'Operations Support'!$Y:$Y)</f>
        <v>164274289.20033461</v>
      </c>
      <c r="N195" s="100">
        <f t="shared" ca="1" si="205"/>
        <v>133763804.66540888</v>
      </c>
      <c r="O195" s="100">
        <f t="shared" ca="1" si="196"/>
        <v>133660856.1776091</v>
      </c>
      <c r="P195" s="100">
        <f t="shared" ref="P195:Q195" si="238">P54*0.8267</f>
        <v>30510484.534925733</v>
      </c>
      <c r="Q195" s="100">
        <f t="shared" si="238"/>
        <v>30613433.022725511</v>
      </c>
      <c r="R195" s="100">
        <f t="shared" si="235"/>
        <v>8468847</v>
      </c>
      <c r="S195" s="100">
        <f t="shared" si="235"/>
        <v>8468847</v>
      </c>
      <c r="T195" s="100">
        <f t="shared" ca="1" si="207"/>
        <v>172743136.20033461</v>
      </c>
      <c r="U195" s="100">
        <f t="shared" ca="1" si="208"/>
        <v>172743136.20033461</v>
      </c>
      <c r="V195" s="97"/>
      <c r="W195" s="97"/>
      <c r="X195" s="79"/>
      <c r="Y195" s="387">
        <v>172743136.5</v>
      </c>
      <c r="Z195" s="387">
        <v>172743136.5</v>
      </c>
      <c r="AA195" s="115"/>
      <c r="AB195" s="100">
        <f t="shared" ca="1" si="198"/>
        <v>-0.29966539144515991</v>
      </c>
      <c r="AC195" s="100">
        <f t="shared" ca="1" si="199"/>
        <v>-0.29966539144515991</v>
      </c>
      <c r="AE195" s="120">
        <f t="shared" ca="1" si="200"/>
        <v>-1.7347455767946133E-9</v>
      </c>
      <c r="AF195" s="120">
        <f t="shared" ca="1" si="201"/>
        <v>-1.7347455767946133E-9</v>
      </c>
      <c r="AG195" s="114"/>
    </row>
    <row r="196" spans="1:33" ht="19.95" hidden="1" customHeight="1" outlineLevel="1">
      <c r="A196" s="117">
        <v>3541</v>
      </c>
      <c r="B196" s="118" t="str">
        <f t="shared" si="192"/>
        <v>Angelo</v>
      </c>
      <c r="C196" s="138">
        <v>42964498</v>
      </c>
      <c r="D196" s="100">
        <f t="shared" si="193"/>
        <v>2499722</v>
      </c>
      <c r="E196" s="119">
        <v>30897471.996003531</v>
      </c>
      <c r="F196" s="100">
        <f t="shared" si="202"/>
        <v>9567304.0039964691</v>
      </c>
      <c r="G196" s="100">
        <f t="shared" si="203"/>
        <v>40464776</v>
      </c>
      <c r="H196" s="100">
        <f t="shared" ca="1" si="204"/>
        <v>41447159.745403782</v>
      </c>
      <c r="I196" s="100">
        <f t="shared" ca="1" si="194"/>
        <v>982383.74540378153</v>
      </c>
      <c r="J196" s="96">
        <f t="shared" ca="1" si="195"/>
        <v>2.4277503609652543E-2</v>
      </c>
      <c r="K196" s="114"/>
      <c r="L196" s="100">
        <f ca="1">SUMIF('Operations Support'!$A:$A,A196,'Operations Support'!$V:$V)</f>
        <v>20723579.872701891</v>
      </c>
      <c r="M196" s="100">
        <f ca="1">SUMIF('Operations Support'!$A:$A,A196,'Operations Support'!$Y:$Y)</f>
        <v>20723579.872701891</v>
      </c>
      <c r="N196" s="100">
        <f t="shared" ca="1" si="205"/>
        <v>16103884.77729087</v>
      </c>
      <c r="O196" s="100">
        <f t="shared" ca="1" si="196"/>
        <v>16100807.476056945</v>
      </c>
      <c r="P196" s="100">
        <f t="shared" ref="P196:Q196" si="239">P55*0.8267</f>
        <v>4619695.0954110213</v>
      </c>
      <c r="Q196" s="100">
        <f t="shared" si="239"/>
        <v>4622772.3966449462</v>
      </c>
      <c r="R196" s="100">
        <f t="shared" si="235"/>
        <v>1324655</v>
      </c>
      <c r="S196" s="100">
        <f t="shared" si="235"/>
        <v>1324655</v>
      </c>
      <c r="T196" s="100">
        <f t="shared" ca="1" si="207"/>
        <v>22048234.872701891</v>
      </c>
      <c r="U196" s="100">
        <f t="shared" ca="1" si="208"/>
        <v>22048234.872701891</v>
      </c>
      <c r="V196" s="97"/>
      <c r="W196" s="97"/>
      <c r="X196" s="79"/>
      <c r="Y196" s="387">
        <v>22048234</v>
      </c>
      <c r="Z196" s="387">
        <v>22048234</v>
      </c>
      <c r="AA196" s="115"/>
      <c r="AB196" s="100">
        <f t="shared" ca="1" si="198"/>
        <v>0.87270189076662064</v>
      </c>
      <c r="AC196" s="100">
        <f t="shared" ca="1" si="199"/>
        <v>0.87270189076662064</v>
      </c>
      <c r="AE196" s="120">
        <f t="shared" ca="1" si="200"/>
        <v>3.9581485584005654E-8</v>
      </c>
      <c r="AF196" s="120">
        <f t="shared" ca="1" si="201"/>
        <v>3.9581485584005654E-8</v>
      </c>
      <c r="AG196" s="114"/>
    </row>
    <row r="197" spans="1:33" ht="19.95" hidden="1" customHeight="1" outlineLevel="1">
      <c r="A197" s="117">
        <v>3646</v>
      </c>
      <c r="B197" s="118" t="str">
        <f t="shared" si="192"/>
        <v>TWU</v>
      </c>
      <c r="C197" s="138">
        <v>115621383</v>
      </c>
      <c r="D197" s="100">
        <f t="shared" si="193"/>
        <v>10618092</v>
      </c>
      <c r="E197" s="119">
        <v>86858176.863910198</v>
      </c>
      <c r="F197" s="100">
        <f t="shared" si="202"/>
        <v>18145114.136089802</v>
      </c>
      <c r="G197" s="100">
        <f t="shared" si="203"/>
        <v>105003291</v>
      </c>
      <c r="H197" s="100">
        <f t="shared" ca="1" si="204"/>
        <v>108540123.29178011</v>
      </c>
      <c r="I197" s="100">
        <f t="shared" ca="1" si="194"/>
        <v>3536832.2917801142</v>
      </c>
      <c r="J197" s="96">
        <f t="shared" ca="1" si="195"/>
        <v>3.3683061341192762E-2</v>
      </c>
      <c r="K197" s="114"/>
      <c r="L197" s="100">
        <f ca="1">SUMIF('Operations Support'!$A:$A,A197,'Operations Support'!$V:$V)</f>
        <v>54270061.645890057</v>
      </c>
      <c r="M197" s="100">
        <f ca="1">SUMIF('Operations Support'!$A:$A,A197,'Operations Support'!$Y:$Y)</f>
        <v>54270061.645890057</v>
      </c>
      <c r="N197" s="100">
        <f t="shared" ca="1" si="205"/>
        <v>46545358.27142556</v>
      </c>
      <c r="O197" s="100">
        <f t="shared" ca="1" si="196"/>
        <v>46528958.111311406</v>
      </c>
      <c r="P197" s="100">
        <f t="shared" ref="P197:Q197" si="240">P56*0.8267</f>
        <v>7724703.3744644988</v>
      </c>
      <c r="Q197" s="100">
        <f t="shared" si="240"/>
        <v>7741103.5345786484</v>
      </c>
      <c r="R197" s="100">
        <f t="shared" si="235"/>
        <v>6183085</v>
      </c>
      <c r="S197" s="100">
        <f t="shared" si="235"/>
        <v>6183085</v>
      </c>
      <c r="T197" s="100">
        <f t="shared" ca="1" si="207"/>
        <v>60453146.645890057</v>
      </c>
      <c r="U197" s="100">
        <f t="shared" ca="1" si="208"/>
        <v>60453146.645890057</v>
      </c>
      <c r="V197" s="97"/>
      <c r="W197" s="97"/>
      <c r="X197" s="79"/>
      <c r="Y197" s="387">
        <v>60453146.5</v>
      </c>
      <c r="Z197" s="387">
        <v>60453146.5</v>
      </c>
      <c r="AA197" s="115"/>
      <c r="AB197" s="100">
        <f t="shared" ca="1" si="198"/>
        <v>0.14589005708694458</v>
      </c>
      <c r="AC197" s="100">
        <f t="shared" ca="1" si="199"/>
        <v>0.14589005708694458</v>
      </c>
      <c r="AE197" s="120">
        <f t="shared" ca="1" si="200"/>
        <v>2.4132748282154638E-9</v>
      </c>
      <c r="AF197" s="120">
        <f t="shared" ca="1" si="201"/>
        <v>2.4132748282154638E-9</v>
      </c>
      <c r="AG197" s="114"/>
    </row>
    <row r="198" spans="1:33" ht="19.95" hidden="1" customHeight="1" outlineLevel="1">
      <c r="A198" s="117">
        <v>3581</v>
      </c>
      <c r="B198" s="118" t="str">
        <f t="shared" si="192"/>
        <v>Lamar</v>
      </c>
      <c r="C198" s="138">
        <v>93072308</v>
      </c>
      <c r="D198" s="100">
        <f t="shared" si="193"/>
        <v>0</v>
      </c>
      <c r="E198" s="119">
        <v>72242409.011018872</v>
      </c>
      <c r="F198" s="100">
        <f t="shared" si="202"/>
        <v>20829898.988981128</v>
      </c>
      <c r="G198" s="100">
        <f t="shared" si="203"/>
        <v>93072308</v>
      </c>
      <c r="H198" s="100">
        <f t="shared" ca="1" si="204"/>
        <v>112765335.25533959</v>
      </c>
      <c r="I198" s="100">
        <f t="shared" ca="1" si="194"/>
        <v>19693027.255339593</v>
      </c>
      <c r="J198" s="96">
        <f t="shared" ca="1" si="195"/>
        <v>0.21158847006716103</v>
      </c>
      <c r="K198" s="114"/>
      <c r="L198" s="100">
        <f ca="1">SUMIF('Operations Support'!$A:$A,A198,'Operations Support'!$V:$V)</f>
        <v>56382667.627669796</v>
      </c>
      <c r="M198" s="100">
        <f ca="1">SUMIF('Operations Support'!$A:$A,A198,'Operations Support'!$Y:$Y)</f>
        <v>56382667.627669796</v>
      </c>
      <c r="N198" s="100">
        <f t="shared" ca="1" si="205"/>
        <v>43317191.408590876</v>
      </c>
      <c r="O198" s="100">
        <f t="shared" ca="1" si="196"/>
        <v>43300814.351457916</v>
      </c>
      <c r="P198" s="100">
        <f t="shared" ref="P198:Q198" si="241">P57*0.8267</f>
        <v>13065476.219078923</v>
      </c>
      <c r="Q198" s="100">
        <f t="shared" si="241"/>
        <v>13081853.27621188</v>
      </c>
      <c r="R198" s="100">
        <f t="shared" si="235"/>
        <v>0</v>
      </c>
      <c r="S198" s="100">
        <f t="shared" si="235"/>
        <v>0</v>
      </c>
      <c r="T198" s="100">
        <f t="shared" ca="1" si="207"/>
        <v>56382667.627669796</v>
      </c>
      <c r="U198" s="100">
        <f t="shared" ca="1" si="208"/>
        <v>56382667.627669796</v>
      </c>
      <c r="V198" s="97"/>
      <c r="W198" s="97"/>
      <c r="X198" s="79"/>
      <c r="Y198" s="387">
        <v>56382666.5</v>
      </c>
      <c r="Z198" s="387">
        <v>56382666.5</v>
      </c>
      <c r="AA198" s="115"/>
      <c r="AB198" s="100">
        <f t="shared" ca="1" si="198"/>
        <v>1.1276697963476181</v>
      </c>
      <c r="AC198" s="100">
        <f t="shared" ca="1" si="199"/>
        <v>1.1276697963476181</v>
      </c>
      <c r="AE198" s="120">
        <f t="shared" ca="1" si="200"/>
        <v>2.0000291646261413E-8</v>
      </c>
      <c r="AF198" s="120">
        <f t="shared" ca="1" si="201"/>
        <v>2.0000291646261413E-8</v>
      </c>
      <c r="AG198" s="114"/>
    </row>
    <row r="199" spans="1:33" ht="19.95" hidden="1" customHeight="1" outlineLevel="1">
      <c r="A199" s="117">
        <v>3606</v>
      </c>
      <c r="B199" s="118" t="str">
        <f t="shared" si="192"/>
        <v>Sam Houston</v>
      </c>
      <c r="C199" s="138">
        <v>110666783</v>
      </c>
      <c r="D199" s="100">
        <f t="shared" si="193"/>
        <v>4428000</v>
      </c>
      <c r="E199" s="119">
        <v>79178594.489044666</v>
      </c>
      <c r="F199" s="100">
        <f t="shared" si="202"/>
        <v>27060188.510955334</v>
      </c>
      <c r="G199" s="100">
        <f t="shared" si="203"/>
        <v>106238783</v>
      </c>
      <c r="H199" s="100">
        <f t="shared" ca="1" si="204"/>
        <v>108119289.15656874</v>
      </c>
      <c r="I199" s="100">
        <f t="shared" ca="1" si="194"/>
        <v>1880506.1565687358</v>
      </c>
      <c r="J199" s="96">
        <f t="shared" ca="1" si="195"/>
        <v>1.7700750173020485E-2</v>
      </c>
      <c r="K199" s="114"/>
      <c r="L199" s="100">
        <f ca="1">SUMIF('Operations Support'!$A:$A,A199,'Operations Support'!$V:$V)</f>
        <v>54059644.578284368</v>
      </c>
      <c r="M199" s="100">
        <f ca="1">SUMIF('Operations Support'!$A:$A,A199,'Operations Support'!$Y:$Y)</f>
        <v>54059644.578284368</v>
      </c>
      <c r="N199" s="100">
        <f t="shared" ca="1" si="205"/>
        <v>40963540.166793287</v>
      </c>
      <c r="O199" s="100">
        <f t="shared" ca="1" si="196"/>
        <v>40934159.051174805</v>
      </c>
      <c r="P199" s="100">
        <f t="shared" ref="P199:Q199" si="242">P58*0.8267</f>
        <v>13096104.411491083</v>
      </c>
      <c r="Q199" s="100">
        <f t="shared" si="242"/>
        <v>13125485.52710956</v>
      </c>
      <c r="R199" s="100">
        <f t="shared" si="235"/>
        <v>2435650</v>
      </c>
      <c r="S199" s="100">
        <f t="shared" si="235"/>
        <v>2435650</v>
      </c>
      <c r="T199" s="100">
        <f t="shared" ca="1" si="207"/>
        <v>56495294.578284368</v>
      </c>
      <c r="U199" s="100">
        <f t="shared" ca="1" si="208"/>
        <v>56495294.578284368</v>
      </c>
      <c r="V199" s="97"/>
      <c r="W199" s="97"/>
      <c r="X199" s="79"/>
      <c r="Y199" s="387">
        <v>56495294</v>
      </c>
      <c r="Z199" s="387">
        <v>56495294</v>
      </c>
      <c r="AA199" s="115"/>
      <c r="AB199" s="100">
        <f t="shared" ca="1" si="198"/>
        <v>0.5782843679189682</v>
      </c>
      <c r="AC199" s="100">
        <f t="shared" ca="1" si="199"/>
        <v>0.5782843679189682</v>
      </c>
      <c r="AE199" s="120">
        <f t="shared" ca="1" si="200"/>
        <v>1.0235974026432439E-8</v>
      </c>
      <c r="AF199" s="120">
        <f t="shared" ca="1" si="201"/>
        <v>1.0235974026432439E-8</v>
      </c>
      <c r="AG199" s="114"/>
    </row>
    <row r="200" spans="1:33" ht="19.95" hidden="1" customHeight="1" outlineLevel="1">
      <c r="A200" s="117">
        <v>3615</v>
      </c>
      <c r="B200" s="118" t="str">
        <f t="shared" si="192"/>
        <v>TXST</v>
      </c>
      <c r="C200" s="138">
        <v>192046299</v>
      </c>
      <c r="D200" s="100">
        <f t="shared" si="193"/>
        <v>6193672</v>
      </c>
      <c r="E200" s="119">
        <v>137895586.95450753</v>
      </c>
      <c r="F200" s="100">
        <f t="shared" si="202"/>
        <v>47957040.04549247</v>
      </c>
      <c r="G200" s="100">
        <f t="shared" si="203"/>
        <v>185852627</v>
      </c>
      <c r="H200" s="100">
        <f t="shared" ca="1" si="204"/>
        <v>191439982.42161942</v>
      </c>
      <c r="I200" s="100">
        <f t="shared" ca="1" si="194"/>
        <v>5587355.4216194153</v>
      </c>
      <c r="J200" s="96">
        <f t="shared" ca="1" si="195"/>
        <v>3.0063365322349819E-2</v>
      </c>
      <c r="K200" s="114"/>
      <c r="L200" s="100">
        <f ca="1">SUMIF('Operations Support'!$A:$A,A200,'Operations Support'!$V:$V)</f>
        <v>95719991.210809708</v>
      </c>
      <c r="M200" s="100">
        <f ca="1">SUMIF('Operations Support'!$A:$A,A200,'Operations Support'!$Y:$Y)</f>
        <v>95719991.210809708</v>
      </c>
      <c r="N200" s="100">
        <f t="shared" ca="1" si="205"/>
        <v>71823587.286089852</v>
      </c>
      <c r="O200" s="100">
        <f t="shared" ca="1" si="196"/>
        <v>71776082.141569987</v>
      </c>
      <c r="P200" s="100">
        <f t="shared" ref="P200:Q200" si="243">P59*0.8267</f>
        <v>23896403.924719855</v>
      </c>
      <c r="Q200" s="100">
        <f t="shared" si="243"/>
        <v>23943909.069239721</v>
      </c>
      <c r="R200" s="100">
        <f t="shared" si="235"/>
        <v>3520007</v>
      </c>
      <c r="S200" s="100">
        <f t="shared" si="235"/>
        <v>3520007</v>
      </c>
      <c r="T200" s="100">
        <f t="shared" ca="1" si="207"/>
        <v>99239998.210809708</v>
      </c>
      <c r="U200" s="100">
        <f t="shared" ca="1" si="208"/>
        <v>99239998.210809708</v>
      </c>
      <c r="V200" s="97"/>
      <c r="W200" s="97"/>
      <c r="X200" s="79"/>
      <c r="Y200" s="387">
        <v>99239998</v>
      </c>
      <c r="Z200" s="387">
        <v>99239998</v>
      </c>
      <c r="AA200" s="115"/>
      <c r="AB200" s="100">
        <f t="shared" ca="1" si="198"/>
        <v>0.21080970764160156</v>
      </c>
      <c r="AC200" s="100">
        <f t="shared" ca="1" si="199"/>
        <v>0.21080970764160156</v>
      </c>
      <c r="AE200" s="120">
        <f t="shared" ca="1" si="200"/>
        <v>2.1242413486726478E-9</v>
      </c>
      <c r="AF200" s="120">
        <f t="shared" ca="1" si="201"/>
        <v>2.1242413486726478E-9</v>
      </c>
      <c r="AG200" s="114"/>
    </row>
    <row r="201" spans="1:33" ht="19.95" hidden="1" customHeight="1" outlineLevel="1">
      <c r="A201" s="117">
        <v>3625</v>
      </c>
      <c r="B201" s="118" t="str">
        <f t="shared" si="192"/>
        <v>Sul Ross</v>
      </c>
      <c r="C201" s="138">
        <v>7575930</v>
      </c>
      <c r="D201" s="100">
        <f t="shared" si="193"/>
        <v>148184</v>
      </c>
      <c r="E201" s="119">
        <v>5817635.4434693959</v>
      </c>
      <c r="F201" s="100">
        <f t="shared" si="202"/>
        <v>1610110.5565306041</v>
      </c>
      <c r="G201" s="100">
        <f t="shared" si="203"/>
        <v>7427746</v>
      </c>
      <c r="H201" s="100">
        <f t="shared" ca="1" si="204"/>
        <v>6639939.1995283188</v>
      </c>
      <c r="I201" s="100">
        <f t="shared" ca="1" si="194"/>
        <v>-787806.80047168117</v>
      </c>
      <c r="J201" s="96">
        <f t="shared" ca="1" si="195"/>
        <v>-0.10606270064588653</v>
      </c>
      <c r="K201" s="114"/>
      <c r="L201" s="100">
        <f ca="1">SUMIF('Operations Support'!$A:$A,A201,'Operations Support'!$V:$V)</f>
        <v>3319969.5997641594</v>
      </c>
      <c r="M201" s="100">
        <f ca="1">SUMIF('Operations Support'!$A:$A,A201,'Operations Support'!$Y:$Y)</f>
        <v>3319969.5997641594</v>
      </c>
      <c r="N201" s="100">
        <f t="shared" ca="1" si="205"/>
        <v>2468492.510440913</v>
      </c>
      <c r="O201" s="100">
        <f t="shared" ca="1" si="196"/>
        <v>2466856.4486866002</v>
      </c>
      <c r="P201" s="100">
        <f t="shared" ref="P201:Q201" si="244">P60*0.8267</f>
        <v>851477.08932324615</v>
      </c>
      <c r="Q201" s="100">
        <f t="shared" si="244"/>
        <v>853113.1510775591</v>
      </c>
      <c r="R201" s="100">
        <f t="shared" si="235"/>
        <v>69508</v>
      </c>
      <c r="S201" s="100">
        <f t="shared" si="235"/>
        <v>69508</v>
      </c>
      <c r="T201" s="100">
        <f t="shared" ca="1" si="207"/>
        <v>3389477.5997641594</v>
      </c>
      <c r="U201" s="100">
        <f t="shared" ca="1" si="208"/>
        <v>3389477.5997641594</v>
      </c>
      <c r="V201" s="97"/>
      <c r="W201" s="97"/>
      <c r="X201" s="79"/>
      <c r="Y201" s="387">
        <v>3389478.5</v>
      </c>
      <c r="Z201" s="387">
        <v>3389478.5</v>
      </c>
      <c r="AA201" s="115"/>
      <c r="AB201" s="100">
        <f t="shared" ca="1" si="198"/>
        <v>-0.90023584058508277</v>
      </c>
      <c r="AC201" s="100">
        <f t="shared" ca="1" si="199"/>
        <v>-0.90023584058508277</v>
      </c>
      <c r="AE201" s="120">
        <f t="shared" ca="1" si="200"/>
        <v>-2.6559722378685182E-7</v>
      </c>
      <c r="AF201" s="120">
        <f t="shared" ca="1" si="201"/>
        <v>-2.6559722378685182E-7</v>
      </c>
      <c r="AG201" s="114"/>
    </row>
    <row r="202" spans="1:33" ht="19.95" hidden="1" customHeight="1" outlineLevel="1" thickBot="1">
      <c r="A202" s="122">
        <v>20</v>
      </c>
      <c r="B202" s="123" t="str">
        <f t="shared" si="192"/>
        <v>Sul Ross-Rio Grande</v>
      </c>
      <c r="C202" s="139">
        <v>3576593</v>
      </c>
      <c r="D202" s="124">
        <f t="shared" si="193"/>
        <v>29066</v>
      </c>
      <c r="E202" s="125">
        <v>2414000.4859101898</v>
      </c>
      <c r="F202" s="124">
        <f t="shared" si="202"/>
        <v>1133526.5140898102</v>
      </c>
      <c r="G202" s="124">
        <f t="shared" si="203"/>
        <v>3547527</v>
      </c>
      <c r="H202" s="124">
        <f t="shared" ca="1" si="204"/>
        <v>2778716.2612688639</v>
      </c>
      <c r="I202" s="124">
        <f t="shared" ca="1" si="194"/>
        <v>-768810.73873113608</v>
      </c>
      <c r="J202" s="126">
        <f t="shared" ca="1" si="195"/>
        <v>-0.21671737487301326</v>
      </c>
      <c r="K202" s="114"/>
      <c r="L202" s="124">
        <f ca="1">SUMIF('Operations Support'!$A:$A,A202,'Operations Support'!$V:$V)</f>
        <v>1389358.130634432</v>
      </c>
      <c r="M202" s="124">
        <f ca="1">SUMIF('Operations Support'!$A:$A,A202,'Operations Support'!$Y:$Y)</f>
        <v>1389358.130634432</v>
      </c>
      <c r="N202" s="124">
        <f t="shared" ca="1" si="205"/>
        <v>1043341.9456157582</v>
      </c>
      <c r="O202" s="124">
        <f t="shared" ca="1" si="196"/>
        <v>1043327.9534371842</v>
      </c>
      <c r="P202" s="124">
        <f t="shared" ref="P202:Q202" si="245">P61*0.8267</f>
        <v>346016.18501867383</v>
      </c>
      <c r="Q202" s="124">
        <f t="shared" si="245"/>
        <v>346030.1771972478</v>
      </c>
      <c r="R202" s="124">
        <f t="shared" si="235"/>
        <v>20443</v>
      </c>
      <c r="S202" s="124">
        <f t="shared" si="235"/>
        <v>20443</v>
      </c>
      <c r="T202" s="124">
        <f t="shared" ca="1" si="207"/>
        <v>1409801.130634432</v>
      </c>
      <c r="U202" s="124">
        <f t="shared" ca="1" si="208"/>
        <v>1409801.130634432</v>
      </c>
      <c r="V202" s="97"/>
      <c r="W202" s="97"/>
      <c r="X202" s="79"/>
      <c r="Y202" s="387">
        <v>1409801.5</v>
      </c>
      <c r="Z202" s="387">
        <v>1409801.5</v>
      </c>
      <c r="AA202" s="115"/>
      <c r="AB202" s="140">
        <f t="shared" ca="1" si="198"/>
        <v>-0.36936556803993881</v>
      </c>
      <c r="AC202" s="140">
        <f t="shared" ca="1" si="199"/>
        <v>-0.36936556803993881</v>
      </c>
      <c r="AE202" s="127">
        <f t="shared" ca="1" si="200"/>
        <v>-2.6199834857113407E-7</v>
      </c>
      <c r="AF202" s="127">
        <f t="shared" ca="1" si="201"/>
        <v>-2.6199834857113407E-7</v>
      </c>
      <c r="AG202" s="114"/>
    </row>
    <row r="203" spans="1:33" ht="19.95" hidden="1" customHeight="1" outlineLevel="1">
      <c r="A203" s="105"/>
      <c r="B203" s="128" t="s">
        <v>1</v>
      </c>
      <c r="C203" s="129">
        <f t="shared" ref="C203:H203" si="246">SUM(C166:C202)</f>
        <v>4533746960</v>
      </c>
      <c r="D203" s="129">
        <f t="shared" si="246"/>
        <v>224089812</v>
      </c>
      <c r="E203" s="129">
        <f t="shared" si="246"/>
        <v>3213278737.3855996</v>
      </c>
      <c r="F203" s="129">
        <f t="shared" si="246"/>
        <v>1096378410.6144016</v>
      </c>
      <c r="G203" s="129">
        <f t="shared" si="246"/>
        <v>4309657148</v>
      </c>
      <c r="H203" s="129">
        <f t="shared" ca="1" si="246"/>
        <v>4531406834.4649382</v>
      </c>
      <c r="I203" s="129">
        <f t="shared" ca="1" si="194"/>
        <v>221749686.46493816</v>
      </c>
      <c r="J203" s="130">
        <f t="shared" ca="1" si="195"/>
        <v>5.1454136338396766E-2</v>
      </c>
      <c r="L203" s="129">
        <f t="shared" ref="L203:U203" ca="1" si="247">SUM(L166:L202)</f>
        <v>2265703417.2324691</v>
      </c>
      <c r="M203" s="129">
        <f t="shared" ca="1" si="247"/>
        <v>2265703417.2324691</v>
      </c>
      <c r="N203" s="129">
        <f t="shared" ca="1" si="247"/>
        <v>1722376782.6258595</v>
      </c>
      <c r="O203" s="129">
        <f t="shared" ca="1" si="247"/>
        <v>1720360967.1497431</v>
      </c>
      <c r="P203" s="129">
        <f t="shared" si="247"/>
        <v>543326634.60660994</v>
      </c>
      <c r="Q203" s="129">
        <f t="shared" si="247"/>
        <v>545342450.08272612</v>
      </c>
      <c r="R203" s="129">
        <f t="shared" si="247"/>
        <v>125853787</v>
      </c>
      <c r="S203" s="129">
        <f t="shared" si="247"/>
        <v>125853787</v>
      </c>
      <c r="T203" s="129">
        <f t="shared" ca="1" si="247"/>
        <v>2391557204.2324691</v>
      </c>
      <c r="U203" s="129">
        <f t="shared" ca="1" si="247"/>
        <v>2391557204.2324691</v>
      </c>
      <c r="V203" s="129"/>
      <c r="W203" s="97"/>
      <c r="X203" s="80"/>
      <c r="Y203" s="276">
        <f>SUM(Y166:Y202)</f>
        <v>2391557196.5</v>
      </c>
      <c r="Z203" s="276">
        <f>SUM(Z166:Z202)</f>
        <v>2391557196.5</v>
      </c>
      <c r="AA203" s="115"/>
      <c r="AB203" s="131">
        <f t="shared" ca="1" si="198"/>
        <v>7.7324690818786621</v>
      </c>
      <c r="AC203" s="131">
        <f t="shared" ca="1" si="199"/>
        <v>7.7324690818786621</v>
      </c>
      <c r="AE203" s="130">
        <f t="shared" ca="1" si="200"/>
        <v>3.2332360974657393E-9</v>
      </c>
      <c r="AF203" s="130">
        <f t="shared" ca="1" si="201"/>
        <v>3.2332360974657393E-9</v>
      </c>
      <c r="AG203" s="141"/>
    </row>
    <row r="204" spans="1:33" ht="19.95" customHeight="1" collapsed="1">
      <c r="A204" s="105"/>
      <c r="X204" s="80"/>
      <c r="Y204" s="80"/>
      <c r="Z204" s="115"/>
      <c r="AB204" s="80"/>
      <c r="AC204" s="79"/>
    </row>
    <row r="205" spans="1:33" s="91" customFormat="1" ht="19.95" customHeight="1" thickBot="1">
      <c r="A205" s="669" t="s">
        <v>123</v>
      </c>
      <c r="B205" s="670"/>
      <c r="C205" s="670"/>
      <c r="D205" s="670"/>
      <c r="E205" s="670"/>
      <c r="F205" s="670"/>
      <c r="G205" s="670"/>
      <c r="H205" s="670"/>
      <c r="I205" s="670"/>
      <c r="J205" s="670"/>
      <c r="L205" s="673" t="str">
        <f>A205</f>
        <v>Teaching Experience Supplement</v>
      </c>
      <c r="M205" s="673"/>
      <c r="N205" s="673"/>
      <c r="O205" s="673"/>
      <c r="P205" s="673"/>
      <c r="Q205" s="673"/>
      <c r="R205" s="673"/>
      <c r="S205" s="673"/>
      <c r="T205" s="673" t="str">
        <f>A205</f>
        <v>Teaching Experience Supplement</v>
      </c>
      <c r="U205" s="673"/>
      <c r="V205" s="106"/>
      <c r="W205" s="106" t="s">
        <v>244</v>
      </c>
      <c r="AE205" s="94"/>
      <c r="AF205" s="94"/>
    </row>
    <row r="206" spans="1:33" ht="19.95" hidden="1" customHeight="1" outlineLevel="1">
      <c r="A206" s="107">
        <v>3656</v>
      </c>
      <c r="B206" s="108" t="str">
        <f t="shared" ref="B206:B242" si="248">B25</f>
        <v>UT-Arlington</v>
      </c>
      <c r="C206" s="138">
        <v>3047800</v>
      </c>
      <c r="D206" s="109"/>
      <c r="E206" s="132">
        <v>1436777.417462978</v>
      </c>
      <c r="F206" s="109">
        <f>G206-E206</f>
        <v>1611022.582537022</v>
      </c>
      <c r="G206" s="109">
        <f>C206-D206</f>
        <v>3047800</v>
      </c>
      <c r="H206" s="109">
        <f ca="1">L206+M206</f>
        <v>2689683.2879177094</v>
      </c>
      <c r="I206" s="109">
        <f t="shared" ref="I206:I243" ca="1" si="249">H206-G206</f>
        <v>-358116.71208229056</v>
      </c>
      <c r="J206" s="112">
        <f t="shared" ref="J206:J243" ca="1" si="250">IF(OR(I206=0,G206=0),0,I206/G206)</f>
        <v>-0.11750006958536996</v>
      </c>
      <c r="K206" s="114"/>
      <c r="L206" s="109">
        <f ca="1">SUMIF('Operations Support'!$A:$A,A206,'Operations Support'!$X:$X)</f>
        <v>1344841.6439588547</v>
      </c>
      <c r="M206" s="109">
        <f ca="1">SUMIF('Operations Support'!$A:$A,A206,'Operations Support'!$Z:$Z)</f>
        <v>1344841.6439588547</v>
      </c>
      <c r="N206" s="109">
        <f ca="1">L206-P206</f>
        <v>431462.06964665104</v>
      </c>
      <c r="O206" s="109">
        <f t="shared" ref="O206:O242" ca="1" si="251">M206-Q206</f>
        <v>428378.04254478484</v>
      </c>
      <c r="P206" s="109">
        <f>P25*0.019</f>
        <v>913379.57431220368</v>
      </c>
      <c r="Q206" s="109">
        <f>Q25*0.019</f>
        <v>916463.60141406988</v>
      </c>
      <c r="R206" s="109"/>
      <c r="S206" s="109"/>
      <c r="T206" s="109">
        <f t="shared" ref="T206:T242" ca="1" si="252">L206+R206</f>
        <v>1344841.6439588547</v>
      </c>
      <c r="U206" s="109">
        <f t="shared" ref="U206:U242" ca="1" si="253">M206+S206</f>
        <v>1344841.6439588547</v>
      </c>
      <c r="V206" s="113"/>
      <c r="W206" s="97"/>
      <c r="X206" s="80"/>
      <c r="Y206" s="633">
        <v>1344840.5</v>
      </c>
      <c r="Z206" s="633">
        <v>1344840.5</v>
      </c>
      <c r="AA206" s="79"/>
      <c r="AB206" s="111">
        <f t="shared" ref="AB206:AB243" ca="1" si="254">T206-Y206</f>
        <v>1.1439588547218591</v>
      </c>
      <c r="AC206" s="111">
        <f t="shared" ref="AC206:AC243" ca="1" si="255">U206-Z206</f>
        <v>1.1439588547218591</v>
      </c>
      <c r="AE206" s="116">
        <f t="shared" ref="AE206:AE243" ca="1" si="256">IFERROR(AB206/T206,0)</f>
        <v>8.5062717968366123E-7</v>
      </c>
      <c r="AF206" s="116">
        <f t="shared" ref="AF206:AF243" ca="1" si="257">IFERROR(AC206/U206,0)</f>
        <v>8.5062717968366123E-7</v>
      </c>
      <c r="AG206" s="114"/>
    </row>
    <row r="207" spans="1:33" ht="19.95" hidden="1" customHeight="1" outlineLevel="1">
      <c r="A207" s="117">
        <v>3658</v>
      </c>
      <c r="B207" s="118" t="str">
        <f t="shared" si="248"/>
        <v>UT-Austin</v>
      </c>
      <c r="C207" s="138">
        <v>8405065</v>
      </c>
      <c r="D207" s="100"/>
      <c r="E207" s="119">
        <v>5688497.4110971419</v>
      </c>
      <c r="F207" s="100">
        <f t="shared" ref="F207:F232" si="258">G207-E207</f>
        <v>2716567.5889028581</v>
      </c>
      <c r="G207" s="100">
        <f t="shared" ref="G207:G242" si="259">C207-D207</f>
        <v>8405065</v>
      </c>
      <c r="H207" s="100">
        <f t="shared" ref="H207:H242" ca="1" si="260">L207+M207</f>
        <v>8474640.7380192932</v>
      </c>
      <c r="I207" s="100">
        <f t="shared" ca="1" si="249"/>
        <v>69575.738019293174</v>
      </c>
      <c r="J207" s="96">
        <f t="shared" ca="1" si="250"/>
        <v>8.2778346174947094E-3</v>
      </c>
      <c r="K207" s="114"/>
      <c r="L207" s="100">
        <f ca="1">SUMIF('Operations Support'!$A:$A,A207,'Operations Support'!$X:$X)</f>
        <v>4237320.3690096466</v>
      </c>
      <c r="M207" s="100">
        <f ca="1">SUMIF('Operations Support'!$A:$A,A207,'Operations Support'!$Z:$Z)</f>
        <v>4237320.3690096466</v>
      </c>
      <c r="N207" s="100">
        <f t="shared" ref="N207:N242" ca="1" si="261">L207-P207</f>
        <v>2817890.1849476043</v>
      </c>
      <c r="O207" s="100">
        <f t="shared" ca="1" si="251"/>
        <v>2809845.2325093197</v>
      </c>
      <c r="P207" s="100">
        <f t="shared" ref="P207:Q207" si="262">P26*0.019</f>
        <v>1419430.1840620423</v>
      </c>
      <c r="Q207" s="100">
        <f t="shared" si="262"/>
        <v>1427475.1365003269</v>
      </c>
      <c r="R207" s="100"/>
      <c r="S207" s="100"/>
      <c r="T207" s="100">
        <f t="shared" ca="1" si="252"/>
        <v>4237320.3690096466</v>
      </c>
      <c r="U207" s="100">
        <f t="shared" ca="1" si="253"/>
        <v>4237320.3690096466</v>
      </c>
      <c r="V207" s="97"/>
      <c r="W207" s="97"/>
      <c r="X207" s="80"/>
      <c r="Y207" s="100">
        <v>4237325</v>
      </c>
      <c r="Z207" s="100">
        <v>4237325</v>
      </c>
      <c r="AA207" s="79"/>
      <c r="AB207" s="100">
        <f t="shared" ca="1" si="254"/>
        <v>-4.6309903534129262</v>
      </c>
      <c r="AC207" s="100">
        <f t="shared" ca="1" si="255"/>
        <v>-4.6309903534129262</v>
      </c>
      <c r="AE207" s="120">
        <f t="shared" ca="1" si="256"/>
        <v>-1.0929054095797078E-6</v>
      </c>
      <c r="AF207" s="120">
        <f t="shared" ca="1" si="257"/>
        <v>-1.0929054095797078E-6</v>
      </c>
      <c r="AG207" s="114"/>
    </row>
    <row r="208" spans="1:33" ht="19.95" hidden="1" customHeight="1" outlineLevel="1">
      <c r="A208" s="117">
        <v>9741</v>
      </c>
      <c r="B208" s="118" t="str">
        <f t="shared" si="248"/>
        <v>UT-Dallas</v>
      </c>
      <c r="C208" s="138">
        <v>2748268</v>
      </c>
      <c r="D208" s="100"/>
      <c r="E208" s="119">
        <v>1219396.3170515741</v>
      </c>
      <c r="F208" s="100">
        <f t="shared" si="258"/>
        <v>1528871.6829484259</v>
      </c>
      <c r="G208" s="100">
        <f t="shared" si="259"/>
        <v>2748268</v>
      </c>
      <c r="H208" s="100">
        <f t="shared" ca="1" si="260"/>
        <v>2449434.9545298596</v>
      </c>
      <c r="I208" s="100">
        <f t="shared" ca="1" si="249"/>
        <v>-298833.04547014041</v>
      </c>
      <c r="J208" s="96">
        <f t="shared" ca="1" si="250"/>
        <v>-0.10873504529767127</v>
      </c>
      <c r="K208" s="114"/>
      <c r="L208" s="100">
        <f ca="1">SUMIF('Operations Support'!$A:$A,A208,'Operations Support'!$X:$X)</f>
        <v>1224717.4772649298</v>
      </c>
      <c r="M208" s="100">
        <f ca="1">SUMIF('Operations Support'!$A:$A,A208,'Operations Support'!$Z:$Z)</f>
        <v>1224717.4772649298</v>
      </c>
      <c r="N208" s="100">
        <f t="shared" ca="1" si="261"/>
        <v>378634.95253476489</v>
      </c>
      <c r="O208" s="100">
        <f t="shared" ca="1" si="251"/>
        <v>372751.02041642403</v>
      </c>
      <c r="P208" s="100">
        <f t="shared" ref="P208:Q208" si="263">P27*0.019</f>
        <v>846082.52473016491</v>
      </c>
      <c r="Q208" s="100">
        <f t="shared" si="263"/>
        <v>851966.45684850577</v>
      </c>
      <c r="R208" s="100"/>
      <c r="S208" s="100"/>
      <c r="T208" s="100">
        <f t="shared" ca="1" si="252"/>
        <v>1224717.4772649298</v>
      </c>
      <c r="U208" s="100">
        <f t="shared" ca="1" si="253"/>
        <v>1224717.4772649298</v>
      </c>
      <c r="V208" s="97"/>
      <c r="W208" s="97"/>
      <c r="X208" s="80"/>
      <c r="Y208" s="100">
        <v>1224717</v>
      </c>
      <c r="Z208" s="100">
        <v>1224717</v>
      </c>
      <c r="AA208" s="79"/>
      <c r="AB208" s="100">
        <f t="shared" ca="1" si="254"/>
        <v>0.47726492979563773</v>
      </c>
      <c r="AC208" s="100">
        <f t="shared" ca="1" si="255"/>
        <v>0.47726492979563773</v>
      </c>
      <c r="AE208" s="120">
        <f t="shared" ca="1" si="256"/>
        <v>3.8969389974043475E-7</v>
      </c>
      <c r="AF208" s="120">
        <f t="shared" ca="1" si="257"/>
        <v>3.8969389974043475E-7</v>
      </c>
      <c r="AG208" s="114"/>
    </row>
    <row r="209" spans="1:33" ht="19.95" hidden="1" customHeight="1" outlineLevel="1">
      <c r="A209" s="117">
        <v>3661</v>
      </c>
      <c r="B209" s="118" t="str">
        <f t="shared" si="248"/>
        <v>UT-El Paso</v>
      </c>
      <c r="C209" s="138">
        <v>3400720</v>
      </c>
      <c r="D209" s="100"/>
      <c r="E209" s="119">
        <v>2742259.2010928383</v>
      </c>
      <c r="F209" s="100">
        <f t="shared" si="258"/>
        <v>658460.79890716169</v>
      </c>
      <c r="G209" s="100">
        <f t="shared" si="259"/>
        <v>3400720</v>
      </c>
      <c r="H209" s="100">
        <f t="shared" ca="1" si="260"/>
        <v>3194254.102163549</v>
      </c>
      <c r="I209" s="100">
        <f t="shared" ca="1" si="249"/>
        <v>-206465.89783645095</v>
      </c>
      <c r="J209" s="96">
        <f t="shared" ca="1" si="250"/>
        <v>-6.0712407324463924E-2</v>
      </c>
      <c r="K209" s="114"/>
      <c r="L209" s="100">
        <f ca="1">SUMIF('Operations Support'!$A:$A,A209,'Operations Support'!$X:$X)</f>
        <v>1597127.0510817745</v>
      </c>
      <c r="M209" s="100">
        <f ca="1">SUMIF('Operations Support'!$A:$A,A209,'Operations Support'!$Z:$Z)</f>
        <v>1597127.0510817745</v>
      </c>
      <c r="N209" s="100">
        <f t="shared" ca="1" si="261"/>
        <v>1272160.3556485386</v>
      </c>
      <c r="O209" s="100">
        <f t="shared" ca="1" si="251"/>
        <v>1271506.2447724775</v>
      </c>
      <c r="P209" s="100">
        <f t="shared" ref="P209:Q209" si="264">P28*0.019</f>
        <v>324966.69543323602</v>
      </c>
      <c r="Q209" s="100">
        <f t="shared" si="264"/>
        <v>325620.80630929698</v>
      </c>
      <c r="R209" s="100"/>
      <c r="S209" s="100"/>
      <c r="T209" s="100">
        <f t="shared" ca="1" si="252"/>
        <v>1597127.0510817745</v>
      </c>
      <c r="U209" s="100">
        <f t="shared" ca="1" si="253"/>
        <v>1597127.0510817745</v>
      </c>
      <c r="V209" s="97"/>
      <c r="W209" s="97"/>
      <c r="X209" s="80"/>
      <c r="Y209" s="100">
        <v>1597129</v>
      </c>
      <c r="Z209" s="100">
        <v>1597129</v>
      </c>
      <c r="AA209" s="79"/>
      <c r="AB209" s="100">
        <f t="shared" ca="1" si="254"/>
        <v>-1.9489182254765183</v>
      </c>
      <c r="AC209" s="100">
        <f t="shared" ca="1" si="255"/>
        <v>-1.9489182254765183</v>
      </c>
      <c r="AE209" s="120">
        <f t="shared" ca="1" si="256"/>
        <v>-1.2202649902876961E-6</v>
      </c>
      <c r="AF209" s="120">
        <f t="shared" ca="1" si="257"/>
        <v>-1.2202649902876961E-6</v>
      </c>
      <c r="AG209" s="114"/>
    </row>
    <row r="210" spans="1:33" ht="19.95" hidden="1" customHeight="1" outlineLevel="1">
      <c r="A210" s="117">
        <v>3599</v>
      </c>
      <c r="B210" s="118" t="str">
        <f t="shared" si="248"/>
        <v>UT-Rio Grande Valley</v>
      </c>
      <c r="C210" s="138">
        <v>5063084</v>
      </c>
      <c r="D210" s="100"/>
      <c r="E210" s="119">
        <v>4024404.7669442594</v>
      </c>
      <c r="F210" s="100">
        <f>G210-E210</f>
        <v>1038679.2330557406</v>
      </c>
      <c r="G210" s="100">
        <f>C210-D210</f>
        <v>5063084</v>
      </c>
      <c r="H210" s="100">
        <f ca="1">L210+M210</f>
        <v>4315560.4227495575</v>
      </c>
      <c r="I210" s="100">
        <f t="shared" ca="1" si="249"/>
        <v>-747523.57725044247</v>
      </c>
      <c r="J210" s="96">
        <f t="shared" ca="1" si="250"/>
        <v>-0.14764194653899529</v>
      </c>
      <c r="K210" s="114"/>
      <c r="L210" s="100">
        <f ca="1">SUMIF('Operations Support'!$A:$A,A210,'Operations Support'!$X:$X)</f>
        <v>2157780.2113747788</v>
      </c>
      <c r="M210" s="100">
        <f ca="1">SUMIF('Operations Support'!$A:$A,A210,'Operations Support'!$Z:$Z)</f>
        <v>2157780.2113747788</v>
      </c>
      <c r="N210" s="100">
        <f ca="1">L210-P210</f>
        <v>1703582.5771374614</v>
      </c>
      <c r="O210" s="100">
        <f ca="1">M210-Q210</f>
        <v>1703283.2035093703</v>
      </c>
      <c r="P210" s="100">
        <f t="shared" ref="P210:Q210" si="265">P29*0.019</f>
        <v>454197.63423731725</v>
      </c>
      <c r="Q210" s="100">
        <f t="shared" si="265"/>
        <v>454497.00786540855</v>
      </c>
      <c r="R210" s="100"/>
      <c r="S210" s="100"/>
      <c r="T210" s="100">
        <f t="shared" ca="1" si="252"/>
        <v>2157780.2113747788</v>
      </c>
      <c r="U210" s="100">
        <f t="shared" ca="1" si="253"/>
        <v>2157780.2113747788</v>
      </c>
      <c r="V210" s="97"/>
      <c r="W210" s="97"/>
      <c r="X210" s="115"/>
      <c r="Y210" s="100">
        <v>2157780</v>
      </c>
      <c r="Z210" s="100">
        <v>2157780</v>
      </c>
      <c r="AA210" s="79"/>
      <c r="AB210" s="100">
        <f t="shared" ca="1" si="254"/>
        <v>0.21137477876618505</v>
      </c>
      <c r="AC210" s="100">
        <f t="shared" ca="1" si="255"/>
        <v>0.21137477876618505</v>
      </c>
      <c r="AE210" s="120">
        <f t="shared" ca="1" si="256"/>
        <v>9.7959364745268749E-8</v>
      </c>
      <c r="AF210" s="120">
        <f t="shared" ca="1" si="257"/>
        <v>9.7959364745268749E-8</v>
      </c>
      <c r="AG210" s="114"/>
    </row>
    <row r="211" spans="1:33" ht="19.95" hidden="1" customHeight="1" outlineLevel="1">
      <c r="A211" s="117">
        <v>9930</v>
      </c>
      <c r="B211" s="118" t="str">
        <f t="shared" si="248"/>
        <v>UT-Permian Basin</v>
      </c>
      <c r="C211" s="138">
        <v>972333</v>
      </c>
      <c r="D211" s="100"/>
      <c r="E211" s="119">
        <v>778180.55440637399</v>
      </c>
      <c r="F211" s="100">
        <f t="shared" si="258"/>
        <v>194152.44559362601</v>
      </c>
      <c r="G211" s="100">
        <f t="shared" si="259"/>
        <v>972333</v>
      </c>
      <c r="H211" s="100">
        <f t="shared" ca="1" si="260"/>
        <v>744730.02301877749</v>
      </c>
      <c r="I211" s="100">
        <f t="shared" ca="1" si="249"/>
        <v>-227602.97698122251</v>
      </c>
      <c r="J211" s="96">
        <f t="shared" ca="1" si="250"/>
        <v>-0.23407924752242545</v>
      </c>
      <c r="K211" s="114"/>
      <c r="L211" s="100">
        <f ca="1">SUMIF('Operations Support'!$A:$A,A211,'Operations Support'!$X:$X)</f>
        <v>372365.01150938874</v>
      </c>
      <c r="M211" s="100">
        <f ca="1">SUMIF('Operations Support'!$A:$A,A211,'Operations Support'!$Z:$Z)</f>
        <v>372365.01150938874</v>
      </c>
      <c r="N211" s="100">
        <f t="shared" ca="1" si="261"/>
        <v>272975.17376113241</v>
      </c>
      <c r="O211" s="100">
        <f t="shared" ca="1" si="251"/>
        <v>272876.36935792665</v>
      </c>
      <c r="P211" s="100">
        <f t="shared" ref="P211:Q211" si="266">P30*0.019</f>
        <v>99389.837748256366</v>
      </c>
      <c r="Q211" s="100">
        <f t="shared" si="266"/>
        <v>99488.642151462103</v>
      </c>
      <c r="R211" s="100"/>
      <c r="S211" s="100"/>
      <c r="T211" s="100">
        <f t="shared" ca="1" si="252"/>
        <v>372365.01150938874</v>
      </c>
      <c r="U211" s="100">
        <f t="shared" ca="1" si="253"/>
        <v>372365.01150938874</v>
      </c>
      <c r="V211" s="97"/>
      <c r="W211" s="97"/>
      <c r="X211" s="80"/>
      <c r="Y211" s="100">
        <v>372365</v>
      </c>
      <c r="Z211" s="100">
        <v>372365</v>
      </c>
      <c r="AA211" s="79"/>
      <c r="AB211" s="100">
        <f t="shared" ca="1" si="254"/>
        <v>1.1509388743434101E-2</v>
      </c>
      <c r="AC211" s="100">
        <f t="shared" ca="1" si="255"/>
        <v>1.1509388743434101E-2</v>
      </c>
      <c r="AE211" s="120">
        <f t="shared" ca="1" si="256"/>
        <v>3.090888882599515E-8</v>
      </c>
      <c r="AF211" s="120">
        <f t="shared" ca="1" si="257"/>
        <v>3.090888882599515E-8</v>
      </c>
      <c r="AG211" s="114"/>
    </row>
    <row r="212" spans="1:33" ht="19.95" hidden="1" customHeight="1" outlineLevel="1">
      <c r="A212" s="117">
        <v>10115</v>
      </c>
      <c r="B212" s="118" t="str">
        <f t="shared" si="248"/>
        <v>UT-San Antonio</v>
      </c>
      <c r="C212" s="138">
        <v>4628773</v>
      </c>
      <c r="D212" s="100"/>
      <c r="E212" s="119">
        <v>3548162.8403352853</v>
      </c>
      <c r="F212" s="100">
        <f t="shared" si="258"/>
        <v>1080610.1596647147</v>
      </c>
      <c r="G212" s="100">
        <f t="shared" si="259"/>
        <v>4628773</v>
      </c>
      <c r="H212" s="100">
        <f t="shared" ca="1" si="260"/>
        <v>3891429.4082362885</v>
      </c>
      <c r="I212" s="100">
        <f t="shared" ca="1" si="249"/>
        <v>-737343.59176371153</v>
      </c>
      <c r="J212" s="96">
        <f t="shared" ca="1" si="250"/>
        <v>-0.1592956906211887</v>
      </c>
      <c r="K212" s="114"/>
      <c r="L212" s="100">
        <f ca="1">SUMIF('Operations Support'!$A:$A,A212,'Operations Support'!$X:$X)</f>
        <v>1945714.7041181442</v>
      </c>
      <c r="M212" s="100">
        <f ca="1">SUMIF('Operations Support'!$A:$A,A212,'Operations Support'!$Z:$Z)</f>
        <v>1945714.7041181442</v>
      </c>
      <c r="N212" s="100">
        <f t="shared" ca="1" si="261"/>
        <v>1468006.3963664523</v>
      </c>
      <c r="O212" s="100">
        <f t="shared" ca="1" si="251"/>
        <v>1467350.9798130344</v>
      </c>
      <c r="P212" s="100">
        <f t="shared" ref="P212:Q212" si="267">P31*0.019</f>
        <v>477708.30775169184</v>
      </c>
      <c r="Q212" s="100">
        <f t="shared" si="267"/>
        <v>478363.72430510988</v>
      </c>
      <c r="R212" s="100"/>
      <c r="S212" s="100"/>
      <c r="T212" s="100">
        <f t="shared" ca="1" si="252"/>
        <v>1945714.7041181442</v>
      </c>
      <c r="U212" s="100">
        <f t="shared" ca="1" si="253"/>
        <v>1945714.7041181442</v>
      </c>
      <c r="V212" s="97"/>
      <c r="W212" s="97"/>
      <c r="X212" s="80"/>
      <c r="Y212" s="100">
        <v>1945715</v>
      </c>
      <c r="Z212" s="100">
        <v>1945715</v>
      </c>
      <c r="AA212" s="79"/>
      <c r="AB212" s="100">
        <f t="shared" ca="1" si="254"/>
        <v>-0.29588185576722026</v>
      </c>
      <c r="AC212" s="100">
        <f t="shared" ca="1" si="255"/>
        <v>-0.29588185576722026</v>
      </c>
      <c r="AE212" s="120">
        <f t="shared" ca="1" si="256"/>
        <v>-1.5206846879502958E-7</v>
      </c>
      <c r="AF212" s="120">
        <f t="shared" ca="1" si="257"/>
        <v>-1.5206846879502958E-7</v>
      </c>
      <c r="AG212" s="114"/>
    </row>
    <row r="213" spans="1:33" ht="19.95" hidden="1" customHeight="1" outlineLevel="1">
      <c r="A213" s="117">
        <v>11163</v>
      </c>
      <c r="B213" s="118" t="str">
        <f t="shared" si="248"/>
        <v>UT-Tyler</v>
      </c>
      <c r="C213" s="138">
        <v>1391461</v>
      </c>
      <c r="D213" s="100"/>
      <c r="E213" s="119">
        <v>1072832.1024202723</v>
      </c>
      <c r="F213" s="100">
        <f t="shared" si="258"/>
        <v>318628.89757972769</v>
      </c>
      <c r="G213" s="100">
        <f t="shared" si="259"/>
        <v>1391461</v>
      </c>
      <c r="H213" s="100">
        <f t="shared" ca="1" si="260"/>
        <v>1340097.1363301119</v>
      </c>
      <c r="I213" s="100">
        <f t="shared" ca="1" si="249"/>
        <v>-51363.863669888116</v>
      </c>
      <c r="J213" s="96">
        <f t="shared" ca="1" si="250"/>
        <v>-3.6913620769743541E-2</v>
      </c>
      <c r="K213" s="114"/>
      <c r="L213" s="100">
        <f ca="1">SUMIF('Operations Support'!$A:$A,A213,'Operations Support'!$X:$X)</f>
        <v>670048.56816505594</v>
      </c>
      <c r="M213" s="100">
        <f ca="1">SUMIF('Operations Support'!$A:$A,A213,'Operations Support'!$Z:$Z)</f>
        <v>670048.56816505594</v>
      </c>
      <c r="N213" s="100">
        <f t="shared" ca="1" si="261"/>
        <v>529288.17204021895</v>
      </c>
      <c r="O213" s="100">
        <f t="shared" ca="1" si="251"/>
        <v>529038.80772668635</v>
      </c>
      <c r="P213" s="100">
        <f t="shared" ref="P213:Q213" si="268">P32*0.019</f>
        <v>140760.39612483702</v>
      </c>
      <c r="Q213" s="100">
        <f t="shared" si="268"/>
        <v>141009.76043836959</v>
      </c>
      <c r="R213" s="100"/>
      <c r="S213" s="100"/>
      <c r="T213" s="100">
        <f t="shared" ca="1" si="252"/>
        <v>670048.56816505594</v>
      </c>
      <c r="U213" s="100">
        <f t="shared" ca="1" si="253"/>
        <v>670048.56816505594</v>
      </c>
      <c r="V213" s="97"/>
      <c r="W213" s="97"/>
      <c r="X213" s="80"/>
      <c r="Y213" s="100">
        <v>670047.5</v>
      </c>
      <c r="Z213" s="100">
        <v>670047.5</v>
      </c>
      <c r="AA213" s="79"/>
      <c r="AB213" s="100">
        <f t="shared" ca="1" si="254"/>
        <v>1.0681650559417903</v>
      </c>
      <c r="AC213" s="100">
        <f t="shared" ca="1" si="255"/>
        <v>1.0681650559417903</v>
      </c>
      <c r="AE213" s="120">
        <f t="shared" ca="1" si="256"/>
        <v>1.5941606425142971E-6</v>
      </c>
      <c r="AF213" s="120">
        <f t="shared" ca="1" si="257"/>
        <v>1.5941606425142971E-6</v>
      </c>
      <c r="AG213" s="114"/>
    </row>
    <row r="214" spans="1:33" ht="19.95" hidden="1" customHeight="1" outlineLevel="1">
      <c r="A214" s="117">
        <v>3632</v>
      </c>
      <c r="B214" s="121" t="str">
        <f t="shared" si="248"/>
        <v>TAMU</v>
      </c>
      <c r="C214" s="138">
        <v>10361000</v>
      </c>
      <c r="D214" s="100"/>
      <c r="E214" s="119">
        <v>7583900.8792511662</v>
      </c>
      <c r="F214" s="100">
        <f t="shared" si="258"/>
        <v>2777099.1207488338</v>
      </c>
      <c r="G214" s="100">
        <f t="shared" si="259"/>
        <v>10361000</v>
      </c>
      <c r="H214" s="100">
        <f t="shared" ca="1" si="260"/>
        <v>9764778.8488954771</v>
      </c>
      <c r="I214" s="100">
        <f t="shared" ca="1" si="249"/>
        <v>-596221.15110452287</v>
      </c>
      <c r="J214" s="96">
        <f t="shared" ca="1" si="250"/>
        <v>-5.7544749648153933E-2</v>
      </c>
      <c r="K214" s="114"/>
      <c r="L214" s="100">
        <f ca="1">SUMIF('Operations Support'!$A:$A,A214,'Operations Support'!$X:$X)</f>
        <v>4882389.4244477386</v>
      </c>
      <c r="M214" s="100">
        <f ca="1">SUMIF('Operations Support'!$A:$A,A214,'Operations Support'!$Z:$Z)</f>
        <v>4882389.4244477386</v>
      </c>
      <c r="N214" s="100">
        <f t="shared" ca="1" si="261"/>
        <v>3600412.6533851419</v>
      </c>
      <c r="O214" s="100">
        <f t="shared" ca="1" si="251"/>
        <v>3595153.3532947619</v>
      </c>
      <c r="P214" s="100">
        <f t="shared" ref="P214:Q214" si="269">P33*0.019</f>
        <v>1281976.7710625965</v>
      </c>
      <c r="Q214" s="100">
        <f t="shared" si="269"/>
        <v>1287236.0711529767</v>
      </c>
      <c r="R214" s="100"/>
      <c r="S214" s="100"/>
      <c r="T214" s="100">
        <f t="shared" ca="1" si="252"/>
        <v>4882389.4244477386</v>
      </c>
      <c r="U214" s="100">
        <f t="shared" ca="1" si="253"/>
        <v>4882389.4244477386</v>
      </c>
      <c r="V214" s="97"/>
      <c r="W214" s="97"/>
      <c r="X214" s="80"/>
      <c r="Y214" s="100">
        <v>4882388.5</v>
      </c>
      <c r="Z214" s="100">
        <v>4882388.5</v>
      </c>
      <c r="AA214" s="79"/>
      <c r="AB214" s="100">
        <f t="shared" ca="1" si="254"/>
        <v>0.92444773856550455</v>
      </c>
      <c r="AC214" s="100">
        <f t="shared" ca="1" si="255"/>
        <v>0.92444773856550455</v>
      </c>
      <c r="AE214" s="120">
        <f t="shared" ca="1" si="256"/>
        <v>1.8934330267399175E-7</v>
      </c>
      <c r="AF214" s="120">
        <f t="shared" ca="1" si="257"/>
        <v>1.8934330267399175E-7</v>
      </c>
      <c r="AG214" s="114"/>
    </row>
    <row r="215" spans="1:33" ht="19.95" hidden="1" customHeight="1" outlineLevel="1">
      <c r="A215" s="117">
        <v>10298</v>
      </c>
      <c r="B215" s="118" t="str">
        <f t="shared" si="248"/>
        <v>TAMU-Galveston</v>
      </c>
      <c r="C215" s="138">
        <v>323062</v>
      </c>
      <c r="D215" s="100"/>
      <c r="E215" s="119">
        <v>246404.48771892436</v>
      </c>
      <c r="F215" s="100">
        <f t="shared" si="258"/>
        <v>76657.512281075644</v>
      </c>
      <c r="G215" s="100">
        <f t="shared" si="259"/>
        <v>323062</v>
      </c>
      <c r="H215" s="100">
        <f t="shared" ca="1" si="260"/>
        <v>299490.698362355</v>
      </c>
      <c r="I215" s="100">
        <f t="shared" ca="1" si="249"/>
        <v>-23571.301637644996</v>
      </c>
      <c r="J215" s="96">
        <f t="shared" ca="1" si="250"/>
        <v>-7.2962160940144599E-2</v>
      </c>
      <c r="K215" s="114"/>
      <c r="L215" s="100">
        <f ca="1">SUMIF('Operations Support'!$A:$A,A215,'Operations Support'!$X:$X)</f>
        <v>149745.3491811775</v>
      </c>
      <c r="M215" s="100">
        <f ca="1">SUMIF('Operations Support'!$A:$A,A215,'Operations Support'!$Z:$Z)</f>
        <v>149745.3491811775</v>
      </c>
      <c r="N215" s="100">
        <f t="shared" ca="1" si="261"/>
        <v>89034.035716779923</v>
      </c>
      <c r="O215" s="100">
        <f t="shared" ca="1" si="251"/>
        <v>88773.68978173942</v>
      </c>
      <c r="P215" s="100">
        <f t="shared" ref="P215:Q215" si="270">P34*0.019</f>
        <v>60711.313464397579</v>
      </c>
      <c r="Q215" s="100">
        <f t="shared" si="270"/>
        <v>60971.659399438082</v>
      </c>
      <c r="R215" s="100"/>
      <c r="S215" s="100"/>
      <c r="T215" s="100">
        <f t="shared" ca="1" si="252"/>
        <v>149745.3491811775</v>
      </c>
      <c r="U215" s="100">
        <f t="shared" ca="1" si="253"/>
        <v>149745.3491811775</v>
      </c>
      <c r="V215" s="97"/>
      <c r="W215" s="97"/>
      <c r="X215" s="80"/>
      <c r="Y215" s="100">
        <v>149744.5</v>
      </c>
      <c r="Z215" s="100">
        <v>149744.5</v>
      </c>
      <c r="AA215" s="79"/>
      <c r="AB215" s="100">
        <f t="shared" ca="1" si="254"/>
        <v>0.84918117750203237</v>
      </c>
      <c r="AC215" s="100">
        <f t="shared" ca="1" si="255"/>
        <v>0.84918117750203237</v>
      </c>
      <c r="AE215" s="120">
        <f t="shared" ca="1" si="256"/>
        <v>5.6708350686377884E-6</v>
      </c>
      <c r="AF215" s="120">
        <f t="shared" ca="1" si="257"/>
        <v>5.6708350686377884E-6</v>
      </c>
      <c r="AG215" s="114"/>
    </row>
    <row r="216" spans="1:33" ht="19.95" hidden="1" customHeight="1" outlineLevel="1">
      <c r="A216" s="117">
        <v>3630</v>
      </c>
      <c r="B216" s="118" t="str">
        <f t="shared" si="248"/>
        <v>Prairie View</v>
      </c>
      <c r="C216" s="138">
        <v>1686569</v>
      </c>
      <c r="D216" s="100"/>
      <c r="E216" s="119">
        <v>1223467.8044901406</v>
      </c>
      <c r="F216" s="100">
        <f t="shared" si="258"/>
        <v>463101.19550985936</v>
      </c>
      <c r="G216" s="100">
        <f t="shared" si="259"/>
        <v>1686569</v>
      </c>
      <c r="H216" s="100">
        <f t="shared" ca="1" si="260"/>
        <v>1715107.4932734221</v>
      </c>
      <c r="I216" s="100">
        <f t="shared" ca="1" si="249"/>
        <v>28538.493273422122</v>
      </c>
      <c r="J216" s="96">
        <f t="shared" ca="1" si="250"/>
        <v>1.6921035115327106E-2</v>
      </c>
      <c r="K216" s="114"/>
      <c r="L216" s="100">
        <f ca="1">SUMIF('Operations Support'!$A:$A,A216,'Operations Support'!$X:$X)</f>
        <v>857553.74663671106</v>
      </c>
      <c r="M216" s="100">
        <f ca="1">SUMIF('Operations Support'!$A:$A,A216,'Operations Support'!$Z:$Z)</f>
        <v>857553.74663671106</v>
      </c>
      <c r="N216" s="100">
        <f t="shared" ca="1" si="261"/>
        <v>600419.33473463403</v>
      </c>
      <c r="O216" s="100">
        <f t="shared" ca="1" si="251"/>
        <v>599048.34562946821</v>
      </c>
      <c r="P216" s="100">
        <f t="shared" ref="P216:Q216" si="271">P35*0.019</f>
        <v>257134.411902077</v>
      </c>
      <c r="Q216" s="100">
        <f t="shared" si="271"/>
        <v>258505.40100724288</v>
      </c>
      <c r="R216" s="100"/>
      <c r="S216" s="100"/>
      <c r="T216" s="100">
        <f t="shared" ca="1" si="252"/>
        <v>857553.74663671106</v>
      </c>
      <c r="U216" s="100">
        <f t="shared" ca="1" si="253"/>
        <v>857553.74663671106</v>
      </c>
      <c r="V216" s="97"/>
      <c r="W216" s="97"/>
      <c r="X216" s="80"/>
      <c r="Y216" s="100">
        <v>857555.5</v>
      </c>
      <c r="Z216" s="100">
        <v>857555.5</v>
      </c>
      <c r="AA216" s="79"/>
      <c r="AB216" s="100">
        <f t="shared" ca="1" si="254"/>
        <v>-1.7533632889389992</v>
      </c>
      <c r="AC216" s="100">
        <f t="shared" ca="1" si="255"/>
        <v>-1.7533632889389992</v>
      </c>
      <c r="AE216" s="120">
        <f t="shared" ca="1" si="256"/>
        <v>-2.0446103766855599E-6</v>
      </c>
      <c r="AF216" s="120">
        <f t="shared" ca="1" si="257"/>
        <v>-2.0446103766855599E-6</v>
      </c>
      <c r="AG216" s="114"/>
    </row>
    <row r="217" spans="1:33" ht="19.95" hidden="1" customHeight="1" outlineLevel="1">
      <c r="A217" s="117">
        <v>3631</v>
      </c>
      <c r="B217" s="118" t="str">
        <f t="shared" si="248"/>
        <v>Tarleton</v>
      </c>
      <c r="C217" s="138">
        <v>2836220</v>
      </c>
      <c r="D217" s="100"/>
      <c r="E217" s="119">
        <v>2433626.5169506557</v>
      </c>
      <c r="F217" s="100">
        <f t="shared" si="258"/>
        <v>402593.48304934427</v>
      </c>
      <c r="G217" s="100">
        <f t="shared" si="259"/>
        <v>2836220</v>
      </c>
      <c r="H217" s="100">
        <f t="shared" ca="1" si="260"/>
        <v>2489994.014896377</v>
      </c>
      <c r="I217" s="100">
        <f t="shared" ca="1" si="249"/>
        <v>-346225.98510362301</v>
      </c>
      <c r="J217" s="96">
        <f t="shared" ca="1" si="250"/>
        <v>-0.12207303562615841</v>
      </c>
      <c r="K217" s="114"/>
      <c r="L217" s="100">
        <f ca="1">SUMIF('Operations Support'!$A:$A,A217,'Operations Support'!$X:$X)</f>
        <v>1244997.0074481885</v>
      </c>
      <c r="M217" s="100">
        <f ca="1">SUMIF('Operations Support'!$A:$A,A217,'Operations Support'!$Z:$Z)</f>
        <v>1244997.0074481885</v>
      </c>
      <c r="N217" s="100">
        <f t="shared" ca="1" si="261"/>
        <v>1075075.8696426288</v>
      </c>
      <c r="O217" s="100">
        <f t="shared" ca="1" si="251"/>
        <v>1074802.1754008308</v>
      </c>
      <c r="P217" s="100">
        <f t="shared" ref="P217:Q217" si="272">P36*0.019</f>
        <v>169921.13780555956</v>
      </c>
      <c r="Q217" s="100">
        <f t="shared" si="272"/>
        <v>170194.83204735757</v>
      </c>
      <c r="R217" s="100"/>
      <c r="S217" s="100"/>
      <c r="T217" s="100">
        <f t="shared" ca="1" si="252"/>
        <v>1244997.0074481885</v>
      </c>
      <c r="U217" s="100">
        <f t="shared" ca="1" si="253"/>
        <v>1244997.0074481885</v>
      </c>
      <c r="V217" s="97"/>
      <c r="W217" s="97"/>
      <c r="X217" s="80"/>
      <c r="Y217" s="100">
        <v>1244998</v>
      </c>
      <c r="Z217" s="100">
        <v>1244998</v>
      </c>
      <c r="AA217" s="79"/>
      <c r="AB217" s="100">
        <f t="shared" ca="1" si="254"/>
        <v>-0.99255181150510907</v>
      </c>
      <c r="AC217" s="100">
        <f t="shared" ca="1" si="255"/>
        <v>-0.99255181150510907</v>
      </c>
      <c r="AE217" s="120">
        <f t="shared" ca="1" si="256"/>
        <v>-7.9723228695906309E-7</v>
      </c>
      <c r="AF217" s="120">
        <f t="shared" ca="1" si="257"/>
        <v>-7.9723228695906309E-7</v>
      </c>
      <c r="AG217" s="114"/>
    </row>
    <row r="218" spans="1:33" ht="19.95" hidden="1" customHeight="1" outlineLevel="1">
      <c r="A218" s="117">
        <v>42295</v>
      </c>
      <c r="B218" s="118" t="str">
        <f t="shared" si="248"/>
        <v>TAMU-Central</v>
      </c>
      <c r="C218" s="138">
        <v>392079</v>
      </c>
      <c r="D218" s="100"/>
      <c r="E218" s="119">
        <v>327829.74732177879</v>
      </c>
      <c r="F218" s="100">
        <f>G218-E218</f>
        <v>64249.252678221208</v>
      </c>
      <c r="G218" s="100">
        <f>C218-D218</f>
        <v>392079</v>
      </c>
      <c r="H218" s="100">
        <f t="shared" ca="1" si="260"/>
        <v>364683.37084085762</v>
      </c>
      <c r="I218" s="100">
        <f t="shared" ca="1" si="249"/>
        <v>-27395.62915914238</v>
      </c>
      <c r="J218" s="96">
        <f t="shared" ca="1" si="250"/>
        <v>-6.9872727585875247E-2</v>
      </c>
      <c r="K218" s="114"/>
      <c r="L218" s="100">
        <f ca="1">SUMIF('Operations Support'!$A:$A,A218,'Operations Support'!$X:$X)</f>
        <v>182341.68542042881</v>
      </c>
      <c r="M218" s="100">
        <f ca="1">SUMIF('Operations Support'!$A:$A,A218,'Operations Support'!$Z:$Z)</f>
        <v>182341.68542042881</v>
      </c>
      <c r="N218" s="100">
        <f t="shared" ca="1" si="261"/>
        <v>157640.57792427373</v>
      </c>
      <c r="O218" s="100">
        <f t="shared" ca="1" si="251"/>
        <v>157598.59175651116</v>
      </c>
      <c r="P218" s="100">
        <f t="shared" ref="P218:Q218" si="273">P37*0.019</f>
        <v>24701.107496155062</v>
      </c>
      <c r="Q218" s="100">
        <f t="shared" si="273"/>
        <v>24743.09366391764</v>
      </c>
      <c r="R218" s="100"/>
      <c r="S218" s="100"/>
      <c r="T218" s="100">
        <f t="shared" ca="1" si="252"/>
        <v>182341.68542042881</v>
      </c>
      <c r="U218" s="100">
        <f t="shared" ca="1" si="253"/>
        <v>182341.68542042881</v>
      </c>
      <c r="V218" s="97"/>
      <c r="W218" s="97"/>
      <c r="X218" s="80"/>
      <c r="Y218" s="100">
        <v>182341.5</v>
      </c>
      <c r="Z218" s="100">
        <v>182341.5</v>
      </c>
      <c r="AA218" s="79"/>
      <c r="AB218" s="100">
        <f t="shared" ca="1" si="254"/>
        <v>0.18542042881017551</v>
      </c>
      <c r="AC218" s="100">
        <f t="shared" ca="1" si="255"/>
        <v>0.18542042881017551</v>
      </c>
      <c r="AE218" s="120">
        <f t="shared" ca="1" si="256"/>
        <v>1.0168844736882188E-6</v>
      </c>
      <c r="AF218" s="120">
        <f t="shared" ca="1" si="257"/>
        <v>1.0168844736882188E-6</v>
      </c>
      <c r="AG218" s="114"/>
    </row>
    <row r="219" spans="1:33" ht="19.95" hidden="1" customHeight="1" outlineLevel="1">
      <c r="A219" s="117">
        <v>11161</v>
      </c>
      <c r="B219" s="118" t="str">
        <f t="shared" si="248"/>
        <v>TAMU-CC</v>
      </c>
      <c r="C219" s="138">
        <v>1939758</v>
      </c>
      <c r="D219" s="100"/>
      <c r="E219" s="119">
        <v>1545564.5020858976</v>
      </c>
      <c r="F219" s="100">
        <f t="shared" si="258"/>
        <v>394193.49791410239</v>
      </c>
      <c r="G219" s="100">
        <f t="shared" si="259"/>
        <v>1939758</v>
      </c>
      <c r="H219" s="100">
        <f t="shared" ca="1" si="260"/>
        <v>1824227.5345280454</v>
      </c>
      <c r="I219" s="100">
        <f t="shared" ca="1" si="249"/>
        <v>-115530.46547195455</v>
      </c>
      <c r="J219" s="96">
        <f t="shared" ca="1" si="250"/>
        <v>-5.9559215877421079E-2</v>
      </c>
      <c r="K219" s="114"/>
      <c r="L219" s="100">
        <f ca="1">SUMIF('Operations Support'!$A:$A,A219,'Operations Support'!$X:$X)</f>
        <v>912113.76726402272</v>
      </c>
      <c r="M219" s="100">
        <f ca="1">SUMIF('Operations Support'!$A:$A,A219,'Operations Support'!$Z:$Z)</f>
        <v>912113.76726402272</v>
      </c>
      <c r="N219" s="100">
        <f t="shared" ca="1" si="261"/>
        <v>707047.88990026107</v>
      </c>
      <c r="O219" s="100">
        <f t="shared" ca="1" si="251"/>
        <v>706996.4375717463</v>
      </c>
      <c r="P219" s="100">
        <f t="shared" ref="P219:Q219" si="274">P38*0.019</f>
        <v>205065.87736376168</v>
      </c>
      <c r="Q219" s="100">
        <f t="shared" si="274"/>
        <v>205117.3296922764</v>
      </c>
      <c r="R219" s="100"/>
      <c r="S219" s="100"/>
      <c r="T219" s="100">
        <f t="shared" ca="1" si="252"/>
        <v>912113.76726402272</v>
      </c>
      <c r="U219" s="100">
        <f t="shared" ca="1" si="253"/>
        <v>912113.76726402272</v>
      </c>
      <c r="V219" s="97"/>
      <c r="W219" s="97"/>
      <c r="X219" s="80"/>
      <c r="Y219" s="100">
        <v>912111</v>
      </c>
      <c r="Z219" s="100">
        <v>912111</v>
      </c>
      <c r="AA219" s="79"/>
      <c r="AB219" s="100">
        <f t="shared" ca="1" si="254"/>
        <v>2.767264022724703</v>
      </c>
      <c r="AC219" s="100">
        <f t="shared" ca="1" si="255"/>
        <v>2.767264022724703</v>
      </c>
      <c r="AE219" s="120">
        <f t="shared" ca="1" si="256"/>
        <v>3.033902263119425E-6</v>
      </c>
      <c r="AF219" s="120">
        <f t="shared" ca="1" si="257"/>
        <v>3.033902263119425E-6</v>
      </c>
      <c r="AG219" s="114"/>
    </row>
    <row r="220" spans="1:33" ht="19.95" hidden="1" customHeight="1" outlineLevel="1">
      <c r="A220" s="117">
        <v>3639</v>
      </c>
      <c r="B220" s="118" t="str">
        <f t="shared" si="248"/>
        <v>TAMU-Kingsville</v>
      </c>
      <c r="C220" s="138">
        <v>1762129</v>
      </c>
      <c r="D220" s="100"/>
      <c r="E220" s="119">
        <v>1472533.9156641429</v>
      </c>
      <c r="F220" s="100">
        <f t="shared" si="258"/>
        <v>289595.08433585707</v>
      </c>
      <c r="G220" s="100">
        <f t="shared" si="259"/>
        <v>1762129</v>
      </c>
      <c r="H220" s="100">
        <f t="shared" ca="1" si="260"/>
        <v>1451243.925660671</v>
      </c>
      <c r="I220" s="100">
        <f t="shared" ca="1" si="249"/>
        <v>-310885.07433932903</v>
      </c>
      <c r="J220" s="96">
        <f t="shared" ca="1" si="250"/>
        <v>-0.17642583167255577</v>
      </c>
      <c r="K220" s="114"/>
      <c r="L220" s="100">
        <f ca="1">SUMIF('Operations Support'!$A:$A,A220,'Operations Support'!$X:$X)</f>
        <v>725621.96283033548</v>
      </c>
      <c r="M220" s="100">
        <f ca="1">SUMIF('Operations Support'!$A:$A,A220,'Operations Support'!$Z:$Z)</f>
        <v>725621.96283033548</v>
      </c>
      <c r="N220" s="100">
        <f t="shared" ca="1" si="261"/>
        <v>575503.29227222363</v>
      </c>
      <c r="O220" s="100">
        <f t="shared" ca="1" si="251"/>
        <v>574547.14812954725</v>
      </c>
      <c r="P220" s="100">
        <f t="shared" ref="P220:Q220" si="275">P39*0.019</f>
        <v>150118.6705581118</v>
      </c>
      <c r="Q220" s="100">
        <f t="shared" si="275"/>
        <v>151074.81470078821</v>
      </c>
      <c r="R220" s="100"/>
      <c r="S220" s="100"/>
      <c r="T220" s="100">
        <f t="shared" ca="1" si="252"/>
        <v>725621.96283033548</v>
      </c>
      <c r="U220" s="100">
        <f t="shared" ca="1" si="253"/>
        <v>725621.96283033548</v>
      </c>
      <c r="V220" s="97"/>
      <c r="W220" s="97"/>
      <c r="X220" s="80"/>
      <c r="Y220" s="100">
        <v>725621.5</v>
      </c>
      <c r="Z220" s="100">
        <v>725621.5</v>
      </c>
      <c r="AA220" s="79"/>
      <c r="AB220" s="100">
        <f t="shared" ca="1" si="254"/>
        <v>0.4628303354838863</v>
      </c>
      <c r="AC220" s="100">
        <f t="shared" ca="1" si="255"/>
        <v>0.4628303354838863</v>
      </c>
      <c r="AE220" s="120">
        <f t="shared" ca="1" si="256"/>
        <v>6.3783948004906938E-7</v>
      </c>
      <c r="AF220" s="120">
        <f t="shared" ca="1" si="257"/>
        <v>6.3783948004906938E-7</v>
      </c>
      <c r="AG220" s="114"/>
    </row>
    <row r="221" spans="1:33" ht="19.95" hidden="1" customHeight="1" outlineLevel="1">
      <c r="A221" s="117">
        <v>42485</v>
      </c>
      <c r="B221" s="118" t="str">
        <f t="shared" si="248"/>
        <v>TAMU-San Antonio</v>
      </c>
      <c r="C221" s="138">
        <v>834626</v>
      </c>
      <c r="D221" s="100"/>
      <c r="E221" s="119">
        <v>658278.31381735508</v>
      </c>
      <c r="F221" s="100">
        <f>G221-E221</f>
        <v>176347.68618264492</v>
      </c>
      <c r="G221" s="100">
        <f>C221-D221</f>
        <v>834626</v>
      </c>
      <c r="H221" s="100">
        <f t="shared" ca="1" si="260"/>
        <v>788914.4344491649</v>
      </c>
      <c r="I221" s="100">
        <f t="shared" ca="1" si="249"/>
        <v>-45711.565550835105</v>
      </c>
      <c r="J221" s="96">
        <f t="shared" ca="1" si="250"/>
        <v>-5.4768921110575401E-2</v>
      </c>
      <c r="K221" s="114"/>
      <c r="L221" s="100">
        <f ca="1">SUMIF('Operations Support'!$A:$A,A221,'Operations Support'!$X:$X)</f>
        <v>394457.21722458245</v>
      </c>
      <c r="M221" s="100">
        <f ca="1">SUMIF('Operations Support'!$A:$A,A221,'Operations Support'!$Z:$Z)</f>
        <v>394457.21722458245</v>
      </c>
      <c r="N221" s="100">
        <f t="shared" ca="1" si="261"/>
        <v>298276.55123283458</v>
      </c>
      <c r="O221" s="100">
        <f t="shared" ca="1" si="251"/>
        <v>298210.20463451161</v>
      </c>
      <c r="P221" s="100">
        <f t="shared" ref="P221:Q221" si="276">P40*0.019</f>
        <v>96180.665991747897</v>
      </c>
      <c r="Q221" s="100">
        <f t="shared" si="276"/>
        <v>96247.012590070808</v>
      </c>
      <c r="R221" s="100"/>
      <c r="S221" s="100"/>
      <c r="T221" s="100">
        <f t="shared" ca="1" si="252"/>
        <v>394457.21722458245</v>
      </c>
      <c r="U221" s="100">
        <f t="shared" ca="1" si="253"/>
        <v>394457.21722458245</v>
      </c>
      <c r="V221" s="97"/>
      <c r="W221" s="97"/>
      <c r="X221" s="80"/>
      <c r="Y221" s="100">
        <v>394457.5</v>
      </c>
      <c r="Z221" s="100">
        <v>394457.5</v>
      </c>
      <c r="AA221" s="79"/>
      <c r="AB221" s="100">
        <f t="shared" ca="1" si="254"/>
        <v>-0.2827754175523296</v>
      </c>
      <c r="AC221" s="100">
        <f t="shared" ca="1" si="255"/>
        <v>-0.2827754175523296</v>
      </c>
      <c r="AE221" s="120">
        <f t="shared" ca="1" si="256"/>
        <v>-7.1687221124244938E-7</v>
      </c>
      <c r="AF221" s="120">
        <f t="shared" ca="1" si="257"/>
        <v>-7.1687221124244938E-7</v>
      </c>
      <c r="AG221" s="114"/>
    </row>
    <row r="222" spans="1:33" ht="19.95" hidden="1" customHeight="1" outlineLevel="1">
      <c r="A222" s="117">
        <v>9651</v>
      </c>
      <c r="B222" s="118" t="str">
        <f t="shared" si="248"/>
        <v>TAMI</v>
      </c>
      <c r="C222" s="138">
        <v>1371671</v>
      </c>
      <c r="D222" s="100"/>
      <c r="E222" s="119">
        <v>1113427.0369585492</v>
      </c>
      <c r="F222" s="100">
        <f t="shared" si="258"/>
        <v>258243.96304145083</v>
      </c>
      <c r="G222" s="100">
        <f t="shared" si="259"/>
        <v>1371671</v>
      </c>
      <c r="H222" s="100">
        <f t="shared" ca="1" si="260"/>
        <v>1240114.4885990785</v>
      </c>
      <c r="I222" s="100">
        <f t="shared" ca="1" si="249"/>
        <v>-131556.5114009215</v>
      </c>
      <c r="J222" s="96">
        <f t="shared" ca="1" si="250"/>
        <v>-9.5909668864415376E-2</v>
      </c>
      <c r="K222" s="114"/>
      <c r="L222" s="100">
        <f ca="1">SUMIF('Operations Support'!$A:$A,A222,'Operations Support'!$X:$X)</f>
        <v>620057.24429953925</v>
      </c>
      <c r="M222" s="100">
        <f ca="1">SUMIF('Operations Support'!$A:$A,A222,'Operations Support'!$Z:$Z)</f>
        <v>620057.24429953925</v>
      </c>
      <c r="N222" s="100">
        <f t="shared" ca="1" si="261"/>
        <v>481799.77867786627</v>
      </c>
      <c r="O222" s="100">
        <f t="shared" ca="1" si="251"/>
        <v>481746.91844678891</v>
      </c>
      <c r="P222" s="100">
        <f t="shared" ref="P222:Q222" si="277">P41*0.019</f>
        <v>138257.46562167298</v>
      </c>
      <c r="Q222" s="100">
        <f t="shared" si="277"/>
        <v>138310.32585275031</v>
      </c>
      <c r="R222" s="100"/>
      <c r="S222" s="100"/>
      <c r="T222" s="100">
        <f t="shared" ca="1" si="252"/>
        <v>620057.24429953925</v>
      </c>
      <c r="U222" s="100">
        <f t="shared" ca="1" si="253"/>
        <v>620057.24429953925</v>
      </c>
      <c r="V222" s="97"/>
      <c r="W222" s="97"/>
      <c r="X222" s="80"/>
      <c r="Y222" s="100">
        <v>620057</v>
      </c>
      <c r="Z222" s="100">
        <v>620057</v>
      </c>
      <c r="AA222" s="79"/>
      <c r="AB222" s="100">
        <f t="shared" ca="1" si="254"/>
        <v>0.24429953924845904</v>
      </c>
      <c r="AC222" s="100">
        <f t="shared" ca="1" si="255"/>
        <v>0.24429953924845904</v>
      </c>
      <c r="AE222" s="120">
        <f t="shared" ca="1" si="256"/>
        <v>3.9399513753675625E-7</v>
      </c>
      <c r="AF222" s="120">
        <f t="shared" ca="1" si="257"/>
        <v>3.9399513753675625E-7</v>
      </c>
      <c r="AG222" s="114"/>
    </row>
    <row r="223" spans="1:33" ht="19.95" hidden="1" customHeight="1" outlineLevel="1">
      <c r="A223" s="117">
        <v>3665</v>
      </c>
      <c r="B223" s="118" t="str">
        <f t="shared" si="248"/>
        <v>WTAMU</v>
      </c>
      <c r="C223" s="138">
        <v>1816518</v>
      </c>
      <c r="D223" s="100"/>
      <c r="E223" s="119">
        <v>1527112.4567961595</v>
      </c>
      <c r="F223" s="100">
        <f t="shared" si="258"/>
        <v>289405.5432038405</v>
      </c>
      <c r="G223" s="100">
        <f t="shared" si="259"/>
        <v>1816518</v>
      </c>
      <c r="H223" s="100">
        <f t="shared" ca="1" si="260"/>
        <v>1476271.0257539328</v>
      </c>
      <c r="I223" s="100">
        <f t="shared" ca="1" si="249"/>
        <v>-340246.97424606723</v>
      </c>
      <c r="J223" s="96">
        <f t="shared" ca="1" si="250"/>
        <v>-0.18730724069129359</v>
      </c>
      <c r="K223" s="114"/>
      <c r="L223" s="100">
        <f ca="1">SUMIF('Operations Support'!$A:$A,A223,'Operations Support'!$X:$X)</f>
        <v>738135.51287696639</v>
      </c>
      <c r="M223" s="100">
        <f ca="1">SUMIF('Operations Support'!$A:$A,A223,'Operations Support'!$Z:$Z)</f>
        <v>738135.51287696639</v>
      </c>
      <c r="N223" s="100">
        <f t="shared" ca="1" si="261"/>
        <v>606807.69690074527</v>
      </c>
      <c r="O223" s="100">
        <f t="shared" ca="1" si="251"/>
        <v>606438.98498156411</v>
      </c>
      <c r="P223" s="100">
        <f t="shared" ref="P223:Q223" si="278">P42*0.019</f>
        <v>131327.81597622109</v>
      </c>
      <c r="Q223" s="100">
        <f t="shared" si="278"/>
        <v>131696.52789540228</v>
      </c>
      <c r="R223" s="100"/>
      <c r="S223" s="100"/>
      <c r="T223" s="100">
        <f t="shared" ca="1" si="252"/>
        <v>738135.51287696639</v>
      </c>
      <c r="U223" s="100">
        <f t="shared" ca="1" si="253"/>
        <v>738135.51287696639</v>
      </c>
      <c r="V223" s="97"/>
      <c r="W223" s="97"/>
      <c r="X223" s="80"/>
      <c r="Y223" s="100">
        <v>738134.5</v>
      </c>
      <c r="Z223" s="100">
        <v>738134.5</v>
      </c>
      <c r="AA223" s="79"/>
      <c r="AB223" s="100">
        <f t="shared" ca="1" si="254"/>
        <v>1.0128769663861021</v>
      </c>
      <c r="AC223" s="100">
        <f t="shared" ca="1" si="255"/>
        <v>1.0128769663861021</v>
      </c>
      <c r="AE223" s="120">
        <f t="shared" ca="1" si="256"/>
        <v>1.3722100464158673E-6</v>
      </c>
      <c r="AF223" s="120">
        <f t="shared" ca="1" si="257"/>
        <v>1.3722100464158673E-6</v>
      </c>
      <c r="AG223" s="114"/>
    </row>
    <row r="224" spans="1:33" ht="19.95" hidden="1" customHeight="1" outlineLevel="1">
      <c r="A224" s="117">
        <v>3565</v>
      </c>
      <c r="B224" s="118" t="str">
        <f t="shared" si="248"/>
        <v>TAMU-Commerce</v>
      </c>
      <c r="C224" s="138">
        <v>1745945</v>
      </c>
      <c r="D224" s="100"/>
      <c r="E224" s="119">
        <v>1429177.1681193109</v>
      </c>
      <c r="F224" s="100">
        <f t="shared" si="258"/>
        <v>316767.83188068913</v>
      </c>
      <c r="G224" s="100">
        <f t="shared" si="259"/>
        <v>1745945</v>
      </c>
      <c r="H224" s="100">
        <f t="shared" ca="1" si="260"/>
        <v>1313627.4364795007</v>
      </c>
      <c r="I224" s="100">
        <f t="shared" ca="1" si="249"/>
        <v>-432317.56352049927</v>
      </c>
      <c r="J224" s="96">
        <f t="shared" ca="1" si="250"/>
        <v>-0.24761236093949079</v>
      </c>
      <c r="K224" s="114"/>
      <c r="L224" s="100">
        <f ca="1">SUMIF('Operations Support'!$A:$A,A224,'Operations Support'!$X:$X)</f>
        <v>656813.71823975036</v>
      </c>
      <c r="M224" s="100">
        <f ca="1">SUMIF('Operations Support'!$A:$A,A224,'Operations Support'!$Z:$Z)</f>
        <v>656813.71823975036</v>
      </c>
      <c r="N224" s="100">
        <f t="shared" ca="1" si="261"/>
        <v>584501.05253984907</v>
      </c>
      <c r="O224" s="100">
        <f t="shared" ca="1" si="251"/>
        <v>584346.71545916633</v>
      </c>
      <c r="P224" s="100">
        <f t="shared" ref="P224:Q224" si="279">P43*0.019</f>
        <v>72312.665699901336</v>
      </c>
      <c r="Q224" s="100">
        <f t="shared" si="279"/>
        <v>72467.00278058408</v>
      </c>
      <c r="R224" s="100"/>
      <c r="S224" s="100"/>
      <c r="T224" s="100">
        <f t="shared" ca="1" si="252"/>
        <v>656813.71823975036</v>
      </c>
      <c r="U224" s="100">
        <f t="shared" ca="1" si="253"/>
        <v>656813.71823975036</v>
      </c>
      <c r="V224" s="97"/>
      <c r="W224" s="97"/>
      <c r="X224" s="80"/>
      <c r="Y224" s="100">
        <v>656815</v>
      </c>
      <c r="Z224" s="100">
        <v>656815</v>
      </c>
      <c r="AA224" s="79"/>
      <c r="AB224" s="100">
        <f t="shared" ca="1" si="254"/>
        <v>-1.281760249636136</v>
      </c>
      <c r="AC224" s="100">
        <f t="shared" ca="1" si="255"/>
        <v>-1.281760249636136</v>
      </c>
      <c r="AE224" s="120">
        <f t="shared" ca="1" si="256"/>
        <v>-1.951482153983068E-6</v>
      </c>
      <c r="AF224" s="120">
        <f t="shared" ca="1" si="257"/>
        <v>-1.951482153983068E-6</v>
      </c>
      <c r="AG224" s="114"/>
    </row>
    <row r="225" spans="1:33" ht="19.95" hidden="1" customHeight="1" outlineLevel="1">
      <c r="A225" s="117">
        <v>29269</v>
      </c>
      <c r="B225" s="118" t="str">
        <f t="shared" si="248"/>
        <v>TAMU-Texarkana</v>
      </c>
      <c r="C225" s="138">
        <v>372653</v>
      </c>
      <c r="D225" s="100"/>
      <c r="E225" s="119">
        <v>309855.59733666998</v>
      </c>
      <c r="F225" s="100">
        <f t="shared" si="258"/>
        <v>62797.402663330024</v>
      </c>
      <c r="G225" s="100">
        <f t="shared" si="259"/>
        <v>372653</v>
      </c>
      <c r="H225" s="100">
        <f t="shared" ca="1" si="260"/>
        <v>400226.6307465217</v>
      </c>
      <c r="I225" s="100">
        <f t="shared" ca="1" si="249"/>
        <v>27573.630746521696</v>
      </c>
      <c r="J225" s="96">
        <f t="shared" ca="1" si="250"/>
        <v>7.3992778124747943E-2</v>
      </c>
      <c r="K225" s="114"/>
      <c r="L225" s="100">
        <f ca="1">SUMIF('Operations Support'!$A:$A,A225,'Operations Support'!$X:$X)</f>
        <v>200113.31537326085</v>
      </c>
      <c r="M225" s="100">
        <f ca="1">SUMIF('Operations Support'!$A:$A,A225,'Operations Support'!$Z:$Z)</f>
        <v>200113.31537326085</v>
      </c>
      <c r="N225" s="100">
        <f t="shared" ca="1" si="261"/>
        <v>167391.40265118729</v>
      </c>
      <c r="O225" s="100">
        <f t="shared" ca="1" si="251"/>
        <v>167282.22722097937</v>
      </c>
      <c r="P225" s="100">
        <f t="shared" ref="P225:Q225" si="280">P44*0.019</f>
        <v>32721.912722073565</v>
      </c>
      <c r="Q225" s="100">
        <f t="shared" si="280"/>
        <v>32831.088152281467</v>
      </c>
      <c r="R225" s="100"/>
      <c r="S225" s="100"/>
      <c r="T225" s="100">
        <f t="shared" ca="1" si="252"/>
        <v>200113.31537326085</v>
      </c>
      <c r="U225" s="100">
        <f t="shared" ca="1" si="253"/>
        <v>200113.31537326085</v>
      </c>
      <c r="V225" s="97"/>
      <c r="W225" s="97"/>
      <c r="X225" s="80"/>
      <c r="Y225" s="100">
        <v>200113</v>
      </c>
      <c r="Z225" s="100">
        <v>200113</v>
      </c>
      <c r="AA225" s="79"/>
      <c r="AB225" s="100">
        <f t="shared" ca="1" si="254"/>
        <v>0.31537326084799133</v>
      </c>
      <c r="AC225" s="100">
        <f t="shared" ca="1" si="255"/>
        <v>0.31537326084799133</v>
      </c>
      <c r="AE225" s="120">
        <f t="shared" ca="1" si="256"/>
        <v>1.5759733941729072E-6</v>
      </c>
      <c r="AF225" s="120">
        <f t="shared" ca="1" si="257"/>
        <v>1.5759733941729072E-6</v>
      </c>
      <c r="AG225" s="114"/>
    </row>
    <row r="226" spans="1:33" ht="19.95" hidden="1" customHeight="1" outlineLevel="1">
      <c r="A226" s="117">
        <v>3652</v>
      </c>
      <c r="B226" s="118" t="str">
        <f t="shared" si="248"/>
        <v>UH</v>
      </c>
      <c r="C226" s="138">
        <v>5373245</v>
      </c>
      <c r="D226" s="100"/>
      <c r="E226" s="119">
        <v>3409409.7741792416</v>
      </c>
      <c r="F226" s="100">
        <f t="shared" si="258"/>
        <v>1963835.2258207584</v>
      </c>
      <c r="G226" s="100">
        <f t="shared" si="259"/>
        <v>5373245</v>
      </c>
      <c r="H226" s="100">
        <f t="shared" ca="1" si="260"/>
        <v>4652573.0874720896</v>
      </c>
      <c r="I226" s="100">
        <f t="shared" ca="1" si="249"/>
        <v>-720671.91252791043</v>
      </c>
      <c r="J226" s="96">
        <f t="shared" ca="1" si="250"/>
        <v>-0.13412228784057129</v>
      </c>
      <c r="K226" s="114"/>
      <c r="L226" s="100">
        <f ca="1">SUMIF('Operations Support'!$A:$A,A226,'Operations Support'!$X:$X)</f>
        <v>2326286.5437360448</v>
      </c>
      <c r="M226" s="100">
        <f ca="1">SUMIF('Operations Support'!$A:$A,A226,'Operations Support'!$Z:$Z)</f>
        <v>2326286.5437360448</v>
      </c>
      <c r="N226" s="100">
        <f t="shared" ca="1" si="261"/>
        <v>1411660.3084453549</v>
      </c>
      <c r="O226" s="100">
        <f t="shared" ca="1" si="251"/>
        <v>1408521.8820806078</v>
      </c>
      <c r="P226" s="100">
        <f t="shared" ref="P226:Q226" si="281">P45*0.019</f>
        <v>914626.23529068986</v>
      </c>
      <c r="Q226" s="100">
        <f t="shared" si="281"/>
        <v>917764.66165543697</v>
      </c>
      <c r="R226" s="100"/>
      <c r="S226" s="100"/>
      <c r="T226" s="100">
        <f t="shared" ca="1" si="252"/>
        <v>2326286.5437360448</v>
      </c>
      <c r="U226" s="100">
        <f t="shared" ca="1" si="253"/>
        <v>2326286.5437360448</v>
      </c>
      <c r="V226" s="97"/>
      <c r="W226" s="97"/>
      <c r="X226" s="80"/>
      <c r="Y226" s="100">
        <v>2326286</v>
      </c>
      <c r="Z226" s="100">
        <v>2326286</v>
      </c>
      <c r="AA226" s="79"/>
      <c r="AB226" s="100">
        <f t="shared" ca="1" si="254"/>
        <v>0.54373604478314519</v>
      </c>
      <c r="AC226" s="100">
        <f t="shared" ca="1" si="255"/>
        <v>0.54373604478314519</v>
      </c>
      <c r="AE226" s="120">
        <f t="shared" ca="1" si="256"/>
        <v>2.337356273874578E-7</v>
      </c>
      <c r="AF226" s="120">
        <f t="shared" ca="1" si="257"/>
        <v>2.337356273874578E-7</v>
      </c>
      <c r="AG226" s="114"/>
    </row>
    <row r="227" spans="1:33" ht="19.95" hidden="1" customHeight="1" outlineLevel="1">
      <c r="A227" s="117">
        <v>11711</v>
      </c>
      <c r="B227" s="118" t="str">
        <f t="shared" si="248"/>
        <v>UH-Clear Lake</v>
      </c>
      <c r="C227" s="138">
        <v>1728780</v>
      </c>
      <c r="D227" s="100"/>
      <c r="E227" s="119">
        <v>1431274.0061395364</v>
      </c>
      <c r="F227" s="100">
        <f t="shared" si="258"/>
        <v>297505.99386046361</v>
      </c>
      <c r="G227" s="100">
        <f t="shared" si="259"/>
        <v>1728780</v>
      </c>
      <c r="H227" s="100">
        <f t="shared" ca="1" si="260"/>
        <v>1678299.2861001024</v>
      </c>
      <c r="I227" s="100">
        <f t="shared" ca="1" si="249"/>
        <v>-50480.713899897644</v>
      </c>
      <c r="J227" s="96">
        <f t="shared" ca="1" si="250"/>
        <v>-2.9200195455695719E-2</v>
      </c>
      <c r="K227" s="114"/>
      <c r="L227" s="100">
        <f ca="1">SUMIF('Operations Support'!$A:$A,A227,'Operations Support'!$X:$X)</f>
        <v>839149.64305005118</v>
      </c>
      <c r="M227" s="100">
        <f ca="1">SUMIF('Operations Support'!$A:$A,A227,'Operations Support'!$Z:$Z)</f>
        <v>839149.64305005118</v>
      </c>
      <c r="N227" s="100">
        <f t="shared" ca="1" si="261"/>
        <v>693619.44221177371</v>
      </c>
      <c r="O227" s="100">
        <f t="shared" ca="1" si="251"/>
        <v>692980.62122582435</v>
      </c>
      <c r="P227" s="100">
        <f t="shared" ref="P227:Q227" si="282">P46*0.019</f>
        <v>145530.20083827752</v>
      </c>
      <c r="Q227" s="100">
        <f t="shared" si="282"/>
        <v>146169.0218242268</v>
      </c>
      <c r="R227" s="100"/>
      <c r="S227" s="100"/>
      <c r="T227" s="100">
        <f t="shared" ca="1" si="252"/>
        <v>839149.64305005118</v>
      </c>
      <c r="U227" s="100">
        <f t="shared" ca="1" si="253"/>
        <v>839149.64305005118</v>
      </c>
      <c r="V227" s="97"/>
      <c r="W227" s="97"/>
      <c r="X227" s="80"/>
      <c r="Y227" s="100">
        <v>839147</v>
      </c>
      <c r="Z227" s="100">
        <v>839147</v>
      </c>
      <c r="AA227" s="79"/>
      <c r="AB227" s="100">
        <f t="shared" ca="1" si="254"/>
        <v>2.6430500511778519</v>
      </c>
      <c r="AC227" s="100">
        <f t="shared" ca="1" si="255"/>
        <v>2.6430500511778519</v>
      </c>
      <c r="AE227" s="120">
        <f t="shared" ca="1" si="256"/>
        <v>3.14967666740723E-6</v>
      </c>
      <c r="AF227" s="120">
        <f t="shared" ca="1" si="257"/>
        <v>3.14967666740723E-6</v>
      </c>
      <c r="AG227" s="114"/>
    </row>
    <row r="228" spans="1:33" ht="19.95" hidden="1" customHeight="1" outlineLevel="1">
      <c r="A228" s="117">
        <v>12826</v>
      </c>
      <c r="B228" s="118" t="str">
        <f t="shared" si="248"/>
        <v>UH-Downtown</v>
      </c>
      <c r="C228" s="138">
        <v>2230375</v>
      </c>
      <c r="D228" s="100"/>
      <c r="E228" s="119">
        <v>1679798.1361373439</v>
      </c>
      <c r="F228" s="100">
        <f t="shared" si="258"/>
        <v>550576.86386265606</v>
      </c>
      <c r="G228" s="100">
        <f t="shared" si="259"/>
        <v>2230375</v>
      </c>
      <c r="H228" s="100">
        <f t="shared" ca="1" si="260"/>
        <v>1988619.8677877949</v>
      </c>
      <c r="I228" s="100">
        <f t="shared" ca="1" si="249"/>
        <v>-241755.13221220509</v>
      </c>
      <c r="J228" s="96">
        <f t="shared" ca="1" si="250"/>
        <v>-0.10839214581054983</v>
      </c>
      <c r="K228" s="114"/>
      <c r="L228" s="100">
        <f ca="1">SUMIF('Operations Support'!$A:$A,A228,'Operations Support'!$X:$X)</f>
        <v>994309.93389389745</v>
      </c>
      <c r="M228" s="100">
        <f ca="1">SUMIF('Operations Support'!$A:$A,A228,'Operations Support'!$Z:$Z)</f>
        <v>994309.93389389745</v>
      </c>
      <c r="N228" s="100">
        <f t="shared" ca="1" si="261"/>
        <v>760343.82654866611</v>
      </c>
      <c r="O228" s="100">
        <f t="shared" ca="1" si="251"/>
        <v>759732.8858648357</v>
      </c>
      <c r="P228" s="100">
        <f t="shared" ref="P228:Q228" si="283">P47*0.019</f>
        <v>233966.10734523134</v>
      </c>
      <c r="Q228" s="100">
        <f t="shared" si="283"/>
        <v>234577.0480290617</v>
      </c>
      <c r="R228" s="100"/>
      <c r="S228" s="100"/>
      <c r="T228" s="100">
        <f t="shared" ca="1" si="252"/>
        <v>994309.93389389745</v>
      </c>
      <c r="U228" s="100">
        <f t="shared" ca="1" si="253"/>
        <v>994309.93389389745</v>
      </c>
      <c r="V228" s="97"/>
      <c r="W228" s="97"/>
      <c r="X228" s="80"/>
      <c r="Y228" s="100">
        <v>994308.5</v>
      </c>
      <c r="Z228" s="100">
        <v>994308.5</v>
      </c>
      <c r="AA228" s="79"/>
      <c r="AB228" s="100">
        <f t="shared" ca="1" si="254"/>
        <v>1.4338938974542543</v>
      </c>
      <c r="AC228" s="100">
        <f t="shared" ca="1" si="255"/>
        <v>1.4338938974542543</v>
      </c>
      <c r="AE228" s="120">
        <f t="shared" ca="1" si="256"/>
        <v>1.4420995391636756E-6</v>
      </c>
      <c r="AF228" s="120">
        <f t="shared" ca="1" si="257"/>
        <v>1.4420995391636756E-6</v>
      </c>
      <c r="AG228" s="114"/>
    </row>
    <row r="229" spans="1:33" ht="19.95" hidden="1" customHeight="1" outlineLevel="1">
      <c r="A229" s="117">
        <v>13231</v>
      </c>
      <c r="B229" s="118" t="str">
        <f t="shared" si="248"/>
        <v>UH-Victoria</v>
      </c>
      <c r="C229" s="138">
        <v>918223</v>
      </c>
      <c r="D229" s="100"/>
      <c r="E229" s="119">
        <v>753623.23881568084</v>
      </c>
      <c r="F229" s="100">
        <f t="shared" si="258"/>
        <v>164599.76118431916</v>
      </c>
      <c r="G229" s="100">
        <f t="shared" si="259"/>
        <v>918223</v>
      </c>
      <c r="H229" s="100">
        <f t="shared" ca="1" si="260"/>
        <v>660440.53929315845</v>
      </c>
      <c r="I229" s="100">
        <f t="shared" ca="1" si="249"/>
        <v>-257782.46070684155</v>
      </c>
      <c r="J229" s="96">
        <f t="shared" ca="1" si="250"/>
        <v>-0.28074058339514646</v>
      </c>
      <c r="K229" s="114"/>
      <c r="L229" s="100">
        <f ca="1">SUMIF('Operations Support'!$A:$A,A229,'Operations Support'!$X:$X)</f>
        <v>330220.26964657923</v>
      </c>
      <c r="M229" s="100">
        <f ca="1">SUMIF('Operations Support'!$A:$A,A229,'Operations Support'!$Z:$Z)</f>
        <v>330220.26964657923</v>
      </c>
      <c r="N229" s="100">
        <f t="shared" ca="1" si="261"/>
        <v>260209.45834672148</v>
      </c>
      <c r="O229" s="100">
        <f t="shared" ca="1" si="251"/>
        <v>260066.74116933293</v>
      </c>
      <c r="P229" s="100">
        <f t="shared" ref="P229:Q229" si="284">P48*0.019</f>
        <v>70010.811299857727</v>
      </c>
      <c r="Q229" s="100">
        <f t="shared" si="284"/>
        <v>70153.528477246306</v>
      </c>
      <c r="R229" s="100"/>
      <c r="S229" s="100"/>
      <c r="T229" s="100">
        <f t="shared" ca="1" si="252"/>
        <v>330220.26964657923</v>
      </c>
      <c r="U229" s="100">
        <f t="shared" ca="1" si="253"/>
        <v>330220.26964657923</v>
      </c>
      <c r="V229" s="97"/>
      <c r="W229" s="97"/>
      <c r="X229" s="80"/>
      <c r="Y229" s="100">
        <v>330220</v>
      </c>
      <c r="Z229" s="100">
        <v>330220</v>
      </c>
      <c r="AA229" s="79"/>
      <c r="AB229" s="100">
        <f t="shared" ca="1" si="254"/>
        <v>0.26964657922508195</v>
      </c>
      <c r="AC229" s="100">
        <f t="shared" ca="1" si="255"/>
        <v>0.26964657922508195</v>
      </c>
      <c r="AE229" s="120">
        <f t="shared" ca="1" si="256"/>
        <v>8.1656580171069831E-7</v>
      </c>
      <c r="AF229" s="120">
        <f t="shared" ca="1" si="257"/>
        <v>8.1656580171069831E-7</v>
      </c>
      <c r="AG229" s="114"/>
    </row>
    <row r="230" spans="1:33" ht="19.95" hidden="1" customHeight="1" outlineLevel="1">
      <c r="A230" s="117">
        <v>3592</v>
      </c>
      <c r="B230" s="118" t="str">
        <f t="shared" si="248"/>
        <v>Midwestern</v>
      </c>
      <c r="C230" s="138">
        <v>1199356</v>
      </c>
      <c r="D230" s="100"/>
      <c r="E230" s="119">
        <v>1076176.6670870383</v>
      </c>
      <c r="F230" s="100">
        <f t="shared" si="258"/>
        <v>123179.33291296172</v>
      </c>
      <c r="G230" s="100">
        <f t="shared" si="259"/>
        <v>1199356</v>
      </c>
      <c r="H230" s="100">
        <f t="shared" ca="1" si="260"/>
        <v>1092953.6941198313</v>
      </c>
      <c r="I230" s="100">
        <f t="shared" ca="1" si="249"/>
        <v>-106402.30588016869</v>
      </c>
      <c r="J230" s="96">
        <f t="shared" ca="1" si="250"/>
        <v>-8.8716199260410328E-2</v>
      </c>
      <c r="K230" s="114"/>
      <c r="L230" s="100">
        <f ca="1">SUMIF('Operations Support'!$A:$A,A230,'Operations Support'!$X:$X)</f>
        <v>546476.84705991566</v>
      </c>
      <c r="M230" s="100">
        <f ca="1">SUMIF('Operations Support'!$A:$A,A230,'Operations Support'!$Z:$Z)</f>
        <v>546476.84705991566</v>
      </c>
      <c r="N230" s="100">
        <f t="shared" ca="1" si="261"/>
        <v>483849.82079711813</v>
      </c>
      <c r="O230" s="100">
        <f t="shared" ca="1" si="251"/>
        <v>483743.73752395378</v>
      </c>
      <c r="P230" s="100">
        <f t="shared" ref="P230:Q230" si="285">P49*0.019</f>
        <v>62627.026262797546</v>
      </c>
      <c r="Q230" s="100">
        <f t="shared" si="285"/>
        <v>62733.109535961892</v>
      </c>
      <c r="R230" s="100"/>
      <c r="S230" s="100"/>
      <c r="T230" s="100">
        <f t="shared" ca="1" si="252"/>
        <v>546476.84705991566</v>
      </c>
      <c r="U230" s="100">
        <f t="shared" ca="1" si="253"/>
        <v>546476.84705991566</v>
      </c>
      <c r="V230" s="97"/>
      <c r="W230" s="97"/>
      <c r="X230" s="80"/>
      <c r="Y230" s="100">
        <v>546478</v>
      </c>
      <c r="Z230" s="100">
        <v>546478</v>
      </c>
      <c r="AA230" s="79"/>
      <c r="AB230" s="100">
        <f t="shared" ca="1" si="254"/>
        <v>-1.1529400843428448</v>
      </c>
      <c r="AC230" s="100">
        <f t="shared" ca="1" si="255"/>
        <v>-1.1529400843428448</v>
      </c>
      <c r="AE230" s="120">
        <f t="shared" ca="1" si="256"/>
        <v>-2.109769316935831E-6</v>
      </c>
      <c r="AF230" s="120">
        <f t="shared" ca="1" si="257"/>
        <v>-2.109769316935831E-6</v>
      </c>
      <c r="AG230" s="114"/>
    </row>
    <row r="231" spans="1:33" ht="19.95" hidden="1" customHeight="1" outlineLevel="1">
      <c r="A231" s="117">
        <v>3594</v>
      </c>
      <c r="B231" s="118" t="str">
        <f t="shared" si="248"/>
        <v>UNT</v>
      </c>
      <c r="C231" s="138">
        <v>5178433</v>
      </c>
      <c r="D231" s="100"/>
      <c r="E231" s="119">
        <v>3475349.3740459075</v>
      </c>
      <c r="F231" s="100">
        <f t="shared" si="258"/>
        <v>1703083.6259540925</v>
      </c>
      <c r="G231" s="100">
        <f t="shared" si="259"/>
        <v>5178433</v>
      </c>
      <c r="H231" s="100">
        <f t="shared" ca="1" si="260"/>
        <v>4256367.8778002327</v>
      </c>
      <c r="I231" s="100">
        <f t="shared" ca="1" si="249"/>
        <v>-922065.12219976727</v>
      </c>
      <c r="J231" s="96">
        <f t="shared" ca="1" si="250"/>
        <v>-0.17805871432531178</v>
      </c>
      <c r="K231" s="114"/>
      <c r="L231" s="100">
        <f ca="1">SUMIF('Operations Support'!$A:$A,A231,'Operations Support'!$X:$X)</f>
        <v>2128183.9389001164</v>
      </c>
      <c r="M231" s="100">
        <f ca="1">SUMIF('Operations Support'!$A:$A,A231,'Operations Support'!$Z:$Z)</f>
        <v>2128183.9389001164</v>
      </c>
      <c r="N231" s="100">
        <f t="shared" ca="1" si="261"/>
        <v>952060.70821155584</v>
      </c>
      <c r="O231" s="100">
        <f t="shared" ca="1" si="251"/>
        <v>944766.67318373034</v>
      </c>
      <c r="P231" s="100">
        <f t="shared" ref="P231:Q231" si="286">P50*0.019</f>
        <v>1176123.2306885605</v>
      </c>
      <c r="Q231" s="100">
        <f t="shared" si="286"/>
        <v>1183417.265716386</v>
      </c>
      <c r="R231" s="100"/>
      <c r="S231" s="100"/>
      <c r="T231" s="100">
        <f t="shared" ca="1" si="252"/>
        <v>2128183.9389001164</v>
      </c>
      <c r="U231" s="100">
        <f t="shared" ca="1" si="253"/>
        <v>2128183.9389001164</v>
      </c>
      <c r="V231" s="97"/>
      <c r="W231" s="97"/>
      <c r="X231" s="80"/>
      <c r="Y231" s="100">
        <v>2128184</v>
      </c>
      <c r="Z231" s="100">
        <v>2128184</v>
      </c>
      <c r="AA231" s="79"/>
      <c r="AB231" s="100">
        <f t="shared" ca="1" si="254"/>
        <v>-6.1099883634597063E-2</v>
      </c>
      <c r="AC231" s="100">
        <f t="shared" ca="1" si="255"/>
        <v>-6.1099883634597063E-2</v>
      </c>
      <c r="AE231" s="120">
        <f t="shared" ca="1" si="256"/>
        <v>-2.8709869724030798E-8</v>
      </c>
      <c r="AF231" s="120">
        <f t="shared" ca="1" si="257"/>
        <v>-2.8709869724030798E-8</v>
      </c>
      <c r="AG231" s="114"/>
    </row>
    <row r="232" spans="1:33" ht="19.95" hidden="1" customHeight="1" outlineLevel="1">
      <c r="A232" s="117">
        <v>42421</v>
      </c>
      <c r="B232" s="118" t="str">
        <f t="shared" si="248"/>
        <v>UNT-Dallas</v>
      </c>
      <c r="C232" s="138">
        <v>405928</v>
      </c>
      <c r="D232" s="100"/>
      <c r="E232" s="119">
        <v>288880.18443061732</v>
      </c>
      <c r="F232" s="100">
        <f t="shared" si="258"/>
        <v>117047.81556938268</v>
      </c>
      <c r="G232" s="100">
        <f t="shared" si="259"/>
        <v>405928</v>
      </c>
      <c r="H232" s="100">
        <f t="shared" ca="1" si="260"/>
        <v>446282.02926330245</v>
      </c>
      <c r="I232" s="100">
        <f t="shared" ca="1" si="249"/>
        <v>40354.029263302451</v>
      </c>
      <c r="J232" s="96">
        <f t="shared" ca="1" si="250"/>
        <v>9.9411790424169935E-2</v>
      </c>
      <c r="K232" s="114"/>
      <c r="L232" s="100">
        <f ca="1">SUMIF('Operations Support'!$A:$A,A232,'Operations Support'!$X:$X)</f>
        <v>223141.01463165123</v>
      </c>
      <c r="M232" s="100">
        <f ca="1">SUMIF('Operations Support'!$A:$A,A232,'Operations Support'!$Z:$Z)</f>
        <v>223141.01463165123</v>
      </c>
      <c r="N232" s="100">
        <f t="shared" ca="1" si="261"/>
        <v>183500.55227630839</v>
      </c>
      <c r="O232" s="100">
        <f t="shared" ca="1" si="251"/>
        <v>183475.60581815196</v>
      </c>
      <c r="P232" s="100">
        <f t="shared" ref="P232:Q232" si="287">P51*0.019</f>
        <v>39640.462355342846</v>
      </c>
      <c r="Q232" s="100">
        <f t="shared" si="287"/>
        <v>39665.408813499263</v>
      </c>
      <c r="R232" s="100"/>
      <c r="S232" s="100"/>
      <c r="T232" s="100">
        <f t="shared" ca="1" si="252"/>
        <v>223141.01463165123</v>
      </c>
      <c r="U232" s="100">
        <f t="shared" ca="1" si="253"/>
        <v>223141.01463165123</v>
      </c>
      <c r="V232" s="97"/>
      <c r="W232" s="97"/>
      <c r="X232" s="80"/>
      <c r="Y232" s="100">
        <v>223142</v>
      </c>
      <c r="Z232" s="100">
        <v>223142</v>
      </c>
      <c r="AA232" s="79"/>
      <c r="AB232" s="100">
        <f t="shared" ca="1" si="254"/>
        <v>-0.98536834877450019</v>
      </c>
      <c r="AC232" s="100">
        <f t="shared" ca="1" si="255"/>
        <v>-0.98536834877450019</v>
      </c>
      <c r="AE232" s="120">
        <f t="shared" ca="1" si="256"/>
        <v>-4.4158997412514749E-6</v>
      </c>
      <c r="AF232" s="120">
        <f t="shared" ca="1" si="257"/>
        <v>-4.4158997412514749E-6</v>
      </c>
      <c r="AG232" s="114"/>
    </row>
    <row r="233" spans="1:33" ht="19.95" hidden="1" customHeight="1" outlineLevel="1">
      <c r="A233" s="117">
        <v>3624</v>
      </c>
      <c r="B233" s="118" t="str">
        <f t="shared" si="248"/>
        <v>SFA</v>
      </c>
      <c r="C233" s="138">
        <v>2709730</v>
      </c>
      <c r="D233" s="100"/>
      <c r="E233" s="119">
        <v>2405832.6478370847</v>
      </c>
      <c r="F233" s="100">
        <f t="shared" ref="F233:F242" si="288">G233-E233</f>
        <v>303897.35216291528</v>
      </c>
      <c r="G233" s="100">
        <f t="shared" si="259"/>
        <v>2709730</v>
      </c>
      <c r="H233" s="100">
        <f t="shared" ca="1" si="260"/>
        <v>2493375.2212588801</v>
      </c>
      <c r="I233" s="100">
        <f t="shared" ca="1" si="249"/>
        <v>-216354.7787411199</v>
      </c>
      <c r="J233" s="96">
        <f t="shared" ca="1" si="250"/>
        <v>-7.9843666616644424E-2</v>
      </c>
      <c r="K233" s="114"/>
      <c r="L233" s="100">
        <f ca="1">SUMIF('Operations Support'!$A:$A,A233,'Operations Support'!$X:$X)</f>
        <v>1246687.6106294401</v>
      </c>
      <c r="M233" s="100">
        <f ca="1">SUMIF('Operations Support'!$A:$A,A233,'Operations Support'!$Z:$Z)</f>
        <v>1246687.6106294401</v>
      </c>
      <c r="N233" s="100">
        <f t="shared" ca="1" si="261"/>
        <v>1149934.7424649461</v>
      </c>
      <c r="O233" s="100">
        <f t="shared" ca="1" si="251"/>
        <v>1149862.4763790572</v>
      </c>
      <c r="P233" s="100">
        <f t="shared" ref="P233:Q233" si="289">P52*0.019</f>
        <v>96752.868164493877</v>
      </c>
      <c r="Q233" s="100">
        <f t="shared" si="289"/>
        <v>96825.134250382805</v>
      </c>
      <c r="R233" s="100"/>
      <c r="S233" s="100"/>
      <c r="T233" s="100">
        <f t="shared" ca="1" si="252"/>
        <v>1246687.6106294401</v>
      </c>
      <c r="U233" s="100">
        <f t="shared" ca="1" si="253"/>
        <v>1246687.6106294401</v>
      </c>
      <c r="V233" s="97"/>
      <c r="W233" s="97"/>
      <c r="X233" s="80"/>
      <c r="Y233" s="100">
        <v>1246688.5</v>
      </c>
      <c r="Z233" s="100">
        <v>1246688.5</v>
      </c>
      <c r="AA233" s="79"/>
      <c r="AB233" s="100">
        <f t="shared" ca="1" si="254"/>
        <v>-0.8893705599475652</v>
      </c>
      <c r="AC233" s="100">
        <f t="shared" ca="1" si="255"/>
        <v>-0.8893705599475652</v>
      </c>
      <c r="AE233" s="120">
        <f t="shared" ca="1" si="256"/>
        <v>-7.1338685999978052E-7</v>
      </c>
      <c r="AF233" s="120">
        <f t="shared" ca="1" si="257"/>
        <v>-7.1338685999978052E-7</v>
      </c>
      <c r="AG233" s="114"/>
    </row>
    <row r="234" spans="1:33" ht="19.95" hidden="1" customHeight="1" outlineLevel="1">
      <c r="A234" s="117">
        <v>3642</v>
      </c>
      <c r="B234" s="118" t="str">
        <f t="shared" si="248"/>
        <v>TSU</v>
      </c>
      <c r="C234" s="138">
        <v>881382</v>
      </c>
      <c r="D234" s="100"/>
      <c r="E234" s="119">
        <v>548285.2572476276</v>
      </c>
      <c r="F234" s="100">
        <f t="shared" si="288"/>
        <v>333096.7427523724</v>
      </c>
      <c r="G234" s="100">
        <f t="shared" si="259"/>
        <v>881382</v>
      </c>
      <c r="H234" s="100">
        <f t="shared" ca="1" si="260"/>
        <v>1124422.2316500882</v>
      </c>
      <c r="I234" s="100">
        <f t="shared" ca="1" si="249"/>
        <v>243040.23165008822</v>
      </c>
      <c r="J234" s="96">
        <f t="shared" ca="1" si="250"/>
        <v>0.27574903010282514</v>
      </c>
      <c r="K234" s="114"/>
      <c r="L234" s="100">
        <f ca="1">SUMIF('Operations Support'!$A:$A,A234,'Operations Support'!$X:$X)</f>
        <v>562211.11582504411</v>
      </c>
      <c r="M234" s="100">
        <f ca="1">SUMIF('Operations Support'!$A:$A,A234,'Operations Support'!$Z:$Z)</f>
        <v>562211.11582504411</v>
      </c>
      <c r="N234" s="100">
        <f t="shared" ca="1" si="261"/>
        <v>273520.45807098283</v>
      </c>
      <c r="O234" s="100">
        <f t="shared" ca="1" si="251"/>
        <v>272149.74163362343</v>
      </c>
      <c r="P234" s="100">
        <f t="shared" ref="P234:Q234" si="290">P53*0.019</f>
        <v>288690.65775406128</v>
      </c>
      <c r="Q234" s="100">
        <f t="shared" si="290"/>
        <v>290061.37419142068</v>
      </c>
      <c r="R234" s="100"/>
      <c r="S234" s="100"/>
      <c r="T234" s="100">
        <f t="shared" ca="1" si="252"/>
        <v>562211.11582504411</v>
      </c>
      <c r="U234" s="100">
        <f t="shared" ca="1" si="253"/>
        <v>562211.11582504411</v>
      </c>
      <c r="V234" s="97"/>
      <c r="W234" s="97"/>
      <c r="X234" s="80"/>
      <c r="Y234" s="100">
        <v>562209.5</v>
      </c>
      <c r="Z234" s="100">
        <v>562209.5</v>
      </c>
      <c r="AA234" s="79"/>
      <c r="AB234" s="100">
        <f t="shared" ca="1" si="254"/>
        <v>1.6158250441076234</v>
      </c>
      <c r="AC234" s="100">
        <f t="shared" ca="1" si="255"/>
        <v>1.6158250441076234</v>
      </c>
      <c r="AE234" s="120">
        <f t="shared" ca="1" si="256"/>
        <v>2.874053889411991E-6</v>
      </c>
      <c r="AF234" s="120">
        <f t="shared" ca="1" si="257"/>
        <v>2.874053889411991E-6</v>
      </c>
      <c r="AG234" s="114"/>
    </row>
    <row r="235" spans="1:33" ht="19.95" hidden="1" customHeight="1" outlineLevel="1">
      <c r="A235" s="117">
        <v>3644</v>
      </c>
      <c r="B235" s="118" t="str">
        <f t="shared" si="248"/>
        <v>TTU</v>
      </c>
      <c r="C235" s="138">
        <v>6613463</v>
      </c>
      <c r="D235" s="100"/>
      <c r="E235" s="119">
        <v>5231969.5165844485</v>
      </c>
      <c r="F235" s="100">
        <f t="shared" si="288"/>
        <v>1381493.4834155515</v>
      </c>
      <c r="G235" s="100">
        <f t="shared" si="259"/>
        <v>6613463</v>
      </c>
      <c r="H235" s="100">
        <f t="shared" ca="1" si="260"/>
        <v>5813326.6872131815</v>
      </c>
      <c r="I235" s="100">
        <f t="shared" ca="1" si="249"/>
        <v>-800136.31278681848</v>
      </c>
      <c r="J235" s="96">
        <f t="shared" ca="1" si="250"/>
        <v>-0.1209859815934282</v>
      </c>
      <c r="K235" s="114"/>
      <c r="L235" s="100">
        <f ca="1">SUMIF('Operations Support'!$A:$A,A235,'Operations Support'!$X:$X)</f>
        <v>2906663.3436065908</v>
      </c>
      <c r="M235" s="100">
        <f ca="1">SUMIF('Operations Support'!$A:$A,A235,'Operations Support'!$Z:$Z)</f>
        <v>2906663.3436065908</v>
      </c>
      <c r="N235" s="100">
        <f t="shared" ca="1" si="261"/>
        <v>2205442.5789234061</v>
      </c>
      <c r="O235" s="100">
        <f t="shared" ca="1" si="251"/>
        <v>2203076.5195691106</v>
      </c>
      <c r="P235" s="100">
        <f t="shared" ref="P235:Q235" si="291">P54*0.019</f>
        <v>701220.7646831848</v>
      </c>
      <c r="Q235" s="100">
        <f t="shared" si="291"/>
        <v>703586.82403748005</v>
      </c>
      <c r="R235" s="100"/>
      <c r="S235" s="100"/>
      <c r="T235" s="100">
        <f t="shared" ca="1" si="252"/>
        <v>2906663.3436065908</v>
      </c>
      <c r="U235" s="100">
        <f t="shared" ca="1" si="253"/>
        <v>2906663.3436065908</v>
      </c>
      <c r="V235" s="97"/>
      <c r="W235" s="97"/>
      <c r="X235" s="80"/>
      <c r="Y235" s="100">
        <v>2906661.5</v>
      </c>
      <c r="Z235" s="100">
        <v>2906661.5</v>
      </c>
      <c r="AA235" s="79"/>
      <c r="AB235" s="100">
        <f t="shared" ca="1" si="254"/>
        <v>1.8436065907590091</v>
      </c>
      <c r="AC235" s="100">
        <f t="shared" ca="1" si="255"/>
        <v>1.8436065907590091</v>
      </c>
      <c r="AE235" s="120">
        <f t="shared" ca="1" si="256"/>
        <v>6.3426904763984822E-7</v>
      </c>
      <c r="AF235" s="120">
        <f t="shared" ca="1" si="257"/>
        <v>6.3426904763984822E-7</v>
      </c>
      <c r="AG235" s="114"/>
    </row>
    <row r="236" spans="1:33" ht="19.95" hidden="1" customHeight="1" outlineLevel="1">
      <c r="A236" s="117">
        <v>3541</v>
      </c>
      <c r="B236" s="118" t="str">
        <f t="shared" si="248"/>
        <v>Angelo</v>
      </c>
      <c r="C236" s="138">
        <v>1525303</v>
      </c>
      <c r="D236" s="100"/>
      <c r="E236" s="119">
        <v>1311718.5433903837</v>
      </c>
      <c r="F236" s="100">
        <f t="shared" si="288"/>
        <v>213584.45660961629</v>
      </c>
      <c r="G236" s="100">
        <f t="shared" si="259"/>
        <v>1525303</v>
      </c>
      <c r="H236" s="100">
        <f t="shared" ca="1" si="260"/>
        <v>1535069.892379605</v>
      </c>
      <c r="I236" s="100">
        <f t="shared" ca="1" si="249"/>
        <v>9766.8923796049785</v>
      </c>
      <c r="J236" s="96">
        <f t="shared" ca="1" si="250"/>
        <v>6.4032473414167403E-3</v>
      </c>
      <c r="K236" s="114"/>
      <c r="L236" s="100">
        <f ca="1">SUMIF('Operations Support'!$A:$A,A236,'Operations Support'!$X:$X)</f>
        <v>767534.94618980249</v>
      </c>
      <c r="M236" s="100">
        <f ca="1">SUMIF('Operations Support'!$A:$A,A236,'Operations Support'!$Z:$Z)</f>
        <v>767534.94618980249</v>
      </c>
      <c r="N236" s="100">
        <f t="shared" ca="1" si="261"/>
        <v>661360.75142409618</v>
      </c>
      <c r="O236" s="100">
        <f t="shared" ca="1" si="251"/>
        <v>661290.02598143916</v>
      </c>
      <c r="P236" s="100">
        <f t="shared" ref="P236:Q236" si="292">P55*0.019</f>
        <v>106174.1947657063</v>
      </c>
      <c r="Q236" s="100">
        <f t="shared" si="292"/>
        <v>106244.92020836334</v>
      </c>
      <c r="R236" s="100"/>
      <c r="S236" s="100"/>
      <c r="T236" s="100">
        <f t="shared" ca="1" si="252"/>
        <v>767534.94618980249</v>
      </c>
      <c r="U236" s="100">
        <f t="shared" ca="1" si="253"/>
        <v>767534.94618980249</v>
      </c>
      <c r="V236" s="97"/>
      <c r="W236" s="97"/>
      <c r="X236" s="80"/>
      <c r="Y236" s="100">
        <v>767535.5</v>
      </c>
      <c r="Z236" s="100">
        <v>767535.5</v>
      </c>
      <c r="AA236" s="79"/>
      <c r="AB236" s="100">
        <f t="shared" ca="1" si="254"/>
        <v>-0.55381019751075655</v>
      </c>
      <c r="AC236" s="100">
        <f t="shared" ca="1" si="255"/>
        <v>-0.55381019751075655</v>
      </c>
      <c r="AE236" s="120">
        <f t="shared" ca="1" si="256"/>
        <v>-7.2154395087804343E-7</v>
      </c>
      <c r="AF236" s="120">
        <f t="shared" ca="1" si="257"/>
        <v>-7.2154395087804343E-7</v>
      </c>
      <c r="AG236" s="114"/>
    </row>
    <row r="237" spans="1:33" ht="19.95" hidden="1" customHeight="1" outlineLevel="1">
      <c r="A237" s="117">
        <v>3646</v>
      </c>
      <c r="B237" s="118" t="str">
        <f t="shared" si="248"/>
        <v>TWU</v>
      </c>
      <c r="C237" s="138">
        <v>1723426</v>
      </c>
      <c r="D237" s="100"/>
      <c r="E237" s="119">
        <v>1318346.9577476243</v>
      </c>
      <c r="F237" s="100">
        <f t="shared" si="288"/>
        <v>405079.04225237574</v>
      </c>
      <c r="G237" s="100">
        <f t="shared" si="259"/>
        <v>1723426</v>
      </c>
      <c r="H237" s="100">
        <f t="shared" ca="1" si="260"/>
        <v>1461644.1382757437</v>
      </c>
      <c r="I237" s="100">
        <f t="shared" ca="1" si="249"/>
        <v>-261781.86172425631</v>
      </c>
      <c r="J237" s="96">
        <f t="shared" ca="1" si="250"/>
        <v>-0.15189620077929444</v>
      </c>
      <c r="K237" s="114"/>
      <c r="L237" s="100">
        <f ca="1">SUMIF('Operations Support'!$A:$A,A237,'Operations Support'!$X:$X)</f>
        <v>730822.06913787185</v>
      </c>
      <c r="M237" s="100">
        <f ca="1">SUMIF('Operations Support'!$A:$A,A237,'Operations Support'!$Z:$Z)</f>
        <v>730822.06913787185</v>
      </c>
      <c r="N237" s="100">
        <f t="shared" ca="1" si="261"/>
        <v>553285.64224199008</v>
      </c>
      <c r="O237" s="100">
        <f t="shared" ca="1" si="251"/>
        <v>552908.71827662317</v>
      </c>
      <c r="P237" s="100">
        <f t="shared" ref="P237:Q237" si="293">P56*0.019</f>
        <v>177536.42689588177</v>
      </c>
      <c r="Q237" s="100">
        <f t="shared" si="293"/>
        <v>177913.35086124871</v>
      </c>
      <c r="R237" s="100"/>
      <c r="S237" s="100"/>
      <c r="T237" s="100">
        <f t="shared" ca="1" si="252"/>
        <v>730822.06913787185</v>
      </c>
      <c r="U237" s="100">
        <f t="shared" ca="1" si="253"/>
        <v>730822.06913787185</v>
      </c>
      <c r="V237" s="97"/>
      <c r="W237" s="97"/>
      <c r="X237" s="80"/>
      <c r="Y237" s="100">
        <v>730821.5</v>
      </c>
      <c r="Z237" s="100">
        <v>730821.5</v>
      </c>
      <c r="AA237" s="79"/>
      <c r="AB237" s="100">
        <f t="shared" ca="1" si="254"/>
        <v>0.56913787184748799</v>
      </c>
      <c r="AC237" s="100">
        <f t="shared" ca="1" si="255"/>
        <v>0.56913787184748799</v>
      </c>
      <c r="AE237" s="120">
        <f t="shared" ca="1" si="256"/>
        <v>7.787639370536282E-7</v>
      </c>
      <c r="AF237" s="120">
        <f t="shared" ca="1" si="257"/>
        <v>7.787639370536282E-7</v>
      </c>
      <c r="AG237" s="114"/>
    </row>
    <row r="238" spans="1:33" ht="19.95" hidden="1" customHeight="1" outlineLevel="1">
      <c r="A238" s="117">
        <v>3581</v>
      </c>
      <c r="B238" s="118" t="str">
        <f t="shared" si="248"/>
        <v>Lamar</v>
      </c>
      <c r="C238" s="138">
        <v>2026091</v>
      </c>
      <c r="D238" s="100"/>
      <c r="E238" s="119">
        <v>1561075.7088650775</v>
      </c>
      <c r="F238" s="100">
        <f t="shared" si="288"/>
        <v>465015.29113492253</v>
      </c>
      <c r="G238" s="100">
        <f t="shared" si="259"/>
        <v>2026091</v>
      </c>
      <c r="H238" s="100">
        <f t="shared" ca="1" si="260"/>
        <v>2072125.6190284197</v>
      </c>
      <c r="I238" s="100">
        <f t="shared" ca="1" si="249"/>
        <v>46034.619028419722</v>
      </c>
      <c r="J238" s="96">
        <f t="shared" ca="1" si="250"/>
        <v>2.2720903961579081E-2</v>
      </c>
      <c r="K238" s="114"/>
      <c r="L238" s="100">
        <f ca="1">SUMIF('Operations Support'!$A:$A,A238,'Operations Support'!$X:$X)</f>
        <v>1036062.8095142099</v>
      </c>
      <c r="M238" s="100">
        <f ca="1">SUMIF('Operations Support'!$A:$A,A238,'Operations Support'!$Z:$Z)</f>
        <v>1036062.8095142099</v>
      </c>
      <c r="N238" s="100">
        <f t="shared" ca="1" si="261"/>
        <v>735779.69815277332</v>
      </c>
      <c r="O238" s="100">
        <f t="shared" ca="1" si="251"/>
        <v>735403.30516193493</v>
      </c>
      <c r="P238" s="100">
        <f t="shared" ref="P238:Q238" si="294">P57*0.019</f>
        <v>300283.11136143649</v>
      </c>
      <c r="Q238" s="100">
        <f t="shared" si="294"/>
        <v>300659.50435227493</v>
      </c>
      <c r="R238" s="100"/>
      <c r="S238" s="100"/>
      <c r="T238" s="100">
        <f t="shared" ca="1" si="252"/>
        <v>1036062.8095142099</v>
      </c>
      <c r="U238" s="100">
        <f t="shared" ca="1" si="253"/>
        <v>1036062.8095142099</v>
      </c>
      <c r="V238" s="97"/>
      <c r="W238" s="97"/>
      <c r="X238" s="80"/>
      <c r="Y238" s="100">
        <v>1036064.5</v>
      </c>
      <c r="Z238" s="100">
        <v>1036064.5</v>
      </c>
      <c r="AA238" s="79"/>
      <c r="AB238" s="100">
        <f t="shared" ca="1" si="254"/>
        <v>-1.6904857901390642</v>
      </c>
      <c r="AC238" s="100">
        <f t="shared" ca="1" si="255"/>
        <v>-1.6904857901390642</v>
      </c>
      <c r="AE238" s="120">
        <f t="shared" ca="1" si="256"/>
        <v>-1.6316441190777814E-6</v>
      </c>
      <c r="AF238" s="120">
        <f t="shared" ca="1" si="257"/>
        <v>-1.6316441190777814E-6</v>
      </c>
      <c r="AG238" s="114"/>
    </row>
    <row r="239" spans="1:33" ht="19.95" hidden="1" customHeight="1" outlineLevel="1">
      <c r="A239" s="117">
        <v>3606</v>
      </c>
      <c r="B239" s="118" t="str">
        <f t="shared" si="248"/>
        <v>Sam Houston</v>
      </c>
      <c r="C239" s="138">
        <v>4159886</v>
      </c>
      <c r="D239" s="100"/>
      <c r="E239" s="119">
        <v>3555783.1454809112</v>
      </c>
      <c r="F239" s="100">
        <f t="shared" si="288"/>
        <v>604102.85451908875</v>
      </c>
      <c r="G239" s="100">
        <f t="shared" si="259"/>
        <v>4159886</v>
      </c>
      <c r="H239" s="100">
        <f t="shared" ca="1" si="260"/>
        <v>4230480.0562924026</v>
      </c>
      <c r="I239" s="100">
        <f t="shared" ca="1" si="249"/>
        <v>70594.056292402558</v>
      </c>
      <c r="J239" s="96">
        <f t="shared" ca="1" si="250"/>
        <v>1.6970190118768293E-2</v>
      </c>
      <c r="K239" s="114"/>
      <c r="L239" s="100">
        <f ca="1">SUMIF('Operations Support'!$A:$A,A239,'Operations Support'!$X:$X)</f>
        <v>2115240.0281462013</v>
      </c>
      <c r="M239" s="100">
        <f ca="1">SUMIF('Operations Support'!$A:$A,A239,'Operations Support'!$Z:$Z)</f>
        <v>2115240.0281462013</v>
      </c>
      <c r="N239" s="100">
        <f t="shared" ca="1" si="261"/>
        <v>1814252.990746503</v>
      </c>
      <c r="O239" s="100">
        <f t="shared" ca="1" si="251"/>
        <v>1813577.7262046486</v>
      </c>
      <c r="P239" s="100">
        <f t="shared" ref="P239:Q239" si="295">P58*0.019</f>
        <v>300987.03739969828</v>
      </c>
      <c r="Q239" s="100">
        <f t="shared" si="295"/>
        <v>301662.30194155272</v>
      </c>
      <c r="R239" s="100"/>
      <c r="S239" s="100"/>
      <c r="T239" s="100">
        <f t="shared" ca="1" si="252"/>
        <v>2115240.0281462013</v>
      </c>
      <c r="U239" s="100">
        <f t="shared" ca="1" si="253"/>
        <v>2115240.0281462013</v>
      </c>
      <c r="V239" s="97"/>
      <c r="W239" s="97"/>
      <c r="X239" s="80"/>
      <c r="Y239" s="100">
        <v>2115240.5</v>
      </c>
      <c r="Z239" s="100">
        <v>2115240.5</v>
      </c>
      <c r="AA239" s="79"/>
      <c r="AB239" s="100">
        <f t="shared" ca="1" si="254"/>
        <v>-0.47185379872098565</v>
      </c>
      <c r="AC239" s="100">
        <f t="shared" ca="1" si="255"/>
        <v>-0.47185379872098565</v>
      </c>
      <c r="AE239" s="120">
        <f t="shared" ca="1" si="256"/>
        <v>-2.2307340653652382E-7</v>
      </c>
      <c r="AF239" s="120">
        <f t="shared" ca="1" si="257"/>
        <v>-2.2307340653652382E-7</v>
      </c>
      <c r="AG239" s="114"/>
    </row>
    <row r="240" spans="1:33" ht="19.95" hidden="1" customHeight="1" outlineLevel="1">
      <c r="A240" s="117">
        <v>3615</v>
      </c>
      <c r="B240" s="118" t="str">
        <f t="shared" si="248"/>
        <v>TXST</v>
      </c>
      <c r="C240" s="138">
        <v>4947589</v>
      </c>
      <c r="D240" s="100"/>
      <c r="E240" s="119">
        <v>3876976.1779925204</v>
      </c>
      <c r="F240" s="100">
        <f t="shared" si="288"/>
        <v>1070612.8220074796</v>
      </c>
      <c r="G240" s="100">
        <f t="shared" si="259"/>
        <v>4947589</v>
      </c>
      <c r="H240" s="100">
        <f t="shared" ca="1" si="260"/>
        <v>4524015.2126645409</v>
      </c>
      <c r="I240" s="100">
        <f t="shared" ca="1" si="249"/>
        <v>-423573.78733545914</v>
      </c>
      <c r="J240" s="96">
        <f t="shared" ca="1" si="250"/>
        <v>-8.5612161263892206E-2</v>
      </c>
      <c r="K240" s="114"/>
      <c r="L240" s="100">
        <f ca="1">SUMIF('Operations Support'!$A:$A,A240,'Operations Support'!$X:$X)</f>
        <v>2262007.6063322704</v>
      </c>
      <c r="M240" s="100">
        <f ca="1">SUMIF('Operations Support'!$A:$A,A240,'Operations Support'!$Z:$Z)</f>
        <v>2262007.6063322704</v>
      </c>
      <c r="N240" s="100">
        <f t="shared" ca="1" si="261"/>
        <v>1712797.8874866467</v>
      </c>
      <c r="O240" s="100">
        <f t="shared" ca="1" si="251"/>
        <v>1711706.0793992179</v>
      </c>
      <c r="P240" s="100">
        <f t="shared" ref="P240:Q240" si="296">P59*0.019</f>
        <v>549209.71884562378</v>
      </c>
      <c r="Q240" s="100">
        <f t="shared" si="296"/>
        <v>550301.52693305269</v>
      </c>
      <c r="R240" s="100"/>
      <c r="S240" s="100"/>
      <c r="T240" s="100">
        <f t="shared" ca="1" si="252"/>
        <v>2262007.6063322704</v>
      </c>
      <c r="U240" s="100">
        <f t="shared" ca="1" si="253"/>
        <v>2262007.6063322704</v>
      </c>
      <c r="V240" s="97"/>
      <c r="W240" s="97"/>
      <c r="X240" s="80"/>
      <c r="Y240" s="100">
        <v>2262006.5</v>
      </c>
      <c r="Z240" s="100">
        <v>2262006.5</v>
      </c>
      <c r="AA240" s="79"/>
      <c r="AB240" s="100">
        <f t="shared" ca="1" si="254"/>
        <v>1.1063322704285383</v>
      </c>
      <c r="AC240" s="100">
        <f t="shared" ca="1" si="255"/>
        <v>1.1063322704285383</v>
      </c>
      <c r="AE240" s="120">
        <f t="shared" ca="1" si="256"/>
        <v>4.8909308144299283E-7</v>
      </c>
      <c r="AF240" s="120">
        <f t="shared" ca="1" si="257"/>
        <v>4.8909308144299283E-7</v>
      </c>
      <c r="AG240" s="114"/>
    </row>
    <row r="241" spans="1:33" ht="19.95" hidden="1" customHeight="1" outlineLevel="1">
      <c r="A241" s="117">
        <v>3625</v>
      </c>
      <c r="B241" s="118" t="str">
        <f t="shared" si="248"/>
        <v>Sul Ross</v>
      </c>
      <c r="C241" s="138">
        <v>282958</v>
      </c>
      <c r="D241" s="100"/>
      <c r="E241" s="119">
        <v>247013.22515492936</v>
      </c>
      <c r="F241" s="100">
        <f t="shared" si="288"/>
        <v>35944.774845070642</v>
      </c>
      <c r="G241" s="100">
        <f t="shared" si="259"/>
        <v>282958</v>
      </c>
      <c r="H241" s="100">
        <f t="shared" ca="1" si="260"/>
        <v>278342.40091150085</v>
      </c>
      <c r="I241" s="100">
        <f t="shared" ca="1" si="249"/>
        <v>-4615.5990884991479</v>
      </c>
      <c r="J241" s="96">
        <f t="shared" ca="1" si="250"/>
        <v>-1.631195827118918E-2</v>
      </c>
      <c r="K241" s="114"/>
      <c r="L241" s="100">
        <f ca="1">SUMIF('Operations Support'!$A:$A,A241,'Operations Support'!$X:$X)</f>
        <v>139171.20045575043</v>
      </c>
      <c r="M241" s="100">
        <f ca="1">SUMIF('Operations Support'!$A:$A,A241,'Operations Support'!$Z:$Z)</f>
        <v>139171.20045575043</v>
      </c>
      <c r="N241" s="100">
        <f t="shared" ca="1" si="261"/>
        <v>119601.74999350091</v>
      </c>
      <c r="O241" s="100">
        <f t="shared" ca="1" si="251"/>
        <v>119564.14847743469</v>
      </c>
      <c r="P241" s="100">
        <f t="shared" ref="P241:Q241" si="297">P60*0.019</f>
        <v>19569.450462249519</v>
      </c>
      <c r="Q241" s="100">
        <f t="shared" si="297"/>
        <v>19607.05197831574</v>
      </c>
      <c r="R241" s="100"/>
      <c r="S241" s="100"/>
      <c r="T241" s="100">
        <f t="shared" ca="1" si="252"/>
        <v>139171.20045575043</v>
      </c>
      <c r="U241" s="100">
        <f t="shared" ca="1" si="253"/>
        <v>139171.20045575043</v>
      </c>
      <c r="V241" s="97"/>
      <c r="W241" s="97"/>
      <c r="X241" s="80"/>
      <c r="Y241" s="100">
        <v>139171.5</v>
      </c>
      <c r="Z241" s="100">
        <v>139171.5</v>
      </c>
      <c r="AA241" s="79"/>
      <c r="AB241" s="100">
        <f t="shared" ca="1" si="254"/>
        <v>-0.29954424957395531</v>
      </c>
      <c r="AC241" s="100">
        <f t="shared" ca="1" si="255"/>
        <v>-0.29954424957395531</v>
      </c>
      <c r="AE241" s="120">
        <f t="shared" ca="1" si="256"/>
        <v>-2.152343650072887E-6</v>
      </c>
      <c r="AF241" s="120">
        <f t="shared" ca="1" si="257"/>
        <v>-2.152343650072887E-6</v>
      </c>
      <c r="AG241" s="114"/>
    </row>
    <row r="242" spans="1:33" ht="19.95" hidden="1" customHeight="1" outlineLevel="1" thickBot="1">
      <c r="A242" s="122">
        <v>20</v>
      </c>
      <c r="B242" s="123" t="str">
        <f t="shared" si="248"/>
        <v>Sul Ross-Rio Grande</v>
      </c>
      <c r="C242" s="139">
        <v>232662</v>
      </c>
      <c r="D242" s="124"/>
      <c r="E242" s="125">
        <v>207356.68468198221</v>
      </c>
      <c r="F242" s="124">
        <f t="shared" si="288"/>
        <v>25305.315318017791</v>
      </c>
      <c r="G242" s="124">
        <f t="shared" si="259"/>
        <v>232662</v>
      </c>
      <c r="H242" s="124">
        <f t="shared" ca="1" si="260"/>
        <v>160919.77839141121</v>
      </c>
      <c r="I242" s="124">
        <f t="shared" ca="1" si="249"/>
        <v>-71742.221608588792</v>
      </c>
      <c r="J242" s="126">
        <f t="shared" ca="1" si="250"/>
        <v>-0.30835384209105393</v>
      </c>
      <c r="K242" s="114"/>
      <c r="L242" s="124">
        <f ca="1">SUMIF('Operations Support'!$A:$A,A242,'Operations Support'!$X:$X)</f>
        <v>80459.889195705604</v>
      </c>
      <c r="M242" s="124">
        <f ca="1">SUMIF('Operations Support'!$A:$A,A242,'Operations Support'!$Z:$Z)</f>
        <v>80459.889195705604</v>
      </c>
      <c r="N242" s="124">
        <f t="shared" ca="1" si="261"/>
        <v>72507.418510626609</v>
      </c>
      <c r="O242" s="124">
        <f t="shared" ca="1" si="251"/>
        <v>72507.096929166699</v>
      </c>
      <c r="P242" s="124">
        <f t="shared" ref="P242:Q242" si="298">P61*0.019</f>
        <v>7952.4706850789917</v>
      </c>
      <c r="Q242" s="124">
        <f t="shared" si="298"/>
        <v>7952.7922665388996</v>
      </c>
      <c r="R242" s="124"/>
      <c r="S242" s="124"/>
      <c r="T242" s="124">
        <f t="shared" ca="1" si="252"/>
        <v>80459.889195705604</v>
      </c>
      <c r="U242" s="124">
        <f t="shared" ca="1" si="253"/>
        <v>80459.889195705604</v>
      </c>
      <c r="V242" s="97"/>
      <c r="W242" s="97"/>
      <c r="X242" s="80"/>
      <c r="Y242" s="124">
        <v>80458</v>
      </c>
      <c r="Z242" s="124">
        <v>80458</v>
      </c>
      <c r="AA242" s="79"/>
      <c r="AB242" s="124">
        <f t="shared" ca="1" si="254"/>
        <v>1.8891957056039246</v>
      </c>
      <c r="AC242" s="124">
        <f t="shared" ca="1" si="255"/>
        <v>1.8891957056039246</v>
      </c>
      <c r="AE242" s="127">
        <f t="shared" ca="1" si="256"/>
        <v>2.3479969019206117E-5</v>
      </c>
      <c r="AF242" s="127">
        <f t="shared" ca="1" si="257"/>
        <v>2.3479969019206117E-5</v>
      </c>
      <c r="AG242" s="114"/>
    </row>
    <row r="243" spans="1:33" ht="19.95" hidden="1" customHeight="1" outlineLevel="1">
      <c r="A243" s="105"/>
      <c r="B243" s="128" t="s">
        <v>1</v>
      </c>
      <c r="C243" s="129">
        <f t="shared" ref="C243:H243" si="299">SUM(C206:C242)</f>
        <v>97236564</v>
      </c>
      <c r="D243" s="129">
        <f t="shared" si="299"/>
        <v>0</v>
      </c>
      <c r="E243" s="129">
        <f t="shared" si="299"/>
        <v>72760558.283139452</v>
      </c>
      <c r="F243" s="129">
        <f t="shared" si="299"/>
        <v>24476005.716860574</v>
      </c>
      <c r="G243" s="129">
        <f t="shared" si="299"/>
        <v>97236564</v>
      </c>
      <c r="H243" s="129">
        <f t="shared" ca="1" si="299"/>
        <v>88697767.595352829</v>
      </c>
      <c r="I243" s="129">
        <f t="shared" ca="1" si="249"/>
        <v>-8538796.4046471715</v>
      </c>
      <c r="J243" s="130">
        <f t="shared" ca="1" si="250"/>
        <v>-8.781466614397411E-2</v>
      </c>
      <c r="L243" s="129">
        <f t="shared" ref="L243:U243" ca="1" si="300">SUM(L206:L242)</f>
        <v>44348883.797676414</v>
      </c>
      <c r="M243" s="129">
        <f t="shared" ca="1" si="300"/>
        <v>44348883.797676414</v>
      </c>
      <c r="N243" s="129">
        <f t="shared" ca="1" si="300"/>
        <v>31861638.052514214</v>
      </c>
      <c r="O243" s="129">
        <f t="shared" ca="1" si="300"/>
        <v>31815308.677836332</v>
      </c>
      <c r="P243" s="129">
        <f t="shared" si="300"/>
        <v>12487245.7451622</v>
      </c>
      <c r="Q243" s="129">
        <f t="shared" si="300"/>
        <v>12533575.119840082</v>
      </c>
      <c r="R243" s="129">
        <f t="shared" si="300"/>
        <v>0</v>
      </c>
      <c r="S243" s="129">
        <f t="shared" si="300"/>
        <v>0</v>
      </c>
      <c r="T243" s="129">
        <f t="shared" ca="1" si="300"/>
        <v>44348883.797676414</v>
      </c>
      <c r="U243" s="129">
        <f t="shared" ca="1" si="300"/>
        <v>44348883.797676414</v>
      </c>
      <c r="V243" s="129"/>
      <c r="W243" s="131"/>
      <c r="X243" s="80"/>
      <c r="Y243" s="276">
        <f>SUM(Y206:Y242)</f>
        <v>44348879.5</v>
      </c>
      <c r="Z243" s="276">
        <f>SUM(Z206:Z242)</f>
        <v>44348879.5</v>
      </c>
      <c r="AB243" s="131">
        <f t="shared" ca="1" si="254"/>
        <v>4.2976764142513275</v>
      </c>
      <c r="AC243" s="131">
        <f t="shared" ca="1" si="255"/>
        <v>4.2976764142513275</v>
      </c>
      <c r="AE243" s="130">
        <f t="shared" ca="1" si="256"/>
        <v>9.6906078490221151E-8</v>
      </c>
      <c r="AF243" s="130">
        <f t="shared" ca="1" si="257"/>
        <v>9.6906078490221151E-8</v>
      </c>
      <c r="AG243" s="114"/>
    </row>
    <row r="244" spans="1:33" ht="30" customHeight="1" collapsed="1">
      <c r="A244" s="105"/>
      <c r="V244" s="129" t="s">
        <v>267</v>
      </c>
      <c r="W244" s="129" t="s">
        <v>289</v>
      </c>
    </row>
    <row r="245" spans="1:33" s="91" customFormat="1" ht="19.95" customHeight="1" thickBot="1">
      <c r="A245" s="532"/>
      <c r="B245" s="533"/>
      <c r="C245" s="533"/>
      <c r="D245" s="533"/>
      <c r="E245" s="533"/>
      <c r="F245" s="533"/>
      <c r="G245" s="533"/>
      <c r="H245" s="533"/>
      <c r="I245" s="533"/>
      <c r="J245" s="533"/>
      <c r="L245" s="534"/>
      <c r="M245" s="534"/>
      <c r="N245" s="534"/>
      <c r="O245" s="534"/>
      <c r="P245" s="534"/>
      <c r="Q245" s="534"/>
      <c r="R245" s="534"/>
      <c r="S245" s="534"/>
      <c r="T245" s="534"/>
      <c r="U245" s="534"/>
      <c r="V245" s="143">
        <v>5.4653073547531532</v>
      </c>
      <c r="W245" s="143">
        <f>'Space Support'!D60</f>
        <v>5.5446397169185255</v>
      </c>
      <c r="AE245" s="94"/>
      <c r="AF245" s="94"/>
    </row>
    <row r="246" spans="1:33" s="91" customFormat="1" ht="67.5" customHeight="1" thickBot="1">
      <c r="A246" s="669" t="s">
        <v>249</v>
      </c>
      <c r="B246" s="670"/>
      <c r="C246" s="670"/>
      <c r="D246" s="670"/>
      <c r="E246" s="670"/>
      <c r="F246" s="670"/>
      <c r="G246" s="670"/>
      <c r="H246" s="670"/>
      <c r="I246" s="670"/>
      <c r="J246" s="670"/>
      <c r="L246" s="673" t="str">
        <f>A246</f>
        <v>Space Support</v>
      </c>
      <c r="M246" s="673"/>
      <c r="N246" s="673"/>
      <c r="O246" s="673"/>
      <c r="P246" s="673"/>
      <c r="Q246" s="673"/>
      <c r="R246" s="673"/>
      <c r="S246" s="673"/>
      <c r="T246" s="673" t="str">
        <f>A246</f>
        <v>Space Support</v>
      </c>
      <c r="U246" s="673"/>
      <c r="V246" s="87" t="s">
        <v>467</v>
      </c>
      <c r="W246" s="87" t="s">
        <v>466</v>
      </c>
      <c r="X246" s="87" t="s">
        <v>259</v>
      </c>
      <c r="AE246" s="94"/>
      <c r="AF246" s="94"/>
    </row>
    <row r="247" spans="1:33" ht="19.95" customHeight="1" outlineLevel="1">
      <c r="A247" s="107">
        <v>3656</v>
      </c>
      <c r="B247" s="108" t="str">
        <f t="shared" ref="B247:B283" si="301">B25</f>
        <v>UT-Arlington</v>
      </c>
      <c r="C247" s="138">
        <v>40456154</v>
      </c>
      <c r="D247" s="109"/>
      <c r="E247" s="132">
        <v>26546282</v>
      </c>
      <c r="F247" s="109">
        <f>G247-E247</f>
        <v>13909872</v>
      </c>
      <c r="G247" s="109">
        <f>C247-D247</f>
        <v>40456154</v>
      </c>
      <c r="H247" s="109">
        <f>L247+M247</f>
        <v>41786620.538313344</v>
      </c>
      <c r="I247" s="109">
        <f t="shared" ref="I247:I294" si="302">H247-G247</f>
        <v>1330466.5383133441</v>
      </c>
      <c r="J247" s="112">
        <f t="shared" ref="J247:J294" si="303">IF(OR(I247=0,G247=0),0,I247/G247)</f>
        <v>3.2886629270625779E-2</v>
      </c>
      <c r="K247" s="114"/>
      <c r="L247" s="109">
        <f>'Space Support'!D4</f>
        <v>20893310.269156672</v>
      </c>
      <c r="M247" s="109">
        <f>'Space Support'!G4</f>
        <v>20893310.269156672</v>
      </c>
      <c r="N247" s="109">
        <f>L247-P247</f>
        <v>13478851.785951929</v>
      </c>
      <c r="O247" s="109">
        <f t="shared" ref="O247:O283" si="304">M247-Q247</f>
        <v>13453816.859015793</v>
      </c>
      <c r="P247" s="100">
        <f>P25*0.154234575791748</f>
        <v>7414458.4832047429</v>
      </c>
      <c r="Q247" s="100">
        <f>Q25*0.154234575791748</f>
        <v>7439493.4101408795</v>
      </c>
      <c r="R247" s="109"/>
      <c r="S247" s="109"/>
      <c r="T247" s="109">
        <f>L247+R247</f>
        <v>20893310.269156672</v>
      </c>
      <c r="U247" s="109">
        <f t="shared" ref="U247:U283" si="305">M247+S247</f>
        <v>20893310.269156672</v>
      </c>
      <c r="V247" s="131">
        <v>3695166.2155269445</v>
      </c>
      <c r="W247" s="131">
        <f>'Space Support'!L4</f>
        <v>3555032.6719499598</v>
      </c>
      <c r="X247" s="553">
        <f t="shared" ref="X247:X294" si="306">(W247-V247)/V247</f>
        <v>-3.7923474995021599E-2</v>
      </c>
      <c r="Y247" s="633">
        <v>20894281</v>
      </c>
      <c r="Z247" s="633">
        <v>20894281</v>
      </c>
      <c r="AB247" s="111">
        <f t="shared" ref="AB247:AB288" si="307">T247-Y247</f>
        <v>-970.73084332793951</v>
      </c>
      <c r="AC247" s="111">
        <f t="shared" ref="AC247:AC288" si="308">U247-Z247</f>
        <v>-970.73084332793951</v>
      </c>
      <c r="AE247" s="116">
        <f t="shared" ref="AE247:AE288" si="309">IFERROR(AB247/T247,0)</f>
        <v>-4.6461323305046656E-5</v>
      </c>
      <c r="AF247" s="116">
        <f t="shared" ref="AF247:AF288" si="310">IFERROR(AC247/U247,0)</f>
        <v>-4.6461323305046656E-5</v>
      </c>
      <c r="AG247" s="114"/>
    </row>
    <row r="248" spans="1:33" ht="19.95" customHeight="1" outlineLevel="1">
      <c r="A248" s="117">
        <v>3658</v>
      </c>
      <c r="B248" s="118" t="str">
        <f t="shared" si="301"/>
        <v>UT-Austin</v>
      </c>
      <c r="C248" s="138">
        <v>118814471</v>
      </c>
      <c r="D248" s="100"/>
      <c r="E248" s="119">
        <v>95359116</v>
      </c>
      <c r="F248" s="100">
        <f t="shared" ref="F248:F293" si="311">G248-E248</f>
        <v>23455355</v>
      </c>
      <c r="G248" s="100">
        <f t="shared" ref="G248:G293" si="312">C248-D248</f>
        <v>118814471</v>
      </c>
      <c r="H248" s="100">
        <f t="shared" ref="H248:H283" si="313">L248+M248</f>
        <v>119113294.59413016</v>
      </c>
      <c r="I248" s="100">
        <f t="shared" si="302"/>
        <v>298823.59413015842</v>
      </c>
      <c r="J248" s="96">
        <f t="shared" si="303"/>
        <v>2.5150437620528429E-3</v>
      </c>
      <c r="K248" s="114"/>
      <c r="L248" s="100">
        <f>'Space Support'!D5</f>
        <v>59556647.297065079</v>
      </c>
      <c r="M248" s="100">
        <f>'Space Support'!G5</f>
        <v>59556647.297065079</v>
      </c>
      <c r="N248" s="100">
        <f>L248-P248</f>
        <v>48034267.702074982</v>
      </c>
      <c r="O248" s="100">
        <f t="shared" si="304"/>
        <v>47968961.921728477</v>
      </c>
      <c r="P248" s="100">
        <f t="shared" ref="P248:Q248" si="314">P26*0.154234575791748</f>
        <v>11522379.594990099</v>
      </c>
      <c r="Q248" s="100">
        <f t="shared" si="314"/>
        <v>11587685.375336606</v>
      </c>
      <c r="R248" s="100"/>
      <c r="S248" s="100"/>
      <c r="T248" s="100">
        <f t="shared" ref="T248:T283" si="315">L248+R248</f>
        <v>59556647.297065079</v>
      </c>
      <c r="U248" s="100">
        <f t="shared" si="305"/>
        <v>59556647.297065079</v>
      </c>
      <c r="V248" s="97">
        <v>10726287.18259462</v>
      </c>
      <c r="W248" s="131">
        <f>'Space Support'!L5</f>
        <v>10531499.145630589</v>
      </c>
      <c r="X248" s="553">
        <f t="shared" si="306"/>
        <v>-1.8159875234378443E-2</v>
      </c>
      <c r="Y248" s="100">
        <v>59557231</v>
      </c>
      <c r="Z248" s="100">
        <v>59557231</v>
      </c>
      <c r="AB248" s="100">
        <f t="shared" si="307"/>
        <v>-583.70293492078781</v>
      </c>
      <c r="AC248" s="100">
        <f t="shared" si="308"/>
        <v>-583.70293492078781</v>
      </c>
      <c r="AE248" s="120">
        <f t="shared" si="309"/>
        <v>-9.8008024529875178E-6</v>
      </c>
      <c r="AF248" s="120">
        <f t="shared" si="310"/>
        <v>-9.8008024529875178E-6</v>
      </c>
      <c r="AG248" s="114"/>
    </row>
    <row r="249" spans="1:33" ht="19.95" customHeight="1" outlineLevel="1">
      <c r="A249" s="117">
        <v>9741</v>
      </c>
      <c r="B249" s="118" t="str">
        <f t="shared" si="301"/>
        <v>UT-Dallas</v>
      </c>
      <c r="C249" s="138">
        <v>36843995</v>
      </c>
      <c r="D249" s="100"/>
      <c r="E249" s="119">
        <v>23643430</v>
      </c>
      <c r="F249" s="100">
        <f t="shared" si="311"/>
        <v>13200565</v>
      </c>
      <c r="G249" s="100">
        <f t="shared" si="312"/>
        <v>36843995</v>
      </c>
      <c r="H249" s="100">
        <f t="shared" si="313"/>
        <v>39297938.161270022</v>
      </c>
      <c r="I249" s="100">
        <f t="shared" si="302"/>
        <v>2453943.1612700224</v>
      </c>
      <c r="J249" s="96">
        <f t="shared" si="303"/>
        <v>6.660361237346879E-2</v>
      </c>
      <c r="K249" s="114"/>
      <c r="L249" s="100">
        <f>'Space Support'!D6</f>
        <v>19648969.080635011</v>
      </c>
      <c r="M249" s="100">
        <f>'Space Support'!G6</f>
        <v>19648969.080635011</v>
      </c>
      <c r="N249" s="100">
        <f>L249-P249</f>
        <v>12780801.749763004</v>
      </c>
      <c r="O249" s="100">
        <f t="shared" si="304"/>
        <v>12733038.287959859</v>
      </c>
      <c r="P249" s="100">
        <f t="shared" ref="P249:Q249" si="316">P27*0.154234575791748</f>
        <v>6868167.3308720067</v>
      </c>
      <c r="Q249" s="100">
        <f t="shared" si="316"/>
        <v>6915930.7926751515</v>
      </c>
      <c r="R249" s="100"/>
      <c r="S249" s="100"/>
      <c r="T249" s="100">
        <f t="shared" si="315"/>
        <v>19648969.080635011</v>
      </c>
      <c r="U249" s="100">
        <f t="shared" si="305"/>
        <v>19648969.080635011</v>
      </c>
      <c r="V249" s="97">
        <v>3362967.4398972774</v>
      </c>
      <c r="W249" s="131">
        <f>'Space Support'!L6</f>
        <v>3342663.896497177</v>
      </c>
      <c r="X249" s="553">
        <f t="shared" si="306"/>
        <v>-6.0373892292934625E-3</v>
      </c>
      <c r="Y249" s="100">
        <v>19649855</v>
      </c>
      <c r="Z249" s="100">
        <v>19649855</v>
      </c>
      <c r="AB249" s="100">
        <f t="shared" si="307"/>
        <v>-885.91936498880386</v>
      </c>
      <c r="AC249" s="100">
        <f t="shared" si="308"/>
        <v>-885.91936498880386</v>
      </c>
      <c r="AE249" s="120">
        <f t="shared" si="309"/>
        <v>-4.5087320426490941E-5</v>
      </c>
      <c r="AF249" s="120">
        <f t="shared" si="310"/>
        <v>-4.5087320426490941E-5</v>
      </c>
      <c r="AG249" s="114"/>
    </row>
    <row r="250" spans="1:33" ht="19.95" customHeight="1" outlineLevel="1">
      <c r="A250" s="117">
        <v>3661</v>
      </c>
      <c r="B250" s="118" t="str">
        <f t="shared" si="301"/>
        <v>UT-El Paso</v>
      </c>
      <c r="C250" s="138">
        <v>26574373</v>
      </c>
      <c r="D250" s="100"/>
      <c r="E250" s="119">
        <v>20889099</v>
      </c>
      <c r="F250" s="100">
        <f t="shared" si="311"/>
        <v>5685274</v>
      </c>
      <c r="G250" s="100">
        <f t="shared" si="312"/>
        <v>26574373</v>
      </c>
      <c r="H250" s="100">
        <f t="shared" si="313"/>
        <v>29870489.52207537</v>
      </c>
      <c r="I250" s="100">
        <f t="shared" si="302"/>
        <v>3296116.52207537</v>
      </c>
      <c r="J250" s="96">
        <f t="shared" si="303"/>
        <v>0.12403365159642224</v>
      </c>
      <c r="K250" s="114"/>
      <c r="L250" s="100">
        <f>'Space Support'!D7</f>
        <v>14935244.761037685</v>
      </c>
      <c r="M250" s="100">
        <f>'Space Support'!G7</f>
        <v>14935244.761037685</v>
      </c>
      <c r="N250" s="100">
        <f t="shared" ref="N250:N283" si="317">L250-P250</f>
        <v>12297292.107532877</v>
      </c>
      <c r="O250" s="100">
        <f t="shared" si="304"/>
        <v>12291982.291033402</v>
      </c>
      <c r="P250" s="100">
        <f t="shared" ref="P250:Q250" si="318">P28*0.154234575791748</f>
        <v>2637952.653504807</v>
      </c>
      <c r="Q250" s="100">
        <f t="shared" si="318"/>
        <v>2643262.4700042824</v>
      </c>
      <c r="R250" s="100"/>
      <c r="S250" s="100"/>
      <c r="T250" s="100">
        <f t="shared" si="315"/>
        <v>14935244.761037685</v>
      </c>
      <c r="U250" s="100">
        <f t="shared" si="305"/>
        <v>14935244.761037685</v>
      </c>
      <c r="V250" s="97">
        <v>2563197.1618064679</v>
      </c>
      <c r="W250" s="131">
        <f>'Space Support'!L7</f>
        <v>2509525.6068235547</v>
      </c>
      <c r="X250" s="553">
        <f t="shared" si="306"/>
        <v>-2.0939300254642534E-2</v>
      </c>
      <c r="Y250" s="100">
        <v>14935415.5</v>
      </c>
      <c r="Z250" s="100">
        <v>14935415.5</v>
      </c>
      <c r="AB250" s="100">
        <f t="shared" si="307"/>
        <v>-170.73896231502295</v>
      </c>
      <c r="AC250" s="100">
        <f t="shared" si="308"/>
        <v>-170.73896231502295</v>
      </c>
      <c r="AE250" s="120">
        <f t="shared" si="309"/>
        <v>-1.1431949395328168E-5</v>
      </c>
      <c r="AF250" s="120">
        <f t="shared" si="310"/>
        <v>-1.1431949395328168E-5</v>
      </c>
      <c r="AG250" s="114"/>
    </row>
    <row r="251" spans="1:33" ht="19.95" customHeight="1" outlineLevel="1">
      <c r="A251" s="117">
        <v>3599</v>
      </c>
      <c r="B251" s="118" t="str">
        <f t="shared" si="301"/>
        <v>UT-Rio Grande Valley</v>
      </c>
      <c r="C251" s="138">
        <v>29260850</v>
      </c>
      <c r="D251" s="100"/>
      <c r="E251" s="119">
        <v>20292699</v>
      </c>
      <c r="F251" s="100">
        <f>G251-E251</f>
        <v>8968151</v>
      </c>
      <c r="G251" s="100">
        <f>C251-D251</f>
        <v>29260850</v>
      </c>
      <c r="H251" s="100">
        <f>L251+M251</f>
        <v>29679586.228340425</v>
      </c>
      <c r="I251" s="100">
        <f t="shared" si="302"/>
        <v>418736.2283404246</v>
      </c>
      <c r="J251" s="96">
        <f t="shared" si="303"/>
        <v>1.4310460165730818E-2</v>
      </c>
      <c r="K251" s="114"/>
      <c r="L251" s="100">
        <f>'Space Support'!D8</f>
        <v>14839793.114170212</v>
      </c>
      <c r="M251" s="100">
        <f>'Space Support'!G8</f>
        <v>14839793.114170212</v>
      </c>
      <c r="N251" s="100">
        <f>L251-P251</f>
        <v>11152794.196159257</v>
      </c>
      <c r="O251" s="100">
        <f>M251-Q251</f>
        <v>11150363.998025998</v>
      </c>
      <c r="P251" s="100">
        <f t="shared" ref="P251:Q251" si="319">P29*0.154234575791748</f>
        <v>3686998.9180109552</v>
      </c>
      <c r="Q251" s="100">
        <f t="shared" si="319"/>
        <v>3689429.1161442129</v>
      </c>
      <c r="R251" s="100"/>
      <c r="S251" s="100"/>
      <c r="T251" s="100">
        <f t="shared" si="315"/>
        <v>14839793.114170212</v>
      </c>
      <c r="U251" s="100">
        <f t="shared" si="305"/>
        <v>14839793.114170212</v>
      </c>
      <c r="V251" s="97">
        <v>2674414.1549980459</v>
      </c>
      <c r="W251" s="131">
        <f>'Space Support'!L8</f>
        <v>2647878.2267865795</v>
      </c>
      <c r="X251" s="553">
        <f t="shared" si="306"/>
        <v>-9.9221461873715659E-3</v>
      </c>
      <c r="Y251" s="100">
        <v>14840899</v>
      </c>
      <c r="Z251" s="100">
        <v>14840899</v>
      </c>
      <c r="AB251" s="100">
        <f t="shared" si="307"/>
        <v>-1105.8858297877014</v>
      </c>
      <c r="AC251" s="100">
        <f t="shared" si="308"/>
        <v>-1105.8858297877014</v>
      </c>
      <c r="AE251" s="120">
        <f t="shared" si="309"/>
        <v>-7.4521647389525519E-5</v>
      </c>
      <c r="AF251" s="120">
        <f t="shared" si="310"/>
        <v>-7.4521647389525519E-5</v>
      </c>
      <c r="AG251" s="114"/>
    </row>
    <row r="252" spans="1:33" ht="19.95" customHeight="1" outlineLevel="1">
      <c r="A252" s="117">
        <v>9930</v>
      </c>
      <c r="B252" s="118" t="str">
        <f t="shared" si="301"/>
        <v>UT-Permian Basin</v>
      </c>
      <c r="C252" s="138">
        <v>4858147</v>
      </c>
      <c r="D252" s="100"/>
      <c r="E252" s="119">
        <v>3181799</v>
      </c>
      <c r="F252" s="100">
        <f t="shared" si="311"/>
        <v>1676348</v>
      </c>
      <c r="G252" s="100">
        <f t="shared" si="312"/>
        <v>4858147</v>
      </c>
      <c r="H252" s="100">
        <f t="shared" si="313"/>
        <v>4536263.1271691862</v>
      </c>
      <c r="I252" s="100">
        <f t="shared" si="302"/>
        <v>-321883.87283081375</v>
      </c>
      <c r="J252" s="96">
        <f t="shared" si="303"/>
        <v>-6.6256511552823277E-2</v>
      </c>
      <c r="K252" s="114"/>
      <c r="L252" s="100">
        <f>'Space Support'!D9</f>
        <v>2268131.5635845931</v>
      </c>
      <c r="M252" s="100">
        <f>'Space Support'!G9</f>
        <v>2268131.5635845931</v>
      </c>
      <c r="N252" s="100">
        <f t="shared" si="317"/>
        <v>1461323.6971049623</v>
      </c>
      <c r="O252" s="100">
        <f t="shared" si="304"/>
        <v>1460521.6415673415</v>
      </c>
      <c r="P252" s="100">
        <f t="shared" ref="P252:Q252" si="320">P30*0.154234575791748</f>
        <v>806807.86647963081</v>
      </c>
      <c r="Q252" s="100">
        <f t="shared" si="320"/>
        <v>807609.92201725149</v>
      </c>
      <c r="R252" s="100"/>
      <c r="S252" s="100"/>
      <c r="T252" s="100">
        <f t="shared" si="315"/>
        <v>2268131.5635845931</v>
      </c>
      <c r="U252" s="100">
        <f t="shared" si="305"/>
        <v>2268131.5635845931</v>
      </c>
      <c r="V252" s="97">
        <v>452497.68979751837</v>
      </c>
      <c r="W252" s="131">
        <f>'Space Support'!L9</f>
        <v>397488.53640710749</v>
      </c>
      <c r="X252" s="553">
        <f t="shared" si="306"/>
        <v>-0.12156781046777528</v>
      </c>
      <c r="Y252" s="100">
        <v>2268216</v>
      </c>
      <c r="Z252" s="100">
        <v>2268216</v>
      </c>
      <c r="AB252" s="100">
        <f t="shared" si="307"/>
        <v>-84.436415406875312</v>
      </c>
      <c r="AC252" s="100">
        <f t="shared" si="308"/>
        <v>-84.436415406875312</v>
      </c>
      <c r="AE252" s="120">
        <f t="shared" si="309"/>
        <v>-3.7227300551045011E-5</v>
      </c>
      <c r="AF252" s="120">
        <f t="shared" si="310"/>
        <v>-3.7227300551045011E-5</v>
      </c>
      <c r="AG252" s="114"/>
    </row>
    <row r="253" spans="1:33" ht="19.95" customHeight="1" outlineLevel="1">
      <c r="A253" s="117">
        <v>10115</v>
      </c>
      <c r="B253" s="118" t="str">
        <f t="shared" si="301"/>
        <v>UT-San Antonio</v>
      </c>
      <c r="C253" s="138">
        <v>38685615</v>
      </c>
      <c r="D253" s="100"/>
      <c r="E253" s="119">
        <v>29355423</v>
      </c>
      <c r="F253" s="100">
        <f t="shared" si="311"/>
        <v>9330192</v>
      </c>
      <c r="G253" s="100">
        <f t="shared" si="312"/>
        <v>38685615</v>
      </c>
      <c r="H253" s="100">
        <f t="shared" si="313"/>
        <v>42096512.509438738</v>
      </c>
      <c r="I253" s="100">
        <f t="shared" si="302"/>
        <v>3410897.5094387382</v>
      </c>
      <c r="J253" s="96">
        <f t="shared" si="303"/>
        <v>8.8169659689751295E-2</v>
      </c>
      <c r="K253" s="114"/>
      <c r="L253" s="100">
        <f>'Space Support'!D10</f>
        <v>21048256.254719369</v>
      </c>
      <c r="M253" s="100">
        <f>'Space Support'!G10</f>
        <v>21048256.254719369</v>
      </c>
      <c r="N253" s="100">
        <f t="shared" si="317"/>
        <v>17170406.875862736</v>
      </c>
      <c r="O253" s="100">
        <f t="shared" si="304"/>
        <v>17165086.460384667</v>
      </c>
      <c r="P253" s="100">
        <f t="shared" ref="P253:Q253" si="321">P31*0.154234575791748</f>
        <v>3877849.3788566315</v>
      </c>
      <c r="Q253" s="100">
        <f t="shared" si="321"/>
        <v>3883169.7943347013</v>
      </c>
      <c r="R253" s="100"/>
      <c r="S253" s="100"/>
      <c r="T253" s="100">
        <f t="shared" si="315"/>
        <v>21048256.254719369</v>
      </c>
      <c r="U253" s="100">
        <f t="shared" si="305"/>
        <v>21048256.254719369</v>
      </c>
      <c r="V253" s="97">
        <v>3372939.4800277636</v>
      </c>
      <c r="W253" s="131">
        <f>'Space Support'!L10</f>
        <v>3402468.1797298249</v>
      </c>
      <c r="X253" s="553">
        <f t="shared" si="306"/>
        <v>8.7545892468305388E-3</v>
      </c>
      <c r="Y253" s="100">
        <v>21047905</v>
      </c>
      <c r="Z253" s="100">
        <v>21047905</v>
      </c>
      <c r="AB253" s="100">
        <f t="shared" si="307"/>
        <v>351.25471936911345</v>
      </c>
      <c r="AC253" s="100">
        <f t="shared" si="308"/>
        <v>351.25471936911345</v>
      </c>
      <c r="AE253" s="120">
        <f t="shared" si="309"/>
        <v>1.6688067416052877E-5</v>
      </c>
      <c r="AF253" s="120">
        <f t="shared" si="310"/>
        <v>1.6688067416052877E-5</v>
      </c>
      <c r="AG253" s="114"/>
    </row>
    <row r="254" spans="1:33" ht="19.95" customHeight="1" outlineLevel="1">
      <c r="A254" s="117">
        <v>11163</v>
      </c>
      <c r="B254" s="118" t="str">
        <f t="shared" si="301"/>
        <v>UT-Tyler</v>
      </c>
      <c r="C254" s="138">
        <v>9254799</v>
      </c>
      <c r="D254" s="100"/>
      <c r="E254" s="119">
        <v>6503697</v>
      </c>
      <c r="F254" s="100">
        <f t="shared" si="311"/>
        <v>2751102</v>
      </c>
      <c r="G254" s="100">
        <f t="shared" si="312"/>
        <v>9254799</v>
      </c>
      <c r="H254" s="100">
        <f t="shared" si="313"/>
        <v>8523833.3495546896</v>
      </c>
      <c r="I254" s="100">
        <f t="shared" si="302"/>
        <v>-730965.6504453104</v>
      </c>
      <c r="J254" s="96">
        <f t="shared" si="303"/>
        <v>-7.898233667152689E-2</v>
      </c>
      <c r="K254" s="114"/>
      <c r="L254" s="100">
        <f>'Space Support'!D11</f>
        <v>4261916.6747773448</v>
      </c>
      <c r="M254" s="100">
        <f>'Space Support'!G11</f>
        <v>4261916.6747773448</v>
      </c>
      <c r="N254" s="100">
        <f t="shared" si="317"/>
        <v>3119278.7808514158</v>
      </c>
      <c r="O254" s="100">
        <f t="shared" si="304"/>
        <v>3117254.5387927163</v>
      </c>
      <c r="P254" s="100">
        <f t="shared" ref="P254:Q254" si="322">P32*0.154234575791748</f>
        <v>1142637.893925929</v>
      </c>
      <c r="Q254" s="100">
        <f t="shared" si="322"/>
        <v>1144662.1359846287</v>
      </c>
      <c r="R254" s="100"/>
      <c r="S254" s="100"/>
      <c r="T254" s="100">
        <f t="shared" si="315"/>
        <v>4261916.6747773448</v>
      </c>
      <c r="U254" s="100">
        <f t="shared" si="305"/>
        <v>4261916.6747773448</v>
      </c>
      <c r="V254" s="97">
        <v>783407.82693409361</v>
      </c>
      <c r="W254" s="131">
        <f>'Space Support'!L11</f>
        <v>764419.78488937882</v>
      </c>
      <c r="X254" s="553">
        <f t="shared" si="306"/>
        <v>-2.4237748707496912E-2</v>
      </c>
      <c r="Y254" s="100">
        <v>4261862</v>
      </c>
      <c r="Z254" s="100">
        <v>4261862</v>
      </c>
      <c r="AB254" s="100">
        <f t="shared" si="307"/>
        <v>54.674777344800532</v>
      </c>
      <c r="AC254" s="100">
        <f t="shared" si="308"/>
        <v>54.674777344800532</v>
      </c>
      <c r="AE254" s="120">
        <f t="shared" si="309"/>
        <v>1.2828682847877805E-5</v>
      </c>
      <c r="AF254" s="120">
        <f t="shared" si="310"/>
        <v>1.2828682847877805E-5</v>
      </c>
      <c r="AG254" s="114"/>
    </row>
    <row r="255" spans="1:33" ht="19.95" customHeight="1" outlineLevel="1">
      <c r="A255" s="117">
        <v>3632</v>
      </c>
      <c r="B255" s="121" t="str">
        <f t="shared" si="301"/>
        <v>TAMU</v>
      </c>
      <c r="C255" s="138">
        <v>95281131.738066301</v>
      </c>
      <c r="D255" s="100"/>
      <c r="E255" s="119">
        <v>71303133.738066301</v>
      </c>
      <c r="F255" s="100">
        <f t="shared" si="311"/>
        <v>23977998</v>
      </c>
      <c r="G255" s="100">
        <f t="shared" si="312"/>
        <v>95281131.738066301</v>
      </c>
      <c r="H255" s="100">
        <f t="shared" si="313"/>
        <v>96516934.145703673</v>
      </c>
      <c r="I255" s="100">
        <f t="shared" si="302"/>
        <v>1235802.4076373726</v>
      </c>
      <c r="J255" s="96">
        <f t="shared" si="303"/>
        <v>1.2970064325376294E-2</v>
      </c>
      <c r="K255" s="114"/>
      <c r="L255" s="100">
        <f>'Space Support'!D12+'Space Support'!D41</f>
        <v>48258467.072851837</v>
      </c>
      <c r="M255" s="100">
        <f>'Space Support'!G12+'Space Support'!G41</f>
        <v>48258467.072851837</v>
      </c>
      <c r="N255" s="100">
        <f t="shared" si="317"/>
        <v>37851880.57497213</v>
      </c>
      <c r="O255" s="100">
        <f t="shared" si="304"/>
        <v>37809187.631898373</v>
      </c>
      <c r="P255" s="100">
        <f t="shared" ref="P255:Q255" si="323">P33*0.154234575791748</f>
        <v>10406586.497879706</v>
      </c>
      <c r="Q255" s="100">
        <f t="shared" si="323"/>
        <v>10449279.44095346</v>
      </c>
      <c r="R255" s="100"/>
      <c r="S255" s="100"/>
      <c r="T255" s="100">
        <f t="shared" si="315"/>
        <v>48258467.072851837</v>
      </c>
      <c r="U255" s="100">
        <f t="shared" si="305"/>
        <v>48258467.072851837</v>
      </c>
      <c r="V255" s="97">
        <v>8956315.6212653257</v>
      </c>
      <c r="W255" s="131">
        <f>'Space Support'!L12+'Space Support'!L41</f>
        <v>8860022.7495047711</v>
      </c>
      <c r="X255" s="553">
        <f t="shared" si="306"/>
        <v>-1.0751393299709396E-2</v>
      </c>
      <c r="Y255" s="100">
        <v>48259094.636386082</v>
      </c>
      <c r="Z255" s="100">
        <v>48259094.636386082</v>
      </c>
      <c r="AB255" s="100">
        <f t="shared" si="307"/>
        <v>-627.56353424489498</v>
      </c>
      <c r="AC255" s="100">
        <f t="shared" si="308"/>
        <v>-627.56353424489498</v>
      </c>
      <c r="AE255" s="120">
        <f t="shared" si="309"/>
        <v>-1.3004216095333364E-5</v>
      </c>
      <c r="AF255" s="120">
        <f t="shared" si="310"/>
        <v>-1.3004216095333364E-5</v>
      </c>
      <c r="AG255" s="114" t="s">
        <v>396</v>
      </c>
    </row>
    <row r="256" spans="1:33" ht="19.95" customHeight="1" outlineLevel="1">
      <c r="A256" s="117">
        <v>10298</v>
      </c>
      <c r="B256" s="118" t="str">
        <f t="shared" si="301"/>
        <v>TAMU-Galveston</v>
      </c>
      <c r="C256" s="138">
        <v>7004865.5218787845</v>
      </c>
      <c r="D256" s="100"/>
      <c r="E256" s="119">
        <v>6342990.5218787845</v>
      </c>
      <c r="F256" s="100">
        <f t="shared" si="311"/>
        <v>661875</v>
      </c>
      <c r="G256" s="100">
        <f t="shared" si="312"/>
        <v>7004865.5218787845</v>
      </c>
      <c r="H256" s="100">
        <f t="shared" si="313"/>
        <v>7749648.9192695934</v>
      </c>
      <c r="I256" s="100">
        <f t="shared" si="302"/>
        <v>744783.39739080891</v>
      </c>
      <c r="J256" s="96">
        <f t="shared" si="303"/>
        <v>0.10632372528274454</v>
      </c>
      <c r="K256" s="114"/>
      <c r="L256" s="100">
        <f>'Space Support'!D13</f>
        <v>3874824.4596347967</v>
      </c>
      <c r="M256" s="100">
        <f>'Space Support'!G13</f>
        <v>3874824.4596347967</v>
      </c>
      <c r="N256" s="100">
        <f t="shared" si="317"/>
        <v>3381993.7397431545</v>
      </c>
      <c r="O256" s="100">
        <f t="shared" si="304"/>
        <v>3379880.3531720978</v>
      </c>
      <c r="P256" s="100">
        <f t="shared" ref="P256:Q256" si="324">P34*0.154234575791748</f>
        <v>492830.71989164216</v>
      </c>
      <c r="Q256" s="100">
        <f t="shared" si="324"/>
        <v>494944.10646269884</v>
      </c>
      <c r="R256" s="100"/>
      <c r="S256" s="100"/>
      <c r="T256" s="100">
        <f t="shared" si="315"/>
        <v>3874824.4596347967</v>
      </c>
      <c r="U256" s="100">
        <f t="shared" si="305"/>
        <v>3874824.4596347967</v>
      </c>
      <c r="V256" s="97">
        <v>295418.72070592322</v>
      </c>
      <c r="W256" s="131">
        <f>'Space Support'!L13</f>
        <v>301984.60330022423</v>
      </c>
      <c r="X256" s="553">
        <f t="shared" si="306"/>
        <v>2.2225682172786448E-2</v>
      </c>
      <c r="Y256" s="100">
        <v>3874820.3597655576</v>
      </c>
      <c r="Z256" s="100">
        <v>3874820.3597655576</v>
      </c>
      <c r="AB256" s="100">
        <f t="shared" si="307"/>
        <v>4.0998692391440272</v>
      </c>
      <c r="AC256" s="100">
        <f t="shared" si="308"/>
        <v>4.0998692391440272</v>
      </c>
      <c r="AE256" s="120">
        <f t="shared" si="309"/>
        <v>1.0580787031396103E-6</v>
      </c>
      <c r="AF256" s="120">
        <f t="shared" si="310"/>
        <v>1.0580787031396103E-6</v>
      </c>
      <c r="AG256" s="114"/>
    </row>
    <row r="257" spans="1:33" ht="19.95" customHeight="1" outlineLevel="1">
      <c r="A257" s="117">
        <v>3630</v>
      </c>
      <c r="B257" s="118" t="str">
        <f t="shared" si="301"/>
        <v>Prairie View</v>
      </c>
      <c r="C257" s="138">
        <v>13417413</v>
      </c>
      <c r="D257" s="100"/>
      <c r="E257" s="119">
        <v>9418910</v>
      </c>
      <c r="F257" s="100">
        <f t="shared" si="311"/>
        <v>3998503</v>
      </c>
      <c r="G257" s="100">
        <f t="shared" si="312"/>
        <v>13417413</v>
      </c>
      <c r="H257" s="100">
        <f t="shared" si="313"/>
        <v>14475120.356216282</v>
      </c>
      <c r="I257" s="100">
        <f t="shared" si="302"/>
        <v>1057707.3562162817</v>
      </c>
      <c r="J257" s="96">
        <f t="shared" si="303"/>
        <v>7.8830945743138536E-2</v>
      </c>
      <c r="K257" s="114"/>
      <c r="L257" s="100">
        <f>'Space Support'!D14</f>
        <v>7237560.1781081408</v>
      </c>
      <c r="M257" s="100">
        <f>'Space Support'!G14</f>
        <v>7237560.1781081408</v>
      </c>
      <c r="N257" s="100">
        <f t="shared" si="317"/>
        <v>5150243.496993538</v>
      </c>
      <c r="O257" s="100">
        <f t="shared" si="304"/>
        <v>5139114.3431487819</v>
      </c>
      <c r="P257" s="100">
        <f t="shared" ref="P257:Q257" si="325">P35*0.154234575791748</f>
        <v>2087316.6811146026</v>
      </c>
      <c r="Q257" s="100">
        <f t="shared" si="325"/>
        <v>2098445.8349593589</v>
      </c>
      <c r="R257" s="100"/>
      <c r="S257" s="100"/>
      <c r="T257" s="100">
        <f t="shared" si="315"/>
        <v>7237560.1781081408</v>
      </c>
      <c r="U257" s="100">
        <f t="shared" si="305"/>
        <v>7237560.1781081408</v>
      </c>
      <c r="V257" s="97">
        <v>1090553.7218925781</v>
      </c>
      <c r="W257" s="131">
        <f>'Space Support'!L14</f>
        <v>1097250.6733455858</v>
      </c>
      <c r="X257" s="553">
        <f t="shared" si="306"/>
        <v>6.1408725847871826E-3</v>
      </c>
      <c r="Y257" s="100">
        <v>7237372</v>
      </c>
      <c r="Z257" s="100">
        <v>7237372</v>
      </c>
      <c r="AB257" s="100">
        <f t="shared" si="307"/>
        <v>188.17810814082623</v>
      </c>
      <c r="AC257" s="100">
        <f t="shared" si="308"/>
        <v>188.17810814082623</v>
      </c>
      <c r="AE257" s="120">
        <f t="shared" si="309"/>
        <v>2.600021326385917E-5</v>
      </c>
      <c r="AF257" s="120">
        <f t="shared" si="310"/>
        <v>2.600021326385917E-5</v>
      </c>
      <c r="AG257" s="114"/>
    </row>
    <row r="258" spans="1:33" ht="19.95" customHeight="1" outlineLevel="1">
      <c r="A258" s="117">
        <v>3631</v>
      </c>
      <c r="B258" s="118" t="str">
        <f t="shared" si="301"/>
        <v>Tarleton</v>
      </c>
      <c r="C258" s="138">
        <v>12361565</v>
      </c>
      <c r="D258" s="100"/>
      <c r="E258" s="119">
        <v>8885497</v>
      </c>
      <c r="F258" s="100">
        <f t="shared" si="311"/>
        <v>3476068</v>
      </c>
      <c r="G258" s="100">
        <f t="shared" si="312"/>
        <v>12361565</v>
      </c>
      <c r="H258" s="100">
        <f t="shared" si="313"/>
        <v>13493485.865014264</v>
      </c>
      <c r="I258" s="100">
        <f t="shared" si="302"/>
        <v>1131920.8650142644</v>
      </c>
      <c r="J258" s="96">
        <f t="shared" si="303"/>
        <v>9.1567763872476046E-2</v>
      </c>
      <c r="K258" s="114"/>
      <c r="L258" s="100">
        <f>'Space Support'!D15</f>
        <v>6746742.9325071322</v>
      </c>
      <c r="M258" s="100">
        <f>'Space Support'!G15</f>
        <v>6746742.9325071322</v>
      </c>
      <c r="N258" s="100">
        <f t="shared" si="317"/>
        <v>5367389.5321128359</v>
      </c>
      <c r="O258" s="100">
        <f t="shared" si="304"/>
        <v>5365167.789203343</v>
      </c>
      <c r="P258" s="100">
        <f t="shared" ref="P258:Q258" si="326">P36*0.154234575791748</f>
        <v>1379353.4003942965</v>
      </c>
      <c r="Q258" s="100">
        <f t="shared" si="326"/>
        <v>1381575.1433037892</v>
      </c>
      <c r="R258" s="100"/>
      <c r="S258" s="100"/>
      <c r="T258" s="100">
        <f t="shared" si="315"/>
        <v>6746742.9325071322</v>
      </c>
      <c r="U258" s="100">
        <f t="shared" si="305"/>
        <v>6746742.9325071322</v>
      </c>
      <c r="V258" s="97">
        <v>1126794.8565342103</v>
      </c>
      <c r="W258" s="131">
        <f>'Space Support'!L15</f>
        <v>1185596.1035113714</v>
      </c>
      <c r="X258" s="553">
        <f t="shared" si="306"/>
        <v>5.2184518447325648E-2</v>
      </c>
      <c r="Y258" s="100">
        <v>6747043</v>
      </c>
      <c r="Z258" s="100">
        <v>6747043</v>
      </c>
      <c r="AB258" s="100">
        <f t="shared" si="307"/>
        <v>-300.06749286781996</v>
      </c>
      <c r="AC258" s="100">
        <f t="shared" si="308"/>
        <v>-300.06749286781996</v>
      </c>
      <c r="AE258" s="120">
        <f t="shared" si="309"/>
        <v>-4.4475904279980178E-5</v>
      </c>
      <c r="AF258" s="120">
        <f t="shared" si="310"/>
        <v>-4.4475904279980178E-5</v>
      </c>
      <c r="AG258" s="114"/>
    </row>
    <row r="259" spans="1:33" ht="19.95" customHeight="1" outlineLevel="1">
      <c r="A259" s="117">
        <v>42295</v>
      </c>
      <c r="B259" s="118" t="str">
        <f t="shared" si="301"/>
        <v>TAMU-Central</v>
      </c>
      <c r="C259" s="138">
        <v>1811028</v>
      </c>
      <c r="D259" s="100"/>
      <c r="E259" s="119">
        <v>1256288</v>
      </c>
      <c r="F259" s="100">
        <f>G259-E259</f>
        <v>554740</v>
      </c>
      <c r="G259" s="100">
        <f>C259-D259</f>
        <v>1811028</v>
      </c>
      <c r="H259" s="100">
        <f t="shared" si="313"/>
        <v>1720627.1849258915</v>
      </c>
      <c r="I259" s="100">
        <f t="shared" si="302"/>
        <v>-90400.815074108541</v>
      </c>
      <c r="J259" s="96">
        <f t="shared" si="303"/>
        <v>-4.9916851133228496E-2</v>
      </c>
      <c r="K259" s="114"/>
      <c r="L259" s="100">
        <f>'Space Support'!D16</f>
        <v>860313.59246294573</v>
      </c>
      <c r="M259" s="100">
        <f>'Space Support'!G16</f>
        <v>860313.59246294573</v>
      </c>
      <c r="N259" s="100">
        <f t="shared" si="317"/>
        <v>659799.65371263819</v>
      </c>
      <c r="O259" s="100">
        <f t="shared" si="304"/>
        <v>659458.82640874444</v>
      </c>
      <c r="P259" s="100">
        <f t="shared" ref="P259:Q259" si="327">P37*0.154234575791748</f>
        <v>200513.93875030751</v>
      </c>
      <c r="Q259" s="100">
        <f t="shared" si="327"/>
        <v>200854.76605420132</v>
      </c>
      <c r="R259" s="100"/>
      <c r="S259" s="100"/>
      <c r="T259" s="100">
        <f t="shared" si="315"/>
        <v>860313.59246294573</v>
      </c>
      <c r="U259" s="100">
        <f t="shared" si="305"/>
        <v>860313.59246294573</v>
      </c>
      <c r="V259" s="97">
        <v>186817.13969132022</v>
      </c>
      <c r="W259" s="131">
        <f>'Space Support'!L16</f>
        <v>180437.84291192458</v>
      </c>
      <c r="X259" s="553">
        <f t="shared" si="306"/>
        <v>-3.4147277867203236E-2</v>
      </c>
      <c r="Y259" s="100">
        <v>860307.5</v>
      </c>
      <c r="Z259" s="100">
        <v>860307.5</v>
      </c>
      <c r="AB259" s="100">
        <f t="shared" si="307"/>
        <v>6.0924629457294941</v>
      </c>
      <c r="AC259" s="100">
        <f t="shared" si="308"/>
        <v>6.0924629457294941</v>
      </c>
      <c r="AE259" s="120">
        <f t="shared" si="309"/>
        <v>7.0816769595464695E-6</v>
      </c>
      <c r="AF259" s="120">
        <f t="shared" si="310"/>
        <v>7.0816769595464695E-6</v>
      </c>
      <c r="AG259" s="114"/>
    </row>
    <row r="260" spans="1:33" ht="19.95" customHeight="1" outlineLevel="1">
      <c r="A260" s="117">
        <v>11161</v>
      </c>
      <c r="B260" s="118" t="str">
        <f t="shared" si="301"/>
        <v>TAMU-CC</v>
      </c>
      <c r="C260" s="138">
        <v>13148066</v>
      </c>
      <c r="D260" s="100"/>
      <c r="E260" s="119">
        <v>9744525</v>
      </c>
      <c r="F260" s="100">
        <f t="shared" si="311"/>
        <v>3403541</v>
      </c>
      <c r="G260" s="100">
        <f t="shared" si="312"/>
        <v>13148066</v>
      </c>
      <c r="H260" s="100">
        <f t="shared" si="313"/>
        <v>13399455.992509596</v>
      </c>
      <c r="I260" s="100">
        <f t="shared" si="302"/>
        <v>251389.99250959605</v>
      </c>
      <c r="J260" s="96">
        <f t="shared" si="303"/>
        <v>1.9119921706325177E-2</v>
      </c>
      <c r="K260" s="114"/>
      <c r="L260" s="100">
        <f>'Space Support'!D17</f>
        <v>6699727.996254798</v>
      </c>
      <c r="M260" s="100">
        <f>'Space Support'!G17</f>
        <v>6699727.996254798</v>
      </c>
      <c r="N260" s="100">
        <f t="shared" si="317"/>
        <v>5035083.3328567762</v>
      </c>
      <c r="O260" s="100">
        <f t="shared" si="304"/>
        <v>5034665.6629587784</v>
      </c>
      <c r="P260" s="100">
        <f t="shared" ref="P260:Q260" si="328">P38*0.154234575791748</f>
        <v>1664644.6633980214</v>
      </c>
      <c r="Q260" s="100">
        <f t="shared" si="328"/>
        <v>1665062.3332960194</v>
      </c>
      <c r="R260" s="100"/>
      <c r="S260" s="100"/>
      <c r="T260" s="100">
        <f t="shared" si="315"/>
        <v>6699727.996254798</v>
      </c>
      <c r="U260" s="100">
        <f t="shared" si="305"/>
        <v>6699727.996254798</v>
      </c>
      <c r="V260" s="97">
        <v>1094115.4406815297</v>
      </c>
      <c r="W260" s="131">
        <f>'Space Support'!L17</f>
        <v>1057517.0591166667</v>
      </c>
      <c r="X260" s="553">
        <f t="shared" si="306"/>
        <v>-3.3450201143369038E-2</v>
      </c>
      <c r="Y260" s="100">
        <v>6699875</v>
      </c>
      <c r="Z260" s="100">
        <v>6699875</v>
      </c>
      <c r="AB260" s="100">
        <f t="shared" si="307"/>
        <v>-147.00374520197511</v>
      </c>
      <c r="AC260" s="100">
        <f t="shared" si="308"/>
        <v>-147.00374520197511</v>
      </c>
      <c r="AE260" s="120">
        <f t="shared" si="309"/>
        <v>-2.1941748274579413E-5</v>
      </c>
      <c r="AF260" s="120">
        <f t="shared" si="310"/>
        <v>-2.1941748274579413E-5</v>
      </c>
      <c r="AG260" s="114"/>
    </row>
    <row r="261" spans="1:33" ht="19.95" customHeight="1" outlineLevel="1">
      <c r="A261" s="117">
        <v>3639</v>
      </c>
      <c r="B261" s="118" t="str">
        <f t="shared" si="301"/>
        <v>TAMU-Kingsville</v>
      </c>
      <c r="C261" s="138">
        <v>8680225</v>
      </c>
      <c r="D261" s="100"/>
      <c r="E261" s="119">
        <v>6179807</v>
      </c>
      <c r="F261" s="100">
        <f t="shared" si="311"/>
        <v>2500418</v>
      </c>
      <c r="G261" s="100">
        <f t="shared" si="312"/>
        <v>8680225</v>
      </c>
      <c r="H261" s="100">
        <f t="shared" si="313"/>
        <v>8031979.9629336428</v>
      </c>
      <c r="I261" s="100">
        <f t="shared" si="302"/>
        <v>-648245.03706635721</v>
      </c>
      <c r="J261" s="96">
        <f t="shared" si="303"/>
        <v>-7.4680672110038301E-2</v>
      </c>
      <c r="K261" s="114"/>
      <c r="L261" s="100">
        <f>'Space Support'!D18</f>
        <v>4015989.9814668214</v>
      </c>
      <c r="M261" s="100">
        <f>'Space Support'!G18</f>
        <v>4015989.9814668214</v>
      </c>
      <c r="N261" s="100">
        <f t="shared" si="317"/>
        <v>2797385.2724167397</v>
      </c>
      <c r="O261" s="100">
        <f t="shared" si="304"/>
        <v>2789623.667877716</v>
      </c>
      <c r="P261" s="100">
        <f t="shared" ref="P261:Q261" si="329">P39*0.154234575791748</f>
        <v>1218604.7090500814</v>
      </c>
      <c r="Q261" s="100">
        <f t="shared" si="329"/>
        <v>1226366.3135891056</v>
      </c>
      <c r="R261" s="100"/>
      <c r="S261" s="100"/>
      <c r="T261" s="100">
        <f t="shared" si="315"/>
        <v>4015989.9814668214</v>
      </c>
      <c r="U261" s="100">
        <f t="shared" si="305"/>
        <v>4015989.9814668214</v>
      </c>
      <c r="V261" s="97">
        <v>787779.62013356388</v>
      </c>
      <c r="W261" s="131">
        <f>'Space Support'!L18</f>
        <v>725583.01061446406</v>
      </c>
      <c r="X261" s="553">
        <f t="shared" si="306"/>
        <v>-7.895178794870919E-2</v>
      </c>
      <c r="Y261" s="100">
        <v>4016081</v>
      </c>
      <c r="Z261" s="100">
        <v>4016081</v>
      </c>
      <c r="AB261" s="100">
        <f t="shared" si="307"/>
        <v>-91.018533178605139</v>
      </c>
      <c r="AC261" s="100">
        <f t="shared" si="308"/>
        <v>-91.018533178605139</v>
      </c>
      <c r="AE261" s="120">
        <f t="shared" si="309"/>
        <v>-2.2664033924049047E-5</v>
      </c>
      <c r="AF261" s="120">
        <f t="shared" si="310"/>
        <v>-2.2664033924049047E-5</v>
      </c>
      <c r="AG261" s="114"/>
    </row>
    <row r="262" spans="1:33" ht="19.95" customHeight="1" outlineLevel="1">
      <c r="A262" s="117">
        <v>42485</v>
      </c>
      <c r="B262" s="118" t="str">
        <f t="shared" si="301"/>
        <v>TAMU-San Antonio</v>
      </c>
      <c r="C262" s="138">
        <v>5790020</v>
      </c>
      <c r="D262" s="100"/>
      <c r="E262" s="119">
        <v>4267401</v>
      </c>
      <c r="F262" s="100">
        <f>G262-E262</f>
        <v>1522619</v>
      </c>
      <c r="G262" s="100">
        <f>C262-D262</f>
        <v>5790020</v>
      </c>
      <c r="H262" s="100">
        <f t="shared" si="313"/>
        <v>6828464.5028839717</v>
      </c>
      <c r="I262" s="100">
        <f t="shared" si="302"/>
        <v>1038444.5028839717</v>
      </c>
      <c r="J262" s="96">
        <f t="shared" si="303"/>
        <v>0.17935076267162664</v>
      </c>
      <c r="K262" s="114"/>
      <c r="L262" s="100">
        <f>'Space Support'!D19</f>
        <v>3414232.2514419858</v>
      </c>
      <c r="M262" s="100">
        <f>'Space Support'!G19</f>
        <v>3414232.2514419858</v>
      </c>
      <c r="N262" s="100">
        <f t="shared" si="317"/>
        <v>2633475.1873048786</v>
      </c>
      <c r="O262" s="100">
        <f t="shared" si="304"/>
        <v>2632936.6115444805</v>
      </c>
      <c r="P262" s="100">
        <f t="shared" ref="P262:Q262" si="330">P40*0.154234575791748</f>
        <v>780757.06413710746</v>
      </c>
      <c r="Q262" s="100">
        <f t="shared" si="330"/>
        <v>781295.63989750529</v>
      </c>
      <c r="R262" s="100"/>
      <c r="S262" s="100"/>
      <c r="T262" s="100">
        <f t="shared" si="315"/>
        <v>3414232.2514419858</v>
      </c>
      <c r="U262" s="100">
        <f t="shared" si="305"/>
        <v>3414232.2514419858</v>
      </c>
      <c r="V262" s="97">
        <v>492250.87206262059</v>
      </c>
      <c r="W262" s="131">
        <f>'Space Support'!L19</f>
        <v>530045.22743129288</v>
      </c>
      <c r="X262" s="553">
        <f t="shared" si="306"/>
        <v>7.6778645836231979E-2</v>
      </c>
      <c r="Y262" s="100">
        <v>3414311.5</v>
      </c>
      <c r="Z262" s="100">
        <v>3414311.5</v>
      </c>
      <c r="AB262" s="100">
        <f t="shared" si="307"/>
        <v>-79.24855801416561</v>
      </c>
      <c r="AC262" s="100">
        <f t="shared" si="308"/>
        <v>-79.24855801416561</v>
      </c>
      <c r="AE262" s="120">
        <f t="shared" si="309"/>
        <v>-2.3211238187061039E-5</v>
      </c>
      <c r="AF262" s="120">
        <f t="shared" si="310"/>
        <v>-2.3211238187061039E-5</v>
      </c>
      <c r="AG262" s="114"/>
    </row>
    <row r="263" spans="1:33" ht="19.95" customHeight="1" outlineLevel="1">
      <c r="A263" s="117">
        <v>9651</v>
      </c>
      <c r="B263" s="118" t="str">
        <f t="shared" si="301"/>
        <v>TAMI</v>
      </c>
      <c r="C263" s="138">
        <v>8071707.9999999991</v>
      </c>
      <c r="D263" s="100"/>
      <c r="E263" s="119">
        <v>5841980.9999999991</v>
      </c>
      <c r="F263" s="100">
        <f t="shared" si="311"/>
        <v>2229727</v>
      </c>
      <c r="G263" s="100">
        <f t="shared" si="312"/>
        <v>8071707.9999999991</v>
      </c>
      <c r="H263" s="100">
        <f t="shared" si="313"/>
        <v>9407601.9017983824</v>
      </c>
      <c r="I263" s="100">
        <f t="shared" si="302"/>
        <v>1335893.9017983833</v>
      </c>
      <c r="J263" s="96">
        <f t="shared" si="303"/>
        <v>0.16550324934925589</v>
      </c>
      <c r="K263" s="114"/>
      <c r="L263" s="100">
        <f>'Space Support'!D20</f>
        <v>4703800.9508991912</v>
      </c>
      <c r="M263" s="100">
        <f>'Space Support'!G20</f>
        <v>4703800.9508991912</v>
      </c>
      <c r="N263" s="100">
        <f t="shared" si="317"/>
        <v>3581480.8687833538</v>
      </c>
      <c r="O263" s="100">
        <f t="shared" si="304"/>
        <v>3581051.7700824868</v>
      </c>
      <c r="P263" s="100">
        <f t="shared" ref="P263:Q263" si="331">P41*0.154234575791748</f>
        <v>1122320.0821158376</v>
      </c>
      <c r="Q263" s="100">
        <f t="shared" si="331"/>
        <v>1122749.1808167044</v>
      </c>
      <c r="R263" s="100"/>
      <c r="S263" s="100"/>
      <c r="T263" s="100">
        <f t="shared" si="315"/>
        <v>4703800.9508991912</v>
      </c>
      <c r="U263" s="100">
        <f t="shared" si="305"/>
        <v>4703800.9508991912</v>
      </c>
      <c r="V263" s="97">
        <v>678736.40371561714</v>
      </c>
      <c r="W263" s="131">
        <f>'Space Support'!L20</f>
        <v>716969.74196459947</v>
      </c>
      <c r="X263" s="553">
        <f t="shared" si="306"/>
        <v>5.6330171830597235E-2</v>
      </c>
      <c r="Y263" s="100">
        <v>4703877</v>
      </c>
      <c r="Z263" s="100">
        <v>4703877</v>
      </c>
      <c r="AB263" s="100">
        <f t="shared" si="307"/>
        <v>-76.049100808799267</v>
      </c>
      <c r="AC263" s="100">
        <f t="shared" si="308"/>
        <v>-76.049100808799267</v>
      </c>
      <c r="AE263" s="120">
        <f t="shared" si="309"/>
        <v>-1.6167584811228357E-5</v>
      </c>
      <c r="AF263" s="120">
        <f t="shared" si="310"/>
        <v>-1.6167584811228357E-5</v>
      </c>
      <c r="AG263" s="114"/>
    </row>
    <row r="264" spans="1:33" ht="19.95" customHeight="1" outlineLevel="1">
      <c r="A264" s="117">
        <v>3665</v>
      </c>
      <c r="B264" s="118" t="str">
        <f t="shared" si="301"/>
        <v>WTAMU</v>
      </c>
      <c r="C264" s="138">
        <v>8074361</v>
      </c>
      <c r="D264" s="100"/>
      <c r="E264" s="119">
        <v>5575579</v>
      </c>
      <c r="F264" s="100">
        <f t="shared" si="311"/>
        <v>2498782</v>
      </c>
      <c r="G264" s="100">
        <f t="shared" si="312"/>
        <v>8074361</v>
      </c>
      <c r="H264" s="100">
        <f t="shared" si="313"/>
        <v>9121818.1047006324</v>
      </c>
      <c r="I264" s="100">
        <f t="shared" si="302"/>
        <v>1047457.1047006324</v>
      </c>
      <c r="J264" s="96">
        <f t="shared" si="303"/>
        <v>0.12972631576673774</v>
      </c>
      <c r="K264" s="114"/>
      <c r="L264" s="100">
        <f>'Space Support'!D21</f>
        <v>4560909.0523503162</v>
      </c>
      <c r="M264" s="100">
        <f>'Space Support'!G21</f>
        <v>4560909.0523503162</v>
      </c>
      <c r="N264" s="100">
        <f t="shared" si="317"/>
        <v>3494841.1583108846</v>
      </c>
      <c r="O264" s="100">
        <f t="shared" si="304"/>
        <v>3491848.0990243433</v>
      </c>
      <c r="P264" s="100">
        <f t="shared" ref="P264:Q264" si="332">P42*0.154234575791748</f>
        <v>1066067.8940394318</v>
      </c>
      <c r="Q264" s="100">
        <f t="shared" si="332"/>
        <v>1069060.9533259727</v>
      </c>
      <c r="R264" s="100"/>
      <c r="S264" s="100"/>
      <c r="T264" s="100">
        <f t="shared" si="315"/>
        <v>4560909.0523503162</v>
      </c>
      <c r="U264" s="100">
        <f t="shared" si="305"/>
        <v>4560909.0523503162</v>
      </c>
      <c r="V264" s="97">
        <v>822457.95314851415</v>
      </c>
      <c r="W264" s="131">
        <f>'Space Support'!L21</f>
        <v>813318.55901587324</v>
      </c>
      <c r="X264" s="553">
        <f t="shared" si="306"/>
        <v>-1.1112293458472495E-2</v>
      </c>
      <c r="Y264" s="100">
        <v>4560964</v>
      </c>
      <c r="Z264" s="100">
        <v>4560964</v>
      </c>
      <c r="AB264" s="100">
        <f t="shared" si="307"/>
        <v>-54.94764968380332</v>
      </c>
      <c r="AC264" s="100">
        <f t="shared" si="308"/>
        <v>-54.94764968380332</v>
      </c>
      <c r="AE264" s="120">
        <f t="shared" si="309"/>
        <v>-1.2047521459672131E-5</v>
      </c>
      <c r="AF264" s="120">
        <f t="shared" si="310"/>
        <v>-1.2047521459672131E-5</v>
      </c>
      <c r="AG264" s="114"/>
    </row>
    <row r="265" spans="1:33" ht="19.95" customHeight="1" outlineLevel="1">
      <c r="A265" s="117">
        <v>3565</v>
      </c>
      <c r="B265" s="118" t="str">
        <f t="shared" si="301"/>
        <v>TAMU-Commerce</v>
      </c>
      <c r="C265" s="138">
        <v>9765958</v>
      </c>
      <c r="D265" s="100"/>
      <c r="E265" s="119">
        <v>7030925</v>
      </c>
      <c r="F265" s="100">
        <f t="shared" si="311"/>
        <v>2735033</v>
      </c>
      <c r="G265" s="100">
        <f t="shared" si="312"/>
        <v>9765958</v>
      </c>
      <c r="H265" s="100">
        <f t="shared" si="313"/>
        <v>9561950.4007093236</v>
      </c>
      <c r="I265" s="100">
        <f t="shared" si="302"/>
        <v>-204007.59929067641</v>
      </c>
      <c r="J265" s="96">
        <f t="shared" si="303"/>
        <v>-2.0889665846471634E-2</v>
      </c>
      <c r="K265" s="114"/>
      <c r="L265" s="100">
        <f>'Space Support'!D22</f>
        <v>4780975.2003546618</v>
      </c>
      <c r="M265" s="100">
        <f>'Space Support'!G22</f>
        <v>4780975.2003546618</v>
      </c>
      <c r="N265" s="100">
        <f t="shared" si="317"/>
        <v>4193969.2362180948</v>
      </c>
      <c r="O265" s="100">
        <f t="shared" si="304"/>
        <v>4192716.3881039876</v>
      </c>
      <c r="P265" s="100">
        <f t="shared" ref="P265:Q265" si="333">P43*0.154234575791748</f>
        <v>587005.96413656685</v>
      </c>
      <c r="Q265" s="100">
        <f t="shared" si="333"/>
        <v>588258.81225067424</v>
      </c>
      <c r="R265" s="100"/>
      <c r="S265" s="100"/>
      <c r="T265" s="100">
        <f t="shared" si="315"/>
        <v>4780975.2003546618</v>
      </c>
      <c r="U265" s="100">
        <f t="shared" si="305"/>
        <v>4780975.2003546618</v>
      </c>
      <c r="V265" s="97">
        <v>893564.42534855951</v>
      </c>
      <c r="W265" s="131">
        <f>'Space Support'!L22</f>
        <v>823625.55677651847</v>
      </c>
      <c r="X265" s="553">
        <f t="shared" si="306"/>
        <v>-7.8269531091459302E-2</v>
      </c>
      <c r="Y265" s="100">
        <v>4781063</v>
      </c>
      <c r="Z265" s="100">
        <v>4781063</v>
      </c>
      <c r="AB265" s="100">
        <f t="shared" si="307"/>
        <v>-87.799645338207483</v>
      </c>
      <c r="AC265" s="100">
        <f t="shared" si="308"/>
        <v>-87.799645338207483</v>
      </c>
      <c r="AE265" s="120">
        <f t="shared" si="309"/>
        <v>-1.8364379997556637E-5</v>
      </c>
      <c r="AF265" s="120">
        <f t="shared" si="310"/>
        <v>-1.8364379997556637E-5</v>
      </c>
      <c r="AG265" s="114"/>
    </row>
    <row r="266" spans="1:33" ht="19.95" customHeight="1" outlineLevel="1">
      <c r="A266" s="117">
        <v>29269</v>
      </c>
      <c r="B266" s="118" t="str">
        <f t="shared" si="301"/>
        <v>TAMU-Texarkana</v>
      </c>
      <c r="C266" s="138">
        <v>2280734</v>
      </c>
      <c r="D266" s="100"/>
      <c r="E266" s="119">
        <v>1738529</v>
      </c>
      <c r="F266" s="100">
        <f t="shared" si="311"/>
        <v>542205</v>
      </c>
      <c r="G266" s="100">
        <f t="shared" si="312"/>
        <v>2280734</v>
      </c>
      <c r="H266" s="100">
        <f t="shared" si="313"/>
        <v>2311771.6865225886</v>
      </c>
      <c r="I266" s="100">
        <f t="shared" si="302"/>
        <v>31037.686522588599</v>
      </c>
      <c r="J266" s="96">
        <f t="shared" si="303"/>
        <v>1.3608639377756722E-2</v>
      </c>
      <c r="K266" s="114"/>
      <c r="L266" s="100">
        <f>'Space Support'!D23</f>
        <v>1155885.8432612943</v>
      </c>
      <c r="M266" s="100">
        <f>'Space Support'!G23</f>
        <v>1155885.8432612943</v>
      </c>
      <c r="N266" s="100">
        <f t="shared" si="317"/>
        <v>890262.14179899858</v>
      </c>
      <c r="O266" s="100">
        <f t="shared" si="304"/>
        <v>889375.89831663028</v>
      </c>
      <c r="P266" s="100">
        <f t="shared" ref="P266:Q266" si="334">P44*0.154234575791748</f>
        <v>265623.70146229572</v>
      </c>
      <c r="Q266" s="100">
        <f t="shared" si="334"/>
        <v>266509.94494466402</v>
      </c>
      <c r="R266" s="100"/>
      <c r="S266" s="100"/>
      <c r="T266" s="100">
        <f t="shared" si="315"/>
        <v>1155885.8432612943</v>
      </c>
      <c r="U266" s="100">
        <f t="shared" si="305"/>
        <v>1155885.8432612943</v>
      </c>
      <c r="V266" s="97">
        <v>202107.70238409794</v>
      </c>
      <c r="W266" s="131">
        <f>'Space Support'!L23</f>
        <v>199560.08045188102</v>
      </c>
      <c r="X266" s="553">
        <f t="shared" si="306"/>
        <v>-1.2605268884682396E-2</v>
      </c>
      <c r="Y266" s="100">
        <v>1155844</v>
      </c>
      <c r="Z266" s="100">
        <v>1155844</v>
      </c>
      <c r="AB266" s="100">
        <f t="shared" si="307"/>
        <v>41.843261294299737</v>
      </c>
      <c r="AC266" s="100">
        <f t="shared" si="308"/>
        <v>41.843261294299737</v>
      </c>
      <c r="AE266" s="120">
        <f t="shared" si="309"/>
        <v>3.6200167636139859E-5</v>
      </c>
      <c r="AF266" s="120">
        <f t="shared" si="310"/>
        <v>3.6200167636139859E-5</v>
      </c>
      <c r="AG266" s="114"/>
    </row>
    <row r="267" spans="1:33" ht="19.95" customHeight="1" outlineLevel="1">
      <c r="A267" s="117">
        <v>3652</v>
      </c>
      <c r="B267" s="118" t="str">
        <f t="shared" si="301"/>
        <v>UH</v>
      </c>
      <c r="C267" s="138">
        <v>52400390</v>
      </c>
      <c r="D267" s="100"/>
      <c r="E267" s="119">
        <v>35444267</v>
      </c>
      <c r="F267" s="100">
        <f t="shared" si="311"/>
        <v>16956123</v>
      </c>
      <c r="G267" s="100">
        <f t="shared" si="312"/>
        <v>52400390</v>
      </c>
      <c r="H267" s="100">
        <f t="shared" si="313"/>
        <v>50534291.323664874</v>
      </c>
      <c r="I267" s="100">
        <f t="shared" si="302"/>
        <v>-1866098.6763351262</v>
      </c>
      <c r="J267" s="96">
        <f t="shared" si="303"/>
        <v>-3.5612305105651429E-2</v>
      </c>
      <c r="K267" s="114"/>
      <c r="L267" s="100">
        <f>'Space Support'!D24</f>
        <v>25267145.661832437</v>
      </c>
      <c r="M267" s="100">
        <f>'Space Support'!G24</f>
        <v>25267145.661832437</v>
      </c>
      <c r="N267" s="100">
        <f t="shared" si="317"/>
        <v>17842567.271934383</v>
      </c>
      <c r="O267" s="100">
        <f t="shared" si="304"/>
        <v>17817090.75303857</v>
      </c>
      <c r="P267" s="100">
        <f t="shared" ref="P267:Q267" si="335">P45*0.154234575791748</f>
        <v>7424578.3898980562</v>
      </c>
      <c r="Q267" s="100">
        <f t="shared" si="335"/>
        <v>7450054.9087938666</v>
      </c>
      <c r="R267" s="100"/>
      <c r="S267" s="100"/>
      <c r="T267" s="100">
        <f t="shared" si="315"/>
        <v>25267145.661832437</v>
      </c>
      <c r="U267" s="100">
        <f t="shared" si="305"/>
        <v>25267145.661832437</v>
      </c>
      <c r="V267" s="97">
        <v>5415501.8586571207</v>
      </c>
      <c r="W267" s="131">
        <f>'Space Support'!L24</f>
        <v>4977175.3448478403</v>
      </c>
      <c r="X267" s="553">
        <f t="shared" si="306"/>
        <v>-8.0939223224266804E-2</v>
      </c>
      <c r="Y267" s="100">
        <v>25265065.5</v>
      </c>
      <c r="Z267" s="100">
        <v>25265065.5</v>
      </c>
      <c r="AB267" s="100">
        <f t="shared" si="307"/>
        <v>2080.1618324369192</v>
      </c>
      <c r="AC267" s="100">
        <f t="shared" si="308"/>
        <v>2080.1618324369192</v>
      </c>
      <c r="AE267" s="120">
        <f t="shared" si="309"/>
        <v>8.2326743997013097E-5</v>
      </c>
      <c r="AF267" s="120">
        <f t="shared" si="310"/>
        <v>8.2326743997013097E-5</v>
      </c>
      <c r="AG267" s="114"/>
    </row>
    <row r="268" spans="1:33" ht="19.95" customHeight="1" outlineLevel="1">
      <c r="A268" s="117">
        <v>11711</v>
      </c>
      <c r="B268" s="118" t="str">
        <f t="shared" si="301"/>
        <v>UH-Clear Lake</v>
      </c>
      <c r="C268" s="138">
        <v>7388438</v>
      </c>
      <c r="D268" s="100"/>
      <c r="E268" s="119">
        <v>4819715</v>
      </c>
      <c r="F268" s="100">
        <f t="shared" si="311"/>
        <v>2568723</v>
      </c>
      <c r="G268" s="100">
        <f t="shared" si="312"/>
        <v>7388438</v>
      </c>
      <c r="H268" s="100">
        <f t="shared" si="313"/>
        <v>6702479.521355154</v>
      </c>
      <c r="I268" s="100">
        <f t="shared" si="302"/>
        <v>-685958.47864484601</v>
      </c>
      <c r="J268" s="96">
        <f t="shared" si="303"/>
        <v>-9.2842151297046274E-2</v>
      </c>
      <c r="K268" s="114"/>
      <c r="L268" s="100">
        <f>'Space Support'!D25</f>
        <v>3351239.760677577</v>
      </c>
      <c r="M268" s="100">
        <f>'Space Support'!G25</f>
        <v>3351239.760677577</v>
      </c>
      <c r="N268" s="100">
        <f t="shared" si="317"/>
        <v>2169882.4558786494</v>
      </c>
      <c r="O268" s="100">
        <f t="shared" si="304"/>
        <v>2164696.7567326096</v>
      </c>
      <c r="P268" s="100">
        <f t="shared" ref="P268:Q268" si="336">P46*0.154234575791748</f>
        <v>1181357.3047989276</v>
      </c>
      <c r="Q268" s="100">
        <f t="shared" si="336"/>
        <v>1186543.0039449674</v>
      </c>
      <c r="R268" s="100"/>
      <c r="S268" s="100"/>
      <c r="T268" s="100">
        <f t="shared" si="315"/>
        <v>3351239.760677577</v>
      </c>
      <c r="U268" s="100">
        <f t="shared" si="305"/>
        <v>3351239.760677577</v>
      </c>
      <c r="V268" s="97">
        <v>697277.20225349686</v>
      </c>
      <c r="W268" s="131">
        <f>'Space Support'!L25</f>
        <v>653194.34344353911</v>
      </c>
      <c r="X268" s="553">
        <f t="shared" si="306"/>
        <v>-6.3221425664697573E-2</v>
      </c>
      <c r="Y268" s="100">
        <v>3351224.5</v>
      </c>
      <c r="Z268" s="100">
        <v>3351224.5</v>
      </c>
      <c r="AB268" s="100">
        <f t="shared" si="307"/>
        <v>15.260677576996386</v>
      </c>
      <c r="AC268" s="100">
        <f t="shared" si="308"/>
        <v>15.260677576996386</v>
      </c>
      <c r="AE268" s="120">
        <f t="shared" si="309"/>
        <v>4.5537409039068207E-6</v>
      </c>
      <c r="AF268" s="120">
        <f t="shared" si="310"/>
        <v>4.5537409039068207E-6</v>
      </c>
      <c r="AG268" s="114"/>
    </row>
    <row r="269" spans="1:33" ht="19.95" customHeight="1" outlineLevel="1">
      <c r="A269" s="117">
        <v>12826</v>
      </c>
      <c r="B269" s="118" t="str">
        <f t="shared" si="301"/>
        <v>UH-Downtown</v>
      </c>
      <c r="C269" s="138">
        <v>10827096</v>
      </c>
      <c r="D269" s="100"/>
      <c r="E269" s="119">
        <v>6073311</v>
      </c>
      <c r="F269" s="100">
        <f t="shared" si="311"/>
        <v>4753785</v>
      </c>
      <c r="G269" s="100">
        <f t="shared" si="312"/>
        <v>10827096</v>
      </c>
      <c r="H269" s="100">
        <f t="shared" si="313"/>
        <v>10453069.662174521</v>
      </c>
      <c r="I269" s="100">
        <f t="shared" si="302"/>
        <v>-374026.33782547899</v>
      </c>
      <c r="J269" s="96">
        <f t="shared" si="303"/>
        <v>-3.4545397752590259E-2</v>
      </c>
      <c r="K269" s="114"/>
      <c r="L269" s="100">
        <f>'Space Support'!D26</f>
        <v>5226534.8310872605</v>
      </c>
      <c r="M269" s="100">
        <f>'Space Support'!G26</f>
        <v>5226534.8310872605</v>
      </c>
      <c r="N269" s="100">
        <f t="shared" si="317"/>
        <v>3327289.3934010323</v>
      </c>
      <c r="O269" s="100">
        <f t="shared" si="304"/>
        <v>3322330.0156534277</v>
      </c>
      <c r="P269" s="100">
        <f t="shared" ref="P269:Q269" si="337">P47*0.154234575791748</f>
        <v>1899245.4376862282</v>
      </c>
      <c r="Q269" s="100">
        <f t="shared" si="337"/>
        <v>1904204.815433833</v>
      </c>
      <c r="R269" s="100"/>
      <c r="S269" s="100"/>
      <c r="T269" s="100">
        <f t="shared" si="315"/>
        <v>5226534.8310872605</v>
      </c>
      <c r="U269" s="100">
        <f t="shared" si="305"/>
        <v>5226534.8310872605</v>
      </c>
      <c r="V269" s="97">
        <v>991084.48184795177</v>
      </c>
      <c r="W269" s="131">
        <f>'Space Support'!L26</f>
        <v>925612.30059634091</v>
      </c>
      <c r="X269" s="553">
        <f t="shared" si="306"/>
        <v>-6.6061150639280558E-2</v>
      </c>
      <c r="Y269" s="100">
        <v>5226807</v>
      </c>
      <c r="Z269" s="100">
        <v>5226807</v>
      </c>
      <c r="AB269" s="100">
        <f t="shared" si="307"/>
        <v>-272.16891273949295</v>
      </c>
      <c r="AC269" s="100">
        <f t="shared" si="308"/>
        <v>-272.16891273949295</v>
      </c>
      <c r="AE269" s="120">
        <f t="shared" si="309"/>
        <v>-5.2074447322275754E-5</v>
      </c>
      <c r="AF269" s="120">
        <f t="shared" si="310"/>
        <v>-5.2074447322275754E-5</v>
      </c>
      <c r="AG269" s="114"/>
    </row>
    <row r="270" spans="1:33" ht="19.95" customHeight="1" outlineLevel="1">
      <c r="A270" s="117">
        <v>13231</v>
      </c>
      <c r="B270" s="118" t="str">
        <f t="shared" si="301"/>
        <v>UH-Victoria</v>
      </c>
      <c r="C270" s="138">
        <v>4068841</v>
      </c>
      <c r="D270" s="100"/>
      <c r="E270" s="119">
        <v>2647656</v>
      </c>
      <c r="F270" s="100">
        <f t="shared" si="311"/>
        <v>1421185</v>
      </c>
      <c r="G270" s="100">
        <f t="shared" si="312"/>
        <v>4068841</v>
      </c>
      <c r="H270" s="100">
        <f t="shared" si="313"/>
        <v>3291116.1853239625</v>
      </c>
      <c r="I270" s="100">
        <f t="shared" si="302"/>
        <v>-777724.81467603752</v>
      </c>
      <c r="J270" s="96">
        <f t="shared" si="303"/>
        <v>-0.19114160879622416</v>
      </c>
      <c r="K270" s="114"/>
      <c r="L270" s="100">
        <f>'Space Support'!D27</f>
        <v>1645558.0926619812</v>
      </c>
      <c r="M270" s="100">
        <f>'Space Support'!G27</f>
        <v>1645558.0926619812</v>
      </c>
      <c r="N270" s="100">
        <f t="shared" si="317"/>
        <v>1077237.6831004194</v>
      </c>
      <c r="O270" s="100">
        <f t="shared" si="304"/>
        <v>1076079.1608208024</v>
      </c>
      <c r="P270" s="100">
        <f t="shared" ref="P270:Q270" si="338">P48*0.154234575791748</f>
        <v>568320.40956156189</v>
      </c>
      <c r="Q270" s="100">
        <f t="shared" si="338"/>
        <v>569478.9318411788</v>
      </c>
      <c r="R270" s="100"/>
      <c r="S270" s="100"/>
      <c r="T270" s="100">
        <f t="shared" si="315"/>
        <v>1645558.0926619812</v>
      </c>
      <c r="U270" s="100">
        <f t="shared" si="305"/>
        <v>1645558.0926619812</v>
      </c>
      <c r="V270" s="97">
        <v>343118.75552165066</v>
      </c>
      <c r="W270" s="131">
        <f>'Space Support'!L27</f>
        <v>288456.07397217926</v>
      </c>
      <c r="X270" s="553">
        <f t="shared" si="306"/>
        <v>-0.15931126080929786</v>
      </c>
      <c r="Y270" s="100">
        <v>1645539.5</v>
      </c>
      <c r="Z270" s="100">
        <v>1645539.5</v>
      </c>
      <c r="AB270" s="100">
        <f t="shared" si="307"/>
        <v>18.592661981238052</v>
      </c>
      <c r="AC270" s="100">
        <f t="shared" si="308"/>
        <v>18.592661981238052</v>
      </c>
      <c r="AE270" s="120">
        <f t="shared" si="309"/>
        <v>1.1298696815474398E-5</v>
      </c>
      <c r="AF270" s="120">
        <f t="shared" si="310"/>
        <v>1.1298696815474398E-5</v>
      </c>
      <c r="AG270" s="114"/>
    </row>
    <row r="271" spans="1:33" ht="19.95" customHeight="1" outlineLevel="1">
      <c r="A271" s="117">
        <v>3592</v>
      </c>
      <c r="B271" s="118" t="str">
        <f t="shared" si="301"/>
        <v>Midwestern</v>
      </c>
      <c r="C271" s="138">
        <v>5691236</v>
      </c>
      <c r="D271" s="100"/>
      <c r="E271" s="119">
        <v>4627682</v>
      </c>
      <c r="F271" s="100">
        <f t="shared" si="311"/>
        <v>1063554</v>
      </c>
      <c r="G271" s="100">
        <f t="shared" si="312"/>
        <v>5691236</v>
      </c>
      <c r="H271" s="100">
        <f t="shared" si="313"/>
        <v>5445988.5903602093</v>
      </c>
      <c r="I271" s="100">
        <f t="shared" si="302"/>
        <v>-245247.40963979065</v>
      </c>
      <c r="J271" s="96">
        <f t="shared" si="303"/>
        <v>-4.3092117360761469E-2</v>
      </c>
      <c r="K271" s="114"/>
      <c r="L271" s="100">
        <f>'Space Support'!D28</f>
        <v>2722994.2951801047</v>
      </c>
      <c r="M271" s="100">
        <f>'Space Support'!G28</f>
        <v>2722994.2951801047</v>
      </c>
      <c r="N271" s="100">
        <f t="shared" si="317"/>
        <v>2214612.5673516183</v>
      </c>
      <c r="O271" s="100">
        <f t="shared" si="304"/>
        <v>2213751.4247918762</v>
      </c>
      <c r="P271" s="100">
        <f t="shared" ref="P271:Q271" si="339">P49*0.154234575791748</f>
        <v>508381.72782848642</v>
      </c>
      <c r="Q271" s="100">
        <f t="shared" si="339"/>
        <v>509242.87038822868</v>
      </c>
      <c r="R271" s="100"/>
      <c r="S271" s="100"/>
      <c r="T271" s="100">
        <f t="shared" si="315"/>
        <v>2722994.2951801047</v>
      </c>
      <c r="U271" s="100">
        <f t="shared" si="305"/>
        <v>2722994.2951801047</v>
      </c>
      <c r="V271" s="97">
        <v>529588.11805095256</v>
      </c>
      <c r="W271" s="131">
        <f>'Space Support'!L28</f>
        <v>468916.16775172658</v>
      </c>
      <c r="X271" s="553">
        <f t="shared" si="306"/>
        <v>-0.11456441002210822</v>
      </c>
      <c r="Y271" s="100">
        <v>2723124</v>
      </c>
      <c r="Z271" s="100">
        <v>2723124</v>
      </c>
      <c r="AB271" s="100">
        <f t="shared" si="307"/>
        <v>-129.70481989532709</v>
      </c>
      <c r="AC271" s="100">
        <f t="shared" si="308"/>
        <v>-129.70481989532709</v>
      </c>
      <c r="AE271" s="120">
        <f t="shared" si="309"/>
        <v>-4.7633158881351288E-5</v>
      </c>
      <c r="AF271" s="120">
        <f t="shared" si="310"/>
        <v>-4.7633158881351288E-5</v>
      </c>
      <c r="AG271" s="114"/>
    </row>
    <row r="272" spans="1:33" ht="19.95" customHeight="1" outlineLevel="1">
      <c r="A272" s="117">
        <v>3594</v>
      </c>
      <c r="B272" s="118" t="str">
        <f t="shared" si="301"/>
        <v>UNT</v>
      </c>
      <c r="C272" s="138">
        <v>43358501</v>
      </c>
      <c r="D272" s="100"/>
      <c r="E272" s="119">
        <v>28653757</v>
      </c>
      <c r="F272" s="100">
        <f t="shared" si="311"/>
        <v>14704744</v>
      </c>
      <c r="G272" s="100">
        <f t="shared" si="312"/>
        <v>43358501</v>
      </c>
      <c r="H272" s="100">
        <f t="shared" si="313"/>
        <v>46919166.98526606</v>
      </c>
      <c r="I272" s="100">
        <f t="shared" si="302"/>
        <v>3560665.9852660596</v>
      </c>
      <c r="J272" s="96">
        <f t="shared" si="303"/>
        <v>8.2121519497781056E-2</v>
      </c>
      <c r="K272" s="114"/>
      <c r="L272" s="100">
        <f>'Space Support'!D29</f>
        <v>23459583.49263303</v>
      </c>
      <c r="M272" s="100">
        <f>'Space Support'!G29</f>
        <v>23459583.49263303</v>
      </c>
      <c r="N272" s="100">
        <f t="shared" si="317"/>
        <v>13912274.673471434</v>
      </c>
      <c r="O272" s="100">
        <f t="shared" si="304"/>
        <v>13853064.547243707</v>
      </c>
      <c r="P272" s="100">
        <f t="shared" ref="P272:Q272" si="340">P50*0.154234575791748</f>
        <v>9547308.8191615958</v>
      </c>
      <c r="Q272" s="100">
        <f t="shared" si="340"/>
        <v>9606518.9453893229</v>
      </c>
      <c r="R272" s="100"/>
      <c r="S272" s="100"/>
      <c r="T272" s="100">
        <f t="shared" si="315"/>
        <v>23459583.49263303</v>
      </c>
      <c r="U272" s="100">
        <f t="shared" si="305"/>
        <v>23459583.49263303</v>
      </c>
      <c r="V272" s="97">
        <v>3795346.7426534141</v>
      </c>
      <c r="W272" s="131">
        <f>'Space Support'!L29</f>
        <v>3872526.819997244</v>
      </c>
      <c r="X272" s="553">
        <f t="shared" si="306"/>
        <v>2.0335448267862752E-2</v>
      </c>
      <c r="Y272" s="100">
        <v>23458109.5</v>
      </c>
      <c r="Z272" s="100">
        <v>23458109.5</v>
      </c>
      <c r="AB272" s="100">
        <f t="shared" si="307"/>
        <v>1473.9926330298185</v>
      </c>
      <c r="AC272" s="100">
        <f t="shared" si="308"/>
        <v>1473.9926330298185</v>
      </c>
      <c r="AE272" s="120">
        <f t="shared" si="309"/>
        <v>6.2831151008827318E-5</v>
      </c>
      <c r="AF272" s="120">
        <f t="shared" si="310"/>
        <v>6.2831151008827318E-5</v>
      </c>
      <c r="AG272" s="114"/>
    </row>
    <row r="273" spans="1:33" ht="19.95" customHeight="1" outlineLevel="1">
      <c r="A273" s="117">
        <v>42421</v>
      </c>
      <c r="B273" s="118" t="str">
        <f t="shared" si="301"/>
        <v>UNT-Dallas</v>
      </c>
      <c r="C273" s="138">
        <v>3597640</v>
      </c>
      <c r="D273" s="100"/>
      <c r="E273" s="119">
        <v>2587027</v>
      </c>
      <c r="F273" s="100">
        <f t="shared" si="311"/>
        <v>1010613</v>
      </c>
      <c r="G273" s="100">
        <f t="shared" si="312"/>
        <v>3597640</v>
      </c>
      <c r="H273" s="100">
        <f t="shared" si="313"/>
        <v>3667353.1366363466</v>
      </c>
      <c r="I273" s="100">
        <f t="shared" si="302"/>
        <v>69713.136636346579</v>
      </c>
      <c r="J273" s="96">
        <f t="shared" si="303"/>
        <v>1.9377463180403426E-2</v>
      </c>
      <c r="K273" s="114"/>
      <c r="L273" s="100">
        <f>'Space Support'!D30</f>
        <v>1833676.5683181733</v>
      </c>
      <c r="M273" s="100">
        <f>'Space Support'!G30</f>
        <v>1833676.5683181733</v>
      </c>
      <c r="N273" s="100">
        <f t="shared" si="317"/>
        <v>1511890.7843410647</v>
      </c>
      <c r="O273" s="100">
        <f t="shared" si="304"/>
        <v>1511688.2787415248</v>
      </c>
      <c r="P273" s="100">
        <f t="shared" ref="P273:Q273" si="341">P51*0.154234575791748</f>
        <v>321785.78397710843</v>
      </c>
      <c r="Q273" s="100">
        <f t="shared" si="341"/>
        <v>321988.28957664856</v>
      </c>
      <c r="R273" s="100"/>
      <c r="S273" s="100"/>
      <c r="T273" s="100">
        <f t="shared" si="315"/>
        <v>1833676.5683181733</v>
      </c>
      <c r="U273" s="100">
        <f t="shared" si="305"/>
        <v>1833676.5683181733</v>
      </c>
      <c r="V273" s="97">
        <v>345925.10738845012</v>
      </c>
      <c r="W273" s="131">
        <f>'Space Support'!L30</f>
        <v>334834.06209207798</v>
      </c>
      <c r="X273" s="553">
        <f t="shared" si="306"/>
        <v>-3.2061984110097176E-2</v>
      </c>
      <c r="Y273" s="100">
        <v>1833734.5</v>
      </c>
      <c r="Z273" s="100">
        <v>1833734.5</v>
      </c>
      <c r="AB273" s="100">
        <f t="shared" si="307"/>
        <v>-57.931681826710701</v>
      </c>
      <c r="AC273" s="100">
        <f t="shared" si="308"/>
        <v>-57.931681826710701</v>
      </c>
      <c r="AE273" s="120">
        <f t="shared" si="309"/>
        <v>-3.1593184331217669E-5</v>
      </c>
      <c r="AF273" s="120">
        <f t="shared" si="310"/>
        <v>-3.1593184331217669E-5</v>
      </c>
      <c r="AG273" s="114"/>
    </row>
    <row r="274" spans="1:33" ht="19.95" customHeight="1" outlineLevel="1">
      <c r="A274" s="117">
        <v>3624</v>
      </c>
      <c r="B274" s="118" t="str">
        <f t="shared" si="301"/>
        <v>SFA</v>
      </c>
      <c r="C274" s="138">
        <v>12272928</v>
      </c>
      <c r="D274" s="100"/>
      <c r="E274" s="119">
        <v>9649021</v>
      </c>
      <c r="F274" s="100">
        <f t="shared" si="311"/>
        <v>2623907</v>
      </c>
      <c r="G274" s="100">
        <f t="shared" si="312"/>
        <v>12272928</v>
      </c>
      <c r="H274" s="100">
        <f t="shared" si="313"/>
        <v>11863850.669252403</v>
      </c>
      <c r="I274" s="100">
        <f t="shared" si="302"/>
        <v>-409077.33074759692</v>
      </c>
      <c r="J274" s="96">
        <f t="shared" si="303"/>
        <v>-3.3331681791630888E-2</v>
      </c>
      <c r="K274" s="114"/>
      <c r="L274" s="100">
        <f>'Space Support'!D31</f>
        <v>5931925.3346262015</v>
      </c>
      <c r="M274" s="100">
        <f>'Space Support'!G31</f>
        <v>5931925.3346262015</v>
      </c>
      <c r="N274" s="100">
        <f t="shared" si="317"/>
        <v>5146523.3568374841</v>
      </c>
      <c r="O274" s="100">
        <f t="shared" si="304"/>
        <v>5145936.7289900519</v>
      </c>
      <c r="P274" s="100">
        <f t="shared" ref="P274:Q274" si="342">P52*0.154234575791748</f>
        <v>785401.9777887176</v>
      </c>
      <c r="Q274" s="100">
        <f t="shared" si="342"/>
        <v>785988.60563614964</v>
      </c>
      <c r="R274" s="100"/>
      <c r="S274" s="100"/>
      <c r="T274" s="100">
        <f t="shared" si="315"/>
        <v>5931925.3346262015</v>
      </c>
      <c r="U274" s="100">
        <f t="shared" si="305"/>
        <v>5931925.3346262015</v>
      </c>
      <c r="V274" s="97">
        <v>1146109.2264048865</v>
      </c>
      <c r="W274" s="131">
        <f>'Space Support'!L31</f>
        <v>1074923.3308980823</v>
      </c>
      <c r="X274" s="553">
        <f t="shared" si="306"/>
        <v>-6.2110917412383032E-2</v>
      </c>
      <c r="Y274" s="100">
        <v>5931827</v>
      </c>
      <c r="Z274" s="100">
        <v>5931827</v>
      </c>
      <c r="AB274" s="100">
        <f t="shared" si="307"/>
        <v>98.334626201540232</v>
      </c>
      <c r="AC274" s="100">
        <f t="shared" si="308"/>
        <v>98.334626201540232</v>
      </c>
      <c r="AE274" s="120">
        <f t="shared" si="309"/>
        <v>1.6577185425368603E-5</v>
      </c>
      <c r="AF274" s="120">
        <f t="shared" si="310"/>
        <v>1.6577185425368603E-5</v>
      </c>
      <c r="AG274" s="114"/>
    </row>
    <row r="275" spans="1:33" ht="19.95" customHeight="1" outlineLevel="1">
      <c r="A275" s="117">
        <v>3642</v>
      </c>
      <c r="B275" s="118" t="str">
        <f t="shared" si="301"/>
        <v>TSU</v>
      </c>
      <c r="C275" s="138">
        <v>10635029</v>
      </c>
      <c r="D275" s="100"/>
      <c r="E275" s="119">
        <v>7759009</v>
      </c>
      <c r="F275" s="100">
        <f t="shared" si="311"/>
        <v>2876020</v>
      </c>
      <c r="G275" s="100">
        <f t="shared" si="312"/>
        <v>10635029</v>
      </c>
      <c r="H275" s="100">
        <f t="shared" si="313"/>
        <v>12703233.309439611</v>
      </c>
      <c r="I275" s="100">
        <f t="shared" si="302"/>
        <v>2068204.3094396107</v>
      </c>
      <c r="J275" s="96">
        <f t="shared" si="303"/>
        <v>0.19447096095738062</v>
      </c>
      <c r="K275" s="114"/>
      <c r="L275" s="100">
        <f>'Space Support'!D32</f>
        <v>6351616.6547198053</v>
      </c>
      <c r="M275" s="100">
        <f>'Space Support'!G32</f>
        <v>6351616.6547198053</v>
      </c>
      <c r="N275" s="100">
        <f t="shared" si="317"/>
        <v>4008138.7003125236</v>
      </c>
      <c r="O275" s="100">
        <f t="shared" si="304"/>
        <v>3997011.7598784762</v>
      </c>
      <c r="P275" s="100">
        <f t="shared" ref="P275:Q275" si="343">P53*0.154234575791748</f>
        <v>2343477.9544072817</v>
      </c>
      <c r="Q275" s="100">
        <f t="shared" si="343"/>
        <v>2354604.8948413292</v>
      </c>
      <c r="R275" s="100"/>
      <c r="S275" s="100"/>
      <c r="T275" s="100">
        <f t="shared" si="315"/>
        <v>6351616.6547198053</v>
      </c>
      <c r="U275" s="100">
        <f t="shared" si="305"/>
        <v>6351616.6547198053</v>
      </c>
      <c r="V275" s="97">
        <v>989950.47912197898</v>
      </c>
      <c r="W275" s="131">
        <f>'Space Support'!L32</f>
        <v>1134594.4252772473</v>
      </c>
      <c r="X275" s="553">
        <f t="shared" si="306"/>
        <v>0.14611230481302259</v>
      </c>
      <c r="Y275" s="100">
        <v>6351621</v>
      </c>
      <c r="Z275" s="100">
        <v>6351621</v>
      </c>
      <c r="AB275" s="100">
        <f t="shared" si="307"/>
        <v>-4.3452801946550608</v>
      </c>
      <c r="AC275" s="100">
        <f t="shared" si="308"/>
        <v>-4.3452801946550608</v>
      </c>
      <c r="AE275" s="120">
        <f t="shared" si="309"/>
        <v>-6.8412192216073662E-7</v>
      </c>
      <c r="AF275" s="120">
        <f t="shared" si="310"/>
        <v>-6.8412192216073662E-7</v>
      </c>
      <c r="AG275" s="114"/>
    </row>
    <row r="276" spans="1:33" ht="19.5" customHeight="1" outlineLevel="1">
      <c r="A276" s="117">
        <v>3644</v>
      </c>
      <c r="B276" s="118" t="str">
        <f t="shared" si="301"/>
        <v>TTU</v>
      </c>
      <c r="C276" s="138">
        <v>55805828</v>
      </c>
      <c r="D276" s="100"/>
      <c r="E276" s="119">
        <v>43877753</v>
      </c>
      <c r="F276" s="100">
        <f t="shared" si="311"/>
        <v>11928075</v>
      </c>
      <c r="G276" s="100">
        <f t="shared" si="312"/>
        <v>55805828</v>
      </c>
      <c r="H276" s="100">
        <f t="shared" si="313"/>
        <v>62783407.049289443</v>
      </c>
      <c r="I276" s="100">
        <f t="shared" si="302"/>
        <v>6977579.0492894426</v>
      </c>
      <c r="J276" s="96">
        <f t="shared" si="303"/>
        <v>0.12503316050233038</v>
      </c>
      <c r="K276" s="114"/>
      <c r="L276" s="100">
        <f>'Space Support'!D33+'Space Support'!D42</f>
        <v>31391703.524644721</v>
      </c>
      <c r="M276" s="100">
        <f>'Space Support'!G33+'Space Support'!G42</f>
        <v>31391703.524644721</v>
      </c>
      <c r="N276" s="100">
        <f t="shared" si="317"/>
        <v>25699467.357419658</v>
      </c>
      <c r="O276" s="100">
        <f t="shared" si="304"/>
        <v>25680260.612113986</v>
      </c>
      <c r="P276" s="100">
        <f t="shared" ref="P276:Q276" si="344">P54*0.154234575791748</f>
        <v>5692236.1672250619</v>
      </c>
      <c r="Q276" s="100">
        <f t="shared" si="344"/>
        <v>5711442.9125307361</v>
      </c>
      <c r="R276" s="100"/>
      <c r="S276" s="100"/>
      <c r="T276" s="100">
        <f t="shared" si="315"/>
        <v>31391703.524644721</v>
      </c>
      <c r="U276" s="100">
        <f t="shared" si="305"/>
        <v>31391703.524644721</v>
      </c>
      <c r="V276" s="97">
        <v>5046123.6814176459</v>
      </c>
      <c r="W276" s="131">
        <f>'Space Support'!L33+'Space Support'!L42</f>
        <v>5217450.6325767497</v>
      </c>
      <c r="X276" s="553">
        <f t="shared" si="306"/>
        <v>3.395219023069438E-2</v>
      </c>
      <c r="Y276" s="100">
        <v>31390626.67812749</v>
      </c>
      <c r="Z276" s="100">
        <v>31390626.67812749</v>
      </c>
      <c r="AB276" s="100">
        <f t="shared" si="307"/>
        <v>1076.8465172313154</v>
      </c>
      <c r="AC276" s="100">
        <f t="shared" si="308"/>
        <v>1076.8465172313154</v>
      </c>
      <c r="AE276" s="120">
        <f t="shared" si="309"/>
        <v>3.430353871639729E-5</v>
      </c>
      <c r="AF276" s="120">
        <f t="shared" si="310"/>
        <v>3.430353871639729E-5</v>
      </c>
      <c r="AG276" s="114"/>
    </row>
    <row r="277" spans="1:33" ht="19.95" customHeight="1" outlineLevel="1">
      <c r="A277" s="117">
        <v>3541</v>
      </c>
      <c r="B277" s="118" t="str">
        <f t="shared" si="301"/>
        <v>Angelo</v>
      </c>
      <c r="C277" s="138">
        <v>8065822</v>
      </c>
      <c r="D277" s="100"/>
      <c r="E277" s="119">
        <v>6221694</v>
      </c>
      <c r="F277" s="100">
        <f t="shared" si="311"/>
        <v>1844128</v>
      </c>
      <c r="G277" s="100">
        <f t="shared" si="312"/>
        <v>8065822</v>
      </c>
      <c r="H277" s="100">
        <f t="shared" si="313"/>
        <v>8196833.372650099</v>
      </c>
      <c r="I277" s="100">
        <f t="shared" si="302"/>
        <v>131011.37265009899</v>
      </c>
      <c r="J277" s="96">
        <f t="shared" si="303"/>
        <v>1.6242780047724708E-2</v>
      </c>
      <c r="K277" s="114"/>
      <c r="L277" s="100">
        <f>'Space Support'!D34</f>
        <v>4098416.6863250495</v>
      </c>
      <c r="M277" s="100">
        <f>'Space Support'!G34</f>
        <v>4098416.6863250495</v>
      </c>
      <c r="N277" s="100">
        <f t="shared" si="317"/>
        <v>3236536.0605503577</v>
      </c>
      <c r="O277" s="100">
        <f t="shared" si="304"/>
        <v>3235961.939042679</v>
      </c>
      <c r="P277" s="100">
        <f t="shared" ref="P277:Q277" si="345">P55*0.154234575791748</f>
        <v>861880.62577469181</v>
      </c>
      <c r="Q277" s="100">
        <f t="shared" si="345"/>
        <v>862454.74728237034</v>
      </c>
      <c r="R277" s="100"/>
      <c r="S277" s="100"/>
      <c r="T277" s="100">
        <f t="shared" si="315"/>
        <v>4098416.6863250495</v>
      </c>
      <c r="U277" s="100">
        <f t="shared" si="305"/>
        <v>4098416.6863250495</v>
      </c>
      <c r="V277" s="97">
        <v>725486.39173406991</v>
      </c>
      <c r="W277" s="131">
        <f>'Space Support'!L34</f>
        <v>683544.68193596369</v>
      </c>
      <c r="X277" s="553">
        <f t="shared" si="306"/>
        <v>-5.7811849093208266E-2</v>
      </c>
      <c r="Y277" s="100">
        <v>4098474</v>
      </c>
      <c r="Z277" s="100">
        <v>4098474</v>
      </c>
      <c r="AB277" s="100">
        <f t="shared" si="307"/>
        <v>-57.313674950506538</v>
      </c>
      <c r="AC277" s="100">
        <f t="shared" si="308"/>
        <v>-57.313674950506538</v>
      </c>
      <c r="AE277" s="120">
        <f t="shared" si="309"/>
        <v>-1.3984345501457129E-5</v>
      </c>
      <c r="AF277" s="120">
        <f t="shared" si="310"/>
        <v>-1.3984345501457129E-5</v>
      </c>
      <c r="AG277" s="114"/>
    </row>
    <row r="278" spans="1:33" ht="19.95" customHeight="1" outlineLevel="1">
      <c r="A278" s="117">
        <v>3646</v>
      </c>
      <c r="B278" s="118" t="str">
        <f t="shared" si="301"/>
        <v>TWU</v>
      </c>
      <c r="C278" s="138">
        <v>13150443</v>
      </c>
      <c r="D278" s="100"/>
      <c r="E278" s="119">
        <v>9652915</v>
      </c>
      <c r="F278" s="100">
        <f t="shared" si="311"/>
        <v>3497528</v>
      </c>
      <c r="G278" s="100">
        <f t="shared" si="312"/>
        <v>13150443</v>
      </c>
      <c r="H278" s="100">
        <f t="shared" si="313"/>
        <v>13212436.106521513</v>
      </c>
      <c r="I278" s="100">
        <f t="shared" si="302"/>
        <v>61993.106521513313</v>
      </c>
      <c r="J278" s="96">
        <f t="shared" si="303"/>
        <v>4.7141458672923268E-3</v>
      </c>
      <c r="K278" s="114"/>
      <c r="L278" s="100">
        <f>'Space Support'!D35</f>
        <v>6606218.0532607567</v>
      </c>
      <c r="M278" s="100">
        <f>'Space Support'!G35</f>
        <v>6606218.0532607567</v>
      </c>
      <c r="N278" s="100">
        <f t="shared" si="317"/>
        <v>5165046.7116887029</v>
      </c>
      <c r="O278" s="100">
        <f t="shared" si="304"/>
        <v>5161986.9902200662</v>
      </c>
      <c r="P278" s="100">
        <f t="shared" ref="P278:Q278" si="346">P56*0.154234575791748</f>
        <v>1441171.3415720533</v>
      </c>
      <c r="Q278" s="100">
        <f t="shared" si="346"/>
        <v>1444231.0630406907</v>
      </c>
      <c r="R278" s="100"/>
      <c r="S278" s="100"/>
      <c r="T278" s="100">
        <f t="shared" si="315"/>
        <v>6606218.0532607567</v>
      </c>
      <c r="U278" s="100">
        <f t="shared" si="305"/>
        <v>6606218.0532607567</v>
      </c>
      <c r="V278" s="97">
        <v>1283901.2924736249</v>
      </c>
      <c r="W278" s="131">
        <f>'Space Support'!L35</f>
        <v>1208318.4141157719</v>
      </c>
      <c r="X278" s="553">
        <f t="shared" si="306"/>
        <v>-5.8869695669697082E-2</v>
      </c>
      <c r="Y278" s="100">
        <v>6605947</v>
      </c>
      <c r="Z278" s="100">
        <v>6605947</v>
      </c>
      <c r="AB278" s="100">
        <f t="shared" si="307"/>
        <v>271.05326075665653</v>
      </c>
      <c r="AC278" s="100">
        <f t="shared" si="308"/>
        <v>271.05326075665653</v>
      </c>
      <c r="AE278" s="120">
        <f t="shared" si="309"/>
        <v>4.1030020288668435E-5</v>
      </c>
      <c r="AF278" s="120">
        <f t="shared" si="310"/>
        <v>4.1030020288668435E-5</v>
      </c>
      <c r="AG278" s="114"/>
    </row>
    <row r="279" spans="1:33" ht="19.95" customHeight="1" outlineLevel="1">
      <c r="A279" s="117">
        <v>3581</v>
      </c>
      <c r="B279" s="118" t="str">
        <f t="shared" si="301"/>
        <v>Lamar</v>
      </c>
      <c r="C279" s="138">
        <v>11477109</v>
      </c>
      <c r="D279" s="100"/>
      <c r="E279" s="119">
        <v>7462080</v>
      </c>
      <c r="F279" s="100">
        <f t="shared" si="311"/>
        <v>4015029</v>
      </c>
      <c r="G279" s="100">
        <f t="shared" si="312"/>
        <v>11477109</v>
      </c>
      <c r="H279" s="100">
        <f t="shared" si="313"/>
        <v>13465302.380117808</v>
      </c>
      <c r="I279" s="100">
        <f t="shared" si="302"/>
        <v>1988193.3801178075</v>
      </c>
      <c r="J279" s="96">
        <f t="shared" si="303"/>
        <v>0.17323120135199618</v>
      </c>
      <c r="K279" s="114"/>
      <c r="L279" s="100">
        <f>'Space Support'!D36</f>
        <v>6732651.1900589038</v>
      </c>
      <c r="M279" s="100">
        <f>'Space Support'!G36</f>
        <v>6732651.1900589038</v>
      </c>
      <c r="N279" s="100">
        <f t="shared" si="317"/>
        <v>4295070.2269927254</v>
      </c>
      <c r="O279" s="100">
        <f t="shared" si="304"/>
        <v>4292014.815767833</v>
      </c>
      <c r="P279" s="100">
        <f t="shared" ref="P279:Q279" si="347">P57*0.154234575791748</f>
        <v>2437580.9630661784</v>
      </c>
      <c r="Q279" s="100">
        <f t="shared" si="347"/>
        <v>2440636.3742910707</v>
      </c>
      <c r="R279" s="100"/>
      <c r="S279" s="100"/>
      <c r="T279" s="100">
        <f t="shared" si="315"/>
        <v>6732651.1900589038</v>
      </c>
      <c r="U279" s="100">
        <f t="shared" si="305"/>
        <v>6732651.1900589038</v>
      </c>
      <c r="V279" s="97">
        <v>1061526.947882721</v>
      </c>
      <c r="W279" s="131">
        <f>'Space Support'!L36</f>
        <v>1122983.6715481482</v>
      </c>
      <c r="X279" s="553">
        <f t="shared" si="306"/>
        <v>5.7894642983869885E-2</v>
      </c>
      <c r="Y279" s="100">
        <v>6732827.5</v>
      </c>
      <c r="Z279" s="100">
        <v>6732827.5</v>
      </c>
      <c r="AB279" s="100">
        <f t="shared" si="307"/>
        <v>-176.30994109623134</v>
      </c>
      <c r="AC279" s="100">
        <f t="shared" si="308"/>
        <v>-176.30994109623134</v>
      </c>
      <c r="AE279" s="120">
        <f t="shared" si="309"/>
        <v>-2.6187297710679231E-5</v>
      </c>
      <c r="AF279" s="120">
        <f t="shared" si="310"/>
        <v>-2.6187297710679231E-5</v>
      </c>
      <c r="AG279" s="114"/>
    </row>
    <row r="280" spans="1:33" ht="19.95" customHeight="1" outlineLevel="1">
      <c r="A280" s="117">
        <v>3606</v>
      </c>
      <c r="B280" s="118" t="str">
        <f t="shared" si="301"/>
        <v>Sam Houston</v>
      </c>
      <c r="C280" s="138">
        <v>20902800</v>
      </c>
      <c r="D280" s="100"/>
      <c r="E280" s="119">
        <v>15686862</v>
      </c>
      <c r="F280" s="100">
        <f t="shared" si="311"/>
        <v>5215938</v>
      </c>
      <c r="G280" s="100">
        <f t="shared" si="312"/>
        <v>20902800</v>
      </c>
      <c r="H280" s="100">
        <f t="shared" si="313"/>
        <v>21586183.682729214</v>
      </c>
      <c r="I280" s="100">
        <f t="shared" si="302"/>
        <v>683383.68272921443</v>
      </c>
      <c r="J280" s="96">
        <f t="shared" si="303"/>
        <v>3.2693403885087853E-2</v>
      </c>
      <c r="K280" s="114"/>
      <c r="L280" s="100">
        <f>'Space Support'!D37</f>
        <v>10793091.841364607</v>
      </c>
      <c r="M280" s="100">
        <f>'Space Support'!G37</f>
        <v>10793091.841364607</v>
      </c>
      <c r="N280" s="100">
        <f t="shared" si="317"/>
        <v>8349796.681777373</v>
      </c>
      <c r="O280" s="100">
        <f t="shared" si="304"/>
        <v>8344315.1480847336</v>
      </c>
      <c r="P280" s="100">
        <f t="shared" ref="P280:Q280" si="348">P58*0.154234575791748</f>
        <v>2443295.1595872347</v>
      </c>
      <c r="Q280" s="100">
        <f t="shared" si="348"/>
        <v>2448776.6932798731</v>
      </c>
      <c r="R280" s="100"/>
      <c r="S280" s="100"/>
      <c r="T280" s="100">
        <f t="shared" si="315"/>
        <v>10793091.841364607</v>
      </c>
      <c r="U280" s="100">
        <f t="shared" si="305"/>
        <v>10793091.841364607</v>
      </c>
      <c r="V280" s="97">
        <v>1826181.4880431159</v>
      </c>
      <c r="W280" s="131">
        <f>'Space Support'!L37</f>
        <v>1828580.8017504807</v>
      </c>
      <c r="X280" s="553">
        <f t="shared" si="306"/>
        <v>1.3138418733702965E-3</v>
      </c>
      <c r="Y280" s="100">
        <v>10792920.5</v>
      </c>
      <c r="Z280" s="100">
        <v>10792920.5</v>
      </c>
      <c r="AB280" s="100">
        <f t="shared" si="307"/>
        <v>171.34136460721493</v>
      </c>
      <c r="AC280" s="100">
        <f t="shared" si="308"/>
        <v>171.34136460721493</v>
      </c>
      <c r="AE280" s="120">
        <f t="shared" si="309"/>
        <v>1.5875095582022924E-5</v>
      </c>
      <c r="AF280" s="120">
        <f t="shared" si="310"/>
        <v>1.5875095582022924E-5</v>
      </c>
      <c r="AG280" s="114"/>
    </row>
    <row r="281" spans="1:33" ht="19.95" customHeight="1" outlineLevel="1">
      <c r="A281" s="117">
        <v>3615</v>
      </c>
      <c r="B281" s="118" t="str">
        <f t="shared" si="301"/>
        <v>TXST</v>
      </c>
      <c r="C281" s="138">
        <v>39702496</v>
      </c>
      <c r="D281" s="100"/>
      <c r="E281" s="119">
        <v>30458623</v>
      </c>
      <c r="F281" s="100">
        <f t="shared" si="311"/>
        <v>9243873</v>
      </c>
      <c r="G281" s="100">
        <f t="shared" si="312"/>
        <v>39702496</v>
      </c>
      <c r="H281" s="100">
        <f t="shared" si="313"/>
        <v>41738972.991095811</v>
      </c>
      <c r="I281" s="100">
        <f t="shared" si="302"/>
        <v>2036476.9910958111</v>
      </c>
      <c r="J281" s="96">
        <f t="shared" si="303"/>
        <v>5.1293424753340727E-2</v>
      </c>
      <c r="K281" s="114"/>
      <c r="L281" s="100">
        <f>'Space Support'!D38</f>
        <v>20869486.495547906</v>
      </c>
      <c r="M281" s="100">
        <f>'Space Support'!G38</f>
        <v>20869486.495547906</v>
      </c>
      <c r="N281" s="100">
        <f t="shared" si="317"/>
        <v>16411216.600450013</v>
      </c>
      <c r="O281" s="100">
        <f t="shared" si="304"/>
        <v>16402353.729017876</v>
      </c>
      <c r="P281" s="100">
        <f t="shared" ref="P281:Q281" si="349">P59*0.154234575791748</f>
        <v>4458269.8950978937</v>
      </c>
      <c r="Q281" s="100">
        <f t="shared" si="349"/>
        <v>4467132.7665300304</v>
      </c>
      <c r="R281" s="100"/>
      <c r="S281" s="100"/>
      <c r="T281" s="100">
        <f t="shared" si="315"/>
        <v>20869486.495547906</v>
      </c>
      <c r="U281" s="100">
        <f t="shared" si="305"/>
        <v>20869486.495547906</v>
      </c>
      <c r="V281" s="97">
        <v>3575250.190845341</v>
      </c>
      <c r="W281" s="131">
        <f>'Space Support'!L38</f>
        <v>3585351.4145829775</v>
      </c>
      <c r="X281" s="553">
        <f t="shared" si="306"/>
        <v>2.8253194038004438E-3</v>
      </c>
      <c r="Y281" s="100">
        <v>20869023.5</v>
      </c>
      <c r="Z281" s="100">
        <v>20869023.5</v>
      </c>
      <c r="AB281" s="100">
        <f t="shared" si="307"/>
        <v>462.99554790556431</v>
      </c>
      <c r="AC281" s="100">
        <f t="shared" si="308"/>
        <v>462.99554790556431</v>
      </c>
      <c r="AE281" s="120">
        <f t="shared" si="309"/>
        <v>2.2185287022003887E-5</v>
      </c>
      <c r="AF281" s="120">
        <f t="shared" si="310"/>
        <v>2.2185287022003887E-5</v>
      </c>
      <c r="AG281" s="114"/>
    </row>
    <row r="282" spans="1:33" ht="19.95" customHeight="1" outlineLevel="1">
      <c r="A282" s="117">
        <v>3625</v>
      </c>
      <c r="B282" s="118" t="str">
        <f t="shared" si="301"/>
        <v>Sul Ross</v>
      </c>
      <c r="C282" s="138">
        <v>2546003</v>
      </c>
      <c r="D282" s="100"/>
      <c r="E282" s="119">
        <v>2235649</v>
      </c>
      <c r="F282" s="100">
        <f t="shared" si="311"/>
        <v>310354</v>
      </c>
      <c r="G282" s="100">
        <f t="shared" si="312"/>
        <v>2546003</v>
      </c>
      <c r="H282" s="100">
        <f t="shared" si="313"/>
        <v>2219860.9560663458</v>
      </c>
      <c r="I282" s="100">
        <f t="shared" si="302"/>
        <v>-326142.0439336542</v>
      </c>
      <c r="J282" s="96">
        <f t="shared" si="303"/>
        <v>-0.12809963064994589</v>
      </c>
      <c r="K282" s="114"/>
      <c r="L282" s="100">
        <f>'Space Support'!D39</f>
        <v>1109930.4780331729</v>
      </c>
      <c r="M282" s="100">
        <f>'Space Support'!G39</f>
        <v>1109930.4780331729</v>
      </c>
      <c r="N282" s="100">
        <f t="shared" si="317"/>
        <v>951073.32590040017</v>
      </c>
      <c r="O282" s="100">
        <f t="shared" si="304"/>
        <v>950768.09148568439</v>
      </c>
      <c r="P282" s="100">
        <f t="shared" ref="P282:Q282" si="350">P60*0.154234575791748</f>
        <v>158857.15213277272</v>
      </c>
      <c r="Q282" s="100">
        <f t="shared" si="350"/>
        <v>159162.38654748851</v>
      </c>
      <c r="R282" s="100"/>
      <c r="S282" s="100"/>
      <c r="T282" s="100">
        <f t="shared" si="315"/>
        <v>1109930.4780331729</v>
      </c>
      <c r="U282" s="100">
        <f t="shared" si="305"/>
        <v>1109930.4780331729</v>
      </c>
      <c r="V282" s="97">
        <v>203069.91434504159</v>
      </c>
      <c r="W282" s="131">
        <f>'Space Support'!L39</f>
        <v>186401.20989491366</v>
      </c>
      <c r="X282" s="553">
        <f t="shared" si="306"/>
        <v>-8.2083574535840323E-2</v>
      </c>
      <c r="Y282" s="100">
        <v>1109930.5</v>
      </c>
      <c r="Z282" s="100">
        <v>1109930.5</v>
      </c>
      <c r="AB282" s="100">
        <f t="shared" si="307"/>
        <v>-2.1966827102005482E-2</v>
      </c>
      <c r="AC282" s="100">
        <f t="shared" si="308"/>
        <v>-2.1966827102005482E-2</v>
      </c>
      <c r="AE282" s="120">
        <f t="shared" si="309"/>
        <v>-1.9791173894901327E-8</v>
      </c>
      <c r="AF282" s="120">
        <f t="shared" si="310"/>
        <v>-1.9791173894901327E-8</v>
      </c>
      <c r="AG282" s="114"/>
    </row>
    <row r="283" spans="1:33" ht="19.95" customHeight="1" outlineLevel="1" thickBot="1">
      <c r="A283" s="122">
        <v>20</v>
      </c>
      <c r="B283" s="123" t="str">
        <f t="shared" si="301"/>
        <v>Sul Ross-Rio Grande</v>
      </c>
      <c r="C283" s="139">
        <v>808745</v>
      </c>
      <c r="D283" s="124"/>
      <c r="E283" s="125">
        <v>590255</v>
      </c>
      <c r="F283" s="124">
        <f t="shared" si="311"/>
        <v>218490</v>
      </c>
      <c r="G283" s="124">
        <f t="shared" si="312"/>
        <v>808745</v>
      </c>
      <c r="H283" s="124">
        <f t="shared" si="313"/>
        <v>635490.45737887314</v>
      </c>
      <c r="I283" s="124">
        <f t="shared" si="302"/>
        <v>-173254.54262112686</v>
      </c>
      <c r="J283" s="126">
        <f t="shared" si="303"/>
        <v>-0.21422641576903334</v>
      </c>
      <c r="K283" s="114"/>
      <c r="L283" s="124">
        <f>'Space Support'!D40</f>
        <v>317745.22868943657</v>
      </c>
      <c r="M283" s="124">
        <f>'Space Support'!G40</f>
        <v>317745.22868943657</v>
      </c>
      <c r="N283" s="124">
        <f t="shared" si="317"/>
        <v>253190.17907841183</v>
      </c>
      <c r="O283" s="124">
        <f t="shared" si="304"/>
        <v>253187.56860577755</v>
      </c>
      <c r="P283" s="124">
        <f t="shared" ref="P283:Q283" si="351">P61*0.154234575791748</f>
        <v>64555.049611024733</v>
      </c>
      <c r="Q283" s="124">
        <f t="shared" si="351"/>
        <v>64557.660083659022</v>
      </c>
      <c r="R283" s="124"/>
      <c r="S283" s="124"/>
      <c r="T283" s="124">
        <f t="shared" si="315"/>
        <v>317745.22868943657</v>
      </c>
      <c r="U283" s="124">
        <f t="shared" si="305"/>
        <v>317745.22868943657</v>
      </c>
      <c r="V283" s="97">
        <v>63881.706277348429</v>
      </c>
      <c r="W283" s="131">
        <f>'Space Support'!L40</f>
        <v>53462.859118087494</v>
      </c>
      <c r="X283" s="553">
        <f t="shared" si="306"/>
        <v>-0.16309594352452847</v>
      </c>
      <c r="Y283" s="124">
        <v>317734.5</v>
      </c>
      <c r="Z283" s="124">
        <v>317734.5</v>
      </c>
      <c r="AB283" s="124">
        <f t="shared" si="307"/>
        <v>10.728689436567947</v>
      </c>
      <c r="AC283" s="124">
        <f t="shared" si="308"/>
        <v>10.728689436567947</v>
      </c>
      <c r="AE283" s="127">
        <f t="shared" si="309"/>
        <v>3.3765068576542319E-5</v>
      </c>
      <c r="AF283" s="127">
        <f t="shared" si="310"/>
        <v>3.3765068576542319E-5</v>
      </c>
      <c r="AG283" s="114"/>
    </row>
    <row r="284" spans="1:33" ht="19.95" customHeight="1" outlineLevel="1" thickBot="1">
      <c r="A284" s="105"/>
      <c r="B284" s="128" t="s">
        <v>1</v>
      </c>
      <c r="C284" s="129">
        <f t="shared" ref="C284:H284" si="352">SUM(C247:C283)</f>
        <v>793134824.25994515</v>
      </c>
      <c r="D284" s="129">
        <f t="shared" si="352"/>
        <v>0</v>
      </c>
      <c r="E284" s="129">
        <f t="shared" si="352"/>
        <v>581804387.25994515</v>
      </c>
      <c r="F284" s="129">
        <f t="shared" si="352"/>
        <v>211330437</v>
      </c>
      <c r="G284" s="129">
        <f t="shared" si="352"/>
        <v>793134824.25994515</v>
      </c>
      <c r="H284" s="129">
        <f t="shared" si="352"/>
        <v>822942433.43280208</v>
      </c>
      <c r="I284" s="129">
        <f t="shared" si="302"/>
        <v>29807609.172856927</v>
      </c>
      <c r="J284" s="130">
        <f t="shared" si="303"/>
        <v>3.7582020434759854E-2</v>
      </c>
      <c r="L284" s="129">
        <f t="shared" ref="L284:U284" si="353">SUM(L247:L283)</f>
        <v>411471216.71640104</v>
      </c>
      <c r="M284" s="129">
        <f t="shared" si="353"/>
        <v>411471216.71640104</v>
      </c>
      <c r="N284" s="129">
        <f t="shared" si="353"/>
        <v>310104635.12101138</v>
      </c>
      <c r="O284" s="129">
        <f t="shared" si="353"/>
        <v>309728551.36047775</v>
      </c>
      <c r="P284" s="129">
        <f t="shared" si="353"/>
        <v>101366581.59538957</v>
      </c>
      <c r="Q284" s="129">
        <f t="shared" si="353"/>
        <v>101742665.35592332</v>
      </c>
      <c r="R284" s="129">
        <f t="shared" si="353"/>
        <v>0</v>
      </c>
      <c r="S284" s="129">
        <f t="shared" si="353"/>
        <v>0</v>
      </c>
      <c r="T284" s="129">
        <f t="shared" si="353"/>
        <v>411471216.71640104</v>
      </c>
      <c r="U284" s="129">
        <f t="shared" si="353"/>
        <v>411471216.71640104</v>
      </c>
      <c r="V284" s="136">
        <f>SUM(V247:V283)</f>
        <v>72297113.214065418</v>
      </c>
      <c r="W284" s="136">
        <f>SUM(W247:W283)</f>
        <v>71259213.81105873</v>
      </c>
      <c r="X284" s="554">
        <f t="shared" si="306"/>
        <v>-1.4356028295812567E-2</v>
      </c>
      <c r="Y284" s="276">
        <f>SUM(Y247:Y283)</f>
        <v>411470854.17427915</v>
      </c>
      <c r="Z284" s="276">
        <f>SUM(Z247:Z283)</f>
        <v>411470854.17427915</v>
      </c>
      <c r="AB284" s="131">
        <f t="shared" si="307"/>
        <v>362.54212188720703</v>
      </c>
      <c r="AC284" s="131">
        <f t="shared" si="308"/>
        <v>362.54212188720703</v>
      </c>
      <c r="AE284" s="130">
        <f t="shared" si="309"/>
        <v>8.8108744222826775E-7</v>
      </c>
      <c r="AF284" s="130">
        <f t="shared" si="310"/>
        <v>8.8108744222826775E-7</v>
      </c>
      <c r="AG284" s="114"/>
    </row>
    <row r="285" spans="1:33" ht="19.95" customHeight="1" outlineLevel="1">
      <c r="A285" s="107">
        <v>9225</v>
      </c>
      <c r="B285" s="108" t="str">
        <f t="shared" ref="B285:B293" si="354">B63</f>
        <v>TSTC-Harlingen</v>
      </c>
      <c r="C285" s="138">
        <v>4726110</v>
      </c>
      <c r="D285" s="109"/>
      <c r="E285" s="132">
        <v>4397113.4140710859</v>
      </c>
      <c r="F285" s="109">
        <f t="shared" si="311"/>
        <v>328996.58592891414</v>
      </c>
      <c r="G285" s="109">
        <f t="shared" si="312"/>
        <v>4726110</v>
      </c>
      <c r="H285" s="109">
        <f t="shared" ref="H285:H293" si="355">L285+M285</f>
        <v>3432240.2559281476</v>
      </c>
      <c r="I285" s="109">
        <f t="shared" si="302"/>
        <v>-1293869.7440718524</v>
      </c>
      <c r="J285" s="112">
        <f t="shared" si="303"/>
        <v>-0.27377055211830709</v>
      </c>
      <c r="L285" s="109">
        <f>'Space Support'!D44</f>
        <v>1716120.1279640738</v>
      </c>
      <c r="M285" s="109">
        <f>'Space Support'!G44</f>
        <v>1716120.1279640738</v>
      </c>
      <c r="N285" s="109">
        <f t="shared" ref="N285:N293" si="356">L285-P285</f>
        <v>1541577.2677196453</v>
      </c>
      <c r="O285" s="109">
        <f t="shared" ref="O285:O293" si="357">M285-Q285</f>
        <v>1535613.6677196454</v>
      </c>
      <c r="P285" s="109">
        <f t="shared" ref="P285:Q293" si="358">P63</f>
        <v>174542.86024442848</v>
      </c>
      <c r="Q285" s="109">
        <f t="shared" si="358"/>
        <v>180506.46024442848</v>
      </c>
      <c r="R285" s="109"/>
      <c r="S285" s="109"/>
      <c r="T285" s="109">
        <f t="shared" ref="T285:T293" si="359">L285+R285</f>
        <v>1716120.1279640738</v>
      </c>
      <c r="U285" s="109">
        <f t="shared" ref="U285:U293" si="360">M285+S285</f>
        <v>1716120.1279640738</v>
      </c>
      <c r="V285" s="131">
        <v>388044.95130280469</v>
      </c>
      <c r="W285" s="131">
        <f>'Space Support'!L44</f>
        <v>277989</v>
      </c>
      <c r="X285" s="553">
        <f t="shared" si="306"/>
        <v>-0.28361650095770552</v>
      </c>
      <c r="Y285" s="196">
        <v>1716244</v>
      </c>
      <c r="Z285" s="196">
        <v>1716244</v>
      </c>
      <c r="AB285" s="100">
        <f t="shared" si="307"/>
        <v>-123.8720359262079</v>
      </c>
      <c r="AC285" s="100">
        <f t="shared" si="308"/>
        <v>-123.8720359262079</v>
      </c>
      <c r="AE285" s="120">
        <f t="shared" si="309"/>
        <v>-7.2181448086133687E-5</v>
      </c>
      <c r="AF285" s="120">
        <f t="shared" si="310"/>
        <v>-7.2181448086133687E-5</v>
      </c>
      <c r="AG285" s="114"/>
    </row>
    <row r="286" spans="1:33" ht="19.95" customHeight="1" outlineLevel="1">
      <c r="A286" s="117">
        <v>9932</v>
      </c>
      <c r="B286" s="118" t="str">
        <f t="shared" si="354"/>
        <v>TSTC-West Tx</v>
      </c>
      <c r="C286" s="138">
        <v>2235672</v>
      </c>
      <c r="D286" s="100"/>
      <c r="E286" s="119">
        <v>2133196.9652485466</v>
      </c>
      <c r="F286" s="100">
        <f t="shared" si="311"/>
        <v>102475.03475145344</v>
      </c>
      <c r="G286" s="100">
        <f t="shared" si="312"/>
        <v>2235672</v>
      </c>
      <c r="H286" s="100">
        <f t="shared" si="355"/>
        <v>1556227.0933000727</v>
      </c>
      <c r="I286" s="100">
        <f t="shared" si="302"/>
        <v>-679444.90669992729</v>
      </c>
      <c r="J286" s="96">
        <f t="shared" si="303"/>
        <v>-0.3039108181790206</v>
      </c>
      <c r="L286" s="100">
        <f>'Space Support'!D45</f>
        <v>778113.54665003635</v>
      </c>
      <c r="M286" s="100">
        <f>'Space Support'!G45</f>
        <v>778113.54665003635</v>
      </c>
      <c r="N286" s="100">
        <f t="shared" si="356"/>
        <v>716730.62005046767</v>
      </c>
      <c r="O286" s="100">
        <f t="shared" si="357"/>
        <v>714558.52005046769</v>
      </c>
      <c r="P286" s="100">
        <f t="shared" si="358"/>
        <v>61382.926599568658</v>
      </c>
      <c r="Q286" s="100">
        <f t="shared" si="358"/>
        <v>63555.026599568657</v>
      </c>
      <c r="R286" s="100"/>
      <c r="S286" s="100"/>
      <c r="T286" s="100">
        <f t="shared" si="359"/>
        <v>778113.54665003635</v>
      </c>
      <c r="U286" s="100">
        <f t="shared" si="360"/>
        <v>778113.54665003635</v>
      </c>
      <c r="V286" s="131">
        <v>163372.8169894056</v>
      </c>
      <c r="W286" s="131">
        <f>'Space Support'!L45</f>
        <v>120246</v>
      </c>
      <c r="X286" s="553">
        <f t="shared" si="306"/>
        <v>-0.26397792352568844</v>
      </c>
      <c r="Y286" s="100">
        <v>778070</v>
      </c>
      <c r="Z286" s="100">
        <v>778070</v>
      </c>
      <c r="AB286" s="100">
        <f t="shared" si="307"/>
        <v>43.546650036354549</v>
      </c>
      <c r="AC286" s="100">
        <f t="shared" si="308"/>
        <v>43.546650036354549</v>
      </c>
      <c r="AE286" s="120">
        <f t="shared" si="309"/>
        <v>5.5964390060850659E-5</v>
      </c>
      <c r="AF286" s="120">
        <f t="shared" si="310"/>
        <v>5.5964390060850659E-5</v>
      </c>
      <c r="AG286" s="114"/>
    </row>
    <row r="287" spans="1:33" ht="19.95" customHeight="1" outlineLevel="1">
      <c r="A287" s="117">
        <v>33965</v>
      </c>
      <c r="B287" s="118" t="str">
        <f t="shared" si="354"/>
        <v>TSTC-Marshall</v>
      </c>
      <c r="C287" s="138">
        <v>1233098</v>
      </c>
      <c r="D287" s="100"/>
      <c r="E287" s="119">
        <v>1184823.1015214561</v>
      </c>
      <c r="F287" s="100">
        <f t="shared" si="311"/>
        <v>48274.898478543852</v>
      </c>
      <c r="G287" s="100">
        <f t="shared" si="312"/>
        <v>1233098</v>
      </c>
      <c r="H287" s="100">
        <f t="shared" si="355"/>
        <v>735153.78808771679</v>
      </c>
      <c r="I287" s="100">
        <f t="shared" si="302"/>
        <v>-497944.21191228321</v>
      </c>
      <c r="J287" s="96">
        <f t="shared" si="303"/>
        <v>-0.40381560258169524</v>
      </c>
      <c r="L287" s="100">
        <f>'Space Support'!D46</f>
        <v>367576.8940438584</v>
      </c>
      <c r="M287" s="100">
        <f>'Space Support'!G46</f>
        <v>367576.8940438584</v>
      </c>
      <c r="N287" s="100">
        <f t="shared" si="356"/>
        <v>339852.1823975608</v>
      </c>
      <c r="O287" s="100">
        <f t="shared" si="357"/>
        <v>338873.48239756079</v>
      </c>
      <c r="P287" s="100">
        <f t="shared" si="358"/>
        <v>27724.711646297626</v>
      </c>
      <c r="Q287" s="100">
        <f t="shared" si="358"/>
        <v>28703.411646297627</v>
      </c>
      <c r="R287" s="100"/>
      <c r="S287" s="100"/>
      <c r="T287" s="100">
        <f t="shared" si="359"/>
        <v>367576.8940438584</v>
      </c>
      <c r="U287" s="100">
        <f t="shared" si="360"/>
        <v>367576.8940438584</v>
      </c>
      <c r="V287" s="131">
        <v>87692.231498795532</v>
      </c>
      <c r="W287" s="131">
        <f>'Space Support'!L46</f>
        <v>65642</v>
      </c>
      <c r="X287" s="553">
        <f t="shared" si="306"/>
        <v>-0.25145022679800771</v>
      </c>
      <c r="Y287" s="100">
        <v>367586</v>
      </c>
      <c r="Z287" s="100">
        <v>367586</v>
      </c>
      <c r="AB287" s="100">
        <f t="shared" si="307"/>
        <v>-9.1059561416041106</v>
      </c>
      <c r="AC287" s="100">
        <f t="shared" si="308"/>
        <v>-9.1059561416041106</v>
      </c>
      <c r="AE287" s="120">
        <f t="shared" si="309"/>
        <v>-2.4772928574007728E-5</v>
      </c>
      <c r="AF287" s="120">
        <f t="shared" si="310"/>
        <v>-2.4772928574007728E-5</v>
      </c>
      <c r="AG287" s="114"/>
    </row>
    <row r="288" spans="1:33" ht="19.95" customHeight="1" outlineLevel="1">
      <c r="A288" s="117">
        <v>3634</v>
      </c>
      <c r="B288" s="118" t="str">
        <f t="shared" si="354"/>
        <v>TSTC-Waco</v>
      </c>
      <c r="C288" s="138">
        <v>6276754</v>
      </c>
      <c r="D288" s="100"/>
      <c r="E288" s="119">
        <v>5916741.2593952287</v>
      </c>
      <c r="F288" s="100">
        <f t="shared" si="311"/>
        <v>360012.7406047713</v>
      </c>
      <c r="G288" s="100">
        <f t="shared" si="312"/>
        <v>6276754</v>
      </c>
      <c r="H288" s="100">
        <f t="shared" si="355"/>
        <v>6990593.120452919</v>
      </c>
      <c r="I288" s="100">
        <f t="shared" si="302"/>
        <v>713839.12045291904</v>
      </c>
      <c r="J288" s="96">
        <f t="shared" si="303"/>
        <v>0.11372743307335592</v>
      </c>
      <c r="L288" s="100">
        <f>'Space Support'!D47</f>
        <v>3495296.5602264595</v>
      </c>
      <c r="M288" s="100">
        <f>'Space Support'!G47</f>
        <v>3495296.5602264595</v>
      </c>
      <c r="N288" s="100">
        <f t="shared" si="356"/>
        <v>3274267.0815780051</v>
      </c>
      <c r="O288" s="100">
        <f t="shared" si="357"/>
        <v>3266690.481578005</v>
      </c>
      <c r="P288" s="100">
        <f t="shared" si="358"/>
        <v>221029.47864845439</v>
      </c>
      <c r="Q288" s="100">
        <f t="shared" si="358"/>
        <v>228606.07864845439</v>
      </c>
      <c r="R288" s="100"/>
      <c r="S288" s="100"/>
      <c r="T288" s="100">
        <f t="shared" si="359"/>
        <v>3495296.5602264595</v>
      </c>
      <c r="U288" s="100">
        <f t="shared" si="360"/>
        <v>3495296.5602264595</v>
      </c>
      <c r="V288" s="131">
        <v>555866.28717148071</v>
      </c>
      <c r="W288" s="131">
        <f>'Space Support'!L47</f>
        <v>588809</v>
      </c>
      <c r="X288" s="553">
        <f t="shared" si="306"/>
        <v>5.9263735881785365E-2</v>
      </c>
      <c r="Y288" s="100">
        <v>3495411</v>
      </c>
      <c r="Z288" s="100">
        <v>3495411</v>
      </c>
      <c r="AB288" s="100">
        <f t="shared" si="307"/>
        <v>-114.4397735404782</v>
      </c>
      <c r="AC288" s="100">
        <f t="shared" si="308"/>
        <v>-114.4397735404782</v>
      </c>
      <c r="AE288" s="120">
        <f t="shared" si="309"/>
        <v>-3.2741076921113573E-5</v>
      </c>
      <c r="AF288" s="120">
        <f t="shared" si="310"/>
        <v>-3.2741076921113573E-5</v>
      </c>
      <c r="AG288" s="114"/>
    </row>
    <row r="289" spans="1:33" ht="19.95" customHeight="1" outlineLevel="1">
      <c r="A289" s="117">
        <v>203634</v>
      </c>
      <c r="B289" s="118" t="str">
        <f t="shared" si="354"/>
        <v>TSTC-Fort Bend</v>
      </c>
      <c r="C289" s="138">
        <v>1083354</v>
      </c>
      <c r="D289" s="100"/>
      <c r="E289" s="119">
        <v>1044369.6</v>
      </c>
      <c r="F289" s="100">
        <f t="shared" si="311"/>
        <v>38984.400000000023</v>
      </c>
      <c r="G289" s="100">
        <f t="shared" si="312"/>
        <v>1083354</v>
      </c>
      <c r="H289" s="100">
        <f t="shared" si="355"/>
        <v>853794.80407195166</v>
      </c>
      <c r="I289" s="100">
        <f t="shared" si="302"/>
        <v>-229559.19592804834</v>
      </c>
      <c r="J289" s="96">
        <f t="shared" si="303"/>
        <v>-0.21189675390320092</v>
      </c>
      <c r="L289" s="100">
        <f>'Space Support'!D48</f>
        <v>426897.40203597583</v>
      </c>
      <c r="M289" s="100">
        <f>'Space Support'!G48</f>
        <v>426897.40203597583</v>
      </c>
      <c r="N289" s="100">
        <f>L289-P289</f>
        <v>399761.90203597583</v>
      </c>
      <c r="O289" s="100">
        <f>M289-Q289</f>
        <v>398861.00203597581</v>
      </c>
      <c r="P289" s="100">
        <f t="shared" si="358"/>
        <v>27135.5</v>
      </c>
      <c r="Q289" s="100">
        <f t="shared" si="358"/>
        <v>28036.400000000001</v>
      </c>
      <c r="R289" s="100"/>
      <c r="S289" s="100"/>
      <c r="T289" s="100">
        <f>L289+R289</f>
        <v>426897.40203597583</v>
      </c>
      <c r="U289" s="100">
        <f>M289+S289</f>
        <v>426897.40203597583</v>
      </c>
      <c r="V289" s="131">
        <v>94951.521168750973</v>
      </c>
      <c r="W289" s="131">
        <f>'Space Support'!L48</f>
        <v>78655</v>
      </c>
      <c r="X289" s="553">
        <f t="shared" si="306"/>
        <v>-0.1716299114343651</v>
      </c>
      <c r="Y289" s="100">
        <v>426908</v>
      </c>
      <c r="Z289" s="100">
        <v>426908</v>
      </c>
      <c r="AB289" s="100">
        <f t="shared" ref="AB289:AC294" si="361">T289-Y289</f>
        <v>-10.597964024171233</v>
      </c>
      <c r="AC289" s="100">
        <f t="shared" si="361"/>
        <v>-10.597964024171233</v>
      </c>
      <c r="AE289" s="120">
        <f t="shared" ref="AE289:AF294" si="362">IFERROR(AB289/T289,0)</f>
        <v>-2.4825552869675494E-5</v>
      </c>
      <c r="AF289" s="120">
        <f t="shared" si="362"/>
        <v>-2.4825552869675494E-5</v>
      </c>
      <c r="AG289" s="114"/>
    </row>
    <row r="290" spans="1:33" ht="19.95" customHeight="1" outlineLevel="1">
      <c r="A290" s="117">
        <v>133965</v>
      </c>
      <c r="B290" s="118" t="str">
        <f t="shared" si="354"/>
        <v>TSTC-North Texas</v>
      </c>
      <c r="C290" s="138">
        <v>300904</v>
      </c>
      <c r="D290" s="100"/>
      <c r="E290" s="119">
        <v>278440.5</v>
      </c>
      <c r="F290" s="100">
        <f t="shared" si="311"/>
        <v>22463.5</v>
      </c>
      <c r="G290" s="100">
        <f t="shared" si="312"/>
        <v>300904</v>
      </c>
      <c r="H290" s="100">
        <f t="shared" si="355"/>
        <v>259683.13658057037</v>
      </c>
      <c r="I290" s="100">
        <f t="shared" si="302"/>
        <v>-41220.863419429632</v>
      </c>
      <c r="J290" s="96">
        <f t="shared" si="303"/>
        <v>-0.13699008128648882</v>
      </c>
      <c r="L290" s="100">
        <f>'Space Support'!D49</f>
        <v>129841.56829028518</v>
      </c>
      <c r="M290" s="100">
        <f>'Space Support'!G49</f>
        <v>129841.56829028518</v>
      </c>
      <c r="N290" s="100">
        <f>L290-P290</f>
        <v>116460.96829028518</v>
      </c>
      <c r="O290" s="100">
        <f>M290-Q290</f>
        <v>115998.36829028519</v>
      </c>
      <c r="P290" s="100">
        <f t="shared" si="358"/>
        <v>13380.6</v>
      </c>
      <c r="Q290" s="100">
        <f t="shared" si="358"/>
        <v>13843.2</v>
      </c>
      <c r="R290" s="100"/>
      <c r="S290" s="100"/>
      <c r="T290" s="100">
        <f>L290+R290</f>
        <v>129841.56829028518</v>
      </c>
      <c r="U290" s="100">
        <f>M290+S290</f>
        <v>129841.56829028518</v>
      </c>
      <c r="V290" s="131">
        <v>44024.591360554012</v>
      </c>
      <c r="W290" s="131">
        <f>'Space Support'!L49</f>
        <v>38316</v>
      </c>
      <c r="X290" s="553">
        <f t="shared" si="306"/>
        <v>-0.12966824186513412</v>
      </c>
      <c r="Y290" s="100">
        <v>129843</v>
      </c>
      <c r="Z290" s="100">
        <v>129843</v>
      </c>
      <c r="AB290" s="100">
        <f t="shared" si="361"/>
        <v>-1.4317097148159519</v>
      </c>
      <c r="AC290" s="100">
        <f t="shared" si="361"/>
        <v>-1.4317097148159519</v>
      </c>
      <c r="AE290" s="120">
        <f t="shared" si="362"/>
        <v>-1.102658981763911E-5</v>
      </c>
      <c r="AF290" s="120">
        <f t="shared" si="362"/>
        <v>-1.102658981763911E-5</v>
      </c>
      <c r="AG290" s="114"/>
    </row>
    <row r="291" spans="1:33" ht="19.95" customHeight="1" outlineLevel="1">
      <c r="A291" s="117">
        <v>36273</v>
      </c>
      <c r="B291" s="118" t="str">
        <f t="shared" si="354"/>
        <v>Lamar-IOT</v>
      </c>
      <c r="C291" s="138">
        <v>3077366</v>
      </c>
      <c r="D291" s="100"/>
      <c r="E291" s="119">
        <v>2420605.684138516</v>
      </c>
      <c r="F291" s="100">
        <f t="shared" si="311"/>
        <v>656760.31586148404</v>
      </c>
      <c r="G291" s="100">
        <f t="shared" si="312"/>
        <v>3077366</v>
      </c>
      <c r="H291" s="100">
        <f t="shared" si="355"/>
        <v>3699431.0839848043</v>
      </c>
      <c r="I291" s="100">
        <f t="shared" si="302"/>
        <v>622065.08398480434</v>
      </c>
      <c r="J291" s="96">
        <f t="shared" si="303"/>
        <v>0.20214205394639584</v>
      </c>
      <c r="L291" s="100">
        <f>'Space Support'!D50</f>
        <v>1849715.5419924022</v>
      </c>
      <c r="M291" s="100">
        <f>'Space Support'!G50</f>
        <v>1849715.5419924022</v>
      </c>
      <c r="N291" s="100">
        <f t="shared" si="356"/>
        <v>1477244.9746001919</v>
      </c>
      <c r="O291" s="100">
        <f t="shared" si="357"/>
        <v>1476615.4391517451</v>
      </c>
      <c r="P291" s="100">
        <f t="shared" si="358"/>
        <v>372470.5673922103</v>
      </c>
      <c r="Q291" s="100">
        <f t="shared" si="358"/>
        <v>373100.10284065717</v>
      </c>
      <c r="R291" s="100"/>
      <c r="S291" s="100"/>
      <c r="T291" s="100">
        <f t="shared" si="359"/>
        <v>1849715.5419924022</v>
      </c>
      <c r="U291" s="100">
        <f t="shared" si="360"/>
        <v>1849715.5419924022</v>
      </c>
      <c r="V291" s="131">
        <v>278016.95746524649</v>
      </c>
      <c r="W291" s="131">
        <f>'Space Support'!L50</f>
        <v>297872</v>
      </c>
      <c r="X291" s="553">
        <f t="shared" si="306"/>
        <v>7.1416660033176163E-2</v>
      </c>
      <c r="Y291" s="100">
        <v>1849721</v>
      </c>
      <c r="Z291" s="100">
        <v>1849721</v>
      </c>
      <c r="AB291" s="100">
        <f t="shared" si="361"/>
        <v>-5.4580075978301466</v>
      </c>
      <c r="AC291" s="100">
        <f t="shared" si="361"/>
        <v>-5.4580075978301466</v>
      </c>
      <c r="AE291" s="120">
        <f t="shared" si="362"/>
        <v>-2.9507280843578301E-6</v>
      </c>
      <c r="AF291" s="120">
        <f t="shared" si="362"/>
        <v>-2.9507280843578301E-6</v>
      </c>
      <c r="AG291" s="114"/>
    </row>
    <row r="292" spans="1:33" ht="19.95" customHeight="1" outlineLevel="1">
      <c r="A292" s="117">
        <v>23582</v>
      </c>
      <c r="B292" s="118" t="str">
        <f t="shared" si="354"/>
        <v>Lamar-Orange</v>
      </c>
      <c r="C292" s="138">
        <v>1902574</v>
      </c>
      <c r="D292" s="100"/>
      <c r="E292" s="119">
        <v>1589347.8316108212</v>
      </c>
      <c r="F292" s="100">
        <f t="shared" si="311"/>
        <v>313226.16838917881</v>
      </c>
      <c r="G292" s="100">
        <f t="shared" si="312"/>
        <v>1902574</v>
      </c>
      <c r="H292" s="100">
        <f t="shared" si="355"/>
        <v>2144630.8298007473</v>
      </c>
      <c r="I292" s="100">
        <f t="shared" si="302"/>
        <v>242056.82980074733</v>
      </c>
      <c r="J292" s="96">
        <f t="shared" si="303"/>
        <v>0.12722597376015196</v>
      </c>
      <c r="L292" s="100">
        <f>'Space Support'!D51</f>
        <v>1072315.4149003737</v>
      </c>
      <c r="M292" s="100">
        <f>'Space Support'!G51</f>
        <v>1072315.4149003737</v>
      </c>
      <c r="N292" s="100">
        <f t="shared" si="356"/>
        <v>907130.56094956165</v>
      </c>
      <c r="O292" s="100">
        <f t="shared" si="357"/>
        <v>907087.08905888558</v>
      </c>
      <c r="P292" s="100">
        <f t="shared" si="358"/>
        <v>165184.85395081202</v>
      </c>
      <c r="Q292" s="100">
        <f t="shared" si="358"/>
        <v>165228.32584148805</v>
      </c>
      <c r="R292" s="100"/>
      <c r="S292" s="100"/>
      <c r="T292" s="100">
        <f t="shared" si="359"/>
        <v>1072315.4149003737</v>
      </c>
      <c r="U292" s="100">
        <f t="shared" si="360"/>
        <v>1072315.4149003737</v>
      </c>
      <c r="V292" s="131">
        <v>161848.847155289</v>
      </c>
      <c r="W292" s="131">
        <f>'Space Support'!L51</f>
        <v>183356</v>
      </c>
      <c r="X292" s="553">
        <f t="shared" si="306"/>
        <v>0.13288418930828436</v>
      </c>
      <c r="Y292" s="100">
        <v>1072348</v>
      </c>
      <c r="Z292" s="100">
        <v>1072348</v>
      </c>
      <c r="AB292" s="100">
        <f t="shared" si="361"/>
        <v>-32.585099626332521</v>
      </c>
      <c r="AC292" s="100">
        <f t="shared" si="361"/>
        <v>-32.585099626332521</v>
      </c>
      <c r="AE292" s="120">
        <f t="shared" si="362"/>
        <v>-3.0387607203576318E-5</v>
      </c>
      <c r="AF292" s="120">
        <f t="shared" si="362"/>
        <v>-3.0387607203576318E-5</v>
      </c>
      <c r="AG292" s="114"/>
    </row>
    <row r="293" spans="1:33" ht="19.95" customHeight="1" outlineLevel="1" thickBot="1">
      <c r="A293" s="122">
        <v>23485</v>
      </c>
      <c r="B293" s="123" t="str">
        <f t="shared" si="354"/>
        <v>Lamar-Port Arthur</v>
      </c>
      <c r="C293" s="139">
        <v>2527640</v>
      </c>
      <c r="D293" s="124"/>
      <c r="E293" s="125">
        <v>2178190.5074333074</v>
      </c>
      <c r="F293" s="124">
        <f t="shared" si="311"/>
        <v>349449.49256669264</v>
      </c>
      <c r="G293" s="124">
        <f t="shared" si="312"/>
        <v>2527640</v>
      </c>
      <c r="H293" s="124">
        <f t="shared" si="355"/>
        <v>2747530.7774707051</v>
      </c>
      <c r="I293" s="124">
        <f t="shared" si="302"/>
        <v>219890.7774707051</v>
      </c>
      <c r="J293" s="126">
        <f t="shared" si="303"/>
        <v>8.699449979850972E-2</v>
      </c>
      <c r="L293" s="124">
        <f>'Space Support'!D52</f>
        <v>1373765.3887353525</v>
      </c>
      <c r="M293" s="124">
        <f>'Space Support'!G52</f>
        <v>1373765.3887353525</v>
      </c>
      <c r="N293" s="124">
        <f t="shared" si="356"/>
        <v>1200297.020517556</v>
      </c>
      <c r="O293" s="124">
        <f t="shared" si="357"/>
        <v>1200538.5268694209</v>
      </c>
      <c r="P293" s="124">
        <f t="shared" si="358"/>
        <v>173468.36821779667</v>
      </c>
      <c r="Q293" s="124">
        <f t="shared" si="358"/>
        <v>173226.86186593166</v>
      </c>
      <c r="R293" s="124"/>
      <c r="S293" s="124"/>
      <c r="T293" s="124">
        <f t="shared" si="359"/>
        <v>1373765.3887353525</v>
      </c>
      <c r="U293" s="124">
        <f t="shared" si="360"/>
        <v>1373765.3887353525</v>
      </c>
      <c r="V293" s="131">
        <v>211529.47749576991</v>
      </c>
      <c r="W293" s="131">
        <f>'Space Support'!L52</f>
        <v>209483</v>
      </c>
      <c r="X293" s="553">
        <f t="shared" si="306"/>
        <v>-9.6746681360796935E-3</v>
      </c>
      <c r="Y293" s="124">
        <v>1373874</v>
      </c>
      <c r="Z293" s="124">
        <v>1373874</v>
      </c>
      <c r="AB293" s="124">
        <f t="shared" si="361"/>
        <v>-108.6112646474503</v>
      </c>
      <c r="AC293" s="124">
        <f t="shared" si="361"/>
        <v>-108.6112646474503</v>
      </c>
      <c r="AE293" s="127">
        <f t="shared" si="362"/>
        <v>-7.9060999453068611E-5</v>
      </c>
      <c r="AF293" s="127">
        <f t="shared" si="362"/>
        <v>-7.9060999453068611E-5</v>
      </c>
      <c r="AG293" s="114"/>
    </row>
    <row r="294" spans="1:33" ht="19.95" customHeight="1" outlineLevel="1">
      <c r="A294" s="105"/>
      <c r="B294" s="128" t="s">
        <v>1</v>
      </c>
      <c r="C294" s="129">
        <f t="shared" ref="C294:H294" si="363">SUM(C285:C293)</f>
        <v>23363472</v>
      </c>
      <c r="D294" s="129">
        <f t="shared" si="363"/>
        <v>0</v>
      </c>
      <c r="E294" s="129">
        <f t="shared" si="363"/>
        <v>21142828.863418963</v>
      </c>
      <c r="F294" s="129">
        <f t="shared" si="363"/>
        <v>2220643.1365810381</v>
      </c>
      <c r="G294" s="129">
        <f t="shared" si="363"/>
        <v>23363472</v>
      </c>
      <c r="H294" s="129">
        <f t="shared" si="363"/>
        <v>22419284.889677633</v>
      </c>
      <c r="I294" s="129">
        <f t="shared" si="302"/>
        <v>-944187.1103223674</v>
      </c>
      <c r="J294" s="130">
        <f t="shared" si="303"/>
        <v>-4.0412962179695186E-2</v>
      </c>
      <c r="L294" s="129">
        <f t="shared" ref="L294:U294" si="364">SUM(L285:L293)</f>
        <v>11209642.444838816</v>
      </c>
      <c r="M294" s="129">
        <f t="shared" si="364"/>
        <v>11209642.444838816</v>
      </c>
      <c r="N294" s="129">
        <f>SUM(N285:N293)</f>
        <v>9973322.5781392492</v>
      </c>
      <c r="O294" s="129">
        <f>SUM(O285:O293)</f>
        <v>9954836.5771519914</v>
      </c>
      <c r="P294" s="129">
        <f t="shared" si="364"/>
        <v>1236319.866699568</v>
      </c>
      <c r="Q294" s="129">
        <f t="shared" si="364"/>
        <v>1254805.867686826</v>
      </c>
      <c r="R294" s="129">
        <f t="shared" si="364"/>
        <v>0</v>
      </c>
      <c r="S294" s="129">
        <f t="shared" si="364"/>
        <v>0</v>
      </c>
      <c r="T294" s="129">
        <f t="shared" si="364"/>
        <v>11209642.444838816</v>
      </c>
      <c r="U294" s="129">
        <f t="shared" si="364"/>
        <v>11209642.444838816</v>
      </c>
      <c r="V294" s="136">
        <f>SUM(V285:V293)</f>
        <v>1985347.6816080972</v>
      </c>
      <c r="W294" s="136">
        <f>SUM(W285:W293)</f>
        <v>1860368</v>
      </c>
      <c r="X294" s="554">
        <f t="shared" si="306"/>
        <v>-6.2951030071904474E-2</v>
      </c>
      <c r="Y294" s="276">
        <f>SUM(Y285:Y293)</f>
        <v>11210005</v>
      </c>
      <c r="Z294" s="276">
        <f>SUM(Z285:Z293)</f>
        <v>11210005</v>
      </c>
      <c r="AB294" s="131">
        <f t="shared" si="361"/>
        <v>-362.55516118369997</v>
      </c>
      <c r="AC294" s="131">
        <f t="shared" si="361"/>
        <v>-362.55516118369997</v>
      </c>
      <c r="AE294" s="130">
        <f t="shared" si="362"/>
        <v>-3.234315126176294E-5</v>
      </c>
      <c r="AF294" s="130">
        <f t="shared" si="362"/>
        <v>-3.234315126176294E-5</v>
      </c>
      <c r="AG294" s="114"/>
    </row>
    <row r="295" spans="1:33" ht="19.95" customHeight="1" outlineLevel="1">
      <c r="A295" s="105"/>
      <c r="B295" s="128"/>
      <c r="C295" s="131"/>
      <c r="D295" s="131"/>
      <c r="E295" s="131"/>
      <c r="F295" s="131"/>
      <c r="G295" s="131"/>
      <c r="H295" s="131"/>
      <c r="I295" s="131"/>
      <c r="J295" s="130"/>
      <c r="L295" s="131"/>
      <c r="M295" s="131"/>
      <c r="N295" s="131"/>
      <c r="O295" s="131"/>
      <c r="P295" s="131"/>
      <c r="Q295" s="131"/>
      <c r="R295" s="131"/>
      <c r="S295" s="131"/>
      <c r="T295" s="131"/>
      <c r="U295" s="131"/>
      <c r="V295" s="131"/>
      <c r="X295" s="144"/>
      <c r="Y295" s="131"/>
      <c r="Z295" s="131"/>
      <c r="AB295" s="131"/>
      <c r="AC295" s="131"/>
      <c r="AE295" s="130"/>
      <c r="AF295" s="130"/>
    </row>
    <row r="296" spans="1:33" s="91" customFormat="1" ht="48.75" customHeight="1" thickBot="1">
      <c r="A296" s="669" t="s">
        <v>81</v>
      </c>
      <c r="B296" s="670"/>
      <c r="C296" s="670"/>
      <c r="D296" s="670"/>
      <c r="E296" s="670"/>
      <c r="F296" s="670"/>
      <c r="G296" s="670"/>
      <c r="H296" s="670"/>
      <c r="I296" s="670"/>
      <c r="J296" s="670"/>
      <c r="L296" s="673" t="str">
        <f>A296</f>
        <v>Small Institution Supplement</v>
      </c>
      <c r="M296" s="673"/>
      <c r="N296" s="673"/>
      <c r="O296" s="673"/>
      <c r="P296" s="673"/>
      <c r="Q296" s="673"/>
      <c r="R296" s="673"/>
      <c r="S296" s="673"/>
      <c r="T296" s="673" t="str">
        <f>A296</f>
        <v>Small Institution Supplement</v>
      </c>
      <c r="U296" s="673"/>
      <c r="V296" s="86" t="s">
        <v>292</v>
      </c>
      <c r="W296" s="86" t="s">
        <v>293</v>
      </c>
      <c r="X296" s="87" t="s">
        <v>259</v>
      </c>
      <c r="AE296" s="94"/>
      <c r="AF296" s="94"/>
    </row>
    <row r="297" spans="1:33" ht="19.95" customHeight="1" outlineLevel="1">
      <c r="A297" s="107">
        <v>3656</v>
      </c>
      <c r="B297" s="108" t="str">
        <f t="shared" ref="B297:B333" si="365">B25</f>
        <v>UT-Arlington</v>
      </c>
      <c r="C297" s="138">
        <v>0</v>
      </c>
      <c r="D297" s="111"/>
      <c r="E297" s="137">
        <v>0</v>
      </c>
      <c r="F297" s="111">
        <f>G297-E297</f>
        <v>0</v>
      </c>
      <c r="G297" s="111">
        <f>C297-D297</f>
        <v>0</v>
      </c>
      <c r="H297" s="111">
        <f>L297+M297</f>
        <v>0</v>
      </c>
      <c r="I297" s="111">
        <f t="shared" ref="I297:I333" si="366">H297-G297</f>
        <v>0</v>
      </c>
      <c r="J297" s="112">
        <f t="shared" ref="J297:J344" si="367">IF(OR(I297=0,G297=0),0,I297/G297)</f>
        <v>0</v>
      </c>
      <c r="L297" s="111">
        <f>SIS!D4</f>
        <v>0</v>
      </c>
      <c r="M297" s="111">
        <f>SIS!D4</f>
        <v>0</v>
      </c>
      <c r="N297" s="111">
        <f>L297-P297</f>
        <v>0</v>
      </c>
      <c r="O297" s="111">
        <f t="shared" ref="O297:O333" si="368">M297-Q297</f>
        <v>0</v>
      </c>
      <c r="P297" s="111"/>
      <c r="Q297" s="111"/>
      <c r="R297" s="111"/>
      <c r="S297" s="111"/>
      <c r="T297" s="111">
        <f t="shared" ref="T297:T333" si="369">L297+R297</f>
        <v>0</v>
      </c>
      <c r="U297" s="111">
        <f t="shared" ref="U297:U333" si="370">M297+S297</f>
        <v>0</v>
      </c>
      <c r="V297" s="97">
        <v>42733</v>
      </c>
      <c r="W297" s="97">
        <f>SIS!C4</f>
        <v>40942</v>
      </c>
      <c r="X297" s="553">
        <f t="shared" ref="X297:X344" si="371">(W297-V297)/V297</f>
        <v>-4.1911403365080854E-2</v>
      </c>
      <c r="Y297" s="633">
        <v>0</v>
      </c>
      <c r="Z297" s="633">
        <v>0</v>
      </c>
      <c r="AA297" s="141"/>
      <c r="AB297" s="111">
        <f>Y297-T297</f>
        <v>0</v>
      </c>
      <c r="AC297" s="111">
        <f>Z297-U297</f>
        <v>0</v>
      </c>
      <c r="AE297" s="116">
        <f t="shared" ref="AE297:AE338" si="372">IFERROR(AB297/T297,0)</f>
        <v>0</v>
      </c>
      <c r="AF297" s="116">
        <f t="shared" ref="AF297:AF338" si="373">IFERROR(AC297/U297,0)</f>
        <v>0</v>
      </c>
      <c r="AG297" s="114"/>
    </row>
    <row r="298" spans="1:33" ht="19.95" customHeight="1" outlineLevel="1">
      <c r="A298" s="117">
        <v>3658</v>
      </c>
      <c r="B298" s="118" t="str">
        <f t="shared" si="365"/>
        <v>UT-Austin</v>
      </c>
      <c r="C298" s="138">
        <v>0</v>
      </c>
      <c r="D298" s="100"/>
      <c r="E298" s="138">
        <v>0</v>
      </c>
      <c r="F298" s="100">
        <f t="shared" ref="F298:F333" si="374">G298-E298</f>
        <v>0</v>
      </c>
      <c r="G298" s="100">
        <f t="shared" ref="G298:G333" si="375">C298-D298</f>
        <v>0</v>
      </c>
      <c r="H298" s="100">
        <f t="shared" ref="H298:H333" si="376">L298+M298</f>
        <v>0</v>
      </c>
      <c r="I298" s="100">
        <f t="shared" si="366"/>
        <v>0</v>
      </c>
      <c r="J298" s="96">
        <f t="shared" si="367"/>
        <v>0</v>
      </c>
      <c r="L298" s="100">
        <f>SIS!D5</f>
        <v>0</v>
      </c>
      <c r="M298" s="100">
        <f>SIS!D5</f>
        <v>0</v>
      </c>
      <c r="N298" s="100">
        <f t="shared" ref="N298:N333" si="377">L298-P298</f>
        <v>0</v>
      </c>
      <c r="O298" s="100">
        <f t="shared" si="368"/>
        <v>0</v>
      </c>
      <c r="P298" s="100"/>
      <c r="Q298" s="100"/>
      <c r="R298" s="100"/>
      <c r="S298" s="100"/>
      <c r="T298" s="100">
        <f t="shared" si="369"/>
        <v>0</v>
      </c>
      <c r="U298" s="100">
        <f t="shared" si="370"/>
        <v>0</v>
      </c>
      <c r="V298" s="97">
        <v>50282</v>
      </c>
      <c r="W298" s="97">
        <f>SIS!C5</f>
        <v>52189</v>
      </c>
      <c r="X298" s="553">
        <f t="shared" si="371"/>
        <v>3.7926096813969211E-2</v>
      </c>
      <c r="Y298" s="100">
        <v>0</v>
      </c>
      <c r="Z298" s="100">
        <v>0</v>
      </c>
      <c r="AA298" s="141"/>
      <c r="AB298" s="100">
        <f t="shared" ref="AB298:AB333" si="378">Y298-T298</f>
        <v>0</v>
      </c>
      <c r="AC298" s="100">
        <f t="shared" ref="AC298:AC333" si="379">Z298-U298</f>
        <v>0</v>
      </c>
      <c r="AE298" s="120">
        <f t="shared" si="372"/>
        <v>0</v>
      </c>
      <c r="AF298" s="120">
        <f t="shared" si="373"/>
        <v>0</v>
      </c>
      <c r="AG298" s="114"/>
    </row>
    <row r="299" spans="1:33" ht="19.95" customHeight="1" outlineLevel="1">
      <c r="A299" s="117">
        <v>9741</v>
      </c>
      <c r="B299" s="118" t="str">
        <f t="shared" si="365"/>
        <v>UT-Dallas</v>
      </c>
      <c r="C299" s="138">
        <v>0</v>
      </c>
      <c r="D299" s="100"/>
      <c r="E299" s="138">
        <v>0</v>
      </c>
      <c r="F299" s="100">
        <f t="shared" si="374"/>
        <v>0</v>
      </c>
      <c r="G299" s="100">
        <f t="shared" si="375"/>
        <v>0</v>
      </c>
      <c r="H299" s="100">
        <f t="shared" si="376"/>
        <v>0</v>
      </c>
      <c r="I299" s="100">
        <f t="shared" si="366"/>
        <v>0</v>
      </c>
      <c r="J299" s="96">
        <f t="shared" si="367"/>
        <v>0</v>
      </c>
      <c r="L299" s="100">
        <f>SIS!D6</f>
        <v>0</v>
      </c>
      <c r="M299" s="100">
        <f>SIS!D6</f>
        <v>0</v>
      </c>
      <c r="N299" s="100">
        <f t="shared" si="377"/>
        <v>0</v>
      </c>
      <c r="O299" s="100">
        <f t="shared" si="368"/>
        <v>0</v>
      </c>
      <c r="P299" s="100"/>
      <c r="Q299" s="100"/>
      <c r="R299" s="100"/>
      <c r="S299" s="100"/>
      <c r="T299" s="100">
        <f t="shared" si="369"/>
        <v>0</v>
      </c>
      <c r="U299" s="100">
        <f t="shared" si="370"/>
        <v>0</v>
      </c>
      <c r="V299" s="97">
        <v>28669</v>
      </c>
      <c r="W299" s="97">
        <f>SIS!C6</f>
        <v>31570</v>
      </c>
      <c r="X299" s="553">
        <f t="shared" si="371"/>
        <v>0.10118943806899439</v>
      </c>
      <c r="Y299" s="100">
        <v>0</v>
      </c>
      <c r="Z299" s="100">
        <v>0</v>
      </c>
      <c r="AA299" s="141"/>
      <c r="AB299" s="100">
        <f t="shared" si="378"/>
        <v>0</v>
      </c>
      <c r="AC299" s="100">
        <f t="shared" si="379"/>
        <v>0</v>
      </c>
      <c r="AE299" s="120">
        <f t="shared" si="372"/>
        <v>0</v>
      </c>
      <c r="AF299" s="120">
        <f t="shared" si="373"/>
        <v>0</v>
      </c>
      <c r="AG299" s="114"/>
    </row>
    <row r="300" spans="1:33" ht="19.95" customHeight="1" outlineLevel="1">
      <c r="A300" s="117">
        <v>3661</v>
      </c>
      <c r="B300" s="118" t="str">
        <f t="shared" si="365"/>
        <v>UT-El Paso</v>
      </c>
      <c r="C300" s="138">
        <v>0</v>
      </c>
      <c r="D300" s="100"/>
      <c r="E300" s="138">
        <v>0</v>
      </c>
      <c r="F300" s="100">
        <f t="shared" si="374"/>
        <v>0</v>
      </c>
      <c r="G300" s="100">
        <f t="shared" si="375"/>
        <v>0</v>
      </c>
      <c r="H300" s="100">
        <f t="shared" si="376"/>
        <v>0</v>
      </c>
      <c r="I300" s="100">
        <f t="shared" si="366"/>
        <v>0</v>
      </c>
      <c r="J300" s="96">
        <f t="shared" si="367"/>
        <v>0</v>
      </c>
      <c r="L300" s="100">
        <f>SIS!D7</f>
        <v>0</v>
      </c>
      <c r="M300" s="100">
        <f>SIS!D7</f>
        <v>0</v>
      </c>
      <c r="N300" s="100">
        <f t="shared" si="377"/>
        <v>0</v>
      </c>
      <c r="O300" s="100">
        <f t="shared" si="368"/>
        <v>0</v>
      </c>
      <c r="P300" s="100"/>
      <c r="Q300" s="100"/>
      <c r="R300" s="100"/>
      <c r="S300" s="100"/>
      <c r="T300" s="100">
        <f t="shared" si="369"/>
        <v>0</v>
      </c>
      <c r="U300" s="100">
        <f t="shared" si="370"/>
        <v>0</v>
      </c>
      <c r="V300" s="97">
        <v>24867</v>
      </c>
      <c r="W300" s="97">
        <f>SIS!C7</f>
        <v>23880</v>
      </c>
      <c r="X300" s="553">
        <f t="shared" si="371"/>
        <v>-3.9691156955000605E-2</v>
      </c>
      <c r="Y300" s="100">
        <v>0</v>
      </c>
      <c r="Z300" s="100">
        <v>0</v>
      </c>
      <c r="AA300" s="141"/>
      <c r="AB300" s="100">
        <f t="shared" si="378"/>
        <v>0</v>
      </c>
      <c r="AC300" s="100">
        <f t="shared" si="379"/>
        <v>0</v>
      </c>
      <c r="AE300" s="120">
        <f t="shared" si="372"/>
        <v>0</v>
      </c>
      <c r="AF300" s="120">
        <f t="shared" si="373"/>
        <v>0</v>
      </c>
      <c r="AG300" s="114"/>
    </row>
    <row r="301" spans="1:33" ht="19.95" customHeight="1" outlineLevel="1">
      <c r="A301" s="117">
        <v>3599</v>
      </c>
      <c r="B301" s="118" t="str">
        <f t="shared" si="365"/>
        <v>UT-Rio Grande Valley</v>
      </c>
      <c r="C301" s="138">
        <v>0</v>
      </c>
      <c r="D301" s="100"/>
      <c r="E301" s="138">
        <v>0</v>
      </c>
      <c r="F301" s="100">
        <f t="shared" si="374"/>
        <v>0</v>
      </c>
      <c r="G301" s="100">
        <f t="shared" si="375"/>
        <v>0</v>
      </c>
      <c r="H301" s="100">
        <f t="shared" si="376"/>
        <v>0</v>
      </c>
      <c r="I301" s="100">
        <f t="shared" si="366"/>
        <v>0</v>
      </c>
      <c r="J301" s="96">
        <f t="shared" si="367"/>
        <v>0</v>
      </c>
      <c r="L301" s="100">
        <f>SIS!D8</f>
        <v>0</v>
      </c>
      <c r="M301" s="100">
        <f>SIS!D8</f>
        <v>0</v>
      </c>
      <c r="N301" s="100">
        <f>L301-P301</f>
        <v>0</v>
      </c>
      <c r="O301" s="100">
        <f>M301-Q301</f>
        <v>0</v>
      </c>
      <c r="P301" s="100"/>
      <c r="Q301" s="100"/>
      <c r="R301" s="100"/>
      <c r="S301" s="100"/>
      <c r="T301" s="100">
        <f t="shared" si="369"/>
        <v>0</v>
      </c>
      <c r="U301" s="100">
        <f t="shared" si="370"/>
        <v>0</v>
      </c>
      <c r="V301" s="97">
        <v>32220</v>
      </c>
      <c r="W301" s="97">
        <f>SIS!C8</f>
        <v>31317</v>
      </c>
      <c r="X301" s="553">
        <f t="shared" si="371"/>
        <v>-2.8026070763500933E-2</v>
      </c>
      <c r="Y301" s="100">
        <v>0</v>
      </c>
      <c r="Z301" s="100">
        <v>0</v>
      </c>
      <c r="AA301" s="141"/>
      <c r="AB301" s="100">
        <f t="shared" si="378"/>
        <v>0</v>
      </c>
      <c r="AC301" s="100">
        <f t="shared" si="379"/>
        <v>0</v>
      </c>
      <c r="AE301" s="120">
        <f t="shared" si="372"/>
        <v>0</v>
      </c>
      <c r="AF301" s="120">
        <f t="shared" si="373"/>
        <v>0</v>
      </c>
      <c r="AG301" s="114"/>
    </row>
    <row r="302" spans="1:33" ht="19.95" customHeight="1" outlineLevel="1">
      <c r="A302" s="117">
        <v>9930</v>
      </c>
      <c r="B302" s="118" t="str">
        <f t="shared" si="365"/>
        <v>UT-Permian Basin</v>
      </c>
      <c r="C302" s="138">
        <v>2354020</v>
      </c>
      <c r="D302" s="100"/>
      <c r="E302" s="138">
        <v>2354020</v>
      </c>
      <c r="F302" s="100">
        <f t="shared" si="374"/>
        <v>0</v>
      </c>
      <c r="G302" s="100">
        <f t="shared" si="375"/>
        <v>2354020</v>
      </c>
      <c r="H302" s="100">
        <f t="shared" si="376"/>
        <v>2501476.35</v>
      </c>
      <c r="I302" s="100">
        <f t="shared" si="366"/>
        <v>147456.35000000009</v>
      </c>
      <c r="J302" s="96">
        <f t="shared" si="367"/>
        <v>6.2640228205367882E-2</v>
      </c>
      <c r="L302" s="100">
        <f>SIS!D9</f>
        <v>1250738.175</v>
      </c>
      <c r="M302" s="100">
        <f>SIS!D9</f>
        <v>1250738.175</v>
      </c>
      <c r="N302" s="100">
        <f t="shared" si="377"/>
        <v>1250738.175</v>
      </c>
      <c r="O302" s="100">
        <f t="shared" si="368"/>
        <v>1250738.175</v>
      </c>
      <c r="P302" s="100"/>
      <c r="Q302" s="100"/>
      <c r="R302" s="100"/>
      <c r="S302" s="100"/>
      <c r="T302" s="100">
        <f t="shared" si="369"/>
        <v>1250738.175</v>
      </c>
      <c r="U302" s="100">
        <f t="shared" si="370"/>
        <v>1250738.175</v>
      </c>
      <c r="V302" s="97">
        <v>5530</v>
      </c>
      <c r="W302" s="97">
        <f>SIS!C9</f>
        <v>5250</v>
      </c>
      <c r="X302" s="553">
        <f t="shared" si="371"/>
        <v>-5.0632911392405063E-2</v>
      </c>
      <c r="Y302" s="100">
        <v>1250738</v>
      </c>
      <c r="Z302" s="100">
        <v>1250738</v>
      </c>
      <c r="AA302" s="141"/>
      <c r="AB302" s="100">
        <f t="shared" si="378"/>
        <v>-0.17500000004656613</v>
      </c>
      <c r="AC302" s="100">
        <f t="shared" si="379"/>
        <v>-0.17500000004656613</v>
      </c>
      <c r="AE302" s="120">
        <f t="shared" si="372"/>
        <v>-1.3991737323166467E-7</v>
      </c>
      <c r="AF302" s="120">
        <f t="shared" si="373"/>
        <v>-1.3991737323166467E-7</v>
      </c>
      <c r="AG302" s="114"/>
    </row>
    <row r="303" spans="1:33" ht="19.95" customHeight="1" outlineLevel="1">
      <c r="A303" s="117">
        <v>10115</v>
      </c>
      <c r="B303" s="118" t="str">
        <f t="shared" si="365"/>
        <v>UT-San Antonio</v>
      </c>
      <c r="C303" s="138">
        <v>0</v>
      </c>
      <c r="D303" s="100"/>
      <c r="E303" s="138">
        <v>0</v>
      </c>
      <c r="F303" s="100">
        <f t="shared" si="374"/>
        <v>0</v>
      </c>
      <c r="G303" s="100">
        <f t="shared" si="375"/>
        <v>0</v>
      </c>
      <c r="H303" s="100">
        <f t="shared" si="376"/>
        <v>0</v>
      </c>
      <c r="I303" s="100">
        <f t="shared" si="366"/>
        <v>0</v>
      </c>
      <c r="J303" s="96">
        <f t="shared" si="367"/>
        <v>0</v>
      </c>
      <c r="L303" s="100">
        <f>SIS!D10</f>
        <v>0</v>
      </c>
      <c r="M303" s="100">
        <f>SIS!D10</f>
        <v>0</v>
      </c>
      <c r="N303" s="100">
        <f t="shared" si="377"/>
        <v>0</v>
      </c>
      <c r="O303" s="100">
        <f t="shared" si="368"/>
        <v>0</v>
      </c>
      <c r="P303" s="100"/>
      <c r="Q303" s="100"/>
      <c r="R303" s="100"/>
      <c r="S303" s="100"/>
      <c r="T303" s="100">
        <f t="shared" si="369"/>
        <v>0</v>
      </c>
      <c r="U303" s="100">
        <f t="shared" si="370"/>
        <v>0</v>
      </c>
      <c r="V303" s="97">
        <v>34402</v>
      </c>
      <c r="W303" s="97">
        <f>SIS!C10</f>
        <v>33557</v>
      </c>
      <c r="X303" s="553">
        <f t="shared" si="371"/>
        <v>-2.4562525434567758E-2</v>
      </c>
      <c r="Y303" s="100">
        <v>0</v>
      </c>
      <c r="Z303" s="100">
        <v>0</v>
      </c>
      <c r="AA303" s="141"/>
      <c r="AB303" s="100">
        <f t="shared" si="378"/>
        <v>0</v>
      </c>
      <c r="AC303" s="100">
        <f t="shared" si="379"/>
        <v>0</v>
      </c>
      <c r="AE303" s="120">
        <f t="shared" si="372"/>
        <v>0</v>
      </c>
      <c r="AF303" s="120">
        <f t="shared" si="373"/>
        <v>0</v>
      </c>
      <c r="AG303" s="114"/>
    </row>
    <row r="304" spans="1:33" ht="19.95" customHeight="1" outlineLevel="1">
      <c r="A304" s="117">
        <v>11163</v>
      </c>
      <c r="B304" s="118" t="str">
        <f t="shared" si="365"/>
        <v>UT-Tyler</v>
      </c>
      <c r="C304" s="138">
        <v>311762</v>
      </c>
      <c r="D304" s="100"/>
      <c r="E304" s="138">
        <v>311762</v>
      </c>
      <c r="F304" s="100">
        <f t="shared" si="374"/>
        <v>0</v>
      </c>
      <c r="G304" s="100">
        <f t="shared" si="375"/>
        <v>311762</v>
      </c>
      <c r="H304" s="100">
        <f t="shared" si="376"/>
        <v>543478.65120000008</v>
      </c>
      <c r="I304" s="100">
        <f t="shared" si="366"/>
        <v>231716.65120000008</v>
      </c>
      <c r="J304" s="96">
        <f t="shared" si="367"/>
        <v>0.7432485395910986</v>
      </c>
      <c r="L304" s="100">
        <f>SIS!D11</f>
        <v>271739.32560000004</v>
      </c>
      <c r="M304" s="100">
        <f>SIS!D11</f>
        <v>271739.32560000004</v>
      </c>
      <c r="N304" s="100">
        <f t="shared" si="377"/>
        <v>271739.32560000004</v>
      </c>
      <c r="O304" s="100">
        <f t="shared" si="368"/>
        <v>271739.32560000004</v>
      </c>
      <c r="P304" s="100"/>
      <c r="Q304" s="100"/>
      <c r="R304" s="100"/>
      <c r="S304" s="100"/>
      <c r="T304" s="100">
        <f t="shared" si="369"/>
        <v>271739.32560000004</v>
      </c>
      <c r="U304" s="100">
        <f t="shared" si="370"/>
        <v>271739.32560000004</v>
      </c>
      <c r="V304" s="97">
        <v>9408</v>
      </c>
      <c r="W304" s="97">
        <f>SIS!C11</f>
        <v>8968</v>
      </c>
      <c r="X304" s="553">
        <f t="shared" si="371"/>
        <v>-4.6768707482993201E-2</v>
      </c>
      <c r="Y304" s="100">
        <v>271739</v>
      </c>
      <c r="Z304" s="100">
        <v>271739</v>
      </c>
      <c r="AA304" s="141"/>
      <c r="AB304" s="100">
        <f t="shared" si="378"/>
        <v>-0.32560000004014</v>
      </c>
      <c r="AC304" s="100">
        <f t="shared" si="379"/>
        <v>-0.32560000004014</v>
      </c>
      <c r="AE304" s="120">
        <f t="shared" si="372"/>
        <v>-1.1982071395857618E-6</v>
      </c>
      <c r="AF304" s="120">
        <f t="shared" si="373"/>
        <v>-1.1982071395857618E-6</v>
      </c>
      <c r="AG304" s="114"/>
    </row>
    <row r="305" spans="1:33" ht="19.95" customHeight="1" outlineLevel="1">
      <c r="A305" s="117">
        <v>3632</v>
      </c>
      <c r="B305" s="121" t="str">
        <f t="shared" si="365"/>
        <v>TAMU</v>
      </c>
      <c r="C305" s="138">
        <v>0</v>
      </c>
      <c r="D305" s="100"/>
      <c r="E305" s="138">
        <v>0</v>
      </c>
      <c r="F305" s="100">
        <f t="shared" si="374"/>
        <v>0</v>
      </c>
      <c r="G305" s="100">
        <f t="shared" si="375"/>
        <v>0</v>
      </c>
      <c r="H305" s="100">
        <f t="shared" si="376"/>
        <v>0</v>
      </c>
      <c r="I305" s="100">
        <f t="shared" si="366"/>
        <v>0</v>
      </c>
      <c r="J305" s="96">
        <f t="shared" si="367"/>
        <v>0</v>
      </c>
      <c r="L305" s="100">
        <f>SIS!D12</f>
        <v>0</v>
      </c>
      <c r="M305" s="100">
        <f>SIS!D12</f>
        <v>0</v>
      </c>
      <c r="N305" s="100">
        <f t="shared" si="377"/>
        <v>0</v>
      </c>
      <c r="O305" s="100">
        <f t="shared" si="368"/>
        <v>0</v>
      </c>
      <c r="P305" s="100"/>
      <c r="Q305" s="100"/>
      <c r="R305" s="100"/>
      <c r="S305" s="100"/>
      <c r="T305" s="100">
        <f t="shared" si="369"/>
        <v>0</v>
      </c>
      <c r="U305" s="100">
        <f t="shared" si="370"/>
        <v>0</v>
      </c>
      <c r="V305" s="97">
        <v>65272</v>
      </c>
      <c r="W305" s="97">
        <f>SIS!C12</f>
        <v>67165</v>
      </c>
      <c r="X305" s="553">
        <f t="shared" si="371"/>
        <v>2.9001715896555952E-2</v>
      </c>
      <c r="Y305" s="100">
        <v>0</v>
      </c>
      <c r="Z305" s="100">
        <v>0</v>
      </c>
      <c r="AA305" s="141"/>
      <c r="AB305" s="100">
        <f t="shared" si="378"/>
        <v>0</v>
      </c>
      <c r="AC305" s="100">
        <f t="shared" si="379"/>
        <v>0</v>
      </c>
      <c r="AE305" s="120">
        <f t="shared" si="372"/>
        <v>0</v>
      </c>
      <c r="AF305" s="120">
        <f t="shared" si="373"/>
        <v>0</v>
      </c>
      <c r="AG305" s="114"/>
    </row>
    <row r="306" spans="1:33" ht="19.95" customHeight="1" outlineLevel="1">
      <c r="A306" s="117">
        <v>10298</v>
      </c>
      <c r="B306" s="118" t="str">
        <f t="shared" si="365"/>
        <v>TAMU-Galveston</v>
      </c>
      <c r="C306" s="138">
        <v>2633134</v>
      </c>
      <c r="D306" s="100"/>
      <c r="E306" s="138">
        <v>2633134</v>
      </c>
      <c r="F306" s="100">
        <f t="shared" si="374"/>
        <v>0</v>
      </c>
      <c r="G306" s="100">
        <f t="shared" si="375"/>
        <v>2633134</v>
      </c>
      <c r="H306" s="100">
        <f t="shared" si="376"/>
        <v>2633133</v>
      </c>
      <c r="I306" s="100">
        <f t="shared" si="366"/>
        <v>-1</v>
      </c>
      <c r="J306" s="96">
        <f t="shared" si="367"/>
        <v>-3.7977558301248627E-7</v>
      </c>
      <c r="L306" s="100">
        <f>SIS!D13</f>
        <v>1316566.5</v>
      </c>
      <c r="M306" s="100">
        <f>SIS!D13</f>
        <v>1316566.5</v>
      </c>
      <c r="N306" s="100">
        <f t="shared" si="377"/>
        <v>1316566.5</v>
      </c>
      <c r="O306" s="100">
        <f t="shared" si="368"/>
        <v>1316566.5</v>
      </c>
      <c r="P306" s="100"/>
      <c r="Q306" s="100"/>
      <c r="R306" s="100"/>
      <c r="S306" s="100"/>
      <c r="T306" s="100">
        <f t="shared" si="369"/>
        <v>1316566.5</v>
      </c>
      <c r="U306" s="100">
        <f t="shared" si="370"/>
        <v>1316566.5</v>
      </c>
      <c r="V306" s="97">
        <v>1653</v>
      </c>
      <c r="W306" s="97">
        <f>SIS!C13</f>
        <v>2232</v>
      </c>
      <c r="X306" s="553">
        <f t="shared" si="371"/>
        <v>0.35027223230490018</v>
      </c>
      <c r="Y306" s="100">
        <v>1316567</v>
      </c>
      <c r="Z306" s="100">
        <v>1316567</v>
      </c>
      <c r="AA306" s="141"/>
      <c r="AB306" s="100">
        <f t="shared" si="378"/>
        <v>0.5</v>
      </c>
      <c r="AC306" s="100">
        <f t="shared" si="379"/>
        <v>0.5</v>
      </c>
      <c r="AE306" s="120">
        <f t="shared" si="372"/>
        <v>3.7977572724203446E-7</v>
      </c>
      <c r="AF306" s="120">
        <f t="shared" si="373"/>
        <v>3.7977572724203446E-7</v>
      </c>
      <c r="AG306" s="114"/>
    </row>
    <row r="307" spans="1:33" ht="19.95" customHeight="1" outlineLevel="1">
      <c r="A307" s="117">
        <v>3630</v>
      </c>
      <c r="B307" s="118" t="str">
        <f t="shared" si="365"/>
        <v>Prairie View</v>
      </c>
      <c r="C307" s="138">
        <v>396024</v>
      </c>
      <c r="D307" s="100"/>
      <c r="E307" s="138">
        <v>396024</v>
      </c>
      <c r="F307" s="100">
        <f t="shared" si="374"/>
        <v>0</v>
      </c>
      <c r="G307" s="100">
        <f t="shared" si="375"/>
        <v>396024</v>
      </c>
      <c r="H307" s="100">
        <f t="shared" si="376"/>
        <v>527679.85320000001</v>
      </c>
      <c r="I307" s="100">
        <f t="shared" si="366"/>
        <v>131655.85320000001</v>
      </c>
      <c r="J307" s="96">
        <f t="shared" si="367"/>
        <v>0.33244412762862857</v>
      </c>
      <c r="L307" s="100">
        <f>SIS!D14</f>
        <v>263839.92660000001</v>
      </c>
      <c r="M307" s="100">
        <f>SIS!D14</f>
        <v>263839.92660000001</v>
      </c>
      <c r="N307" s="100">
        <f t="shared" si="377"/>
        <v>263839.92660000001</v>
      </c>
      <c r="O307" s="100">
        <f t="shared" si="368"/>
        <v>263839.92660000001</v>
      </c>
      <c r="P307" s="100"/>
      <c r="Q307" s="100"/>
      <c r="R307" s="100"/>
      <c r="S307" s="100"/>
      <c r="T307" s="100">
        <f t="shared" si="369"/>
        <v>263839.92660000001</v>
      </c>
      <c r="U307" s="100">
        <f t="shared" si="370"/>
        <v>263839.92660000001</v>
      </c>
      <c r="V307" s="97">
        <v>9248</v>
      </c>
      <c r="W307" s="97">
        <f>SIS!C14</f>
        <v>8998</v>
      </c>
      <c r="X307" s="553">
        <f t="shared" si="371"/>
        <v>-2.703287197231834E-2</v>
      </c>
      <c r="Y307" s="100">
        <v>263840</v>
      </c>
      <c r="Z307" s="100">
        <v>263840</v>
      </c>
      <c r="AA307" s="141"/>
      <c r="AB307" s="100">
        <f t="shared" si="378"/>
        <v>7.3399999993853271E-2</v>
      </c>
      <c r="AC307" s="100">
        <f t="shared" si="379"/>
        <v>7.3399999993853271E-2</v>
      </c>
      <c r="AE307" s="120">
        <f t="shared" si="372"/>
        <v>2.7819898580070809E-7</v>
      </c>
      <c r="AF307" s="120">
        <f t="shared" si="373"/>
        <v>2.7819898580070809E-7</v>
      </c>
      <c r="AG307" s="114"/>
    </row>
    <row r="308" spans="1:33" ht="19.95" customHeight="1" outlineLevel="1">
      <c r="A308" s="117">
        <v>3631</v>
      </c>
      <c r="B308" s="118" t="str">
        <f t="shared" si="365"/>
        <v>Tarleton</v>
      </c>
      <c r="C308" s="138">
        <v>0</v>
      </c>
      <c r="D308" s="100"/>
      <c r="E308" s="138">
        <v>0</v>
      </c>
      <c r="F308" s="100">
        <f t="shared" si="374"/>
        <v>0</v>
      </c>
      <c r="G308" s="100">
        <f t="shared" si="375"/>
        <v>0</v>
      </c>
      <c r="H308" s="100">
        <f t="shared" si="376"/>
        <v>0</v>
      </c>
      <c r="I308" s="100">
        <f t="shared" si="366"/>
        <v>0</v>
      </c>
      <c r="J308" s="96">
        <f t="shared" si="367"/>
        <v>0</v>
      </c>
      <c r="L308" s="100">
        <f>SIS!D15</f>
        <v>0</v>
      </c>
      <c r="M308" s="100">
        <f>SIS!D15</f>
        <v>0</v>
      </c>
      <c r="N308" s="100">
        <f t="shared" si="377"/>
        <v>0</v>
      </c>
      <c r="O308" s="100">
        <f t="shared" si="368"/>
        <v>0</v>
      </c>
      <c r="P308" s="100"/>
      <c r="Q308" s="100"/>
      <c r="R308" s="100"/>
      <c r="S308" s="100"/>
      <c r="T308" s="100">
        <f t="shared" si="369"/>
        <v>0</v>
      </c>
      <c r="U308" s="100">
        <f t="shared" si="370"/>
        <v>0</v>
      </c>
      <c r="V308" s="97">
        <v>14022</v>
      </c>
      <c r="W308" s="97">
        <f>SIS!C15</f>
        <v>14093</v>
      </c>
      <c r="X308" s="553">
        <f t="shared" si="371"/>
        <v>5.0634716873484524E-3</v>
      </c>
      <c r="Y308" s="100">
        <v>0</v>
      </c>
      <c r="Z308" s="100">
        <v>0</v>
      </c>
      <c r="AA308" s="141"/>
      <c r="AB308" s="100">
        <f t="shared" si="378"/>
        <v>0</v>
      </c>
      <c r="AC308" s="100">
        <f t="shared" si="379"/>
        <v>0</v>
      </c>
      <c r="AE308" s="120">
        <f t="shared" si="372"/>
        <v>0</v>
      </c>
      <c r="AF308" s="120">
        <f t="shared" si="373"/>
        <v>0</v>
      </c>
      <c r="AG308" s="114"/>
    </row>
    <row r="309" spans="1:33" ht="19.95" customHeight="1" outlineLevel="1">
      <c r="A309" s="117">
        <v>42295</v>
      </c>
      <c r="B309" s="118" t="str">
        <f t="shared" si="365"/>
        <v>TAMU-Central</v>
      </c>
      <c r="C309" s="138">
        <v>2633134</v>
      </c>
      <c r="D309" s="100"/>
      <c r="E309" s="138">
        <v>2633134</v>
      </c>
      <c r="F309" s="100">
        <f>G309-E309</f>
        <v>0</v>
      </c>
      <c r="G309" s="100">
        <f>C309-D309</f>
        <v>2633134</v>
      </c>
      <c r="H309" s="100">
        <f t="shared" si="376"/>
        <v>2633133</v>
      </c>
      <c r="I309" s="100">
        <f t="shared" si="366"/>
        <v>-1</v>
      </c>
      <c r="J309" s="96">
        <f t="shared" si="367"/>
        <v>-3.7977558301248627E-7</v>
      </c>
      <c r="L309" s="100">
        <f>SIS!D16</f>
        <v>1316566.5</v>
      </c>
      <c r="M309" s="100">
        <f>SIS!D16</f>
        <v>1316566.5</v>
      </c>
      <c r="N309" s="100">
        <f t="shared" si="377"/>
        <v>1316566.5</v>
      </c>
      <c r="O309" s="100">
        <f t="shared" si="368"/>
        <v>1316566.5</v>
      </c>
      <c r="P309" s="100"/>
      <c r="Q309" s="100"/>
      <c r="R309" s="100"/>
      <c r="S309" s="100"/>
      <c r="T309" s="100">
        <f t="shared" si="369"/>
        <v>1316566.5</v>
      </c>
      <c r="U309" s="100">
        <f t="shared" si="370"/>
        <v>1316566.5</v>
      </c>
      <c r="V309" s="97">
        <v>2339</v>
      </c>
      <c r="W309" s="97">
        <f>SIS!C16</f>
        <v>2194</v>
      </c>
      <c r="X309" s="553">
        <f t="shared" si="371"/>
        <v>-6.1992304403591277E-2</v>
      </c>
      <c r="Y309" s="100">
        <v>1316567</v>
      </c>
      <c r="Z309" s="100">
        <v>1316567</v>
      </c>
      <c r="AA309" s="141"/>
      <c r="AB309" s="100">
        <f t="shared" si="378"/>
        <v>0.5</v>
      </c>
      <c r="AC309" s="100">
        <f t="shared" si="379"/>
        <v>0.5</v>
      </c>
      <c r="AE309" s="120">
        <f t="shared" si="372"/>
        <v>3.7977572724203446E-7</v>
      </c>
      <c r="AF309" s="120">
        <f t="shared" si="373"/>
        <v>3.7977572724203446E-7</v>
      </c>
      <c r="AG309" s="114"/>
    </row>
    <row r="310" spans="1:33" ht="19.95" customHeight="1" outlineLevel="1">
      <c r="A310" s="117">
        <v>11161</v>
      </c>
      <c r="B310" s="118" t="str">
        <f t="shared" si="365"/>
        <v>TAMU-CC</v>
      </c>
      <c r="C310" s="138">
        <v>0</v>
      </c>
      <c r="D310" s="100"/>
      <c r="E310" s="138">
        <v>0</v>
      </c>
      <c r="F310" s="100">
        <f t="shared" si="374"/>
        <v>0</v>
      </c>
      <c r="G310" s="100">
        <f t="shared" si="375"/>
        <v>0</v>
      </c>
      <c r="H310" s="100">
        <f t="shared" si="376"/>
        <v>0</v>
      </c>
      <c r="I310" s="100">
        <f t="shared" si="366"/>
        <v>0</v>
      </c>
      <c r="J310" s="96">
        <f t="shared" si="367"/>
        <v>0</v>
      </c>
      <c r="L310" s="100">
        <f>SIS!D17</f>
        <v>0</v>
      </c>
      <c r="M310" s="100">
        <f>SIS!D17</f>
        <v>0</v>
      </c>
      <c r="N310" s="100">
        <f t="shared" si="377"/>
        <v>0</v>
      </c>
      <c r="O310" s="100">
        <f t="shared" si="368"/>
        <v>0</v>
      </c>
      <c r="P310" s="100"/>
      <c r="Q310" s="100"/>
      <c r="R310" s="100"/>
      <c r="S310" s="100"/>
      <c r="T310" s="100">
        <f t="shared" si="369"/>
        <v>0</v>
      </c>
      <c r="U310" s="100">
        <f t="shared" si="370"/>
        <v>0</v>
      </c>
      <c r="V310" s="97">
        <v>10820</v>
      </c>
      <c r="W310" s="97">
        <f>SIS!C17</f>
        <v>10778</v>
      </c>
      <c r="X310" s="553">
        <f t="shared" si="371"/>
        <v>-3.8817005545286505E-3</v>
      </c>
      <c r="Y310" s="100">
        <v>0</v>
      </c>
      <c r="Z310" s="100">
        <v>0</v>
      </c>
      <c r="AA310" s="141"/>
      <c r="AB310" s="100">
        <f t="shared" si="378"/>
        <v>0</v>
      </c>
      <c r="AC310" s="100">
        <f t="shared" si="379"/>
        <v>0</v>
      </c>
      <c r="AE310" s="120">
        <f t="shared" si="372"/>
        <v>0</v>
      </c>
      <c r="AF310" s="120">
        <f t="shared" si="373"/>
        <v>0</v>
      </c>
      <c r="AG310" s="114"/>
    </row>
    <row r="311" spans="1:33" ht="19.95" customHeight="1" outlineLevel="1">
      <c r="A311" s="117">
        <v>3639</v>
      </c>
      <c r="B311" s="118" t="str">
        <f t="shared" si="365"/>
        <v>TAMU-Kingsville</v>
      </c>
      <c r="C311" s="138">
        <v>1624644</v>
      </c>
      <c r="D311" s="100"/>
      <c r="E311" s="138">
        <v>1624644</v>
      </c>
      <c r="F311" s="100">
        <f t="shared" si="374"/>
        <v>0</v>
      </c>
      <c r="G311" s="100">
        <f t="shared" si="375"/>
        <v>1624644</v>
      </c>
      <c r="H311" s="100">
        <f t="shared" si="376"/>
        <v>2069642.5380000002</v>
      </c>
      <c r="I311" s="100">
        <f t="shared" si="366"/>
        <v>444998.53800000018</v>
      </c>
      <c r="J311" s="96">
        <f t="shared" si="367"/>
        <v>0.27390526047552582</v>
      </c>
      <c r="L311" s="100">
        <f>SIS!D18</f>
        <v>1034821.2690000001</v>
      </c>
      <c r="M311" s="100">
        <f>SIS!D18</f>
        <v>1034821.2690000001</v>
      </c>
      <c r="N311" s="100">
        <f t="shared" si="377"/>
        <v>1034821.2690000001</v>
      </c>
      <c r="O311" s="100">
        <f t="shared" si="368"/>
        <v>1034821.2690000001</v>
      </c>
      <c r="P311" s="100"/>
      <c r="Q311" s="100"/>
      <c r="R311" s="100"/>
      <c r="S311" s="100"/>
      <c r="T311" s="100">
        <f t="shared" si="369"/>
        <v>1034821.2690000001</v>
      </c>
      <c r="U311" s="100">
        <f t="shared" si="370"/>
        <v>1034821.2690000001</v>
      </c>
      <c r="V311" s="97">
        <v>6915</v>
      </c>
      <c r="W311" s="97">
        <f>SIS!C18</f>
        <v>6070</v>
      </c>
      <c r="X311" s="553">
        <f t="shared" si="371"/>
        <v>-0.12219812002892264</v>
      </c>
      <c r="Y311" s="100">
        <v>1034821</v>
      </c>
      <c r="Z311" s="100">
        <v>1034821</v>
      </c>
      <c r="AA311" s="141"/>
      <c r="AB311" s="100">
        <f t="shared" si="378"/>
        <v>-0.26900000008754432</v>
      </c>
      <c r="AC311" s="100">
        <f t="shared" si="379"/>
        <v>-0.26900000008754432</v>
      </c>
      <c r="AE311" s="120">
        <f t="shared" si="372"/>
        <v>-2.5994827140293762E-7</v>
      </c>
      <c r="AF311" s="120">
        <f t="shared" si="373"/>
        <v>-2.5994827140293762E-7</v>
      </c>
      <c r="AG311" s="114"/>
    </row>
    <row r="312" spans="1:33" ht="19.95" customHeight="1" outlineLevel="1">
      <c r="A312" s="117">
        <v>42485</v>
      </c>
      <c r="B312" s="118" t="str">
        <f t="shared" si="365"/>
        <v>TAMU-San Antonio</v>
      </c>
      <c r="C312" s="138">
        <v>1716276</v>
      </c>
      <c r="D312" s="100"/>
      <c r="E312" s="138">
        <v>1716276</v>
      </c>
      <c r="F312" s="100">
        <f>G312-E312</f>
        <v>0</v>
      </c>
      <c r="G312" s="100">
        <f>C312-D312</f>
        <v>1716276</v>
      </c>
      <c r="H312" s="100">
        <f t="shared" si="376"/>
        <v>1462442.0682000001</v>
      </c>
      <c r="I312" s="100">
        <f t="shared" si="366"/>
        <v>-253833.9317999999</v>
      </c>
      <c r="J312" s="96">
        <f t="shared" si="367"/>
        <v>-0.1478980838746215</v>
      </c>
      <c r="L312" s="100">
        <f>SIS!D19</f>
        <v>731221.03410000005</v>
      </c>
      <c r="M312" s="100">
        <f>SIS!D19</f>
        <v>731221.03410000005</v>
      </c>
      <c r="N312" s="100">
        <f t="shared" si="377"/>
        <v>731221.03410000005</v>
      </c>
      <c r="O312" s="100">
        <f t="shared" si="368"/>
        <v>731221.03410000005</v>
      </c>
      <c r="P312" s="100"/>
      <c r="Q312" s="100"/>
      <c r="R312" s="100"/>
      <c r="S312" s="100"/>
      <c r="T312" s="100">
        <f t="shared" si="369"/>
        <v>731221.03410000005</v>
      </c>
      <c r="U312" s="100">
        <f t="shared" si="370"/>
        <v>731221.03410000005</v>
      </c>
      <c r="V312" s="97">
        <v>6741</v>
      </c>
      <c r="W312" s="97">
        <f>SIS!C19</f>
        <v>7223</v>
      </c>
      <c r="X312" s="553">
        <f t="shared" si="371"/>
        <v>7.1502744399940657E-2</v>
      </c>
      <c r="Y312" s="100">
        <v>731221</v>
      </c>
      <c r="Z312" s="100">
        <v>731221</v>
      </c>
      <c r="AA312" s="141"/>
      <c r="AB312" s="100">
        <f t="shared" si="378"/>
        <v>-3.4100000048056245E-2</v>
      </c>
      <c r="AC312" s="100">
        <f t="shared" si="379"/>
        <v>-3.4100000048056245E-2</v>
      </c>
      <c r="AE312" s="120">
        <f t="shared" si="372"/>
        <v>-4.6634325953201189E-8</v>
      </c>
      <c r="AF312" s="120">
        <f t="shared" si="373"/>
        <v>-4.6634325953201189E-8</v>
      </c>
      <c r="AG312" s="114"/>
    </row>
    <row r="313" spans="1:33" ht="19.95" customHeight="1" outlineLevel="1">
      <c r="A313" s="117">
        <v>9651</v>
      </c>
      <c r="B313" s="118" t="str">
        <f t="shared" si="365"/>
        <v>TAMI</v>
      </c>
      <c r="C313" s="138">
        <v>911064</v>
      </c>
      <c r="D313" s="100"/>
      <c r="E313" s="138">
        <v>911064</v>
      </c>
      <c r="F313" s="100">
        <f t="shared" si="374"/>
        <v>0</v>
      </c>
      <c r="G313" s="100">
        <f t="shared" si="375"/>
        <v>911064</v>
      </c>
      <c r="H313" s="100">
        <f t="shared" si="376"/>
        <v>951614.26620000019</v>
      </c>
      <c r="I313" s="100">
        <f t="shared" si="366"/>
        <v>40550.266200000187</v>
      </c>
      <c r="J313" s="96">
        <f t="shared" si="367"/>
        <v>4.4508691156713673E-2</v>
      </c>
      <c r="L313" s="100">
        <f>SIS!D20</f>
        <v>475807.13310000009</v>
      </c>
      <c r="M313" s="100">
        <f>SIS!D20</f>
        <v>475807.13310000009</v>
      </c>
      <c r="N313" s="100">
        <f t="shared" si="377"/>
        <v>475807.13310000009</v>
      </c>
      <c r="O313" s="100">
        <f t="shared" si="368"/>
        <v>475807.13310000009</v>
      </c>
      <c r="P313" s="100"/>
      <c r="Q313" s="100"/>
      <c r="R313" s="100"/>
      <c r="S313" s="100"/>
      <c r="T313" s="100">
        <f t="shared" si="369"/>
        <v>475807.13310000009</v>
      </c>
      <c r="U313" s="100">
        <f t="shared" si="370"/>
        <v>475807.13310000009</v>
      </c>
      <c r="V313" s="97">
        <v>8270</v>
      </c>
      <c r="W313" s="97">
        <f>SIS!C20</f>
        <v>8193</v>
      </c>
      <c r="X313" s="553">
        <f t="shared" si="371"/>
        <v>-9.3107617896009669E-3</v>
      </c>
      <c r="Y313" s="100">
        <v>475807</v>
      </c>
      <c r="Z313" s="100">
        <v>475807</v>
      </c>
      <c r="AA313" s="141"/>
      <c r="AB313" s="100">
        <f t="shared" si="378"/>
        <v>-0.13310000009369105</v>
      </c>
      <c r="AC313" s="100">
        <f t="shared" si="379"/>
        <v>-0.13310000009369105</v>
      </c>
      <c r="AE313" s="120">
        <f t="shared" si="372"/>
        <v>-2.7973519275869601E-7</v>
      </c>
      <c r="AF313" s="120">
        <f t="shared" si="373"/>
        <v>-2.7973519275869601E-7</v>
      </c>
      <c r="AG313" s="114"/>
    </row>
    <row r="314" spans="1:33" ht="19.95" customHeight="1" outlineLevel="1">
      <c r="A314" s="117">
        <v>3665</v>
      </c>
      <c r="B314" s="118" t="str">
        <f t="shared" si="365"/>
        <v>WTAMU</v>
      </c>
      <c r="C314" s="138">
        <v>0</v>
      </c>
      <c r="D314" s="100"/>
      <c r="E314" s="138">
        <v>0</v>
      </c>
      <c r="F314" s="100">
        <f t="shared" si="374"/>
        <v>0</v>
      </c>
      <c r="G314" s="100">
        <f t="shared" si="375"/>
        <v>0</v>
      </c>
      <c r="H314" s="100">
        <f t="shared" si="376"/>
        <v>399182.96279999986</v>
      </c>
      <c r="I314" s="100">
        <f t="shared" si="366"/>
        <v>399182.96279999986</v>
      </c>
      <c r="J314" s="96">
        <f t="shared" si="367"/>
        <v>0</v>
      </c>
      <c r="L314" s="100">
        <f>SIS!D21</f>
        <v>199591.48139999993</v>
      </c>
      <c r="M314" s="100">
        <f>SIS!D21</f>
        <v>199591.48139999993</v>
      </c>
      <c r="N314" s="100">
        <f t="shared" si="377"/>
        <v>199591.48139999993</v>
      </c>
      <c r="O314" s="100">
        <f t="shared" si="368"/>
        <v>199591.48139999993</v>
      </c>
      <c r="P314" s="100"/>
      <c r="Q314" s="100"/>
      <c r="R314" s="100"/>
      <c r="S314" s="100"/>
      <c r="T314" s="100">
        <f t="shared" si="369"/>
        <v>199591.48139999993</v>
      </c>
      <c r="U314" s="100">
        <f t="shared" si="370"/>
        <v>199591.48139999993</v>
      </c>
      <c r="V314" s="97">
        <v>10051</v>
      </c>
      <c r="W314" s="97">
        <f>SIS!C21</f>
        <v>9242</v>
      </c>
      <c r="X314" s="553">
        <f t="shared" si="371"/>
        <v>-8.0489503531986861E-2</v>
      </c>
      <c r="Y314" s="100">
        <v>199591</v>
      </c>
      <c r="Z314" s="100">
        <v>199591</v>
      </c>
      <c r="AA314" s="141"/>
      <c r="AB314" s="100">
        <f t="shared" si="378"/>
        <v>-0.48139999993145466</v>
      </c>
      <c r="AC314" s="100">
        <f t="shared" si="379"/>
        <v>-0.48139999993145466</v>
      </c>
      <c r="AE314" s="120">
        <f t="shared" si="372"/>
        <v>-2.4119265840142958E-6</v>
      </c>
      <c r="AF314" s="120">
        <f t="shared" si="373"/>
        <v>-2.4119265840142958E-6</v>
      </c>
      <c r="AG314" s="114"/>
    </row>
    <row r="315" spans="1:33" ht="19.95" customHeight="1" outlineLevel="1">
      <c r="A315" s="117">
        <v>3565</v>
      </c>
      <c r="B315" s="118" t="str">
        <f t="shared" si="365"/>
        <v>TAMU-Commerce</v>
      </c>
      <c r="C315" s="138">
        <v>0</v>
      </c>
      <c r="D315" s="100"/>
      <c r="E315" s="138">
        <v>0</v>
      </c>
      <c r="F315" s="100">
        <f t="shared" si="374"/>
        <v>0</v>
      </c>
      <c r="G315" s="100">
        <f t="shared" si="375"/>
        <v>0</v>
      </c>
      <c r="H315" s="100">
        <f t="shared" si="376"/>
        <v>0</v>
      </c>
      <c r="I315" s="100">
        <f t="shared" si="366"/>
        <v>0</v>
      </c>
      <c r="J315" s="96">
        <f t="shared" si="367"/>
        <v>0</v>
      </c>
      <c r="L315" s="100">
        <f>SIS!D22</f>
        <v>0</v>
      </c>
      <c r="M315" s="100">
        <f>SIS!D22</f>
        <v>0</v>
      </c>
      <c r="N315" s="100">
        <f t="shared" si="377"/>
        <v>0</v>
      </c>
      <c r="O315" s="100">
        <f t="shared" si="368"/>
        <v>0</v>
      </c>
      <c r="P315" s="100"/>
      <c r="Q315" s="100"/>
      <c r="R315" s="100"/>
      <c r="S315" s="100"/>
      <c r="T315" s="100">
        <f t="shared" si="369"/>
        <v>0</v>
      </c>
      <c r="U315" s="100">
        <f t="shared" si="370"/>
        <v>0</v>
      </c>
      <c r="V315" s="97">
        <v>11624</v>
      </c>
      <c r="W315" s="97">
        <f>SIS!C22</f>
        <v>10754</v>
      </c>
      <c r="X315" s="553">
        <f t="shared" si="371"/>
        <v>-7.4845147969717821E-2</v>
      </c>
      <c r="Y315" s="100">
        <v>0</v>
      </c>
      <c r="Z315" s="100">
        <v>0</v>
      </c>
      <c r="AA315" s="141"/>
      <c r="AB315" s="100">
        <f t="shared" si="378"/>
        <v>0</v>
      </c>
      <c r="AC315" s="100">
        <f t="shared" si="379"/>
        <v>0</v>
      </c>
      <c r="AE315" s="120">
        <f t="shared" si="372"/>
        <v>0</v>
      </c>
      <c r="AF315" s="120">
        <f t="shared" si="373"/>
        <v>0</v>
      </c>
      <c r="AG315" s="114"/>
    </row>
    <row r="316" spans="1:33" ht="19.95" customHeight="1" outlineLevel="1">
      <c r="A316" s="117">
        <v>29269</v>
      </c>
      <c r="B316" s="118" t="str">
        <f t="shared" si="365"/>
        <v>TAMU-Texarkana</v>
      </c>
      <c r="C316" s="138">
        <v>2633134</v>
      </c>
      <c r="D316" s="100"/>
      <c r="E316" s="138">
        <v>2633134</v>
      </c>
      <c r="F316" s="100">
        <f t="shared" si="374"/>
        <v>0</v>
      </c>
      <c r="G316" s="100">
        <f t="shared" si="375"/>
        <v>2633134</v>
      </c>
      <c r="H316" s="100">
        <f t="shared" si="376"/>
        <v>2633133</v>
      </c>
      <c r="I316" s="100">
        <f t="shared" si="366"/>
        <v>-1</v>
      </c>
      <c r="J316" s="96">
        <f t="shared" si="367"/>
        <v>-3.7977558301248627E-7</v>
      </c>
      <c r="L316" s="100">
        <f>SIS!D23</f>
        <v>1316566.5</v>
      </c>
      <c r="M316" s="100">
        <f>SIS!D23</f>
        <v>1316566.5</v>
      </c>
      <c r="N316" s="100">
        <f t="shared" si="377"/>
        <v>1316566.5</v>
      </c>
      <c r="O316" s="100">
        <f t="shared" si="368"/>
        <v>1316566.5</v>
      </c>
      <c r="P316" s="100"/>
      <c r="Q316" s="100"/>
      <c r="R316" s="100"/>
      <c r="S316" s="100"/>
      <c r="T316" s="100">
        <f t="shared" si="369"/>
        <v>1316566.5</v>
      </c>
      <c r="U316" s="100">
        <f t="shared" si="370"/>
        <v>1316566.5</v>
      </c>
      <c r="V316" s="97">
        <v>2161</v>
      </c>
      <c r="W316" s="97">
        <f>SIS!C23</f>
        <v>2073</v>
      </c>
      <c r="X316" s="553">
        <f t="shared" si="371"/>
        <v>-4.0721888014807958E-2</v>
      </c>
      <c r="Y316" s="100">
        <v>1316567</v>
      </c>
      <c r="Z316" s="100">
        <v>1316567</v>
      </c>
      <c r="AA316" s="141"/>
      <c r="AB316" s="100">
        <f t="shared" si="378"/>
        <v>0.5</v>
      </c>
      <c r="AC316" s="100">
        <f t="shared" si="379"/>
        <v>0.5</v>
      </c>
      <c r="AE316" s="120">
        <f t="shared" si="372"/>
        <v>3.7977572724203446E-7</v>
      </c>
      <c r="AF316" s="120">
        <f t="shared" si="373"/>
        <v>3.7977572724203446E-7</v>
      </c>
      <c r="AG316" s="114"/>
    </row>
    <row r="317" spans="1:33" ht="19.95" customHeight="1" outlineLevel="1">
      <c r="A317" s="117">
        <v>3652</v>
      </c>
      <c r="B317" s="118" t="str">
        <f t="shared" si="365"/>
        <v>UH</v>
      </c>
      <c r="C317" s="138">
        <v>0</v>
      </c>
      <c r="D317" s="100"/>
      <c r="E317" s="138">
        <v>0</v>
      </c>
      <c r="F317" s="100">
        <f t="shared" si="374"/>
        <v>0</v>
      </c>
      <c r="G317" s="100">
        <f t="shared" si="375"/>
        <v>0</v>
      </c>
      <c r="H317" s="100">
        <f t="shared" si="376"/>
        <v>0</v>
      </c>
      <c r="I317" s="100">
        <f t="shared" si="366"/>
        <v>0</v>
      </c>
      <c r="J317" s="96">
        <f t="shared" si="367"/>
        <v>0</v>
      </c>
      <c r="L317" s="100">
        <f>SIS!D24</f>
        <v>0</v>
      </c>
      <c r="M317" s="100">
        <f>SIS!D24</f>
        <v>0</v>
      </c>
      <c r="N317" s="100">
        <f t="shared" si="377"/>
        <v>0</v>
      </c>
      <c r="O317" s="100">
        <f t="shared" si="368"/>
        <v>0</v>
      </c>
      <c r="P317" s="100"/>
      <c r="Q317" s="100"/>
      <c r="R317" s="100"/>
      <c r="S317" s="100"/>
      <c r="T317" s="100">
        <f t="shared" si="369"/>
        <v>0</v>
      </c>
      <c r="U317" s="100">
        <f t="shared" si="370"/>
        <v>0</v>
      </c>
      <c r="V317" s="97">
        <v>47060</v>
      </c>
      <c r="W317" s="97">
        <f>SIS!C24</f>
        <v>46580</v>
      </c>
      <c r="X317" s="553">
        <f t="shared" si="371"/>
        <v>-1.0199745006374841E-2</v>
      </c>
      <c r="Y317" s="100">
        <v>0</v>
      </c>
      <c r="Z317" s="100">
        <v>0</v>
      </c>
      <c r="AA317" s="141"/>
      <c r="AB317" s="100">
        <f t="shared" si="378"/>
        <v>0</v>
      </c>
      <c r="AC317" s="100">
        <f t="shared" si="379"/>
        <v>0</v>
      </c>
      <c r="AE317" s="120">
        <f t="shared" si="372"/>
        <v>0</v>
      </c>
      <c r="AF317" s="120">
        <f t="shared" si="373"/>
        <v>0</v>
      </c>
      <c r="AG317" s="114"/>
    </row>
    <row r="318" spans="1:33" ht="19.95" customHeight="1" outlineLevel="1">
      <c r="A318" s="117">
        <v>11711</v>
      </c>
      <c r="B318" s="118" t="str">
        <f t="shared" si="365"/>
        <v>UH-Clear Lake</v>
      </c>
      <c r="C318" s="138">
        <v>498716</v>
      </c>
      <c r="D318" s="100"/>
      <c r="E318" s="138">
        <v>498716</v>
      </c>
      <c r="F318" s="100">
        <f t="shared" si="374"/>
        <v>0</v>
      </c>
      <c r="G318" s="100">
        <f t="shared" si="375"/>
        <v>498716</v>
      </c>
      <c r="H318" s="100">
        <f t="shared" si="376"/>
        <v>757289.05079999997</v>
      </c>
      <c r="I318" s="100">
        <f t="shared" si="366"/>
        <v>258573.05079999997</v>
      </c>
      <c r="J318" s="96">
        <f t="shared" si="367"/>
        <v>0.51847755195341627</v>
      </c>
      <c r="L318" s="100">
        <f>SIS!D25</f>
        <v>378644.52539999998</v>
      </c>
      <c r="M318" s="100">
        <f>SIS!D25</f>
        <v>378644.52539999998</v>
      </c>
      <c r="N318" s="100">
        <f t="shared" si="377"/>
        <v>378644.52539999998</v>
      </c>
      <c r="O318" s="100">
        <f t="shared" si="368"/>
        <v>378644.52539999998</v>
      </c>
      <c r="P318" s="100"/>
      <c r="Q318" s="100"/>
      <c r="R318" s="100"/>
      <c r="S318" s="100"/>
      <c r="T318" s="100">
        <f t="shared" si="369"/>
        <v>378644.52539999998</v>
      </c>
      <c r="U318" s="100">
        <f t="shared" si="370"/>
        <v>378644.52539999998</v>
      </c>
      <c r="V318" s="97">
        <v>9053</v>
      </c>
      <c r="W318" s="97">
        <f>SIS!C25</f>
        <v>8562</v>
      </c>
      <c r="X318" s="553">
        <f t="shared" si="371"/>
        <v>-5.4236164807246218E-2</v>
      </c>
      <c r="Y318" s="100">
        <v>378645</v>
      </c>
      <c r="Z318" s="100">
        <v>378645</v>
      </c>
      <c r="AA318" s="141"/>
      <c r="AB318" s="100">
        <f t="shared" si="378"/>
        <v>0.47460000001592562</v>
      </c>
      <c r="AC318" s="100">
        <f t="shared" si="379"/>
        <v>0.47460000001592562</v>
      </c>
      <c r="AE318" s="120">
        <f t="shared" si="372"/>
        <v>1.2534183599104155E-6</v>
      </c>
      <c r="AF318" s="120">
        <f t="shared" si="373"/>
        <v>1.2534183599104155E-6</v>
      </c>
      <c r="AG318" s="114"/>
    </row>
    <row r="319" spans="1:33" ht="19.95" customHeight="1" outlineLevel="1">
      <c r="A319" s="117">
        <v>12826</v>
      </c>
      <c r="B319" s="118" t="str">
        <f t="shared" si="365"/>
        <v>UH-Downtown</v>
      </c>
      <c r="C319" s="138">
        <v>0</v>
      </c>
      <c r="D319" s="100"/>
      <c r="E319" s="138">
        <v>0</v>
      </c>
      <c r="F319" s="100">
        <f t="shared" si="374"/>
        <v>0</v>
      </c>
      <c r="G319" s="100">
        <f t="shared" si="375"/>
        <v>0</v>
      </c>
      <c r="H319" s="100">
        <f t="shared" si="376"/>
        <v>0</v>
      </c>
      <c r="I319" s="100">
        <f t="shared" si="366"/>
        <v>0</v>
      </c>
      <c r="J319" s="96">
        <f t="shared" si="367"/>
        <v>0</v>
      </c>
      <c r="L319" s="100">
        <f>SIS!D26</f>
        <v>0</v>
      </c>
      <c r="M319" s="100">
        <f>SIS!D26</f>
        <v>0</v>
      </c>
      <c r="N319" s="100">
        <f t="shared" si="377"/>
        <v>0</v>
      </c>
      <c r="O319" s="100">
        <f t="shared" si="368"/>
        <v>0</v>
      </c>
      <c r="P319" s="100"/>
      <c r="Q319" s="100"/>
      <c r="R319" s="100"/>
      <c r="S319" s="100"/>
      <c r="T319" s="100">
        <f t="shared" si="369"/>
        <v>0</v>
      </c>
      <c r="U319" s="100">
        <f t="shared" si="370"/>
        <v>0</v>
      </c>
      <c r="V319" s="97">
        <v>15239</v>
      </c>
      <c r="W319" s="97">
        <f>SIS!C26</f>
        <v>14208</v>
      </c>
      <c r="X319" s="553">
        <f t="shared" si="371"/>
        <v>-6.7655357963120943E-2</v>
      </c>
      <c r="Y319" s="100">
        <v>0</v>
      </c>
      <c r="Z319" s="100">
        <v>0</v>
      </c>
      <c r="AA319" s="141"/>
      <c r="AB319" s="100">
        <f t="shared" si="378"/>
        <v>0</v>
      </c>
      <c r="AC319" s="100">
        <f t="shared" si="379"/>
        <v>0</v>
      </c>
      <c r="AE319" s="120">
        <f t="shared" si="372"/>
        <v>0</v>
      </c>
      <c r="AF319" s="120">
        <f t="shared" si="373"/>
        <v>0</v>
      </c>
      <c r="AG319" s="114"/>
    </row>
    <row r="320" spans="1:33" ht="19.95" customHeight="1" outlineLevel="1">
      <c r="A320" s="117">
        <v>13231</v>
      </c>
      <c r="B320" s="118" t="str">
        <f t="shared" si="365"/>
        <v>UH-Victoria</v>
      </c>
      <c r="C320" s="138">
        <v>2633134</v>
      </c>
      <c r="D320" s="100"/>
      <c r="E320" s="138">
        <v>2633134</v>
      </c>
      <c r="F320" s="100">
        <f t="shared" si="374"/>
        <v>0</v>
      </c>
      <c r="G320" s="100">
        <f t="shared" si="375"/>
        <v>2633134</v>
      </c>
      <c r="H320" s="100">
        <f t="shared" si="376"/>
        <v>2633133</v>
      </c>
      <c r="I320" s="100">
        <f t="shared" si="366"/>
        <v>-1</v>
      </c>
      <c r="J320" s="96">
        <f t="shared" si="367"/>
        <v>-3.7977558301248627E-7</v>
      </c>
      <c r="L320" s="100">
        <f>SIS!D27</f>
        <v>1316566.5</v>
      </c>
      <c r="M320" s="100">
        <f>SIS!D27</f>
        <v>1316566.5</v>
      </c>
      <c r="N320" s="100">
        <f t="shared" si="377"/>
        <v>1316566.5</v>
      </c>
      <c r="O320" s="100">
        <f t="shared" si="368"/>
        <v>1316566.5</v>
      </c>
      <c r="P320" s="100"/>
      <c r="Q320" s="100"/>
      <c r="R320" s="100"/>
      <c r="S320" s="100"/>
      <c r="T320" s="100">
        <f t="shared" si="369"/>
        <v>1316566.5</v>
      </c>
      <c r="U320" s="100">
        <f t="shared" si="370"/>
        <v>1316566.5</v>
      </c>
      <c r="V320" s="97">
        <v>4931</v>
      </c>
      <c r="W320" s="97">
        <f>SIS!C27</f>
        <v>4062</v>
      </c>
      <c r="X320" s="553">
        <f t="shared" si="371"/>
        <v>-0.17623200162238897</v>
      </c>
      <c r="Y320" s="100">
        <v>1316567</v>
      </c>
      <c r="Z320" s="100">
        <v>1316567</v>
      </c>
      <c r="AA320" s="141"/>
      <c r="AB320" s="100">
        <f t="shared" si="378"/>
        <v>0.5</v>
      </c>
      <c r="AC320" s="100">
        <f t="shared" si="379"/>
        <v>0.5</v>
      </c>
      <c r="AE320" s="120">
        <f t="shared" si="372"/>
        <v>3.7977572724203446E-7</v>
      </c>
      <c r="AF320" s="120">
        <f t="shared" si="373"/>
        <v>3.7977572724203446E-7</v>
      </c>
      <c r="AG320" s="114"/>
    </row>
    <row r="321" spans="1:33" ht="19.95" customHeight="1" outlineLevel="1">
      <c r="A321" s="117">
        <v>3592</v>
      </c>
      <c r="B321" s="118" t="str">
        <f t="shared" si="365"/>
        <v>Midwestern</v>
      </c>
      <c r="C321" s="138">
        <v>2429328</v>
      </c>
      <c r="D321" s="100"/>
      <c r="E321" s="138">
        <v>2429328</v>
      </c>
      <c r="F321" s="100">
        <f t="shared" si="374"/>
        <v>0</v>
      </c>
      <c r="G321" s="100">
        <f t="shared" si="375"/>
        <v>2429328</v>
      </c>
      <c r="H321" s="100">
        <f t="shared" si="376"/>
        <v>2410896.5748000001</v>
      </c>
      <c r="I321" s="100">
        <f t="shared" si="366"/>
        <v>-18431.42519999994</v>
      </c>
      <c r="J321" s="96">
        <f t="shared" si="367"/>
        <v>-7.5870467882475897E-3</v>
      </c>
      <c r="L321" s="100">
        <f>SIS!D28</f>
        <v>1205448.2874</v>
      </c>
      <c r="M321" s="100">
        <f>SIS!D28</f>
        <v>1205448.2874</v>
      </c>
      <c r="N321" s="100">
        <f t="shared" si="377"/>
        <v>1205448.2874</v>
      </c>
      <c r="O321" s="100">
        <f t="shared" si="368"/>
        <v>1205448.2874</v>
      </c>
      <c r="P321" s="100"/>
      <c r="Q321" s="100"/>
      <c r="R321" s="100"/>
      <c r="S321" s="100"/>
      <c r="T321" s="100">
        <f t="shared" si="369"/>
        <v>1205448.2874</v>
      </c>
      <c r="U321" s="100">
        <f t="shared" si="370"/>
        <v>1205448.2874</v>
      </c>
      <c r="V321" s="97">
        <v>5387</v>
      </c>
      <c r="W321" s="97">
        <f>SIS!C28</f>
        <v>5422</v>
      </c>
      <c r="X321" s="553">
        <f t="shared" si="371"/>
        <v>6.4971227028030442E-3</v>
      </c>
      <c r="Y321" s="100">
        <v>1205448</v>
      </c>
      <c r="Z321" s="100">
        <v>1205448</v>
      </c>
      <c r="AA321" s="141"/>
      <c r="AB321" s="100">
        <f t="shared" si="378"/>
        <v>-0.28740000003017485</v>
      </c>
      <c r="AC321" s="100">
        <f t="shared" si="379"/>
        <v>-0.28740000003017485</v>
      </c>
      <c r="AE321" s="120">
        <f t="shared" si="372"/>
        <v>-2.3841752734997899E-7</v>
      </c>
      <c r="AF321" s="120">
        <f t="shared" si="373"/>
        <v>-2.3841752734997899E-7</v>
      </c>
      <c r="AG321" s="114"/>
    </row>
    <row r="322" spans="1:33" ht="19.95" customHeight="1" outlineLevel="1">
      <c r="A322" s="117">
        <v>3594</v>
      </c>
      <c r="B322" s="118" t="str">
        <f t="shared" si="365"/>
        <v>UNT</v>
      </c>
      <c r="C322" s="138">
        <v>0</v>
      </c>
      <c r="D322" s="100"/>
      <c r="E322" s="138">
        <v>0</v>
      </c>
      <c r="F322" s="100">
        <f t="shared" si="374"/>
        <v>0</v>
      </c>
      <c r="G322" s="100">
        <f t="shared" si="375"/>
        <v>0</v>
      </c>
      <c r="H322" s="100">
        <f t="shared" si="376"/>
        <v>0</v>
      </c>
      <c r="I322" s="100">
        <f t="shared" si="366"/>
        <v>0</v>
      </c>
      <c r="J322" s="96">
        <f t="shared" si="367"/>
        <v>0</v>
      </c>
      <c r="L322" s="100">
        <f>SIS!D29</f>
        <v>0</v>
      </c>
      <c r="M322" s="100">
        <f>SIS!D29</f>
        <v>0</v>
      </c>
      <c r="N322" s="100">
        <f t="shared" si="377"/>
        <v>0</v>
      </c>
      <c r="O322" s="100">
        <f t="shared" si="368"/>
        <v>0</v>
      </c>
      <c r="P322" s="100"/>
      <c r="Q322" s="100"/>
      <c r="R322" s="100"/>
      <c r="S322" s="100"/>
      <c r="T322" s="100">
        <f t="shared" si="369"/>
        <v>0</v>
      </c>
      <c r="U322" s="100">
        <f t="shared" si="370"/>
        <v>0</v>
      </c>
      <c r="V322" s="97">
        <v>40653</v>
      </c>
      <c r="W322" s="97">
        <f>SIS!C29</f>
        <v>44349</v>
      </c>
      <c r="X322" s="553">
        <f t="shared" si="371"/>
        <v>9.091579957198731E-2</v>
      </c>
      <c r="Y322" s="100">
        <v>0</v>
      </c>
      <c r="Z322" s="100">
        <v>0</v>
      </c>
      <c r="AA322" s="141"/>
      <c r="AB322" s="100">
        <f t="shared" si="378"/>
        <v>0</v>
      </c>
      <c r="AC322" s="100">
        <f t="shared" si="379"/>
        <v>0</v>
      </c>
      <c r="AE322" s="120">
        <f t="shared" si="372"/>
        <v>0</v>
      </c>
      <c r="AF322" s="120">
        <f t="shared" si="373"/>
        <v>0</v>
      </c>
      <c r="AG322" s="114"/>
    </row>
    <row r="323" spans="1:33" ht="19.95" customHeight="1" outlineLevel="1">
      <c r="A323" s="117">
        <v>42421</v>
      </c>
      <c r="B323" s="118" t="str">
        <f t="shared" si="365"/>
        <v>UNT-Dallas</v>
      </c>
      <c r="C323" s="138">
        <v>2633134</v>
      </c>
      <c r="D323" s="100"/>
      <c r="E323" s="138">
        <v>2633134</v>
      </c>
      <c r="F323" s="100">
        <f t="shared" si="374"/>
        <v>0</v>
      </c>
      <c r="G323" s="100">
        <f t="shared" si="375"/>
        <v>2633134</v>
      </c>
      <c r="H323" s="100">
        <f t="shared" si="376"/>
        <v>2633133</v>
      </c>
      <c r="I323" s="100">
        <f t="shared" si="366"/>
        <v>-1</v>
      </c>
      <c r="J323" s="96">
        <f t="shared" si="367"/>
        <v>-3.7977558301248627E-7</v>
      </c>
      <c r="L323" s="100">
        <f>SIS!D30</f>
        <v>1316566.5</v>
      </c>
      <c r="M323" s="100">
        <f>SIS!D30</f>
        <v>1316566.5</v>
      </c>
      <c r="N323" s="100">
        <f t="shared" si="377"/>
        <v>1316566.5</v>
      </c>
      <c r="O323" s="100">
        <f t="shared" si="368"/>
        <v>1316566.5</v>
      </c>
      <c r="P323" s="100"/>
      <c r="Q323" s="100"/>
      <c r="R323" s="100"/>
      <c r="S323" s="100"/>
      <c r="T323" s="100">
        <f t="shared" si="369"/>
        <v>1316566.5</v>
      </c>
      <c r="U323" s="100">
        <f t="shared" si="370"/>
        <v>1316566.5</v>
      </c>
      <c r="V323" s="97">
        <v>4164</v>
      </c>
      <c r="W323" s="97">
        <f>SIS!C30</f>
        <v>3701</v>
      </c>
      <c r="X323" s="553">
        <f t="shared" si="371"/>
        <v>-0.1111911623439001</v>
      </c>
      <c r="Y323" s="100">
        <v>1316567</v>
      </c>
      <c r="Z323" s="100">
        <v>1316567</v>
      </c>
      <c r="AA323" s="141"/>
      <c r="AB323" s="100">
        <f t="shared" si="378"/>
        <v>0.5</v>
      </c>
      <c r="AC323" s="100">
        <f t="shared" si="379"/>
        <v>0.5</v>
      </c>
      <c r="AE323" s="120">
        <f t="shared" si="372"/>
        <v>3.7977572724203446E-7</v>
      </c>
      <c r="AF323" s="120">
        <f t="shared" si="373"/>
        <v>3.7977572724203446E-7</v>
      </c>
      <c r="AG323" s="114"/>
    </row>
    <row r="324" spans="1:33" ht="19.95" customHeight="1" outlineLevel="1">
      <c r="A324" s="117">
        <v>3624</v>
      </c>
      <c r="B324" s="118" t="str">
        <f t="shared" si="365"/>
        <v>SFA</v>
      </c>
      <c r="C324" s="138">
        <v>0</v>
      </c>
      <c r="D324" s="100"/>
      <c r="E324" s="138">
        <v>0</v>
      </c>
      <c r="F324" s="100">
        <f t="shared" si="374"/>
        <v>0</v>
      </c>
      <c r="G324" s="100">
        <f t="shared" si="375"/>
        <v>0</v>
      </c>
      <c r="H324" s="100">
        <f t="shared" si="376"/>
        <v>0</v>
      </c>
      <c r="I324" s="100">
        <f t="shared" si="366"/>
        <v>0</v>
      </c>
      <c r="J324" s="96">
        <f t="shared" si="367"/>
        <v>0</v>
      </c>
      <c r="L324" s="100">
        <f>SIS!D31</f>
        <v>0</v>
      </c>
      <c r="M324" s="100">
        <f>SIS!D31</f>
        <v>0</v>
      </c>
      <c r="N324" s="100">
        <f t="shared" si="377"/>
        <v>0</v>
      </c>
      <c r="O324" s="100">
        <f t="shared" si="368"/>
        <v>0</v>
      </c>
      <c r="P324" s="100"/>
      <c r="Q324" s="100"/>
      <c r="R324" s="100"/>
      <c r="S324" s="100"/>
      <c r="T324" s="100">
        <f t="shared" si="369"/>
        <v>0</v>
      </c>
      <c r="U324" s="100">
        <f t="shared" si="370"/>
        <v>0</v>
      </c>
      <c r="V324" s="97">
        <v>12488</v>
      </c>
      <c r="W324" s="97">
        <f>SIS!C31</f>
        <v>11232</v>
      </c>
      <c r="X324" s="553">
        <f t="shared" si="371"/>
        <v>-0.10057655349135169</v>
      </c>
      <c r="Y324" s="100">
        <v>0</v>
      </c>
      <c r="Z324" s="100">
        <v>0</v>
      </c>
      <c r="AA324" s="141"/>
      <c r="AB324" s="100">
        <f t="shared" si="378"/>
        <v>0</v>
      </c>
      <c r="AC324" s="100">
        <f t="shared" si="379"/>
        <v>0</v>
      </c>
      <c r="AE324" s="120">
        <f t="shared" si="372"/>
        <v>0</v>
      </c>
      <c r="AF324" s="120">
        <f t="shared" si="373"/>
        <v>0</v>
      </c>
      <c r="AG324" s="114"/>
    </row>
    <row r="325" spans="1:33" ht="19.95" customHeight="1" outlineLevel="1">
      <c r="A325" s="117">
        <v>3642</v>
      </c>
      <c r="B325" s="118" t="str">
        <f t="shared" si="365"/>
        <v>TSU</v>
      </c>
      <c r="C325" s="138">
        <v>1571980</v>
      </c>
      <c r="D325" s="100"/>
      <c r="E325" s="138">
        <v>1571980</v>
      </c>
      <c r="F325" s="100">
        <f t="shared" si="374"/>
        <v>0</v>
      </c>
      <c r="G325" s="100">
        <f t="shared" si="375"/>
        <v>1571980</v>
      </c>
      <c r="H325" s="100">
        <f t="shared" si="376"/>
        <v>720425.18879999989</v>
      </c>
      <c r="I325" s="100">
        <f t="shared" si="366"/>
        <v>-851554.81120000011</v>
      </c>
      <c r="J325" s="96">
        <f t="shared" si="367"/>
        <v>-0.54170842580694423</v>
      </c>
      <c r="L325" s="100">
        <f>SIS!D32</f>
        <v>360212.59439999994</v>
      </c>
      <c r="M325" s="100">
        <f>SIS!D32</f>
        <v>360212.59439999994</v>
      </c>
      <c r="N325" s="100">
        <f t="shared" si="377"/>
        <v>360212.59439999994</v>
      </c>
      <c r="O325" s="100">
        <f t="shared" si="368"/>
        <v>360212.59439999994</v>
      </c>
      <c r="P325" s="100"/>
      <c r="Q325" s="100"/>
      <c r="R325" s="100"/>
      <c r="S325" s="100"/>
      <c r="T325" s="100">
        <f t="shared" si="369"/>
        <v>360212.59439999994</v>
      </c>
      <c r="U325" s="100">
        <f t="shared" si="370"/>
        <v>360212.59439999994</v>
      </c>
      <c r="V325" s="97">
        <v>7015</v>
      </c>
      <c r="W325" s="97">
        <f>SIS!C32</f>
        <v>8632</v>
      </c>
      <c r="X325" s="553">
        <f t="shared" si="371"/>
        <v>0.23050605844618674</v>
      </c>
      <c r="Y325" s="100">
        <v>360213</v>
      </c>
      <c r="Z325" s="100">
        <v>360213</v>
      </c>
      <c r="AA325" s="141"/>
      <c r="AB325" s="100">
        <f t="shared" si="378"/>
        <v>0.40560000005643815</v>
      </c>
      <c r="AC325" s="100">
        <f t="shared" si="379"/>
        <v>0.40560000005643815</v>
      </c>
      <c r="AE325" s="120">
        <f t="shared" si="372"/>
        <v>1.1260017177690281E-6</v>
      </c>
      <c r="AF325" s="120">
        <f t="shared" si="373"/>
        <v>1.1260017177690281E-6</v>
      </c>
      <c r="AG325" s="114"/>
    </row>
    <row r="326" spans="1:33" ht="19.95" customHeight="1" outlineLevel="1">
      <c r="A326" s="117">
        <v>3644</v>
      </c>
      <c r="B326" s="118" t="str">
        <f t="shared" si="365"/>
        <v>TTU</v>
      </c>
      <c r="C326" s="138">
        <v>0</v>
      </c>
      <c r="D326" s="100"/>
      <c r="E326" s="138">
        <v>0</v>
      </c>
      <c r="F326" s="100">
        <f t="shared" si="374"/>
        <v>0</v>
      </c>
      <c r="G326" s="100">
        <f t="shared" si="375"/>
        <v>0</v>
      </c>
      <c r="H326" s="100">
        <f t="shared" si="376"/>
        <v>0</v>
      </c>
      <c r="I326" s="100">
        <f t="shared" si="366"/>
        <v>0</v>
      </c>
      <c r="J326" s="96">
        <f t="shared" si="367"/>
        <v>0</v>
      </c>
      <c r="L326" s="100">
        <f>SIS!D33</f>
        <v>0</v>
      </c>
      <c r="M326" s="100">
        <f>SIS!D33</f>
        <v>0</v>
      </c>
      <c r="N326" s="100">
        <f t="shared" si="377"/>
        <v>0</v>
      </c>
      <c r="O326" s="100">
        <f t="shared" si="368"/>
        <v>0</v>
      </c>
      <c r="P326" s="100"/>
      <c r="Q326" s="100"/>
      <c r="R326" s="100"/>
      <c r="S326" s="100"/>
      <c r="T326" s="100">
        <f t="shared" si="369"/>
        <v>0</v>
      </c>
      <c r="U326" s="100">
        <f t="shared" si="370"/>
        <v>0</v>
      </c>
      <c r="V326" s="97">
        <v>39574</v>
      </c>
      <c r="W326" s="97">
        <f>SIS!C33</f>
        <v>39743</v>
      </c>
      <c r="X326" s="553">
        <f t="shared" si="371"/>
        <v>4.2704806185879622E-3</v>
      </c>
      <c r="Y326" s="100">
        <v>0</v>
      </c>
      <c r="Z326" s="100">
        <v>0</v>
      </c>
      <c r="AA326" s="141"/>
      <c r="AB326" s="100">
        <f t="shared" si="378"/>
        <v>0</v>
      </c>
      <c r="AC326" s="100">
        <f t="shared" si="379"/>
        <v>0</v>
      </c>
      <c r="AE326" s="120">
        <f t="shared" si="372"/>
        <v>0</v>
      </c>
      <c r="AF326" s="120">
        <f t="shared" si="373"/>
        <v>0</v>
      </c>
      <c r="AG326" s="114"/>
    </row>
    <row r="327" spans="1:33" ht="19.95" customHeight="1" outlineLevel="1">
      <c r="A327" s="117">
        <v>3541</v>
      </c>
      <c r="B327" s="118" t="str">
        <f t="shared" si="365"/>
        <v>Angelo</v>
      </c>
      <c r="C327" s="138">
        <v>0</v>
      </c>
      <c r="D327" s="100"/>
      <c r="E327" s="138">
        <v>0</v>
      </c>
      <c r="F327" s="100">
        <f t="shared" si="374"/>
        <v>0</v>
      </c>
      <c r="G327" s="100">
        <f t="shared" si="375"/>
        <v>0</v>
      </c>
      <c r="H327" s="100">
        <f t="shared" si="376"/>
        <v>0</v>
      </c>
      <c r="I327" s="100">
        <f t="shared" si="366"/>
        <v>0</v>
      </c>
      <c r="J327" s="96">
        <f t="shared" si="367"/>
        <v>0</v>
      </c>
      <c r="L327" s="100">
        <f>SIS!D34</f>
        <v>0</v>
      </c>
      <c r="M327" s="100">
        <f>SIS!D34</f>
        <v>0</v>
      </c>
      <c r="N327" s="100">
        <f t="shared" si="377"/>
        <v>0</v>
      </c>
      <c r="O327" s="100">
        <f t="shared" si="368"/>
        <v>0</v>
      </c>
      <c r="P327" s="100"/>
      <c r="Q327" s="100"/>
      <c r="R327" s="100"/>
      <c r="S327" s="100"/>
      <c r="T327" s="100">
        <f t="shared" si="369"/>
        <v>0</v>
      </c>
      <c r="U327" s="100">
        <f t="shared" si="370"/>
        <v>0</v>
      </c>
      <c r="V327" s="97">
        <v>10489</v>
      </c>
      <c r="W327" s="97">
        <f>SIS!C34</f>
        <v>10244</v>
      </c>
      <c r="X327" s="553">
        <f t="shared" si="371"/>
        <v>-2.3357803413099437E-2</v>
      </c>
      <c r="Y327" s="100">
        <v>0</v>
      </c>
      <c r="Z327" s="100">
        <v>0</v>
      </c>
      <c r="AA327" s="141"/>
      <c r="AB327" s="100">
        <f t="shared" si="378"/>
        <v>0</v>
      </c>
      <c r="AC327" s="100">
        <f t="shared" si="379"/>
        <v>0</v>
      </c>
      <c r="AE327" s="120">
        <f t="shared" si="372"/>
        <v>0</v>
      </c>
      <c r="AF327" s="120">
        <f t="shared" si="373"/>
        <v>0</v>
      </c>
      <c r="AG327" s="114"/>
    </row>
    <row r="328" spans="1:33" ht="19.95" customHeight="1" outlineLevel="1">
      <c r="A328" s="117">
        <v>3646</v>
      </c>
      <c r="B328" s="118" t="str">
        <f t="shared" si="365"/>
        <v>TWU</v>
      </c>
      <c r="C328" s="138">
        <v>0</v>
      </c>
      <c r="D328" s="100"/>
      <c r="E328" s="138">
        <v>0</v>
      </c>
      <c r="F328" s="100">
        <f t="shared" si="374"/>
        <v>0</v>
      </c>
      <c r="G328" s="100">
        <f t="shared" si="375"/>
        <v>0</v>
      </c>
      <c r="H328" s="100">
        <f t="shared" si="376"/>
        <v>0</v>
      </c>
      <c r="I328" s="100">
        <f t="shared" si="366"/>
        <v>0</v>
      </c>
      <c r="J328" s="96">
        <f t="shared" si="367"/>
        <v>0</v>
      </c>
      <c r="L328" s="100">
        <f>SIS!D35</f>
        <v>0</v>
      </c>
      <c r="M328" s="100">
        <f>SIS!D35</f>
        <v>0</v>
      </c>
      <c r="N328" s="100">
        <f t="shared" si="377"/>
        <v>0</v>
      </c>
      <c r="O328" s="100">
        <f t="shared" si="368"/>
        <v>0</v>
      </c>
      <c r="P328" s="100"/>
      <c r="Q328" s="100"/>
      <c r="R328" s="100"/>
      <c r="S328" s="100"/>
      <c r="T328" s="100">
        <f t="shared" si="369"/>
        <v>0</v>
      </c>
      <c r="U328" s="100">
        <f t="shared" si="370"/>
        <v>0</v>
      </c>
      <c r="V328" s="97">
        <v>16032</v>
      </c>
      <c r="W328" s="97">
        <f>SIS!C35</f>
        <v>15443</v>
      </c>
      <c r="X328" s="553">
        <f t="shared" si="371"/>
        <v>-3.6739021956087824E-2</v>
      </c>
      <c r="Y328" s="100">
        <v>0</v>
      </c>
      <c r="Z328" s="100">
        <v>0</v>
      </c>
      <c r="AA328" s="141"/>
      <c r="AB328" s="100">
        <f t="shared" si="378"/>
        <v>0</v>
      </c>
      <c r="AC328" s="100">
        <f t="shared" si="379"/>
        <v>0</v>
      </c>
      <c r="AE328" s="120">
        <f t="shared" si="372"/>
        <v>0</v>
      </c>
      <c r="AF328" s="120">
        <f t="shared" si="373"/>
        <v>0</v>
      </c>
      <c r="AG328" s="114"/>
    </row>
    <row r="329" spans="1:33" ht="19.95" customHeight="1" outlineLevel="1">
      <c r="A329" s="117">
        <v>3581</v>
      </c>
      <c r="B329" s="118" t="str">
        <f t="shared" si="365"/>
        <v>Lamar</v>
      </c>
      <c r="C329" s="138">
        <v>0</v>
      </c>
      <c r="D329" s="100"/>
      <c r="E329" s="138">
        <v>0</v>
      </c>
      <c r="F329" s="100">
        <f t="shared" si="374"/>
        <v>0</v>
      </c>
      <c r="G329" s="100">
        <f t="shared" si="375"/>
        <v>0</v>
      </c>
      <c r="H329" s="100">
        <f t="shared" si="376"/>
        <v>0</v>
      </c>
      <c r="I329" s="100">
        <f t="shared" si="366"/>
        <v>0</v>
      </c>
      <c r="J329" s="96">
        <f t="shared" si="367"/>
        <v>0</v>
      </c>
      <c r="L329" s="100">
        <f>SIS!D36</f>
        <v>0</v>
      </c>
      <c r="M329" s="100">
        <f>SIS!D36</f>
        <v>0</v>
      </c>
      <c r="N329" s="100">
        <f t="shared" si="377"/>
        <v>0</v>
      </c>
      <c r="O329" s="100">
        <f t="shared" si="368"/>
        <v>0</v>
      </c>
      <c r="P329" s="100"/>
      <c r="Q329" s="100"/>
      <c r="R329" s="100"/>
      <c r="S329" s="100"/>
      <c r="T329" s="100">
        <f t="shared" si="369"/>
        <v>0</v>
      </c>
      <c r="U329" s="100">
        <f t="shared" si="370"/>
        <v>0</v>
      </c>
      <c r="V329" s="97">
        <v>15799</v>
      </c>
      <c r="W329" s="97">
        <f>SIS!C36</f>
        <v>16218</v>
      </c>
      <c r="X329" s="553">
        <f t="shared" si="371"/>
        <v>2.6520665864928159E-2</v>
      </c>
      <c r="Y329" s="100">
        <v>0</v>
      </c>
      <c r="Z329" s="100">
        <v>0</v>
      </c>
      <c r="AA329" s="141"/>
      <c r="AB329" s="100">
        <f t="shared" si="378"/>
        <v>0</v>
      </c>
      <c r="AC329" s="100">
        <f t="shared" si="379"/>
        <v>0</v>
      </c>
      <c r="AE329" s="120">
        <f t="shared" si="372"/>
        <v>0</v>
      </c>
      <c r="AF329" s="120">
        <f t="shared" si="373"/>
        <v>0</v>
      </c>
      <c r="AG329" s="114"/>
    </row>
    <row r="330" spans="1:33" ht="19.95" customHeight="1" outlineLevel="1">
      <c r="A330" s="117">
        <v>3606</v>
      </c>
      <c r="B330" s="118" t="str">
        <f t="shared" si="365"/>
        <v>Sam Houston</v>
      </c>
      <c r="C330" s="138">
        <v>0</v>
      </c>
      <c r="D330" s="100"/>
      <c r="E330" s="138">
        <v>0</v>
      </c>
      <c r="F330" s="100">
        <f t="shared" si="374"/>
        <v>0</v>
      </c>
      <c r="G330" s="100">
        <f t="shared" si="375"/>
        <v>0</v>
      </c>
      <c r="H330" s="100">
        <f t="shared" si="376"/>
        <v>0</v>
      </c>
      <c r="I330" s="100">
        <f t="shared" si="366"/>
        <v>0</v>
      </c>
      <c r="J330" s="96">
        <f t="shared" si="367"/>
        <v>0</v>
      </c>
      <c r="L330" s="100">
        <f>SIS!D37</f>
        <v>0</v>
      </c>
      <c r="M330" s="100">
        <f>SIS!D37</f>
        <v>0</v>
      </c>
      <c r="N330" s="100">
        <f t="shared" si="377"/>
        <v>0</v>
      </c>
      <c r="O330" s="100">
        <f t="shared" si="368"/>
        <v>0</v>
      </c>
      <c r="P330" s="100"/>
      <c r="Q330" s="100"/>
      <c r="R330" s="100"/>
      <c r="S330" s="100"/>
      <c r="T330" s="100">
        <f t="shared" si="369"/>
        <v>0</v>
      </c>
      <c r="U330" s="100">
        <f t="shared" si="370"/>
        <v>0</v>
      </c>
      <c r="V330" s="97">
        <v>21650</v>
      </c>
      <c r="W330" s="97">
        <f>SIS!C37</f>
        <v>20996</v>
      </c>
      <c r="X330" s="553">
        <f t="shared" si="371"/>
        <v>-3.0207852193995383E-2</v>
      </c>
      <c r="Y330" s="100">
        <v>0</v>
      </c>
      <c r="Z330" s="100">
        <v>0</v>
      </c>
      <c r="AA330" s="141"/>
      <c r="AB330" s="100">
        <f t="shared" si="378"/>
        <v>0</v>
      </c>
      <c r="AC330" s="100">
        <f t="shared" si="379"/>
        <v>0</v>
      </c>
      <c r="AE330" s="120">
        <f t="shared" si="372"/>
        <v>0</v>
      </c>
      <c r="AF330" s="120">
        <f t="shared" si="373"/>
        <v>0</v>
      </c>
      <c r="AG330" s="114"/>
    </row>
    <row r="331" spans="1:33" ht="19.95" customHeight="1" outlineLevel="1">
      <c r="A331" s="117">
        <v>3615</v>
      </c>
      <c r="B331" s="118" t="str">
        <f t="shared" si="365"/>
        <v>TXST</v>
      </c>
      <c r="C331" s="138">
        <v>0</v>
      </c>
      <c r="D331" s="100"/>
      <c r="E331" s="138">
        <v>0</v>
      </c>
      <c r="F331" s="100">
        <f t="shared" si="374"/>
        <v>0</v>
      </c>
      <c r="G331" s="100">
        <f t="shared" si="375"/>
        <v>0</v>
      </c>
      <c r="H331" s="100">
        <f t="shared" si="376"/>
        <v>0</v>
      </c>
      <c r="I331" s="100">
        <f t="shared" si="366"/>
        <v>0</v>
      </c>
      <c r="J331" s="96">
        <f t="shared" si="367"/>
        <v>0</v>
      </c>
      <c r="L331" s="100">
        <f>SIS!D38</f>
        <v>0</v>
      </c>
      <c r="M331" s="100">
        <f>SIS!D38</f>
        <v>0</v>
      </c>
      <c r="N331" s="100">
        <f t="shared" si="377"/>
        <v>0</v>
      </c>
      <c r="O331" s="100">
        <f t="shared" si="368"/>
        <v>0</v>
      </c>
      <c r="P331" s="100"/>
      <c r="Q331" s="100"/>
      <c r="R331" s="100"/>
      <c r="S331" s="100"/>
      <c r="T331" s="100">
        <f t="shared" si="369"/>
        <v>0</v>
      </c>
      <c r="U331" s="100">
        <f t="shared" si="370"/>
        <v>0</v>
      </c>
      <c r="V331" s="97">
        <v>37812</v>
      </c>
      <c r="W331" s="97">
        <f>SIS!C38</f>
        <v>38171</v>
      </c>
      <c r="X331" s="553">
        <f t="shared" si="371"/>
        <v>9.4943404210303603E-3</v>
      </c>
      <c r="Y331" s="100">
        <v>0</v>
      </c>
      <c r="Z331" s="100">
        <v>0</v>
      </c>
      <c r="AA331" s="141"/>
      <c r="AB331" s="100">
        <f t="shared" si="378"/>
        <v>0</v>
      </c>
      <c r="AC331" s="100">
        <f t="shared" si="379"/>
        <v>0</v>
      </c>
      <c r="AE331" s="120">
        <f t="shared" si="372"/>
        <v>0</v>
      </c>
      <c r="AF331" s="120">
        <f t="shared" si="373"/>
        <v>0</v>
      </c>
      <c r="AG331" s="114"/>
    </row>
    <row r="332" spans="1:33" ht="19.95" customHeight="1" outlineLevel="1">
      <c r="A332" s="117">
        <v>3625</v>
      </c>
      <c r="B332" s="118" t="str">
        <f t="shared" si="365"/>
        <v>Sul Ross</v>
      </c>
      <c r="C332" s="138">
        <v>2633134</v>
      </c>
      <c r="D332" s="100"/>
      <c r="E332" s="138">
        <v>2633134</v>
      </c>
      <c r="F332" s="100">
        <f t="shared" si="374"/>
        <v>0</v>
      </c>
      <c r="G332" s="100">
        <f t="shared" si="375"/>
        <v>2633134</v>
      </c>
      <c r="H332" s="100">
        <f t="shared" si="376"/>
        <v>2633133</v>
      </c>
      <c r="I332" s="100">
        <f t="shared" si="366"/>
        <v>-1</v>
      </c>
      <c r="J332" s="96">
        <f t="shared" si="367"/>
        <v>-3.7977558301248627E-7</v>
      </c>
      <c r="L332" s="100">
        <f>SIS!D39</f>
        <v>1316566.5</v>
      </c>
      <c r="M332" s="100">
        <f>SIS!D39</f>
        <v>1316566.5</v>
      </c>
      <c r="N332" s="100">
        <f t="shared" si="377"/>
        <v>1316566.5</v>
      </c>
      <c r="O332" s="100">
        <f t="shared" si="368"/>
        <v>1316566.5</v>
      </c>
      <c r="P332" s="100"/>
      <c r="Q332" s="100"/>
      <c r="R332" s="100"/>
      <c r="S332" s="100"/>
      <c r="T332" s="100">
        <f t="shared" si="369"/>
        <v>1316566.5</v>
      </c>
      <c r="U332" s="100">
        <f t="shared" si="370"/>
        <v>1316566.5</v>
      </c>
      <c r="V332" s="97">
        <v>1557</v>
      </c>
      <c r="W332" s="97">
        <f>SIS!C39</f>
        <v>1353</v>
      </c>
      <c r="X332" s="553">
        <f t="shared" si="371"/>
        <v>-0.13102119460500963</v>
      </c>
      <c r="Y332" s="100">
        <v>1316567</v>
      </c>
      <c r="Z332" s="100">
        <v>1316567</v>
      </c>
      <c r="AA332" s="141"/>
      <c r="AB332" s="100">
        <f t="shared" si="378"/>
        <v>0.5</v>
      </c>
      <c r="AC332" s="100">
        <f t="shared" si="379"/>
        <v>0.5</v>
      </c>
      <c r="AE332" s="120">
        <f t="shared" si="372"/>
        <v>3.7977572724203446E-7</v>
      </c>
      <c r="AF332" s="120">
        <f t="shared" si="373"/>
        <v>3.7977572724203446E-7</v>
      </c>
      <c r="AG332" s="114"/>
    </row>
    <row r="333" spans="1:33" ht="19.95" customHeight="1" outlineLevel="1" thickBot="1">
      <c r="A333" s="122">
        <v>20</v>
      </c>
      <c r="B333" s="123" t="str">
        <f t="shared" si="365"/>
        <v>Sul Ross-Rio Grande</v>
      </c>
      <c r="C333" s="139">
        <v>2633134</v>
      </c>
      <c r="D333" s="124"/>
      <c r="E333" s="139">
        <v>2633134</v>
      </c>
      <c r="F333" s="124">
        <f t="shared" si="374"/>
        <v>0</v>
      </c>
      <c r="G333" s="124">
        <f t="shared" si="375"/>
        <v>2633134</v>
      </c>
      <c r="H333" s="124">
        <f t="shared" si="376"/>
        <v>2633133</v>
      </c>
      <c r="I333" s="124">
        <f t="shared" si="366"/>
        <v>-1</v>
      </c>
      <c r="J333" s="126">
        <f t="shared" si="367"/>
        <v>-3.7977558301248627E-7</v>
      </c>
      <c r="L333" s="124">
        <f>SIS!D40</f>
        <v>1316566.5</v>
      </c>
      <c r="M333" s="124">
        <f>SIS!D40</f>
        <v>1316566.5</v>
      </c>
      <c r="N333" s="124">
        <f t="shared" si="377"/>
        <v>1316566.5</v>
      </c>
      <c r="O333" s="124">
        <f t="shared" si="368"/>
        <v>1316566.5</v>
      </c>
      <c r="P333" s="124"/>
      <c r="Q333" s="124"/>
      <c r="R333" s="124"/>
      <c r="S333" s="124"/>
      <c r="T333" s="124">
        <f t="shared" si="369"/>
        <v>1316566.5</v>
      </c>
      <c r="U333" s="124">
        <f t="shared" si="370"/>
        <v>1316566.5</v>
      </c>
      <c r="V333" s="97">
        <v>916</v>
      </c>
      <c r="W333" s="97">
        <f>SIS!C40</f>
        <v>718</v>
      </c>
      <c r="X333" s="553">
        <f t="shared" si="371"/>
        <v>-0.21615720524017468</v>
      </c>
      <c r="Y333" s="124">
        <v>1316567</v>
      </c>
      <c r="Z333" s="124">
        <v>1316567</v>
      </c>
      <c r="AA333" s="141"/>
      <c r="AB333" s="124">
        <f t="shared" si="378"/>
        <v>0.5</v>
      </c>
      <c r="AC333" s="124">
        <f t="shared" si="379"/>
        <v>0.5</v>
      </c>
      <c r="AE333" s="127">
        <f t="shared" si="372"/>
        <v>3.7977572724203446E-7</v>
      </c>
      <c r="AF333" s="127">
        <f t="shared" si="373"/>
        <v>3.7977572724203446E-7</v>
      </c>
      <c r="AG333" s="114"/>
    </row>
    <row r="334" spans="1:33" ht="19.95" customHeight="1" outlineLevel="1" thickBot="1">
      <c r="A334" s="105"/>
      <c r="B334" s="128" t="s">
        <v>1</v>
      </c>
      <c r="C334" s="145">
        <f t="shared" ref="C334:I334" si="380">SUM(C297:C333)</f>
        <v>30245752</v>
      </c>
      <c r="D334" s="145">
        <f t="shared" si="380"/>
        <v>0</v>
      </c>
      <c r="E334" s="145">
        <f t="shared" si="380"/>
        <v>30245752</v>
      </c>
      <c r="F334" s="129">
        <f t="shared" si="380"/>
        <v>0</v>
      </c>
      <c r="G334" s="129">
        <f t="shared" si="380"/>
        <v>30245752</v>
      </c>
      <c r="H334" s="129">
        <f t="shared" si="380"/>
        <v>30776058.504000001</v>
      </c>
      <c r="I334" s="129">
        <f t="shared" si="380"/>
        <v>530306.50400000042</v>
      </c>
      <c r="J334" s="130">
        <f t="shared" si="367"/>
        <v>1.7533255711413637E-2</v>
      </c>
      <c r="L334" s="129">
        <f t="shared" ref="L334:U334" si="381">SUM(L297:L333)</f>
        <v>15388029.252</v>
      </c>
      <c r="M334" s="129">
        <f t="shared" si="381"/>
        <v>15388029.252</v>
      </c>
      <c r="N334" s="129">
        <f t="shared" si="381"/>
        <v>15388029.252</v>
      </c>
      <c r="O334" s="129">
        <f t="shared" si="381"/>
        <v>15388029.252</v>
      </c>
      <c r="P334" s="129">
        <f t="shared" si="381"/>
        <v>0</v>
      </c>
      <c r="Q334" s="129">
        <f t="shared" si="381"/>
        <v>0</v>
      </c>
      <c r="R334" s="129">
        <f t="shared" si="381"/>
        <v>0</v>
      </c>
      <c r="S334" s="129">
        <f t="shared" si="381"/>
        <v>0</v>
      </c>
      <c r="T334" s="129">
        <f t="shared" si="381"/>
        <v>15388029.252</v>
      </c>
      <c r="U334" s="129">
        <f t="shared" si="381"/>
        <v>15388029.252</v>
      </c>
      <c r="V334" s="146">
        <f>SUM(V297:V333)</f>
        <v>667046</v>
      </c>
      <c r="W334" s="146">
        <f>SUM(W297:W333)</f>
        <v>666322</v>
      </c>
      <c r="X334" s="554">
        <f t="shared" si="371"/>
        <v>-1.0853824174044968E-3</v>
      </c>
      <c r="Y334" s="276">
        <f>SUM(Y297:Y333)</f>
        <v>15388032</v>
      </c>
      <c r="Z334" s="276">
        <f>SUM(Z297:Z333)</f>
        <v>15388032</v>
      </c>
      <c r="AA334" s="141"/>
      <c r="AB334" s="131">
        <f>SUM(AB297:AB333)</f>
        <v>2.7479999997885898</v>
      </c>
      <c r="AC334" s="131">
        <f>SUM(AC297:AC333)</f>
        <v>2.7479999997885898</v>
      </c>
      <c r="AE334" s="130">
        <f t="shared" si="372"/>
        <v>1.7858037275510306E-7</v>
      </c>
      <c r="AF334" s="130">
        <f t="shared" si="373"/>
        <v>1.7858037275510306E-7</v>
      </c>
      <c r="AG334" s="114"/>
    </row>
    <row r="335" spans="1:33" ht="19.95" customHeight="1" outlineLevel="1" thickBot="1">
      <c r="A335" s="107">
        <v>9225</v>
      </c>
      <c r="B335" s="108" t="str">
        <f t="shared" ref="B335:B343" si="382">B63</f>
        <v>TSTC-Harlingen</v>
      </c>
      <c r="C335" s="138">
        <v>1316566.3316027836</v>
      </c>
      <c r="D335" s="109"/>
      <c r="E335" s="142">
        <v>1316566.3316027836</v>
      </c>
      <c r="F335" s="109">
        <f t="shared" ref="F335:F343" si="383">G335-E335</f>
        <v>0</v>
      </c>
      <c r="G335" s="109">
        <f t="shared" ref="G335:G343" si="384">C335-D335</f>
        <v>1316566.3316027836</v>
      </c>
      <c r="H335" s="109">
        <f t="shared" ref="H335:H343" si="385">L335+M335</f>
        <v>2178654.2442000001</v>
      </c>
      <c r="I335" s="109">
        <f t="shared" ref="I335:I344" si="386">H335-G335</f>
        <v>862087.91259721643</v>
      </c>
      <c r="J335" s="112">
        <f t="shared" si="367"/>
        <v>0.65480021165945612</v>
      </c>
      <c r="L335" s="111">
        <f>SIS!D42</f>
        <v>1089327.1221</v>
      </c>
      <c r="M335" s="111">
        <f>SIS!D42</f>
        <v>1089327.1221</v>
      </c>
      <c r="N335" s="111">
        <f>L335-P335</f>
        <v>1089327.1221</v>
      </c>
      <c r="O335" s="111">
        <f>M335-Q335</f>
        <v>1089327.1221</v>
      </c>
      <c r="P335" s="109"/>
      <c r="Q335" s="109"/>
      <c r="R335" s="109"/>
      <c r="S335" s="109"/>
      <c r="T335" s="109">
        <f t="shared" ref="T335:T343" si="387">L335+R335</f>
        <v>1089327.1221</v>
      </c>
      <c r="U335" s="109">
        <f t="shared" ref="U335:U343" si="388">M335+S335</f>
        <v>1089327.1221</v>
      </c>
      <c r="V335" s="97">
        <v>4864</v>
      </c>
      <c r="W335" s="97">
        <f>SIS!C42</f>
        <v>5863</v>
      </c>
      <c r="X335" s="553">
        <f t="shared" si="371"/>
        <v>0.20538651315789475</v>
      </c>
      <c r="Y335" s="196">
        <v>1089327.1221</v>
      </c>
      <c r="Z335" s="196">
        <v>1089327.1221</v>
      </c>
      <c r="AA335" s="141"/>
      <c r="AB335" s="124">
        <f>Y335-T335</f>
        <v>0</v>
      </c>
      <c r="AC335" s="124">
        <f>Z335-U335</f>
        <v>0</v>
      </c>
      <c r="AE335" s="120">
        <f t="shared" si="372"/>
        <v>0</v>
      </c>
      <c r="AF335" s="120">
        <f t="shared" si="373"/>
        <v>0</v>
      </c>
      <c r="AG335" s="114"/>
    </row>
    <row r="336" spans="1:33" ht="19.95" customHeight="1" outlineLevel="1">
      <c r="A336" s="117">
        <v>9932</v>
      </c>
      <c r="B336" s="118" t="str">
        <f t="shared" si="382"/>
        <v>TSTC-West Tx</v>
      </c>
      <c r="C336" s="138">
        <v>1316566.3316027836</v>
      </c>
      <c r="D336" s="100"/>
      <c r="E336" s="138">
        <v>1316566.3316027836</v>
      </c>
      <c r="F336" s="100">
        <f t="shared" si="383"/>
        <v>0</v>
      </c>
      <c r="G336" s="100">
        <f t="shared" si="384"/>
        <v>1316566.3316027836</v>
      </c>
      <c r="H336" s="100">
        <f t="shared" si="385"/>
        <v>2633133</v>
      </c>
      <c r="I336" s="100">
        <f t="shared" si="386"/>
        <v>1316566.6683972164</v>
      </c>
      <c r="J336" s="96">
        <f t="shared" si="367"/>
        <v>1.0000002558127339</v>
      </c>
      <c r="L336" s="100">
        <f>SIS!D43</f>
        <v>1316566.5</v>
      </c>
      <c r="M336" s="100">
        <f>SIS!D43</f>
        <v>1316566.5</v>
      </c>
      <c r="N336" s="100">
        <f t="shared" ref="N336:N343" si="389">L336-P336</f>
        <v>1316566.5</v>
      </c>
      <c r="O336" s="100">
        <f t="shared" ref="O336:O343" si="390">M336-Q336</f>
        <v>1316566.5</v>
      </c>
      <c r="P336" s="100"/>
      <c r="Q336" s="100"/>
      <c r="R336" s="100"/>
      <c r="S336" s="100"/>
      <c r="T336" s="100">
        <f t="shared" si="387"/>
        <v>1316566.5</v>
      </c>
      <c r="U336" s="100">
        <f t="shared" si="388"/>
        <v>1316566.5</v>
      </c>
      <c r="V336" s="97">
        <v>2390</v>
      </c>
      <c r="W336" s="97">
        <f>SIS!C43</f>
        <v>1818</v>
      </c>
      <c r="X336" s="553">
        <f t="shared" si="371"/>
        <v>-0.23933054393305439</v>
      </c>
      <c r="Y336" s="100">
        <v>1316566.5</v>
      </c>
      <c r="Z336" s="100">
        <v>1316566.5</v>
      </c>
      <c r="AA336" s="141"/>
      <c r="AB336" s="100">
        <f t="shared" ref="AB336:AB343" si="391">Y336-T336</f>
        <v>0</v>
      </c>
      <c r="AC336" s="100">
        <f t="shared" ref="AC336:AC343" si="392">Z336-U336</f>
        <v>0</v>
      </c>
      <c r="AE336" s="120">
        <f t="shared" si="372"/>
        <v>0</v>
      </c>
      <c r="AF336" s="120">
        <f t="shared" si="373"/>
        <v>0</v>
      </c>
      <c r="AG336" s="114"/>
    </row>
    <row r="337" spans="1:33" ht="19.95" customHeight="1" outlineLevel="1">
      <c r="A337" s="117">
        <v>33965</v>
      </c>
      <c r="B337" s="118" t="str">
        <f t="shared" si="382"/>
        <v>TSTC-Marshall</v>
      </c>
      <c r="C337" s="138">
        <v>1316566.3316027836</v>
      </c>
      <c r="D337" s="100"/>
      <c r="E337" s="138">
        <v>1316566.3316027836</v>
      </c>
      <c r="F337" s="100">
        <f t="shared" si="383"/>
        <v>0</v>
      </c>
      <c r="G337" s="100">
        <f t="shared" si="384"/>
        <v>1316566.3316027836</v>
      </c>
      <c r="H337" s="100">
        <f t="shared" si="385"/>
        <v>2633133</v>
      </c>
      <c r="I337" s="100">
        <f t="shared" si="386"/>
        <v>1316566.6683972164</v>
      </c>
      <c r="J337" s="96">
        <f t="shared" si="367"/>
        <v>1.0000002558127339</v>
      </c>
      <c r="L337" s="100">
        <f>SIS!D44</f>
        <v>1316566.5</v>
      </c>
      <c r="M337" s="100">
        <f>SIS!D44</f>
        <v>1316566.5</v>
      </c>
      <c r="N337" s="100">
        <f t="shared" si="389"/>
        <v>1316566.5</v>
      </c>
      <c r="O337" s="100">
        <f t="shared" si="390"/>
        <v>1316566.5</v>
      </c>
      <c r="P337" s="100"/>
      <c r="Q337" s="100"/>
      <c r="R337" s="100"/>
      <c r="S337" s="100"/>
      <c r="T337" s="100">
        <f t="shared" si="387"/>
        <v>1316566.5</v>
      </c>
      <c r="U337" s="100">
        <f t="shared" si="388"/>
        <v>1316566.5</v>
      </c>
      <c r="V337" s="97">
        <v>925</v>
      </c>
      <c r="W337" s="97">
        <f>SIS!C44</f>
        <v>787</v>
      </c>
      <c r="X337" s="553">
        <f t="shared" si="371"/>
        <v>-0.14918918918918919</v>
      </c>
      <c r="Y337" s="100">
        <v>1316566.5</v>
      </c>
      <c r="Z337" s="100">
        <v>1316566.5</v>
      </c>
      <c r="AA337" s="141"/>
      <c r="AB337" s="100">
        <f t="shared" si="391"/>
        <v>0</v>
      </c>
      <c r="AC337" s="100">
        <f t="shared" si="392"/>
        <v>0</v>
      </c>
      <c r="AE337" s="120">
        <f t="shared" si="372"/>
        <v>0</v>
      </c>
      <c r="AF337" s="120">
        <f t="shared" si="373"/>
        <v>0</v>
      </c>
      <c r="AG337" s="114"/>
    </row>
    <row r="338" spans="1:33" ht="19.95" customHeight="1" outlineLevel="1">
      <c r="A338" s="117">
        <v>3634</v>
      </c>
      <c r="B338" s="118" t="str">
        <f t="shared" si="382"/>
        <v>TSTC-Waco</v>
      </c>
      <c r="C338" s="138">
        <v>1316566.3316027836</v>
      </c>
      <c r="D338" s="100"/>
      <c r="E338" s="138">
        <v>1316566.3316027836</v>
      </c>
      <c r="F338" s="100">
        <f t="shared" si="383"/>
        <v>0</v>
      </c>
      <c r="G338" s="100">
        <f t="shared" si="384"/>
        <v>1316566.3316027836</v>
      </c>
      <c r="H338" s="100">
        <f t="shared" si="385"/>
        <v>1351323.8555999999</v>
      </c>
      <c r="I338" s="100">
        <f t="shared" si="386"/>
        <v>34757.523997216253</v>
      </c>
      <c r="J338" s="96">
        <f t="shared" si="367"/>
        <v>2.6400131283094985E-2</v>
      </c>
      <c r="L338" s="100">
        <f>SIS!D45</f>
        <v>675661.92779999995</v>
      </c>
      <c r="M338" s="100">
        <f>SIS!D45</f>
        <v>675661.92779999995</v>
      </c>
      <c r="N338" s="100">
        <f t="shared" si="389"/>
        <v>675661.92779999995</v>
      </c>
      <c r="O338" s="100">
        <f t="shared" si="390"/>
        <v>675661.92779999995</v>
      </c>
      <c r="P338" s="100"/>
      <c r="Q338" s="100"/>
      <c r="R338" s="100"/>
      <c r="S338" s="100"/>
      <c r="T338" s="100">
        <f t="shared" si="387"/>
        <v>675661.92779999995</v>
      </c>
      <c r="U338" s="100">
        <f t="shared" si="388"/>
        <v>675661.92779999995</v>
      </c>
      <c r="V338" s="97">
        <v>4393</v>
      </c>
      <c r="W338" s="97">
        <f>SIS!C45</f>
        <v>7434</v>
      </c>
      <c r="X338" s="553">
        <f t="shared" si="371"/>
        <v>0.69223765080810384</v>
      </c>
      <c r="Y338" s="100">
        <v>675661.92779999995</v>
      </c>
      <c r="Z338" s="100">
        <v>675661.92779999995</v>
      </c>
      <c r="AA338" s="141"/>
      <c r="AB338" s="100">
        <f t="shared" si="391"/>
        <v>0</v>
      </c>
      <c r="AC338" s="100">
        <f t="shared" si="392"/>
        <v>0</v>
      </c>
      <c r="AE338" s="120">
        <f t="shared" si="372"/>
        <v>0</v>
      </c>
      <c r="AF338" s="120">
        <f t="shared" si="373"/>
        <v>0</v>
      </c>
      <c r="AG338" s="114"/>
    </row>
    <row r="339" spans="1:33" ht="19.95" customHeight="1" outlineLevel="1">
      <c r="A339" s="117">
        <v>203634</v>
      </c>
      <c r="B339" s="118" t="str">
        <f t="shared" si="382"/>
        <v>TSTC-Fort Bend</v>
      </c>
      <c r="C339" s="138">
        <v>1316566.3316027836</v>
      </c>
      <c r="D339" s="100"/>
      <c r="E339" s="138">
        <v>1316566.3316027836</v>
      </c>
      <c r="F339" s="100">
        <f>G339-E339</f>
        <v>0</v>
      </c>
      <c r="G339" s="100">
        <f>C339-D339</f>
        <v>1316566.3316027836</v>
      </c>
      <c r="H339" s="100">
        <f>L339+M339</f>
        <v>2633133</v>
      </c>
      <c r="I339" s="100">
        <f t="shared" si="386"/>
        <v>1316566.6683972164</v>
      </c>
      <c r="J339" s="96">
        <f t="shared" si="367"/>
        <v>1.0000002558127339</v>
      </c>
      <c r="L339" s="100">
        <f>SIS!D46</f>
        <v>1316566.5</v>
      </c>
      <c r="M339" s="100">
        <f>SIS!D46</f>
        <v>1316566.5</v>
      </c>
      <c r="N339" s="100">
        <f t="shared" si="389"/>
        <v>1316566.5</v>
      </c>
      <c r="O339" s="100">
        <f t="shared" si="390"/>
        <v>1316566.5</v>
      </c>
      <c r="P339" s="100"/>
      <c r="Q339" s="100"/>
      <c r="R339" s="100"/>
      <c r="S339" s="100"/>
      <c r="T339" s="100">
        <f>L339+R339</f>
        <v>1316566.5</v>
      </c>
      <c r="U339" s="100">
        <f>M339+S339</f>
        <v>1316566.5</v>
      </c>
      <c r="V339" s="97">
        <v>688</v>
      </c>
      <c r="W339" s="97">
        <f>SIS!C46</f>
        <v>648</v>
      </c>
      <c r="X339" s="553">
        <f t="shared" si="371"/>
        <v>-5.8139534883720929E-2</v>
      </c>
      <c r="Y339" s="100">
        <v>1316566.5</v>
      </c>
      <c r="Z339" s="100">
        <v>1316566.5</v>
      </c>
      <c r="AA339" s="141"/>
      <c r="AB339" s="100">
        <f t="shared" si="391"/>
        <v>0</v>
      </c>
      <c r="AC339" s="100">
        <f t="shared" si="392"/>
        <v>0</v>
      </c>
      <c r="AE339" s="120">
        <f t="shared" ref="AE339:AF344" si="393">IFERROR(AB339/T339,0)</f>
        <v>0</v>
      </c>
      <c r="AF339" s="120">
        <f t="shared" si="393"/>
        <v>0</v>
      </c>
      <c r="AG339" s="114"/>
    </row>
    <row r="340" spans="1:33" ht="19.95" customHeight="1" outlineLevel="1">
      <c r="A340" s="117">
        <v>133965</v>
      </c>
      <c r="B340" s="118" t="str">
        <f t="shared" si="382"/>
        <v>TSTC-North Texas</v>
      </c>
      <c r="C340" s="138">
        <v>1316566.3316027836</v>
      </c>
      <c r="D340" s="100"/>
      <c r="E340" s="138">
        <v>1316566.3316027836</v>
      </c>
      <c r="F340" s="100">
        <f>G340-E340</f>
        <v>0</v>
      </c>
      <c r="G340" s="100">
        <f>C340-D340</f>
        <v>1316566.3316027836</v>
      </c>
      <c r="H340" s="100">
        <f>L340+M340</f>
        <v>2633133</v>
      </c>
      <c r="I340" s="100">
        <f t="shared" si="386"/>
        <v>1316566.6683972164</v>
      </c>
      <c r="J340" s="96">
        <f t="shared" si="367"/>
        <v>1.0000002558127339</v>
      </c>
      <c r="L340" s="100">
        <f>SIS!D47</f>
        <v>1316566.5</v>
      </c>
      <c r="M340" s="100">
        <f>SIS!D47</f>
        <v>1316566.5</v>
      </c>
      <c r="N340" s="100">
        <f t="shared" si="389"/>
        <v>1316566.5</v>
      </c>
      <c r="O340" s="100">
        <f t="shared" si="390"/>
        <v>1316566.5</v>
      </c>
      <c r="P340" s="100"/>
      <c r="Q340" s="100"/>
      <c r="R340" s="100"/>
      <c r="S340" s="100"/>
      <c r="T340" s="100">
        <f>L340+R340</f>
        <v>1316566.5</v>
      </c>
      <c r="U340" s="100">
        <f>M340+S340</f>
        <v>1316566.5</v>
      </c>
      <c r="V340" s="97">
        <v>496</v>
      </c>
      <c r="W340" s="97">
        <f>SIS!C47</f>
        <v>399</v>
      </c>
      <c r="X340" s="553">
        <f t="shared" si="371"/>
        <v>-0.19556451612903225</v>
      </c>
      <c r="Y340" s="100">
        <v>1316566.5</v>
      </c>
      <c r="Z340" s="100">
        <v>1316566.5</v>
      </c>
      <c r="AA340" s="141"/>
      <c r="AB340" s="100">
        <f t="shared" si="391"/>
        <v>0</v>
      </c>
      <c r="AC340" s="100">
        <f t="shared" si="392"/>
        <v>0</v>
      </c>
      <c r="AE340" s="120">
        <f t="shared" si="393"/>
        <v>0</v>
      </c>
      <c r="AF340" s="120">
        <f t="shared" si="393"/>
        <v>0</v>
      </c>
      <c r="AG340" s="114"/>
    </row>
    <row r="341" spans="1:33" ht="19.95" customHeight="1" outlineLevel="1">
      <c r="A341" s="117">
        <v>36273</v>
      </c>
      <c r="B341" s="118" t="str">
        <f t="shared" si="382"/>
        <v>Lamar-IOT</v>
      </c>
      <c r="C341" s="138">
        <v>2633134</v>
      </c>
      <c r="D341" s="100"/>
      <c r="E341" s="138">
        <v>2633134</v>
      </c>
      <c r="F341" s="100">
        <f t="shared" si="383"/>
        <v>0</v>
      </c>
      <c r="G341" s="100">
        <f t="shared" si="384"/>
        <v>2633134</v>
      </c>
      <c r="H341" s="100">
        <f t="shared" si="385"/>
        <v>2633133</v>
      </c>
      <c r="I341" s="100">
        <f t="shared" si="386"/>
        <v>-1</v>
      </c>
      <c r="J341" s="96">
        <f t="shared" si="367"/>
        <v>-3.7977558301248627E-7</v>
      </c>
      <c r="L341" s="100">
        <f>SIS!D49</f>
        <v>1316566.5</v>
      </c>
      <c r="M341" s="100">
        <f>SIS!D49</f>
        <v>1316566.5</v>
      </c>
      <c r="N341" s="100">
        <f t="shared" si="389"/>
        <v>1316566.5</v>
      </c>
      <c r="O341" s="100">
        <f t="shared" si="390"/>
        <v>1316566.5</v>
      </c>
      <c r="P341" s="100"/>
      <c r="Q341" s="100"/>
      <c r="R341" s="100"/>
      <c r="S341" s="100"/>
      <c r="T341" s="100">
        <f t="shared" si="387"/>
        <v>1316566.5</v>
      </c>
      <c r="U341" s="100">
        <f t="shared" si="388"/>
        <v>1316566.5</v>
      </c>
      <c r="V341" s="97">
        <v>4402</v>
      </c>
      <c r="W341" s="97">
        <f>SIS!C49</f>
        <v>4788</v>
      </c>
      <c r="X341" s="553">
        <f t="shared" si="371"/>
        <v>8.7687414811449343E-2</v>
      </c>
      <c r="Y341" s="100">
        <v>1316567</v>
      </c>
      <c r="Z341" s="100">
        <v>1316567</v>
      </c>
      <c r="AA341" s="141"/>
      <c r="AB341" s="100">
        <f t="shared" si="391"/>
        <v>0.5</v>
      </c>
      <c r="AC341" s="100">
        <f t="shared" si="392"/>
        <v>0.5</v>
      </c>
      <c r="AE341" s="120">
        <f t="shared" si="393"/>
        <v>3.7977572724203446E-7</v>
      </c>
      <c r="AF341" s="120">
        <f t="shared" si="393"/>
        <v>3.7977572724203446E-7</v>
      </c>
      <c r="AG341" s="114"/>
    </row>
    <row r="342" spans="1:33" ht="19.95" customHeight="1" outlineLevel="1">
      <c r="A342" s="117">
        <v>23582</v>
      </c>
      <c r="B342" s="118" t="str">
        <f t="shared" si="382"/>
        <v>Lamar-Orange</v>
      </c>
      <c r="C342" s="138">
        <v>2633134</v>
      </c>
      <c r="D342" s="100"/>
      <c r="E342" s="138">
        <v>2633134</v>
      </c>
      <c r="F342" s="100">
        <f t="shared" si="383"/>
        <v>0</v>
      </c>
      <c r="G342" s="100">
        <f t="shared" si="384"/>
        <v>2633134</v>
      </c>
      <c r="H342" s="100">
        <f t="shared" si="385"/>
        <v>2633133</v>
      </c>
      <c r="I342" s="100">
        <f t="shared" si="386"/>
        <v>-1</v>
      </c>
      <c r="J342" s="96">
        <f t="shared" si="367"/>
        <v>-3.7977558301248627E-7</v>
      </c>
      <c r="L342" s="100">
        <f>SIS!D50</f>
        <v>1316566.5</v>
      </c>
      <c r="M342" s="100">
        <f>SIS!D50</f>
        <v>1316566.5</v>
      </c>
      <c r="N342" s="100">
        <f t="shared" si="389"/>
        <v>1316566.5</v>
      </c>
      <c r="O342" s="100">
        <f t="shared" si="390"/>
        <v>1316566.5</v>
      </c>
      <c r="P342" s="100"/>
      <c r="Q342" s="100"/>
      <c r="R342" s="100"/>
      <c r="S342" s="100"/>
      <c r="T342" s="100">
        <f t="shared" si="387"/>
        <v>1316566.5</v>
      </c>
      <c r="U342" s="100">
        <f t="shared" si="388"/>
        <v>1316566.5</v>
      </c>
      <c r="V342" s="97">
        <v>2382</v>
      </c>
      <c r="W342" s="97">
        <f>SIS!C50</f>
        <v>2629</v>
      </c>
      <c r="X342" s="553">
        <f t="shared" si="371"/>
        <v>0.1036943744752309</v>
      </c>
      <c r="Y342" s="100">
        <v>1316567</v>
      </c>
      <c r="Z342" s="100">
        <v>1316567</v>
      </c>
      <c r="AA342" s="141"/>
      <c r="AB342" s="100">
        <f t="shared" si="391"/>
        <v>0.5</v>
      </c>
      <c r="AC342" s="100">
        <f t="shared" si="392"/>
        <v>0.5</v>
      </c>
      <c r="AE342" s="120">
        <f t="shared" si="393"/>
        <v>3.7977572724203446E-7</v>
      </c>
      <c r="AF342" s="120">
        <f t="shared" si="393"/>
        <v>3.7977572724203446E-7</v>
      </c>
      <c r="AG342" s="114"/>
    </row>
    <row r="343" spans="1:33" ht="19.95" customHeight="1" outlineLevel="1" thickBot="1">
      <c r="A343" s="122">
        <v>23485</v>
      </c>
      <c r="B343" s="123" t="str">
        <f t="shared" si="382"/>
        <v>Lamar-Port Arthur</v>
      </c>
      <c r="C343" s="139">
        <v>2633134</v>
      </c>
      <c r="D343" s="124"/>
      <c r="E343" s="139">
        <v>2633134</v>
      </c>
      <c r="F343" s="124">
        <f t="shared" si="383"/>
        <v>0</v>
      </c>
      <c r="G343" s="124">
        <f t="shared" si="384"/>
        <v>2633134</v>
      </c>
      <c r="H343" s="124">
        <f t="shared" si="385"/>
        <v>2633133</v>
      </c>
      <c r="I343" s="124">
        <f t="shared" si="386"/>
        <v>-1</v>
      </c>
      <c r="J343" s="126">
        <f t="shared" si="367"/>
        <v>-3.7977558301248627E-7</v>
      </c>
      <c r="L343" s="100">
        <f>SIS!D51</f>
        <v>1316566.5</v>
      </c>
      <c r="M343" s="100">
        <f>SIS!D51</f>
        <v>1316566.5</v>
      </c>
      <c r="N343" s="124">
        <f t="shared" si="389"/>
        <v>1316566.5</v>
      </c>
      <c r="O343" s="124">
        <f t="shared" si="390"/>
        <v>1316566.5</v>
      </c>
      <c r="P343" s="124"/>
      <c r="Q343" s="124"/>
      <c r="R343" s="124"/>
      <c r="S343" s="124"/>
      <c r="T343" s="124">
        <f t="shared" si="387"/>
        <v>1316566.5</v>
      </c>
      <c r="U343" s="124">
        <f t="shared" si="388"/>
        <v>1316566.5</v>
      </c>
      <c r="V343" s="97">
        <v>2566</v>
      </c>
      <c r="W343" s="97">
        <f>SIS!C51</f>
        <v>2698</v>
      </c>
      <c r="X343" s="553">
        <f t="shared" si="371"/>
        <v>5.1441932969602491E-2</v>
      </c>
      <c r="Y343" s="124">
        <v>1316567</v>
      </c>
      <c r="Z343" s="124">
        <v>1316567</v>
      </c>
      <c r="AA343" s="141"/>
      <c r="AB343" s="124">
        <f t="shared" si="391"/>
        <v>0.5</v>
      </c>
      <c r="AC343" s="124">
        <f t="shared" si="392"/>
        <v>0.5</v>
      </c>
      <c r="AE343" s="127">
        <f t="shared" si="393"/>
        <v>3.7977572724203446E-7</v>
      </c>
      <c r="AF343" s="127">
        <f t="shared" si="393"/>
        <v>3.7977572724203446E-7</v>
      </c>
      <c r="AG343" s="114"/>
    </row>
    <row r="344" spans="1:33" ht="19.95" customHeight="1" outlineLevel="1">
      <c r="A344" s="105"/>
      <c r="B344" s="128" t="s">
        <v>1</v>
      </c>
      <c r="C344" s="129">
        <f t="shared" ref="C344:H344" si="394">SUM(C335:C343)</f>
        <v>15798799.989616703</v>
      </c>
      <c r="D344" s="129">
        <f t="shared" si="394"/>
        <v>0</v>
      </c>
      <c r="E344" s="129">
        <f t="shared" si="394"/>
        <v>15798799.989616703</v>
      </c>
      <c r="F344" s="129">
        <f t="shared" si="394"/>
        <v>0</v>
      </c>
      <c r="G344" s="129">
        <f t="shared" si="394"/>
        <v>15798799.989616703</v>
      </c>
      <c r="H344" s="129">
        <f t="shared" si="394"/>
        <v>21961909.099799998</v>
      </c>
      <c r="I344" s="129">
        <f t="shared" si="386"/>
        <v>6163109.1101832949</v>
      </c>
      <c r="J344" s="130">
        <f t="shared" si="367"/>
        <v>0.3900998249382116</v>
      </c>
      <c r="L344" s="129">
        <f>SUM(L335:L343)</f>
        <v>10980954.549899999</v>
      </c>
      <c r="M344" s="129">
        <f t="shared" ref="M344:U344" si="395">SUM(M335:M343)</f>
        <v>10980954.549899999</v>
      </c>
      <c r="N344" s="129">
        <f t="shared" si="395"/>
        <v>10980954.549899999</v>
      </c>
      <c r="O344" s="129">
        <f t="shared" si="395"/>
        <v>10980954.549899999</v>
      </c>
      <c r="P344" s="129">
        <f t="shared" si="395"/>
        <v>0</v>
      </c>
      <c r="Q344" s="129">
        <f t="shared" si="395"/>
        <v>0</v>
      </c>
      <c r="R344" s="129">
        <f t="shared" si="395"/>
        <v>0</v>
      </c>
      <c r="S344" s="129">
        <f t="shared" si="395"/>
        <v>0</v>
      </c>
      <c r="T344" s="129">
        <f t="shared" si="395"/>
        <v>10980954.549899999</v>
      </c>
      <c r="U344" s="129">
        <f t="shared" si="395"/>
        <v>10980954.549899999</v>
      </c>
      <c r="V344" s="146">
        <f>SUM(V335:V343)</f>
        <v>23106</v>
      </c>
      <c r="W344" s="146">
        <f>SUM(W335:W343)</f>
        <v>27064</v>
      </c>
      <c r="X344" s="554">
        <f t="shared" si="371"/>
        <v>0.17129749848524192</v>
      </c>
      <c r="Y344" s="276">
        <f>SUM(Y335:Y343)</f>
        <v>10980956.049899999</v>
      </c>
      <c r="Z344" s="276">
        <f>SUM(Z335:Z343)</f>
        <v>10980956.049899999</v>
      </c>
      <c r="AB344" s="131">
        <f>SUM(AB335:AB343)</f>
        <v>1.5</v>
      </c>
      <c r="AC344" s="131">
        <f>SUM(AC335:AC343)</f>
        <v>1.5</v>
      </c>
      <c r="AE344" s="130">
        <f t="shared" si="393"/>
        <v>1.3660014647940238E-7</v>
      </c>
      <c r="AF344" s="130">
        <f t="shared" si="393"/>
        <v>1.3660014647940238E-7</v>
      </c>
      <c r="AG344" s="114"/>
    </row>
    <row r="345" spans="1:33" ht="33.75" customHeight="1">
      <c r="A345" s="105"/>
      <c r="V345" s="539" t="s">
        <v>267</v>
      </c>
      <c r="W345" s="539" t="s">
        <v>289</v>
      </c>
      <c r="X345" s="106" t="s">
        <v>396</v>
      </c>
    </row>
    <row r="346" spans="1:33" ht="13.8">
      <c r="A346" s="105"/>
      <c r="V346" s="540">
        <v>441</v>
      </c>
      <c r="W346" s="599">
        <f>'CRU At-Risk'!C33</f>
        <v>1911.16</v>
      </c>
    </row>
    <row r="347" spans="1:33" s="91" customFormat="1" ht="35.25" customHeight="1" thickBot="1">
      <c r="A347" s="669" t="s">
        <v>488</v>
      </c>
      <c r="B347" s="670"/>
      <c r="C347" s="670"/>
      <c r="D347" s="670"/>
      <c r="E347" s="670"/>
      <c r="F347" s="670"/>
      <c r="G347" s="670"/>
      <c r="H347" s="670"/>
      <c r="I347" s="670"/>
      <c r="J347" s="670"/>
      <c r="L347" s="673" t="str">
        <f>A347</f>
        <v>Comprehensive Regional University (CRU) Performance-Based Funding</v>
      </c>
      <c r="M347" s="673"/>
      <c r="N347" s="673"/>
      <c r="O347" s="673"/>
      <c r="P347" s="673"/>
      <c r="Q347" s="673"/>
      <c r="R347" s="673"/>
      <c r="S347" s="673"/>
      <c r="T347" s="673" t="str">
        <f>A347</f>
        <v>Comprehensive Regional University (CRU) Performance-Based Funding</v>
      </c>
      <c r="U347" s="673"/>
      <c r="V347" s="86" t="s">
        <v>464</v>
      </c>
      <c r="W347" s="86" t="s">
        <v>464</v>
      </c>
      <c r="X347" s="87" t="s">
        <v>259</v>
      </c>
      <c r="AE347" s="94"/>
      <c r="AF347" s="94"/>
    </row>
    <row r="348" spans="1:33" ht="19.95" customHeight="1" outlineLevel="1">
      <c r="A348" s="107">
        <v>3656</v>
      </c>
      <c r="B348" s="108" t="str">
        <f t="shared" ref="B348:B384" si="396">B25</f>
        <v>UT-Arlington</v>
      </c>
      <c r="C348" s="109">
        <f>E348</f>
        <v>0</v>
      </c>
      <c r="D348" s="109"/>
      <c r="E348" s="142"/>
      <c r="F348" s="109">
        <f>G348-E348</f>
        <v>0</v>
      </c>
      <c r="G348" s="109">
        <f>C348-D348</f>
        <v>0</v>
      </c>
      <c r="H348" s="109">
        <f>L348+M348</f>
        <v>0</v>
      </c>
      <c r="I348" s="109">
        <f t="shared" ref="I348:I385" si="397">H348-G348</f>
        <v>0</v>
      </c>
      <c r="J348" s="112">
        <f t="shared" ref="J348:J385" si="398">IF(OR(I348=0,G348=0),0,I348/G348)</f>
        <v>0</v>
      </c>
      <c r="K348" s="114"/>
      <c r="L348" s="109">
        <f>0</f>
        <v>0</v>
      </c>
      <c r="M348" s="109">
        <f>0</f>
        <v>0</v>
      </c>
      <c r="N348" s="109">
        <f>0</f>
        <v>0</v>
      </c>
      <c r="O348" s="109">
        <f>0</f>
        <v>0</v>
      </c>
      <c r="P348" s="109"/>
      <c r="Q348" s="109"/>
      <c r="R348" s="109"/>
      <c r="S348" s="109"/>
      <c r="T348" s="109">
        <f t="shared" ref="T348:T384" si="399">L348+R348</f>
        <v>0</v>
      </c>
      <c r="U348" s="109">
        <f t="shared" ref="U348:U384" si="400">M348+S348</f>
        <v>0</v>
      </c>
      <c r="V348" s="106"/>
      <c r="W348" s="106"/>
      <c r="X348" s="80"/>
      <c r="Y348" s="633">
        <v>0</v>
      </c>
      <c r="Z348" s="633">
        <v>0</v>
      </c>
      <c r="AA348" s="79"/>
      <c r="AB348" s="111">
        <f t="shared" ref="AB348:AB385" si="401">T348-Y348</f>
        <v>0</v>
      </c>
      <c r="AC348" s="111">
        <f t="shared" ref="AC348:AC385" si="402">U348-Z348</f>
        <v>0</v>
      </c>
      <c r="AE348" s="116">
        <f t="shared" ref="AE348:AE385" si="403">IFERROR(AB348/T348,0)</f>
        <v>0</v>
      </c>
      <c r="AF348" s="116">
        <f t="shared" ref="AF348:AF385" si="404">IFERROR(AC348/U348,0)</f>
        <v>0</v>
      </c>
    </row>
    <row r="349" spans="1:33" ht="19.95" customHeight="1" outlineLevel="1">
      <c r="A349" s="117">
        <v>3658</v>
      </c>
      <c r="B349" s="118" t="str">
        <f t="shared" si="396"/>
        <v>UT-Austin</v>
      </c>
      <c r="C349" s="100">
        <f t="shared" ref="C349:C384" si="405">E349</f>
        <v>0</v>
      </c>
      <c r="D349" s="100"/>
      <c r="E349" s="138"/>
      <c r="F349" s="100">
        <f t="shared" ref="F349:F359" si="406">G349-E349</f>
        <v>0</v>
      </c>
      <c r="G349" s="100">
        <f t="shared" ref="G349:G354" si="407">C349-D349</f>
        <v>0</v>
      </c>
      <c r="H349" s="100">
        <f t="shared" ref="H349:H384" si="408">L349+M349</f>
        <v>0</v>
      </c>
      <c r="I349" s="100">
        <f t="shared" si="397"/>
        <v>0</v>
      </c>
      <c r="J349" s="96">
        <f t="shared" si="398"/>
        <v>0</v>
      </c>
      <c r="K349" s="114"/>
      <c r="L349" s="100">
        <f>0</f>
        <v>0</v>
      </c>
      <c r="M349" s="100">
        <f>0</f>
        <v>0</v>
      </c>
      <c r="N349" s="100">
        <f>0</f>
        <v>0</v>
      </c>
      <c r="O349" s="100">
        <f>0</f>
        <v>0</v>
      </c>
      <c r="P349" s="100"/>
      <c r="Q349" s="100"/>
      <c r="R349" s="100"/>
      <c r="S349" s="100"/>
      <c r="T349" s="100">
        <f t="shared" si="399"/>
        <v>0</v>
      </c>
      <c r="U349" s="100">
        <f t="shared" si="400"/>
        <v>0</v>
      </c>
      <c r="V349" s="113"/>
      <c r="W349" s="114"/>
      <c r="X349" s="80"/>
      <c r="Y349" s="100">
        <v>0</v>
      </c>
      <c r="Z349" s="100">
        <v>0</v>
      </c>
      <c r="AA349" s="79"/>
      <c r="AB349" s="100">
        <f t="shared" si="401"/>
        <v>0</v>
      </c>
      <c r="AC349" s="100">
        <f t="shared" si="402"/>
        <v>0</v>
      </c>
      <c r="AE349" s="120">
        <f t="shared" si="403"/>
        <v>0</v>
      </c>
      <c r="AF349" s="120">
        <f t="shared" si="404"/>
        <v>0</v>
      </c>
    </row>
    <row r="350" spans="1:33" ht="19.95" customHeight="1" outlineLevel="1">
      <c r="A350" s="117">
        <v>9741</v>
      </c>
      <c r="B350" s="118" t="str">
        <f t="shared" si="396"/>
        <v>UT-Dallas</v>
      </c>
      <c r="C350" s="100">
        <f t="shared" si="405"/>
        <v>0</v>
      </c>
      <c r="D350" s="100"/>
      <c r="E350" s="138"/>
      <c r="F350" s="100">
        <f t="shared" si="406"/>
        <v>0</v>
      </c>
      <c r="G350" s="100">
        <f t="shared" si="407"/>
        <v>0</v>
      </c>
      <c r="H350" s="100">
        <f t="shared" si="408"/>
        <v>0</v>
      </c>
      <c r="I350" s="100">
        <f t="shared" si="397"/>
        <v>0</v>
      </c>
      <c r="J350" s="96">
        <f t="shared" si="398"/>
        <v>0</v>
      </c>
      <c r="K350" s="114"/>
      <c r="L350" s="100">
        <f>0</f>
        <v>0</v>
      </c>
      <c r="M350" s="100">
        <f>0</f>
        <v>0</v>
      </c>
      <c r="N350" s="100">
        <f>0</f>
        <v>0</v>
      </c>
      <c r="O350" s="100">
        <f>0</f>
        <v>0</v>
      </c>
      <c r="P350" s="100"/>
      <c r="Q350" s="100"/>
      <c r="R350" s="100"/>
      <c r="S350" s="100"/>
      <c r="T350" s="100">
        <f t="shared" si="399"/>
        <v>0</v>
      </c>
      <c r="U350" s="100">
        <f t="shared" si="400"/>
        <v>0</v>
      </c>
      <c r="V350" s="97"/>
      <c r="W350" s="97"/>
      <c r="X350" s="80"/>
      <c r="Y350" s="100">
        <v>0</v>
      </c>
      <c r="Z350" s="100">
        <v>0</v>
      </c>
      <c r="AA350" s="79"/>
      <c r="AB350" s="100">
        <f t="shared" si="401"/>
        <v>0</v>
      </c>
      <c r="AC350" s="100">
        <f t="shared" si="402"/>
        <v>0</v>
      </c>
      <c r="AE350" s="120">
        <f t="shared" si="403"/>
        <v>0</v>
      </c>
      <c r="AF350" s="120">
        <f t="shared" si="404"/>
        <v>0</v>
      </c>
    </row>
    <row r="351" spans="1:33" ht="19.95" customHeight="1" outlineLevel="1">
      <c r="A351" s="117">
        <v>3661</v>
      </c>
      <c r="B351" s="118" t="str">
        <f t="shared" si="396"/>
        <v>UT-El Paso</v>
      </c>
      <c r="C351" s="100">
        <f t="shared" si="405"/>
        <v>0</v>
      </c>
      <c r="D351" s="100"/>
      <c r="E351" s="138"/>
      <c r="F351" s="100">
        <f t="shared" si="406"/>
        <v>0</v>
      </c>
      <c r="G351" s="100">
        <f t="shared" si="407"/>
        <v>0</v>
      </c>
      <c r="H351" s="100">
        <f t="shared" si="408"/>
        <v>0</v>
      </c>
      <c r="I351" s="100">
        <f t="shared" si="397"/>
        <v>0</v>
      </c>
      <c r="J351" s="96">
        <f t="shared" si="398"/>
        <v>0</v>
      </c>
      <c r="K351" s="114"/>
      <c r="L351" s="100">
        <f>0</f>
        <v>0</v>
      </c>
      <c r="M351" s="100">
        <f>0</f>
        <v>0</v>
      </c>
      <c r="N351" s="100">
        <f>0</f>
        <v>0</v>
      </c>
      <c r="O351" s="100">
        <f>0</f>
        <v>0</v>
      </c>
      <c r="P351" s="100"/>
      <c r="Q351" s="100"/>
      <c r="R351" s="100"/>
      <c r="S351" s="100"/>
      <c r="T351" s="100">
        <f t="shared" si="399"/>
        <v>0</v>
      </c>
      <c r="U351" s="100">
        <f t="shared" si="400"/>
        <v>0</v>
      </c>
      <c r="V351" s="97"/>
      <c r="W351" s="97"/>
      <c r="X351" s="80"/>
      <c r="Y351" s="100">
        <v>0</v>
      </c>
      <c r="Z351" s="100">
        <v>0</v>
      </c>
      <c r="AA351" s="79"/>
      <c r="AB351" s="100">
        <f t="shared" si="401"/>
        <v>0</v>
      </c>
      <c r="AC351" s="100">
        <f t="shared" si="402"/>
        <v>0</v>
      </c>
      <c r="AE351" s="120">
        <f t="shared" si="403"/>
        <v>0</v>
      </c>
      <c r="AF351" s="120">
        <f t="shared" si="404"/>
        <v>0</v>
      </c>
    </row>
    <row r="352" spans="1:33" ht="19.95" customHeight="1" outlineLevel="1">
      <c r="A352" s="117">
        <v>3599</v>
      </c>
      <c r="B352" s="118" t="str">
        <f t="shared" si="396"/>
        <v>UT-Rio Grande Valley</v>
      </c>
      <c r="C352" s="100">
        <f t="shared" si="405"/>
        <v>2028592.4891371829</v>
      </c>
      <c r="D352" s="100"/>
      <c r="E352" s="138">
        <v>2028592.4891371829</v>
      </c>
      <c r="F352" s="100">
        <f t="shared" si="406"/>
        <v>0</v>
      </c>
      <c r="G352" s="100">
        <v>2028592.4891371829</v>
      </c>
      <c r="H352" s="100">
        <f t="shared" si="408"/>
        <v>8330022.5200000005</v>
      </c>
      <c r="I352" s="100">
        <f t="shared" si="397"/>
        <v>6301430.0308628175</v>
      </c>
      <c r="J352" s="96">
        <f t="shared" si="398"/>
        <v>3.106306498030559</v>
      </c>
      <c r="K352" s="114"/>
      <c r="L352" s="100">
        <f>'CRU At-Risk'!C5/2</f>
        <v>4165011.2600000002</v>
      </c>
      <c r="M352" s="100">
        <f t="shared" ref="M352:M384" si="409">L352</f>
        <v>4165011.2600000002</v>
      </c>
      <c r="N352" s="100">
        <f t="shared" ref="N352:N384" si="410">L352-P352</f>
        <v>4165011.2600000002</v>
      </c>
      <c r="O352" s="100">
        <f t="shared" ref="O352:O384" si="411">M352-Q352</f>
        <v>4165011.2600000002</v>
      </c>
      <c r="P352" s="100"/>
      <c r="Q352" s="100"/>
      <c r="R352" s="100"/>
      <c r="S352" s="100"/>
      <c r="T352" s="100">
        <f t="shared" si="399"/>
        <v>4165011.2600000002</v>
      </c>
      <c r="U352" s="100">
        <f t="shared" si="400"/>
        <v>4165011.2600000002</v>
      </c>
      <c r="V352" s="97">
        <v>4036.6666666666665</v>
      </c>
      <c r="W352" s="97">
        <f>'CRU At-Risk'!F5</f>
        <v>4097</v>
      </c>
      <c r="X352" s="80">
        <f t="shared" ref="X352:X385" si="412">(W352-V352)/V352</f>
        <v>1.4946325350949667E-2</v>
      </c>
      <c r="Y352" s="100">
        <v>4165010</v>
      </c>
      <c r="Z352" s="100">
        <v>4165010</v>
      </c>
      <c r="AA352" s="79"/>
      <c r="AB352" s="100">
        <f t="shared" si="401"/>
        <v>1.2600000002421439</v>
      </c>
      <c r="AC352" s="100">
        <f t="shared" si="402"/>
        <v>1.2600000002421439</v>
      </c>
      <c r="AE352" s="120">
        <f t="shared" si="403"/>
        <v>3.0252019060379292E-7</v>
      </c>
      <c r="AF352" s="120">
        <f t="shared" si="404"/>
        <v>3.0252019060379292E-7</v>
      </c>
    </row>
    <row r="353" spans="1:32" ht="19.95" customHeight="1" outlineLevel="1">
      <c r="A353" s="117">
        <v>9930</v>
      </c>
      <c r="B353" s="118" t="str">
        <f t="shared" si="396"/>
        <v>UT-Permian Basin</v>
      </c>
      <c r="C353" s="100">
        <f t="shared" si="405"/>
        <v>501587.8558127163</v>
      </c>
      <c r="D353" s="100"/>
      <c r="E353" s="138">
        <v>501587.8558127163</v>
      </c>
      <c r="F353" s="100">
        <f t="shared" si="406"/>
        <v>0</v>
      </c>
      <c r="G353" s="100">
        <v>501587.8558127163</v>
      </c>
      <c r="H353" s="100">
        <f t="shared" si="408"/>
        <v>1570886.6533333336</v>
      </c>
      <c r="I353" s="100">
        <f t="shared" si="397"/>
        <v>1069298.7975206173</v>
      </c>
      <c r="J353" s="96">
        <f t="shared" si="398"/>
        <v>2.1318275255848178</v>
      </c>
      <c r="K353" s="114"/>
      <c r="L353" s="100">
        <f>'CRU At-Risk'!C6/2</f>
        <v>785443.32666666678</v>
      </c>
      <c r="M353" s="100">
        <f t="shared" si="409"/>
        <v>785443.32666666678</v>
      </c>
      <c r="N353" s="100">
        <f t="shared" si="410"/>
        <v>785443.32666666678</v>
      </c>
      <c r="O353" s="100">
        <f t="shared" si="411"/>
        <v>785443.32666666678</v>
      </c>
      <c r="P353" s="100"/>
      <c r="Q353" s="100"/>
      <c r="R353" s="100"/>
      <c r="S353" s="100"/>
      <c r="T353" s="100">
        <f t="shared" si="399"/>
        <v>785443.32666666678</v>
      </c>
      <c r="U353" s="100">
        <f t="shared" si="400"/>
        <v>785443.32666666678</v>
      </c>
      <c r="V353" s="97">
        <v>571</v>
      </c>
      <c r="W353" s="97">
        <f>'CRU At-Risk'!F6</f>
        <v>560.33333333333337</v>
      </c>
      <c r="X353" s="80">
        <f t="shared" si="412"/>
        <v>-1.8680677174547512E-2</v>
      </c>
      <c r="Y353" s="100">
        <v>785443</v>
      </c>
      <c r="Z353" s="100">
        <v>785443</v>
      </c>
      <c r="AA353" s="79"/>
      <c r="AB353" s="100">
        <f t="shared" si="401"/>
        <v>0.32666666677687317</v>
      </c>
      <c r="AC353" s="100">
        <f t="shared" si="402"/>
        <v>0.32666666677687317</v>
      </c>
      <c r="AE353" s="120">
        <f t="shared" si="403"/>
        <v>4.1590100225717084E-7</v>
      </c>
      <c r="AF353" s="120">
        <f t="shared" si="404"/>
        <v>4.1590100225717084E-7</v>
      </c>
    </row>
    <row r="354" spans="1:32" ht="19.95" customHeight="1" outlineLevel="1">
      <c r="A354" s="117">
        <v>10115</v>
      </c>
      <c r="B354" s="118" t="str">
        <f t="shared" si="396"/>
        <v>UT-San Antonio</v>
      </c>
      <c r="C354" s="100">
        <f t="shared" si="405"/>
        <v>0</v>
      </c>
      <c r="D354" s="100"/>
      <c r="E354" s="138"/>
      <c r="F354" s="100">
        <f t="shared" si="406"/>
        <v>0</v>
      </c>
      <c r="G354" s="100">
        <f t="shared" si="407"/>
        <v>0</v>
      </c>
      <c r="H354" s="100">
        <f t="shared" si="408"/>
        <v>0</v>
      </c>
      <c r="I354" s="100">
        <f t="shared" si="397"/>
        <v>0</v>
      </c>
      <c r="J354" s="96">
        <f t="shared" si="398"/>
        <v>0</v>
      </c>
      <c r="K354" s="114"/>
      <c r="L354" s="100">
        <f>0</f>
        <v>0</v>
      </c>
      <c r="M354" s="100">
        <f>0</f>
        <v>0</v>
      </c>
      <c r="N354" s="100">
        <f>0</f>
        <v>0</v>
      </c>
      <c r="O354" s="100">
        <f>0</f>
        <v>0</v>
      </c>
      <c r="P354" s="100"/>
      <c r="Q354" s="100"/>
      <c r="R354" s="100"/>
      <c r="S354" s="100"/>
      <c r="T354" s="100">
        <f t="shared" si="399"/>
        <v>0</v>
      </c>
      <c r="U354" s="100">
        <f t="shared" si="400"/>
        <v>0</v>
      </c>
      <c r="V354" s="97"/>
      <c r="W354" s="97" t="s">
        <v>396</v>
      </c>
      <c r="X354" s="80"/>
      <c r="Y354" s="100">
        <v>0</v>
      </c>
      <c r="Z354" s="100">
        <v>0</v>
      </c>
      <c r="AA354" s="79"/>
      <c r="AB354" s="100">
        <f t="shared" si="401"/>
        <v>0</v>
      </c>
      <c r="AC354" s="100">
        <f t="shared" si="402"/>
        <v>0</v>
      </c>
      <c r="AE354" s="120">
        <f t="shared" si="403"/>
        <v>0</v>
      </c>
      <c r="AF354" s="120">
        <f t="shared" si="404"/>
        <v>0</v>
      </c>
    </row>
    <row r="355" spans="1:32" ht="19.95" customHeight="1" outlineLevel="1">
      <c r="A355" s="117">
        <v>11163</v>
      </c>
      <c r="B355" s="118" t="str">
        <f t="shared" si="396"/>
        <v>UT-Tyler</v>
      </c>
      <c r="C355" s="100">
        <f t="shared" si="405"/>
        <v>766981.46670213738</v>
      </c>
      <c r="D355" s="100"/>
      <c r="E355" s="138">
        <v>766981.46670213738</v>
      </c>
      <c r="F355" s="100">
        <f t="shared" si="406"/>
        <v>0</v>
      </c>
      <c r="G355" s="100">
        <v>766981.46670213738</v>
      </c>
      <c r="H355" s="100">
        <f t="shared" si="408"/>
        <v>2733508.9866666668</v>
      </c>
      <c r="I355" s="100">
        <f t="shared" si="397"/>
        <v>1966527.5199645294</v>
      </c>
      <c r="J355" s="96">
        <f t="shared" si="398"/>
        <v>2.5639831017302068</v>
      </c>
      <c r="K355" s="114"/>
      <c r="L355" s="100">
        <f>'CRU At-Risk'!C7/2</f>
        <v>1366754.4933333334</v>
      </c>
      <c r="M355" s="100">
        <f t="shared" si="409"/>
        <v>1366754.4933333334</v>
      </c>
      <c r="N355" s="100">
        <f t="shared" si="410"/>
        <v>1366754.4933333334</v>
      </c>
      <c r="O355" s="100">
        <f t="shared" si="411"/>
        <v>1366754.4933333334</v>
      </c>
      <c r="P355" s="100"/>
      <c r="Q355" s="100"/>
      <c r="R355" s="100"/>
      <c r="S355" s="100"/>
      <c r="T355" s="100">
        <f t="shared" si="399"/>
        <v>1366754.4933333334</v>
      </c>
      <c r="U355" s="100">
        <f t="shared" si="400"/>
        <v>1366754.4933333334</v>
      </c>
      <c r="V355" s="97">
        <v>1173</v>
      </c>
      <c r="W355" s="97">
        <f>'CRU At-Risk'!F7</f>
        <v>1168.6666666666667</v>
      </c>
      <c r="X355" s="80">
        <f t="shared" si="412"/>
        <v>-3.6942313157146273E-3</v>
      </c>
      <c r="Y355" s="100">
        <v>1366754</v>
      </c>
      <c r="Z355" s="100">
        <v>1366754</v>
      </c>
      <c r="AA355" s="79"/>
      <c r="AB355" s="100">
        <f t="shared" si="401"/>
        <v>0.49333333340473473</v>
      </c>
      <c r="AC355" s="100">
        <f t="shared" si="402"/>
        <v>0.49333333340473473</v>
      </c>
      <c r="AE355" s="120">
        <f t="shared" si="403"/>
        <v>3.6095241377371291E-7</v>
      </c>
      <c r="AF355" s="120">
        <f t="shared" si="404"/>
        <v>3.6095241377371291E-7</v>
      </c>
    </row>
    <row r="356" spans="1:32" ht="19.95" customHeight="1" outlineLevel="1">
      <c r="A356" s="117">
        <v>3632</v>
      </c>
      <c r="B356" s="121" t="str">
        <f t="shared" si="396"/>
        <v>TAMU</v>
      </c>
      <c r="C356" s="100">
        <f t="shared" si="405"/>
        <v>0</v>
      </c>
      <c r="D356" s="100"/>
      <c r="E356" s="138"/>
      <c r="F356" s="100">
        <f t="shared" si="406"/>
        <v>0</v>
      </c>
      <c r="G356" s="100"/>
      <c r="H356" s="100">
        <f t="shared" si="408"/>
        <v>0</v>
      </c>
      <c r="I356" s="100">
        <f t="shared" si="397"/>
        <v>0</v>
      </c>
      <c r="J356" s="96">
        <f t="shared" si="398"/>
        <v>0</v>
      </c>
      <c r="K356" s="114"/>
      <c r="L356" s="100">
        <f>0</f>
        <v>0</v>
      </c>
      <c r="M356" s="100">
        <f>0</f>
        <v>0</v>
      </c>
      <c r="N356" s="100">
        <f>0</f>
        <v>0</v>
      </c>
      <c r="O356" s="100">
        <f>0</f>
        <v>0</v>
      </c>
      <c r="P356" s="100"/>
      <c r="Q356" s="100"/>
      <c r="R356" s="100"/>
      <c r="S356" s="100"/>
      <c r="T356" s="100">
        <f t="shared" si="399"/>
        <v>0</v>
      </c>
      <c r="U356" s="100">
        <f t="shared" si="400"/>
        <v>0</v>
      </c>
      <c r="V356" s="97"/>
      <c r="W356" s="97"/>
      <c r="X356" s="80"/>
      <c r="Y356" s="100">
        <v>0</v>
      </c>
      <c r="Z356" s="100">
        <v>0</v>
      </c>
      <c r="AA356" s="79"/>
      <c r="AB356" s="100">
        <f t="shared" si="401"/>
        <v>0</v>
      </c>
      <c r="AC356" s="100">
        <f t="shared" si="402"/>
        <v>0</v>
      </c>
      <c r="AE356" s="120">
        <f t="shared" si="403"/>
        <v>0</v>
      </c>
      <c r="AF356" s="120">
        <f t="shared" si="404"/>
        <v>0</v>
      </c>
    </row>
    <row r="357" spans="1:32" ht="19.95" customHeight="1" outlineLevel="1">
      <c r="A357" s="117">
        <v>10298</v>
      </c>
      <c r="B357" s="118" t="str">
        <f t="shared" si="396"/>
        <v>TAMU-Galveston</v>
      </c>
      <c r="C357" s="100">
        <f t="shared" si="405"/>
        <v>326078.52265673497</v>
      </c>
      <c r="D357" s="100"/>
      <c r="E357" s="138">
        <v>326078.52265673497</v>
      </c>
      <c r="F357" s="100">
        <f t="shared" si="406"/>
        <v>0</v>
      </c>
      <c r="G357" s="100">
        <v>326078.52265673497</v>
      </c>
      <c r="H357" s="100">
        <f t="shared" si="408"/>
        <v>799415.06666666665</v>
      </c>
      <c r="I357" s="100">
        <f t="shared" si="397"/>
        <v>473336.54400993168</v>
      </c>
      <c r="J357" s="96">
        <f t="shared" si="398"/>
        <v>1.4516029456751931</v>
      </c>
      <c r="K357" s="114"/>
      <c r="L357" s="100">
        <f>'CRU At-Risk'!C8/2</f>
        <v>399707.53333333333</v>
      </c>
      <c r="M357" s="100">
        <f t="shared" si="409"/>
        <v>399707.53333333333</v>
      </c>
      <c r="N357" s="100">
        <f t="shared" si="410"/>
        <v>399707.53333333333</v>
      </c>
      <c r="O357" s="100">
        <f t="shared" si="411"/>
        <v>399707.53333333333</v>
      </c>
      <c r="P357" s="100"/>
      <c r="Q357" s="100"/>
      <c r="R357" s="100"/>
      <c r="S357" s="100"/>
      <c r="T357" s="100">
        <f t="shared" si="399"/>
        <v>399707.53333333333</v>
      </c>
      <c r="U357" s="100">
        <f t="shared" si="400"/>
        <v>399707.53333333333</v>
      </c>
      <c r="V357" s="97">
        <v>172.66666666666666</v>
      </c>
      <c r="W357" s="97">
        <f>'CRU At-Risk'!F8</f>
        <v>156.66666666666666</v>
      </c>
      <c r="X357" s="80">
        <f t="shared" si="412"/>
        <v>-9.2664092664092673E-2</v>
      </c>
      <c r="Y357" s="100">
        <v>399708</v>
      </c>
      <c r="Z357" s="100">
        <v>399708</v>
      </c>
      <c r="AA357" s="79"/>
      <c r="AB357" s="100">
        <f t="shared" si="401"/>
        <v>-0.46666666667442769</v>
      </c>
      <c r="AC357" s="100">
        <f t="shared" si="402"/>
        <v>-0.46666666667442769</v>
      </c>
      <c r="AE357" s="120">
        <f t="shared" si="403"/>
        <v>-1.1675203186257044E-6</v>
      </c>
      <c r="AF357" s="120">
        <f t="shared" si="404"/>
        <v>-1.1675203186257044E-6</v>
      </c>
    </row>
    <row r="358" spans="1:32" ht="19.95" customHeight="1" outlineLevel="1">
      <c r="A358" s="117">
        <v>3630</v>
      </c>
      <c r="B358" s="118" t="str">
        <f t="shared" si="396"/>
        <v>Prairie View</v>
      </c>
      <c r="C358" s="100">
        <f t="shared" si="405"/>
        <v>744363.52753391885</v>
      </c>
      <c r="D358" s="100"/>
      <c r="E358" s="138">
        <v>744363.52753391885</v>
      </c>
      <c r="F358" s="100">
        <f t="shared" si="406"/>
        <v>0</v>
      </c>
      <c r="G358" s="100">
        <v>744363.52753391885</v>
      </c>
      <c r="H358" s="100">
        <f t="shared" si="408"/>
        <v>2775554.5066666668</v>
      </c>
      <c r="I358" s="100">
        <f t="shared" si="397"/>
        <v>2031190.979132748</v>
      </c>
      <c r="J358" s="96">
        <f t="shared" si="398"/>
        <v>2.728762095399941</v>
      </c>
      <c r="K358" s="114"/>
      <c r="L358" s="100">
        <f>'CRU At-Risk'!C9/2</f>
        <v>1387777.2533333334</v>
      </c>
      <c r="M358" s="100">
        <f t="shared" si="409"/>
        <v>1387777.2533333334</v>
      </c>
      <c r="N358" s="100">
        <f t="shared" si="410"/>
        <v>1387777.2533333334</v>
      </c>
      <c r="O358" s="100">
        <f t="shared" si="411"/>
        <v>1387777.2533333334</v>
      </c>
      <c r="P358" s="100"/>
      <c r="Q358" s="100"/>
      <c r="R358" s="100"/>
      <c r="S358" s="100"/>
      <c r="T358" s="100">
        <f t="shared" si="399"/>
        <v>1387777.2533333334</v>
      </c>
      <c r="U358" s="100">
        <f t="shared" si="400"/>
        <v>1387777.2533333334</v>
      </c>
      <c r="V358" s="97">
        <v>1122</v>
      </c>
      <c r="W358" s="97">
        <f>'CRU At-Risk'!F9</f>
        <v>1190.6666666666667</v>
      </c>
      <c r="X358" s="80">
        <f t="shared" si="412"/>
        <v>6.1200237670825976E-2</v>
      </c>
      <c r="Y358" s="100">
        <v>1387777</v>
      </c>
      <c r="Z358" s="100">
        <v>1387777</v>
      </c>
      <c r="AA358" s="79"/>
      <c r="AB358" s="100">
        <f t="shared" si="401"/>
        <v>0.25333333341404796</v>
      </c>
      <c r="AC358" s="100">
        <f t="shared" si="402"/>
        <v>0.25333333341404796</v>
      </c>
      <c r="AE358" s="120">
        <f t="shared" si="403"/>
        <v>1.8254610587222186E-7</v>
      </c>
      <c r="AF358" s="120">
        <f t="shared" si="404"/>
        <v>1.8254610587222186E-7</v>
      </c>
    </row>
    <row r="359" spans="1:32" ht="19.95" customHeight="1" outlineLevel="1">
      <c r="A359" s="117">
        <v>3631</v>
      </c>
      <c r="B359" s="118" t="str">
        <f t="shared" si="396"/>
        <v>Tarleton</v>
      </c>
      <c r="C359" s="100">
        <f t="shared" si="405"/>
        <v>1041334.1314179308</v>
      </c>
      <c r="D359" s="100"/>
      <c r="E359" s="138">
        <v>1041334.1314179308</v>
      </c>
      <c r="F359" s="100">
        <f t="shared" si="406"/>
        <v>0</v>
      </c>
      <c r="G359" s="100">
        <v>1041334.1314179308</v>
      </c>
      <c r="H359" s="100">
        <f t="shared" si="408"/>
        <v>4017171.4533333331</v>
      </c>
      <c r="I359" s="100">
        <f t="shared" si="397"/>
        <v>2975837.3219154021</v>
      </c>
      <c r="J359" s="96">
        <f t="shared" si="398"/>
        <v>2.8577161087223351</v>
      </c>
      <c r="K359" s="114"/>
      <c r="L359" s="100">
        <f>'CRU At-Risk'!C10/2</f>
        <v>2008585.7266666666</v>
      </c>
      <c r="M359" s="100">
        <f t="shared" si="409"/>
        <v>2008585.7266666666</v>
      </c>
      <c r="N359" s="100">
        <f t="shared" si="410"/>
        <v>2008585.7266666666</v>
      </c>
      <c r="O359" s="100">
        <f t="shared" si="411"/>
        <v>2008585.7266666666</v>
      </c>
      <c r="P359" s="100"/>
      <c r="Q359" s="100"/>
      <c r="R359" s="100"/>
      <c r="S359" s="100"/>
      <c r="T359" s="100">
        <f t="shared" si="399"/>
        <v>2008585.7266666666</v>
      </c>
      <c r="U359" s="100">
        <f t="shared" si="400"/>
        <v>2008585.7266666666</v>
      </c>
      <c r="V359" s="97">
        <v>1796</v>
      </c>
      <c r="W359" s="97">
        <f>'CRU At-Risk'!F10</f>
        <v>1840.3333333333333</v>
      </c>
      <c r="X359" s="80">
        <f t="shared" si="412"/>
        <v>2.4684484038604265E-2</v>
      </c>
      <c r="Y359" s="100">
        <v>2008585</v>
      </c>
      <c r="Z359" s="100">
        <v>2008585</v>
      </c>
      <c r="AA359" s="79"/>
      <c r="AB359" s="100">
        <f t="shared" si="401"/>
        <v>0.72666666656732559</v>
      </c>
      <c r="AC359" s="100">
        <f t="shared" si="402"/>
        <v>0.72666666656732559</v>
      </c>
      <c r="AE359" s="120">
        <f t="shared" si="403"/>
        <v>3.6178026007048245E-7</v>
      </c>
      <c r="AF359" s="120">
        <f t="shared" si="404"/>
        <v>3.6178026007048245E-7</v>
      </c>
    </row>
    <row r="360" spans="1:32" ht="19.95" customHeight="1" outlineLevel="1">
      <c r="A360" s="117">
        <v>42295</v>
      </c>
      <c r="B360" s="118" t="str">
        <f t="shared" si="396"/>
        <v>TAMU-Central</v>
      </c>
      <c r="C360" s="100">
        <f t="shared" si="405"/>
        <v>431824.73175489949</v>
      </c>
      <c r="D360" s="100"/>
      <c r="E360" s="138">
        <v>431824.73175489949</v>
      </c>
      <c r="F360" s="100">
        <f>G360-E360</f>
        <v>0</v>
      </c>
      <c r="G360" s="100">
        <v>431824.73175489949</v>
      </c>
      <c r="H360" s="100">
        <f t="shared" si="408"/>
        <v>1288034.9733333334</v>
      </c>
      <c r="I360" s="100">
        <f t="shared" si="397"/>
        <v>856210.2415784339</v>
      </c>
      <c r="J360" s="96">
        <f t="shared" si="398"/>
        <v>1.982772589469036</v>
      </c>
      <c r="K360" s="114"/>
      <c r="L360" s="100">
        <f>'CRU At-Risk'!C11/2</f>
        <v>644017.48666666669</v>
      </c>
      <c r="M360" s="100">
        <f t="shared" si="409"/>
        <v>644017.48666666669</v>
      </c>
      <c r="N360" s="100">
        <f t="shared" si="410"/>
        <v>644017.48666666669</v>
      </c>
      <c r="O360" s="100">
        <f t="shared" si="411"/>
        <v>644017.48666666669</v>
      </c>
      <c r="P360" s="100"/>
      <c r="Q360" s="100"/>
      <c r="R360" s="100"/>
      <c r="S360" s="100"/>
      <c r="T360" s="100">
        <f t="shared" si="399"/>
        <v>644017.48666666669</v>
      </c>
      <c r="U360" s="100">
        <f t="shared" si="400"/>
        <v>644017.48666666669</v>
      </c>
      <c r="V360" s="97">
        <v>412.66666666666669</v>
      </c>
      <c r="W360" s="97">
        <f>'CRU At-Risk'!F11</f>
        <v>412.33333333333331</v>
      </c>
      <c r="X360" s="80">
        <f t="shared" si="412"/>
        <v>-8.0775444264952635E-4</v>
      </c>
      <c r="Y360" s="100">
        <v>644017</v>
      </c>
      <c r="Z360" s="100">
        <v>644017</v>
      </c>
      <c r="AA360" s="79"/>
      <c r="AB360" s="100">
        <f t="shared" si="401"/>
        <v>0.48666666669305414</v>
      </c>
      <c r="AC360" s="100">
        <f t="shared" si="402"/>
        <v>0.48666666669305414</v>
      </c>
      <c r="AE360" s="120">
        <f t="shared" si="403"/>
        <v>7.5567306287281783E-7</v>
      </c>
      <c r="AF360" s="120">
        <f t="shared" si="404"/>
        <v>7.5567306287281783E-7</v>
      </c>
    </row>
    <row r="361" spans="1:32" ht="19.95" customHeight="1" outlineLevel="1">
      <c r="A361" s="117">
        <v>11161</v>
      </c>
      <c r="B361" s="118" t="str">
        <f t="shared" si="396"/>
        <v>TAMU-CC</v>
      </c>
      <c r="C361" s="100">
        <f t="shared" si="405"/>
        <v>841444.42227542819</v>
      </c>
      <c r="D361" s="100"/>
      <c r="E361" s="138">
        <v>841444.42227542819</v>
      </c>
      <c r="F361" s="100">
        <f>G361-E361</f>
        <v>0</v>
      </c>
      <c r="G361" s="100">
        <v>841444.42227542819</v>
      </c>
      <c r="H361" s="100">
        <f t="shared" si="408"/>
        <v>3034835.2133333334</v>
      </c>
      <c r="I361" s="100">
        <f t="shared" si="397"/>
        <v>2193390.7910579052</v>
      </c>
      <c r="J361" s="96">
        <f t="shared" si="398"/>
        <v>2.6066971661973266</v>
      </c>
      <c r="K361" s="114"/>
      <c r="L361" s="100">
        <f>'CRU At-Risk'!C12/2</f>
        <v>1517417.6066666667</v>
      </c>
      <c r="M361" s="100">
        <f t="shared" si="409"/>
        <v>1517417.6066666667</v>
      </c>
      <c r="N361" s="100">
        <f t="shared" si="410"/>
        <v>1517417.6066666667</v>
      </c>
      <c r="O361" s="100">
        <f t="shared" si="411"/>
        <v>1517417.6066666667</v>
      </c>
      <c r="P361" s="100"/>
      <c r="Q361" s="100"/>
      <c r="R361" s="100"/>
      <c r="S361" s="100"/>
      <c r="T361" s="100">
        <f t="shared" si="399"/>
        <v>1517417.6066666667</v>
      </c>
      <c r="U361" s="100">
        <f t="shared" si="400"/>
        <v>1517417.6066666667</v>
      </c>
      <c r="V361" s="97">
        <v>1342.3333333333333</v>
      </c>
      <c r="W361" s="97">
        <f>'CRU At-Risk'!F12</f>
        <v>1326.3333333333333</v>
      </c>
      <c r="X361" s="80">
        <f t="shared" si="412"/>
        <v>-1.1919543084181774E-2</v>
      </c>
      <c r="Y361" s="100">
        <v>1517417</v>
      </c>
      <c r="Z361" s="100">
        <v>1517417</v>
      </c>
      <c r="AA361" s="79"/>
      <c r="AB361" s="100">
        <f t="shared" si="401"/>
        <v>0.60666666668839753</v>
      </c>
      <c r="AC361" s="100">
        <f t="shared" si="402"/>
        <v>0.60666666668839753</v>
      </c>
      <c r="AE361" s="120">
        <f t="shared" si="403"/>
        <v>3.9980204791551814E-7</v>
      </c>
      <c r="AF361" s="120">
        <f t="shared" si="404"/>
        <v>3.9980204791551814E-7</v>
      </c>
    </row>
    <row r="362" spans="1:32" ht="19.95" customHeight="1" outlineLevel="1">
      <c r="A362" s="117">
        <v>3639</v>
      </c>
      <c r="B362" s="118" t="str">
        <f t="shared" si="396"/>
        <v>TAMU-Kingsville</v>
      </c>
      <c r="C362" s="100">
        <f t="shared" si="405"/>
        <v>636267.40267801739</v>
      </c>
      <c r="D362" s="100"/>
      <c r="E362" s="138">
        <v>636267.40267801739</v>
      </c>
      <c r="F362" s="100">
        <f>G362-E362</f>
        <v>0</v>
      </c>
      <c r="G362" s="100">
        <v>636267.40267801739</v>
      </c>
      <c r="H362" s="100">
        <f t="shared" si="408"/>
        <v>2120663.6800000002</v>
      </c>
      <c r="I362" s="100">
        <f t="shared" si="397"/>
        <v>1484396.2773219827</v>
      </c>
      <c r="J362" s="96">
        <f t="shared" si="398"/>
        <v>2.3329755242437908</v>
      </c>
      <c r="K362" s="114"/>
      <c r="L362" s="100">
        <f>'CRU At-Risk'!C13/2</f>
        <v>1060331.8400000001</v>
      </c>
      <c r="M362" s="100">
        <f t="shared" si="409"/>
        <v>1060331.8400000001</v>
      </c>
      <c r="N362" s="100">
        <f t="shared" si="410"/>
        <v>1060331.8400000001</v>
      </c>
      <c r="O362" s="100">
        <f t="shared" si="411"/>
        <v>1060331.8400000001</v>
      </c>
      <c r="P362" s="100"/>
      <c r="Q362" s="100"/>
      <c r="R362" s="100"/>
      <c r="S362" s="100"/>
      <c r="T362" s="100">
        <f t="shared" si="399"/>
        <v>1060331.8400000001</v>
      </c>
      <c r="U362" s="100">
        <f t="shared" si="400"/>
        <v>1060331.8400000001</v>
      </c>
      <c r="V362" s="97">
        <v>876.66666666666663</v>
      </c>
      <c r="W362" s="97">
        <f>'CRU At-Risk'!F13</f>
        <v>848</v>
      </c>
      <c r="X362" s="80">
        <f t="shared" si="412"/>
        <v>-3.2699619771863073E-2</v>
      </c>
      <c r="Y362" s="100">
        <v>1060332</v>
      </c>
      <c r="Z362" s="100">
        <v>1060332</v>
      </c>
      <c r="AA362" s="79"/>
      <c r="AB362" s="100">
        <f t="shared" si="401"/>
        <v>-0.15999999991618097</v>
      </c>
      <c r="AC362" s="100">
        <f t="shared" si="402"/>
        <v>-0.15999999991618097</v>
      </c>
      <c r="AE362" s="120">
        <f t="shared" si="403"/>
        <v>-1.5089615710887353E-7</v>
      </c>
      <c r="AF362" s="120">
        <f t="shared" si="404"/>
        <v>-1.5089615710887353E-7</v>
      </c>
    </row>
    <row r="363" spans="1:32" ht="19.95" customHeight="1" outlineLevel="1">
      <c r="A363" s="117">
        <v>42485</v>
      </c>
      <c r="B363" s="118" t="str">
        <f t="shared" si="396"/>
        <v>TAMU-San Antonio</v>
      </c>
      <c r="C363" s="100">
        <f t="shared" si="405"/>
        <v>703533.74124323868</v>
      </c>
      <c r="D363" s="100"/>
      <c r="E363" s="138">
        <v>703533.74124323868</v>
      </c>
      <c r="F363" s="100">
        <f>G363-E363</f>
        <v>0</v>
      </c>
      <c r="G363" s="100">
        <v>703533.74124323868</v>
      </c>
      <c r="H363" s="100">
        <f t="shared" si="408"/>
        <v>2429634.5466666669</v>
      </c>
      <c r="I363" s="100">
        <f t="shared" si="397"/>
        <v>1726100.8054234283</v>
      </c>
      <c r="J363" s="96">
        <f t="shared" si="398"/>
        <v>2.4534726683800212</v>
      </c>
      <c r="K363" s="114"/>
      <c r="L363" s="100">
        <f>'CRU At-Risk'!C14/2</f>
        <v>1214817.2733333334</v>
      </c>
      <c r="M363" s="100">
        <f t="shared" si="409"/>
        <v>1214817.2733333334</v>
      </c>
      <c r="N363" s="100">
        <f t="shared" si="410"/>
        <v>1214817.2733333334</v>
      </c>
      <c r="O363" s="100">
        <f t="shared" si="411"/>
        <v>1214817.2733333334</v>
      </c>
      <c r="P363" s="100"/>
      <c r="Q363" s="100"/>
      <c r="R363" s="100"/>
      <c r="S363" s="100"/>
      <c r="T363" s="100">
        <f t="shared" si="399"/>
        <v>1214817.2733333334</v>
      </c>
      <c r="U363" s="100">
        <f t="shared" si="400"/>
        <v>1214817.2733333334</v>
      </c>
      <c r="V363" s="97">
        <v>1029.3333333333333</v>
      </c>
      <c r="W363" s="97">
        <f>'CRU At-Risk'!F14</f>
        <v>1009.6666666666666</v>
      </c>
      <c r="X363" s="80">
        <f t="shared" si="412"/>
        <v>-1.9106217616580275E-2</v>
      </c>
      <c r="Y363" s="100">
        <v>1214817</v>
      </c>
      <c r="Z363" s="100">
        <v>1214817</v>
      </c>
      <c r="AA363" s="79"/>
      <c r="AB363" s="100">
        <f t="shared" si="401"/>
        <v>0.27333333343267441</v>
      </c>
      <c r="AC363" s="100">
        <f t="shared" si="402"/>
        <v>0.27333333343267441</v>
      </c>
      <c r="AE363" s="120">
        <f t="shared" si="403"/>
        <v>2.2499954473208627E-7</v>
      </c>
      <c r="AF363" s="120">
        <f t="shared" si="404"/>
        <v>2.2499954473208627E-7</v>
      </c>
    </row>
    <row r="364" spans="1:32" ht="19.95" customHeight="1" outlineLevel="1">
      <c r="A364" s="117">
        <v>9651</v>
      </c>
      <c r="B364" s="118" t="str">
        <f t="shared" si="396"/>
        <v>TAMI</v>
      </c>
      <c r="C364" s="100">
        <f t="shared" si="405"/>
        <v>732760.81848009257</v>
      </c>
      <c r="D364" s="100"/>
      <c r="E364" s="138">
        <v>732760.81848009257</v>
      </c>
      <c r="F364" s="100">
        <f t="shared" ref="F364:F384" si="413">G364-E364</f>
        <v>0</v>
      </c>
      <c r="G364" s="100">
        <v>732760.81848009257</v>
      </c>
      <c r="H364" s="100">
        <f t="shared" si="408"/>
        <v>2615654.12</v>
      </c>
      <c r="I364" s="100">
        <f t="shared" si="397"/>
        <v>1882893.3015199075</v>
      </c>
      <c r="J364" s="96">
        <f t="shared" si="398"/>
        <v>2.5695878573658497</v>
      </c>
      <c r="K364" s="114"/>
      <c r="L364" s="100">
        <f>'CRU At-Risk'!C15/2</f>
        <v>1307827.06</v>
      </c>
      <c r="M364" s="100">
        <f t="shared" si="409"/>
        <v>1307827.06</v>
      </c>
      <c r="N364" s="100">
        <f t="shared" si="410"/>
        <v>1307827.06</v>
      </c>
      <c r="O364" s="100">
        <f t="shared" si="411"/>
        <v>1307827.06</v>
      </c>
      <c r="P364" s="100"/>
      <c r="Q364" s="100"/>
      <c r="R364" s="100"/>
      <c r="S364" s="100"/>
      <c r="T364" s="100">
        <f t="shared" si="399"/>
        <v>1307827.06</v>
      </c>
      <c r="U364" s="100">
        <f t="shared" si="400"/>
        <v>1307827.06</v>
      </c>
      <c r="V364" s="97">
        <v>1095.6666666666667</v>
      </c>
      <c r="W364" s="97">
        <f>'CRU At-Risk'!F15</f>
        <v>1107</v>
      </c>
      <c r="X364" s="80">
        <f t="shared" si="412"/>
        <v>1.034377852144806E-2</v>
      </c>
      <c r="Y364" s="100">
        <v>1307827</v>
      </c>
      <c r="Z364" s="100">
        <v>1307827</v>
      </c>
      <c r="AA364" s="79"/>
      <c r="AB364" s="100">
        <f t="shared" si="401"/>
        <v>6.0000000055879354E-2</v>
      </c>
      <c r="AC364" s="100">
        <f t="shared" si="402"/>
        <v>6.0000000055879354E-2</v>
      </c>
      <c r="AE364" s="120">
        <f t="shared" si="403"/>
        <v>4.5877625483509533E-8</v>
      </c>
      <c r="AF364" s="120">
        <f t="shared" si="404"/>
        <v>4.5877625483509533E-8</v>
      </c>
    </row>
    <row r="365" spans="1:32" ht="19.95" customHeight="1" outlineLevel="1">
      <c r="A365" s="117">
        <v>3665</v>
      </c>
      <c r="B365" s="118" t="str">
        <f t="shared" si="396"/>
        <v>WTAMU</v>
      </c>
      <c r="C365" s="100">
        <f t="shared" si="405"/>
        <v>741719.87230646471</v>
      </c>
      <c r="D365" s="100"/>
      <c r="E365" s="138">
        <v>741719.87230646471</v>
      </c>
      <c r="F365" s="100">
        <f t="shared" si="413"/>
        <v>0</v>
      </c>
      <c r="G365" s="100">
        <v>741719.87230646471</v>
      </c>
      <c r="H365" s="100">
        <f t="shared" si="408"/>
        <v>2608646.5333333332</v>
      </c>
      <c r="I365" s="100">
        <f t="shared" si="397"/>
        <v>1866926.6610268685</v>
      </c>
      <c r="J365" s="96">
        <f t="shared" si="398"/>
        <v>2.5170239206635272</v>
      </c>
      <c r="K365" s="114"/>
      <c r="L365" s="100">
        <f>'CRU At-Risk'!C16/2</f>
        <v>1304323.2666666666</v>
      </c>
      <c r="M365" s="100">
        <f t="shared" si="409"/>
        <v>1304323.2666666666</v>
      </c>
      <c r="N365" s="100">
        <f t="shared" si="410"/>
        <v>1304323.2666666666</v>
      </c>
      <c r="O365" s="100">
        <f t="shared" si="411"/>
        <v>1304323.2666666666</v>
      </c>
      <c r="P365" s="100"/>
      <c r="Q365" s="100"/>
      <c r="R365" s="100"/>
      <c r="S365" s="100"/>
      <c r="T365" s="100">
        <f t="shared" si="399"/>
        <v>1304323.2666666666</v>
      </c>
      <c r="U365" s="100">
        <f t="shared" si="400"/>
        <v>1304323.2666666666</v>
      </c>
      <c r="V365" s="97">
        <v>1116</v>
      </c>
      <c r="W365" s="97">
        <f>'CRU At-Risk'!F16</f>
        <v>1103.3333333333333</v>
      </c>
      <c r="X365" s="80">
        <f t="shared" si="412"/>
        <v>-1.135005973715658E-2</v>
      </c>
      <c r="Y365" s="100">
        <v>1304323</v>
      </c>
      <c r="Z365" s="100">
        <v>1304323</v>
      </c>
      <c r="AA365" s="79"/>
      <c r="AB365" s="100">
        <f t="shared" si="401"/>
        <v>0.2666666666045785</v>
      </c>
      <c r="AC365" s="100">
        <f t="shared" si="402"/>
        <v>0.2666666666045785</v>
      </c>
      <c r="AE365" s="120">
        <f t="shared" si="403"/>
        <v>2.0444829393105346E-7</v>
      </c>
      <c r="AF365" s="120">
        <f t="shared" si="404"/>
        <v>2.0444829393105346E-7</v>
      </c>
    </row>
    <row r="366" spans="1:32" ht="19.95" customHeight="1" outlineLevel="1">
      <c r="A366" s="117">
        <v>3565</v>
      </c>
      <c r="B366" s="118" t="str">
        <f t="shared" si="396"/>
        <v>TAMU-Commerce</v>
      </c>
      <c r="C366" s="100">
        <f t="shared" si="405"/>
        <v>795914.80446927401</v>
      </c>
      <c r="D366" s="100"/>
      <c r="E366" s="138">
        <v>795914.80446927401</v>
      </c>
      <c r="F366" s="100">
        <f t="shared" si="413"/>
        <v>0</v>
      </c>
      <c r="G366" s="100">
        <v>795914.80446927401</v>
      </c>
      <c r="H366" s="100">
        <f t="shared" si="408"/>
        <v>2827792.88</v>
      </c>
      <c r="I366" s="100">
        <f t="shared" si="397"/>
        <v>2031878.075530726</v>
      </c>
      <c r="J366" s="96">
        <f t="shared" si="398"/>
        <v>2.5528838816933526</v>
      </c>
      <c r="K366" s="114"/>
      <c r="L366" s="100">
        <f>'CRU At-Risk'!C17/2</f>
        <v>1413896.44</v>
      </c>
      <c r="M366" s="100">
        <f t="shared" si="409"/>
        <v>1413896.44</v>
      </c>
      <c r="N366" s="100">
        <f t="shared" si="410"/>
        <v>1413896.44</v>
      </c>
      <c r="O366" s="100">
        <f t="shared" si="411"/>
        <v>1413896.44</v>
      </c>
      <c r="P366" s="100"/>
      <c r="Q366" s="100"/>
      <c r="R366" s="100"/>
      <c r="S366" s="100"/>
      <c r="T366" s="100">
        <f t="shared" si="399"/>
        <v>1413896.44</v>
      </c>
      <c r="U366" s="100">
        <f t="shared" si="400"/>
        <v>1413896.44</v>
      </c>
      <c r="V366" s="97">
        <v>1239</v>
      </c>
      <c r="W366" s="97">
        <f>'CRU At-Risk'!F17</f>
        <v>1218</v>
      </c>
      <c r="X366" s="80">
        <f t="shared" si="412"/>
        <v>-1.6949152542372881E-2</v>
      </c>
      <c r="Y366" s="100">
        <v>1413896</v>
      </c>
      <c r="Z366" s="100">
        <v>1413896</v>
      </c>
      <c r="AA366" s="79"/>
      <c r="AB366" s="100">
        <f t="shared" si="401"/>
        <v>0.43999999994412065</v>
      </c>
      <c r="AC366" s="100">
        <f t="shared" si="402"/>
        <v>0.43999999994412065</v>
      </c>
      <c r="AE366" s="120">
        <f t="shared" si="403"/>
        <v>3.111967662526406E-7</v>
      </c>
      <c r="AF366" s="120">
        <f t="shared" si="404"/>
        <v>3.111967662526406E-7</v>
      </c>
    </row>
    <row r="367" spans="1:32" ht="19.95" customHeight="1" outlineLevel="1">
      <c r="A367" s="117">
        <v>29269</v>
      </c>
      <c r="B367" s="118" t="str">
        <f t="shared" si="396"/>
        <v>TAMU-Texarkana</v>
      </c>
      <c r="C367" s="100">
        <f t="shared" si="405"/>
        <v>373076.83781147475</v>
      </c>
      <c r="D367" s="100"/>
      <c r="E367" s="138">
        <v>373076.83781147475</v>
      </c>
      <c r="F367" s="100">
        <f t="shared" si="413"/>
        <v>0</v>
      </c>
      <c r="G367" s="100">
        <v>373076.83781147475</v>
      </c>
      <c r="H367" s="100">
        <f t="shared" si="408"/>
        <v>1035124.8</v>
      </c>
      <c r="I367" s="100">
        <f t="shared" si="397"/>
        <v>662047.96218852536</v>
      </c>
      <c r="J367" s="96">
        <f t="shared" si="398"/>
        <v>1.7745619537042263</v>
      </c>
      <c r="K367" s="114"/>
      <c r="L367" s="100">
        <f>'CRU At-Risk'!C18/2</f>
        <v>517562.4</v>
      </c>
      <c r="M367" s="100">
        <f t="shared" si="409"/>
        <v>517562.4</v>
      </c>
      <c r="N367" s="100">
        <f t="shared" si="410"/>
        <v>517562.4</v>
      </c>
      <c r="O367" s="100">
        <f t="shared" si="411"/>
        <v>517562.4</v>
      </c>
      <c r="P367" s="100"/>
      <c r="Q367" s="100"/>
      <c r="R367" s="100"/>
      <c r="S367" s="100"/>
      <c r="T367" s="100">
        <f t="shared" si="399"/>
        <v>517562.4</v>
      </c>
      <c r="U367" s="100">
        <f t="shared" si="400"/>
        <v>517562.4</v>
      </c>
      <c r="V367" s="97">
        <v>279.33333333333331</v>
      </c>
      <c r="W367" s="97">
        <f>'CRU At-Risk'!F18</f>
        <v>280</v>
      </c>
      <c r="X367" s="80">
        <f t="shared" si="412"/>
        <v>2.3866348448688033E-3</v>
      </c>
      <c r="Y367" s="100">
        <v>517562</v>
      </c>
      <c r="Z367" s="100">
        <v>517562</v>
      </c>
      <c r="AA367" s="79"/>
      <c r="AB367" s="100">
        <f t="shared" si="401"/>
        <v>0.40000000002328306</v>
      </c>
      <c r="AC367" s="100">
        <f t="shared" si="402"/>
        <v>0.40000000002328306</v>
      </c>
      <c r="AE367" s="120">
        <f t="shared" si="403"/>
        <v>7.7285366947692308E-7</v>
      </c>
      <c r="AF367" s="120">
        <f t="shared" si="404"/>
        <v>7.7285366947692308E-7</v>
      </c>
    </row>
    <row r="368" spans="1:32" ht="19.95" customHeight="1" outlineLevel="1">
      <c r="A368" s="117">
        <v>3652</v>
      </c>
      <c r="B368" s="118" t="str">
        <f t="shared" si="396"/>
        <v>UH</v>
      </c>
      <c r="C368" s="100">
        <f t="shared" si="405"/>
        <v>0</v>
      </c>
      <c r="D368" s="100"/>
      <c r="E368" s="138"/>
      <c r="F368" s="100">
        <f t="shared" si="413"/>
        <v>0</v>
      </c>
      <c r="G368" s="100"/>
      <c r="H368" s="100">
        <f t="shared" si="408"/>
        <v>0</v>
      </c>
      <c r="I368" s="100">
        <f t="shared" si="397"/>
        <v>0</v>
      </c>
      <c r="J368" s="96">
        <f t="shared" si="398"/>
        <v>0</v>
      </c>
      <c r="K368" s="114"/>
      <c r="L368" s="100">
        <f>0</f>
        <v>0</v>
      </c>
      <c r="M368" s="100">
        <f>0</f>
        <v>0</v>
      </c>
      <c r="N368" s="100">
        <f>0</f>
        <v>0</v>
      </c>
      <c r="O368" s="100">
        <f>0</f>
        <v>0</v>
      </c>
      <c r="P368" s="100"/>
      <c r="Q368" s="100"/>
      <c r="R368" s="100"/>
      <c r="S368" s="100"/>
      <c r="T368" s="100">
        <f t="shared" si="399"/>
        <v>0</v>
      </c>
      <c r="U368" s="100">
        <f t="shared" si="400"/>
        <v>0</v>
      </c>
      <c r="V368" s="97"/>
      <c r="W368" s="97"/>
      <c r="X368" s="80"/>
      <c r="Y368" s="100">
        <v>0</v>
      </c>
      <c r="Z368" s="100">
        <v>0</v>
      </c>
      <c r="AA368" s="79"/>
      <c r="AB368" s="100">
        <f t="shared" si="401"/>
        <v>0</v>
      </c>
      <c r="AC368" s="100">
        <f t="shared" si="402"/>
        <v>0</v>
      </c>
      <c r="AE368" s="120">
        <f t="shared" si="403"/>
        <v>0</v>
      </c>
      <c r="AF368" s="120">
        <f t="shared" si="404"/>
        <v>0</v>
      </c>
    </row>
    <row r="369" spans="1:32" ht="19.95" customHeight="1" outlineLevel="1">
      <c r="A369" s="117">
        <v>11711</v>
      </c>
      <c r="B369" s="118" t="str">
        <f t="shared" si="396"/>
        <v>UH-Clear Lake</v>
      </c>
      <c r="C369" s="100">
        <f t="shared" si="405"/>
        <v>707058.61487984424</v>
      </c>
      <c r="D369" s="100"/>
      <c r="E369" s="138">
        <v>707058.61487984424</v>
      </c>
      <c r="F369" s="100">
        <f t="shared" si="413"/>
        <v>0</v>
      </c>
      <c r="G369" s="100">
        <v>707058.61487984424</v>
      </c>
      <c r="H369" s="100">
        <f t="shared" si="408"/>
        <v>2494613.9866666668</v>
      </c>
      <c r="I369" s="100">
        <f t="shared" si="397"/>
        <v>1787555.3717868226</v>
      </c>
      <c r="J369" s="96">
        <f t="shared" si="398"/>
        <v>2.5281572618849926</v>
      </c>
      <c r="K369" s="114"/>
      <c r="L369" s="100">
        <f>'CRU At-Risk'!C19/2</f>
        <v>1247306.9933333334</v>
      </c>
      <c r="M369" s="100">
        <f t="shared" si="409"/>
        <v>1247306.9933333334</v>
      </c>
      <c r="N369" s="100">
        <f t="shared" si="410"/>
        <v>1247306.9933333334</v>
      </c>
      <c r="O369" s="100">
        <f t="shared" si="411"/>
        <v>1247306.9933333334</v>
      </c>
      <c r="P369" s="100"/>
      <c r="Q369" s="100"/>
      <c r="R369" s="100"/>
      <c r="S369" s="100"/>
      <c r="T369" s="100">
        <f t="shared" si="399"/>
        <v>1247306.9933333334</v>
      </c>
      <c r="U369" s="100">
        <f t="shared" si="400"/>
        <v>1247306.9933333334</v>
      </c>
      <c r="V369" s="97">
        <v>1037.3333333333333</v>
      </c>
      <c r="W369" s="97">
        <f>'CRU At-Risk'!F19</f>
        <v>1043.6666666666667</v>
      </c>
      <c r="X369" s="80">
        <f t="shared" si="412"/>
        <v>6.1053984575836938E-3</v>
      </c>
      <c r="Y369" s="100">
        <v>1247307</v>
      </c>
      <c r="Z369" s="100">
        <v>1247307</v>
      </c>
      <c r="AA369" s="79"/>
      <c r="AB369" s="100">
        <f t="shared" si="401"/>
        <v>-6.6666665952652693E-3</v>
      </c>
      <c r="AC369" s="100">
        <f t="shared" si="402"/>
        <v>-6.6666665952652693E-3</v>
      </c>
      <c r="AE369" s="120">
        <f t="shared" si="403"/>
        <v>-5.3448482457787779E-9</v>
      </c>
      <c r="AF369" s="120">
        <f t="shared" si="404"/>
        <v>-5.3448482457787779E-9</v>
      </c>
    </row>
    <row r="370" spans="1:32" ht="19.95" customHeight="1" outlineLevel="1">
      <c r="A370" s="117">
        <v>12826</v>
      </c>
      <c r="B370" s="118" t="str">
        <f t="shared" si="396"/>
        <v>UH-Downtown</v>
      </c>
      <c r="C370" s="100">
        <f t="shared" si="405"/>
        <v>1198631.6174514503</v>
      </c>
      <c r="D370" s="100"/>
      <c r="E370" s="138">
        <v>1198631.6174514503</v>
      </c>
      <c r="F370" s="100">
        <f t="shared" si="413"/>
        <v>0</v>
      </c>
      <c r="G370" s="100">
        <v>1198631.6174514503</v>
      </c>
      <c r="H370" s="100">
        <f t="shared" si="408"/>
        <v>4671425.2266666666</v>
      </c>
      <c r="I370" s="100">
        <f t="shared" si="397"/>
        <v>3472793.6092152162</v>
      </c>
      <c r="J370" s="96">
        <f t="shared" si="398"/>
        <v>2.8972985182879838</v>
      </c>
      <c r="K370" s="114"/>
      <c r="L370" s="100">
        <f>'CRU At-Risk'!C20/2</f>
        <v>2335712.6133333333</v>
      </c>
      <c r="M370" s="100">
        <f t="shared" si="409"/>
        <v>2335712.6133333333</v>
      </c>
      <c r="N370" s="100">
        <f t="shared" si="410"/>
        <v>2335712.6133333333</v>
      </c>
      <c r="O370" s="100">
        <f t="shared" si="411"/>
        <v>2335712.6133333333</v>
      </c>
      <c r="P370" s="100"/>
      <c r="Q370" s="100"/>
      <c r="R370" s="100"/>
      <c r="S370" s="100"/>
      <c r="T370" s="100">
        <f t="shared" si="399"/>
        <v>2335712.6133333333</v>
      </c>
      <c r="U370" s="100">
        <f t="shared" si="400"/>
        <v>2335712.6133333333</v>
      </c>
      <c r="V370" s="97">
        <v>2153</v>
      </c>
      <c r="W370" s="97">
        <f>'CRU At-Risk'!F20</f>
        <v>2182.6666666666665</v>
      </c>
      <c r="X370" s="80">
        <f t="shared" si="412"/>
        <v>1.3779222789905487E-2</v>
      </c>
      <c r="Y370" s="100">
        <v>2335712</v>
      </c>
      <c r="Z370" s="100">
        <v>2335712</v>
      </c>
      <c r="AA370" s="79"/>
      <c r="AB370" s="100">
        <f t="shared" si="401"/>
        <v>0.6133333332836628</v>
      </c>
      <c r="AC370" s="100">
        <f t="shared" si="402"/>
        <v>0.6133333332836628</v>
      </c>
      <c r="AE370" s="120">
        <f t="shared" si="403"/>
        <v>2.6258938269308948E-7</v>
      </c>
      <c r="AF370" s="120">
        <f t="shared" si="404"/>
        <v>2.6258938269308948E-7</v>
      </c>
    </row>
    <row r="371" spans="1:32" ht="19.95" customHeight="1" outlineLevel="1">
      <c r="A371" s="117">
        <v>13231</v>
      </c>
      <c r="B371" s="118" t="str">
        <f t="shared" si="396"/>
        <v>UH-Victoria</v>
      </c>
      <c r="C371" s="100">
        <f t="shared" si="405"/>
        <v>484550.96656912315</v>
      </c>
      <c r="D371" s="100"/>
      <c r="E371" s="138">
        <v>484550.96656912315</v>
      </c>
      <c r="F371" s="100">
        <f t="shared" si="413"/>
        <v>0</v>
      </c>
      <c r="G371" s="100">
        <v>484550.96656912315</v>
      </c>
      <c r="H371" s="100">
        <f t="shared" si="408"/>
        <v>1590635.3066666666</v>
      </c>
      <c r="I371" s="100">
        <f t="shared" si="397"/>
        <v>1106084.3400975436</v>
      </c>
      <c r="J371" s="96">
        <f t="shared" si="398"/>
        <v>2.2826996877732082</v>
      </c>
      <c r="K371" s="114"/>
      <c r="L371" s="100">
        <f>'CRU At-Risk'!C21/2</f>
        <v>795317.65333333332</v>
      </c>
      <c r="M371" s="100">
        <f t="shared" si="409"/>
        <v>795317.65333333332</v>
      </c>
      <c r="N371" s="100">
        <f t="shared" si="410"/>
        <v>795317.65333333332</v>
      </c>
      <c r="O371" s="100">
        <f t="shared" si="411"/>
        <v>795317.65333333332</v>
      </c>
      <c r="P371" s="100"/>
      <c r="Q371" s="100"/>
      <c r="R371" s="100"/>
      <c r="S371" s="100"/>
      <c r="T371" s="100">
        <f t="shared" si="399"/>
        <v>795317.65333333332</v>
      </c>
      <c r="U371" s="100">
        <f t="shared" si="400"/>
        <v>795317.65333333332</v>
      </c>
      <c r="V371" s="97">
        <v>532.33333333333337</v>
      </c>
      <c r="W371" s="97">
        <f>'CRU At-Risk'!F21</f>
        <v>570.66666666666663</v>
      </c>
      <c r="X371" s="80">
        <f t="shared" si="412"/>
        <v>7.2010018785222146E-2</v>
      </c>
      <c r="Y371" s="100">
        <v>795318</v>
      </c>
      <c r="Z371" s="100">
        <v>795318</v>
      </c>
      <c r="AA371" s="79"/>
      <c r="AB371" s="100">
        <f t="shared" si="401"/>
        <v>-0.3466666666790843</v>
      </c>
      <c r="AC371" s="100">
        <f t="shared" si="402"/>
        <v>-0.3466666666790843</v>
      </c>
      <c r="AE371" s="120">
        <f t="shared" si="403"/>
        <v>-4.3588453648191495E-7</v>
      </c>
      <c r="AF371" s="120">
        <f t="shared" si="404"/>
        <v>-4.3588453648191495E-7</v>
      </c>
    </row>
    <row r="372" spans="1:32" ht="19.95" customHeight="1" outlineLevel="1">
      <c r="A372" s="117">
        <v>3592</v>
      </c>
      <c r="B372" s="118" t="str">
        <f t="shared" si="396"/>
        <v>Midwestern</v>
      </c>
      <c r="C372" s="100">
        <f t="shared" si="405"/>
        <v>566357.40888534207</v>
      </c>
      <c r="D372" s="100"/>
      <c r="E372" s="138">
        <v>566357.40888534207</v>
      </c>
      <c r="F372" s="100">
        <f t="shared" si="413"/>
        <v>0</v>
      </c>
      <c r="G372" s="100">
        <v>566357.40888534207</v>
      </c>
      <c r="H372" s="100">
        <f t="shared" si="408"/>
        <v>1832078.52</v>
      </c>
      <c r="I372" s="100">
        <f t="shared" si="397"/>
        <v>1265721.1111146579</v>
      </c>
      <c r="J372" s="96">
        <f t="shared" si="398"/>
        <v>2.2348451547685158</v>
      </c>
      <c r="K372" s="114"/>
      <c r="L372" s="100">
        <f>'CRU At-Risk'!C22/2</f>
        <v>916039.26</v>
      </c>
      <c r="M372" s="100">
        <f t="shared" si="409"/>
        <v>916039.26</v>
      </c>
      <c r="N372" s="100">
        <f t="shared" si="410"/>
        <v>916039.26</v>
      </c>
      <c r="O372" s="100">
        <f t="shared" si="411"/>
        <v>916039.26</v>
      </c>
      <c r="P372" s="100"/>
      <c r="Q372" s="100"/>
      <c r="R372" s="100"/>
      <c r="S372" s="100"/>
      <c r="T372" s="100">
        <f t="shared" si="399"/>
        <v>916039.26</v>
      </c>
      <c r="U372" s="100">
        <f t="shared" si="400"/>
        <v>916039.26</v>
      </c>
      <c r="V372" s="97">
        <v>718</v>
      </c>
      <c r="W372" s="97">
        <f>'CRU At-Risk'!F22</f>
        <v>697</v>
      </c>
      <c r="X372" s="80">
        <f t="shared" si="412"/>
        <v>-2.9247910863509748E-2</v>
      </c>
      <c r="Y372" s="100">
        <v>916039</v>
      </c>
      <c r="Z372" s="100">
        <v>916039</v>
      </c>
      <c r="AA372" s="79"/>
      <c r="AB372" s="100">
        <f t="shared" si="401"/>
        <v>0.26000000000931323</v>
      </c>
      <c r="AC372" s="100">
        <f t="shared" si="402"/>
        <v>0.26000000000931323</v>
      </c>
      <c r="AE372" s="120">
        <f t="shared" si="403"/>
        <v>2.8383062971483691E-7</v>
      </c>
      <c r="AF372" s="120">
        <f t="shared" si="404"/>
        <v>2.8383062971483691E-7</v>
      </c>
    </row>
    <row r="373" spans="1:32" ht="19.95" customHeight="1" outlineLevel="1">
      <c r="A373" s="117">
        <v>3594</v>
      </c>
      <c r="B373" s="118" t="str">
        <f t="shared" si="396"/>
        <v>UNT</v>
      </c>
      <c r="C373" s="100">
        <f t="shared" si="405"/>
        <v>0</v>
      </c>
      <c r="D373" s="100"/>
      <c r="E373" s="138"/>
      <c r="F373" s="100">
        <f t="shared" si="413"/>
        <v>0</v>
      </c>
      <c r="G373" s="100"/>
      <c r="H373" s="100">
        <f t="shared" si="408"/>
        <v>0</v>
      </c>
      <c r="I373" s="100">
        <f t="shared" si="397"/>
        <v>0</v>
      </c>
      <c r="J373" s="96">
        <f t="shared" si="398"/>
        <v>0</v>
      </c>
      <c r="K373" s="114"/>
      <c r="L373" s="100">
        <f>0</f>
        <v>0</v>
      </c>
      <c r="M373" s="100">
        <f>0</f>
        <v>0</v>
      </c>
      <c r="N373" s="100">
        <f>0</f>
        <v>0</v>
      </c>
      <c r="O373" s="100">
        <f>0</f>
        <v>0</v>
      </c>
      <c r="P373" s="100"/>
      <c r="Q373" s="100"/>
      <c r="R373" s="100"/>
      <c r="S373" s="100"/>
      <c r="T373" s="100">
        <f t="shared" si="399"/>
        <v>0</v>
      </c>
      <c r="U373" s="100">
        <f t="shared" si="400"/>
        <v>0</v>
      </c>
      <c r="V373" s="97"/>
      <c r="W373" s="97" t="s">
        <v>396</v>
      </c>
      <c r="X373" s="80"/>
      <c r="Y373" s="100">
        <v>0</v>
      </c>
      <c r="Z373" s="100">
        <v>0</v>
      </c>
      <c r="AA373" s="79"/>
      <c r="AB373" s="100">
        <f t="shared" si="401"/>
        <v>0</v>
      </c>
      <c r="AC373" s="100">
        <f t="shared" si="402"/>
        <v>0</v>
      </c>
      <c r="AE373" s="120">
        <f t="shared" si="403"/>
        <v>0</v>
      </c>
      <c r="AF373" s="120">
        <f t="shared" si="404"/>
        <v>0</v>
      </c>
    </row>
    <row r="374" spans="1:32" ht="19.95" customHeight="1" outlineLevel="1">
      <c r="A374" s="117">
        <v>42421</v>
      </c>
      <c r="B374" s="118" t="str">
        <f t="shared" si="396"/>
        <v>UNT-Dallas</v>
      </c>
      <c r="C374" s="100">
        <f t="shared" si="405"/>
        <v>495859.93615323235</v>
      </c>
      <c r="D374" s="100"/>
      <c r="E374" s="138">
        <v>495859.93615323235</v>
      </c>
      <c r="F374" s="100">
        <f t="shared" si="413"/>
        <v>0</v>
      </c>
      <c r="G374" s="100">
        <v>495859.93615323235</v>
      </c>
      <c r="H374" s="100">
        <f t="shared" si="408"/>
        <v>1703393.7466666666</v>
      </c>
      <c r="I374" s="100">
        <f t="shared" si="397"/>
        <v>1207533.8105134342</v>
      </c>
      <c r="J374" s="96">
        <f t="shared" si="398"/>
        <v>2.4352316500526432</v>
      </c>
      <c r="K374" s="114"/>
      <c r="L374" s="100">
        <f>'CRU At-Risk'!C23/2</f>
        <v>851696.87333333329</v>
      </c>
      <c r="M374" s="100">
        <f t="shared" si="409"/>
        <v>851696.87333333329</v>
      </c>
      <c r="N374" s="100">
        <f t="shared" si="410"/>
        <v>851696.87333333329</v>
      </c>
      <c r="O374" s="100">
        <f t="shared" si="411"/>
        <v>851696.87333333329</v>
      </c>
      <c r="P374" s="100"/>
      <c r="Q374" s="100"/>
      <c r="R374" s="100"/>
      <c r="S374" s="100"/>
      <c r="T374" s="100">
        <f t="shared" si="399"/>
        <v>851696.87333333329</v>
      </c>
      <c r="U374" s="100">
        <f t="shared" si="400"/>
        <v>851696.87333333329</v>
      </c>
      <c r="V374" s="97">
        <v>558</v>
      </c>
      <c r="W374" s="97">
        <f>'CRU At-Risk'!F23</f>
        <v>629.66666666666663</v>
      </c>
      <c r="X374" s="80">
        <f t="shared" si="412"/>
        <v>0.12843488649940257</v>
      </c>
      <c r="Y374" s="100">
        <v>851697</v>
      </c>
      <c r="Z374" s="100">
        <v>851697</v>
      </c>
      <c r="AA374" s="79"/>
      <c r="AB374" s="100">
        <f t="shared" si="401"/>
        <v>-0.12666666670702398</v>
      </c>
      <c r="AC374" s="100">
        <f t="shared" si="402"/>
        <v>-0.12666666670702398</v>
      </c>
      <c r="AE374" s="120">
        <f t="shared" si="403"/>
        <v>-1.4872270953782138E-7</v>
      </c>
      <c r="AF374" s="120">
        <f t="shared" si="404"/>
        <v>-1.4872270953782138E-7</v>
      </c>
    </row>
    <row r="375" spans="1:32" ht="19.95" customHeight="1" outlineLevel="1">
      <c r="A375" s="117">
        <v>3624</v>
      </c>
      <c r="B375" s="118" t="str">
        <f t="shared" si="396"/>
        <v>SFA</v>
      </c>
      <c r="C375" s="100">
        <f t="shared" si="405"/>
        <v>948659.32872217835</v>
      </c>
      <c r="D375" s="100"/>
      <c r="E375" s="138">
        <v>948659.32872217835</v>
      </c>
      <c r="F375" s="100">
        <f t="shared" si="413"/>
        <v>0</v>
      </c>
      <c r="G375" s="100">
        <v>948659.32872217835</v>
      </c>
      <c r="H375" s="100">
        <f t="shared" si="408"/>
        <v>3561041.2666666671</v>
      </c>
      <c r="I375" s="100">
        <f t="shared" si="397"/>
        <v>2612381.9379444886</v>
      </c>
      <c r="J375" s="96">
        <f t="shared" si="398"/>
        <v>2.7537619236436597</v>
      </c>
      <c r="K375" s="114"/>
      <c r="L375" s="100">
        <f>'CRU At-Risk'!C24/2</f>
        <v>1780520.6333333335</v>
      </c>
      <c r="M375" s="100">
        <f t="shared" si="409"/>
        <v>1780520.6333333335</v>
      </c>
      <c r="N375" s="100">
        <f t="shared" si="410"/>
        <v>1780520.6333333335</v>
      </c>
      <c r="O375" s="100">
        <f t="shared" si="411"/>
        <v>1780520.6333333335</v>
      </c>
      <c r="P375" s="100"/>
      <c r="Q375" s="100"/>
      <c r="R375" s="100"/>
      <c r="S375" s="100"/>
      <c r="T375" s="100">
        <f t="shared" si="399"/>
        <v>1780520.6333333335</v>
      </c>
      <c r="U375" s="100">
        <f t="shared" si="400"/>
        <v>1780520.6333333335</v>
      </c>
      <c r="V375" s="97">
        <v>1585.6666666666667</v>
      </c>
      <c r="W375" s="97">
        <f>'CRU At-Risk'!F24</f>
        <v>1601.6666666666667</v>
      </c>
      <c r="X375" s="80">
        <f t="shared" si="412"/>
        <v>1.0090393104898045E-2</v>
      </c>
      <c r="Y375" s="100">
        <v>1780520</v>
      </c>
      <c r="Z375" s="100">
        <v>1780520</v>
      </c>
      <c r="AA375" s="79"/>
      <c r="AB375" s="100">
        <f t="shared" si="401"/>
        <v>0.63333333353511989</v>
      </c>
      <c r="AC375" s="100">
        <f t="shared" si="402"/>
        <v>0.63333333353511989</v>
      </c>
      <c r="AE375" s="120">
        <f t="shared" si="403"/>
        <v>3.5570120428733768E-7</v>
      </c>
      <c r="AF375" s="120">
        <f t="shared" si="404"/>
        <v>3.5570120428733768E-7</v>
      </c>
    </row>
    <row r="376" spans="1:32" ht="19.95" customHeight="1" outlineLevel="1">
      <c r="A376" s="117">
        <v>3642</v>
      </c>
      <c r="B376" s="118" t="str">
        <f t="shared" si="396"/>
        <v>TSU</v>
      </c>
      <c r="C376" s="100">
        <f t="shared" si="405"/>
        <v>587947.25990955066</v>
      </c>
      <c r="D376" s="100"/>
      <c r="E376" s="138">
        <v>587947.25990955066</v>
      </c>
      <c r="F376" s="100">
        <f t="shared" si="413"/>
        <v>0</v>
      </c>
      <c r="G376" s="100">
        <v>587947.25990955066</v>
      </c>
      <c r="H376" s="100">
        <f t="shared" si="408"/>
        <v>1951844.5466666666</v>
      </c>
      <c r="I376" s="100">
        <f t="shared" si="397"/>
        <v>1363897.286757116</v>
      </c>
      <c r="J376" s="96">
        <f t="shared" si="398"/>
        <v>2.3197612775114163</v>
      </c>
      <c r="K376" s="114"/>
      <c r="L376" s="100">
        <f>'CRU At-Risk'!C25/2</f>
        <v>975922.27333333332</v>
      </c>
      <c r="M376" s="100">
        <f t="shared" si="409"/>
        <v>975922.27333333332</v>
      </c>
      <c r="N376" s="100">
        <f t="shared" si="410"/>
        <v>975922.27333333332</v>
      </c>
      <c r="O376" s="100">
        <f t="shared" si="411"/>
        <v>975922.27333333332</v>
      </c>
      <c r="P376" s="100"/>
      <c r="Q376" s="100"/>
      <c r="R376" s="100"/>
      <c r="S376" s="100"/>
      <c r="T376" s="100">
        <f t="shared" si="399"/>
        <v>975922.27333333332</v>
      </c>
      <c r="U376" s="100">
        <f t="shared" si="400"/>
        <v>975922.27333333332</v>
      </c>
      <c r="V376" s="97">
        <v>767</v>
      </c>
      <c r="W376" s="97">
        <f>'CRU At-Risk'!F25</f>
        <v>759.66666666666663</v>
      </c>
      <c r="X376" s="80">
        <f t="shared" si="412"/>
        <v>-9.5610604085180854E-3</v>
      </c>
      <c r="Y376" s="100">
        <v>975922</v>
      </c>
      <c r="Z376" s="100">
        <v>975922</v>
      </c>
      <c r="AA376" s="79"/>
      <c r="AB376" s="100">
        <f t="shared" si="401"/>
        <v>0.27333333331625909</v>
      </c>
      <c r="AC376" s="100">
        <f t="shared" si="402"/>
        <v>0.27333333331625909</v>
      </c>
      <c r="AE376" s="120">
        <f t="shared" si="403"/>
        <v>2.8007694955323571E-7</v>
      </c>
      <c r="AF376" s="120">
        <f t="shared" si="404"/>
        <v>2.8007694955323571E-7</v>
      </c>
    </row>
    <row r="377" spans="1:32" ht="19.95" customHeight="1" outlineLevel="1">
      <c r="A377" s="117">
        <v>3644</v>
      </c>
      <c r="B377" s="118" t="str">
        <f t="shared" si="396"/>
        <v>TTU</v>
      </c>
      <c r="C377" s="100">
        <f t="shared" si="405"/>
        <v>0</v>
      </c>
      <c r="D377" s="100"/>
      <c r="E377" s="138"/>
      <c r="F377" s="100">
        <f t="shared" si="413"/>
        <v>0</v>
      </c>
      <c r="G377" s="100"/>
      <c r="H377" s="100">
        <f t="shared" si="408"/>
        <v>0</v>
      </c>
      <c r="I377" s="100">
        <f t="shared" si="397"/>
        <v>0</v>
      </c>
      <c r="J377" s="96">
        <f t="shared" si="398"/>
        <v>0</v>
      </c>
      <c r="K377" s="114"/>
      <c r="L377" s="100">
        <f>0</f>
        <v>0</v>
      </c>
      <c r="M377" s="100">
        <f>0</f>
        <v>0</v>
      </c>
      <c r="N377" s="100">
        <f>0</f>
        <v>0</v>
      </c>
      <c r="O377" s="100">
        <f>0</f>
        <v>0</v>
      </c>
      <c r="P377" s="100"/>
      <c r="Q377" s="100"/>
      <c r="R377" s="100"/>
      <c r="S377" s="100"/>
      <c r="T377" s="100">
        <f t="shared" si="399"/>
        <v>0</v>
      </c>
      <c r="U377" s="100">
        <f t="shared" si="400"/>
        <v>0</v>
      </c>
      <c r="V377" s="97"/>
      <c r="W377" s="97" t="s">
        <v>396</v>
      </c>
      <c r="X377" s="80"/>
      <c r="Y377" s="100">
        <v>0</v>
      </c>
      <c r="Z377" s="100">
        <v>0</v>
      </c>
      <c r="AA377" s="79"/>
      <c r="AB377" s="100">
        <f t="shared" si="401"/>
        <v>0</v>
      </c>
      <c r="AC377" s="100">
        <f t="shared" si="402"/>
        <v>0</v>
      </c>
      <c r="AE377" s="120">
        <f t="shared" si="403"/>
        <v>0</v>
      </c>
      <c r="AF377" s="120">
        <f t="shared" si="404"/>
        <v>0</v>
      </c>
    </row>
    <row r="378" spans="1:32" ht="19.95" customHeight="1" outlineLevel="1">
      <c r="A378" s="117">
        <v>3541</v>
      </c>
      <c r="B378" s="118" t="str">
        <f t="shared" si="396"/>
        <v>Angelo</v>
      </c>
      <c r="C378" s="100">
        <f t="shared" si="405"/>
        <v>562685.66551387799</v>
      </c>
      <c r="D378" s="100"/>
      <c r="E378" s="138">
        <v>562685.66551387799</v>
      </c>
      <c r="F378" s="100">
        <f t="shared" si="413"/>
        <v>0</v>
      </c>
      <c r="G378" s="100">
        <v>562685.66551387799</v>
      </c>
      <c r="H378" s="100">
        <f t="shared" si="408"/>
        <v>1921265.9866666666</v>
      </c>
      <c r="I378" s="100">
        <f t="shared" si="397"/>
        <v>1358580.3211527886</v>
      </c>
      <c r="J378" s="96">
        <f t="shared" si="398"/>
        <v>2.414456959574494</v>
      </c>
      <c r="K378" s="114"/>
      <c r="L378" s="100">
        <f>'CRU At-Risk'!C26/2</f>
        <v>960632.99333333329</v>
      </c>
      <c r="M378" s="100">
        <f t="shared" si="409"/>
        <v>960632.99333333329</v>
      </c>
      <c r="N378" s="100">
        <f t="shared" si="410"/>
        <v>960632.99333333329</v>
      </c>
      <c r="O378" s="100">
        <f t="shared" si="411"/>
        <v>960632.99333333329</v>
      </c>
      <c r="P378" s="100"/>
      <c r="Q378" s="100"/>
      <c r="R378" s="100"/>
      <c r="S378" s="100"/>
      <c r="T378" s="100">
        <f t="shared" si="399"/>
        <v>960632.99333333329</v>
      </c>
      <c r="U378" s="100">
        <f t="shared" si="400"/>
        <v>960632.99333333329</v>
      </c>
      <c r="V378" s="97">
        <v>709.66666666666663</v>
      </c>
      <c r="W378" s="97">
        <f>'CRU At-Risk'!F26</f>
        <v>743.66666666666663</v>
      </c>
      <c r="X378" s="80">
        <f t="shared" si="412"/>
        <v>4.7909816815406299E-2</v>
      </c>
      <c r="Y378" s="100">
        <v>960633</v>
      </c>
      <c r="Z378" s="100">
        <v>960633</v>
      </c>
      <c r="AA378" s="79"/>
      <c r="AB378" s="100">
        <f t="shared" si="401"/>
        <v>-6.6666667116805911E-3</v>
      </c>
      <c r="AC378" s="100">
        <f t="shared" si="402"/>
        <v>-6.6666667116805911E-3</v>
      </c>
      <c r="AE378" s="120">
        <f t="shared" si="403"/>
        <v>-6.9398685636932958E-9</v>
      </c>
      <c r="AF378" s="120">
        <f t="shared" si="404"/>
        <v>-6.9398685636932958E-9</v>
      </c>
    </row>
    <row r="379" spans="1:32" ht="19.95" customHeight="1" outlineLevel="1">
      <c r="A379" s="117">
        <v>3646</v>
      </c>
      <c r="B379" s="118" t="str">
        <f t="shared" si="396"/>
        <v>TWU</v>
      </c>
      <c r="C379" s="100">
        <f t="shared" si="405"/>
        <v>887855.2584907338</v>
      </c>
      <c r="D379" s="100"/>
      <c r="E379" s="138">
        <v>887855.2584907338</v>
      </c>
      <c r="F379" s="100">
        <f t="shared" si="413"/>
        <v>0</v>
      </c>
      <c r="G379" s="100">
        <v>887855.2584907338</v>
      </c>
      <c r="H379" s="100">
        <f t="shared" si="408"/>
        <v>3335524.3866666667</v>
      </c>
      <c r="I379" s="100">
        <f t="shared" si="397"/>
        <v>2447669.1281759329</v>
      </c>
      <c r="J379" s="96">
        <f t="shared" si="398"/>
        <v>2.756833509480733</v>
      </c>
      <c r="K379" s="114"/>
      <c r="L379" s="100">
        <f>'CRU At-Risk'!C27/2</f>
        <v>1667762.1933333334</v>
      </c>
      <c r="M379" s="100">
        <f t="shared" si="409"/>
        <v>1667762.1933333334</v>
      </c>
      <c r="N379" s="100">
        <f t="shared" si="410"/>
        <v>1667762.1933333334</v>
      </c>
      <c r="O379" s="100">
        <f t="shared" si="411"/>
        <v>1667762.1933333334</v>
      </c>
      <c r="P379" s="100"/>
      <c r="Q379" s="100"/>
      <c r="R379" s="100"/>
      <c r="S379" s="100"/>
      <c r="T379" s="100">
        <f t="shared" si="399"/>
        <v>1667762.1933333334</v>
      </c>
      <c r="U379" s="100">
        <f t="shared" si="400"/>
        <v>1667762.1933333334</v>
      </c>
      <c r="V379" s="97">
        <v>1447.6666666666667</v>
      </c>
      <c r="W379" s="97">
        <f>'CRU At-Risk'!F27</f>
        <v>1483.6666666666667</v>
      </c>
      <c r="X379" s="80">
        <f t="shared" si="412"/>
        <v>2.4867603039373704E-2</v>
      </c>
      <c r="Y379" s="100">
        <v>1667762</v>
      </c>
      <c r="Z379" s="100">
        <v>1667762</v>
      </c>
      <c r="AA379" s="79"/>
      <c r="AB379" s="100">
        <f t="shared" si="401"/>
        <v>0.1933333333581686</v>
      </c>
      <c r="AC379" s="100">
        <f t="shared" si="402"/>
        <v>0.1933333333581686</v>
      </c>
      <c r="AE379" s="120">
        <f t="shared" si="403"/>
        <v>1.1592380144543025E-7</v>
      </c>
      <c r="AF379" s="120">
        <f t="shared" si="404"/>
        <v>1.1592380144543025E-7</v>
      </c>
    </row>
    <row r="380" spans="1:32" ht="19.95" customHeight="1" outlineLevel="1">
      <c r="A380" s="117">
        <v>3581</v>
      </c>
      <c r="B380" s="118" t="str">
        <f t="shared" si="396"/>
        <v>Lamar</v>
      </c>
      <c r="C380" s="100">
        <f t="shared" si="405"/>
        <v>749650.83798882714</v>
      </c>
      <c r="D380" s="100"/>
      <c r="E380" s="138">
        <v>749650.83798882714</v>
      </c>
      <c r="F380" s="100">
        <f t="shared" si="413"/>
        <v>0</v>
      </c>
      <c r="G380" s="100">
        <v>749650.83798882714</v>
      </c>
      <c r="H380" s="100">
        <f t="shared" si="408"/>
        <v>2666618.3866666667</v>
      </c>
      <c r="I380" s="100">
        <f t="shared" si="397"/>
        <v>1916967.5486778396</v>
      </c>
      <c r="J380" s="96">
        <f t="shared" si="398"/>
        <v>2.5571472097872987</v>
      </c>
      <c r="K380" s="114"/>
      <c r="L380" s="100">
        <f>'CRU At-Risk'!C28/2</f>
        <v>1333309.1933333334</v>
      </c>
      <c r="M380" s="100">
        <f t="shared" si="409"/>
        <v>1333309.1933333334</v>
      </c>
      <c r="N380" s="100">
        <f t="shared" si="410"/>
        <v>1333309.1933333334</v>
      </c>
      <c r="O380" s="100">
        <f t="shared" si="411"/>
        <v>1333309.1933333334</v>
      </c>
      <c r="P380" s="100"/>
      <c r="Q380" s="100"/>
      <c r="R380" s="100"/>
      <c r="S380" s="100"/>
      <c r="T380" s="100">
        <f t="shared" si="399"/>
        <v>1333309.1933333334</v>
      </c>
      <c r="U380" s="100">
        <f t="shared" si="400"/>
        <v>1333309.1933333334</v>
      </c>
      <c r="V380" s="97">
        <v>1134</v>
      </c>
      <c r="W380" s="97">
        <f>'CRU At-Risk'!F28</f>
        <v>1133.6666666666667</v>
      </c>
      <c r="X380" s="80">
        <f t="shared" si="412"/>
        <v>-2.9394473838911599E-4</v>
      </c>
      <c r="Y380" s="100">
        <v>1333309</v>
      </c>
      <c r="Z380" s="100">
        <v>1333309</v>
      </c>
      <c r="AA380" s="79"/>
      <c r="AB380" s="100">
        <f t="shared" si="401"/>
        <v>0.1933333333581686</v>
      </c>
      <c r="AC380" s="100">
        <f t="shared" si="402"/>
        <v>0.1933333333581686</v>
      </c>
      <c r="AE380" s="120">
        <f t="shared" si="403"/>
        <v>1.4500262529115734E-7</v>
      </c>
      <c r="AF380" s="120">
        <f t="shared" si="404"/>
        <v>1.4500262529115734E-7</v>
      </c>
    </row>
    <row r="381" spans="1:32" ht="19.95" customHeight="1" outlineLevel="1">
      <c r="A381" s="117">
        <v>3606</v>
      </c>
      <c r="B381" s="118" t="str">
        <f t="shared" si="396"/>
        <v>Sam Houston</v>
      </c>
      <c r="C381" s="100">
        <f t="shared" si="405"/>
        <v>1511317.2829653283</v>
      </c>
      <c r="D381" s="100"/>
      <c r="E381" s="138">
        <v>1511317.2829653283</v>
      </c>
      <c r="F381" s="100">
        <f t="shared" si="413"/>
        <v>0</v>
      </c>
      <c r="G381" s="100">
        <v>1511317.2829653283</v>
      </c>
      <c r="H381" s="100">
        <f t="shared" si="408"/>
        <v>6004140.7999999998</v>
      </c>
      <c r="I381" s="100">
        <f t="shared" si="397"/>
        <v>4492823.5170346713</v>
      </c>
      <c r="J381" s="96">
        <f t="shared" si="398"/>
        <v>2.9727864345065806</v>
      </c>
      <c r="K381" s="114"/>
      <c r="L381" s="100">
        <f>'CRU At-Risk'!C29/2</f>
        <v>3002070.4</v>
      </c>
      <c r="M381" s="100">
        <f t="shared" si="409"/>
        <v>3002070.4</v>
      </c>
      <c r="N381" s="100">
        <f t="shared" si="410"/>
        <v>3002070.4</v>
      </c>
      <c r="O381" s="100">
        <f t="shared" si="411"/>
        <v>3002070.4</v>
      </c>
      <c r="P381" s="100"/>
      <c r="Q381" s="100"/>
      <c r="R381" s="100"/>
      <c r="S381" s="100"/>
      <c r="T381" s="100">
        <f t="shared" si="399"/>
        <v>3002070.4</v>
      </c>
      <c r="U381" s="100">
        <f t="shared" si="400"/>
        <v>3002070.4</v>
      </c>
      <c r="V381" s="97">
        <v>2862.6666666666665</v>
      </c>
      <c r="W381" s="97">
        <f>'CRU At-Risk'!F29</f>
        <v>2880</v>
      </c>
      <c r="X381" s="80">
        <f t="shared" si="412"/>
        <v>6.0549604098742967E-3</v>
      </c>
      <c r="Y381" s="100">
        <v>3002070</v>
      </c>
      <c r="Z381" s="100">
        <v>3002070</v>
      </c>
      <c r="AA381" s="79"/>
      <c r="AB381" s="100">
        <f t="shared" si="401"/>
        <v>0.39999999990686774</v>
      </c>
      <c r="AC381" s="100">
        <f t="shared" si="402"/>
        <v>0.39999999990686774</v>
      </c>
      <c r="AE381" s="120">
        <f t="shared" si="403"/>
        <v>1.3324137898527221E-7</v>
      </c>
      <c r="AF381" s="120">
        <f t="shared" si="404"/>
        <v>1.3324137898527221E-7</v>
      </c>
    </row>
    <row r="382" spans="1:32" ht="19.95" customHeight="1" outlineLevel="1">
      <c r="A382" s="117">
        <v>3615</v>
      </c>
      <c r="B382" s="118" t="str">
        <f t="shared" si="396"/>
        <v>TXST</v>
      </c>
      <c r="C382" s="100">
        <f t="shared" si="405"/>
        <v>0</v>
      </c>
      <c r="D382" s="100"/>
      <c r="E382" s="138"/>
      <c r="F382" s="100">
        <f t="shared" si="413"/>
        <v>0</v>
      </c>
      <c r="G382" s="100"/>
      <c r="H382" s="100">
        <f t="shared" si="408"/>
        <v>0</v>
      </c>
      <c r="I382" s="100">
        <f t="shared" si="397"/>
        <v>0</v>
      </c>
      <c r="J382" s="96">
        <f t="shared" si="398"/>
        <v>0</v>
      </c>
      <c r="K382" s="114"/>
      <c r="L382" s="100">
        <f>0</f>
        <v>0</v>
      </c>
      <c r="M382" s="100">
        <f>0</f>
        <v>0</v>
      </c>
      <c r="N382" s="100">
        <f>0</f>
        <v>0</v>
      </c>
      <c r="O382" s="100">
        <f>0</f>
        <v>0</v>
      </c>
      <c r="P382" s="100"/>
      <c r="Q382" s="100"/>
      <c r="R382" s="100"/>
      <c r="S382" s="100"/>
      <c r="T382" s="100">
        <f t="shared" si="399"/>
        <v>0</v>
      </c>
      <c r="U382" s="100">
        <f t="shared" si="400"/>
        <v>0</v>
      </c>
      <c r="V382" s="97"/>
      <c r="W382" s="97" t="s">
        <v>396</v>
      </c>
      <c r="X382" s="80"/>
      <c r="Y382" s="100">
        <v>0</v>
      </c>
      <c r="Z382" s="100">
        <v>0</v>
      </c>
      <c r="AA382" s="79"/>
      <c r="AB382" s="100">
        <f t="shared" si="401"/>
        <v>0</v>
      </c>
      <c r="AC382" s="100">
        <f t="shared" si="402"/>
        <v>0</v>
      </c>
      <c r="AE382" s="120">
        <f t="shared" si="403"/>
        <v>0</v>
      </c>
      <c r="AF382" s="120">
        <f t="shared" si="404"/>
        <v>0</v>
      </c>
    </row>
    <row r="383" spans="1:32" ht="19.95" customHeight="1" outlineLevel="1">
      <c r="A383" s="117">
        <v>3625</v>
      </c>
      <c r="B383" s="118" t="str">
        <f t="shared" si="396"/>
        <v>Sul Ross</v>
      </c>
      <c r="C383" s="100">
        <f t="shared" si="405"/>
        <v>317413.20830007986</v>
      </c>
      <c r="D383" s="100"/>
      <c r="E383" s="138">
        <v>317413.20830007986</v>
      </c>
      <c r="F383" s="100">
        <f t="shared" si="413"/>
        <v>0</v>
      </c>
      <c r="G383" s="100">
        <v>317413.20830007986</v>
      </c>
      <c r="H383" s="100">
        <f t="shared" si="408"/>
        <v>797503.90666666673</v>
      </c>
      <c r="I383" s="100">
        <f t="shared" si="397"/>
        <v>480090.69836658688</v>
      </c>
      <c r="J383" s="96">
        <f t="shared" si="398"/>
        <v>1.512510147065818</v>
      </c>
      <c r="K383" s="114"/>
      <c r="L383" s="100">
        <f>'CRU At-Risk'!C30/2</f>
        <v>398751.95333333337</v>
      </c>
      <c r="M383" s="100">
        <f t="shared" si="409"/>
        <v>398751.95333333337</v>
      </c>
      <c r="N383" s="100">
        <f t="shared" si="410"/>
        <v>398751.95333333337</v>
      </c>
      <c r="O383" s="100">
        <f t="shared" si="411"/>
        <v>398751.95333333337</v>
      </c>
      <c r="P383" s="100"/>
      <c r="Q383" s="100"/>
      <c r="R383" s="100"/>
      <c r="S383" s="100"/>
      <c r="T383" s="100">
        <f t="shared" si="399"/>
        <v>398751.95333333337</v>
      </c>
      <c r="U383" s="100">
        <f t="shared" si="400"/>
        <v>398751.95333333337</v>
      </c>
      <c r="V383" s="97">
        <v>153</v>
      </c>
      <c r="W383" s="97">
        <f>'CRU At-Risk'!F30</f>
        <v>155.66666666666666</v>
      </c>
      <c r="X383" s="80">
        <f t="shared" si="412"/>
        <v>1.7429193899782074E-2</v>
      </c>
      <c r="Y383" s="100">
        <v>398752</v>
      </c>
      <c r="Z383" s="100">
        <v>398752</v>
      </c>
      <c r="AA383" s="79"/>
      <c r="AB383" s="100">
        <f t="shared" si="401"/>
        <v>-4.6666666632518172E-2</v>
      </c>
      <c r="AC383" s="100">
        <f t="shared" si="402"/>
        <v>-4.6666666632518172E-2</v>
      </c>
      <c r="AE383" s="120">
        <f t="shared" si="403"/>
        <v>-1.1703181951188478E-7</v>
      </c>
      <c r="AF383" s="120">
        <f t="shared" si="404"/>
        <v>-1.1703181951188478E-7</v>
      </c>
    </row>
    <row r="384" spans="1:32" ht="19.95" customHeight="1" outlineLevel="1" thickBot="1">
      <c r="A384" s="122">
        <v>20</v>
      </c>
      <c r="B384" s="123" t="str">
        <f t="shared" si="396"/>
        <v>Sul Ross-Rio Grande</v>
      </c>
      <c r="C384" s="124">
        <f t="shared" si="405"/>
        <v>316531.9898909285</v>
      </c>
      <c r="D384" s="124"/>
      <c r="E384" s="139">
        <v>316531.9898909285</v>
      </c>
      <c r="F384" s="124">
        <f t="shared" si="413"/>
        <v>0</v>
      </c>
      <c r="G384" s="124">
        <v>316531.9898909285</v>
      </c>
      <c r="H384" s="124">
        <f t="shared" si="408"/>
        <v>790496.32000000007</v>
      </c>
      <c r="I384" s="124">
        <f t="shared" si="397"/>
        <v>473964.33010907157</v>
      </c>
      <c r="J384" s="126">
        <f t="shared" si="398"/>
        <v>1.4973662860186472</v>
      </c>
      <c r="K384" s="114"/>
      <c r="L384" s="124">
        <f>'CRU At-Risk'!C31/2</f>
        <v>395248.16000000003</v>
      </c>
      <c r="M384" s="124">
        <f t="shared" si="409"/>
        <v>395248.16000000003</v>
      </c>
      <c r="N384" s="124">
        <f t="shared" si="410"/>
        <v>395248.16000000003</v>
      </c>
      <c r="O384" s="124">
        <f t="shared" si="411"/>
        <v>395248.16000000003</v>
      </c>
      <c r="P384" s="124"/>
      <c r="Q384" s="124"/>
      <c r="R384" s="124"/>
      <c r="S384" s="124"/>
      <c r="T384" s="124">
        <f t="shared" si="399"/>
        <v>395248.16000000003</v>
      </c>
      <c r="U384" s="124">
        <f t="shared" si="400"/>
        <v>395248.16000000003</v>
      </c>
      <c r="V384" s="97">
        <v>151</v>
      </c>
      <c r="W384" s="97">
        <f>'CRU At-Risk'!F31</f>
        <v>152</v>
      </c>
      <c r="X384" s="80">
        <f t="shared" si="412"/>
        <v>6.6225165562913907E-3</v>
      </c>
      <c r="Y384" s="124">
        <v>395248</v>
      </c>
      <c r="Z384" s="124">
        <v>395248</v>
      </c>
      <c r="AA384" s="79"/>
      <c r="AB384" s="124">
        <f t="shared" si="401"/>
        <v>0.16000000003259629</v>
      </c>
      <c r="AC384" s="124">
        <f t="shared" si="402"/>
        <v>0.16000000003259629</v>
      </c>
      <c r="AE384" s="127">
        <f t="shared" si="403"/>
        <v>4.0480896870613203E-7</v>
      </c>
      <c r="AF384" s="127">
        <f t="shared" si="404"/>
        <v>4.0480896870613203E-7</v>
      </c>
    </row>
    <row r="385" spans="1:33" ht="19.95" customHeight="1" outlineLevel="1">
      <c r="A385" s="105"/>
      <c r="B385" s="128" t="s">
        <v>1</v>
      </c>
      <c r="C385" s="129">
        <f t="shared" ref="C385:H385" si="414">SUM(C348:C384)</f>
        <v>20000000.000000015</v>
      </c>
      <c r="D385" s="129">
        <f t="shared" si="414"/>
        <v>0</v>
      </c>
      <c r="E385" s="129">
        <f t="shared" si="414"/>
        <v>20000000.000000015</v>
      </c>
      <c r="F385" s="129">
        <f t="shared" si="414"/>
        <v>0</v>
      </c>
      <c r="G385" s="129">
        <f t="shared" si="414"/>
        <v>20000000.000000015</v>
      </c>
      <c r="H385" s="129">
        <f t="shared" si="414"/>
        <v>71507528.319999993</v>
      </c>
      <c r="I385" s="129">
        <f t="shared" si="397"/>
        <v>51507528.319999978</v>
      </c>
      <c r="J385" s="130">
        <f t="shared" si="398"/>
        <v>2.575376415999997</v>
      </c>
      <c r="L385" s="129">
        <f t="shared" ref="L385:U385" si="415">SUM(L348:L384)</f>
        <v>35753764.159999996</v>
      </c>
      <c r="M385" s="129">
        <f t="shared" si="415"/>
        <v>35753764.159999996</v>
      </c>
      <c r="N385" s="129">
        <f t="shared" si="415"/>
        <v>35753764.159999996</v>
      </c>
      <c r="O385" s="129">
        <f t="shared" si="415"/>
        <v>35753764.159999996</v>
      </c>
      <c r="P385" s="129">
        <f t="shared" si="415"/>
        <v>0</v>
      </c>
      <c r="Q385" s="129">
        <f t="shared" si="415"/>
        <v>0</v>
      </c>
      <c r="R385" s="129">
        <f t="shared" si="415"/>
        <v>0</v>
      </c>
      <c r="S385" s="129">
        <f t="shared" si="415"/>
        <v>0</v>
      </c>
      <c r="T385" s="129">
        <f t="shared" si="415"/>
        <v>35753764.159999996</v>
      </c>
      <c r="U385" s="129">
        <f t="shared" si="415"/>
        <v>35753764.159999996</v>
      </c>
      <c r="V385" s="146">
        <f>SUM(V348:V384)</f>
        <v>30071.666666666668</v>
      </c>
      <c r="W385" s="146">
        <f>SUM(W348:W384)</f>
        <v>30352.000000000015</v>
      </c>
      <c r="X385" s="590">
        <f t="shared" si="412"/>
        <v>9.3221748046338187E-3</v>
      </c>
      <c r="Y385" s="276">
        <f>SUM(Y348:Y384)</f>
        <v>35753757</v>
      </c>
      <c r="Z385" s="276">
        <f>SUM(Z348:Z384)</f>
        <v>35753757</v>
      </c>
      <c r="AB385" s="131">
        <f t="shared" si="401"/>
        <v>7.1599999964237213</v>
      </c>
      <c r="AC385" s="131">
        <f t="shared" si="402"/>
        <v>7.1599999964237213</v>
      </c>
      <c r="AE385" s="130">
        <f t="shared" si="403"/>
        <v>2.0025863470996622E-7</v>
      </c>
      <c r="AF385" s="130">
        <f t="shared" si="404"/>
        <v>2.0025863470996622E-7</v>
      </c>
    </row>
    <row r="386" spans="1:33" ht="41.25" customHeight="1" outlineLevel="1">
      <c r="A386" s="105"/>
      <c r="B386" s="128"/>
      <c r="C386" s="129"/>
      <c r="D386" s="129"/>
      <c r="E386" s="129"/>
      <c r="F386" s="129"/>
      <c r="G386" s="129"/>
      <c r="H386" s="129"/>
      <c r="I386" s="129"/>
      <c r="J386" s="130"/>
      <c r="L386" s="129"/>
      <c r="M386" s="129"/>
      <c r="N386" s="129"/>
      <c r="O386" s="129"/>
      <c r="P386" s="129"/>
      <c r="Q386" s="129"/>
      <c r="R386" s="129"/>
      <c r="S386" s="129"/>
      <c r="T386" s="129"/>
      <c r="U386" s="129"/>
      <c r="V386" s="539" t="s">
        <v>413</v>
      </c>
      <c r="W386" s="539" t="s">
        <v>414</v>
      </c>
      <c r="X386" s="80"/>
      <c r="Y386" s="131"/>
      <c r="Z386" s="131"/>
      <c r="AB386" s="131"/>
      <c r="AC386" s="131"/>
      <c r="AE386" s="130"/>
      <c r="AF386" s="130"/>
    </row>
    <row r="387" spans="1:33" ht="18" customHeight="1" outlineLevel="1">
      <c r="A387" s="105"/>
      <c r="B387" s="128"/>
      <c r="C387" s="129"/>
      <c r="D387" s="129"/>
      <c r="E387" s="129"/>
      <c r="F387" s="129"/>
      <c r="G387" s="129"/>
      <c r="H387" s="129"/>
      <c r="I387" s="129"/>
      <c r="J387" s="130"/>
      <c r="L387" s="129"/>
      <c r="M387" s="129"/>
      <c r="N387" s="129"/>
      <c r="O387" s="129"/>
      <c r="P387" s="129"/>
      <c r="Q387" s="129"/>
      <c r="R387" s="129"/>
      <c r="S387" s="129"/>
      <c r="T387" s="129"/>
      <c r="U387" s="129"/>
      <c r="V387" s="537">
        <v>0.10147200350875379</v>
      </c>
      <c r="W387" s="538">
        <f>TRUF!C9</f>
        <v>9.8933665399999995E-2</v>
      </c>
      <c r="X387" s="80"/>
      <c r="Y387" s="131"/>
      <c r="Z387" s="131"/>
      <c r="AB387" s="131"/>
      <c r="AC387" s="131"/>
      <c r="AE387" s="130"/>
      <c r="AF387" s="130"/>
    </row>
    <row r="388" spans="1:33" s="91" customFormat="1" ht="39.75" customHeight="1" thickBot="1">
      <c r="A388" s="669" t="s">
        <v>403</v>
      </c>
      <c r="B388" s="670"/>
      <c r="C388" s="670"/>
      <c r="D388" s="670"/>
      <c r="E388" s="670"/>
      <c r="F388" s="670"/>
      <c r="G388" s="670"/>
      <c r="H388" s="670"/>
      <c r="I388" s="670"/>
      <c r="J388" s="670"/>
      <c r="L388" s="673" t="str">
        <f>A388</f>
        <v>Texas Research University Funds (TRUF)</v>
      </c>
      <c r="M388" s="673"/>
      <c r="N388" s="673"/>
      <c r="O388" s="673"/>
      <c r="P388" s="673"/>
      <c r="Q388" s="673"/>
      <c r="R388" s="673"/>
      <c r="S388" s="673"/>
      <c r="T388" s="673" t="str">
        <f>A388</f>
        <v>Texas Research University Funds (TRUF)</v>
      </c>
      <c r="U388" s="673"/>
      <c r="V388" s="87" t="s">
        <v>419</v>
      </c>
      <c r="W388" s="87" t="s">
        <v>419</v>
      </c>
      <c r="X388" s="87" t="s">
        <v>259</v>
      </c>
      <c r="AE388" s="94"/>
      <c r="AF388" s="94"/>
    </row>
    <row r="389" spans="1:33" ht="19.95" customHeight="1" outlineLevel="1">
      <c r="A389" s="117">
        <v>3658</v>
      </c>
      <c r="B389" s="118" t="str">
        <f>B26</f>
        <v>UT-Austin</v>
      </c>
      <c r="C389" s="100">
        <f>E389</f>
        <v>66430842</v>
      </c>
      <c r="D389" s="100"/>
      <c r="E389" s="100">
        <v>66430842</v>
      </c>
      <c r="F389" s="100">
        <f>G389-E389</f>
        <v>0</v>
      </c>
      <c r="G389" s="100">
        <v>66430842</v>
      </c>
      <c r="H389" s="100">
        <f>L389+M389</f>
        <v>71622970.278406054</v>
      </c>
      <c r="I389" s="100">
        <f>H389-G389</f>
        <v>5192128.2784060538</v>
      </c>
      <c r="J389" s="96">
        <f>IF(OR(I389=0,G389=0),0,I389/G389)</f>
        <v>7.8158399353210881E-2</v>
      </c>
      <c r="K389" s="114"/>
      <c r="L389" s="100">
        <f>TRUF!C6/2</f>
        <v>35811485.139203027</v>
      </c>
      <c r="M389" s="100">
        <f>L389</f>
        <v>35811485.139203027</v>
      </c>
      <c r="N389" s="100">
        <f>L389-P389</f>
        <v>35811485.139203027</v>
      </c>
      <c r="O389" s="100">
        <f>M389-Q389</f>
        <v>35811485.139203027</v>
      </c>
      <c r="P389" s="100"/>
      <c r="Q389" s="100"/>
      <c r="R389" s="100"/>
      <c r="S389" s="100"/>
      <c r="T389" s="100">
        <f>L389+R389</f>
        <v>35811485.139203027</v>
      </c>
      <c r="U389" s="100">
        <f>M389+S389</f>
        <v>35811485.139203027</v>
      </c>
      <c r="V389" s="546">
        <v>654671627.33333337</v>
      </c>
      <c r="W389" s="545">
        <f>TRUF!D6</f>
        <v>723949426</v>
      </c>
      <c r="X389" s="80">
        <f>(W389-V389)/V389</f>
        <v>0.10582068288014117</v>
      </c>
      <c r="Y389" s="196">
        <v>35811485</v>
      </c>
      <c r="Z389" s="196">
        <v>35811485</v>
      </c>
      <c r="AA389" s="79"/>
      <c r="AB389" s="100">
        <f t="shared" ref="AB389:AC391" si="416">T389-Y389</f>
        <v>0.1392030268907547</v>
      </c>
      <c r="AC389" s="100">
        <f t="shared" si="416"/>
        <v>0.1392030268907547</v>
      </c>
      <c r="AE389" s="120">
        <f t="shared" ref="AE389:AF391" si="417">IFERROR(AB389/T389,0)</f>
        <v>3.8871056687444777E-9</v>
      </c>
      <c r="AF389" s="120">
        <f t="shared" si="417"/>
        <v>3.8871056687444777E-9</v>
      </c>
    </row>
    <row r="390" spans="1:33" ht="19.95" customHeight="1" outlineLevel="1">
      <c r="A390" s="117">
        <v>3632</v>
      </c>
      <c r="B390" s="121" t="str">
        <f>B33</f>
        <v>TAMU</v>
      </c>
      <c r="C390" s="100">
        <f>E390</f>
        <v>80644950</v>
      </c>
      <c r="D390" s="100"/>
      <c r="E390" s="100">
        <v>80644950</v>
      </c>
      <c r="F390" s="100">
        <f>G390-E390</f>
        <v>0</v>
      </c>
      <c r="G390" s="100">
        <v>80644950</v>
      </c>
      <c r="H390" s="100">
        <f>L390+M390</f>
        <v>85312532.025837049</v>
      </c>
      <c r="I390" s="100">
        <f>H390-G390</f>
        <v>4667582.0258370489</v>
      </c>
      <c r="J390" s="96">
        <f>IF(OR(I390=0,G390=0),0,I390/G390)</f>
        <v>5.7878168761181563E-2</v>
      </c>
      <c r="K390" s="114"/>
      <c r="L390" s="100">
        <f>TRUF!C7/2</f>
        <v>42656266.012918524</v>
      </c>
      <c r="M390" s="100">
        <f>L390</f>
        <v>42656266.012918524</v>
      </c>
      <c r="N390" s="100">
        <f>L390-P390</f>
        <v>42656266.012918524</v>
      </c>
      <c r="O390" s="100">
        <f>M390-Q390</f>
        <v>42656266.012918524</v>
      </c>
      <c r="P390" s="100"/>
      <c r="Q390" s="100"/>
      <c r="R390" s="100"/>
      <c r="S390" s="100"/>
      <c r="T390" s="100">
        <f>L390+R390</f>
        <v>42656266.012918524</v>
      </c>
      <c r="U390" s="100">
        <f>M390+S390</f>
        <v>42656266.012918524</v>
      </c>
      <c r="V390" s="546">
        <v>794750744.49666655</v>
      </c>
      <c r="W390" s="545">
        <f>TRUF!D7</f>
        <v>862320542.5666666</v>
      </c>
      <c r="X390" s="80">
        <f>(W390-V390)/V390</f>
        <v>8.5020112957293947E-2</v>
      </c>
      <c r="Y390" s="100">
        <v>42656266</v>
      </c>
      <c r="Z390" s="100">
        <v>42656266</v>
      </c>
      <c r="AA390" s="79"/>
      <c r="AB390" s="100">
        <f t="shared" si="416"/>
        <v>1.2918524444103241E-2</v>
      </c>
      <c r="AC390" s="100">
        <f t="shared" si="416"/>
        <v>1.2918524444103241E-2</v>
      </c>
      <c r="AE390" s="120">
        <f t="shared" si="417"/>
        <v>3.0285174141100028E-10</v>
      </c>
      <c r="AF390" s="120">
        <f t="shared" si="417"/>
        <v>3.0285174141100028E-10</v>
      </c>
    </row>
    <row r="391" spans="1:33" ht="19.95" customHeight="1" outlineLevel="1">
      <c r="A391" s="105"/>
      <c r="B391" s="128" t="s">
        <v>1</v>
      </c>
      <c r="C391" s="129">
        <f t="shared" ref="C391:H391" si="418">SUM(C389:C390)</f>
        <v>147075792</v>
      </c>
      <c r="D391" s="129">
        <f t="shared" si="418"/>
        <v>0</v>
      </c>
      <c r="E391" s="129">
        <f t="shared" si="418"/>
        <v>147075792</v>
      </c>
      <c r="F391" s="129">
        <f t="shared" si="418"/>
        <v>0</v>
      </c>
      <c r="G391" s="129">
        <f t="shared" si="418"/>
        <v>147075792</v>
      </c>
      <c r="H391" s="129">
        <f t="shared" si="418"/>
        <v>156935502.30424309</v>
      </c>
      <c r="I391" s="129">
        <f>H391-G391</f>
        <v>9859710.3042430878</v>
      </c>
      <c r="J391" s="130">
        <f>IF(OR(I391=0,G391=0),0,I391/G391)</f>
        <v>6.7038294814982788E-2</v>
      </c>
      <c r="L391" s="129">
        <f t="shared" ref="L391:U391" si="419">SUM(L389:L390)</f>
        <v>78467751.152121544</v>
      </c>
      <c r="M391" s="129">
        <f t="shared" si="419"/>
        <v>78467751.152121544</v>
      </c>
      <c r="N391" s="129">
        <f t="shared" si="419"/>
        <v>78467751.152121544</v>
      </c>
      <c r="O391" s="129">
        <f t="shared" si="419"/>
        <v>78467751.152121544</v>
      </c>
      <c r="P391" s="129">
        <f t="shared" si="419"/>
        <v>0</v>
      </c>
      <c r="Q391" s="129">
        <f t="shared" si="419"/>
        <v>0</v>
      </c>
      <c r="R391" s="129">
        <f t="shared" si="419"/>
        <v>0</v>
      </c>
      <c r="S391" s="129">
        <f t="shared" si="419"/>
        <v>0</v>
      </c>
      <c r="T391" s="129">
        <f t="shared" si="419"/>
        <v>78467751.152121544</v>
      </c>
      <c r="U391" s="129">
        <f t="shared" si="419"/>
        <v>78467751.152121544</v>
      </c>
      <c r="V391" s="365">
        <f>SUM(V389:V390)</f>
        <v>1449422371.8299999</v>
      </c>
      <c r="W391" s="365">
        <f>SUM(W389:W390)</f>
        <v>1586269968.5666666</v>
      </c>
      <c r="X391" s="590">
        <f>(W391-V391)/V391</f>
        <v>9.4415264588393749E-2</v>
      </c>
      <c r="Y391" s="276">
        <f>SUM(Y389:Y390)</f>
        <v>78467751</v>
      </c>
      <c r="Z391" s="276">
        <f>SUM(Z389:Z390)</f>
        <v>78467751</v>
      </c>
      <c r="AB391" s="131">
        <f t="shared" si="416"/>
        <v>0.15212154388427734</v>
      </c>
      <c r="AC391" s="131">
        <f t="shared" si="416"/>
        <v>0.15212154388427734</v>
      </c>
      <c r="AE391" s="130">
        <f t="shared" si="417"/>
        <v>1.9386504857182262E-9</v>
      </c>
      <c r="AF391" s="130">
        <f t="shared" si="417"/>
        <v>1.9386504857182262E-9</v>
      </c>
    </row>
    <row r="392" spans="1:33" ht="43.5" customHeight="1" outlineLevel="1">
      <c r="A392" s="105"/>
      <c r="B392" s="128"/>
      <c r="C392" s="129"/>
      <c r="D392" s="129"/>
      <c r="E392" s="129"/>
      <c r="F392" s="129"/>
      <c r="G392" s="129"/>
      <c r="H392" s="129"/>
      <c r="I392" s="129"/>
      <c r="J392" s="130"/>
      <c r="L392" s="129"/>
      <c r="M392" s="129"/>
      <c r="N392" s="129"/>
      <c r="O392" s="129"/>
      <c r="P392" s="129"/>
      <c r="Q392" s="129"/>
      <c r="R392" s="129"/>
      <c r="S392" s="129"/>
      <c r="T392" s="129"/>
      <c r="U392" s="129"/>
      <c r="V392" s="539" t="s">
        <v>413</v>
      </c>
      <c r="W392" s="539" t="s">
        <v>414</v>
      </c>
      <c r="X392" s="80"/>
      <c r="Y392" s="131"/>
      <c r="Z392" s="131"/>
      <c r="AB392" s="131"/>
      <c r="AC392" s="131"/>
      <c r="AE392" s="130"/>
      <c r="AF392" s="130"/>
    </row>
    <row r="393" spans="1:33" ht="19.5" customHeight="1" thickBot="1">
      <c r="A393" s="105"/>
      <c r="V393" s="537">
        <v>0.10439110229095881</v>
      </c>
      <c r="W393" s="538"/>
      <c r="Y393" s="104"/>
    </row>
    <row r="394" spans="1:33" s="91" customFormat="1" ht="60.75" customHeight="1" thickBot="1">
      <c r="A394" s="653" t="s">
        <v>513</v>
      </c>
      <c r="B394" s="654"/>
      <c r="C394" s="654"/>
      <c r="D394" s="654"/>
      <c r="E394" s="654"/>
      <c r="F394" s="654"/>
      <c r="G394" s="655"/>
      <c r="H394" s="650" t="s">
        <v>512</v>
      </c>
      <c r="I394" s="651"/>
      <c r="J394" s="651"/>
      <c r="L394" s="673" t="s">
        <v>512</v>
      </c>
      <c r="M394" s="673"/>
      <c r="N394" s="673"/>
      <c r="O394" s="673"/>
      <c r="P394" s="673"/>
      <c r="Q394" s="673"/>
      <c r="R394" s="673"/>
      <c r="S394" s="673"/>
      <c r="T394" s="673" t="str">
        <f>A394</f>
        <v xml:space="preserve"> Core Research Support Fund</v>
      </c>
      <c r="U394" s="673"/>
      <c r="V394" s="87"/>
      <c r="W394" s="87" t="s">
        <v>487</v>
      </c>
      <c r="X394" s="87" t="s">
        <v>259</v>
      </c>
      <c r="AE394" s="94"/>
      <c r="AF394" s="94"/>
    </row>
    <row r="395" spans="1:33" ht="19.95" customHeight="1" outlineLevel="1">
      <c r="A395" s="646">
        <v>3656</v>
      </c>
      <c r="B395" s="647" t="str">
        <f>B25</f>
        <v>UT-Arlington</v>
      </c>
      <c r="C395" s="387">
        <f t="shared" ref="C395:C402" si="420">E395</f>
        <v>14227325.527094368</v>
      </c>
      <c r="D395" s="648"/>
      <c r="E395" s="648">
        <v>14227325.527094368</v>
      </c>
      <c r="F395" s="387">
        <f t="shared" ref="F395:F402" si="421">G395-E395</f>
        <v>0</v>
      </c>
      <c r="G395" s="648">
        <v>14227325.527094368</v>
      </c>
      <c r="H395" s="648">
        <f t="shared" ref="H395:H402" si="422">L395+M395</f>
        <v>42555246.289974086</v>
      </c>
      <c r="I395" s="648">
        <f t="shared" ref="I395:I403" si="423">H395-G395</f>
        <v>28327920.762879718</v>
      </c>
      <c r="J395" s="649">
        <f t="shared" ref="J395:J403" si="424">IF(OR(I395=0,G395=0),0,I395/G395)</f>
        <v>1.9910924726458481</v>
      </c>
      <c r="K395" s="114"/>
      <c r="L395" s="109">
        <f>'NRSF(previously CRS)'!C5/2</f>
        <v>21277623.144987043</v>
      </c>
      <c r="M395" s="109">
        <f>L395</f>
        <v>21277623.144987043</v>
      </c>
      <c r="N395" s="100">
        <f>L395-P395</f>
        <v>21277623.144987043</v>
      </c>
      <c r="O395" s="100">
        <f>M395-Q395</f>
        <v>21277623.144987043</v>
      </c>
      <c r="P395" s="109"/>
      <c r="Q395" s="109"/>
      <c r="R395" s="109"/>
      <c r="S395" s="109"/>
      <c r="T395" s="109">
        <f>L395+R395</f>
        <v>21277623.144987043</v>
      </c>
      <c r="U395" s="109">
        <f t="shared" ref="U395:U398" si="425">M395+S395</f>
        <v>21277623.144987043</v>
      </c>
      <c r="W395" s="545">
        <f>'NRSF(previously CRS)'!E5</f>
        <v>60043460</v>
      </c>
      <c r="X395" s="553"/>
      <c r="Y395" s="633">
        <v>21277623</v>
      </c>
      <c r="Z395" s="633">
        <v>21277623</v>
      </c>
      <c r="AB395" s="111">
        <f t="shared" ref="AB395:AB402" si="426">T395-Y395</f>
        <v>0.14498704299330711</v>
      </c>
      <c r="AC395" s="111">
        <f t="shared" ref="AC395:AC402" si="427">U395-Z395</f>
        <v>0.14498704299330711</v>
      </c>
      <c r="AE395" s="116">
        <f t="shared" ref="AE395:AE402" si="428">IFERROR(AB395/T395,0)</f>
        <v>6.8140619845250767E-9</v>
      </c>
      <c r="AF395" s="116">
        <f t="shared" ref="AF395:AF402" si="429">IFERROR(AC395/U395,0)</f>
        <v>6.8140619845250767E-9</v>
      </c>
      <c r="AG395" s="114"/>
    </row>
    <row r="396" spans="1:33" ht="19.95" customHeight="1" outlineLevel="1">
      <c r="A396" s="117">
        <v>9741</v>
      </c>
      <c r="B396" s="118" t="str">
        <f>B27</f>
        <v>UT-Dallas</v>
      </c>
      <c r="C396" s="100">
        <f t="shared" si="420"/>
        <v>16941400.0459642</v>
      </c>
      <c r="D396" s="100"/>
      <c r="E396" s="100">
        <v>16941400.0459642</v>
      </c>
      <c r="F396" s="100">
        <f t="shared" si="421"/>
        <v>0</v>
      </c>
      <c r="G396" s="100">
        <v>16941400.0459642</v>
      </c>
      <c r="H396" s="100">
        <f t="shared" si="422"/>
        <v>56968041.252366342</v>
      </c>
      <c r="I396" s="100">
        <f t="shared" si="423"/>
        <v>40026641.206402138</v>
      </c>
      <c r="J396" s="96">
        <f t="shared" si="424"/>
        <v>2.3626525020249036</v>
      </c>
      <c r="K396" s="114"/>
      <c r="L396" s="100">
        <f>'NRSF(previously CRS)'!C6/2</f>
        <v>28484020.626183171</v>
      </c>
      <c r="M396" s="100">
        <f>L396</f>
        <v>28484020.626183171</v>
      </c>
      <c r="N396" s="100">
        <f t="shared" ref="N396:N398" si="430">L396-P396</f>
        <v>28484020.626183171</v>
      </c>
      <c r="O396" s="100">
        <f t="shared" ref="O396:O398" si="431">M396-Q396</f>
        <v>28484020.626183171</v>
      </c>
      <c r="P396" s="100"/>
      <c r="Q396" s="100"/>
      <c r="R396" s="100"/>
      <c r="S396" s="100"/>
      <c r="T396" s="100">
        <f t="shared" ref="T396:T398" si="432">L396+R396</f>
        <v>28484020.626183171</v>
      </c>
      <c r="U396" s="100">
        <f t="shared" si="425"/>
        <v>28484020.626183171</v>
      </c>
      <c r="W396" s="545">
        <f>'NRSF(previously CRS)'!E6</f>
        <v>83042135.666666672</v>
      </c>
      <c r="X396" s="553"/>
      <c r="Y396" s="100">
        <v>28484021</v>
      </c>
      <c r="Z396" s="100">
        <v>28484021</v>
      </c>
      <c r="AB396" s="100">
        <f t="shared" si="426"/>
        <v>-0.373816829174757</v>
      </c>
      <c r="AC396" s="100">
        <f t="shared" si="427"/>
        <v>-0.373816829174757</v>
      </c>
      <c r="AE396" s="120">
        <f t="shared" si="428"/>
        <v>-1.3123738185722838E-8</v>
      </c>
      <c r="AF396" s="120">
        <f t="shared" si="429"/>
        <v>-1.3123738185722838E-8</v>
      </c>
      <c r="AG396" s="114"/>
    </row>
    <row r="397" spans="1:33" ht="19.95" customHeight="1" outlineLevel="1">
      <c r="A397" s="117">
        <v>3661</v>
      </c>
      <c r="B397" s="118" t="str">
        <f>B28</f>
        <v>UT-El Paso</v>
      </c>
      <c r="C397" s="100">
        <f t="shared" si="420"/>
        <v>13534187.778542574</v>
      </c>
      <c r="D397" s="100"/>
      <c r="E397" s="100">
        <v>13534187.778542574</v>
      </c>
      <c r="F397" s="100">
        <f t="shared" si="421"/>
        <v>0</v>
      </c>
      <c r="G397" s="100">
        <v>13534187.778542574</v>
      </c>
      <c r="H397" s="100">
        <f t="shared" si="422"/>
        <v>39356168.81104055</v>
      </c>
      <c r="I397" s="100">
        <f t="shared" si="423"/>
        <v>25821981.032497976</v>
      </c>
      <c r="J397" s="96">
        <f t="shared" si="424"/>
        <v>1.9079076967911412</v>
      </c>
      <c r="K397" s="114"/>
      <c r="L397" s="100">
        <f>'NRSF(previously CRS)'!C7/2</f>
        <v>19678084.405520275</v>
      </c>
      <c r="M397" s="100">
        <f>L397</f>
        <v>19678084.405520275</v>
      </c>
      <c r="N397" s="100">
        <f t="shared" si="430"/>
        <v>19678084.405520275</v>
      </c>
      <c r="O397" s="100">
        <f t="shared" si="431"/>
        <v>19678084.405520275</v>
      </c>
      <c r="P397" s="100"/>
      <c r="Q397" s="100"/>
      <c r="R397" s="100"/>
      <c r="S397" s="100"/>
      <c r="T397" s="100">
        <f t="shared" si="432"/>
        <v>19678084.405520275</v>
      </c>
      <c r="U397" s="100">
        <f t="shared" si="425"/>
        <v>19678084.405520275</v>
      </c>
      <c r="W397" s="545">
        <f>'NRSF(previously CRS)'!E7</f>
        <v>61099284</v>
      </c>
      <c r="X397" s="553"/>
      <c r="Y397" s="100">
        <v>19678084</v>
      </c>
      <c r="Z397" s="100">
        <v>19678084</v>
      </c>
      <c r="AB397" s="100">
        <f t="shared" si="426"/>
        <v>0.40552027523517609</v>
      </c>
      <c r="AC397" s="100">
        <f t="shared" si="427"/>
        <v>0.40552027523517609</v>
      </c>
      <c r="AE397" s="120">
        <f t="shared" si="428"/>
        <v>2.0607710937626422E-8</v>
      </c>
      <c r="AF397" s="120">
        <f t="shared" si="429"/>
        <v>2.0607710937626422E-8</v>
      </c>
      <c r="AG397" s="114"/>
    </row>
    <row r="398" spans="1:33" ht="19.5" customHeight="1" outlineLevel="1">
      <c r="A398" s="117">
        <v>10115</v>
      </c>
      <c r="B398" s="118" t="str">
        <f>B31</f>
        <v>UT-San Antonio</v>
      </c>
      <c r="C398" s="100">
        <f t="shared" si="420"/>
        <v>12688043.900089182</v>
      </c>
      <c r="D398" s="100"/>
      <c r="E398" s="100">
        <v>12688043.900089182</v>
      </c>
      <c r="F398" s="100">
        <f t="shared" si="421"/>
        <v>1.862645149230957E-8</v>
      </c>
      <c r="G398" s="100">
        <v>12688043.900089201</v>
      </c>
      <c r="H398" s="100">
        <f t="shared" si="422"/>
        <v>36079434.646619</v>
      </c>
      <c r="I398" s="100">
        <f t="shared" si="423"/>
        <v>23391390.746529799</v>
      </c>
      <c r="J398" s="96">
        <f t="shared" si="424"/>
        <v>1.8435773812514433</v>
      </c>
      <c r="K398" s="114"/>
      <c r="L398" s="100">
        <f>'NRSF(previously CRS)'!C8/2</f>
        <v>18039717.3233095</v>
      </c>
      <c r="M398" s="100">
        <f>L398</f>
        <v>18039717.3233095</v>
      </c>
      <c r="N398" s="100">
        <f t="shared" si="430"/>
        <v>18039717.3233095</v>
      </c>
      <c r="O398" s="100">
        <f t="shared" si="431"/>
        <v>18039717.3233095</v>
      </c>
      <c r="P398" s="100"/>
      <c r="Q398" s="100"/>
      <c r="R398" s="100"/>
      <c r="S398" s="100"/>
      <c r="T398" s="100">
        <f t="shared" si="432"/>
        <v>18039717.3233095</v>
      </c>
      <c r="U398" s="100">
        <f t="shared" si="425"/>
        <v>18039717.3233095</v>
      </c>
      <c r="W398" s="545">
        <f>'NRSF(previously CRS)'!E8</f>
        <v>53931610.333333336</v>
      </c>
      <c r="X398" s="553"/>
      <c r="Y398" s="100">
        <v>18039717</v>
      </c>
      <c r="Z398" s="100">
        <v>18039717</v>
      </c>
      <c r="AB398" s="100">
        <f t="shared" si="426"/>
        <v>0.32330949977040291</v>
      </c>
      <c r="AC398" s="100">
        <f t="shared" si="427"/>
        <v>0.32330949977040291</v>
      </c>
      <c r="AE398" s="120">
        <f t="shared" si="428"/>
        <v>1.7922093455014833E-8</v>
      </c>
      <c r="AF398" s="120">
        <f t="shared" si="429"/>
        <v>1.7922093455014833E-8</v>
      </c>
      <c r="AG398" s="114"/>
    </row>
    <row r="399" spans="1:33" ht="19.95" customHeight="1" outlineLevel="1">
      <c r="A399" s="117">
        <v>3652</v>
      </c>
      <c r="B399" s="118" t="str">
        <f>B45</f>
        <v>UH</v>
      </c>
      <c r="C399" s="100">
        <f t="shared" si="420"/>
        <v>23480920.167286713</v>
      </c>
      <c r="D399" s="100"/>
      <c r="E399" s="100">
        <v>23480920.167286713</v>
      </c>
      <c r="F399" s="100">
        <f t="shared" si="421"/>
        <v>0</v>
      </c>
      <c r="G399" s="100">
        <v>23480920.167286713</v>
      </c>
      <c r="H399" s="100">
        <f t="shared" si="422"/>
        <v>0</v>
      </c>
      <c r="I399" s="100">
        <f>H399-G399</f>
        <v>-23480920.167286713</v>
      </c>
      <c r="J399" s="96">
        <f>IF(OR(I399=0,G399=0),0,I399/G399)</f>
        <v>-1</v>
      </c>
      <c r="K399" s="114"/>
      <c r="L399" s="100"/>
      <c r="M399" s="100"/>
      <c r="N399" s="100"/>
      <c r="O399" s="100"/>
      <c r="P399" s="100"/>
      <c r="Q399" s="100"/>
      <c r="R399" s="100"/>
      <c r="S399" s="100"/>
      <c r="T399" s="100"/>
      <c r="U399" s="100"/>
      <c r="V399" s="545"/>
      <c r="W399" s="620"/>
      <c r="X399" s="553"/>
      <c r="Y399" s="611"/>
      <c r="Z399" s="611"/>
      <c r="AB399" s="100">
        <f t="shared" si="426"/>
        <v>0</v>
      </c>
      <c r="AC399" s="100">
        <f t="shared" si="427"/>
        <v>0</v>
      </c>
      <c r="AE399" s="120">
        <f t="shared" si="428"/>
        <v>0</v>
      </c>
      <c r="AF399" s="120">
        <f t="shared" si="429"/>
        <v>0</v>
      </c>
      <c r="AG399" s="114"/>
    </row>
    <row r="400" spans="1:33" ht="19.95" customHeight="1" outlineLevel="1">
      <c r="A400" s="117">
        <v>3594</v>
      </c>
      <c r="B400" s="118" t="str">
        <f>B50</f>
        <v>UNT</v>
      </c>
      <c r="C400" s="100">
        <f t="shared" si="420"/>
        <v>6758414.831639546</v>
      </c>
      <c r="D400" s="100"/>
      <c r="E400" s="100">
        <v>6758414.831639546</v>
      </c>
      <c r="F400" s="100">
        <f t="shared" si="421"/>
        <v>0</v>
      </c>
      <c r="G400" s="100">
        <v>6758414.831639546</v>
      </c>
      <c r="H400" s="100">
        <f t="shared" si="422"/>
        <v>0</v>
      </c>
      <c r="I400" s="100">
        <f>H400-G400</f>
        <v>-6758414.831639546</v>
      </c>
      <c r="J400" s="96">
        <f>IF(OR(I400=0,G400=0),0,I400/G400)</f>
        <v>-1</v>
      </c>
      <c r="K400" s="114"/>
      <c r="L400" s="100"/>
      <c r="M400" s="100"/>
      <c r="N400" s="100"/>
      <c r="O400" s="100"/>
      <c r="P400" s="100"/>
      <c r="Q400" s="100"/>
      <c r="R400" s="100"/>
      <c r="S400" s="100"/>
      <c r="T400" s="100"/>
      <c r="U400" s="100"/>
      <c r="V400" s="545"/>
      <c r="W400" s="620"/>
      <c r="X400" s="553"/>
      <c r="Y400" s="611"/>
      <c r="Z400" s="611"/>
      <c r="AB400" s="100">
        <f t="shared" si="426"/>
        <v>0</v>
      </c>
      <c r="AC400" s="100">
        <f t="shared" si="427"/>
        <v>0</v>
      </c>
      <c r="AE400" s="120">
        <f t="shared" si="428"/>
        <v>0</v>
      </c>
      <c r="AF400" s="120">
        <f t="shared" si="429"/>
        <v>0</v>
      </c>
      <c r="AG400" s="114"/>
    </row>
    <row r="401" spans="1:33" ht="19.95" customHeight="1" outlineLevel="1">
      <c r="A401" s="117">
        <v>3644</v>
      </c>
      <c r="B401" s="118" t="str">
        <f>B54</f>
        <v>TTU</v>
      </c>
      <c r="C401" s="100">
        <f t="shared" si="420"/>
        <v>20322955.500226501</v>
      </c>
      <c r="D401" s="100"/>
      <c r="E401" s="100">
        <v>20322955.500226501</v>
      </c>
      <c r="F401" s="100">
        <f t="shared" si="421"/>
        <v>0</v>
      </c>
      <c r="G401" s="100">
        <v>20322955.500226501</v>
      </c>
      <c r="H401" s="100">
        <f t="shared" si="422"/>
        <v>0</v>
      </c>
      <c r="I401" s="100">
        <f>H401-G401</f>
        <v>-20322955.500226501</v>
      </c>
      <c r="J401" s="96">
        <f>IF(OR(I401=0,G401=0),0,I401/G401)</f>
        <v>-1</v>
      </c>
      <c r="K401" s="114"/>
      <c r="L401" s="100"/>
      <c r="M401" s="100"/>
      <c r="N401" s="100"/>
      <c r="O401" s="100"/>
      <c r="P401" s="100"/>
      <c r="Q401" s="100"/>
      <c r="R401" s="100"/>
      <c r="S401" s="100"/>
      <c r="T401" s="100"/>
      <c r="U401" s="100"/>
      <c r="V401" s="545"/>
      <c r="W401" s="620"/>
      <c r="X401" s="553"/>
      <c r="Y401" s="611"/>
      <c r="Z401" s="611"/>
      <c r="AB401" s="100">
        <f t="shared" si="426"/>
        <v>0</v>
      </c>
      <c r="AC401" s="100">
        <f t="shared" si="427"/>
        <v>0</v>
      </c>
      <c r="AE401" s="120">
        <f t="shared" si="428"/>
        <v>0</v>
      </c>
      <c r="AF401" s="120">
        <f t="shared" si="429"/>
        <v>0</v>
      </c>
      <c r="AG401" s="114"/>
    </row>
    <row r="402" spans="1:33" ht="19.95" customHeight="1" outlineLevel="1">
      <c r="A402" s="117">
        <v>3615</v>
      </c>
      <c r="B402" s="118" t="str">
        <f>B59</f>
        <v>TXST</v>
      </c>
      <c r="C402" s="100">
        <f t="shared" si="420"/>
        <v>9158162.2491569221</v>
      </c>
      <c r="D402" s="100"/>
      <c r="E402" s="100">
        <v>9158162.2491569221</v>
      </c>
      <c r="F402" s="100">
        <f t="shared" si="421"/>
        <v>0</v>
      </c>
      <c r="G402" s="100">
        <v>9158162.2491569221</v>
      </c>
      <c r="H402" s="100">
        <f t="shared" si="422"/>
        <v>0</v>
      </c>
      <c r="I402" s="100">
        <f>H402-G402</f>
        <v>-9158162.2491569221</v>
      </c>
      <c r="J402" s="530">
        <f>IF(OR(I402=0,G402=0),0,I402/G402)</f>
        <v>-1</v>
      </c>
      <c r="K402" s="114"/>
      <c r="L402" s="100"/>
      <c r="M402" s="100"/>
      <c r="N402" s="100"/>
      <c r="O402" s="100"/>
      <c r="P402" s="100"/>
      <c r="Q402" s="100"/>
      <c r="R402" s="100"/>
      <c r="S402" s="100"/>
      <c r="T402" s="100"/>
      <c r="U402" s="100"/>
      <c r="V402" s="545"/>
      <c r="W402" s="620"/>
      <c r="X402" s="553"/>
      <c r="Y402" s="611"/>
      <c r="Z402" s="611"/>
      <c r="AB402" s="100">
        <f t="shared" si="426"/>
        <v>0</v>
      </c>
      <c r="AC402" s="100">
        <f t="shared" si="427"/>
        <v>0</v>
      </c>
      <c r="AE402" s="120">
        <f t="shared" si="428"/>
        <v>0</v>
      </c>
      <c r="AF402" s="120">
        <f t="shared" si="429"/>
        <v>0</v>
      </c>
      <c r="AG402" s="114"/>
    </row>
    <row r="403" spans="1:33" ht="19.5" customHeight="1" outlineLevel="1">
      <c r="A403" s="529"/>
      <c r="B403" s="128" t="s">
        <v>1</v>
      </c>
      <c r="C403" s="129">
        <f t="shared" ref="C403:H403" si="433">SUM(C395:C402)</f>
        <v>117111410</v>
      </c>
      <c r="D403" s="129">
        <f t="shared" si="433"/>
        <v>0</v>
      </c>
      <c r="E403" s="129">
        <f t="shared" si="433"/>
        <v>117111410</v>
      </c>
      <c r="F403" s="129">
        <f t="shared" si="433"/>
        <v>1.862645149230957E-8</v>
      </c>
      <c r="G403" s="129">
        <f t="shared" si="433"/>
        <v>117111410.00000001</v>
      </c>
      <c r="H403" s="276">
        <f t="shared" si="433"/>
        <v>174958890.99999997</v>
      </c>
      <c r="I403" s="276">
        <f t="shared" si="423"/>
        <v>57847480.999999955</v>
      </c>
      <c r="J403" s="531">
        <f t="shared" si="424"/>
        <v>0.49395256192372672</v>
      </c>
      <c r="K403" s="114"/>
      <c r="L403" s="276">
        <f>SUM(L395:L398)</f>
        <v>87479445.499999985</v>
      </c>
      <c r="M403" s="276">
        <f>SUM(M395:M398)</f>
        <v>87479445.499999985</v>
      </c>
      <c r="N403" s="276">
        <f>SUM(N395:N398)</f>
        <v>87479445.499999985</v>
      </c>
      <c r="O403" s="276">
        <f>SUM(O395:O398)</f>
        <v>87479445.499999985</v>
      </c>
      <c r="P403" s="97"/>
      <c r="Q403" s="97"/>
      <c r="R403" s="97"/>
      <c r="S403" s="97"/>
      <c r="T403" s="276">
        <f>SUM(T395:T398)</f>
        <v>87479445.499999985</v>
      </c>
      <c r="U403" s="276">
        <f>SUM(U395:U398)</f>
        <v>87479445.499999985</v>
      </c>
      <c r="V403" s="365"/>
      <c r="W403" s="621">
        <f>SUM(W395:W402)</f>
        <v>258116490.00000003</v>
      </c>
      <c r="X403" s="554"/>
      <c r="Y403" s="198">
        <f>SUM(Y395:Y398)</f>
        <v>87479445</v>
      </c>
      <c r="Z403" s="198">
        <f>SUM(Z395:Z398)</f>
        <v>87479445</v>
      </c>
      <c r="AB403" s="97">
        <f>T403-Y403</f>
        <v>0.49999998509883881</v>
      </c>
      <c r="AC403" s="97">
        <f>U403-Z403</f>
        <v>0.49999998509883881</v>
      </c>
      <c r="AE403" s="130">
        <f>IFERROR(AB403/T403,0)</f>
        <v>5.715628194040609E-9</v>
      </c>
      <c r="AF403" s="130">
        <f>IFERROR(AC403/U403,0)</f>
        <v>5.715628194040609E-9</v>
      </c>
      <c r="AG403" s="114"/>
    </row>
    <row r="404" spans="1:33" ht="19.95" customHeight="1" outlineLevel="1">
      <c r="A404" s="535"/>
      <c r="C404" s="97"/>
      <c r="D404" s="97"/>
      <c r="E404" s="97"/>
      <c r="F404" s="97"/>
      <c r="G404" s="97"/>
      <c r="H404" s="97"/>
      <c r="I404" s="97"/>
      <c r="J404" s="130"/>
      <c r="K404" s="114"/>
      <c r="L404" s="97"/>
      <c r="M404" s="97"/>
      <c r="N404" s="97"/>
      <c r="O404" s="97"/>
      <c r="P404" s="97"/>
      <c r="Q404" s="97"/>
      <c r="R404" s="97"/>
      <c r="S404" s="97"/>
      <c r="T404" s="97"/>
      <c r="U404" s="97"/>
      <c r="V404" s="545"/>
      <c r="W404" s="545"/>
      <c r="X404" s="553"/>
      <c r="Y404" s="97"/>
      <c r="Z404" s="97"/>
      <c r="AB404" s="97"/>
      <c r="AC404" s="97"/>
      <c r="AE404" s="130"/>
      <c r="AF404" s="130"/>
      <c r="AG404" s="114"/>
    </row>
    <row r="405" spans="1:33" s="91" customFormat="1" ht="75" customHeight="1" thickBot="1">
      <c r="A405" s="669" t="s">
        <v>486</v>
      </c>
      <c r="B405" s="670"/>
      <c r="C405" s="670"/>
      <c r="D405" s="670"/>
      <c r="E405" s="670"/>
      <c r="F405" s="670"/>
      <c r="G405" s="670"/>
      <c r="H405" s="670"/>
      <c r="I405" s="670"/>
      <c r="J405" s="670"/>
      <c r="L405" s="673" t="str">
        <f>A405</f>
        <v>Texas University Fund (non-formula)</v>
      </c>
      <c r="M405" s="673"/>
      <c r="N405" s="673"/>
      <c r="O405" s="673"/>
      <c r="P405" s="673"/>
      <c r="Q405" s="673"/>
      <c r="R405" s="673"/>
      <c r="S405" s="673"/>
      <c r="T405" s="673" t="str">
        <f>A405</f>
        <v>Texas University Fund (non-formula)</v>
      </c>
      <c r="U405" s="673"/>
      <c r="V405" s="87"/>
      <c r="W405" s="87" t="s">
        <v>487</v>
      </c>
      <c r="X405" s="87" t="s">
        <v>259</v>
      </c>
      <c r="AE405" s="94"/>
      <c r="AF405" s="94"/>
    </row>
    <row r="406" spans="1:33" ht="19.95" customHeight="1" outlineLevel="1">
      <c r="A406" s="117">
        <v>3652</v>
      </c>
      <c r="B406" s="118" t="str">
        <f>B45</f>
        <v>UH</v>
      </c>
      <c r="C406" s="100"/>
      <c r="D406" s="100"/>
      <c r="E406" s="100"/>
      <c r="F406" s="100"/>
      <c r="G406" s="100">
        <v>0</v>
      </c>
      <c r="H406" s="100">
        <f>L406+M406</f>
        <v>96767204.778067797</v>
      </c>
      <c r="I406" s="100">
        <f>H406-G406</f>
        <v>96767204.778067797</v>
      </c>
      <c r="J406" s="96">
        <f>IF(OR(I406=0,G406=0),0,I406/G406)</f>
        <v>0</v>
      </c>
      <c r="K406" s="114"/>
      <c r="L406" s="100">
        <f>'TUF (non-formula)'!C6/2</f>
        <v>48383602.389033899</v>
      </c>
      <c r="M406" s="100">
        <f>L406</f>
        <v>48383602.389033899</v>
      </c>
      <c r="N406" s="100">
        <f t="shared" ref="N406:O409" si="434">L406-P406</f>
        <v>48383602.389033899</v>
      </c>
      <c r="O406" s="100">
        <f t="shared" si="434"/>
        <v>48383602.389033899</v>
      </c>
      <c r="P406" s="100"/>
      <c r="Q406" s="100"/>
      <c r="R406" s="100"/>
      <c r="S406" s="100"/>
      <c r="T406" s="100">
        <f t="shared" ref="T406:U409" si="435">L406+R406</f>
        <v>48383602.389033899</v>
      </c>
      <c r="U406" s="100">
        <f t="shared" si="435"/>
        <v>48383602.389033899</v>
      </c>
      <c r="W406" s="545">
        <f>'TUF (non-formula)'!E6</f>
        <v>93821608.333333328</v>
      </c>
      <c r="X406" s="553"/>
      <c r="Y406" s="611">
        <v>48383602.377261609</v>
      </c>
      <c r="Z406" s="611">
        <v>48383602.377261609</v>
      </c>
      <c r="AB406" s="100">
        <f t="shared" ref="AB406:AC410" si="436">T406-Y406</f>
        <v>1.1772289872169495E-2</v>
      </c>
      <c r="AC406" s="100">
        <f t="shared" si="436"/>
        <v>1.1772289872169495E-2</v>
      </c>
      <c r="AE406" s="120">
        <f t="shared" ref="AE406:AF410" si="437">IFERROR(AB406/T406,0)</f>
        <v>2.4331156199393854E-10</v>
      </c>
      <c r="AF406" s="120">
        <f t="shared" si="437"/>
        <v>2.4331156199393854E-10</v>
      </c>
      <c r="AG406" s="114"/>
    </row>
    <row r="407" spans="1:33" ht="19.95" customHeight="1" outlineLevel="1">
      <c r="A407" s="117">
        <v>3594</v>
      </c>
      <c r="B407" s="118" t="str">
        <f>B50</f>
        <v>UNT</v>
      </c>
      <c r="C407" s="100"/>
      <c r="D407" s="100"/>
      <c r="E407" s="100"/>
      <c r="F407" s="100"/>
      <c r="G407" s="100">
        <v>0</v>
      </c>
      <c r="H407" s="100">
        <f>L407+M407</f>
        <v>42757317.167449914</v>
      </c>
      <c r="I407" s="100">
        <f>H407-G407</f>
        <v>42757317.167449914</v>
      </c>
      <c r="J407" s="96">
        <f>IF(OR(I407=0,G407=0),0,I407/G407)</f>
        <v>0</v>
      </c>
      <c r="K407" s="114"/>
      <c r="L407" s="100">
        <f>'TUF (non-formula)'!C7/2</f>
        <v>21378658.583724957</v>
      </c>
      <c r="M407" s="100">
        <f>L407</f>
        <v>21378658.583724957</v>
      </c>
      <c r="N407" s="100">
        <f t="shared" si="434"/>
        <v>21378658.583724957</v>
      </c>
      <c r="O407" s="100">
        <f t="shared" si="434"/>
        <v>21378658.583724957</v>
      </c>
      <c r="P407" s="100"/>
      <c r="Q407" s="100"/>
      <c r="R407" s="100"/>
      <c r="S407" s="100"/>
      <c r="T407" s="100">
        <f t="shared" si="435"/>
        <v>21378658.583724957</v>
      </c>
      <c r="U407" s="100">
        <f t="shared" si="435"/>
        <v>21378658.583724957</v>
      </c>
      <c r="W407" s="545">
        <f>'TUF (non-formula)'!E7</f>
        <v>22583689.333333332</v>
      </c>
      <c r="X407" s="553"/>
      <c r="Y407" s="611">
        <v>21378658.589570351</v>
      </c>
      <c r="Z407" s="611">
        <v>21378658.589570351</v>
      </c>
      <c r="AB407" s="100">
        <f t="shared" si="436"/>
        <v>-5.8453939855098724E-3</v>
      </c>
      <c r="AC407" s="100">
        <f t="shared" si="436"/>
        <v>-5.8453939855098724E-3</v>
      </c>
      <c r="AE407" s="120">
        <f t="shared" si="437"/>
        <v>-2.7342192507624523E-10</v>
      </c>
      <c r="AF407" s="120">
        <f t="shared" si="437"/>
        <v>-2.7342192507624523E-10</v>
      </c>
      <c r="AG407" s="114"/>
    </row>
    <row r="408" spans="1:33" ht="19.95" customHeight="1" outlineLevel="1">
      <c r="A408" s="117">
        <v>3644</v>
      </c>
      <c r="B408" s="118" t="str">
        <f>B54</f>
        <v>TTU</v>
      </c>
      <c r="C408" s="100"/>
      <c r="D408" s="100"/>
      <c r="E408" s="100"/>
      <c r="F408" s="100"/>
      <c r="G408" s="100">
        <v>0</v>
      </c>
      <c r="H408" s="100">
        <f>L408+M408</f>
        <v>89026854.636121541</v>
      </c>
      <c r="I408" s="100">
        <f>H408-G408</f>
        <v>89026854.636121541</v>
      </c>
      <c r="J408" s="96">
        <f>IF(OR(I408=0,G408=0),0,I408/G408)</f>
        <v>0</v>
      </c>
      <c r="K408" s="114"/>
      <c r="L408" s="100">
        <f>'TUF (non-formula)'!C8/2</f>
        <v>44513427.318060771</v>
      </c>
      <c r="M408" s="100">
        <f>L408</f>
        <v>44513427.318060771</v>
      </c>
      <c r="N408" s="100">
        <f t="shared" si="434"/>
        <v>44513427.318060771</v>
      </c>
      <c r="O408" s="100">
        <f t="shared" si="434"/>
        <v>44513427.318060771</v>
      </c>
      <c r="P408" s="100"/>
      <c r="Q408" s="100"/>
      <c r="R408" s="100"/>
      <c r="S408" s="100"/>
      <c r="T408" s="100">
        <f t="shared" si="435"/>
        <v>44513427.318060771</v>
      </c>
      <c r="U408" s="100">
        <f t="shared" si="435"/>
        <v>44513427.318060771</v>
      </c>
      <c r="W408" s="545">
        <f>'TUF (non-formula)'!E8</f>
        <v>64435141.666666664</v>
      </c>
      <c r="X408" s="553"/>
      <c r="Y408" s="611">
        <v>44513427.322428122</v>
      </c>
      <c r="Z408" s="611">
        <v>44513427.322428122</v>
      </c>
      <c r="AB408" s="100">
        <f t="shared" si="436"/>
        <v>-4.3673515319824219E-3</v>
      </c>
      <c r="AC408" s="100">
        <f t="shared" si="436"/>
        <v>-4.3673515319824219E-3</v>
      </c>
      <c r="AE408" s="120">
        <f t="shared" si="437"/>
        <v>-9.811312664775249E-11</v>
      </c>
      <c r="AF408" s="120">
        <f t="shared" si="437"/>
        <v>-9.811312664775249E-11</v>
      </c>
      <c r="AG408" s="114"/>
    </row>
    <row r="409" spans="1:33" ht="19.95" customHeight="1" outlineLevel="1">
      <c r="A409" s="117">
        <v>3615</v>
      </c>
      <c r="B409" s="118" t="str">
        <f>B59</f>
        <v>TXST</v>
      </c>
      <c r="C409" s="100"/>
      <c r="D409" s="100"/>
      <c r="E409" s="100"/>
      <c r="F409" s="100"/>
      <c r="G409" s="100">
        <v>0</v>
      </c>
      <c r="H409" s="100">
        <f>L409+M409</f>
        <v>44812762.41836074</v>
      </c>
      <c r="I409" s="100">
        <f>H409-G409</f>
        <v>44812762.41836074</v>
      </c>
      <c r="J409" s="96">
        <f>IF(OR(I409=0,G409=0),0,I409/G409)</f>
        <v>0</v>
      </c>
      <c r="K409" s="114"/>
      <c r="L409" s="100">
        <f>'TUF (non-formula)'!C9/2</f>
        <v>22406381.20918037</v>
      </c>
      <c r="M409" s="100">
        <f>L409</f>
        <v>22406381.20918037</v>
      </c>
      <c r="N409" s="100">
        <f t="shared" si="434"/>
        <v>22406381.20918037</v>
      </c>
      <c r="O409" s="100">
        <f t="shared" si="434"/>
        <v>22406381.20918037</v>
      </c>
      <c r="P409" s="100"/>
      <c r="Q409" s="100"/>
      <c r="R409" s="100"/>
      <c r="S409" s="100"/>
      <c r="T409" s="100">
        <f t="shared" si="435"/>
        <v>22406381.20918037</v>
      </c>
      <c r="U409" s="100">
        <f t="shared" si="435"/>
        <v>22406381.20918037</v>
      </c>
      <c r="W409" s="545">
        <f>'TUF (non-formula)'!E9</f>
        <v>38597061.333333336</v>
      </c>
      <c r="X409" s="553"/>
      <c r="Y409" s="611">
        <v>22406381.210739896</v>
      </c>
      <c r="Z409" s="611">
        <v>22406381.210739896</v>
      </c>
      <c r="AB409" s="100">
        <f t="shared" si="436"/>
        <v>-1.559525728225708E-3</v>
      </c>
      <c r="AC409" s="100">
        <f t="shared" si="436"/>
        <v>-1.559525728225708E-3</v>
      </c>
      <c r="AE409" s="120">
        <f t="shared" si="437"/>
        <v>-6.9601856438412157E-11</v>
      </c>
      <c r="AF409" s="120">
        <f t="shared" si="437"/>
        <v>-6.9601856438412157E-11</v>
      </c>
      <c r="AG409" s="114"/>
    </row>
    <row r="410" spans="1:33" ht="19.5" customHeight="1" outlineLevel="1">
      <c r="A410" s="529"/>
      <c r="B410" s="128" t="s">
        <v>1</v>
      </c>
      <c r="C410" s="129">
        <f t="shared" ref="C410:H410" si="438">SUM(C406:C409)</f>
        <v>0</v>
      </c>
      <c r="D410" s="129">
        <f t="shared" si="438"/>
        <v>0</v>
      </c>
      <c r="E410" s="129">
        <f t="shared" si="438"/>
        <v>0</v>
      </c>
      <c r="F410" s="129">
        <f t="shared" si="438"/>
        <v>0</v>
      </c>
      <c r="G410" s="129">
        <f t="shared" si="438"/>
        <v>0</v>
      </c>
      <c r="H410" s="276">
        <f t="shared" si="438"/>
        <v>273364139</v>
      </c>
      <c r="I410" s="276">
        <f>H410-G410</f>
        <v>273364139</v>
      </c>
      <c r="J410" s="531">
        <f>IF(OR(I410=0,G410=0),0,I410/G410)</f>
        <v>0</v>
      </c>
      <c r="K410" s="114"/>
      <c r="L410" s="276">
        <f>SUM(L406:L409)</f>
        <v>136682069.5</v>
      </c>
      <c r="M410" s="276">
        <f t="shared" ref="M410:U410" si="439">SUM(M406:M409)</f>
        <v>136682069.5</v>
      </c>
      <c r="N410" s="276">
        <f t="shared" si="439"/>
        <v>136682069.5</v>
      </c>
      <c r="O410" s="276">
        <f t="shared" si="439"/>
        <v>136682069.5</v>
      </c>
      <c r="P410" s="276" t="s">
        <v>396</v>
      </c>
      <c r="Q410" s="276" t="s">
        <v>396</v>
      </c>
      <c r="R410" s="276" t="s">
        <v>396</v>
      </c>
      <c r="S410" s="276" t="s">
        <v>396</v>
      </c>
      <c r="T410" s="276">
        <f t="shared" si="439"/>
        <v>136682069.5</v>
      </c>
      <c r="U410" s="276">
        <f t="shared" si="439"/>
        <v>136682069.5</v>
      </c>
      <c r="V410" s="365" t="s">
        <v>396</v>
      </c>
      <c r="W410" s="365">
        <f>SUM(W406:W409)</f>
        <v>219437500.66666666</v>
      </c>
      <c r="X410" s="365"/>
      <c r="Y410" s="97">
        <f>SUM(Y406:Y409)</f>
        <v>136682069.49999997</v>
      </c>
      <c r="Z410" s="97">
        <f>SUM(Z406:Z409)</f>
        <v>136682069.49999997</v>
      </c>
      <c r="AB410" s="97">
        <f t="shared" si="436"/>
        <v>0</v>
      </c>
      <c r="AC410" s="97">
        <f t="shared" si="436"/>
        <v>0</v>
      </c>
      <c r="AE410" s="130">
        <f t="shared" si="437"/>
        <v>0</v>
      </c>
      <c r="AF410" s="130">
        <f t="shared" si="437"/>
        <v>0</v>
      </c>
      <c r="AG410" s="114"/>
    </row>
    <row r="411" spans="1:33" ht="41.25" customHeight="1">
      <c r="A411" s="105"/>
      <c r="R411" s="77" t="s">
        <v>396</v>
      </c>
      <c r="V411" s="539" t="s">
        <v>413</v>
      </c>
      <c r="W411" s="539" t="s">
        <v>414</v>
      </c>
      <c r="Y411" s="104"/>
    </row>
    <row r="412" spans="1:33" ht="19.95" customHeight="1">
      <c r="A412" s="105"/>
      <c r="V412" s="537">
        <v>0.16305734968884364</v>
      </c>
      <c r="W412" s="538">
        <f>CRF!C33</f>
        <v>0.32799622950000001</v>
      </c>
      <c r="Y412" s="104"/>
    </row>
    <row r="413" spans="1:33" s="91" customFormat="1" ht="71.25" customHeight="1" thickBot="1">
      <c r="A413" s="669" t="s">
        <v>402</v>
      </c>
      <c r="B413" s="670"/>
      <c r="C413" s="670"/>
      <c r="D413" s="670"/>
      <c r="E413" s="670"/>
      <c r="F413" s="670"/>
      <c r="G413" s="670"/>
      <c r="H413" s="670"/>
      <c r="I413" s="670"/>
      <c r="J413" s="670"/>
      <c r="L413" s="673" t="str">
        <f>A413</f>
        <v>Comprehensive Research Funds (CRF)</v>
      </c>
      <c r="M413" s="673"/>
      <c r="N413" s="673"/>
      <c r="O413" s="673"/>
      <c r="P413" s="673"/>
      <c r="Q413" s="673"/>
      <c r="R413" s="673"/>
      <c r="S413" s="673"/>
      <c r="T413" s="673" t="str">
        <f>A413</f>
        <v>Comprehensive Research Funds (CRF)</v>
      </c>
      <c r="U413" s="673"/>
      <c r="V413" s="87" t="s">
        <v>420</v>
      </c>
      <c r="W413" s="87" t="s">
        <v>487</v>
      </c>
      <c r="X413" s="87" t="s">
        <v>259</v>
      </c>
      <c r="AE413" s="94"/>
      <c r="AF413" s="94"/>
    </row>
    <row r="414" spans="1:33" ht="19.95" customHeight="1" outlineLevel="1">
      <c r="A414" s="117">
        <v>3599</v>
      </c>
      <c r="B414" s="118" t="str">
        <f>B29</f>
        <v>UT-Rio Grande Valley</v>
      </c>
      <c r="C414" s="100">
        <f>E414</f>
        <v>1423263.632600388</v>
      </c>
      <c r="D414" s="100"/>
      <c r="E414" s="100">
        <v>1423263.632600388</v>
      </c>
      <c r="F414" s="100">
        <f t="shared" ref="F414:F439" si="440">G414-E414</f>
        <v>0</v>
      </c>
      <c r="G414" s="100">
        <v>1423263.632600388</v>
      </c>
      <c r="H414" s="100">
        <f>L414+M414</f>
        <v>3417765.3188772122</v>
      </c>
      <c r="I414" s="100">
        <f>H414-G414</f>
        <v>1994501.6862768242</v>
      </c>
      <c r="J414" s="96">
        <f>IF(OR(I414=0,G414=0),0,I414/G414)</f>
        <v>1.4013578655366539</v>
      </c>
      <c r="K414" s="114"/>
      <c r="L414" s="100">
        <f>CRF!C6/2</f>
        <v>1708882.6594386061</v>
      </c>
      <c r="M414" s="100">
        <f>L414</f>
        <v>1708882.6594386061</v>
      </c>
      <c r="N414" s="100">
        <f>L414-P414</f>
        <v>1708882.6594386061</v>
      </c>
      <c r="O414" s="100">
        <f>M414-Q414</f>
        <v>1708882.6594386061</v>
      </c>
      <c r="P414" s="100"/>
      <c r="Q414" s="100"/>
      <c r="R414" s="100"/>
      <c r="S414" s="100"/>
      <c r="T414" s="100">
        <f>L414</f>
        <v>1708882.6594386061</v>
      </c>
      <c r="U414" s="100">
        <f>M414</f>
        <v>1708882.6594386061</v>
      </c>
      <c r="V414" s="97">
        <v>8728607.666666666</v>
      </c>
      <c r="W414" s="276">
        <f>CRF!D6</f>
        <v>10420136</v>
      </c>
      <c r="X414" s="553">
        <f t="shared" ref="X414:X440" si="441">(W414-V414)/V414</f>
        <v>0.1937913121920973</v>
      </c>
      <c r="Y414" s="196">
        <v>1708883</v>
      </c>
      <c r="Z414" s="196">
        <v>1708883</v>
      </c>
      <c r="AB414" s="100">
        <f t="shared" ref="AB414:AB439" si="442">T414-Y414</f>
        <v>-0.34056139388121665</v>
      </c>
      <c r="AC414" s="100">
        <f t="shared" ref="AC414:AC439" si="443">U414-Z414</f>
        <v>-0.34056139388121665</v>
      </c>
      <c r="AE414" s="120">
        <f t="shared" ref="AE414:AE439" si="444">IFERROR(AB414/T414,0)</f>
        <v>-1.9928892835339335E-7</v>
      </c>
      <c r="AF414" s="120">
        <f t="shared" ref="AF414:AF439" si="445">IFERROR(AC414/U414,0)</f>
        <v>-1.9928892835339335E-7</v>
      </c>
      <c r="AG414" s="114"/>
    </row>
    <row r="415" spans="1:33" ht="19.95" customHeight="1" outlineLevel="1">
      <c r="A415" s="117">
        <v>9930</v>
      </c>
      <c r="B415" s="118" t="str">
        <f>B30</f>
        <v>UT-Permian Basin</v>
      </c>
      <c r="C415" s="100">
        <f t="shared" ref="C415:C439" si="446">E415</f>
        <v>164073.84920680389</v>
      </c>
      <c r="D415" s="100"/>
      <c r="E415" s="100">
        <v>164073.84920680389</v>
      </c>
      <c r="F415" s="100">
        <f t="shared" si="440"/>
        <v>0</v>
      </c>
      <c r="G415" s="100">
        <v>164073.84920680389</v>
      </c>
      <c r="H415" s="100">
        <f t="shared" ref="H415:H439" si="447">L415+M415</f>
        <v>743439.64307907154</v>
      </c>
      <c r="I415" s="100">
        <f t="shared" ref="I415:I439" si="448">H415-G415</f>
        <v>579365.79387226771</v>
      </c>
      <c r="J415" s="96">
        <f t="shared" ref="J415:J440" si="449">IF(OR(I415=0,G415=0),0,I415/G415)</f>
        <v>3.5311281881490855</v>
      </c>
      <c r="K415" s="114"/>
      <c r="L415" s="100">
        <f>CRF!C7/2</f>
        <v>371719.82153953577</v>
      </c>
      <c r="M415" s="100">
        <f t="shared" ref="M415:M439" si="450">L415</f>
        <v>371719.82153953577</v>
      </c>
      <c r="N415" s="100">
        <f t="shared" ref="N415:N439" si="451">L415-P415</f>
        <v>371719.82153953577</v>
      </c>
      <c r="O415" s="100">
        <f t="shared" ref="O415:O439" si="452">M415-Q415</f>
        <v>371719.82153953577</v>
      </c>
      <c r="P415" s="100"/>
      <c r="Q415" s="100"/>
      <c r="R415" s="100"/>
      <c r="S415" s="100"/>
      <c r="T415" s="100">
        <f t="shared" ref="T415:T439" si="453">L415</f>
        <v>371719.82153953577</v>
      </c>
      <c r="U415" s="100">
        <f t="shared" ref="U415:U439" si="454">M415</f>
        <v>371719.82153953577</v>
      </c>
      <c r="V415" s="97">
        <v>1006234</v>
      </c>
      <c r="W415" s="276">
        <f>CRF!D7</f>
        <v>2266610.3333333335</v>
      </c>
      <c r="X415" s="553">
        <f t="shared" si="441"/>
        <v>1.2525678255091097</v>
      </c>
      <c r="Y415" s="100">
        <v>371720</v>
      </c>
      <c r="Z415" s="100">
        <v>371720</v>
      </c>
      <c r="AB415" s="100">
        <f t="shared" si="442"/>
        <v>-0.17846046423073858</v>
      </c>
      <c r="AC415" s="100">
        <f t="shared" si="443"/>
        <v>-0.17846046423073858</v>
      </c>
      <c r="AE415" s="120">
        <f t="shared" si="444"/>
        <v>-4.8009402213639474E-7</v>
      </c>
      <c r="AF415" s="120">
        <f t="shared" si="445"/>
        <v>-4.8009402213639474E-7</v>
      </c>
      <c r="AG415" s="114"/>
    </row>
    <row r="416" spans="1:33" ht="19.95" customHeight="1" outlineLevel="1">
      <c r="A416" s="117">
        <v>11163</v>
      </c>
      <c r="B416" s="118" t="str">
        <f>B32</f>
        <v>UT-Tyler</v>
      </c>
      <c r="C416" s="100">
        <f t="shared" si="446"/>
        <v>215110.31048736288</v>
      </c>
      <c r="D416" s="100"/>
      <c r="E416" s="100">
        <v>215110.31048736288</v>
      </c>
      <c r="F416" s="100">
        <f t="shared" si="440"/>
        <v>0</v>
      </c>
      <c r="G416" s="100">
        <v>215110.31048736288</v>
      </c>
      <c r="H416" s="100">
        <f t="shared" si="447"/>
        <v>503493.56406004052</v>
      </c>
      <c r="I416" s="100">
        <f t="shared" si="448"/>
        <v>288383.25357267761</v>
      </c>
      <c r="J416" s="96">
        <f t="shared" si="449"/>
        <v>1.3406296189118247</v>
      </c>
      <c r="K416" s="114"/>
      <c r="L416" s="100">
        <f>CRF!C8/2</f>
        <v>251746.78203002026</v>
      </c>
      <c r="M416" s="100">
        <f t="shared" si="450"/>
        <v>251746.78203002026</v>
      </c>
      <c r="N416" s="100">
        <f t="shared" si="451"/>
        <v>251746.78203002026</v>
      </c>
      <c r="O416" s="100">
        <f t="shared" si="452"/>
        <v>251746.78203002026</v>
      </c>
      <c r="P416" s="100"/>
      <c r="Q416" s="100"/>
      <c r="R416" s="100"/>
      <c r="S416" s="100"/>
      <c r="T416" s="100">
        <f t="shared" si="453"/>
        <v>251746.78203002026</v>
      </c>
      <c r="U416" s="100">
        <f t="shared" si="454"/>
        <v>251746.78203002026</v>
      </c>
      <c r="V416" s="97">
        <v>1319231</v>
      </c>
      <c r="W416" s="276">
        <f>CRF!D8</f>
        <v>1535059</v>
      </c>
      <c r="X416" s="553">
        <f t="shared" si="441"/>
        <v>0.16360137079859402</v>
      </c>
      <c r="Y416" s="100">
        <v>251747</v>
      </c>
      <c r="Z416" s="100">
        <v>251747</v>
      </c>
      <c r="AB416" s="100">
        <f t="shared" si="442"/>
        <v>-0.21796997974161059</v>
      </c>
      <c r="AC416" s="100">
        <f t="shared" si="443"/>
        <v>-0.21796997974161059</v>
      </c>
      <c r="AE416" s="120">
        <f t="shared" si="444"/>
        <v>-8.6583025206502193E-7</v>
      </c>
      <c r="AF416" s="120">
        <f t="shared" si="445"/>
        <v>-8.6583025206502193E-7</v>
      </c>
      <c r="AG416" s="114"/>
    </row>
    <row r="417" spans="1:33" ht="19.95" customHeight="1" outlineLevel="1">
      <c r="A417" s="117">
        <v>10298</v>
      </c>
      <c r="B417" s="118" t="str">
        <f t="shared" ref="B417:B427" si="455">B34</f>
        <v>TAMU-Galveston</v>
      </c>
      <c r="C417" s="100">
        <f t="shared" si="446"/>
        <v>824209.24661919172</v>
      </c>
      <c r="D417" s="100"/>
      <c r="E417" s="100">
        <v>824209.24661919172</v>
      </c>
      <c r="F417" s="100">
        <f t="shared" si="440"/>
        <v>0</v>
      </c>
      <c r="G417" s="100">
        <v>824209.24661919172</v>
      </c>
      <c r="H417" s="100">
        <f t="shared" si="447"/>
        <v>938309.85627037648</v>
      </c>
      <c r="I417" s="100">
        <f t="shared" si="448"/>
        <v>114100.60965118476</v>
      </c>
      <c r="J417" s="96">
        <f t="shared" si="449"/>
        <v>0.13843645908998459</v>
      </c>
      <c r="K417" s="114"/>
      <c r="L417" s="100">
        <f>CRF!C9/2</f>
        <v>469154.92813518824</v>
      </c>
      <c r="M417" s="100">
        <f t="shared" si="450"/>
        <v>469154.92813518824</v>
      </c>
      <c r="N417" s="100">
        <f t="shared" si="451"/>
        <v>469154.92813518824</v>
      </c>
      <c r="O417" s="100">
        <f t="shared" si="452"/>
        <v>469154.92813518824</v>
      </c>
      <c r="P417" s="100"/>
      <c r="Q417" s="100"/>
      <c r="R417" s="100"/>
      <c r="S417" s="100"/>
      <c r="T417" s="100">
        <f t="shared" si="453"/>
        <v>469154.92813518824</v>
      </c>
      <c r="U417" s="100">
        <f t="shared" si="454"/>
        <v>469154.92813518824</v>
      </c>
      <c r="V417" s="97">
        <v>5054720</v>
      </c>
      <c r="W417" s="276">
        <f>CRF!D9</f>
        <v>2860733.6666666665</v>
      </c>
      <c r="X417" s="553">
        <f t="shared" si="441"/>
        <v>-0.43404705568920404</v>
      </c>
      <c r="Y417" s="100">
        <v>469155</v>
      </c>
      <c r="Z417" s="100">
        <v>469155</v>
      </c>
      <c r="AB417" s="100">
        <f t="shared" si="442"/>
        <v>-7.1864811761770397E-2</v>
      </c>
      <c r="AC417" s="100">
        <f t="shared" si="443"/>
        <v>-7.1864811761770397E-2</v>
      </c>
      <c r="AE417" s="120">
        <f t="shared" si="444"/>
        <v>-1.5317927501565615E-7</v>
      </c>
      <c r="AF417" s="120">
        <f t="shared" si="445"/>
        <v>-1.5317927501565615E-7</v>
      </c>
      <c r="AG417" s="114"/>
    </row>
    <row r="418" spans="1:33" ht="19.95" customHeight="1" outlineLevel="1">
      <c r="A418" s="117">
        <v>3630</v>
      </c>
      <c r="B418" s="118" t="str">
        <f t="shared" si="455"/>
        <v>Prairie View</v>
      </c>
      <c r="C418" s="100">
        <f t="shared" si="446"/>
        <v>1331760.7940279497</v>
      </c>
      <c r="D418" s="100"/>
      <c r="E418" s="100">
        <v>1331760.7940279497</v>
      </c>
      <c r="F418" s="100">
        <f t="shared" si="440"/>
        <v>0</v>
      </c>
      <c r="G418" s="100">
        <v>1331760.7940279497</v>
      </c>
      <c r="H418" s="100">
        <f t="shared" si="447"/>
        <v>3528519.9150245539</v>
      </c>
      <c r="I418" s="100">
        <f t="shared" si="448"/>
        <v>2196759.1209966042</v>
      </c>
      <c r="J418" s="96">
        <f t="shared" si="449"/>
        <v>1.6495147858741521</v>
      </c>
      <c r="K418" s="114"/>
      <c r="L418" s="100">
        <f>CRF!C10/2</f>
        <v>1764259.9575122769</v>
      </c>
      <c r="M418" s="100">
        <f t="shared" si="450"/>
        <v>1764259.9575122769</v>
      </c>
      <c r="N418" s="100">
        <f t="shared" si="451"/>
        <v>1764259.9575122769</v>
      </c>
      <c r="O418" s="100">
        <f t="shared" si="452"/>
        <v>1764259.9575122769</v>
      </c>
      <c r="P418" s="100"/>
      <c r="Q418" s="100"/>
      <c r="R418" s="100"/>
      <c r="S418" s="100"/>
      <c r="T418" s="100">
        <f t="shared" si="453"/>
        <v>1764259.9575122769</v>
      </c>
      <c r="U418" s="100">
        <f t="shared" si="454"/>
        <v>1764259.9575122769</v>
      </c>
      <c r="V418" s="97">
        <v>8167438</v>
      </c>
      <c r="W418" s="276">
        <f>CRF!D10</f>
        <v>10757806.333333334</v>
      </c>
      <c r="X418" s="553">
        <f t="shared" si="441"/>
        <v>0.31715800393383259</v>
      </c>
      <c r="Y418" s="100">
        <v>1764260</v>
      </c>
      <c r="Z418" s="100">
        <v>1764260</v>
      </c>
      <c r="AB418" s="100">
        <f t="shared" si="442"/>
        <v>-4.2487723054364324E-2</v>
      </c>
      <c r="AC418" s="100">
        <f t="shared" si="443"/>
        <v>-4.2487723054364324E-2</v>
      </c>
      <c r="AE418" s="120">
        <f t="shared" si="444"/>
        <v>-2.4082461812642859E-8</v>
      </c>
      <c r="AF418" s="120">
        <f t="shared" si="445"/>
        <v>-2.4082461812642859E-8</v>
      </c>
      <c r="AG418" s="114"/>
    </row>
    <row r="419" spans="1:33" ht="19.95" customHeight="1" outlineLevel="1">
      <c r="A419" s="117">
        <v>3631</v>
      </c>
      <c r="B419" s="118" t="str">
        <f t="shared" si="455"/>
        <v>Tarleton</v>
      </c>
      <c r="C419" s="100">
        <f t="shared" si="446"/>
        <v>869096.21736603556</v>
      </c>
      <c r="D419" s="100"/>
      <c r="E419" s="100">
        <v>869096.21736603556</v>
      </c>
      <c r="F419" s="100">
        <f t="shared" si="440"/>
        <v>0</v>
      </c>
      <c r="G419" s="100">
        <v>869096.21736603556</v>
      </c>
      <c r="H419" s="100">
        <f t="shared" si="447"/>
        <v>1858772.781701199</v>
      </c>
      <c r="I419" s="100">
        <f t="shared" si="448"/>
        <v>989676.56433516345</v>
      </c>
      <c r="J419" s="96">
        <f t="shared" si="449"/>
        <v>1.1387422296400851</v>
      </c>
      <c r="K419" s="114"/>
      <c r="L419" s="100">
        <f>CRF!C11/2</f>
        <v>929386.39085059951</v>
      </c>
      <c r="M419" s="100">
        <f t="shared" si="450"/>
        <v>929386.39085059951</v>
      </c>
      <c r="N419" s="100">
        <f t="shared" si="451"/>
        <v>929386.39085059951</v>
      </c>
      <c r="O419" s="100">
        <f t="shared" si="452"/>
        <v>929386.39085059951</v>
      </c>
      <c r="P419" s="100"/>
      <c r="Q419" s="100"/>
      <c r="R419" s="100"/>
      <c r="S419" s="100"/>
      <c r="T419" s="100">
        <f t="shared" si="453"/>
        <v>929386.39085059951</v>
      </c>
      <c r="U419" s="100">
        <f t="shared" si="454"/>
        <v>929386.39085059951</v>
      </c>
      <c r="V419" s="97">
        <v>5330003.333333333</v>
      </c>
      <c r="W419" s="276">
        <f>CRF!D11</f>
        <v>5667055.333333333</v>
      </c>
      <c r="X419" s="553">
        <f t="shared" si="441"/>
        <v>6.3236733435438758E-2</v>
      </c>
      <c r="Y419" s="100">
        <v>929386</v>
      </c>
      <c r="Z419" s="100">
        <v>929386</v>
      </c>
      <c r="AB419" s="100">
        <f t="shared" si="442"/>
        <v>0.39085059950593859</v>
      </c>
      <c r="AC419" s="100">
        <f t="shared" si="443"/>
        <v>0.39085059950593859</v>
      </c>
      <c r="AE419" s="120">
        <f t="shared" si="444"/>
        <v>4.2054693650960561E-7</v>
      </c>
      <c r="AF419" s="120">
        <f t="shared" si="445"/>
        <v>4.2054693650960561E-7</v>
      </c>
      <c r="AG419" s="114"/>
    </row>
    <row r="420" spans="1:33" ht="19.95" customHeight="1" outlineLevel="1">
      <c r="A420" s="117">
        <v>42295</v>
      </c>
      <c r="B420" s="118" t="str">
        <f t="shared" si="455"/>
        <v>TAMU-Central</v>
      </c>
      <c r="C420" s="100">
        <f t="shared" si="446"/>
        <v>0</v>
      </c>
      <c r="D420" s="100"/>
      <c r="E420" s="100">
        <v>0</v>
      </c>
      <c r="F420" s="100">
        <f t="shared" si="440"/>
        <v>0</v>
      </c>
      <c r="G420" s="100">
        <v>0</v>
      </c>
      <c r="H420" s="100">
        <f>L420+M420</f>
        <v>184369.08590763301</v>
      </c>
      <c r="I420" s="100">
        <f>H420-G420</f>
        <v>184369.08590763301</v>
      </c>
      <c r="J420" s="96">
        <f t="shared" si="449"/>
        <v>0</v>
      </c>
      <c r="K420" s="114"/>
      <c r="L420" s="100">
        <f>CRF!C12/2</f>
        <v>92184.542953816504</v>
      </c>
      <c r="M420" s="100">
        <f>L420</f>
        <v>92184.542953816504</v>
      </c>
      <c r="N420" s="100">
        <f>L420-P420</f>
        <v>92184.542953816504</v>
      </c>
      <c r="O420" s="100">
        <f>M420-Q420</f>
        <v>92184.542953816504</v>
      </c>
      <c r="P420" s="100"/>
      <c r="Q420" s="100"/>
      <c r="R420" s="100"/>
      <c r="S420" s="100"/>
      <c r="T420" s="100">
        <f>L420</f>
        <v>92184.542953816504</v>
      </c>
      <c r="U420" s="100">
        <f>M420</f>
        <v>92184.542953816504</v>
      </c>
      <c r="V420" s="97">
        <v>0</v>
      </c>
      <c r="W420" s="276">
        <f>CRF!D12</f>
        <v>562107.33333333337</v>
      </c>
      <c r="X420" s="555" t="s">
        <v>268</v>
      </c>
      <c r="Y420" s="100">
        <v>92184</v>
      </c>
      <c r="Z420" s="100">
        <v>92184</v>
      </c>
      <c r="AB420" s="100"/>
      <c r="AC420" s="100"/>
      <c r="AE420" s="120"/>
      <c r="AF420" s="120"/>
      <c r="AG420" s="114"/>
    </row>
    <row r="421" spans="1:33" ht="19.5" customHeight="1" outlineLevel="1">
      <c r="A421" s="117">
        <v>11161</v>
      </c>
      <c r="B421" s="118" t="str">
        <f t="shared" si="455"/>
        <v>TAMU-CC</v>
      </c>
      <c r="C421" s="100">
        <f t="shared" si="446"/>
        <v>2925449.2509006225</v>
      </c>
      <c r="D421" s="100"/>
      <c r="E421" s="100">
        <v>2925449.2509006225</v>
      </c>
      <c r="F421" s="100">
        <f t="shared" si="440"/>
        <v>0</v>
      </c>
      <c r="G421" s="100">
        <v>2925449.2509006225</v>
      </c>
      <c r="H421" s="100">
        <f t="shared" si="447"/>
        <v>6082299.9792285487</v>
      </c>
      <c r="I421" s="100">
        <f t="shared" si="448"/>
        <v>3156850.7283279262</v>
      </c>
      <c r="J421" s="96">
        <f t="shared" si="449"/>
        <v>1.0790994673232035</v>
      </c>
      <c r="K421" s="114"/>
      <c r="L421" s="100">
        <f>CRF!C13/2</f>
        <v>3041149.9896142744</v>
      </c>
      <c r="M421" s="100">
        <f t="shared" si="450"/>
        <v>3041149.9896142744</v>
      </c>
      <c r="N421" s="100">
        <f t="shared" si="451"/>
        <v>3041149.9896142744</v>
      </c>
      <c r="O421" s="100">
        <f t="shared" si="452"/>
        <v>3041149.9896142744</v>
      </c>
      <c r="P421" s="100"/>
      <c r="Q421" s="100"/>
      <c r="R421" s="100"/>
      <c r="S421" s="100"/>
      <c r="T421" s="100">
        <f t="shared" si="453"/>
        <v>3041149.9896142744</v>
      </c>
      <c r="U421" s="100">
        <f t="shared" si="454"/>
        <v>3041149.9896142744</v>
      </c>
      <c r="V421" s="97">
        <v>17941229</v>
      </c>
      <c r="W421" s="276">
        <f>CRF!D13</f>
        <v>18543810.666666668</v>
      </c>
      <c r="X421" s="555">
        <f t="shared" si="441"/>
        <v>3.3586420789047833E-2</v>
      </c>
      <c r="Y421" s="100">
        <v>3041150</v>
      </c>
      <c r="Z421" s="100">
        <v>3041150</v>
      </c>
      <c r="AB421" s="100">
        <f t="shared" si="442"/>
        <v>-1.0385725647211075E-2</v>
      </c>
      <c r="AC421" s="100">
        <f t="shared" si="443"/>
        <v>-1.0385725647211075E-2</v>
      </c>
      <c r="AE421" s="120">
        <f t="shared" si="444"/>
        <v>-3.4150652492244727E-9</v>
      </c>
      <c r="AF421" s="120">
        <f t="shared" si="445"/>
        <v>-3.4150652492244727E-9</v>
      </c>
      <c r="AG421" s="114"/>
    </row>
    <row r="422" spans="1:33" ht="19.95" customHeight="1" outlineLevel="1">
      <c r="A422" s="117">
        <v>3639</v>
      </c>
      <c r="B422" s="118" t="str">
        <f t="shared" si="455"/>
        <v>TAMU-Kingsville</v>
      </c>
      <c r="C422" s="100">
        <f t="shared" si="446"/>
        <v>2282858.3894951553</v>
      </c>
      <c r="D422" s="100"/>
      <c r="E422" s="100">
        <v>2282858.3894951553</v>
      </c>
      <c r="F422" s="100">
        <f t="shared" si="440"/>
        <v>0</v>
      </c>
      <c r="G422" s="100">
        <v>2282858.3894951553</v>
      </c>
      <c r="H422" s="100">
        <f t="shared" si="447"/>
        <v>4973995.0344800707</v>
      </c>
      <c r="I422" s="100">
        <f t="shared" si="448"/>
        <v>2691136.6449849154</v>
      </c>
      <c r="J422" s="96">
        <f t="shared" si="449"/>
        <v>1.1788451957285222</v>
      </c>
      <c r="K422" s="114"/>
      <c r="L422" s="100">
        <f>CRF!C14/2</f>
        <v>2486997.5172400353</v>
      </c>
      <c r="M422" s="100">
        <f t="shared" si="450"/>
        <v>2486997.5172400353</v>
      </c>
      <c r="N422" s="100">
        <f t="shared" si="451"/>
        <v>2486997.5172400353</v>
      </c>
      <c r="O422" s="100">
        <f t="shared" si="452"/>
        <v>2486997.5172400353</v>
      </c>
      <c r="P422" s="100"/>
      <c r="Q422" s="100"/>
      <c r="R422" s="100"/>
      <c r="S422" s="100"/>
      <c r="T422" s="100">
        <f t="shared" si="453"/>
        <v>2486997.5172400353</v>
      </c>
      <c r="U422" s="100">
        <f t="shared" si="454"/>
        <v>2486997.5172400353</v>
      </c>
      <c r="V422" s="97">
        <v>14000340.333333334</v>
      </c>
      <c r="W422" s="276">
        <f>CRF!D14</f>
        <v>15164793.333333334</v>
      </c>
      <c r="X422" s="555">
        <f t="shared" si="441"/>
        <v>8.3173192385013681E-2</v>
      </c>
      <c r="Y422" s="100">
        <v>2486997</v>
      </c>
      <c r="Z422" s="100">
        <v>2486997</v>
      </c>
      <c r="AB422" s="100">
        <f t="shared" si="442"/>
        <v>0.51724003534764051</v>
      </c>
      <c r="AC422" s="100">
        <f t="shared" si="443"/>
        <v>0.51724003534764051</v>
      </c>
      <c r="AE422" s="120">
        <f t="shared" si="444"/>
        <v>2.0797770474722935E-7</v>
      </c>
      <c r="AF422" s="120">
        <f t="shared" si="445"/>
        <v>2.0797770474722935E-7</v>
      </c>
      <c r="AG422" s="114"/>
    </row>
    <row r="423" spans="1:33" ht="19.95" customHeight="1" outlineLevel="1">
      <c r="A423" s="117">
        <v>42485</v>
      </c>
      <c r="B423" s="118" t="str">
        <f t="shared" si="455"/>
        <v>TAMU-San Antonio</v>
      </c>
      <c r="C423" s="100">
        <f t="shared" si="446"/>
        <v>15024.375962579536</v>
      </c>
      <c r="D423" s="100"/>
      <c r="E423" s="100">
        <v>15024.375962579536</v>
      </c>
      <c r="F423" s="100">
        <f t="shared" si="440"/>
        <v>0</v>
      </c>
      <c r="G423" s="100">
        <v>15024.375962579536</v>
      </c>
      <c r="H423" s="100">
        <f t="shared" si="447"/>
        <v>83428.13694693151</v>
      </c>
      <c r="I423" s="100">
        <f t="shared" si="448"/>
        <v>68403.760984351975</v>
      </c>
      <c r="J423" s="96">
        <f t="shared" si="449"/>
        <v>4.552852055534407</v>
      </c>
      <c r="K423" s="114"/>
      <c r="L423" s="100">
        <f>CRF!C15/2</f>
        <v>41714.068473465755</v>
      </c>
      <c r="M423" s="100">
        <f t="shared" si="450"/>
        <v>41714.068473465755</v>
      </c>
      <c r="N423" s="100">
        <f t="shared" si="451"/>
        <v>41714.068473465755</v>
      </c>
      <c r="O423" s="100">
        <f t="shared" si="452"/>
        <v>41714.068473465755</v>
      </c>
      <c r="P423" s="100"/>
      <c r="Q423" s="100"/>
      <c r="R423" s="100"/>
      <c r="S423" s="100"/>
      <c r="T423" s="100">
        <f t="shared" si="453"/>
        <v>41714.068473465755</v>
      </c>
      <c r="U423" s="100">
        <f t="shared" si="454"/>
        <v>41714.068473465755</v>
      </c>
      <c r="V423" s="97">
        <v>92141.666666666672</v>
      </c>
      <c r="W423" s="276">
        <f>CRF!D15</f>
        <v>254357</v>
      </c>
      <c r="X423" s="555">
        <f t="shared" si="441"/>
        <v>1.7604992312562175</v>
      </c>
      <c r="Y423" s="100">
        <v>41714</v>
      </c>
      <c r="Z423" s="100">
        <v>41714</v>
      </c>
      <c r="AB423" s="100">
        <f t="shared" si="442"/>
        <v>6.847346575523261E-2</v>
      </c>
      <c r="AC423" s="100">
        <f t="shared" si="443"/>
        <v>6.847346575523261E-2</v>
      </c>
      <c r="AE423" s="120">
        <f t="shared" si="444"/>
        <v>1.6414957413897054E-6</v>
      </c>
      <c r="AF423" s="120">
        <f t="shared" si="445"/>
        <v>1.6414957413897054E-6</v>
      </c>
      <c r="AG423" s="114"/>
    </row>
    <row r="424" spans="1:33" ht="19.95" customHeight="1" outlineLevel="1">
      <c r="A424" s="117">
        <v>9651</v>
      </c>
      <c r="B424" s="118" t="str">
        <f t="shared" si="455"/>
        <v>TAMI</v>
      </c>
      <c r="C424" s="100">
        <f t="shared" si="446"/>
        <v>418236.50364954461</v>
      </c>
      <c r="D424" s="100"/>
      <c r="E424" s="100">
        <v>418236.50364954461</v>
      </c>
      <c r="F424" s="100">
        <f t="shared" si="440"/>
        <v>0</v>
      </c>
      <c r="G424" s="100">
        <v>418236.50364954461</v>
      </c>
      <c r="H424" s="100">
        <f t="shared" si="447"/>
        <v>691249.21103726106</v>
      </c>
      <c r="I424" s="100">
        <f t="shared" si="448"/>
        <v>273012.70738771645</v>
      </c>
      <c r="J424" s="96">
        <f t="shared" si="449"/>
        <v>0.65277111157299561</v>
      </c>
      <c r="K424" s="114"/>
      <c r="L424" s="100">
        <f>CRF!C16/2</f>
        <v>345624.60551863053</v>
      </c>
      <c r="M424" s="100">
        <f t="shared" si="450"/>
        <v>345624.60551863053</v>
      </c>
      <c r="N424" s="100">
        <f t="shared" si="451"/>
        <v>345624.60551863053</v>
      </c>
      <c r="O424" s="100">
        <f t="shared" si="452"/>
        <v>345624.60551863053</v>
      </c>
      <c r="P424" s="100"/>
      <c r="Q424" s="100"/>
      <c r="R424" s="100"/>
      <c r="S424" s="100"/>
      <c r="T424" s="100">
        <f t="shared" si="453"/>
        <v>345624.60551863053</v>
      </c>
      <c r="U424" s="100">
        <f t="shared" si="454"/>
        <v>345624.60551863053</v>
      </c>
      <c r="V424" s="97">
        <v>2564965.6666666665</v>
      </c>
      <c r="W424" s="276">
        <f>CRF!D16</f>
        <v>2107491.3333333335</v>
      </c>
      <c r="X424" s="555">
        <f t="shared" si="441"/>
        <v>-0.17835495393895451</v>
      </c>
      <c r="Y424" s="100">
        <v>345625</v>
      </c>
      <c r="Z424" s="100">
        <v>345625</v>
      </c>
      <c r="AB424" s="100">
        <f t="shared" si="442"/>
        <v>-0.39448136946884915</v>
      </c>
      <c r="AC424" s="100">
        <f t="shared" si="443"/>
        <v>-0.39448136946884915</v>
      </c>
      <c r="AE424" s="120">
        <f t="shared" si="444"/>
        <v>-1.1413578870546734E-6</v>
      </c>
      <c r="AF424" s="120">
        <f t="shared" si="445"/>
        <v>-1.1413578870546734E-6</v>
      </c>
      <c r="AG424" s="114"/>
    </row>
    <row r="425" spans="1:33" ht="19.95" customHeight="1" outlineLevel="1">
      <c r="A425" s="117">
        <v>3665</v>
      </c>
      <c r="B425" s="118" t="str">
        <f t="shared" si="455"/>
        <v>WTAMU</v>
      </c>
      <c r="C425" s="100">
        <f t="shared" si="446"/>
        <v>343956.10846594116</v>
      </c>
      <c r="D425" s="100"/>
      <c r="E425" s="100">
        <v>343956.10846594116</v>
      </c>
      <c r="F425" s="100">
        <f t="shared" si="440"/>
        <v>0</v>
      </c>
      <c r="G425" s="100">
        <v>343956.10846594116</v>
      </c>
      <c r="H425" s="100">
        <f t="shared" si="447"/>
        <v>1033565.6465851546</v>
      </c>
      <c r="I425" s="100">
        <f t="shared" si="448"/>
        <v>689609.53811921342</v>
      </c>
      <c r="J425" s="96">
        <f t="shared" si="449"/>
        <v>2.004934702845957</v>
      </c>
      <c r="K425" s="114"/>
      <c r="L425" s="100">
        <f>CRF!C17/2</f>
        <v>516782.82329257729</v>
      </c>
      <c r="M425" s="100">
        <f t="shared" si="450"/>
        <v>516782.82329257729</v>
      </c>
      <c r="N425" s="100">
        <f t="shared" si="451"/>
        <v>516782.82329257729</v>
      </c>
      <c r="O425" s="100">
        <f t="shared" si="452"/>
        <v>516782.82329257729</v>
      </c>
      <c r="P425" s="100"/>
      <c r="Q425" s="100"/>
      <c r="R425" s="100"/>
      <c r="S425" s="100"/>
      <c r="T425" s="100">
        <f t="shared" si="453"/>
        <v>516782.82329257729</v>
      </c>
      <c r="U425" s="100">
        <f t="shared" si="454"/>
        <v>516782.82329257729</v>
      </c>
      <c r="V425" s="97">
        <v>2109418</v>
      </c>
      <c r="W425" s="276">
        <f>CRF!D17</f>
        <v>3151151</v>
      </c>
      <c r="X425" s="555">
        <f t="shared" si="441"/>
        <v>0.4938485402134617</v>
      </c>
      <c r="Y425" s="100">
        <v>516783</v>
      </c>
      <c r="Z425" s="100">
        <v>516783</v>
      </c>
      <c r="AB425" s="100">
        <f t="shared" si="442"/>
        <v>-0.17670742271002382</v>
      </c>
      <c r="AC425" s="100">
        <f t="shared" si="443"/>
        <v>-0.17670742271002382</v>
      </c>
      <c r="AE425" s="120">
        <f t="shared" si="444"/>
        <v>-3.4193749239606727E-7</v>
      </c>
      <c r="AF425" s="120">
        <f t="shared" si="445"/>
        <v>-3.4193749239606727E-7</v>
      </c>
      <c r="AG425" s="114"/>
    </row>
    <row r="426" spans="1:33" ht="19.95" customHeight="1" outlineLevel="1">
      <c r="A426" s="117">
        <v>3565</v>
      </c>
      <c r="B426" s="118" t="str">
        <f t="shared" si="455"/>
        <v>TAMU-Commerce</v>
      </c>
      <c r="C426" s="100">
        <f t="shared" si="446"/>
        <v>223366.99115110698</v>
      </c>
      <c r="D426" s="100"/>
      <c r="E426" s="100">
        <v>223366.99115110698</v>
      </c>
      <c r="F426" s="100">
        <f t="shared" si="440"/>
        <v>0</v>
      </c>
      <c r="G426" s="100">
        <v>223366.99115110698</v>
      </c>
      <c r="H426" s="100">
        <f t="shared" si="447"/>
        <v>426527.49949464155</v>
      </c>
      <c r="I426" s="100">
        <f t="shared" si="448"/>
        <v>203160.50834353457</v>
      </c>
      <c r="J426" s="96">
        <f t="shared" si="449"/>
        <v>0.90953684470816554</v>
      </c>
      <c r="K426" s="114"/>
      <c r="L426" s="100">
        <f>CRF!C18/2</f>
        <v>213263.74974732078</v>
      </c>
      <c r="M426" s="100">
        <f t="shared" si="450"/>
        <v>213263.74974732078</v>
      </c>
      <c r="N426" s="100">
        <f t="shared" si="451"/>
        <v>213263.74974732078</v>
      </c>
      <c r="O426" s="100">
        <f t="shared" si="452"/>
        <v>213263.74974732078</v>
      </c>
      <c r="P426" s="100"/>
      <c r="Q426" s="100"/>
      <c r="R426" s="100"/>
      <c r="S426" s="100"/>
      <c r="T426" s="100">
        <f t="shared" si="453"/>
        <v>213263.74974732078</v>
      </c>
      <c r="U426" s="100">
        <f t="shared" si="454"/>
        <v>213263.74974732078</v>
      </c>
      <c r="V426" s="97">
        <v>1369867.6666666667</v>
      </c>
      <c r="W426" s="276">
        <f>CRF!D18</f>
        <v>1300403.6666666667</v>
      </c>
      <c r="X426" s="555">
        <f t="shared" si="441"/>
        <v>-5.0708547759966104E-2</v>
      </c>
      <c r="Y426" s="100">
        <v>213264</v>
      </c>
      <c r="Z426" s="100">
        <v>213264</v>
      </c>
      <c r="AB426" s="100">
        <f t="shared" si="442"/>
        <v>-0.25025267922319472</v>
      </c>
      <c r="AC426" s="100">
        <f t="shared" si="443"/>
        <v>-0.25025267922319472</v>
      </c>
      <c r="AE426" s="120">
        <f t="shared" si="444"/>
        <v>-1.1734421790843459E-6</v>
      </c>
      <c r="AF426" s="120">
        <f t="shared" si="445"/>
        <v>-1.1734421790843459E-6</v>
      </c>
      <c r="AG426" s="114"/>
    </row>
    <row r="427" spans="1:33" ht="19.95" customHeight="1" outlineLevel="1">
      <c r="A427" s="117">
        <v>29269</v>
      </c>
      <c r="B427" s="118" t="str">
        <f t="shared" si="455"/>
        <v>TAMU-Texarkana</v>
      </c>
      <c r="C427" s="100">
        <f t="shared" si="446"/>
        <v>0</v>
      </c>
      <c r="D427" s="100"/>
      <c r="E427" s="100">
        <v>0</v>
      </c>
      <c r="F427" s="100">
        <f t="shared" si="440"/>
        <v>0</v>
      </c>
      <c r="G427" s="100">
        <v>0</v>
      </c>
      <c r="H427" s="100">
        <f>L427+M427</f>
        <v>6832.3801246380008</v>
      </c>
      <c r="I427" s="100">
        <f>H427-G427</f>
        <v>6832.3801246380008</v>
      </c>
      <c r="J427" s="96">
        <f>IF(OR(I427=0,G427=0),0,I427/G427)</f>
        <v>0</v>
      </c>
      <c r="K427" s="114"/>
      <c r="L427" s="100">
        <f>CRF!C19/2</f>
        <v>3416.1900623190004</v>
      </c>
      <c r="M427" s="100">
        <f>L427</f>
        <v>3416.1900623190004</v>
      </c>
      <c r="N427" s="100">
        <f>L427-P427</f>
        <v>3416.1900623190004</v>
      </c>
      <c r="O427" s="100">
        <f>M427-Q427</f>
        <v>3416.1900623190004</v>
      </c>
      <c r="P427" s="100"/>
      <c r="Q427" s="100"/>
      <c r="R427" s="100"/>
      <c r="S427" s="100"/>
      <c r="T427" s="100">
        <f>L427</f>
        <v>3416.1900623190004</v>
      </c>
      <c r="U427" s="100">
        <f>M427</f>
        <v>3416.1900623190004</v>
      </c>
      <c r="V427" s="97">
        <v>0</v>
      </c>
      <c r="W427" s="276">
        <f>CRF!D19</f>
        <v>20830.666666666668</v>
      </c>
      <c r="X427" s="555" t="s">
        <v>268</v>
      </c>
      <c r="Y427" s="100">
        <v>3416</v>
      </c>
      <c r="Z427" s="100">
        <v>3416</v>
      </c>
      <c r="AB427" s="100"/>
      <c r="AC427" s="100"/>
      <c r="AE427" s="120"/>
      <c r="AF427" s="120"/>
      <c r="AG427" s="114"/>
    </row>
    <row r="428" spans="1:33" ht="19.95" customHeight="1" outlineLevel="1">
      <c r="A428" s="117">
        <v>11711</v>
      </c>
      <c r="B428" s="118" t="str">
        <f>B46</f>
        <v>UH-Clear Lake</v>
      </c>
      <c r="C428" s="100">
        <f t="shared" si="446"/>
        <v>169320.70860509149</v>
      </c>
      <c r="D428" s="100"/>
      <c r="E428" s="100">
        <v>169320.70860509149</v>
      </c>
      <c r="F428" s="100">
        <f t="shared" si="440"/>
        <v>0</v>
      </c>
      <c r="G428" s="100">
        <v>169320.70860509149</v>
      </c>
      <c r="H428" s="100">
        <f t="shared" si="447"/>
        <v>342772.7876352045</v>
      </c>
      <c r="I428" s="100">
        <f t="shared" si="448"/>
        <v>173452.079030113</v>
      </c>
      <c r="J428" s="96">
        <f t="shared" si="449"/>
        <v>1.0243996759702745</v>
      </c>
      <c r="K428" s="114"/>
      <c r="L428" s="100">
        <f>CRF!C20/2</f>
        <v>171386.39381760225</v>
      </c>
      <c r="M428" s="100">
        <f t="shared" si="450"/>
        <v>171386.39381760225</v>
      </c>
      <c r="N428" s="100">
        <f t="shared" si="451"/>
        <v>171386.39381760225</v>
      </c>
      <c r="O428" s="100">
        <f t="shared" si="452"/>
        <v>171386.39381760225</v>
      </c>
      <c r="P428" s="100"/>
      <c r="Q428" s="100"/>
      <c r="R428" s="100"/>
      <c r="S428" s="100"/>
      <c r="T428" s="100">
        <f t="shared" si="453"/>
        <v>171386.39381760225</v>
      </c>
      <c r="U428" s="100">
        <f t="shared" si="454"/>
        <v>171386.39381760225</v>
      </c>
      <c r="V428" s="97">
        <v>1038412</v>
      </c>
      <c r="W428" s="276">
        <f>CRF!D20</f>
        <v>1045051</v>
      </c>
      <c r="X428" s="553">
        <f t="shared" si="441"/>
        <v>6.3934161007384348E-3</v>
      </c>
      <c r="Y428" s="100">
        <v>171386</v>
      </c>
      <c r="Z428" s="100">
        <v>171386</v>
      </c>
      <c r="AB428" s="100">
        <f t="shared" si="442"/>
        <v>0.39381760224932805</v>
      </c>
      <c r="AC428" s="100">
        <f t="shared" si="443"/>
        <v>0.39381760224932805</v>
      </c>
      <c r="AE428" s="120">
        <f t="shared" si="444"/>
        <v>2.2978346966588721E-6</v>
      </c>
      <c r="AF428" s="120">
        <f t="shared" si="445"/>
        <v>2.2978346966588721E-6</v>
      </c>
      <c r="AG428" s="114"/>
    </row>
    <row r="429" spans="1:33" ht="19.95" customHeight="1" outlineLevel="1">
      <c r="A429" s="117">
        <v>12826</v>
      </c>
      <c r="B429" s="118" t="str">
        <f>B47</f>
        <v>UH-Downtown</v>
      </c>
      <c r="C429" s="100">
        <f t="shared" si="446"/>
        <v>291803.19351206266</v>
      </c>
      <c r="D429" s="100"/>
      <c r="E429" s="100">
        <v>291803.19351206266</v>
      </c>
      <c r="F429" s="100">
        <f t="shared" si="440"/>
        <v>0</v>
      </c>
      <c r="G429" s="100">
        <v>291803.19351206266</v>
      </c>
      <c r="H429" s="100">
        <f t="shared" si="447"/>
        <v>505546.38312840456</v>
      </c>
      <c r="I429" s="100">
        <f t="shared" si="448"/>
        <v>213743.1896163419</v>
      </c>
      <c r="J429" s="96">
        <f t="shared" si="449"/>
        <v>0.73249091980038972</v>
      </c>
      <c r="K429" s="114"/>
      <c r="L429" s="100">
        <f>CRF!C21/2</f>
        <v>252773.19156420228</v>
      </c>
      <c r="M429" s="100">
        <f t="shared" si="450"/>
        <v>252773.19156420228</v>
      </c>
      <c r="N429" s="100">
        <f t="shared" si="451"/>
        <v>252773.19156420228</v>
      </c>
      <c r="O429" s="100">
        <f t="shared" si="452"/>
        <v>252773.19156420228</v>
      </c>
      <c r="P429" s="100"/>
      <c r="Q429" s="100"/>
      <c r="R429" s="100"/>
      <c r="S429" s="100"/>
      <c r="T429" s="100">
        <f t="shared" si="453"/>
        <v>252773.19156420228</v>
      </c>
      <c r="U429" s="100">
        <f t="shared" si="454"/>
        <v>252773.19156420228</v>
      </c>
      <c r="V429" s="97">
        <v>1789574</v>
      </c>
      <c r="W429" s="276">
        <f>CRF!D21</f>
        <v>1541317.6666666667</v>
      </c>
      <c r="X429" s="553">
        <f t="shared" si="441"/>
        <v>-0.13872370370453149</v>
      </c>
      <c r="Y429" s="100">
        <v>252773</v>
      </c>
      <c r="Z429" s="100">
        <v>252773</v>
      </c>
      <c r="AB429" s="100">
        <f t="shared" si="442"/>
        <v>0.19156420227955095</v>
      </c>
      <c r="AC429" s="100">
        <f t="shared" si="443"/>
        <v>0.19156420227955095</v>
      </c>
      <c r="AE429" s="120">
        <f t="shared" si="444"/>
        <v>7.5785015449668541E-7</v>
      </c>
      <c r="AF429" s="120">
        <f t="shared" si="445"/>
        <v>7.5785015449668541E-7</v>
      </c>
      <c r="AG429" s="114"/>
    </row>
    <row r="430" spans="1:33" ht="19.95" customHeight="1" outlineLevel="1">
      <c r="A430" s="117">
        <v>13231</v>
      </c>
      <c r="B430" s="118" t="str">
        <f>B48</f>
        <v>UH-Victoria</v>
      </c>
      <c r="C430" s="100">
        <f t="shared" si="446"/>
        <v>12800.871589772565</v>
      </c>
      <c r="D430" s="100"/>
      <c r="E430" s="100">
        <v>12800.871589772565</v>
      </c>
      <c r="F430" s="100">
        <f t="shared" si="440"/>
        <v>0</v>
      </c>
      <c r="G430" s="100">
        <v>12800.871589772565</v>
      </c>
      <c r="H430" s="100">
        <f t="shared" si="447"/>
        <v>31530.058877682</v>
      </c>
      <c r="I430" s="100">
        <f t="shared" si="448"/>
        <v>18729.187287909437</v>
      </c>
      <c r="J430" s="96">
        <f t="shared" si="449"/>
        <v>1.4631181288368975</v>
      </c>
      <c r="K430" s="114"/>
      <c r="L430" s="100">
        <f>CRF!C22/2</f>
        <v>15765.029438841</v>
      </c>
      <c r="M430" s="100">
        <f t="shared" si="450"/>
        <v>15765.029438841</v>
      </c>
      <c r="N430" s="100">
        <f t="shared" si="451"/>
        <v>15765.029438841</v>
      </c>
      <c r="O430" s="100">
        <f t="shared" si="452"/>
        <v>15765.029438841</v>
      </c>
      <c r="P430" s="100"/>
      <c r="Q430" s="100"/>
      <c r="R430" s="100"/>
      <c r="S430" s="100"/>
      <c r="T430" s="100">
        <f t="shared" si="453"/>
        <v>15765.029438841</v>
      </c>
      <c r="U430" s="100">
        <f t="shared" si="454"/>
        <v>15765.029438841</v>
      </c>
      <c r="V430" s="97">
        <v>78505.333333333328</v>
      </c>
      <c r="W430" s="276">
        <f>CRF!D22</f>
        <v>96129.333333333328</v>
      </c>
      <c r="X430" s="553">
        <f t="shared" si="441"/>
        <v>0.22449430187333347</v>
      </c>
      <c r="Y430" s="100">
        <v>15765</v>
      </c>
      <c r="Z430" s="100">
        <v>15765</v>
      </c>
      <c r="AB430" s="100">
        <f t="shared" si="442"/>
        <v>2.9438841000228422E-2</v>
      </c>
      <c r="AC430" s="100">
        <f t="shared" si="443"/>
        <v>2.9438841000228422E-2</v>
      </c>
      <c r="AE430" s="120">
        <f t="shared" si="444"/>
        <v>1.8673508422190858E-6</v>
      </c>
      <c r="AF430" s="120">
        <f t="shared" si="445"/>
        <v>1.8673508422190858E-6</v>
      </c>
      <c r="AG430" s="114"/>
    </row>
    <row r="431" spans="1:33" ht="19.95" customHeight="1" outlineLevel="1">
      <c r="A431" s="117">
        <v>3592</v>
      </c>
      <c r="B431" s="118" t="str">
        <f>B49</f>
        <v>Midwestern</v>
      </c>
      <c r="C431" s="100">
        <f t="shared" si="446"/>
        <v>107907.60370503388</v>
      </c>
      <c r="D431" s="100"/>
      <c r="E431" s="100">
        <v>107907.60370503388</v>
      </c>
      <c r="F431" s="100">
        <f t="shared" si="440"/>
        <v>0</v>
      </c>
      <c r="G431" s="100">
        <v>107907.60370503388</v>
      </c>
      <c r="H431" s="100">
        <f t="shared" si="447"/>
        <v>263747.78140515753</v>
      </c>
      <c r="I431" s="100">
        <f t="shared" si="448"/>
        <v>155840.17770012363</v>
      </c>
      <c r="J431" s="96">
        <f t="shared" si="449"/>
        <v>1.4442001522535313</v>
      </c>
      <c r="K431" s="114"/>
      <c r="L431" s="100">
        <f>CRF!C23/2</f>
        <v>131873.89070257876</v>
      </c>
      <c r="M431" s="100">
        <f t="shared" si="450"/>
        <v>131873.89070257876</v>
      </c>
      <c r="N431" s="100">
        <f t="shared" si="451"/>
        <v>131873.89070257876</v>
      </c>
      <c r="O431" s="100">
        <f t="shared" si="452"/>
        <v>131873.89070257876</v>
      </c>
      <c r="P431" s="100"/>
      <c r="Q431" s="100"/>
      <c r="R431" s="100"/>
      <c r="S431" s="100"/>
      <c r="T431" s="100">
        <f t="shared" si="453"/>
        <v>131873.89070257876</v>
      </c>
      <c r="U431" s="100">
        <f t="shared" si="454"/>
        <v>131873.89070257876</v>
      </c>
      <c r="V431" s="97">
        <v>661777</v>
      </c>
      <c r="W431" s="276">
        <f>CRF!D23</f>
        <v>804118.33333333337</v>
      </c>
      <c r="X431" s="553">
        <f t="shared" si="441"/>
        <v>0.21508957448405336</v>
      </c>
      <c r="Y431" s="100">
        <v>131874</v>
      </c>
      <c r="Z431" s="100">
        <v>131874</v>
      </c>
      <c r="AB431" s="100">
        <f t="shared" si="442"/>
        <v>-0.10929742123698816</v>
      </c>
      <c r="AC431" s="100">
        <f t="shared" si="443"/>
        <v>-0.10929742123698816</v>
      </c>
      <c r="AE431" s="120">
        <f t="shared" si="444"/>
        <v>-8.2880258294260575E-7</v>
      </c>
      <c r="AF431" s="120">
        <f t="shared" si="445"/>
        <v>-8.2880258294260575E-7</v>
      </c>
      <c r="AG431" s="114"/>
    </row>
    <row r="432" spans="1:33" ht="19.95" customHeight="1" outlineLevel="1">
      <c r="A432" s="117">
        <v>42421</v>
      </c>
      <c r="B432" s="118" t="str">
        <f>B51</f>
        <v>UNT-Dallas</v>
      </c>
      <c r="C432" s="100">
        <f t="shared" si="446"/>
        <v>6146.1206818215833</v>
      </c>
      <c r="D432" s="100"/>
      <c r="E432" s="100">
        <v>6146.1206818215833</v>
      </c>
      <c r="F432" s="100">
        <f t="shared" si="440"/>
        <v>0</v>
      </c>
      <c r="G432" s="100">
        <v>6146.1206818215833</v>
      </c>
      <c r="H432" s="100">
        <f t="shared" si="447"/>
        <v>22163.033223544502</v>
      </c>
      <c r="I432" s="100">
        <f t="shared" si="448"/>
        <v>16016.912541722919</v>
      </c>
      <c r="J432" s="96">
        <f t="shared" si="449"/>
        <v>2.606019857224124</v>
      </c>
      <c r="K432" s="114"/>
      <c r="L432" s="100">
        <f>CRF!C24/2</f>
        <v>11081.516611772251</v>
      </c>
      <c r="M432" s="100">
        <f t="shared" si="450"/>
        <v>11081.516611772251</v>
      </c>
      <c r="N432" s="100">
        <f t="shared" si="451"/>
        <v>11081.516611772251</v>
      </c>
      <c r="O432" s="100">
        <f t="shared" si="452"/>
        <v>11081.516611772251</v>
      </c>
      <c r="P432" s="100"/>
      <c r="Q432" s="100"/>
      <c r="R432" s="100"/>
      <c r="S432" s="100"/>
      <c r="T432" s="100">
        <f t="shared" si="453"/>
        <v>11081.516611772251</v>
      </c>
      <c r="U432" s="100">
        <f t="shared" si="454"/>
        <v>11081.516611772251</v>
      </c>
      <c r="V432" s="97">
        <v>37693</v>
      </c>
      <c r="W432" s="276">
        <f>CRF!D24</f>
        <v>67571</v>
      </c>
      <c r="X432" s="553">
        <f t="shared" si="441"/>
        <v>0.79266707346191601</v>
      </c>
      <c r="Y432" s="100">
        <v>11082</v>
      </c>
      <c r="Z432" s="100">
        <v>11082</v>
      </c>
      <c r="AB432" s="100">
        <f t="shared" si="442"/>
        <v>-0.48338822774894652</v>
      </c>
      <c r="AC432" s="100">
        <f t="shared" si="443"/>
        <v>-0.48338822774894652</v>
      </c>
      <c r="AE432" s="120">
        <f t="shared" si="444"/>
        <v>-4.3621125580899969E-5</v>
      </c>
      <c r="AF432" s="120">
        <f t="shared" si="445"/>
        <v>-4.3621125580899969E-5</v>
      </c>
      <c r="AG432" s="114"/>
    </row>
    <row r="433" spans="1:33" ht="19.95" customHeight="1" outlineLevel="1">
      <c r="A433" s="117">
        <v>3624</v>
      </c>
      <c r="B433" s="118" t="str">
        <f>B52</f>
        <v>SFA</v>
      </c>
      <c r="C433" s="100">
        <f t="shared" si="446"/>
        <v>286507.19949906884</v>
      </c>
      <c r="D433" s="100"/>
      <c r="E433" s="100">
        <v>286507.19949906884</v>
      </c>
      <c r="F433" s="100">
        <f t="shared" si="440"/>
        <v>0</v>
      </c>
      <c r="G433" s="100">
        <v>286507.19949906884</v>
      </c>
      <c r="H433" s="100">
        <f t="shared" si="447"/>
        <v>493603.71241608006</v>
      </c>
      <c r="I433" s="100">
        <f t="shared" si="448"/>
        <v>207096.51291701122</v>
      </c>
      <c r="J433" s="96">
        <f t="shared" si="449"/>
        <v>0.72283179368302153</v>
      </c>
      <c r="K433" s="114"/>
      <c r="L433" s="100">
        <f>CRF!C25/2</f>
        <v>246801.85620804003</v>
      </c>
      <c r="M433" s="100">
        <f t="shared" si="450"/>
        <v>246801.85620804003</v>
      </c>
      <c r="N433" s="100">
        <f t="shared" si="451"/>
        <v>246801.85620804003</v>
      </c>
      <c r="O433" s="100">
        <f t="shared" si="452"/>
        <v>246801.85620804003</v>
      </c>
      <c r="P433" s="100"/>
      <c r="Q433" s="100"/>
      <c r="R433" s="100"/>
      <c r="S433" s="100"/>
      <c r="T433" s="100">
        <f t="shared" si="453"/>
        <v>246801.85620804003</v>
      </c>
      <c r="U433" s="100">
        <f t="shared" si="454"/>
        <v>246801.85620804003</v>
      </c>
      <c r="V433" s="97">
        <v>1757094.6666666667</v>
      </c>
      <c r="W433" s="276">
        <f>CRF!D25</f>
        <v>1504906.6666666667</v>
      </c>
      <c r="X433" s="553">
        <f t="shared" si="441"/>
        <v>-0.14352556227287316</v>
      </c>
      <c r="Y433" s="100">
        <v>246802</v>
      </c>
      <c r="Z433" s="100">
        <v>246802</v>
      </c>
      <c r="AB433" s="100">
        <f t="shared" si="442"/>
        <v>-0.14379195997025818</v>
      </c>
      <c r="AC433" s="100">
        <f t="shared" si="443"/>
        <v>-0.14379195997025818</v>
      </c>
      <c r="AE433" s="120">
        <f t="shared" si="444"/>
        <v>-5.8262106363191072E-7</v>
      </c>
      <c r="AF433" s="120">
        <f t="shared" si="445"/>
        <v>-5.8262106363191072E-7</v>
      </c>
      <c r="AG433" s="114"/>
    </row>
    <row r="434" spans="1:33" ht="19.95" customHeight="1" outlineLevel="1">
      <c r="A434" s="117">
        <v>3642</v>
      </c>
      <c r="B434" s="118" t="str">
        <f>B53</f>
        <v>TSU</v>
      </c>
      <c r="C434" s="100">
        <f t="shared" si="446"/>
        <v>661495.51311859244</v>
      </c>
      <c r="D434" s="100"/>
      <c r="E434" s="100">
        <v>661495.51311859244</v>
      </c>
      <c r="F434" s="100">
        <f t="shared" si="440"/>
        <v>0</v>
      </c>
      <c r="G434" s="100">
        <v>661495.51311859244</v>
      </c>
      <c r="H434" s="100">
        <f t="shared" si="447"/>
        <v>1079183.5808481674</v>
      </c>
      <c r="I434" s="100">
        <f t="shared" si="448"/>
        <v>417688.06772957498</v>
      </c>
      <c r="J434" s="96">
        <f t="shared" si="449"/>
        <v>0.63142993330431274</v>
      </c>
      <c r="K434" s="114"/>
      <c r="L434" s="100">
        <f>CRF!C26/2</f>
        <v>539591.79042408371</v>
      </c>
      <c r="M434" s="100">
        <f t="shared" si="450"/>
        <v>539591.79042408371</v>
      </c>
      <c r="N434" s="100">
        <f t="shared" si="451"/>
        <v>539591.79042408371</v>
      </c>
      <c r="O434" s="100">
        <f t="shared" si="452"/>
        <v>539591.79042408371</v>
      </c>
      <c r="P434" s="100"/>
      <c r="Q434" s="100"/>
      <c r="R434" s="100"/>
      <c r="S434" s="100"/>
      <c r="T434" s="100">
        <f t="shared" si="453"/>
        <v>539591.79042408371</v>
      </c>
      <c r="U434" s="100">
        <f t="shared" si="454"/>
        <v>539591.79042408371</v>
      </c>
      <c r="V434" s="97">
        <v>4056827.3333333335</v>
      </c>
      <c r="W434" s="276">
        <f>CRF!D26</f>
        <v>3290231.6666666665</v>
      </c>
      <c r="X434" s="553">
        <f t="shared" si="441"/>
        <v>-0.1889643318974549</v>
      </c>
      <c r="Y434" s="100">
        <v>539592</v>
      </c>
      <c r="Z434" s="100">
        <v>539592</v>
      </c>
      <c r="AB434" s="100">
        <f t="shared" si="442"/>
        <v>-0.20957591629121453</v>
      </c>
      <c r="AC434" s="100">
        <f t="shared" si="443"/>
        <v>-0.20957591629121453</v>
      </c>
      <c r="AE434" s="120">
        <f t="shared" si="444"/>
        <v>-3.8839715505401149E-7</v>
      </c>
      <c r="AF434" s="120">
        <f t="shared" si="445"/>
        <v>-3.8839715505401149E-7</v>
      </c>
      <c r="AG434" s="114"/>
    </row>
    <row r="435" spans="1:33" ht="19.95" customHeight="1" outlineLevel="1">
      <c r="A435" s="117">
        <v>3541</v>
      </c>
      <c r="B435" s="118" t="str">
        <f>B55</f>
        <v>Angelo</v>
      </c>
      <c r="C435" s="100">
        <f t="shared" si="446"/>
        <v>44329.749430507167</v>
      </c>
      <c r="D435" s="100"/>
      <c r="E435" s="100">
        <v>44329.749430507167</v>
      </c>
      <c r="F435" s="100">
        <f t="shared" si="440"/>
        <v>0</v>
      </c>
      <c r="G435" s="100">
        <v>44329.749430507167</v>
      </c>
      <c r="H435" s="100">
        <f t="shared" si="447"/>
        <v>80056.226375594997</v>
      </c>
      <c r="I435" s="100">
        <f t="shared" si="448"/>
        <v>35726.47694508783</v>
      </c>
      <c r="J435" s="96">
        <f t="shared" si="449"/>
        <v>0.80592553317031213</v>
      </c>
      <c r="K435" s="114"/>
      <c r="L435" s="100">
        <f>CRF!C27/2</f>
        <v>40028.113187797499</v>
      </c>
      <c r="M435" s="100">
        <f t="shared" si="450"/>
        <v>40028.113187797499</v>
      </c>
      <c r="N435" s="100">
        <f t="shared" si="451"/>
        <v>40028.113187797499</v>
      </c>
      <c r="O435" s="100">
        <f t="shared" si="452"/>
        <v>40028.113187797499</v>
      </c>
      <c r="P435" s="100"/>
      <c r="Q435" s="100"/>
      <c r="R435" s="100"/>
      <c r="S435" s="100"/>
      <c r="T435" s="100">
        <f t="shared" si="453"/>
        <v>40028.113187797499</v>
      </c>
      <c r="U435" s="100">
        <f t="shared" si="454"/>
        <v>40028.113187797499</v>
      </c>
      <c r="V435" s="97">
        <v>271866</v>
      </c>
      <c r="W435" s="276">
        <f>CRF!D27</f>
        <v>244076.66666666666</v>
      </c>
      <c r="X435" s="553">
        <f t="shared" si="441"/>
        <v>-0.10221702358269641</v>
      </c>
      <c r="Y435" s="100">
        <v>40028</v>
      </c>
      <c r="Z435" s="100">
        <v>40028</v>
      </c>
      <c r="AB435" s="100">
        <f t="shared" si="442"/>
        <v>0.11318779749854002</v>
      </c>
      <c r="AC435" s="100">
        <f t="shared" si="443"/>
        <v>0.11318779749854002</v>
      </c>
      <c r="AE435" s="120">
        <f t="shared" si="444"/>
        <v>2.8277075406353436E-6</v>
      </c>
      <c r="AF435" s="120">
        <f t="shared" si="445"/>
        <v>2.8277075406353436E-6</v>
      </c>
      <c r="AG435" s="114"/>
    </row>
    <row r="436" spans="1:33" ht="19.95" customHeight="1" outlineLevel="1">
      <c r="A436" s="117">
        <v>3646</v>
      </c>
      <c r="B436" s="118" t="str">
        <f>B56</f>
        <v>TWU</v>
      </c>
      <c r="C436" s="100">
        <f t="shared" si="446"/>
        <v>481650.92010723322</v>
      </c>
      <c r="D436" s="100"/>
      <c r="E436" s="100">
        <v>481650.92010723322</v>
      </c>
      <c r="F436" s="100">
        <f t="shared" si="440"/>
        <v>0</v>
      </c>
      <c r="G436" s="100">
        <v>481650.92010723322</v>
      </c>
      <c r="H436" s="100">
        <f t="shared" si="447"/>
        <v>801785.36169575551</v>
      </c>
      <c r="I436" s="100">
        <f t="shared" si="448"/>
        <v>320134.44158852228</v>
      </c>
      <c r="J436" s="96">
        <f t="shared" si="449"/>
        <v>0.66466070804400945</v>
      </c>
      <c r="K436" s="114"/>
      <c r="L436" s="100">
        <f>CRF!C28/2</f>
        <v>400892.68084787775</v>
      </c>
      <c r="M436" s="100">
        <f t="shared" si="450"/>
        <v>400892.68084787775</v>
      </c>
      <c r="N436" s="100">
        <f t="shared" si="451"/>
        <v>400892.68084787775</v>
      </c>
      <c r="O436" s="100">
        <f t="shared" si="452"/>
        <v>400892.68084787775</v>
      </c>
      <c r="P436" s="100"/>
      <c r="Q436" s="100"/>
      <c r="R436" s="100"/>
      <c r="S436" s="100"/>
      <c r="T436" s="100">
        <f t="shared" si="453"/>
        <v>400892.68084787775</v>
      </c>
      <c r="U436" s="100">
        <f t="shared" si="454"/>
        <v>400892.68084787775</v>
      </c>
      <c r="V436" s="97">
        <v>2953874.3333333335</v>
      </c>
      <c r="W436" s="276">
        <f>CRF!D28</f>
        <v>2444495.6666666665</v>
      </c>
      <c r="X436" s="553">
        <f t="shared" si="441"/>
        <v>-0.17244425767153498</v>
      </c>
      <c r="Y436" s="100">
        <v>400893</v>
      </c>
      <c r="Z436" s="100">
        <v>400893</v>
      </c>
      <c r="AB436" s="100">
        <f t="shared" si="442"/>
        <v>-0.31915212224703282</v>
      </c>
      <c r="AC436" s="100">
        <f t="shared" si="443"/>
        <v>-0.31915212224703282</v>
      </c>
      <c r="AE436" s="120">
        <f t="shared" si="444"/>
        <v>-7.9610363943795199E-7</v>
      </c>
      <c r="AF436" s="120">
        <f t="shared" si="445"/>
        <v>-7.9610363943795199E-7</v>
      </c>
      <c r="AG436" s="114"/>
    </row>
    <row r="437" spans="1:33" ht="19.95" customHeight="1" outlineLevel="1">
      <c r="A437" s="117">
        <v>3581</v>
      </c>
      <c r="B437" s="118" t="str">
        <f>B57</f>
        <v>Lamar</v>
      </c>
      <c r="C437" s="100">
        <f t="shared" si="446"/>
        <v>334198.48489831126</v>
      </c>
      <c r="D437" s="100"/>
      <c r="E437" s="100">
        <v>334198.48489831126</v>
      </c>
      <c r="F437" s="100">
        <f t="shared" si="440"/>
        <v>0</v>
      </c>
      <c r="G437" s="100">
        <v>334198.48489831126</v>
      </c>
      <c r="H437" s="100">
        <f t="shared" si="447"/>
        <v>721140.63355198409</v>
      </c>
      <c r="I437" s="100">
        <f t="shared" si="448"/>
        <v>386942.14865367283</v>
      </c>
      <c r="J437" s="96">
        <f t="shared" si="449"/>
        <v>1.1578213730424607</v>
      </c>
      <c r="K437" s="114"/>
      <c r="L437" s="100">
        <f>CRF!C29/2</f>
        <v>360570.31677599205</v>
      </c>
      <c r="M437" s="100">
        <f t="shared" si="450"/>
        <v>360570.31677599205</v>
      </c>
      <c r="N437" s="100">
        <f t="shared" si="451"/>
        <v>360570.31677599205</v>
      </c>
      <c r="O437" s="100">
        <f t="shared" si="452"/>
        <v>360570.31677599205</v>
      </c>
      <c r="P437" s="100"/>
      <c r="Q437" s="100"/>
      <c r="R437" s="100"/>
      <c r="S437" s="100"/>
      <c r="T437" s="100">
        <f t="shared" si="453"/>
        <v>360570.31677599205</v>
      </c>
      <c r="U437" s="100">
        <f t="shared" si="454"/>
        <v>360570.31677599205</v>
      </c>
      <c r="V437" s="97">
        <v>2049576.3333333333</v>
      </c>
      <c r="W437" s="276">
        <f>CRF!D29</f>
        <v>2198624.7666666671</v>
      </c>
      <c r="X437" s="553">
        <f t="shared" si="441"/>
        <v>7.2721581972469668E-2</v>
      </c>
      <c r="Y437" s="100">
        <v>360570</v>
      </c>
      <c r="Z437" s="100">
        <v>360570</v>
      </c>
      <c r="AB437" s="100">
        <f t="shared" si="442"/>
        <v>0.31677599204704165</v>
      </c>
      <c r="AC437" s="100">
        <f t="shared" si="443"/>
        <v>0.31677599204704165</v>
      </c>
      <c r="AE437" s="120">
        <f t="shared" si="444"/>
        <v>8.7854151411981574E-7</v>
      </c>
      <c r="AF437" s="120">
        <f t="shared" si="445"/>
        <v>8.7854151411981574E-7</v>
      </c>
      <c r="AG437" s="114"/>
    </row>
    <row r="438" spans="1:33" ht="19.95" customHeight="1" outlineLevel="1">
      <c r="A438" s="117">
        <v>3606</v>
      </c>
      <c r="B438" s="118" t="str">
        <f>B58</f>
        <v>Sam Houston</v>
      </c>
      <c r="C438" s="100">
        <f t="shared" si="446"/>
        <v>605314.04893085139</v>
      </c>
      <c r="D438" s="100"/>
      <c r="E438" s="100">
        <v>605314.04893085139</v>
      </c>
      <c r="F438" s="100">
        <f t="shared" si="440"/>
        <v>0</v>
      </c>
      <c r="G438" s="100">
        <v>605314.04893085139</v>
      </c>
      <c r="H438" s="100">
        <f t="shared" si="447"/>
        <v>1649499.379415937</v>
      </c>
      <c r="I438" s="100">
        <f t="shared" si="448"/>
        <v>1044185.3304850856</v>
      </c>
      <c r="J438" s="96">
        <f t="shared" si="449"/>
        <v>1.725030721374136</v>
      </c>
      <c r="K438" s="114"/>
      <c r="L438" s="100">
        <f>CRF!C30/2</f>
        <v>824749.6897079685</v>
      </c>
      <c r="M438" s="100">
        <f t="shared" si="450"/>
        <v>824749.6897079685</v>
      </c>
      <c r="N438" s="100">
        <f t="shared" si="451"/>
        <v>824749.6897079685</v>
      </c>
      <c r="O438" s="100">
        <f t="shared" si="452"/>
        <v>824749.6897079685</v>
      </c>
      <c r="P438" s="100"/>
      <c r="Q438" s="100"/>
      <c r="R438" s="100"/>
      <c r="S438" s="100"/>
      <c r="T438" s="100">
        <f t="shared" si="453"/>
        <v>824749.6897079685</v>
      </c>
      <c r="U438" s="100">
        <f t="shared" si="454"/>
        <v>824749.6897079685</v>
      </c>
      <c r="V438" s="97">
        <v>3712277</v>
      </c>
      <c r="W438" s="276">
        <f>CRF!D30</f>
        <v>5029019.333333333</v>
      </c>
      <c r="X438" s="553">
        <f t="shared" si="441"/>
        <v>0.35469937543274194</v>
      </c>
      <c r="Y438" s="100">
        <v>824750</v>
      </c>
      <c r="Z438" s="100">
        <v>824750</v>
      </c>
      <c r="AB438" s="100">
        <f t="shared" si="442"/>
        <v>-0.3102920314995572</v>
      </c>
      <c r="AC438" s="100">
        <f t="shared" si="443"/>
        <v>-0.3102920314995572</v>
      </c>
      <c r="AE438" s="120">
        <f t="shared" si="444"/>
        <v>-3.7622570262430405E-7</v>
      </c>
      <c r="AF438" s="120">
        <f t="shared" si="445"/>
        <v>-3.7622570262430405E-7</v>
      </c>
      <c r="AG438" s="114"/>
    </row>
    <row r="439" spans="1:33" ht="19.95" customHeight="1" outlineLevel="1">
      <c r="A439" s="117">
        <v>3625</v>
      </c>
      <c r="B439" s="118" t="str">
        <f>B60</f>
        <v>Sul Ross</v>
      </c>
      <c r="C439" s="100">
        <f t="shared" si="446"/>
        <v>234493.91598897387</v>
      </c>
      <c r="D439" s="100"/>
      <c r="E439" s="100">
        <v>234493.91598897387</v>
      </c>
      <c r="F439" s="100">
        <f t="shared" si="440"/>
        <v>0</v>
      </c>
      <c r="G439" s="100">
        <v>234493.91598897387</v>
      </c>
      <c r="H439" s="100">
        <f t="shared" si="447"/>
        <v>492436.48316736601</v>
      </c>
      <c r="I439" s="100">
        <f t="shared" si="448"/>
        <v>257942.56717839214</v>
      </c>
      <c r="J439" s="96">
        <f t="shared" si="449"/>
        <v>1.0999968425215811</v>
      </c>
      <c r="K439" s="114"/>
      <c r="L439" s="100">
        <f>CRF!C31/2</f>
        <v>246218.241583683</v>
      </c>
      <c r="M439" s="100">
        <f t="shared" si="450"/>
        <v>246218.241583683</v>
      </c>
      <c r="N439" s="100">
        <f t="shared" si="451"/>
        <v>246218.241583683</v>
      </c>
      <c r="O439" s="100">
        <f t="shared" si="452"/>
        <v>246218.241583683</v>
      </c>
      <c r="P439" s="100"/>
      <c r="Q439" s="100"/>
      <c r="R439" s="100"/>
      <c r="S439" s="100"/>
      <c r="T439" s="100">
        <f t="shared" si="453"/>
        <v>246218.241583683</v>
      </c>
      <c r="U439" s="100">
        <f t="shared" si="454"/>
        <v>246218.241583683</v>
      </c>
      <c r="V439" s="97">
        <v>1438107</v>
      </c>
      <c r="W439" s="276">
        <f>CRF!D31</f>
        <v>1501348</v>
      </c>
      <c r="X439" s="553">
        <f t="shared" si="441"/>
        <v>4.3975170136853516E-2</v>
      </c>
      <c r="Y439" s="100">
        <v>246218</v>
      </c>
      <c r="Z439" s="100">
        <v>246218</v>
      </c>
      <c r="AB439" s="100">
        <f t="shared" si="442"/>
        <v>0.24158368300413713</v>
      </c>
      <c r="AC439" s="100">
        <f t="shared" si="443"/>
        <v>0.24158368300413713</v>
      </c>
      <c r="AE439" s="120">
        <f t="shared" si="444"/>
        <v>9.8117702998065348E-7</v>
      </c>
      <c r="AF439" s="120">
        <f t="shared" si="445"/>
        <v>9.8117702998065348E-7</v>
      </c>
      <c r="AG439" s="114"/>
    </row>
    <row r="440" spans="1:33" ht="19.95" customHeight="1" outlineLevel="1">
      <c r="A440" s="535"/>
      <c r="B440" s="128" t="s">
        <v>1</v>
      </c>
      <c r="C440" s="129">
        <f t="shared" ref="C440:I440" si="456">SUM(C414:C439)</f>
        <v>14272374.000000006</v>
      </c>
      <c r="D440" s="129">
        <f t="shared" si="456"/>
        <v>0</v>
      </c>
      <c r="E440" s="129">
        <f t="shared" si="456"/>
        <v>14272374.000000006</v>
      </c>
      <c r="F440" s="129">
        <f t="shared" si="456"/>
        <v>0</v>
      </c>
      <c r="G440" s="129">
        <f t="shared" si="456"/>
        <v>14272374.000000006</v>
      </c>
      <c r="H440" s="276">
        <f t="shared" si="456"/>
        <v>30956033.474558208</v>
      </c>
      <c r="I440" s="276">
        <f t="shared" si="456"/>
        <v>16683659.47455821</v>
      </c>
      <c r="J440" s="130">
        <f t="shared" si="449"/>
        <v>1.1689477500069858</v>
      </c>
      <c r="K440" s="114"/>
      <c r="L440" s="97">
        <f t="shared" ref="L440:U440" si="457">SUM(L414:L439)</f>
        <v>15478016.737279104</v>
      </c>
      <c r="M440" s="97">
        <f t="shared" si="457"/>
        <v>15478016.737279104</v>
      </c>
      <c r="N440" s="97">
        <f t="shared" si="457"/>
        <v>15478016.737279104</v>
      </c>
      <c r="O440" s="97">
        <f t="shared" si="457"/>
        <v>15478016.737279104</v>
      </c>
      <c r="P440" s="97">
        <f t="shared" si="457"/>
        <v>0</v>
      </c>
      <c r="Q440" s="97">
        <f t="shared" si="457"/>
        <v>0</v>
      </c>
      <c r="R440" s="97">
        <f t="shared" si="457"/>
        <v>0</v>
      </c>
      <c r="S440" s="97">
        <f t="shared" si="457"/>
        <v>0</v>
      </c>
      <c r="T440" s="97">
        <f t="shared" si="457"/>
        <v>15478016.737279104</v>
      </c>
      <c r="U440" s="97">
        <f t="shared" si="457"/>
        <v>15478016.737279104</v>
      </c>
      <c r="V440" s="365">
        <f>SUM(V414:V439)</f>
        <v>87529780.333333313</v>
      </c>
      <c r="W440" s="365">
        <f>SUM(W414:W439)</f>
        <v>94379235.766666681</v>
      </c>
      <c r="X440" s="554">
        <f t="shared" si="441"/>
        <v>7.8252857567436857E-2</v>
      </c>
      <c r="Y440" s="198">
        <f>SUM(Y414:Y439)</f>
        <v>15478017</v>
      </c>
      <c r="Z440" s="198">
        <f>SUM(Z414:Z439)</f>
        <v>15478017</v>
      </c>
      <c r="AB440" s="97"/>
      <c r="AC440" s="97"/>
      <c r="AE440" s="130"/>
      <c r="AF440" s="130"/>
      <c r="AG440" s="114"/>
    </row>
    <row r="441" spans="1:33" ht="19.95" customHeight="1">
      <c r="W441" s="106"/>
    </row>
    <row r="442" spans="1:33" s="91" customFormat="1" ht="19.95" customHeight="1" thickBot="1">
      <c r="A442" s="669" t="str">
        <f>L442</f>
        <v>Total General Revenue Dedicated</v>
      </c>
      <c r="B442" s="670"/>
      <c r="C442" s="670"/>
      <c r="D442" s="670"/>
      <c r="E442" s="670"/>
      <c r="F442" s="670"/>
      <c r="G442" s="670"/>
      <c r="H442" s="670"/>
      <c r="I442" s="670"/>
      <c r="J442" s="670"/>
      <c r="L442" s="673" t="s">
        <v>189</v>
      </c>
      <c r="M442" s="673"/>
      <c r="N442" s="673"/>
      <c r="O442" s="673"/>
      <c r="P442" s="673"/>
      <c r="Q442" s="673"/>
      <c r="R442" s="673"/>
      <c r="S442" s="673"/>
      <c r="T442" s="673" t="s">
        <v>158</v>
      </c>
      <c r="U442" s="673"/>
      <c r="V442" s="106"/>
      <c r="W442" s="114"/>
      <c r="AE442" s="94"/>
      <c r="AF442" s="94"/>
    </row>
    <row r="443" spans="1:33" ht="19.95" hidden="1" customHeight="1" outlineLevel="1">
      <c r="A443" s="107">
        <v>3656</v>
      </c>
      <c r="B443" s="108" t="str">
        <f>B25</f>
        <v>UT-Arlington</v>
      </c>
      <c r="C443" s="147"/>
      <c r="D443" s="137">
        <v>18451176</v>
      </c>
      <c r="E443" s="148"/>
      <c r="F443" s="137">
        <v>117310352.13374864</v>
      </c>
      <c r="G443" s="148"/>
      <c r="H443" s="148"/>
      <c r="I443" s="111">
        <f t="shared" ref="I443:I490" si="458">(P443+Q443)-F443</f>
        <v>6208606.4307920784</v>
      </c>
      <c r="J443" s="112">
        <f t="shared" ref="J443:J490" si="459">IF(OR(I443=0,F443=0),0,I443/F443)</f>
        <v>5.2924625302577577E-2</v>
      </c>
      <c r="L443" s="111"/>
      <c r="M443" s="111"/>
      <c r="N443" s="111"/>
      <c r="O443" s="111"/>
      <c r="P443" s="634">
        <v>61665169.174326509</v>
      </c>
      <c r="Q443" s="634">
        <v>61853789.390214205</v>
      </c>
      <c r="R443" s="634">
        <v>9200000</v>
      </c>
      <c r="S443" s="634">
        <v>9200000</v>
      </c>
      <c r="T443" s="111"/>
      <c r="U443" s="111"/>
      <c r="V443" s="114"/>
      <c r="W443" s="97"/>
    </row>
    <row r="444" spans="1:33" ht="19.95" hidden="1" customHeight="1" outlineLevel="1">
      <c r="A444" s="117">
        <v>3658</v>
      </c>
      <c r="B444" s="118" t="str">
        <f>B26</f>
        <v>UT-Austin</v>
      </c>
      <c r="C444" s="149"/>
      <c r="D444" s="138">
        <v>34156000</v>
      </c>
      <c r="E444" s="97"/>
      <c r="F444" s="138">
        <v>197142541.75508302</v>
      </c>
      <c r="G444" s="97"/>
      <c r="H444" s="97"/>
      <c r="I444" s="100">
        <f t="shared" si="458"/>
        <v>-2430016.6202214956</v>
      </c>
      <c r="J444" s="96">
        <f t="shared" si="459"/>
        <v>-1.2326190981347846E-2</v>
      </c>
      <c r="L444" s="100"/>
      <c r="M444" s="100"/>
      <c r="N444" s="100"/>
      <c r="O444" s="100"/>
      <c r="P444" s="138">
        <v>97108983.792739064</v>
      </c>
      <c r="Q444" s="138">
        <v>97603541.342122465</v>
      </c>
      <c r="R444" s="138">
        <v>19100000</v>
      </c>
      <c r="S444" s="138">
        <v>19100000</v>
      </c>
      <c r="T444" s="100"/>
      <c r="U444" s="100"/>
      <c r="V444" s="97"/>
      <c r="W444" s="97"/>
    </row>
    <row r="445" spans="1:33" ht="19.95" hidden="1" customHeight="1" outlineLevel="1">
      <c r="A445" s="117">
        <v>9741</v>
      </c>
      <c r="B445" s="118" t="str">
        <f>B27</f>
        <v>UT-Dallas</v>
      </c>
      <c r="C445" s="149"/>
      <c r="D445" s="138">
        <v>11702330</v>
      </c>
      <c r="E445" s="97"/>
      <c r="F445" s="138">
        <v>121418955.12464471</v>
      </c>
      <c r="G445" s="97"/>
      <c r="H445" s="97"/>
      <c r="I445" s="100">
        <f t="shared" si="458"/>
        <v>8373182.9058116376</v>
      </c>
      <c r="J445" s="96">
        <f t="shared" si="459"/>
        <v>6.8961085171718062E-2</v>
      </c>
      <c r="L445" s="100"/>
      <c r="M445" s="100"/>
      <c r="N445" s="100"/>
      <c r="O445" s="100"/>
      <c r="P445" s="138">
        <v>64723967.196324468</v>
      </c>
      <c r="Q445" s="138">
        <v>65068170.834131882</v>
      </c>
      <c r="R445" s="138">
        <v>8263214</v>
      </c>
      <c r="S445" s="138">
        <v>8263214</v>
      </c>
      <c r="T445" s="100"/>
      <c r="U445" s="100"/>
      <c r="V445" s="97"/>
      <c r="W445" s="97"/>
      <c r="Y445" s="79"/>
      <c r="Z445" s="80"/>
      <c r="AA445" s="80"/>
      <c r="AD445" s="77"/>
      <c r="AE445" s="77"/>
      <c r="AF445" s="77"/>
    </row>
    <row r="446" spans="1:33" ht="19.95" hidden="1" customHeight="1" outlineLevel="1">
      <c r="A446" s="117">
        <v>3661</v>
      </c>
      <c r="B446" s="118" t="str">
        <f>B28</f>
        <v>UT-El Paso</v>
      </c>
      <c r="C446" s="149"/>
      <c r="D446" s="138">
        <v>7485900</v>
      </c>
      <c r="E446" s="97"/>
      <c r="F446" s="138">
        <v>56350897.542790033</v>
      </c>
      <c r="G446" s="97"/>
      <c r="H446" s="97"/>
      <c r="I446" s="100">
        <f t="shared" si="458"/>
        <v>-6534124.0826567188</v>
      </c>
      <c r="J446" s="96">
        <f t="shared" si="459"/>
        <v>-0.11595421488530921</v>
      </c>
      <c r="L446" s="100"/>
      <c r="M446" s="100"/>
      <c r="N446" s="100"/>
      <c r="O446" s="100"/>
      <c r="P446" s="138">
        <v>24881749.285959791</v>
      </c>
      <c r="Q446" s="138">
        <v>24935024.174173526</v>
      </c>
      <c r="R446" s="138">
        <v>4109550</v>
      </c>
      <c r="S446" s="138">
        <v>4109550</v>
      </c>
      <c r="T446" s="100"/>
      <c r="U446" s="100"/>
      <c r="V446" s="97"/>
      <c r="W446" s="97"/>
      <c r="Y446" s="79"/>
      <c r="Z446" s="80"/>
      <c r="AA446" s="80"/>
      <c r="AD446" s="77"/>
      <c r="AE446" s="77"/>
      <c r="AF446" s="77"/>
    </row>
    <row r="447" spans="1:33" ht="19.95" hidden="1" customHeight="1" outlineLevel="1">
      <c r="A447" s="117">
        <v>3599</v>
      </c>
      <c r="B447" s="118" t="s">
        <v>213</v>
      </c>
      <c r="C447" s="149"/>
      <c r="D447" s="138">
        <v>6790780</v>
      </c>
      <c r="E447" s="97"/>
      <c r="F447" s="138">
        <v>80300031.817753986</v>
      </c>
      <c r="G447" s="97"/>
      <c r="H447" s="97"/>
      <c r="I447" s="100">
        <f t="shared" si="458"/>
        <v>-13728203.022873685</v>
      </c>
      <c r="J447" s="96">
        <f t="shared" si="459"/>
        <v>-0.1709613646733131</v>
      </c>
      <c r="L447" s="100"/>
      <c r="M447" s="100"/>
      <c r="N447" s="100"/>
      <c r="O447" s="100"/>
      <c r="P447" s="138">
        <v>33273449.644069329</v>
      </c>
      <c r="Q447" s="138">
        <v>33298379.150810976</v>
      </c>
      <c r="R447" s="138">
        <v>4862450</v>
      </c>
      <c r="S447" s="138">
        <v>4862450</v>
      </c>
      <c r="T447" s="100"/>
      <c r="U447" s="100"/>
      <c r="V447" s="97"/>
      <c r="W447" s="97"/>
      <c r="Y447" s="79"/>
      <c r="Z447" s="80"/>
      <c r="AA447" s="80"/>
      <c r="AD447" s="77"/>
      <c r="AE447" s="77"/>
      <c r="AF447" s="77"/>
    </row>
    <row r="448" spans="1:33" ht="19.95" hidden="1" customHeight="1" outlineLevel="1">
      <c r="A448" s="117">
        <v>9930</v>
      </c>
      <c r="B448" s="118" t="str">
        <f t="shared" ref="B448:B490" si="460">B30</f>
        <v>UT-Permian Basin</v>
      </c>
      <c r="C448" s="149"/>
      <c r="D448" s="138">
        <v>0</v>
      </c>
      <c r="E448" s="97"/>
      <c r="F448" s="138">
        <v>13680797.779405173</v>
      </c>
      <c r="G448" s="97"/>
      <c r="H448" s="97"/>
      <c r="I448" s="100">
        <f t="shared" si="458"/>
        <v>-229966.36363051645</v>
      </c>
      <c r="J448" s="96">
        <f t="shared" si="459"/>
        <v>-1.680942641932064E-2</v>
      </c>
      <c r="L448" s="100"/>
      <c r="M448" s="100"/>
      <c r="N448" s="100"/>
      <c r="O448" s="100"/>
      <c r="P448" s="138">
        <v>6721285.0920134932</v>
      </c>
      <c r="Q448" s="138">
        <v>6729546.3237611633</v>
      </c>
      <c r="R448" s="138">
        <v>0</v>
      </c>
      <c r="S448" s="138">
        <v>0</v>
      </c>
      <c r="T448" s="100"/>
      <c r="U448" s="100"/>
      <c r="V448" s="97"/>
      <c r="W448" s="97"/>
      <c r="Y448" s="79"/>
      <c r="Z448" s="80"/>
      <c r="AA448" s="80"/>
      <c r="AD448" s="77"/>
      <c r="AE448" s="77"/>
      <c r="AF448" s="77"/>
    </row>
    <row r="449" spans="1:32" ht="19.95" hidden="1" customHeight="1" outlineLevel="1">
      <c r="A449" s="117">
        <v>10115</v>
      </c>
      <c r="B449" s="118" t="str">
        <f t="shared" si="460"/>
        <v>UT-San Antonio</v>
      </c>
      <c r="C449" s="149"/>
      <c r="D449" s="138">
        <v>7738400</v>
      </c>
      <c r="E449" s="97"/>
      <c r="F449" s="138">
        <v>82968130.034985632</v>
      </c>
      <c r="G449" s="97"/>
      <c r="H449" s="97"/>
      <c r="I449" s="100">
        <f t="shared" si="458"/>
        <v>-9963236.4004171193</v>
      </c>
      <c r="J449" s="96">
        <f t="shared" si="459"/>
        <v>-0.12008510251123974</v>
      </c>
      <c r="L449" s="100"/>
      <c r="M449" s="100"/>
      <c r="N449" s="100"/>
      <c r="O449" s="100"/>
      <c r="P449" s="138">
        <v>36478294.513246939</v>
      </c>
      <c r="Q449" s="138">
        <v>36526599.121321574</v>
      </c>
      <c r="R449" s="138">
        <v>4397600</v>
      </c>
      <c r="S449" s="138">
        <v>4397600</v>
      </c>
      <c r="T449" s="100"/>
      <c r="U449" s="100"/>
      <c r="V449" s="97"/>
      <c r="W449" s="97"/>
      <c r="Y449" s="79"/>
      <c r="Z449" s="80"/>
      <c r="AA449" s="80"/>
      <c r="AD449" s="77"/>
      <c r="AE449" s="77"/>
      <c r="AF449" s="77"/>
    </row>
    <row r="450" spans="1:32" ht="19.95" hidden="1" customHeight="1" outlineLevel="1">
      <c r="A450" s="117">
        <v>11163</v>
      </c>
      <c r="B450" s="118" t="str">
        <f t="shared" si="460"/>
        <v>UT-Tyler</v>
      </c>
      <c r="C450" s="149"/>
      <c r="D450" s="138">
        <v>0</v>
      </c>
      <c r="E450" s="97"/>
      <c r="F450" s="138">
        <v>22952280.502527401</v>
      </c>
      <c r="G450" s="97"/>
      <c r="H450" s="97"/>
      <c r="I450" s="100">
        <f t="shared" si="458"/>
        <v>-2606999.2623586319</v>
      </c>
      <c r="J450" s="96">
        <f t="shared" si="459"/>
        <v>-0.1135834525058005</v>
      </c>
      <c r="L450" s="100"/>
      <c r="M450" s="100"/>
      <c r="N450" s="100"/>
      <c r="O450" s="100"/>
      <c r="P450" s="138">
        <v>10163366.901307212</v>
      </c>
      <c r="Q450" s="138">
        <v>10181914.338861557</v>
      </c>
      <c r="R450" s="138">
        <v>0</v>
      </c>
      <c r="S450" s="138">
        <v>0</v>
      </c>
      <c r="T450" s="100"/>
      <c r="U450" s="100"/>
      <c r="V450" s="97"/>
      <c r="W450" s="97"/>
      <c r="Y450" s="79"/>
      <c r="Z450" s="80"/>
      <c r="AA450" s="80"/>
      <c r="AD450" s="77"/>
      <c r="AE450" s="77"/>
      <c r="AF450" s="77"/>
    </row>
    <row r="451" spans="1:32" ht="19.95" hidden="1" customHeight="1" outlineLevel="1">
      <c r="A451" s="117">
        <v>3632</v>
      </c>
      <c r="B451" s="121" t="str">
        <f t="shared" si="460"/>
        <v>TAMU</v>
      </c>
      <c r="C451" s="149"/>
      <c r="D451" s="138">
        <v>20639592</v>
      </c>
      <c r="E451" s="97"/>
      <c r="F451" s="138">
        <v>251692123.2500532</v>
      </c>
      <c r="G451" s="97"/>
      <c r="H451" s="97"/>
      <c r="I451" s="100">
        <f t="shared" si="458"/>
        <v>-10705786.712391466</v>
      </c>
      <c r="J451" s="96">
        <f t="shared" si="459"/>
        <v>-4.2535247325779006E-2</v>
      </c>
      <c r="L451" s="100"/>
      <c r="M451" s="100"/>
      <c r="N451" s="100"/>
      <c r="O451" s="100"/>
      <c r="P451" s="138">
        <v>120321038.63487349</v>
      </c>
      <c r="Q451" s="138">
        <v>120665297.90278825</v>
      </c>
      <c r="R451" s="138">
        <v>10906430</v>
      </c>
      <c r="S451" s="138">
        <v>10906430</v>
      </c>
      <c r="T451" s="100"/>
      <c r="U451" s="100"/>
      <c r="V451" s="97"/>
      <c r="W451" s="97"/>
      <c r="Y451" s="79"/>
      <c r="Z451" s="80"/>
      <c r="AA451" s="80"/>
      <c r="AD451" s="77"/>
      <c r="AE451" s="77"/>
      <c r="AF451" s="77"/>
    </row>
    <row r="452" spans="1:32" ht="19.95" hidden="1" customHeight="1" outlineLevel="1">
      <c r="A452" s="117">
        <v>10298</v>
      </c>
      <c r="B452" s="118" t="str">
        <f t="shared" si="460"/>
        <v>TAMU-Galveston</v>
      </c>
      <c r="C452" s="149"/>
      <c r="D452" s="138">
        <v>320000</v>
      </c>
      <c r="E452" s="97"/>
      <c r="F452" s="138">
        <v>5466845.7830424132</v>
      </c>
      <c r="G452" s="97"/>
      <c r="H452" s="97"/>
      <c r="I452" s="100">
        <f t="shared" si="458"/>
        <v>2770281.2097910428</v>
      </c>
      <c r="J452" s="96">
        <f t="shared" si="459"/>
        <v>0.50674215438528869</v>
      </c>
      <c r="L452" s="100"/>
      <c r="M452" s="100"/>
      <c r="N452" s="100"/>
      <c r="O452" s="100"/>
      <c r="P452" s="138">
        <v>4110625.2875998728</v>
      </c>
      <c r="Q452" s="138">
        <v>4126501.7052335832</v>
      </c>
      <c r="R452" s="138">
        <v>177768</v>
      </c>
      <c r="S452" s="138">
        <v>177768</v>
      </c>
      <c r="T452" s="100"/>
      <c r="U452" s="100"/>
      <c r="V452" s="97"/>
      <c r="W452" s="97"/>
      <c r="Y452" s="79"/>
      <c r="Z452" s="80"/>
      <c r="AA452" s="80"/>
      <c r="AD452" s="77"/>
      <c r="AE452" s="77"/>
      <c r="AF452" s="77"/>
    </row>
    <row r="453" spans="1:32" ht="19.95" hidden="1" customHeight="1" outlineLevel="1">
      <c r="A453" s="117">
        <v>3630</v>
      </c>
      <c r="B453" s="118" t="str">
        <f t="shared" si="460"/>
        <v>Prairie View</v>
      </c>
      <c r="C453" s="149"/>
      <c r="D453" s="138">
        <v>790532</v>
      </c>
      <c r="E453" s="97"/>
      <c r="F453" s="138">
        <v>32633592.168441176</v>
      </c>
      <c r="G453" s="97"/>
      <c r="H453" s="97"/>
      <c r="I453" s="100">
        <f t="shared" si="458"/>
        <v>2655899.3531019762</v>
      </c>
      <c r="J453" s="96">
        <f t="shared" si="459"/>
        <v>8.1385442932341512E-2</v>
      </c>
      <c r="L453" s="100"/>
      <c r="M453" s="100"/>
      <c r="N453" s="100"/>
      <c r="O453" s="100"/>
      <c r="P453" s="138">
        <v>17603694.100109316</v>
      </c>
      <c r="Q453" s="138">
        <v>17685797.421433836</v>
      </c>
      <c r="R453" s="138">
        <v>364150</v>
      </c>
      <c r="S453" s="138">
        <v>364150</v>
      </c>
      <c r="T453" s="100"/>
      <c r="U453" s="100"/>
      <c r="V453" s="97"/>
      <c r="W453" s="97"/>
      <c r="Y453" s="79"/>
      <c r="Z453" s="80"/>
      <c r="AA453" s="80"/>
      <c r="AD453" s="77"/>
      <c r="AE453" s="77"/>
      <c r="AF453" s="77"/>
    </row>
    <row r="454" spans="1:32" ht="19.95" hidden="1" customHeight="1" outlineLevel="1">
      <c r="A454" s="117">
        <v>3631</v>
      </c>
      <c r="B454" s="118" t="str">
        <f t="shared" si="460"/>
        <v>Tarleton</v>
      </c>
      <c r="C454" s="149"/>
      <c r="D454" s="138">
        <v>2908862</v>
      </c>
      <c r="E454" s="97"/>
      <c r="F454" s="138">
        <v>32479706.458615638</v>
      </c>
      <c r="G454" s="97"/>
      <c r="H454" s="97"/>
      <c r="I454" s="100">
        <f t="shared" si="458"/>
        <v>-3368334.9400410503</v>
      </c>
      <c r="J454" s="96">
        <f t="shared" si="459"/>
        <v>-0.10370583072642144</v>
      </c>
      <c r="L454" s="100"/>
      <c r="M454" s="100"/>
      <c r="N454" s="100"/>
      <c r="O454" s="100"/>
      <c r="P454" s="138">
        <v>14545024.779239977</v>
      </c>
      <c r="Q454" s="138">
        <v>14566346.739334609</v>
      </c>
      <c r="R454" s="138">
        <v>1911416</v>
      </c>
      <c r="S454" s="138">
        <v>1911416</v>
      </c>
      <c r="T454" s="100"/>
      <c r="U454" s="100"/>
      <c r="V454" s="97"/>
      <c r="W454" s="97"/>
      <c r="Y454" s="79"/>
      <c r="Z454" s="80"/>
      <c r="AA454" s="80"/>
      <c r="AD454" s="77"/>
      <c r="AE454" s="77"/>
      <c r="AF454" s="77"/>
    </row>
    <row r="455" spans="1:32" ht="19.95" hidden="1" customHeight="1" outlineLevel="1">
      <c r="A455" s="117">
        <v>42295</v>
      </c>
      <c r="B455" s="118" t="str">
        <f t="shared" si="460"/>
        <v>TAMU-Central</v>
      </c>
      <c r="C455" s="149"/>
      <c r="D455" s="138">
        <v>261064</v>
      </c>
      <c r="E455" s="97"/>
      <c r="F455" s="138">
        <v>4486054.8350442238</v>
      </c>
      <c r="G455" s="97"/>
      <c r="H455" s="97"/>
      <c r="I455" s="100">
        <f t="shared" si="458"/>
        <v>-928565.45819829218</v>
      </c>
      <c r="J455" s="96">
        <f t="shared" si="459"/>
        <v>-0.20698932410377865</v>
      </c>
      <c r="L455" s="100"/>
      <c r="M455" s="100"/>
      <c r="N455" s="100"/>
      <c r="O455" s="100"/>
      <c r="P455" s="138">
        <v>1777110.2892713191</v>
      </c>
      <c r="Q455" s="138">
        <v>1780379.0875746126</v>
      </c>
      <c r="R455" s="138">
        <v>170532</v>
      </c>
      <c r="S455" s="138">
        <v>170532</v>
      </c>
      <c r="T455" s="100"/>
      <c r="U455" s="100"/>
      <c r="V455" s="97"/>
      <c r="W455" s="97"/>
      <c r="Y455" s="79"/>
      <c r="Z455" s="80"/>
      <c r="AA455" s="80"/>
      <c r="AD455" s="77"/>
      <c r="AE455" s="77"/>
      <c r="AF455" s="77"/>
    </row>
    <row r="456" spans="1:32" ht="19.95" hidden="1" customHeight="1" outlineLevel="1">
      <c r="A456" s="117">
        <v>11161</v>
      </c>
      <c r="B456" s="118" t="str">
        <f t="shared" si="460"/>
        <v>TAMU-CC</v>
      </c>
      <c r="C456" s="149"/>
      <c r="D456" s="138">
        <v>2015708</v>
      </c>
      <c r="E456" s="97"/>
      <c r="F456" s="138">
        <v>28930900.46639248</v>
      </c>
      <c r="G456" s="97"/>
      <c r="H456" s="97"/>
      <c r="I456" s="100">
        <f t="shared" si="458"/>
        <v>-406551.62133784592</v>
      </c>
      <c r="J456" s="96">
        <f t="shared" si="459"/>
        <v>-1.4052504926699939E-2</v>
      </c>
      <c r="L456" s="100"/>
      <c r="M456" s="100"/>
      <c r="N456" s="100"/>
      <c r="O456" s="100"/>
      <c r="P456" s="138">
        <v>14259242.913882194</v>
      </c>
      <c r="Q456" s="138">
        <v>14265105.931172442</v>
      </c>
      <c r="R456" s="138">
        <v>1196955</v>
      </c>
      <c r="S456" s="138">
        <v>1196955</v>
      </c>
      <c r="T456" s="100"/>
      <c r="U456" s="100"/>
      <c r="V456" s="97"/>
      <c r="W456" s="97"/>
      <c r="Y456" s="79"/>
      <c r="Z456" s="80"/>
      <c r="AA456" s="80"/>
      <c r="AD456" s="77"/>
      <c r="AE456" s="77"/>
      <c r="AF456" s="77"/>
    </row>
    <row r="457" spans="1:32" ht="19.95" hidden="1" customHeight="1" outlineLevel="1">
      <c r="A457" s="117">
        <v>3639</v>
      </c>
      <c r="B457" s="118" t="str">
        <f t="shared" si="460"/>
        <v>TAMU-Kingsville</v>
      </c>
      <c r="C457" s="149"/>
      <c r="D457" s="138">
        <v>1287600</v>
      </c>
      <c r="E457" s="97"/>
      <c r="F457" s="138">
        <v>22564696.806727283</v>
      </c>
      <c r="G457" s="97"/>
      <c r="H457" s="97"/>
      <c r="I457" s="100">
        <f t="shared" si="458"/>
        <v>-547401.10889043659</v>
      </c>
      <c r="J457" s="96">
        <f t="shared" si="459"/>
        <v>-2.4259182987437181E-2</v>
      </c>
      <c r="L457" s="100"/>
      <c r="M457" s="100"/>
      <c r="N457" s="100"/>
      <c r="O457" s="100"/>
      <c r="P457" s="138">
        <v>10980553.660953254</v>
      </c>
      <c r="Q457" s="138">
        <v>11036742.036883591</v>
      </c>
      <c r="R457" s="138">
        <v>683000</v>
      </c>
      <c r="S457" s="138">
        <v>683000</v>
      </c>
      <c r="T457" s="100"/>
      <c r="U457" s="100"/>
      <c r="V457" s="97"/>
      <c r="W457" s="97"/>
      <c r="Y457" s="79"/>
      <c r="Z457" s="80"/>
      <c r="AA457" s="80"/>
      <c r="AD457" s="77"/>
      <c r="AE457" s="77"/>
      <c r="AF457" s="77"/>
    </row>
    <row r="458" spans="1:32" ht="19.95" hidden="1" customHeight="1" outlineLevel="1">
      <c r="A458" s="117">
        <v>42485</v>
      </c>
      <c r="B458" s="118" t="str">
        <f t="shared" si="460"/>
        <v>TAMU-San Antonio</v>
      </c>
      <c r="C458" s="149"/>
      <c r="D458" s="138">
        <v>1018350</v>
      </c>
      <c r="E458" s="97"/>
      <c r="F458" s="138">
        <v>13023878.47233402</v>
      </c>
      <c r="G458" s="97"/>
      <c r="H458" s="97"/>
      <c r="I458" s="100">
        <f t="shared" si="458"/>
        <v>394512.08460380696</v>
      </c>
      <c r="J458" s="96">
        <f t="shared" si="459"/>
        <v>3.0291443938289923E-2</v>
      </c>
      <c r="L458" s="100"/>
      <c r="M458" s="100"/>
      <c r="N458" s="100"/>
      <c r="O458" s="100"/>
      <c r="P458" s="138">
        <v>6707178.3153551528</v>
      </c>
      <c r="Q458" s="138">
        <v>6711212.241582674</v>
      </c>
      <c r="R458" s="138">
        <v>372330</v>
      </c>
      <c r="S458" s="138">
        <v>372330</v>
      </c>
      <c r="T458" s="100"/>
      <c r="U458" s="100"/>
      <c r="V458" s="97"/>
      <c r="W458" s="97"/>
      <c r="Y458" s="79"/>
      <c r="Z458" s="80"/>
      <c r="AA458" s="80"/>
      <c r="AD458" s="77"/>
      <c r="AE458" s="77"/>
      <c r="AF458" s="77"/>
    </row>
    <row r="459" spans="1:32" ht="19.95" hidden="1" customHeight="1" outlineLevel="1">
      <c r="A459" s="117">
        <v>9651</v>
      </c>
      <c r="B459" s="118" t="str">
        <f t="shared" si="460"/>
        <v>TAMI</v>
      </c>
      <c r="C459" s="149"/>
      <c r="D459" s="138">
        <v>1188902</v>
      </c>
      <c r="E459" s="97"/>
      <c r="F459" s="138">
        <v>19316568.560276799</v>
      </c>
      <c r="G459" s="97"/>
      <c r="H459" s="97"/>
      <c r="I459" s="100">
        <f t="shared" si="458"/>
        <v>218377.6825735569</v>
      </c>
      <c r="J459" s="96">
        <f t="shared" si="459"/>
        <v>1.1305200604968507E-2</v>
      </c>
      <c r="L459" s="100"/>
      <c r="M459" s="100"/>
      <c r="N459" s="100"/>
      <c r="O459" s="100"/>
      <c r="P459" s="138">
        <v>9764202.4066937529</v>
      </c>
      <c r="Q459" s="138">
        <v>9770743.8361566011</v>
      </c>
      <c r="R459" s="138">
        <v>747125</v>
      </c>
      <c r="S459" s="138">
        <v>747125</v>
      </c>
      <c r="T459" s="100"/>
      <c r="U459" s="100"/>
      <c r="V459" s="97"/>
      <c r="W459" s="97"/>
      <c r="Y459" s="79"/>
      <c r="Z459" s="80"/>
      <c r="AA459" s="80"/>
      <c r="AD459" s="77"/>
      <c r="AE459" s="77"/>
      <c r="AF459" s="77"/>
    </row>
    <row r="460" spans="1:32" ht="19.95" hidden="1" customHeight="1" outlineLevel="1">
      <c r="A460" s="117">
        <v>3665</v>
      </c>
      <c r="B460" s="118" t="str">
        <f t="shared" si="460"/>
        <v>WTAMU</v>
      </c>
      <c r="C460" s="149"/>
      <c r="D460" s="138">
        <v>3758606</v>
      </c>
      <c r="E460" s="97"/>
      <c r="F460" s="138">
        <v>23257781.958481859</v>
      </c>
      <c r="G460" s="97"/>
      <c r="H460" s="97"/>
      <c r="I460" s="100">
        <f t="shared" si="458"/>
        <v>-2717402.4389227368</v>
      </c>
      <c r="J460" s="96">
        <f t="shared" si="459"/>
        <v>-0.11683841751434641</v>
      </c>
      <c r="L460" s="100"/>
      <c r="M460" s="100"/>
      <c r="N460" s="100"/>
      <c r="O460" s="100"/>
      <c r="P460" s="138">
        <v>10256387.314537952</v>
      </c>
      <c r="Q460" s="138">
        <v>10283992.205021173</v>
      </c>
      <c r="R460" s="138">
        <v>1675882</v>
      </c>
      <c r="S460" s="138">
        <v>1675882</v>
      </c>
      <c r="T460" s="100"/>
      <c r="U460" s="100"/>
      <c r="V460" s="97"/>
      <c r="W460" s="97"/>
      <c r="Y460" s="79"/>
      <c r="Z460" s="80"/>
      <c r="AA460" s="80"/>
      <c r="AD460" s="77"/>
      <c r="AE460" s="77"/>
      <c r="AF460" s="77"/>
    </row>
    <row r="461" spans="1:32" ht="19.95" hidden="1" customHeight="1" outlineLevel="1">
      <c r="A461" s="117">
        <v>3565</v>
      </c>
      <c r="B461" s="118" t="str">
        <f t="shared" si="460"/>
        <v>TAMU-Commerce</v>
      </c>
      <c r="C461" s="149"/>
      <c r="D461" s="138">
        <v>4991800</v>
      </c>
      <c r="E461" s="97"/>
      <c r="F461" s="138">
        <v>26243571.843745373</v>
      </c>
      <c r="G461" s="97"/>
      <c r="H461" s="97"/>
      <c r="I461" s="100">
        <f t="shared" si="458"/>
        <v>-10390493.292140877</v>
      </c>
      <c r="J461" s="96">
        <f t="shared" si="459"/>
        <v>-0.39592527091990498</v>
      </c>
      <c r="L461" s="100"/>
      <c r="M461" s="100"/>
      <c r="N461" s="100"/>
      <c r="O461" s="100"/>
      <c r="P461" s="138">
        <v>7921051.773679018</v>
      </c>
      <c r="Q461" s="138">
        <v>7932026.7779254783</v>
      </c>
      <c r="R461" s="138">
        <v>2720000</v>
      </c>
      <c r="S461" s="138">
        <v>2720000</v>
      </c>
      <c r="T461" s="100"/>
      <c r="U461" s="100"/>
      <c r="V461" s="97"/>
      <c r="W461" s="97"/>
      <c r="Y461" s="79"/>
      <c r="Z461" s="80"/>
      <c r="AA461" s="80"/>
      <c r="AD461" s="77"/>
      <c r="AE461" s="77"/>
      <c r="AF461" s="77"/>
    </row>
    <row r="462" spans="1:32" ht="19.95" hidden="1" customHeight="1" outlineLevel="1">
      <c r="A462" s="117">
        <v>29269</v>
      </c>
      <c r="B462" s="118" t="str">
        <f t="shared" si="460"/>
        <v>TAMU-Texarkana</v>
      </c>
      <c r="C462" s="149"/>
      <c r="D462" s="138">
        <v>186250</v>
      </c>
      <c r="E462" s="97"/>
      <c r="F462" s="138">
        <v>4599171.8028553985</v>
      </c>
      <c r="G462" s="97"/>
      <c r="H462" s="97"/>
      <c r="I462" s="100">
        <f t="shared" si="458"/>
        <v>-942.86209987103939</v>
      </c>
      <c r="J462" s="96">
        <f t="shared" si="459"/>
        <v>-2.0500693174489869E-4</v>
      </c>
      <c r="L462" s="100"/>
      <c r="M462" s="100"/>
      <c r="N462" s="100"/>
      <c r="O462" s="100"/>
      <c r="P462" s="138">
        <v>2294965.9327407139</v>
      </c>
      <c r="Q462" s="138">
        <v>2303263.008014814</v>
      </c>
      <c r="R462" s="138">
        <v>112115</v>
      </c>
      <c r="S462" s="138">
        <v>112115</v>
      </c>
      <c r="T462" s="100"/>
      <c r="U462" s="100"/>
      <c r="V462" s="97"/>
      <c r="W462" s="97"/>
      <c r="Y462" s="79"/>
      <c r="Z462" s="80"/>
      <c r="AA462" s="80"/>
      <c r="AD462" s="77"/>
      <c r="AE462" s="77"/>
      <c r="AF462" s="77"/>
    </row>
    <row r="463" spans="1:32" ht="19.95" hidden="1" customHeight="1" outlineLevel="1">
      <c r="A463" s="117">
        <v>3652</v>
      </c>
      <c r="B463" s="118" t="str">
        <f t="shared" si="460"/>
        <v>UH</v>
      </c>
      <c r="C463" s="149"/>
      <c r="D463" s="138">
        <v>25309680</v>
      </c>
      <c r="E463" s="97"/>
      <c r="F463" s="138">
        <v>137777179.38387433</v>
      </c>
      <c r="G463" s="97"/>
      <c r="H463" s="97"/>
      <c r="I463" s="100">
        <f t="shared" si="458"/>
        <v>-9867985.2288150191</v>
      </c>
      <c r="J463" s="96">
        <f t="shared" si="459"/>
        <v>-7.1622784505704473E-2</v>
      </c>
      <c r="L463" s="100"/>
      <c r="M463" s="100"/>
      <c r="N463" s="100"/>
      <c r="O463" s="100"/>
      <c r="P463" s="138">
        <v>63856239.910036311</v>
      </c>
      <c r="Q463" s="138">
        <v>64052954.245022997</v>
      </c>
      <c r="R463" s="138">
        <v>12540421</v>
      </c>
      <c r="S463" s="138">
        <v>12540421</v>
      </c>
      <c r="T463" s="100"/>
      <c r="U463" s="100"/>
      <c r="V463" s="97"/>
      <c r="W463" s="97"/>
      <c r="Y463" s="79"/>
      <c r="Z463" s="80"/>
      <c r="AA463" s="80"/>
      <c r="AD463" s="77"/>
      <c r="AE463" s="77"/>
      <c r="AF463" s="77"/>
    </row>
    <row r="464" spans="1:32" ht="19.95" hidden="1" customHeight="1" outlineLevel="1">
      <c r="A464" s="117">
        <v>11711</v>
      </c>
      <c r="B464" s="118" t="str">
        <f t="shared" si="460"/>
        <v>UH-Clear Lake</v>
      </c>
      <c r="C464" s="149"/>
      <c r="D464" s="138">
        <v>3575740</v>
      </c>
      <c r="E464" s="97"/>
      <c r="F464" s="138">
        <v>22408855.066190183</v>
      </c>
      <c r="G464" s="97"/>
      <c r="H464" s="97"/>
      <c r="I464" s="100">
        <f t="shared" si="458"/>
        <v>-1157316.3997425884</v>
      </c>
      <c r="J464" s="96">
        <f t="shared" si="459"/>
        <v>-5.1645494440664803E-2</v>
      </c>
      <c r="L464" s="100"/>
      <c r="M464" s="100"/>
      <c r="N464" s="100"/>
      <c r="O464" s="100"/>
      <c r="P464" s="138">
        <v>10606633.254646186</v>
      </c>
      <c r="Q464" s="138">
        <v>10644905.411801411</v>
      </c>
      <c r="R464" s="138">
        <v>1913398</v>
      </c>
      <c r="S464" s="138">
        <v>1913398</v>
      </c>
      <c r="T464" s="100"/>
      <c r="U464" s="100"/>
      <c r="V464" s="97"/>
      <c r="W464" s="97"/>
      <c r="Y464" s="79"/>
      <c r="Z464" s="80"/>
      <c r="AA464" s="80"/>
      <c r="AD464" s="77"/>
      <c r="AE464" s="77"/>
      <c r="AF464" s="77"/>
    </row>
    <row r="465" spans="1:32" ht="19.95" hidden="1" customHeight="1" outlineLevel="1">
      <c r="A465" s="117">
        <v>12826</v>
      </c>
      <c r="B465" s="118" t="str">
        <f t="shared" si="460"/>
        <v>UH-Downtown</v>
      </c>
      <c r="C465" s="149"/>
      <c r="D465" s="138">
        <v>2377684</v>
      </c>
      <c r="E465" s="97"/>
      <c r="F465" s="138">
        <v>39848916.684569642</v>
      </c>
      <c r="G465" s="97"/>
      <c r="H465" s="97"/>
      <c r="I465" s="100">
        <f t="shared" si="458"/>
        <v>-6014600.6122384295</v>
      </c>
      <c r="J465" s="96">
        <f t="shared" si="459"/>
        <v>-0.15093510972576607</v>
      </c>
      <c r="L465" s="100"/>
      <c r="M465" s="100"/>
      <c r="N465" s="100"/>
      <c r="O465" s="100"/>
      <c r="P465" s="138">
        <v>16898704.649749018</v>
      </c>
      <c r="Q465" s="138">
        <v>16935611.422582194</v>
      </c>
      <c r="R465" s="138">
        <v>1140388</v>
      </c>
      <c r="S465" s="138">
        <v>1140388</v>
      </c>
      <c r="T465" s="100"/>
      <c r="U465" s="100"/>
      <c r="V465" s="97"/>
      <c r="W465" s="97"/>
      <c r="Y465" s="79"/>
      <c r="Z465" s="80"/>
      <c r="AA465" s="80"/>
      <c r="AD465" s="77"/>
      <c r="AE465" s="77"/>
      <c r="AF465" s="77"/>
    </row>
    <row r="466" spans="1:32" ht="19.95" hidden="1" customHeight="1" outlineLevel="1">
      <c r="A466" s="117">
        <v>13231</v>
      </c>
      <c r="B466" s="118" t="str">
        <f t="shared" si="460"/>
        <v>UH-Victoria</v>
      </c>
      <c r="C466" s="149"/>
      <c r="D466" s="138">
        <v>1657200</v>
      </c>
      <c r="E466" s="97"/>
      <c r="F466" s="138">
        <v>11831890.892949523</v>
      </c>
      <c r="G466" s="97"/>
      <c r="H466" s="97"/>
      <c r="I466" s="100">
        <f t="shared" si="458"/>
        <v>-2021924.3783651013</v>
      </c>
      <c r="J466" s="96">
        <f t="shared" si="459"/>
        <v>-0.17088767946380751</v>
      </c>
      <c r="L466" s="100"/>
      <c r="M466" s="100"/>
      <c r="N466" s="100"/>
      <c r="O466" s="100"/>
      <c r="P466" s="138">
        <v>4900586.5420977753</v>
      </c>
      <c r="Q466" s="138">
        <v>4909379.9724866478</v>
      </c>
      <c r="R466" s="138">
        <v>828600</v>
      </c>
      <c r="S466" s="138">
        <v>828600</v>
      </c>
      <c r="T466" s="100"/>
      <c r="U466" s="100"/>
      <c r="V466" s="97"/>
      <c r="W466" s="97"/>
      <c r="Y466" s="79"/>
      <c r="Z466" s="80"/>
      <c r="AA466" s="80"/>
      <c r="AD466" s="77"/>
      <c r="AE466" s="77"/>
      <c r="AF466" s="77"/>
    </row>
    <row r="467" spans="1:32" ht="19.95" hidden="1" customHeight="1" outlineLevel="1">
      <c r="A467" s="117">
        <v>3592</v>
      </c>
      <c r="B467" s="118" t="str">
        <f t="shared" si="460"/>
        <v>Midwestern</v>
      </c>
      <c r="C467" s="149"/>
      <c r="D467" s="138">
        <v>905000</v>
      </c>
      <c r="E467" s="97"/>
      <c r="F467" s="138">
        <v>10734563.441023543</v>
      </c>
      <c r="G467" s="97"/>
      <c r="H467" s="97"/>
      <c r="I467" s="100">
        <f t="shared" si="458"/>
        <v>-401991.5568783097</v>
      </c>
      <c r="J467" s="96">
        <f t="shared" si="459"/>
        <v>-3.7448337707153154E-2</v>
      </c>
      <c r="L467" s="100"/>
      <c r="M467" s="100"/>
      <c r="N467" s="100"/>
      <c r="O467" s="100"/>
      <c r="P467" s="138">
        <v>5161828.2769893445</v>
      </c>
      <c r="Q467" s="138">
        <v>5170743.6071558893</v>
      </c>
      <c r="R467" s="138">
        <v>472500</v>
      </c>
      <c r="S467" s="138">
        <v>472500</v>
      </c>
      <c r="T467" s="100"/>
      <c r="U467" s="100"/>
      <c r="V467" s="97"/>
      <c r="W467" s="97"/>
      <c r="Y467" s="79"/>
      <c r="Z467" s="80"/>
      <c r="AA467" s="80"/>
      <c r="AD467" s="77"/>
      <c r="AE467" s="77"/>
      <c r="AF467" s="77"/>
    </row>
    <row r="468" spans="1:32" ht="19.95" hidden="1" customHeight="1" outlineLevel="1">
      <c r="A468" s="117">
        <v>3594</v>
      </c>
      <c r="B468" s="118" t="str">
        <f t="shared" si="460"/>
        <v>UNT</v>
      </c>
      <c r="C468" s="149"/>
      <c r="D468" s="138">
        <v>12044000</v>
      </c>
      <c r="E468" s="97"/>
      <c r="F468" s="138">
        <v>122618419.35538679</v>
      </c>
      <c r="G468" s="97"/>
      <c r="H468" s="97"/>
      <c r="I468" s="100">
        <f t="shared" si="458"/>
        <v>37610275.560663044</v>
      </c>
      <c r="J468" s="96">
        <f t="shared" si="459"/>
        <v>0.30672614896181805</v>
      </c>
      <c r="L468" s="100"/>
      <c r="M468" s="100"/>
      <c r="N468" s="100"/>
      <c r="O468" s="100"/>
      <c r="P468" s="138">
        <v>79900608.667818978</v>
      </c>
      <c r="Q468" s="138">
        <v>80328086.248230845</v>
      </c>
      <c r="R468" s="138">
        <v>9308769</v>
      </c>
      <c r="S468" s="138">
        <v>9308769</v>
      </c>
      <c r="T468" s="100"/>
      <c r="U468" s="100"/>
      <c r="V468" s="97"/>
      <c r="W468" s="97"/>
      <c r="Y468" s="79"/>
      <c r="Z468" s="80"/>
      <c r="AA468" s="80"/>
      <c r="AD468" s="77"/>
      <c r="AE468" s="77"/>
      <c r="AF468" s="77"/>
    </row>
    <row r="469" spans="1:32" ht="19.95" hidden="1" customHeight="1" outlineLevel="1">
      <c r="A469" s="117">
        <v>42421</v>
      </c>
      <c r="B469" s="118" t="str">
        <f t="shared" si="460"/>
        <v>UNT-Dallas</v>
      </c>
      <c r="C469" s="149"/>
      <c r="D469" s="138">
        <v>4929794</v>
      </c>
      <c r="E469" s="97"/>
      <c r="F469" s="138">
        <v>9975543.6825496666</v>
      </c>
      <c r="G469" s="97"/>
      <c r="H469" s="97"/>
      <c r="I469" s="100">
        <f t="shared" si="458"/>
        <v>-2241426.4631369244</v>
      </c>
      <c r="J469" s="96">
        <f t="shared" si="459"/>
        <v>-0.22469216059450248</v>
      </c>
      <c r="L469" s="100"/>
      <c r="M469" s="100"/>
      <c r="N469" s="100"/>
      <c r="O469" s="100"/>
      <c r="P469" s="138">
        <v>3866251.1239654128</v>
      </c>
      <c r="Q469" s="138">
        <v>3867866.0954473298</v>
      </c>
      <c r="R469" s="138">
        <v>2379799</v>
      </c>
      <c r="S469" s="138">
        <v>2379799</v>
      </c>
      <c r="T469" s="100"/>
      <c r="U469" s="100"/>
      <c r="V469" s="97"/>
      <c r="W469" s="97"/>
      <c r="Y469" s="79"/>
      <c r="Z469" s="80"/>
      <c r="AA469" s="80"/>
      <c r="AD469" s="77"/>
      <c r="AE469" s="77"/>
      <c r="AF469" s="77"/>
    </row>
    <row r="470" spans="1:32" ht="19.95" hidden="1" customHeight="1" outlineLevel="1">
      <c r="A470" s="117">
        <v>3624</v>
      </c>
      <c r="B470" s="118" t="str">
        <f t="shared" si="460"/>
        <v>SFA</v>
      </c>
      <c r="C470" s="149"/>
      <c r="D470" s="138">
        <v>1573368</v>
      </c>
      <c r="E470" s="97"/>
      <c r="F470" s="138">
        <v>27906149.983790964</v>
      </c>
      <c r="G470" s="97"/>
      <c r="H470" s="97"/>
      <c r="I470" s="100">
        <f t="shared" si="458"/>
        <v>-6247878.0672185048</v>
      </c>
      <c r="J470" s="96">
        <f t="shared" si="459"/>
        <v>-0.2238889302482617</v>
      </c>
      <c r="L470" s="100"/>
      <c r="M470" s="100"/>
      <c r="N470" s="100"/>
      <c r="O470" s="100"/>
      <c r="P470" s="138">
        <v>10825171.219183888</v>
      </c>
      <c r="Q470" s="138">
        <v>10833100.697388569</v>
      </c>
      <c r="R470" s="138">
        <v>793731</v>
      </c>
      <c r="S470" s="138">
        <v>793731</v>
      </c>
      <c r="T470" s="100"/>
      <c r="U470" s="100"/>
      <c r="V470" s="97"/>
      <c r="W470" s="97"/>
      <c r="Y470" s="79"/>
      <c r="Z470" s="80"/>
      <c r="AA470" s="80"/>
      <c r="AD470" s="77"/>
      <c r="AE470" s="77"/>
      <c r="AF470" s="77"/>
    </row>
    <row r="471" spans="1:32" ht="19.95" hidden="1" customHeight="1" outlineLevel="1">
      <c r="A471" s="117">
        <v>3642</v>
      </c>
      <c r="B471" s="118" t="str">
        <f t="shared" si="460"/>
        <v>TSU</v>
      </c>
      <c r="C471" s="149"/>
      <c r="D471" s="138">
        <v>6966938</v>
      </c>
      <c r="E471" s="97"/>
      <c r="F471" s="138">
        <v>28153227.129992638</v>
      </c>
      <c r="G471" s="97"/>
      <c r="H471" s="97"/>
      <c r="I471" s="100">
        <f t="shared" si="458"/>
        <v>11932417.130295884</v>
      </c>
      <c r="J471" s="96">
        <f t="shared" si="459"/>
        <v>0.4238383427661781</v>
      </c>
      <c r="L471" s="100"/>
      <c r="M471" s="100"/>
      <c r="N471" s="100"/>
      <c r="O471" s="100"/>
      <c r="P471" s="138">
        <v>20001987.144950595</v>
      </c>
      <c r="Q471" s="138">
        <v>20083657.115337931</v>
      </c>
      <c r="R471" s="138">
        <v>3483469</v>
      </c>
      <c r="S471" s="138">
        <v>3483469</v>
      </c>
      <c r="T471" s="100"/>
      <c r="U471" s="100"/>
      <c r="V471" s="97"/>
      <c r="W471" s="97"/>
      <c r="Y471" s="79"/>
      <c r="Z471" s="80"/>
      <c r="AA471" s="80"/>
      <c r="AD471" s="77"/>
      <c r="AE471" s="77"/>
      <c r="AF471" s="77"/>
    </row>
    <row r="472" spans="1:32" ht="19.95" hidden="1" customHeight="1" outlineLevel="1">
      <c r="A472" s="117">
        <v>3644</v>
      </c>
      <c r="B472" s="118" t="str">
        <f t="shared" si="460"/>
        <v>TTU</v>
      </c>
      <c r="C472" s="149"/>
      <c r="D472" s="138">
        <v>15141820</v>
      </c>
      <c r="E472" s="97"/>
      <c r="F472" s="138">
        <v>106917286.57550201</v>
      </c>
      <c r="G472" s="97"/>
      <c r="H472" s="97"/>
      <c r="I472" s="100">
        <f t="shared" si="458"/>
        <v>-1429950.063888073</v>
      </c>
      <c r="J472" s="96">
        <f t="shared" si="459"/>
        <v>-1.3374357970432425E-2</v>
      </c>
      <c r="L472" s="100"/>
      <c r="M472" s="100"/>
      <c r="N472" s="100"/>
      <c r="O472" s="100"/>
      <c r="P472" s="138">
        <v>52662832.035957098</v>
      </c>
      <c r="Q472" s="138">
        <v>52824504.475656845</v>
      </c>
      <c r="R472" s="138">
        <v>8468847</v>
      </c>
      <c r="S472" s="138">
        <v>8468847</v>
      </c>
      <c r="T472" s="100"/>
      <c r="U472" s="100"/>
      <c r="V472" s="97"/>
      <c r="W472" s="97"/>
      <c r="Y472" s="79"/>
      <c r="Z472" s="80"/>
      <c r="AA472" s="80"/>
      <c r="AD472" s="77"/>
      <c r="AE472" s="77"/>
      <c r="AF472" s="77"/>
    </row>
    <row r="473" spans="1:32" ht="19.95" hidden="1" customHeight="1" outlineLevel="1">
      <c r="A473" s="117">
        <v>3541</v>
      </c>
      <c r="B473" s="118" t="str">
        <f t="shared" si="460"/>
        <v>Angelo</v>
      </c>
      <c r="C473" s="149"/>
      <c r="D473" s="138">
        <v>2499722</v>
      </c>
      <c r="E473" s="97"/>
      <c r="F473" s="138">
        <v>19372922.460606091</v>
      </c>
      <c r="G473" s="97"/>
      <c r="H473" s="97"/>
      <c r="I473" s="100">
        <f t="shared" si="458"/>
        <v>-171239.04091821611</v>
      </c>
      <c r="J473" s="96">
        <f t="shared" si="459"/>
        <v>-8.8390918441150265E-3</v>
      </c>
      <c r="L473" s="100"/>
      <c r="M473" s="100"/>
      <c r="N473" s="100"/>
      <c r="O473" s="100"/>
      <c r="P473" s="138">
        <v>9597109.5139845423</v>
      </c>
      <c r="Q473" s="138">
        <v>9604573.9057033341</v>
      </c>
      <c r="R473" s="138">
        <v>1324655</v>
      </c>
      <c r="S473" s="138">
        <v>1324655</v>
      </c>
      <c r="T473" s="100"/>
      <c r="U473" s="100"/>
      <c r="V473" s="97"/>
      <c r="W473" s="97"/>
      <c r="Y473" s="79"/>
      <c r="Z473" s="80"/>
      <c r="AA473" s="80"/>
      <c r="AD473" s="77"/>
      <c r="AE473" s="77"/>
      <c r="AF473" s="77"/>
    </row>
    <row r="474" spans="1:32" ht="19.95" hidden="1" customHeight="1" outlineLevel="1">
      <c r="A474" s="117">
        <v>3646</v>
      </c>
      <c r="B474" s="118" t="str">
        <f t="shared" si="460"/>
        <v>TWU</v>
      </c>
      <c r="C474" s="149"/>
      <c r="D474" s="138">
        <v>10618092</v>
      </c>
      <c r="E474" s="97"/>
      <c r="F474" s="138">
        <v>32088950.178342186</v>
      </c>
      <c r="G474" s="97"/>
      <c r="H474" s="97"/>
      <c r="I474" s="100">
        <f t="shared" si="458"/>
        <v>-3624444.1384932101</v>
      </c>
      <c r="J474" s="96">
        <f t="shared" si="459"/>
        <v>-0.11294991323647161</v>
      </c>
      <c r="L474" s="100"/>
      <c r="M474" s="100"/>
      <c r="N474" s="100"/>
      <c r="O474" s="100"/>
      <c r="P474" s="138">
        <v>14218760.468204305</v>
      </c>
      <c r="Q474" s="138">
        <v>14245745.571644669</v>
      </c>
      <c r="R474" s="138">
        <v>6183085</v>
      </c>
      <c r="S474" s="138">
        <v>6183085</v>
      </c>
      <c r="T474" s="100"/>
      <c r="U474" s="100"/>
      <c r="V474" s="97"/>
      <c r="W474" s="97"/>
      <c r="Y474" s="79"/>
      <c r="Z474" s="80"/>
      <c r="AA474" s="80"/>
      <c r="AD474" s="77"/>
      <c r="AE474" s="77"/>
      <c r="AF474" s="77"/>
    </row>
    <row r="475" spans="1:32" ht="19.95" hidden="1" customHeight="1" outlineLevel="1">
      <c r="A475" s="117">
        <v>3581</v>
      </c>
      <c r="B475" s="118" t="str">
        <f t="shared" si="460"/>
        <v>Lamar</v>
      </c>
      <c r="C475" s="149"/>
      <c r="D475" s="138">
        <v>0</v>
      </c>
      <c r="E475" s="97"/>
      <c r="F475" s="138">
        <v>36564122.280116051</v>
      </c>
      <c r="G475" s="97"/>
      <c r="H475" s="97"/>
      <c r="I475" s="100">
        <f t="shared" si="458"/>
        <v>6807591.4416582361</v>
      </c>
      <c r="J475" s="96">
        <f t="shared" si="459"/>
        <v>0.18618227423881784</v>
      </c>
      <c r="L475" s="100"/>
      <c r="M475" s="100"/>
      <c r="N475" s="100"/>
      <c r="O475" s="100"/>
      <c r="P475" s="138">
        <v>21669032.282180868</v>
      </c>
      <c r="Q475" s="138">
        <v>21702681.439593419</v>
      </c>
      <c r="R475" s="138">
        <v>0</v>
      </c>
      <c r="S475" s="138">
        <v>0</v>
      </c>
      <c r="T475" s="100"/>
      <c r="U475" s="100"/>
      <c r="V475" s="97"/>
      <c r="W475" s="97"/>
      <c r="Y475" s="79"/>
      <c r="Z475" s="80"/>
      <c r="AA475" s="80"/>
      <c r="AD475" s="77"/>
      <c r="AE475" s="77"/>
      <c r="AF475" s="77"/>
    </row>
    <row r="476" spans="1:32" ht="19.95" hidden="1" customHeight="1" outlineLevel="1">
      <c r="A476" s="117">
        <v>3606</v>
      </c>
      <c r="B476" s="118" t="str">
        <f t="shared" si="460"/>
        <v>Sam Houston</v>
      </c>
      <c r="C476" s="149"/>
      <c r="D476" s="138">
        <v>4428000</v>
      </c>
      <c r="E476" s="97"/>
      <c r="F476" s="138">
        <v>50184816.365474418</v>
      </c>
      <c r="G476" s="97"/>
      <c r="H476" s="97"/>
      <c r="I476" s="100">
        <f>(P476+Q476)-F476</f>
        <v>-1026506.0843559429</v>
      </c>
      <c r="J476" s="96">
        <f t="shared" si="459"/>
        <v>-2.0454515104336358E-2</v>
      </c>
      <c r="L476" s="100"/>
      <c r="M476" s="100"/>
      <c r="N476" s="100"/>
      <c r="O476" s="100"/>
      <c r="P476" s="138">
        <v>24556578.021036752</v>
      </c>
      <c r="Q476" s="138">
        <v>24601732.260081723</v>
      </c>
      <c r="R476" s="138">
        <v>2435650</v>
      </c>
      <c r="S476" s="138">
        <v>2435650</v>
      </c>
      <c r="T476" s="100"/>
      <c r="U476" s="100"/>
      <c r="V476" s="97"/>
      <c r="W476" s="97"/>
      <c r="Y476" s="79"/>
      <c r="Z476" s="80"/>
      <c r="AA476" s="80"/>
      <c r="AD476" s="77"/>
      <c r="AE476" s="77"/>
      <c r="AF476" s="77"/>
    </row>
    <row r="477" spans="1:32" ht="19.95" hidden="1" customHeight="1" outlineLevel="1">
      <c r="A477" s="117">
        <v>3615</v>
      </c>
      <c r="B477" s="118" t="str">
        <f t="shared" si="460"/>
        <v>TXST</v>
      </c>
      <c r="C477" s="149"/>
      <c r="D477" s="138">
        <v>6193672</v>
      </c>
      <c r="E477" s="97"/>
      <c r="F477" s="138">
        <v>86592080.867499962</v>
      </c>
      <c r="G477" s="97"/>
      <c r="H477" s="97"/>
      <c r="I477" s="100">
        <f t="shared" si="458"/>
        <v>2068643.0682198554</v>
      </c>
      <c r="J477" s="96">
        <f t="shared" si="459"/>
        <v>2.3889517926994012E-2</v>
      </c>
      <c r="L477" s="100"/>
      <c r="M477" s="100"/>
      <c r="N477" s="100"/>
      <c r="O477" s="100"/>
      <c r="P477" s="138">
        <v>44293280.676085465</v>
      </c>
      <c r="Q477" s="138">
        <v>44367443.259634353</v>
      </c>
      <c r="R477" s="138">
        <v>3520007</v>
      </c>
      <c r="S477" s="138">
        <v>3520007</v>
      </c>
      <c r="T477" s="100"/>
      <c r="U477" s="100"/>
      <c r="V477" s="97"/>
      <c r="W477" s="97"/>
      <c r="Y477" s="79"/>
      <c r="Z477" s="80"/>
      <c r="AA477" s="80"/>
      <c r="AD477" s="77"/>
      <c r="AE477" s="77"/>
      <c r="AF477" s="77"/>
    </row>
    <row r="478" spans="1:32" ht="19.95" hidden="1" customHeight="1" outlineLevel="1">
      <c r="A478" s="117">
        <v>3625</v>
      </c>
      <c r="B478" s="118" t="str">
        <f t="shared" si="460"/>
        <v>Sul Ross</v>
      </c>
      <c r="C478" s="149"/>
      <c r="D478" s="138">
        <v>148184</v>
      </c>
      <c r="E478" s="97"/>
      <c r="F478" s="138">
        <v>3243379.3313756748</v>
      </c>
      <c r="G478" s="97"/>
      <c r="H478" s="97"/>
      <c r="I478" s="100">
        <f t="shared" si="458"/>
        <v>63641.849706707057</v>
      </c>
      <c r="J478" s="96">
        <f t="shared" si="459"/>
        <v>1.9622080307120121E-2</v>
      </c>
      <c r="L478" s="100"/>
      <c r="M478" s="100"/>
      <c r="N478" s="100"/>
      <c r="O478" s="100"/>
      <c r="P478" s="138">
        <v>1652200.076960501</v>
      </c>
      <c r="Q478" s="138">
        <v>1654821.1041218811</v>
      </c>
      <c r="R478" s="138">
        <v>69508</v>
      </c>
      <c r="S478" s="138">
        <v>69508</v>
      </c>
      <c r="T478" s="100"/>
      <c r="U478" s="100"/>
      <c r="V478" s="97"/>
      <c r="W478" s="97"/>
      <c r="Y478" s="79"/>
      <c r="Z478" s="80"/>
      <c r="AA478" s="80"/>
      <c r="AD478" s="77"/>
      <c r="AE478" s="77"/>
      <c r="AF478" s="77"/>
    </row>
    <row r="479" spans="1:32" ht="19.95" hidden="1" customHeight="1" outlineLevel="1" thickBot="1">
      <c r="A479" s="122">
        <v>20</v>
      </c>
      <c r="B479" s="123" t="str">
        <f t="shared" si="460"/>
        <v>Sul Ross-Rio Grande</v>
      </c>
      <c r="C479" s="150"/>
      <c r="D479" s="139">
        <v>29066</v>
      </c>
      <c r="E479" s="151"/>
      <c r="F479" s="139">
        <v>1727697.8294078279</v>
      </c>
      <c r="G479" s="151"/>
      <c r="H479" s="151"/>
      <c r="I479" s="124">
        <f t="shared" si="458"/>
        <v>-616029.72669109679</v>
      </c>
      <c r="J479" s="126">
        <f t="shared" si="459"/>
        <v>-0.35656103527214728</v>
      </c>
      <c r="L479" s="124"/>
      <c r="M479" s="124"/>
      <c r="N479" s="124"/>
      <c r="O479" s="124"/>
      <c r="P479" s="139">
        <v>555803.08868836798</v>
      </c>
      <c r="Q479" s="139">
        <v>555865.01402836316</v>
      </c>
      <c r="R479" s="139">
        <v>20443</v>
      </c>
      <c r="S479" s="139">
        <v>20443</v>
      </c>
      <c r="T479" s="124"/>
      <c r="U479" s="124"/>
      <c r="V479" s="97"/>
      <c r="W479" s="131"/>
      <c r="Y479" s="79"/>
      <c r="Z479" s="80"/>
      <c r="AA479" s="80"/>
      <c r="AD479" s="77"/>
      <c r="AE479" s="77"/>
      <c r="AF479" s="77"/>
    </row>
    <row r="480" spans="1:32" ht="19.95" hidden="1" customHeight="1" outlineLevel="1" thickBot="1">
      <c r="A480" s="105"/>
      <c r="B480" s="128" t="str">
        <f t="shared" si="460"/>
        <v>TOTAL</v>
      </c>
      <c r="C480" s="131"/>
      <c r="D480" s="131">
        <f>SUM(D443:D479)</f>
        <v>224089812</v>
      </c>
      <c r="E480" s="131"/>
      <c r="F480" s="152">
        <f>SUM(F443:F479)</f>
        <v>1904764880.6056004</v>
      </c>
      <c r="G480" s="131"/>
      <c r="H480" s="131"/>
      <c r="I480" s="131">
        <f t="shared" si="458"/>
        <v>-20275887.229704857</v>
      </c>
      <c r="J480" s="130">
        <f t="shared" si="459"/>
        <v>-1.0644824164995287E-2</v>
      </c>
      <c r="L480" s="131"/>
      <c r="M480" s="131"/>
      <c r="N480" s="131"/>
      <c r="O480" s="131"/>
      <c r="P480" s="276">
        <f>SUM(P443:P479)</f>
        <v>940780947.96145833</v>
      </c>
      <c r="Q480" s="276">
        <f>SUM(Q443:Q479)</f>
        <v>943708045.41443729</v>
      </c>
      <c r="R480" s="276">
        <f>SUM(R443:R479)</f>
        <v>125853787</v>
      </c>
      <c r="S480" s="276">
        <f>SUM(S443:S479)</f>
        <v>125853787</v>
      </c>
      <c r="T480" s="131"/>
      <c r="U480" s="131"/>
      <c r="V480" s="131"/>
      <c r="W480" s="97"/>
      <c r="Y480" s="79"/>
      <c r="Z480" s="80"/>
      <c r="AA480" s="80"/>
      <c r="AD480" s="77"/>
      <c r="AE480" s="77"/>
      <c r="AF480" s="77"/>
    </row>
    <row r="481" spans="1:32" ht="19.95" hidden="1" customHeight="1" outlineLevel="1">
      <c r="A481" s="107">
        <v>9225</v>
      </c>
      <c r="B481" s="108" t="str">
        <f t="shared" si="460"/>
        <v>TSTC-Harlingen</v>
      </c>
      <c r="C481" s="153"/>
      <c r="D481" s="154">
        <v>0</v>
      </c>
      <c r="E481" s="155"/>
      <c r="F481" s="138">
        <v>4358562</v>
      </c>
      <c r="G481" s="155"/>
      <c r="H481" s="155"/>
      <c r="I481" s="133">
        <f t="shared" si="458"/>
        <v>401565</v>
      </c>
      <c r="J481" s="112">
        <f t="shared" si="459"/>
        <v>9.2132451023984513E-2</v>
      </c>
      <c r="L481" s="133"/>
      <c r="M481" s="133"/>
      <c r="N481" s="133"/>
      <c r="O481" s="133"/>
      <c r="P481" s="634">
        <v>2344890</v>
      </c>
      <c r="Q481" s="634">
        <v>2415237</v>
      </c>
      <c r="R481" s="133">
        <v>0</v>
      </c>
      <c r="S481" s="133">
        <v>0</v>
      </c>
      <c r="T481" s="133"/>
      <c r="U481" s="133"/>
      <c r="V481" s="97"/>
      <c r="W481" s="97"/>
      <c r="Y481" s="79"/>
      <c r="Z481" s="80"/>
      <c r="AA481" s="80"/>
      <c r="AD481" s="77"/>
      <c r="AE481" s="77"/>
      <c r="AF481" s="77"/>
    </row>
    <row r="482" spans="1:32" ht="19.95" hidden="1" customHeight="1" outlineLevel="1">
      <c r="A482" s="117">
        <v>9932</v>
      </c>
      <c r="B482" s="118" t="str">
        <f t="shared" si="460"/>
        <v>TSTC-West Tx</v>
      </c>
      <c r="C482" s="149"/>
      <c r="D482" s="138">
        <v>0</v>
      </c>
      <c r="E482" s="97"/>
      <c r="F482" s="138">
        <v>1476371</v>
      </c>
      <c r="G482" s="97"/>
      <c r="H482" s="97"/>
      <c r="I482" s="100">
        <f t="shared" si="458"/>
        <v>255051</v>
      </c>
      <c r="J482" s="96">
        <f t="shared" si="459"/>
        <v>0.17275535756256388</v>
      </c>
      <c r="L482" s="100"/>
      <c r="M482" s="100"/>
      <c r="N482" s="100"/>
      <c r="O482" s="100"/>
      <c r="P482" s="138">
        <v>852917</v>
      </c>
      <c r="Q482" s="138">
        <v>878505</v>
      </c>
      <c r="R482" s="100">
        <v>0</v>
      </c>
      <c r="S482" s="100">
        <v>0</v>
      </c>
      <c r="T482" s="100"/>
      <c r="U482" s="100"/>
      <c r="V482" s="97"/>
      <c r="W482" s="97"/>
      <c r="Y482" s="79"/>
      <c r="Z482" s="80"/>
      <c r="AA482" s="80"/>
      <c r="AD482" s="77"/>
      <c r="AE482" s="77"/>
      <c r="AF482" s="77"/>
    </row>
    <row r="483" spans="1:32" ht="19.95" hidden="1" customHeight="1" outlineLevel="1">
      <c r="A483" s="117">
        <v>33965</v>
      </c>
      <c r="B483" s="118" t="str">
        <f t="shared" si="460"/>
        <v>TSTC-Marshall</v>
      </c>
      <c r="C483" s="149"/>
      <c r="D483" s="138">
        <v>0</v>
      </c>
      <c r="E483" s="97"/>
      <c r="F483" s="138">
        <v>667915.98478543956</v>
      </c>
      <c r="G483" s="97"/>
      <c r="H483" s="97"/>
      <c r="I483" s="100">
        <f t="shared" si="458"/>
        <v>112900.01521456044</v>
      </c>
      <c r="J483" s="96">
        <f t="shared" si="459"/>
        <v>0.1690332583533366</v>
      </c>
      <c r="L483" s="100"/>
      <c r="M483" s="100"/>
      <c r="N483" s="100"/>
      <c r="O483" s="100"/>
      <c r="P483" s="138">
        <v>384639</v>
      </c>
      <c r="Q483" s="138">
        <v>396177</v>
      </c>
      <c r="R483" s="100">
        <v>0</v>
      </c>
      <c r="S483" s="100">
        <v>0</v>
      </c>
      <c r="T483" s="100"/>
      <c r="U483" s="100"/>
      <c r="V483" s="97"/>
      <c r="W483" s="97"/>
      <c r="Y483" s="79"/>
      <c r="Z483" s="80"/>
      <c r="AA483" s="80"/>
      <c r="AD483" s="77"/>
      <c r="AE483" s="77"/>
      <c r="AF483" s="77"/>
    </row>
    <row r="484" spans="1:32" ht="19.95" hidden="1" customHeight="1" outlineLevel="1">
      <c r="A484" s="117">
        <v>3634</v>
      </c>
      <c r="B484" s="118" t="str">
        <f t="shared" si="460"/>
        <v>TSTC-Waco</v>
      </c>
      <c r="C484" s="149"/>
      <c r="D484" s="138">
        <v>0</v>
      </c>
      <c r="E484" s="97"/>
      <c r="F484" s="138">
        <v>4929274.4060477074</v>
      </c>
      <c r="G484" s="97"/>
      <c r="H484" s="97"/>
      <c r="I484" s="100">
        <f t="shared" si="458"/>
        <v>1116134.5939522926</v>
      </c>
      <c r="J484" s="96">
        <f t="shared" si="459"/>
        <v>0.22642979514041892</v>
      </c>
      <c r="L484" s="100"/>
      <c r="M484" s="100"/>
      <c r="N484" s="100"/>
      <c r="O484" s="100"/>
      <c r="P484" s="138">
        <v>2978035</v>
      </c>
      <c r="Q484" s="138">
        <v>3067374</v>
      </c>
      <c r="R484" s="100">
        <v>0</v>
      </c>
      <c r="S484" s="100">
        <v>0</v>
      </c>
      <c r="T484" s="100"/>
      <c r="U484" s="100"/>
      <c r="V484" s="97"/>
      <c r="W484" s="97"/>
      <c r="Y484" s="79"/>
      <c r="Z484" s="80"/>
      <c r="AA484" s="80"/>
      <c r="AD484" s="77"/>
      <c r="AE484" s="77"/>
      <c r="AF484" s="77"/>
    </row>
    <row r="485" spans="1:32" ht="19.95" hidden="1" customHeight="1" outlineLevel="1">
      <c r="A485" s="117">
        <v>203634</v>
      </c>
      <c r="B485" s="118" t="str">
        <f t="shared" si="460"/>
        <v>TSTC-Fort Bend</v>
      </c>
      <c r="C485" s="149"/>
      <c r="D485" s="138">
        <v>0</v>
      </c>
      <c r="E485" s="97"/>
      <c r="F485" s="138">
        <v>529086.4</v>
      </c>
      <c r="G485" s="97"/>
      <c r="H485" s="97"/>
      <c r="I485" s="100">
        <f t="shared" si="458"/>
        <v>190792.59999999998</v>
      </c>
      <c r="J485" s="96">
        <f t="shared" si="459"/>
        <v>0.36060764366651643</v>
      </c>
      <c r="L485" s="100"/>
      <c r="M485" s="100"/>
      <c r="N485" s="100"/>
      <c r="O485" s="100"/>
      <c r="P485" s="138">
        <v>354615</v>
      </c>
      <c r="Q485" s="138">
        <v>365264</v>
      </c>
      <c r="R485" s="100">
        <v>0</v>
      </c>
      <c r="S485" s="100">
        <v>0</v>
      </c>
      <c r="T485" s="100"/>
      <c r="U485" s="100"/>
      <c r="V485" s="97"/>
      <c r="W485" s="97"/>
      <c r="Y485" s="79"/>
      <c r="Z485" s="80"/>
      <c r="AA485" s="80"/>
      <c r="AD485" s="77"/>
      <c r="AE485" s="77"/>
      <c r="AF485" s="77"/>
    </row>
    <row r="486" spans="1:32" ht="19.95" hidden="1" customHeight="1" outlineLevel="1">
      <c r="A486" s="117">
        <v>133965</v>
      </c>
      <c r="B486" s="118" t="str">
        <f t="shared" si="460"/>
        <v>TSTC-North Texas</v>
      </c>
      <c r="C486" s="149"/>
      <c r="D486" s="138">
        <v>0</v>
      </c>
      <c r="E486" s="97"/>
      <c r="F486" s="138">
        <v>302455.5</v>
      </c>
      <c r="G486" s="97"/>
      <c r="H486" s="97"/>
      <c r="I486" s="100">
        <f t="shared" si="458"/>
        <v>66659.5</v>
      </c>
      <c r="J486" s="96">
        <f t="shared" si="459"/>
        <v>0.22039440512736586</v>
      </c>
      <c r="L486" s="100"/>
      <c r="M486" s="100"/>
      <c r="N486" s="100"/>
      <c r="O486" s="100"/>
      <c r="P486" s="138">
        <v>181830</v>
      </c>
      <c r="Q486" s="138">
        <v>187285</v>
      </c>
      <c r="R486" s="100">
        <v>0</v>
      </c>
      <c r="S486" s="100">
        <v>0</v>
      </c>
      <c r="T486" s="100"/>
      <c r="U486" s="100"/>
      <c r="V486" s="97"/>
      <c r="W486" s="97"/>
      <c r="Y486" s="79"/>
      <c r="Z486" s="80"/>
      <c r="AA486" s="80"/>
      <c r="AD486" s="77"/>
      <c r="AE486" s="77"/>
      <c r="AF486" s="77"/>
    </row>
    <row r="487" spans="1:32" ht="19.95" hidden="1" customHeight="1" outlineLevel="1">
      <c r="A487" s="117">
        <v>36273</v>
      </c>
      <c r="B487" s="118" t="str">
        <f t="shared" si="460"/>
        <v>Lamar-IOT</v>
      </c>
      <c r="C487" s="149"/>
      <c r="D487" s="138">
        <v>0</v>
      </c>
      <c r="E487" s="97"/>
      <c r="F487" s="138">
        <v>7967318.1586148432</v>
      </c>
      <c r="G487" s="97"/>
      <c r="H487" s="97"/>
      <c r="I487" s="100">
        <f t="shared" si="458"/>
        <v>794792.54371383134</v>
      </c>
      <c r="J487" s="96">
        <f t="shared" si="459"/>
        <v>9.9756596622722279E-2</v>
      </c>
      <c r="L487" s="100"/>
      <c r="M487" s="100"/>
      <c r="N487" s="100"/>
      <c r="O487" s="100"/>
      <c r="P487" s="138">
        <v>4377437.6739221029</v>
      </c>
      <c r="Q487" s="138">
        <v>4384673.0284065716</v>
      </c>
      <c r="R487" s="100">
        <v>0</v>
      </c>
      <c r="S487" s="100">
        <v>0</v>
      </c>
      <c r="T487" s="100"/>
      <c r="U487" s="100"/>
      <c r="V487" s="97"/>
      <c r="W487" s="97"/>
      <c r="Y487" s="79"/>
      <c r="Z487" s="80"/>
      <c r="AA487" s="80"/>
      <c r="AD487" s="77"/>
      <c r="AE487" s="77"/>
      <c r="AF487" s="77"/>
    </row>
    <row r="488" spans="1:32" ht="19.95" hidden="1" customHeight="1" outlineLevel="1">
      <c r="A488" s="117">
        <v>23582</v>
      </c>
      <c r="B488" s="118" t="str">
        <f t="shared" si="460"/>
        <v>Lamar-Orange</v>
      </c>
      <c r="C488" s="149"/>
      <c r="D488" s="138">
        <v>0</v>
      </c>
      <c r="E488" s="97"/>
      <c r="F488" s="138">
        <v>4450328.68389179</v>
      </c>
      <c r="G488" s="97"/>
      <c r="H488" s="97"/>
      <c r="I488" s="100">
        <f t="shared" si="458"/>
        <v>155076.11403121054</v>
      </c>
      <c r="J488" s="96">
        <f t="shared" si="459"/>
        <v>3.4845991171959294E-2</v>
      </c>
      <c r="L488" s="100"/>
      <c r="M488" s="100"/>
      <c r="N488" s="100"/>
      <c r="O488" s="100"/>
      <c r="P488" s="138">
        <v>2301354.5395081202</v>
      </c>
      <c r="Q488" s="138">
        <v>2304050.2584148804</v>
      </c>
      <c r="R488" s="100">
        <v>0</v>
      </c>
      <c r="S488" s="100">
        <v>0</v>
      </c>
      <c r="T488" s="100"/>
      <c r="U488" s="100"/>
      <c r="V488" s="97"/>
      <c r="W488" s="97"/>
      <c r="Y488" s="79"/>
      <c r="Z488" s="80"/>
      <c r="AA488" s="80"/>
      <c r="AD488" s="77"/>
      <c r="AE488" s="77"/>
      <c r="AF488" s="77"/>
    </row>
    <row r="489" spans="1:32" ht="19.95" hidden="1" customHeight="1" outlineLevel="1" thickBot="1">
      <c r="A489" s="122">
        <v>23485</v>
      </c>
      <c r="B489" s="123" t="str">
        <f t="shared" si="460"/>
        <v>Lamar-Port Arthur</v>
      </c>
      <c r="C489" s="150"/>
      <c r="D489" s="139">
        <v>0</v>
      </c>
      <c r="E489" s="151"/>
      <c r="F489" s="139">
        <v>4555066.9256669246</v>
      </c>
      <c r="G489" s="151"/>
      <c r="H489" s="151"/>
      <c r="I489" s="124">
        <f t="shared" si="458"/>
        <v>-169671.62482964154</v>
      </c>
      <c r="J489" s="126">
        <f t="shared" si="459"/>
        <v>-3.7248986150691797E-2</v>
      </c>
      <c r="L489" s="124"/>
      <c r="M489" s="124"/>
      <c r="N489" s="124"/>
      <c r="O489" s="124"/>
      <c r="P489" s="139">
        <v>2193883.6821779665</v>
      </c>
      <c r="Q489" s="139">
        <v>2191511.6186593166</v>
      </c>
      <c r="R489" s="124">
        <v>0</v>
      </c>
      <c r="S489" s="124">
        <v>0</v>
      </c>
      <c r="T489" s="124"/>
      <c r="U489" s="124"/>
      <c r="V489" s="97"/>
      <c r="W489" s="131"/>
      <c r="Y489" s="79"/>
      <c r="Z489" s="80"/>
      <c r="AA489" s="80"/>
      <c r="AD489" s="77"/>
      <c r="AE489" s="77"/>
      <c r="AF489" s="77"/>
    </row>
    <row r="490" spans="1:32" ht="19.95" hidden="1" customHeight="1" outlineLevel="1">
      <c r="A490" s="105"/>
      <c r="B490" s="128" t="str">
        <f t="shared" si="460"/>
        <v>TOTAL</v>
      </c>
      <c r="C490" s="131"/>
      <c r="D490" s="131">
        <f>SUM(D481:D489)</f>
        <v>0</v>
      </c>
      <c r="E490" s="131"/>
      <c r="F490" s="131">
        <f>SUM(F481:F489)</f>
        <v>29236379.059006702</v>
      </c>
      <c r="G490" s="131"/>
      <c r="H490" s="131"/>
      <c r="I490" s="131">
        <f t="shared" si="458"/>
        <v>2923299.7420822568</v>
      </c>
      <c r="J490" s="130">
        <f t="shared" si="459"/>
        <v>9.9988433457586151E-2</v>
      </c>
      <c r="L490" s="131"/>
      <c r="M490" s="131"/>
      <c r="N490" s="131"/>
      <c r="O490" s="131"/>
      <c r="P490" s="276">
        <f>SUM(P481:P489)</f>
        <v>15969601.895608189</v>
      </c>
      <c r="Q490" s="276">
        <f>SUM(Q481:Q489)</f>
        <v>16190076.905480769</v>
      </c>
      <c r="R490" s="131">
        <f>SUM(R481:R489)</f>
        <v>0</v>
      </c>
      <c r="S490" s="131">
        <f>SUM(S481:S489)</f>
        <v>0</v>
      </c>
      <c r="T490" s="131"/>
      <c r="U490" s="131"/>
      <c r="V490" s="131"/>
      <c r="Y490" s="79"/>
      <c r="Z490" s="80"/>
      <c r="AA490" s="80"/>
      <c r="AD490" s="77"/>
      <c r="AE490" s="77"/>
      <c r="AF490" s="77"/>
    </row>
    <row r="491" spans="1:32" ht="19.95" customHeight="1" collapsed="1">
      <c r="W491" s="106"/>
      <c r="Y491" s="79"/>
      <c r="Z491" s="80"/>
      <c r="AA491" s="80"/>
      <c r="AD491" s="77"/>
      <c r="AE491" s="77"/>
      <c r="AF491" s="77"/>
    </row>
    <row r="492" spans="1:32" s="91" customFormat="1" ht="19.95" customHeight="1" thickBot="1">
      <c r="A492" s="669" t="str">
        <f>L492</f>
        <v>General Revenue Dedicated - Texas Public Education Grants</v>
      </c>
      <c r="B492" s="670"/>
      <c r="C492" s="670"/>
      <c r="D492" s="670"/>
      <c r="E492" s="670"/>
      <c r="F492" s="670"/>
      <c r="G492" s="670"/>
      <c r="H492" s="670"/>
      <c r="I492" s="670"/>
      <c r="J492" s="670"/>
      <c r="L492" s="673" t="s">
        <v>190</v>
      </c>
      <c r="M492" s="673"/>
      <c r="N492" s="673"/>
      <c r="O492" s="673"/>
      <c r="P492" s="673"/>
      <c r="Q492" s="673"/>
      <c r="R492" s="673"/>
      <c r="S492" s="673"/>
      <c r="T492" s="673" t="s">
        <v>159</v>
      </c>
      <c r="U492" s="673"/>
      <c r="V492" s="106"/>
      <c r="W492" s="114"/>
      <c r="Z492" s="94"/>
      <c r="AA492" s="94"/>
    </row>
    <row r="493" spans="1:32" ht="19.95" hidden="1" customHeight="1" outlineLevel="1">
      <c r="A493" s="107">
        <v>3656</v>
      </c>
      <c r="B493" s="108" t="str">
        <f>B25</f>
        <v>UT-Arlington</v>
      </c>
      <c r="C493" s="147"/>
      <c r="D493" s="148"/>
      <c r="E493" s="148"/>
      <c r="F493" s="137">
        <v>14904232</v>
      </c>
      <c r="G493" s="148"/>
      <c r="H493" s="148"/>
      <c r="I493" s="111">
        <f t="shared" ref="I493:I540" si="461">(P493+Q493)-F493</f>
        <v>-804385</v>
      </c>
      <c r="J493" s="112">
        <f t="shared" ref="J493:J540" si="462">IF(OR(I493=0,F493=0),0,I493/F493)</f>
        <v>-5.3970241472354963E-2</v>
      </c>
      <c r="L493" s="111"/>
      <c r="M493" s="111"/>
      <c r="N493" s="111"/>
      <c r="O493" s="111"/>
      <c r="P493" s="634">
        <v>7036772</v>
      </c>
      <c r="Q493" s="634">
        <v>7063075</v>
      </c>
      <c r="R493" s="111"/>
      <c r="S493" s="111"/>
      <c r="T493" s="111"/>
      <c r="U493" s="111"/>
      <c r="V493" s="114"/>
      <c r="W493" s="97"/>
      <c r="Y493" s="79"/>
      <c r="Z493" s="80"/>
      <c r="AA493" s="80"/>
      <c r="AD493" s="77"/>
      <c r="AE493" s="77"/>
      <c r="AF493" s="77"/>
    </row>
    <row r="494" spans="1:32" ht="19.95" hidden="1" customHeight="1" outlineLevel="1">
      <c r="A494" s="117">
        <v>3658</v>
      </c>
      <c r="B494" s="118" t="str">
        <f>B26</f>
        <v>UT-Austin</v>
      </c>
      <c r="C494" s="149"/>
      <c r="D494" s="97"/>
      <c r="E494" s="97"/>
      <c r="F494" s="138">
        <v>25230397</v>
      </c>
      <c r="G494" s="97"/>
      <c r="H494" s="97"/>
      <c r="I494" s="100">
        <f t="shared" si="461"/>
        <v>917550</v>
      </c>
      <c r="J494" s="96">
        <f t="shared" si="462"/>
        <v>3.636684749748488E-2</v>
      </c>
      <c r="L494" s="100"/>
      <c r="M494" s="100"/>
      <c r="N494" s="100"/>
      <c r="O494" s="100"/>
      <c r="P494" s="138">
        <v>13038404</v>
      </c>
      <c r="Q494" s="138">
        <v>13109543</v>
      </c>
      <c r="R494" s="100"/>
      <c r="S494" s="100"/>
      <c r="T494" s="100"/>
      <c r="U494" s="100"/>
      <c r="V494" s="97"/>
      <c r="W494" s="97"/>
      <c r="Y494" s="79"/>
      <c r="Z494" s="80"/>
      <c r="AA494" s="80"/>
      <c r="AD494" s="77"/>
      <c r="AE494" s="77"/>
      <c r="AF494" s="77"/>
    </row>
    <row r="495" spans="1:32" ht="19.95" hidden="1" customHeight="1" outlineLevel="1">
      <c r="A495" s="117">
        <v>9741</v>
      </c>
      <c r="B495" s="118" t="str">
        <f>B27</f>
        <v>UT-Dallas</v>
      </c>
      <c r="C495" s="149"/>
      <c r="D495" s="97"/>
      <c r="E495" s="97"/>
      <c r="F495" s="138">
        <v>10206525</v>
      </c>
      <c r="G495" s="97"/>
      <c r="H495" s="97"/>
      <c r="I495" s="100">
        <f t="shared" si="461"/>
        <v>1016698</v>
      </c>
      <c r="J495" s="96">
        <f t="shared" si="462"/>
        <v>9.9612551774477601E-2</v>
      </c>
      <c r="L495" s="100"/>
      <c r="M495" s="100"/>
      <c r="N495" s="100"/>
      <c r="O495" s="100"/>
      <c r="P495" s="138">
        <v>5594350</v>
      </c>
      <c r="Q495" s="138">
        <v>5628873</v>
      </c>
      <c r="R495" s="100"/>
      <c r="S495" s="100"/>
      <c r="T495" s="100"/>
      <c r="U495" s="100"/>
      <c r="V495" s="97"/>
      <c r="W495" s="97"/>
      <c r="Y495" s="79"/>
      <c r="Z495" s="80"/>
      <c r="AA495" s="80"/>
      <c r="AD495" s="77"/>
      <c r="AE495" s="77"/>
      <c r="AF495" s="77"/>
    </row>
    <row r="496" spans="1:32" ht="19.95" hidden="1" customHeight="1" outlineLevel="1">
      <c r="A496" s="117">
        <v>3661</v>
      </c>
      <c r="B496" s="118" t="str">
        <f>B28</f>
        <v>UT-El Paso</v>
      </c>
      <c r="C496" s="149"/>
      <c r="D496" s="97"/>
      <c r="E496" s="97"/>
      <c r="F496" s="138">
        <v>8566128</v>
      </c>
      <c r="G496" s="97"/>
      <c r="H496" s="97"/>
      <c r="I496" s="100">
        <f t="shared" si="461"/>
        <v>-493874</v>
      </c>
      <c r="J496" s="96">
        <f t="shared" si="462"/>
        <v>-5.7654286744255982E-2</v>
      </c>
      <c r="L496" s="100"/>
      <c r="M496" s="100"/>
      <c r="N496" s="100"/>
      <c r="O496" s="100"/>
      <c r="P496" s="138">
        <v>4026703</v>
      </c>
      <c r="Q496" s="138">
        <v>4045551</v>
      </c>
      <c r="R496" s="100"/>
      <c r="S496" s="100"/>
      <c r="T496" s="100"/>
      <c r="U496" s="100"/>
      <c r="V496" s="97"/>
      <c r="W496" s="97"/>
      <c r="Y496" s="79"/>
      <c r="Z496" s="80"/>
      <c r="AA496" s="80"/>
      <c r="AD496" s="77"/>
      <c r="AE496" s="77"/>
      <c r="AF496" s="77"/>
    </row>
    <row r="497" spans="1:32" ht="19.95" hidden="1" customHeight="1" outlineLevel="1">
      <c r="A497" s="117">
        <v>3599</v>
      </c>
      <c r="B497" s="118" t="s">
        <v>213</v>
      </c>
      <c r="C497" s="149"/>
      <c r="D497" s="97"/>
      <c r="E497" s="97"/>
      <c r="F497" s="138">
        <v>11837147</v>
      </c>
      <c r="G497" s="97"/>
      <c r="H497" s="97"/>
      <c r="I497" s="100">
        <f t="shared" si="461"/>
        <v>-1269522</v>
      </c>
      <c r="J497" s="96">
        <f t="shared" si="462"/>
        <v>-0.10724898491165143</v>
      </c>
      <c r="L497" s="100"/>
      <c r="M497" s="100"/>
      <c r="N497" s="100"/>
      <c r="O497" s="100"/>
      <c r="P497" s="138">
        <v>5279226</v>
      </c>
      <c r="Q497" s="138">
        <v>5288399</v>
      </c>
      <c r="R497" s="100"/>
      <c r="S497" s="100"/>
      <c r="T497" s="100"/>
      <c r="U497" s="100"/>
      <c r="V497" s="97"/>
      <c r="W497" s="97"/>
      <c r="Y497" s="79"/>
      <c r="Z497" s="80"/>
      <c r="AA497" s="80"/>
      <c r="AD497" s="77"/>
      <c r="AE497" s="77"/>
      <c r="AF497" s="77"/>
    </row>
    <row r="498" spans="1:32" ht="19.95" hidden="1" customHeight="1" outlineLevel="1">
      <c r="A498" s="117">
        <v>9930</v>
      </c>
      <c r="B498" s="118" t="str">
        <f t="shared" ref="B498:B540" si="463">B30</f>
        <v>UT-Permian Basin</v>
      </c>
      <c r="C498" s="149"/>
      <c r="D498" s="97"/>
      <c r="E498" s="97"/>
      <c r="F498" s="138">
        <v>1830007</v>
      </c>
      <c r="G498" s="97"/>
      <c r="H498" s="97"/>
      <c r="I498" s="100">
        <f t="shared" si="461"/>
        <v>-70606</v>
      </c>
      <c r="J498" s="96">
        <f t="shared" si="462"/>
        <v>-3.8582366078381121E-2</v>
      </c>
      <c r="L498" s="100"/>
      <c r="M498" s="100"/>
      <c r="N498" s="100"/>
      <c r="O498" s="100"/>
      <c r="P498" s="138">
        <v>878170</v>
      </c>
      <c r="Q498" s="138">
        <v>881231</v>
      </c>
      <c r="R498" s="100"/>
      <c r="S498" s="100"/>
      <c r="T498" s="100"/>
      <c r="U498" s="100"/>
      <c r="V498" s="97"/>
      <c r="W498" s="97"/>
      <c r="Y498" s="79"/>
      <c r="Z498" s="80"/>
      <c r="AA498" s="80"/>
      <c r="AD498" s="77"/>
      <c r="AE498" s="77"/>
      <c r="AF498" s="77"/>
    </row>
    <row r="499" spans="1:32" ht="19.95" hidden="1" customHeight="1" outlineLevel="1">
      <c r="A499" s="117">
        <v>10115</v>
      </c>
      <c r="B499" s="118" t="str">
        <f t="shared" si="463"/>
        <v>UT-San Antonio</v>
      </c>
      <c r="C499" s="149"/>
      <c r="D499" s="97"/>
      <c r="E499" s="97"/>
      <c r="F499" s="138">
        <v>12166175</v>
      </c>
      <c r="G499" s="97"/>
      <c r="H499" s="97"/>
      <c r="I499" s="100">
        <f t="shared" si="461"/>
        <v>-753312</v>
      </c>
      <c r="J499" s="96">
        <f t="shared" si="462"/>
        <v>-6.1918556982782182E-2</v>
      </c>
      <c r="L499" s="100"/>
      <c r="M499" s="100"/>
      <c r="N499" s="100"/>
      <c r="O499" s="100"/>
      <c r="P499" s="138">
        <v>5699527</v>
      </c>
      <c r="Q499" s="138">
        <v>5713336</v>
      </c>
      <c r="R499" s="100"/>
      <c r="S499" s="100"/>
      <c r="T499" s="100"/>
      <c r="U499" s="100"/>
      <c r="V499" s="97"/>
      <c r="W499" s="97"/>
      <c r="Y499" s="79"/>
      <c r="Z499" s="80"/>
      <c r="AA499" s="80"/>
      <c r="AD499" s="77"/>
      <c r="AE499" s="77"/>
      <c r="AF499" s="77"/>
    </row>
    <row r="500" spans="1:32" ht="19.95" hidden="1" customHeight="1" outlineLevel="1">
      <c r="A500" s="117">
        <v>11163</v>
      </c>
      <c r="B500" s="118" t="str">
        <f t="shared" si="463"/>
        <v>UT-Tyler</v>
      </c>
      <c r="C500" s="149"/>
      <c r="D500" s="97"/>
      <c r="E500" s="97"/>
      <c r="F500" s="138">
        <v>2995896</v>
      </c>
      <c r="G500" s="97"/>
      <c r="H500" s="97"/>
      <c r="I500" s="100">
        <f t="shared" si="461"/>
        <v>-50499</v>
      </c>
      <c r="J500" s="96">
        <f t="shared" si="462"/>
        <v>-1.6856059088833523E-2</v>
      </c>
      <c r="L500" s="100"/>
      <c r="M500" s="100"/>
      <c r="N500" s="100"/>
      <c r="O500" s="100"/>
      <c r="P500" s="138">
        <v>1469987</v>
      </c>
      <c r="Q500" s="138">
        <v>1475410</v>
      </c>
      <c r="R500" s="100"/>
      <c r="S500" s="100"/>
      <c r="T500" s="100"/>
      <c r="U500" s="100"/>
      <c r="V500" s="97"/>
      <c r="W500" s="97"/>
      <c r="Y500" s="79"/>
      <c r="Z500" s="80"/>
      <c r="AA500" s="80"/>
      <c r="AD500" s="77"/>
      <c r="AE500" s="77"/>
      <c r="AF500" s="77"/>
    </row>
    <row r="501" spans="1:32" ht="19.95" hidden="1" customHeight="1" outlineLevel="1">
      <c r="A501" s="117">
        <v>3632</v>
      </c>
      <c r="B501" s="121" t="str">
        <f t="shared" si="463"/>
        <v>TAMU</v>
      </c>
      <c r="C501" s="149"/>
      <c r="D501" s="97"/>
      <c r="E501" s="97"/>
      <c r="F501" s="138">
        <v>24697518</v>
      </c>
      <c r="G501" s="97"/>
      <c r="H501" s="97"/>
      <c r="I501" s="100">
        <f t="shared" si="461"/>
        <v>3196632</v>
      </c>
      <c r="J501" s="96">
        <f t="shared" si="462"/>
        <v>0.12943130560730839</v>
      </c>
      <c r="L501" s="100"/>
      <c r="M501" s="100"/>
      <c r="N501" s="100"/>
      <c r="O501" s="100"/>
      <c r="P501" s="138">
        <v>13913348</v>
      </c>
      <c r="Q501" s="138">
        <v>13980802</v>
      </c>
      <c r="R501" s="100"/>
      <c r="S501" s="100"/>
      <c r="T501" s="100"/>
      <c r="U501" s="100"/>
      <c r="V501" s="97"/>
      <c r="W501" s="97"/>
      <c r="Y501" s="79"/>
      <c r="Z501" s="80"/>
      <c r="AA501" s="80"/>
      <c r="AD501" s="77"/>
      <c r="AE501" s="77"/>
      <c r="AF501" s="77"/>
    </row>
    <row r="502" spans="1:32" ht="19.95" hidden="1" customHeight="1" outlineLevel="1">
      <c r="A502" s="117">
        <v>10298</v>
      </c>
      <c r="B502" s="118" t="str">
        <f t="shared" si="463"/>
        <v>TAMU-Galveston</v>
      </c>
      <c r="C502" s="149"/>
      <c r="D502" s="97"/>
      <c r="E502" s="97"/>
      <c r="F502" s="138">
        <v>591470</v>
      </c>
      <c r="G502" s="97"/>
      <c r="H502" s="97"/>
      <c r="I502" s="100">
        <f t="shared" si="461"/>
        <v>352484</v>
      </c>
      <c r="J502" s="96">
        <f t="shared" si="462"/>
        <v>0.59594569462525571</v>
      </c>
      <c r="L502" s="100"/>
      <c r="M502" s="100"/>
      <c r="N502" s="100"/>
      <c r="O502" s="100"/>
      <c r="P502" s="138">
        <v>470890</v>
      </c>
      <c r="Q502" s="138">
        <v>473064</v>
      </c>
      <c r="R502" s="100"/>
      <c r="S502" s="100"/>
      <c r="T502" s="100"/>
      <c r="U502" s="100"/>
      <c r="V502" s="97"/>
      <c r="W502" s="97"/>
      <c r="Y502" s="79"/>
      <c r="Z502" s="80"/>
      <c r="AA502" s="80"/>
      <c r="AD502" s="77"/>
      <c r="AE502" s="77"/>
      <c r="AF502" s="77"/>
    </row>
    <row r="503" spans="1:32" ht="19.95" hidden="1" customHeight="1" outlineLevel="1">
      <c r="A503" s="117">
        <v>3630</v>
      </c>
      <c r="B503" s="118" t="str">
        <f t="shared" si="463"/>
        <v>Prairie View</v>
      </c>
      <c r="C503" s="149"/>
      <c r="D503" s="97"/>
      <c r="E503" s="97"/>
      <c r="F503" s="138">
        <v>3616181</v>
      </c>
      <c r="G503" s="97"/>
      <c r="H503" s="97"/>
      <c r="I503" s="100">
        <f t="shared" si="461"/>
        <v>25507</v>
      </c>
      <c r="J503" s="96">
        <f t="shared" si="462"/>
        <v>7.0535739223230257E-3</v>
      </c>
      <c r="L503" s="100"/>
      <c r="M503" s="100"/>
      <c r="N503" s="100"/>
      <c r="O503" s="100"/>
      <c r="P503" s="138">
        <v>1815871</v>
      </c>
      <c r="Q503" s="138">
        <v>1825817</v>
      </c>
      <c r="R503" s="100"/>
      <c r="S503" s="100"/>
      <c r="T503" s="100"/>
      <c r="U503" s="100"/>
      <c r="V503" s="97"/>
      <c r="W503" s="97"/>
      <c r="Y503" s="79"/>
      <c r="Z503" s="80"/>
      <c r="AA503" s="80"/>
      <c r="AD503" s="77"/>
      <c r="AE503" s="77"/>
      <c r="AF503" s="77"/>
    </row>
    <row r="504" spans="1:32" ht="19.95" hidden="1" customHeight="1" outlineLevel="1">
      <c r="A504" s="117">
        <v>3631</v>
      </c>
      <c r="B504" s="118" t="str">
        <f t="shared" si="463"/>
        <v>Tarleton</v>
      </c>
      <c r="C504" s="149"/>
      <c r="D504" s="97"/>
      <c r="E504" s="97"/>
      <c r="F504" s="138">
        <v>5138929</v>
      </c>
      <c r="G504" s="97"/>
      <c r="H504" s="97"/>
      <c r="I504" s="100">
        <f t="shared" si="461"/>
        <v>512658</v>
      </c>
      <c r="J504" s="96">
        <f t="shared" si="462"/>
        <v>9.9759697010797385E-2</v>
      </c>
      <c r="L504" s="100"/>
      <c r="M504" s="100"/>
      <c r="N504" s="100"/>
      <c r="O504" s="100"/>
      <c r="P504" s="138">
        <v>2822335</v>
      </c>
      <c r="Q504" s="138">
        <v>2829252</v>
      </c>
      <c r="R504" s="100"/>
      <c r="S504" s="100"/>
      <c r="T504" s="100"/>
      <c r="U504" s="100"/>
      <c r="V504" s="97"/>
      <c r="W504" s="97"/>
      <c r="Y504" s="79"/>
      <c r="Z504" s="80"/>
      <c r="AA504" s="80"/>
      <c r="AD504" s="77"/>
      <c r="AE504" s="77"/>
      <c r="AF504" s="77"/>
    </row>
    <row r="505" spans="1:32" ht="19.95" hidden="1" customHeight="1" outlineLevel="1">
      <c r="A505" s="117">
        <v>42295</v>
      </c>
      <c r="B505" s="118" t="str">
        <f t="shared" si="463"/>
        <v>TAMU-Central</v>
      </c>
      <c r="C505" s="149"/>
      <c r="D505" s="97"/>
      <c r="E505" s="97"/>
      <c r="F505" s="138">
        <v>679882</v>
      </c>
      <c r="G505" s="97"/>
      <c r="H505" s="97"/>
      <c r="I505" s="100">
        <f t="shared" si="461"/>
        <v>-63687</v>
      </c>
      <c r="J505" s="96">
        <f t="shared" si="462"/>
        <v>-9.3673608067282269E-2</v>
      </c>
      <c r="L505" s="100"/>
      <c r="M505" s="100"/>
      <c r="N505" s="100"/>
      <c r="O505" s="100"/>
      <c r="P505" s="138">
        <v>307568</v>
      </c>
      <c r="Q505" s="138">
        <v>308627</v>
      </c>
      <c r="R505" s="100"/>
      <c r="S505" s="100"/>
      <c r="T505" s="100"/>
      <c r="U505" s="100"/>
      <c r="V505" s="97"/>
      <c r="W505" s="97"/>
      <c r="Y505" s="79"/>
      <c r="Z505" s="80"/>
      <c r="AA505" s="80"/>
      <c r="AD505" s="77"/>
      <c r="AE505" s="77"/>
      <c r="AF505" s="77"/>
    </row>
    <row r="506" spans="1:32" ht="19.95" hidden="1" customHeight="1" outlineLevel="1">
      <c r="A506" s="117">
        <v>11161</v>
      </c>
      <c r="B506" s="118" t="str">
        <f t="shared" si="463"/>
        <v>TAMU-CC</v>
      </c>
      <c r="C506" s="149"/>
      <c r="D506" s="97"/>
      <c r="E506" s="97"/>
      <c r="F506" s="138">
        <v>3691647</v>
      </c>
      <c r="G506" s="97"/>
      <c r="H506" s="97"/>
      <c r="I506" s="100">
        <f t="shared" si="461"/>
        <v>-201216</v>
      </c>
      <c r="J506" s="96">
        <f t="shared" si="462"/>
        <v>-5.4505753123199482E-2</v>
      </c>
      <c r="L506" s="100"/>
      <c r="M506" s="100"/>
      <c r="N506" s="100"/>
      <c r="O506" s="100"/>
      <c r="P506" s="138">
        <v>1743638</v>
      </c>
      <c r="Q506" s="138">
        <v>1746793</v>
      </c>
      <c r="R506" s="100"/>
      <c r="S506" s="100"/>
      <c r="T506" s="100"/>
      <c r="U506" s="100"/>
      <c r="V506" s="97"/>
      <c r="W506" s="97"/>
      <c r="Y506" s="79"/>
      <c r="Z506" s="80"/>
      <c r="AA506" s="80"/>
      <c r="AD506" s="77"/>
      <c r="AE506" s="77"/>
      <c r="AF506" s="77"/>
    </row>
    <row r="507" spans="1:32" ht="19.95" hidden="1" customHeight="1" outlineLevel="1">
      <c r="A507" s="117">
        <v>3639</v>
      </c>
      <c r="B507" s="118" t="str">
        <f t="shared" si="463"/>
        <v>TAMU-Kingsville</v>
      </c>
      <c r="C507" s="149"/>
      <c r="D507" s="97"/>
      <c r="E507" s="97"/>
      <c r="F507" s="138">
        <v>2603379</v>
      </c>
      <c r="G507" s="97"/>
      <c r="H507" s="97"/>
      <c r="I507" s="100">
        <f t="shared" si="461"/>
        <v>-262410</v>
      </c>
      <c r="J507" s="96">
        <f t="shared" si="462"/>
        <v>-0.10079592713930627</v>
      </c>
      <c r="L507" s="100"/>
      <c r="M507" s="100"/>
      <c r="N507" s="100"/>
      <c r="O507" s="100"/>
      <c r="P507" s="138">
        <v>1167552</v>
      </c>
      <c r="Q507" s="138">
        <v>1173417</v>
      </c>
      <c r="R507" s="100"/>
      <c r="S507" s="100"/>
      <c r="T507" s="100"/>
      <c r="U507" s="100"/>
      <c r="V507" s="97"/>
      <c r="W507" s="97"/>
      <c r="Y507" s="79"/>
      <c r="Z507" s="80"/>
      <c r="AA507" s="80"/>
      <c r="AD507" s="77"/>
      <c r="AE507" s="77"/>
      <c r="AF507" s="77"/>
    </row>
    <row r="508" spans="1:32" ht="19.95" hidden="1" customHeight="1" outlineLevel="1">
      <c r="A508" s="117">
        <v>42485</v>
      </c>
      <c r="B508" s="118" t="str">
        <f t="shared" si="463"/>
        <v>TAMU-San Antonio</v>
      </c>
      <c r="C508" s="149"/>
      <c r="D508" s="97"/>
      <c r="E508" s="97"/>
      <c r="F508" s="138">
        <v>2111280</v>
      </c>
      <c r="G508" s="97"/>
      <c r="H508" s="97"/>
      <c r="I508" s="100">
        <f t="shared" si="461"/>
        <v>36644</v>
      </c>
      <c r="J508" s="96">
        <f t="shared" si="462"/>
        <v>1.7356295706869765E-2</v>
      </c>
      <c r="L508" s="100"/>
      <c r="M508" s="100"/>
      <c r="N508" s="100"/>
      <c r="O508" s="100"/>
      <c r="P508" s="138">
        <v>1073691</v>
      </c>
      <c r="Q508" s="138">
        <v>1074233</v>
      </c>
      <c r="R508" s="100"/>
      <c r="S508" s="100"/>
      <c r="T508" s="100"/>
      <c r="U508" s="100"/>
      <c r="V508" s="97"/>
      <c r="W508" s="97"/>
      <c r="Y508" s="79"/>
      <c r="Z508" s="80"/>
      <c r="AA508" s="80"/>
      <c r="AD508" s="77"/>
      <c r="AE508" s="77"/>
      <c r="AF508" s="77"/>
    </row>
    <row r="509" spans="1:32" ht="19.95" hidden="1" customHeight="1" outlineLevel="1">
      <c r="A509" s="117">
        <v>9651</v>
      </c>
      <c r="B509" s="118" t="str">
        <f t="shared" si="463"/>
        <v>TAMI</v>
      </c>
      <c r="C509" s="149"/>
      <c r="D509" s="97"/>
      <c r="E509" s="97"/>
      <c r="F509" s="138">
        <v>2916869.2743378328</v>
      </c>
      <c r="G509" s="97"/>
      <c r="H509" s="97"/>
      <c r="I509" s="100">
        <f t="shared" si="461"/>
        <v>-3594.5827729143202</v>
      </c>
      <c r="J509" s="96">
        <f t="shared" si="462"/>
        <v>-1.2323427739936467E-3</v>
      </c>
      <c r="L509" s="100"/>
      <c r="M509" s="100"/>
      <c r="N509" s="100"/>
      <c r="O509" s="100"/>
      <c r="P509" s="138">
        <v>1454757.6897635967</v>
      </c>
      <c r="Q509" s="138">
        <v>1458517.0018013215</v>
      </c>
      <c r="R509" s="100"/>
      <c r="S509" s="100"/>
      <c r="T509" s="100"/>
      <c r="U509" s="100"/>
      <c r="V509" s="97"/>
      <c r="W509" s="97"/>
      <c r="Y509" s="79"/>
      <c r="Z509" s="80"/>
      <c r="AA509" s="80"/>
      <c r="AD509" s="77"/>
      <c r="AE509" s="77"/>
      <c r="AF509" s="77"/>
    </row>
    <row r="510" spans="1:32" ht="19.95" hidden="1" customHeight="1" outlineLevel="1">
      <c r="A510" s="117">
        <v>3665</v>
      </c>
      <c r="B510" s="118" t="str">
        <f t="shared" si="463"/>
        <v>WTAMU</v>
      </c>
      <c r="C510" s="149"/>
      <c r="D510" s="97"/>
      <c r="E510" s="97"/>
      <c r="F510" s="138">
        <v>3173468</v>
      </c>
      <c r="G510" s="97"/>
      <c r="H510" s="97"/>
      <c r="I510" s="100">
        <f t="shared" si="461"/>
        <v>-364209</v>
      </c>
      <c r="J510" s="96">
        <f t="shared" si="462"/>
        <v>-0.1147668733385684</v>
      </c>
      <c r="L510" s="100"/>
      <c r="M510" s="100"/>
      <c r="N510" s="100"/>
      <c r="O510" s="100"/>
      <c r="P510" s="138">
        <v>1400530</v>
      </c>
      <c r="Q510" s="138">
        <v>1408729</v>
      </c>
      <c r="R510" s="100"/>
      <c r="S510" s="100"/>
      <c r="T510" s="100"/>
      <c r="U510" s="100"/>
      <c r="V510" s="97"/>
      <c r="W510" s="97"/>
      <c r="Y510" s="79"/>
      <c r="Z510" s="80"/>
      <c r="AA510" s="80"/>
      <c r="AD510" s="77"/>
      <c r="AE510" s="77"/>
      <c r="AF510" s="77"/>
    </row>
    <row r="511" spans="1:32" ht="19.95" hidden="1" customHeight="1" outlineLevel="1">
      <c r="A511" s="117">
        <v>3565</v>
      </c>
      <c r="B511" s="118" t="str">
        <f t="shared" si="463"/>
        <v>TAMU-Commerce</v>
      </c>
      <c r="C511" s="149"/>
      <c r="D511" s="97"/>
      <c r="E511" s="97"/>
      <c r="F511" s="138">
        <v>3962368</v>
      </c>
      <c r="G511" s="97"/>
      <c r="H511" s="97"/>
      <c r="I511" s="100">
        <f t="shared" si="461"/>
        <v>-604714</v>
      </c>
      <c r="J511" s="96">
        <f t="shared" si="462"/>
        <v>-0.15261429529008916</v>
      </c>
      <c r="L511" s="100"/>
      <c r="M511" s="100"/>
      <c r="N511" s="100"/>
      <c r="O511" s="100"/>
      <c r="P511" s="138">
        <v>1677401</v>
      </c>
      <c r="Q511" s="138">
        <v>1680253</v>
      </c>
      <c r="R511" s="100"/>
      <c r="S511" s="100"/>
      <c r="T511" s="100"/>
      <c r="U511" s="100"/>
      <c r="V511" s="97"/>
      <c r="W511" s="97"/>
      <c r="Y511" s="79"/>
      <c r="Z511" s="80"/>
      <c r="AA511" s="80"/>
      <c r="AD511" s="77"/>
      <c r="AE511" s="77"/>
      <c r="AF511" s="77"/>
    </row>
    <row r="512" spans="1:32" ht="19.95" hidden="1" customHeight="1" outlineLevel="1">
      <c r="A512" s="117">
        <v>29269</v>
      </c>
      <c r="B512" s="118" t="str">
        <f t="shared" si="463"/>
        <v>TAMU-Texarkana</v>
      </c>
      <c r="C512" s="149"/>
      <c r="D512" s="97"/>
      <c r="E512" s="97"/>
      <c r="F512" s="138">
        <v>649490</v>
      </c>
      <c r="G512" s="97"/>
      <c r="H512" s="97"/>
      <c r="I512" s="100">
        <f t="shared" si="461"/>
        <v>13235</v>
      </c>
      <c r="J512" s="96">
        <f t="shared" si="462"/>
        <v>2.0377526982709511E-2</v>
      </c>
      <c r="L512" s="100"/>
      <c r="M512" s="100"/>
      <c r="N512" s="100"/>
      <c r="O512" s="100"/>
      <c r="P512" s="138">
        <v>330087</v>
      </c>
      <c r="Q512" s="138">
        <v>332638</v>
      </c>
      <c r="R512" s="100"/>
      <c r="S512" s="100"/>
      <c r="T512" s="100"/>
      <c r="U512" s="100"/>
      <c r="V512" s="97"/>
      <c r="W512" s="97"/>
      <c r="Y512" s="79"/>
      <c r="Z512" s="80"/>
      <c r="AA512" s="80"/>
      <c r="AD512" s="77"/>
      <c r="AE512" s="77"/>
      <c r="AF512" s="77"/>
    </row>
    <row r="513" spans="1:32" ht="19.95" hidden="1" customHeight="1" outlineLevel="1">
      <c r="A513" s="117">
        <v>3652</v>
      </c>
      <c r="B513" s="118" t="str">
        <f t="shared" si="463"/>
        <v>UH</v>
      </c>
      <c r="C513" s="149"/>
      <c r="D513" s="97"/>
      <c r="E513" s="97"/>
      <c r="F513" s="138">
        <v>17139755</v>
      </c>
      <c r="G513" s="97"/>
      <c r="H513" s="97"/>
      <c r="I513" s="100">
        <f t="shared" si="461"/>
        <v>-898495</v>
      </c>
      <c r="J513" s="96">
        <f t="shared" si="462"/>
        <v>-5.2421694475796185E-2</v>
      </c>
      <c r="L513" s="100"/>
      <c r="M513" s="100"/>
      <c r="N513" s="100"/>
      <c r="O513" s="100"/>
      <c r="P513" s="138">
        <v>8104863</v>
      </c>
      <c r="Q513" s="138">
        <v>8136397</v>
      </c>
      <c r="R513" s="100"/>
      <c r="S513" s="100"/>
      <c r="T513" s="100"/>
      <c r="U513" s="100"/>
      <c r="V513" s="97"/>
      <c r="W513" s="97"/>
      <c r="Y513" s="79"/>
      <c r="Z513" s="80"/>
      <c r="AA513" s="80"/>
      <c r="AD513" s="77"/>
      <c r="AE513" s="77"/>
      <c r="AF513" s="77"/>
    </row>
    <row r="514" spans="1:32" ht="19.95" hidden="1" customHeight="1" outlineLevel="1">
      <c r="A514" s="117">
        <v>11711</v>
      </c>
      <c r="B514" s="118" t="str">
        <f t="shared" si="463"/>
        <v>UH-Clear Lake</v>
      </c>
      <c r="C514" s="149"/>
      <c r="D514" s="97"/>
      <c r="E514" s="97"/>
      <c r="F514" s="138">
        <v>2892032</v>
      </c>
      <c r="G514" s="97"/>
      <c r="H514" s="97"/>
      <c r="I514" s="100">
        <f t="shared" si="461"/>
        <v>-211918</v>
      </c>
      <c r="J514" s="96">
        <f t="shared" si="462"/>
        <v>-7.3276505930778085E-2</v>
      </c>
      <c r="L514" s="100"/>
      <c r="M514" s="100"/>
      <c r="N514" s="100"/>
      <c r="O514" s="100"/>
      <c r="P514" s="138">
        <v>1337732</v>
      </c>
      <c r="Q514" s="138">
        <v>1342382</v>
      </c>
      <c r="R514" s="100"/>
      <c r="S514" s="100"/>
      <c r="T514" s="100"/>
      <c r="U514" s="100"/>
      <c r="V514" s="97"/>
      <c r="W514" s="97"/>
      <c r="Y514" s="79"/>
      <c r="Z514" s="80"/>
      <c r="AA514" s="80"/>
      <c r="AD514" s="77"/>
      <c r="AE514" s="77"/>
      <c r="AF514" s="77"/>
    </row>
    <row r="515" spans="1:32" ht="19.95" hidden="1" customHeight="1" outlineLevel="1">
      <c r="A515" s="117">
        <v>12826</v>
      </c>
      <c r="B515" s="118" t="str">
        <f t="shared" si="463"/>
        <v>UH-Downtown</v>
      </c>
      <c r="C515" s="149"/>
      <c r="D515" s="97"/>
      <c r="E515" s="97"/>
      <c r="F515" s="138">
        <v>5321336</v>
      </c>
      <c r="G515" s="97"/>
      <c r="H515" s="97"/>
      <c r="I515" s="100">
        <f t="shared" si="461"/>
        <v>-586270</v>
      </c>
      <c r="J515" s="96">
        <f t="shared" si="462"/>
        <v>-0.11017346019871702</v>
      </c>
      <c r="L515" s="100"/>
      <c r="M515" s="100"/>
      <c r="N515" s="100"/>
      <c r="O515" s="100"/>
      <c r="P515" s="138">
        <v>2365157</v>
      </c>
      <c r="Q515" s="138">
        <v>2369909</v>
      </c>
      <c r="R515" s="100"/>
      <c r="S515" s="100"/>
      <c r="T515" s="100"/>
      <c r="U515" s="100"/>
      <c r="V515" s="97"/>
      <c r="W515" s="97"/>
      <c r="Y515" s="79"/>
      <c r="Z515" s="80"/>
      <c r="AA515" s="80"/>
      <c r="AD515" s="77"/>
      <c r="AE515" s="77"/>
      <c r="AF515" s="77"/>
    </row>
    <row r="516" spans="1:32" ht="19.95" hidden="1" customHeight="1" outlineLevel="1">
      <c r="A516" s="117">
        <v>13231</v>
      </c>
      <c r="B516" s="118" t="str">
        <f t="shared" si="463"/>
        <v>UH-Victoria</v>
      </c>
      <c r="C516" s="149"/>
      <c r="D516" s="97"/>
      <c r="E516" s="97"/>
      <c r="F516" s="138">
        <v>1586261</v>
      </c>
      <c r="G516" s="97"/>
      <c r="H516" s="97"/>
      <c r="I516" s="100">
        <f t="shared" si="461"/>
        <v>-353593</v>
      </c>
      <c r="J516" s="96">
        <f t="shared" si="462"/>
        <v>-0.2229097229270593</v>
      </c>
      <c r="L516" s="100"/>
      <c r="M516" s="100"/>
      <c r="N516" s="100"/>
      <c r="O516" s="100"/>
      <c r="P516" s="138">
        <v>615693</v>
      </c>
      <c r="Q516" s="138">
        <v>616975</v>
      </c>
      <c r="R516" s="100"/>
      <c r="S516" s="100"/>
      <c r="T516" s="100"/>
      <c r="U516" s="100"/>
      <c r="V516" s="97"/>
      <c r="W516" s="97"/>
      <c r="Y516" s="79"/>
      <c r="Z516" s="80"/>
      <c r="AA516" s="80"/>
      <c r="AD516" s="77"/>
      <c r="AE516" s="77"/>
      <c r="AF516" s="77"/>
    </row>
    <row r="517" spans="1:32" ht="19.95" hidden="1" customHeight="1" outlineLevel="1">
      <c r="A517" s="117">
        <v>3592</v>
      </c>
      <c r="B517" s="118" t="str">
        <f t="shared" si="463"/>
        <v>Midwestern</v>
      </c>
      <c r="C517" s="149"/>
      <c r="D517" s="97"/>
      <c r="E517" s="97"/>
      <c r="F517" s="138">
        <v>1787982</v>
      </c>
      <c r="G517" s="97"/>
      <c r="H517" s="97"/>
      <c r="I517" s="100">
        <f t="shared" si="461"/>
        <v>-68696</v>
      </c>
      <c r="J517" s="96">
        <f t="shared" si="462"/>
        <v>-3.8420968443753908E-2</v>
      </c>
      <c r="L517" s="100"/>
      <c r="M517" s="100"/>
      <c r="N517" s="100"/>
      <c r="O517" s="100"/>
      <c r="P517" s="138">
        <v>857977</v>
      </c>
      <c r="Q517" s="138">
        <v>861309</v>
      </c>
      <c r="R517" s="100"/>
      <c r="S517" s="100"/>
      <c r="T517" s="100"/>
      <c r="U517" s="100"/>
      <c r="V517" s="97"/>
      <c r="W517" s="97"/>
      <c r="Y517" s="79"/>
      <c r="Z517" s="80"/>
      <c r="AA517" s="80"/>
      <c r="AD517" s="77"/>
      <c r="AE517" s="77"/>
      <c r="AF517" s="77"/>
    </row>
    <row r="518" spans="1:32" ht="19.95" hidden="1" customHeight="1" outlineLevel="1">
      <c r="A518" s="117">
        <v>3594</v>
      </c>
      <c r="B518" s="118" t="str">
        <f t="shared" si="463"/>
        <v>UNT</v>
      </c>
      <c r="C518" s="149"/>
      <c r="D518" s="97"/>
      <c r="E518" s="97"/>
      <c r="F518" s="138">
        <v>14140363</v>
      </c>
      <c r="G518" s="97"/>
      <c r="H518" s="97"/>
      <c r="I518" s="100">
        <f t="shared" si="461"/>
        <v>1576498</v>
      </c>
      <c r="J518" s="96">
        <f t="shared" si="462"/>
        <v>0.1114892170731402</v>
      </c>
      <c r="L518" s="100"/>
      <c r="M518" s="100"/>
      <c r="N518" s="100"/>
      <c r="O518" s="100"/>
      <c r="P518" s="138">
        <v>7836640</v>
      </c>
      <c r="Q518" s="138">
        <v>7880221</v>
      </c>
      <c r="R518" s="100"/>
      <c r="S518" s="100"/>
      <c r="T518" s="100"/>
      <c r="U518" s="100"/>
      <c r="V518" s="97"/>
      <c r="W518" s="97"/>
      <c r="Y518" s="79"/>
      <c r="Z518" s="80"/>
      <c r="AA518" s="80"/>
      <c r="AD518" s="77"/>
      <c r="AE518" s="77"/>
      <c r="AF518" s="77"/>
    </row>
    <row r="519" spans="1:32" ht="19.95" hidden="1" customHeight="1" outlineLevel="1">
      <c r="A519" s="117">
        <v>42421</v>
      </c>
      <c r="B519" s="118" t="str">
        <f t="shared" si="463"/>
        <v>UNT-Dallas</v>
      </c>
      <c r="C519" s="149"/>
      <c r="D519" s="97"/>
      <c r="E519" s="97"/>
      <c r="F519" s="138">
        <v>2280322</v>
      </c>
      <c r="G519" s="97"/>
      <c r="H519" s="97"/>
      <c r="I519" s="100">
        <f t="shared" si="461"/>
        <v>-316366</v>
      </c>
      <c r="J519" s="96">
        <f t="shared" si="462"/>
        <v>-0.13873742392521757</v>
      </c>
      <c r="L519" s="100"/>
      <c r="M519" s="100"/>
      <c r="N519" s="100"/>
      <c r="O519" s="100"/>
      <c r="P519" s="138">
        <v>981827</v>
      </c>
      <c r="Q519" s="138">
        <v>982129</v>
      </c>
      <c r="R519" s="100"/>
      <c r="S519" s="100"/>
      <c r="T519" s="100"/>
      <c r="U519" s="100"/>
      <c r="V519" s="97"/>
      <c r="W519" s="97"/>
      <c r="Y519" s="79"/>
      <c r="Z519" s="80"/>
      <c r="AA519" s="80"/>
      <c r="AD519" s="77"/>
      <c r="AE519" s="77"/>
      <c r="AF519" s="77"/>
    </row>
    <row r="520" spans="1:32" ht="19.95" hidden="1" customHeight="1" outlineLevel="1">
      <c r="A520" s="117">
        <v>3624</v>
      </c>
      <c r="B520" s="118" t="str">
        <f t="shared" si="463"/>
        <v>SFA</v>
      </c>
      <c r="C520" s="149"/>
      <c r="D520" s="97"/>
      <c r="E520" s="97"/>
      <c r="F520" s="138">
        <v>4172449</v>
      </c>
      <c r="G520" s="97"/>
      <c r="H520" s="97"/>
      <c r="I520" s="100">
        <f t="shared" si="461"/>
        <v>-291429</v>
      </c>
      <c r="J520" s="96">
        <f t="shared" si="462"/>
        <v>-6.9846030472751133E-2</v>
      </c>
      <c r="L520" s="100"/>
      <c r="M520" s="100"/>
      <c r="N520" s="100"/>
      <c r="O520" s="100"/>
      <c r="P520" s="138">
        <v>1938447</v>
      </c>
      <c r="Q520" s="138">
        <v>1942573</v>
      </c>
      <c r="R520" s="100"/>
      <c r="S520" s="100"/>
      <c r="T520" s="100"/>
      <c r="U520" s="100"/>
      <c r="V520" s="97"/>
      <c r="W520" s="97"/>
      <c r="Y520" s="79"/>
      <c r="Z520" s="80"/>
      <c r="AA520" s="80"/>
      <c r="AD520" s="77"/>
      <c r="AE520" s="77"/>
      <c r="AF520" s="77"/>
    </row>
    <row r="521" spans="1:32" ht="19.95" hidden="1" customHeight="1" outlineLevel="1">
      <c r="A521" s="117">
        <v>3642</v>
      </c>
      <c r="B521" s="118" t="str">
        <f t="shared" si="463"/>
        <v>TSU</v>
      </c>
      <c r="C521" s="149"/>
      <c r="D521" s="97"/>
      <c r="E521" s="97"/>
      <c r="F521" s="138">
        <v>4007016</v>
      </c>
      <c r="G521" s="97"/>
      <c r="H521" s="97"/>
      <c r="I521" s="100">
        <f t="shared" si="461"/>
        <v>777267</v>
      </c>
      <c r="J521" s="96">
        <f t="shared" si="462"/>
        <v>0.19397651519235262</v>
      </c>
      <c r="L521" s="100"/>
      <c r="M521" s="100"/>
      <c r="N521" s="100"/>
      <c r="O521" s="100"/>
      <c r="P521" s="138">
        <v>2387378</v>
      </c>
      <c r="Q521" s="138">
        <v>2396905</v>
      </c>
      <c r="R521" s="100"/>
      <c r="S521" s="100"/>
      <c r="T521" s="100"/>
      <c r="U521" s="100"/>
      <c r="V521" s="97"/>
      <c r="W521" s="97"/>
      <c r="Y521" s="79"/>
      <c r="Z521" s="80"/>
      <c r="AA521" s="80"/>
      <c r="AD521" s="77"/>
      <c r="AE521" s="77"/>
      <c r="AF521" s="77"/>
    </row>
    <row r="522" spans="1:32" ht="19.95" hidden="1" customHeight="1" outlineLevel="1">
      <c r="A522" s="117">
        <v>3644</v>
      </c>
      <c r="B522" s="118" t="str">
        <f t="shared" si="463"/>
        <v>TTU</v>
      </c>
      <c r="C522" s="149"/>
      <c r="D522" s="97"/>
      <c r="E522" s="97"/>
      <c r="F522" s="138">
        <v>14323105</v>
      </c>
      <c r="G522" s="97"/>
      <c r="H522" s="97"/>
      <c r="I522" s="100">
        <f t="shared" si="461"/>
        <v>286238</v>
      </c>
      <c r="J522" s="96">
        <f t="shared" si="462"/>
        <v>1.9984353951185863E-2</v>
      </c>
      <c r="L522" s="100"/>
      <c r="M522" s="100"/>
      <c r="N522" s="100"/>
      <c r="O522" s="100"/>
      <c r="P522" s="138">
        <v>7286100</v>
      </c>
      <c r="Q522" s="138">
        <v>7323243</v>
      </c>
      <c r="R522" s="100"/>
      <c r="S522" s="100"/>
      <c r="T522" s="100"/>
      <c r="U522" s="100"/>
      <c r="V522" s="97"/>
      <c r="W522" s="97"/>
      <c r="Y522" s="79"/>
      <c r="Z522" s="80"/>
      <c r="AA522" s="80"/>
      <c r="AD522" s="77"/>
      <c r="AE522" s="77"/>
      <c r="AF522" s="77"/>
    </row>
    <row r="523" spans="1:32" ht="19.95" hidden="1" customHeight="1" outlineLevel="1">
      <c r="A523" s="117">
        <v>3541</v>
      </c>
      <c r="B523" s="118" t="str">
        <f t="shared" si="463"/>
        <v>Angelo</v>
      </c>
      <c r="C523" s="149"/>
      <c r="D523" s="97"/>
      <c r="E523" s="97"/>
      <c r="F523" s="138">
        <v>3170868</v>
      </c>
      <c r="G523" s="97"/>
      <c r="H523" s="97"/>
      <c r="I523" s="100">
        <f t="shared" si="461"/>
        <v>-66890</v>
      </c>
      <c r="J523" s="96">
        <f t="shared" si="462"/>
        <v>-2.1095170155301324E-2</v>
      </c>
      <c r="L523" s="100"/>
      <c r="M523" s="100"/>
      <c r="N523" s="100"/>
      <c r="O523" s="100"/>
      <c r="P523" s="138">
        <v>1550118</v>
      </c>
      <c r="Q523" s="138">
        <v>1553860</v>
      </c>
      <c r="R523" s="100"/>
      <c r="S523" s="100"/>
      <c r="T523" s="100"/>
      <c r="U523" s="100"/>
      <c r="V523" s="97"/>
      <c r="W523" s="97"/>
      <c r="Y523" s="79"/>
      <c r="Z523" s="80"/>
      <c r="AA523" s="80"/>
      <c r="AD523" s="77"/>
      <c r="AE523" s="77"/>
      <c r="AF523" s="77"/>
    </row>
    <row r="524" spans="1:32" ht="19.95" hidden="1" customHeight="1" outlineLevel="1">
      <c r="A524" s="117">
        <v>3646</v>
      </c>
      <c r="B524" s="118" t="str">
        <f t="shared" si="463"/>
        <v>TWU</v>
      </c>
      <c r="C524" s="149"/>
      <c r="D524" s="97"/>
      <c r="E524" s="97"/>
      <c r="F524" s="138">
        <v>4864381</v>
      </c>
      <c r="G524" s="97"/>
      <c r="H524" s="97"/>
      <c r="I524" s="100">
        <f t="shared" si="461"/>
        <v>-175656</v>
      </c>
      <c r="J524" s="96">
        <f t="shared" si="462"/>
        <v>-3.6110658272861439E-2</v>
      </c>
      <c r="L524" s="100"/>
      <c r="M524" s="100"/>
      <c r="N524" s="100"/>
      <c r="O524" s="100"/>
      <c r="P524" s="138">
        <v>2340789</v>
      </c>
      <c r="Q524" s="138">
        <v>2347936</v>
      </c>
      <c r="R524" s="100"/>
      <c r="S524" s="100"/>
      <c r="T524" s="100"/>
      <c r="U524" s="100"/>
      <c r="V524" s="97"/>
      <c r="W524" s="97"/>
      <c r="Y524" s="79"/>
      <c r="Z524" s="80"/>
      <c r="AA524" s="80"/>
      <c r="AD524" s="77"/>
      <c r="AE524" s="77"/>
      <c r="AF524" s="77"/>
    </row>
    <row r="525" spans="1:32" ht="19.95" hidden="1" customHeight="1" outlineLevel="1">
      <c r="A525" s="117">
        <v>3581</v>
      </c>
      <c r="B525" s="118" t="str">
        <f t="shared" si="463"/>
        <v>Lamar</v>
      </c>
      <c r="C525" s="149"/>
      <c r="D525" s="97"/>
      <c r="E525" s="97"/>
      <c r="F525" s="138">
        <v>5740417</v>
      </c>
      <c r="G525" s="97"/>
      <c r="H525" s="97"/>
      <c r="I525" s="100">
        <f t="shared" si="461"/>
        <v>1214804</v>
      </c>
      <c r="J525" s="96">
        <f t="shared" si="462"/>
        <v>0.21162295352410809</v>
      </c>
      <c r="L525" s="100"/>
      <c r="M525" s="100"/>
      <c r="N525" s="100"/>
      <c r="O525" s="100"/>
      <c r="P525" s="138">
        <v>3470691</v>
      </c>
      <c r="Q525" s="138">
        <v>3484530</v>
      </c>
      <c r="R525" s="100"/>
      <c r="S525" s="100"/>
      <c r="T525" s="100"/>
      <c r="U525" s="100"/>
      <c r="V525" s="97"/>
      <c r="W525" s="97"/>
      <c r="Y525" s="79"/>
      <c r="Z525" s="80"/>
      <c r="AA525" s="80"/>
      <c r="AD525" s="77"/>
      <c r="AE525" s="77"/>
      <c r="AF525" s="77"/>
    </row>
    <row r="526" spans="1:32" ht="19.95" hidden="1" customHeight="1" outlineLevel="1">
      <c r="A526" s="117">
        <v>3606</v>
      </c>
      <c r="B526" s="118" t="str">
        <f t="shared" si="463"/>
        <v>Sam Houston</v>
      </c>
      <c r="C526" s="149"/>
      <c r="D526" s="97"/>
      <c r="E526" s="97"/>
      <c r="F526" s="138">
        <v>8510835</v>
      </c>
      <c r="G526" s="97"/>
      <c r="H526" s="97"/>
      <c r="I526" s="100">
        <f t="shared" si="461"/>
        <v>-165423</v>
      </c>
      <c r="J526" s="96">
        <f t="shared" si="462"/>
        <v>-1.9436753268040091E-2</v>
      </c>
      <c r="L526" s="100"/>
      <c r="M526" s="100"/>
      <c r="N526" s="100"/>
      <c r="O526" s="100"/>
      <c r="P526" s="138">
        <v>4167899</v>
      </c>
      <c r="Q526" s="138">
        <v>4177513</v>
      </c>
      <c r="R526" s="100"/>
      <c r="S526" s="100"/>
      <c r="T526" s="100"/>
      <c r="U526" s="100"/>
      <c r="V526" s="97"/>
      <c r="W526" s="97"/>
      <c r="Y526" s="79"/>
      <c r="Z526" s="80"/>
      <c r="AA526" s="80"/>
      <c r="AD526" s="77"/>
      <c r="AE526" s="77"/>
      <c r="AF526" s="77"/>
    </row>
    <row r="527" spans="1:32" ht="19.95" hidden="1" customHeight="1" outlineLevel="1">
      <c r="A527" s="117">
        <v>3615</v>
      </c>
      <c r="B527" s="118" t="str">
        <f t="shared" si="463"/>
        <v>TXST</v>
      </c>
      <c r="C527" s="149"/>
      <c r="D527" s="97"/>
      <c r="E527" s="97"/>
      <c r="F527" s="138">
        <v>13265437</v>
      </c>
      <c r="G527" s="97"/>
      <c r="H527" s="97"/>
      <c r="I527" s="100">
        <f t="shared" si="461"/>
        <v>221588</v>
      </c>
      <c r="J527" s="96">
        <f t="shared" si="462"/>
        <v>1.6704161348020424E-2</v>
      </c>
      <c r="L527" s="100"/>
      <c r="M527" s="100"/>
      <c r="N527" s="100"/>
      <c r="O527" s="100"/>
      <c r="P527" s="138">
        <v>6735163</v>
      </c>
      <c r="Q527" s="138">
        <v>6751862</v>
      </c>
      <c r="R527" s="100"/>
      <c r="S527" s="100"/>
      <c r="T527" s="100"/>
      <c r="U527" s="100"/>
      <c r="V527" s="97"/>
      <c r="W527" s="97"/>
      <c r="Y527" s="79"/>
      <c r="Z527" s="80"/>
      <c r="AA527" s="80"/>
      <c r="AD527" s="77"/>
      <c r="AE527" s="77"/>
      <c r="AF527" s="77"/>
    </row>
    <row r="528" spans="1:32" ht="19.95" hidden="1" customHeight="1" outlineLevel="1">
      <c r="A528" s="117">
        <v>3625</v>
      </c>
      <c r="B528" s="118" t="str">
        <f t="shared" si="463"/>
        <v>Sul Ross</v>
      </c>
      <c r="C528" s="149"/>
      <c r="D528" s="97"/>
      <c r="E528" s="97"/>
      <c r="F528" s="138">
        <v>487722</v>
      </c>
      <c r="G528" s="97"/>
      <c r="H528" s="97"/>
      <c r="I528" s="100">
        <f t="shared" si="461"/>
        <v>-30312</v>
      </c>
      <c r="J528" s="96">
        <f t="shared" si="462"/>
        <v>-6.2150159312067119E-2</v>
      </c>
      <c r="L528" s="100"/>
      <c r="M528" s="100"/>
      <c r="N528" s="100"/>
      <c r="O528" s="100"/>
      <c r="P528" s="138">
        <v>228384</v>
      </c>
      <c r="Q528" s="138">
        <v>229026</v>
      </c>
      <c r="R528" s="100"/>
      <c r="S528" s="100"/>
      <c r="T528" s="100"/>
      <c r="U528" s="100"/>
      <c r="V528" s="97"/>
      <c r="W528" s="97"/>
      <c r="Y528" s="79"/>
      <c r="Z528" s="80"/>
      <c r="AA528" s="80"/>
      <c r="AD528" s="77"/>
      <c r="AE528" s="77"/>
      <c r="AF528" s="77"/>
    </row>
    <row r="529" spans="1:32" ht="19.95" hidden="1" customHeight="1" outlineLevel="1" thickBot="1">
      <c r="A529" s="122">
        <v>20</v>
      </c>
      <c r="B529" s="123" t="str">
        <f t="shared" si="463"/>
        <v>Sul Ross-Rio Grande</v>
      </c>
      <c r="C529" s="150"/>
      <c r="D529" s="151"/>
      <c r="E529" s="151"/>
      <c r="F529" s="139">
        <v>234176</v>
      </c>
      <c r="G529" s="151"/>
      <c r="H529" s="151"/>
      <c r="I529" s="124">
        <f t="shared" si="461"/>
        <v>-50301</v>
      </c>
      <c r="J529" s="126">
        <f t="shared" si="462"/>
        <v>-0.21479997950259633</v>
      </c>
      <c r="L529" s="124"/>
      <c r="M529" s="124"/>
      <c r="N529" s="124"/>
      <c r="O529" s="124"/>
      <c r="P529" s="139">
        <v>91915</v>
      </c>
      <c r="Q529" s="139">
        <v>91960</v>
      </c>
      <c r="R529" s="124"/>
      <c r="S529" s="124"/>
      <c r="T529" s="124"/>
      <c r="U529" s="124"/>
      <c r="V529" s="97"/>
      <c r="W529" s="131"/>
      <c r="Y529" s="79"/>
      <c r="Z529" s="80"/>
      <c r="AA529" s="80"/>
      <c r="AD529" s="77"/>
      <c r="AE529" s="77"/>
      <c r="AF529" s="77"/>
    </row>
    <row r="530" spans="1:32" ht="19.95" hidden="1" customHeight="1" outlineLevel="1" thickBot="1">
      <c r="A530" s="105"/>
      <c r="B530" s="128" t="str">
        <f t="shared" si="463"/>
        <v>TOTAL</v>
      </c>
      <c r="C530" s="131"/>
      <c r="D530" s="131"/>
      <c r="E530" s="131"/>
      <c r="F530" s="152">
        <f>SUM(F493:F529)</f>
        <v>245493445.27433783</v>
      </c>
      <c r="G530" s="131"/>
      <c r="H530" s="131"/>
      <c r="I530" s="131">
        <f t="shared" si="461"/>
        <v>1990425.4172270894</v>
      </c>
      <c r="J530" s="130">
        <f t="shared" si="462"/>
        <v>8.1078556496805773E-3</v>
      </c>
      <c r="L530" s="131"/>
      <c r="M530" s="131"/>
      <c r="N530" s="131"/>
      <c r="O530" s="131"/>
      <c r="P530" s="276">
        <f>SUM(P493:P529)</f>
        <v>123497580.68976359</v>
      </c>
      <c r="Q530" s="276">
        <f>SUM(Q493:Q529)</f>
        <v>123986290.00180133</v>
      </c>
      <c r="R530" s="131"/>
      <c r="S530" s="131"/>
      <c r="T530" s="131"/>
      <c r="U530" s="131"/>
      <c r="V530" s="131"/>
      <c r="W530" s="97"/>
      <c r="Y530" s="79"/>
      <c r="Z530" s="80"/>
      <c r="AA530" s="80"/>
      <c r="AD530" s="77"/>
      <c r="AE530" s="77"/>
      <c r="AF530" s="77"/>
    </row>
    <row r="531" spans="1:32" ht="19.95" hidden="1" customHeight="1" outlineLevel="1">
      <c r="A531" s="107">
        <v>9225</v>
      </c>
      <c r="B531" s="108" t="str">
        <f t="shared" si="463"/>
        <v>TSTC-Harlingen</v>
      </c>
      <c r="C531" s="153"/>
      <c r="D531" s="155"/>
      <c r="E531" s="155"/>
      <c r="F531" s="156">
        <v>650163</v>
      </c>
      <c r="G531" s="155"/>
      <c r="H531" s="155"/>
      <c r="I531" s="133">
        <f t="shared" si="461"/>
        <v>74554</v>
      </c>
      <c r="J531" s="112">
        <f t="shared" si="462"/>
        <v>0.11466970590451933</v>
      </c>
      <c r="L531" s="133"/>
      <c r="M531" s="133"/>
      <c r="N531" s="133"/>
      <c r="O531" s="133"/>
      <c r="P531" s="634">
        <v>357003</v>
      </c>
      <c r="Q531" s="634">
        <v>367714</v>
      </c>
      <c r="R531" s="133"/>
      <c r="S531" s="133"/>
      <c r="T531" s="133"/>
      <c r="U531" s="133"/>
      <c r="V531" s="97"/>
      <c r="W531" s="97"/>
      <c r="Y531" s="79"/>
      <c r="Z531" s="80"/>
      <c r="AA531" s="80"/>
      <c r="AD531" s="77"/>
      <c r="AE531" s="77"/>
      <c r="AF531" s="77"/>
    </row>
    <row r="532" spans="1:32" ht="19.95" hidden="1" customHeight="1" outlineLevel="1">
      <c r="A532" s="117">
        <v>9932</v>
      </c>
      <c r="B532" s="118" t="str">
        <f t="shared" si="463"/>
        <v>TSTC-West Tx</v>
      </c>
      <c r="C532" s="149"/>
      <c r="D532" s="97"/>
      <c r="E532" s="97"/>
      <c r="F532" s="156">
        <v>226448</v>
      </c>
      <c r="G532" s="97"/>
      <c r="H532" s="97"/>
      <c r="I532" s="100">
        <f t="shared" si="461"/>
        <v>35243</v>
      </c>
      <c r="J532" s="96">
        <f t="shared" si="462"/>
        <v>0.15563396453048822</v>
      </c>
      <c r="L532" s="100"/>
      <c r="M532" s="100"/>
      <c r="N532" s="100"/>
      <c r="O532" s="100"/>
      <c r="P532" s="138">
        <v>128912</v>
      </c>
      <c r="Q532" s="138">
        <v>132779</v>
      </c>
      <c r="R532" s="100"/>
      <c r="S532" s="100"/>
      <c r="T532" s="100"/>
      <c r="U532" s="100"/>
      <c r="V532" s="97"/>
      <c r="W532" s="97"/>
      <c r="Y532" s="79"/>
      <c r="Z532" s="80"/>
      <c r="AA532" s="80"/>
      <c r="AD532" s="77"/>
      <c r="AE532" s="77"/>
      <c r="AF532" s="77"/>
    </row>
    <row r="533" spans="1:32" ht="19.95" hidden="1" customHeight="1" outlineLevel="1">
      <c r="A533" s="117">
        <v>33965</v>
      </c>
      <c r="B533" s="118" t="str">
        <f t="shared" si="463"/>
        <v>TSTC-Marshall</v>
      </c>
      <c r="C533" s="149"/>
      <c r="D533" s="97"/>
      <c r="E533" s="97"/>
      <c r="F533" s="156">
        <v>99237</v>
      </c>
      <c r="G533" s="97"/>
      <c r="H533" s="97"/>
      <c r="I533" s="100">
        <f t="shared" si="461"/>
        <v>19262</v>
      </c>
      <c r="J533" s="96">
        <f t="shared" si="462"/>
        <v>0.19410099055795721</v>
      </c>
      <c r="L533" s="100"/>
      <c r="M533" s="100"/>
      <c r="N533" s="100"/>
      <c r="O533" s="100"/>
      <c r="P533" s="138">
        <v>58374</v>
      </c>
      <c r="Q533" s="138">
        <v>60125</v>
      </c>
      <c r="R533" s="100"/>
      <c r="S533" s="100"/>
      <c r="T533" s="100"/>
      <c r="U533" s="100"/>
      <c r="V533" s="97"/>
      <c r="W533" s="97"/>
      <c r="Y533" s="79"/>
      <c r="Z533" s="80"/>
      <c r="AA533" s="80"/>
      <c r="AD533" s="77"/>
      <c r="AE533" s="77"/>
      <c r="AF533" s="77"/>
    </row>
    <row r="534" spans="1:32" ht="19.95" hidden="1" customHeight="1" outlineLevel="1">
      <c r="A534" s="117">
        <v>3634</v>
      </c>
      <c r="B534" s="118" t="str">
        <f t="shared" si="463"/>
        <v>TSTC-Waco</v>
      </c>
      <c r="C534" s="149"/>
      <c r="D534" s="97"/>
      <c r="E534" s="97"/>
      <c r="F534" s="156">
        <v>746929</v>
      </c>
      <c r="G534" s="97"/>
      <c r="H534" s="97"/>
      <c r="I534" s="100">
        <f t="shared" si="461"/>
        <v>171562</v>
      </c>
      <c r="J534" s="96">
        <f t="shared" si="462"/>
        <v>0.22968983665114087</v>
      </c>
      <c r="L534" s="100"/>
      <c r="M534" s="100"/>
      <c r="N534" s="100"/>
      <c r="O534" s="100"/>
      <c r="P534" s="138">
        <v>452459</v>
      </c>
      <c r="Q534" s="138">
        <v>466032</v>
      </c>
      <c r="R534" s="100"/>
      <c r="S534" s="100"/>
      <c r="T534" s="100"/>
      <c r="U534" s="100"/>
      <c r="V534" s="97"/>
      <c r="W534" s="97"/>
      <c r="Y534" s="79"/>
      <c r="Z534" s="80"/>
      <c r="AA534" s="80"/>
      <c r="AD534" s="77"/>
      <c r="AE534" s="77"/>
      <c r="AF534" s="77"/>
    </row>
    <row r="535" spans="1:32" ht="19.95" hidden="1" customHeight="1" outlineLevel="1">
      <c r="A535" s="117">
        <v>203634</v>
      </c>
      <c r="B535" s="118" t="str">
        <f t="shared" si="463"/>
        <v>TSTC-Fort Bend</v>
      </c>
      <c r="C535" s="149"/>
      <c r="D535" s="97"/>
      <c r="E535" s="97"/>
      <c r="F535" s="156">
        <v>82578</v>
      </c>
      <c r="G535" s="97"/>
      <c r="H535" s="97"/>
      <c r="I535" s="100">
        <f t="shared" si="461"/>
        <v>27744</v>
      </c>
      <c r="J535" s="96">
        <f t="shared" si="462"/>
        <v>0.33597326164353702</v>
      </c>
      <c r="L535" s="100"/>
      <c r="M535" s="100"/>
      <c r="N535" s="100"/>
      <c r="O535" s="100"/>
      <c r="P535" s="138">
        <v>54341</v>
      </c>
      <c r="Q535" s="138">
        <v>55981</v>
      </c>
      <c r="R535" s="100"/>
      <c r="S535" s="100"/>
      <c r="T535" s="100"/>
      <c r="U535" s="100"/>
      <c r="V535" s="97"/>
      <c r="W535" s="97"/>
      <c r="Y535" s="79"/>
      <c r="Z535" s="80"/>
      <c r="AA535" s="80"/>
      <c r="AD535" s="77"/>
      <c r="AE535" s="77"/>
      <c r="AF535" s="77"/>
    </row>
    <row r="536" spans="1:32" ht="19.95" hidden="1" customHeight="1" outlineLevel="1">
      <c r="A536" s="117">
        <v>133965</v>
      </c>
      <c r="B536" s="118" t="str">
        <f t="shared" si="463"/>
        <v>TSTC-North Texas</v>
      </c>
      <c r="C536" s="149"/>
      <c r="D536" s="97"/>
      <c r="E536" s="97"/>
      <c r="F536" s="156">
        <v>46481</v>
      </c>
      <c r="G536" s="97"/>
      <c r="H536" s="97"/>
      <c r="I536" s="100">
        <f t="shared" si="461"/>
        <v>9592</v>
      </c>
      <c r="J536" s="96">
        <f t="shared" si="462"/>
        <v>0.20636389062197458</v>
      </c>
      <c r="L536" s="100"/>
      <c r="M536" s="100"/>
      <c r="N536" s="100"/>
      <c r="O536" s="100"/>
      <c r="P536" s="138">
        <v>27622</v>
      </c>
      <c r="Q536" s="138">
        <v>28451</v>
      </c>
      <c r="R536" s="100"/>
      <c r="S536" s="100"/>
      <c r="T536" s="100"/>
      <c r="U536" s="100"/>
      <c r="V536" s="97"/>
      <c r="W536" s="97"/>
      <c r="Y536" s="79"/>
      <c r="Z536" s="80"/>
      <c r="AA536" s="80"/>
      <c r="AD536" s="77"/>
      <c r="AE536" s="77"/>
      <c r="AF536" s="77"/>
    </row>
    <row r="537" spans="1:32" ht="19.95" hidden="1" customHeight="1" outlineLevel="1">
      <c r="A537" s="117">
        <v>36273</v>
      </c>
      <c r="B537" s="118" t="str">
        <f t="shared" si="463"/>
        <v>Lamar-IOT</v>
      </c>
      <c r="C537" s="149"/>
      <c r="D537" s="97"/>
      <c r="E537" s="97"/>
      <c r="F537" s="156">
        <v>917853</v>
      </c>
      <c r="G537" s="97"/>
      <c r="H537" s="97"/>
      <c r="I537" s="100">
        <f t="shared" si="461"/>
        <v>-110991</v>
      </c>
      <c r="J537" s="96">
        <f t="shared" si="462"/>
        <v>-0.12092459250010623</v>
      </c>
      <c r="L537" s="100"/>
      <c r="M537" s="100"/>
      <c r="N537" s="100"/>
      <c r="O537" s="100"/>
      <c r="P537" s="138">
        <v>402961</v>
      </c>
      <c r="Q537" s="138">
        <v>403901</v>
      </c>
      <c r="R537" s="100"/>
      <c r="S537" s="100"/>
      <c r="T537" s="100"/>
      <c r="U537" s="100"/>
      <c r="V537" s="97"/>
      <c r="W537" s="97"/>
      <c r="Y537" s="79"/>
      <c r="Z537" s="80"/>
      <c r="AA537" s="80"/>
      <c r="AD537" s="77"/>
      <c r="AE537" s="77"/>
      <c r="AF537" s="77"/>
    </row>
    <row r="538" spans="1:32" ht="19.95" hidden="1" customHeight="1" outlineLevel="1">
      <c r="A538" s="117">
        <v>23582</v>
      </c>
      <c r="B538" s="118" t="str">
        <f t="shared" si="463"/>
        <v>Lamar-Orange</v>
      </c>
      <c r="C538" s="149"/>
      <c r="D538" s="97"/>
      <c r="E538" s="97"/>
      <c r="F538" s="156">
        <v>847357</v>
      </c>
      <c r="G538" s="97"/>
      <c r="H538" s="97"/>
      <c r="I538" s="100">
        <f t="shared" si="461"/>
        <v>34048</v>
      </c>
      <c r="J538" s="96">
        <f t="shared" si="462"/>
        <v>4.0181411140758856E-2</v>
      </c>
      <c r="L538" s="100"/>
      <c r="M538" s="100"/>
      <c r="N538" s="100"/>
      <c r="O538" s="100"/>
      <c r="P538" s="138">
        <v>439572</v>
      </c>
      <c r="Q538" s="138">
        <v>441833</v>
      </c>
      <c r="R538" s="100"/>
      <c r="S538" s="100"/>
      <c r="T538" s="100"/>
      <c r="U538" s="100"/>
      <c r="V538" s="97"/>
      <c r="W538" s="97"/>
      <c r="Y538" s="79"/>
      <c r="Z538" s="80"/>
      <c r="AA538" s="80"/>
      <c r="AD538" s="77"/>
      <c r="AE538" s="77"/>
      <c r="AF538" s="77"/>
    </row>
    <row r="539" spans="1:32" ht="19.95" hidden="1" customHeight="1" outlineLevel="1" thickBot="1">
      <c r="A539" s="122">
        <v>23485</v>
      </c>
      <c r="B539" s="123" t="str">
        <f t="shared" si="463"/>
        <v>Lamar-Port Arthur</v>
      </c>
      <c r="C539" s="150"/>
      <c r="D539" s="151"/>
      <c r="E539" s="151"/>
      <c r="F539" s="139">
        <v>444888</v>
      </c>
      <c r="G539" s="151"/>
      <c r="H539" s="151"/>
      <c r="I539" s="124">
        <f t="shared" si="461"/>
        <v>-39243</v>
      </c>
      <c r="J539" s="126">
        <f t="shared" si="462"/>
        <v>-8.8208717699735664E-2</v>
      </c>
      <c r="L539" s="124"/>
      <c r="M539" s="124"/>
      <c r="N539" s="124"/>
      <c r="O539" s="124"/>
      <c r="P539" s="139">
        <v>202801</v>
      </c>
      <c r="Q539" s="139">
        <v>202844</v>
      </c>
      <c r="R539" s="124"/>
      <c r="S539" s="124"/>
      <c r="T539" s="124"/>
      <c r="U539" s="124"/>
      <c r="V539" s="97"/>
      <c r="W539" s="131"/>
      <c r="Y539" s="79"/>
      <c r="Z539" s="80"/>
      <c r="AA539" s="80"/>
      <c r="AD539" s="77"/>
      <c r="AE539" s="77"/>
      <c r="AF539" s="77"/>
    </row>
    <row r="540" spans="1:32" ht="19.95" hidden="1" customHeight="1" outlineLevel="1">
      <c r="A540" s="105"/>
      <c r="B540" s="128" t="str">
        <f t="shared" si="463"/>
        <v>TOTAL</v>
      </c>
      <c r="C540" s="131"/>
      <c r="D540" s="131"/>
      <c r="E540" s="131"/>
      <c r="F540" s="131">
        <f>SUM(F531:F539)</f>
        <v>4061934</v>
      </c>
      <c r="G540" s="131"/>
      <c r="H540" s="131"/>
      <c r="I540" s="131">
        <f t="shared" si="461"/>
        <v>221771</v>
      </c>
      <c r="J540" s="130">
        <f t="shared" si="462"/>
        <v>5.4597391291931384E-2</v>
      </c>
      <c r="L540" s="131"/>
      <c r="M540" s="131"/>
      <c r="N540" s="131"/>
      <c r="O540" s="131"/>
      <c r="P540" s="276">
        <f>SUM(P531:P539)</f>
        <v>2124045</v>
      </c>
      <c r="Q540" s="276">
        <f>SUM(Q531:Q539)</f>
        <v>2159660</v>
      </c>
      <c r="R540" s="131"/>
      <c r="S540" s="131"/>
      <c r="T540" s="131"/>
      <c r="U540" s="131"/>
      <c r="V540" s="131"/>
      <c r="Y540" s="79"/>
      <c r="Z540" s="80"/>
      <c r="AA540" s="80"/>
      <c r="AD540" s="77"/>
      <c r="AE540" s="77"/>
      <c r="AF540" s="77"/>
    </row>
    <row r="541" spans="1:32" ht="19.95" customHeight="1" collapsed="1">
      <c r="W541" s="106"/>
      <c r="Y541" s="79"/>
      <c r="Z541" s="80"/>
      <c r="AA541" s="80"/>
      <c r="AD541" s="77"/>
      <c r="AE541" s="77"/>
      <c r="AF541" s="77"/>
    </row>
    <row r="542" spans="1:32" s="91" customFormat="1" ht="19.95" customHeight="1" thickBot="1">
      <c r="A542" s="669" t="str">
        <f>L542</f>
        <v>General Revenue Dedicated - Staff Group Insurance Premiums</v>
      </c>
      <c r="B542" s="670"/>
      <c r="C542" s="670"/>
      <c r="D542" s="670"/>
      <c r="E542" s="670"/>
      <c r="F542" s="670"/>
      <c r="G542" s="670"/>
      <c r="H542" s="670"/>
      <c r="I542" s="670"/>
      <c r="J542" s="670"/>
      <c r="L542" s="673" t="s">
        <v>191</v>
      </c>
      <c r="M542" s="673"/>
      <c r="N542" s="673"/>
      <c r="O542" s="673"/>
      <c r="P542" s="673"/>
      <c r="Q542" s="673"/>
      <c r="R542" s="673"/>
      <c r="S542" s="673"/>
      <c r="T542" s="673" t="s">
        <v>160</v>
      </c>
      <c r="U542" s="673"/>
      <c r="V542" s="106"/>
      <c r="W542" s="114"/>
      <c r="Z542" s="94"/>
      <c r="AA542" s="94"/>
    </row>
    <row r="543" spans="1:32" ht="19.95" hidden="1" customHeight="1" outlineLevel="1">
      <c r="A543" s="107">
        <v>3656</v>
      </c>
      <c r="B543" s="108" t="str">
        <f>B25</f>
        <v>UT-Arlington</v>
      </c>
      <c r="C543" s="147"/>
      <c r="D543" s="148"/>
      <c r="E543" s="148"/>
      <c r="F543" s="137">
        <v>14721066</v>
      </c>
      <c r="G543" s="148"/>
      <c r="H543" s="148"/>
      <c r="I543" s="111">
        <f t="shared" ref="I543:I590" si="464">(P543+Q543)-F543</f>
        <v>-1609490</v>
      </c>
      <c r="J543" s="112">
        <f t="shared" ref="J543:J590" si="465">IF(OR(I543=0,F543=0),0,I543/F543)</f>
        <v>-0.10933243557226087</v>
      </c>
      <c r="L543" s="111"/>
      <c r="M543" s="111"/>
      <c r="N543" s="111"/>
      <c r="O543" s="111"/>
      <c r="P543" s="634">
        <v>6555788</v>
      </c>
      <c r="Q543" s="634">
        <v>6555788</v>
      </c>
      <c r="R543" s="111"/>
      <c r="S543" s="111"/>
      <c r="T543" s="111"/>
      <c r="U543" s="111"/>
      <c r="V543" s="114"/>
      <c r="W543" s="97"/>
      <c r="Y543" s="79"/>
      <c r="Z543" s="80"/>
      <c r="AA543" s="80"/>
      <c r="AD543" s="77"/>
      <c r="AE543" s="77"/>
      <c r="AF543" s="77"/>
    </row>
    <row r="544" spans="1:32" ht="19.95" hidden="1" customHeight="1" outlineLevel="1">
      <c r="A544" s="117">
        <v>3658</v>
      </c>
      <c r="B544" s="118" t="str">
        <f>B26</f>
        <v>UT-Austin</v>
      </c>
      <c r="C544" s="149"/>
      <c r="D544" s="97"/>
      <c r="E544" s="97"/>
      <c r="F544" s="138">
        <v>24054270</v>
      </c>
      <c r="G544" s="97"/>
      <c r="H544" s="97"/>
      <c r="I544" s="100">
        <f t="shared" si="464"/>
        <v>-5326814</v>
      </c>
      <c r="J544" s="96">
        <f t="shared" si="465"/>
        <v>-0.22144982990545961</v>
      </c>
      <c r="L544" s="100"/>
      <c r="M544" s="100"/>
      <c r="N544" s="100"/>
      <c r="O544" s="100"/>
      <c r="P544" s="138">
        <v>9363728</v>
      </c>
      <c r="Q544" s="138">
        <v>9363728</v>
      </c>
      <c r="R544" s="100"/>
      <c r="S544" s="100"/>
      <c r="T544" s="100"/>
      <c r="U544" s="100"/>
      <c r="V544" s="97"/>
      <c r="W544" s="97"/>
      <c r="Y544" s="79"/>
      <c r="Z544" s="80"/>
      <c r="AA544" s="80"/>
      <c r="AD544" s="77"/>
      <c r="AE544" s="77"/>
      <c r="AF544" s="77"/>
    </row>
    <row r="545" spans="1:32" ht="19.95" hidden="1" customHeight="1" outlineLevel="1">
      <c r="A545" s="117">
        <v>9741</v>
      </c>
      <c r="B545" s="118" t="str">
        <f>B27</f>
        <v>UT-Dallas</v>
      </c>
      <c r="C545" s="149"/>
      <c r="D545" s="97"/>
      <c r="E545" s="97"/>
      <c r="F545" s="138">
        <v>13130818</v>
      </c>
      <c r="G545" s="97"/>
      <c r="H545" s="97"/>
      <c r="I545" s="100">
        <f t="shared" si="464"/>
        <v>-239062</v>
      </c>
      <c r="J545" s="96">
        <f t="shared" si="465"/>
        <v>-1.8206177254151263E-2</v>
      </c>
      <c r="L545" s="100"/>
      <c r="M545" s="100"/>
      <c r="N545" s="100"/>
      <c r="O545" s="100"/>
      <c r="P545" s="138">
        <v>6445878</v>
      </c>
      <c r="Q545" s="138">
        <v>6445878</v>
      </c>
      <c r="R545" s="100"/>
      <c r="S545" s="100"/>
      <c r="T545" s="100"/>
      <c r="U545" s="100"/>
      <c r="V545" s="97"/>
      <c r="W545" s="97"/>
      <c r="Y545" s="79"/>
      <c r="Z545" s="80"/>
      <c r="AA545" s="80"/>
      <c r="AD545" s="77"/>
      <c r="AE545" s="77"/>
      <c r="AF545" s="77"/>
    </row>
    <row r="546" spans="1:32" ht="19.95" hidden="1" customHeight="1" outlineLevel="1">
      <c r="A546" s="117">
        <v>3661</v>
      </c>
      <c r="B546" s="118" t="str">
        <f>B28</f>
        <v>UT-El Paso</v>
      </c>
      <c r="C546" s="149"/>
      <c r="D546" s="97"/>
      <c r="E546" s="97"/>
      <c r="F546" s="138">
        <v>11945936</v>
      </c>
      <c r="G546" s="97"/>
      <c r="H546" s="97"/>
      <c r="I546" s="100">
        <f t="shared" si="464"/>
        <v>-4442864</v>
      </c>
      <c r="J546" s="96">
        <f t="shared" si="465"/>
        <v>-0.37191426439920655</v>
      </c>
      <c r="L546" s="100"/>
      <c r="M546" s="100"/>
      <c r="N546" s="100"/>
      <c r="O546" s="100"/>
      <c r="P546" s="138">
        <v>3751536</v>
      </c>
      <c r="Q546" s="138">
        <v>3751536</v>
      </c>
      <c r="R546" s="100"/>
      <c r="S546" s="100"/>
      <c r="T546" s="100"/>
      <c r="U546" s="100"/>
      <c r="V546" s="97"/>
      <c r="W546" s="97"/>
      <c r="Y546" s="79"/>
      <c r="Z546" s="80"/>
      <c r="AA546" s="80"/>
      <c r="AD546" s="77"/>
      <c r="AE546" s="77"/>
      <c r="AF546" s="77"/>
    </row>
    <row r="547" spans="1:32" ht="19.95" hidden="1" customHeight="1" outlineLevel="1">
      <c r="A547" s="117">
        <v>3599</v>
      </c>
      <c r="B547" s="118" t="s">
        <v>213</v>
      </c>
      <c r="C547" s="149"/>
      <c r="D547" s="97"/>
      <c r="E547" s="97"/>
      <c r="F547" s="138">
        <v>11929448</v>
      </c>
      <c r="G547" s="97"/>
      <c r="H547" s="97"/>
      <c r="I547" s="100">
        <f t="shared" si="464"/>
        <v>-3751278</v>
      </c>
      <c r="J547" s="96">
        <f t="shared" si="465"/>
        <v>-0.31445528745336748</v>
      </c>
      <c r="L547" s="100"/>
      <c r="M547" s="100"/>
      <c r="N547" s="100"/>
      <c r="O547" s="100"/>
      <c r="P547" s="138">
        <v>4089085</v>
      </c>
      <c r="Q547" s="138">
        <v>4089085</v>
      </c>
      <c r="R547" s="100"/>
      <c r="S547" s="100"/>
      <c r="T547" s="100"/>
      <c r="U547" s="100"/>
      <c r="V547" s="97"/>
      <c r="W547" s="97"/>
      <c r="Y547" s="79"/>
      <c r="Z547" s="80"/>
      <c r="AA547" s="80"/>
      <c r="AD547" s="77"/>
      <c r="AE547" s="77"/>
      <c r="AF547" s="77"/>
    </row>
    <row r="548" spans="1:32" ht="19.95" hidden="1" customHeight="1" outlineLevel="1">
      <c r="A548" s="117">
        <v>9930</v>
      </c>
      <c r="B548" s="118" t="str">
        <f t="shared" ref="B548:B590" si="466">B30</f>
        <v>UT-Permian Basin</v>
      </c>
      <c r="C548" s="149"/>
      <c r="D548" s="97"/>
      <c r="E548" s="97"/>
      <c r="F548" s="138">
        <v>1283424</v>
      </c>
      <c r="G548" s="97"/>
      <c r="H548" s="97"/>
      <c r="I548" s="100">
        <f t="shared" si="464"/>
        <v>-59282</v>
      </c>
      <c r="J548" s="96">
        <f t="shared" si="465"/>
        <v>-4.6190502904729848E-2</v>
      </c>
      <c r="L548" s="100"/>
      <c r="M548" s="100"/>
      <c r="N548" s="100"/>
      <c r="O548" s="100"/>
      <c r="P548" s="138">
        <v>612071</v>
      </c>
      <c r="Q548" s="138">
        <v>612071</v>
      </c>
      <c r="R548" s="100"/>
      <c r="S548" s="100"/>
      <c r="T548" s="100"/>
      <c r="U548" s="100"/>
      <c r="V548" s="97"/>
      <c r="W548" s="97"/>
      <c r="Y548" s="79"/>
      <c r="Z548" s="80"/>
      <c r="AA548" s="80"/>
      <c r="AD548" s="77"/>
      <c r="AE548" s="77"/>
      <c r="AF548" s="77"/>
    </row>
    <row r="549" spans="1:32" ht="19.95" hidden="1" customHeight="1" outlineLevel="1">
      <c r="A549" s="117">
        <v>10115</v>
      </c>
      <c r="B549" s="118" t="str">
        <f t="shared" si="466"/>
        <v>UT-San Antonio</v>
      </c>
      <c r="C549" s="149"/>
      <c r="D549" s="97"/>
      <c r="E549" s="97"/>
      <c r="F549" s="138">
        <v>11986292</v>
      </c>
      <c r="G549" s="97"/>
      <c r="H549" s="97"/>
      <c r="I549" s="100">
        <f t="shared" si="464"/>
        <v>-713842</v>
      </c>
      <c r="J549" s="96">
        <f t="shared" si="465"/>
        <v>-5.9554864840602913E-2</v>
      </c>
      <c r="L549" s="100"/>
      <c r="M549" s="100"/>
      <c r="N549" s="100"/>
      <c r="O549" s="100"/>
      <c r="P549" s="138">
        <v>5636225</v>
      </c>
      <c r="Q549" s="138">
        <v>5636225</v>
      </c>
      <c r="R549" s="100"/>
      <c r="S549" s="100"/>
      <c r="T549" s="100"/>
      <c r="U549" s="100"/>
      <c r="V549" s="97"/>
      <c r="W549" s="97"/>
      <c r="Y549" s="79"/>
      <c r="Z549" s="80"/>
      <c r="AA549" s="80"/>
      <c r="AD549" s="77"/>
      <c r="AE549" s="77"/>
      <c r="AF549" s="77"/>
    </row>
    <row r="550" spans="1:32" ht="19.95" hidden="1" customHeight="1" outlineLevel="1">
      <c r="A550" s="117">
        <v>11163</v>
      </c>
      <c r="B550" s="118" t="str">
        <f t="shared" si="466"/>
        <v>UT-Tyler</v>
      </c>
      <c r="C550" s="149"/>
      <c r="D550" s="97"/>
      <c r="E550" s="97"/>
      <c r="F550" s="138">
        <v>2613988</v>
      </c>
      <c r="G550" s="97"/>
      <c r="H550" s="97"/>
      <c r="I550" s="100">
        <f t="shared" si="464"/>
        <v>-44112</v>
      </c>
      <c r="J550" s="96">
        <f t="shared" si="465"/>
        <v>-1.6875364385758467E-2</v>
      </c>
      <c r="L550" s="100"/>
      <c r="M550" s="100"/>
      <c r="N550" s="100"/>
      <c r="O550" s="100"/>
      <c r="P550" s="138">
        <v>1284938</v>
      </c>
      <c r="Q550" s="138">
        <v>1284938</v>
      </c>
      <c r="R550" s="100"/>
      <c r="S550" s="100"/>
      <c r="T550" s="100"/>
      <c r="U550" s="100"/>
      <c r="V550" s="97"/>
      <c r="W550" s="97"/>
      <c r="Y550" s="79"/>
      <c r="Z550" s="80"/>
      <c r="AA550" s="80"/>
      <c r="AD550" s="77"/>
      <c r="AE550" s="77"/>
      <c r="AF550" s="77"/>
    </row>
    <row r="551" spans="1:32" ht="19.95" hidden="1" customHeight="1" outlineLevel="1">
      <c r="A551" s="117">
        <v>3632</v>
      </c>
      <c r="B551" s="121" t="str">
        <f t="shared" si="466"/>
        <v>TAMU</v>
      </c>
      <c r="C551" s="149"/>
      <c r="D551" s="97"/>
      <c r="E551" s="97"/>
      <c r="F551" s="138">
        <v>31842108</v>
      </c>
      <c r="G551" s="97"/>
      <c r="H551" s="97"/>
      <c r="I551" s="100">
        <f t="shared" si="464"/>
        <v>-3315114</v>
      </c>
      <c r="J551" s="96">
        <f t="shared" si="465"/>
        <v>-0.10411100923343392</v>
      </c>
      <c r="L551" s="100"/>
      <c r="M551" s="100"/>
      <c r="N551" s="100"/>
      <c r="O551" s="100"/>
      <c r="P551" s="138">
        <v>14263497</v>
      </c>
      <c r="Q551" s="138">
        <v>14263497</v>
      </c>
      <c r="R551" s="100"/>
      <c r="S551" s="100"/>
      <c r="T551" s="100"/>
      <c r="U551" s="100"/>
      <c r="V551" s="97"/>
      <c r="W551" s="97"/>
      <c r="Y551" s="79"/>
      <c r="Z551" s="80"/>
      <c r="AA551" s="80"/>
      <c r="AD551" s="77"/>
      <c r="AE551" s="77"/>
      <c r="AF551" s="77"/>
    </row>
    <row r="552" spans="1:32" ht="19.95" hidden="1" customHeight="1" outlineLevel="1">
      <c r="A552" s="117">
        <v>10298</v>
      </c>
      <c r="B552" s="118" t="str">
        <f t="shared" si="466"/>
        <v>TAMU-Galveston</v>
      </c>
      <c r="C552" s="149"/>
      <c r="D552" s="97"/>
      <c r="E552" s="97"/>
      <c r="F552" s="138">
        <v>703046</v>
      </c>
      <c r="G552" s="97"/>
      <c r="H552" s="97"/>
      <c r="I552" s="100">
        <f t="shared" si="464"/>
        <v>185760</v>
      </c>
      <c r="J552" s="96">
        <f t="shared" si="465"/>
        <v>0.26422168677440738</v>
      </c>
      <c r="L552" s="100"/>
      <c r="M552" s="100"/>
      <c r="N552" s="100"/>
      <c r="O552" s="100"/>
      <c r="P552" s="138">
        <v>444403</v>
      </c>
      <c r="Q552" s="138">
        <v>444403</v>
      </c>
      <c r="R552" s="100"/>
      <c r="S552" s="100"/>
      <c r="T552" s="100"/>
      <c r="U552" s="100"/>
      <c r="V552" s="97"/>
      <c r="W552" s="97"/>
      <c r="Y552" s="79"/>
      <c r="Z552" s="80"/>
      <c r="AA552" s="80"/>
      <c r="AD552" s="77"/>
      <c r="AE552" s="77"/>
      <c r="AF552" s="77"/>
    </row>
    <row r="553" spans="1:32" ht="19.95" hidden="1" customHeight="1" outlineLevel="1">
      <c r="A553" s="117">
        <v>3630</v>
      </c>
      <c r="B553" s="118" t="str">
        <f t="shared" si="466"/>
        <v>Prairie View</v>
      </c>
      <c r="C553" s="149"/>
      <c r="D553" s="97"/>
      <c r="E553" s="97"/>
      <c r="F553" s="138">
        <v>3811648</v>
      </c>
      <c r="G553" s="97"/>
      <c r="H553" s="97"/>
      <c r="I553" s="100">
        <f t="shared" si="464"/>
        <v>697218</v>
      </c>
      <c r="J553" s="96">
        <f t="shared" si="465"/>
        <v>0.1829177300737109</v>
      </c>
      <c r="L553" s="100"/>
      <c r="M553" s="100"/>
      <c r="N553" s="100"/>
      <c r="O553" s="100"/>
      <c r="P553" s="138">
        <v>2254433</v>
      </c>
      <c r="Q553" s="138">
        <v>2254433</v>
      </c>
      <c r="R553" s="100"/>
      <c r="S553" s="100"/>
      <c r="T553" s="100"/>
      <c r="U553" s="100"/>
      <c r="V553" s="97"/>
      <c r="W553" s="97"/>
      <c r="Y553" s="79"/>
      <c r="Z553" s="80"/>
      <c r="AA553" s="80"/>
      <c r="AD553" s="77"/>
      <c r="AE553" s="77"/>
      <c r="AF553" s="77"/>
    </row>
    <row r="554" spans="1:32" ht="19.95" hidden="1" customHeight="1" outlineLevel="1">
      <c r="A554" s="117">
        <v>3631</v>
      </c>
      <c r="B554" s="118" t="str">
        <f t="shared" si="466"/>
        <v>Tarleton</v>
      </c>
      <c r="C554" s="149"/>
      <c r="D554" s="97"/>
      <c r="E554" s="97"/>
      <c r="F554" s="138">
        <v>5111210</v>
      </c>
      <c r="G554" s="97"/>
      <c r="H554" s="97"/>
      <c r="I554" s="100">
        <f t="shared" si="464"/>
        <v>-71530</v>
      </c>
      <c r="J554" s="96">
        <f t="shared" si="465"/>
        <v>-1.3994729232412677E-2</v>
      </c>
      <c r="L554" s="100"/>
      <c r="M554" s="100"/>
      <c r="N554" s="100"/>
      <c r="O554" s="100"/>
      <c r="P554" s="138">
        <v>2519840</v>
      </c>
      <c r="Q554" s="138">
        <v>2519840</v>
      </c>
      <c r="R554" s="100"/>
      <c r="S554" s="100"/>
      <c r="T554" s="100"/>
      <c r="U554" s="100"/>
      <c r="V554" s="97"/>
      <c r="W554" s="97"/>
      <c r="Y554" s="79"/>
      <c r="Z554" s="80"/>
      <c r="AA554" s="80"/>
      <c r="AD554" s="77"/>
      <c r="AE554" s="77"/>
      <c r="AF554" s="77"/>
    </row>
    <row r="555" spans="1:32" ht="19.95" hidden="1" customHeight="1" outlineLevel="1">
      <c r="A555" s="117">
        <v>42295</v>
      </c>
      <c r="B555" s="118" t="str">
        <f t="shared" si="466"/>
        <v>TAMU-Central</v>
      </c>
      <c r="C555" s="149"/>
      <c r="D555" s="97"/>
      <c r="E555" s="97"/>
      <c r="F555" s="138">
        <v>309202</v>
      </c>
      <c r="G555" s="97"/>
      <c r="H555" s="97"/>
      <c r="I555" s="100">
        <f t="shared" si="464"/>
        <v>29766</v>
      </c>
      <c r="J555" s="96">
        <f t="shared" si="465"/>
        <v>9.6267165154171067E-2</v>
      </c>
      <c r="L555" s="100"/>
      <c r="M555" s="100"/>
      <c r="N555" s="100"/>
      <c r="O555" s="100"/>
      <c r="P555" s="138">
        <v>169484</v>
      </c>
      <c r="Q555" s="138">
        <v>169484</v>
      </c>
      <c r="R555" s="100"/>
      <c r="S555" s="100"/>
      <c r="T555" s="100"/>
      <c r="U555" s="100"/>
      <c r="V555" s="97"/>
      <c r="W555" s="97"/>
      <c r="Y555" s="79"/>
      <c r="Z555" s="80"/>
      <c r="AA555" s="80"/>
      <c r="AD555" s="77"/>
      <c r="AE555" s="77"/>
      <c r="AF555" s="77"/>
    </row>
    <row r="556" spans="1:32" ht="19.95" hidden="1" customHeight="1" outlineLevel="1">
      <c r="A556" s="117">
        <v>11161</v>
      </c>
      <c r="B556" s="118" t="str">
        <f t="shared" si="466"/>
        <v>TAMU-CC</v>
      </c>
      <c r="C556" s="149"/>
      <c r="D556" s="97"/>
      <c r="E556" s="97"/>
      <c r="F556" s="138">
        <v>3784012</v>
      </c>
      <c r="G556" s="97"/>
      <c r="H556" s="97"/>
      <c r="I556" s="100">
        <f t="shared" si="464"/>
        <v>-338684</v>
      </c>
      <c r="J556" s="96">
        <f t="shared" si="465"/>
        <v>-8.9503944490662291E-2</v>
      </c>
      <c r="L556" s="100"/>
      <c r="M556" s="100"/>
      <c r="N556" s="100"/>
      <c r="O556" s="100"/>
      <c r="P556" s="138">
        <v>1722664</v>
      </c>
      <c r="Q556" s="138">
        <v>1722664</v>
      </c>
      <c r="R556" s="100"/>
      <c r="S556" s="100"/>
      <c r="T556" s="100"/>
      <c r="U556" s="100"/>
      <c r="V556" s="97"/>
      <c r="W556" s="97"/>
      <c r="Y556" s="79"/>
      <c r="Z556" s="80"/>
      <c r="AA556" s="80"/>
      <c r="AD556" s="77"/>
      <c r="AE556" s="77"/>
      <c r="AF556" s="77"/>
    </row>
    <row r="557" spans="1:32" ht="19.95" hidden="1" customHeight="1" outlineLevel="1">
      <c r="A557" s="117">
        <v>3639</v>
      </c>
      <c r="B557" s="118" t="str">
        <f t="shared" si="466"/>
        <v>TAMU-Kingsville</v>
      </c>
      <c r="C557" s="149"/>
      <c r="D557" s="97"/>
      <c r="E557" s="97"/>
      <c r="F557" s="138">
        <v>3719180</v>
      </c>
      <c r="G557" s="97"/>
      <c r="H557" s="97"/>
      <c r="I557" s="100">
        <f t="shared" si="464"/>
        <v>-375142</v>
      </c>
      <c r="J557" s="96">
        <f t="shared" si="465"/>
        <v>-0.10086685774821331</v>
      </c>
      <c r="L557" s="100"/>
      <c r="M557" s="100"/>
      <c r="N557" s="100"/>
      <c r="O557" s="100"/>
      <c r="P557" s="138">
        <v>1672019</v>
      </c>
      <c r="Q557" s="138">
        <v>1672019</v>
      </c>
      <c r="R557" s="100"/>
      <c r="S557" s="100"/>
      <c r="T557" s="100"/>
      <c r="U557" s="100"/>
      <c r="V557" s="97"/>
      <c r="W557" s="97"/>
      <c r="Y557" s="79"/>
      <c r="Z557" s="80"/>
      <c r="AA557" s="80"/>
      <c r="AD557" s="77"/>
      <c r="AE557" s="77"/>
      <c r="AF557" s="77"/>
    </row>
    <row r="558" spans="1:32" ht="19.95" hidden="1" customHeight="1" outlineLevel="1">
      <c r="A558" s="117">
        <v>42485</v>
      </c>
      <c r="B558" s="118" t="str">
        <f t="shared" si="466"/>
        <v>TAMU-San Antonio</v>
      </c>
      <c r="C558" s="149"/>
      <c r="D558" s="97"/>
      <c r="E558" s="97"/>
      <c r="F558" s="138">
        <v>1314312</v>
      </c>
      <c r="G558" s="97"/>
      <c r="H558" s="97"/>
      <c r="I558" s="100">
        <f t="shared" si="464"/>
        <v>-171618</v>
      </c>
      <c r="J558" s="96">
        <f t="shared" si="465"/>
        <v>-0.13057630151744792</v>
      </c>
      <c r="L558" s="100"/>
      <c r="M558" s="100"/>
      <c r="N558" s="100"/>
      <c r="O558" s="100"/>
      <c r="P558" s="138">
        <v>571347</v>
      </c>
      <c r="Q558" s="138">
        <v>571347</v>
      </c>
      <c r="R558" s="100"/>
      <c r="S558" s="100"/>
      <c r="T558" s="100"/>
      <c r="U558" s="100"/>
      <c r="V558" s="97"/>
      <c r="W558" s="97"/>
      <c r="Y558" s="79"/>
      <c r="Z558" s="80"/>
      <c r="AA558" s="80"/>
      <c r="AD558" s="77"/>
      <c r="AE558" s="77"/>
      <c r="AF558" s="77"/>
    </row>
    <row r="559" spans="1:32" ht="19.95" hidden="1" customHeight="1" outlineLevel="1">
      <c r="A559" s="117">
        <v>9651</v>
      </c>
      <c r="B559" s="118" t="str">
        <f t="shared" si="466"/>
        <v>TAMI</v>
      </c>
      <c r="C559" s="149"/>
      <c r="D559" s="97"/>
      <c r="E559" s="97"/>
      <c r="F559" s="138">
        <v>2343946</v>
      </c>
      <c r="G559" s="97"/>
      <c r="H559" s="97"/>
      <c r="I559" s="100">
        <f t="shared" si="464"/>
        <v>-278474</v>
      </c>
      <c r="J559" s="96">
        <f t="shared" si="465"/>
        <v>-0.11880563801384503</v>
      </c>
      <c r="L559" s="100"/>
      <c r="M559" s="100"/>
      <c r="N559" s="100"/>
      <c r="O559" s="100"/>
      <c r="P559" s="138">
        <v>1032736</v>
      </c>
      <c r="Q559" s="138">
        <v>1032736</v>
      </c>
      <c r="R559" s="100"/>
      <c r="S559" s="100"/>
      <c r="T559" s="100"/>
      <c r="U559" s="100"/>
      <c r="V559" s="97"/>
      <c r="W559" s="97"/>
      <c r="Y559" s="79"/>
      <c r="Z559" s="80"/>
      <c r="AA559" s="80"/>
      <c r="AD559" s="77"/>
      <c r="AE559" s="77"/>
      <c r="AF559" s="77"/>
    </row>
    <row r="560" spans="1:32" ht="19.95" hidden="1" customHeight="1" outlineLevel="1">
      <c r="A560" s="117">
        <v>3665</v>
      </c>
      <c r="B560" s="118" t="str">
        <f t="shared" si="466"/>
        <v>WTAMU</v>
      </c>
      <c r="C560" s="149"/>
      <c r="D560" s="97"/>
      <c r="E560" s="97"/>
      <c r="F560" s="138">
        <v>4148722</v>
      </c>
      <c r="G560" s="97"/>
      <c r="H560" s="97"/>
      <c r="I560" s="100">
        <f t="shared" si="464"/>
        <v>-450756</v>
      </c>
      <c r="J560" s="96">
        <f t="shared" si="465"/>
        <v>-0.10864936238195762</v>
      </c>
      <c r="L560" s="100"/>
      <c r="M560" s="100"/>
      <c r="N560" s="100"/>
      <c r="O560" s="100"/>
      <c r="P560" s="138">
        <v>1848983</v>
      </c>
      <c r="Q560" s="138">
        <v>1848983</v>
      </c>
      <c r="R560" s="100"/>
      <c r="S560" s="100"/>
      <c r="T560" s="100"/>
      <c r="U560" s="100"/>
      <c r="V560" s="97"/>
      <c r="W560" s="97"/>
      <c r="Y560" s="79"/>
      <c r="Z560" s="80"/>
      <c r="AA560" s="80"/>
      <c r="AD560" s="77"/>
      <c r="AE560" s="77"/>
      <c r="AF560" s="77"/>
    </row>
    <row r="561" spans="1:32" ht="19.95" hidden="1" customHeight="1" outlineLevel="1">
      <c r="A561" s="117">
        <v>3565</v>
      </c>
      <c r="B561" s="118" t="str">
        <f t="shared" si="466"/>
        <v>TAMU-Commerce</v>
      </c>
      <c r="C561" s="149"/>
      <c r="D561" s="97"/>
      <c r="E561" s="97"/>
      <c r="F561" s="138">
        <v>4807692</v>
      </c>
      <c r="G561" s="97"/>
      <c r="H561" s="97"/>
      <c r="I561" s="100">
        <f t="shared" si="464"/>
        <v>-164660</v>
      </c>
      <c r="J561" s="96">
        <f t="shared" si="465"/>
        <v>-3.4249282191954063E-2</v>
      </c>
      <c r="L561" s="100"/>
      <c r="M561" s="100"/>
      <c r="N561" s="100"/>
      <c r="O561" s="100"/>
      <c r="P561" s="138">
        <v>2321516</v>
      </c>
      <c r="Q561" s="138">
        <v>2321516</v>
      </c>
      <c r="R561" s="100"/>
      <c r="S561" s="100"/>
      <c r="T561" s="100"/>
      <c r="U561" s="100"/>
      <c r="V561" s="97"/>
      <c r="W561" s="97"/>
      <c r="Y561" s="79"/>
      <c r="Z561" s="80"/>
      <c r="AA561" s="80"/>
      <c r="AD561" s="77"/>
      <c r="AE561" s="77"/>
      <c r="AF561" s="77"/>
    </row>
    <row r="562" spans="1:32" ht="19.95" hidden="1" customHeight="1" outlineLevel="1">
      <c r="A562" s="117">
        <v>29269</v>
      </c>
      <c r="B562" s="118" t="str">
        <f t="shared" si="466"/>
        <v>TAMU-Texarkana</v>
      </c>
      <c r="C562" s="149"/>
      <c r="D562" s="97"/>
      <c r="E562" s="97"/>
      <c r="F562" s="138">
        <v>531732</v>
      </c>
      <c r="G562" s="97"/>
      <c r="H562" s="97"/>
      <c r="I562" s="100">
        <f t="shared" si="464"/>
        <v>-46386</v>
      </c>
      <c r="J562" s="96">
        <f t="shared" si="465"/>
        <v>-8.7235675114531383E-2</v>
      </c>
      <c r="L562" s="100"/>
      <c r="M562" s="100"/>
      <c r="N562" s="100"/>
      <c r="O562" s="100"/>
      <c r="P562" s="138">
        <v>242673</v>
      </c>
      <c r="Q562" s="138">
        <v>242673</v>
      </c>
      <c r="R562" s="100"/>
      <c r="S562" s="100"/>
      <c r="T562" s="100"/>
      <c r="U562" s="100"/>
      <c r="V562" s="97"/>
      <c r="W562" s="97"/>
      <c r="Y562" s="79"/>
      <c r="Z562" s="80"/>
      <c r="AA562" s="80"/>
      <c r="AD562" s="77"/>
      <c r="AE562" s="77"/>
      <c r="AF562" s="77"/>
    </row>
    <row r="563" spans="1:32" ht="19.95" hidden="1" customHeight="1" outlineLevel="1">
      <c r="A563" s="117">
        <v>3652</v>
      </c>
      <c r="B563" s="118" t="str">
        <f t="shared" si="466"/>
        <v>UH</v>
      </c>
      <c r="C563" s="149"/>
      <c r="D563" s="97"/>
      <c r="E563" s="97"/>
      <c r="F563" s="138">
        <v>13749414</v>
      </c>
      <c r="G563" s="97"/>
      <c r="H563" s="97"/>
      <c r="I563" s="100">
        <f t="shared" si="464"/>
        <v>1476894</v>
      </c>
      <c r="J563" s="96">
        <f t="shared" si="465"/>
        <v>0.10741505056142757</v>
      </c>
      <c r="L563" s="100"/>
      <c r="M563" s="100"/>
      <c r="N563" s="100"/>
      <c r="O563" s="100"/>
      <c r="P563" s="138">
        <v>7613154</v>
      </c>
      <c r="Q563" s="138">
        <v>7613154</v>
      </c>
      <c r="R563" s="100"/>
      <c r="S563" s="100"/>
      <c r="T563" s="100"/>
      <c r="U563" s="100"/>
      <c r="V563" s="97"/>
      <c r="W563" s="97"/>
      <c r="Y563" s="79"/>
      <c r="Z563" s="80"/>
      <c r="AA563" s="80"/>
      <c r="AD563" s="77"/>
      <c r="AE563" s="77"/>
      <c r="AF563" s="77"/>
    </row>
    <row r="564" spans="1:32" ht="19.95" hidden="1" customHeight="1" outlineLevel="1">
      <c r="A564" s="117">
        <v>11711</v>
      </c>
      <c r="B564" s="118" t="str">
        <f t="shared" si="466"/>
        <v>UH-Clear Lake</v>
      </c>
      <c r="C564" s="149"/>
      <c r="D564" s="97"/>
      <c r="E564" s="97"/>
      <c r="F564" s="138">
        <v>3324108</v>
      </c>
      <c r="G564" s="97"/>
      <c r="H564" s="97"/>
      <c r="I564" s="100">
        <f t="shared" si="464"/>
        <v>-105274</v>
      </c>
      <c r="J564" s="96">
        <f t="shared" si="465"/>
        <v>-3.1669849475408136E-2</v>
      </c>
      <c r="L564" s="100"/>
      <c r="M564" s="100"/>
      <c r="N564" s="100"/>
      <c r="O564" s="100"/>
      <c r="P564" s="138">
        <v>1609417</v>
      </c>
      <c r="Q564" s="138">
        <v>1609417</v>
      </c>
      <c r="R564" s="100"/>
      <c r="S564" s="100"/>
      <c r="T564" s="100"/>
      <c r="U564" s="100"/>
      <c r="V564" s="97"/>
      <c r="W564" s="97"/>
      <c r="Y564" s="79"/>
      <c r="Z564" s="80"/>
      <c r="AA564" s="80"/>
      <c r="AD564" s="77"/>
      <c r="AE564" s="77"/>
      <c r="AF564" s="77"/>
    </row>
    <row r="565" spans="1:32" ht="19.95" hidden="1" customHeight="1" outlineLevel="1">
      <c r="A565" s="117">
        <v>12826</v>
      </c>
      <c r="B565" s="118" t="str">
        <f t="shared" si="466"/>
        <v>UH-Downtown</v>
      </c>
      <c r="C565" s="149"/>
      <c r="D565" s="97"/>
      <c r="E565" s="97"/>
      <c r="F565" s="138">
        <v>4560674</v>
      </c>
      <c r="G565" s="97"/>
      <c r="H565" s="97"/>
      <c r="I565" s="100">
        <f t="shared" si="464"/>
        <v>-121590</v>
      </c>
      <c r="J565" s="96">
        <f t="shared" si="465"/>
        <v>-2.6660533070331272E-2</v>
      </c>
      <c r="L565" s="100"/>
      <c r="M565" s="100"/>
      <c r="N565" s="100"/>
      <c r="O565" s="100"/>
      <c r="P565" s="138">
        <v>2219542</v>
      </c>
      <c r="Q565" s="138">
        <v>2219542</v>
      </c>
      <c r="R565" s="100"/>
      <c r="S565" s="100"/>
      <c r="T565" s="100"/>
      <c r="U565" s="100"/>
      <c r="V565" s="97"/>
      <c r="W565" s="97"/>
      <c r="Y565" s="79"/>
      <c r="Z565" s="80"/>
      <c r="AA565" s="80"/>
      <c r="AD565" s="77"/>
      <c r="AE565" s="77"/>
      <c r="AF565" s="77"/>
    </row>
    <row r="566" spans="1:32" ht="19.95" hidden="1" customHeight="1" outlineLevel="1">
      <c r="A566" s="117">
        <v>13231</v>
      </c>
      <c r="B566" s="118" t="str">
        <f t="shared" si="466"/>
        <v>UH-Victoria</v>
      </c>
      <c r="C566" s="149"/>
      <c r="D566" s="97"/>
      <c r="E566" s="97"/>
      <c r="F566" s="138">
        <v>1286762</v>
      </c>
      <c r="G566" s="97"/>
      <c r="H566" s="97"/>
      <c r="I566" s="100">
        <f t="shared" si="464"/>
        <v>-86534</v>
      </c>
      <c r="J566" s="96">
        <f t="shared" si="465"/>
        <v>-6.7249421415926172E-2</v>
      </c>
      <c r="L566" s="100"/>
      <c r="M566" s="100"/>
      <c r="N566" s="100"/>
      <c r="O566" s="100"/>
      <c r="P566" s="138">
        <v>600114</v>
      </c>
      <c r="Q566" s="138">
        <v>600114</v>
      </c>
      <c r="R566" s="100"/>
      <c r="S566" s="100"/>
      <c r="T566" s="100"/>
      <c r="U566" s="100"/>
      <c r="V566" s="97"/>
      <c r="W566" s="97"/>
      <c r="Y566" s="79"/>
      <c r="Z566" s="80"/>
      <c r="AA566" s="80"/>
      <c r="AD566" s="77"/>
      <c r="AE566" s="77"/>
      <c r="AF566" s="77"/>
    </row>
    <row r="567" spans="1:32" ht="19.95" hidden="1" customHeight="1" outlineLevel="1">
      <c r="A567" s="117">
        <v>3592</v>
      </c>
      <c r="B567" s="118" t="str">
        <f t="shared" si="466"/>
        <v>Midwestern</v>
      </c>
      <c r="C567" s="149"/>
      <c r="D567" s="97"/>
      <c r="E567" s="97"/>
      <c r="F567" s="138">
        <v>2242152</v>
      </c>
      <c r="G567" s="97"/>
      <c r="H567" s="97"/>
      <c r="I567" s="100">
        <f t="shared" si="464"/>
        <v>-226768</v>
      </c>
      <c r="J567" s="96">
        <f t="shared" si="465"/>
        <v>-0.1011385490368182</v>
      </c>
      <c r="L567" s="100"/>
      <c r="M567" s="100"/>
      <c r="N567" s="100"/>
      <c r="O567" s="100"/>
      <c r="P567" s="138">
        <v>1007692</v>
      </c>
      <c r="Q567" s="138">
        <v>1007692</v>
      </c>
      <c r="R567" s="100"/>
      <c r="S567" s="100"/>
      <c r="T567" s="100"/>
      <c r="U567" s="100"/>
      <c r="V567" s="97"/>
      <c r="W567" s="97"/>
      <c r="Y567" s="79"/>
      <c r="Z567" s="80"/>
      <c r="AA567" s="80"/>
      <c r="AD567" s="77"/>
      <c r="AE567" s="77"/>
      <c r="AF567" s="77"/>
    </row>
    <row r="568" spans="1:32" ht="19.95" hidden="1" customHeight="1" outlineLevel="1">
      <c r="A568" s="117">
        <v>3594</v>
      </c>
      <c r="B568" s="118" t="str">
        <f t="shared" si="466"/>
        <v>UNT</v>
      </c>
      <c r="C568" s="149"/>
      <c r="D568" s="97"/>
      <c r="E568" s="97"/>
      <c r="F568" s="138">
        <v>14992286</v>
      </c>
      <c r="G568" s="97"/>
      <c r="H568" s="97"/>
      <c r="I568" s="100">
        <f t="shared" si="464"/>
        <v>4260826</v>
      </c>
      <c r="J568" s="96">
        <f t="shared" si="465"/>
        <v>0.28420122188170638</v>
      </c>
      <c r="L568" s="100"/>
      <c r="M568" s="100"/>
      <c r="N568" s="100"/>
      <c r="O568" s="100"/>
      <c r="P568" s="138">
        <v>9626556</v>
      </c>
      <c r="Q568" s="138">
        <v>9626556</v>
      </c>
      <c r="R568" s="100"/>
      <c r="S568" s="100"/>
      <c r="T568" s="100"/>
      <c r="U568" s="100"/>
      <c r="V568" s="97"/>
      <c r="W568" s="97"/>
      <c r="Y568" s="79"/>
      <c r="Z568" s="80"/>
      <c r="AA568" s="80"/>
      <c r="AD568" s="77"/>
      <c r="AE568" s="77"/>
      <c r="AF568" s="77"/>
    </row>
    <row r="569" spans="1:32" ht="19.95" hidden="1" customHeight="1" outlineLevel="1">
      <c r="A569" s="117">
        <v>42421</v>
      </c>
      <c r="B569" s="118" t="str">
        <f t="shared" si="466"/>
        <v>UNT-Dallas</v>
      </c>
      <c r="C569" s="149"/>
      <c r="D569" s="97"/>
      <c r="E569" s="97"/>
      <c r="F569" s="138">
        <v>1324520</v>
      </c>
      <c r="G569" s="97"/>
      <c r="H569" s="97"/>
      <c r="I569" s="100">
        <f t="shared" si="464"/>
        <v>271648</v>
      </c>
      <c r="J569" s="96">
        <f t="shared" si="465"/>
        <v>0.20509165584513636</v>
      </c>
      <c r="L569" s="100"/>
      <c r="M569" s="100"/>
      <c r="N569" s="100"/>
      <c r="O569" s="100"/>
      <c r="P569" s="138">
        <v>798084</v>
      </c>
      <c r="Q569" s="138">
        <v>798084</v>
      </c>
      <c r="R569" s="100"/>
      <c r="S569" s="100"/>
      <c r="T569" s="100"/>
      <c r="U569" s="100"/>
      <c r="V569" s="97"/>
      <c r="W569" s="97"/>
      <c r="Y569" s="79"/>
      <c r="Z569" s="80"/>
      <c r="AA569" s="80"/>
      <c r="AD569" s="77"/>
      <c r="AE569" s="77"/>
      <c r="AF569" s="77"/>
    </row>
    <row r="570" spans="1:32" ht="19.95" hidden="1" customHeight="1" outlineLevel="1">
      <c r="A570" s="117">
        <v>3624</v>
      </c>
      <c r="B570" s="118" t="str">
        <f t="shared" si="466"/>
        <v>SFA</v>
      </c>
      <c r="C570" s="149"/>
      <c r="D570" s="97"/>
      <c r="E570" s="97"/>
      <c r="F570" s="138">
        <v>5493116</v>
      </c>
      <c r="G570" s="97"/>
      <c r="H570" s="97"/>
      <c r="I570" s="100">
        <f t="shared" si="464"/>
        <v>455820</v>
      </c>
      <c r="J570" s="96">
        <f t="shared" si="465"/>
        <v>8.2980224703064709E-2</v>
      </c>
      <c r="L570" s="100"/>
      <c r="M570" s="100"/>
      <c r="N570" s="100"/>
      <c r="O570" s="100"/>
      <c r="P570" s="138">
        <v>2974468</v>
      </c>
      <c r="Q570" s="138">
        <v>2974468</v>
      </c>
      <c r="R570" s="100"/>
      <c r="S570" s="100"/>
      <c r="T570" s="100"/>
      <c r="U570" s="100"/>
      <c r="V570" s="97"/>
      <c r="W570" s="97"/>
      <c r="Y570" s="79"/>
      <c r="Z570" s="80"/>
      <c r="AA570" s="80"/>
      <c r="AD570" s="77"/>
      <c r="AE570" s="77"/>
      <c r="AF570" s="77"/>
    </row>
    <row r="571" spans="1:32" ht="19.95" hidden="1" customHeight="1" outlineLevel="1">
      <c r="A571" s="117">
        <v>3642</v>
      </c>
      <c r="B571" s="118" t="str">
        <f t="shared" si="466"/>
        <v>TSU</v>
      </c>
      <c r="C571" s="149"/>
      <c r="D571" s="97"/>
      <c r="E571" s="97"/>
      <c r="F571" s="138">
        <v>5934438</v>
      </c>
      <c r="G571" s="97"/>
      <c r="H571" s="97"/>
      <c r="I571" s="100">
        <f t="shared" si="464"/>
        <v>-1188776</v>
      </c>
      <c r="J571" s="96">
        <f t="shared" si="465"/>
        <v>-0.20031821041857711</v>
      </c>
      <c r="L571" s="100"/>
      <c r="M571" s="100"/>
      <c r="N571" s="100"/>
      <c r="O571" s="100"/>
      <c r="P571" s="138">
        <v>2372831</v>
      </c>
      <c r="Q571" s="138">
        <v>2372831</v>
      </c>
      <c r="R571" s="100"/>
      <c r="S571" s="100"/>
      <c r="T571" s="100"/>
      <c r="U571" s="100"/>
      <c r="V571" s="97"/>
      <c r="W571" s="97"/>
      <c r="Y571" s="79"/>
      <c r="Z571" s="80"/>
      <c r="AA571" s="80"/>
      <c r="AD571" s="77"/>
      <c r="AE571" s="77"/>
      <c r="AF571" s="77"/>
    </row>
    <row r="572" spans="1:32" ht="19.95" hidden="1" customHeight="1" outlineLevel="1">
      <c r="A572" s="117">
        <v>3644</v>
      </c>
      <c r="B572" s="118" t="str">
        <f t="shared" si="466"/>
        <v>TTU</v>
      </c>
      <c r="C572" s="149"/>
      <c r="D572" s="97"/>
      <c r="E572" s="97"/>
      <c r="F572" s="138">
        <v>16251982</v>
      </c>
      <c r="G572" s="97"/>
      <c r="H572" s="97"/>
      <c r="I572" s="100">
        <f t="shared" si="464"/>
        <v>-461230</v>
      </c>
      <c r="J572" s="96">
        <f t="shared" si="465"/>
        <v>-2.8379923137990183E-2</v>
      </c>
      <c r="L572" s="100"/>
      <c r="M572" s="100"/>
      <c r="N572" s="100"/>
      <c r="O572" s="100"/>
      <c r="P572" s="138">
        <v>7895376</v>
      </c>
      <c r="Q572" s="138">
        <v>7895376</v>
      </c>
      <c r="R572" s="100"/>
      <c r="S572" s="100"/>
      <c r="T572" s="100"/>
      <c r="U572" s="100"/>
      <c r="V572" s="97"/>
      <c r="W572" s="97"/>
      <c r="Y572" s="79"/>
      <c r="Z572" s="80"/>
      <c r="AA572" s="80"/>
      <c r="AD572" s="77"/>
      <c r="AE572" s="77"/>
      <c r="AF572" s="77"/>
    </row>
    <row r="573" spans="1:32" ht="19.95" hidden="1" customHeight="1" outlineLevel="1">
      <c r="A573" s="117">
        <v>3541</v>
      </c>
      <c r="B573" s="118" t="str">
        <f t="shared" si="466"/>
        <v>Angelo</v>
      </c>
      <c r="C573" s="149"/>
      <c r="D573" s="97"/>
      <c r="E573" s="97"/>
      <c r="F573" s="138">
        <v>4318960</v>
      </c>
      <c r="G573" s="97"/>
      <c r="H573" s="97"/>
      <c r="I573" s="100">
        <f t="shared" si="464"/>
        <v>280154</v>
      </c>
      <c r="J573" s="96">
        <f t="shared" si="465"/>
        <v>6.4866078870839269E-2</v>
      </c>
      <c r="L573" s="100"/>
      <c r="M573" s="100"/>
      <c r="N573" s="100"/>
      <c r="O573" s="100"/>
      <c r="P573" s="138">
        <v>2299557</v>
      </c>
      <c r="Q573" s="138">
        <v>2299557</v>
      </c>
      <c r="R573" s="100"/>
      <c r="S573" s="100"/>
      <c r="T573" s="100"/>
      <c r="U573" s="100"/>
      <c r="V573" s="97"/>
      <c r="W573" s="97"/>
      <c r="Y573" s="79"/>
      <c r="Z573" s="80"/>
      <c r="AA573" s="80"/>
      <c r="AD573" s="77"/>
      <c r="AE573" s="77"/>
      <c r="AF573" s="77"/>
    </row>
    <row r="574" spans="1:32" ht="19.95" hidden="1" customHeight="1" outlineLevel="1">
      <c r="A574" s="117">
        <v>3646</v>
      </c>
      <c r="B574" s="118" t="str">
        <f t="shared" si="466"/>
        <v>TWU</v>
      </c>
      <c r="C574" s="149"/>
      <c r="D574" s="97"/>
      <c r="E574" s="97"/>
      <c r="F574" s="138">
        <v>5176848</v>
      </c>
      <c r="G574" s="97"/>
      <c r="H574" s="97"/>
      <c r="I574" s="100">
        <f t="shared" si="464"/>
        <v>-108950</v>
      </c>
      <c r="J574" s="96">
        <f t="shared" si="465"/>
        <v>-2.104562467354653E-2</v>
      </c>
      <c r="L574" s="100"/>
      <c r="M574" s="100"/>
      <c r="N574" s="100"/>
      <c r="O574" s="100"/>
      <c r="P574" s="138">
        <v>2533949</v>
      </c>
      <c r="Q574" s="138">
        <v>2533949</v>
      </c>
      <c r="R574" s="100"/>
      <c r="S574" s="100"/>
      <c r="T574" s="100"/>
      <c r="U574" s="100"/>
      <c r="V574" s="97"/>
      <c r="W574" s="97"/>
      <c r="Y574" s="79"/>
      <c r="Z574" s="80"/>
      <c r="AA574" s="80"/>
      <c r="AD574" s="77"/>
      <c r="AE574" s="77"/>
      <c r="AF574" s="77"/>
    </row>
    <row r="575" spans="1:32" ht="19.95" hidden="1" customHeight="1" outlineLevel="1">
      <c r="A575" s="117">
        <v>3581</v>
      </c>
      <c r="B575" s="118" t="str">
        <f t="shared" si="466"/>
        <v>Lamar</v>
      </c>
      <c r="C575" s="149"/>
      <c r="D575" s="97"/>
      <c r="E575" s="97"/>
      <c r="F575" s="138">
        <v>5513762</v>
      </c>
      <c r="G575" s="97"/>
      <c r="H575" s="97"/>
      <c r="I575" s="100">
        <f t="shared" si="464"/>
        <v>-725828</v>
      </c>
      <c r="J575" s="96">
        <f t="shared" si="465"/>
        <v>-0.13163934170535471</v>
      </c>
      <c r="L575" s="100"/>
      <c r="M575" s="100"/>
      <c r="N575" s="100"/>
      <c r="O575" s="100"/>
      <c r="P575" s="138">
        <v>2393967</v>
      </c>
      <c r="Q575" s="138">
        <v>2393967</v>
      </c>
      <c r="R575" s="100"/>
      <c r="S575" s="100"/>
      <c r="T575" s="100"/>
      <c r="U575" s="100"/>
      <c r="V575" s="97"/>
      <c r="W575" s="97"/>
      <c r="Y575" s="79"/>
      <c r="Z575" s="80"/>
      <c r="AA575" s="80"/>
      <c r="AD575" s="77"/>
      <c r="AE575" s="77"/>
      <c r="AF575" s="77"/>
    </row>
    <row r="576" spans="1:32" ht="19.95" hidden="1" customHeight="1" outlineLevel="1">
      <c r="A576" s="117">
        <v>3606</v>
      </c>
      <c r="B576" s="118" t="str">
        <f t="shared" si="466"/>
        <v>Sam Houston</v>
      </c>
      <c r="C576" s="149"/>
      <c r="D576" s="97"/>
      <c r="E576" s="97"/>
      <c r="F576" s="138">
        <v>8619982</v>
      </c>
      <c r="G576" s="97"/>
      <c r="H576" s="97"/>
      <c r="I576" s="100">
        <f t="shared" si="464"/>
        <v>300760</v>
      </c>
      <c r="J576" s="96">
        <f t="shared" si="465"/>
        <v>3.4891024134389145E-2</v>
      </c>
      <c r="L576" s="100"/>
      <c r="M576" s="100"/>
      <c r="N576" s="100"/>
      <c r="O576" s="100"/>
      <c r="P576" s="138">
        <v>4460371</v>
      </c>
      <c r="Q576" s="138">
        <v>4460371</v>
      </c>
      <c r="R576" s="100"/>
      <c r="S576" s="100"/>
      <c r="T576" s="100"/>
      <c r="U576" s="100"/>
      <c r="V576" s="97"/>
      <c r="W576" s="97"/>
      <c r="Y576" s="79"/>
      <c r="Z576" s="80"/>
      <c r="AA576" s="80"/>
      <c r="AD576" s="77"/>
      <c r="AE576" s="77"/>
      <c r="AF576" s="77"/>
    </row>
    <row r="577" spans="1:32" ht="19.95" hidden="1" customHeight="1" outlineLevel="1">
      <c r="A577" s="117">
        <v>3615</v>
      </c>
      <c r="B577" s="118" t="str">
        <f t="shared" si="466"/>
        <v>TXST</v>
      </c>
      <c r="C577" s="149"/>
      <c r="D577" s="97"/>
      <c r="E577" s="97"/>
      <c r="F577" s="138">
        <v>12926118</v>
      </c>
      <c r="G577" s="97"/>
      <c r="H577" s="97"/>
      <c r="I577" s="100">
        <f t="shared" si="464"/>
        <v>1185960</v>
      </c>
      <c r="J577" s="96">
        <f t="shared" si="465"/>
        <v>9.1749123750843056E-2</v>
      </c>
      <c r="L577" s="100"/>
      <c r="M577" s="100"/>
      <c r="N577" s="100"/>
      <c r="O577" s="100"/>
      <c r="P577" s="138">
        <v>7056039</v>
      </c>
      <c r="Q577" s="138">
        <v>7056039</v>
      </c>
      <c r="R577" s="100"/>
      <c r="S577" s="100"/>
      <c r="T577" s="100"/>
      <c r="U577" s="100"/>
      <c r="V577" s="97"/>
      <c r="W577" s="97"/>
      <c r="Y577" s="79"/>
      <c r="Z577" s="80"/>
      <c r="AA577" s="80"/>
      <c r="AD577" s="77"/>
      <c r="AE577" s="77"/>
      <c r="AF577" s="77"/>
    </row>
    <row r="578" spans="1:32" ht="19.95" hidden="1" customHeight="1" outlineLevel="1">
      <c r="A578" s="117">
        <v>3625</v>
      </c>
      <c r="B578" s="118" t="str">
        <f t="shared" si="466"/>
        <v>Sul Ross</v>
      </c>
      <c r="C578" s="149"/>
      <c r="D578" s="97"/>
      <c r="E578" s="97"/>
      <c r="F578" s="138">
        <v>561640</v>
      </c>
      <c r="G578" s="97"/>
      <c r="H578" s="97"/>
      <c r="I578" s="100">
        <f t="shared" si="464"/>
        <v>-11558</v>
      </c>
      <c r="J578" s="96">
        <f t="shared" si="465"/>
        <v>-2.0579018588419627E-2</v>
      </c>
      <c r="L578" s="100"/>
      <c r="M578" s="100"/>
      <c r="N578" s="100"/>
      <c r="O578" s="100"/>
      <c r="P578" s="138">
        <v>275041</v>
      </c>
      <c r="Q578" s="138">
        <v>275041</v>
      </c>
      <c r="R578" s="100"/>
      <c r="S578" s="100"/>
      <c r="T578" s="100"/>
      <c r="U578" s="100"/>
      <c r="V578" s="97"/>
      <c r="W578" s="97"/>
      <c r="Y578" s="79"/>
      <c r="Z578" s="80"/>
      <c r="AA578" s="80"/>
      <c r="AD578" s="77"/>
      <c r="AE578" s="77"/>
      <c r="AF578" s="77"/>
    </row>
    <row r="579" spans="1:32" ht="19.95" hidden="1" customHeight="1" outlineLevel="1" thickBot="1">
      <c r="A579" s="122">
        <v>20</v>
      </c>
      <c r="B579" s="123" t="str">
        <f t="shared" si="466"/>
        <v>Sul Ross-Rio Grande</v>
      </c>
      <c r="C579" s="150"/>
      <c r="D579" s="151"/>
      <c r="E579" s="151"/>
      <c r="F579" s="139">
        <v>116200</v>
      </c>
      <c r="G579" s="151"/>
      <c r="H579" s="151"/>
      <c r="I579" s="124">
        <f t="shared" si="464"/>
        <v>-25526</v>
      </c>
      <c r="J579" s="126">
        <f t="shared" si="465"/>
        <v>-0.21967297762478485</v>
      </c>
      <c r="L579" s="124"/>
      <c r="M579" s="124"/>
      <c r="N579" s="124"/>
      <c r="O579" s="124"/>
      <c r="P579" s="139">
        <v>45337</v>
      </c>
      <c r="Q579" s="139">
        <v>45337</v>
      </c>
      <c r="R579" s="124"/>
      <c r="S579" s="124"/>
      <c r="T579" s="124"/>
      <c r="U579" s="124"/>
      <c r="V579" s="97"/>
      <c r="W579" s="131"/>
      <c r="Y579" s="79"/>
      <c r="Z579" s="80"/>
      <c r="AA579" s="80"/>
      <c r="AD579" s="77"/>
      <c r="AE579" s="77"/>
      <c r="AF579" s="77"/>
    </row>
    <row r="580" spans="1:32" ht="19.95" hidden="1" customHeight="1" outlineLevel="1" thickBot="1">
      <c r="A580" s="105"/>
      <c r="B580" s="128" t="str">
        <f t="shared" si="466"/>
        <v>TOTAL</v>
      </c>
      <c r="C580" s="131"/>
      <c r="D580" s="131"/>
      <c r="E580" s="131"/>
      <c r="F580" s="131">
        <f>SUM(F543:F579)</f>
        <v>260485014</v>
      </c>
      <c r="G580" s="131"/>
      <c r="H580" s="131"/>
      <c r="I580" s="131">
        <f t="shared" si="464"/>
        <v>-15316336</v>
      </c>
      <c r="J580" s="130">
        <f t="shared" si="465"/>
        <v>-5.8799298143116976E-2</v>
      </c>
      <c r="L580" s="131"/>
      <c r="M580" s="131"/>
      <c r="N580" s="131"/>
      <c r="O580" s="131"/>
      <c r="P580" s="276">
        <f>SUM(P543:P579)</f>
        <v>122584339</v>
      </c>
      <c r="Q580" s="276">
        <f>SUM(Q543:Q579)</f>
        <v>122584339</v>
      </c>
      <c r="R580" s="131"/>
      <c r="S580" s="131"/>
      <c r="T580" s="131"/>
      <c r="U580" s="131"/>
      <c r="V580" s="131"/>
      <c r="W580" s="97"/>
      <c r="Y580" s="79"/>
      <c r="Z580" s="80"/>
      <c r="AA580" s="80"/>
      <c r="AD580" s="77"/>
      <c r="AE580" s="77"/>
      <c r="AF580" s="77"/>
    </row>
    <row r="581" spans="1:32" ht="19.95" hidden="1" customHeight="1" outlineLevel="1">
      <c r="A581" s="107">
        <v>9225</v>
      </c>
      <c r="B581" s="108" t="str">
        <f t="shared" si="466"/>
        <v>TSTC-Harlingen</v>
      </c>
      <c r="C581" s="153"/>
      <c r="D581" s="155"/>
      <c r="E581" s="155"/>
      <c r="F581" s="154">
        <v>418433.14071086078</v>
      </c>
      <c r="G581" s="155"/>
      <c r="H581" s="155"/>
      <c r="I581" s="133">
        <f t="shared" si="464"/>
        <v>66483.654400569852</v>
      </c>
      <c r="J581" s="112">
        <f t="shared" si="465"/>
        <v>0.15888716244517154</v>
      </c>
      <c r="L581" s="133"/>
      <c r="M581" s="133"/>
      <c r="N581" s="133"/>
      <c r="O581" s="133"/>
      <c r="P581" s="634">
        <v>242458.39755571532</v>
      </c>
      <c r="Q581" s="634">
        <v>242458.39755571532</v>
      </c>
      <c r="R581" s="133"/>
      <c r="S581" s="133"/>
      <c r="T581" s="133"/>
      <c r="U581" s="133"/>
      <c r="V581" s="97"/>
      <c r="W581" s="97"/>
      <c r="Y581" s="79"/>
      <c r="Z581" s="80"/>
      <c r="AA581" s="80"/>
      <c r="AD581" s="77"/>
      <c r="AE581" s="77"/>
      <c r="AF581" s="77"/>
    </row>
    <row r="582" spans="1:32" ht="19.95" hidden="1" customHeight="1" outlineLevel="1">
      <c r="A582" s="117">
        <v>9932</v>
      </c>
      <c r="B582" s="118" t="str">
        <f t="shared" si="466"/>
        <v>TSTC-West Tx</v>
      </c>
      <c r="C582" s="149"/>
      <c r="D582" s="97"/>
      <c r="E582" s="97"/>
      <c r="F582" s="138">
        <v>225172.65248546883</v>
      </c>
      <c r="G582" s="97"/>
      <c r="H582" s="97"/>
      <c r="I582" s="100">
        <f t="shared" si="464"/>
        <v>-4821.1844768419396</v>
      </c>
      <c r="J582" s="96">
        <f t="shared" si="465"/>
        <v>-2.1411056909555512E-2</v>
      </c>
      <c r="L582" s="100"/>
      <c r="M582" s="100"/>
      <c r="N582" s="100"/>
      <c r="O582" s="100"/>
      <c r="P582" s="138">
        <v>110175.73400431345</v>
      </c>
      <c r="Q582" s="138">
        <v>110175.73400431345</v>
      </c>
      <c r="R582" s="100"/>
      <c r="S582" s="100"/>
      <c r="T582" s="100"/>
      <c r="U582" s="100"/>
      <c r="V582" s="97"/>
      <c r="W582" s="97"/>
      <c r="Y582" s="79"/>
      <c r="Z582" s="80"/>
      <c r="AA582" s="80"/>
      <c r="AD582" s="77"/>
      <c r="AE582" s="77"/>
      <c r="AF582" s="77"/>
    </row>
    <row r="583" spans="1:32" ht="19.95" hidden="1" customHeight="1" outlineLevel="1">
      <c r="A583" s="117">
        <v>33965</v>
      </c>
      <c r="B583" s="118" t="str">
        <f t="shared" si="466"/>
        <v>TSTC-Marshall</v>
      </c>
      <c r="C583" s="149"/>
      <c r="D583" s="97"/>
      <c r="E583" s="97"/>
      <c r="F583" s="138">
        <v>85930</v>
      </c>
      <c r="G583" s="97"/>
      <c r="H583" s="97"/>
      <c r="I583" s="100">
        <f t="shared" si="464"/>
        <v>12105.767074047442</v>
      </c>
      <c r="J583" s="96">
        <f t="shared" si="465"/>
        <v>0.14087940270042409</v>
      </c>
      <c r="L583" s="100"/>
      <c r="M583" s="100"/>
      <c r="N583" s="100"/>
      <c r="O583" s="100"/>
      <c r="P583" s="138">
        <v>49017.883537023721</v>
      </c>
      <c r="Q583" s="138">
        <v>49017.883537023721</v>
      </c>
      <c r="R583" s="100"/>
      <c r="S583" s="100"/>
      <c r="T583" s="100"/>
      <c r="U583" s="100"/>
      <c r="V583" s="97"/>
      <c r="W583" s="97"/>
      <c r="Y583" s="79"/>
      <c r="Z583" s="80"/>
      <c r="AA583" s="80"/>
      <c r="AD583" s="77"/>
      <c r="AE583" s="77"/>
      <c r="AF583" s="77"/>
    </row>
    <row r="584" spans="1:32" ht="19.95" hidden="1" customHeight="1" outlineLevel="1">
      <c r="A584" s="117">
        <v>3634</v>
      </c>
      <c r="B584" s="118" t="str">
        <f t="shared" si="466"/>
        <v>TSTC-Waco</v>
      </c>
      <c r="C584" s="149"/>
      <c r="D584" s="97"/>
      <c r="E584" s="97"/>
      <c r="F584" s="138">
        <v>582218</v>
      </c>
      <c r="G584" s="97"/>
      <c r="H584" s="97"/>
      <c r="I584" s="100">
        <f t="shared" si="464"/>
        <v>48344.42703091295</v>
      </c>
      <c r="J584" s="96">
        <f t="shared" si="465"/>
        <v>8.3034923397959093E-2</v>
      </c>
      <c r="L584" s="100"/>
      <c r="M584" s="100"/>
      <c r="N584" s="100"/>
      <c r="O584" s="100"/>
      <c r="P584" s="138">
        <v>315281.21351545647</v>
      </c>
      <c r="Q584" s="138">
        <v>315281.21351545647</v>
      </c>
      <c r="R584" s="100"/>
      <c r="S584" s="100"/>
      <c r="T584" s="100"/>
      <c r="U584" s="100"/>
      <c r="V584" s="97"/>
      <c r="W584" s="97"/>
      <c r="Y584" s="79"/>
      <c r="Z584" s="80"/>
      <c r="AA584" s="80"/>
      <c r="AD584" s="77"/>
      <c r="AE584" s="77"/>
      <c r="AF584" s="77"/>
    </row>
    <row r="585" spans="1:32" ht="19.95" hidden="1" customHeight="1" outlineLevel="1">
      <c r="A585" s="117">
        <v>203634</v>
      </c>
      <c r="B585" s="118" t="str">
        <f t="shared" si="466"/>
        <v>TSTC-Fort Bend</v>
      </c>
      <c r="C585" s="149"/>
      <c r="D585" s="97"/>
      <c r="E585" s="97"/>
      <c r="F585" s="138">
        <v>56664</v>
      </c>
      <c r="G585" s="97"/>
      <c r="H585" s="97"/>
      <c r="I585" s="100">
        <f t="shared" si="464"/>
        <v>1174</v>
      </c>
      <c r="J585" s="96">
        <f t="shared" si="465"/>
        <v>2.0718622052802484E-2</v>
      </c>
      <c r="L585" s="100"/>
      <c r="M585" s="100"/>
      <c r="N585" s="100"/>
      <c r="O585" s="100"/>
      <c r="P585" s="138">
        <v>28919</v>
      </c>
      <c r="Q585" s="138">
        <v>28919</v>
      </c>
      <c r="R585" s="100"/>
      <c r="S585" s="100"/>
      <c r="T585" s="100"/>
      <c r="U585" s="100"/>
      <c r="V585" s="97"/>
      <c r="W585" s="97"/>
      <c r="Y585" s="79"/>
      <c r="Z585" s="80"/>
      <c r="AA585" s="80"/>
      <c r="AD585" s="77"/>
      <c r="AE585" s="77"/>
      <c r="AF585" s="77"/>
    </row>
    <row r="586" spans="1:32" ht="19.95" hidden="1" customHeight="1" outlineLevel="1">
      <c r="A586" s="117">
        <v>133965</v>
      </c>
      <c r="B586" s="118" t="str">
        <f t="shared" si="466"/>
        <v>TSTC-North Texas</v>
      </c>
      <c r="C586" s="149"/>
      <c r="D586" s="97"/>
      <c r="E586" s="97"/>
      <c r="F586" s="138">
        <v>31340</v>
      </c>
      <c r="G586" s="97"/>
      <c r="H586" s="97"/>
      <c r="I586" s="100">
        <f t="shared" si="464"/>
        <v>9464</v>
      </c>
      <c r="J586" s="96">
        <f t="shared" si="465"/>
        <v>0.30197830248883217</v>
      </c>
      <c r="L586" s="100"/>
      <c r="M586" s="100"/>
      <c r="N586" s="100"/>
      <c r="O586" s="100"/>
      <c r="P586" s="138">
        <v>20402</v>
      </c>
      <c r="Q586" s="138">
        <v>20402</v>
      </c>
      <c r="R586" s="100"/>
      <c r="S586" s="100"/>
      <c r="T586" s="100"/>
      <c r="U586" s="100"/>
      <c r="V586" s="97"/>
      <c r="W586" s="97"/>
      <c r="Y586" s="79"/>
      <c r="Z586" s="80"/>
      <c r="AA586" s="80"/>
      <c r="AD586" s="77"/>
      <c r="AE586" s="77"/>
      <c r="AF586" s="77"/>
    </row>
    <row r="587" spans="1:32" ht="19.95" hidden="1" customHeight="1" outlineLevel="1">
      <c r="A587" s="117">
        <v>36273</v>
      </c>
      <c r="B587" s="118" t="str">
        <f t="shared" si="466"/>
        <v>Lamar-IOT</v>
      </c>
      <c r="C587" s="149"/>
      <c r="D587" s="97"/>
      <c r="E587" s="97"/>
      <c r="F587" s="138">
        <v>481862</v>
      </c>
      <c r="G587" s="97"/>
      <c r="H587" s="97"/>
      <c r="I587" s="100">
        <f>(P587+Q587)-F587</f>
        <v>17680</v>
      </c>
      <c r="J587" s="96">
        <f>IF(OR(I587=0,F587=0),0,I587/F587)</f>
        <v>3.6691002818234265E-2</v>
      </c>
      <c r="L587" s="100"/>
      <c r="M587" s="100"/>
      <c r="N587" s="100"/>
      <c r="O587" s="100"/>
      <c r="P587" s="138">
        <v>249771</v>
      </c>
      <c r="Q587" s="138">
        <v>249771</v>
      </c>
      <c r="R587" s="100"/>
      <c r="S587" s="100"/>
      <c r="T587" s="100"/>
      <c r="U587" s="100"/>
      <c r="V587" s="97"/>
      <c r="W587" s="97"/>
      <c r="Y587" s="79"/>
      <c r="Z587" s="80"/>
      <c r="AA587" s="80"/>
      <c r="AD587" s="77"/>
      <c r="AE587" s="77"/>
      <c r="AF587" s="77"/>
    </row>
    <row r="588" spans="1:32" ht="19.95" hidden="1" customHeight="1" outlineLevel="1">
      <c r="A588" s="117">
        <v>23582</v>
      </c>
      <c r="B588" s="118" t="str">
        <f t="shared" si="466"/>
        <v>Lamar-Orange</v>
      </c>
      <c r="C588" s="149"/>
      <c r="D588" s="97"/>
      <c r="E588" s="97"/>
      <c r="F588" s="138">
        <v>471410</v>
      </c>
      <c r="G588" s="97"/>
      <c r="H588" s="97"/>
      <c r="I588" s="100">
        <f t="shared" si="464"/>
        <v>-51542</v>
      </c>
      <c r="J588" s="96">
        <f t="shared" si="465"/>
        <v>-0.10933582232027322</v>
      </c>
      <c r="L588" s="100"/>
      <c r="M588" s="100"/>
      <c r="N588" s="100"/>
      <c r="O588" s="100"/>
      <c r="P588" s="138">
        <v>209934</v>
      </c>
      <c r="Q588" s="138">
        <v>209934</v>
      </c>
      <c r="R588" s="100"/>
      <c r="S588" s="100"/>
      <c r="T588" s="100"/>
      <c r="U588" s="100"/>
      <c r="V588" s="97"/>
      <c r="W588" s="97"/>
      <c r="Y588" s="79"/>
      <c r="Z588" s="80"/>
      <c r="AA588" s="80"/>
      <c r="AD588" s="77"/>
      <c r="AE588" s="77"/>
      <c r="AF588" s="77"/>
    </row>
    <row r="589" spans="1:32" ht="19.95" hidden="1" customHeight="1" outlineLevel="1" thickBot="1">
      <c r="A589" s="122">
        <v>23485</v>
      </c>
      <c r="B589" s="123" t="str">
        <f t="shared" si="466"/>
        <v>Lamar-Port Arthur</v>
      </c>
      <c r="C589" s="150"/>
      <c r="D589" s="151"/>
      <c r="E589" s="151"/>
      <c r="F589" s="139">
        <v>615684</v>
      </c>
      <c r="G589" s="151"/>
      <c r="H589" s="151"/>
      <c r="I589" s="124">
        <f t="shared" si="464"/>
        <v>-102886</v>
      </c>
      <c r="J589" s="126">
        <f t="shared" si="465"/>
        <v>-0.16710845173822936</v>
      </c>
      <c r="L589" s="124"/>
      <c r="M589" s="124"/>
      <c r="N589" s="124"/>
      <c r="O589" s="124"/>
      <c r="P589" s="139">
        <v>256399</v>
      </c>
      <c r="Q589" s="139">
        <v>256399</v>
      </c>
      <c r="R589" s="124"/>
      <c r="S589" s="124"/>
      <c r="T589" s="124"/>
      <c r="U589" s="124"/>
      <c r="V589" s="97"/>
      <c r="W589" s="131"/>
      <c r="Y589" s="79"/>
      <c r="Z589" s="80"/>
      <c r="AA589" s="80"/>
      <c r="AD589" s="77"/>
      <c r="AE589" s="77"/>
      <c r="AF589" s="77"/>
    </row>
    <row r="590" spans="1:32" ht="19.95" hidden="1" customHeight="1" outlineLevel="1">
      <c r="A590" s="105"/>
      <c r="B590" s="128" t="str">
        <f t="shared" si="466"/>
        <v>TOTAL</v>
      </c>
      <c r="C590" s="131"/>
      <c r="D590" s="131"/>
      <c r="E590" s="131"/>
      <c r="F590" s="131">
        <f>SUM(F581:F589)</f>
        <v>2968713.7931963298</v>
      </c>
      <c r="G590" s="131"/>
      <c r="H590" s="131"/>
      <c r="I590" s="131">
        <f t="shared" si="464"/>
        <v>-3997.3359713116661</v>
      </c>
      <c r="J590" s="130">
        <f t="shared" si="465"/>
        <v>-1.346487485749796E-3</v>
      </c>
      <c r="L590" s="131"/>
      <c r="M590" s="131"/>
      <c r="N590" s="131"/>
      <c r="O590" s="131"/>
      <c r="P590" s="276">
        <f>SUM(P581:P589)</f>
        <v>1482358.2286125091</v>
      </c>
      <c r="Q590" s="276">
        <f>SUM(Q581:Q589)</f>
        <v>1482358.2286125091</v>
      </c>
      <c r="R590" s="131"/>
      <c r="S590" s="131"/>
      <c r="T590" s="131"/>
      <c r="U590" s="131"/>
      <c r="V590" s="131"/>
      <c r="Y590" s="79"/>
      <c r="Z590" s="80"/>
      <c r="AA590" s="80"/>
      <c r="AD590" s="77"/>
      <c r="AE590" s="77"/>
      <c r="AF590" s="77"/>
    </row>
    <row r="591" spans="1:32" ht="19.95" customHeight="1" collapsed="1">
      <c r="W591" s="106"/>
      <c r="Y591" s="79"/>
      <c r="Z591" s="80"/>
      <c r="AA591" s="80"/>
      <c r="AD591" s="77"/>
      <c r="AE591" s="77"/>
      <c r="AF591" s="77"/>
    </row>
    <row r="592" spans="1:32" s="91" customFormat="1" ht="19.95" customHeight="1" thickBot="1">
      <c r="A592" s="669" t="str">
        <f>L592</f>
        <v>General Revenue Dedicated - Organized Activities</v>
      </c>
      <c r="B592" s="670"/>
      <c r="C592" s="670"/>
      <c r="D592" s="670"/>
      <c r="E592" s="670"/>
      <c r="F592" s="670"/>
      <c r="G592" s="670"/>
      <c r="H592" s="670"/>
      <c r="I592" s="670"/>
      <c r="J592" s="670"/>
      <c r="L592" s="673" t="s">
        <v>192</v>
      </c>
      <c r="M592" s="673"/>
      <c r="N592" s="673"/>
      <c r="O592" s="673"/>
      <c r="P592" s="673"/>
      <c r="Q592" s="673"/>
      <c r="R592" s="673"/>
      <c r="S592" s="673"/>
      <c r="T592" s="673" t="s">
        <v>161</v>
      </c>
      <c r="U592" s="673"/>
      <c r="V592" s="106"/>
      <c r="W592" s="114"/>
      <c r="Z592" s="94"/>
      <c r="AA592" s="94"/>
    </row>
    <row r="593" spans="1:32" ht="19.95" hidden="1" customHeight="1" outlineLevel="1">
      <c r="A593" s="107">
        <v>3656</v>
      </c>
      <c r="B593" s="108" t="str">
        <f>B25</f>
        <v>UT-Arlington</v>
      </c>
      <c r="C593" s="147"/>
      <c r="D593" s="148"/>
      <c r="E593" s="148"/>
      <c r="F593" s="137">
        <v>0</v>
      </c>
      <c r="G593" s="148"/>
      <c r="H593" s="148"/>
      <c r="I593" s="111">
        <f t="shared" ref="I593:I640" si="467">(P593+Q593)-F593</f>
        <v>0</v>
      </c>
      <c r="J593" s="112">
        <f t="shared" ref="J593:J640" si="468">IF(OR(I593=0,F593=0),0,I593/F593)</f>
        <v>0</v>
      </c>
      <c r="L593" s="111"/>
      <c r="M593" s="111"/>
      <c r="N593" s="111"/>
      <c r="O593" s="111"/>
      <c r="P593" s="634">
        <v>0</v>
      </c>
      <c r="Q593" s="634">
        <v>0</v>
      </c>
      <c r="R593" s="111"/>
      <c r="S593" s="111"/>
      <c r="T593" s="111"/>
      <c r="U593" s="111"/>
      <c r="V593" s="114"/>
      <c r="W593" s="97"/>
      <c r="Y593" s="79"/>
      <c r="Z593" s="80"/>
      <c r="AA593" s="80"/>
      <c r="AD593" s="77"/>
      <c r="AE593" s="77"/>
      <c r="AF593" s="77"/>
    </row>
    <row r="594" spans="1:32" ht="19.95" hidden="1" customHeight="1" outlineLevel="1">
      <c r="A594" s="117">
        <v>3658</v>
      </c>
      <c r="B594" s="118" t="str">
        <f>B26</f>
        <v>UT-Austin</v>
      </c>
      <c r="C594" s="149"/>
      <c r="D594" s="97"/>
      <c r="E594" s="97"/>
      <c r="F594" s="138">
        <v>0</v>
      </c>
      <c r="G594" s="97"/>
      <c r="H594" s="97"/>
      <c r="I594" s="100">
        <f t="shared" si="467"/>
        <v>0</v>
      </c>
      <c r="J594" s="96">
        <f t="shared" si="468"/>
        <v>0</v>
      </c>
      <c r="L594" s="100"/>
      <c r="M594" s="100"/>
      <c r="N594" s="100"/>
      <c r="O594" s="100"/>
      <c r="P594" s="635">
        <v>0</v>
      </c>
      <c r="Q594" s="635">
        <v>0</v>
      </c>
      <c r="R594" s="100"/>
      <c r="S594" s="100"/>
      <c r="T594" s="100"/>
      <c r="U594" s="100"/>
      <c r="V594" s="97"/>
      <c r="W594" s="97"/>
      <c r="Y594" s="79"/>
      <c r="Z594" s="80"/>
      <c r="AA594" s="80"/>
      <c r="AD594" s="77"/>
      <c r="AE594" s="77"/>
      <c r="AF594" s="77"/>
    </row>
    <row r="595" spans="1:32" ht="19.95" hidden="1" customHeight="1" outlineLevel="1">
      <c r="A595" s="117">
        <v>9741</v>
      </c>
      <c r="B595" s="118" t="str">
        <f>B27</f>
        <v>UT-Dallas</v>
      </c>
      <c r="C595" s="149"/>
      <c r="D595" s="97"/>
      <c r="E595" s="97"/>
      <c r="F595" s="138">
        <v>14867884</v>
      </c>
      <c r="G595" s="97"/>
      <c r="H595" s="97"/>
      <c r="I595" s="100">
        <f t="shared" si="467"/>
        <v>1438276</v>
      </c>
      <c r="J595" s="96">
        <f t="shared" si="468"/>
        <v>9.673710125798668E-2</v>
      </c>
      <c r="L595" s="100"/>
      <c r="M595" s="100"/>
      <c r="N595" s="100"/>
      <c r="O595" s="100"/>
      <c r="P595" s="635">
        <v>8153080</v>
      </c>
      <c r="Q595" s="635">
        <v>8153080</v>
      </c>
      <c r="R595" s="100"/>
      <c r="S595" s="100"/>
      <c r="T595" s="100"/>
      <c r="U595" s="100"/>
      <c r="V595" s="97"/>
      <c r="W595" s="97"/>
      <c r="Y595" s="79"/>
      <c r="Z595" s="80"/>
      <c r="AA595" s="80"/>
      <c r="AD595" s="77"/>
      <c r="AE595" s="77"/>
      <c r="AF595" s="77"/>
    </row>
    <row r="596" spans="1:32" ht="19.95" hidden="1" customHeight="1" outlineLevel="1">
      <c r="A596" s="117">
        <v>3661</v>
      </c>
      <c r="B596" s="118" t="str">
        <f>B28</f>
        <v>UT-El Paso</v>
      </c>
      <c r="C596" s="149"/>
      <c r="D596" s="97"/>
      <c r="E596" s="97"/>
      <c r="F596" s="138">
        <v>0</v>
      </c>
      <c r="G596" s="97"/>
      <c r="H596" s="97"/>
      <c r="I596" s="100">
        <f t="shared" si="467"/>
        <v>0</v>
      </c>
      <c r="J596" s="96">
        <f t="shared" si="468"/>
        <v>0</v>
      </c>
      <c r="L596" s="100"/>
      <c r="M596" s="100"/>
      <c r="N596" s="100"/>
      <c r="O596" s="100"/>
      <c r="P596" s="635">
        <v>0</v>
      </c>
      <c r="Q596" s="635">
        <v>0</v>
      </c>
      <c r="R596" s="100"/>
      <c r="S596" s="100"/>
      <c r="T596" s="100"/>
      <c r="U596" s="100"/>
      <c r="V596" s="97"/>
      <c r="W596" s="97"/>
      <c r="Y596" s="79"/>
      <c r="Z596" s="80"/>
      <c r="AA596" s="80"/>
      <c r="AD596" s="77"/>
      <c r="AE596" s="77"/>
      <c r="AF596" s="77"/>
    </row>
    <row r="597" spans="1:32" ht="19.95" hidden="1" customHeight="1" outlineLevel="1">
      <c r="A597" s="117">
        <v>3599</v>
      </c>
      <c r="B597" s="118" t="s">
        <v>213</v>
      </c>
      <c r="C597" s="149"/>
      <c r="D597" s="97"/>
      <c r="E597" s="97"/>
      <c r="F597" s="138">
        <v>0</v>
      </c>
      <c r="G597" s="97"/>
      <c r="H597" s="97"/>
      <c r="I597" s="100">
        <f t="shared" si="467"/>
        <v>0</v>
      </c>
      <c r="J597" s="96">
        <f t="shared" si="468"/>
        <v>0</v>
      </c>
      <c r="L597" s="100"/>
      <c r="M597" s="100"/>
      <c r="N597" s="100"/>
      <c r="O597" s="100"/>
      <c r="P597" s="635">
        <v>0</v>
      </c>
      <c r="Q597" s="635">
        <v>0</v>
      </c>
      <c r="R597" s="100"/>
      <c r="S597" s="100"/>
      <c r="T597" s="100"/>
      <c r="U597" s="100"/>
      <c r="V597" s="97"/>
      <c r="W597" s="97"/>
      <c r="Y597" s="79"/>
      <c r="Z597" s="80"/>
      <c r="AA597" s="80"/>
      <c r="AD597" s="77"/>
      <c r="AE597" s="77"/>
      <c r="AF597" s="77"/>
    </row>
    <row r="598" spans="1:32" ht="19.95" hidden="1" customHeight="1" outlineLevel="1">
      <c r="A598" s="117">
        <v>9930</v>
      </c>
      <c r="B598" s="118" t="str">
        <f t="shared" ref="B598:B640" si="469">B30</f>
        <v>UT-Permian Basin</v>
      </c>
      <c r="C598" s="149"/>
      <c r="D598" s="97"/>
      <c r="E598" s="97"/>
      <c r="F598" s="138">
        <v>0</v>
      </c>
      <c r="G598" s="97"/>
      <c r="H598" s="97"/>
      <c r="I598" s="100">
        <f t="shared" si="467"/>
        <v>0</v>
      </c>
      <c r="J598" s="96">
        <f t="shared" si="468"/>
        <v>0</v>
      </c>
      <c r="L598" s="100"/>
      <c r="M598" s="100"/>
      <c r="N598" s="100"/>
      <c r="O598" s="100"/>
      <c r="P598" s="635">
        <v>0</v>
      </c>
      <c r="Q598" s="635">
        <v>0</v>
      </c>
      <c r="R598" s="100"/>
      <c r="S598" s="100"/>
      <c r="T598" s="100"/>
      <c r="U598" s="100"/>
      <c r="V598" s="97"/>
      <c r="W598" s="97"/>
      <c r="Y598" s="79"/>
      <c r="Z598" s="80"/>
      <c r="AA598" s="80"/>
      <c r="AD598" s="77"/>
      <c r="AE598" s="77"/>
      <c r="AF598" s="77"/>
    </row>
    <row r="599" spans="1:32" ht="19.95" hidden="1" customHeight="1" outlineLevel="1">
      <c r="A599" s="117">
        <v>10115</v>
      </c>
      <c r="B599" s="118" t="str">
        <f t="shared" si="469"/>
        <v>UT-San Antonio</v>
      </c>
      <c r="C599" s="149"/>
      <c r="D599" s="97"/>
      <c r="E599" s="97"/>
      <c r="F599" s="138">
        <v>0</v>
      </c>
      <c r="G599" s="97"/>
      <c r="H599" s="97"/>
      <c r="I599" s="100">
        <f t="shared" si="467"/>
        <v>0</v>
      </c>
      <c r="J599" s="96">
        <f t="shared" si="468"/>
        <v>0</v>
      </c>
      <c r="L599" s="100"/>
      <c r="M599" s="100"/>
      <c r="N599" s="100"/>
      <c r="O599" s="100"/>
      <c r="P599" s="635">
        <v>0</v>
      </c>
      <c r="Q599" s="635">
        <v>0</v>
      </c>
      <c r="R599" s="100"/>
      <c r="S599" s="100"/>
      <c r="T599" s="100"/>
      <c r="U599" s="100"/>
      <c r="V599" s="97"/>
      <c r="W599" s="97"/>
      <c r="Y599" s="79"/>
      <c r="Z599" s="80"/>
      <c r="AA599" s="80"/>
      <c r="AD599" s="77"/>
      <c r="AE599" s="77"/>
      <c r="AF599" s="77"/>
    </row>
    <row r="600" spans="1:32" ht="19.95" hidden="1" customHeight="1" outlineLevel="1">
      <c r="A600" s="117">
        <v>11163</v>
      </c>
      <c r="B600" s="118" t="str">
        <f t="shared" si="469"/>
        <v>UT-Tyler</v>
      </c>
      <c r="C600" s="149"/>
      <c r="D600" s="97"/>
      <c r="E600" s="97"/>
      <c r="F600" s="138">
        <v>0</v>
      </c>
      <c r="G600" s="97"/>
      <c r="H600" s="97"/>
      <c r="I600" s="100">
        <f t="shared" si="467"/>
        <v>0</v>
      </c>
      <c r="J600" s="96">
        <f t="shared" si="468"/>
        <v>0</v>
      </c>
      <c r="L600" s="100"/>
      <c r="M600" s="100"/>
      <c r="N600" s="100"/>
      <c r="O600" s="100"/>
      <c r="P600" s="635">
        <v>0</v>
      </c>
      <c r="Q600" s="635">
        <v>0</v>
      </c>
      <c r="R600" s="100"/>
      <c r="S600" s="100"/>
      <c r="T600" s="100"/>
      <c r="U600" s="100"/>
      <c r="V600" s="97"/>
      <c r="W600" s="97"/>
      <c r="Y600" s="79"/>
      <c r="Z600" s="80"/>
      <c r="AA600" s="80"/>
      <c r="AD600" s="77"/>
      <c r="AE600" s="77"/>
      <c r="AF600" s="77"/>
    </row>
    <row r="601" spans="1:32" ht="19.95" hidden="1" customHeight="1" outlineLevel="1">
      <c r="A601" s="117">
        <v>3632</v>
      </c>
      <c r="B601" s="121" t="str">
        <f t="shared" si="469"/>
        <v>TAMU</v>
      </c>
      <c r="C601" s="149"/>
      <c r="D601" s="97"/>
      <c r="E601" s="97"/>
      <c r="F601" s="138">
        <v>44000000</v>
      </c>
      <c r="G601" s="97"/>
      <c r="H601" s="97"/>
      <c r="I601" s="100">
        <f t="shared" si="467"/>
        <v>5343464</v>
      </c>
      <c r="J601" s="96">
        <f t="shared" si="468"/>
        <v>0.12144236363636364</v>
      </c>
      <c r="L601" s="100"/>
      <c r="M601" s="100"/>
      <c r="N601" s="100"/>
      <c r="O601" s="100"/>
      <c r="P601" s="635">
        <v>24671732</v>
      </c>
      <c r="Q601" s="635">
        <v>24671732</v>
      </c>
      <c r="R601" s="100"/>
      <c r="S601" s="100"/>
      <c r="T601" s="100"/>
      <c r="U601" s="100"/>
      <c r="V601" s="97"/>
      <c r="W601" s="97"/>
      <c r="Y601" s="79"/>
      <c r="Z601" s="80"/>
      <c r="AA601" s="80"/>
      <c r="AD601" s="77"/>
      <c r="AE601" s="77"/>
      <c r="AF601" s="77"/>
    </row>
    <row r="602" spans="1:32" ht="19.95" hidden="1" customHeight="1" outlineLevel="1">
      <c r="A602" s="117">
        <v>10298</v>
      </c>
      <c r="B602" s="118" t="str">
        <f t="shared" si="469"/>
        <v>TAMU-Galveston</v>
      </c>
      <c r="C602" s="149"/>
      <c r="D602" s="97"/>
      <c r="E602" s="97"/>
      <c r="F602" s="138">
        <v>0</v>
      </c>
      <c r="G602" s="97"/>
      <c r="H602" s="97"/>
      <c r="I602" s="100">
        <f t="shared" si="467"/>
        <v>0</v>
      </c>
      <c r="J602" s="96">
        <f t="shared" si="468"/>
        <v>0</v>
      </c>
      <c r="L602" s="100"/>
      <c r="M602" s="100"/>
      <c r="N602" s="100"/>
      <c r="O602" s="100"/>
      <c r="P602" s="635">
        <v>0</v>
      </c>
      <c r="Q602" s="635">
        <v>0</v>
      </c>
      <c r="R602" s="100"/>
      <c r="S602" s="100"/>
      <c r="T602" s="100"/>
      <c r="U602" s="100"/>
      <c r="V602" s="97"/>
      <c r="W602" s="97"/>
      <c r="Y602" s="79"/>
      <c r="Z602" s="80"/>
      <c r="AA602" s="80"/>
      <c r="AD602" s="77"/>
      <c r="AE602" s="77"/>
      <c r="AF602" s="77"/>
    </row>
    <row r="603" spans="1:32" ht="19.95" hidden="1" customHeight="1" outlineLevel="1">
      <c r="A603" s="117">
        <v>3630</v>
      </c>
      <c r="B603" s="118" t="str">
        <f t="shared" si="469"/>
        <v>Prairie View</v>
      </c>
      <c r="C603" s="149"/>
      <c r="D603" s="97"/>
      <c r="E603" s="97"/>
      <c r="F603" s="138">
        <v>0</v>
      </c>
      <c r="G603" s="97"/>
      <c r="H603" s="97"/>
      <c r="I603" s="100">
        <f t="shared" si="467"/>
        <v>0</v>
      </c>
      <c r="J603" s="96">
        <f t="shared" si="468"/>
        <v>0</v>
      </c>
      <c r="L603" s="100"/>
      <c r="M603" s="100"/>
      <c r="N603" s="100"/>
      <c r="O603" s="100"/>
      <c r="P603" s="635">
        <v>0</v>
      </c>
      <c r="Q603" s="635">
        <v>0</v>
      </c>
      <c r="R603" s="100"/>
      <c r="S603" s="100"/>
      <c r="T603" s="100"/>
      <c r="U603" s="100"/>
      <c r="V603" s="97"/>
      <c r="W603" s="97"/>
      <c r="Y603" s="79"/>
      <c r="Z603" s="80"/>
      <c r="AA603" s="80"/>
      <c r="AD603" s="77"/>
      <c r="AE603" s="77"/>
      <c r="AF603" s="77"/>
    </row>
    <row r="604" spans="1:32" ht="19.95" hidden="1" customHeight="1" outlineLevel="1">
      <c r="A604" s="117">
        <v>3631</v>
      </c>
      <c r="B604" s="118" t="str">
        <f t="shared" si="469"/>
        <v>Tarleton</v>
      </c>
      <c r="C604" s="149"/>
      <c r="D604" s="97"/>
      <c r="E604" s="97"/>
      <c r="F604" s="138">
        <v>317130</v>
      </c>
      <c r="G604" s="97"/>
      <c r="H604" s="97"/>
      <c r="I604" s="100">
        <f t="shared" si="467"/>
        <v>202134</v>
      </c>
      <c r="J604" s="96">
        <f t="shared" si="468"/>
        <v>0.63738529940402988</v>
      </c>
      <c r="L604" s="100"/>
      <c r="M604" s="100"/>
      <c r="N604" s="100"/>
      <c r="O604" s="100"/>
      <c r="P604" s="635">
        <v>259632</v>
      </c>
      <c r="Q604" s="635">
        <v>259632</v>
      </c>
      <c r="R604" s="100"/>
      <c r="S604" s="100"/>
      <c r="T604" s="100"/>
      <c r="U604" s="100"/>
      <c r="V604" s="97"/>
      <c r="W604" s="97"/>
      <c r="Y604" s="79"/>
      <c r="Z604" s="80"/>
      <c r="AA604" s="80"/>
      <c r="AD604" s="77"/>
      <c r="AE604" s="77"/>
      <c r="AF604" s="77"/>
    </row>
    <row r="605" spans="1:32" ht="19.95" hidden="1" customHeight="1" outlineLevel="1">
      <c r="A605" s="117">
        <v>42295</v>
      </c>
      <c r="B605" s="118" t="str">
        <f t="shared" si="469"/>
        <v>TAMU-Central</v>
      </c>
      <c r="C605" s="149"/>
      <c r="D605" s="97"/>
      <c r="E605" s="97"/>
      <c r="F605" s="138">
        <v>0</v>
      </c>
      <c r="G605" s="97"/>
      <c r="H605" s="97"/>
      <c r="I605" s="100">
        <f t="shared" si="467"/>
        <v>0</v>
      </c>
      <c r="J605" s="96">
        <f t="shared" si="468"/>
        <v>0</v>
      </c>
      <c r="L605" s="100"/>
      <c r="M605" s="100"/>
      <c r="N605" s="100"/>
      <c r="O605" s="100"/>
      <c r="P605" s="635">
        <v>0</v>
      </c>
      <c r="Q605" s="635">
        <v>0</v>
      </c>
      <c r="R605" s="100"/>
      <c r="S605" s="100"/>
      <c r="T605" s="100"/>
      <c r="U605" s="100"/>
      <c r="V605" s="97"/>
      <c r="W605" s="97"/>
      <c r="Y605" s="79"/>
      <c r="Z605" s="80"/>
      <c r="AA605" s="80"/>
      <c r="AD605" s="77"/>
      <c r="AE605" s="77"/>
      <c r="AF605" s="77"/>
    </row>
    <row r="606" spans="1:32" ht="19.95" hidden="1" customHeight="1" outlineLevel="1">
      <c r="A606" s="117">
        <v>11161</v>
      </c>
      <c r="B606" s="118" t="str">
        <f t="shared" si="469"/>
        <v>TAMU-CC</v>
      </c>
      <c r="C606" s="149"/>
      <c r="D606" s="97"/>
      <c r="E606" s="97"/>
      <c r="F606" s="138">
        <v>0</v>
      </c>
      <c r="G606" s="97"/>
      <c r="H606" s="97"/>
      <c r="I606" s="100">
        <f t="shared" si="467"/>
        <v>0</v>
      </c>
      <c r="J606" s="96">
        <f t="shared" si="468"/>
        <v>0</v>
      </c>
      <c r="L606" s="100"/>
      <c r="M606" s="100"/>
      <c r="N606" s="100"/>
      <c r="O606" s="100"/>
      <c r="P606" s="635">
        <v>0</v>
      </c>
      <c r="Q606" s="635">
        <v>0</v>
      </c>
      <c r="R606" s="100"/>
      <c r="S606" s="100"/>
      <c r="T606" s="100"/>
      <c r="U606" s="100"/>
      <c r="V606" s="97"/>
      <c r="W606" s="97"/>
      <c r="Y606" s="79"/>
      <c r="Z606" s="80"/>
      <c r="AA606" s="80"/>
      <c r="AD606" s="77"/>
      <c r="AE606" s="77"/>
      <c r="AF606" s="77"/>
    </row>
    <row r="607" spans="1:32" ht="19.95" hidden="1" customHeight="1" outlineLevel="1">
      <c r="A607" s="117">
        <v>3639</v>
      </c>
      <c r="B607" s="118" t="str">
        <f t="shared" si="469"/>
        <v>TAMU-Kingsville</v>
      </c>
      <c r="C607" s="149"/>
      <c r="D607" s="97"/>
      <c r="E607" s="97"/>
      <c r="F607" s="138">
        <v>480000</v>
      </c>
      <c r="G607" s="97"/>
      <c r="H607" s="97"/>
      <c r="I607" s="100">
        <f t="shared" si="467"/>
        <v>0</v>
      </c>
      <c r="J607" s="96">
        <f t="shared" si="468"/>
        <v>0</v>
      </c>
      <c r="L607" s="100"/>
      <c r="M607" s="100"/>
      <c r="N607" s="100"/>
      <c r="O607" s="100"/>
      <c r="P607" s="635">
        <v>240000</v>
      </c>
      <c r="Q607" s="635">
        <v>240000</v>
      </c>
      <c r="R607" s="100"/>
      <c r="S607" s="100"/>
      <c r="T607" s="100"/>
      <c r="U607" s="100"/>
      <c r="V607" s="97"/>
      <c r="W607" s="97"/>
      <c r="Y607" s="79"/>
      <c r="Z607" s="80"/>
      <c r="AA607" s="80"/>
      <c r="AD607" s="77"/>
      <c r="AE607" s="77"/>
      <c r="AF607" s="77"/>
    </row>
    <row r="608" spans="1:32" ht="19.95" hidden="1" customHeight="1" outlineLevel="1">
      <c r="A608" s="117">
        <v>42485</v>
      </c>
      <c r="B608" s="118" t="str">
        <f t="shared" si="469"/>
        <v>TAMU-San Antonio</v>
      </c>
      <c r="C608" s="149"/>
      <c r="D608" s="97"/>
      <c r="E608" s="97"/>
      <c r="F608" s="138">
        <v>0</v>
      </c>
      <c r="G608" s="97"/>
      <c r="H608" s="97"/>
      <c r="I608" s="100">
        <f t="shared" si="467"/>
        <v>0</v>
      </c>
      <c r="J608" s="96">
        <f t="shared" si="468"/>
        <v>0</v>
      </c>
      <c r="L608" s="100"/>
      <c r="M608" s="100"/>
      <c r="N608" s="100"/>
      <c r="O608" s="100"/>
      <c r="P608" s="635">
        <v>0</v>
      </c>
      <c r="Q608" s="635">
        <v>0</v>
      </c>
      <c r="R608" s="100"/>
      <c r="S608" s="100"/>
      <c r="T608" s="100"/>
      <c r="U608" s="100"/>
      <c r="V608" s="97"/>
      <c r="W608" s="97"/>
      <c r="Y608" s="79"/>
      <c r="Z608" s="80"/>
      <c r="AA608" s="80"/>
      <c r="AD608" s="77"/>
      <c r="AE608" s="77"/>
      <c r="AF608" s="77"/>
    </row>
    <row r="609" spans="1:32" ht="19.95" hidden="1" customHeight="1" outlineLevel="1">
      <c r="A609" s="117">
        <v>9651</v>
      </c>
      <c r="B609" s="118" t="str">
        <f t="shared" si="469"/>
        <v>TAMI</v>
      </c>
      <c r="C609" s="149"/>
      <c r="D609" s="97"/>
      <c r="E609" s="97"/>
      <c r="F609" s="138">
        <v>0</v>
      </c>
      <c r="G609" s="97"/>
      <c r="H609" s="97"/>
      <c r="I609" s="100">
        <f t="shared" si="467"/>
        <v>0</v>
      </c>
      <c r="J609" s="96">
        <f t="shared" si="468"/>
        <v>0</v>
      </c>
      <c r="L609" s="100"/>
      <c r="M609" s="100"/>
      <c r="N609" s="100"/>
      <c r="O609" s="100"/>
      <c r="P609" s="635">
        <v>0</v>
      </c>
      <c r="Q609" s="635">
        <v>0</v>
      </c>
      <c r="R609" s="100"/>
      <c r="S609" s="100"/>
      <c r="T609" s="100"/>
      <c r="U609" s="100"/>
      <c r="V609" s="97"/>
      <c r="W609" s="97"/>
      <c r="Y609" s="79"/>
      <c r="Z609" s="80"/>
      <c r="AA609" s="80"/>
      <c r="AD609" s="77"/>
      <c r="AE609" s="77"/>
      <c r="AF609" s="77"/>
    </row>
    <row r="610" spans="1:32" ht="19.95" hidden="1" customHeight="1" outlineLevel="1">
      <c r="A610" s="117">
        <v>3665</v>
      </c>
      <c r="B610" s="118" t="str">
        <f t="shared" si="469"/>
        <v>WTAMU</v>
      </c>
      <c r="C610" s="149"/>
      <c r="D610" s="97"/>
      <c r="E610" s="97"/>
      <c r="F610" s="138">
        <v>183770</v>
      </c>
      <c r="G610" s="97"/>
      <c r="H610" s="97"/>
      <c r="I610" s="100">
        <f t="shared" si="467"/>
        <v>5998</v>
      </c>
      <c r="J610" s="96">
        <f t="shared" si="468"/>
        <v>3.263862436741579E-2</v>
      </c>
      <c r="L610" s="100"/>
      <c r="M610" s="100"/>
      <c r="N610" s="100"/>
      <c r="O610" s="100"/>
      <c r="P610" s="635">
        <v>94884</v>
      </c>
      <c r="Q610" s="635">
        <v>94884</v>
      </c>
      <c r="R610" s="100"/>
      <c r="S610" s="100"/>
      <c r="T610" s="100"/>
      <c r="U610" s="100"/>
      <c r="V610" s="97"/>
      <c r="W610" s="97"/>
      <c r="Y610" s="79"/>
      <c r="Z610" s="80"/>
      <c r="AA610" s="80"/>
      <c r="AD610" s="77"/>
      <c r="AE610" s="77"/>
      <c r="AF610" s="77"/>
    </row>
    <row r="611" spans="1:32" ht="19.95" hidden="1" customHeight="1" outlineLevel="1">
      <c r="A611" s="117">
        <v>3565</v>
      </c>
      <c r="B611" s="118" t="str">
        <f t="shared" si="469"/>
        <v>TAMU-Commerce</v>
      </c>
      <c r="C611" s="149"/>
      <c r="D611" s="97"/>
      <c r="E611" s="97"/>
      <c r="F611" s="138">
        <v>232410</v>
      </c>
      <c r="G611" s="97"/>
      <c r="H611" s="97"/>
      <c r="I611" s="100">
        <f t="shared" si="467"/>
        <v>0</v>
      </c>
      <c r="J611" s="96">
        <f t="shared" si="468"/>
        <v>0</v>
      </c>
      <c r="L611" s="100"/>
      <c r="M611" s="100"/>
      <c r="N611" s="100"/>
      <c r="O611" s="100"/>
      <c r="P611" s="635">
        <v>116205</v>
      </c>
      <c r="Q611" s="635">
        <v>116205</v>
      </c>
      <c r="R611" s="100"/>
      <c r="S611" s="100"/>
      <c r="T611" s="100"/>
      <c r="U611" s="100"/>
      <c r="V611" s="97"/>
      <c r="W611" s="97"/>
      <c r="Y611" s="79"/>
      <c r="Z611" s="80"/>
      <c r="AA611" s="80"/>
      <c r="AD611" s="77"/>
      <c r="AE611" s="77"/>
      <c r="AF611" s="77"/>
    </row>
    <row r="612" spans="1:32" ht="19.95" hidden="1" customHeight="1" outlineLevel="1">
      <c r="A612" s="117">
        <v>29269</v>
      </c>
      <c r="B612" s="118" t="str">
        <f t="shared" si="469"/>
        <v>TAMU-Texarkana</v>
      </c>
      <c r="C612" s="149"/>
      <c r="D612" s="97"/>
      <c r="E612" s="97"/>
      <c r="F612" s="138">
        <v>0</v>
      </c>
      <c r="G612" s="97"/>
      <c r="H612" s="97"/>
      <c r="I612" s="100">
        <f t="shared" si="467"/>
        <v>0</v>
      </c>
      <c r="J612" s="96">
        <f t="shared" si="468"/>
        <v>0</v>
      </c>
      <c r="L612" s="100"/>
      <c r="M612" s="100"/>
      <c r="N612" s="100"/>
      <c r="O612" s="100"/>
      <c r="P612" s="635">
        <v>0</v>
      </c>
      <c r="Q612" s="635">
        <v>0</v>
      </c>
      <c r="R612" s="100"/>
      <c r="S612" s="100"/>
      <c r="T612" s="100"/>
      <c r="U612" s="100"/>
      <c r="V612" s="97"/>
      <c r="W612" s="97"/>
      <c r="Y612" s="79"/>
      <c r="Z612" s="80"/>
      <c r="AA612" s="80"/>
      <c r="AD612" s="77"/>
      <c r="AE612" s="77"/>
      <c r="AF612" s="77"/>
    </row>
    <row r="613" spans="1:32" ht="19.95" hidden="1" customHeight="1" outlineLevel="1">
      <c r="A613" s="117">
        <v>3652</v>
      </c>
      <c r="B613" s="118" t="str">
        <f t="shared" si="469"/>
        <v>UH</v>
      </c>
      <c r="C613" s="149"/>
      <c r="D613" s="97"/>
      <c r="E613" s="97"/>
      <c r="F613" s="138">
        <v>0</v>
      </c>
      <c r="G613" s="97"/>
      <c r="H613" s="97"/>
      <c r="I613" s="100">
        <f t="shared" si="467"/>
        <v>0</v>
      </c>
      <c r="J613" s="96">
        <f t="shared" si="468"/>
        <v>0</v>
      </c>
      <c r="L613" s="100"/>
      <c r="M613" s="100"/>
      <c r="N613" s="100"/>
      <c r="O613" s="100"/>
      <c r="P613" s="635">
        <v>0</v>
      </c>
      <c r="Q613" s="635">
        <v>0</v>
      </c>
      <c r="R613" s="100"/>
      <c r="S613" s="100"/>
      <c r="T613" s="100"/>
      <c r="U613" s="100"/>
      <c r="V613" s="97"/>
      <c r="W613" s="97"/>
      <c r="Y613" s="79"/>
      <c r="Z613" s="80"/>
      <c r="AA613" s="80"/>
      <c r="AD613" s="77"/>
      <c r="AE613" s="77"/>
      <c r="AF613" s="77"/>
    </row>
    <row r="614" spans="1:32" ht="19.95" hidden="1" customHeight="1" outlineLevel="1">
      <c r="A614" s="117">
        <v>11711</v>
      </c>
      <c r="B614" s="118" t="str">
        <f t="shared" si="469"/>
        <v>UH-Clear Lake</v>
      </c>
      <c r="C614" s="149"/>
      <c r="D614" s="97"/>
      <c r="E614" s="97"/>
      <c r="F614" s="138">
        <v>0</v>
      </c>
      <c r="G614" s="97"/>
      <c r="H614" s="97"/>
      <c r="I614" s="100">
        <f t="shared" si="467"/>
        <v>0</v>
      </c>
      <c r="J614" s="96">
        <f t="shared" si="468"/>
        <v>0</v>
      </c>
      <c r="L614" s="100"/>
      <c r="M614" s="100"/>
      <c r="N614" s="100"/>
      <c r="O614" s="100"/>
      <c r="P614" s="635">
        <v>0</v>
      </c>
      <c r="Q614" s="635">
        <v>0</v>
      </c>
      <c r="R614" s="100"/>
      <c r="S614" s="100"/>
      <c r="T614" s="100"/>
      <c r="U614" s="100"/>
      <c r="V614" s="97"/>
      <c r="W614" s="97"/>
      <c r="Y614" s="79"/>
      <c r="Z614" s="80"/>
      <c r="AA614" s="80"/>
      <c r="AD614" s="77"/>
      <c r="AE614" s="77"/>
      <c r="AF614" s="77"/>
    </row>
    <row r="615" spans="1:32" ht="19.95" hidden="1" customHeight="1" outlineLevel="1">
      <c r="A615" s="117">
        <v>12826</v>
      </c>
      <c r="B615" s="118" t="str">
        <f t="shared" si="469"/>
        <v>UH-Downtown</v>
      </c>
      <c r="C615" s="149"/>
      <c r="D615" s="97"/>
      <c r="E615" s="97"/>
      <c r="F615" s="138">
        <v>0</v>
      </c>
      <c r="G615" s="97"/>
      <c r="H615" s="97"/>
      <c r="I615" s="100">
        <f t="shared" si="467"/>
        <v>0</v>
      </c>
      <c r="J615" s="96">
        <f t="shared" si="468"/>
        <v>0</v>
      </c>
      <c r="L615" s="100"/>
      <c r="M615" s="100"/>
      <c r="N615" s="100"/>
      <c r="O615" s="100"/>
      <c r="P615" s="635">
        <v>0</v>
      </c>
      <c r="Q615" s="635">
        <v>0</v>
      </c>
      <c r="R615" s="100"/>
      <c r="S615" s="100"/>
      <c r="T615" s="100"/>
      <c r="U615" s="100"/>
      <c r="V615" s="97"/>
      <c r="W615" s="97"/>
      <c r="Y615" s="79"/>
      <c r="Z615" s="80"/>
      <c r="AA615" s="80"/>
      <c r="AD615" s="77"/>
      <c r="AE615" s="77"/>
      <c r="AF615" s="77"/>
    </row>
    <row r="616" spans="1:32" ht="19.95" hidden="1" customHeight="1" outlineLevel="1">
      <c r="A616" s="117">
        <v>13231</v>
      </c>
      <c r="B616" s="118" t="str">
        <f t="shared" si="469"/>
        <v>UH-Victoria</v>
      </c>
      <c r="C616" s="149"/>
      <c r="D616" s="97"/>
      <c r="E616" s="97"/>
      <c r="F616" s="138">
        <v>0</v>
      </c>
      <c r="G616" s="97"/>
      <c r="H616" s="97"/>
      <c r="I616" s="100">
        <f t="shared" si="467"/>
        <v>0</v>
      </c>
      <c r="J616" s="96">
        <f t="shared" si="468"/>
        <v>0</v>
      </c>
      <c r="L616" s="100"/>
      <c r="M616" s="100"/>
      <c r="N616" s="100"/>
      <c r="O616" s="100"/>
      <c r="P616" s="635">
        <v>0</v>
      </c>
      <c r="Q616" s="635">
        <v>0</v>
      </c>
      <c r="R616" s="100"/>
      <c r="S616" s="100"/>
      <c r="T616" s="100"/>
      <c r="U616" s="100"/>
      <c r="V616" s="97"/>
      <c r="W616" s="97"/>
      <c r="Y616" s="79"/>
      <c r="Z616" s="80"/>
      <c r="AA616" s="80"/>
      <c r="AD616" s="77"/>
      <c r="AE616" s="77"/>
      <c r="AF616" s="77"/>
    </row>
    <row r="617" spans="1:32" ht="19.95" hidden="1" customHeight="1" outlineLevel="1">
      <c r="A617" s="117">
        <v>3592</v>
      </c>
      <c r="B617" s="118" t="str">
        <f t="shared" si="469"/>
        <v>Midwestern</v>
      </c>
      <c r="C617" s="149"/>
      <c r="D617" s="97"/>
      <c r="E617" s="97"/>
      <c r="F617" s="138">
        <v>0</v>
      </c>
      <c r="G617" s="97"/>
      <c r="H617" s="97"/>
      <c r="I617" s="100">
        <f t="shared" si="467"/>
        <v>0</v>
      </c>
      <c r="J617" s="96">
        <f t="shared" si="468"/>
        <v>0</v>
      </c>
      <c r="L617" s="100"/>
      <c r="M617" s="100"/>
      <c r="N617" s="100"/>
      <c r="O617" s="100"/>
      <c r="P617" s="635">
        <v>0</v>
      </c>
      <c r="Q617" s="635">
        <v>0</v>
      </c>
      <c r="R617" s="100"/>
      <c r="S617" s="100"/>
      <c r="T617" s="100"/>
      <c r="U617" s="100"/>
      <c r="V617" s="97"/>
      <c r="W617" s="97"/>
      <c r="Y617" s="79"/>
      <c r="Z617" s="80"/>
      <c r="AA617" s="80"/>
      <c r="AD617" s="77"/>
      <c r="AE617" s="77"/>
      <c r="AF617" s="77"/>
    </row>
    <row r="618" spans="1:32" ht="19.95" hidden="1" customHeight="1" outlineLevel="1">
      <c r="A618" s="117">
        <v>3594</v>
      </c>
      <c r="B618" s="118" t="str">
        <f t="shared" si="469"/>
        <v>UNT</v>
      </c>
      <c r="C618" s="149"/>
      <c r="D618" s="97"/>
      <c r="E618" s="97"/>
      <c r="F618" s="138">
        <v>790000</v>
      </c>
      <c r="G618" s="97"/>
      <c r="H618" s="97"/>
      <c r="I618" s="100">
        <f t="shared" si="467"/>
        <v>282380</v>
      </c>
      <c r="J618" s="96">
        <f t="shared" si="468"/>
        <v>0.35744303797468352</v>
      </c>
      <c r="L618" s="100"/>
      <c r="M618" s="100"/>
      <c r="N618" s="100"/>
      <c r="O618" s="100"/>
      <c r="P618" s="635">
        <v>536190</v>
      </c>
      <c r="Q618" s="635">
        <v>536190</v>
      </c>
      <c r="R618" s="100"/>
      <c r="S618" s="100"/>
      <c r="T618" s="100"/>
      <c r="U618" s="100"/>
      <c r="V618" s="97"/>
      <c r="W618" s="97"/>
      <c r="Y618" s="79"/>
      <c r="Z618" s="80"/>
      <c r="AA618" s="80"/>
      <c r="AD618" s="77"/>
      <c r="AE618" s="77"/>
      <c r="AF618" s="77"/>
    </row>
    <row r="619" spans="1:32" ht="19.95" hidden="1" customHeight="1" outlineLevel="1">
      <c r="A619" s="117">
        <v>42421</v>
      </c>
      <c r="B619" s="118" t="str">
        <f t="shared" si="469"/>
        <v>UNT-Dallas</v>
      </c>
      <c r="C619" s="149"/>
      <c r="D619" s="97"/>
      <c r="E619" s="97"/>
      <c r="F619" s="138">
        <v>0</v>
      </c>
      <c r="G619" s="97"/>
      <c r="H619" s="97"/>
      <c r="I619" s="100">
        <f t="shared" si="467"/>
        <v>0</v>
      </c>
      <c r="J619" s="96">
        <f t="shared" si="468"/>
        <v>0</v>
      </c>
      <c r="L619" s="100"/>
      <c r="M619" s="100"/>
      <c r="N619" s="100"/>
      <c r="O619" s="100"/>
      <c r="P619" s="635">
        <v>0</v>
      </c>
      <c r="Q619" s="635">
        <v>0</v>
      </c>
      <c r="R619" s="100"/>
      <c r="S619" s="100"/>
      <c r="T619" s="100"/>
      <c r="U619" s="100"/>
      <c r="V619" s="97"/>
      <c r="W619" s="97"/>
      <c r="Y619" s="79"/>
      <c r="Z619" s="80"/>
      <c r="AA619" s="80"/>
      <c r="AD619" s="77"/>
      <c r="AE619" s="77"/>
      <c r="AF619" s="77"/>
    </row>
    <row r="620" spans="1:32" ht="19.95" hidden="1" customHeight="1" outlineLevel="1">
      <c r="A620" s="117">
        <v>3624</v>
      </c>
      <c r="B620" s="118" t="str">
        <f t="shared" si="469"/>
        <v>SFA</v>
      </c>
      <c r="C620" s="149"/>
      <c r="D620" s="97"/>
      <c r="E620" s="97"/>
      <c r="F620" s="138">
        <v>1700000</v>
      </c>
      <c r="G620" s="97"/>
      <c r="H620" s="97"/>
      <c r="I620" s="100">
        <f t="shared" si="467"/>
        <v>-60000</v>
      </c>
      <c r="J620" s="96">
        <f t="shared" si="468"/>
        <v>-3.5294117647058823E-2</v>
      </c>
      <c r="L620" s="100"/>
      <c r="M620" s="100"/>
      <c r="N620" s="100"/>
      <c r="O620" s="100"/>
      <c r="P620" s="635">
        <v>820000</v>
      </c>
      <c r="Q620" s="635">
        <v>820000</v>
      </c>
      <c r="R620" s="100"/>
      <c r="S620" s="100"/>
      <c r="T620" s="100"/>
      <c r="U620" s="100"/>
      <c r="V620" s="97"/>
      <c r="W620" s="97"/>
      <c r="Y620" s="79"/>
      <c r="Z620" s="80"/>
      <c r="AA620" s="80"/>
      <c r="AD620" s="77"/>
      <c r="AE620" s="77"/>
      <c r="AF620" s="77"/>
    </row>
    <row r="621" spans="1:32" ht="19.95" hidden="1" customHeight="1" outlineLevel="1">
      <c r="A621" s="117">
        <v>3642</v>
      </c>
      <c r="B621" s="118" t="str">
        <f t="shared" si="469"/>
        <v>TSU</v>
      </c>
      <c r="C621" s="149"/>
      <c r="D621" s="97"/>
      <c r="E621" s="97"/>
      <c r="F621" s="138">
        <v>81918</v>
      </c>
      <c r="G621" s="97"/>
      <c r="H621" s="97"/>
      <c r="I621" s="100">
        <f t="shared" si="467"/>
        <v>13148</v>
      </c>
      <c r="J621" s="96">
        <f t="shared" si="468"/>
        <v>0.16050196538001416</v>
      </c>
      <c r="L621" s="100"/>
      <c r="M621" s="100"/>
      <c r="N621" s="100"/>
      <c r="O621" s="100"/>
      <c r="P621" s="635">
        <v>47533</v>
      </c>
      <c r="Q621" s="635">
        <v>47533</v>
      </c>
      <c r="R621" s="100"/>
      <c r="S621" s="100"/>
      <c r="T621" s="100"/>
      <c r="U621" s="100"/>
      <c r="V621" s="97"/>
      <c r="W621" s="97"/>
      <c r="Y621" s="79"/>
      <c r="Z621" s="80"/>
      <c r="AA621" s="80"/>
      <c r="AD621" s="77"/>
      <c r="AE621" s="77"/>
      <c r="AF621" s="77"/>
    </row>
    <row r="622" spans="1:32" ht="19.95" hidden="1" customHeight="1" outlineLevel="1">
      <c r="A622" s="117">
        <v>3644</v>
      </c>
      <c r="B622" s="118" t="str">
        <f t="shared" si="469"/>
        <v>TTU</v>
      </c>
      <c r="C622" s="149"/>
      <c r="D622" s="97"/>
      <c r="E622" s="97"/>
      <c r="F622" s="138">
        <v>1150000</v>
      </c>
      <c r="G622" s="97"/>
      <c r="H622" s="97"/>
      <c r="I622" s="100">
        <f t="shared" si="467"/>
        <v>0</v>
      </c>
      <c r="J622" s="96">
        <f t="shared" si="468"/>
        <v>0</v>
      </c>
      <c r="L622" s="100"/>
      <c r="M622" s="100"/>
      <c r="N622" s="100"/>
      <c r="O622" s="100"/>
      <c r="P622" s="635">
        <v>575000</v>
      </c>
      <c r="Q622" s="635">
        <v>575000</v>
      </c>
      <c r="R622" s="100"/>
      <c r="S622" s="100"/>
      <c r="T622" s="100"/>
      <c r="U622" s="100"/>
      <c r="V622" s="97"/>
      <c r="W622" s="97"/>
      <c r="Y622" s="79"/>
      <c r="Z622" s="80"/>
      <c r="AA622" s="80"/>
      <c r="AD622" s="77"/>
      <c r="AE622" s="77"/>
      <c r="AF622" s="77"/>
    </row>
    <row r="623" spans="1:32" ht="19.95" hidden="1" customHeight="1" outlineLevel="1">
      <c r="A623" s="117">
        <v>3541</v>
      </c>
      <c r="B623" s="118" t="str">
        <f t="shared" si="469"/>
        <v>Angelo</v>
      </c>
      <c r="C623" s="149"/>
      <c r="D623" s="97"/>
      <c r="E623" s="97"/>
      <c r="F623" s="138">
        <v>258078</v>
      </c>
      <c r="G623" s="97"/>
      <c r="H623" s="97"/>
      <c r="I623" s="100">
        <f t="shared" si="467"/>
        <v>60560</v>
      </c>
      <c r="J623" s="96">
        <f t="shared" si="468"/>
        <v>0.23465773913313029</v>
      </c>
      <c r="L623" s="100"/>
      <c r="M623" s="100"/>
      <c r="N623" s="100"/>
      <c r="O623" s="100"/>
      <c r="P623" s="635">
        <v>159319</v>
      </c>
      <c r="Q623" s="635">
        <v>159319</v>
      </c>
      <c r="R623" s="100"/>
      <c r="S623" s="100"/>
      <c r="T623" s="100"/>
      <c r="U623" s="100"/>
      <c r="V623" s="97"/>
      <c r="W623" s="97"/>
      <c r="Y623" s="79"/>
      <c r="Z623" s="80"/>
      <c r="AA623" s="80"/>
      <c r="AD623" s="77"/>
      <c r="AE623" s="77"/>
      <c r="AF623" s="77"/>
    </row>
    <row r="624" spans="1:32" ht="19.95" hidden="1" customHeight="1" outlineLevel="1">
      <c r="A624" s="117">
        <v>3646</v>
      </c>
      <c r="B624" s="118" t="str">
        <f t="shared" si="469"/>
        <v>TWU</v>
      </c>
      <c r="C624" s="149"/>
      <c r="D624" s="97"/>
      <c r="E624" s="97"/>
      <c r="F624" s="138">
        <v>0</v>
      </c>
      <c r="G624" s="97"/>
      <c r="H624" s="97"/>
      <c r="I624" s="100">
        <f t="shared" si="467"/>
        <v>0</v>
      </c>
      <c r="J624" s="96">
        <f t="shared" si="468"/>
        <v>0</v>
      </c>
      <c r="L624" s="100"/>
      <c r="M624" s="100"/>
      <c r="N624" s="100"/>
      <c r="O624" s="100"/>
      <c r="P624" s="635">
        <v>0</v>
      </c>
      <c r="Q624" s="635">
        <v>0</v>
      </c>
      <c r="R624" s="100"/>
      <c r="S624" s="100"/>
      <c r="T624" s="100"/>
      <c r="U624" s="100"/>
      <c r="V624" s="97"/>
      <c r="W624" s="97"/>
      <c r="Y624" s="79"/>
      <c r="Z624" s="80"/>
      <c r="AA624" s="80"/>
      <c r="AD624" s="77"/>
      <c r="AE624" s="77"/>
      <c r="AF624" s="77"/>
    </row>
    <row r="625" spans="1:32" ht="19.95" hidden="1" customHeight="1" outlineLevel="1">
      <c r="A625" s="117">
        <v>3581</v>
      </c>
      <c r="B625" s="118" t="str">
        <f t="shared" si="469"/>
        <v>Lamar</v>
      </c>
      <c r="C625" s="149"/>
      <c r="D625" s="97"/>
      <c r="E625" s="97"/>
      <c r="F625" s="138">
        <v>0</v>
      </c>
      <c r="G625" s="97"/>
      <c r="H625" s="97"/>
      <c r="I625" s="100">
        <f t="shared" si="467"/>
        <v>0</v>
      </c>
      <c r="J625" s="96">
        <f t="shared" si="468"/>
        <v>0</v>
      </c>
      <c r="L625" s="100"/>
      <c r="M625" s="100"/>
      <c r="N625" s="100"/>
      <c r="O625" s="100"/>
      <c r="P625" s="635">
        <v>0</v>
      </c>
      <c r="Q625" s="635">
        <v>0</v>
      </c>
      <c r="R625" s="100"/>
      <c r="S625" s="100"/>
      <c r="T625" s="100"/>
      <c r="U625" s="100"/>
      <c r="V625" s="97"/>
      <c r="W625" s="97"/>
      <c r="Y625" s="79"/>
      <c r="Z625" s="80"/>
      <c r="AA625" s="80"/>
      <c r="AD625" s="77"/>
      <c r="AE625" s="77"/>
      <c r="AF625" s="77"/>
    </row>
    <row r="626" spans="1:32" ht="19.95" hidden="1" customHeight="1" outlineLevel="1">
      <c r="A626" s="117">
        <v>3606</v>
      </c>
      <c r="B626" s="118" t="str">
        <f t="shared" si="469"/>
        <v>Sam Houston</v>
      </c>
      <c r="C626" s="149"/>
      <c r="D626" s="97"/>
      <c r="E626" s="97"/>
      <c r="F626" s="138">
        <v>173770</v>
      </c>
      <c r="G626" s="97"/>
      <c r="H626" s="97"/>
      <c r="I626" s="100">
        <f t="shared" si="467"/>
        <v>0</v>
      </c>
      <c r="J626" s="96">
        <f t="shared" si="468"/>
        <v>0</v>
      </c>
      <c r="L626" s="100"/>
      <c r="M626" s="100"/>
      <c r="N626" s="100"/>
      <c r="O626" s="100"/>
      <c r="P626" s="635">
        <v>86885</v>
      </c>
      <c r="Q626" s="635">
        <v>86885</v>
      </c>
      <c r="R626" s="100"/>
      <c r="S626" s="100"/>
      <c r="T626" s="100"/>
      <c r="U626" s="100"/>
      <c r="V626" s="97"/>
      <c r="W626" s="97"/>
      <c r="Y626" s="79"/>
      <c r="Z626" s="80"/>
      <c r="AA626" s="80"/>
      <c r="AD626" s="77"/>
      <c r="AE626" s="77"/>
      <c r="AF626" s="77"/>
    </row>
    <row r="627" spans="1:32" ht="19.95" hidden="1" customHeight="1" outlineLevel="1">
      <c r="A627" s="117">
        <v>3615</v>
      </c>
      <c r="B627" s="118" t="str">
        <f t="shared" si="469"/>
        <v>TXST</v>
      </c>
      <c r="C627" s="149"/>
      <c r="D627" s="97"/>
      <c r="E627" s="97"/>
      <c r="F627" s="138">
        <v>2129000</v>
      </c>
      <c r="G627" s="97"/>
      <c r="H627" s="97"/>
      <c r="I627" s="100">
        <f t="shared" si="467"/>
        <v>1063608</v>
      </c>
      <c r="J627" s="96">
        <f t="shared" si="468"/>
        <v>0.49958102395490839</v>
      </c>
      <c r="L627" s="100"/>
      <c r="M627" s="100"/>
      <c r="N627" s="100"/>
      <c r="O627" s="100"/>
      <c r="P627" s="635">
        <v>1596304</v>
      </c>
      <c r="Q627" s="635">
        <v>1596304</v>
      </c>
      <c r="R627" s="100"/>
      <c r="S627" s="100"/>
      <c r="T627" s="100"/>
      <c r="U627" s="100"/>
      <c r="V627" s="97"/>
      <c r="W627" s="97"/>
      <c r="Y627" s="79"/>
      <c r="Z627" s="80"/>
      <c r="AA627" s="80"/>
      <c r="AD627" s="77"/>
      <c r="AE627" s="77"/>
      <c r="AF627" s="77"/>
    </row>
    <row r="628" spans="1:32" ht="19.95" hidden="1" customHeight="1" outlineLevel="1">
      <c r="A628" s="117">
        <v>3625</v>
      </c>
      <c r="B628" s="118" t="str">
        <f t="shared" si="469"/>
        <v>Sul Ross</v>
      </c>
      <c r="C628" s="149"/>
      <c r="D628" s="97"/>
      <c r="E628" s="97"/>
      <c r="F628" s="138">
        <v>237608</v>
      </c>
      <c r="G628" s="97"/>
      <c r="H628" s="97"/>
      <c r="I628" s="100">
        <f t="shared" si="467"/>
        <v>0</v>
      </c>
      <c r="J628" s="96">
        <f t="shared" si="468"/>
        <v>0</v>
      </c>
      <c r="L628" s="100"/>
      <c r="M628" s="100"/>
      <c r="N628" s="100"/>
      <c r="O628" s="100"/>
      <c r="P628" s="635">
        <v>118804</v>
      </c>
      <c r="Q628" s="635">
        <v>118804</v>
      </c>
      <c r="R628" s="100"/>
      <c r="S628" s="100"/>
      <c r="T628" s="100"/>
      <c r="U628" s="100"/>
      <c r="V628" s="97"/>
      <c r="W628" s="97"/>
      <c r="Y628" s="79"/>
      <c r="Z628" s="80"/>
      <c r="AA628" s="80"/>
      <c r="AD628" s="77"/>
      <c r="AE628" s="77"/>
      <c r="AF628" s="77"/>
    </row>
    <row r="629" spans="1:32" ht="19.95" hidden="1" customHeight="1" outlineLevel="1" thickBot="1">
      <c r="A629" s="122">
        <v>20</v>
      </c>
      <c r="B629" s="123" t="str">
        <f t="shared" si="469"/>
        <v>Sul Ross-Rio Grande</v>
      </c>
      <c r="C629" s="150"/>
      <c r="D629" s="151"/>
      <c r="E629" s="151"/>
      <c r="F629" s="139">
        <v>0</v>
      </c>
      <c r="G629" s="151"/>
      <c r="H629" s="151"/>
      <c r="I629" s="124">
        <f t="shared" si="467"/>
        <v>0</v>
      </c>
      <c r="J629" s="126">
        <f t="shared" si="468"/>
        <v>0</v>
      </c>
      <c r="L629" s="124"/>
      <c r="M629" s="124"/>
      <c r="N629" s="124"/>
      <c r="O629" s="124"/>
      <c r="P629" s="636">
        <v>0</v>
      </c>
      <c r="Q629" s="636">
        <v>0</v>
      </c>
      <c r="R629" s="124"/>
      <c r="S629" s="124"/>
      <c r="T629" s="124"/>
      <c r="U629" s="124"/>
      <c r="V629" s="97"/>
      <c r="W629" s="131"/>
      <c r="Y629" s="79"/>
      <c r="Z629" s="80"/>
      <c r="AA629" s="80"/>
      <c r="AD629" s="77"/>
      <c r="AE629" s="77"/>
      <c r="AF629" s="77"/>
    </row>
    <row r="630" spans="1:32" ht="19.95" hidden="1" customHeight="1" outlineLevel="1" thickBot="1">
      <c r="A630" s="105"/>
      <c r="B630" s="128" t="str">
        <f t="shared" si="469"/>
        <v>TOTAL</v>
      </c>
      <c r="C630" s="131"/>
      <c r="D630" s="131"/>
      <c r="E630" s="131"/>
      <c r="F630" s="131">
        <f>SUM(F593:F629)</f>
        <v>66601568</v>
      </c>
      <c r="G630" s="131"/>
      <c r="H630" s="131"/>
      <c r="I630" s="131">
        <f t="shared" si="467"/>
        <v>8349568</v>
      </c>
      <c r="J630" s="130">
        <f t="shared" si="468"/>
        <v>0.12536593733048448</v>
      </c>
      <c r="L630" s="131"/>
      <c r="M630" s="131"/>
      <c r="N630" s="131"/>
      <c r="O630" s="131"/>
      <c r="P630" s="276">
        <f>SUM(P593:P629)</f>
        <v>37475568</v>
      </c>
      <c r="Q630" s="276">
        <f>SUM(Q593:Q629)</f>
        <v>37475568</v>
      </c>
      <c r="R630" s="131"/>
      <c r="S630" s="131"/>
      <c r="T630" s="131"/>
      <c r="U630" s="131"/>
      <c r="V630" s="131"/>
      <c r="W630" s="97"/>
      <c r="Y630" s="79"/>
      <c r="Z630" s="80"/>
      <c r="AA630" s="80"/>
      <c r="AD630" s="77"/>
      <c r="AE630" s="77"/>
      <c r="AF630" s="77"/>
    </row>
    <row r="631" spans="1:32" ht="19.95" hidden="1" customHeight="1" outlineLevel="1">
      <c r="A631" s="107">
        <v>9225</v>
      </c>
      <c r="B631" s="108" t="str">
        <f t="shared" si="469"/>
        <v>TSTC-Harlingen</v>
      </c>
      <c r="C631" s="153"/>
      <c r="D631" s="155"/>
      <c r="E631" s="155"/>
      <c r="F631" s="154">
        <v>0</v>
      </c>
      <c r="G631" s="155"/>
      <c r="H631" s="155"/>
      <c r="I631" s="133">
        <f t="shared" si="467"/>
        <v>0</v>
      </c>
      <c r="J631" s="112">
        <f t="shared" si="468"/>
        <v>0</v>
      </c>
      <c r="L631" s="133"/>
      <c r="M631" s="133"/>
      <c r="N631" s="133"/>
      <c r="O631" s="133"/>
      <c r="P631" s="133">
        <v>0</v>
      </c>
      <c r="Q631" s="133">
        <v>0</v>
      </c>
      <c r="R631" s="133"/>
      <c r="S631" s="133"/>
      <c r="T631" s="133"/>
      <c r="U631" s="133"/>
      <c r="V631" s="97"/>
      <c r="W631" s="97"/>
      <c r="Y631" s="79"/>
      <c r="Z631" s="80"/>
      <c r="AA631" s="80"/>
      <c r="AD631" s="77"/>
      <c r="AE631" s="77"/>
      <c r="AF631" s="77"/>
    </row>
    <row r="632" spans="1:32" ht="19.95" hidden="1" customHeight="1" outlineLevel="1">
      <c r="A632" s="117">
        <v>9932</v>
      </c>
      <c r="B632" s="118" t="str">
        <f t="shared" si="469"/>
        <v>TSTC-West Tx</v>
      </c>
      <c r="C632" s="149"/>
      <c r="D632" s="97"/>
      <c r="E632" s="97"/>
      <c r="F632" s="138">
        <v>0</v>
      </c>
      <c r="G632" s="97"/>
      <c r="H632" s="97"/>
      <c r="I632" s="100">
        <f t="shared" si="467"/>
        <v>0</v>
      </c>
      <c r="J632" s="96">
        <f t="shared" si="468"/>
        <v>0</v>
      </c>
      <c r="L632" s="100"/>
      <c r="M632" s="100"/>
      <c r="N632" s="100"/>
      <c r="O632" s="100"/>
      <c r="P632" s="100">
        <v>0</v>
      </c>
      <c r="Q632" s="100">
        <v>0</v>
      </c>
      <c r="R632" s="100"/>
      <c r="S632" s="100"/>
      <c r="T632" s="100"/>
      <c r="U632" s="100"/>
      <c r="V632" s="97"/>
      <c r="W632" s="97"/>
      <c r="Y632" s="79"/>
      <c r="Z632" s="80"/>
      <c r="AA632" s="80"/>
      <c r="AD632" s="77"/>
      <c r="AE632" s="77"/>
      <c r="AF632" s="77"/>
    </row>
    <row r="633" spans="1:32" ht="19.95" hidden="1" customHeight="1" outlineLevel="1">
      <c r="A633" s="117">
        <v>33965</v>
      </c>
      <c r="B633" s="118" t="str">
        <f t="shared" si="469"/>
        <v>TSTC-Marshall</v>
      </c>
      <c r="C633" s="149"/>
      <c r="D633" s="97"/>
      <c r="E633" s="97"/>
      <c r="F633" s="138">
        <v>0</v>
      </c>
      <c r="G633" s="97"/>
      <c r="H633" s="97"/>
      <c r="I633" s="100">
        <f t="shared" si="467"/>
        <v>0</v>
      </c>
      <c r="J633" s="96">
        <f t="shared" si="468"/>
        <v>0</v>
      </c>
      <c r="L633" s="100"/>
      <c r="M633" s="100"/>
      <c r="N633" s="100"/>
      <c r="O633" s="100"/>
      <c r="P633" s="100">
        <v>0</v>
      </c>
      <c r="Q633" s="100">
        <v>0</v>
      </c>
      <c r="R633" s="100"/>
      <c r="S633" s="100"/>
      <c r="T633" s="100"/>
      <c r="U633" s="100"/>
      <c r="V633" s="97"/>
      <c r="W633" s="97"/>
      <c r="Y633" s="79"/>
      <c r="Z633" s="80"/>
      <c r="AA633" s="80"/>
      <c r="AD633" s="77"/>
      <c r="AE633" s="77"/>
      <c r="AF633" s="77"/>
    </row>
    <row r="634" spans="1:32" ht="19.95" hidden="1" customHeight="1" outlineLevel="1">
      <c r="A634" s="117">
        <v>3634</v>
      </c>
      <c r="B634" s="118" t="str">
        <f t="shared" si="469"/>
        <v>TSTC-Waco</v>
      </c>
      <c r="C634" s="149"/>
      <c r="D634" s="97"/>
      <c r="E634" s="97"/>
      <c r="F634" s="138">
        <v>0</v>
      </c>
      <c r="G634" s="97"/>
      <c r="H634" s="97"/>
      <c r="I634" s="100">
        <f t="shared" si="467"/>
        <v>0</v>
      </c>
      <c r="J634" s="96">
        <f t="shared" si="468"/>
        <v>0</v>
      </c>
      <c r="L634" s="100"/>
      <c r="M634" s="100"/>
      <c r="N634" s="100"/>
      <c r="O634" s="100"/>
      <c r="P634" s="100">
        <v>0</v>
      </c>
      <c r="Q634" s="100">
        <v>0</v>
      </c>
      <c r="R634" s="100"/>
      <c r="S634" s="100"/>
      <c r="T634" s="100"/>
      <c r="U634" s="100"/>
      <c r="V634" s="97"/>
      <c r="W634" s="97"/>
      <c r="Y634" s="79"/>
      <c r="Z634" s="80"/>
      <c r="AA634" s="80"/>
      <c r="AD634" s="77"/>
      <c r="AE634" s="77"/>
      <c r="AF634" s="77"/>
    </row>
    <row r="635" spans="1:32" ht="19.95" hidden="1" customHeight="1" outlineLevel="1">
      <c r="A635" s="117">
        <v>203634</v>
      </c>
      <c r="B635" s="118" t="str">
        <f t="shared" si="469"/>
        <v>TSTC-Fort Bend</v>
      </c>
      <c r="C635" s="149"/>
      <c r="D635" s="97"/>
      <c r="E635" s="97"/>
      <c r="F635" s="138">
        <v>0</v>
      </c>
      <c r="G635" s="97"/>
      <c r="H635" s="97"/>
      <c r="I635" s="100">
        <f t="shared" si="467"/>
        <v>0</v>
      </c>
      <c r="J635" s="96">
        <f t="shared" si="468"/>
        <v>0</v>
      </c>
      <c r="L635" s="100"/>
      <c r="M635" s="100"/>
      <c r="N635" s="100"/>
      <c r="O635" s="100"/>
      <c r="P635" s="100">
        <v>0</v>
      </c>
      <c r="Q635" s="100">
        <v>0</v>
      </c>
      <c r="R635" s="100"/>
      <c r="S635" s="100"/>
      <c r="T635" s="100"/>
      <c r="U635" s="100"/>
      <c r="V635" s="97"/>
      <c r="W635" s="97"/>
      <c r="Y635" s="79"/>
      <c r="Z635" s="80"/>
      <c r="AA635" s="80"/>
      <c r="AD635" s="77"/>
      <c r="AE635" s="77"/>
      <c r="AF635" s="77"/>
    </row>
    <row r="636" spans="1:32" ht="19.95" hidden="1" customHeight="1" outlineLevel="1">
      <c r="A636" s="117">
        <v>133965</v>
      </c>
      <c r="B636" s="118" t="str">
        <f t="shared" si="469"/>
        <v>TSTC-North Texas</v>
      </c>
      <c r="C636" s="149"/>
      <c r="D636" s="97"/>
      <c r="E636" s="97"/>
      <c r="F636" s="138">
        <v>0</v>
      </c>
      <c r="G636" s="97"/>
      <c r="H636" s="97"/>
      <c r="I636" s="100">
        <f t="shared" si="467"/>
        <v>0</v>
      </c>
      <c r="J636" s="96">
        <f t="shared" si="468"/>
        <v>0</v>
      </c>
      <c r="L636" s="100"/>
      <c r="M636" s="100"/>
      <c r="N636" s="100"/>
      <c r="O636" s="100"/>
      <c r="P636" s="100">
        <v>0</v>
      </c>
      <c r="Q636" s="100">
        <v>0</v>
      </c>
      <c r="R636" s="100"/>
      <c r="S636" s="100"/>
      <c r="T636" s="100"/>
      <c r="U636" s="100"/>
      <c r="V636" s="97"/>
      <c r="W636" s="97"/>
      <c r="Y636" s="79"/>
      <c r="Z636" s="80"/>
      <c r="AA636" s="80"/>
      <c r="AD636" s="77"/>
      <c r="AE636" s="77"/>
      <c r="AF636" s="77"/>
    </row>
    <row r="637" spans="1:32" ht="19.95" hidden="1" customHeight="1" outlineLevel="1">
      <c r="A637" s="117">
        <v>36273</v>
      </c>
      <c r="B637" s="118" t="str">
        <f t="shared" si="469"/>
        <v>Lamar-IOT</v>
      </c>
      <c r="C637" s="149"/>
      <c r="D637" s="97"/>
      <c r="E637" s="97"/>
      <c r="F637" s="138">
        <v>0</v>
      </c>
      <c r="G637" s="97"/>
      <c r="H637" s="97"/>
      <c r="I637" s="100">
        <f t="shared" si="467"/>
        <v>0</v>
      </c>
      <c r="J637" s="96">
        <f t="shared" si="468"/>
        <v>0</v>
      </c>
      <c r="L637" s="100"/>
      <c r="M637" s="100"/>
      <c r="N637" s="100"/>
      <c r="O637" s="100"/>
      <c r="P637" s="100">
        <v>0</v>
      </c>
      <c r="Q637" s="100">
        <v>0</v>
      </c>
      <c r="R637" s="100"/>
      <c r="S637" s="100"/>
      <c r="T637" s="100"/>
      <c r="U637" s="100"/>
      <c r="V637" s="97"/>
      <c r="W637" s="97"/>
    </row>
    <row r="638" spans="1:32" ht="19.95" hidden="1" customHeight="1" outlineLevel="1">
      <c r="A638" s="117">
        <v>23582</v>
      </c>
      <c r="B638" s="118" t="str">
        <f t="shared" si="469"/>
        <v>Lamar-Orange</v>
      </c>
      <c r="C638" s="149"/>
      <c r="D638" s="97"/>
      <c r="E638" s="97"/>
      <c r="F638" s="138">
        <v>0</v>
      </c>
      <c r="G638" s="97"/>
      <c r="H638" s="97"/>
      <c r="I638" s="100">
        <f t="shared" si="467"/>
        <v>0</v>
      </c>
      <c r="J638" s="96">
        <f t="shared" si="468"/>
        <v>0</v>
      </c>
      <c r="L638" s="100"/>
      <c r="M638" s="100"/>
      <c r="N638" s="100"/>
      <c r="O638" s="100"/>
      <c r="P638" s="100">
        <v>0</v>
      </c>
      <c r="Q638" s="100">
        <v>0</v>
      </c>
      <c r="R638" s="100"/>
      <c r="S638" s="100"/>
      <c r="T638" s="100"/>
      <c r="U638" s="100"/>
      <c r="V638" s="97"/>
      <c r="W638" s="97"/>
    </row>
    <row r="639" spans="1:32" ht="19.95" hidden="1" customHeight="1" outlineLevel="1" thickBot="1">
      <c r="A639" s="122">
        <v>23485</v>
      </c>
      <c r="B639" s="123" t="str">
        <f t="shared" si="469"/>
        <v>Lamar-Port Arthur</v>
      </c>
      <c r="C639" s="150"/>
      <c r="D639" s="151"/>
      <c r="E639" s="151"/>
      <c r="F639" s="139">
        <v>0</v>
      </c>
      <c r="G639" s="151"/>
      <c r="H639" s="151"/>
      <c r="I639" s="124">
        <f t="shared" si="467"/>
        <v>0</v>
      </c>
      <c r="J639" s="126">
        <f t="shared" si="468"/>
        <v>0</v>
      </c>
      <c r="L639" s="124"/>
      <c r="M639" s="124"/>
      <c r="N639" s="124"/>
      <c r="O639" s="124"/>
      <c r="P639" s="124">
        <v>0</v>
      </c>
      <c r="Q639" s="124">
        <v>0</v>
      </c>
      <c r="R639" s="124"/>
      <c r="S639" s="124"/>
      <c r="T639" s="124"/>
      <c r="U639" s="124"/>
      <c r="V639" s="97"/>
      <c r="W639" s="131"/>
    </row>
    <row r="640" spans="1:32" ht="19.95" hidden="1" customHeight="1" outlineLevel="1">
      <c r="A640" s="105"/>
      <c r="B640" s="128" t="str">
        <f t="shared" si="469"/>
        <v>TOTAL</v>
      </c>
      <c r="C640" s="131"/>
      <c r="D640" s="131"/>
      <c r="E640" s="131"/>
      <c r="F640" s="131">
        <f>SUM(F631:F639)</f>
        <v>0</v>
      </c>
      <c r="G640" s="131"/>
      <c r="H640" s="131"/>
      <c r="I640" s="131">
        <f t="shared" si="467"/>
        <v>0</v>
      </c>
      <c r="J640" s="130">
        <f t="shared" si="468"/>
        <v>0</v>
      </c>
      <c r="L640" s="131"/>
      <c r="M640" s="131"/>
      <c r="N640" s="131"/>
      <c r="O640" s="131"/>
      <c r="P640" s="131">
        <f>SUM(P631:P639)</f>
        <v>0</v>
      </c>
      <c r="Q640" s="131">
        <f>SUM(Q631:Q639)</f>
        <v>0</v>
      </c>
      <c r="R640" s="131"/>
      <c r="S640" s="131"/>
      <c r="T640" s="131"/>
      <c r="U640" s="131"/>
      <c r="V640" s="131"/>
    </row>
    <row r="641" spans="1:21" ht="19.95" customHeight="1" collapsed="1"/>
    <row r="642" spans="1:21" ht="19.95" customHeight="1">
      <c r="A642" s="544" t="s">
        <v>407</v>
      </c>
      <c r="B642" s="544"/>
      <c r="C642" s="544"/>
      <c r="D642" s="544"/>
      <c r="E642" s="544"/>
      <c r="F642" s="544"/>
      <c r="G642" s="544"/>
      <c r="H642" s="544"/>
      <c r="I642" s="544"/>
      <c r="J642" s="544"/>
      <c r="K642" s="544"/>
      <c r="L642" s="544"/>
      <c r="M642" s="544"/>
      <c r="N642" s="544"/>
      <c r="O642" s="544"/>
      <c r="P642" s="544"/>
      <c r="Q642" s="544"/>
      <c r="R642" s="544"/>
      <c r="S642" s="544"/>
      <c r="T642" s="544"/>
      <c r="U642" s="544"/>
    </row>
    <row r="643" spans="1:21" ht="78" customHeight="1">
      <c r="A643" s="671" t="s">
        <v>510</v>
      </c>
      <c r="B643" s="672"/>
      <c r="C643" s="672"/>
      <c r="D643" s="672"/>
      <c r="E643" s="672"/>
      <c r="F643" s="672"/>
      <c r="G643" s="672"/>
      <c r="H643" s="672"/>
      <c r="I643" s="672"/>
      <c r="J643" s="672"/>
      <c r="K643" s="672"/>
      <c r="L643" s="672"/>
      <c r="M643" s="672"/>
      <c r="N643" s="672"/>
      <c r="O643" s="672"/>
      <c r="P643" s="672"/>
      <c r="Q643" s="672"/>
      <c r="R643" s="672"/>
      <c r="S643" s="672"/>
      <c r="T643" s="672"/>
      <c r="U643" s="672"/>
    </row>
    <row r="644" spans="1:21" ht="28.5" customHeight="1">
      <c r="A644" s="105"/>
    </row>
  </sheetData>
  <mergeCells count="65">
    <mergeCell ref="A11:B11"/>
    <mergeCell ref="A21:B21"/>
    <mergeCell ref="A10:B10"/>
    <mergeCell ref="AE3:AF3"/>
    <mergeCell ref="Y165:Z165"/>
    <mergeCell ref="AB165:AC165"/>
    <mergeCell ref="AE165:AF165"/>
    <mergeCell ref="Y24:Z24"/>
    <mergeCell ref="AB24:AC24"/>
    <mergeCell ref="AE24:AF24"/>
    <mergeCell ref="AB3:AC3"/>
    <mergeCell ref="Y74:Z74"/>
    <mergeCell ref="AB74:AC74"/>
    <mergeCell ref="AE74:AF74"/>
    <mergeCell ref="L74:U74"/>
    <mergeCell ref="A19:B19"/>
    <mergeCell ref="A16:B16"/>
    <mergeCell ref="A12:B12"/>
    <mergeCell ref="A74:J74"/>
    <mergeCell ref="A246:J246"/>
    <mergeCell ref="A296:J296"/>
    <mergeCell ref="A18:B18"/>
    <mergeCell ref="A20:B20"/>
    <mergeCell ref="A14:B14"/>
    <mergeCell ref="A413:J413"/>
    <mergeCell ref="A405:J405"/>
    <mergeCell ref="L394:U394"/>
    <mergeCell ref="L413:U413"/>
    <mergeCell ref="L4:U4"/>
    <mergeCell ref="L246:U246"/>
    <mergeCell ref="L296:U296"/>
    <mergeCell ref="L205:U205"/>
    <mergeCell ref="L24:U24"/>
    <mergeCell ref="L165:U165"/>
    <mergeCell ref="L125:U125"/>
    <mergeCell ref="L347:U347"/>
    <mergeCell ref="L388:U388"/>
    <mergeCell ref="L405:U405"/>
    <mergeCell ref="A22:B22"/>
    <mergeCell ref="A388:J388"/>
    <mergeCell ref="A643:U643"/>
    <mergeCell ref="L592:U592"/>
    <mergeCell ref="A442:J442"/>
    <mergeCell ref="A492:J492"/>
    <mergeCell ref="A542:J542"/>
    <mergeCell ref="A592:J592"/>
    <mergeCell ref="L442:U442"/>
    <mergeCell ref="L492:U492"/>
    <mergeCell ref="L542:U542"/>
    <mergeCell ref="A394:G394"/>
    <mergeCell ref="A8:B8"/>
    <mergeCell ref="A13:B13"/>
    <mergeCell ref="A15:B15"/>
    <mergeCell ref="A3:B3"/>
    <mergeCell ref="A5:B5"/>
    <mergeCell ref="A6:B6"/>
    <mergeCell ref="A7:B7"/>
    <mergeCell ref="A4:J4"/>
    <mergeCell ref="A9:B9"/>
    <mergeCell ref="A17:B17"/>
    <mergeCell ref="A165:J165"/>
    <mergeCell ref="A347:J347"/>
    <mergeCell ref="A205:J205"/>
    <mergeCell ref="A24:J24"/>
    <mergeCell ref="A125:J125"/>
  </mergeCells>
  <pageMargins left="0.17" right="0" top="0.46" bottom="0.4" header="0" footer="0.17"/>
  <pageSetup scale="62" fitToHeight="0" orientation="portrait" r:id="rId1"/>
  <headerFooter alignWithMargins="0">
    <oddFooter>Prepared by Paul Turcotte &amp;D&amp;RPage &amp;P</oddFooter>
  </headerFooter>
  <rowBreaks count="5" manualBreakCount="5">
    <brk id="23" max="16383" man="1"/>
    <brk id="164" max="16383" man="1"/>
    <brk id="204" max="16383" man="1"/>
    <brk id="245" max="16383" man="1"/>
    <brk id="295" max="16383" man="1"/>
  </rowBreaks>
  <ignoredErrors>
    <ignoredError sqref="D69:D71 D62:D66 X391 AB112:AC112 D113:D116 D119:D121 F284:H284 N284:O284 T284:U284 X284 X294 F334:I334 N334:O334 T334:U334 X334 AB334:AC334 X344 M354:O354 L355:O355 M356:O356 M368:O368 M373:O373 M377:O377 M382:O382 X385 X440 AB62:AC62" formula="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2">
    <tabColor theme="3"/>
    <pageSetUpPr fitToPage="1"/>
  </sheetPr>
  <dimension ref="A1:AF57"/>
  <sheetViews>
    <sheetView showGridLines="0" zoomScale="70" zoomScaleNormal="70" zoomScaleSheetLayoutView="100" workbookViewId="0">
      <selection activeCell="C58" sqref="C58"/>
    </sheetView>
  </sheetViews>
  <sheetFormatPr defaultColWidth="9.109375" defaultRowHeight="13.8" outlineLevelCol="1"/>
  <cols>
    <col min="1" max="1" width="11.109375" style="1" customWidth="1"/>
    <col min="2" max="2" width="22.5546875" style="1" customWidth="1"/>
    <col min="3" max="3" width="15.88671875" style="1" customWidth="1" outlineLevel="1"/>
    <col min="4" max="4" width="15" style="1" customWidth="1" outlineLevel="1"/>
    <col min="5" max="5" width="8.6640625" style="1" customWidth="1" outlineLevel="1"/>
    <col min="6" max="6" width="12.44140625" style="1" customWidth="1"/>
    <col min="7" max="7" width="13.88671875" style="1" customWidth="1" outlineLevel="1"/>
    <col min="8" max="8" width="14.44140625" style="1" customWidth="1" outlineLevel="1"/>
    <col min="9" max="9" width="7.44140625" style="1" customWidth="1" outlineLevel="1"/>
    <col min="10" max="10" width="12.44140625" style="1" customWidth="1"/>
    <col min="11" max="11" width="15.109375" style="1" customWidth="1" outlineLevel="1"/>
    <col min="12" max="12" width="14" style="1" customWidth="1" outlineLevel="1"/>
    <col min="13" max="13" width="7.5546875" style="1" customWidth="1" outlineLevel="1"/>
    <col min="14" max="14" width="12.44140625" style="1" customWidth="1"/>
    <col min="15" max="15" width="13.33203125" style="1" customWidth="1" outlineLevel="1"/>
    <col min="16" max="16" width="13.6640625" style="1" customWidth="1" outlineLevel="1"/>
    <col min="17" max="17" width="8.6640625" style="1" customWidth="1" outlineLevel="1"/>
    <col min="18" max="18" width="12.44140625" style="1" customWidth="1"/>
    <col min="19" max="19" width="16" style="1" customWidth="1" outlineLevel="1"/>
    <col min="20" max="20" width="12.6640625" style="1" customWidth="1" outlineLevel="1"/>
    <col min="21" max="21" width="9.33203125" style="1" customWidth="1" outlineLevel="1"/>
    <col min="22" max="22" width="12.44140625" style="1" bestFit="1" customWidth="1"/>
    <col min="23" max="23" width="15.33203125" style="1" customWidth="1" outlineLevel="1"/>
    <col min="24" max="24" width="10.88671875" style="1" customWidth="1"/>
    <col min="25" max="25" width="14.88671875" style="1" customWidth="1" outlineLevel="1"/>
    <col min="26" max="26" width="9.5546875" style="1" bestFit="1" customWidth="1"/>
    <col min="27" max="28" width="15.6640625" style="1" customWidth="1"/>
    <col min="29" max="29" width="16" style="1" customWidth="1"/>
    <col min="30" max="30" width="14.5546875" style="1" customWidth="1"/>
    <col min="31" max="31" width="15.44140625" style="1" customWidth="1"/>
    <col min="32" max="36" width="9.109375" style="1" customWidth="1"/>
    <col min="37" max="16384" width="9.109375" style="1"/>
  </cols>
  <sheetData>
    <row r="1" spans="1:32">
      <c r="A1" s="3" t="str">
        <f>'Space Support'!A1</f>
        <v>General Academic Institutions - Formula Funding - 2024-2025</v>
      </c>
      <c r="B1" s="3"/>
      <c r="C1" s="3"/>
      <c r="D1" s="3"/>
      <c r="E1" s="3"/>
      <c r="F1" s="4"/>
      <c r="G1" s="4"/>
      <c r="H1" s="4"/>
      <c r="I1" s="4"/>
      <c r="J1" s="4"/>
      <c r="K1" s="4"/>
      <c r="L1" s="4"/>
      <c r="M1" s="4"/>
      <c r="N1" s="4"/>
      <c r="O1" s="4"/>
      <c r="P1" s="4"/>
      <c r="Q1" s="4"/>
      <c r="R1" s="4"/>
      <c r="S1" s="4"/>
      <c r="T1" s="4"/>
      <c r="U1" s="4"/>
      <c r="V1" s="4"/>
      <c r="W1" s="4"/>
      <c r="X1" s="4"/>
      <c r="Y1" s="4"/>
      <c r="Z1" s="4"/>
      <c r="AA1" s="4"/>
      <c r="AB1" s="4"/>
      <c r="AC1" s="4"/>
      <c r="AD1" s="4"/>
    </row>
    <row r="2" spans="1:32" ht="16.8" thickBot="1">
      <c r="A2" s="3" t="s">
        <v>441</v>
      </c>
      <c r="B2" s="3"/>
      <c r="C2" s="3"/>
      <c r="D2" s="3"/>
      <c r="E2" s="3"/>
      <c r="F2" s="4"/>
      <c r="G2" s="4"/>
      <c r="H2" s="4"/>
      <c r="I2" s="4"/>
      <c r="J2" s="4"/>
      <c r="K2" s="4"/>
      <c r="L2" s="4"/>
      <c r="M2" s="4"/>
      <c r="N2" s="4"/>
      <c r="O2" s="4"/>
      <c r="P2" s="4"/>
      <c r="Q2" s="4"/>
      <c r="R2" s="4"/>
      <c r="S2" s="4"/>
      <c r="T2" s="4"/>
      <c r="U2" s="4"/>
      <c r="V2" s="4"/>
      <c r="W2" s="4"/>
      <c r="X2" s="4"/>
      <c r="Y2" s="4"/>
      <c r="Z2" s="4"/>
      <c r="AA2" s="4"/>
      <c r="AB2" s="4"/>
      <c r="AC2" s="4"/>
      <c r="AD2" s="4"/>
    </row>
    <row r="3" spans="1:32" ht="28.2" customHeight="1" thickBot="1">
      <c r="A3" s="722" t="s">
        <v>27</v>
      </c>
      <c r="B3" s="723"/>
      <c r="C3" s="726" t="s">
        <v>75</v>
      </c>
      <c r="D3" s="727"/>
      <c r="E3" s="727"/>
      <c r="F3" s="728"/>
      <c r="G3" s="729" t="s">
        <v>76</v>
      </c>
      <c r="H3" s="727"/>
      <c r="I3" s="727"/>
      <c r="J3" s="728"/>
      <c r="K3" s="729" t="s">
        <v>77</v>
      </c>
      <c r="L3" s="727"/>
      <c r="M3" s="727"/>
      <c r="N3" s="728"/>
      <c r="O3" s="719" t="s">
        <v>304</v>
      </c>
      <c r="P3" s="720"/>
      <c r="Q3" s="720"/>
      <c r="R3" s="721"/>
      <c r="S3" s="719" t="s">
        <v>78</v>
      </c>
      <c r="T3" s="720"/>
      <c r="U3" s="720"/>
      <c r="V3" s="721"/>
      <c r="W3" s="717" t="s">
        <v>79</v>
      </c>
      <c r="X3" s="718"/>
      <c r="Y3" s="715" t="s">
        <v>80</v>
      </c>
      <c r="Z3" s="716"/>
      <c r="AA3" s="713" t="s">
        <v>248</v>
      </c>
      <c r="AB3" s="711" t="s">
        <v>128</v>
      </c>
      <c r="AC3" s="711" t="s">
        <v>195</v>
      </c>
      <c r="AD3" s="711" t="s">
        <v>206</v>
      </c>
    </row>
    <row r="4" spans="1:32" ht="48.75" customHeight="1" thickBot="1">
      <c r="A4" s="724"/>
      <c r="B4" s="725"/>
      <c r="C4" s="5" t="s">
        <v>122</v>
      </c>
      <c r="D4" s="6" t="s">
        <v>119</v>
      </c>
      <c r="E4" s="7" t="s">
        <v>125</v>
      </c>
      <c r="F4" s="8" t="s">
        <v>127</v>
      </c>
      <c r="G4" s="9" t="s">
        <v>120</v>
      </c>
      <c r="H4" s="6" t="s">
        <v>119</v>
      </c>
      <c r="I4" s="7" t="s">
        <v>125</v>
      </c>
      <c r="J4" s="8" t="s">
        <v>127</v>
      </c>
      <c r="K4" s="9" t="s">
        <v>129</v>
      </c>
      <c r="L4" s="6" t="s">
        <v>119</v>
      </c>
      <c r="M4" s="7" t="s">
        <v>125</v>
      </c>
      <c r="N4" s="8" t="s">
        <v>127</v>
      </c>
      <c r="O4" s="9" t="s">
        <v>129</v>
      </c>
      <c r="P4" s="6" t="s">
        <v>119</v>
      </c>
      <c r="Q4" s="7" t="s">
        <v>125</v>
      </c>
      <c r="R4" s="8" t="s">
        <v>127</v>
      </c>
      <c r="S4" s="9" t="s">
        <v>121</v>
      </c>
      <c r="T4" s="6" t="s">
        <v>119</v>
      </c>
      <c r="U4" s="7" t="s">
        <v>125</v>
      </c>
      <c r="V4" s="8" t="s">
        <v>127</v>
      </c>
      <c r="W4" s="10" t="s">
        <v>119</v>
      </c>
      <c r="X4" s="8" t="s">
        <v>126</v>
      </c>
      <c r="Y4" s="10" t="s">
        <v>119</v>
      </c>
      <c r="Z4" s="7" t="s">
        <v>126</v>
      </c>
      <c r="AA4" s="714"/>
      <c r="AB4" s="712"/>
      <c r="AC4" s="712"/>
      <c r="AD4" s="712"/>
    </row>
    <row r="5" spans="1:32">
      <c r="A5" s="11">
        <v>3656</v>
      </c>
      <c r="B5" s="12" t="str">
        <f>VLOOKUP(A5,Summary!$A$25:$B$71,2,0)</f>
        <v>UT-Arlington</v>
      </c>
      <c r="C5" s="13">
        <v>81499285</v>
      </c>
      <c r="D5" s="13">
        <v>4945111</v>
      </c>
      <c r="E5" s="14">
        <f>IF(C5=0,0,ROUND(D5/C5,4))</f>
        <v>6.0699999999999997E-2</v>
      </c>
      <c r="F5" s="15">
        <f t="shared" ref="F5:F46" si="0">ROUND((E5/E$53)*D5/$AB5,8)</f>
        <v>0.45202472999999999</v>
      </c>
      <c r="G5" s="13">
        <v>322377</v>
      </c>
      <c r="H5" s="13">
        <v>2423671</v>
      </c>
      <c r="I5" s="16">
        <f>IF(G5=0,0,ROUND(H5/G5,4))</f>
        <v>7.5180999999999996</v>
      </c>
      <c r="J5" s="15">
        <f t="shared" ref="J5:J46" si="1">ROUND((I5/I$53)*H5/$AB5,8)</f>
        <v>0.36177679000000001</v>
      </c>
      <c r="K5" s="13">
        <v>236645</v>
      </c>
      <c r="L5" s="13">
        <v>938816</v>
      </c>
      <c r="M5" s="16">
        <f>IF(K5=0,0,ROUND(L5/K5,4))</f>
        <v>3.9672000000000001</v>
      </c>
      <c r="N5" s="15">
        <f t="shared" ref="N5:N46" si="2">ROUND((M5/M$53)*L5/$AB5,8)</f>
        <v>9.4308489999999995E-2</v>
      </c>
      <c r="O5" s="13">
        <v>101667</v>
      </c>
      <c r="P5" s="13">
        <v>670951</v>
      </c>
      <c r="Q5" s="16">
        <f>IF(O5=0,0,ROUND(P5/O5,4))</f>
        <v>6.5994999999999999</v>
      </c>
      <c r="R5" s="15">
        <f t="shared" ref="R5:R46" si="3">ROUND((Q5/Q$53)*P5/$AB5,8)</f>
        <v>8.5744589999999996E-2</v>
      </c>
      <c r="S5" s="13">
        <v>0</v>
      </c>
      <c r="T5" s="13">
        <v>0</v>
      </c>
      <c r="U5" s="16">
        <f>IF(S5=0,0,ROUND(T5/S5,4))</f>
        <v>0</v>
      </c>
      <c r="V5" s="15">
        <f t="shared" ref="V5:V46" si="4">ROUND((U5/U$53)*T5/$AB5,8)</f>
        <v>0</v>
      </c>
      <c r="W5" s="13">
        <v>136787</v>
      </c>
      <c r="X5" s="17">
        <f t="shared" ref="X5:X51" si="5">ROUND(W5/$AB5,8)</f>
        <v>1.279187E-2</v>
      </c>
      <c r="Y5" s="13">
        <v>1577944</v>
      </c>
      <c r="Z5" s="18">
        <f t="shared" ref="Z5:Z51" si="6">ROUND(Y5/$AB5,8)</f>
        <v>0.14756407999999999</v>
      </c>
      <c r="AA5" s="19">
        <f t="shared" ref="AA5:AA51" si="7">F5+J5+N5+R5+V5+X5+Z5</f>
        <v>1.1542105499999999</v>
      </c>
      <c r="AB5" s="20">
        <f t="shared" ref="AB5:AB39" si="8">D5+H5+L5+P5+T5+W5+Y5</f>
        <v>10693280</v>
      </c>
      <c r="AC5" s="13">
        <v>4939938</v>
      </c>
      <c r="AD5" s="21">
        <f>AB5/(AB5+AC5)</f>
        <v>0.68401016348649391</v>
      </c>
      <c r="AE5" s="2"/>
      <c r="AF5" s="2"/>
    </row>
    <row r="6" spans="1:32">
      <c r="A6" s="22">
        <v>3658</v>
      </c>
      <c r="B6" s="23" t="str">
        <f>VLOOKUP(A6,Summary!$A$25:$B$71,2,0)</f>
        <v>UT-Austin</v>
      </c>
      <c r="C6" s="13">
        <v>143028279</v>
      </c>
      <c r="D6" s="13">
        <v>8724170</v>
      </c>
      <c r="E6" s="24">
        <f t="shared" ref="E6:E39" si="9">IF(C6=0,0,ROUND(D6/C6,4))</f>
        <v>6.0999999999999999E-2</v>
      </c>
      <c r="F6" s="25">
        <f t="shared" si="0"/>
        <v>0.16018358999999999</v>
      </c>
      <c r="G6" s="13">
        <v>3225068</v>
      </c>
      <c r="H6" s="13">
        <v>13469781</v>
      </c>
      <c r="I6" s="26">
        <f t="shared" ref="I6:I39" si="10">IF(G6=0,0,ROUND(H6/G6,4))</f>
        <v>4.1765999999999996</v>
      </c>
      <c r="J6" s="25">
        <f t="shared" si="1"/>
        <v>0.22325898999999999</v>
      </c>
      <c r="K6" s="13">
        <v>629747</v>
      </c>
      <c r="L6" s="13">
        <v>3702178</v>
      </c>
      <c r="M6" s="26">
        <f t="shared" ref="M6:M39" si="11">IF(K6=0,0,ROUND(L6/K6,4))</f>
        <v>5.8788</v>
      </c>
      <c r="N6" s="25">
        <f t="shared" si="2"/>
        <v>0.11015363</v>
      </c>
      <c r="O6" s="13">
        <v>296114</v>
      </c>
      <c r="P6" s="13">
        <v>2638690</v>
      </c>
      <c r="Q6" s="26">
        <f t="shared" ref="Q6:Q39" si="12">IF(O6=0,0,ROUND(P6/O6,4))</f>
        <v>8.9110999999999994</v>
      </c>
      <c r="R6" s="25">
        <f t="shared" si="3"/>
        <v>9.1010430000000003E-2</v>
      </c>
      <c r="S6" s="13">
        <v>0</v>
      </c>
      <c r="T6" s="13">
        <v>0</v>
      </c>
      <c r="U6" s="26">
        <f t="shared" ref="U6:U39" si="13">IF(S6=0,0,ROUND(T6/S6,4))</f>
        <v>0</v>
      </c>
      <c r="V6" s="25">
        <f t="shared" si="4"/>
        <v>0</v>
      </c>
      <c r="W6" s="13">
        <v>5880839</v>
      </c>
      <c r="X6" s="27">
        <f t="shared" si="5"/>
        <v>0.10992461000000001</v>
      </c>
      <c r="Y6" s="13">
        <v>19083179</v>
      </c>
      <c r="Z6" s="27">
        <f t="shared" si="6"/>
        <v>0.35670268999999999</v>
      </c>
      <c r="AA6" s="28">
        <f t="shared" si="7"/>
        <v>1.0512339399999999</v>
      </c>
      <c r="AB6" s="29">
        <f t="shared" si="8"/>
        <v>53498837</v>
      </c>
      <c r="AC6" s="13">
        <v>52176911</v>
      </c>
      <c r="AD6" s="30">
        <f t="shared" ref="AD6:AD53" si="14">AB6/(AB6+AC6)</f>
        <v>0.50625463280373473</v>
      </c>
      <c r="AE6" s="2"/>
      <c r="AF6" s="2"/>
    </row>
    <row r="7" spans="1:32">
      <c r="A7" s="22">
        <v>9741</v>
      </c>
      <c r="B7" s="23" t="str">
        <f>VLOOKUP(A7,Summary!$A$25:$B$71,2,0)</f>
        <v>UT-Dallas</v>
      </c>
      <c r="C7" s="13">
        <v>101047987</v>
      </c>
      <c r="D7" s="13">
        <v>5664965</v>
      </c>
      <c r="E7" s="24">
        <f t="shared" si="9"/>
        <v>5.6099999999999997E-2</v>
      </c>
      <c r="F7" s="25">
        <f t="shared" si="0"/>
        <v>0.32808925</v>
      </c>
      <c r="G7" s="13">
        <v>385746</v>
      </c>
      <c r="H7" s="13">
        <v>2805450</v>
      </c>
      <c r="I7" s="26">
        <f t="shared" si="10"/>
        <v>7.2728000000000002</v>
      </c>
      <c r="J7" s="25">
        <f t="shared" si="1"/>
        <v>0.27771385999999998</v>
      </c>
      <c r="K7" s="13">
        <v>222560</v>
      </c>
      <c r="L7" s="13">
        <v>1502628</v>
      </c>
      <c r="M7" s="26">
        <f t="shared" si="11"/>
        <v>6.7515999999999998</v>
      </c>
      <c r="N7" s="25">
        <f t="shared" si="2"/>
        <v>0.17610791000000001</v>
      </c>
      <c r="O7" s="13">
        <v>91292</v>
      </c>
      <c r="P7" s="13">
        <v>584355</v>
      </c>
      <c r="Q7" s="26">
        <f t="shared" si="12"/>
        <v>6.4009</v>
      </c>
      <c r="R7" s="25">
        <f t="shared" si="3"/>
        <v>4.9654330000000003E-2</v>
      </c>
      <c r="S7" s="13">
        <v>0</v>
      </c>
      <c r="T7" s="13">
        <v>0</v>
      </c>
      <c r="U7" s="26">
        <f t="shared" si="13"/>
        <v>0</v>
      </c>
      <c r="V7" s="25">
        <f t="shared" si="4"/>
        <v>0</v>
      </c>
      <c r="W7" s="13">
        <v>0</v>
      </c>
      <c r="X7" s="27">
        <f t="shared" si="5"/>
        <v>0</v>
      </c>
      <c r="Y7" s="13">
        <v>5040874</v>
      </c>
      <c r="Z7" s="27">
        <f t="shared" si="6"/>
        <v>0.32316875</v>
      </c>
      <c r="AA7" s="28">
        <f t="shared" si="7"/>
        <v>1.1547341</v>
      </c>
      <c r="AB7" s="29">
        <f t="shared" si="8"/>
        <v>15598272</v>
      </c>
      <c r="AC7" s="13">
        <v>35146579</v>
      </c>
      <c r="AD7" s="30">
        <f t="shared" si="14"/>
        <v>0.30738630013910179</v>
      </c>
      <c r="AE7" s="2"/>
      <c r="AF7" s="2"/>
    </row>
    <row r="8" spans="1:32">
      <c r="A8" s="22">
        <v>3661</v>
      </c>
      <c r="B8" s="23" t="str">
        <f>VLOOKUP(A8,Summary!$A$25:$B$71,2,0)</f>
        <v>UT-El Paso</v>
      </c>
      <c r="C8" s="13">
        <v>52267231</v>
      </c>
      <c r="D8" s="13">
        <v>4285802</v>
      </c>
      <c r="E8" s="24">
        <f t="shared" si="9"/>
        <v>8.2000000000000003E-2</v>
      </c>
      <c r="F8" s="25">
        <f t="shared" si="0"/>
        <v>0.58122741</v>
      </c>
      <c r="G8" s="13">
        <v>209591</v>
      </c>
      <c r="H8" s="13">
        <v>1282379</v>
      </c>
      <c r="I8" s="26">
        <f t="shared" si="10"/>
        <v>6.1185</v>
      </c>
      <c r="J8" s="25">
        <f t="shared" si="1"/>
        <v>0.17108935</v>
      </c>
      <c r="K8" s="13">
        <v>248320</v>
      </c>
      <c r="L8" s="13">
        <v>1025116</v>
      </c>
      <c r="M8" s="26">
        <f t="shared" si="11"/>
        <v>4.1281999999999996</v>
      </c>
      <c r="N8" s="25">
        <f t="shared" si="2"/>
        <v>0.11768542</v>
      </c>
      <c r="O8" s="13">
        <v>67543</v>
      </c>
      <c r="P8" s="13">
        <v>278831</v>
      </c>
      <c r="Q8" s="26">
        <f t="shared" si="12"/>
        <v>4.1281999999999996</v>
      </c>
      <c r="R8" s="25">
        <f t="shared" si="3"/>
        <v>2.4479879999999999E-2</v>
      </c>
      <c r="S8" s="13">
        <v>0</v>
      </c>
      <c r="T8" s="13">
        <v>0</v>
      </c>
      <c r="U8" s="26">
        <f t="shared" si="13"/>
        <v>0</v>
      </c>
      <c r="V8" s="25">
        <f t="shared" si="4"/>
        <v>0</v>
      </c>
      <c r="W8" s="13">
        <v>39250</v>
      </c>
      <c r="X8" s="27">
        <f t="shared" si="5"/>
        <v>4.0311699999999997E-3</v>
      </c>
      <c r="Y8" s="13">
        <v>2825243</v>
      </c>
      <c r="Z8" s="27">
        <f t="shared" si="6"/>
        <v>0.29016668000000001</v>
      </c>
      <c r="AA8" s="28">
        <f t="shared" si="7"/>
        <v>1.1886799100000001</v>
      </c>
      <c r="AB8" s="29">
        <f t="shared" si="8"/>
        <v>9736621</v>
      </c>
      <c r="AC8" s="13">
        <v>21246438</v>
      </c>
      <c r="AD8" s="30">
        <f t="shared" si="14"/>
        <v>0.31425628437785952</v>
      </c>
      <c r="AE8" s="2"/>
      <c r="AF8" s="2"/>
    </row>
    <row r="9" spans="1:32" ht="14.25" customHeight="1">
      <c r="A9" s="22">
        <v>3599</v>
      </c>
      <c r="B9" s="23" t="str">
        <f>VLOOKUP(A9,Summary!$A$25:$B$71,2,0)</f>
        <v>UT-Rio Grande Valley</v>
      </c>
      <c r="C9" s="13">
        <v>76508118</v>
      </c>
      <c r="D9" s="13">
        <v>5084322</v>
      </c>
      <c r="E9" s="24">
        <f t="shared" si="9"/>
        <v>6.6500000000000004E-2</v>
      </c>
      <c r="F9" s="25">
        <f t="shared" si="0"/>
        <v>0.30771938999999998</v>
      </c>
      <c r="G9" s="13">
        <v>43762</v>
      </c>
      <c r="H9" s="13">
        <v>380399</v>
      </c>
      <c r="I9" s="26">
        <f t="shared" si="10"/>
        <v>8.6925000000000008</v>
      </c>
      <c r="J9" s="25">
        <f t="shared" si="1"/>
        <v>3.9677629999999998E-2</v>
      </c>
      <c r="K9" s="13">
        <v>165612</v>
      </c>
      <c r="L9" s="13">
        <v>514141</v>
      </c>
      <c r="M9" s="26">
        <f t="shared" si="11"/>
        <v>3.1044999999999998</v>
      </c>
      <c r="N9" s="25">
        <f t="shared" si="2"/>
        <v>2.4426590000000001E-2</v>
      </c>
      <c r="O9" s="13">
        <v>90957</v>
      </c>
      <c r="P9" s="13">
        <v>206145</v>
      </c>
      <c r="Q9" s="26">
        <f t="shared" si="12"/>
        <v>2.2664</v>
      </c>
      <c r="R9" s="25">
        <f t="shared" si="3"/>
        <v>5.4678499999999998E-3</v>
      </c>
      <c r="S9" s="13">
        <v>0</v>
      </c>
      <c r="T9" s="13">
        <v>0</v>
      </c>
      <c r="U9" s="26">
        <f t="shared" si="13"/>
        <v>0</v>
      </c>
      <c r="V9" s="25">
        <f t="shared" si="4"/>
        <v>0</v>
      </c>
      <c r="W9" s="13">
        <v>0</v>
      </c>
      <c r="X9" s="27">
        <f t="shared" si="5"/>
        <v>0</v>
      </c>
      <c r="Y9" s="13">
        <v>11508268</v>
      </c>
      <c r="Z9" s="27">
        <f t="shared" si="6"/>
        <v>0.65043176000000003</v>
      </c>
      <c r="AA9" s="28">
        <f t="shared" si="7"/>
        <v>1.0277232199999999</v>
      </c>
      <c r="AB9" s="29">
        <f t="shared" si="8"/>
        <v>17693275</v>
      </c>
      <c r="AC9" s="13">
        <v>17194159</v>
      </c>
      <c r="AD9" s="30">
        <f t="shared" si="14"/>
        <v>0.50715323460017148</v>
      </c>
      <c r="AE9" s="2"/>
      <c r="AF9" s="2"/>
    </row>
    <row r="10" spans="1:32">
      <c r="A10" s="22">
        <v>9930</v>
      </c>
      <c r="B10" s="23" t="str">
        <f>VLOOKUP(A10,Summary!$A$25:$B$71,2,0)</f>
        <v>UT-Permian Basin</v>
      </c>
      <c r="C10" s="13">
        <v>22519489</v>
      </c>
      <c r="D10" s="13">
        <v>1487940</v>
      </c>
      <c r="E10" s="24">
        <f t="shared" si="9"/>
        <v>6.6100000000000006E-2</v>
      </c>
      <c r="F10" s="25">
        <f t="shared" si="0"/>
        <v>0.53691332000000003</v>
      </c>
      <c r="G10" s="13">
        <v>187356</v>
      </c>
      <c r="H10" s="13">
        <v>912422</v>
      </c>
      <c r="I10" s="26">
        <f t="shared" si="10"/>
        <v>4.87</v>
      </c>
      <c r="J10" s="25">
        <f t="shared" si="1"/>
        <v>0.31981842999999999</v>
      </c>
      <c r="K10" s="13">
        <v>110266</v>
      </c>
      <c r="L10" s="13">
        <v>489582</v>
      </c>
      <c r="M10" s="26">
        <f t="shared" si="11"/>
        <v>4.4400000000000004</v>
      </c>
      <c r="N10" s="25">
        <f t="shared" si="2"/>
        <v>0.19953288999999999</v>
      </c>
      <c r="O10" s="13">
        <v>13479</v>
      </c>
      <c r="P10" s="13">
        <v>59846</v>
      </c>
      <c r="Q10" s="26">
        <f t="shared" si="12"/>
        <v>4.4398999999999997</v>
      </c>
      <c r="R10" s="25">
        <f t="shared" si="3"/>
        <v>1.8652330000000002E-2</v>
      </c>
      <c r="S10" s="13">
        <v>0</v>
      </c>
      <c r="T10" s="13">
        <v>0</v>
      </c>
      <c r="U10" s="26">
        <f t="shared" si="13"/>
        <v>0</v>
      </c>
      <c r="V10" s="25">
        <f t="shared" si="4"/>
        <v>0</v>
      </c>
      <c r="W10" s="13">
        <v>0</v>
      </c>
      <c r="X10" s="27">
        <f t="shared" si="5"/>
        <v>0</v>
      </c>
      <c r="Y10" s="13">
        <v>0</v>
      </c>
      <c r="Z10" s="27">
        <f t="shared" si="6"/>
        <v>0</v>
      </c>
      <c r="AA10" s="28">
        <f t="shared" si="7"/>
        <v>1.0749169700000001</v>
      </c>
      <c r="AB10" s="29">
        <f t="shared" si="8"/>
        <v>2949790</v>
      </c>
      <c r="AC10" s="13">
        <v>2158754</v>
      </c>
      <c r="AD10" s="30">
        <f t="shared" si="14"/>
        <v>0.57742284298618163</v>
      </c>
      <c r="AE10" s="2"/>
      <c r="AF10" s="2"/>
    </row>
    <row r="11" spans="1:32">
      <c r="A11" s="22">
        <v>10115</v>
      </c>
      <c r="B11" s="23" t="str">
        <f>VLOOKUP(A11,Summary!$A$25:$B$71,2,0)</f>
        <v>UT-San Antonio</v>
      </c>
      <c r="C11" s="13">
        <v>92693739</v>
      </c>
      <c r="D11" s="13">
        <v>8082894</v>
      </c>
      <c r="E11" s="24">
        <f t="shared" si="9"/>
        <v>8.72E-2</v>
      </c>
      <c r="F11" s="25">
        <f t="shared" si="0"/>
        <v>0.64851287999999996</v>
      </c>
      <c r="G11" s="13">
        <v>251493</v>
      </c>
      <c r="H11" s="13">
        <v>1956617</v>
      </c>
      <c r="I11" s="26">
        <f t="shared" si="10"/>
        <v>7.78</v>
      </c>
      <c r="J11" s="25">
        <f t="shared" si="1"/>
        <v>0.18466394999999999</v>
      </c>
      <c r="K11" s="13">
        <v>122762</v>
      </c>
      <c r="L11" s="13">
        <v>839991</v>
      </c>
      <c r="M11" s="26">
        <f t="shared" si="11"/>
        <v>6.8423999999999996</v>
      </c>
      <c r="N11" s="25">
        <f t="shared" si="2"/>
        <v>8.8921570000000005E-2</v>
      </c>
      <c r="O11" s="13">
        <v>85934</v>
      </c>
      <c r="P11" s="13">
        <v>355879</v>
      </c>
      <c r="Q11" s="26">
        <f t="shared" si="12"/>
        <v>4.1413000000000002</v>
      </c>
      <c r="R11" s="25">
        <f t="shared" si="3"/>
        <v>1.7437399999999999E-2</v>
      </c>
      <c r="S11" s="13">
        <v>0</v>
      </c>
      <c r="T11" s="13">
        <v>0</v>
      </c>
      <c r="U11" s="26">
        <f t="shared" si="13"/>
        <v>0</v>
      </c>
      <c r="V11" s="25">
        <f t="shared" si="4"/>
        <v>0</v>
      </c>
      <c r="W11" s="13">
        <v>560000</v>
      </c>
      <c r="X11" s="27">
        <f t="shared" si="5"/>
        <v>3.1997409999999997E-2</v>
      </c>
      <c r="Y11" s="13">
        <v>5706034</v>
      </c>
      <c r="Z11" s="27">
        <f t="shared" si="6"/>
        <v>0.32603272</v>
      </c>
      <c r="AA11" s="28">
        <f t="shared" si="7"/>
        <v>1.29756593</v>
      </c>
      <c r="AB11" s="29">
        <f t="shared" si="8"/>
        <v>17501415</v>
      </c>
      <c r="AC11" s="13">
        <v>27865074</v>
      </c>
      <c r="AD11" s="30">
        <f t="shared" si="14"/>
        <v>0.3857784762669203</v>
      </c>
      <c r="AE11" s="2"/>
      <c r="AF11" s="2"/>
    </row>
    <row r="12" spans="1:32">
      <c r="A12" s="22">
        <v>11163</v>
      </c>
      <c r="B12" s="23" t="str">
        <f>VLOOKUP(A12,Summary!$A$25:$B$71,2,0)</f>
        <v>UT-Tyler</v>
      </c>
      <c r="C12" s="13">
        <v>29763660</v>
      </c>
      <c r="D12" s="13">
        <v>1783834</v>
      </c>
      <c r="E12" s="24">
        <f t="shared" si="9"/>
        <v>5.9900000000000002E-2</v>
      </c>
      <c r="F12" s="25">
        <f t="shared" si="0"/>
        <v>0.54254824999999995</v>
      </c>
      <c r="G12" s="13">
        <v>90391</v>
      </c>
      <c r="H12" s="13">
        <v>506298</v>
      </c>
      <c r="I12" s="26">
        <f t="shared" si="10"/>
        <v>5.6012000000000004</v>
      </c>
      <c r="J12" s="25">
        <f t="shared" si="1"/>
        <v>0.18984793</v>
      </c>
      <c r="K12" s="13">
        <v>44148</v>
      </c>
      <c r="L12" s="13">
        <v>208713</v>
      </c>
      <c r="M12" s="26">
        <f t="shared" si="11"/>
        <v>4.7275999999999998</v>
      </c>
      <c r="N12" s="25">
        <f t="shared" si="2"/>
        <v>8.4243440000000003E-2</v>
      </c>
      <c r="O12" s="13">
        <v>44148</v>
      </c>
      <c r="P12" s="13">
        <v>146442</v>
      </c>
      <c r="Q12" s="26">
        <f t="shared" si="12"/>
        <v>3.3170999999999999</v>
      </c>
      <c r="R12" s="25">
        <f t="shared" si="3"/>
        <v>3.1716750000000002E-2</v>
      </c>
      <c r="S12" s="13">
        <v>0</v>
      </c>
      <c r="T12" s="13">
        <v>0</v>
      </c>
      <c r="U12" s="26">
        <f t="shared" si="13"/>
        <v>0</v>
      </c>
      <c r="V12" s="25">
        <f t="shared" si="4"/>
        <v>0</v>
      </c>
      <c r="W12" s="13">
        <v>0</v>
      </c>
      <c r="X12" s="27">
        <f t="shared" si="5"/>
        <v>0</v>
      </c>
      <c r="Y12" s="13">
        <v>526115</v>
      </c>
      <c r="Z12" s="27">
        <f t="shared" si="6"/>
        <v>0.16589350999999999</v>
      </c>
      <c r="AA12" s="28">
        <f t="shared" si="7"/>
        <v>1.0142498799999999</v>
      </c>
      <c r="AB12" s="29">
        <f t="shared" si="8"/>
        <v>3171402</v>
      </c>
      <c r="AC12" s="13">
        <v>7886086</v>
      </c>
      <c r="AD12" s="30">
        <f t="shared" si="14"/>
        <v>0.28681034969244373</v>
      </c>
      <c r="AE12" s="2"/>
      <c r="AF12" s="2"/>
    </row>
    <row r="13" spans="1:32">
      <c r="A13" s="22">
        <v>3632</v>
      </c>
      <c r="B13" s="23" t="str">
        <f>VLOOKUP(A13,Summary!$A$25:$B$71,2,0)</f>
        <v>TAMU</v>
      </c>
      <c r="C13" s="13">
        <v>228002951</v>
      </c>
      <c r="D13" s="13">
        <v>10800942</v>
      </c>
      <c r="E13" s="24">
        <f t="shared" si="9"/>
        <v>4.7399999999999998E-2</v>
      </c>
      <c r="F13" s="25">
        <f t="shared" si="0"/>
        <v>0.20927351999999999</v>
      </c>
      <c r="G13" s="13">
        <v>1075789</v>
      </c>
      <c r="H13" s="13">
        <v>5023369</v>
      </c>
      <c r="I13" s="26">
        <f t="shared" si="10"/>
        <v>4.6695000000000002</v>
      </c>
      <c r="J13" s="25">
        <f t="shared" si="1"/>
        <v>0.12641577000000001</v>
      </c>
      <c r="K13" s="13">
        <v>24547</v>
      </c>
      <c r="L13" s="13">
        <v>90964</v>
      </c>
      <c r="M13" s="26">
        <f t="shared" si="11"/>
        <v>3.7057000000000002</v>
      </c>
      <c r="N13" s="25">
        <f t="shared" si="2"/>
        <v>2.3168799999999999E-3</v>
      </c>
      <c r="O13" s="13">
        <v>12244</v>
      </c>
      <c r="P13" s="13">
        <v>77873</v>
      </c>
      <c r="Q13" s="26">
        <f t="shared" si="12"/>
        <v>6.3601000000000001</v>
      </c>
      <c r="R13" s="25">
        <f t="shared" si="3"/>
        <v>2.6033499999999999E-3</v>
      </c>
      <c r="S13" s="13">
        <v>0</v>
      </c>
      <c r="T13" s="13">
        <v>0</v>
      </c>
      <c r="U13" s="26">
        <f t="shared" si="13"/>
        <v>0</v>
      </c>
      <c r="V13" s="25">
        <f t="shared" si="4"/>
        <v>0</v>
      </c>
      <c r="W13" s="13">
        <v>7368666</v>
      </c>
      <c r="X13" s="27">
        <f t="shared" si="5"/>
        <v>0.18704873999999999</v>
      </c>
      <c r="Y13" s="13">
        <v>16032550</v>
      </c>
      <c r="Z13" s="27">
        <f t="shared" si="6"/>
        <v>0.40697572999999998</v>
      </c>
      <c r="AA13" s="28">
        <f t="shared" si="7"/>
        <v>0.93463399000000003</v>
      </c>
      <c r="AB13" s="29">
        <f t="shared" si="8"/>
        <v>39394364</v>
      </c>
      <c r="AC13" s="13">
        <v>104095174</v>
      </c>
      <c r="AD13" s="30">
        <f t="shared" si="14"/>
        <v>0.27454520064034216</v>
      </c>
      <c r="AE13" s="2"/>
      <c r="AF13" s="2"/>
    </row>
    <row r="14" spans="1:32">
      <c r="A14" s="22">
        <v>10298</v>
      </c>
      <c r="B14" s="23" t="str">
        <f>VLOOKUP(A14,Summary!$A$25:$B$71,2,0)</f>
        <v>TAMU-Galveston</v>
      </c>
      <c r="C14" s="13">
        <v>20331868</v>
      </c>
      <c r="D14" s="13">
        <v>1222310</v>
      </c>
      <c r="E14" s="24">
        <f t="shared" si="9"/>
        <v>6.0100000000000001E-2</v>
      </c>
      <c r="F14" s="25">
        <f t="shared" si="0"/>
        <v>0.27114898999999998</v>
      </c>
      <c r="G14" s="13">
        <v>31094</v>
      </c>
      <c r="H14" s="13">
        <v>245362</v>
      </c>
      <c r="I14" s="26">
        <f t="shared" si="10"/>
        <v>7.891</v>
      </c>
      <c r="J14" s="25">
        <f t="shared" si="1"/>
        <v>9.4222139999999996E-2</v>
      </c>
      <c r="K14" s="13">
        <v>52836</v>
      </c>
      <c r="L14" s="13">
        <v>304824</v>
      </c>
      <c r="M14" s="26">
        <f t="shared" si="11"/>
        <v>5.7691999999999997</v>
      </c>
      <c r="N14" s="25">
        <f t="shared" si="2"/>
        <v>0.10914546</v>
      </c>
      <c r="O14" s="13">
        <v>0</v>
      </c>
      <c r="P14" s="13">
        <v>0</v>
      </c>
      <c r="Q14" s="26">
        <f t="shared" si="12"/>
        <v>0</v>
      </c>
      <c r="R14" s="25">
        <f t="shared" si="3"/>
        <v>0</v>
      </c>
      <c r="S14" s="13">
        <v>0</v>
      </c>
      <c r="T14" s="13">
        <v>0</v>
      </c>
      <c r="U14" s="26">
        <f t="shared" si="13"/>
        <v>0</v>
      </c>
      <c r="V14" s="25">
        <f t="shared" si="4"/>
        <v>0</v>
      </c>
      <c r="W14" s="13">
        <v>0</v>
      </c>
      <c r="X14" s="27">
        <f t="shared" si="5"/>
        <v>0</v>
      </c>
      <c r="Y14" s="13">
        <v>2590213</v>
      </c>
      <c r="Z14" s="27">
        <f t="shared" si="6"/>
        <v>0.59371666000000001</v>
      </c>
      <c r="AA14" s="28">
        <f t="shared" si="7"/>
        <v>1.06823325</v>
      </c>
      <c r="AB14" s="29">
        <f t="shared" si="8"/>
        <v>4362709</v>
      </c>
      <c r="AC14" s="13">
        <v>1998781</v>
      </c>
      <c r="AD14" s="30">
        <f t="shared" si="14"/>
        <v>0.68579986764107148</v>
      </c>
      <c r="AE14" s="2"/>
      <c r="AF14" s="2"/>
    </row>
    <row r="15" spans="1:32">
      <c r="A15" s="22">
        <v>3630</v>
      </c>
      <c r="B15" s="23" t="str">
        <f>VLOOKUP(A15,Summary!$A$25:$B$71,2,0)</f>
        <v>Prairie View</v>
      </c>
      <c r="C15" s="13">
        <v>37638643</v>
      </c>
      <c r="D15" s="13">
        <v>3592861</v>
      </c>
      <c r="E15" s="24">
        <f t="shared" si="9"/>
        <v>9.5500000000000002E-2</v>
      </c>
      <c r="F15" s="25">
        <f t="shared" si="0"/>
        <v>1.1737604699999999</v>
      </c>
      <c r="G15" s="13">
        <v>92797</v>
      </c>
      <c r="H15" s="13">
        <v>653902</v>
      </c>
      <c r="I15" s="26">
        <f t="shared" si="10"/>
        <v>7.0465999999999998</v>
      </c>
      <c r="J15" s="25">
        <f t="shared" si="1"/>
        <v>0.20782101</v>
      </c>
      <c r="K15" s="13">
        <v>2861</v>
      </c>
      <c r="L15" s="13">
        <v>19914</v>
      </c>
      <c r="M15" s="26">
        <f t="shared" si="11"/>
        <v>6.9604999999999997</v>
      </c>
      <c r="N15" s="25">
        <f t="shared" si="2"/>
        <v>7.9730300000000007E-3</v>
      </c>
      <c r="O15" s="13">
        <v>2861</v>
      </c>
      <c r="P15" s="13">
        <v>25425</v>
      </c>
      <c r="Q15" s="26">
        <f t="shared" si="12"/>
        <v>8.8867999999999991</v>
      </c>
      <c r="R15" s="25">
        <f t="shared" si="3"/>
        <v>9.9391600000000007E-3</v>
      </c>
      <c r="S15" s="13">
        <v>0</v>
      </c>
      <c r="T15" s="13">
        <v>0</v>
      </c>
      <c r="U15" s="26">
        <f t="shared" si="13"/>
        <v>0</v>
      </c>
      <c r="V15" s="25">
        <f t="shared" si="4"/>
        <v>0</v>
      </c>
      <c r="W15" s="13">
        <v>0</v>
      </c>
      <c r="X15" s="27">
        <f t="shared" si="5"/>
        <v>0</v>
      </c>
      <c r="Y15" s="13">
        <v>415207</v>
      </c>
      <c r="Z15" s="27">
        <f t="shared" si="6"/>
        <v>8.8204749999999998E-2</v>
      </c>
      <c r="AA15" s="28">
        <f t="shared" si="7"/>
        <v>1.4876984200000001</v>
      </c>
      <c r="AB15" s="29">
        <f t="shared" si="8"/>
        <v>4707309</v>
      </c>
      <c r="AC15" s="13">
        <v>12704900</v>
      </c>
      <c r="AD15" s="30">
        <f t="shared" si="14"/>
        <v>0.27034530770909077</v>
      </c>
      <c r="AE15" s="2"/>
      <c r="AF15" s="2"/>
    </row>
    <row r="16" spans="1:32">
      <c r="A16" s="22">
        <v>3631</v>
      </c>
      <c r="B16" s="23" t="str">
        <f>VLOOKUP(A16,Summary!$A$25:$B$71,2,0)</f>
        <v>Tarleton</v>
      </c>
      <c r="C16" s="13">
        <v>34014188</v>
      </c>
      <c r="D16" s="13">
        <v>1862208</v>
      </c>
      <c r="E16" s="24">
        <f t="shared" si="9"/>
        <v>5.4699999999999999E-2</v>
      </c>
      <c r="F16" s="25">
        <f t="shared" si="0"/>
        <v>0.51760589000000001</v>
      </c>
      <c r="G16" s="13">
        <v>34434</v>
      </c>
      <c r="H16" s="13">
        <v>234817</v>
      </c>
      <c r="I16" s="26">
        <f t="shared" si="10"/>
        <v>6.8193000000000001</v>
      </c>
      <c r="J16" s="25">
        <f t="shared" si="1"/>
        <v>0.10727895</v>
      </c>
      <c r="K16" s="13">
        <v>42500</v>
      </c>
      <c r="L16" s="13">
        <v>247405</v>
      </c>
      <c r="M16" s="26">
        <f t="shared" si="11"/>
        <v>5.8212999999999999</v>
      </c>
      <c r="N16" s="25">
        <f t="shared" si="2"/>
        <v>0.12305547</v>
      </c>
      <c r="O16" s="13">
        <v>35366</v>
      </c>
      <c r="P16" s="13">
        <v>284208</v>
      </c>
      <c r="Q16" s="26">
        <f t="shared" si="12"/>
        <v>8.0361999999999991</v>
      </c>
      <c r="R16" s="25">
        <f t="shared" si="3"/>
        <v>0.14923755999999999</v>
      </c>
      <c r="S16" s="13">
        <v>0</v>
      </c>
      <c r="T16" s="13">
        <v>0</v>
      </c>
      <c r="U16" s="26">
        <f t="shared" si="13"/>
        <v>0</v>
      </c>
      <c r="V16" s="25">
        <f t="shared" si="4"/>
        <v>0</v>
      </c>
      <c r="W16" s="13">
        <v>0</v>
      </c>
      <c r="X16" s="27">
        <f t="shared" si="5"/>
        <v>0</v>
      </c>
      <c r="Y16" s="13">
        <v>540380</v>
      </c>
      <c r="Z16" s="27">
        <f t="shared" si="6"/>
        <v>0.1705197</v>
      </c>
      <c r="AA16" s="28">
        <f t="shared" si="7"/>
        <v>1.06769757</v>
      </c>
      <c r="AB16" s="29">
        <f t="shared" si="8"/>
        <v>3169018</v>
      </c>
      <c r="AC16" s="13">
        <v>7894486</v>
      </c>
      <c r="AD16" s="30">
        <f t="shared" si="14"/>
        <v>0.28643890760106383</v>
      </c>
      <c r="AE16" s="2"/>
      <c r="AF16" s="2"/>
    </row>
    <row r="17" spans="1:32">
      <c r="A17" s="22">
        <v>42295</v>
      </c>
      <c r="B17" s="23" t="str">
        <f>VLOOKUP(A17,Summary!$A$25:$B$71,2,0)</f>
        <v>TAMU-Central</v>
      </c>
      <c r="C17" s="13">
        <v>7107990</v>
      </c>
      <c r="D17" s="13">
        <v>265471</v>
      </c>
      <c r="E17" s="24">
        <f>IF(C17=0,0,ROUND(D17/C17,4))</f>
        <v>3.73E-2</v>
      </c>
      <c r="F17" s="25">
        <f t="shared" si="0"/>
        <v>0.53891487999999999</v>
      </c>
      <c r="G17" s="13">
        <v>0</v>
      </c>
      <c r="H17" s="13">
        <v>0</v>
      </c>
      <c r="I17" s="26">
        <f>IF(G17=0,0,ROUND(H17/G17,4))</f>
        <v>0</v>
      </c>
      <c r="J17" s="25">
        <f t="shared" si="1"/>
        <v>0</v>
      </c>
      <c r="K17" s="13">
        <v>7944</v>
      </c>
      <c r="L17" s="13">
        <v>28982</v>
      </c>
      <c r="M17" s="26">
        <f>IF(K17=0,0,ROUND(L17/K17,4))</f>
        <v>3.6482999999999999</v>
      </c>
      <c r="N17" s="25">
        <f t="shared" si="2"/>
        <v>9.6761349999999996E-2</v>
      </c>
      <c r="O17" s="13">
        <v>351</v>
      </c>
      <c r="P17" s="13">
        <v>1426</v>
      </c>
      <c r="Q17" s="26">
        <f>IF(O17=0,0,ROUND(P17/O17,4))</f>
        <v>4.0627000000000004</v>
      </c>
      <c r="R17" s="25">
        <f t="shared" si="3"/>
        <v>4.05449E-3</v>
      </c>
      <c r="S17" s="13">
        <v>0</v>
      </c>
      <c r="T17" s="13">
        <v>0</v>
      </c>
      <c r="U17" s="26">
        <f>IF(S17=0,0,ROUND(T17/S17,4))</f>
        <v>0</v>
      </c>
      <c r="V17" s="25">
        <f t="shared" si="4"/>
        <v>0</v>
      </c>
      <c r="W17" s="13">
        <v>0</v>
      </c>
      <c r="X17" s="27">
        <f>ROUND(W17/$AB17,8)</f>
        <v>0</v>
      </c>
      <c r="Y17" s="13">
        <v>0</v>
      </c>
      <c r="Z17" s="27">
        <f>ROUND(Y17/$AB17,8)</f>
        <v>0</v>
      </c>
      <c r="AA17" s="28">
        <f>F17+J17+N17+R17+V17+X17+Z17</f>
        <v>0.63973071999999997</v>
      </c>
      <c r="AB17" s="29">
        <f>D17+H17+L17+P17+T17+W17+Y17</f>
        <v>295879</v>
      </c>
      <c r="AC17" s="13">
        <v>3048241</v>
      </c>
      <c r="AD17" s="30">
        <f t="shared" si="14"/>
        <v>8.8477387175101369E-2</v>
      </c>
      <c r="AE17" s="2"/>
      <c r="AF17" s="2"/>
    </row>
    <row r="18" spans="1:32">
      <c r="A18" s="22">
        <v>11161</v>
      </c>
      <c r="B18" s="23" t="str">
        <f>VLOOKUP(A18,Summary!$A$25:$B$71,2,0)</f>
        <v>TAMU-CC</v>
      </c>
      <c r="C18" s="13">
        <v>26761893</v>
      </c>
      <c r="D18" s="13">
        <v>1666579</v>
      </c>
      <c r="E18" s="24">
        <f t="shared" si="9"/>
        <v>6.2300000000000001E-2</v>
      </c>
      <c r="F18" s="25">
        <f t="shared" si="0"/>
        <v>0.53528167000000004</v>
      </c>
      <c r="G18" s="13">
        <v>62817</v>
      </c>
      <c r="H18" s="13">
        <v>596450</v>
      </c>
      <c r="I18" s="26">
        <f t="shared" si="10"/>
        <v>9.4949999999999992</v>
      </c>
      <c r="J18" s="25">
        <f t="shared" si="1"/>
        <v>0.38494519999999999</v>
      </c>
      <c r="K18" s="13">
        <v>76449</v>
      </c>
      <c r="L18" s="13">
        <v>550177</v>
      </c>
      <c r="M18" s="26">
        <f t="shared" si="11"/>
        <v>7.1966999999999999</v>
      </c>
      <c r="N18" s="25">
        <f t="shared" si="2"/>
        <v>0.34323615000000002</v>
      </c>
      <c r="O18" s="13">
        <v>28946</v>
      </c>
      <c r="P18" s="13">
        <v>151203</v>
      </c>
      <c r="Q18" s="26">
        <f t="shared" si="12"/>
        <v>5.2236000000000002</v>
      </c>
      <c r="R18" s="25">
        <f t="shared" si="3"/>
        <v>5.2360789999999997E-2</v>
      </c>
      <c r="S18" s="13">
        <v>0</v>
      </c>
      <c r="T18" s="13">
        <v>0</v>
      </c>
      <c r="U18" s="26">
        <f t="shared" si="13"/>
        <v>0</v>
      </c>
      <c r="V18" s="25">
        <f t="shared" si="4"/>
        <v>0</v>
      </c>
      <c r="W18" s="13">
        <v>0</v>
      </c>
      <c r="X18" s="27">
        <f t="shared" si="5"/>
        <v>0</v>
      </c>
      <c r="Y18" s="13">
        <v>159080</v>
      </c>
      <c r="Z18" s="27">
        <f t="shared" si="6"/>
        <v>5.093023E-2</v>
      </c>
      <c r="AA18" s="28">
        <f t="shared" si="7"/>
        <v>1.3667540400000002</v>
      </c>
      <c r="AB18" s="29">
        <f t="shared" si="8"/>
        <v>3123489</v>
      </c>
      <c r="AC18" s="13">
        <v>9440165</v>
      </c>
      <c r="AD18" s="30">
        <f t="shared" si="14"/>
        <v>0.24861310252574609</v>
      </c>
      <c r="AE18" s="2"/>
      <c r="AF18" s="2"/>
    </row>
    <row r="19" spans="1:32">
      <c r="A19" s="22">
        <v>3639</v>
      </c>
      <c r="B19" s="23" t="str">
        <f>VLOOKUP(A19,Summary!$A$25:$B$71,2,0)</f>
        <v>TAMU-Kingsville</v>
      </c>
      <c r="C19" s="13">
        <v>28800934</v>
      </c>
      <c r="D19" s="13">
        <v>1758845</v>
      </c>
      <c r="E19" s="24">
        <f t="shared" si="9"/>
        <v>6.1100000000000002E-2</v>
      </c>
      <c r="F19" s="25">
        <f t="shared" si="0"/>
        <v>0.49529417999999997</v>
      </c>
      <c r="G19" s="13">
        <v>6229</v>
      </c>
      <c r="H19" s="13">
        <v>50696</v>
      </c>
      <c r="I19" s="26">
        <f t="shared" si="10"/>
        <v>8.1387</v>
      </c>
      <c r="J19" s="25">
        <f t="shared" si="1"/>
        <v>2.507175E-2</v>
      </c>
      <c r="K19" s="13">
        <v>78235</v>
      </c>
      <c r="L19" s="13">
        <v>270824</v>
      </c>
      <c r="M19" s="26">
        <f t="shared" si="11"/>
        <v>3.4617</v>
      </c>
      <c r="N19" s="25">
        <f t="shared" si="2"/>
        <v>7.2654040000000003E-2</v>
      </c>
      <c r="O19" s="13">
        <v>74808</v>
      </c>
      <c r="P19" s="13">
        <v>353632</v>
      </c>
      <c r="Q19" s="26">
        <f t="shared" si="12"/>
        <v>4.7271999999999998</v>
      </c>
      <c r="R19" s="25">
        <f t="shared" si="3"/>
        <v>9.9073480000000005E-2</v>
      </c>
      <c r="S19" s="13">
        <v>0</v>
      </c>
      <c r="T19" s="13">
        <v>0</v>
      </c>
      <c r="U19" s="26">
        <f t="shared" si="13"/>
        <v>0</v>
      </c>
      <c r="V19" s="25">
        <f t="shared" si="4"/>
        <v>0</v>
      </c>
      <c r="W19" s="13">
        <v>0</v>
      </c>
      <c r="X19" s="27">
        <f t="shared" si="5"/>
        <v>0</v>
      </c>
      <c r="Y19" s="13">
        <v>1059931</v>
      </c>
      <c r="Z19" s="27">
        <f t="shared" si="6"/>
        <v>0.30336372</v>
      </c>
      <c r="AA19" s="28">
        <f t="shared" si="7"/>
        <v>0.99545717</v>
      </c>
      <c r="AB19" s="29">
        <f t="shared" si="8"/>
        <v>3493928</v>
      </c>
      <c r="AC19" s="13">
        <v>6627460</v>
      </c>
      <c r="AD19" s="30">
        <f t="shared" si="14"/>
        <v>0.34520245642198483</v>
      </c>
      <c r="AE19" s="2"/>
      <c r="AF19" s="2"/>
    </row>
    <row r="20" spans="1:32">
      <c r="A20" s="22">
        <v>42485</v>
      </c>
      <c r="B20" s="23" t="str">
        <f>VLOOKUP(A20,Summary!$A$25:$B$71,2,0)</f>
        <v>TAMU-San Antonio</v>
      </c>
      <c r="C20" s="13">
        <v>12157101</v>
      </c>
      <c r="D20" s="13">
        <v>1311136</v>
      </c>
      <c r="E20" s="24">
        <f>IF(C20=0,0,ROUND(D20/C20,4))</f>
        <v>0.10780000000000001</v>
      </c>
      <c r="F20" s="25">
        <f t="shared" si="0"/>
        <v>0.80225908999999995</v>
      </c>
      <c r="G20" s="13">
        <v>15207</v>
      </c>
      <c r="H20" s="13">
        <v>143715</v>
      </c>
      <c r="I20" s="26">
        <f>IF(G20=0,0,ROUND(H20/G20,4))</f>
        <v>9.4505999999999997</v>
      </c>
      <c r="J20" s="25">
        <f t="shared" si="1"/>
        <v>0.10164151</v>
      </c>
      <c r="K20" s="13">
        <v>18996</v>
      </c>
      <c r="L20" s="13">
        <v>108710</v>
      </c>
      <c r="M20" s="26">
        <f t="shared" si="11"/>
        <v>5.7228000000000003</v>
      </c>
      <c r="N20" s="25">
        <f t="shared" si="2"/>
        <v>5.937655E-2</v>
      </c>
      <c r="O20" s="13">
        <v>10191</v>
      </c>
      <c r="P20" s="13">
        <v>58318</v>
      </c>
      <c r="Q20" s="26">
        <f t="shared" si="12"/>
        <v>5.7225000000000001</v>
      </c>
      <c r="R20" s="25">
        <f t="shared" si="3"/>
        <v>2.4358129999999999E-2</v>
      </c>
      <c r="S20" s="13">
        <v>0</v>
      </c>
      <c r="T20" s="13">
        <v>0</v>
      </c>
      <c r="U20" s="26">
        <f t="shared" si="13"/>
        <v>0</v>
      </c>
      <c r="V20" s="25">
        <f t="shared" si="4"/>
        <v>0</v>
      </c>
      <c r="W20" s="13">
        <v>0</v>
      </c>
      <c r="X20" s="27">
        <f>ROUND(W20/$AB20,8)</f>
        <v>0</v>
      </c>
      <c r="Y20" s="13">
        <v>1215127</v>
      </c>
      <c r="Z20" s="27">
        <f>ROUND(Y20/$AB20,8)</f>
        <v>0.42831316000000003</v>
      </c>
      <c r="AA20" s="28">
        <f>F20+J20+N20+R20+V20+X20+Z20</f>
        <v>1.41594844</v>
      </c>
      <c r="AB20" s="29">
        <f>D20+H20+L20+P20+T20+W20+Y20</f>
        <v>2837006</v>
      </c>
      <c r="AC20" s="13">
        <v>4874636</v>
      </c>
      <c r="AD20" s="30">
        <f t="shared" si="14"/>
        <v>0.36788611297049317</v>
      </c>
      <c r="AE20" s="2"/>
      <c r="AF20" s="2"/>
    </row>
    <row r="21" spans="1:32">
      <c r="A21" s="22">
        <v>9651</v>
      </c>
      <c r="B21" s="23" t="str">
        <f>VLOOKUP(A21,Summary!$A$25:$B$71,2,0)</f>
        <v>TAMI</v>
      </c>
      <c r="C21" s="13">
        <v>20433239</v>
      </c>
      <c r="D21" s="13">
        <v>1153005</v>
      </c>
      <c r="E21" s="24">
        <f t="shared" si="9"/>
        <v>5.6399999999999999E-2</v>
      </c>
      <c r="F21" s="25">
        <f t="shared" si="0"/>
        <v>0.54890707000000005</v>
      </c>
      <c r="G21" s="13">
        <v>12155</v>
      </c>
      <c r="H21" s="13">
        <v>99186</v>
      </c>
      <c r="I21" s="26">
        <f t="shared" si="10"/>
        <v>8.1600999999999999</v>
      </c>
      <c r="J21" s="25">
        <f t="shared" si="1"/>
        <v>9.0073260000000002E-2</v>
      </c>
      <c r="K21" s="13">
        <v>32735</v>
      </c>
      <c r="L21" s="13">
        <v>388226</v>
      </c>
      <c r="M21" s="26">
        <f t="shared" si="11"/>
        <v>11.8597</v>
      </c>
      <c r="N21" s="25">
        <f t="shared" si="2"/>
        <v>0.65348499999999998</v>
      </c>
      <c r="O21" s="13">
        <v>43381</v>
      </c>
      <c r="P21" s="13">
        <v>267326</v>
      </c>
      <c r="Q21" s="26">
        <f t="shared" si="12"/>
        <v>6.1623000000000001</v>
      </c>
      <c r="R21" s="25">
        <f t="shared" si="3"/>
        <v>0.17880513000000001</v>
      </c>
      <c r="S21" s="13">
        <v>0</v>
      </c>
      <c r="T21" s="13">
        <v>0</v>
      </c>
      <c r="U21" s="26">
        <f t="shared" si="13"/>
        <v>0</v>
      </c>
      <c r="V21" s="25">
        <f t="shared" si="4"/>
        <v>0</v>
      </c>
      <c r="W21" s="13">
        <v>0</v>
      </c>
      <c r="X21" s="27">
        <f t="shared" si="5"/>
        <v>0</v>
      </c>
      <c r="Y21" s="13">
        <v>0</v>
      </c>
      <c r="Z21" s="27">
        <f t="shared" si="6"/>
        <v>0</v>
      </c>
      <c r="AA21" s="28">
        <f t="shared" si="7"/>
        <v>1.4712704600000002</v>
      </c>
      <c r="AB21" s="29">
        <f t="shared" si="8"/>
        <v>1907743</v>
      </c>
      <c r="AC21" s="13">
        <v>13837074</v>
      </c>
      <c r="AD21" s="30">
        <f t="shared" si="14"/>
        <v>0.12116641304881473</v>
      </c>
      <c r="AE21" s="2"/>
      <c r="AF21" s="2"/>
    </row>
    <row r="22" spans="1:32">
      <c r="A22" s="22">
        <v>3665</v>
      </c>
      <c r="B22" s="23" t="str">
        <f>VLOOKUP(A22,Summary!$A$25:$B$71,2,0)</f>
        <v>WTAMU</v>
      </c>
      <c r="C22" s="13">
        <v>33241515</v>
      </c>
      <c r="D22" s="13">
        <v>1788358</v>
      </c>
      <c r="E22" s="24">
        <f t="shared" si="9"/>
        <v>5.3800000000000001E-2</v>
      </c>
      <c r="F22" s="25">
        <f t="shared" si="0"/>
        <v>0.33677095000000001</v>
      </c>
      <c r="G22" s="13">
        <v>151568</v>
      </c>
      <c r="H22" s="13">
        <v>961304</v>
      </c>
      <c r="I22" s="26">
        <f t="shared" si="10"/>
        <v>6.3423999999999996</v>
      </c>
      <c r="J22" s="25">
        <f t="shared" si="1"/>
        <v>0.28136738</v>
      </c>
      <c r="K22" s="13">
        <v>134319</v>
      </c>
      <c r="L22" s="13">
        <v>650349</v>
      </c>
      <c r="M22" s="26">
        <f t="shared" si="11"/>
        <v>4.8418000000000001</v>
      </c>
      <c r="N22" s="25">
        <f t="shared" si="2"/>
        <v>0.18532755000000001</v>
      </c>
      <c r="O22" s="13">
        <v>134319</v>
      </c>
      <c r="P22" s="13">
        <v>306047</v>
      </c>
      <c r="Q22" s="26">
        <f t="shared" si="12"/>
        <v>2.2785000000000002</v>
      </c>
      <c r="R22" s="25">
        <f t="shared" si="3"/>
        <v>3.138647E-2</v>
      </c>
      <c r="S22" s="13">
        <v>0</v>
      </c>
      <c r="T22" s="13">
        <v>0</v>
      </c>
      <c r="U22" s="26">
        <f t="shared" si="13"/>
        <v>0</v>
      </c>
      <c r="V22" s="25">
        <f t="shared" si="4"/>
        <v>0</v>
      </c>
      <c r="W22" s="13">
        <v>894500</v>
      </c>
      <c r="X22" s="27">
        <f t="shared" si="5"/>
        <v>0.19443294</v>
      </c>
      <c r="Y22" s="13">
        <v>0</v>
      </c>
      <c r="Z22" s="27">
        <f t="shared" si="6"/>
        <v>0</v>
      </c>
      <c r="AA22" s="28">
        <f t="shared" si="7"/>
        <v>1.02928529</v>
      </c>
      <c r="AB22" s="29">
        <f t="shared" si="8"/>
        <v>4600558</v>
      </c>
      <c r="AC22" s="13">
        <v>11995421</v>
      </c>
      <c r="AD22" s="30">
        <f t="shared" si="14"/>
        <v>0.27720919627579671</v>
      </c>
      <c r="AE22" s="2"/>
      <c r="AF22" s="2"/>
    </row>
    <row r="23" spans="1:32">
      <c r="A23" s="22">
        <v>3565</v>
      </c>
      <c r="B23" s="23" t="str">
        <f>VLOOKUP(A23,Summary!$A$25:$B$71,2,0)</f>
        <v>TAMU-Commerce</v>
      </c>
      <c r="C23" s="13">
        <v>37383372</v>
      </c>
      <c r="D23" s="13">
        <v>2191708</v>
      </c>
      <c r="E23" s="24">
        <f>IF(C23=0,0,ROUND(D23/C23,4))</f>
        <v>5.8599999999999999E-2</v>
      </c>
      <c r="F23" s="25">
        <f t="shared" si="0"/>
        <v>0.46361321</v>
      </c>
      <c r="G23" s="13">
        <v>114254</v>
      </c>
      <c r="H23" s="13">
        <v>657616</v>
      </c>
      <c r="I23" s="26">
        <f>IF(G23=0,0,ROUND(H23/G23,4))</f>
        <v>5.7557</v>
      </c>
      <c r="J23" s="25">
        <f t="shared" si="1"/>
        <v>0.18013889</v>
      </c>
      <c r="K23" s="13">
        <v>12857</v>
      </c>
      <c r="L23" s="13">
        <v>150216</v>
      </c>
      <c r="M23" s="26">
        <f>IF(K23=0,0,ROUND(L23/K23,4))</f>
        <v>11.6836</v>
      </c>
      <c r="N23" s="25">
        <f t="shared" si="2"/>
        <v>0.10652637</v>
      </c>
      <c r="O23" s="13">
        <v>55194</v>
      </c>
      <c r="P23" s="13">
        <v>395248</v>
      </c>
      <c r="Q23" s="26">
        <f>IF(O23=0,0,ROUND(P23/O23,4))</f>
        <v>7.1611000000000002</v>
      </c>
      <c r="R23" s="25">
        <f t="shared" si="3"/>
        <v>0.13138093000000001</v>
      </c>
      <c r="S23" s="13">
        <v>0</v>
      </c>
      <c r="T23" s="13">
        <v>0</v>
      </c>
      <c r="U23" s="26">
        <f>IF(S23=0,0,ROUND(T23/S23,4))</f>
        <v>0</v>
      </c>
      <c r="V23" s="25">
        <f t="shared" si="4"/>
        <v>0</v>
      </c>
      <c r="W23" s="13">
        <v>228147</v>
      </c>
      <c r="X23" s="27">
        <f t="shared" si="5"/>
        <v>5.1142489999999999E-2</v>
      </c>
      <c r="Y23" s="13">
        <v>838072</v>
      </c>
      <c r="Z23" s="27">
        <f t="shared" si="6"/>
        <v>0.18786610000000001</v>
      </c>
      <c r="AA23" s="28">
        <f t="shared" si="7"/>
        <v>1.1206679900000001</v>
      </c>
      <c r="AB23" s="29">
        <f t="shared" si="8"/>
        <v>4461007</v>
      </c>
      <c r="AC23" s="13">
        <v>10249274</v>
      </c>
      <c r="AD23" s="30">
        <f t="shared" si="14"/>
        <v>0.30325776917517755</v>
      </c>
      <c r="AE23" s="2"/>
      <c r="AF23" s="2"/>
    </row>
    <row r="24" spans="1:32">
      <c r="A24" s="22">
        <v>29269</v>
      </c>
      <c r="B24" s="23" t="str">
        <f>VLOOKUP(A24,Summary!$A$25:$B$71,2,0)</f>
        <v>TAMU-Texarkana</v>
      </c>
      <c r="C24" s="13">
        <v>4989784</v>
      </c>
      <c r="D24" s="13">
        <v>309598</v>
      </c>
      <c r="E24" s="24">
        <f>IF(C24=0,0,ROUND(D24/C24,4))</f>
        <v>6.2E-2</v>
      </c>
      <c r="F24" s="25">
        <f t="shared" si="0"/>
        <v>0.61581938000000003</v>
      </c>
      <c r="G24" s="13">
        <v>20003</v>
      </c>
      <c r="H24" s="13">
        <v>123346</v>
      </c>
      <c r="I24" s="26">
        <f>IF(G24=0,0,ROUND(H24/G24,4))</f>
        <v>6.1664000000000003</v>
      </c>
      <c r="J24" s="25">
        <f t="shared" si="1"/>
        <v>0.32172273000000001</v>
      </c>
      <c r="K24" s="13">
        <v>6282</v>
      </c>
      <c r="L24" s="13">
        <v>30937</v>
      </c>
      <c r="M24" s="26">
        <f>IF(K24=0,0,ROUND(L24/K24,4))</f>
        <v>4.9246999999999996</v>
      </c>
      <c r="N24" s="25">
        <f t="shared" si="2"/>
        <v>8.2188349999999993E-2</v>
      </c>
      <c r="O24" s="13">
        <v>6282</v>
      </c>
      <c r="P24" s="13">
        <v>38051</v>
      </c>
      <c r="Q24" s="26">
        <f>IF(O24=0,0,ROUND(P24/O24,4))</f>
        <v>6.0571000000000002</v>
      </c>
      <c r="R24" s="25">
        <f t="shared" si="3"/>
        <v>9.5082749999999994E-2</v>
      </c>
      <c r="S24" s="13">
        <v>0</v>
      </c>
      <c r="T24" s="13">
        <v>0</v>
      </c>
      <c r="U24" s="26">
        <f>IF(S24=0,0,ROUND(T24/S24,4))</f>
        <v>0</v>
      </c>
      <c r="V24" s="25">
        <f t="shared" si="4"/>
        <v>0</v>
      </c>
      <c r="W24" s="13">
        <v>0</v>
      </c>
      <c r="X24" s="27">
        <f t="shared" si="5"/>
        <v>0</v>
      </c>
      <c r="Y24" s="13">
        <v>0</v>
      </c>
      <c r="Z24" s="27">
        <f t="shared" si="6"/>
        <v>0</v>
      </c>
      <c r="AA24" s="28">
        <f t="shared" si="7"/>
        <v>1.1148132100000001</v>
      </c>
      <c r="AB24" s="29">
        <f t="shared" si="8"/>
        <v>501932</v>
      </c>
      <c r="AC24" s="13">
        <v>1801258</v>
      </c>
      <c r="AD24" s="30">
        <f t="shared" si="14"/>
        <v>0.21792904623587286</v>
      </c>
      <c r="AE24" s="2"/>
      <c r="AF24" s="2"/>
    </row>
    <row r="25" spans="1:32">
      <c r="A25" s="22">
        <v>3652</v>
      </c>
      <c r="B25" s="23" t="str">
        <f>VLOOKUP(A25,Summary!$A$25:$B$71,2,0)</f>
        <v>UH</v>
      </c>
      <c r="C25" s="13">
        <v>281241326</v>
      </c>
      <c r="D25" s="13">
        <v>12513889</v>
      </c>
      <c r="E25" s="24">
        <f t="shared" si="9"/>
        <v>4.4499999999999998E-2</v>
      </c>
      <c r="F25" s="25">
        <f t="shared" si="0"/>
        <v>0.41557747</v>
      </c>
      <c r="G25" s="13">
        <v>511235</v>
      </c>
      <c r="H25" s="13">
        <v>1215786</v>
      </c>
      <c r="I25" s="26">
        <f t="shared" si="10"/>
        <v>2.3780999999999999</v>
      </c>
      <c r="J25" s="25">
        <f t="shared" si="1"/>
        <v>2.8447779999999999E-2</v>
      </c>
      <c r="K25" s="13">
        <v>391482</v>
      </c>
      <c r="L25" s="13">
        <v>1168848</v>
      </c>
      <c r="M25" s="26">
        <f t="shared" si="11"/>
        <v>2.9857</v>
      </c>
      <c r="N25" s="25">
        <f t="shared" si="2"/>
        <v>4.3791789999999997E-2</v>
      </c>
      <c r="O25" s="13">
        <v>381184</v>
      </c>
      <c r="P25" s="13">
        <v>1450435</v>
      </c>
      <c r="Q25" s="26">
        <f t="shared" si="12"/>
        <v>3.8050999999999999</v>
      </c>
      <c r="R25" s="25">
        <f t="shared" si="3"/>
        <v>5.296286E-2</v>
      </c>
      <c r="S25" s="13">
        <v>2494</v>
      </c>
      <c r="T25" s="13">
        <v>34052</v>
      </c>
      <c r="U25" s="26">
        <f t="shared" si="13"/>
        <v>13.653600000000001</v>
      </c>
      <c r="V25" s="25">
        <f t="shared" si="4"/>
        <v>1.37853E-3</v>
      </c>
      <c r="W25" s="13">
        <v>0</v>
      </c>
      <c r="X25" s="27">
        <f t="shared" si="5"/>
        <v>0</v>
      </c>
      <c r="Y25" s="13">
        <v>5194867</v>
      </c>
      <c r="Z25" s="27">
        <f t="shared" si="6"/>
        <v>0.24074967999999999</v>
      </c>
      <c r="AA25" s="28">
        <f t="shared" si="7"/>
        <v>0.78290810999999993</v>
      </c>
      <c r="AB25" s="29">
        <f t="shared" si="8"/>
        <v>21577877</v>
      </c>
      <c r="AC25" s="13">
        <v>25817303</v>
      </c>
      <c r="AD25" s="30">
        <f t="shared" si="14"/>
        <v>0.45527576854861612</v>
      </c>
      <c r="AE25" s="2"/>
      <c r="AF25" s="2"/>
    </row>
    <row r="26" spans="1:32">
      <c r="A26" s="22">
        <v>11711</v>
      </c>
      <c r="B26" s="23" t="str">
        <f>VLOOKUP(A26,Summary!$A$25:$B$71,2,0)</f>
        <v>UH-Clear Lake</v>
      </c>
      <c r="C26" s="13">
        <v>18760326</v>
      </c>
      <c r="D26" s="13">
        <v>822016</v>
      </c>
      <c r="E26" s="24">
        <f t="shared" si="9"/>
        <v>4.3799999999999999E-2</v>
      </c>
      <c r="F26" s="25">
        <f t="shared" si="0"/>
        <v>0.34316200000000002</v>
      </c>
      <c r="G26" s="13">
        <v>36698</v>
      </c>
      <c r="H26" s="13">
        <v>164044</v>
      </c>
      <c r="I26" s="26">
        <f t="shared" si="10"/>
        <v>4.4701000000000004</v>
      </c>
      <c r="J26" s="25">
        <f t="shared" si="1"/>
        <v>9.2147569999999998E-2</v>
      </c>
      <c r="K26" s="13">
        <v>43873</v>
      </c>
      <c r="L26" s="13">
        <v>69524</v>
      </c>
      <c r="M26" s="26">
        <f t="shared" si="11"/>
        <v>1.5847</v>
      </c>
      <c r="N26" s="25">
        <f t="shared" si="2"/>
        <v>1.7656939999999999E-2</v>
      </c>
      <c r="O26" s="13">
        <v>61008</v>
      </c>
      <c r="P26" s="13">
        <v>39529</v>
      </c>
      <c r="Q26" s="26">
        <f t="shared" si="12"/>
        <v>0.64790000000000003</v>
      </c>
      <c r="R26" s="25">
        <f t="shared" si="3"/>
        <v>3.1388900000000001E-3</v>
      </c>
      <c r="S26" s="13">
        <v>0</v>
      </c>
      <c r="T26" s="13">
        <v>0</v>
      </c>
      <c r="U26" s="26">
        <f t="shared" si="13"/>
        <v>0</v>
      </c>
      <c r="V26" s="25">
        <f t="shared" si="4"/>
        <v>0</v>
      </c>
      <c r="W26" s="13">
        <v>0</v>
      </c>
      <c r="X26" s="27">
        <f t="shared" si="5"/>
        <v>0</v>
      </c>
      <c r="Y26" s="13">
        <v>594408</v>
      </c>
      <c r="Z26" s="27">
        <f t="shared" si="6"/>
        <v>0.35182043000000002</v>
      </c>
      <c r="AA26" s="28">
        <f t="shared" si="7"/>
        <v>0.80792583000000007</v>
      </c>
      <c r="AB26" s="29">
        <f t="shared" si="8"/>
        <v>1689521</v>
      </c>
      <c r="AC26" s="13">
        <v>10856169</v>
      </c>
      <c r="AD26" s="30">
        <f t="shared" si="14"/>
        <v>0.13466943627652206</v>
      </c>
      <c r="AE26" s="2"/>
      <c r="AF26" s="2"/>
    </row>
    <row r="27" spans="1:32">
      <c r="A27" s="22">
        <v>12826</v>
      </c>
      <c r="B27" s="23" t="str">
        <f>VLOOKUP(A27,Summary!$A$25:$B$71,2,0)</f>
        <v>UH-Downtown</v>
      </c>
      <c r="C27" s="13">
        <v>18666069</v>
      </c>
      <c r="D27" s="13">
        <v>1114662</v>
      </c>
      <c r="E27" s="24">
        <f t="shared" si="9"/>
        <v>5.9700000000000003E-2</v>
      </c>
      <c r="F27" s="25">
        <f t="shared" si="0"/>
        <v>0.29443064000000002</v>
      </c>
      <c r="G27" s="13">
        <v>10776</v>
      </c>
      <c r="H27" s="13">
        <v>75637</v>
      </c>
      <c r="I27" s="26">
        <f t="shared" si="10"/>
        <v>7.0190000000000001</v>
      </c>
      <c r="J27" s="25">
        <f t="shared" si="1"/>
        <v>3.096966E-2</v>
      </c>
      <c r="K27" s="13">
        <v>23089</v>
      </c>
      <c r="L27" s="13">
        <v>158652</v>
      </c>
      <c r="M27" s="26">
        <f t="shared" si="11"/>
        <v>6.8712999999999997</v>
      </c>
      <c r="N27" s="25">
        <f t="shared" si="2"/>
        <v>8.1103339999999996E-2</v>
      </c>
      <c r="O27" s="13">
        <v>23089</v>
      </c>
      <c r="P27" s="13">
        <v>143735</v>
      </c>
      <c r="Q27" s="26">
        <f t="shared" si="12"/>
        <v>6.2252999999999998</v>
      </c>
      <c r="R27" s="25">
        <f t="shared" si="3"/>
        <v>5.0909129999999997E-2</v>
      </c>
      <c r="S27" s="13">
        <v>0</v>
      </c>
      <c r="T27" s="13">
        <v>0</v>
      </c>
      <c r="U27" s="26">
        <f t="shared" si="13"/>
        <v>0</v>
      </c>
      <c r="V27" s="25">
        <f t="shared" si="4"/>
        <v>0</v>
      </c>
      <c r="W27" s="13">
        <v>0</v>
      </c>
      <c r="X27" s="27">
        <f t="shared" si="5"/>
        <v>0</v>
      </c>
      <c r="Y27" s="13">
        <v>2146824</v>
      </c>
      <c r="Z27" s="27">
        <f t="shared" si="6"/>
        <v>0.58986622</v>
      </c>
      <c r="AA27" s="28">
        <f t="shared" si="7"/>
        <v>1.0472789900000001</v>
      </c>
      <c r="AB27" s="29">
        <f t="shared" si="8"/>
        <v>3639510</v>
      </c>
      <c r="AC27" s="13">
        <v>6355098</v>
      </c>
      <c r="AD27" s="30">
        <f t="shared" si="14"/>
        <v>0.36414734825017647</v>
      </c>
      <c r="AE27" s="2"/>
      <c r="AF27" s="2"/>
    </row>
    <row r="28" spans="1:32">
      <c r="A28" s="22">
        <v>13231</v>
      </c>
      <c r="B28" s="23" t="str">
        <f>VLOOKUP(A28,Summary!$A$25:$B$71,2,0)</f>
        <v>UH-Victoria</v>
      </c>
      <c r="C28" s="13">
        <v>9233460</v>
      </c>
      <c r="D28" s="13">
        <v>532493</v>
      </c>
      <c r="E28" s="24">
        <f t="shared" si="9"/>
        <v>5.7700000000000001E-2</v>
      </c>
      <c r="F28" s="25">
        <f t="shared" si="0"/>
        <v>0.76283606000000004</v>
      </c>
      <c r="G28" s="13">
        <v>2710</v>
      </c>
      <c r="H28" s="13">
        <v>28909</v>
      </c>
      <c r="I28" s="26">
        <f t="shared" si="10"/>
        <v>10.6675</v>
      </c>
      <c r="J28" s="25">
        <f t="shared" si="1"/>
        <v>0.10094823</v>
      </c>
      <c r="K28" s="13">
        <v>9492</v>
      </c>
      <c r="L28" s="13">
        <v>57556</v>
      </c>
      <c r="M28" s="26">
        <f t="shared" si="11"/>
        <v>6.0636000000000001</v>
      </c>
      <c r="N28" s="25">
        <f t="shared" si="2"/>
        <v>0.14569726999999999</v>
      </c>
      <c r="O28" s="13">
        <v>4327</v>
      </c>
      <c r="P28" s="13">
        <v>29627</v>
      </c>
      <c r="Q28" s="26">
        <f t="shared" si="12"/>
        <v>6.8470000000000004</v>
      </c>
      <c r="R28" s="25">
        <f t="shared" si="3"/>
        <v>6.4764489999999994E-2</v>
      </c>
      <c r="S28" s="13">
        <v>0</v>
      </c>
      <c r="T28" s="13">
        <v>0</v>
      </c>
      <c r="U28" s="26">
        <f t="shared" si="13"/>
        <v>0</v>
      </c>
      <c r="V28" s="25">
        <f t="shared" si="4"/>
        <v>0</v>
      </c>
      <c r="W28" s="13">
        <v>0</v>
      </c>
      <c r="X28" s="27">
        <f t="shared" si="5"/>
        <v>0</v>
      </c>
      <c r="Y28" s="13">
        <v>0</v>
      </c>
      <c r="Z28" s="27">
        <f t="shared" si="6"/>
        <v>0</v>
      </c>
      <c r="AA28" s="28">
        <f t="shared" si="7"/>
        <v>1.07424605</v>
      </c>
      <c r="AB28" s="29">
        <f t="shared" si="8"/>
        <v>648585</v>
      </c>
      <c r="AC28" s="13">
        <v>2865640</v>
      </c>
      <c r="AD28" s="30">
        <f t="shared" si="14"/>
        <v>0.18455989585185922</v>
      </c>
      <c r="AE28" s="2"/>
      <c r="AF28" s="2"/>
    </row>
    <row r="29" spans="1:32">
      <c r="A29" s="22">
        <v>3592</v>
      </c>
      <c r="B29" s="23" t="str">
        <f>VLOOKUP(A29,Summary!$A$25:$B$71,2,0)</f>
        <v>Midwestern</v>
      </c>
      <c r="C29" s="13">
        <v>14161321</v>
      </c>
      <c r="D29" s="13">
        <v>897609</v>
      </c>
      <c r="E29" s="24">
        <f t="shared" si="9"/>
        <v>6.3399999999999998E-2</v>
      </c>
      <c r="F29" s="25">
        <f t="shared" si="0"/>
        <v>0.41834888999999997</v>
      </c>
      <c r="G29" s="13">
        <v>54729</v>
      </c>
      <c r="H29" s="13">
        <v>422271</v>
      </c>
      <c r="I29" s="26">
        <f t="shared" si="10"/>
        <v>7.7157</v>
      </c>
      <c r="J29" s="25">
        <f t="shared" si="1"/>
        <v>0.31578408000000002</v>
      </c>
      <c r="K29" s="13">
        <v>36608</v>
      </c>
      <c r="L29" s="13">
        <v>134453</v>
      </c>
      <c r="M29" s="26">
        <f t="shared" si="11"/>
        <v>3.6728000000000001</v>
      </c>
      <c r="N29" s="25">
        <f t="shared" si="2"/>
        <v>6.1040589999999999E-2</v>
      </c>
      <c r="O29" s="13">
        <v>21707</v>
      </c>
      <c r="P29" s="13">
        <v>28922</v>
      </c>
      <c r="Q29" s="26">
        <f t="shared" si="12"/>
        <v>1.3324</v>
      </c>
      <c r="R29" s="25">
        <f t="shared" si="3"/>
        <v>3.64278E-3</v>
      </c>
      <c r="S29" s="13">
        <v>0</v>
      </c>
      <c r="T29" s="13">
        <v>0</v>
      </c>
      <c r="U29" s="26">
        <f t="shared" si="13"/>
        <v>0</v>
      </c>
      <c r="V29" s="25">
        <f t="shared" si="4"/>
        <v>0</v>
      </c>
      <c r="W29" s="13">
        <v>0</v>
      </c>
      <c r="X29" s="27">
        <f t="shared" si="5"/>
        <v>0</v>
      </c>
      <c r="Y29" s="13">
        <v>707260</v>
      </c>
      <c r="Z29" s="27">
        <f t="shared" si="6"/>
        <v>0.32287384000000002</v>
      </c>
      <c r="AA29" s="28">
        <f t="shared" si="7"/>
        <v>1.1216901799999999</v>
      </c>
      <c r="AB29" s="29">
        <f t="shared" si="8"/>
        <v>2190515</v>
      </c>
      <c r="AC29" s="13">
        <v>4292381</v>
      </c>
      <c r="AD29" s="30">
        <f t="shared" si="14"/>
        <v>0.33789143000288757</v>
      </c>
      <c r="AE29" s="2"/>
      <c r="AF29" s="2"/>
    </row>
    <row r="30" spans="1:32">
      <c r="A30" s="22">
        <v>3594</v>
      </c>
      <c r="B30" s="23" t="str">
        <f>VLOOKUP(A30,Summary!$A$25:$B$71,2,0)</f>
        <v>UNT</v>
      </c>
      <c r="C30" s="13">
        <v>119729488</v>
      </c>
      <c r="D30" s="13">
        <v>8596472</v>
      </c>
      <c r="E30" s="24">
        <f t="shared" si="9"/>
        <v>7.1800000000000003E-2</v>
      </c>
      <c r="F30" s="25">
        <f t="shared" si="0"/>
        <v>0.54195793999999997</v>
      </c>
      <c r="G30" s="13">
        <v>275977</v>
      </c>
      <c r="H30" s="13">
        <v>2665180</v>
      </c>
      <c r="I30" s="26">
        <f t="shared" si="10"/>
        <v>9.6572999999999993</v>
      </c>
      <c r="J30" s="25">
        <f t="shared" si="1"/>
        <v>0.29796456999999998</v>
      </c>
      <c r="K30" s="13">
        <v>259781</v>
      </c>
      <c r="L30" s="13">
        <v>1167301</v>
      </c>
      <c r="M30" s="26">
        <f t="shared" si="11"/>
        <v>4.4934000000000003</v>
      </c>
      <c r="N30" s="25">
        <f t="shared" si="2"/>
        <v>7.7440400000000006E-2</v>
      </c>
      <c r="O30" s="13">
        <v>250884</v>
      </c>
      <c r="P30" s="13">
        <v>1182355</v>
      </c>
      <c r="Q30" s="26">
        <f t="shared" si="12"/>
        <v>4.7127999999999997</v>
      </c>
      <c r="R30" s="25">
        <f t="shared" si="3"/>
        <v>6.2915150000000003E-2</v>
      </c>
      <c r="S30" s="13">
        <v>0</v>
      </c>
      <c r="T30" s="13">
        <v>0</v>
      </c>
      <c r="U30" s="26">
        <f t="shared" si="13"/>
        <v>0</v>
      </c>
      <c r="V30" s="25">
        <f t="shared" si="4"/>
        <v>0</v>
      </c>
      <c r="W30" s="13">
        <v>0</v>
      </c>
      <c r="X30" s="27">
        <f t="shared" si="5"/>
        <v>0</v>
      </c>
      <c r="Y30" s="13">
        <v>4728193</v>
      </c>
      <c r="Z30" s="27">
        <f t="shared" si="6"/>
        <v>0.25781470000000001</v>
      </c>
      <c r="AA30" s="28">
        <f t="shared" si="7"/>
        <v>1.23809276</v>
      </c>
      <c r="AB30" s="29">
        <f t="shared" si="8"/>
        <v>18339501</v>
      </c>
      <c r="AC30" s="13">
        <v>1595704</v>
      </c>
      <c r="AD30" s="30">
        <f t="shared" si="14"/>
        <v>0.91995547575256942</v>
      </c>
      <c r="AE30" s="2"/>
      <c r="AF30" s="2"/>
    </row>
    <row r="31" spans="1:32">
      <c r="A31" s="22">
        <v>42421</v>
      </c>
      <c r="B31" s="23" t="str">
        <f>VLOOKUP(A31,Summary!$A$25:$B$71,2,0)</f>
        <v>UNT-Dallas</v>
      </c>
      <c r="C31" s="13">
        <v>8614188</v>
      </c>
      <c r="D31" s="13">
        <v>441537</v>
      </c>
      <c r="E31" s="24">
        <f t="shared" si="9"/>
        <v>5.1299999999999998E-2</v>
      </c>
      <c r="F31" s="25">
        <f t="shared" si="0"/>
        <v>0.30311574000000002</v>
      </c>
      <c r="G31" s="13">
        <v>41850</v>
      </c>
      <c r="H31" s="13">
        <v>43844</v>
      </c>
      <c r="I31" s="26">
        <f t="shared" si="10"/>
        <v>1.0476000000000001</v>
      </c>
      <c r="J31" s="25">
        <f t="shared" si="1"/>
        <v>8.1038499999999992E-3</v>
      </c>
      <c r="K31" s="13">
        <v>15759</v>
      </c>
      <c r="L31" s="13">
        <v>97072</v>
      </c>
      <c r="M31" s="26">
        <f t="shared" si="11"/>
        <v>6.1597999999999997</v>
      </c>
      <c r="N31" s="25">
        <f t="shared" si="2"/>
        <v>0.13454679999999999</v>
      </c>
      <c r="O31" s="13">
        <v>15759</v>
      </c>
      <c r="P31" s="13">
        <v>83360</v>
      </c>
      <c r="Q31" s="26">
        <f t="shared" si="12"/>
        <v>5.2896999999999998</v>
      </c>
      <c r="R31" s="25">
        <f t="shared" si="3"/>
        <v>7.5878749999999995E-2</v>
      </c>
      <c r="S31" s="13">
        <v>0</v>
      </c>
      <c r="T31" s="13">
        <v>0</v>
      </c>
      <c r="U31" s="26">
        <f t="shared" si="13"/>
        <v>0</v>
      </c>
      <c r="V31" s="25">
        <f t="shared" si="4"/>
        <v>0</v>
      </c>
      <c r="W31" s="13">
        <v>0</v>
      </c>
      <c r="X31" s="27">
        <f t="shared" si="5"/>
        <v>0</v>
      </c>
      <c r="Y31" s="13">
        <v>537516</v>
      </c>
      <c r="Z31" s="27">
        <f t="shared" si="6"/>
        <v>0.44669080999999999</v>
      </c>
      <c r="AA31" s="28">
        <f t="shared" si="7"/>
        <v>0.96833595000000006</v>
      </c>
      <c r="AB31" s="29">
        <f t="shared" si="8"/>
        <v>1203329</v>
      </c>
      <c r="AC31" s="13">
        <v>4382792</v>
      </c>
      <c r="AD31" s="30">
        <f t="shared" si="14"/>
        <v>0.21541405923717014</v>
      </c>
      <c r="AE31" s="2"/>
      <c r="AF31" s="2"/>
    </row>
    <row r="32" spans="1:32">
      <c r="A32" s="22">
        <v>3624</v>
      </c>
      <c r="B32" s="23" t="str">
        <f>VLOOKUP(A32,Summary!$A$25:$B$71,2,0)</f>
        <v>SFA</v>
      </c>
      <c r="C32" s="13">
        <v>28283799</v>
      </c>
      <c r="D32" s="13">
        <v>1336410</v>
      </c>
      <c r="E32" s="24">
        <f t="shared" si="9"/>
        <v>4.7300000000000002E-2</v>
      </c>
      <c r="F32" s="25">
        <f t="shared" si="0"/>
        <v>0.31623191</v>
      </c>
      <c r="G32" s="13">
        <v>85298</v>
      </c>
      <c r="H32" s="13">
        <v>424696</v>
      </c>
      <c r="I32" s="26">
        <f t="shared" si="10"/>
        <v>4.9790000000000001</v>
      </c>
      <c r="J32" s="25">
        <f t="shared" si="1"/>
        <v>0.13947186</v>
      </c>
      <c r="K32" s="13">
        <v>63445</v>
      </c>
      <c r="L32" s="13">
        <v>381814</v>
      </c>
      <c r="M32" s="26">
        <f t="shared" si="11"/>
        <v>6.0179999999999998</v>
      </c>
      <c r="N32" s="25">
        <f t="shared" si="2"/>
        <v>0.19328476999999999</v>
      </c>
      <c r="O32" s="13">
        <v>51869</v>
      </c>
      <c r="P32" s="13">
        <v>264533</v>
      </c>
      <c r="Q32" s="26">
        <f t="shared" si="12"/>
        <v>5.0999999999999996</v>
      </c>
      <c r="R32" s="25">
        <f t="shared" si="3"/>
        <v>8.6788519999999994E-2</v>
      </c>
      <c r="S32" s="13">
        <v>0</v>
      </c>
      <c r="T32" s="13">
        <v>0</v>
      </c>
      <c r="U32" s="26">
        <f t="shared" si="13"/>
        <v>0</v>
      </c>
      <c r="V32" s="25">
        <f t="shared" si="4"/>
        <v>0</v>
      </c>
      <c r="W32" s="13">
        <v>0</v>
      </c>
      <c r="X32" s="27">
        <f t="shared" si="5"/>
        <v>0</v>
      </c>
      <c r="Y32" s="13">
        <v>811418</v>
      </c>
      <c r="Z32" s="27">
        <f t="shared" si="6"/>
        <v>0.25208154999999999</v>
      </c>
      <c r="AA32" s="28">
        <f t="shared" si="7"/>
        <v>0.98785860999999997</v>
      </c>
      <c r="AB32" s="29">
        <f t="shared" si="8"/>
        <v>3218871</v>
      </c>
      <c r="AC32" s="13">
        <v>8657142</v>
      </c>
      <c r="AD32" s="30">
        <f t="shared" si="14"/>
        <v>0.27103969993970201</v>
      </c>
      <c r="AE32" s="2"/>
      <c r="AF32" s="2"/>
    </row>
    <row r="33" spans="1:32">
      <c r="A33" s="22">
        <v>3642</v>
      </c>
      <c r="B33" s="23" t="str">
        <f>VLOOKUP(A33,Summary!$A$25:$B$71,2,0)</f>
        <v>TSU</v>
      </c>
      <c r="C33" s="13">
        <v>44440243</v>
      </c>
      <c r="D33" s="13">
        <v>2621877</v>
      </c>
      <c r="E33" s="24">
        <f t="shared" si="9"/>
        <v>5.8999999999999997E-2</v>
      </c>
      <c r="F33" s="25">
        <f t="shared" si="0"/>
        <v>0.14318506</v>
      </c>
      <c r="G33" s="13">
        <v>55977</v>
      </c>
      <c r="H33" s="13">
        <v>267535</v>
      </c>
      <c r="I33" s="26">
        <f t="shared" si="10"/>
        <v>4.7793999999999999</v>
      </c>
      <c r="J33" s="25">
        <f t="shared" si="1"/>
        <v>1.5604460000000001E-2</v>
      </c>
      <c r="K33" s="13">
        <v>166984</v>
      </c>
      <c r="L33" s="13">
        <v>824070</v>
      </c>
      <c r="M33" s="26">
        <f t="shared" si="11"/>
        <v>4.9349999999999996</v>
      </c>
      <c r="N33" s="25">
        <f t="shared" si="2"/>
        <v>6.3295589999999999E-2</v>
      </c>
      <c r="O33" s="13">
        <v>121376</v>
      </c>
      <c r="P33" s="13">
        <v>794013</v>
      </c>
      <c r="Q33" s="26">
        <f t="shared" si="12"/>
        <v>6.5418000000000003</v>
      </c>
      <c r="R33" s="25">
        <f t="shared" si="3"/>
        <v>6.182522E-2</v>
      </c>
      <c r="S33" s="13">
        <v>0</v>
      </c>
      <c r="T33" s="13">
        <v>0</v>
      </c>
      <c r="U33" s="26">
        <f t="shared" si="13"/>
        <v>0</v>
      </c>
      <c r="V33" s="25">
        <f t="shared" si="4"/>
        <v>0</v>
      </c>
      <c r="W33" s="13">
        <v>0</v>
      </c>
      <c r="X33" s="27">
        <f t="shared" si="5"/>
        <v>0</v>
      </c>
      <c r="Y33" s="13">
        <v>12889531</v>
      </c>
      <c r="Z33" s="27">
        <f t="shared" si="6"/>
        <v>0.74090427999999997</v>
      </c>
      <c r="AA33" s="28">
        <f t="shared" si="7"/>
        <v>1.02481461</v>
      </c>
      <c r="AB33" s="29">
        <f t="shared" si="8"/>
        <v>17397026</v>
      </c>
      <c r="AC33" s="13">
        <v>0</v>
      </c>
      <c r="AD33" s="30">
        <f t="shared" si="14"/>
        <v>1</v>
      </c>
      <c r="AE33" s="2"/>
      <c r="AF33" s="2"/>
    </row>
    <row r="34" spans="1:32">
      <c r="A34" s="22">
        <v>3644</v>
      </c>
      <c r="B34" s="23" t="str">
        <f>VLOOKUP(A34,Summary!$A$25:$B$71,2,0)</f>
        <v>TTU</v>
      </c>
      <c r="C34" s="13">
        <v>97667992</v>
      </c>
      <c r="D34" s="13">
        <v>8864737</v>
      </c>
      <c r="E34" s="24">
        <f t="shared" si="9"/>
        <v>9.0800000000000006E-2</v>
      </c>
      <c r="F34" s="25">
        <f t="shared" si="0"/>
        <v>0.60916075000000003</v>
      </c>
      <c r="G34" s="13">
        <v>574592</v>
      </c>
      <c r="H34" s="13">
        <v>2473590</v>
      </c>
      <c r="I34" s="26">
        <f t="shared" si="10"/>
        <v>4.3049999999999997</v>
      </c>
      <c r="J34" s="25">
        <f t="shared" si="1"/>
        <v>0.10625333000000001</v>
      </c>
      <c r="K34" s="13">
        <v>156223</v>
      </c>
      <c r="L34" s="13">
        <v>1042525</v>
      </c>
      <c r="M34" s="26">
        <f t="shared" si="11"/>
        <v>6.6733000000000002</v>
      </c>
      <c r="N34" s="25">
        <f t="shared" si="2"/>
        <v>8.8531150000000003E-2</v>
      </c>
      <c r="O34" s="13">
        <v>128813</v>
      </c>
      <c r="P34" s="13">
        <v>488276</v>
      </c>
      <c r="Q34" s="26">
        <f t="shared" si="12"/>
        <v>3.7906</v>
      </c>
      <c r="R34" s="25">
        <f t="shared" si="3"/>
        <v>1.801196E-2</v>
      </c>
      <c r="S34" s="13">
        <v>0</v>
      </c>
      <c r="T34" s="13">
        <v>0</v>
      </c>
      <c r="U34" s="26">
        <f t="shared" si="13"/>
        <v>0</v>
      </c>
      <c r="V34" s="25">
        <f t="shared" si="4"/>
        <v>0</v>
      </c>
      <c r="W34" s="13">
        <v>1245597</v>
      </c>
      <c r="X34" s="27">
        <f t="shared" si="5"/>
        <v>5.8539550000000003E-2</v>
      </c>
      <c r="Y34" s="13">
        <v>7163147</v>
      </c>
      <c r="Z34" s="27">
        <f t="shared" si="6"/>
        <v>0.33664771999999998</v>
      </c>
      <c r="AA34" s="28">
        <f t="shared" si="7"/>
        <v>1.2171444600000001</v>
      </c>
      <c r="AB34" s="29">
        <f t="shared" si="8"/>
        <v>21277872</v>
      </c>
      <c r="AC34" s="13">
        <v>28124184</v>
      </c>
      <c r="AD34" s="30">
        <f t="shared" si="14"/>
        <v>0.43070822801383002</v>
      </c>
      <c r="AE34" s="2"/>
      <c r="AF34" s="2"/>
    </row>
    <row r="35" spans="1:32">
      <c r="A35" s="22">
        <v>3541</v>
      </c>
      <c r="B35" s="23" t="str">
        <f>VLOOKUP(A35,Summary!$A$25:$B$71,2,0)</f>
        <v>Angelo</v>
      </c>
      <c r="C35" s="13">
        <v>22884113</v>
      </c>
      <c r="D35" s="13">
        <v>1286306</v>
      </c>
      <c r="E35" s="24">
        <f t="shared" si="9"/>
        <v>5.62E-2</v>
      </c>
      <c r="F35" s="25">
        <f t="shared" si="0"/>
        <v>0.63084441999999996</v>
      </c>
      <c r="G35" s="13">
        <v>24441</v>
      </c>
      <c r="H35" s="13">
        <v>208569</v>
      </c>
      <c r="I35" s="26">
        <f t="shared" si="10"/>
        <v>8.5335999999999999</v>
      </c>
      <c r="J35" s="25">
        <f t="shared" si="1"/>
        <v>0.20477888</v>
      </c>
      <c r="K35" s="13">
        <v>27481</v>
      </c>
      <c r="L35" s="13">
        <v>203131</v>
      </c>
      <c r="M35" s="26">
        <f t="shared" si="11"/>
        <v>7.3917000000000002</v>
      </c>
      <c r="N35" s="25">
        <f t="shared" si="2"/>
        <v>0.2203185</v>
      </c>
      <c r="O35" s="13">
        <v>12944</v>
      </c>
      <c r="P35" s="13">
        <v>128502</v>
      </c>
      <c r="Q35" s="26">
        <f t="shared" si="12"/>
        <v>9.9275000000000002</v>
      </c>
      <c r="R35" s="25">
        <f t="shared" si="3"/>
        <v>0.14315247</v>
      </c>
      <c r="S35" s="13">
        <v>0</v>
      </c>
      <c r="T35" s="13">
        <v>0</v>
      </c>
      <c r="U35" s="26">
        <f t="shared" si="13"/>
        <v>0</v>
      </c>
      <c r="V35" s="25">
        <f t="shared" si="4"/>
        <v>0</v>
      </c>
      <c r="W35" s="13">
        <v>0</v>
      </c>
      <c r="X35" s="27">
        <f t="shared" si="5"/>
        <v>0</v>
      </c>
      <c r="Y35" s="13">
        <v>18791</v>
      </c>
      <c r="Z35" s="27">
        <f t="shared" si="6"/>
        <v>1.018317E-2</v>
      </c>
      <c r="AA35" s="28">
        <f t="shared" si="7"/>
        <v>1.2092774399999999</v>
      </c>
      <c r="AB35" s="29">
        <f t="shared" si="8"/>
        <v>1845299</v>
      </c>
      <c r="AC35" s="13">
        <v>5060389</v>
      </c>
      <c r="AD35" s="30">
        <f t="shared" si="14"/>
        <v>0.26721436010430821</v>
      </c>
      <c r="AE35" s="2"/>
      <c r="AF35" s="2"/>
    </row>
    <row r="36" spans="1:32">
      <c r="A36" s="22">
        <v>3646</v>
      </c>
      <c r="B36" s="23" t="str">
        <f>VLOOKUP(A36,Summary!$A$25:$B$71,2,0)</f>
        <v>TWU</v>
      </c>
      <c r="C36" s="13">
        <v>36369666</v>
      </c>
      <c r="D36" s="13">
        <v>1958871</v>
      </c>
      <c r="E36" s="24">
        <f>IF(C36=0,0,ROUND(D36/C36,4))</f>
        <v>5.3900000000000003E-2</v>
      </c>
      <c r="F36" s="25">
        <f t="shared" si="0"/>
        <v>0.36993621999999998</v>
      </c>
      <c r="G36" s="13">
        <v>157502</v>
      </c>
      <c r="H36" s="13">
        <v>850410</v>
      </c>
      <c r="I36" s="26">
        <f>IF(G36=0,0,ROUND(H36/G36,4))</f>
        <v>5.3994</v>
      </c>
      <c r="J36" s="25">
        <f t="shared" si="1"/>
        <v>0.21211315</v>
      </c>
      <c r="K36" s="13">
        <v>126985</v>
      </c>
      <c r="L36" s="13">
        <v>449587</v>
      </c>
      <c r="M36" s="26">
        <f>IF(K36=0,0,ROUND(L36/K36,4))</f>
        <v>3.5405000000000002</v>
      </c>
      <c r="N36" s="25">
        <f t="shared" si="2"/>
        <v>9.3777659999999999E-2</v>
      </c>
      <c r="O36" s="13">
        <v>51563</v>
      </c>
      <c r="P36" s="13">
        <v>230400</v>
      </c>
      <c r="Q36" s="26">
        <f>IF(O36=0,0,ROUND(P36/O36,4))</f>
        <v>4.4683000000000002</v>
      </c>
      <c r="R36" s="25">
        <f t="shared" si="3"/>
        <v>4.6383599999999997E-2</v>
      </c>
      <c r="S36" s="13">
        <v>8638</v>
      </c>
      <c r="T36" s="13">
        <v>139943</v>
      </c>
      <c r="U36" s="26">
        <f>IF(S36=0,0,ROUND(T36/S36,4))</f>
        <v>16.200900000000001</v>
      </c>
      <c r="V36" s="25">
        <f t="shared" si="4"/>
        <v>3.1560919999999999E-2</v>
      </c>
      <c r="W36" s="13">
        <v>0</v>
      </c>
      <c r="X36" s="27">
        <f t="shared" si="5"/>
        <v>0</v>
      </c>
      <c r="Y36" s="13">
        <v>966748</v>
      </c>
      <c r="Z36" s="27">
        <f t="shared" si="6"/>
        <v>0.21034739</v>
      </c>
      <c r="AA36" s="28">
        <f t="shared" si="7"/>
        <v>0.96411893999999998</v>
      </c>
      <c r="AB36" s="29">
        <f t="shared" si="8"/>
        <v>4595959</v>
      </c>
      <c r="AC36" s="13">
        <v>12963178</v>
      </c>
      <c r="AD36" s="30">
        <f t="shared" si="14"/>
        <v>0.26174173594066724</v>
      </c>
      <c r="AE36" s="2"/>
      <c r="AF36" s="2"/>
    </row>
    <row r="37" spans="1:32">
      <c r="A37" s="22">
        <v>3581</v>
      </c>
      <c r="B37" s="23" t="str">
        <f>VLOOKUP(A37,Summary!$A$25:$B$71,2,0)</f>
        <v>Lamar</v>
      </c>
      <c r="C37" s="13">
        <v>47511705</v>
      </c>
      <c r="D37" s="13">
        <v>3451367</v>
      </c>
      <c r="E37" s="24">
        <f t="shared" si="9"/>
        <v>7.2599999999999998E-2</v>
      </c>
      <c r="F37" s="25">
        <f t="shared" si="0"/>
        <v>0.92683601000000004</v>
      </c>
      <c r="G37" s="13">
        <v>74723</v>
      </c>
      <c r="H37" s="13">
        <v>525718</v>
      </c>
      <c r="I37" s="26">
        <f t="shared" si="10"/>
        <v>7.0355999999999996</v>
      </c>
      <c r="J37" s="25">
        <f t="shared" si="1"/>
        <v>0.18038092</v>
      </c>
      <c r="K37" s="13">
        <v>40797</v>
      </c>
      <c r="L37" s="13">
        <v>218461</v>
      </c>
      <c r="M37" s="26">
        <f t="shared" si="11"/>
        <v>5.3548</v>
      </c>
      <c r="N37" s="25">
        <f t="shared" si="2"/>
        <v>7.2758059999999999E-2</v>
      </c>
      <c r="O37" s="13">
        <v>40797</v>
      </c>
      <c r="P37" s="13">
        <v>157901</v>
      </c>
      <c r="Q37" s="26">
        <f t="shared" si="12"/>
        <v>3.8704000000000001</v>
      </c>
      <c r="R37" s="25">
        <f t="shared" si="3"/>
        <v>2.906854E-2</v>
      </c>
      <c r="S37" s="13">
        <v>0</v>
      </c>
      <c r="T37" s="13">
        <v>0</v>
      </c>
      <c r="U37" s="26">
        <f t="shared" si="13"/>
        <v>0</v>
      </c>
      <c r="V37" s="25">
        <f t="shared" si="4"/>
        <v>0</v>
      </c>
      <c r="W37" s="13">
        <v>0</v>
      </c>
      <c r="X37" s="27">
        <f t="shared" si="5"/>
        <v>0</v>
      </c>
      <c r="Y37" s="13">
        <v>0</v>
      </c>
      <c r="Z37" s="27">
        <f t="shared" si="6"/>
        <v>0</v>
      </c>
      <c r="AA37" s="28">
        <f t="shared" si="7"/>
        <v>1.20904353</v>
      </c>
      <c r="AB37" s="29">
        <f t="shared" si="8"/>
        <v>4353447</v>
      </c>
      <c r="AC37" s="13">
        <v>437213</v>
      </c>
      <c r="AD37" s="30">
        <f t="shared" si="14"/>
        <v>0.90873637452877054</v>
      </c>
      <c r="AE37" s="2"/>
      <c r="AF37" s="2"/>
    </row>
    <row r="38" spans="1:32">
      <c r="A38" s="22">
        <v>3606</v>
      </c>
      <c r="B38" s="23" t="str">
        <f>VLOOKUP(A38,Summary!$A$25:$B$71,2,0)</f>
        <v>Sam Houston</v>
      </c>
      <c r="C38" s="13">
        <v>48446886</v>
      </c>
      <c r="D38" s="13">
        <v>2906813</v>
      </c>
      <c r="E38" s="24">
        <f t="shared" si="9"/>
        <v>0.06</v>
      </c>
      <c r="F38" s="25">
        <f t="shared" si="0"/>
        <v>0.58095768000000003</v>
      </c>
      <c r="G38" s="13">
        <v>100041</v>
      </c>
      <c r="H38" s="13">
        <v>638673</v>
      </c>
      <c r="I38" s="26">
        <f t="shared" si="10"/>
        <v>6.3841000000000001</v>
      </c>
      <c r="J38" s="25">
        <f t="shared" si="1"/>
        <v>0.17906712</v>
      </c>
      <c r="K38" s="13">
        <v>75917</v>
      </c>
      <c r="L38" s="13">
        <v>582590</v>
      </c>
      <c r="M38" s="26">
        <f t="shared" si="11"/>
        <v>7.6740000000000004</v>
      </c>
      <c r="N38" s="25">
        <f t="shared" si="2"/>
        <v>0.25040889</v>
      </c>
      <c r="O38" s="13">
        <v>41638</v>
      </c>
      <c r="P38" s="13">
        <v>239426</v>
      </c>
      <c r="Q38" s="26">
        <f t="shared" si="12"/>
        <v>5.7502000000000004</v>
      </c>
      <c r="R38" s="25">
        <f t="shared" si="3"/>
        <v>5.8970910000000001E-2</v>
      </c>
      <c r="S38" s="13">
        <v>0</v>
      </c>
      <c r="T38" s="13">
        <v>0</v>
      </c>
      <c r="U38" s="26">
        <f t="shared" si="13"/>
        <v>0</v>
      </c>
      <c r="V38" s="25">
        <f t="shared" si="4"/>
        <v>0</v>
      </c>
      <c r="W38" s="13">
        <v>0</v>
      </c>
      <c r="X38" s="27">
        <f t="shared" si="5"/>
        <v>0</v>
      </c>
      <c r="Y38" s="13">
        <v>466783</v>
      </c>
      <c r="Z38" s="27">
        <f t="shared" si="6"/>
        <v>9.6556779999999995E-2</v>
      </c>
      <c r="AA38" s="28">
        <f t="shared" si="7"/>
        <v>1.1659613800000002</v>
      </c>
      <c r="AB38" s="29">
        <f t="shared" si="8"/>
        <v>4834285</v>
      </c>
      <c r="AC38" s="13">
        <v>13301394</v>
      </c>
      <c r="AD38" s="30">
        <f t="shared" si="14"/>
        <v>0.26656211769076854</v>
      </c>
      <c r="AE38" s="2"/>
      <c r="AF38" s="2"/>
    </row>
    <row r="39" spans="1:32">
      <c r="A39" s="22">
        <v>3615</v>
      </c>
      <c r="B39" s="23" t="str">
        <f>VLOOKUP(A39,Summary!$A$25:$B$71,2,0)</f>
        <v>TXST</v>
      </c>
      <c r="C39" s="13">
        <v>58473516</v>
      </c>
      <c r="D39" s="13">
        <v>4548516</v>
      </c>
      <c r="E39" s="24">
        <f t="shared" si="9"/>
        <v>7.7799999999999994E-2</v>
      </c>
      <c r="F39" s="25">
        <f t="shared" si="0"/>
        <v>0.36803105000000003</v>
      </c>
      <c r="G39" s="13">
        <v>253910</v>
      </c>
      <c r="H39" s="13">
        <v>1331201</v>
      </c>
      <c r="I39" s="26">
        <f t="shared" si="10"/>
        <v>5.2427999999999999</v>
      </c>
      <c r="J39" s="25">
        <f t="shared" si="1"/>
        <v>9.5698149999999996E-2</v>
      </c>
      <c r="K39" s="13">
        <v>9090</v>
      </c>
      <c r="L39" s="13">
        <v>102876</v>
      </c>
      <c r="M39" s="26">
        <f t="shared" si="11"/>
        <v>11.317500000000001</v>
      </c>
      <c r="N39" s="25">
        <f t="shared" si="2"/>
        <v>2.03605E-2</v>
      </c>
      <c r="O39" s="13">
        <v>85924</v>
      </c>
      <c r="P39" s="13">
        <v>695495</v>
      </c>
      <c r="Q39" s="26">
        <f t="shared" si="12"/>
        <v>8.0943000000000005</v>
      </c>
      <c r="R39" s="25">
        <f t="shared" si="3"/>
        <v>7.5286279999999997E-2</v>
      </c>
      <c r="S39" s="13">
        <v>0</v>
      </c>
      <c r="T39" s="13">
        <v>0</v>
      </c>
      <c r="U39" s="26">
        <f t="shared" si="13"/>
        <v>0</v>
      </c>
      <c r="V39" s="25">
        <f t="shared" si="4"/>
        <v>0</v>
      </c>
      <c r="W39" s="13">
        <v>2102893</v>
      </c>
      <c r="X39" s="27">
        <f t="shared" si="5"/>
        <v>0.13581380000000001</v>
      </c>
      <c r="Y39" s="13">
        <v>6702666</v>
      </c>
      <c r="Z39" s="27">
        <f t="shared" si="6"/>
        <v>0.43288676999999998</v>
      </c>
      <c r="AA39" s="28">
        <f t="shared" si="7"/>
        <v>1.1280765499999998</v>
      </c>
      <c r="AB39" s="29">
        <f t="shared" si="8"/>
        <v>15483647</v>
      </c>
      <c r="AC39" s="13">
        <v>22758727</v>
      </c>
      <c r="AD39" s="30">
        <f t="shared" si="14"/>
        <v>0.40488195110481373</v>
      </c>
      <c r="AE39" s="2"/>
      <c r="AF39" s="2"/>
    </row>
    <row r="40" spans="1:32">
      <c r="A40" s="22">
        <v>3625</v>
      </c>
      <c r="B40" s="23" t="str">
        <f>VLOOKUP(A40,Summary!$A$25:$B$71,2,0)</f>
        <v>Sul Ross</v>
      </c>
      <c r="C40" s="13">
        <v>11480097</v>
      </c>
      <c r="D40" s="13">
        <v>819467</v>
      </c>
      <c r="E40" s="24">
        <f>IF(C40=0,0,ROUND(D40/C40,4))</f>
        <v>7.1400000000000005E-2</v>
      </c>
      <c r="F40" s="25">
        <f t="shared" si="0"/>
        <v>0.53606054000000003</v>
      </c>
      <c r="G40" s="13">
        <v>16106</v>
      </c>
      <c r="H40" s="13">
        <v>196460</v>
      </c>
      <c r="I40" s="26">
        <f>IF(G40=0,0,ROUND(H40/G40,4))</f>
        <v>12.197900000000001</v>
      </c>
      <c r="J40" s="25">
        <f t="shared" si="1"/>
        <v>0.28947085</v>
      </c>
      <c r="K40" s="13">
        <v>78645</v>
      </c>
      <c r="L40" s="13">
        <v>282262</v>
      </c>
      <c r="M40" s="26">
        <f>IF(K40=0,0,ROUND(L40/K40,4))</f>
        <v>3.5891000000000002</v>
      </c>
      <c r="N40" s="25">
        <f t="shared" si="2"/>
        <v>0.15606693999999999</v>
      </c>
      <c r="O40" s="13">
        <v>78645</v>
      </c>
      <c r="P40" s="13">
        <v>217601</v>
      </c>
      <c r="Q40" s="26">
        <f>IF(O40=0,0,ROUND(P40/O40,4))</f>
        <v>2.7669000000000001</v>
      </c>
      <c r="R40" s="25">
        <f t="shared" si="3"/>
        <v>7.0932609999999993E-2</v>
      </c>
      <c r="S40" s="13">
        <v>0</v>
      </c>
      <c r="T40" s="13">
        <v>0</v>
      </c>
      <c r="U40" s="26">
        <f>IF(S40=0,0,ROUND(T40/S40,4))</f>
        <v>0</v>
      </c>
      <c r="V40" s="25">
        <f t="shared" si="4"/>
        <v>0</v>
      </c>
      <c r="W40" s="13">
        <v>0</v>
      </c>
      <c r="X40" s="27">
        <f>ROUND(W40/$AB40,8)</f>
        <v>0</v>
      </c>
      <c r="Y40" s="13">
        <v>241827</v>
      </c>
      <c r="Z40" s="27">
        <f>ROUND(Y40/$AB40,8)</f>
        <v>0.13758799999999999</v>
      </c>
      <c r="AA40" s="28">
        <f>F40+J40+N40+R40+V40+X40+Z40</f>
        <v>1.1901189400000001</v>
      </c>
      <c r="AB40" s="29">
        <f>D40+H40+L40+P40+T40+W40+Y40</f>
        <v>1757617</v>
      </c>
      <c r="AC40" s="13">
        <v>1361209</v>
      </c>
      <c r="AD40" s="30">
        <f>AB40/(AB40+AC40)</f>
        <v>0.5635508361158974</v>
      </c>
      <c r="AE40" s="2"/>
      <c r="AF40" s="2"/>
    </row>
    <row r="41" spans="1:32" ht="14.4" thickBot="1">
      <c r="A41" s="22">
        <v>20</v>
      </c>
      <c r="B41" s="23" t="str">
        <f>VLOOKUP(A41,Summary!$A$25:$B$71,2,0)</f>
        <v>Sul Ross-Rio Grande</v>
      </c>
      <c r="C41" s="35">
        <v>2388835</v>
      </c>
      <c r="D41" s="480">
        <v>128726</v>
      </c>
      <c r="E41" s="559">
        <f>IF(C41=0,0,ROUND(D41/C41,4))</f>
        <v>5.3900000000000003E-2</v>
      </c>
      <c r="F41" s="33">
        <f t="shared" si="0"/>
        <v>0.73554861999999999</v>
      </c>
      <c r="G41" s="480">
        <v>0</v>
      </c>
      <c r="H41" s="480">
        <v>0</v>
      </c>
      <c r="I41" s="34">
        <f>IF(G41=0,0,ROUND(H41/G41,4))</f>
        <v>0</v>
      </c>
      <c r="J41" s="33">
        <f t="shared" si="1"/>
        <v>0</v>
      </c>
      <c r="K41" s="480">
        <v>2130</v>
      </c>
      <c r="L41" s="480">
        <v>23172</v>
      </c>
      <c r="M41" s="34">
        <f>IF(K41=0,0,ROUND(L41/K41,4))</f>
        <v>10.8789</v>
      </c>
      <c r="N41" s="33">
        <f t="shared" si="2"/>
        <v>0.44935918000000002</v>
      </c>
      <c r="O41" s="480">
        <v>0</v>
      </c>
      <c r="P41" s="480">
        <v>0</v>
      </c>
      <c r="Q41" s="34">
        <f>IF(O41=0,0,ROUND(P41/O41,4))</f>
        <v>0</v>
      </c>
      <c r="R41" s="33">
        <f t="shared" si="3"/>
        <v>0</v>
      </c>
      <c r="S41" s="480">
        <v>0</v>
      </c>
      <c r="T41" s="480">
        <v>0</v>
      </c>
      <c r="U41" s="34">
        <f>IF(S41=0,0,ROUND(T41/S41,4))</f>
        <v>0</v>
      </c>
      <c r="V41" s="33">
        <f t="shared" si="4"/>
        <v>0</v>
      </c>
      <c r="W41" s="480">
        <v>0</v>
      </c>
      <c r="X41" s="36">
        <f>ROUND(W41/$AB41,8)</f>
        <v>0</v>
      </c>
      <c r="Y41" s="480">
        <v>0</v>
      </c>
      <c r="Z41" s="36">
        <f>ROUND(Y41/$AB41,8)</f>
        <v>0</v>
      </c>
      <c r="AA41" s="37">
        <f>F41+J41+N41+R41+V41+X41+Z41</f>
        <v>1.1849078</v>
      </c>
      <c r="AB41" s="65">
        <f>D41+H41+L41+P41+T41+W41+Y41</f>
        <v>151898</v>
      </c>
      <c r="AC41" s="480">
        <v>0</v>
      </c>
      <c r="AD41" s="66">
        <f>AB41/(AB41+AC41)</f>
        <v>1</v>
      </c>
      <c r="AE41" s="2"/>
      <c r="AF41" s="2"/>
    </row>
    <row r="42" spans="1:32" ht="14.4" thickBot="1">
      <c r="A42" s="4"/>
      <c r="B42" s="39" t="s">
        <v>69</v>
      </c>
      <c r="C42" s="40">
        <f>SUM(C5:C41)</f>
        <v>1958544296</v>
      </c>
      <c r="D42" s="41">
        <f>SUM(D5:D41)</f>
        <v>120823827</v>
      </c>
      <c r="E42" s="42">
        <f>IF(C42=0," ",ROUND(D42/C42,4))</f>
        <v>6.1699999999999998E-2</v>
      </c>
      <c r="F42" s="43">
        <f t="shared" si="0"/>
        <v>0.36610132000000001</v>
      </c>
      <c r="G42" s="44">
        <f>SUM(G5:G41)</f>
        <v>8608696</v>
      </c>
      <c r="H42" s="41">
        <f>SUM(H5:H41)</f>
        <v>44059303</v>
      </c>
      <c r="I42" s="45">
        <f>IF(G42=0," ",ROUND(H42/G42,4))</f>
        <v>5.1180000000000003</v>
      </c>
      <c r="J42" s="43">
        <f t="shared" si="1"/>
        <v>0.14600339000000001</v>
      </c>
      <c r="K42" s="40">
        <f>SUM(K5:K41)</f>
        <v>3798402</v>
      </c>
      <c r="L42" s="41">
        <f>SUM(L5:L41)</f>
        <v>19026587</v>
      </c>
      <c r="M42" s="45">
        <f>IF(K42=0," ",ROUND(L42/K42,4))</f>
        <v>5.0091000000000001</v>
      </c>
      <c r="N42" s="43">
        <f t="shared" si="2"/>
        <v>7.8699669999999999E-2</v>
      </c>
      <c r="O42" s="41">
        <f>SUM(O5:O41)</f>
        <v>2566604</v>
      </c>
      <c r="P42" s="41">
        <f>SUM(P5:P41)</f>
        <v>13074006</v>
      </c>
      <c r="Q42" s="45">
        <f>IF(O42=0," ",ROUND(P42/O42,4))</f>
        <v>5.0938999999999997</v>
      </c>
      <c r="R42" s="43">
        <f t="shared" si="3"/>
        <v>4.2056200000000002E-2</v>
      </c>
      <c r="S42" s="41">
        <f>SUM(S5:S41)</f>
        <v>11132</v>
      </c>
      <c r="T42" s="41">
        <f>SUM(T5:T41)</f>
        <v>173995</v>
      </c>
      <c r="U42" s="45">
        <f>IF(S42=0," ",ROUND(T42/S42,4))</f>
        <v>15.6302</v>
      </c>
      <c r="V42" s="43">
        <f t="shared" si="4"/>
        <v>5.3063000000000003E-4</v>
      </c>
      <c r="W42" s="41">
        <f>SUM(W5:W41)</f>
        <v>18456679</v>
      </c>
      <c r="X42" s="46">
        <f t="shared" si="5"/>
        <v>5.6287080000000003E-2</v>
      </c>
      <c r="Y42" s="41">
        <f>SUM(Y5:Y41)</f>
        <v>112288196</v>
      </c>
      <c r="Z42" s="46">
        <f t="shared" si="6"/>
        <v>0.34244375999999999</v>
      </c>
      <c r="AA42" s="43">
        <f t="shared" si="7"/>
        <v>1.0321220499999999</v>
      </c>
      <c r="AB42" s="41">
        <f>D42+H42+L42+P42+T42+W42+Y42</f>
        <v>327902593</v>
      </c>
      <c r="AC42" s="41">
        <f>SUM(AC5:AC41)</f>
        <v>506009332</v>
      </c>
      <c r="AD42" s="47">
        <f t="shared" si="14"/>
        <v>0.3932101018941539</v>
      </c>
      <c r="AE42" s="2"/>
      <c r="AF42" s="2"/>
    </row>
    <row r="43" spans="1:32">
      <c r="A43" s="48">
        <v>9225</v>
      </c>
      <c r="B43" s="49" t="str">
        <f>VLOOKUP(A43,Summary!$A$25:$B$71,2,0)</f>
        <v>TSTC-Harlingen</v>
      </c>
      <c r="C43" s="50">
        <v>9849357</v>
      </c>
      <c r="D43" s="51">
        <v>753383</v>
      </c>
      <c r="E43" s="52">
        <f t="shared" ref="E43:E51" si="15">IF(C43=0,0,ROUND(D43/C43,4))</f>
        <v>7.6499999999999999E-2</v>
      </c>
      <c r="F43" s="53">
        <f t="shared" si="0"/>
        <v>0.66437913000000004</v>
      </c>
      <c r="G43" s="54">
        <v>730</v>
      </c>
      <c r="H43" s="51">
        <v>26089</v>
      </c>
      <c r="I43" s="55">
        <f t="shared" ref="I43:I51" si="16">IF(G43=0,0,ROUND(H43/G43,4))</f>
        <v>35.738399999999999</v>
      </c>
      <c r="J43" s="53">
        <f t="shared" si="1"/>
        <v>0.14170747</v>
      </c>
      <c r="K43" s="50">
        <v>38512</v>
      </c>
      <c r="L43" s="51">
        <v>210838</v>
      </c>
      <c r="M43" s="55">
        <f t="shared" ref="M43:M51" si="17">IF(K43=0,0,ROUND(L43/K43,4))</f>
        <v>5.4745999999999997</v>
      </c>
      <c r="N43" s="53">
        <f t="shared" si="2"/>
        <v>0.22373235</v>
      </c>
      <c r="O43" s="50">
        <v>38512</v>
      </c>
      <c r="P43" s="51">
        <v>125251</v>
      </c>
      <c r="Q43" s="55">
        <f t="shared" ref="Q43:Q51" si="18">IF(O43=0,0,ROUND(P43/O43,4))</f>
        <v>3.2523</v>
      </c>
      <c r="R43" s="53">
        <f t="shared" si="3"/>
        <v>6.0383449999999998E-2</v>
      </c>
      <c r="S43" s="56">
        <v>0</v>
      </c>
      <c r="T43" s="57">
        <v>0</v>
      </c>
      <c r="U43" s="55">
        <f t="shared" ref="U43:U51" si="19">IF(S43=0,0,ROUND(T43/S43,4))</f>
        <v>0</v>
      </c>
      <c r="V43" s="53">
        <f t="shared" si="4"/>
        <v>0</v>
      </c>
      <c r="W43" s="58">
        <v>0</v>
      </c>
      <c r="X43" s="18">
        <f t="shared" si="5"/>
        <v>0</v>
      </c>
      <c r="Y43" s="59">
        <v>281353</v>
      </c>
      <c r="Z43" s="18">
        <f t="shared" si="6"/>
        <v>0.20141038999999999</v>
      </c>
      <c r="AA43" s="60">
        <f t="shared" si="7"/>
        <v>1.2916127899999998</v>
      </c>
      <c r="AB43" s="61">
        <f t="shared" ref="AB43:AB51" si="20">D43+H43+L43+P43+T43+W43+Y43</f>
        <v>1396914</v>
      </c>
      <c r="AC43" s="62">
        <v>3118900</v>
      </c>
      <c r="AD43" s="21">
        <f t="shared" si="14"/>
        <v>0.30933824998106652</v>
      </c>
      <c r="AE43" s="2"/>
      <c r="AF43" s="2"/>
    </row>
    <row r="44" spans="1:32">
      <c r="A44" s="22">
        <v>9932</v>
      </c>
      <c r="B44" s="23" t="str">
        <f>VLOOKUP(A44,Summary!$A$25:$B$71,2,0)</f>
        <v>TSTC-West Tx</v>
      </c>
      <c r="C44" s="54">
        <v>4193540</v>
      </c>
      <c r="D44" s="54">
        <v>364433</v>
      </c>
      <c r="E44" s="63">
        <f t="shared" si="15"/>
        <v>8.6900000000000005E-2</v>
      </c>
      <c r="F44" s="25">
        <f t="shared" si="0"/>
        <v>0.72250393999999996</v>
      </c>
      <c r="G44" s="54">
        <v>11441</v>
      </c>
      <c r="H44" s="54">
        <v>109491</v>
      </c>
      <c r="I44" s="26">
        <f t="shared" si="16"/>
        <v>9.5701000000000001</v>
      </c>
      <c r="J44" s="25">
        <f t="shared" si="1"/>
        <v>0.31518034</v>
      </c>
      <c r="K44" s="54">
        <v>2684</v>
      </c>
      <c r="L44" s="54">
        <v>26062</v>
      </c>
      <c r="M44" s="26">
        <f t="shared" si="17"/>
        <v>9.7101000000000006</v>
      </c>
      <c r="N44" s="25">
        <f t="shared" si="2"/>
        <v>9.7078479999999995E-2</v>
      </c>
      <c r="O44" s="54">
        <v>1935</v>
      </c>
      <c r="P44" s="54">
        <v>11265</v>
      </c>
      <c r="Q44" s="26">
        <f t="shared" si="18"/>
        <v>5.8216999999999999</v>
      </c>
      <c r="R44" s="25">
        <f t="shared" si="3"/>
        <v>1.923938E-2</v>
      </c>
      <c r="S44" s="13">
        <v>0</v>
      </c>
      <c r="T44" s="13">
        <v>0</v>
      </c>
      <c r="U44" s="26">
        <f t="shared" si="19"/>
        <v>0</v>
      </c>
      <c r="V44" s="25">
        <f t="shared" si="4"/>
        <v>0</v>
      </c>
      <c r="W44" s="54">
        <v>53395</v>
      </c>
      <c r="X44" s="27">
        <f t="shared" si="5"/>
        <v>7.5647560000000003E-2</v>
      </c>
      <c r="Y44" s="54">
        <v>141193</v>
      </c>
      <c r="Z44" s="27">
        <f t="shared" si="6"/>
        <v>0.20003570000000001</v>
      </c>
      <c r="AA44" s="28">
        <f t="shared" si="7"/>
        <v>1.4296853999999997</v>
      </c>
      <c r="AB44" s="29">
        <f t="shared" si="20"/>
        <v>705839</v>
      </c>
      <c r="AC44" s="54">
        <v>2736361</v>
      </c>
      <c r="AD44" s="30">
        <f t="shared" si="14"/>
        <v>0.20505461623380397</v>
      </c>
      <c r="AE44" s="2"/>
      <c r="AF44" s="2"/>
    </row>
    <row r="45" spans="1:32">
      <c r="A45" s="22">
        <v>33965</v>
      </c>
      <c r="B45" s="23" t="str">
        <f>VLOOKUP(A45,Summary!$A$25:$B$71,2,0)</f>
        <v>TSTC-Marshall</v>
      </c>
      <c r="C45" s="54">
        <v>1842932</v>
      </c>
      <c r="D45" s="54">
        <v>155526</v>
      </c>
      <c r="E45" s="63">
        <f>IF(C45=0,0,ROUND(D45/C45,4))</f>
        <v>8.4400000000000003E-2</v>
      </c>
      <c r="F45" s="25">
        <f t="shared" si="0"/>
        <v>0.76879332</v>
      </c>
      <c r="G45" s="54">
        <v>4835</v>
      </c>
      <c r="H45" s="54">
        <v>1703</v>
      </c>
      <c r="I45" s="26">
        <f>IF(G45=0,0,ROUND(H45/G45,4))</f>
        <v>0.35220000000000001</v>
      </c>
      <c r="J45" s="25">
        <f t="shared" si="1"/>
        <v>4.6316E-4</v>
      </c>
      <c r="K45" s="54">
        <v>1314100</v>
      </c>
      <c r="L45" s="54">
        <v>47718</v>
      </c>
      <c r="M45" s="26">
        <f>IF(K45=0,0,ROUND(L45/K45,4))</f>
        <v>3.6299999999999999E-2</v>
      </c>
      <c r="N45" s="25">
        <f t="shared" si="2"/>
        <v>1.7058500000000001E-3</v>
      </c>
      <c r="O45" s="54">
        <v>0</v>
      </c>
      <c r="P45" s="54">
        <v>0</v>
      </c>
      <c r="Q45" s="26">
        <f>IF(O45=0,0,ROUND(P45/O45,4))</f>
        <v>0</v>
      </c>
      <c r="R45" s="25">
        <f t="shared" si="3"/>
        <v>0</v>
      </c>
      <c r="S45" s="13">
        <v>0</v>
      </c>
      <c r="T45" s="13">
        <v>0</v>
      </c>
      <c r="U45" s="26">
        <f>IF(S45=0,0,ROUND(T45/S45,4))</f>
        <v>0</v>
      </c>
      <c r="V45" s="25">
        <f t="shared" si="4"/>
        <v>0</v>
      </c>
      <c r="W45" s="54">
        <v>0</v>
      </c>
      <c r="X45" s="27">
        <f t="shared" si="5"/>
        <v>0</v>
      </c>
      <c r="Y45" s="54">
        <v>69997</v>
      </c>
      <c r="Z45" s="27">
        <f t="shared" si="6"/>
        <v>0.25458639</v>
      </c>
      <c r="AA45" s="28">
        <f t="shared" si="7"/>
        <v>1.02554872</v>
      </c>
      <c r="AB45" s="29">
        <f t="shared" si="20"/>
        <v>274944</v>
      </c>
      <c r="AC45" s="54">
        <v>808212</v>
      </c>
      <c r="AD45" s="30">
        <f t="shared" si="14"/>
        <v>0.25383601254112981</v>
      </c>
      <c r="AE45" s="2"/>
      <c r="AF45" s="2"/>
    </row>
    <row r="46" spans="1:32">
      <c r="A46" s="22">
        <v>3634</v>
      </c>
      <c r="B46" s="23" t="str">
        <f>VLOOKUP(A46,Summary!$A$25:$B$71,2,0)</f>
        <v>TSTC-Waco</v>
      </c>
      <c r="C46" s="54">
        <v>14688124</v>
      </c>
      <c r="D46" s="54">
        <v>1124517</v>
      </c>
      <c r="E46" s="63">
        <f t="shared" si="15"/>
        <v>7.6600000000000001E-2</v>
      </c>
      <c r="F46" s="25">
        <f t="shared" si="0"/>
        <v>0.56250058999999997</v>
      </c>
      <c r="G46" s="54">
        <v>61400</v>
      </c>
      <c r="H46" s="54">
        <v>441087</v>
      </c>
      <c r="I46" s="26">
        <f t="shared" si="16"/>
        <v>7.1837999999999997</v>
      </c>
      <c r="J46" s="25">
        <f t="shared" si="1"/>
        <v>0.27281494000000001</v>
      </c>
      <c r="K46" s="54">
        <v>53606</v>
      </c>
      <c r="L46" s="54">
        <v>210369</v>
      </c>
      <c r="M46" s="26">
        <f t="shared" si="17"/>
        <v>3.9243999999999999</v>
      </c>
      <c r="N46" s="25">
        <f t="shared" si="2"/>
        <v>9.0650869999999995E-2</v>
      </c>
      <c r="O46" s="54">
        <v>53606</v>
      </c>
      <c r="P46" s="54">
        <v>92733</v>
      </c>
      <c r="Q46" s="26">
        <f t="shared" si="18"/>
        <v>1.7299</v>
      </c>
      <c r="R46" s="25">
        <f t="shared" si="3"/>
        <v>1.347072E-2</v>
      </c>
      <c r="S46" s="13">
        <v>0</v>
      </c>
      <c r="T46" s="13">
        <v>0</v>
      </c>
      <c r="U46" s="26">
        <f t="shared" si="19"/>
        <v>0</v>
      </c>
      <c r="V46" s="25">
        <f t="shared" si="4"/>
        <v>0</v>
      </c>
      <c r="W46" s="54">
        <v>0</v>
      </c>
      <c r="X46" s="27">
        <f t="shared" si="5"/>
        <v>0</v>
      </c>
      <c r="Y46" s="54">
        <v>597221</v>
      </c>
      <c r="Z46" s="27">
        <f t="shared" si="6"/>
        <v>0.24218924999999999</v>
      </c>
      <c r="AA46" s="28">
        <f t="shared" si="7"/>
        <v>1.1816263699999998</v>
      </c>
      <c r="AB46" s="29">
        <f t="shared" si="20"/>
        <v>2465927</v>
      </c>
      <c r="AC46" s="54">
        <v>5735087</v>
      </c>
      <c r="AD46" s="30">
        <f t="shared" si="14"/>
        <v>0.30068562253399395</v>
      </c>
      <c r="AE46" s="2"/>
      <c r="AF46" s="2"/>
    </row>
    <row r="47" spans="1:32">
      <c r="A47" s="22">
        <v>203634</v>
      </c>
      <c r="B47" s="23" t="str">
        <f>VLOOKUP(A47,Summary!$A$25:$B$71,2,0)</f>
        <v>TSTC-Fort Bend</v>
      </c>
      <c r="C47" s="54">
        <v>2558409</v>
      </c>
      <c r="D47" s="54">
        <v>185363</v>
      </c>
      <c r="E47" s="63">
        <f t="shared" si="15"/>
        <v>7.2499999999999995E-2</v>
      </c>
      <c r="F47" s="25">
        <f t="shared" ref="F47:F53" si="21">ROUND((E47/E$53)*D47/$AB47,8)</f>
        <v>0.84469282999999995</v>
      </c>
      <c r="G47" s="54">
        <v>783400</v>
      </c>
      <c r="H47" s="54">
        <v>7627</v>
      </c>
      <c r="I47" s="26">
        <f>IF(G47=0,0,ROUND(H47/G47,4))</f>
        <v>9.7000000000000003E-3</v>
      </c>
      <c r="J47" s="25">
        <f>ROUND((I47/I$53)*H47/$AB47,8)</f>
        <v>6.1309999999999994E-5</v>
      </c>
      <c r="K47" s="54">
        <v>90048</v>
      </c>
      <c r="L47" s="54">
        <v>34588</v>
      </c>
      <c r="M47" s="26">
        <f>IF(K47=0,0,ROUND(L47/K47,4))</f>
        <v>0.3841</v>
      </c>
      <c r="N47" s="25">
        <f t="shared" ref="N47:N53" si="22">ROUND((M47/M$53)*L47/$AB47,8)</f>
        <v>1.404094E-2</v>
      </c>
      <c r="O47" s="54">
        <v>90048</v>
      </c>
      <c r="P47" s="54">
        <v>6461</v>
      </c>
      <c r="Q47" s="26">
        <f>IF(O47=0,0,ROUND(P47/O47,4))</f>
        <v>7.1800000000000003E-2</v>
      </c>
      <c r="R47" s="25">
        <f t="shared" ref="R47:R53" si="23">ROUND((Q47/Q$53)*P47/$AB47,8)</f>
        <v>3.7494999999999998E-4</v>
      </c>
      <c r="S47" s="13">
        <v>0</v>
      </c>
      <c r="T47" s="13">
        <v>0</v>
      </c>
      <c r="U47" s="26">
        <f>IF(S47=0,0,ROUND(T47/S47,4))</f>
        <v>0</v>
      </c>
      <c r="V47" s="25">
        <f t="shared" ref="V47:V53" si="24">ROUND((U47/U$53)*T47/$AB47,8)</f>
        <v>0</v>
      </c>
      <c r="W47" s="54">
        <v>0</v>
      </c>
      <c r="X47" s="27">
        <f>ROUND(W47/$AB47,8)</f>
        <v>0</v>
      </c>
      <c r="Y47" s="54">
        <v>22156</v>
      </c>
      <c r="Z47" s="27">
        <f>ROUND(Y47/$AB47,8)</f>
        <v>8.6481000000000002E-2</v>
      </c>
      <c r="AA47" s="28">
        <f t="shared" si="7"/>
        <v>0.94565102999999995</v>
      </c>
      <c r="AB47" s="29">
        <f>D47+H47+L47+P47+T47+W47+Y47</f>
        <v>256195</v>
      </c>
      <c r="AC47" s="54">
        <v>611454</v>
      </c>
      <c r="AD47" s="30">
        <f t="shared" si="14"/>
        <v>0.29527493260523552</v>
      </c>
      <c r="AE47" s="2"/>
      <c r="AF47" s="2"/>
    </row>
    <row r="48" spans="1:32" ht="16.2">
      <c r="A48" s="22">
        <v>133965</v>
      </c>
      <c r="B48" s="23" t="s">
        <v>305</v>
      </c>
      <c r="C48" s="54">
        <v>0</v>
      </c>
      <c r="D48" s="54">
        <v>0</v>
      </c>
      <c r="E48" s="63">
        <f t="shared" si="15"/>
        <v>0</v>
      </c>
      <c r="F48" s="25"/>
      <c r="G48" s="54">
        <v>0</v>
      </c>
      <c r="H48" s="54">
        <v>0</v>
      </c>
      <c r="I48" s="26">
        <f>IF(G48=0,0,ROUND(H48/G48,4))</f>
        <v>0</v>
      </c>
      <c r="J48" s="25"/>
      <c r="K48" s="54">
        <v>0</v>
      </c>
      <c r="L48" s="54">
        <v>0</v>
      </c>
      <c r="M48" s="26">
        <f>IF(K48=0,0,ROUND(L48/K48,4))</f>
        <v>0</v>
      </c>
      <c r="N48" s="25">
        <v>0</v>
      </c>
      <c r="O48" s="54">
        <v>0</v>
      </c>
      <c r="P48" s="54">
        <v>0</v>
      </c>
      <c r="Q48" s="26">
        <f>IF(O48=0,0,ROUND(P48/O48,4))</f>
        <v>0</v>
      </c>
      <c r="R48" s="25">
        <v>0</v>
      </c>
      <c r="S48" s="13">
        <v>0</v>
      </c>
      <c r="T48" s="13">
        <v>0</v>
      </c>
      <c r="U48" s="26">
        <f>IF(S48=0,0,ROUND(T48/S48,4))</f>
        <v>0</v>
      </c>
      <c r="V48" s="25">
        <v>0</v>
      </c>
      <c r="W48" s="54">
        <v>0</v>
      </c>
      <c r="X48" s="27">
        <v>0</v>
      </c>
      <c r="Y48" s="54">
        <v>0</v>
      </c>
      <c r="Z48" s="27">
        <v>0</v>
      </c>
      <c r="AA48" s="28">
        <f t="shared" si="7"/>
        <v>0</v>
      </c>
      <c r="AB48" s="29">
        <f>D48+H48+L48+P48+T48+W48+Y48</f>
        <v>0</v>
      </c>
      <c r="AC48" s="54">
        <v>293396</v>
      </c>
      <c r="AD48" s="30">
        <f t="shared" si="14"/>
        <v>0</v>
      </c>
      <c r="AE48" s="2"/>
      <c r="AF48" s="2"/>
    </row>
    <row r="49" spans="1:32">
      <c r="A49" s="22">
        <v>36273</v>
      </c>
      <c r="B49" s="23" t="str">
        <f>VLOOKUP(A49,Summary!$A$25:$B$71,2,0)</f>
        <v>Lamar-IOT</v>
      </c>
      <c r="C49" s="54">
        <v>4878157</v>
      </c>
      <c r="D49" s="54">
        <v>395290</v>
      </c>
      <c r="E49" s="63">
        <f t="shared" si="15"/>
        <v>8.1000000000000003E-2</v>
      </c>
      <c r="F49" s="25">
        <f t="shared" si="21"/>
        <v>1.1046908</v>
      </c>
      <c r="G49" s="54">
        <v>8551</v>
      </c>
      <c r="H49" s="54">
        <v>49509</v>
      </c>
      <c r="I49" s="26">
        <f t="shared" si="16"/>
        <v>5.7897999999999996</v>
      </c>
      <c r="J49" s="25">
        <f>ROUND((I49/I$53)*H49/$AB49,8)</f>
        <v>0.13039144</v>
      </c>
      <c r="K49" s="54">
        <v>1677</v>
      </c>
      <c r="L49" s="54">
        <v>10967</v>
      </c>
      <c r="M49" s="26">
        <f t="shared" si="17"/>
        <v>6.5396999999999998</v>
      </c>
      <c r="N49" s="25">
        <f t="shared" si="22"/>
        <v>4.1607760000000001E-2</v>
      </c>
      <c r="O49" s="54">
        <v>1677</v>
      </c>
      <c r="P49" s="54">
        <v>10967</v>
      </c>
      <c r="Q49" s="26">
        <f t="shared" si="18"/>
        <v>6.5396999999999998</v>
      </c>
      <c r="R49" s="25">
        <f t="shared" si="23"/>
        <v>3.1819470000000002E-2</v>
      </c>
      <c r="S49" s="13">
        <v>0</v>
      </c>
      <c r="T49" s="13">
        <v>0</v>
      </c>
      <c r="U49" s="26">
        <f t="shared" si="19"/>
        <v>0</v>
      </c>
      <c r="V49" s="25">
        <f t="shared" si="24"/>
        <v>0</v>
      </c>
      <c r="W49" s="54">
        <v>0</v>
      </c>
      <c r="X49" s="27">
        <f t="shared" si="5"/>
        <v>0</v>
      </c>
      <c r="Y49" s="54">
        <v>0</v>
      </c>
      <c r="Z49" s="27">
        <f t="shared" si="6"/>
        <v>0</v>
      </c>
      <c r="AA49" s="28">
        <f t="shared" si="7"/>
        <v>1.30850947</v>
      </c>
      <c r="AB49" s="29">
        <f t="shared" si="20"/>
        <v>466733</v>
      </c>
      <c r="AC49" s="54">
        <v>2168214</v>
      </c>
      <c r="AD49" s="30">
        <f t="shared" si="14"/>
        <v>0.1771318360483152</v>
      </c>
      <c r="AE49" s="2"/>
      <c r="AF49" s="2"/>
    </row>
    <row r="50" spans="1:32">
      <c r="A50" s="22">
        <v>23582</v>
      </c>
      <c r="B50" s="23" t="str">
        <f>VLOOKUP(A50,Summary!$A$25:$B$71,2,0)</f>
        <v>Lamar-Orange</v>
      </c>
      <c r="C50" s="54">
        <v>6036735</v>
      </c>
      <c r="D50" s="54">
        <v>477623</v>
      </c>
      <c r="E50" s="63">
        <f t="shared" si="15"/>
        <v>7.9100000000000004E-2</v>
      </c>
      <c r="F50" s="25">
        <f t="shared" si="21"/>
        <v>0.88960496</v>
      </c>
      <c r="G50" s="54">
        <v>23182</v>
      </c>
      <c r="H50" s="54">
        <v>18575</v>
      </c>
      <c r="I50" s="26">
        <f t="shared" si="16"/>
        <v>0.80130000000000001</v>
      </c>
      <c r="J50" s="25">
        <f>ROUND((I50/I$53)*H50/$AB50,8)</f>
        <v>4.6208400000000002E-3</v>
      </c>
      <c r="K50" s="54">
        <v>11126</v>
      </c>
      <c r="L50" s="54">
        <v>34037</v>
      </c>
      <c r="M50" s="26">
        <f t="shared" si="17"/>
        <v>3.0592000000000001</v>
      </c>
      <c r="N50" s="25">
        <f t="shared" si="22"/>
        <v>4.1227159999999999E-2</v>
      </c>
      <c r="O50" s="54">
        <v>11126</v>
      </c>
      <c r="P50" s="54">
        <v>23179</v>
      </c>
      <c r="Q50" s="26">
        <f t="shared" si="18"/>
        <v>2.0832999999999999</v>
      </c>
      <c r="R50" s="25">
        <f t="shared" si="23"/>
        <v>1.462142E-2</v>
      </c>
      <c r="S50" s="13">
        <v>0</v>
      </c>
      <c r="T50" s="13">
        <v>0</v>
      </c>
      <c r="U50" s="26">
        <f t="shared" si="19"/>
        <v>0</v>
      </c>
      <c r="V50" s="25">
        <f t="shared" si="24"/>
        <v>0</v>
      </c>
      <c r="W50" s="54">
        <v>0</v>
      </c>
      <c r="X50" s="27">
        <f t="shared" si="5"/>
        <v>0</v>
      </c>
      <c r="Y50" s="54">
        <v>130455</v>
      </c>
      <c r="Z50" s="27">
        <f t="shared" si="6"/>
        <v>0.19076022000000001</v>
      </c>
      <c r="AA50" s="28">
        <f t="shared" si="7"/>
        <v>1.1408346</v>
      </c>
      <c r="AB50" s="29">
        <f t="shared" si="20"/>
        <v>683869</v>
      </c>
      <c r="AC50" s="54">
        <v>2811270</v>
      </c>
      <c r="AD50" s="30">
        <f t="shared" si="14"/>
        <v>0.19566289066042866</v>
      </c>
      <c r="AE50" s="2"/>
      <c r="AF50" s="2"/>
    </row>
    <row r="51" spans="1:32" ht="14.4" thickBot="1">
      <c r="A51" s="31">
        <v>23485</v>
      </c>
      <c r="B51" s="32" t="str">
        <f>VLOOKUP(A51,Summary!$A$25:$B$71,2,0)</f>
        <v>Lamar-Port Arthur</v>
      </c>
      <c r="C51" s="54">
        <v>5736825</v>
      </c>
      <c r="D51" s="54">
        <v>514061</v>
      </c>
      <c r="E51" s="64">
        <f t="shared" si="15"/>
        <v>8.9599999999999999E-2</v>
      </c>
      <c r="F51" s="33">
        <f t="shared" si="21"/>
        <v>1.0995744599999999</v>
      </c>
      <c r="G51" s="54">
        <v>12981</v>
      </c>
      <c r="H51" s="54">
        <v>103852</v>
      </c>
      <c r="I51" s="34">
        <f t="shared" si="16"/>
        <v>8.0002999999999993</v>
      </c>
      <c r="J51" s="33">
        <f>ROUND((I51/I$53)*H51/$AB51,8)</f>
        <v>0.26150776999999997</v>
      </c>
      <c r="K51" s="479">
        <v>6290</v>
      </c>
      <c r="L51" s="481">
        <v>33361</v>
      </c>
      <c r="M51" s="34">
        <f t="shared" si="17"/>
        <v>5.3037999999999998</v>
      </c>
      <c r="N51" s="33">
        <f t="shared" si="22"/>
        <v>7.1025930000000001E-2</v>
      </c>
      <c r="O51" s="479">
        <v>4387</v>
      </c>
      <c r="P51" s="481">
        <v>23264</v>
      </c>
      <c r="Q51" s="34">
        <f t="shared" si="18"/>
        <v>5.3029000000000002</v>
      </c>
      <c r="R51" s="33">
        <f t="shared" si="23"/>
        <v>3.7871040000000002E-2</v>
      </c>
      <c r="S51" s="35">
        <v>0</v>
      </c>
      <c r="T51" s="480">
        <v>0</v>
      </c>
      <c r="U51" s="34">
        <f t="shared" si="19"/>
        <v>0</v>
      </c>
      <c r="V51" s="33">
        <f t="shared" si="24"/>
        <v>0</v>
      </c>
      <c r="W51" s="479">
        <v>0</v>
      </c>
      <c r="X51" s="36">
        <f t="shared" si="5"/>
        <v>0</v>
      </c>
      <c r="Y51" s="478">
        <v>0</v>
      </c>
      <c r="Z51" s="36">
        <f t="shared" si="6"/>
        <v>0</v>
      </c>
      <c r="AA51" s="37">
        <f t="shared" si="7"/>
        <v>1.4699791999999998</v>
      </c>
      <c r="AB51" s="65">
        <f t="shared" si="20"/>
        <v>674538</v>
      </c>
      <c r="AC51" s="479">
        <v>1990231</v>
      </c>
      <c r="AD51" s="66">
        <f t="shared" si="14"/>
        <v>0.25313188497764721</v>
      </c>
      <c r="AE51" s="2"/>
      <c r="AF51" s="2"/>
    </row>
    <row r="52" spans="1:32">
      <c r="A52" s="4"/>
      <c r="B52" s="39" t="s">
        <v>124</v>
      </c>
      <c r="C52" s="67">
        <f>SUM(C43:C51)</f>
        <v>49784079</v>
      </c>
      <c r="D52" s="41">
        <f>SUM(D43:D51)</f>
        <v>3970196</v>
      </c>
      <c r="E52" s="45">
        <f>IF(C52=0,0,ROUND(D52/C52,4))</f>
        <v>7.9699999999999993E-2</v>
      </c>
      <c r="F52" s="43">
        <f t="shared" si="21"/>
        <v>0.73580283999999996</v>
      </c>
      <c r="G52" s="41">
        <f>SUM(G43:G51)</f>
        <v>906520</v>
      </c>
      <c r="H52" s="41">
        <f>SUM(H43:H51)</f>
        <v>757933</v>
      </c>
      <c r="I52" s="45">
        <f>IF(G52=0,0,ROUND(H52/G52,4))</f>
        <v>0.83609999999999995</v>
      </c>
      <c r="J52" s="43">
        <f>ROUND((I52/I$53)*H52/$AB52,8)</f>
        <v>1.9428609999999999E-2</v>
      </c>
      <c r="K52" s="41">
        <f>SUM(K43:K51)</f>
        <v>1518043</v>
      </c>
      <c r="L52" s="41">
        <f>SUM(L43:L51)</f>
        <v>607940</v>
      </c>
      <c r="M52" s="45">
        <f>IF(K52=0,0,ROUND(L52/K52,4))</f>
        <v>0.40050000000000002</v>
      </c>
      <c r="N52" s="43">
        <f t="shared" si="22"/>
        <v>9.5201399999999999E-3</v>
      </c>
      <c r="O52" s="41">
        <f>SUM(O43:O51)</f>
        <v>201291</v>
      </c>
      <c r="P52" s="41">
        <f>SUM(P43:P51)</f>
        <v>293120</v>
      </c>
      <c r="Q52" s="45">
        <f>IF(O52=0,0,ROUND(P52/O52,4))</f>
        <v>1.4561999999999999</v>
      </c>
      <c r="R52" s="43">
        <f t="shared" si="23"/>
        <v>1.276336E-2</v>
      </c>
      <c r="S52" s="40">
        <f>SUM(S43:S51)</f>
        <v>0</v>
      </c>
      <c r="T52" s="41">
        <f>SUM(T43:T51)</f>
        <v>0</v>
      </c>
      <c r="U52" s="45">
        <f>IF(S52=0,0,ROUND(T52/S52,4))</f>
        <v>0</v>
      </c>
      <c r="V52" s="43">
        <f t="shared" si="24"/>
        <v>0</v>
      </c>
      <c r="W52" s="41">
        <f>SUM(W43:W51)</f>
        <v>53395</v>
      </c>
      <c r="X52" s="46">
        <f>ROUND(W52/$AB52,8)</f>
        <v>7.7105100000000003E-3</v>
      </c>
      <c r="Y52" s="41">
        <f>SUM(Y43:Y51)</f>
        <v>1242375</v>
      </c>
      <c r="Z52" s="46">
        <f>ROUND(Y52/$AB52,8)</f>
        <v>0.17940539</v>
      </c>
      <c r="AA52" s="43">
        <f>F52+J52+N52+R52+V52+X52+Z52</f>
        <v>0.96463084999999993</v>
      </c>
      <c r="AB52" s="41">
        <f>D52+H52+L52+P52+T52+W52+Y52</f>
        <v>6924959</v>
      </c>
      <c r="AC52" s="41">
        <f>SUM(AC43:AC51)</f>
        <v>20273125</v>
      </c>
      <c r="AD52" s="47">
        <f t="shared" si="14"/>
        <v>0.25461201605230721</v>
      </c>
      <c r="AE52" s="2"/>
      <c r="AF52" s="2"/>
    </row>
    <row r="53" spans="1:32">
      <c r="A53" s="4"/>
      <c r="B53" s="69" t="s">
        <v>2</v>
      </c>
      <c r="C53" s="41">
        <f>C42+C52</f>
        <v>2008328375</v>
      </c>
      <c r="D53" s="68">
        <f>D52+D42</f>
        <v>124794023</v>
      </c>
      <c r="E53" s="70">
        <f>IF(C53=0,0,ROUND(D53/C53,4))</f>
        <v>6.2100000000000002E-2</v>
      </c>
      <c r="F53" s="43">
        <f t="shared" si="21"/>
        <v>0.37271133000000001</v>
      </c>
      <c r="G53" s="41">
        <f>G42+G52</f>
        <v>9515216</v>
      </c>
      <c r="H53" s="68">
        <f>H52+H42</f>
        <v>44817236</v>
      </c>
      <c r="I53" s="70">
        <f>IF(G53=0,0,ROUND(H53/G53,4))</f>
        <v>4.7100999999999997</v>
      </c>
      <c r="J53" s="43">
        <f>ROUND((I53/I$53)*H53/$AB53,8)</f>
        <v>0.13385169999999999</v>
      </c>
      <c r="K53" s="41">
        <f>K42+K52</f>
        <v>5316445</v>
      </c>
      <c r="L53" s="68">
        <f>L52+L42</f>
        <v>19634527</v>
      </c>
      <c r="M53" s="70">
        <f>IF(K53=0,0,ROUND(L53/K53,4))</f>
        <v>3.6932</v>
      </c>
      <c r="N53" s="43">
        <f t="shared" si="22"/>
        <v>5.8640709999999999E-2</v>
      </c>
      <c r="O53" s="41">
        <f>O42+O52</f>
        <v>2767895</v>
      </c>
      <c r="P53" s="68">
        <f>P52+P42</f>
        <v>13367126</v>
      </c>
      <c r="Q53" s="70">
        <f>IF(O53=0,0,ROUND(P53/O53,4))</f>
        <v>4.8292999999999999</v>
      </c>
      <c r="R53" s="43">
        <f t="shared" si="23"/>
        <v>3.992242E-2</v>
      </c>
      <c r="S53" s="40">
        <f>S42+S52</f>
        <v>11132</v>
      </c>
      <c r="T53" s="68">
        <f>T52+T42</f>
        <v>173995</v>
      </c>
      <c r="U53" s="70">
        <f>IF(S53=0,0,ROUND(T53/S53,4))</f>
        <v>15.6302</v>
      </c>
      <c r="V53" s="43">
        <f t="shared" si="24"/>
        <v>5.1966000000000002E-4</v>
      </c>
      <c r="W53" s="68">
        <f>W52+W42</f>
        <v>18510074</v>
      </c>
      <c r="X53" s="46">
        <f>ROUND(W53/$AB53,8)</f>
        <v>5.5282409999999997E-2</v>
      </c>
      <c r="Y53" s="68">
        <f>Y52+Y42</f>
        <v>113530571</v>
      </c>
      <c r="Z53" s="46">
        <f>ROUND(Y53/$AB53,8)</f>
        <v>0.33907176999999999</v>
      </c>
      <c r="AA53" s="43">
        <f>F53+J53+N53+R53+V53+X53+Z53</f>
        <v>1</v>
      </c>
      <c r="AB53" s="68">
        <f>D53+H53+L53+P53+T53+W53+Y53</f>
        <v>334827552</v>
      </c>
      <c r="AC53" s="68">
        <f>AC42+AC52</f>
        <v>526282457</v>
      </c>
      <c r="AD53" s="71">
        <f t="shared" si="14"/>
        <v>0.38883249352638755</v>
      </c>
      <c r="AE53" s="2"/>
      <c r="AF53" s="2"/>
    </row>
    <row r="54" spans="1:32">
      <c r="A54" s="4"/>
      <c r="B54" s="69"/>
      <c r="C54" s="41"/>
      <c r="D54" s="68"/>
      <c r="E54" s="70"/>
      <c r="F54" s="43"/>
      <c r="G54" s="41"/>
      <c r="H54" s="68"/>
      <c r="I54" s="70"/>
      <c r="J54" s="43"/>
      <c r="K54" s="41"/>
      <c r="L54" s="68"/>
      <c r="M54" s="70"/>
      <c r="N54" s="43"/>
      <c r="O54" s="41"/>
      <c r="P54" s="68"/>
      <c r="Q54" s="70"/>
      <c r="R54" s="43"/>
      <c r="S54" s="40"/>
      <c r="T54" s="68"/>
      <c r="U54" s="70"/>
      <c r="V54" s="43"/>
      <c r="W54" s="68"/>
      <c r="X54" s="46"/>
      <c r="Y54" s="68"/>
      <c r="Z54" s="46"/>
      <c r="AA54" s="43"/>
      <c r="AB54" s="68"/>
      <c r="AC54" s="68"/>
      <c r="AD54" s="71"/>
      <c r="AE54" s="2"/>
      <c r="AF54" s="2"/>
    </row>
    <row r="55" spans="1:32" ht="16.2">
      <c r="A55" s="72" t="s">
        <v>442</v>
      </c>
      <c r="B55" s="73"/>
      <c r="C55" s="41"/>
      <c r="D55" s="68"/>
      <c r="E55" s="70"/>
      <c r="F55" s="43"/>
      <c r="G55" s="41"/>
      <c r="H55" s="68"/>
      <c r="I55" s="70"/>
      <c r="J55" s="43"/>
      <c r="K55" s="41"/>
      <c r="L55" s="70"/>
      <c r="M55" s="70"/>
      <c r="N55" s="43"/>
      <c r="O55" s="41"/>
      <c r="P55" s="68"/>
      <c r="Q55" s="70"/>
      <c r="R55" s="43"/>
      <c r="S55" s="40"/>
      <c r="T55" s="68"/>
      <c r="U55" s="70"/>
      <c r="V55" s="43"/>
      <c r="W55" s="68"/>
      <c r="X55" s="46"/>
      <c r="Y55" s="68"/>
      <c r="Z55" s="46"/>
      <c r="AA55" s="43"/>
      <c r="AB55" s="68"/>
      <c r="AC55" s="4"/>
      <c r="AD55" s="4"/>
    </row>
    <row r="56" spans="1:32" ht="16.2">
      <c r="A56" s="4" t="s">
        <v>306</v>
      </c>
      <c r="B56" s="4"/>
      <c r="C56" s="4"/>
      <c r="D56" s="4"/>
      <c r="E56" s="74"/>
      <c r="F56" s="4"/>
      <c r="G56" s="4"/>
      <c r="H56" s="4"/>
      <c r="I56" s="4"/>
      <c r="J56" s="4"/>
      <c r="K56" s="4"/>
      <c r="L56" s="4"/>
      <c r="M56" s="4"/>
      <c r="N56" s="4"/>
      <c r="O56" s="4"/>
      <c r="P56" s="4"/>
      <c r="Q56" s="4"/>
      <c r="R56" s="4"/>
      <c r="S56" s="4"/>
      <c r="T56" s="4"/>
      <c r="U56" s="4"/>
      <c r="V56" s="4"/>
      <c r="W56" s="4"/>
      <c r="X56" s="4"/>
      <c r="Y56" s="4"/>
      <c r="Z56" s="4"/>
      <c r="AA56" s="4"/>
      <c r="AB56" s="4"/>
      <c r="AC56" s="4"/>
      <c r="AD56" s="4"/>
    </row>
    <row r="57" spans="1:32" ht="16.2">
      <c r="A57" s="75" t="s">
        <v>444</v>
      </c>
      <c r="B57" s="4"/>
      <c r="C57" s="4"/>
      <c r="D57" s="4"/>
      <c r="E57" s="4"/>
      <c r="F57" s="4"/>
      <c r="G57" s="4"/>
      <c r="H57" s="4"/>
      <c r="I57" s="4"/>
      <c r="J57" s="4"/>
      <c r="K57" s="4"/>
      <c r="L57" s="4"/>
      <c r="M57" s="4"/>
      <c r="N57" s="4"/>
      <c r="O57" s="4"/>
      <c r="P57" s="4"/>
      <c r="Q57" s="4"/>
      <c r="R57" s="4"/>
      <c r="S57" s="4"/>
      <c r="T57" s="4"/>
      <c r="U57" s="4"/>
      <c r="V57" s="4"/>
      <c r="W57" s="4"/>
      <c r="X57" s="4"/>
      <c r="Y57" s="4"/>
      <c r="Z57" s="4"/>
      <c r="AA57" s="4"/>
      <c r="AB57" s="4"/>
      <c r="AC57" s="4"/>
      <c r="AD57" s="4"/>
    </row>
  </sheetData>
  <mergeCells count="12">
    <mergeCell ref="W3:X3"/>
    <mergeCell ref="S3:V3"/>
    <mergeCell ref="A3:B4"/>
    <mergeCell ref="C3:F3"/>
    <mergeCell ref="G3:J3"/>
    <mergeCell ref="K3:N3"/>
    <mergeCell ref="O3:R3"/>
    <mergeCell ref="AC3:AC4"/>
    <mergeCell ref="AD3:AD4"/>
    <mergeCell ref="AA3:AA4"/>
    <mergeCell ref="AB3:AB4"/>
    <mergeCell ref="Y3:Z3"/>
  </mergeCells>
  <conditionalFormatting sqref="E5:E30 E32:E37 E39">
    <cfRule type="top10" dxfId="57" priority="79" bottom="1" rank="4"/>
    <cfRule type="top10" dxfId="56" priority="80" rank="4"/>
  </conditionalFormatting>
  <conditionalFormatting sqref="E31">
    <cfRule type="top10" dxfId="55" priority="50" rank="4"/>
    <cfRule type="top10" dxfId="54" priority="49" bottom="1" rank="4"/>
  </conditionalFormatting>
  <conditionalFormatting sqref="E38">
    <cfRule type="top10" dxfId="53" priority="37" bottom="1" rank="4"/>
    <cfRule type="top10" dxfId="52" priority="38" rank="4"/>
  </conditionalFormatting>
  <conditionalFormatting sqref="E40:E41">
    <cfRule type="top10" dxfId="51" priority="11" bottom="1" rank="4"/>
    <cfRule type="top10" dxfId="50" priority="12" rank="4"/>
  </conditionalFormatting>
  <conditionalFormatting sqref="E43">
    <cfRule type="top10" dxfId="49" priority="23" bottom="1" rank="4"/>
    <cfRule type="top10" dxfId="48" priority="24" rank="4"/>
  </conditionalFormatting>
  <conditionalFormatting sqref="E44:E51">
    <cfRule type="top10" dxfId="47" priority="25" bottom="1" rank="4"/>
    <cfRule type="top10" dxfId="46" priority="26" rank="4"/>
  </conditionalFormatting>
  <conditionalFormatting sqref="I5:I30 I35:I37 I44:I51 I32:I33 I39">
    <cfRule type="top10" dxfId="45" priority="78" rank="4"/>
  </conditionalFormatting>
  <conditionalFormatting sqref="I5:I30 I43:I51 I32:I37 I39">
    <cfRule type="top10" dxfId="44" priority="58" rank="4"/>
    <cfRule type="top10" dxfId="43" priority="57" bottom="1" rank="4"/>
  </conditionalFormatting>
  <conditionalFormatting sqref="I5:I30 I44:I51 I32:I37 I39">
    <cfRule type="top10" dxfId="42" priority="77" bottom="1" rank="4"/>
  </conditionalFormatting>
  <conditionalFormatting sqref="I31">
    <cfRule type="top10" dxfId="41" priority="47" bottom="1" rank="4"/>
    <cfRule type="top10" dxfId="40" priority="39" bottom="1" rank="4"/>
    <cfRule type="top10" dxfId="39" priority="40" rank="4"/>
    <cfRule type="top10" dxfId="38" priority="48" rank="4"/>
  </conditionalFormatting>
  <conditionalFormatting sqref="I38">
    <cfRule type="top10" dxfId="37" priority="35" bottom="1" rank="4"/>
    <cfRule type="top10" dxfId="36" priority="36" rank="4"/>
    <cfRule type="top10" dxfId="35" priority="27" bottom="1" rank="4"/>
    <cfRule type="top10" dxfId="34" priority="28" rank="4"/>
  </conditionalFormatting>
  <conditionalFormatting sqref="I40:I41">
    <cfRule type="top10" dxfId="33" priority="2" rank="4"/>
    <cfRule type="top10" dxfId="32" priority="10" rank="4"/>
    <cfRule type="top10" dxfId="31" priority="1" bottom="1" rank="4"/>
    <cfRule type="top10" dxfId="30" priority="9" bottom="1" rank="4"/>
  </conditionalFormatting>
  <conditionalFormatting sqref="M5:M30 M35:M37 M44:M51 M32:M33 M39">
    <cfRule type="top10" dxfId="29" priority="76" rank="4"/>
  </conditionalFormatting>
  <conditionalFormatting sqref="M5:M30 M44:M51 M32:M37 M39">
    <cfRule type="top10" dxfId="28" priority="75" bottom="1" rank="4"/>
  </conditionalFormatting>
  <conditionalFormatting sqref="M31">
    <cfRule type="top10" dxfId="27" priority="45" bottom="1" rank="4"/>
    <cfRule type="top10" dxfId="26" priority="46" rank="4"/>
  </conditionalFormatting>
  <conditionalFormatting sqref="M38">
    <cfRule type="top10" dxfId="25" priority="33" bottom="1" rank="4"/>
    <cfRule type="top10" dxfId="24" priority="34" rank="4"/>
  </conditionalFormatting>
  <conditionalFormatting sqref="M40:M41">
    <cfRule type="top10" dxfId="23" priority="8" rank="4"/>
    <cfRule type="top10" dxfId="22" priority="7" bottom="1" rank="4"/>
  </conditionalFormatting>
  <conditionalFormatting sqref="M43">
    <cfRule type="top10" dxfId="21" priority="55" bottom="1" rank="4"/>
    <cfRule type="top10" dxfId="20" priority="56" rank="4"/>
  </conditionalFormatting>
  <conditionalFormatting sqref="Q5:Q30 Q35:Q37 Q44:Q51 Q32:Q33 Q39">
    <cfRule type="top10" dxfId="19" priority="74" rank="4"/>
  </conditionalFormatting>
  <conditionalFormatting sqref="Q5:Q30 Q44:Q51 Q32:Q37 Q39">
    <cfRule type="top10" dxfId="18" priority="73" bottom="1" rank="4"/>
  </conditionalFormatting>
  <conditionalFormatting sqref="Q31">
    <cfRule type="top10" dxfId="17" priority="43" bottom="1" rank="4"/>
    <cfRule type="top10" dxfId="16" priority="44" rank="4"/>
  </conditionalFormatting>
  <conditionalFormatting sqref="Q38">
    <cfRule type="top10" dxfId="15" priority="32" rank="4"/>
    <cfRule type="top10" dxfId="14" priority="31" bottom="1" rank="4"/>
  </conditionalFormatting>
  <conditionalFormatting sqref="Q40:Q41">
    <cfRule type="top10" dxfId="13" priority="6" rank="4"/>
    <cfRule type="top10" dxfId="12" priority="5" bottom="1" rank="4"/>
  </conditionalFormatting>
  <conditionalFormatting sqref="Q43">
    <cfRule type="top10" dxfId="11" priority="53" bottom="1" rank="4"/>
    <cfRule type="top10" dxfId="10" priority="54" rank="4"/>
  </conditionalFormatting>
  <conditionalFormatting sqref="U5:U30 U35:U37 U44:U51 U32:U33 U39">
    <cfRule type="top10" dxfId="9" priority="72" rank="4"/>
  </conditionalFormatting>
  <conditionalFormatting sqref="U5:U30 U44:U51 U32:U37 U39">
    <cfRule type="top10" dxfId="8" priority="71" bottom="1" rank="4"/>
  </conditionalFormatting>
  <conditionalFormatting sqref="U31">
    <cfRule type="top10" dxfId="7" priority="41" bottom="1" rank="4"/>
    <cfRule type="top10" dxfId="6" priority="42" rank="4"/>
  </conditionalFormatting>
  <conditionalFormatting sqref="U38">
    <cfRule type="top10" dxfId="5" priority="30" rank="4"/>
    <cfRule type="top10" dxfId="4" priority="29" bottom="1" rank="4"/>
  </conditionalFormatting>
  <conditionalFormatting sqref="U40:U41">
    <cfRule type="top10" dxfId="3" priority="3" bottom="1" rank="4"/>
    <cfRule type="top10" dxfId="2" priority="4" rank="4"/>
  </conditionalFormatting>
  <conditionalFormatting sqref="U43">
    <cfRule type="top10" dxfId="1" priority="51" bottom="1" rank="4"/>
    <cfRule type="top10" dxfId="0" priority="52" rank="4"/>
  </conditionalFormatting>
  <pageMargins left="0.17" right="0.18" top="0.18" bottom="0.49" header="0.18" footer="0.18"/>
  <pageSetup scale="71" fitToWidth="0" orientation="landscape" r:id="rId1"/>
  <headerFooter>
    <oddFooter>Prepared by Paul Turcotte &amp;D&amp;RPage &amp;P</oddFooter>
  </headerFooter>
  <colBreaks count="1" manualBreakCount="1">
    <brk id="14"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1">
    <tabColor theme="3"/>
    <pageSetUpPr autoPageBreaks="0"/>
  </sheetPr>
  <dimension ref="A1:F23"/>
  <sheetViews>
    <sheetView showGridLines="0" zoomScale="85" zoomScaleNormal="85" workbookViewId="0">
      <pane xSplit="1" ySplit="4" topLeftCell="B5" activePane="bottomRight" state="frozen"/>
      <selection pane="topRight" activeCell="B1" sqref="B1"/>
      <selection pane="bottomLeft" activeCell="A5" sqref="A5"/>
      <selection pane="bottomRight" activeCell="B14" sqref="B14"/>
    </sheetView>
  </sheetViews>
  <sheetFormatPr defaultColWidth="9.109375" defaultRowHeight="13.8"/>
  <cols>
    <col min="1" max="1" width="78.6640625" style="325" customWidth="1"/>
    <col min="2" max="2" width="23.5546875" style="325" customWidth="1"/>
    <col min="3" max="4" width="15.33203125" style="325" bestFit="1" customWidth="1"/>
    <col min="5" max="6" width="14" style="325" customWidth="1"/>
    <col min="7" max="16384" width="9.109375" style="325"/>
  </cols>
  <sheetData>
    <row r="1" spans="1:6">
      <c r="A1" s="730" t="str">
        <f>'Space Support'!A1</f>
        <v>General Academic Institutions - Formula Funding - 2024-2025</v>
      </c>
      <c r="B1" s="730"/>
    </row>
    <row r="2" spans="1:6">
      <c r="A2" s="730" t="s">
        <v>70</v>
      </c>
      <c r="B2" s="730"/>
      <c r="C2" s="4"/>
      <c r="D2" s="4"/>
      <c r="E2" s="4"/>
      <c r="F2" s="4"/>
    </row>
    <row r="3" spans="1:6" ht="18" customHeight="1" thickBot="1">
      <c r="A3" s="731" t="s">
        <v>258</v>
      </c>
      <c r="B3" s="731"/>
      <c r="C3" s="4"/>
      <c r="D3" s="4"/>
      <c r="E3" s="4"/>
      <c r="F3" s="4"/>
    </row>
    <row r="4" spans="1:6" ht="29.25" customHeight="1" thickBot="1">
      <c r="A4" s="326" t="s">
        <v>71</v>
      </c>
      <c r="B4" s="327" t="s">
        <v>257</v>
      </c>
    </row>
    <row r="5" spans="1:6" ht="29.25" customHeight="1">
      <c r="A5" s="328" t="s">
        <v>313</v>
      </c>
      <c r="B5" s="329">
        <v>1033861</v>
      </c>
    </row>
    <row r="6" spans="1:6" ht="29.25" customHeight="1">
      <c r="A6" s="330" t="s">
        <v>72</v>
      </c>
      <c r="B6" s="331">
        <f>6678+34544</f>
        <v>41222</v>
      </c>
    </row>
    <row r="7" spans="1:6" ht="29.25" customHeight="1">
      <c r="A7" s="330" t="s">
        <v>73</v>
      </c>
      <c r="B7" s="331">
        <f>180621-64051</f>
        <v>116570</v>
      </c>
      <c r="C7" s="332"/>
      <c r="D7" s="4"/>
    </row>
    <row r="8" spans="1:6" ht="29.25" customHeight="1" thickBot="1">
      <c r="A8" s="333" t="s">
        <v>74</v>
      </c>
      <c r="B8" s="334">
        <v>64057</v>
      </c>
      <c r="C8" s="332"/>
      <c r="D8" s="4"/>
    </row>
    <row r="9" spans="1:6" ht="29.25" customHeight="1" thickBot="1">
      <c r="A9" s="335" t="s">
        <v>146</v>
      </c>
      <c r="B9" s="336">
        <f>SUM(B5:B8)</f>
        <v>1255710</v>
      </c>
      <c r="C9" s="4"/>
      <c r="D9" s="4"/>
    </row>
    <row r="10" spans="1:6" ht="14.4" thickTop="1">
      <c r="A10" s="4"/>
      <c r="B10" s="337"/>
      <c r="C10" s="4"/>
      <c r="D10" s="4"/>
      <c r="E10" s="4"/>
      <c r="F10" s="4"/>
    </row>
    <row r="11" spans="1:6" ht="30" customHeight="1">
      <c r="A11" s="338" t="s">
        <v>314</v>
      </c>
      <c r="B11" s="339">
        <v>0.6</v>
      </c>
      <c r="C11" s="4"/>
      <c r="D11" s="4"/>
      <c r="E11" s="4"/>
      <c r="F11" s="4"/>
    </row>
    <row r="12" spans="1:6" ht="30" customHeight="1">
      <c r="A12" s="338" t="s">
        <v>315</v>
      </c>
      <c r="B12" s="339">
        <v>0.51</v>
      </c>
      <c r="C12" s="4"/>
      <c r="D12" s="4"/>
      <c r="E12" s="4"/>
      <c r="F12" s="4"/>
    </row>
    <row r="13" spans="1:6" ht="29.25" customHeight="1" thickBot="1">
      <c r="A13" s="335" t="s">
        <v>147</v>
      </c>
      <c r="B13" s="336">
        <f>B9*B11*B12</f>
        <v>384247.26</v>
      </c>
      <c r="C13" s="340"/>
      <c r="D13" s="340"/>
    </row>
    <row r="14" spans="1:6" ht="14.4" thickTop="1">
      <c r="A14" s="335" t="s">
        <v>207</v>
      </c>
      <c r="B14" s="341">
        <f>B15-'Space Support'!D60</f>
        <v>6.6342983081474571E-2</v>
      </c>
      <c r="C14" s="340"/>
      <c r="D14" s="340"/>
    </row>
    <row r="15" spans="1:6">
      <c r="A15" s="335" t="str">
        <f>Summary!J1&amp;" Funding Rate"</f>
        <v>2024 Funding Rate</v>
      </c>
      <c r="B15" s="342">
        <f>5.5448+0.0661827</f>
        <v>5.6109827000000001</v>
      </c>
      <c r="E15" s="343"/>
      <c r="F15" s="4"/>
    </row>
    <row r="16" spans="1:6">
      <c r="A16" s="335" t="str">
        <f>Summary!J1+1&amp;" Funding Rate"</f>
        <v>2025 Funding Rate</v>
      </c>
      <c r="B16" s="342">
        <f>5.5448+0.0661827</f>
        <v>5.6109827000000001</v>
      </c>
      <c r="C16" s="340"/>
      <c r="D16" s="4"/>
      <c r="E16" s="4"/>
      <c r="F16" s="4"/>
    </row>
    <row r="17" spans="1:6">
      <c r="A17" s="335" t="str">
        <f>Summary!J1&amp;" Funding"</f>
        <v>2024 Funding</v>
      </c>
      <c r="B17" s="99">
        <f>B15*B13</f>
        <v>2156004.7283824021</v>
      </c>
      <c r="C17" s="4"/>
      <c r="D17" s="4"/>
      <c r="E17" s="4"/>
      <c r="F17" s="4"/>
    </row>
    <row r="18" spans="1:6">
      <c r="A18" s="335" t="str">
        <f>Summary!J1+1&amp;" Funding"</f>
        <v>2025 Funding</v>
      </c>
      <c r="B18" s="99">
        <f>B16*B13</f>
        <v>2156004.7283824021</v>
      </c>
      <c r="C18" s="4"/>
      <c r="D18" s="4"/>
      <c r="E18" s="4"/>
      <c r="F18" s="4"/>
    </row>
    <row r="19" spans="1:6">
      <c r="A19" s="335" t="s">
        <v>174</v>
      </c>
      <c r="B19" s="99">
        <f>SUM(B17:B18)</f>
        <v>4312009.4567648042</v>
      </c>
      <c r="C19" s="4"/>
      <c r="D19" s="294"/>
      <c r="E19" s="4"/>
      <c r="F19" s="4"/>
    </row>
    <row r="20" spans="1:6" ht="24.75" customHeight="1">
      <c r="A20" s="344" t="s">
        <v>335</v>
      </c>
      <c r="B20" s="345"/>
      <c r="C20" s="4"/>
      <c r="D20" s="4"/>
      <c r="E20" s="4"/>
      <c r="F20" s="4"/>
    </row>
    <row r="21" spans="1:6" ht="142.5" customHeight="1">
      <c r="A21" s="732" t="s">
        <v>406</v>
      </c>
      <c r="B21" s="733"/>
      <c r="C21" s="4"/>
      <c r="D21" s="4"/>
      <c r="E21" s="4"/>
      <c r="F21" s="4"/>
    </row>
    <row r="22" spans="1:6">
      <c r="A22" s="4" t="s">
        <v>144</v>
      </c>
      <c r="B22" s="4"/>
      <c r="C22" s="4"/>
      <c r="D22" s="4"/>
      <c r="E22" s="4"/>
      <c r="F22" s="4"/>
    </row>
    <row r="23" spans="1:6">
      <c r="A23" s="4" t="s">
        <v>145</v>
      </c>
    </row>
  </sheetData>
  <mergeCells count="4">
    <mergeCell ref="A1:B1"/>
    <mergeCell ref="A2:B2"/>
    <mergeCell ref="A3:B3"/>
    <mergeCell ref="A21:B21"/>
  </mergeCells>
  <pageMargins left="0.23" right="0" top="0.5" bottom="0.5" header="0.17" footer="0.25"/>
  <pageSetup orientation="portrait" r:id="rId1"/>
  <headerFooter alignWithMargins="0">
    <oddFooter>Prepared by Paul Turcotte &amp;D&amp;RPage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5">
    <tabColor theme="3"/>
    <pageSetUpPr fitToPage="1"/>
  </sheetPr>
  <dimension ref="A1:N54"/>
  <sheetViews>
    <sheetView showGridLines="0" zoomScale="85" zoomScaleNormal="85" zoomScaleSheetLayoutView="75" workbookViewId="0">
      <pane xSplit="2" ySplit="3" topLeftCell="C34" activePane="bottomRight" state="frozen"/>
      <selection pane="topRight" activeCell="C1" sqref="C1"/>
      <selection pane="bottomLeft" activeCell="A4" sqref="A4"/>
      <selection pane="bottomRight" activeCell="I41" sqref="I41"/>
    </sheetView>
  </sheetViews>
  <sheetFormatPr defaultColWidth="9.109375" defaultRowHeight="13.8"/>
  <cols>
    <col min="1" max="1" width="10.44140625" style="347" customWidth="1"/>
    <col min="2" max="2" width="29" style="347" customWidth="1"/>
    <col min="3" max="3" width="26.109375" style="347" customWidth="1"/>
    <col min="4" max="4" width="15.88671875" style="347" customWidth="1"/>
    <col min="5" max="5" width="16.6640625" style="347" customWidth="1"/>
    <col min="6" max="6" width="5.44140625" style="347" customWidth="1"/>
    <col min="7" max="7" width="15.109375" style="347" customWidth="1"/>
    <col min="8" max="8" width="16.109375" style="347" customWidth="1"/>
    <col min="9" max="9" width="16.44140625" style="347" customWidth="1"/>
    <col min="10" max="10" width="17.6640625" style="347" customWidth="1"/>
    <col min="11" max="11" width="9.109375" style="347"/>
    <col min="12" max="12" width="15" style="347" bestFit="1" customWidth="1"/>
    <col min="13" max="13" width="9.109375" style="347"/>
    <col min="14" max="14" width="13.6640625" style="347" bestFit="1" customWidth="1"/>
    <col min="15" max="16384" width="9.109375" style="347"/>
  </cols>
  <sheetData>
    <row r="1" spans="1:10">
      <c r="A1" s="346" t="str">
        <f>'Space Support'!A1</f>
        <v>General Academic Institutions - Formula Funding - 2024-2025</v>
      </c>
      <c r="E1" s="347" t="s">
        <v>396</v>
      </c>
    </row>
    <row r="2" spans="1:10" ht="14.4" thickBot="1">
      <c r="A2" s="346" t="s">
        <v>81</v>
      </c>
    </row>
    <row r="3" spans="1:10" ht="74.25" customHeight="1" thickBot="1">
      <c r="A3" s="734" t="s">
        <v>199</v>
      </c>
      <c r="B3" s="735"/>
      <c r="C3" s="348" t="s">
        <v>448</v>
      </c>
      <c r="D3" s="349" t="s">
        <v>130</v>
      </c>
      <c r="E3" s="349" t="s">
        <v>174</v>
      </c>
      <c r="G3" s="350"/>
      <c r="H3" s="350"/>
      <c r="I3" s="350"/>
      <c r="J3" s="350"/>
    </row>
    <row r="4" spans="1:10">
      <c r="A4" s="351">
        <v>3656</v>
      </c>
      <c r="B4" s="352" t="str">
        <f>VLOOKUP(A4,Summary!$A$25:$B$71,2,0)</f>
        <v>UT-Arlington</v>
      </c>
      <c r="C4" s="353">
        <v>40942</v>
      </c>
      <c r="D4" s="354">
        <f t="shared" ref="D4:D51" si="0">MAX(1-MAX(C4-5000,0)/5000,0)*1316566.5</f>
        <v>0</v>
      </c>
      <c r="E4" s="354">
        <f>D4*2</f>
        <v>0</v>
      </c>
      <c r="F4" s="355"/>
      <c r="G4" s="198"/>
      <c r="H4" s="198"/>
      <c r="I4" s="198"/>
      <c r="J4" s="356"/>
    </row>
    <row r="5" spans="1:10">
      <c r="A5" s="357">
        <v>3658</v>
      </c>
      <c r="B5" s="358" t="str">
        <f>VLOOKUP(A5,Summary!$A$25:$B$71,2,0)</f>
        <v>UT-Austin</v>
      </c>
      <c r="C5" s="353">
        <v>52189</v>
      </c>
      <c r="D5" s="354">
        <f t="shared" si="0"/>
        <v>0</v>
      </c>
      <c r="E5" s="359">
        <f t="shared" ref="E5:E40" si="1">D5*2</f>
        <v>0</v>
      </c>
      <c r="F5" s="355"/>
      <c r="G5" s="198"/>
      <c r="H5" s="198"/>
      <c r="I5" s="198"/>
      <c r="J5" s="356"/>
    </row>
    <row r="6" spans="1:10">
      <c r="A6" s="357">
        <v>9741</v>
      </c>
      <c r="B6" s="358" t="str">
        <f>VLOOKUP(A6,Summary!$A$25:$B$71,2,0)</f>
        <v>UT-Dallas</v>
      </c>
      <c r="C6" s="353">
        <v>31570</v>
      </c>
      <c r="D6" s="354">
        <f t="shared" si="0"/>
        <v>0</v>
      </c>
      <c r="E6" s="359">
        <f t="shared" si="1"/>
        <v>0</v>
      </c>
      <c r="F6" s="355"/>
      <c r="G6" s="198"/>
      <c r="H6" s="198"/>
      <c r="I6" s="198"/>
      <c r="J6" s="356"/>
    </row>
    <row r="7" spans="1:10">
      <c r="A7" s="357">
        <v>3661</v>
      </c>
      <c r="B7" s="358" t="str">
        <f>VLOOKUP(A7,Summary!$A$25:$B$71,2,0)</f>
        <v>UT-El Paso</v>
      </c>
      <c r="C7" s="353">
        <v>23880</v>
      </c>
      <c r="D7" s="354">
        <f t="shared" si="0"/>
        <v>0</v>
      </c>
      <c r="E7" s="359">
        <f t="shared" si="1"/>
        <v>0</v>
      </c>
      <c r="F7" s="355"/>
      <c r="G7" s="198"/>
      <c r="H7" s="198"/>
      <c r="I7" s="198"/>
      <c r="J7" s="356"/>
    </row>
    <row r="8" spans="1:10">
      <c r="A8" s="357">
        <v>3599</v>
      </c>
      <c r="B8" s="358" t="str">
        <f>VLOOKUP(A8,Summary!$A$25:$B$71,2,0)</f>
        <v>UT-Rio Grande Valley</v>
      </c>
      <c r="C8" s="353">
        <v>31317</v>
      </c>
      <c r="D8" s="354">
        <f t="shared" si="0"/>
        <v>0</v>
      </c>
      <c r="E8" s="359">
        <f t="shared" si="1"/>
        <v>0</v>
      </c>
      <c r="F8" s="355"/>
      <c r="G8" s="198"/>
      <c r="H8" s="198"/>
      <c r="I8" s="198"/>
      <c r="J8" s="356"/>
    </row>
    <row r="9" spans="1:10">
      <c r="A9" s="357">
        <v>9930</v>
      </c>
      <c r="B9" s="358" t="str">
        <f>VLOOKUP(A9,Summary!$A$25:$B$71,2,0)</f>
        <v>UT-Permian Basin</v>
      </c>
      <c r="C9" s="353">
        <v>5250</v>
      </c>
      <c r="D9" s="354">
        <f t="shared" si="0"/>
        <v>1250738.175</v>
      </c>
      <c r="E9" s="359">
        <f t="shared" si="1"/>
        <v>2501476.35</v>
      </c>
      <c r="F9" s="355"/>
      <c r="G9" s="198"/>
      <c r="H9" s="198"/>
      <c r="I9" s="198"/>
      <c r="J9" s="356"/>
    </row>
    <row r="10" spans="1:10">
      <c r="A10" s="357">
        <v>10115</v>
      </c>
      <c r="B10" s="358" t="str">
        <f>VLOOKUP(A10,Summary!$A$25:$B$71,2,0)</f>
        <v>UT-San Antonio</v>
      </c>
      <c r="C10" s="353">
        <v>33557</v>
      </c>
      <c r="D10" s="354">
        <f t="shared" si="0"/>
        <v>0</v>
      </c>
      <c r="E10" s="359">
        <f t="shared" si="1"/>
        <v>0</v>
      </c>
      <c r="F10" s="355"/>
      <c r="G10" s="198"/>
      <c r="H10" s="198"/>
      <c r="I10" s="198"/>
      <c r="J10" s="356"/>
    </row>
    <row r="11" spans="1:10">
      <c r="A11" s="357">
        <v>11163</v>
      </c>
      <c r="B11" s="358" t="str">
        <f>VLOOKUP(A11,Summary!$A$25:$B$71,2,0)</f>
        <v>UT-Tyler</v>
      </c>
      <c r="C11" s="353">
        <v>8968</v>
      </c>
      <c r="D11" s="354">
        <f t="shared" si="0"/>
        <v>271739.32560000004</v>
      </c>
      <c r="E11" s="359">
        <f t="shared" si="1"/>
        <v>543478.65120000008</v>
      </c>
      <c r="F11" s="355"/>
      <c r="G11" s="198"/>
      <c r="H11" s="198"/>
      <c r="I11" s="198"/>
      <c r="J11" s="356"/>
    </row>
    <row r="12" spans="1:10">
      <c r="A12" s="357">
        <v>3632</v>
      </c>
      <c r="B12" s="358" t="str">
        <f>VLOOKUP(A12,Summary!$A$25:$B$71,2,0)</f>
        <v>TAMU</v>
      </c>
      <c r="C12" s="353">
        <v>67165</v>
      </c>
      <c r="D12" s="354">
        <f t="shared" si="0"/>
        <v>0</v>
      </c>
      <c r="E12" s="359">
        <f t="shared" si="1"/>
        <v>0</v>
      </c>
      <c r="F12" s="355"/>
      <c r="G12" s="198"/>
      <c r="H12" s="198"/>
      <c r="I12" s="198"/>
      <c r="J12" s="356"/>
    </row>
    <row r="13" spans="1:10">
      <c r="A13" s="357">
        <v>10298</v>
      </c>
      <c r="B13" s="358" t="str">
        <f>VLOOKUP(A13,Summary!$A$25:$B$71,2,0)</f>
        <v>TAMU-Galveston</v>
      </c>
      <c r="C13" s="353">
        <v>2232</v>
      </c>
      <c r="D13" s="354">
        <f t="shared" si="0"/>
        <v>1316566.5</v>
      </c>
      <c r="E13" s="359">
        <f t="shared" si="1"/>
        <v>2633133</v>
      </c>
      <c r="F13" s="355"/>
      <c r="G13" s="198"/>
      <c r="H13" s="198"/>
      <c r="I13" s="198"/>
      <c r="J13" s="356"/>
    </row>
    <row r="14" spans="1:10">
      <c r="A14" s="357">
        <v>3630</v>
      </c>
      <c r="B14" s="358" t="str">
        <f>VLOOKUP(A14,Summary!$A$25:$B$71,2,0)</f>
        <v>Prairie View</v>
      </c>
      <c r="C14" s="353">
        <v>8998</v>
      </c>
      <c r="D14" s="354">
        <f t="shared" si="0"/>
        <v>263839.92660000001</v>
      </c>
      <c r="E14" s="359">
        <f t="shared" si="1"/>
        <v>527679.85320000001</v>
      </c>
      <c r="F14" s="355"/>
      <c r="G14" s="198"/>
      <c r="H14" s="198"/>
      <c r="I14" s="198"/>
      <c r="J14" s="356"/>
    </row>
    <row r="15" spans="1:10">
      <c r="A15" s="357">
        <v>3631</v>
      </c>
      <c r="B15" s="358" t="str">
        <f>VLOOKUP(A15,Summary!$A$25:$B$71,2,0)</f>
        <v>Tarleton</v>
      </c>
      <c r="C15" s="353">
        <v>14093</v>
      </c>
      <c r="D15" s="354">
        <f t="shared" si="0"/>
        <v>0</v>
      </c>
      <c r="E15" s="359">
        <f t="shared" si="1"/>
        <v>0</v>
      </c>
      <c r="F15" s="355"/>
      <c r="G15" s="198"/>
      <c r="H15" s="198"/>
      <c r="I15" s="198"/>
      <c r="J15" s="356"/>
    </row>
    <row r="16" spans="1:10">
      <c r="A16" s="357">
        <v>42295</v>
      </c>
      <c r="B16" s="358" t="str">
        <f>VLOOKUP(A16,Summary!$A$25:$B$71,2,0)</f>
        <v>TAMU-Central</v>
      </c>
      <c r="C16" s="353">
        <v>2194</v>
      </c>
      <c r="D16" s="354">
        <f>MAX(1-MAX(C16-5000,0)/5000,0)*1316566.5</f>
        <v>1316566.5</v>
      </c>
      <c r="E16" s="359">
        <f t="shared" si="1"/>
        <v>2633133</v>
      </c>
      <c r="F16" s="355"/>
      <c r="G16" s="198"/>
      <c r="H16" s="198"/>
      <c r="I16" s="198"/>
      <c r="J16" s="356"/>
    </row>
    <row r="17" spans="1:10">
      <c r="A17" s="357">
        <v>11161</v>
      </c>
      <c r="B17" s="358" t="str">
        <f>VLOOKUP(A17,Summary!$A$25:$B$71,2,0)</f>
        <v>TAMU-CC</v>
      </c>
      <c r="C17" s="353">
        <v>10778</v>
      </c>
      <c r="D17" s="354">
        <f t="shared" si="0"/>
        <v>0</v>
      </c>
      <c r="E17" s="359">
        <f t="shared" si="1"/>
        <v>0</v>
      </c>
      <c r="F17" s="355"/>
      <c r="G17" s="198"/>
      <c r="H17" s="198"/>
      <c r="I17" s="198"/>
      <c r="J17" s="356"/>
    </row>
    <row r="18" spans="1:10">
      <c r="A18" s="357">
        <v>3639</v>
      </c>
      <c r="B18" s="358" t="str">
        <f>VLOOKUP(A18,Summary!$A$25:$B$71,2,0)</f>
        <v>TAMU-Kingsville</v>
      </c>
      <c r="C18" s="353">
        <v>6070</v>
      </c>
      <c r="D18" s="354">
        <f t="shared" si="0"/>
        <v>1034821.2690000001</v>
      </c>
      <c r="E18" s="359">
        <f t="shared" si="1"/>
        <v>2069642.5380000002</v>
      </c>
      <c r="F18" s="355"/>
      <c r="G18" s="198"/>
      <c r="H18" s="198"/>
      <c r="I18" s="198"/>
      <c r="J18" s="356"/>
    </row>
    <row r="19" spans="1:10">
      <c r="A19" s="357">
        <v>42485</v>
      </c>
      <c r="B19" s="358" t="str">
        <f>VLOOKUP(A19,Summary!$A$25:$B$71,2,0)</f>
        <v>TAMU-San Antonio</v>
      </c>
      <c r="C19" s="353">
        <v>7223</v>
      </c>
      <c r="D19" s="354">
        <f t="shared" si="0"/>
        <v>731221.03410000005</v>
      </c>
      <c r="E19" s="359">
        <f t="shared" si="1"/>
        <v>1462442.0682000001</v>
      </c>
      <c r="F19" s="355"/>
      <c r="G19" s="198"/>
      <c r="H19" s="198"/>
      <c r="I19" s="198"/>
      <c r="J19" s="356"/>
    </row>
    <row r="20" spans="1:10">
      <c r="A20" s="357">
        <v>9651</v>
      </c>
      <c r="B20" s="358" t="str">
        <f>VLOOKUP(A20,Summary!$A$25:$B$71,2,0)</f>
        <v>TAMI</v>
      </c>
      <c r="C20" s="353">
        <v>8193</v>
      </c>
      <c r="D20" s="354">
        <f t="shared" si="0"/>
        <v>475807.13310000009</v>
      </c>
      <c r="E20" s="359">
        <f t="shared" si="1"/>
        <v>951614.26620000019</v>
      </c>
      <c r="F20" s="355"/>
      <c r="G20" s="198"/>
      <c r="H20" s="198"/>
      <c r="I20" s="198"/>
      <c r="J20" s="356"/>
    </row>
    <row r="21" spans="1:10">
      <c r="A21" s="357">
        <v>3665</v>
      </c>
      <c r="B21" s="358" t="str">
        <f>VLOOKUP(A21,Summary!$A$25:$B$71,2,0)</f>
        <v>WTAMU</v>
      </c>
      <c r="C21" s="353">
        <v>9242</v>
      </c>
      <c r="D21" s="354">
        <f t="shared" si="0"/>
        <v>199591.48139999993</v>
      </c>
      <c r="E21" s="359">
        <f t="shared" si="1"/>
        <v>399182.96279999986</v>
      </c>
      <c r="F21" s="355"/>
      <c r="G21" s="198"/>
      <c r="H21" s="198"/>
      <c r="I21" s="198"/>
      <c r="J21" s="356"/>
    </row>
    <row r="22" spans="1:10">
      <c r="A22" s="357">
        <v>3565</v>
      </c>
      <c r="B22" s="358" t="str">
        <f>VLOOKUP(A22,Summary!$A$25:$B$71,2,0)</f>
        <v>TAMU-Commerce</v>
      </c>
      <c r="C22" s="353">
        <v>10754</v>
      </c>
      <c r="D22" s="354">
        <f t="shared" si="0"/>
        <v>0</v>
      </c>
      <c r="E22" s="359">
        <f t="shared" si="1"/>
        <v>0</v>
      </c>
      <c r="F22" s="355"/>
      <c r="G22" s="198"/>
      <c r="H22" s="198"/>
      <c r="I22" s="198"/>
      <c r="J22" s="356"/>
    </row>
    <row r="23" spans="1:10">
      <c r="A23" s="357">
        <v>29269</v>
      </c>
      <c r="B23" s="358" t="str">
        <f>VLOOKUP(A23,Summary!$A$25:$B$71,2,0)</f>
        <v>TAMU-Texarkana</v>
      </c>
      <c r="C23" s="353">
        <v>2073</v>
      </c>
      <c r="D23" s="354">
        <f t="shared" si="0"/>
        <v>1316566.5</v>
      </c>
      <c r="E23" s="359">
        <f t="shared" si="1"/>
        <v>2633133</v>
      </c>
      <c r="F23" s="355"/>
      <c r="G23" s="198"/>
      <c r="H23" s="198"/>
      <c r="I23" s="198"/>
      <c r="J23" s="356"/>
    </row>
    <row r="24" spans="1:10">
      <c r="A24" s="357">
        <v>3652</v>
      </c>
      <c r="B24" s="358" t="str">
        <f>VLOOKUP(A24,Summary!$A$25:$B$71,2,0)</f>
        <v>UH</v>
      </c>
      <c r="C24" s="353">
        <v>46580</v>
      </c>
      <c r="D24" s="354">
        <f t="shared" si="0"/>
        <v>0</v>
      </c>
      <c r="E24" s="359">
        <f t="shared" si="1"/>
        <v>0</v>
      </c>
      <c r="F24" s="355"/>
      <c r="G24" s="198"/>
      <c r="H24" s="198"/>
      <c r="I24" s="198"/>
      <c r="J24" s="356"/>
    </row>
    <row r="25" spans="1:10">
      <c r="A25" s="357">
        <v>11711</v>
      </c>
      <c r="B25" s="358" t="str">
        <f>VLOOKUP(A25,Summary!$A$25:$B$71,2,0)</f>
        <v>UH-Clear Lake</v>
      </c>
      <c r="C25" s="353">
        <v>8562</v>
      </c>
      <c r="D25" s="354">
        <f t="shared" si="0"/>
        <v>378644.52539999998</v>
      </c>
      <c r="E25" s="359">
        <f t="shared" si="1"/>
        <v>757289.05079999997</v>
      </c>
      <c r="F25" s="355"/>
      <c r="G25" s="198"/>
      <c r="H25" s="198"/>
      <c r="I25" s="198"/>
      <c r="J25" s="356"/>
    </row>
    <row r="26" spans="1:10">
      <c r="A26" s="357">
        <v>12826</v>
      </c>
      <c r="B26" s="358" t="str">
        <f>VLOOKUP(A26,Summary!$A$25:$B$71,2,0)</f>
        <v>UH-Downtown</v>
      </c>
      <c r="C26" s="353">
        <v>14208</v>
      </c>
      <c r="D26" s="354">
        <f t="shared" si="0"/>
        <v>0</v>
      </c>
      <c r="E26" s="359">
        <f t="shared" si="1"/>
        <v>0</v>
      </c>
      <c r="F26" s="355"/>
      <c r="G26" s="198"/>
      <c r="H26" s="198"/>
      <c r="I26" s="198"/>
      <c r="J26" s="356"/>
    </row>
    <row r="27" spans="1:10">
      <c r="A27" s="357">
        <v>13231</v>
      </c>
      <c r="B27" s="358" t="str">
        <f>VLOOKUP(A27,Summary!$A$25:$B$71,2,0)</f>
        <v>UH-Victoria</v>
      </c>
      <c r="C27" s="353">
        <v>4062</v>
      </c>
      <c r="D27" s="354">
        <f t="shared" si="0"/>
        <v>1316566.5</v>
      </c>
      <c r="E27" s="359">
        <f t="shared" si="1"/>
        <v>2633133</v>
      </c>
      <c r="F27" s="355"/>
      <c r="G27" s="198"/>
      <c r="H27" s="198"/>
      <c r="I27" s="198"/>
      <c r="J27" s="356"/>
    </row>
    <row r="28" spans="1:10">
      <c r="A28" s="357">
        <v>3592</v>
      </c>
      <c r="B28" s="358" t="str">
        <f>VLOOKUP(A28,Summary!$A$25:$B$71,2,0)</f>
        <v>Midwestern</v>
      </c>
      <c r="C28" s="353">
        <v>5422</v>
      </c>
      <c r="D28" s="354">
        <f t="shared" si="0"/>
        <v>1205448.2874</v>
      </c>
      <c r="E28" s="359">
        <f t="shared" si="1"/>
        <v>2410896.5748000001</v>
      </c>
      <c r="F28" s="355"/>
      <c r="G28" s="198"/>
      <c r="H28" s="198"/>
      <c r="I28" s="198"/>
      <c r="J28" s="356"/>
    </row>
    <row r="29" spans="1:10">
      <c r="A29" s="357">
        <v>3594</v>
      </c>
      <c r="B29" s="358" t="str">
        <f>VLOOKUP(A29,Summary!$A$25:$B$71,2,0)</f>
        <v>UNT</v>
      </c>
      <c r="C29" s="353">
        <v>44349</v>
      </c>
      <c r="D29" s="354">
        <f t="shared" si="0"/>
        <v>0</v>
      </c>
      <c r="E29" s="359">
        <f t="shared" si="1"/>
        <v>0</v>
      </c>
      <c r="F29" s="355"/>
      <c r="G29" s="198"/>
      <c r="H29" s="198"/>
      <c r="I29" s="198"/>
      <c r="J29" s="356"/>
    </row>
    <row r="30" spans="1:10">
      <c r="A30" s="357">
        <v>42421</v>
      </c>
      <c r="B30" s="358" t="str">
        <f>VLOOKUP(A30,Summary!$A$25:$B$71,2,0)</f>
        <v>UNT-Dallas</v>
      </c>
      <c r="C30" s="353">
        <v>3701</v>
      </c>
      <c r="D30" s="354">
        <f t="shared" si="0"/>
        <v>1316566.5</v>
      </c>
      <c r="E30" s="359">
        <f t="shared" si="1"/>
        <v>2633133</v>
      </c>
      <c r="F30" s="355"/>
      <c r="G30" s="198"/>
      <c r="H30" s="198"/>
      <c r="I30" s="198"/>
      <c r="J30" s="356"/>
    </row>
    <row r="31" spans="1:10">
      <c r="A31" s="357">
        <v>3624</v>
      </c>
      <c r="B31" s="358" t="str">
        <f>VLOOKUP(A31,Summary!$A$25:$B$71,2,0)</f>
        <v>SFA</v>
      </c>
      <c r="C31" s="353">
        <v>11232</v>
      </c>
      <c r="D31" s="354">
        <f t="shared" si="0"/>
        <v>0</v>
      </c>
      <c r="E31" s="359">
        <f t="shared" si="1"/>
        <v>0</v>
      </c>
      <c r="F31" s="355"/>
      <c r="G31" s="198"/>
      <c r="H31" s="198"/>
      <c r="I31" s="198"/>
      <c r="J31" s="356"/>
    </row>
    <row r="32" spans="1:10">
      <c r="A32" s="357">
        <v>3642</v>
      </c>
      <c r="B32" s="358" t="str">
        <f>VLOOKUP(A32,Summary!$A$25:$B$71,2,0)</f>
        <v>TSU</v>
      </c>
      <c r="C32" s="353">
        <v>8632</v>
      </c>
      <c r="D32" s="354">
        <f t="shared" si="0"/>
        <v>360212.59439999994</v>
      </c>
      <c r="E32" s="359">
        <f t="shared" si="1"/>
        <v>720425.18879999989</v>
      </c>
      <c r="F32" s="355"/>
      <c r="G32" s="198"/>
      <c r="H32" s="198"/>
      <c r="I32" s="198"/>
      <c r="J32" s="356"/>
    </row>
    <row r="33" spans="1:12">
      <c r="A33" s="357">
        <v>3644</v>
      </c>
      <c r="B33" s="358" t="str">
        <f>VLOOKUP(A33,Summary!$A$25:$B$71,2,0)</f>
        <v>TTU</v>
      </c>
      <c r="C33" s="353">
        <v>39743</v>
      </c>
      <c r="D33" s="354">
        <f t="shared" si="0"/>
        <v>0</v>
      </c>
      <c r="E33" s="359">
        <f t="shared" si="1"/>
        <v>0</v>
      </c>
      <c r="F33" s="355"/>
      <c r="G33" s="198"/>
      <c r="H33" s="198"/>
      <c r="I33" s="198"/>
      <c r="J33" s="356"/>
    </row>
    <row r="34" spans="1:12">
      <c r="A34" s="357">
        <v>3541</v>
      </c>
      <c r="B34" s="358" t="str">
        <f>VLOOKUP(A34,Summary!$A$25:$B$71,2,0)</f>
        <v>Angelo</v>
      </c>
      <c r="C34" s="353">
        <v>10244</v>
      </c>
      <c r="D34" s="354">
        <f t="shared" si="0"/>
        <v>0</v>
      </c>
      <c r="E34" s="359">
        <f t="shared" si="1"/>
        <v>0</v>
      </c>
      <c r="F34" s="355"/>
      <c r="G34" s="198"/>
      <c r="H34" s="198"/>
      <c r="I34" s="198"/>
      <c r="J34" s="356"/>
    </row>
    <row r="35" spans="1:12">
      <c r="A35" s="357">
        <v>3646</v>
      </c>
      <c r="B35" s="358" t="str">
        <f>VLOOKUP(A35,Summary!$A$25:$B$71,2,0)</f>
        <v>TWU</v>
      </c>
      <c r="C35" s="353">
        <v>15443</v>
      </c>
      <c r="D35" s="354">
        <f t="shared" si="0"/>
        <v>0</v>
      </c>
      <c r="E35" s="359">
        <f t="shared" si="1"/>
        <v>0</v>
      </c>
      <c r="F35" s="355"/>
      <c r="G35" s="198"/>
      <c r="H35" s="198"/>
      <c r="I35" s="198"/>
      <c r="J35" s="356"/>
    </row>
    <row r="36" spans="1:12">
      <c r="A36" s="357">
        <v>3581</v>
      </c>
      <c r="B36" s="358" t="str">
        <f>VLOOKUP(A36,Summary!$A$25:$B$71,2,0)</f>
        <v>Lamar</v>
      </c>
      <c r="C36" s="353">
        <v>16218</v>
      </c>
      <c r="D36" s="354">
        <f t="shared" si="0"/>
        <v>0</v>
      </c>
      <c r="E36" s="359">
        <f t="shared" si="1"/>
        <v>0</v>
      </c>
      <c r="F36" s="355"/>
      <c r="G36" s="198"/>
      <c r="H36" s="198"/>
      <c r="I36" s="198"/>
      <c r="J36" s="356"/>
    </row>
    <row r="37" spans="1:12">
      <c r="A37" s="357">
        <v>3606</v>
      </c>
      <c r="B37" s="358" t="str">
        <f>VLOOKUP(A37,Summary!$A$25:$B$71,2,0)</f>
        <v>Sam Houston</v>
      </c>
      <c r="C37" s="353">
        <v>20996</v>
      </c>
      <c r="D37" s="354">
        <f t="shared" si="0"/>
        <v>0</v>
      </c>
      <c r="E37" s="359">
        <f t="shared" si="1"/>
        <v>0</v>
      </c>
      <c r="F37" s="355"/>
      <c r="G37" s="198"/>
      <c r="H37" s="198"/>
      <c r="I37" s="198"/>
      <c r="J37" s="356"/>
    </row>
    <row r="38" spans="1:12">
      <c r="A38" s="357">
        <v>3615</v>
      </c>
      <c r="B38" s="358" t="str">
        <f>VLOOKUP(A38,Summary!$A$25:$B$71,2,0)</f>
        <v>TXST</v>
      </c>
      <c r="C38" s="353">
        <v>38171</v>
      </c>
      <c r="D38" s="354">
        <f t="shared" si="0"/>
        <v>0</v>
      </c>
      <c r="E38" s="359">
        <f t="shared" si="1"/>
        <v>0</v>
      </c>
      <c r="F38" s="355"/>
      <c r="G38" s="198"/>
      <c r="H38" s="198"/>
      <c r="I38" s="198"/>
      <c r="J38" s="356"/>
    </row>
    <row r="39" spans="1:12">
      <c r="A39" s="357">
        <v>3625</v>
      </c>
      <c r="B39" s="358" t="str">
        <f>VLOOKUP(A39,Summary!$A$25:$B$71,2,0)</f>
        <v>Sul Ross</v>
      </c>
      <c r="C39" s="353">
        <v>1353</v>
      </c>
      <c r="D39" s="354">
        <f t="shared" si="0"/>
        <v>1316566.5</v>
      </c>
      <c r="E39" s="359">
        <f t="shared" si="1"/>
        <v>2633133</v>
      </c>
      <c r="F39" s="355"/>
      <c r="G39" s="198"/>
      <c r="H39" s="198"/>
      <c r="I39" s="198"/>
      <c r="J39" s="356"/>
    </row>
    <row r="40" spans="1:12" ht="14.4" thickBot="1">
      <c r="A40" s="360">
        <v>20</v>
      </c>
      <c r="B40" s="361" t="str">
        <f>VLOOKUP(A40,Summary!$A$25:$B$71,2,0)</f>
        <v>Sul Ross-Rio Grande</v>
      </c>
      <c r="C40" s="562">
        <v>718</v>
      </c>
      <c r="D40" s="563">
        <f t="shared" si="0"/>
        <v>1316566.5</v>
      </c>
      <c r="E40" s="563">
        <f t="shared" si="1"/>
        <v>2633133</v>
      </c>
      <c r="F40" s="355"/>
      <c r="G40" s="198"/>
      <c r="H40" s="198"/>
      <c r="I40" s="198"/>
      <c r="J40" s="356"/>
    </row>
    <row r="41" spans="1:12">
      <c r="A41" s="362"/>
      <c r="B41" s="363" t="s">
        <v>66</v>
      </c>
      <c r="C41" s="560">
        <f>SUM(C4:C40)</f>
        <v>666322</v>
      </c>
      <c r="D41" s="639">
        <f>SUM(D4:D40)</f>
        <v>15388029.252</v>
      </c>
      <c r="E41" s="561">
        <f>SUM(E4:E40)</f>
        <v>30776058.504000001</v>
      </c>
      <c r="F41" s="355"/>
      <c r="G41" s="364"/>
      <c r="H41" s="365"/>
      <c r="I41" s="365"/>
      <c r="J41" s="366"/>
      <c r="L41" s="367"/>
    </row>
    <row r="42" spans="1:12">
      <c r="A42" s="368">
        <v>9225</v>
      </c>
      <c r="B42" s="369" t="str">
        <f>VLOOKUP(A42,Summary!$A$25:$B$71,2,0)</f>
        <v>TSTC-Harlingen</v>
      </c>
      <c r="C42" s="370">
        <v>5863</v>
      </c>
      <c r="D42" s="354">
        <f t="shared" si="0"/>
        <v>1089327.1221</v>
      </c>
      <c r="E42" s="359">
        <f>D42*2</f>
        <v>2178654.2442000001</v>
      </c>
      <c r="F42" s="144"/>
      <c r="G42" s="738"/>
      <c r="H42" s="198"/>
      <c r="I42" s="198"/>
      <c r="J42" s="356"/>
    </row>
    <row r="43" spans="1:12">
      <c r="A43" s="368">
        <v>9932</v>
      </c>
      <c r="B43" s="369" t="str">
        <f>VLOOKUP(A43,Summary!$A$25:$B$71,2,0)</f>
        <v>TSTC-West Tx</v>
      </c>
      <c r="C43" s="371">
        <v>1818</v>
      </c>
      <c r="D43" s="354">
        <f t="shared" si="0"/>
        <v>1316566.5</v>
      </c>
      <c r="E43" s="359">
        <f t="shared" ref="E43:E52" si="2">D43*2</f>
        <v>2633133</v>
      </c>
      <c r="F43" s="144"/>
      <c r="G43" s="739"/>
      <c r="H43" s="198"/>
      <c r="I43" s="198"/>
      <c r="J43" s="356"/>
    </row>
    <row r="44" spans="1:12">
      <c r="A44" s="368">
        <v>33965</v>
      </c>
      <c r="B44" s="369" t="str">
        <f>VLOOKUP(A44,Summary!$A$25:$B$71,2,0)</f>
        <v>TSTC-Marshall</v>
      </c>
      <c r="C44" s="371">
        <v>787</v>
      </c>
      <c r="D44" s="354">
        <f t="shared" si="0"/>
        <v>1316566.5</v>
      </c>
      <c r="E44" s="359">
        <f t="shared" si="2"/>
        <v>2633133</v>
      </c>
      <c r="F44" s="144"/>
      <c r="G44" s="739"/>
      <c r="H44" s="198"/>
      <c r="I44" s="198"/>
      <c r="J44" s="356"/>
    </row>
    <row r="45" spans="1:12">
      <c r="A45" s="368">
        <v>3634</v>
      </c>
      <c r="B45" s="369" t="str">
        <f>VLOOKUP(A45,Summary!$A$25:$B$71,2,0)</f>
        <v>TSTC-Waco</v>
      </c>
      <c r="C45" s="371">
        <f>4643+2791</f>
        <v>7434</v>
      </c>
      <c r="D45" s="354">
        <f t="shared" si="0"/>
        <v>675661.92779999995</v>
      </c>
      <c r="E45" s="359">
        <f t="shared" si="2"/>
        <v>1351323.8555999999</v>
      </c>
      <c r="F45" s="144"/>
      <c r="G45" s="739"/>
      <c r="H45" s="198"/>
      <c r="I45" s="198"/>
      <c r="J45" s="356"/>
    </row>
    <row r="46" spans="1:12">
      <c r="A46" s="368">
        <v>203634</v>
      </c>
      <c r="B46" s="369" t="str">
        <f>VLOOKUP(A46,Summary!$A$25:$B$71,2,0)</f>
        <v>TSTC-Fort Bend</v>
      </c>
      <c r="C46" s="371">
        <v>648</v>
      </c>
      <c r="D46" s="354">
        <f t="shared" si="0"/>
        <v>1316566.5</v>
      </c>
      <c r="E46" s="359">
        <f>D46*2</f>
        <v>2633133</v>
      </c>
      <c r="F46" s="144"/>
      <c r="G46" s="739"/>
      <c r="H46" s="198"/>
      <c r="I46" s="198"/>
      <c r="J46" s="356"/>
    </row>
    <row r="47" spans="1:12" ht="19.95" customHeight="1" thickBot="1">
      <c r="A47" s="594">
        <v>133965</v>
      </c>
      <c r="B47" s="595" t="str">
        <f>VLOOKUP(A47,Summary!$A$25:$B$71,2,0)</f>
        <v>TSTC-North Texas</v>
      </c>
      <c r="C47" s="596">
        <v>399</v>
      </c>
      <c r="D47" s="597">
        <f t="shared" si="0"/>
        <v>1316566.5</v>
      </c>
      <c r="E47" s="597">
        <f>D47*2</f>
        <v>2633133</v>
      </c>
      <c r="F47" s="144"/>
      <c r="G47" s="739"/>
      <c r="H47" s="198"/>
      <c r="I47" s="198"/>
      <c r="J47" s="356"/>
    </row>
    <row r="48" spans="1:12" ht="14.4" thickTop="1">
      <c r="A48" s="362"/>
      <c r="B48" s="363" t="s">
        <v>251</v>
      </c>
      <c r="C48" s="560">
        <f>SUM(C42:C47)</f>
        <v>16949</v>
      </c>
      <c r="D48" s="638">
        <f>SUM(D42:D47)</f>
        <v>7031255.0499</v>
      </c>
      <c r="E48" s="372">
        <f>D48*2</f>
        <v>14062510.0998</v>
      </c>
      <c r="F48" s="144"/>
      <c r="G48" s="739"/>
      <c r="H48" s="198"/>
      <c r="I48" s="198"/>
      <c r="J48" s="365"/>
      <c r="L48" s="367"/>
    </row>
    <row r="49" spans="1:14">
      <c r="A49" s="368">
        <v>36273</v>
      </c>
      <c r="B49" s="369" t="str">
        <f>VLOOKUP(A49,Summary!$A$25:$B$71,2,0)</f>
        <v>Lamar-IOT</v>
      </c>
      <c r="C49" s="371">
        <v>4788</v>
      </c>
      <c r="D49" s="354">
        <f t="shared" si="0"/>
        <v>1316566.5</v>
      </c>
      <c r="E49" s="359">
        <f t="shared" si="2"/>
        <v>2633133</v>
      </c>
      <c r="F49" s="144"/>
      <c r="G49" s="739"/>
      <c r="H49" s="198"/>
      <c r="I49" s="198"/>
      <c r="J49" s="356"/>
    </row>
    <row r="50" spans="1:14">
      <c r="A50" s="368">
        <v>23582</v>
      </c>
      <c r="B50" s="369" t="str">
        <f>VLOOKUP(A50,Summary!$A$25:$B$71,2,0)</f>
        <v>Lamar-Orange</v>
      </c>
      <c r="C50" s="371">
        <v>2629</v>
      </c>
      <c r="D50" s="354">
        <f t="shared" si="0"/>
        <v>1316566.5</v>
      </c>
      <c r="E50" s="359">
        <f t="shared" si="2"/>
        <v>2633133</v>
      </c>
      <c r="F50" s="144"/>
      <c r="G50" s="739"/>
      <c r="H50" s="198"/>
      <c r="I50" s="198"/>
      <c r="J50" s="356"/>
    </row>
    <row r="51" spans="1:14" ht="14.4" thickBot="1">
      <c r="A51" s="594">
        <v>23485</v>
      </c>
      <c r="B51" s="595" t="str">
        <f>VLOOKUP(A51,Summary!$A$25:$B$71,2,0)</f>
        <v>Lamar-Port Arthur</v>
      </c>
      <c r="C51" s="596">
        <v>2698</v>
      </c>
      <c r="D51" s="597">
        <f t="shared" si="0"/>
        <v>1316566.5</v>
      </c>
      <c r="E51" s="597">
        <f t="shared" si="2"/>
        <v>2633133</v>
      </c>
      <c r="F51" s="144"/>
      <c r="G51" s="739"/>
      <c r="H51" s="198"/>
      <c r="I51" s="198"/>
      <c r="J51" s="356"/>
    </row>
    <row r="52" spans="1:14" ht="14.4" thickTop="1">
      <c r="A52" s="598"/>
      <c r="B52" s="363" t="s">
        <v>250</v>
      </c>
      <c r="C52" s="560">
        <f>SUM(C49:C51)</f>
        <v>10115</v>
      </c>
      <c r="D52" s="372">
        <f>SUM(D49:D51)</f>
        <v>3949699.5</v>
      </c>
      <c r="E52" s="372">
        <f t="shared" si="2"/>
        <v>7899399</v>
      </c>
      <c r="F52" s="144"/>
      <c r="G52" s="739"/>
      <c r="H52" s="198"/>
      <c r="I52" s="198"/>
      <c r="J52" s="365"/>
    </row>
    <row r="53" spans="1:14" ht="19.2" customHeight="1">
      <c r="B53" s="373" t="s">
        <v>252</v>
      </c>
      <c r="C53" s="374">
        <f>C41+C48+C52</f>
        <v>693386</v>
      </c>
      <c r="D53" s="374">
        <f>D41+D48+D52</f>
        <v>26368983.801899999</v>
      </c>
      <c r="E53" s="374">
        <f>E41+E48+E52</f>
        <v>52737967.603799999</v>
      </c>
      <c r="F53" s="374"/>
      <c r="G53" s="739"/>
      <c r="H53" s="198"/>
      <c r="I53" s="198"/>
      <c r="J53" s="374"/>
      <c r="K53" s="374">
        <f>K41+K48+K52</f>
        <v>0</v>
      </c>
    </row>
    <row r="54" spans="1:14" ht="118.95" customHeight="1">
      <c r="A54" s="736" t="s">
        <v>511</v>
      </c>
      <c r="B54" s="736"/>
      <c r="C54" s="736"/>
      <c r="D54" s="736"/>
      <c r="E54" s="737"/>
      <c r="N54" s="375"/>
    </row>
  </sheetData>
  <mergeCells count="3">
    <mergeCell ref="A3:B3"/>
    <mergeCell ref="A54:E54"/>
    <mergeCell ref="G42:G53"/>
  </mergeCells>
  <pageMargins left="0.34" right="0.26" top="0.49" bottom="0.37" header="0.33" footer="0.16"/>
  <pageSetup scale="57" orientation="portrait" r:id="rId1"/>
  <headerFooter alignWithMargins="0">
    <oddFooter>Prepared by Paul Turcotte &amp;D&amp;RPage &amp;P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ransitionEvaluation="1" codeName="Sheet8">
    <tabColor theme="3"/>
    <pageSetUpPr autoPageBreaks="0" fitToPage="1"/>
  </sheetPr>
  <dimension ref="A1:AE107"/>
  <sheetViews>
    <sheetView showGridLines="0" zoomScale="70" zoomScaleNormal="70" workbookViewId="0">
      <pane xSplit="2" ySplit="4" topLeftCell="C35" activePane="bottomRight" state="frozen"/>
      <selection activeCell="L41" activeCellId="1" sqref="L12 L41:L42"/>
      <selection pane="topRight" activeCell="L41" activeCellId="1" sqref="L12 L41:L42"/>
      <selection pane="bottomLeft" activeCell="L41" activeCellId="1" sqref="L12 L41:L42"/>
      <selection pane="bottomRight" activeCell="J36" sqref="J36"/>
    </sheetView>
  </sheetViews>
  <sheetFormatPr defaultColWidth="12.5546875" defaultRowHeight="13.8"/>
  <cols>
    <col min="1" max="1" width="8.6640625" style="77" customWidth="1"/>
    <col min="2" max="2" width="20" style="77" customWidth="1"/>
    <col min="3" max="5" width="13.88671875" style="77" customWidth="1"/>
    <col min="6" max="6" width="15.44140625" style="77" customWidth="1"/>
    <col min="7" max="7" width="12.33203125" style="77" customWidth="1"/>
    <col min="8" max="9" width="11.5546875" style="77" customWidth="1"/>
    <col min="10" max="10" width="15.6640625" style="77" customWidth="1"/>
    <col min="11" max="11" width="15" style="77" customWidth="1"/>
    <col min="12" max="12" width="12.33203125" style="77" customWidth="1"/>
    <col min="13" max="14" width="11.5546875" style="77" customWidth="1"/>
    <col min="15" max="15" width="13.88671875" style="77" customWidth="1"/>
    <col min="16" max="16" width="15.44140625" style="77" customWidth="1"/>
    <col min="17" max="17" width="12.33203125" style="77" customWidth="1"/>
    <col min="18" max="18" width="2.88671875" style="77" customWidth="1"/>
    <col min="19" max="22" width="15.33203125" style="77" customWidth="1"/>
    <col min="23" max="23" width="13.5546875" style="77" customWidth="1"/>
    <col min="24" max="24" width="2.33203125" style="77" customWidth="1"/>
    <col min="25" max="25" width="15.33203125" style="77" customWidth="1"/>
    <col min="26" max="26" width="15.33203125" style="77" bestFit="1" customWidth="1"/>
    <col min="27" max="27" width="16.109375" style="77" customWidth="1"/>
    <col min="28" max="28" width="13.5546875" style="77" bestFit="1" customWidth="1"/>
    <col min="29" max="29" width="12.5546875" style="77"/>
    <col min="30" max="30" width="14.5546875" style="77" bestFit="1" customWidth="1"/>
    <col min="31" max="16384" width="12.5546875" style="77"/>
  </cols>
  <sheetData>
    <row r="1" spans="1:31">
      <c r="A1" s="105" t="str">
        <f>Summary!A1</f>
        <v>General Academic Institutions - Formula Funding - 2024-2025</v>
      </c>
    </row>
    <row r="2" spans="1:31" ht="14.4" thickBot="1">
      <c r="A2" s="105" t="s">
        <v>154</v>
      </c>
    </row>
    <row r="3" spans="1:31" ht="16.2">
      <c r="A3" s="740" t="s">
        <v>0</v>
      </c>
      <c r="B3" s="742" t="s">
        <v>27</v>
      </c>
      <c r="C3" s="742" t="s">
        <v>411</v>
      </c>
      <c r="D3" s="742" t="s">
        <v>153</v>
      </c>
      <c r="E3" s="742"/>
      <c r="F3" s="742"/>
      <c r="G3" s="742"/>
      <c r="H3" s="742" t="s">
        <v>408</v>
      </c>
      <c r="I3" s="742"/>
      <c r="J3" s="742"/>
      <c r="K3" s="742"/>
      <c r="L3" s="742"/>
      <c r="M3" s="742" t="s">
        <v>410</v>
      </c>
      <c r="N3" s="742"/>
      <c r="O3" s="742"/>
      <c r="P3" s="742"/>
      <c r="Q3" s="745"/>
      <c r="S3" s="744" t="s">
        <v>198</v>
      </c>
      <c r="T3" s="746"/>
      <c r="U3" s="742"/>
      <c r="V3" s="742"/>
      <c r="W3" s="745"/>
      <c r="Y3" s="744" t="s">
        <v>162</v>
      </c>
      <c r="Z3" s="742"/>
      <c r="AA3" s="742"/>
      <c r="AB3" s="745"/>
    </row>
    <row r="4" spans="1:31" ht="45.75" customHeight="1" thickBot="1">
      <c r="A4" s="741"/>
      <c r="B4" s="743"/>
      <c r="C4" s="376" t="s">
        <v>263</v>
      </c>
      <c r="D4" s="377" t="s">
        <v>298</v>
      </c>
      <c r="E4" s="378" t="s">
        <v>445</v>
      </c>
      <c r="F4" s="378" t="s">
        <v>299</v>
      </c>
      <c r="G4" s="376" t="s">
        <v>34</v>
      </c>
      <c r="H4" s="376" t="str">
        <f>C4</f>
        <v>Fall 2020</v>
      </c>
      <c r="I4" s="378" t="str">
        <f>D4</f>
        <v>Fall 2021</v>
      </c>
      <c r="J4" s="378" t="s">
        <v>445</v>
      </c>
      <c r="K4" s="378" t="str">
        <f>F4</f>
        <v>Difference Fall 2020-Fall 2022</v>
      </c>
      <c r="L4" s="376" t="s">
        <v>34</v>
      </c>
      <c r="M4" s="376" t="str">
        <f>C4</f>
        <v>Fall 2020</v>
      </c>
      <c r="N4" s="379" t="str">
        <f>D4</f>
        <v>Fall 2021</v>
      </c>
      <c r="O4" s="379" t="str">
        <f>E4</f>
        <v>Fall 2022 (Certified)</v>
      </c>
      <c r="P4" s="379" t="str">
        <f>F4</f>
        <v>Difference Fall 2020-Fall 2022</v>
      </c>
      <c r="Q4" s="380" t="s">
        <v>34</v>
      </c>
      <c r="S4" s="381" t="s">
        <v>263</v>
      </c>
      <c r="T4" s="381" t="s">
        <v>298</v>
      </c>
      <c r="U4" s="381" t="s">
        <v>300</v>
      </c>
      <c r="V4" s="378" t="s">
        <v>299</v>
      </c>
      <c r="W4" s="380" t="s">
        <v>34</v>
      </c>
      <c r="Y4" s="381" t="s">
        <v>256</v>
      </c>
      <c r="Z4" s="378" t="s">
        <v>301</v>
      </c>
      <c r="AA4" s="376" t="s">
        <v>26</v>
      </c>
      <c r="AB4" s="380" t="s">
        <v>34</v>
      </c>
      <c r="AD4" s="382"/>
    </row>
    <row r="5" spans="1:31">
      <c r="A5" s="383">
        <v>3656</v>
      </c>
      <c r="B5" s="384" t="str">
        <f>VLOOKUP(A5,Summary!$A$25:$B$71,2,0)</f>
        <v>UT-Arlington</v>
      </c>
      <c r="C5" s="385">
        <v>388741</v>
      </c>
      <c r="D5" s="386">
        <v>377981</v>
      </c>
      <c r="E5" s="387">
        <f>SUMIF('Operations Support'!A:A,Comparison!A5,'Operations Support'!O:O)</f>
        <v>380917</v>
      </c>
      <c r="F5" s="388">
        <f t="shared" ref="F5:F41" si="0">E5-C5</f>
        <v>-7824</v>
      </c>
      <c r="G5" s="389">
        <f t="shared" ref="G5:G41" si="1">IFERROR(F5/C5,0)</f>
        <v>-2.012651096745648E-2</v>
      </c>
      <c r="H5" s="390">
        <v>42733</v>
      </c>
      <c r="I5" s="390">
        <v>41515</v>
      </c>
      <c r="J5" s="390">
        <f>SUMIF(SIS!$A$4:$A$51,Comparison!A5,SIS!$C$4:$C$51)</f>
        <v>40942</v>
      </c>
      <c r="K5" s="391">
        <f t="shared" ref="K5:K41" si="2">J5-H5</f>
        <v>-1791</v>
      </c>
      <c r="L5" s="389">
        <f>IFERROR(ROUND(K5/H5,3),"")</f>
        <v>-4.2000000000000003E-2</v>
      </c>
      <c r="M5" s="390">
        <v>27180</v>
      </c>
      <c r="N5" s="392">
        <v>26528</v>
      </c>
      <c r="O5" s="100">
        <f>ROUND(SUMIFS('Operations Support'!O:O,'Operations Support'!A:A,Comparison!A5,'Operations Support'!B:B,"1")/15+SUMIFS('Operations Support'!O:O,'Operations Support'!A:A,Comparison!A5,'Operations Support'!B:B,"2")/15+SUMIFS('Operations Support'!O:O,'Operations Support'!A:A,Comparison!A5,'Operations Support'!B:B,"3")/12+SUMIFS('Operations Support'!O:O,'Operations Support'!A:A,Comparison!A5,'Operations Support'!B:B,"4")/9+SUMIFS('Operations Support'!O:O,'Operations Support'!A:A,Comparison!A5,'Operations Support'!B:B,"5")/12,0)</f>
        <v>26823</v>
      </c>
      <c r="P5" s="391">
        <f t="shared" ref="P5:P41" si="3">O5-M5</f>
        <v>-357</v>
      </c>
      <c r="Q5" s="389">
        <f>IFERROR(ROUND(P5/M5,3),"")</f>
        <v>-1.2999999999999999E-2</v>
      </c>
      <c r="S5" s="387">
        <v>3695166.2155269445</v>
      </c>
      <c r="T5" s="390">
        <v>3643229.8211690714</v>
      </c>
      <c r="U5" s="390">
        <f>'Space Support'!L4</f>
        <v>3555032.6719499598</v>
      </c>
      <c r="V5" s="391">
        <f t="shared" ref="V5:V41" si="4">U5-S5</f>
        <v>-140133.54357698467</v>
      </c>
      <c r="W5" s="389">
        <f t="shared" ref="W5:W42" si="5">IFERROR(ROUND(V5/S5,3),"")</f>
        <v>-3.7999999999999999E-2</v>
      </c>
      <c r="Y5" s="387">
        <v>2372046.3180000004</v>
      </c>
      <c r="Z5" s="393">
        <f ca="1">SUMIF('Operations Support'!A:A,Comparison!A5,'Operations Support'!U:U)+SUMIF('Operations Support'!A:A,Comparison!A5,'Operations Support'!W:W)</f>
        <v>2278977.7355299992</v>
      </c>
      <c r="AA5" s="391">
        <f t="shared" ref="AA5:AA22" ca="1" si="6">Z5-Y5</f>
        <v>-93068.582470001187</v>
      </c>
      <c r="AB5" s="389">
        <f ca="1">IFERROR(ROUND(AA5/Y5,3),"")</f>
        <v>-3.9E-2</v>
      </c>
      <c r="AD5" s="394"/>
      <c r="AE5" s="222"/>
    </row>
    <row r="6" spans="1:31">
      <c r="A6" s="395">
        <v>3658</v>
      </c>
      <c r="B6" s="396" t="str">
        <f>VLOOKUP(A6,Summary!$A$25:$B$71,2,0)</f>
        <v>UT-Austin</v>
      </c>
      <c r="C6" s="397">
        <v>649106</v>
      </c>
      <c r="D6" s="386">
        <v>658017</v>
      </c>
      <c r="E6" s="100">
        <f>SUMIF('Operations Support'!A:A,Comparison!A6,'Operations Support'!O:O)</f>
        <v>660427.3000000082</v>
      </c>
      <c r="F6" s="398">
        <f t="shared" si="0"/>
        <v>11321.300000008196</v>
      </c>
      <c r="G6" s="399">
        <f t="shared" si="1"/>
        <v>1.7441373211783892E-2</v>
      </c>
      <c r="H6" s="393">
        <v>50282</v>
      </c>
      <c r="I6" s="390">
        <v>51786</v>
      </c>
      <c r="J6" s="393">
        <f>SUMIF(SIS!$A$4:$A$51,Comparison!A6,SIS!$C$4:$C$51)</f>
        <v>52189</v>
      </c>
      <c r="K6" s="400">
        <f t="shared" si="2"/>
        <v>1907</v>
      </c>
      <c r="L6" s="399">
        <f t="shared" ref="L6:L42" si="7">IFERROR(ROUND(K6/H6,3),"")</f>
        <v>3.7999999999999999E-2</v>
      </c>
      <c r="M6" s="393">
        <v>46073</v>
      </c>
      <c r="N6" s="392">
        <v>46727</v>
      </c>
      <c r="O6" s="100">
        <f>ROUND(SUMIFS('Operations Support'!O:O,'Operations Support'!A:A,Comparison!A6,'Operations Support'!B:B,"1")/15+SUMIFS('Operations Support'!O:O,'Operations Support'!A:A,Comparison!A6,'Operations Support'!B:B,"2")/15+SUMIFS('Operations Support'!O:O,'Operations Support'!A:A,Comparison!A6,'Operations Support'!B:B,"3")/12+SUMIFS('Operations Support'!O:O,'Operations Support'!A:A,Comparison!A6,'Operations Support'!B:B,"4")/9+SUMIFS('Operations Support'!O:O,'Operations Support'!A:A,Comparison!A6,'Operations Support'!B:B,"5")/12,0)</f>
        <v>46715</v>
      </c>
      <c r="P6" s="400">
        <f t="shared" si="3"/>
        <v>642</v>
      </c>
      <c r="Q6" s="399">
        <f t="shared" ref="Q6:Q42" si="8">IFERROR(ROUND(P6/M6,3),"")</f>
        <v>1.4E-2</v>
      </c>
      <c r="S6" s="387">
        <v>10726287.18259462</v>
      </c>
      <c r="T6" s="393">
        <v>10475306.250453856</v>
      </c>
      <c r="U6" s="393">
        <f>'Space Support'!L5</f>
        <v>10531499.145630589</v>
      </c>
      <c r="V6" s="391">
        <f t="shared" si="4"/>
        <v>-194788.03696403094</v>
      </c>
      <c r="W6" s="399">
        <f t="shared" si="5"/>
        <v>-1.7999999999999999E-2</v>
      </c>
      <c r="Y6" s="100">
        <v>4019686.4179999991</v>
      </c>
      <c r="Z6" s="393">
        <f ca="1">SUMIF('Operations Support'!A:A,Comparison!A6,'Operations Support'!U:U)+SUMIF('Operations Support'!A:A,Comparison!A6,'Operations Support'!W:W)</f>
        <v>3976868.6382800089</v>
      </c>
      <c r="AA6" s="400">
        <f t="shared" ca="1" si="6"/>
        <v>-42817.779719990212</v>
      </c>
      <c r="AB6" s="399">
        <f t="shared" ref="AB6:AB42" ca="1" si="9">IFERROR(ROUND(AA6/Y6,3),"")</f>
        <v>-1.0999999999999999E-2</v>
      </c>
      <c r="AD6" s="394"/>
    </row>
    <row r="7" spans="1:31">
      <c r="A7" s="395">
        <v>9741</v>
      </c>
      <c r="B7" s="396" t="str">
        <f>VLOOKUP(A7,Summary!$A$25:$B$71,2,0)</f>
        <v>UT-Dallas</v>
      </c>
      <c r="C7" s="397">
        <v>328848</v>
      </c>
      <c r="D7" s="386">
        <v>341927</v>
      </c>
      <c r="E7" s="100">
        <f>SUMIF('Operations Support'!A:A,Comparison!A7,'Operations Support'!O:O)</f>
        <v>360310</v>
      </c>
      <c r="F7" s="398">
        <f t="shared" si="0"/>
        <v>31462</v>
      </c>
      <c r="G7" s="399">
        <f t="shared" si="1"/>
        <v>9.5673381014936998E-2</v>
      </c>
      <c r="H7" s="393">
        <v>28669</v>
      </c>
      <c r="I7" s="390">
        <v>29696</v>
      </c>
      <c r="J7" s="393">
        <f>SUMIF(SIS!$A$4:$A$51,Comparison!A7,SIS!$C$4:$C$51)</f>
        <v>31570</v>
      </c>
      <c r="K7" s="400">
        <f t="shared" si="2"/>
        <v>2901</v>
      </c>
      <c r="L7" s="399">
        <f t="shared" si="7"/>
        <v>0.10100000000000001</v>
      </c>
      <c r="M7" s="393">
        <v>23143</v>
      </c>
      <c r="N7" s="392">
        <v>24209</v>
      </c>
      <c r="O7" s="100">
        <f>ROUND(SUMIFS('Operations Support'!O:O,'Operations Support'!A:A,Comparison!A7,'Operations Support'!B:B,"1")/15+SUMIFS('Operations Support'!O:O,'Operations Support'!A:A,Comparison!A7,'Operations Support'!B:B,"2")/15+SUMIFS('Operations Support'!O:O,'Operations Support'!A:A,Comparison!A7,'Operations Support'!B:B,"3")/12+SUMIFS('Operations Support'!O:O,'Operations Support'!A:A,Comparison!A7,'Operations Support'!B:B,"4")/9+SUMIFS('Operations Support'!O:O,'Operations Support'!A:A,Comparison!A7,'Operations Support'!B:B,"5")/12,0)</f>
        <v>25670</v>
      </c>
      <c r="P7" s="400">
        <f t="shared" si="3"/>
        <v>2527</v>
      </c>
      <c r="Q7" s="399">
        <f t="shared" si="8"/>
        <v>0.109</v>
      </c>
      <c r="S7" s="387">
        <v>3362967.4398972774</v>
      </c>
      <c r="T7" s="393">
        <v>3304506.5336927241</v>
      </c>
      <c r="U7" s="393">
        <f>'Space Support'!L6</f>
        <v>3342663.896497177</v>
      </c>
      <c r="V7" s="391">
        <f t="shared" si="4"/>
        <v>-20303.543400100432</v>
      </c>
      <c r="W7" s="399">
        <f t="shared" si="5"/>
        <v>-6.0000000000000001E-3</v>
      </c>
      <c r="Y7" s="100">
        <v>2116894.4200000004</v>
      </c>
      <c r="Z7" s="393">
        <f ca="1">SUMIF('Operations Support'!A:A,Comparison!A7,'Operations Support'!U:U)+SUMIF('Operations Support'!A:A,Comparison!A7,'Operations Support'!W:W)</f>
        <v>2358317.469109999</v>
      </c>
      <c r="AA7" s="400">
        <f t="shared" ca="1" si="6"/>
        <v>241423.04910999862</v>
      </c>
      <c r="AB7" s="399">
        <f t="shared" ca="1" si="9"/>
        <v>0.114</v>
      </c>
      <c r="AD7" s="394"/>
    </row>
    <row r="8" spans="1:31">
      <c r="A8" s="395">
        <v>3661</v>
      </c>
      <c r="B8" s="396" t="str">
        <f>VLOOKUP(A8,Summary!$A$25:$B$71,2,0)</f>
        <v>UT-El Paso</v>
      </c>
      <c r="C8" s="397">
        <v>258338</v>
      </c>
      <c r="D8" s="386">
        <v>239733</v>
      </c>
      <c r="E8" s="100">
        <f>SUMIF('Operations Support'!A:A,Comparison!A8,'Operations Support'!O:O)</f>
        <v>244733.25999999995</v>
      </c>
      <c r="F8" s="398">
        <f t="shared" si="0"/>
        <v>-13604.740000000049</v>
      </c>
      <c r="G8" s="399">
        <f t="shared" si="1"/>
        <v>-5.2662558353784764E-2</v>
      </c>
      <c r="H8" s="393">
        <v>24867</v>
      </c>
      <c r="I8" s="390">
        <v>24003</v>
      </c>
      <c r="J8" s="393">
        <f>SUMIF(SIS!$A$4:$A$51,Comparison!A8,SIS!$C$4:$C$51)</f>
        <v>23880</v>
      </c>
      <c r="K8" s="400">
        <f t="shared" si="2"/>
        <v>-987</v>
      </c>
      <c r="L8" s="399">
        <f t="shared" si="7"/>
        <v>-0.04</v>
      </c>
      <c r="M8" s="393">
        <v>17739</v>
      </c>
      <c r="N8" s="392">
        <v>16517</v>
      </c>
      <c r="O8" s="100">
        <f>ROUND(SUMIFS('Operations Support'!O:O,'Operations Support'!A:A,Comparison!A8,'Operations Support'!B:B,"1")/15+SUMIFS('Operations Support'!O:O,'Operations Support'!A:A,Comparison!A8,'Operations Support'!B:B,"2")/15+SUMIFS('Operations Support'!O:O,'Operations Support'!A:A,Comparison!A8,'Operations Support'!B:B,"3")/12+SUMIFS('Operations Support'!O:O,'Operations Support'!A:A,Comparison!A8,'Operations Support'!B:B,"4")/9+SUMIFS('Operations Support'!O:O,'Operations Support'!A:A,Comparison!A8,'Operations Support'!B:B,"5")/12,0)</f>
        <v>16861</v>
      </c>
      <c r="P8" s="400">
        <f t="shared" si="3"/>
        <v>-878</v>
      </c>
      <c r="Q8" s="399">
        <f t="shared" si="8"/>
        <v>-4.9000000000000002E-2</v>
      </c>
      <c r="S8" s="387">
        <v>2563197.1618064679</v>
      </c>
      <c r="T8" s="393">
        <v>2560622.5640485156</v>
      </c>
      <c r="U8" s="393">
        <f>'Space Support'!L7</f>
        <v>2509525.6068235547</v>
      </c>
      <c r="V8" s="391">
        <f t="shared" si="4"/>
        <v>-53671.554982913192</v>
      </c>
      <c r="W8" s="399">
        <f t="shared" si="5"/>
        <v>-2.1000000000000001E-2</v>
      </c>
      <c r="Y8" s="100">
        <v>1249510.486</v>
      </c>
      <c r="Z8" s="393">
        <f ca="1">SUMIF('Operations Support'!A:A,Comparison!A8,'Operations Support'!U:U)+SUMIF('Operations Support'!A:A,Comparison!A8,'Operations Support'!W:W)</f>
        <v>1198320.1093400002</v>
      </c>
      <c r="AA8" s="400">
        <f t="shared" ca="1" si="6"/>
        <v>-51190.376659999834</v>
      </c>
      <c r="AB8" s="399">
        <f t="shared" ca="1" si="9"/>
        <v>-4.1000000000000002E-2</v>
      </c>
      <c r="AD8" s="394"/>
    </row>
    <row r="9" spans="1:31">
      <c r="A9" s="395">
        <v>3599</v>
      </c>
      <c r="B9" s="396" t="str">
        <f>VLOOKUP(A9,Summary!$A$25:$B$71,2,0)</f>
        <v>UT-Rio Grande Valley</v>
      </c>
      <c r="C9" s="397">
        <v>369229</v>
      </c>
      <c r="D9" s="386">
        <v>347496</v>
      </c>
      <c r="E9" s="100">
        <f>SUMIF('Operations Support'!A:A,Comparison!A9,'Operations Support'!O:O)</f>
        <v>344969</v>
      </c>
      <c r="F9" s="398">
        <f t="shared" si="0"/>
        <v>-24260</v>
      </c>
      <c r="G9" s="399">
        <f t="shared" si="1"/>
        <v>-6.5704481500640524E-2</v>
      </c>
      <c r="H9" s="393">
        <v>32220</v>
      </c>
      <c r="I9" s="390">
        <v>31718</v>
      </c>
      <c r="J9" s="393">
        <f>SUMIF(SIS!$A$4:$A$51,Comparison!A9,SIS!$C$4:$C$51)</f>
        <v>31317</v>
      </c>
      <c r="K9" s="400">
        <f t="shared" si="2"/>
        <v>-903</v>
      </c>
      <c r="L9" s="399">
        <f t="shared" si="7"/>
        <v>-2.8000000000000001E-2</v>
      </c>
      <c r="M9" s="393">
        <v>25239</v>
      </c>
      <c r="N9" s="392">
        <v>23775</v>
      </c>
      <c r="O9" s="100">
        <f>ROUND(SUMIFS('Operations Support'!O:O,'Operations Support'!A:A,Comparison!A9,'Operations Support'!B:B,"1")/15+SUMIFS('Operations Support'!O:O,'Operations Support'!A:A,Comparison!A9,'Operations Support'!B:B,"2")/15+SUMIFS('Operations Support'!O:O,'Operations Support'!A:A,Comparison!A9,'Operations Support'!B:B,"3")/12+SUMIFS('Operations Support'!O:O,'Operations Support'!A:A,Comparison!A9,'Operations Support'!B:B,"4")/9+SUMIFS('Operations Support'!O:O,'Operations Support'!A:A,Comparison!A9,'Operations Support'!B:B,"5")/12,0)</f>
        <v>23564</v>
      </c>
      <c r="P9" s="400">
        <f t="shared" si="3"/>
        <v>-1675</v>
      </c>
      <c r="Q9" s="399">
        <f t="shared" si="8"/>
        <v>-6.6000000000000003E-2</v>
      </c>
      <c r="S9" s="387">
        <v>2674414.1549980459</v>
      </c>
      <c r="T9" s="393">
        <v>2704495.828973725</v>
      </c>
      <c r="U9" s="393">
        <f>'Space Support'!L8</f>
        <v>2647878.2267865795</v>
      </c>
      <c r="V9" s="391">
        <f t="shared" si="4"/>
        <v>-26535.928211466409</v>
      </c>
      <c r="W9" s="399">
        <f t="shared" si="5"/>
        <v>-0.01</v>
      </c>
      <c r="Y9" s="100">
        <v>1648071.3429999994</v>
      </c>
      <c r="Z9" s="393">
        <f ca="1">SUMIF('Operations Support'!A:A,Comparison!A9,'Operations Support'!U:U)+SUMIF('Operations Support'!A:A,Comparison!A9,'Operations Support'!W:W)</f>
        <v>1519637.39696</v>
      </c>
      <c r="AA9" s="400">
        <f t="shared" ca="1" si="6"/>
        <v>-128433.94603999937</v>
      </c>
      <c r="AB9" s="399">
        <f t="shared" ca="1" si="9"/>
        <v>-7.8E-2</v>
      </c>
      <c r="AD9" s="394"/>
    </row>
    <row r="10" spans="1:31">
      <c r="A10" s="395">
        <v>9930</v>
      </c>
      <c r="B10" s="396" t="str">
        <f>VLOOKUP(A10,Summary!$A$25:$B$71,2,0)</f>
        <v>UT-Permian Basin</v>
      </c>
      <c r="C10" s="397">
        <v>46540</v>
      </c>
      <c r="D10" s="386">
        <v>42170</v>
      </c>
      <c r="E10" s="100">
        <f>SUMIF('Operations Support'!A:A,Comparison!A10,'Operations Support'!O:O)</f>
        <v>44252</v>
      </c>
      <c r="F10" s="398">
        <f t="shared" si="0"/>
        <v>-2288</v>
      </c>
      <c r="G10" s="399">
        <f t="shared" si="1"/>
        <v>-4.9162011173184354E-2</v>
      </c>
      <c r="H10" s="393">
        <v>5530</v>
      </c>
      <c r="I10" s="390">
        <v>5043</v>
      </c>
      <c r="J10" s="393">
        <f>SUMIF(SIS!$A$4:$A$51,Comparison!A10,SIS!$C$4:$C$51)</f>
        <v>5250</v>
      </c>
      <c r="K10" s="400">
        <f t="shared" si="2"/>
        <v>-280</v>
      </c>
      <c r="L10" s="399">
        <f t="shared" si="7"/>
        <v>-5.0999999999999997E-2</v>
      </c>
      <c r="M10" s="393">
        <v>3167</v>
      </c>
      <c r="N10" s="392">
        <v>2874</v>
      </c>
      <c r="O10" s="100">
        <f>ROUND(SUMIFS('Operations Support'!O:O,'Operations Support'!A:A,Comparison!A10,'Operations Support'!B:B,"1")/15+SUMIFS('Operations Support'!O:O,'Operations Support'!A:A,Comparison!A10,'Operations Support'!B:B,"2")/15+SUMIFS('Operations Support'!O:O,'Operations Support'!A:A,Comparison!A10,'Operations Support'!B:B,"3")/12+SUMIFS('Operations Support'!O:O,'Operations Support'!A:A,Comparison!A10,'Operations Support'!B:B,"4")/9+SUMIFS('Operations Support'!O:O,'Operations Support'!A:A,Comparison!A10,'Operations Support'!B:B,"5")/12,0)</f>
        <v>3015</v>
      </c>
      <c r="P10" s="400">
        <f t="shared" si="3"/>
        <v>-152</v>
      </c>
      <c r="Q10" s="399">
        <f t="shared" si="8"/>
        <v>-4.8000000000000001E-2</v>
      </c>
      <c r="S10" s="387">
        <v>452497.68979751837</v>
      </c>
      <c r="T10" s="393">
        <v>405939.95929960709</v>
      </c>
      <c r="U10" s="393">
        <f>'Space Support'!L9</f>
        <v>397488.53640710749</v>
      </c>
      <c r="V10" s="391">
        <f t="shared" si="4"/>
        <v>-55009.15339041088</v>
      </c>
      <c r="W10" s="399">
        <f t="shared" si="5"/>
        <v>-0.122</v>
      </c>
      <c r="Y10" s="100">
        <v>235646.38800000004</v>
      </c>
      <c r="Z10" s="393">
        <f ca="1">SUMIF('Operations Support'!A:A,Comparison!A10,'Operations Support'!U:U)+SUMIF('Operations Support'!A:A,Comparison!A10,'Operations Support'!W:W)</f>
        <v>215838.486</v>
      </c>
      <c r="AA10" s="400">
        <f t="shared" ca="1" si="6"/>
        <v>-19807.902000000031</v>
      </c>
      <c r="AB10" s="399">
        <f t="shared" ca="1" si="9"/>
        <v>-8.4000000000000005E-2</v>
      </c>
      <c r="AD10" s="394"/>
    </row>
    <row r="11" spans="1:31">
      <c r="A11" s="395">
        <v>10115</v>
      </c>
      <c r="B11" s="396" t="str">
        <f>VLOOKUP(A11,Summary!$A$25:$B$71,2,0)</f>
        <v>UT-San Antonio</v>
      </c>
      <c r="C11" s="397">
        <v>389537</v>
      </c>
      <c r="D11" s="386">
        <v>376358</v>
      </c>
      <c r="E11" s="100">
        <f>SUMIF('Operations Support'!A:A,Comparison!A11,'Operations Support'!O:O)</f>
        <v>367244</v>
      </c>
      <c r="F11" s="398">
        <f t="shared" si="0"/>
        <v>-22293</v>
      </c>
      <c r="G11" s="399">
        <f t="shared" si="1"/>
        <v>-5.7229480126406475E-2</v>
      </c>
      <c r="H11" s="393">
        <v>34402</v>
      </c>
      <c r="I11" s="390">
        <v>34177</v>
      </c>
      <c r="J11" s="393">
        <f>SUMIF(SIS!$A$4:$A$51,Comparison!A11,SIS!$C$4:$C$51)</f>
        <v>33557</v>
      </c>
      <c r="K11" s="400">
        <f t="shared" si="2"/>
        <v>-845</v>
      </c>
      <c r="L11" s="399">
        <f t="shared" si="7"/>
        <v>-2.5000000000000001E-2</v>
      </c>
      <c r="M11" s="393">
        <v>26703</v>
      </c>
      <c r="N11" s="392">
        <v>25832</v>
      </c>
      <c r="O11" s="100">
        <f>ROUND(SUMIFS('Operations Support'!O:O,'Operations Support'!A:A,Comparison!A11,'Operations Support'!B:B,"1")/15+SUMIFS('Operations Support'!O:O,'Operations Support'!A:A,Comparison!A11,'Operations Support'!B:B,"2")/15+SUMIFS('Operations Support'!O:O,'Operations Support'!A:A,Comparison!A11,'Operations Support'!B:B,"3")/12+SUMIFS('Operations Support'!O:O,'Operations Support'!A:A,Comparison!A11,'Operations Support'!B:B,"4")/9+SUMIFS('Operations Support'!O:O,'Operations Support'!A:A,Comparison!A11,'Operations Support'!B:B,"5")/12,0)</f>
        <v>25178</v>
      </c>
      <c r="P11" s="400">
        <f t="shared" si="3"/>
        <v>-1525</v>
      </c>
      <c r="Q11" s="399">
        <f t="shared" si="8"/>
        <v>-5.7000000000000002E-2</v>
      </c>
      <c r="S11" s="387">
        <v>3372939.4800277636</v>
      </c>
      <c r="T11" s="393">
        <v>3397553.528096064</v>
      </c>
      <c r="U11" s="393">
        <f>'Space Support'!L10</f>
        <v>3402468.1797298249</v>
      </c>
      <c r="V11" s="391">
        <f t="shared" si="4"/>
        <v>29528.699702061247</v>
      </c>
      <c r="W11" s="399">
        <f t="shared" si="5"/>
        <v>8.9999999999999993E-3</v>
      </c>
      <c r="Y11" s="100">
        <v>1893498.9610000001</v>
      </c>
      <c r="Z11" s="393">
        <f ca="1">SUMIF('Operations Support'!A:A,Comparison!A11,'Operations Support'!U:U)+SUMIF('Operations Support'!A:A,Comparison!A11,'Operations Support'!W:W)</f>
        <v>1763613.9266400002</v>
      </c>
      <c r="AA11" s="400">
        <f t="shared" ca="1" si="6"/>
        <v>-129885.03435999993</v>
      </c>
      <c r="AB11" s="399">
        <f t="shared" ca="1" si="9"/>
        <v>-6.9000000000000006E-2</v>
      </c>
      <c r="AD11" s="394"/>
    </row>
    <row r="12" spans="1:31">
      <c r="A12" s="395">
        <v>11163</v>
      </c>
      <c r="B12" s="396" t="str">
        <f>VLOOKUP(A12,Summary!$A$25:$B$71,2,0)</f>
        <v>UT-Tyler</v>
      </c>
      <c r="C12" s="397">
        <v>95056</v>
      </c>
      <c r="D12" s="386">
        <v>92384</v>
      </c>
      <c r="E12" s="100">
        <f>SUMIF('Operations Support'!A:A,Comparison!A12,'Operations Support'!O:O)</f>
        <v>89861</v>
      </c>
      <c r="F12" s="398">
        <f t="shared" si="0"/>
        <v>-5195</v>
      </c>
      <c r="G12" s="399">
        <f t="shared" si="1"/>
        <v>-5.4651994613701398E-2</v>
      </c>
      <c r="H12" s="393">
        <v>9408</v>
      </c>
      <c r="I12" s="390">
        <v>9218</v>
      </c>
      <c r="J12" s="393">
        <f>SUMIF(SIS!$A$4:$A$51,Comparison!A12,SIS!$C$4:$C$51)</f>
        <v>8968</v>
      </c>
      <c r="K12" s="400">
        <f t="shared" si="2"/>
        <v>-440</v>
      </c>
      <c r="L12" s="399">
        <f t="shared" si="7"/>
        <v>-4.7E-2</v>
      </c>
      <c r="M12" s="393">
        <v>6585</v>
      </c>
      <c r="N12" s="392">
        <v>6402</v>
      </c>
      <c r="O12" s="100">
        <f>ROUND(SUMIFS('Operations Support'!O:O,'Operations Support'!A:A,Comparison!A12,'Operations Support'!B:B,"1")/15+SUMIFS('Operations Support'!O:O,'Operations Support'!A:A,Comparison!A12,'Operations Support'!B:B,"2")/15+SUMIFS('Operations Support'!O:O,'Operations Support'!A:A,Comparison!A12,'Operations Support'!B:B,"3")/12+SUMIFS('Operations Support'!O:O,'Operations Support'!A:A,Comparison!A12,'Operations Support'!B:B,"4")/9+SUMIFS('Operations Support'!O:O,'Operations Support'!A:A,Comparison!A12,'Operations Support'!B:B,"5")/12,0)</f>
        <v>6237</v>
      </c>
      <c r="P12" s="400">
        <f t="shared" si="3"/>
        <v>-348</v>
      </c>
      <c r="Q12" s="399">
        <f t="shared" si="8"/>
        <v>-5.2999999999999999E-2</v>
      </c>
      <c r="S12" s="387">
        <v>783407.82693409361</v>
      </c>
      <c r="T12" s="393">
        <v>766706.76136744232</v>
      </c>
      <c r="U12" s="393">
        <f>'Space Support'!L11</f>
        <v>764419.78488937882</v>
      </c>
      <c r="V12" s="391">
        <f t="shared" si="4"/>
        <v>-18988.042044714792</v>
      </c>
      <c r="W12" s="399">
        <f t="shared" si="5"/>
        <v>-2.4E-2</v>
      </c>
      <c r="Y12" s="100">
        <v>494003.46300000005</v>
      </c>
      <c r="Z12" s="393">
        <f ca="1">SUMIF('Operations Support'!A:A,Comparison!A12,'Operations Support'!U:U)+SUMIF('Operations Support'!A:A,Comparison!A12,'Operations Support'!W:W)</f>
        <v>465715.22667999991</v>
      </c>
      <c r="AA12" s="400">
        <f t="shared" ca="1" si="6"/>
        <v>-28288.236320000142</v>
      </c>
      <c r="AB12" s="399">
        <f t="shared" ca="1" si="9"/>
        <v>-5.7000000000000002E-2</v>
      </c>
      <c r="AD12" s="394"/>
    </row>
    <row r="13" spans="1:31">
      <c r="A13" s="395">
        <v>3632</v>
      </c>
      <c r="B13" s="396" t="str">
        <f>VLOOKUP(A13,Summary!$A$25:$B$71,2,0)</f>
        <v>TAMU</v>
      </c>
      <c r="C13" s="397">
        <v>788812</v>
      </c>
      <c r="D13" s="386">
        <v>792446</v>
      </c>
      <c r="E13" s="558">
        <f>SUMIF('Operations Support'!A:A,Comparison!A13,'Operations Support'!O:O)-'Operations Support'!O1464</f>
        <v>803714.49999999953</v>
      </c>
      <c r="F13" s="398">
        <f t="shared" si="0"/>
        <v>14902.499999999534</v>
      </c>
      <c r="G13" s="399">
        <f t="shared" si="1"/>
        <v>1.8892334295116622E-2</v>
      </c>
      <c r="H13" s="393">
        <v>65272</v>
      </c>
      <c r="I13" s="390">
        <v>66057</v>
      </c>
      <c r="J13" s="393">
        <f>SUMIF(SIS!$A$4:$A$51,Comparison!A13,SIS!$C$4:$C$51)</f>
        <v>67165</v>
      </c>
      <c r="K13" s="400">
        <f t="shared" si="2"/>
        <v>1893</v>
      </c>
      <c r="L13" s="399">
        <f t="shared" si="7"/>
        <v>2.9000000000000001E-2</v>
      </c>
      <c r="M13" s="393">
        <v>55152</v>
      </c>
      <c r="N13" s="392">
        <v>55461</v>
      </c>
      <c r="O13" s="100">
        <f>ROUND(SUMIFS('Operations Support'!O:O,'Operations Support'!A:A,Comparison!A13,'Operations Support'!B:B,"1")/15+SUMIFS('Operations Support'!O:O,'Operations Support'!A:A,Comparison!A13,'Operations Support'!B:B,"2")/15+SUMIFS('Operations Support'!O:O,'Operations Support'!A:A,Comparison!A13,'Operations Support'!B:B,"3")/12+SUMIFS('Operations Support'!O:O,'Operations Support'!A:A,Comparison!A13,'Operations Support'!B:B,"4")/9+SUMIFS('Operations Support'!O:O,'Operations Support'!A:A,Comparison!A13,'Operations Support'!B:B,"5")/12,0)</f>
        <v>57297</v>
      </c>
      <c r="P13" s="400">
        <f t="shared" si="3"/>
        <v>2145</v>
      </c>
      <c r="Q13" s="399">
        <f t="shared" si="8"/>
        <v>3.9E-2</v>
      </c>
      <c r="S13" s="401">
        <v>8956315.6212653257</v>
      </c>
      <c r="T13" s="402">
        <v>8748182.6681117695</v>
      </c>
      <c r="U13" s="402">
        <f>'Space Support'!L12+'Space Support'!L41</f>
        <v>8860022.7495047711</v>
      </c>
      <c r="V13" s="391">
        <f t="shared" si="4"/>
        <v>-96292.871760554612</v>
      </c>
      <c r="W13" s="399">
        <f t="shared" si="5"/>
        <v>-1.0999999999999999E-2</v>
      </c>
      <c r="Y13" s="100">
        <v>5445467.0729999999</v>
      </c>
      <c r="Z13" s="393">
        <f ca="1">SUMIF('Operations Support'!A:A,Comparison!A13,'Operations Support'!U:U)+SUMIF('Operations Support'!A:A,Comparison!A13,'Operations Support'!W:W)</f>
        <v>5353582.944449991</v>
      </c>
      <c r="AA13" s="400">
        <f t="shared" ca="1" si="6"/>
        <v>-91884.128550008871</v>
      </c>
      <c r="AB13" s="399">
        <f t="shared" ca="1" si="9"/>
        <v>-1.7000000000000001E-2</v>
      </c>
      <c r="AD13" s="394"/>
    </row>
    <row r="14" spans="1:31">
      <c r="A14" s="395">
        <v>10298</v>
      </c>
      <c r="B14" s="396" t="str">
        <f>VLOOKUP(A14,Summary!$A$25:$B$71,2,0)</f>
        <v>TAMU-Galveston</v>
      </c>
      <c r="C14" s="397">
        <v>25362</v>
      </c>
      <c r="D14" s="386">
        <v>27407</v>
      </c>
      <c r="E14" s="100">
        <f>SUMIF('Operations Support'!A:A,Comparison!A14,'Operations Support'!O:O)</f>
        <v>28667.000000000011</v>
      </c>
      <c r="F14" s="398">
        <f t="shared" si="0"/>
        <v>3305.0000000000109</v>
      </c>
      <c r="G14" s="399">
        <f t="shared" si="1"/>
        <v>0.1303130667928401</v>
      </c>
      <c r="H14" s="393">
        <v>1653</v>
      </c>
      <c r="I14" s="390">
        <v>2168</v>
      </c>
      <c r="J14" s="393">
        <f>SUMIF(SIS!$A$4:$A$51,Comparison!A14,SIS!$C$4:$C$51)</f>
        <v>2232</v>
      </c>
      <c r="K14" s="400">
        <f t="shared" si="2"/>
        <v>579</v>
      </c>
      <c r="L14" s="399">
        <f t="shared" si="7"/>
        <v>0.35</v>
      </c>
      <c r="M14" s="393">
        <v>1720</v>
      </c>
      <c r="N14" s="392">
        <v>1861</v>
      </c>
      <c r="O14" s="100">
        <f>ROUND(SUMIFS('Operations Support'!O:O,'Operations Support'!A:A,Comparison!A14,'Operations Support'!B:B,"1")/15+SUMIFS('Operations Support'!O:O,'Operations Support'!A:A,Comparison!A14,'Operations Support'!B:B,"2")/15+SUMIFS('Operations Support'!O:O,'Operations Support'!A:A,Comparison!A14,'Operations Support'!B:B,"3")/12+SUMIFS('Operations Support'!O:O,'Operations Support'!A:A,Comparison!A14,'Operations Support'!B:B,"4")/9+SUMIFS('Operations Support'!O:O,'Operations Support'!A:A,Comparison!A14,'Operations Support'!B:B,"5")/12,0)</f>
        <v>1947</v>
      </c>
      <c r="P14" s="400">
        <f t="shared" si="3"/>
        <v>227</v>
      </c>
      <c r="Q14" s="399">
        <f t="shared" si="8"/>
        <v>0.13200000000000001</v>
      </c>
      <c r="S14" s="387">
        <v>295418.72070592322</v>
      </c>
      <c r="T14" s="393">
        <v>296061.32053627819</v>
      </c>
      <c r="U14" s="393">
        <f>'Space Support'!L13</f>
        <v>301984.60330022423</v>
      </c>
      <c r="V14" s="391">
        <f t="shared" si="4"/>
        <v>6565.8825943010161</v>
      </c>
      <c r="W14" s="399">
        <f t="shared" si="5"/>
        <v>2.1999999999999999E-2</v>
      </c>
      <c r="Y14" s="100">
        <v>161267.85051000005</v>
      </c>
      <c r="Z14" s="393">
        <f ca="1">SUMIF('Operations Support'!A:A,Comparison!A14,'Operations Support'!U:U)+SUMIF('Operations Support'!A:A,Comparison!A14,'Operations Support'!W:W)</f>
        <v>177093.23173920004</v>
      </c>
      <c r="AA14" s="400">
        <f t="shared" ca="1" si="6"/>
        <v>15825.381229199993</v>
      </c>
      <c r="AB14" s="399">
        <f t="shared" ca="1" si="9"/>
        <v>9.8000000000000004E-2</v>
      </c>
      <c r="AD14" s="394"/>
    </row>
    <row r="15" spans="1:31">
      <c r="A15" s="395">
        <v>3630</v>
      </c>
      <c r="B15" s="396" t="str">
        <f>VLOOKUP(A15,Summary!$A$25:$B$71,2,0)</f>
        <v>Prairie View</v>
      </c>
      <c r="C15" s="397">
        <v>114161</v>
      </c>
      <c r="D15" s="386">
        <v>116454</v>
      </c>
      <c r="E15" s="100">
        <f>SUMIF('Operations Support'!A:A,Comparison!A15,'Operations Support'!O:O)</f>
        <v>113275</v>
      </c>
      <c r="F15" s="398">
        <f t="shared" si="0"/>
        <v>-886</v>
      </c>
      <c r="G15" s="399">
        <f t="shared" si="1"/>
        <v>-7.7609691575932236E-3</v>
      </c>
      <c r="H15" s="393">
        <v>9248</v>
      </c>
      <c r="I15" s="390">
        <v>9353</v>
      </c>
      <c r="J15" s="393">
        <f>SUMIF(SIS!$A$4:$A$51,Comparison!A15,SIS!$C$4:$C$51)</f>
        <v>8998</v>
      </c>
      <c r="K15" s="400">
        <f t="shared" si="2"/>
        <v>-250</v>
      </c>
      <c r="L15" s="399">
        <f t="shared" si="7"/>
        <v>-2.7E-2</v>
      </c>
      <c r="M15" s="393">
        <v>7720</v>
      </c>
      <c r="N15" s="392">
        <v>7884</v>
      </c>
      <c r="O15" s="100">
        <f>ROUND(SUMIFS('Operations Support'!O:O,'Operations Support'!A:A,Comparison!A15,'Operations Support'!B:B,"1")/15+SUMIFS('Operations Support'!O:O,'Operations Support'!A:A,Comparison!A15,'Operations Support'!B:B,"2")/15+SUMIFS('Operations Support'!O:O,'Operations Support'!A:A,Comparison!A15,'Operations Support'!B:B,"3")/12+SUMIFS('Operations Support'!O:O,'Operations Support'!A:A,Comparison!A15,'Operations Support'!B:B,"4")/9+SUMIFS('Operations Support'!O:O,'Operations Support'!A:A,Comparison!A15,'Operations Support'!B:B,"5")/12,0)</f>
        <v>7679</v>
      </c>
      <c r="P15" s="400">
        <f t="shared" si="3"/>
        <v>-41</v>
      </c>
      <c r="Q15" s="399">
        <f t="shared" si="8"/>
        <v>-5.0000000000000001E-3</v>
      </c>
      <c r="S15" s="387">
        <v>1090553.7218925781</v>
      </c>
      <c r="T15" s="393">
        <v>1142692.5996359363</v>
      </c>
      <c r="U15" s="393">
        <f>'Space Support'!L14</f>
        <v>1097250.6733455858</v>
      </c>
      <c r="V15" s="391">
        <f t="shared" si="4"/>
        <v>6696.9514530077577</v>
      </c>
      <c r="W15" s="399">
        <f t="shared" si="5"/>
        <v>6.0000000000000001E-3</v>
      </c>
      <c r="Y15" s="100">
        <v>427940.10000000009</v>
      </c>
      <c r="Z15" s="393">
        <f ca="1">SUMIF('Operations Support'!A:A,Comparison!A15,'Operations Support'!U:U)+SUMIF('Operations Support'!A:A,Comparison!A15,'Operations Support'!W:W)</f>
        <v>414476.82629999996</v>
      </c>
      <c r="AA15" s="400">
        <f t="shared" ca="1" si="6"/>
        <v>-13463.273700000136</v>
      </c>
      <c r="AB15" s="399">
        <f t="shared" ca="1" si="9"/>
        <v>-3.1E-2</v>
      </c>
      <c r="AD15" s="394"/>
    </row>
    <row r="16" spans="1:31">
      <c r="A16" s="395">
        <v>3631</v>
      </c>
      <c r="B16" s="396" t="str">
        <f>VLOOKUP(A16,Summary!$A$25:$B$71,2,0)</f>
        <v>Tarleton</v>
      </c>
      <c r="C16" s="397">
        <v>149063</v>
      </c>
      <c r="D16" s="386">
        <v>148637</v>
      </c>
      <c r="E16" s="100">
        <f>SUMIF('Operations Support'!A:A,Comparison!A16,'Operations Support'!O:O)</f>
        <v>152316.5</v>
      </c>
      <c r="F16" s="398">
        <f t="shared" si="0"/>
        <v>3253.5</v>
      </c>
      <c r="G16" s="399">
        <f t="shared" si="1"/>
        <v>2.1826341882291381E-2</v>
      </c>
      <c r="H16" s="393">
        <v>14022</v>
      </c>
      <c r="I16" s="390">
        <v>13995</v>
      </c>
      <c r="J16" s="393">
        <f>SUMIF(SIS!$A$4:$A$51,Comparison!A16,SIS!$C$4:$C$51)</f>
        <v>14093</v>
      </c>
      <c r="K16" s="400">
        <f t="shared" si="2"/>
        <v>71</v>
      </c>
      <c r="L16" s="399">
        <f t="shared" si="7"/>
        <v>5.0000000000000001E-3</v>
      </c>
      <c r="M16" s="393">
        <v>10162</v>
      </c>
      <c r="N16" s="392">
        <v>10143</v>
      </c>
      <c r="O16" s="100">
        <f>ROUND(SUMIFS('Operations Support'!O:O,'Operations Support'!A:A,Comparison!A16,'Operations Support'!B:B,"1")/15+SUMIFS('Operations Support'!O:O,'Operations Support'!A:A,Comparison!A16,'Operations Support'!B:B,"2")/15+SUMIFS('Operations Support'!O:O,'Operations Support'!A:A,Comparison!A16,'Operations Support'!B:B,"3")/12+SUMIFS('Operations Support'!O:O,'Operations Support'!A:A,Comparison!A16,'Operations Support'!B:B,"4")/9+SUMIFS('Operations Support'!O:O,'Operations Support'!A:A,Comparison!A16,'Operations Support'!B:B,"5")/12,0)</f>
        <v>10381</v>
      </c>
      <c r="P16" s="400">
        <f t="shared" si="3"/>
        <v>219</v>
      </c>
      <c r="Q16" s="399">
        <f t="shared" si="8"/>
        <v>2.1999999999999999E-2</v>
      </c>
      <c r="S16" s="387">
        <v>1126794.8565342103</v>
      </c>
      <c r="T16" s="393">
        <v>1142610.6802769997</v>
      </c>
      <c r="U16" s="393">
        <f>'Space Support'!L15</f>
        <v>1185596.1035113714</v>
      </c>
      <c r="V16" s="391">
        <f t="shared" si="4"/>
        <v>58801.24697716115</v>
      </c>
      <c r="W16" s="399">
        <f t="shared" si="5"/>
        <v>5.1999999999999998E-2</v>
      </c>
      <c r="Y16" s="100">
        <v>669813.73199999984</v>
      </c>
      <c r="Z16" s="393">
        <f ca="1">SUMIF('Operations Support'!A:A,Comparison!A16,'Operations Support'!U:U)+SUMIF('Operations Support'!A:A,Comparison!A16,'Operations Support'!W:W)</f>
        <v>705095.83605000016</v>
      </c>
      <c r="AA16" s="400">
        <f t="shared" ca="1" si="6"/>
        <v>35282.104050000315</v>
      </c>
      <c r="AB16" s="399">
        <f t="shared" ca="1" si="9"/>
        <v>5.2999999999999999E-2</v>
      </c>
      <c r="AD16" s="394"/>
    </row>
    <row r="17" spans="1:30">
      <c r="A17" s="395">
        <v>42295</v>
      </c>
      <c r="B17" s="396" t="str">
        <f>VLOOKUP(A17,Summary!$A$25:$B$71,2,0)</f>
        <v>TAMU-Central</v>
      </c>
      <c r="C17" s="397">
        <v>19209</v>
      </c>
      <c r="D17" s="386">
        <v>17942</v>
      </c>
      <c r="E17" s="100">
        <f>SUMIF('Operations Support'!A:A,Comparison!A17,'Operations Support'!O:O)</f>
        <v>16683</v>
      </c>
      <c r="F17" s="398">
        <f t="shared" si="0"/>
        <v>-2526</v>
      </c>
      <c r="G17" s="399">
        <f t="shared" si="1"/>
        <v>-0.13150085897235672</v>
      </c>
      <c r="H17" s="393">
        <v>2339</v>
      </c>
      <c r="I17" s="390">
        <v>2218</v>
      </c>
      <c r="J17" s="393">
        <f>SUMIF(SIS!$A$4:$A$51,Comparison!A17,SIS!$C$4:$C$51)</f>
        <v>2194</v>
      </c>
      <c r="K17" s="400">
        <f t="shared" si="2"/>
        <v>-145</v>
      </c>
      <c r="L17" s="399">
        <f t="shared" si="7"/>
        <v>-6.2E-2</v>
      </c>
      <c r="M17" s="393">
        <v>1332</v>
      </c>
      <c r="N17" s="392">
        <v>1246</v>
      </c>
      <c r="O17" s="100">
        <f>ROUND(SUMIFS('Operations Support'!O:O,'Operations Support'!A:A,Comparison!A17,'Operations Support'!B:B,"1")/15+SUMIFS('Operations Support'!O:O,'Operations Support'!A:A,Comparison!A17,'Operations Support'!B:B,"2")/15+SUMIFS('Operations Support'!O:O,'Operations Support'!A:A,Comparison!A17,'Operations Support'!B:B,"3")/12+SUMIFS('Operations Support'!O:O,'Operations Support'!A:A,Comparison!A17,'Operations Support'!B:B,"4")/9+SUMIFS('Operations Support'!O:O,'Operations Support'!A:A,Comparison!A17,'Operations Support'!B:B,"5")/12,0)</f>
        <v>1158</v>
      </c>
      <c r="P17" s="400">
        <f t="shared" si="3"/>
        <v>-174</v>
      </c>
      <c r="Q17" s="399">
        <f t="shared" si="8"/>
        <v>-0.13100000000000001</v>
      </c>
      <c r="S17" s="387">
        <v>186817.13969132022</v>
      </c>
      <c r="T17" s="393">
        <v>176850.44649392818</v>
      </c>
      <c r="U17" s="393">
        <f>'Space Support'!L16</f>
        <v>180437.84291192458</v>
      </c>
      <c r="V17" s="391">
        <f t="shared" si="4"/>
        <v>-6379.2967793956341</v>
      </c>
      <c r="W17" s="399">
        <f t="shared" si="5"/>
        <v>-3.4000000000000002E-2</v>
      </c>
      <c r="Y17" s="100">
        <v>115170.36699999998</v>
      </c>
      <c r="Z17" s="393">
        <f ca="1">SUMIF('Operations Support'!A:A,Comparison!A17,'Operations Support'!U:U)+SUMIF('Operations Support'!A:A,Comparison!A17,'Operations Support'!W:W)</f>
        <v>104148.35599999999</v>
      </c>
      <c r="AA17" s="400">
        <f t="shared" ca="1" si="6"/>
        <v>-11022.010999999999</v>
      </c>
      <c r="AB17" s="399">
        <f t="shared" ca="1" si="9"/>
        <v>-9.6000000000000002E-2</v>
      </c>
      <c r="AD17" s="394"/>
    </row>
    <row r="18" spans="1:30">
      <c r="A18" s="395">
        <v>11161</v>
      </c>
      <c r="B18" s="396" t="str">
        <f>VLOOKUP(A18,Summary!$A$25:$B$71,2,0)</f>
        <v>TAMU-CC</v>
      </c>
      <c r="C18" s="397">
        <v>109392</v>
      </c>
      <c r="D18" s="386">
        <v>106436</v>
      </c>
      <c r="E18" s="100">
        <f>SUMIF('Operations Support'!A:A,Comparison!A18,'Operations Support'!O:O)</f>
        <v>104663</v>
      </c>
      <c r="F18" s="398">
        <f t="shared" si="0"/>
        <v>-4729</v>
      </c>
      <c r="G18" s="399">
        <f t="shared" si="1"/>
        <v>-4.3229852274389351E-2</v>
      </c>
      <c r="H18" s="393">
        <v>10820</v>
      </c>
      <c r="I18" s="390">
        <v>10762</v>
      </c>
      <c r="J18" s="393">
        <f>SUMIF(SIS!$A$4:$A$51,Comparison!A18,SIS!$C$4:$C$51)</f>
        <v>10778</v>
      </c>
      <c r="K18" s="400">
        <f t="shared" si="2"/>
        <v>-42</v>
      </c>
      <c r="L18" s="399">
        <f t="shared" si="7"/>
        <v>-4.0000000000000001E-3</v>
      </c>
      <c r="M18" s="393">
        <v>7539</v>
      </c>
      <c r="N18" s="392">
        <v>7367</v>
      </c>
      <c r="O18" s="100">
        <f>ROUND(SUMIFS('Operations Support'!O:O,'Operations Support'!A:A,Comparison!A18,'Operations Support'!B:B,"1")/15+SUMIFS('Operations Support'!O:O,'Operations Support'!A:A,Comparison!A18,'Operations Support'!B:B,"2")/15+SUMIFS('Operations Support'!O:O,'Operations Support'!A:A,Comparison!A18,'Operations Support'!B:B,"3")/12+SUMIFS('Operations Support'!O:O,'Operations Support'!A:A,Comparison!A18,'Operations Support'!B:B,"4")/9+SUMIFS('Operations Support'!O:O,'Operations Support'!A:A,Comparison!A18,'Operations Support'!B:B,"5")/12,0)</f>
        <v>7243</v>
      </c>
      <c r="P18" s="400">
        <f t="shared" si="3"/>
        <v>-296</v>
      </c>
      <c r="Q18" s="399">
        <f t="shared" si="8"/>
        <v>-3.9E-2</v>
      </c>
      <c r="S18" s="387">
        <v>1094115.4406815297</v>
      </c>
      <c r="T18" s="393">
        <v>1082426.943940541</v>
      </c>
      <c r="U18" s="393">
        <f>'Space Support'!L17</f>
        <v>1057517.0591166667</v>
      </c>
      <c r="V18" s="391">
        <f t="shared" si="4"/>
        <v>-36598.381564863026</v>
      </c>
      <c r="W18" s="399">
        <f t="shared" si="5"/>
        <v>-3.3000000000000002E-2</v>
      </c>
      <c r="Y18" s="100">
        <v>606525.59</v>
      </c>
      <c r="Z18" s="393">
        <f ca="1">SUMIF('Operations Support'!A:A,Comparison!A18,'Operations Support'!U:U)+SUMIF('Operations Support'!A:A,Comparison!A18,'Operations Support'!W:W)</f>
        <v>588291.67050000012</v>
      </c>
      <c r="AA18" s="400">
        <f t="shared" ca="1" si="6"/>
        <v>-18233.919499999844</v>
      </c>
      <c r="AB18" s="399">
        <f t="shared" ca="1" si="9"/>
        <v>-0.03</v>
      </c>
      <c r="AD18" s="394"/>
    </row>
    <row r="19" spans="1:30">
      <c r="A19" s="395">
        <v>3639</v>
      </c>
      <c r="B19" s="396" t="str">
        <f>VLOOKUP(A19,Summary!$A$25:$B$71,2,0)</f>
        <v>TAMU-Kingsville</v>
      </c>
      <c r="C19" s="397">
        <v>76397</v>
      </c>
      <c r="D19" s="386">
        <v>69923</v>
      </c>
      <c r="E19" s="100">
        <f>SUMIF('Operations Support'!A:A,Comparison!A19,'Operations Support'!O:O)</f>
        <v>67505</v>
      </c>
      <c r="F19" s="398">
        <f t="shared" si="0"/>
        <v>-8892</v>
      </c>
      <c r="G19" s="399">
        <f t="shared" si="1"/>
        <v>-0.11639200492165923</v>
      </c>
      <c r="H19" s="393">
        <v>6915</v>
      </c>
      <c r="I19" s="390">
        <v>6375</v>
      </c>
      <c r="J19" s="393">
        <f>SUMIF(SIS!$A$4:$A$51,Comparison!A19,SIS!$C$4:$C$51)</f>
        <v>6070</v>
      </c>
      <c r="K19" s="400">
        <f t="shared" si="2"/>
        <v>-845</v>
      </c>
      <c r="L19" s="399">
        <f t="shared" si="7"/>
        <v>-0.122</v>
      </c>
      <c r="M19" s="393">
        <v>5261</v>
      </c>
      <c r="N19" s="392">
        <v>4833</v>
      </c>
      <c r="O19" s="100">
        <f>ROUND(SUMIFS('Operations Support'!O:O,'Operations Support'!A:A,Comparison!A19,'Operations Support'!B:B,"1")/15+SUMIFS('Operations Support'!O:O,'Operations Support'!A:A,Comparison!A19,'Operations Support'!B:B,"2")/15+SUMIFS('Operations Support'!O:O,'Operations Support'!A:A,Comparison!A19,'Operations Support'!B:B,"3")/12+SUMIFS('Operations Support'!O:O,'Operations Support'!A:A,Comparison!A19,'Operations Support'!B:B,"4")/9+SUMIFS('Operations Support'!O:O,'Operations Support'!A:A,Comparison!A19,'Operations Support'!B:B,"5")/12,0)</f>
        <v>4664</v>
      </c>
      <c r="P19" s="400">
        <f t="shared" si="3"/>
        <v>-597</v>
      </c>
      <c r="Q19" s="399">
        <f t="shared" si="8"/>
        <v>-0.113</v>
      </c>
      <c r="S19" s="387">
        <v>787779.62013356388</v>
      </c>
      <c r="T19" s="393">
        <v>746160.4180151578</v>
      </c>
      <c r="U19" s="393">
        <f>'Space Support'!L18</f>
        <v>725583.01061446406</v>
      </c>
      <c r="V19" s="391">
        <f t="shared" si="4"/>
        <v>-62196.609519099817</v>
      </c>
      <c r="W19" s="399">
        <f t="shared" si="5"/>
        <v>-7.9000000000000001E-2</v>
      </c>
      <c r="Y19" s="100">
        <v>387498.05600000004</v>
      </c>
      <c r="Z19" s="393">
        <f ca="1">SUMIF('Operations Support'!A:A,Comparison!A19,'Operations Support'!U:U)+SUMIF('Operations Support'!A:A,Comparison!A19,'Operations Support'!W:W)</f>
        <v>339719.50252999994</v>
      </c>
      <c r="AA19" s="400">
        <f t="shared" ca="1" si="6"/>
        <v>-47778.553470000101</v>
      </c>
      <c r="AB19" s="399">
        <f t="shared" ca="1" si="9"/>
        <v>-0.123</v>
      </c>
      <c r="AD19" s="394"/>
    </row>
    <row r="20" spans="1:30">
      <c r="A20" s="395">
        <v>42485</v>
      </c>
      <c r="B20" s="396" t="str">
        <f>VLOOKUP(A20,Summary!$A$25:$B$71,2,0)</f>
        <v>TAMU-San Antonio</v>
      </c>
      <c r="C20" s="397">
        <v>65208</v>
      </c>
      <c r="D20" s="386">
        <v>66100</v>
      </c>
      <c r="E20" s="100">
        <f>SUMIF('Operations Support'!A:A,Comparison!A20,'Operations Support'!O:O)</f>
        <v>69706</v>
      </c>
      <c r="F20" s="398">
        <f t="shared" si="0"/>
        <v>4498</v>
      </c>
      <c r="G20" s="399">
        <f t="shared" si="1"/>
        <v>6.8979266347687404E-2</v>
      </c>
      <c r="H20" s="393">
        <v>6741</v>
      </c>
      <c r="I20" s="390">
        <v>6858</v>
      </c>
      <c r="J20" s="393">
        <f>SUMIF(SIS!$A$4:$A$51,Comparison!A20,SIS!$C$4:$C$51)</f>
        <v>7223</v>
      </c>
      <c r="K20" s="400">
        <f t="shared" si="2"/>
        <v>482</v>
      </c>
      <c r="L20" s="399">
        <f t="shared" si="7"/>
        <v>7.1999999999999995E-2</v>
      </c>
      <c r="M20" s="393">
        <v>4411</v>
      </c>
      <c r="N20" s="392">
        <v>4451</v>
      </c>
      <c r="O20" s="100">
        <f>ROUND(SUMIFS('Operations Support'!O:O,'Operations Support'!A:A,Comparison!A20,'Operations Support'!B:B,"1")/15+SUMIFS('Operations Support'!O:O,'Operations Support'!A:A,Comparison!A20,'Operations Support'!B:B,"2")/15+SUMIFS('Operations Support'!O:O,'Operations Support'!A:A,Comparison!A20,'Operations Support'!B:B,"3")/12+SUMIFS('Operations Support'!O:O,'Operations Support'!A:A,Comparison!A20,'Operations Support'!B:B,"4")/9+SUMIFS('Operations Support'!O:O,'Operations Support'!A:A,Comparison!A20,'Operations Support'!B:B,"5")/12,0)</f>
        <v>4708</v>
      </c>
      <c r="P20" s="400">
        <f t="shared" si="3"/>
        <v>297</v>
      </c>
      <c r="Q20" s="399">
        <f t="shared" si="8"/>
        <v>6.7000000000000004E-2</v>
      </c>
      <c r="S20" s="387">
        <v>492250.87206262059</v>
      </c>
      <c r="T20" s="393">
        <v>514452.86670326884</v>
      </c>
      <c r="U20" s="393">
        <f>'Space Support'!L19</f>
        <v>530045.22743129288</v>
      </c>
      <c r="V20" s="391">
        <f t="shared" si="4"/>
        <v>37794.355368672288</v>
      </c>
      <c r="W20" s="399">
        <f t="shared" si="5"/>
        <v>7.6999999999999999E-2</v>
      </c>
      <c r="Y20" s="100">
        <v>257169.56100000002</v>
      </c>
      <c r="Z20" s="393">
        <f ca="1">SUMIF('Operations Support'!A:A,Comparison!A20,'Operations Support'!U:U)+SUMIF('Operations Support'!A:A,Comparison!A20,'Operations Support'!W:W)</f>
        <v>253257.63300000003</v>
      </c>
      <c r="AA20" s="400">
        <f t="shared" ca="1" si="6"/>
        <v>-3911.9279999999853</v>
      </c>
      <c r="AB20" s="399">
        <f t="shared" ca="1" si="9"/>
        <v>-1.4999999999999999E-2</v>
      </c>
      <c r="AD20" s="394"/>
    </row>
    <row r="21" spans="1:30">
      <c r="A21" s="395">
        <v>9651</v>
      </c>
      <c r="B21" s="396" t="str">
        <f>VLOOKUP(A21,Summary!$A$25:$B$71,2,0)</f>
        <v>TAMI</v>
      </c>
      <c r="C21" s="397">
        <v>90494</v>
      </c>
      <c r="D21" s="386">
        <v>86117</v>
      </c>
      <c r="E21" s="100">
        <f>SUMIF('Operations Support'!A:A,Comparison!A21,'Operations Support'!O:O)</f>
        <v>88273</v>
      </c>
      <c r="F21" s="398">
        <f t="shared" si="0"/>
        <v>-2221</v>
      </c>
      <c r="G21" s="399">
        <f t="shared" si="1"/>
        <v>-2.4543063628527859E-2</v>
      </c>
      <c r="H21" s="393">
        <v>8270</v>
      </c>
      <c r="I21" s="390">
        <v>8145</v>
      </c>
      <c r="J21" s="393">
        <f>SUMIF(SIS!$A$4:$A$51,Comparison!A21,SIS!$C$4:$C$51)</f>
        <v>8193</v>
      </c>
      <c r="K21" s="400">
        <f t="shared" si="2"/>
        <v>-77</v>
      </c>
      <c r="L21" s="399">
        <f t="shared" si="7"/>
        <v>-8.9999999999999993E-3</v>
      </c>
      <c r="M21" s="393">
        <v>6132</v>
      </c>
      <c r="N21" s="392">
        <v>5843</v>
      </c>
      <c r="O21" s="100">
        <f>ROUND(SUMIFS('Operations Support'!O:O,'Operations Support'!A:A,Comparison!A21,'Operations Support'!B:B,"1")/15+SUMIFS('Operations Support'!O:O,'Operations Support'!A:A,Comparison!A21,'Operations Support'!B:B,"2")/15+SUMIFS('Operations Support'!O:O,'Operations Support'!A:A,Comparison!A21,'Operations Support'!B:B,"3")/12+SUMIFS('Operations Support'!O:O,'Operations Support'!A:A,Comparison!A21,'Operations Support'!B:B,"4")/9+SUMIFS('Operations Support'!O:O,'Operations Support'!A:A,Comparison!A21,'Operations Support'!B:B,"5")/12,0)</f>
        <v>5985</v>
      </c>
      <c r="P21" s="400">
        <f t="shared" si="3"/>
        <v>-147</v>
      </c>
      <c r="Q21" s="399">
        <f t="shared" si="8"/>
        <v>-2.4E-2</v>
      </c>
      <c r="S21" s="387">
        <v>678736.40371561714</v>
      </c>
      <c r="T21" s="393">
        <v>677007.63586529577</v>
      </c>
      <c r="U21" s="393">
        <f>'Space Support'!L20</f>
        <v>716969.74196459947</v>
      </c>
      <c r="V21" s="391">
        <f t="shared" si="4"/>
        <v>38233.338248982327</v>
      </c>
      <c r="W21" s="399">
        <f t="shared" si="5"/>
        <v>5.6000000000000001E-2</v>
      </c>
      <c r="Y21" s="100">
        <v>403664.549</v>
      </c>
      <c r="Z21" s="393">
        <f ca="1">SUMIF('Operations Support'!A:A,Comparison!A21,'Operations Support'!U:U)+SUMIF('Operations Support'!A:A,Comparison!A21,'Operations Support'!W:W)</f>
        <v>406948.56900000008</v>
      </c>
      <c r="AA21" s="400">
        <f t="shared" ca="1" si="6"/>
        <v>3284.0200000000768</v>
      </c>
      <c r="AB21" s="399">
        <f t="shared" ca="1" si="9"/>
        <v>8.0000000000000002E-3</v>
      </c>
      <c r="AD21" s="394"/>
    </row>
    <row r="22" spans="1:30">
      <c r="A22" s="395">
        <v>3665</v>
      </c>
      <c r="B22" s="396" t="str">
        <f>VLOOKUP(A22,Summary!$A$25:$B$71,2,0)</f>
        <v>WTAMU</v>
      </c>
      <c r="C22" s="397">
        <v>106106</v>
      </c>
      <c r="D22" s="386">
        <v>99516</v>
      </c>
      <c r="E22" s="100">
        <f>SUMIF('Operations Support'!A:A,Comparison!A22,'Operations Support'!O:O)</f>
        <v>98069</v>
      </c>
      <c r="F22" s="398">
        <f t="shared" si="0"/>
        <v>-8037</v>
      </c>
      <c r="G22" s="399">
        <f t="shared" si="1"/>
        <v>-7.5745009707273853E-2</v>
      </c>
      <c r="H22" s="393">
        <v>10051</v>
      </c>
      <c r="I22" s="390">
        <v>9545</v>
      </c>
      <c r="J22" s="393">
        <f>SUMIF(SIS!$A$4:$A$51,Comparison!A22,SIS!$C$4:$C$51)</f>
        <v>9242</v>
      </c>
      <c r="K22" s="400">
        <f t="shared" si="2"/>
        <v>-809</v>
      </c>
      <c r="L22" s="399">
        <f t="shared" si="7"/>
        <v>-0.08</v>
      </c>
      <c r="M22" s="393">
        <v>7341</v>
      </c>
      <c r="N22" s="392">
        <v>6884</v>
      </c>
      <c r="O22" s="100">
        <f>ROUND(SUMIFS('Operations Support'!O:O,'Operations Support'!A:A,Comparison!A22,'Operations Support'!B:B,"1")/15+SUMIFS('Operations Support'!O:O,'Operations Support'!A:A,Comparison!A22,'Operations Support'!B:B,"2")/15+SUMIFS('Operations Support'!O:O,'Operations Support'!A:A,Comparison!A22,'Operations Support'!B:B,"3")/12+SUMIFS('Operations Support'!O:O,'Operations Support'!A:A,Comparison!A22,'Operations Support'!B:B,"4")/9+SUMIFS('Operations Support'!O:O,'Operations Support'!A:A,Comparison!A22,'Operations Support'!B:B,"5")/12,0)</f>
        <v>6778</v>
      </c>
      <c r="P22" s="400">
        <f t="shared" si="3"/>
        <v>-563</v>
      </c>
      <c r="Q22" s="399">
        <f t="shared" si="8"/>
        <v>-7.6999999999999999E-2</v>
      </c>
      <c r="S22" s="387">
        <v>822457.95314851415</v>
      </c>
      <c r="T22" s="393">
        <v>808427.80657520518</v>
      </c>
      <c r="U22" s="393">
        <f>'Space Support'!L21</f>
        <v>813318.55901587324</v>
      </c>
      <c r="V22" s="391">
        <f t="shared" si="4"/>
        <v>-9139.3941326409113</v>
      </c>
      <c r="W22" s="399">
        <f t="shared" si="5"/>
        <v>-1.0999999999999999E-2</v>
      </c>
      <c r="Y22" s="100">
        <v>478854.71600000007</v>
      </c>
      <c r="Z22" s="393">
        <f ca="1">SUMIF('Operations Support'!A:A,Comparison!A22,'Operations Support'!U:U)+SUMIF('Operations Support'!A:A,Comparison!A22,'Operations Support'!W:W)</f>
        <v>434860.66800000001</v>
      </c>
      <c r="AA22" s="400">
        <f t="shared" ca="1" si="6"/>
        <v>-43994.048000000068</v>
      </c>
      <c r="AB22" s="399">
        <f t="shared" ca="1" si="9"/>
        <v>-9.1999999999999998E-2</v>
      </c>
      <c r="AD22" s="394"/>
    </row>
    <row r="23" spans="1:30">
      <c r="A23" s="395">
        <v>3565</v>
      </c>
      <c r="B23" s="396" t="str">
        <f>VLOOKUP(A23,Summary!$A$25:$B$71,2,0)</f>
        <v>TAMU-Commerce</v>
      </c>
      <c r="C23" s="397">
        <v>115049</v>
      </c>
      <c r="D23" s="386">
        <v>103356</v>
      </c>
      <c r="E23" s="100">
        <f>SUMIF('Operations Support'!A:A,Comparison!A23,'Operations Support'!O:O)</f>
        <v>96683</v>
      </c>
      <c r="F23" s="398">
        <f t="shared" si="0"/>
        <v>-18366</v>
      </c>
      <c r="G23" s="399">
        <f t="shared" si="1"/>
        <v>-0.15963632886856904</v>
      </c>
      <c r="H23" s="393">
        <v>11624</v>
      </c>
      <c r="I23" s="390">
        <v>10966</v>
      </c>
      <c r="J23" s="393">
        <f>SUMIF(SIS!$A$4:$A$51,Comparison!A23,SIS!$C$4:$C$51)</f>
        <v>10754</v>
      </c>
      <c r="K23" s="400">
        <f>J23-H23</f>
        <v>-870</v>
      </c>
      <c r="L23" s="399">
        <f t="shared" si="7"/>
        <v>-7.4999999999999997E-2</v>
      </c>
      <c r="M23" s="393">
        <v>8115</v>
      </c>
      <c r="N23" s="392">
        <v>7329</v>
      </c>
      <c r="O23" s="100">
        <f>ROUND(SUMIFS('Operations Support'!O:O,'Operations Support'!A:A,Comparison!A23,'Operations Support'!B:B,"1")/15+SUMIFS('Operations Support'!O:O,'Operations Support'!A:A,Comparison!A23,'Operations Support'!B:B,"2")/15+SUMIFS('Operations Support'!O:O,'Operations Support'!A:A,Comparison!A23,'Operations Support'!B:B,"3")/12+SUMIFS('Operations Support'!O:O,'Operations Support'!A:A,Comparison!A23,'Operations Support'!B:B,"4")/9+SUMIFS('Operations Support'!O:O,'Operations Support'!A:A,Comparison!A23,'Operations Support'!B:B,"5")/12,0)</f>
        <v>6837</v>
      </c>
      <c r="P23" s="400">
        <f>O23-M23</f>
        <v>-1278</v>
      </c>
      <c r="Q23" s="399">
        <f t="shared" si="8"/>
        <v>-0.157</v>
      </c>
      <c r="S23" s="387">
        <v>893564.42534855951</v>
      </c>
      <c r="T23" s="393">
        <v>839441.42986355349</v>
      </c>
      <c r="U23" s="393">
        <f>'Space Support'!L22</f>
        <v>823625.55677651847</v>
      </c>
      <c r="V23" s="391">
        <f t="shared" si="4"/>
        <v>-69938.868572041043</v>
      </c>
      <c r="W23" s="399">
        <f t="shared" si="5"/>
        <v>-7.8E-2</v>
      </c>
      <c r="Y23" s="100">
        <v>709940.20299999998</v>
      </c>
      <c r="Z23" s="393">
        <f ca="1">SUMIF('Operations Support'!A:A,Comparison!A23,'Operations Support'!U:U)+SUMIF('Operations Support'!A:A,Comparison!A23,'Operations Support'!W:W)</f>
        <v>660398.83299999998</v>
      </c>
      <c r="AA23" s="400">
        <f ca="1">Z23-Y23</f>
        <v>-49541.369999999995</v>
      </c>
      <c r="AB23" s="399">
        <f t="shared" ca="1" si="9"/>
        <v>-7.0000000000000007E-2</v>
      </c>
      <c r="AD23" s="394"/>
    </row>
    <row r="24" spans="1:30">
      <c r="A24" s="395">
        <v>29269</v>
      </c>
      <c r="B24" s="396" t="str">
        <f>VLOOKUP(A24,Summary!$A$25:$B$71,2,0)</f>
        <v>TAMU-Texarkana</v>
      </c>
      <c r="C24" s="397">
        <v>22155</v>
      </c>
      <c r="D24" s="386">
        <v>20726</v>
      </c>
      <c r="E24" s="100">
        <f>SUMIF('Operations Support'!A:A,Comparison!A24,'Operations Support'!O:O)</f>
        <v>21119</v>
      </c>
      <c r="F24" s="398">
        <f t="shared" si="0"/>
        <v>-1036</v>
      </c>
      <c r="G24" s="399">
        <f t="shared" si="1"/>
        <v>-4.6761453396524488E-2</v>
      </c>
      <c r="H24" s="393">
        <v>2161</v>
      </c>
      <c r="I24" s="390">
        <v>2078</v>
      </c>
      <c r="J24" s="393">
        <f>SUMIF(SIS!$A$4:$A$51,Comparison!A24,SIS!$C$4:$C$51)</f>
        <v>2073</v>
      </c>
      <c r="K24" s="400">
        <f>J24-H24</f>
        <v>-88</v>
      </c>
      <c r="L24" s="399">
        <f t="shared" si="7"/>
        <v>-4.1000000000000002E-2</v>
      </c>
      <c r="M24" s="393">
        <v>1518</v>
      </c>
      <c r="N24" s="392">
        <v>1419</v>
      </c>
      <c r="O24" s="100">
        <f>ROUND(SUMIFS('Operations Support'!O:O,'Operations Support'!A:A,Comparison!A24,'Operations Support'!B:B,"1")/15+SUMIFS('Operations Support'!O:O,'Operations Support'!A:A,Comparison!A24,'Operations Support'!B:B,"2")/15+SUMIFS('Operations Support'!O:O,'Operations Support'!A:A,Comparison!A24,'Operations Support'!B:B,"3")/12+SUMIFS('Operations Support'!O:O,'Operations Support'!A:A,Comparison!A24,'Operations Support'!B:B,"4")/9+SUMIFS('Operations Support'!O:O,'Operations Support'!A:A,Comparison!A24,'Operations Support'!B:B,"5")/12,0)</f>
        <v>1445</v>
      </c>
      <c r="P24" s="400">
        <f>O24-M24</f>
        <v>-73</v>
      </c>
      <c r="Q24" s="399">
        <f t="shared" si="8"/>
        <v>-4.8000000000000001E-2</v>
      </c>
      <c r="S24" s="387">
        <v>202107.70238409794</v>
      </c>
      <c r="T24" s="393">
        <v>196198.25592945435</v>
      </c>
      <c r="U24" s="393">
        <f>'Space Support'!L23</f>
        <v>199560.08045188102</v>
      </c>
      <c r="V24" s="391">
        <f t="shared" si="4"/>
        <v>-2547.62193221692</v>
      </c>
      <c r="W24" s="399">
        <f t="shared" si="5"/>
        <v>-1.2999999999999999E-2</v>
      </c>
      <c r="Y24" s="100">
        <v>95206.361000000019</v>
      </c>
      <c r="Z24" s="393">
        <f ca="1">SUMIF('Operations Support'!A:A,Comparison!A24,'Operations Support'!U:U)+SUMIF('Operations Support'!A:A,Comparison!A24,'Operations Support'!W:W)</f>
        <v>87330.215999999986</v>
      </c>
      <c r="AA24" s="400">
        <f ca="1">Z24-Y24</f>
        <v>-7876.1450000000332</v>
      </c>
      <c r="AB24" s="399">
        <f t="shared" ca="1" si="9"/>
        <v>-8.3000000000000004E-2</v>
      </c>
      <c r="AD24" s="394"/>
    </row>
    <row r="25" spans="1:30">
      <c r="A25" s="395">
        <v>3652</v>
      </c>
      <c r="B25" s="396" t="str">
        <f>VLOOKUP(A25,Summary!$A$25:$B$71,2,0)</f>
        <v>UH</v>
      </c>
      <c r="C25" s="397">
        <v>550209</v>
      </c>
      <c r="D25" s="386">
        <v>530515</v>
      </c>
      <c r="E25" s="100">
        <f>SUMIF('Operations Support'!A:A,Comparison!A25,'Operations Support'!O:O)</f>
        <v>525518.49999999942</v>
      </c>
      <c r="F25" s="398">
        <f t="shared" si="0"/>
        <v>-24690.500000000582</v>
      </c>
      <c r="G25" s="399">
        <f t="shared" si="1"/>
        <v>-4.4874765770826323E-2</v>
      </c>
      <c r="H25" s="393">
        <v>47060</v>
      </c>
      <c r="I25" s="390">
        <v>46971</v>
      </c>
      <c r="J25" s="393">
        <f>SUMIF(SIS!$A$4:$A$51,Comparison!A25,SIS!$C$4:$C$51)</f>
        <v>46580</v>
      </c>
      <c r="K25" s="400">
        <f t="shared" si="2"/>
        <v>-480</v>
      </c>
      <c r="L25" s="399">
        <f t="shared" si="7"/>
        <v>-0.01</v>
      </c>
      <c r="M25" s="393">
        <v>38173</v>
      </c>
      <c r="N25" s="392">
        <v>36908</v>
      </c>
      <c r="O25" s="100">
        <f>ROUND(SUMIFS('Operations Support'!O:O,'Operations Support'!A:A,Comparison!A25,'Operations Support'!B:B,"1")/15+SUMIFS('Operations Support'!O:O,'Operations Support'!A:A,Comparison!A25,'Operations Support'!B:B,"2")/15+SUMIFS('Operations Support'!O:O,'Operations Support'!A:A,Comparison!A25,'Operations Support'!B:B,"3")/12+SUMIFS('Operations Support'!O:O,'Operations Support'!A:A,Comparison!A25,'Operations Support'!B:B,"4")/9+SUMIFS('Operations Support'!O:O,'Operations Support'!A:A,Comparison!A25,'Operations Support'!B:B,"5")/12,0)</f>
        <v>36730</v>
      </c>
      <c r="P25" s="400">
        <f t="shared" si="3"/>
        <v>-1443</v>
      </c>
      <c r="Q25" s="399">
        <f t="shared" si="8"/>
        <v>-3.7999999999999999E-2</v>
      </c>
      <c r="S25" s="387">
        <v>5415501.8586571207</v>
      </c>
      <c r="T25" s="393">
        <v>5251453.0500111375</v>
      </c>
      <c r="U25" s="393">
        <f>'Space Support'!L24</f>
        <v>4977175.3448478403</v>
      </c>
      <c r="V25" s="391">
        <f t="shared" si="4"/>
        <v>-438326.51380928047</v>
      </c>
      <c r="W25" s="399">
        <f t="shared" si="5"/>
        <v>-8.1000000000000003E-2</v>
      </c>
      <c r="Y25" s="100">
        <v>3053883.7420000001</v>
      </c>
      <c r="Z25" s="393">
        <f ca="1">SUMIF('Operations Support'!A:A,Comparison!A25,'Operations Support'!U:U)+SUMIF('Operations Support'!A:A,Comparison!A25,'Operations Support'!W:W)</f>
        <v>2817113.0955899991</v>
      </c>
      <c r="AA25" s="400">
        <f t="shared" ref="AA25:AA34" ca="1" si="10">Z25-Y25</f>
        <v>-236770.64641000098</v>
      </c>
      <c r="AB25" s="399">
        <f t="shared" ca="1" si="9"/>
        <v>-7.8E-2</v>
      </c>
      <c r="AD25" s="394"/>
    </row>
    <row r="26" spans="1:30">
      <c r="A26" s="395">
        <v>11711</v>
      </c>
      <c r="B26" s="396" t="str">
        <f>VLOOKUP(A26,Summary!$A$25:$B$71,2,0)</f>
        <v>UH-Clear Lake</v>
      </c>
      <c r="C26" s="397">
        <v>80504</v>
      </c>
      <c r="D26" s="386">
        <v>81407</v>
      </c>
      <c r="E26" s="100">
        <f>SUMIF('Operations Support'!A:A,Comparison!A26,'Operations Support'!O:O)</f>
        <v>75783</v>
      </c>
      <c r="F26" s="398">
        <f t="shared" si="0"/>
        <v>-4721</v>
      </c>
      <c r="G26" s="399">
        <f t="shared" si="1"/>
        <v>-5.8643048792606581E-2</v>
      </c>
      <c r="H26" s="393">
        <v>9053</v>
      </c>
      <c r="I26" s="390">
        <v>9279</v>
      </c>
      <c r="J26" s="393">
        <f>SUMIF(SIS!$A$4:$A$51,Comparison!A26,SIS!$C$4:$C$51)</f>
        <v>8562</v>
      </c>
      <c r="K26" s="400">
        <f t="shared" si="2"/>
        <v>-491</v>
      </c>
      <c r="L26" s="399">
        <f t="shared" si="7"/>
        <v>-5.3999999999999999E-2</v>
      </c>
      <c r="M26" s="393">
        <v>5622</v>
      </c>
      <c r="N26" s="392">
        <v>5697</v>
      </c>
      <c r="O26" s="100">
        <f>ROUND(SUMIFS('Operations Support'!O:O,'Operations Support'!A:A,Comparison!A26,'Operations Support'!B:B,"1")/15+SUMIFS('Operations Support'!O:O,'Operations Support'!A:A,Comparison!A26,'Operations Support'!B:B,"2")/15+SUMIFS('Operations Support'!O:O,'Operations Support'!A:A,Comparison!A26,'Operations Support'!B:B,"3")/12+SUMIFS('Operations Support'!O:O,'Operations Support'!A:A,Comparison!A26,'Operations Support'!B:B,"4")/9+SUMIFS('Operations Support'!O:O,'Operations Support'!A:A,Comparison!A26,'Operations Support'!B:B,"5")/12,0)</f>
        <v>5298</v>
      </c>
      <c r="P26" s="400">
        <f t="shared" si="3"/>
        <v>-324</v>
      </c>
      <c r="Q26" s="399">
        <f t="shared" si="8"/>
        <v>-5.8000000000000003E-2</v>
      </c>
      <c r="S26" s="387">
        <v>697277.20225349686</v>
      </c>
      <c r="T26" s="393">
        <v>706206.67801443127</v>
      </c>
      <c r="U26" s="393">
        <f>'Space Support'!L25</f>
        <v>653194.34344353911</v>
      </c>
      <c r="V26" s="391">
        <f t="shared" si="4"/>
        <v>-44082.858809957746</v>
      </c>
      <c r="W26" s="399">
        <f t="shared" si="5"/>
        <v>-6.3E-2</v>
      </c>
      <c r="Y26" s="100">
        <v>497855.86699999985</v>
      </c>
      <c r="Z26" s="393">
        <f ca="1">SUMIF('Operations Support'!A:A,Comparison!A26,'Operations Support'!U:U)+SUMIF('Operations Support'!A:A,Comparison!A26,'Operations Support'!W:W)</f>
        <v>444694.43150000001</v>
      </c>
      <c r="AA26" s="400">
        <f t="shared" ca="1" si="10"/>
        <v>-53161.435499999847</v>
      </c>
      <c r="AB26" s="399">
        <f t="shared" ca="1" si="9"/>
        <v>-0.107</v>
      </c>
      <c r="AD26" s="394"/>
    </row>
    <row r="27" spans="1:30">
      <c r="A27" s="395">
        <v>12826</v>
      </c>
      <c r="B27" s="396" t="str">
        <f>VLOOKUP(A27,Summary!$A$25:$B$71,2,0)</f>
        <v>UH-Downtown</v>
      </c>
      <c r="C27" s="397">
        <v>140363</v>
      </c>
      <c r="D27" s="386">
        <v>133836</v>
      </c>
      <c r="E27" s="100">
        <f>SUMIF('Operations Support'!A:A,Comparison!A27,'Operations Support'!O:O)</f>
        <v>124491</v>
      </c>
      <c r="F27" s="398">
        <f t="shared" si="0"/>
        <v>-15872</v>
      </c>
      <c r="G27" s="399">
        <f t="shared" si="1"/>
        <v>-0.11307823286763606</v>
      </c>
      <c r="H27" s="393">
        <v>15239</v>
      </c>
      <c r="I27" s="390">
        <v>15077</v>
      </c>
      <c r="J27" s="393">
        <f>SUMIF(SIS!$A$4:$A$51,Comparison!A27,SIS!$C$4:$C$51)</f>
        <v>14208</v>
      </c>
      <c r="K27" s="400">
        <f t="shared" si="2"/>
        <v>-1031</v>
      </c>
      <c r="L27" s="399">
        <f t="shared" si="7"/>
        <v>-6.8000000000000005E-2</v>
      </c>
      <c r="M27" s="393">
        <v>9473</v>
      </c>
      <c r="N27" s="392">
        <v>9028</v>
      </c>
      <c r="O27" s="100">
        <f>ROUND(SUMIFS('Operations Support'!O:O,'Operations Support'!A:A,Comparison!A27,'Operations Support'!B:B,"1")/15+SUMIFS('Operations Support'!O:O,'Operations Support'!A:A,Comparison!A27,'Operations Support'!B:B,"2")/15+SUMIFS('Operations Support'!O:O,'Operations Support'!A:A,Comparison!A27,'Operations Support'!B:B,"3")/12+SUMIFS('Operations Support'!O:O,'Operations Support'!A:A,Comparison!A27,'Operations Support'!B:B,"4")/9+SUMIFS('Operations Support'!O:O,'Operations Support'!A:A,Comparison!A27,'Operations Support'!B:B,"5")/12,0)</f>
        <v>8398</v>
      </c>
      <c r="P27" s="400">
        <f t="shared" si="3"/>
        <v>-1075</v>
      </c>
      <c r="Q27" s="399">
        <f t="shared" si="8"/>
        <v>-0.113</v>
      </c>
      <c r="S27" s="387">
        <v>991084.48184795177</v>
      </c>
      <c r="T27" s="393">
        <v>963158.34603195125</v>
      </c>
      <c r="U27" s="393">
        <f>'Space Support'!L26</f>
        <v>925612.30059634091</v>
      </c>
      <c r="V27" s="391">
        <f t="shared" si="4"/>
        <v>-65472.181251610862</v>
      </c>
      <c r="W27" s="399">
        <f t="shared" si="5"/>
        <v>-6.6000000000000003E-2</v>
      </c>
      <c r="Y27" s="100">
        <v>609705.00200000009</v>
      </c>
      <c r="Z27" s="393">
        <f ca="1">SUMIF('Operations Support'!A:A,Comparison!A27,'Operations Support'!U:U)+SUMIF('Operations Support'!A:A,Comparison!A27,'Operations Support'!W:W)</f>
        <v>526291.80449999997</v>
      </c>
      <c r="AA27" s="400">
        <f t="shared" ca="1" si="10"/>
        <v>-83413.197500000126</v>
      </c>
      <c r="AB27" s="399">
        <f t="shared" ca="1" si="9"/>
        <v>-0.13700000000000001</v>
      </c>
      <c r="AD27" s="394"/>
    </row>
    <row r="28" spans="1:30">
      <c r="A28" s="395">
        <v>13231</v>
      </c>
      <c r="B28" s="396" t="str">
        <f>VLOOKUP(A28,Summary!$A$25:$B$71,2,0)</f>
        <v>UH-Victoria</v>
      </c>
      <c r="C28" s="397">
        <v>45262</v>
      </c>
      <c r="D28" s="386">
        <v>35619</v>
      </c>
      <c r="E28" s="100">
        <f>SUMIF('Operations Support'!A:A,Comparison!A28,'Operations Support'!O:O)</f>
        <v>33630</v>
      </c>
      <c r="F28" s="398">
        <f t="shared" si="0"/>
        <v>-11632</v>
      </c>
      <c r="G28" s="399">
        <f t="shared" si="1"/>
        <v>-0.25699262074146084</v>
      </c>
      <c r="H28" s="393">
        <v>4931</v>
      </c>
      <c r="I28" s="390">
        <v>4198</v>
      </c>
      <c r="J28" s="393">
        <f>SUMIF(SIS!$A$4:$A$51,Comparison!A28,SIS!$C$4:$C$51)</f>
        <v>4062</v>
      </c>
      <c r="K28" s="400">
        <f t="shared" si="2"/>
        <v>-869</v>
      </c>
      <c r="L28" s="399">
        <f t="shared" si="7"/>
        <v>-0.17599999999999999</v>
      </c>
      <c r="M28" s="393">
        <v>3186</v>
      </c>
      <c r="N28" s="392">
        <v>2491</v>
      </c>
      <c r="O28" s="100">
        <f>ROUND(SUMIFS('Operations Support'!O:O,'Operations Support'!A:A,Comparison!A28,'Operations Support'!B:B,"1")/15+SUMIFS('Operations Support'!O:O,'Operations Support'!A:A,Comparison!A28,'Operations Support'!B:B,"2")/15+SUMIFS('Operations Support'!O:O,'Operations Support'!A:A,Comparison!A28,'Operations Support'!B:B,"3")/12+SUMIFS('Operations Support'!O:O,'Operations Support'!A:A,Comparison!A28,'Operations Support'!B:B,"4")/9+SUMIFS('Operations Support'!O:O,'Operations Support'!A:A,Comparison!A28,'Operations Support'!B:B,"5")/12,0)</f>
        <v>2362</v>
      </c>
      <c r="P28" s="400">
        <f t="shared" si="3"/>
        <v>-824</v>
      </c>
      <c r="Q28" s="399">
        <f t="shared" si="8"/>
        <v>-0.25900000000000001</v>
      </c>
      <c r="S28" s="387">
        <v>343118.75552165066</v>
      </c>
      <c r="T28" s="393">
        <v>304075.07892602205</v>
      </c>
      <c r="U28" s="393">
        <f>'Space Support'!L27</f>
        <v>288456.07397217926</v>
      </c>
      <c r="V28" s="391">
        <f t="shared" si="4"/>
        <v>-54662.681549471396</v>
      </c>
      <c r="W28" s="399">
        <f t="shared" si="5"/>
        <v>-0.159</v>
      </c>
      <c r="Y28" s="100">
        <v>227673.70200000002</v>
      </c>
      <c r="Z28" s="393">
        <f ca="1">SUMIF('Operations Support'!A:A,Comparison!A28,'Operations Support'!U:U)+SUMIF('Operations Support'!A:A,Comparison!A28,'Operations Support'!W:W)</f>
        <v>182138.25399999999</v>
      </c>
      <c r="AA28" s="400">
        <f t="shared" ca="1" si="10"/>
        <v>-45535.448000000033</v>
      </c>
      <c r="AB28" s="399">
        <f t="shared" ca="1" si="9"/>
        <v>-0.2</v>
      </c>
      <c r="AD28" s="394"/>
    </row>
    <row r="29" spans="1:30">
      <c r="A29" s="395">
        <v>3592</v>
      </c>
      <c r="B29" s="396" t="str">
        <f>VLOOKUP(A29,Summary!$A$25:$B$71,2,0)</f>
        <v>Midwestern</v>
      </c>
      <c r="C29" s="397">
        <v>59079</v>
      </c>
      <c r="D29" s="386">
        <v>56658</v>
      </c>
      <c r="E29" s="100">
        <f>SUMIF('Operations Support'!A:A,Comparison!A29,'Operations Support'!O:O)</f>
        <v>54752</v>
      </c>
      <c r="F29" s="398">
        <f t="shared" si="0"/>
        <v>-4327</v>
      </c>
      <c r="G29" s="399">
        <f t="shared" si="1"/>
        <v>-7.324091470742565E-2</v>
      </c>
      <c r="H29" s="393">
        <v>5387</v>
      </c>
      <c r="I29" s="390">
        <v>5387</v>
      </c>
      <c r="J29" s="393">
        <f>SUMIF(SIS!$A$4:$A$51,Comparison!A29,SIS!$C$4:$C$51)</f>
        <v>5422</v>
      </c>
      <c r="K29" s="400">
        <f t="shared" si="2"/>
        <v>35</v>
      </c>
      <c r="L29" s="399">
        <f t="shared" si="7"/>
        <v>6.0000000000000001E-3</v>
      </c>
      <c r="M29" s="393">
        <v>4002</v>
      </c>
      <c r="N29" s="392">
        <v>3843</v>
      </c>
      <c r="O29" s="100">
        <f>ROUND(SUMIFS('Operations Support'!O:O,'Operations Support'!A:A,Comparison!A29,'Operations Support'!B:B,"1")/15+SUMIFS('Operations Support'!O:O,'Operations Support'!A:A,Comparison!A29,'Operations Support'!B:B,"2")/15+SUMIFS('Operations Support'!O:O,'Operations Support'!A:A,Comparison!A29,'Operations Support'!B:B,"3")/12+SUMIFS('Operations Support'!O:O,'Operations Support'!A:A,Comparison!A29,'Operations Support'!B:B,"4")/9+SUMIFS('Operations Support'!O:O,'Operations Support'!A:A,Comparison!A29,'Operations Support'!B:B,"5")/12,0)</f>
        <v>3737</v>
      </c>
      <c r="P29" s="400">
        <f t="shared" si="3"/>
        <v>-265</v>
      </c>
      <c r="Q29" s="399">
        <f t="shared" si="8"/>
        <v>-6.6000000000000003E-2</v>
      </c>
      <c r="S29" s="387">
        <v>529588.11805095256</v>
      </c>
      <c r="T29" s="393">
        <v>505482.67166080576</v>
      </c>
      <c r="U29" s="393">
        <f>'Space Support'!L28</f>
        <v>468916.16775172658</v>
      </c>
      <c r="V29" s="391">
        <f t="shared" si="4"/>
        <v>-60671.95029922598</v>
      </c>
      <c r="W29" s="399">
        <f t="shared" si="5"/>
        <v>-0.115</v>
      </c>
      <c r="Y29" s="100">
        <v>225831.71300000002</v>
      </c>
      <c r="Z29" s="393">
        <f ca="1">SUMIF('Operations Support'!A:A,Comparison!A29,'Operations Support'!U:U)+SUMIF('Operations Support'!A:A,Comparison!A29,'Operations Support'!W:W)</f>
        <v>228608.26940000002</v>
      </c>
      <c r="AA29" s="400">
        <f t="shared" ca="1" si="10"/>
        <v>2776.5564000000013</v>
      </c>
      <c r="AB29" s="399">
        <f t="shared" ca="1" si="9"/>
        <v>1.2E-2</v>
      </c>
      <c r="AD29" s="394"/>
    </row>
    <row r="30" spans="1:30">
      <c r="A30" s="395">
        <v>3594</v>
      </c>
      <c r="B30" s="396" t="str">
        <f>VLOOKUP(A30,Summary!$A$25:$B$71,2,0)</f>
        <v>UNT</v>
      </c>
      <c r="C30" s="397">
        <v>460102</v>
      </c>
      <c r="D30" s="386">
        <v>459452</v>
      </c>
      <c r="E30" s="100">
        <f>SUMIF('Operations Support'!A:A,Comparison!A30,'Operations Support'!O:O)</f>
        <v>482817</v>
      </c>
      <c r="F30" s="398">
        <f t="shared" si="0"/>
        <v>22715</v>
      </c>
      <c r="G30" s="399">
        <f t="shared" si="1"/>
        <v>4.9369487635350422E-2</v>
      </c>
      <c r="H30" s="393">
        <v>40653</v>
      </c>
      <c r="I30" s="390">
        <v>42168</v>
      </c>
      <c r="J30" s="393">
        <f>SUMIF(SIS!$A$4:$A$51,Comparison!A30,SIS!$C$4:$C$51)</f>
        <v>44349</v>
      </c>
      <c r="K30" s="400">
        <f t="shared" si="2"/>
        <v>3696</v>
      </c>
      <c r="L30" s="399">
        <f t="shared" si="7"/>
        <v>9.0999999999999998E-2</v>
      </c>
      <c r="M30" s="393">
        <v>31838</v>
      </c>
      <c r="N30" s="392">
        <v>32013</v>
      </c>
      <c r="O30" s="100">
        <f>ROUND(SUMIFS('Operations Support'!O:O,'Operations Support'!A:A,Comparison!A30,'Operations Support'!B:B,"1")/15+SUMIFS('Operations Support'!O:O,'Operations Support'!A:A,Comparison!A30,'Operations Support'!B:B,"2")/15+SUMIFS('Operations Support'!O:O,'Operations Support'!A:A,Comparison!A30,'Operations Support'!B:B,"3")/12+SUMIFS('Operations Support'!O:O,'Operations Support'!A:A,Comparison!A30,'Operations Support'!B:B,"4")/9+SUMIFS('Operations Support'!O:O,'Operations Support'!A:A,Comparison!A30,'Operations Support'!B:B,"5")/12,0)</f>
        <v>33868</v>
      </c>
      <c r="P30" s="400">
        <f t="shared" si="3"/>
        <v>2030</v>
      </c>
      <c r="Q30" s="399">
        <f t="shared" si="8"/>
        <v>6.4000000000000001E-2</v>
      </c>
      <c r="S30" s="387">
        <v>3795346.7426534141</v>
      </c>
      <c r="T30" s="393">
        <v>3823474.0021596104</v>
      </c>
      <c r="U30" s="393">
        <f>'Space Support'!L29</f>
        <v>3872526.819997244</v>
      </c>
      <c r="V30" s="391">
        <f t="shared" si="4"/>
        <v>77180.077343829907</v>
      </c>
      <c r="W30" s="399">
        <f t="shared" si="5"/>
        <v>0.02</v>
      </c>
      <c r="Y30" s="100">
        <v>2328008.514</v>
      </c>
      <c r="Z30" s="393">
        <f ca="1">SUMIF('Operations Support'!A:A,Comparison!A30,'Operations Support'!U:U)+SUMIF('Operations Support'!A:A,Comparison!A30,'Operations Support'!W:W)</f>
        <v>2651769.1214500009</v>
      </c>
      <c r="AA30" s="400">
        <f t="shared" ca="1" si="10"/>
        <v>323760.60745000094</v>
      </c>
      <c r="AB30" s="399">
        <f t="shared" ca="1" si="9"/>
        <v>0.13900000000000001</v>
      </c>
      <c r="AD30" s="394"/>
    </row>
    <row r="31" spans="1:30">
      <c r="A31" s="395">
        <v>42421</v>
      </c>
      <c r="B31" s="396" t="str">
        <f>VLOOKUP(A31,Summary!$A$25:$B$71,2,0)</f>
        <v>UNT-Dallas</v>
      </c>
      <c r="C31" s="397">
        <v>43988</v>
      </c>
      <c r="D31" s="386">
        <v>42689</v>
      </c>
      <c r="E31" s="100">
        <f>SUMIF('Operations Support'!A:A,Comparison!A31,'Operations Support'!O:O)</f>
        <v>37736.879999999997</v>
      </c>
      <c r="F31" s="398">
        <f t="shared" si="0"/>
        <v>-6251.1200000000026</v>
      </c>
      <c r="G31" s="399">
        <f t="shared" si="1"/>
        <v>-0.14210966627261987</v>
      </c>
      <c r="H31" s="393">
        <v>4164</v>
      </c>
      <c r="I31" s="390">
        <v>4186</v>
      </c>
      <c r="J31" s="393">
        <f>SUMIF(SIS!$A$4:$A$51,Comparison!A31,SIS!$C$4:$C$51)</f>
        <v>3701</v>
      </c>
      <c r="K31" s="400">
        <f t="shared" si="2"/>
        <v>-463</v>
      </c>
      <c r="L31" s="399">
        <f t="shared" si="7"/>
        <v>-0.111</v>
      </c>
      <c r="M31" s="393">
        <v>3054</v>
      </c>
      <c r="N31" s="393">
        <v>2964</v>
      </c>
      <c r="O31" s="393">
        <f>ROUND(SUMIFS('Operations Support'!O:O,'Operations Support'!A:A,Comparison!A31,'Operations Support'!B:B,"1")/15+SUMIFS('Operations Support'!O:O,'Operations Support'!A:A,Comparison!A31,'Operations Support'!B:B,"2")/15+SUMIFS('Operations Support'!O:O,'Operations Support'!A:A,Comparison!A31,'Operations Support'!B:B,"3")/12+SUMIFS('Operations Support'!O:O,'Operations Support'!A:A,Comparison!A31,'Operations Support'!B:B,"4")/9+SUMIFS('Operations Support'!O:O,'Operations Support'!A:A,Comparison!A31,'Operations Support'!B:B,"5")/12,0)</f>
        <v>2625</v>
      </c>
      <c r="P31" s="400">
        <f t="shared" si="3"/>
        <v>-429</v>
      </c>
      <c r="Q31" s="399">
        <f t="shared" si="8"/>
        <v>-0.14000000000000001</v>
      </c>
      <c r="S31" s="387">
        <v>345925.10738845012</v>
      </c>
      <c r="T31" s="393">
        <v>346815.637956878</v>
      </c>
      <c r="U31" s="393">
        <f>'Space Support'!L30</f>
        <v>334834.06209207798</v>
      </c>
      <c r="V31" s="391">
        <f t="shared" si="4"/>
        <v>-11091.045296372147</v>
      </c>
      <c r="W31" s="399">
        <f t="shared" si="5"/>
        <v>-3.2000000000000001E-2</v>
      </c>
      <c r="Y31" s="100">
        <v>218109.69800000003</v>
      </c>
      <c r="Z31" s="393">
        <f ca="1">SUMIF('Operations Support'!A:A,Comparison!A31,'Operations Support'!U:U)+SUMIF('Operations Support'!A:A,Comparison!A31,'Operations Support'!W:W)</f>
        <v>193860.5165</v>
      </c>
      <c r="AA31" s="400">
        <f t="shared" ca="1" si="10"/>
        <v>-24249.181500000035</v>
      </c>
      <c r="AB31" s="399">
        <f t="shared" ca="1" si="9"/>
        <v>-0.111</v>
      </c>
      <c r="AD31" s="394"/>
    </row>
    <row r="32" spans="1:30">
      <c r="A32" s="395">
        <v>3624</v>
      </c>
      <c r="B32" s="396" t="str">
        <f>VLOOKUP(A32,Summary!$A$25:$B$71,2,0)</f>
        <v>SFA</v>
      </c>
      <c r="C32" s="397">
        <v>136948</v>
      </c>
      <c r="D32" s="386">
        <v>137086</v>
      </c>
      <c r="E32" s="100">
        <f>SUMIF('Operations Support'!A:A,Comparison!A32,'Operations Support'!O:O)</f>
        <v>128479</v>
      </c>
      <c r="F32" s="398">
        <f t="shared" si="0"/>
        <v>-8469</v>
      </c>
      <c r="G32" s="399">
        <f t="shared" si="1"/>
        <v>-6.1840990741011188E-2</v>
      </c>
      <c r="H32" s="393">
        <v>12488</v>
      </c>
      <c r="I32" s="390">
        <v>11888</v>
      </c>
      <c r="J32" s="393">
        <f>SUMIF(SIS!$A$4:$A$51,Comparison!A32,SIS!$C$4:$C$51)</f>
        <v>11232</v>
      </c>
      <c r="K32" s="400">
        <f t="shared" si="2"/>
        <v>-1256</v>
      </c>
      <c r="L32" s="399">
        <f t="shared" si="7"/>
        <v>-0.10100000000000001</v>
      </c>
      <c r="M32" s="393">
        <v>9293</v>
      </c>
      <c r="N32" s="393">
        <v>9331</v>
      </c>
      <c r="O32" s="393">
        <f>ROUND(SUMIFS('Operations Support'!O:O,'Operations Support'!A:A,Comparison!A32,'Operations Support'!B:B,"1")/15+SUMIFS('Operations Support'!O:O,'Operations Support'!A:A,Comparison!A32,'Operations Support'!B:B,"2")/15+SUMIFS('Operations Support'!O:O,'Operations Support'!A:A,Comparison!A32,'Operations Support'!B:B,"3")/12+SUMIFS('Operations Support'!O:O,'Operations Support'!A:A,Comparison!A32,'Operations Support'!B:B,"4")/9+SUMIFS('Operations Support'!O:O,'Operations Support'!A:A,Comparison!A32,'Operations Support'!B:B,"5")/12,0)</f>
        <v>8746</v>
      </c>
      <c r="P32" s="400">
        <f t="shared" si="3"/>
        <v>-547</v>
      </c>
      <c r="Q32" s="399">
        <f t="shared" si="8"/>
        <v>-5.8999999999999997E-2</v>
      </c>
      <c r="S32" s="387">
        <v>1146109.2264048865</v>
      </c>
      <c r="T32" s="393">
        <v>1150670.3440828354</v>
      </c>
      <c r="U32" s="393">
        <f>'Space Support'!L31</f>
        <v>1074923.3308980823</v>
      </c>
      <c r="V32" s="391">
        <f t="shared" si="4"/>
        <v>-71185.89550680411</v>
      </c>
      <c r="W32" s="399">
        <f t="shared" si="5"/>
        <v>-6.2E-2</v>
      </c>
      <c r="Y32" s="100">
        <v>555703.07999999996</v>
      </c>
      <c r="Z32" s="393">
        <f ca="1">SUMIF('Operations Support'!A:A,Comparison!A32,'Operations Support'!U:U)+SUMIF('Operations Support'!A:A,Comparison!A32,'Operations Support'!W:W)</f>
        <v>493519.23000000004</v>
      </c>
      <c r="AA32" s="400">
        <f t="shared" ca="1" si="10"/>
        <v>-62183.849999999919</v>
      </c>
      <c r="AB32" s="399">
        <f t="shared" ca="1" si="9"/>
        <v>-0.112</v>
      </c>
      <c r="AD32" s="394"/>
    </row>
    <row r="33" spans="1:30">
      <c r="A33" s="395">
        <v>3642</v>
      </c>
      <c r="B33" s="396" t="str">
        <f>VLOOKUP(A33,Summary!$A$25:$B$71,2,0)</f>
        <v>TSU</v>
      </c>
      <c r="C33" s="397">
        <v>86960</v>
      </c>
      <c r="D33" s="386">
        <v>95145</v>
      </c>
      <c r="E33" s="100">
        <f>SUMIF('Operations Support'!A:A,Comparison!A33,'Operations Support'!O:O)</f>
        <v>108790.00000000003</v>
      </c>
      <c r="F33" s="398">
        <f t="shared" si="0"/>
        <v>21830.000000000029</v>
      </c>
      <c r="G33" s="399">
        <f t="shared" si="1"/>
        <v>0.25103495860165626</v>
      </c>
      <c r="H33" s="393">
        <v>7015</v>
      </c>
      <c r="I33" s="390">
        <v>7524</v>
      </c>
      <c r="J33" s="393">
        <f>SUMIF(SIS!$A$4:$A$51,Comparison!A33,SIS!$C$4:$C$51)</f>
        <v>8632</v>
      </c>
      <c r="K33" s="400">
        <f t="shared" si="2"/>
        <v>1617</v>
      </c>
      <c r="L33" s="399">
        <f t="shared" si="7"/>
        <v>0.23100000000000001</v>
      </c>
      <c r="M33" s="393">
        <v>6136</v>
      </c>
      <c r="N33" s="393">
        <v>6689</v>
      </c>
      <c r="O33" s="393">
        <f>ROUND(SUMIFS('Operations Support'!O:O,'Operations Support'!A:A,Comparison!A33,'Operations Support'!B:B,"1")/15+SUMIFS('Operations Support'!O:O,'Operations Support'!A:A,Comparison!A33,'Operations Support'!B:B,"2")/15+SUMIFS('Operations Support'!O:O,'Operations Support'!A:A,Comparison!A33,'Operations Support'!B:B,"3")/12+SUMIFS('Operations Support'!O:O,'Operations Support'!A:A,Comparison!A33,'Operations Support'!B:B,"4")/9+SUMIFS('Operations Support'!O:O,'Operations Support'!A:A,Comparison!A33,'Operations Support'!B:B,"5")/12,0)</f>
        <v>7600</v>
      </c>
      <c r="P33" s="400">
        <f t="shared" si="3"/>
        <v>1464</v>
      </c>
      <c r="Q33" s="399">
        <f t="shared" si="8"/>
        <v>0.23899999999999999</v>
      </c>
      <c r="S33" s="387">
        <v>989950.47912197898</v>
      </c>
      <c r="T33" s="393">
        <v>1029102.7645284145</v>
      </c>
      <c r="U33" s="393">
        <f>'Space Support'!L32</f>
        <v>1134594.4252772473</v>
      </c>
      <c r="V33" s="391">
        <f t="shared" si="4"/>
        <v>144643.94615526835</v>
      </c>
      <c r="W33" s="399">
        <f t="shared" si="5"/>
        <v>0.14599999999999999</v>
      </c>
      <c r="Y33" s="100">
        <v>441881.90099999995</v>
      </c>
      <c r="Z33" s="393">
        <f ca="1">SUMIF('Operations Support'!A:A,Comparison!A33,'Operations Support'!U:U)+SUMIF('Operations Support'!A:A,Comparison!A33,'Operations Support'!W:W)</f>
        <v>469180.03647000011</v>
      </c>
      <c r="AA33" s="400">
        <f t="shared" ca="1" si="10"/>
        <v>27298.135470000154</v>
      </c>
      <c r="AB33" s="399">
        <f t="shared" ca="1" si="9"/>
        <v>6.2E-2</v>
      </c>
      <c r="AD33" s="394"/>
    </row>
    <row r="34" spans="1:30">
      <c r="A34" s="395">
        <v>3644</v>
      </c>
      <c r="B34" s="396" t="str">
        <f>VLOOKUP(A34,Summary!$A$25:$B$71,2,0)</f>
        <v>TTU</v>
      </c>
      <c r="C34" s="397">
        <v>483813</v>
      </c>
      <c r="D34" s="386">
        <v>486235</v>
      </c>
      <c r="E34" s="558">
        <f>SUMIF('Operations Support'!A:A,Comparison!A34,'Operations Support'!O:O)-'Operations Support'!O1779</f>
        <v>488942.99999999971</v>
      </c>
      <c r="F34" s="398">
        <f t="shared" si="0"/>
        <v>5129.999999999709</v>
      </c>
      <c r="G34" s="399">
        <f t="shared" si="1"/>
        <v>1.0603270271777957E-2</v>
      </c>
      <c r="H34" s="393">
        <v>39574</v>
      </c>
      <c r="I34" s="390">
        <v>39451</v>
      </c>
      <c r="J34" s="393">
        <f>SUMIF(SIS!$A$4:$A$51,Comparison!A34,SIS!$C$4:$C$51)</f>
        <v>39743</v>
      </c>
      <c r="K34" s="400">
        <f t="shared" si="2"/>
        <v>169</v>
      </c>
      <c r="L34" s="399">
        <f t="shared" si="7"/>
        <v>4.0000000000000001E-3</v>
      </c>
      <c r="M34" s="393">
        <v>33701</v>
      </c>
      <c r="N34" s="393">
        <v>33879</v>
      </c>
      <c r="O34" s="393">
        <f>ROUND(SUMIFS('Operations Support'!O:O,'Operations Support'!A:A,Comparison!A34,'Operations Support'!B:B,"1")/15+SUMIFS('Operations Support'!O:O,'Operations Support'!A:A,Comparison!A34,'Operations Support'!B:B,"2")/15+SUMIFS('Operations Support'!O:O,'Operations Support'!A:A,Comparison!A34,'Operations Support'!B:B,"3")/12+SUMIFS('Operations Support'!O:O,'Operations Support'!A:A,Comparison!A34,'Operations Support'!B:B,"4")/9+SUMIFS('Operations Support'!O:O,'Operations Support'!A:A,Comparison!A34,'Operations Support'!B:B,"5")/12,0)</f>
        <v>34307</v>
      </c>
      <c r="P34" s="400">
        <f t="shared" si="3"/>
        <v>606</v>
      </c>
      <c r="Q34" s="399">
        <f t="shared" si="8"/>
        <v>1.7999999999999999E-2</v>
      </c>
      <c r="S34" s="401">
        <v>5046123.6814176459</v>
      </c>
      <c r="T34" s="402">
        <v>5059198.9429856576</v>
      </c>
      <c r="U34" s="402">
        <f>'Space Support'!L33+'Space Support'!L42</f>
        <v>5217450.6325767497</v>
      </c>
      <c r="V34" s="391">
        <f t="shared" si="4"/>
        <v>171326.95115910377</v>
      </c>
      <c r="W34" s="399">
        <f t="shared" si="5"/>
        <v>3.4000000000000002E-2</v>
      </c>
      <c r="Y34" s="100">
        <v>2642608.2246099999</v>
      </c>
      <c r="Z34" s="393">
        <f ca="1">SUMIF('Operations Support'!A:A,Comparison!A34,'Operations Support'!U:U)+SUMIF('Operations Support'!A:A,Comparison!A34,'Operations Support'!W:W)</f>
        <v>2829586.1915399986</v>
      </c>
      <c r="AA34" s="400">
        <f t="shared" ca="1" si="10"/>
        <v>186977.96692999871</v>
      </c>
      <c r="AB34" s="399">
        <f t="shared" ca="1" si="9"/>
        <v>7.0999999999999994E-2</v>
      </c>
      <c r="AD34" s="394"/>
    </row>
    <row r="35" spans="1:30">
      <c r="A35" s="395">
        <v>3541</v>
      </c>
      <c r="B35" s="396" t="str">
        <f>VLOOKUP(A35,Summary!$A$25:$B$71,2,0)</f>
        <v>Angelo</v>
      </c>
      <c r="C35" s="397">
        <v>98427</v>
      </c>
      <c r="D35" s="386">
        <v>94563</v>
      </c>
      <c r="E35" s="100">
        <f>SUMIF('Operations Support'!A:A,Comparison!A35,'Operations Support'!O:O)</f>
        <v>91269</v>
      </c>
      <c r="F35" s="398">
        <f t="shared" si="0"/>
        <v>-7158</v>
      </c>
      <c r="G35" s="399">
        <f t="shared" si="1"/>
        <v>-7.2723947697278191E-2</v>
      </c>
      <c r="H35" s="393">
        <v>10489</v>
      </c>
      <c r="I35" s="390">
        <v>10485</v>
      </c>
      <c r="J35" s="393">
        <f>SUMIF(SIS!$A$4:$A$51,Comparison!A35,SIS!$C$4:$C$51)</f>
        <v>10244</v>
      </c>
      <c r="K35" s="400">
        <f>J35-H35</f>
        <v>-245</v>
      </c>
      <c r="L35" s="399">
        <f t="shared" si="7"/>
        <v>-2.3E-2</v>
      </c>
      <c r="M35" s="393">
        <v>6702</v>
      </c>
      <c r="N35" s="393">
        <v>6442</v>
      </c>
      <c r="O35" s="393">
        <f>ROUND(SUMIFS('Operations Support'!O:O,'Operations Support'!A:A,Comparison!A35,'Operations Support'!B:B,"1")/15+SUMIFS('Operations Support'!O:O,'Operations Support'!A:A,Comparison!A35,'Operations Support'!B:B,"2")/15+SUMIFS('Operations Support'!O:O,'Operations Support'!A:A,Comparison!A35,'Operations Support'!B:B,"3")/12+SUMIFS('Operations Support'!O:O,'Operations Support'!A:A,Comparison!A35,'Operations Support'!B:B,"4")/9+SUMIFS('Operations Support'!O:O,'Operations Support'!A:A,Comparison!A35,'Operations Support'!B:B,"5")/12,0)</f>
        <v>6211</v>
      </c>
      <c r="P35" s="400">
        <f>O35-M35</f>
        <v>-491</v>
      </c>
      <c r="Q35" s="399">
        <f t="shared" si="8"/>
        <v>-7.2999999999999995E-2</v>
      </c>
      <c r="S35" s="387">
        <v>725486.39173406991</v>
      </c>
      <c r="T35" s="393">
        <v>695746.58254181815</v>
      </c>
      <c r="U35" s="393">
        <f>'Space Support'!L34</f>
        <v>683544.68193596369</v>
      </c>
      <c r="V35" s="391">
        <f t="shared" si="4"/>
        <v>-41941.709798106225</v>
      </c>
      <c r="W35" s="399">
        <f t="shared" si="5"/>
        <v>-5.8000000000000003E-2</v>
      </c>
      <c r="Y35" s="100">
        <v>377208.79399999994</v>
      </c>
      <c r="Z35" s="393">
        <f ca="1">SUMIF('Operations Support'!A:A,Comparison!A35,'Operations Support'!U:U)+SUMIF('Operations Support'!A:A,Comparison!A35,'Operations Support'!W:W)</f>
        <v>363743.36194999999</v>
      </c>
      <c r="AA35" s="400">
        <f ca="1">Z35-Y35</f>
        <v>-13465.432049999945</v>
      </c>
      <c r="AB35" s="399">
        <f t="shared" ca="1" si="9"/>
        <v>-3.5999999999999997E-2</v>
      </c>
      <c r="AD35" s="394"/>
    </row>
    <row r="36" spans="1:30">
      <c r="A36" s="395">
        <v>3646</v>
      </c>
      <c r="B36" s="396" t="str">
        <f>VLOOKUP(A36,Summary!$A$25:$B$71,2,0)</f>
        <v>TWU</v>
      </c>
      <c r="C36" s="397">
        <v>155216</v>
      </c>
      <c r="D36" s="386">
        <v>149800</v>
      </c>
      <c r="E36" s="100">
        <f>SUMIF('Operations Support'!A:A,Comparison!A36,'Operations Support'!O:O)</f>
        <v>142178</v>
      </c>
      <c r="F36" s="398">
        <f t="shared" si="0"/>
        <v>-13038</v>
      </c>
      <c r="G36" s="399">
        <f t="shared" si="1"/>
        <v>-8.3999072260591695E-2</v>
      </c>
      <c r="H36" s="393">
        <v>16032</v>
      </c>
      <c r="I36" s="390">
        <v>15828</v>
      </c>
      <c r="J36" s="393">
        <f>SUMIF(SIS!$A$4:$A$51,Comparison!A36,SIS!$C$4:$C$51)</f>
        <v>15443</v>
      </c>
      <c r="K36" s="400">
        <f t="shared" si="2"/>
        <v>-589</v>
      </c>
      <c r="L36" s="399">
        <f t="shared" si="7"/>
        <v>-3.6999999999999998E-2</v>
      </c>
      <c r="M36" s="393">
        <v>11113</v>
      </c>
      <c r="N36" s="393">
        <v>10795</v>
      </c>
      <c r="O36" s="393">
        <f>ROUND(SUMIFS('Operations Support'!O:O,'Operations Support'!A:A,Comparison!A36,'Operations Support'!B:B,"1")/15+SUMIFS('Operations Support'!O:O,'Operations Support'!A:A,Comparison!A36,'Operations Support'!B:B,"2")/15+SUMIFS('Operations Support'!O:O,'Operations Support'!A:A,Comparison!A36,'Operations Support'!B:B,"3")/12+SUMIFS('Operations Support'!O:O,'Operations Support'!A:A,Comparison!A36,'Operations Support'!B:B,"4")/9+SUMIFS('Operations Support'!O:O,'Operations Support'!A:A,Comparison!A36,'Operations Support'!B:B,"5")/12,0)</f>
        <v>10269</v>
      </c>
      <c r="P36" s="400">
        <f t="shared" si="3"/>
        <v>-844</v>
      </c>
      <c r="Q36" s="399">
        <f t="shared" si="8"/>
        <v>-7.5999999999999998E-2</v>
      </c>
      <c r="S36" s="387">
        <v>1283901.2924736249</v>
      </c>
      <c r="T36" s="393">
        <v>1227530.4852843031</v>
      </c>
      <c r="U36" s="393">
        <f>'Space Support'!L35</f>
        <v>1208318.4141157719</v>
      </c>
      <c r="V36" s="391">
        <f t="shared" si="4"/>
        <v>-75582.878357853042</v>
      </c>
      <c r="W36" s="399">
        <f t="shared" si="5"/>
        <v>-5.8999999999999997E-2</v>
      </c>
      <c r="Y36" s="100">
        <v>958756.42000000016</v>
      </c>
      <c r="Z36" s="393">
        <f ca="1">SUMIF('Operations Support'!A:A,Comparison!A36,'Operations Support'!U:U)+SUMIF('Operations Support'!A:A,Comparison!A36,'Operations Support'!W:W)</f>
        <v>930905.93583999982</v>
      </c>
      <c r="AA36" s="400">
        <f t="shared" ref="AA36:AA41" ca="1" si="11">Z36-Y36</f>
        <v>-27850.484160000342</v>
      </c>
      <c r="AB36" s="399">
        <f t="shared" ca="1" si="9"/>
        <v>-2.9000000000000001E-2</v>
      </c>
      <c r="AD36" s="394"/>
    </row>
    <row r="37" spans="1:30">
      <c r="A37" s="395">
        <v>3581</v>
      </c>
      <c r="B37" s="396" t="str">
        <f>VLOOKUP(A37,Summary!$A$25:$B$71,2,0)</f>
        <v>Lamar</v>
      </c>
      <c r="C37" s="397">
        <v>128446</v>
      </c>
      <c r="D37" s="386">
        <v>124797</v>
      </c>
      <c r="E37" s="100">
        <f>SUMIF('Operations Support'!A:A,Comparison!A37,'Operations Support'!O:O)</f>
        <v>149464.99999999997</v>
      </c>
      <c r="F37" s="398">
        <f t="shared" si="0"/>
        <v>21018.999999999971</v>
      </c>
      <c r="G37" s="399">
        <f t="shared" si="1"/>
        <v>0.16364075175560136</v>
      </c>
      <c r="H37" s="393">
        <v>15799</v>
      </c>
      <c r="I37" s="390">
        <v>15687</v>
      </c>
      <c r="J37" s="393">
        <f>SUMIF(SIS!$A$4:$A$51,Comparison!A37,SIS!$C$4:$C$51)</f>
        <v>16218</v>
      </c>
      <c r="K37" s="400">
        <f t="shared" si="2"/>
        <v>419</v>
      </c>
      <c r="L37" s="399">
        <f t="shared" si="7"/>
        <v>2.7E-2</v>
      </c>
      <c r="M37" s="393">
        <v>9284</v>
      </c>
      <c r="N37" s="393">
        <v>9026</v>
      </c>
      <c r="O37" s="393">
        <f>ROUND(SUMIFS('Operations Support'!O:O,'Operations Support'!A:A,Comparison!A37,'Operations Support'!B:B,"1")/15+SUMIFS('Operations Support'!O:O,'Operations Support'!A:A,Comparison!A37,'Operations Support'!B:B,"2")/15+SUMIFS('Operations Support'!O:O,'Operations Support'!A:A,Comparison!A37,'Operations Support'!B:B,"3")/12+SUMIFS('Operations Support'!O:O,'Operations Support'!A:A,Comparison!A37,'Operations Support'!B:B,"4")/9+SUMIFS('Operations Support'!O:O,'Operations Support'!A:A,Comparison!A37,'Operations Support'!B:B,"5")/12,0)</f>
        <v>10909</v>
      </c>
      <c r="P37" s="400">
        <f t="shared" si="3"/>
        <v>1625</v>
      </c>
      <c r="Q37" s="399">
        <f t="shared" si="8"/>
        <v>0.17499999999999999</v>
      </c>
      <c r="S37" s="387">
        <v>1061526.947882721</v>
      </c>
      <c r="T37" s="393">
        <v>1068615.1714945224</v>
      </c>
      <c r="U37" s="393">
        <f>'Space Support'!L36</f>
        <v>1122983.6715481482</v>
      </c>
      <c r="V37" s="391">
        <f t="shared" si="4"/>
        <v>61456.723665427184</v>
      </c>
      <c r="W37" s="399">
        <f t="shared" si="5"/>
        <v>5.8000000000000003E-2</v>
      </c>
      <c r="Y37" s="100">
        <v>854295.98199999996</v>
      </c>
      <c r="Z37" s="393">
        <f ca="1">SUMIF('Operations Support'!A:A,Comparison!A37,'Operations Support'!U:U)+SUMIF('Operations Support'!A:A,Comparison!A37,'Operations Support'!W:W)</f>
        <v>971828.69404999993</v>
      </c>
      <c r="AA37" s="400">
        <f t="shared" ca="1" si="11"/>
        <v>117532.71204999997</v>
      </c>
      <c r="AB37" s="399">
        <f t="shared" ca="1" si="9"/>
        <v>0.13800000000000001</v>
      </c>
      <c r="AD37" s="394"/>
    </row>
    <row r="38" spans="1:30">
      <c r="A38" s="395">
        <v>3606</v>
      </c>
      <c r="B38" s="396" t="str">
        <f>VLOOKUP(A38,Summary!$A$25:$B$71,2,0)</f>
        <v>Sam Houston</v>
      </c>
      <c r="C38" s="397">
        <v>243526</v>
      </c>
      <c r="D38" s="386">
        <v>232624</v>
      </c>
      <c r="E38" s="100">
        <f>SUMIF('Operations Support'!A:A,Comparison!A38,'Operations Support'!O:O)</f>
        <v>234689</v>
      </c>
      <c r="F38" s="398">
        <f t="shared" si="0"/>
        <v>-8837</v>
      </c>
      <c r="G38" s="399">
        <f t="shared" si="1"/>
        <v>-3.6287706446128956E-2</v>
      </c>
      <c r="H38" s="393">
        <v>21650</v>
      </c>
      <c r="I38" s="390">
        <v>21219</v>
      </c>
      <c r="J38" s="393">
        <f>SUMIF(SIS!$A$4:$A$51,Comparison!A38,SIS!$C$4:$C$51)</f>
        <v>20996</v>
      </c>
      <c r="K38" s="400">
        <f t="shared" si="2"/>
        <v>-654</v>
      </c>
      <c r="L38" s="399">
        <f t="shared" si="7"/>
        <v>-0.03</v>
      </c>
      <c r="M38" s="393">
        <v>16580</v>
      </c>
      <c r="N38" s="393">
        <v>15854</v>
      </c>
      <c r="O38" s="393">
        <f>ROUND(SUMIFS('Operations Support'!O:O,'Operations Support'!A:A,Comparison!A38,'Operations Support'!B:B,"1")/15+SUMIFS('Operations Support'!O:O,'Operations Support'!A:A,Comparison!A38,'Operations Support'!B:B,"2")/15+SUMIFS('Operations Support'!O:O,'Operations Support'!A:A,Comparison!A38,'Operations Support'!B:B,"3")/12+SUMIFS('Operations Support'!O:O,'Operations Support'!A:A,Comparison!A38,'Operations Support'!B:B,"4")/9+SUMIFS('Operations Support'!O:O,'Operations Support'!A:A,Comparison!A38,'Operations Support'!B:B,"5")/12,0)</f>
        <v>15968</v>
      </c>
      <c r="P38" s="400">
        <f t="shared" si="3"/>
        <v>-612</v>
      </c>
      <c r="Q38" s="399">
        <f t="shared" si="8"/>
        <v>-3.6999999999999998E-2</v>
      </c>
      <c r="S38" s="387">
        <v>1826181.4880431159</v>
      </c>
      <c r="T38" s="393">
        <v>1797209.9624708842</v>
      </c>
      <c r="U38" s="393">
        <f>'Space Support'!L37</f>
        <v>1828580.8017504807</v>
      </c>
      <c r="V38" s="391">
        <f t="shared" si="4"/>
        <v>2399.3137073647231</v>
      </c>
      <c r="W38" s="399">
        <f t="shared" si="5"/>
        <v>1E-3</v>
      </c>
      <c r="Y38" s="100">
        <v>991742.62500000023</v>
      </c>
      <c r="Z38" s="393">
        <f ca="1">SUMIF('Operations Support'!A:A,Comparison!A38,'Operations Support'!U:U)+SUMIF('Operations Support'!A:A,Comparison!A38,'Operations Support'!W:W)</f>
        <v>950776.24199999997</v>
      </c>
      <c r="AA38" s="400">
        <f t="shared" ca="1" si="11"/>
        <v>-40966.383000000264</v>
      </c>
      <c r="AB38" s="399">
        <f t="shared" ca="1" si="9"/>
        <v>-4.1000000000000002E-2</v>
      </c>
      <c r="AD38" s="394"/>
    </row>
    <row r="39" spans="1:30">
      <c r="A39" s="395">
        <v>3615</v>
      </c>
      <c r="B39" s="396" t="str">
        <f>VLOOKUP(A39,Summary!$A$25:$B$71,2,0)</f>
        <v>TXST</v>
      </c>
      <c r="C39" s="397">
        <v>443843</v>
      </c>
      <c r="D39" s="386">
        <v>441821</v>
      </c>
      <c r="E39" s="100">
        <f>SUMIF('Operations Support'!A:A,Comparison!A39,'Operations Support'!O:O)</f>
        <v>454392</v>
      </c>
      <c r="F39" s="398">
        <f t="shared" si="0"/>
        <v>10549</v>
      </c>
      <c r="G39" s="399">
        <f t="shared" si="1"/>
        <v>2.3767413251983248E-2</v>
      </c>
      <c r="H39" s="393">
        <v>37812</v>
      </c>
      <c r="I39" s="390">
        <v>37864</v>
      </c>
      <c r="J39" s="393">
        <f>SUMIF(SIS!$A$4:$A$51,Comparison!A39,SIS!$C$4:$C$51)</f>
        <v>38171</v>
      </c>
      <c r="K39" s="400">
        <f t="shared" si="2"/>
        <v>359</v>
      </c>
      <c r="L39" s="399">
        <f t="shared" si="7"/>
        <v>8.9999999999999993E-3</v>
      </c>
      <c r="M39" s="393">
        <v>30218</v>
      </c>
      <c r="N39" s="393">
        <v>30095</v>
      </c>
      <c r="O39" s="393">
        <f>ROUND(SUMIFS('Operations Support'!O:O,'Operations Support'!A:A,Comparison!A39,'Operations Support'!B:B,"1")/15+SUMIFS('Operations Support'!O:O,'Operations Support'!A:A,Comparison!A39,'Operations Support'!B:B,"2")/15+SUMIFS('Operations Support'!O:O,'Operations Support'!A:A,Comparison!A39,'Operations Support'!B:B,"3")/12+SUMIFS('Operations Support'!O:O,'Operations Support'!A:A,Comparison!A39,'Operations Support'!B:B,"4")/9+SUMIFS('Operations Support'!O:O,'Operations Support'!A:A,Comparison!A39,'Operations Support'!B:B,"5")/12,0)</f>
        <v>30894</v>
      </c>
      <c r="P39" s="400">
        <f t="shared" si="3"/>
        <v>676</v>
      </c>
      <c r="Q39" s="399">
        <f t="shared" si="8"/>
        <v>2.1999999999999999E-2</v>
      </c>
      <c r="S39" s="387">
        <v>3575250.190845341</v>
      </c>
      <c r="T39" s="393">
        <v>3479691.1906980858</v>
      </c>
      <c r="U39" s="393">
        <f>'Space Support'!L38</f>
        <v>3585351.4145829775</v>
      </c>
      <c r="V39" s="391">
        <f t="shared" si="4"/>
        <v>10101.223737636581</v>
      </c>
      <c r="W39" s="399">
        <f t="shared" si="5"/>
        <v>3.0000000000000001E-3</v>
      </c>
      <c r="Y39" s="100">
        <v>1714012.612</v>
      </c>
      <c r="Z39" s="393">
        <f ca="1">SUMIF('Operations Support'!A:A,Comparison!A39,'Operations Support'!U:U)+SUMIF('Operations Support'!A:A,Comparison!A39,'Operations Support'!W:W)</f>
        <v>1658373.7959000003</v>
      </c>
      <c r="AA39" s="400">
        <f t="shared" ca="1" si="11"/>
        <v>-55638.816099999705</v>
      </c>
      <c r="AB39" s="399">
        <f t="shared" ca="1" si="9"/>
        <v>-3.2000000000000001E-2</v>
      </c>
      <c r="AD39" s="394"/>
    </row>
    <row r="40" spans="1:30">
      <c r="A40" s="395">
        <v>3625</v>
      </c>
      <c r="B40" s="396" t="str">
        <f>VLOOKUP(A40,Summary!$A$25:$B$71,2,0)</f>
        <v>Sul Ross</v>
      </c>
      <c r="C40" s="397">
        <v>15337</v>
      </c>
      <c r="D40" s="386">
        <v>13999</v>
      </c>
      <c r="E40" s="100">
        <f>SUMIF('Operations Support'!A:A,Comparison!A40,'Operations Support'!O:O)</f>
        <v>13409</v>
      </c>
      <c r="F40" s="398">
        <f t="shared" si="0"/>
        <v>-1928</v>
      </c>
      <c r="G40" s="399">
        <f t="shared" si="1"/>
        <v>-0.12570906957032013</v>
      </c>
      <c r="H40" s="393">
        <v>1557</v>
      </c>
      <c r="I40" s="390">
        <v>1485</v>
      </c>
      <c r="J40" s="393">
        <f>SUMIF(SIS!$A$4:$A$51,Comparison!A40,SIS!$C$4:$C$51)</f>
        <v>1353</v>
      </c>
      <c r="K40" s="400">
        <f t="shared" si="2"/>
        <v>-204</v>
      </c>
      <c r="L40" s="399">
        <f t="shared" si="7"/>
        <v>-0.13100000000000001</v>
      </c>
      <c r="M40" s="393">
        <v>1060</v>
      </c>
      <c r="N40" s="393">
        <v>970</v>
      </c>
      <c r="O40" s="393">
        <f>ROUND(SUMIFS('Operations Support'!O:O,'Operations Support'!A:A,Comparison!A40,'Operations Support'!B:B,"1")/15+SUMIFS('Operations Support'!O:O,'Operations Support'!A:A,Comparison!A40,'Operations Support'!B:B,"2")/15+SUMIFS('Operations Support'!O:O,'Operations Support'!A:A,Comparison!A40,'Operations Support'!B:B,"3")/12+SUMIFS('Operations Support'!O:O,'Operations Support'!A:A,Comparison!A40,'Operations Support'!B:B,"4")/9+SUMIFS('Operations Support'!O:O,'Operations Support'!A:A,Comparison!A40,'Operations Support'!B:B,"5")/12,0)</f>
        <v>924</v>
      </c>
      <c r="P40" s="400">
        <f t="shared" si="3"/>
        <v>-136</v>
      </c>
      <c r="Q40" s="399">
        <f t="shared" si="8"/>
        <v>-0.128</v>
      </c>
      <c r="S40" s="387">
        <v>203069.91434504159</v>
      </c>
      <c r="T40" s="393">
        <v>191702.58451371288</v>
      </c>
      <c r="U40" s="393">
        <f>'Space Support'!L39</f>
        <v>186401.20989491366</v>
      </c>
      <c r="V40" s="391">
        <f t="shared" si="4"/>
        <v>-16668.704450127931</v>
      </c>
      <c r="W40" s="399">
        <f t="shared" si="5"/>
        <v>-8.2000000000000003E-2</v>
      </c>
      <c r="Y40" s="100">
        <v>69267.518999999986</v>
      </c>
      <c r="Z40" s="393">
        <f ca="1">SUMIF('Operations Support'!A:A,Comparison!A40,'Operations Support'!U:U)+SUMIF('Operations Support'!A:A,Comparison!A40,'Operations Support'!W:W)</f>
        <v>58546.962999999996</v>
      </c>
      <c r="AA40" s="400">
        <f t="shared" ca="1" si="11"/>
        <v>-10720.55599999999</v>
      </c>
      <c r="AB40" s="399">
        <f t="shared" ca="1" si="9"/>
        <v>-0.155</v>
      </c>
      <c r="AD40" s="394"/>
    </row>
    <row r="41" spans="1:30">
      <c r="A41" s="395">
        <v>20</v>
      </c>
      <c r="B41" s="403" t="str">
        <f>VLOOKUP(A41,Summary!$A$25:$B$71,2,0)</f>
        <v>Sul Ross-Rio Grande</v>
      </c>
      <c r="C41" s="397">
        <v>6719</v>
      </c>
      <c r="D41" s="386">
        <v>5778</v>
      </c>
      <c r="E41" s="100">
        <f>SUMIF('Operations Support'!A:A,Comparison!A41,'Operations Support'!O:O)</f>
        <v>4964</v>
      </c>
      <c r="F41" s="398">
        <f t="shared" si="0"/>
        <v>-1755</v>
      </c>
      <c r="G41" s="399">
        <f t="shared" si="1"/>
        <v>-0.26119958327132015</v>
      </c>
      <c r="H41" s="393">
        <v>916</v>
      </c>
      <c r="I41" s="390">
        <v>840</v>
      </c>
      <c r="J41" s="393">
        <f>SUMIF(SIS!$A$4:$A$51,Comparison!A41,SIS!$C$4:$C$51)</f>
        <v>718</v>
      </c>
      <c r="K41" s="400">
        <f t="shared" si="2"/>
        <v>-198</v>
      </c>
      <c r="L41" s="399">
        <f t="shared" si="7"/>
        <v>-0.216</v>
      </c>
      <c r="M41" s="393">
        <v>458</v>
      </c>
      <c r="N41" s="393">
        <v>394</v>
      </c>
      <c r="O41" s="393">
        <f>ROUND(SUMIFS('Operations Support'!O:O,'Operations Support'!A:A,Comparison!A41,'Operations Support'!B:B,"1")/15+SUMIFS('Operations Support'!O:O,'Operations Support'!A:A,Comparison!A41,'Operations Support'!B:B,"2")/15+SUMIFS('Operations Support'!O:O,'Operations Support'!A:A,Comparison!A41,'Operations Support'!B:B,"3")/12+SUMIFS('Operations Support'!O:O,'Operations Support'!A:A,Comparison!A41,'Operations Support'!B:B,"4")/9+SUMIFS('Operations Support'!O:O,'Operations Support'!A:A,Comparison!A41,'Operations Support'!B:B,"5")/12,0)</f>
        <v>341</v>
      </c>
      <c r="P41" s="400">
        <f t="shared" si="3"/>
        <v>-117</v>
      </c>
      <c r="Q41" s="399">
        <f t="shared" si="8"/>
        <v>-0.255</v>
      </c>
      <c r="S41" s="387">
        <v>63881.706277348429</v>
      </c>
      <c r="T41" s="393">
        <v>59554.341599132807</v>
      </c>
      <c r="U41" s="393">
        <f>'Space Support'!L40</f>
        <v>53462.859118087494</v>
      </c>
      <c r="V41" s="391">
        <f t="shared" si="4"/>
        <v>-10418.847159260935</v>
      </c>
      <c r="W41" s="399">
        <f t="shared" si="5"/>
        <v>-0.16300000000000001</v>
      </c>
      <c r="Y41" s="100">
        <v>33958.509999999995</v>
      </c>
      <c r="Z41" s="393">
        <f ca="1">SUMIF('Operations Support'!A:A,Comparison!A41,'Operations Support'!U:U)+SUMIF('Operations Support'!A:A,Comparison!A41,'Operations Support'!W:W)</f>
        <v>24877.097000000005</v>
      </c>
      <c r="AA41" s="400">
        <f t="shared" ca="1" si="11"/>
        <v>-9081.4129999999896</v>
      </c>
      <c r="AB41" s="399">
        <f t="shared" ca="1" si="9"/>
        <v>-0.26700000000000002</v>
      </c>
      <c r="AD41" s="394"/>
    </row>
    <row r="42" spans="1:30" ht="14.4" thickBot="1">
      <c r="A42" s="404"/>
      <c r="B42" s="405" t="s">
        <v>1</v>
      </c>
      <c r="C42" s="406">
        <f>SUM(C5:C41)</f>
        <v>7385545</v>
      </c>
      <c r="D42" s="409">
        <f>SUM(D5:D41)</f>
        <v>7253150</v>
      </c>
      <c r="E42" s="572">
        <f>SUM(E5:E41)</f>
        <v>7304693.9400000069</v>
      </c>
      <c r="F42" s="406">
        <f>SUM(F5:F41)</f>
        <v>-80851.059999993187</v>
      </c>
      <c r="G42" s="407">
        <f>IFERROR(F42/C42,0)</f>
        <v>-1.0947202948461243E-2</v>
      </c>
      <c r="H42" s="406">
        <f>SUM(H5:H41)</f>
        <v>667046</v>
      </c>
      <c r="I42" s="409">
        <f>SUM(I5:I41)</f>
        <v>665213</v>
      </c>
      <c r="J42" s="409">
        <f>SUM(J5:J41)</f>
        <v>666322</v>
      </c>
      <c r="K42" s="409">
        <f>SUM(K5:K41)</f>
        <v>-724</v>
      </c>
      <c r="L42" s="407">
        <f t="shared" si="7"/>
        <v>-1E-3</v>
      </c>
      <c r="M42" s="408">
        <f>SUM(M5:M41)</f>
        <v>512125</v>
      </c>
      <c r="N42" s="409">
        <f>SUM(N5:N41)</f>
        <v>504004</v>
      </c>
      <c r="O42" s="409">
        <f>SUM(O5:O41)</f>
        <v>509372</v>
      </c>
      <c r="P42" s="409">
        <f>SUM(P5:P41)</f>
        <v>-2753</v>
      </c>
      <c r="Q42" s="407">
        <f t="shared" si="8"/>
        <v>-5.0000000000000001E-3</v>
      </c>
      <c r="S42" s="409">
        <f>SUM(S5:S41)</f>
        <v>72297113.214065418</v>
      </c>
      <c r="T42" s="409">
        <v>71288562.154008597</v>
      </c>
      <c r="U42" s="409">
        <f>SUM(U5:U41)</f>
        <v>71259213.81105873</v>
      </c>
      <c r="V42" s="409">
        <f>SUM(V5:V41)</f>
        <v>-1037899.4030066878</v>
      </c>
      <c r="W42" s="407">
        <f t="shared" si="5"/>
        <v>-1.4E-2</v>
      </c>
      <c r="Y42" s="409">
        <f>SUM(Y5:Y41)</f>
        <v>39588379.86112</v>
      </c>
      <c r="Z42" s="409">
        <f ca="1">SUM(Z5:Z41)</f>
        <v>39098306.315799199</v>
      </c>
      <c r="AA42" s="409">
        <f ca="1">SUM(AA5:AA41)</f>
        <v>-490073.54532080208</v>
      </c>
      <c r="AB42" s="407">
        <f t="shared" ca="1" si="9"/>
        <v>-1.2E-2</v>
      </c>
    </row>
    <row r="43" spans="1:30" ht="14.4" thickBot="1">
      <c r="A43" s="410"/>
      <c r="C43" s="411"/>
      <c r="E43" s="215"/>
      <c r="F43" s="97"/>
      <c r="T43" s="97"/>
      <c r="U43" s="97"/>
      <c r="V43" s="97"/>
    </row>
    <row r="44" spans="1:30">
      <c r="A44" s="395">
        <v>9225</v>
      </c>
      <c r="B44" s="396" t="str">
        <f>VLOOKUP(A44,Summary!$A$25:$B$71,2,0)</f>
        <v>TSTC-Harlingen</v>
      </c>
      <c r="C44" s="397">
        <v>45140</v>
      </c>
      <c r="D44" s="412">
        <v>28922</v>
      </c>
      <c r="E44" s="393">
        <v>29030.75</v>
      </c>
      <c r="F44" s="398">
        <f t="shared" ref="F44:F52" si="12">E44-C44</f>
        <v>-16109.25</v>
      </c>
      <c r="G44" s="399">
        <f t="shared" ref="G44:G52" si="13">IFERROR(F44/C44,0)</f>
        <v>-0.35687306158617632</v>
      </c>
      <c r="H44" s="393">
        <v>4864</v>
      </c>
      <c r="I44" s="393">
        <v>4887</v>
      </c>
      <c r="J44" s="393">
        <f>SUMIF(SIS!$A$4:$A$51,Comparison!A44,SIS!$C$4:$C$51)</f>
        <v>5863</v>
      </c>
      <c r="K44" s="400">
        <f>J44-H44</f>
        <v>999</v>
      </c>
      <c r="L44" s="399">
        <f>IFERROR(ROUND(K44/H44,3),"")</f>
        <v>0.20499999999999999</v>
      </c>
      <c r="M44" s="393">
        <v>3043</v>
      </c>
      <c r="N44" s="393">
        <v>1951</v>
      </c>
      <c r="O44" s="393">
        <f>ROUND(E44/15,0)</f>
        <v>1935</v>
      </c>
      <c r="P44" s="400">
        <f t="shared" ref="P44:P52" si="14">O44-M44</f>
        <v>-1108</v>
      </c>
      <c r="Q44" s="399">
        <f t="shared" ref="Q44:Q53" si="15">IFERROR(ROUND(P44/M44,3),"")</f>
        <v>-0.36399999999999999</v>
      </c>
      <c r="S44" s="133">
        <v>388044.95130280469</v>
      </c>
      <c r="T44" s="413">
        <v>274135.8219106039</v>
      </c>
      <c r="U44" s="413">
        <f>'Space Support'!L44</f>
        <v>277989</v>
      </c>
      <c r="V44" s="414">
        <f t="shared" ref="V44:V52" si="16">U44-S44</f>
        <v>-110055.95130280469</v>
      </c>
      <c r="W44" s="415">
        <f t="shared" ref="W44:W53" si="17">IFERROR(ROUND(V44/S44,3),"")</f>
        <v>-0.28399999999999997</v>
      </c>
    </row>
    <row r="45" spans="1:30">
      <c r="A45" s="395">
        <v>9932</v>
      </c>
      <c r="B45" s="396" t="str">
        <f>VLOOKUP(A45,Summary!$A$25:$B$71,2,0)</f>
        <v>TSTC-West Tx</v>
      </c>
      <c r="C45" s="397">
        <v>15799</v>
      </c>
      <c r="D45" s="412">
        <v>10097</v>
      </c>
      <c r="E45" s="393">
        <v>9734.5</v>
      </c>
      <c r="F45" s="398">
        <f t="shared" si="12"/>
        <v>-6064.5</v>
      </c>
      <c r="G45" s="399">
        <f t="shared" si="13"/>
        <v>-0.38385340844357235</v>
      </c>
      <c r="H45" s="393">
        <v>2390</v>
      </c>
      <c r="I45" s="393">
        <v>2184</v>
      </c>
      <c r="J45" s="393">
        <f>SUMIF(SIS!$A$4:$A$51,Comparison!A45,SIS!$C$4:$C$51)</f>
        <v>1818</v>
      </c>
      <c r="K45" s="400">
        <f t="shared" ref="K45:K52" si="18">J45-H45</f>
        <v>-572</v>
      </c>
      <c r="L45" s="399">
        <f>IFERROR(ROUND(K45/H45,3),"")</f>
        <v>-0.23899999999999999</v>
      </c>
      <c r="M45" s="393">
        <v>1055</v>
      </c>
      <c r="N45" s="393">
        <v>676</v>
      </c>
      <c r="O45" s="393">
        <f t="shared" ref="O45:O52" si="19">ROUND(E45/15,0)</f>
        <v>649</v>
      </c>
      <c r="P45" s="400">
        <f>O45-M45</f>
        <v>-406</v>
      </c>
      <c r="Q45" s="399">
        <f t="shared" si="15"/>
        <v>-0.38500000000000001</v>
      </c>
      <c r="S45" s="100">
        <v>163372.8169894056</v>
      </c>
      <c r="T45" s="393">
        <v>115306.6241833277</v>
      </c>
      <c r="U45" s="393">
        <f>'Space Support'!L45</f>
        <v>120246</v>
      </c>
      <c r="V45" s="400">
        <f t="shared" si="16"/>
        <v>-43126.816989405605</v>
      </c>
      <c r="W45" s="399">
        <f t="shared" si="17"/>
        <v>-0.26400000000000001</v>
      </c>
      <c r="Y45" s="541" t="s">
        <v>396</v>
      </c>
    </row>
    <row r="46" spans="1:30">
      <c r="A46" s="395">
        <v>33965</v>
      </c>
      <c r="B46" s="396" t="str">
        <f>VLOOKUP(A46,Summary!$A$25:$B$71,2,0)</f>
        <v>TSTC-Marshall</v>
      </c>
      <c r="C46" s="397">
        <v>8025</v>
      </c>
      <c r="D46" s="412">
        <v>5721</v>
      </c>
      <c r="E46" s="393">
        <v>5224</v>
      </c>
      <c r="F46" s="398">
        <f t="shared" si="12"/>
        <v>-2801</v>
      </c>
      <c r="G46" s="399">
        <f t="shared" si="13"/>
        <v>-0.34903426791277259</v>
      </c>
      <c r="H46" s="393">
        <v>925</v>
      </c>
      <c r="I46" s="393">
        <v>1002</v>
      </c>
      <c r="J46" s="393">
        <f>SUMIF(SIS!$A$4:$A$51,Comparison!A46,SIS!$C$4:$C$51)</f>
        <v>787</v>
      </c>
      <c r="K46" s="400">
        <f t="shared" si="18"/>
        <v>-138</v>
      </c>
      <c r="L46" s="399">
        <f t="shared" ref="L46:L52" si="20">IFERROR(ROUND(K46/H46,3),"")</f>
        <v>-0.14899999999999999</v>
      </c>
      <c r="M46" s="393">
        <v>535</v>
      </c>
      <c r="N46" s="393">
        <v>386</v>
      </c>
      <c r="O46" s="393">
        <f t="shared" si="19"/>
        <v>348</v>
      </c>
      <c r="P46" s="400">
        <f>O46-M46</f>
        <v>-187</v>
      </c>
      <c r="Q46" s="399">
        <f t="shared" si="15"/>
        <v>-0.35</v>
      </c>
      <c r="S46" s="100">
        <v>87692.231498795532</v>
      </c>
      <c r="T46" s="393">
        <v>68383.324055335659</v>
      </c>
      <c r="U46" s="393">
        <f>'Space Support'!L46</f>
        <v>65642</v>
      </c>
      <c r="V46" s="400">
        <f t="shared" si="16"/>
        <v>-22050.231498795532</v>
      </c>
      <c r="W46" s="399">
        <f t="shared" si="17"/>
        <v>-0.251</v>
      </c>
    </row>
    <row r="47" spans="1:30">
      <c r="A47" s="395">
        <v>3634</v>
      </c>
      <c r="B47" s="396" t="str">
        <f>VLOOKUP(A47,Summary!$A$25:$B$71,2,0)</f>
        <v>TSTC-Waco</v>
      </c>
      <c r="C47" s="397">
        <v>51374</v>
      </c>
      <c r="D47" s="412">
        <v>49363</v>
      </c>
      <c r="E47" s="393">
        <v>51548.25</v>
      </c>
      <c r="F47" s="398">
        <f t="shared" si="12"/>
        <v>174.25</v>
      </c>
      <c r="G47" s="399">
        <f t="shared" si="13"/>
        <v>3.3917935142289872E-3</v>
      </c>
      <c r="H47" s="393">
        <v>4393</v>
      </c>
      <c r="I47" s="393">
        <v>7133</v>
      </c>
      <c r="J47" s="393">
        <f>SUMIF(SIS!$A$4:$A$51,Comparison!A47,SIS!$C$4:$C$51)</f>
        <v>7434</v>
      </c>
      <c r="K47" s="400">
        <f t="shared" si="18"/>
        <v>3041</v>
      </c>
      <c r="L47" s="399">
        <f t="shared" si="20"/>
        <v>0.69199999999999995</v>
      </c>
      <c r="M47" s="393">
        <v>3425</v>
      </c>
      <c r="N47" s="393">
        <v>3291</v>
      </c>
      <c r="O47" s="393">
        <f t="shared" si="19"/>
        <v>3437</v>
      </c>
      <c r="P47" s="400">
        <f t="shared" si="14"/>
        <v>12</v>
      </c>
      <c r="Q47" s="399">
        <f t="shared" si="15"/>
        <v>4.0000000000000001E-3</v>
      </c>
      <c r="S47" s="100">
        <v>555866.28717148071</v>
      </c>
      <c r="T47" s="393">
        <v>433115.52971665864</v>
      </c>
      <c r="U47" s="393">
        <f>'Space Support'!L47</f>
        <v>588809</v>
      </c>
      <c r="V47" s="400">
        <f t="shared" si="16"/>
        <v>32942.712828519288</v>
      </c>
      <c r="W47" s="399">
        <f t="shared" si="17"/>
        <v>5.8999999999999997E-2</v>
      </c>
    </row>
    <row r="48" spans="1:30">
      <c r="A48" s="395">
        <v>203634</v>
      </c>
      <c r="B48" s="396" t="str">
        <f>VLOOKUP(A48,Summary!$A$25:$B$71,2,0)</f>
        <v>TSTC-Fort Bend</v>
      </c>
      <c r="C48" s="397">
        <v>7933</v>
      </c>
      <c r="D48" s="412">
        <v>6259</v>
      </c>
      <c r="E48" s="393">
        <v>5951</v>
      </c>
      <c r="F48" s="398">
        <f t="shared" si="12"/>
        <v>-1982</v>
      </c>
      <c r="G48" s="399">
        <f t="shared" si="13"/>
        <v>-0.24984243035421658</v>
      </c>
      <c r="H48" s="393">
        <v>688</v>
      </c>
      <c r="I48" s="393">
        <v>966</v>
      </c>
      <c r="J48" s="393">
        <f>SUMIF(SIS!$A$4:$A$51,Comparison!A48,SIS!$C$4:$C$51)</f>
        <v>648</v>
      </c>
      <c r="K48" s="400">
        <f t="shared" si="18"/>
        <v>-40</v>
      </c>
      <c r="L48" s="399">
        <f t="shared" si="20"/>
        <v>-5.8000000000000003E-2</v>
      </c>
      <c r="M48" s="393">
        <v>529</v>
      </c>
      <c r="N48" s="393">
        <v>419</v>
      </c>
      <c r="O48" s="393">
        <f t="shared" si="19"/>
        <v>397</v>
      </c>
      <c r="P48" s="400">
        <f t="shared" si="14"/>
        <v>-132</v>
      </c>
      <c r="Q48" s="399">
        <f t="shared" si="15"/>
        <v>-0.25</v>
      </c>
      <c r="S48" s="100">
        <v>94951.521168750973</v>
      </c>
      <c r="T48" s="393">
        <v>79707.557724976767</v>
      </c>
      <c r="U48" s="393">
        <f>'Space Support'!L48</f>
        <v>78655</v>
      </c>
      <c r="V48" s="400">
        <f t="shared" si="16"/>
        <v>-16296.521168750973</v>
      </c>
      <c r="W48" s="399">
        <f t="shared" si="17"/>
        <v>-0.17199999999999999</v>
      </c>
    </row>
    <row r="49" spans="1:23">
      <c r="A49" s="395">
        <v>133965</v>
      </c>
      <c r="B49" s="396" t="str">
        <f>VLOOKUP(A49,Summary!$A$25:$B$71,2,0)</f>
        <v>TSTC-North Texas</v>
      </c>
      <c r="C49" s="397">
        <v>3898</v>
      </c>
      <c r="D49" s="412">
        <v>1998</v>
      </c>
      <c r="E49" s="393">
        <v>2800</v>
      </c>
      <c r="F49" s="398">
        <f t="shared" si="12"/>
        <v>-1098</v>
      </c>
      <c r="G49" s="399">
        <f t="shared" si="13"/>
        <v>-0.28168291431503334</v>
      </c>
      <c r="H49" s="393">
        <v>496</v>
      </c>
      <c r="I49" s="393">
        <v>299</v>
      </c>
      <c r="J49" s="393">
        <f>SUMIF(SIS!$A$4:$A$51,Comparison!A49,SIS!$C$4:$C$51)</f>
        <v>399</v>
      </c>
      <c r="K49" s="400">
        <f t="shared" si="18"/>
        <v>-97</v>
      </c>
      <c r="L49" s="399">
        <f t="shared" si="20"/>
        <v>-0.19600000000000001</v>
      </c>
      <c r="M49" s="393">
        <v>260</v>
      </c>
      <c r="N49" s="393">
        <v>133</v>
      </c>
      <c r="O49" s="393">
        <f t="shared" si="19"/>
        <v>187</v>
      </c>
      <c r="P49" s="400">
        <f t="shared" si="14"/>
        <v>-73</v>
      </c>
      <c r="Q49" s="399">
        <f t="shared" si="15"/>
        <v>-0.28100000000000003</v>
      </c>
      <c r="S49" s="100">
        <v>44024.591360554012</v>
      </c>
      <c r="T49" s="393">
        <v>29459.759488570409</v>
      </c>
      <c r="U49" s="393">
        <f>'Space Support'!L49</f>
        <v>38316</v>
      </c>
      <c r="V49" s="400">
        <f t="shared" si="16"/>
        <v>-5708.5913605540118</v>
      </c>
      <c r="W49" s="399">
        <f t="shared" si="17"/>
        <v>-0.13</v>
      </c>
    </row>
    <row r="50" spans="1:23">
      <c r="A50" s="395">
        <v>36273</v>
      </c>
      <c r="B50" s="396" t="str">
        <f>VLOOKUP(A50,Summary!$A$25:$B$71,2,0)</f>
        <v>Lamar-IOT</v>
      </c>
      <c r="C50" s="397">
        <v>38512</v>
      </c>
      <c r="D50" s="412">
        <v>38106</v>
      </c>
      <c r="E50" s="393">
        <v>39535</v>
      </c>
      <c r="F50" s="398">
        <f t="shared" si="12"/>
        <v>1023</v>
      </c>
      <c r="G50" s="399">
        <f t="shared" si="13"/>
        <v>2.6563149148317408E-2</v>
      </c>
      <c r="H50" s="393">
        <v>4402</v>
      </c>
      <c r="I50" s="393">
        <v>4470</v>
      </c>
      <c r="J50" s="393">
        <f>SUMIF(SIS!$A$4:$A$51,Comparison!A50,SIS!$C$4:$C$51)</f>
        <v>4788</v>
      </c>
      <c r="K50" s="400">
        <f t="shared" si="18"/>
        <v>386</v>
      </c>
      <c r="L50" s="399">
        <f t="shared" si="20"/>
        <v>8.7999999999999995E-2</v>
      </c>
      <c r="M50" s="393">
        <v>2717</v>
      </c>
      <c r="N50" s="393">
        <v>2792</v>
      </c>
      <c r="O50" s="393">
        <f t="shared" si="19"/>
        <v>2636</v>
      </c>
      <c r="P50" s="400">
        <f t="shared" si="14"/>
        <v>-81</v>
      </c>
      <c r="Q50" s="399">
        <f t="shared" si="15"/>
        <v>-0.03</v>
      </c>
      <c r="S50" s="100">
        <v>278016.95746524649</v>
      </c>
      <c r="T50" s="393">
        <v>278050.40047213499</v>
      </c>
      <c r="U50" s="393">
        <f>'Space Support'!L50</f>
        <v>297872</v>
      </c>
      <c r="V50" s="400">
        <f t="shared" si="16"/>
        <v>19855.042534753506</v>
      </c>
      <c r="W50" s="399">
        <f t="shared" si="17"/>
        <v>7.0999999999999994E-2</v>
      </c>
    </row>
    <row r="51" spans="1:23">
      <c r="A51" s="395">
        <v>23582</v>
      </c>
      <c r="B51" s="396" t="str">
        <f>VLOOKUP(A51,Summary!$A$25:$B$71,2,0)</f>
        <v>Lamar-Orange</v>
      </c>
      <c r="C51" s="397">
        <v>20531</v>
      </c>
      <c r="D51" s="412">
        <v>20219</v>
      </c>
      <c r="E51" s="393">
        <v>21985</v>
      </c>
      <c r="F51" s="398">
        <f t="shared" si="12"/>
        <v>1454</v>
      </c>
      <c r="G51" s="399">
        <f t="shared" si="13"/>
        <v>7.0819736008962061E-2</v>
      </c>
      <c r="H51" s="393">
        <v>2382</v>
      </c>
      <c r="I51" s="393">
        <v>2353</v>
      </c>
      <c r="J51" s="393">
        <f>SUMIF(SIS!$A$4:$A$51,Comparison!A51,SIS!$C$4:$C$51)</f>
        <v>2629</v>
      </c>
      <c r="K51" s="400">
        <f t="shared" si="18"/>
        <v>247</v>
      </c>
      <c r="L51" s="399">
        <f t="shared" si="20"/>
        <v>0.104</v>
      </c>
      <c r="M51" s="393">
        <v>1375</v>
      </c>
      <c r="N51" s="393">
        <v>1379</v>
      </c>
      <c r="O51" s="393">
        <f t="shared" si="19"/>
        <v>1466</v>
      </c>
      <c r="P51" s="400">
        <f t="shared" si="14"/>
        <v>91</v>
      </c>
      <c r="Q51" s="399">
        <f t="shared" si="15"/>
        <v>6.6000000000000003E-2</v>
      </c>
      <c r="S51" s="100">
        <v>161848.847155289</v>
      </c>
      <c r="T51" s="393">
        <v>154032.47811114922</v>
      </c>
      <c r="U51" s="393">
        <f>'Space Support'!L51</f>
        <v>183356</v>
      </c>
      <c r="V51" s="400">
        <f t="shared" si="16"/>
        <v>21507.152844711003</v>
      </c>
      <c r="W51" s="399">
        <f t="shared" si="17"/>
        <v>0.13300000000000001</v>
      </c>
    </row>
    <row r="52" spans="1:23">
      <c r="A52" s="395">
        <v>23485</v>
      </c>
      <c r="B52" s="396" t="str">
        <f>VLOOKUP(A52,Summary!$A$25:$B$71,2,0)</f>
        <v>Lamar-Port Arthur</v>
      </c>
      <c r="C52" s="397">
        <v>22662</v>
      </c>
      <c r="D52" s="412">
        <v>20934</v>
      </c>
      <c r="E52" s="393">
        <v>21896</v>
      </c>
      <c r="F52" s="398">
        <f t="shared" si="12"/>
        <v>-766</v>
      </c>
      <c r="G52" s="399">
        <f t="shared" si="13"/>
        <v>-3.3801076692260172E-2</v>
      </c>
      <c r="H52" s="393">
        <v>2566</v>
      </c>
      <c r="I52" s="393">
        <v>2524</v>
      </c>
      <c r="J52" s="393">
        <f>SUMIF(SIS!$A$4:$A$51,Comparison!A52,SIS!$C$4:$C$51)</f>
        <v>2698</v>
      </c>
      <c r="K52" s="400">
        <f t="shared" si="18"/>
        <v>132</v>
      </c>
      <c r="L52" s="399">
        <f t="shared" si="20"/>
        <v>5.0999999999999997E-2</v>
      </c>
      <c r="M52" s="393">
        <v>1593</v>
      </c>
      <c r="N52" s="393">
        <v>1473</v>
      </c>
      <c r="O52" s="393">
        <f t="shared" si="19"/>
        <v>1460</v>
      </c>
      <c r="P52" s="400">
        <f t="shared" si="14"/>
        <v>-133</v>
      </c>
      <c r="Q52" s="399">
        <f t="shared" si="15"/>
        <v>-8.3000000000000004E-2</v>
      </c>
      <c r="S52" s="100">
        <v>211529.47749576991</v>
      </c>
      <c r="T52" s="393">
        <v>199090.07435769841</v>
      </c>
      <c r="U52" s="393">
        <f>'Space Support'!L52</f>
        <v>209483</v>
      </c>
      <c r="V52" s="400">
        <f t="shared" si="16"/>
        <v>-2046.4774957699119</v>
      </c>
      <c r="W52" s="399">
        <f t="shared" si="17"/>
        <v>-0.01</v>
      </c>
    </row>
    <row r="53" spans="1:23" ht="14.4" thickBot="1">
      <c r="A53" s="404"/>
      <c r="B53" s="405" t="s">
        <v>1</v>
      </c>
      <c r="C53" s="416">
        <f>SUM(C44:C52)</f>
        <v>213874</v>
      </c>
      <c r="D53" s="408">
        <f>SUM(D44:D52)</f>
        <v>181619</v>
      </c>
      <c r="E53" s="409">
        <f>SUM(E44:E52)</f>
        <v>187704.5</v>
      </c>
      <c r="F53" s="409">
        <f>SUM(F44:F52)</f>
        <v>-26169.5</v>
      </c>
      <c r="G53" s="407">
        <f>IFERROR(F53/C53,0)</f>
        <v>-0.12235942657826571</v>
      </c>
      <c r="H53" s="408">
        <f>SUM(H44:H52)</f>
        <v>23106</v>
      </c>
      <c r="I53" s="409">
        <f>SUM(I44:I52)</f>
        <v>25818</v>
      </c>
      <c r="J53" s="409">
        <f>SUM(J44:J52)</f>
        <v>27064</v>
      </c>
      <c r="K53" s="409">
        <f>SUM(K44:K52)</f>
        <v>3958</v>
      </c>
      <c r="L53" s="407">
        <f>IFERROR(ROUND(K53/H53,3),"")</f>
        <v>0.17100000000000001</v>
      </c>
      <c r="M53" s="408">
        <f>SUM(M44:M52)</f>
        <v>14532</v>
      </c>
      <c r="N53" s="409">
        <f>SUM(N44:N52)</f>
        <v>12500</v>
      </c>
      <c r="O53" s="409">
        <f>SUM(O44:O52)</f>
        <v>12515</v>
      </c>
      <c r="P53" s="409">
        <f>SUM(P44:P52)</f>
        <v>-2017</v>
      </c>
      <c r="Q53" s="407">
        <f t="shared" si="15"/>
        <v>-0.13900000000000001</v>
      </c>
      <c r="S53" s="409">
        <f>SUM(S44:S52)</f>
        <v>1985347.6816080972</v>
      </c>
      <c r="T53" s="409">
        <v>1631281.5700204559</v>
      </c>
      <c r="U53" s="409">
        <f>SUM(U44:U52)</f>
        <v>1860368</v>
      </c>
      <c r="V53" s="409">
        <f>SUM(V44:V52)</f>
        <v>-124979.68160809693</v>
      </c>
      <c r="W53" s="407">
        <f t="shared" si="17"/>
        <v>-6.3E-2</v>
      </c>
    </row>
    <row r="55" spans="1:23">
      <c r="A55" s="77" t="s">
        <v>438</v>
      </c>
    </row>
    <row r="56" spans="1:23">
      <c r="A56" s="417" t="s">
        <v>437</v>
      </c>
      <c r="B56" s="418"/>
      <c r="C56" s="418"/>
      <c r="D56" s="418"/>
      <c r="E56" s="418"/>
      <c r="F56" s="418"/>
      <c r="G56" s="418"/>
      <c r="H56" s="418"/>
      <c r="I56" s="418"/>
      <c r="J56" s="418"/>
    </row>
    <row r="57" spans="1:23" ht="16.2">
      <c r="A57" s="536" t="s">
        <v>412</v>
      </c>
    </row>
    <row r="58" spans="1:23" ht="16.2">
      <c r="A58" s="77" t="s">
        <v>409</v>
      </c>
    </row>
    <row r="61" spans="1:23">
      <c r="F61" s="419"/>
    </row>
    <row r="62" spans="1:23">
      <c r="F62" s="419"/>
    </row>
    <row r="63" spans="1:23">
      <c r="E63" s="420"/>
      <c r="F63" s="419"/>
    </row>
    <row r="64" spans="1:23">
      <c r="E64" s="420"/>
      <c r="F64" s="419"/>
    </row>
    <row r="65" spans="5:6">
      <c r="E65" s="420"/>
      <c r="F65" s="419"/>
    </row>
    <row r="66" spans="5:6">
      <c r="E66" s="420"/>
      <c r="F66" s="419"/>
    </row>
    <row r="67" spans="5:6">
      <c r="E67" s="420"/>
      <c r="F67" s="419"/>
    </row>
    <row r="68" spans="5:6">
      <c r="E68" s="420"/>
      <c r="F68" s="419"/>
    </row>
    <row r="69" spans="5:6">
      <c r="E69" s="420"/>
      <c r="F69" s="419"/>
    </row>
    <row r="70" spans="5:6">
      <c r="E70" s="420"/>
      <c r="F70" s="419"/>
    </row>
    <row r="71" spans="5:6">
      <c r="E71" s="420"/>
      <c r="F71" s="419"/>
    </row>
    <row r="72" spans="5:6">
      <c r="E72" s="420"/>
      <c r="F72" s="419"/>
    </row>
    <row r="73" spans="5:6">
      <c r="E73" s="420"/>
    </row>
    <row r="74" spans="5:6">
      <c r="E74" s="420"/>
    </row>
    <row r="75" spans="5:6">
      <c r="E75" s="420"/>
    </row>
    <row r="76" spans="5:6">
      <c r="E76" s="420"/>
    </row>
    <row r="77" spans="5:6">
      <c r="E77" s="420"/>
    </row>
    <row r="78" spans="5:6">
      <c r="E78" s="420"/>
    </row>
    <row r="79" spans="5:6">
      <c r="E79" s="420"/>
    </row>
    <row r="80" spans="5:6">
      <c r="E80" s="420"/>
    </row>
    <row r="81" spans="1:5">
      <c r="E81" s="420"/>
    </row>
    <row r="82" spans="1:5">
      <c r="E82" s="420"/>
    </row>
    <row r="83" spans="1:5">
      <c r="E83" s="420"/>
    </row>
    <row r="84" spans="1:5">
      <c r="E84" s="420"/>
    </row>
    <row r="85" spans="1:5">
      <c r="A85" s="410"/>
      <c r="B85" s="410"/>
      <c r="E85" s="420"/>
    </row>
    <row r="86" spans="1:5">
      <c r="A86" s="410"/>
      <c r="B86" s="410"/>
      <c r="E86" s="420"/>
    </row>
    <row r="87" spans="1:5">
      <c r="A87" s="410"/>
      <c r="B87" s="410"/>
      <c r="E87" s="420"/>
    </row>
    <row r="88" spans="1:5">
      <c r="A88" s="410"/>
      <c r="B88" s="410"/>
      <c r="E88" s="420"/>
    </row>
    <row r="89" spans="1:5">
      <c r="A89" s="410"/>
      <c r="B89" s="410"/>
      <c r="E89" s="420"/>
    </row>
    <row r="90" spans="1:5">
      <c r="E90" s="420"/>
    </row>
    <row r="91" spans="1:5">
      <c r="E91" s="420"/>
    </row>
    <row r="92" spans="1:5">
      <c r="E92" s="420"/>
    </row>
    <row r="93" spans="1:5">
      <c r="E93" s="420"/>
    </row>
    <row r="94" spans="1:5">
      <c r="E94" s="420"/>
    </row>
    <row r="95" spans="1:5">
      <c r="E95" s="420"/>
    </row>
    <row r="96" spans="1:5">
      <c r="E96" s="420"/>
    </row>
    <row r="97" spans="5:5">
      <c r="E97" s="420"/>
    </row>
    <row r="98" spans="5:5">
      <c r="E98" s="420"/>
    </row>
    <row r="99" spans="5:5">
      <c r="E99" s="420"/>
    </row>
    <row r="100" spans="5:5">
      <c r="E100" s="420"/>
    </row>
    <row r="101" spans="5:5">
      <c r="E101" s="420"/>
    </row>
    <row r="102" spans="5:5">
      <c r="E102" s="420"/>
    </row>
    <row r="103" spans="5:5">
      <c r="E103" s="420"/>
    </row>
    <row r="104" spans="5:5">
      <c r="E104" s="420"/>
    </row>
    <row r="105" spans="5:5">
      <c r="E105" s="420"/>
    </row>
    <row r="106" spans="5:5">
      <c r="E106" s="420"/>
    </row>
    <row r="107" spans="5:5">
      <c r="E107" s="420"/>
    </row>
  </sheetData>
  <mergeCells count="7">
    <mergeCell ref="A3:A4"/>
    <mergeCell ref="B3:B4"/>
    <mergeCell ref="Y3:AB3"/>
    <mergeCell ref="S3:W3"/>
    <mergeCell ref="C3:G3"/>
    <mergeCell ref="H3:L3"/>
    <mergeCell ref="M3:Q3"/>
  </mergeCells>
  <printOptions horizontalCentered="1"/>
  <pageMargins left="0.25" right="0.25" top="0.28999999999999998" bottom="0.34" header="0.25" footer="0.17"/>
  <pageSetup scale="72" fitToHeight="0" orientation="landscape" r:id="rId1"/>
  <headerFooter alignWithMargins="0">
    <oddFooter>Prepared by Paul Turcotte &amp;D&amp;RPage &amp;P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1F9E24-E42E-4C3E-A815-925D0D524CFF}">
  <sheetPr>
    <tabColor theme="3"/>
  </sheetPr>
  <dimension ref="A1:M54"/>
  <sheetViews>
    <sheetView showGridLines="0" topLeftCell="A25" zoomScale="85" zoomScaleNormal="85" workbookViewId="0">
      <selection activeCell="I20" sqref="I20"/>
    </sheetView>
  </sheetViews>
  <sheetFormatPr defaultColWidth="9.109375" defaultRowHeight="13.8"/>
  <cols>
    <col min="1" max="1" width="10.109375" style="454" customWidth="1"/>
    <col min="2" max="2" width="31.6640625" style="454" customWidth="1"/>
    <col min="3" max="3" width="12.44140625" style="454" customWidth="1"/>
    <col min="4" max="4" width="14.33203125" style="454" customWidth="1"/>
    <col min="5" max="5" width="12.5546875" style="454" customWidth="1"/>
    <col min="6" max="6" width="3.44140625" style="454" customWidth="1"/>
    <col min="7" max="7" width="12.6640625" style="454" customWidth="1"/>
    <col min="8" max="8" width="14.33203125" style="454" customWidth="1"/>
    <col min="9" max="9" width="13.33203125" style="454" customWidth="1"/>
    <col min="10" max="10" width="3.33203125" style="454" customWidth="1"/>
    <col min="11" max="11" width="12.109375" style="454" customWidth="1"/>
    <col min="12" max="12" width="14.33203125" style="454" customWidth="1"/>
    <col min="13" max="13" width="12.109375" style="454" customWidth="1"/>
    <col min="14" max="14" width="13.109375" style="454" customWidth="1"/>
    <col min="15" max="15" width="10.33203125" style="454" customWidth="1"/>
    <col min="16" max="16384" width="9.109375" style="454"/>
  </cols>
  <sheetData>
    <row r="1" spans="1:13">
      <c r="A1" s="453" t="s">
        <v>264</v>
      </c>
    </row>
    <row r="2" spans="1:13" ht="11.25" customHeight="1" thickBot="1">
      <c r="A2" s="455"/>
    </row>
    <row r="3" spans="1:13" ht="14.4" thickBot="1">
      <c r="C3" s="747" t="s">
        <v>459</v>
      </c>
      <c r="D3" s="748"/>
      <c r="E3" s="748"/>
      <c r="G3" s="747" t="s">
        <v>458</v>
      </c>
      <c r="H3" s="748"/>
      <c r="I3" s="748"/>
      <c r="K3" s="747" t="s">
        <v>328</v>
      </c>
      <c r="L3" s="748"/>
      <c r="M3" s="748"/>
    </row>
    <row r="4" spans="1:13" ht="22.5" customHeight="1">
      <c r="A4" s="162" t="s">
        <v>0</v>
      </c>
      <c r="B4" s="163" t="s">
        <v>27</v>
      </c>
      <c r="C4" s="456" t="s">
        <v>262</v>
      </c>
      <c r="D4" s="456" t="s">
        <v>261</v>
      </c>
      <c r="E4" s="456" t="s">
        <v>2</v>
      </c>
      <c r="F4" s="457"/>
      <c r="G4" s="456" t="s">
        <v>262</v>
      </c>
      <c r="H4" s="456" t="s">
        <v>261</v>
      </c>
      <c r="I4" s="456" t="s">
        <v>2</v>
      </c>
      <c r="K4" s="456" t="s">
        <v>262</v>
      </c>
      <c r="L4" s="456" t="s">
        <v>261</v>
      </c>
      <c r="M4" s="456" t="s">
        <v>2</v>
      </c>
    </row>
    <row r="5" spans="1:13">
      <c r="A5" s="165">
        <v>3656</v>
      </c>
      <c r="B5" s="166" t="s">
        <v>82</v>
      </c>
      <c r="C5" s="458">
        <v>321802</v>
      </c>
      <c r="D5" s="458">
        <v>57137</v>
      </c>
      <c r="E5" s="458">
        <f>SUM(C5:D5)</f>
        <v>378939</v>
      </c>
      <c r="G5" s="458">
        <v>313265</v>
      </c>
      <c r="H5" s="458">
        <v>68759</v>
      </c>
      <c r="I5" s="458">
        <f>SUM(G5:H5)</f>
        <v>382024</v>
      </c>
      <c r="K5" s="459">
        <f>(G5-C5)/C5</f>
        <v>-2.6528735060689493E-2</v>
      </c>
      <c r="L5" s="459">
        <f>(H5-D5)/D5</f>
        <v>0.20340584909953272</v>
      </c>
      <c r="M5" s="459">
        <f>(I5-E5)/E5</f>
        <v>8.1411520059956888E-3</v>
      </c>
    </row>
    <row r="6" spans="1:13">
      <c r="A6" s="165">
        <v>3658</v>
      </c>
      <c r="B6" s="166" t="s">
        <v>83</v>
      </c>
      <c r="C6" s="458">
        <v>546484</v>
      </c>
      <c r="D6" s="458">
        <v>112041</v>
      </c>
      <c r="E6" s="458">
        <f t="shared" ref="E6:E41" si="0">SUM(C6:D6)</f>
        <v>658525</v>
      </c>
      <c r="G6" s="458">
        <v>549174</v>
      </c>
      <c r="H6" s="458">
        <v>113670</v>
      </c>
      <c r="I6" s="458">
        <f t="shared" ref="I6:I41" si="1">SUM(G6:H6)</f>
        <v>662844</v>
      </c>
      <c r="K6" s="459">
        <f t="shared" ref="K6:K41" si="2">(G6-C6)/C6</f>
        <v>4.9223765014163269E-3</v>
      </c>
      <c r="L6" s="459">
        <f t="shared" ref="L6:L42" si="3">(H6-D6)/D6</f>
        <v>1.4539320427343561E-2</v>
      </c>
      <c r="M6" s="459">
        <f t="shared" ref="M6:M42" si="4">(I6-E6)/E6</f>
        <v>6.5585968642040927E-3</v>
      </c>
    </row>
    <row r="7" spans="1:13">
      <c r="A7" s="165">
        <v>9741</v>
      </c>
      <c r="B7" s="166" t="s">
        <v>84</v>
      </c>
      <c r="C7" s="458">
        <v>273862</v>
      </c>
      <c r="D7" s="458">
        <v>68161</v>
      </c>
      <c r="E7" s="458">
        <f t="shared" si="0"/>
        <v>342023</v>
      </c>
      <c r="G7" s="458">
        <v>275344</v>
      </c>
      <c r="H7" s="458">
        <v>85437</v>
      </c>
      <c r="I7" s="458">
        <f t="shared" si="1"/>
        <v>360781</v>
      </c>
      <c r="K7" s="459">
        <f t="shared" si="2"/>
        <v>5.4114846163396159E-3</v>
      </c>
      <c r="L7" s="459">
        <f t="shared" si="3"/>
        <v>0.25345872273000691</v>
      </c>
      <c r="M7" s="459">
        <f t="shared" si="4"/>
        <v>5.4844264859380799E-2</v>
      </c>
    </row>
    <row r="8" spans="1:13">
      <c r="A8" s="165">
        <v>3661</v>
      </c>
      <c r="B8" s="166" t="s">
        <v>85</v>
      </c>
      <c r="C8" s="458">
        <v>214013.71</v>
      </c>
      <c r="D8" s="458">
        <v>25718.66</v>
      </c>
      <c r="E8" s="458">
        <f t="shared" si="0"/>
        <v>239732.37</v>
      </c>
      <c r="G8" s="458">
        <v>218047.63999999801</v>
      </c>
      <c r="H8" s="458">
        <v>26687.62</v>
      </c>
      <c r="I8" s="458">
        <f t="shared" si="1"/>
        <v>244735.259999998</v>
      </c>
      <c r="K8" s="459">
        <f t="shared" si="2"/>
        <v>1.8848932622111052E-2</v>
      </c>
      <c r="L8" s="459">
        <f t="shared" si="3"/>
        <v>3.7675368778933238E-2</v>
      </c>
      <c r="M8" s="459">
        <f t="shared" si="4"/>
        <v>2.0868646149028627E-2</v>
      </c>
    </row>
    <row r="9" spans="1:13">
      <c r="A9" s="165">
        <v>3599</v>
      </c>
      <c r="B9" s="166" t="s">
        <v>213</v>
      </c>
      <c r="C9" s="458">
        <v>324418</v>
      </c>
      <c r="D9" s="458">
        <v>23078</v>
      </c>
      <c r="E9" s="458">
        <f t="shared" si="0"/>
        <v>347496</v>
      </c>
      <c r="G9" s="458">
        <v>322194</v>
      </c>
      <c r="H9" s="458">
        <v>22803</v>
      </c>
      <c r="I9" s="458">
        <f t="shared" si="1"/>
        <v>344997</v>
      </c>
      <c r="K9" s="459">
        <f t="shared" si="2"/>
        <v>-6.8553532787946417E-3</v>
      </c>
      <c r="L9" s="459">
        <f t="shared" si="3"/>
        <v>-1.1916110581506196E-2</v>
      </c>
      <c r="M9" s="459">
        <f t="shared" si="4"/>
        <v>-7.1914496857517782E-3</v>
      </c>
    </row>
    <row r="10" spans="1:13">
      <c r="A10" s="165">
        <v>9930</v>
      </c>
      <c r="B10" s="166" t="s">
        <v>86</v>
      </c>
      <c r="C10" s="458">
        <v>38775</v>
      </c>
      <c r="D10" s="458">
        <v>3426</v>
      </c>
      <c r="E10" s="458">
        <f t="shared" si="0"/>
        <v>42201</v>
      </c>
      <c r="G10" s="458">
        <v>41009</v>
      </c>
      <c r="H10" s="458">
        <v>3270</v>
      </c>
      <c r="I10" s="458">
        <f t="shared" si="1"/>
        <v>44279</v>
      </c>
      <c r="K10" s="459">
        <f t="shared" si="2"/>
        <v>5.7614442295293361E-2</v>
      </c>
      <c r="L10" s="459">
        <f t="shared" si="3"/>
        <v>-4.553415061295972E-2</v>
      </c>
      <c r="M10" s="459">
        <f t="shared" si="4"/>
        <v>4.9240539323712709E-2</v>
      </c>
    </row>
    <row r="11" spans="1:13">
      <c r="A11" s="165">
        <v>10115</v>
      </c>
      <c r="B11" s="166" t="s">
        <v>87</v>
      </c>
      <c r="C11" s="458">
        <v>357007</v>
      </c>
      <c r="D11" s="458">
        <v>19327</v>
      </c>
      <c r="E11" s="458">
        <f t="shared" si="0"/>
        <v>376334</v>
      </c>
      <c r="G11" s="458">
        <v>347212</v>
      </c>
      <c r="H11" s="458">
        <v>20107</v>
      </c>
      <c r="I11" s="458">
        <f t="shared" si="1"/>
        <v>367319</v>
      </c>
      <c r="K11" s="459">
        <f t="shared" si="2"/>
        <v>-2.7436436820566543E-2</v>
      </c>
      <c r="L11" s="459">
        <f t="shared" si="3"/>
        <v>4.0358048326175816E-2</v>
      </c>
      <c r="M11" s="459">
        <f t="shared" si="4"/>
        <v>-2.3954784845376713E-2</v>
      </c>
    </row>
    <row r="12" spans="1:13">
      <c r="A12" s="165">
        <v>11163</v>
      </c>
      <c r="B12" s="166" t="s">
        <v>88</v>
      </c>
      <c r="C12" s="458">
        <v>86935</v>
      </c>
      <c r="D12" s="458">
        <v>5491</v>
      </c>
      <c r="E12" s="458">
        <f t="shared" si="0"/>
        <v>92426</v>
      </c>
      <c r="G12" s="458">
        <v>84071</v>
      </c>
      <c r="H12" s="458">
        <v>5813</v>
      </c>
      <c r="I12" s="458">
        <f t="shared" si="1"/>
        <v>89884</v>
      </c>
      <c r="K12" s="459">
        <f t="shared" si="2"/>
        <v>-3.2944153678035312E-2</v>
      </c>
      <c r="L12" s="459">
        <f t="shared" si="3"/>
        <v>5.8641413221635401E-2</v>
      </c>
      <c r="M12" s="459">
        <f t="shared" si="4"/>
        <v>-2.7503083547919416E-2</v>
      </c>
    </row>
    <row r="13" spans="1:13">
      <c r="A13" s="165">
        <v>3632</v>
      </c>
      <c r="B13" s="166" t="s">
        <v>439</v>
      </c>
      <c r="C13" s="458">
        <v>708102.5</v>
      </c>
      <c r="D13" s="458">
        <v>95318.5</v>
      </c>
      <c r="E13" s="458">
        <f t="shared" si="0"/>
        <v>803421</v>
      </c>
      <c r="G13" s="458">
        <v>714513.10000002396</v>
      </c>
      <c r="H13" s="458">
        <v>102143.95</v>
      </c>
      <c r="I13" s="458">
        <f t="shared" si="1"/>
        <v>816657.05000002391</v>
      </c>
      <c r="K13" s="459">
        <f t="shared" si="2"/>
        <v>9.053209104647927E-3</v>
      </c>
      <c r="L13" s="459">
        <f t="shared" si="3"/>
        <v>7.1606770983597065E-2</v>
      </c>
      <c r="M13" s="459">
        <f t="shared" si="4"/>
        <v>1.647461293646035E-2</v>
      </c>
    </row>
    <row r="14" spans="1:13">
      <c r="A14" s="165">
        <v>10298</v>
      </c>
      <c r="B14" s="166" t="s">
        <v>116</v>
      </c>
      <c r="C14" s="458">
        <v>23350</v>
      </c>
      <c r="D14" s="458">
        <v>3952</v>
      </c>
      <c r="E14" s="458">
        <f t="shared" si="0"/>
        <v>27302</v>
      </c>
      <c r="G14" s="458">
        <v>24219</v>
      </c>
      <c r="H14" s="458">
        <v>4346</v>
      </c>
      <c r="I14" s="458">
        <f t="shared" si="1"/>
        <v>28565</v>
      </c>
      <c r="K14" s="459">
        <f t="shared" si="2"/>
        <v>3.7216274089935761E-2</v>
      </c>
      <c r="L14" s="459">
        <f t="shared" si="3"/>
        <v>9.9696356275303641E-2</v>
      </c>
      <c r="M14" s="459">
        <f t="shared" si="4"/>
        <v>4.6260347227309352E-2</v>
      </c>
    </row>
    <row r="15" spans="1:13">
      <c r="A15" s="165">
        <v>3630</v>
      </c>
      <c r="B15" s="166" t="s">
        <v>89</v>
      </c>
      <c r="C15" s="458">
        <v>103536</v>
      </c>
      <c r="D15" s="458">
        <v>13771</v>
      </c>
      <c r="E15" s="458">
        <f t="shared" si="0"/>
        <v>117307</v>
      </c>
      <c r="G15" s="458">
        <v>100335</v>
      </c>
      <c r="H15" s="458">
        <v>13549</v>
      </c>
      <c r="I15" s="458">
        <f t="shared" si="1"/>
        <v>113884</v>
      </c>
      <c r="K15" s="459">
        <f t="shared" si="2"/>
        <v>-3.0916782568382012E-2</v>
      </c>
      <c r="L15" s="459">
        <f t="shared" si="3"/>
        <v>-1.6120833635901534E-2</v>
      </c>
      <c r="M15" s="459">
        <f t="shared" si="4"/>
        <v>-2.9179844340064959E-2</v>
      </c>
    </row>
    <row r="16" spans="1:13">
      <c r="A16" s="165">
        <v>3631</v>
      </c>
      <c r="B16" s="166" t="s">
        <v>31</v>
      </c>
      <c r="C16" s="458">
        <v>141937.5</v>
      </c>
      <c r="D16" s="458">
        <v>6184</v>
      </c>
      <c r="E16" s="458">
        <f t="shared" si="0"/>
        <v>148121.5</v>
      </c>
      <c r="G16" s="458">
        <v>145545.5</v>
      </c>
      <c r="H16" s="458">
        <v>6801</v>
      </c>
      <c r="I16" s="458">
        <f t="shared" si="1"/>
        <v>152346.5</v>
      </c>
      <c r="K16" s="459">
        <f t="shared" si="2"/>
        <v>2.5419638925583445E-2</v>
      </c>
      <c r="L16" s="459">
        <f t="shared" si="3"/>
        <v>9.9773609314359635E-2</v>
      </c>
      <c r="M16" s="459">
        <f t="shared" si="4"/>
        <v>2.8523880733046857E-2</v>
      </c>
    </row>
    <row r="17" spans="1:13">
      <c r="A17" s="167">
        <v>42295</v>
      </c>
      <c r="B17" s="166" t="s">
        <v>113</v>
      </c>
      <c r="C17" s="458">
        <v>16889</v>
      </c>
      <c r="D17" s="458">
        <v>1050</v>
      </c>
      <c r="E17" s="458">
        <f t="shared" si="0"/>
        <v>17939</v>
      </c>
      <c r="G17" s="458">
        <v>15662</v>
      </c>
      <c r="H17" s="458">
        <v>1021</v>
      </c>
      <c r="I17" s="458">
        <f t="shared" si="1"/>
        <v>16683</v>
      </c>
      <c r="K17" s="459">
        <f t="shared" si="2"/>
        <v>-7.2650837823435371E-2</v>
      </c>
      <c r="L17" s="459">
        <f t="shared" si="3"/>
        <v>-2.7619047619047619E-2</v>
      </c>
      <c r="M17" s="459">
        <f t="shared" si="4"/>
        <v>-7.0015051006187642E-2</v>
      </c>
    </row>
    <row r="18" spans="1:13">
      <c r="A18" s="165">
        <v>11161</v>
      </c>
      <c r="B18" s="166" t="s">
        <v>90</v>
      </c>
      <c r="C18" s="458">
        <v>98337</v>
      </c>
      <c r="D18" s="458">
        <v>8146</v>
      </c>
      <c r="E18" s="458">
        <f t="shared" si="0"/>
        <v>106483</v>
      </c>
      <c r="G18" s="458">
        <v>96031</v>
      </c>
      <c r="H18" s="458">
        <v>8646</v>
      </c>
      <c r="I18" s="458">
        <f t="shared" si="1"/>
        <v>104677</v>
      </c>
      <c r="K18" s="459">
        <f t="shared" si="2"/>
        <v>-2.3449973051852303E-2</v>
      </c>
      <c r="L18" s="459">
        <f t="shared" si="3"/>
        <v>6.1379818315737786E-2</v>
      </c>
      <c r="M18" s="459">
        <f t="shared" si="4"/>
        <v>-1.6960453781354769E-2</v>
      </c>
    </row>
    <row r="19" spans="1:13">
      <c r="A19" s="165">
        <v>3639</v>
      </c>
      <c r="B19" s="166" t="s">
        <v>91</v>
      </c>
      <c r="C19" s="458">
        <v>63018</v>
      </c>
      <c r="D19" s="458">
        <v>6905</v>
      </c>
      <c r="E19" s="458">
        <f t="shared" si="0"/>
        <v>69923</v>
      </c>
      <c r="G19" s="458">
        <v>60715</v>
      </c>
      <c r="H19" s="458">
        <v>6808</v>
      </c>
      <c r="I19" s="458">
        <f t="shared" si="1"/>
        <v>67523</v>
      </c>
      <c r="K19" s="459">
        <f t="shared" si="2"/>
        <v>-3.6545114094385732E-2</v>
      </c>
      <c r="L19" s="459">
        <f t="shared" si="3"/>
        <v>-1.4047791455467053E-2</v>
      </c>
      <c r="M19" s="459">
        <f t="shared" si="4"/>
        <v>-3.4323470102827394E-2</v>
      </c>
    </row>
    <row r="20" spans="1:13">
      <c r="A20" s="167">
        <v>42485</v>
      </c>
      <c r="B20" s="166" t="s">
        <v>114</v>
      </c>
      <c r="C20" s="458">
        <v>63237</v>
      </c>
      <c r="D20" s="458">
        <v>2955</v>
      </c>
      <c r="E20" s="458">
        <f t="shared" si="0"/>
        <v>66192</v>
      </c>
      <c r="G20" s="458">
        <v>67449</v>
      </c>
      <c r="H20" s="458">
        <v>2315</v>
      </c>
      <c r="I20" s="458">
        <f t="shared" si="1"/>
        <v>69764</v>
      </c>
      <c r="K20" s="459">
        <f t="shared" si="2"/>
        <v>6.6606575264481244E-2</v>
      </c>
      <c r="L20" s="459">
        <f t="shared" si="3"/>
        <v>-0.21658206429780033</v>
      </c>
      <c r="M20" s="459">
        <f t="shared" si="4"/>
        <v>5.3964225284022241E-2</v>
      </c>
    </row>
    <row r="21" spans="1:13">
      <c r="A21" s="165">
        <v>9651</v>
      </c>
      <c r="B21" s="166" t="s">
        <v>92</v>
      </c>
      <c r="C21" s="458">
        <v>80414</v>
      </c>
      <c r="D21" s="458">
        <v>5715</v>
      </c>
      <c r="E21" s="458">
        <f t="shared" si="0"/>
        <v>86129</v>
      </c>
      <c r="G21" s="458">
        <v>82473</v>
      </c>
      <c r="H21" s="458">
        <v>5803</v>
      </c>
      <c r="I21" s="458">
        <f t="shared" si="1"/>
        <v>88276</v>
      </c>
      <c r="K21" s="459">
        <f t="shared" si="2"/>
        <v>2.5604994155246599E-2</v>
      </c>
      <c r="L21" s="459">
        <f t="shared" si="3"/>
        <v>1.5398075240594925E-2</v>
      </c>
      <c r="M21" s="459">
        <f t="shared" si="4"/>
        <v>2.4927724692031718E-2</v>
      </c>
    </row>
    <row r="22" spans="1:13">
      <c r="A22" s="165">
        <v>3665</v>
      </c>
      <c r="B22" s="166" t="s">
        <v>32</v>
      </c>
      <c r="C22" s="458">
        <v>81884</v>
      </c>
      <c r="D22" s="458">
        <v>17674</v>
      </c>
      <c r="E22" s="458">
        <f t="shared" si="0"/>
        <v>99558</v>
      </c>
      <c r="G22" s="458">
        <v>80937</v>
      </c>
      <c r="H22" s="458">
        <v>17132</v>
      </c>
      <c r="I22" s="458">
        <f t="shared" si="1"/>
        <v>98069</v>
      </c>
      <c r="K22" s="459">
        <f t="shared" si="2"/>
        <v>-1.1565140931073225E-2</v>
      </c>
      <c r="L22" s="459">
        <f t="shared" si="3"/>
        <v>-3.0666515785900194E-2</v>
      </c>
      <c r="M22" s="459">
        <f t="shared" si="4"/>
        <v>-1.4956105988469033E-2</v>
      </c>
    </row>
    <row r="23" spans="1:13">
      <c r="A23" s="165">
        <v>3565</v>
      </c>
      <c r="B23" s="166" t="s">
        <v>94</v>
      </c>
      <c r="C23" s="458">
        <v>92349</v>
      </c>
      <c r="D23" s="458">
        <v>11067</v>
      </c>
      <c r="E23" s="458">
        <f t="shared" si="0"/>
        <v>103416</v>
      </c>
      <c r="G23" s="458">
        <v>86275</v>
      </c>
      <c r="H23" s="458">
        <v>10665</v>
      </c>
      <c r="I23" s="458">
        <f t="shared" si="1"/>
        <v>96940</v>
      </c>
      <c r="K23" s="459">
        <f t="shared" si="2"/>
        <v>-6.5772233592134188E-2</v>
      </c>
      <c r="L23" s="459">
        <f t="shared" si="3"/>
        <v>-3.6324207102195714E-2</v>
      </c>
      <c r="M23" s="459">
        <f t="shared" si="4"/>
        <v>-6.2620871045099405E-2</v>
      </c>
    </row>
    <row r="24" spans="1:13">
      <c r="A24" s="165">
        <v>29269</v>
      </c>
      <c r="B24" s="166" t="s">
        <v>93</v>
      </c>
      <c r="C24" s="458">
        <v>16007</v>
      </c>
      <c r="D24" s="458">
        <v>5061</v>
      </c>
      <c r="E24" s="458">
        <f t="shared" si="0"/>
        <v>21068</v>
      </c>
      <c r="G24" s="458">
        <v>16397</v>
      </c>
      <c r="H24" s="458">
        <v>4722</v>
      </c>
      <c r="I24" s="458">
        <f t="shared" si="1"/>
        <v>21119</v>
      </c>
      <c r="K24" s="459">
        <f t="shared" si="2"/>
        <v>2.4364340600987067E-2</v>
      </c>
      <c r="L24" s="459">
        <f t="shared" si="3"/>
        <v>-6.6982809721398931E-2</v>
      </c>
      <c r="M24" s="459">
        <f t="shared" si="4"/>
        <v>2.4207328650085436E-3</v>
      </c>
    </row>
    <row r="25" spans="1:13">
      <c r="A25" s="165">
        <v>3652</v>
      </c>
      <c r="B25" s="166" t="s">
        <v>95</v>
      </c>
      <c r="C25" s="458">
        <v>474628.5</v>
      </c>
      <c r="D25" s="458">
        <v>56878.5</v>
      </c>
      <c r="E25" s="458">
        <f t="shared" si="0"/>
        <v>531507</v>
      </c>
      <c r="G25" s="458">
        <v>464177.5</v>
      </c>
      <c r="H25" s="458">
        <v>62329</v>
      </c>
      <c r="I25" s="458">
        <f t="shared" si="1"/>
        <v>526506.5</v>
      </c>
      <c r="K25" s="459">
        <f t="shared" si="2"/>
        <v>-2.2019326694456824E-2</v>
      </c>
      <c r="L25" s="459">
        <f t="shared" si="3"/>
        <v>9.5827069982506577E-2</v>
      </c>
      <c r="M25" s="459">
        <f t="shared" si="4"/>
        <v>-9.4081545492345348E-3</v>
      </c>
    </row>
    <row r="26" spans="1:13">
      <c r="A26" s="165">
        <v>11711</v>
      </c>
      <c r="B26" s="166" t="s">
        <v>96</v>
      </c>
      <c r="C26" s="458">
        <v>73857</v>
      </c>
      <c r="D26" s="458">
        <v>7586</v>
      </c>
      <c r="E26" s="458">
        <f t="shared" si="0"/>
        <v>81443</v>
      </c>
      <c r="G26" s="458">
        <v>68457</v>
      </c>
      <c r="H26" s="458">
        <v>7371</v>
      </c>
      <c r="I26" s="458">
        <f t="shared" si="1"/>
        <v>75828</v>
      </c>
      <c r="K26" s="459">
        <f t="shared" si="2"/>
        <v>-7.3114261342865264E-2</v>
      </c>
      <c r="L26" s="459">
        <f t="shared" si="3"/>
        <v>-2.8341682045873978E-2</v>
      </c>
      <c r="M26" s="459">
        <f t="shared" si="4"/>
        <v>-6.8943923971366478E-2</v>
      </c>
    </row>
    <row r="27" spans="1:13">
      <c r="A27" s="165">
        <v>12826</v>
      </c>
      <c r="B27" s="166" t="s">
        <v>97</v>
      </c>
      <c r="C27" s="458">
        <v>124580</v>
      </c>
      <c r="D27" s="458">
        <v>9307</v>
      </c>
      <c r="E27" s="458">
        <f t="shared" si="0"/>
        <v>133887</v>
      </c>
      <c r="G27" s="458">
        <v>115631</v>
      </c>
      <c r="H27" s="458">
        <v>8919</v>
      </c>
      <c r="I27" s="458">
        <f t="shared" si="1"/>
        <v>124550</v>
      </c>
      <c r="K27" s="459">
        <f t="shared" si="2"/>
        <v>-7.1833360089902071E-2</v>
      </c>
      <c r="L27" s="459">
        <f t="shared" si="3"/>
        <v>-4.1689051251745997E-2</v>
      </c>
      <c r="M27" s="459">
        <f t="shared" si="4"/>
        <v>-6.9737913314959626E-2</v>
      </c>
    </row>
    <row r="28" spans="1:13">
      <c r="A28" s="165">
        <v>13231</v>
      </c>
      <c r="B28" s="166" t="s">
        <v>98</v>
      </c>
      <c r="C28" s="458">
        <v>33680</v>
      </c>
      <c r="D28" s="458">
        <v>1939</v>
      </c>
      <c r="E28" s="458">
        <f t="shared" si="0"/>
        <v>35619</v>
      </c>
      <c r="G28" s="458">
        <v>31130</v>
      </c>
      <c r="H28" s="458">
        <v>2500</v>
      </c>
      <c r="I28" s="458">
        <f t="shared" si="1"/>
        <v>33630</v>
      </c>
      <c r="K28" s="459">
        <f t="shared" si="2"/>
        <v>-7.5712589073634207E-2</v>
      </c>
      <c r="L28" s="459">
        <f t="shared" si="3"/>
        <v>0.28932439401753479</v>
      </c>
      <c r="M28" s="459">
        <f t="shared" si="4"/>
        <v>-5.5840983744630673E-2</v>
      </c>
    </row>
    <row r="29" spans="1:13">
      <c r="A29" s="165">
        <v>3592</v>
      </c>
      <c r="B29" s="166" t="s">
        <v>99</v>
      </c>
      <c r="C29" s="458">
        <v>50742</v>
      </c>
      <c r="D29" s="458">
        <v>5891</v>
      </c>
      <c r="E29" s="458">
        <f t="shared" si="0"/>
        <v>56633</v>
      </c>
      <c r="G29" s="458">
        <v>49151</v>
      </c>
      <c r="H29" s="458">
        <v>5618</v>
      </c>
      <c r="I29" s="458">
        <f t="shared" si="1"/>
        <v>54769</v>
      </c>
      <c r="K29" s="459">
        <f t="shared" si="2"/>
        <v>-3.1354696306806984E-2</v>
      </c>
      <c r="L29" s="459">
        <f t="shared" si="3"/>
        <v>-4.6341877440162958E-2</v>
      </c>
      <c r="M29" s="459">
        <f t="shared" si="4"/>
        <v>-3.2913672240566454E-2</v>
      </c>
    </row>
    <row r="30" spans="1:13">
      <c r="A30" s="165">
        <v>3594</v>
      </c>
      <c r="B30" s="166" t="s">
        <v>100</v>
      </c>
      <c r="C30" s="458">
        <v>394206</v>
      </c>
      <c r="D30" s="458">
        <v>65238</v>
      </c>
      <c r="E30" s="458">
        <f t="shared" si="0"/>
        <v>459444</v>
      </c>
      <c r="G30" s="458">
        <v>394045</v>
      </c>
      <c r="H30" s="458">
        <v>88983</v>
      </c>
      <c r="I30" s="458">
        <f t="shared" si="1"/>
        <v>483028</v>
      </c>
      <c r="K30" s="459">
        <f t="shared" si="2"/>
        <v>-4.0841590437486999E-4</v>
      </c>
      <c r="L30" s="459">
        <f t="shared" si="3"/>
        <v>0.36397498390508598</v>
      </c>
      <c r="M30" s="459">
        <f t="shared" si="4"/>
        <v>5.1331609510625889E-2</v>
      </c>
    </row>
    <row r="31" spans="1:13">
      <c r="A31" s="167">
        <v>42421</v>
      </c>
      <c r="B31" s="166" t="s">
        <v>115</v>
      </c>
      <c r="C31" s="458">
        <v>39785</v>
      </c>
      <c r="D31" s="458">
        <v>2906</v>
      </c>
      <c r="E31" s="458">
        <f t="shared" si="0"/>
        <v>42691</v>
      </c>
      <c r="G31" s="458">
        <v>34843</v>
      </c>
      <c r="H31" s="458">
        <v>2921</v>
      </c>
      <c r="I31" s="458">
        <f t="shared" si="1"/>
        <v>37764</v>
      </c>
      <c r="K31" s="459">
        <f t="shared" si="2"/>
        <v>-0.12421766997612166</v>
      </c>
      <c r="L31" s="459">
        <f t="shared" si="3"/>
        <v>5.1617343427391603E-3</v>
      </c>
      <c r="M31" s="459">
        <f t="shared" si="4"/>
        <v>-0.11541074231102574</v>
      </c>
    </row>
    <row r="32" spans="1:13">
      <c r="A32" s="165">
        <v>3624</v>
      </c>
      <c r="B32" s="166" t="s">
        <v>101</v>
      </c>
      <c r="C32" s="458">
        <v>135273</v>
      </c>
      <c r="D32" s="458">
        <v>4643</v>
      </c>
      <c r="E32" s="458">
        <f t="shared" si="0"/>
        <v>139916</v>
      </c>
      <c r="G32" s="458">
        <v>126286</v>
      </c>
      <c r="H32" s="458">
        <v>4386</v>
      </c>
      <c r="I32" s="458">
        <f t="shared" si="1"/>
        <v>130672</v>
      </c>
      <c r="K32" s="459">
        <f t="shared" si="2"/>
        <v>-6.6436021970385811E-2</v>
      </c>
      <c r="L32" s="459">
        <f t="shared" si="3"/>
        <v>-5.5352143010984275E-2</v>
      </c>
      <c r="M32" s="459">
        <f t="shared" si="4"/>
        <v>-6.606821235598502E-2</v>
      </c>
    </row>
    <row r="33" spans="1:13">
      <c r="A33" s="165">
        <v>3642</v>
      </c>
      <c r="B33" s="166" t="s">
        <v>102</v>
      </c>
      <c r="C33" s="458">
        <v>77199</v>
      </c>
      <c r="D33" s="458">
        <v>18108</v>
      </c>
      <c r="E33" s="458">
        <f t="shared" si="0"/>
        <v>95307</v>
      </c>
      <c r="G33" s="458">
        <v>86103</v>
      </c>
      <c r="H33" s="458">
        <v>22967</v>
      </c>
      <c r="I33" s="458">
        <f t="shared" si="1"/>
        <v>109070</v>
      </c>
      <c r="K33" s="459">
        <f t="shared" si="2"/>
        <v>0.11533828158395834</v>
      </c>
      <c r="L33" s="459">
        <f t="shared" si="3"/>
        <v>0.26833443781753918</v>
      </c>
      <c r="M33" s="459">
        <f t="shared" si="4"/>
        <v>0.14440702151993032</v>
      </c>
    </row>
    <row r="34" spans="1:13">
      <c r="A34" s="165">
        <v>3644</v>
      </c>
      <c r="B34" s="166" t="s">
        <v>103</v>
      </c>
      <c r="C34" s="458">
        <v>418620</v>
      </c>
      <c r="D34" s="458">
        <v>67750</v>
      </c>
      <c r="E34" s="458">
        <f t="shared" si="0"/>
        <v>486370</v>
      </c>
      <c r="G34" s="458">
        <v>422013</v>
      </c>
      <c r="H34" s="458">
        <v>71867</v>
      </c>
      <c r="I34" s="458">
        <f t="shared" si="1"/>
        <v>493880</v>
      </c>
      <c r="K34" s="459">
        <f t="shared" si="2"/>
        <v>8.1052028092303274E-3</v>
      </c>
      <c r="L34" s="459">
        <f t="shared" si="3"/>
        <v>6.0767527675276753E-2</v>
      </c>
      <c r="M34" s="459">
        <f t="shared" si="4"/>
        <v>1.5440919464605136E-2</v>
      </c>
    </row>
    <row r="35" spans="1:13">
      <c r="A35" s="165">
        <v>3541</v>
      </c>
      <c r="B35" s="166" t="s">
        <v>104</v>
      </c>
      <c r="C35" s="458">
        <v>89923</v>
      </c>
      <c r="D35" s="458">
        <v>4649</v>
      </c>
      <c r="E35" s="458">
        <f t="shared" si="0"/>
        <v>94572</v>
      </c>
      <c r="G35" s="458">
        <v>86243</v>
      </c>
      <c r="H35" s="458">
        <v>4935</v>
      </c>
      <c r="I35" s="458">
        <f t="shared" si="1"/>
        <v>91178</v>
      </c>
      <c r="K35" s="459">
        <f t="shared" si="2"/>
        <v>-4.0923901560223748E-2</v>
      </c>
      <c r="L35" s="459">
        <f t="shared" si="3"/>
        <v>6.1518606151860618E-2</v>
      </c>
      <c r="M35" s="459">
        <f t="shared" si="4"/>
        <v>-3.5888000676733069E-2</v>
      </c>
    </row>
    <row r="36" spans="1:13">
      <c r="A36" s="165">
        <v>3646</v>
      </c>
      <c r="B36" s="166" t="s">
        <v>105</v>
      </c>
      <c r="C36" s="458">
        <v>134722</v>
      </c>
      <c r="D36" s="458">
        <v>15111</v>
      </c>
      <c r="E36" s="458">
        <f t="shared" si="0"/>
        <v>149833</v>
      </c>
      <c r="G36" s="458">
        <v>128667</v>
      </c>
      <c r="H36" s="458">
        <v>13279</v>
      </c>
      <c r="I36" s="458">
        <f t="shared" si="1"/>
        <v>141946</v>
      </c>
      <c r="K36" s="459">
        <f t="shared" si="2"/>
        <v>-4.4944404032006648E-2</v>
      </c>
      <c r="L36" s="459">
        <f t="shared" si="3"/>
        <v>-0.12123618556018795</v>
      </c>
      <c r="M36" s="459">
        <f t="shared" si="4"/>
        <v>-5.2638604312801589E-2</v>
      </c>
    </row>
    <row r="37" spans="1:13">
      <c r="A37" s="165">
        <v>3581</v>
      </c>
      <c r="B37" s="166" t="s">
        <v>33</v>
      </c>
      <c r="C37" s="458">
        <v>115709</v>
      </c>
      <c r="D37" s="458">
        <v>9146</v>
      </c>
      <c r="E37" s="458">
        <f t="shared" si="0"/>
        <v>124855</v>
      </c>
      <c r="G37" s="458">
        <v>135180</v>
      </c>
      <c r="H37" s="458">
        <v>14455</v>
      </c>
      <c r="I37" s="458">
        <f t="shared" si="1"/>
        <v>149635</v>
      </c>
      <c r="K37" s="459">
        <f t="shared" si="2"/>
        <v>0.16827558789722494</v>
      </c>
      <c r="L37" s="459">
        <f t="shared" si="3"/>
        <v>0.58047233763393835</v>
      </c>
      <c r="M37" s="459">
        <f t="shared" si="4"/>
        <v>0.19847022546153539</v>
      </c>
    </row>
    <row r="38" spans="1:13">
      <c r="A38" s="165">
        <v>3606</v>
      </c>
      <c r="B38" s="166" t="s">
        <v>106</v>
      </c>
      <c r="C38" s="458">
        <v>225824</v>
      </c>
      <c r="D38" s="458">
        <v>8733</v>
      </c>
      <c r="E38" s="458">
        <f t="shared" si="0"/>
        <v>234557</v>
      </c>
      <c r="G38" s="458">
        <v>225800</v>
      </c>
      <c r="H38" s="458">
        <v>9238</v>
      </c>
      <c r="I38" s="458">
        <f t="shared" si="1"/>
        <v>235038</v>
      </c>
      <c r="K38" s="459">
        <f t="shared" si="2"/>
        <v>-1.0627745500921071E-4</v>
      </c>
      <c r="L38" s="459">
        <f t="shared" si="3"/>
        <v>5.7826634604374212E-2</v>
      </c>
      <c r="M38" s="459">
        <f t="shared" si="4"/>
        <v>2.0506742497559227E-3</v>
      </c>
    </row>
    <row r="39" spans="1:13">
      <c r="A39" s="165">
        <v>3615</v>
      </c>
      <c r="B39" s="166" t="s">
        <v>203</v>
      </c>
      <c r="C39" s="458">
        <v>421276</v>
      </c>
      <c r="D39" s="458">
        <v>21147</v>
      </c>
      <c r="E39" s="458">
        <f t="shared" si="0"/>
        <v>442423</v>
      </c>
      <c r="G39" s="458">
        <v>430612</v>
      </c>
      <c r="H39" s="458">
        <v>24405</v>
      </c>
      <c r="I39" s="458">
        <f t="shared" si="1"/>
        <v>455017</v>
      </c>
      <c r="K39" s="459">
        <f t="shared" si="2"/>
        <v>2.2161243460344288E-2</v>
      </c>
      <c r="L39" s="459">
        <f t="shared" si="3"/>
        <v>0.15406440629876578</v>
      </c>
      <c r="M39" s="459">
        <f t="shared" si="4"/>
        <v>2.8465970349642763E-2</v>
      </c>
    </row>
    <row r="40" spans="1:13">
      <c r="A40" s="165">
        <v>3625</v>
      </c>
      <c r="B40" s="166" t="s">
        <v>107</v>
      </c>
      <c r="C40" s="458">
        <v>13374</v>
      </c>
      <c r="D40" s="458">
        <v>560</v>
      </c>
      <c r="E40" s="458">
        <f t="shared" si="0"/>
        <v>13934</v>
      </c>
      <c r="G40" s="458">
        <v>12783</v>
      </c>
      <c r="H40" s="458">
        <v>633</v>
      </c>
      <c r="I40" s="458">
        <f t="shared" si="1"/>
        <v>13416</v>
      </c>
      <c r="K40" s="459">
        <f t="shared" si="2"/>
        <v>-4.4190219829519962E-2</v>
      </c>
      <c r="L40" s="459">
        <f t="shared" si="3"/>
        <v>0.13035714285714287</v>
      </c>
      <c r="M40" s="459">
        <f t="shared" si="4"/>
        <v>-3.7175254772498924E-2</v>
      </c>
    </row>
    <row r="41" spans="1:13">
      <c r="A41" s="165">
        <v>20</v>
      </c>
      <c r="B41" s="166" t="s">
        <v>205</v>
      </c>
      <c r="C41" s="458">
        <v>5733</v>
      </c>
      <c r="D41" s="458">
        <v>42</v>
      </c>
      <c r="E41" s="458">
        <f t="shared" si="0"/>
        <v>5775</v>
      </c>
      <c r="G41" s="458">
        <v>4901</v>
      </c>
      <c r="H41" s="458">
        <v>63</v>
      </c>
      <c r="I41" s="458">
        <f t="shared" si="1"/>
        <v>4964</v>
      </c>
      <c r="K41" s="459">
        <f t="shared" si="2"/>
        <v>-0.14512471655328799</v>
      </c>
      <c r="L41" s="459">
        <f t="shared" si="3"/>
        <v>0.5</v>
      </c>
      <c r="M41" s="459">
        <f t="shared" si="4"/>
        <v>-0.14043290043290044</v>
      </c>
    </row>
    <row r="42" spans="1:13">
      <c r="B42" s="166" t="s">
        <v>260</v>
      </c>
      <c r="C42" s="458">
        <f>SUM(C5:C41)</f>
        <v>6481489.21</v>
      </c>
      <c r="D42" s="458">
        <f>SUM(D5:D41)</f>
        <v>791812.65999999992</v>
      </c>
      <c r="E42" s="460">
        <f>SUM(E5:E41)</f>
        <v>7273301.8700000001</v>
      </c>
      <c r="G42" s="460">
        <f>SUM(G5:G41)</f>
        <v>6456890.7400000216</v>
      </c>
      <c r="H42" s="460">
        <f>SUM(H5:H41)</f>
        <v>875367.57000000007</v>
      </c>
      <c r="I42" s="460">
        <f>SUM(I5:I41)</f>
        <v>7332258.3100000219</v>
      </c>
      <c r="K42" s="459">
        <f>(G42-C42)/C42</f>
        <v>-3.7951879889002111E-3</v>
      </c>
      <c r="L42" s="459">
        <f t="shared" si="3"/>
        <v>0.10552358432864682</v>
      </c>
      <c r="M42" s="459">
        <f t="shared" si="4"/>
        <v>8.1058700785124754E-3</v>
      </c>
    </row>
    <row r="43" spans="1:13" ht="14.4" thickBot="1">
      <c r="A43" s="463"/>
    </row>
    <row r="44" spans="1:13" ht="14.4" thickBot="1">
      <c r="C44" s="747" t="s">
        <v>459</v>
      </c>
      <c r="D44" s="748"/>
      <c r="E44" s="748"/>
      <c r="G44" s="747" t="s">
        <v>458</v>
      </c>
      <c r="H44" s="748"/>
      <c r="I44" s="748"/>
      <c r="K44" s="747" t="s">
        <v>328</v>
      </c>
      <c r="L44" s="748"/>
      <c r="M44" s="748"/>
    </row>
    <row r="45" spans="1:13">
      <c r="A45" s="162" t="s">
        <v>0</v>
      </c>
      <c r="B45" s="163" t="s">
        <v>27</v>
      </c>
      <c r="C45" s="456" t="s">
        <v>262</v>
      </c>
      <c r="D45" s="456" t="s">
        <v>261</v>
      </c>
      <c r="E45" s="456" t="s">
        <v>2</v>
      </c>
      <c r="F45" s="457"/>
      <c r="G45" s="456" t="s">
        <v>262</v>
      </c>
      <c r="H45" s="456" t="s">
        <v>261</v>
      </c>
      <c r="I45" s="456" t="s">
        <v>2</v>
      </c>
      <c r="K45" s="456" t="s">
        <v>262</v>
      </c>
      <c r="L45" s="456" t="s">
        <v>261</v>
      </c>
      <c r="M45" s="456" t="s">
        <v>2</v>
      </c>
    </row>
    <row r="46" spans="1:13">
      <c r="A46" s="165" t="s">
        <v>433</v>
      </c>
      <c r="B46" s="166" t="s">
        <v>436</v>
      </c>
      <c r="C46" s="458">
        <v>37062</v>
      </c>
      <c r="D46" s="458">
        <v>1044</v>
      </c>
      <c r="E46" s="556">
        <f>SUM(C46:D46)</f>
        <v>38106</v>
      </c>
      <c r="G46" s="458">
        <v>38772</v>
      </c>
      <c r="H46" s="458">
        <v>763</v>
      </c>
      <c r="I46" s="458">
        <f>SUM(G46:H46)</f>
        <v>39535</v>
      </c>
      <c r="K46" s="459">
        <f t="shared" ref="K46:M48" si="5">(G46-C46)/C46</f>
        <v>4.6138902379796017E-2</v>
      </c>
      <c r="L46" s="459">
        <f t="shared" si="5"/>
        <v>-0.26915708812260536</v>
      </c>
      <c r="M46" s="459">
        <f t="shared" si="5"/>
        <v>3.7500656064661735E-2</v>
      </c>
    </row>
    <row r="47" spans="1:13">
      <c r="A47" s="165" t="s">
        <v>432</v>
      </c>
      <c r="B47" s="166" t="s">
        <v>435</v>
      </c>
      <c r="C47" s="458">
        <v>18609</v>
      </c>
      <c r="D47" s="458">
        <v>1619</v>
      </c>
      <c r="E47" s="556">
        <f>SUM(C47:D47)</f>
        <v>20228</v>
      </c>
      <c r="G47" s="458">
        <v>21013</v>
      </c>
      <c r="H47" s="458">
        <v>972</v>
      </c>
      <c r="I47" s="458">
        <f>SUM(G47:H47)</f>
        <v>21985</v>
      </c>
      <c r="K47" s="459">
        <f t="shared" si="5"/>
        <v>0.12918480305228652</v>
      </c>
      <c r="L47" s="459">
        <f t="shared" si="5"/>
        <v>-0.39962940086473131</v>
      </c>
      <c r="M47" s="459">
        <f t="shared" si="5"/>
        <v>8.6859798299386989E-2</v>
      </c>
    </row>
    <row r="48" spans="1:13">
      <c r="A48" s="165" t="s">
        <v>431</v>
      </c>
      <c r="B48" s="557" t="s">
        <v>434</v>
      </c>
      <c r="C48" s="458">
        <v>20299</v>
      </c>
      <c r="D48" s="458">
        <v>635</v>
      </c>
      <c r="E48" s="556">
        <f>SUM(C48:D48)</f>
        <v>20934</v>
      </c>
      <c r="G48" s="458">
        <v>21529</v>
      </c>
      <c r="H48" s="458">
        <v>367</v>
      </c>
      <c r="I48" s="458">
        <f>SUM(G48:H48)</f>
        <v>21896</v>
      </c>
      <c r="K48" s="459">
        <f t="shared" si="5"/>
        <v>6.0594117936844182E-2</v>
      </c>
      <c r="L48" s="459">
        <f t="shared" si="5"/>
        <v>-0.42204724409448818</v>
      </c>
      <c r="M48" s="459">
        <f t="shared" si="5"/>
        <v>4.5953950511130222E-2</v>
      </c>
    </row>
    <row r="49" spans="1:9">
      <c r="B49" s="462"/>
    </row>
    <row r="50" spans="1:9" ht="21.75" customHeight="1">
      <c r="A50" s="461" t="s">
        <v>397</v>
      </c>
      <c r="I50" s="454" t="s">
        <v>396</v>
      </c>
    </row>
    <row r="51" spans="1:9">
      <c r="A51" s="454" t="s">
        <v>398</v>
      </c>
    </row>
    <row r="52" spans="1:9">
      <c r="A52" s="454" t="s">
        <v>399</v>
      </c>
    </row>
    <row r="53" spans="1:9" ht="18" customHeight="1">
      <c r="A53" s="454" t="s">
        <v>430</v>
      </c>
    </row>
    <row r="54" spans="1:9" ht="18.75" customHeight="1">
      <c r="A54" s="454" t="s">
        <v>440</v>
      </c>
    </row>
  </sheetData>
  <mergeCells count="6">
    <mergeCell ref="C3:E3"/>
    <mergeCell ref="G3:I3"/>
    <mergeCell ref="K3:M3"/>
    <mergeCell ref="C44:E44"/>
    <mergeCell ref="G44:I44"/>
    <mergeCell ref="K44:M44"/>
  </mergeCells>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3">
    <tabColor theme="3"/>
    <pageSetUpPr fitToPage="1"/>
  </sheetPr>
  <dimension ref="A1:AG136"/>
  <sheetViews>
    <sheetView showGridLines="0" zoomScale="85" zoomScaleNormal="85" workbookViewId="0">
      <selection activeCell="L24" sqref="L24"/>
    </sheetView>
  </sheetViews>
  <sheetFormatPr defaultColWidth="10" defaultRowHeight="13.8" outlineLevelRow="2" outlineLevelCol="1"/>
  <cols>
    <col min="1" max="1" width="61.44140625" style="422" bestFit="1" customWidth="1"/>
    <col min="2" max="2" width="11.5546875" style="422" customWidth="1"/>
    <col min="3" max="6" width="13.88671875" style="422" hidden="1" customWidth="1" outlineLevel="1"/>
    <col min="7" max="7" width="16.44140625" style="422" bestFit="1" customWidth="1" collapsed="1"/>
    <col min="8" max="9" width="14" style="423" customWidth="1"/>
    <col min="10" max="11" width="15.109375" style="423" bestFit="1" customWidth="1"/>
    <col min="12" max="12" width="14.88671875" style="423" bestFit="1" customWidth="1"/>
    <col min="13" max="14" width="15.109375" style="423" bestFit="1" customWidth="1"/>
    <col min="15" max="16" width="14.88671875" style="423" bestFit="1" customWidth="1"/>
    <col min="17" max="17" width="11.44140625" style="423" bestFit="1" customWidth="1"/>
    <col min="18" max="19" width="12.5546875" style="423" bestFit="1" customWidth="1"/>
    <col min="20" max="20" width="16.44140625" style="423" customWidth="1"/>
    <col min="21" max="21" width="3.88671875" style="423" customWidth="1"/>
    <col min="22" max="23" width="11.44140625" style="423" bestFit="1" customWidth="1"/>
    <col min="24" max="25" width="12.5546875" style="423" bestFit="1" customWidth="1"/>
    <col min="26" max="26" width="16.44140625" style="423" customWidth="1"/>
    <col min="27" max="27" width="2.5546875" style="423" customWidth="1"/>
    <col min="28" max="28" width="11.5546875" style="423" bestFit="1" customWidth="1"/>
    <col min="29" max="29" width="11.44140625" style="423" bestFit="1" customWidth="1"/>
    <col min="30" max="31" width="12.5546875" style="423" bestFit="1" customWidth="1"/>
    <col min="32" max="32" width="18" style="423" customWidth="1"/>
    <col min="33" max="33" width="3" style="423" customWidth="1"/>
    <col min="34" max="16384" width="10" style="423"/>
  </cols>
  <sheetData>
    <row r="1" spans="1:33">
      <c r="A1" s="421" t="str">
        <f>Summary!A1</f>
        <v>General Academic Institutions - Formula Funding - 2024-2025</v>
      </c>
    </row>
    <row r="2" spans="1:33">
      <c r="A2" s="421" t="s">
        <v>61</v>
      </c>
    </row>
    <row r="4" spans="1:33" ht="27.6">
      <c r="A4" s="749" t="s">
        <v>62</v>
      </c>
      <c r="B4" s="750"/>
      <c r="C4" s="424" t="s">
        <v>135</v>
      </c>
      <c r="D4" s="424" t="s">
        <v>136</v>
      </c>
      <c r="E4" s="424" t="s">
        <v>137</v>
      </c>
      <c r="F4" s="424" t="s">
        <v>163</v>
      </c>
      <c r="G4" s="424" t="s">
        <v>200</v>
      </c>
      <c r="H4" s="424" t="s">
        <v>217</v>
      </c>
      <c r="I4" s="424" t="s">
        <v>245</v>
      </c>
      <c r="J4" s="424" t="s">
        <v>255</v>
      </c>
      <c r="K4" s="424" t="s">
        <v>295</v>
      </c>
      <c r="L4" s="424" t="s">
        <v>295</v>
      </c>
      <c r="O4" s="425"/>
      <c r="AG4" s="425"/>
    </row>
    <row r="5" spans="1:33">
      <c r="A5" s="751"/>
      <c r="B5" s="752"/>
      <c r="C5" s="426" t="s">
        <v>3</v>
      </c>
      <c r="D5" s="426" t="s">
        <v>3</v>
      </c>
      <c r="E5" s="426" t="s">
        <v>3</v>
      </c>
      <c r="F5" s="426" t="s">
        <v>3</v>
      </c>
      <c r="G5" s="426" t="s">
        <v>3</v>
      </c>
      <c r="H5" s="426" t="s">
        <v>3</v>
      </c>
      <c r="I5" s="426" t="s">
        <v>3</v>
      </c>
      <c r="J5" s="426" t="s">
        <v>3</v>
      </c>
      <c r="K5" s="426" t="s">
        <v>3</v>
      </c>
      <c r="L5" s="426" t="s">
        <v>103</v>
      </c>
      <c r="O5" s="425"/>
      <c r="AG5" s="425"/>
    </row>
    <row r="6" spans="1:33">
      <c r="A6" s="753"/>
      <c r="B6" s="754"/>
      <c r="C6" s="426">
        <v>2005</v>
      </c>
      <c r="D6" s="426">
        <v>2007</v>
      </c>
      <c r="E6" s="426">
        <v>2009</v>
      </c>
      <c r="F6" s="426">
        <v>2011</v>
      </c>
      <c r="G6" s="426">
        <v>2013</v>
      </c>
      <c r="H6" s="426">
        <v>2015</v>
      </c>
      <c r="I6" s="426">
        <v>2017</v>
      </c>
      <c r="J6" s="426">
        <v>2019</v>
      </c>
      <c r="K6" s="426">
        <v>2021</v>
      </c>
      <c r="L6" s="426">
        <v>2021</v>
      </c>
      <c r="Y6" s="427"/>
    </row>
    <row r="7" spans="1:33">
      <c r="A7" s="428" t="s">
        <v>185</v>
      </c>
      <c r="B7" s="429" t="s">
        <v>40</v>
      </c>
      <c r="C7" s="430">
        <v>2499802</v>
      </c>
      <c r="D7" s="430">
        <v>2521935</v>
      </c>
      <c r="E7" s="430">
        <v>2818800</v>
      </c>
      <c r="F7" s="430">
        <v>2619810</v>
      </c>
      <c r="G7" s="430">
        <v>2528202</v>
      </c>
      <c r="H7" s="430">
        <v>2700000</v>
      </c>
      <c r="I7" s="431">
        <v>2718900</v>
      </c>
      <c r="J7" s="431">
        <v>2859840</v>
      </c>
      <c r="K7" s="431">
        <v>3023325</v>
      </c>
      <c r="L7" s="431">
        <v>332100</v>
      </c>
      <c r="Y7" s="427"/>
    </row>
    <row r="8" spans="1:33" ht="27.6">
      <c r="A8" s="428" t="s">
        <v>186</v>
      </c>
      <c r="B8" s="429" t="s">
        <v>39</v>
      </c>
      <c r="C8" s="432">
        <v>348631</v>
      </c>
      <c r="D8" s="432">
        <v>0</v>
      </c>
      <c r="E8" s="432">
        <v>0</v>
      </c>
      <c r="F8" s="432">
        <v>0</v>
      </c>
      <c r="G8" s="432">
        <v>0</v>
      </c>
      <c r="H8" s="432">
        <v>0</v>
      </c>
      <c r="I8" s="432">
        <v>0</v>
      </c>
      <c r="J8" s="432">
        <v>0</v>
      </c>
      <c r="K8" s="432">
        <v>0</v>
      </c>
      <c r="L8" s="432">
        <v>0</v>
      </c>
      <c r="Y8" s="427"/>
    </row>
    <row r="9" spans="1:33">
      <c r="A9" s="428" t="s">
        <v>48</v>
      </c>
      <c r="B9" s="429" t="s">
        <v>38</v>
      </c>
      <c r="C9" s="432">
        <v>868301</v>
      </c>
      <c r="D9" s="432">
        <v>1984892</v>
      </c>
      <c r="E9" s="432">
        <v>2414493.6800000002</v>
      </c>
      <c r="F9" s="432">
        <v>2715370.2</v>
      </c>
      <c r="G9" s="432">
        <v>2408238</v>
      </c>
      <c r="H9" s="432">
        <v>4269924.72</v>
      </c>
      <c r="I9" s="200">
        <v>4482964</v>
      </c>
      <c r="J9" s="200">
        <v>5053910</v>
      </c>
      <c r="K9" s="200">
        <v>5641459</v>
      </c>
      <c r="L9" s="200">
        <v>563172</v>
      </c>
      <c r="Y9" s="427"/>
    </row>
    <row r="10" spans="1:33">
      <c r="A10" s="428" t="s">
        <v>187</v>
      </c>
      <c r="B10" s="429" t="s">
        <v>37</v>
      </c>
      <c r="C10" s="432">
        <v>267300</v>
      </c>
      <c r="D10" s="432">
        <v>253800</v>
      </c>
      <c r="E10" s="432">
        <v>334800</v>
      </c>
      <c r="F10" s="432">
        <v>583200</v>
      </c>
      <c r="G10" s="432">
        <v>486000</v>
      </c>
      <c r="H10" s="432">
        <v>429300</v>
      </c>
      <c r="I10" s="200">
        <v>388800</v>
      </c>
      <c r="J10" s="200">
        <v>340200</v>
      </c>
      <c r="K10" s="200">
        <v>631800</v>
      </c>
      <c r="L10" s="200">
        <v>32400</v>
      </c>
      <c r="Y10" s="427"/>
    </row>
    <row r="11" spans="1:33" ht="27.6">
      <c r="A11" s="428" t="s">
        <v>180</v>
      </c>
      <c r="B11" s="429" t="s">
        <v>36</v>
      </c>
      <c r="C11" s="432">
        <v>25562</v>
      </c>
      <c r="D11" s="432">
        <v>0</v>
      </c>
      <c r="E11" s="432">
        <v>0</v>
      </c>
      <c r="F11" s="432">
        <v>0</v>
      </c>
      <c r="G11" s="432">
        <v>0</v>
      </c>
      <c r="H11" s="432">
        <v>0</v>
      </c>
      <c r="I11" s="432">
        <v>0</v>
      </c>
      <c r="J11" s="432">
        <v>0</v>
      </c>
      <c r="K11" s="432">
        <v>0</v>
      </c>
      <c r="L11" s="432">
        <v>0</v>
      </c>
      <c r="Y11" s="427"/>
    </row>
    <row r="12" spans="1:33">
      <c r="A12" s="428" t="s">
        <v>134</v>
      </c>
      <c r="B12" s="429" t="s">
        <v>35</v>
      </c>
      <c r="C12" s="432">
        <v>64164</v>
      </c>
      <c r="D12" s="432">
        <v>153022</v>
      </c>
      <c r="E12" s="432">
        <v>169726.05</v>
      </c>
      <c r="F12" s="432">
        <v>204538.26</v>
      </c>
      <c r="G12" s="432">
        <v>134882</v>
      </c>
      <c r="H12" s="432">
        <v>210142.58</v>
      </c>
      <c r="I12" s="200">
        <v>200420</v>
      </c>
      <c r="J12" s="200">
        <v>189735</v>
      </c>
      <c r="K12" s="200">
        <v>367349</v>
      </c>
      <c r="L12" s="200">
        <v>18318</v>
      </c>
      <c r="Y12" s="427"/>
    </row>
    <row r="13" spans="1:33">
      <c r="A13" s="428" t="s">
        <v>47</v>
      </c>
      <c r="B13" s="429" t="s">
        <v>42</v>
      </c>
      <c r="C13" s="432">
        <v>2767102</v>
      </c>
      <c r="D13" s="432">
        <v>2775735</v>
      </c>
      <c r="E13" s="432">
        <v>3153600</v>
      </c>
      <c r="F13" s="432">
        <v>3203010</v>
      </c>
      <c r="G13" s="432">
        <f t="shared" ref="G13:H15" si="0">G7+G10</f>
        <v>3014202</v>
      </c>
      <c r="H13" s="432">
        <f t="shared" si="0"/>
        <v>3129300</v>
      </c>
      <c r="I13" s="432">
        <f t="shared" ref="I13:L15" si="1">I7+I10</f>
        <v>3107700</v>
      </c>
      <c r="J13" s="432">
        <f t="shared" si="1"/>
        <v>3200040</v>
      </c>
      <c r="K13" s="432">
        <f t="shared" si="1"/>
        <v>3655125</v>
      </c>
      <c r="L13" s="432">
        <f t="shared" si="1"/>
        <v>364500</v>
      </c>
      <c r="Y13" s="427"/>
    </row>
    <row r="14" spans="1:33">
      <c r="A14" s="428" t="s">
        <v>46</v>
      </c>
      <c r="B14" s="429" t="s">
        <v>42</v>
      </c>
      <c r="C14" s="432">
        <v>374193</v>
      </c>
      <c r="D14" s="432">
        <v>0</v>
      </c>
      <c r="E14" s="432">
        <v>0</v>
      </c>
      <c r="F14" s="432">
        <v>0</v>
      </c>
      <c r="G14" s="432">
        <f t="shared" si="0"/>
        <v>0</v>
      </c>
      <c r="H14" s="432">
        <f t="shared" si="0"/>
        <v>0</v>
      </c>
      <c r="I14" s="432">
        <f t="shared" si="1"/>
        <v>0</v>
      </c>
      <c r="J14" s="432">
        <f t="shared" si="1"/>
        <v>0</v>
      </c>
      <c r="K14" s="432">
        <f t="shared" si="1"/>
        <v>0</v>
      </c>
      <c r="L14" s="432">
        <f t="shared" si="1"/>
        <v>0</v>
      </c>
      <c r="Y14" s="427"/>
    </row>
    <row r="15" spans="1:33">
      <c r="A15" s="428" t="s">
        <v>45</v>
      </c>
      <c r="B15" s="429" t="s">
        <v>42</v>
      </c>
      <c r="C15" s="432">
        <v>932465</v>
      </c>
      <c r="D15" s="432">
        <v>2137914</v>
      </c>
      <c r="E15" s="432">
        <v>2584219.73</v>
      </c>
      <c r="F15" s="432">
        <v>2919908.46</v>
      </c>
      <c r="G15" s="432">
        <f t="shared" si="0"/>
        <v>2543120</v>
      </c>
      <c r="H15" s="432">
        <f t="shared" si="0"/>
        <v>4480067.3</v>
      </c>
      <c r="I15" s="432">
        <f t="shared" si="1"/>
        <v>4683384</v>
      </c>
      <c r="J15" s="432">
        <f t="shared" si="1"/>
        <v>5243645</v>
      </c>
      <c r="K15" s="432">
        <f t="shared" si="1"/>
        <v>6008808</v>
      </c>
      <c r="L15" s="432">
        <f t="shared" si="1"/>
        <v>581490</v>
      </c>
      <c r="Y15" s="427"/>
    </row>
    <row r="16" spans="1:33">
      <c r="A16" s="428" t="s">
        <v>44</v>
      </c>
      <c r="B16" s="429" t="s">
        <v>42</v>
      </c>
      <c r="C16" s="432">
        <v>4073760</v>
      </c>
      <c r="D16" s="432">
        <v>4913649</v>
      </c>
      <c r="E16" s="432">
        <v>5737819.7300000004</v>
      </c>
      <c r="F16" s="432">
        <v>6122918.46</v>
      </c>
      <c r="G16" s="432">
        <f t="shared" ref="G16:L16" si="2">SUM(G13:G15)</f>
        <v>5557322</v>
      </c>
      <c r="H16" s="432">
        <f t="shared" si="2"/>
        <v>7609367.2999999998</v>
      </c>
      <c r="I16" s="432">
        <f t="shared" si="2"/>
        <v>7791084</v>
      </c>
      <c r="J16" s="432">
        <f t="shared" si="2"/>
        <v>8443685</v>
      </c>
      <c r="K16" s="432">
        <f t="shared" si="2"/>
        <v>9663933</v>
      </c>
      <c r="L16" s="432">
        <f t="shared" si="2"/>
        <v>945990</v>
      </c>
      <c r="Y16" s="427"/>
    </row>
    <row r="17" spans="1:19">
      <c r="A17" s="428" t="s">
        <v>43</v>
      </c>
      <c r="B17" s="429" t="s">
        <v>42</v>
      </c>
      <c r="C17" s="430">
        <v>3141295</v>
      </c>
      <c r="D17" s="430">
        <v>2775735</v>
      </c>
      <c r="E17" s="430">
        <v>3153600</v>
      </c>
      <c r="F17" s="430">
        <v>3203010</v>
      </c>
      <c r="G17" s="430">
        <f t="shared" ref="G17:L17" si="3">G13+G14</f>
        <v>3014202</v>
      </c>
      <c r="H17" s="430">
        <f t="shared" si="3"/>
        <v>3129300</v>
      </c>
      <c r="I17" s="430">
        <f t="shared" si="3"/>
        <v>3107700</v>
      </c>
      <c r="J17" s="430">
        <f t="shared" si="3"/>
        <v>3200040</v>
      </c>
      <c r="K17" s="430">
        <f t="shared" si="3"/>
        <v>3655125</v>
      </c>
      <c r="L17" s="552">
        <f t="shared" si="3"/>
        <v>364500</v>
      </c>
    </row>
    <row r="18" spans="1:19" ht="9.6" customHeight="1"/>
    <row r="19" spans="1:19">
      <c r="A19" s="422" t="s">
        <v>41</v>
      </c>
    </row>
    <row r="20" spans="1:19" ht="10.199999999999999" customHeight="1"/>
    <row r="21" spans="1:19" ht="27.6">
      <c r="A21" s="433" t="s">
        <v>296</v>
      </c>
      <c r="B21" s="434" t="s">
        <v>28</v>
      </c>
      <c r="C21" s="426" t="s">
        <v>102</v>
      </c>
      <c r="D21" s="426" t="s">
        <v>103</v>
      </c>
      <c r="E21" s="426" t="s">
        <v>95</v>
      </c>
      <c r="F21" s="426" t="s">
        <v>83</v>
      </c>
      <c r="G21" s="424" t="s">
        <v>3</v>
      </c>
      <c r="H21" s="424" t="s">
        <v>115</v>
      </c>
      <c r="I21" s="424" t="s">
        <v>297</v>
      </c>
    </row>
    <row r="22" spans="1:19">
      <c r="A22" s="428" t="s">
        <v>60</v>
      </c>
      <c r="B22" s="429" t="s">
        <v>54</v>
      </c>
      <c r="C22" s="435">
        <v>3088800.01</v>
      </c>
      <c r="D22" s="435">
        <v>895560</v>
      </c>
      <c r="E22" s="435">
        <v>1442112</v>
      </c>
      <c r="F22" s="435">
        <v>1519952</v>
      </c>
      <c r="G22" s="435">
        <v>1083540</v>
      </c>
      <c r="H22" s="435">
        <v>812051</v>
      </c>
      <c r="I22" s="436">
        <f t="shared" ref="I22:I32" si="4">SUM(C22:H22)</f>
        <v>8842015.0099999998</v>
      </c>
      <c r="K22" s="437"/>
      <c r="L22" s="437"/>
      <c r="M22" s="437"/>
      <c r="N22" s="437"/>
      <c r="O22" s="437"/>
      <c r="P22" s="437"/>
      <c r="Q22" s="437"/>
      <c r="R22" s="437"/>
      <c r="S22" s="437"/>
    </row>
    <row r="23" spans="1:19" ht="27.6">
      <c r="A23" s="428" t="s">
        <v>181</v>
      </c>
      <c r="B23" s="429" t="s">
        <v>53</v>
      </c>
      <c r="C23" s="435">
        <v>2302327.5</v>
      </c>
      <c r="D23" s="435">
        <v>1791120</v>
      </c>
      <c r="E23" s="435">
        <v>2884224.31</v>
      </c>
      <c r="F23" s="435">
        <v>3039904</v>
      </c>
      <c r="G23" s="435">
        <v>0</v>
      </c>
      <c r="H23" s="435">
        <v>2436154</v>
      </c>
      <c r="I23" s="432">
        <f t="shared" si="4"/>
        <v>12453729.810000001</v>
      </c>
      <c r="K23" s="438"/>
      <c r="L23" s="439"/>
      <c r="M23" s="439"/>
      <c r="N23" s="440"/>
      <c r="O23" s="440"/>
      <c r="P23" s="440"/>
      <c r="Q23" s="440"/>
      <c r="R23" s="440"/>
      <c r="S23" s="440"/>
    </row>
    <row r="24" spans="1:19">
      <c r="A24" s="428" t="s">
        <v>59</v>
      </c>
      <c r="B24" s="429" t="s">
        <v>50</v>
      </c>
      <c r="C24" s="435">
        <v>2531129.29</v>
      </c>
      <c r="D24" s="435">
        <v>5733654</v>
      </c>
      <c r="E24" s="435">
        <v>12043570.720000001</v>
      </c>
      <c r="F24" s="435">
        <v>13290580</v>
      </c>
      <c r="G24" s="435">
        <v>2388753</v>
      </c>
      <c r="H24" s="435">
        <v>2315712</v>
      </c>
      <c r="I24" s="432">
        <f t="shared" si="4"/>
        <v>38303399.010000005</v>
      </c>
    </row>
    <row r="25" spans="1:19">
      <c r="A25" s="428" t="s">
        <v>58</v>
      </c>
      <c r="B25" s="429" t="s">
        <v>52</v>
      </c>
      <c r="C25" s="435">
        <v>1711208</v>
      </c>
      <c r="D25" s="435">
        <v>631584</v>
      </c>
      <c r="E25" s="435">
        <v>1270053</v>
      </c>
      <c r="F25" s="435">
        <v>3953345</v>
      </c>
      <c r="G25" s="435">
        <v>1356339</v>
      </c>
      <c r="H25" s="435">
        <v>116638</v>
      </c>
      <c r="I25" s="432">
        <f t="shared" si="4"/>
        <v>9039167</v>
      </c>
    </row>
    <row r="26" spans="1:19" ht="27.6">
      <c r="A26" s="428" t="s">
        <v>182</v>
      </c>
      <c r="B26" s="429" t="s">
        <v>51</v>
      </c>
      <c r="C26" s="435">
        <v>755769</v>
      </c>
      <c r="D26" s="435">
        <v>220160</v>
      </c>
      <c r="E26" s="435">
        <v>442720</v>
      </c>
      <c r="F26" s="435">
        <v>2583885</v>
      </c>
      <c r="G26" s="435">
        <v>0</v>
      </c>
      <c r="H26" s="435">
        <v>60662</v>
      </c>
      <c r="I26" s="432">
        <f t="shared" si="4"/>
        <v>4063196</v>
      </c>
    </row>
    <row r="27" spans="1:19">
      <c r="A27" s="428" t="s">
        <v>59</v>
      </c>
      <c r="B27" s="429" t="s">
        <v>50</v>
      </c>
      <c r="C27" s="435">
        <v>774304.84</v>
      </c>
      <c r="D27" s="435">
        <v>705888</v>
      </c>
      <c r="E27" s="441">
        <v>2141808.6</v>
      </c>
      <c r="F27" s="441">
        <v>6560619</v>
      </c>
      <c r="G27" s="435">
        <v>775561</v>
      </c>
      <c r="H27" s="442">
        <v>70650</v>
      </c>
      <c r="I27" s="432">
        <f t="shared" si="4"/>
        <v>11028831.439999999</v>
      </c>
    </row>
    <row r="28" spans="1:19">
      <c r="A28" s="428" t="s">
        <v>57</v>
      </c>
      <c r="B28" s="428" t="s">
        <v>49</v>
      </c>
      <c r="C28" s="435">
        <f t="shared" ref="C28:H28" si="5">C22+C25</f>
        <v>4800008.01</v>
      </c>
      <c r="D28" s="435">
        <f t="shared" si="5"/>
        <v>1527144</v>
      </c>
      <c r="E28" s="435">
        <f t="shared" si="5"/>
        <v>2712165</v>
      </c>
      <c r="F28" s="435">
        <f t="shared" si="5"/>
        <v>5473297</v>
      </c>
      <c r="G28" s="435">
        <f t="shared" si="5"/>
        <v>2439879</v>
      </c>
      <c r="H28" s="435">
        <f t="shared" si="5"/>
        <v>928689</v>
      </c>
      <c r="I28" s="432">
        <f t="shared" si="4"/>
        <v>17881182.009999998</v>
      </c>
    </row>
    <row r="29" spans="1:19">
      <c r="A29" s="428" t="s">
        <v>183</v>
      </c>
      <c r="B29" s="428" t="s">
        <v>49</v>
      </c>
      <c r="C29" s="435">
        <f t="shared" ref="C29:H29" si="6">C23+C26</f>
        <v>3058096.5</v>
      </c>
      <c r="D29" s="435">
        <f t="shared" si="6"/>
        <v>2011280</v>
      </c>
      <c r="E29" s="435">
        <f t="shared" si="6"/>
        <v>3326944.31</v>
      </c>
      <c r="F29" s="435">
        <f t="shared" si="6"/>
        <v>5623789</v>
      </c>
      <c r="G29" s="435">
        <f t="shared" si="6"/>
        <v>0</v>
      </c>
      <c r="H29" s="435">
        <f t="shared" si="6"/>
        <v>2496816</v>
      </c>
      <c r="I29" s="432">
        <f t="shared" si="4"/>
        <v>16516925.810000001</v>
      </c>
    </row>
    <row r="30" spans="1:19">
      <c r="A30" s="428" t="s">
        <v>56</v>
      </c>
      <c r="B30" s="428" t="s">
        <v>49</v>
      </c>
      <c r="C30" s="435">
        <f t="shared" ref="C30:H30" si="7">C24+C27</f>
        <v>3305434.13</v>
      </c>
      <c r="D30" s="435">
        <f t="shared" si="7"/>
        <v>6439542</v>
      </c>
      <c r="E30" s="435">
        <f t="shared" si="7"/>
        <v>14185379.32</v>
      </c>
      <c r="F30" s="435">
        <f t="shared" si="7"/>
        <v>19851199</v>
      </c>
      <c r="G30" s="435">
        <f t="shared" si="7"/>
        <v>3164314</v>
      </c>
      <c r="H30" s="435">
        <f t="shared" si="7"/>
        <v>2386362</v>
      </c>
      <c r="I30" s="432">
        <f t="shared" si="4"/>
        <v>49332230.450000003</v>
      </c>
    </row>
    <row r="31" spans="1:19">
      <c r="A31" s="428" t="s">
        <v>184</v>
      </c>
      <c r="B31" s="428" t="s">
        <v>49</v>
      </c>
      <c r="C31" s="435">
        <f t="shared" ref="C31:H31" si="8">SUM(C28:C30)</f>
        <v>11163538.640000001</v>
      </c>
      <c r="D31" s="435">
        <f t="shared" si="8"/>
        <v>9977966</v>
      </c>
      <c r="E31" s="435">
        <f t="shared" si="8"/>
        <v>20224488.630000003</v>
      </c>
      <c r="F31" s="435">
        <f t="shared" si="8"/>
        <v>30948285</v>
      </c>
      <c r="G31" s="435">
        <f t="shared" si="8"/>
        <v>5604193</v>
      </c>
      <c r="H31" s="435">
        <f t="shared" si="8"/>
        <v>5811867</v>
      </c>
      <c r="I31" s="432">
        <f t="shared" si="4"/>
        <v>83730338.270000011</v>
      </c>
    </row>
    <row r="32" spans="1:19">
      <c r="A32" s="428" t="s">
        <v>55</v>
      </c>
      <c r="B32" s="428" t="s">
        <v>49</v>
      </c>
      <c r="C32" s="436">
        <f t="shared" ref="C32:H32" si="9">C28+C29</f>
        <v>7858104.5099999998</v>
      </c>
      <c r="D32" s="436">
        <f t="shared" si="9"/>
        <v>3538424</v>
      </c>
      <c r="E32" s="436">
        <f t="shared" si="9"/>
        <v>6039109.3100000005</v>
      </c>
      <c r="F32" s="436">
        <f t="shared" si="9"/>
        <v>11097086</v>
      </c>
      <c r="G32" s="436">
        <f t="shared" si="9"/>
        <v>2439879</v>
      </c>
      <c r="H32" s="436">
        <f t="shared" si="9"/>
        <v>3425505</v>
      </c>
      <c r="I32" s="436">
        <f t="shared" si="4"/>
        <v>34398107.82</v>
      </c>
    </row>
    <row r="33" spans="1:10">
      <c r="A33" s="443"/>
      <c r="B33" s="443"/>
      <c r="C33" s="444"/>
      <c r="D33" s="444"/>
      <c r="E33" s="444"/>
      <c r="F33" s="444"/>
      <c r="G33" s="444"/>
      <c r="H33" s="444"/>
      <c r="I33" s="444"/>
    </row>
    <row r="34" spans="1:10" ht="27.6">
      <c r="A34" s="445" t="s">
        <v>253</v>
      </c>
      <c r="B34" s="446" t="s">
        <v>28</v>
      </c>
      <c r="C34" s="447" t="s">
        <v>102</v>
      </c>
      <c r="D34" s="447" t="s">
        <v>103</v>
      </c>
      <c r="E34" s="447" t="s">
        <v>95</v>
      </c>
      <c r="F34" s="447" t="s">
        <v>83</v>
      </c>
      <c r="G34" s="448" t="s">
        <v>3</v>
      </c>
      <c r="H34" s="448" t="s">
        <v>115</v>
      </c>
      <c r="I34" s="448" t="s">
        <v>254</v>
      </c>
    </row>
    <row r="35" spans="1:10">
      <c r="A35" s="428" t="s">
        <v>60</v>
      </c>
      <c r="B35" s="429" t="s">
        <v>54</v>
      </c>
      <c r="C35" s="436">
        <v>3692209.65</v>
      </c>
      <c r="D35" s="436">
        <v>870600</v>
      </c>
      <c r="E35" s="436">
        <v>1472656</v>
      </c>
      <c r="F35" s="436">
        <v>1592003</v>
      </c>
      <c r="G35" s="436">
        <v>1058576</v>
      </c>
      <c r="H35" s="436">
        <v>461574</v>
      </c>
      <c r="I35" s="436">
        <f t="shared" ref="I35:I45" si="10">SUM(C35:H35)</f>
        <v>9147618.6500000004</v>
      </c>
    </row>
    <row r="36" spans="1:10" ht="27.6">
      <c r="A36" s="428" t="s">
        <v>181</v>
      </c>
      <c r="B36" s="429" t="s">
        <v>53</v>
      </c>
      <c r="C36" s="442">
        <v>2778947</v>
      </c>
      <c r="D36" s="442">
        <v>1741200</v>
      </c>
      <c r="E36" s="442">
        <v>2945312.96</v>
      </c>
      <c r="F36" s="442">
        <v>3184006</v>
      </c>
      <c r="G36" s="432">
        <v>0</v>
      </c>
      <c r="H36" s="442">
        <v>2485618</v>
      </c>
      <c r="I36" s="432">
        <f t="shared" si="10"/>
        <v>13135083.960000001</v>
      </c>
    </row>
    <row r="37" spans="1:10">
      <c r="A37" s="428" t="s">
        <v>59</v>
      </c>
      <c r="B37" s="429" t="s">
        <v>50</v>
      </c>
      <c r="C37" s="442">
        <v>3085161.34</v>
      </c>
      <c r="D37" s="442">
        <v>4721285</v>
      </c>
      <c r="E37" s="442">
        <v>11080979.869999999</v>
      </c>
      <c r="F37" s="442">
        <v>13293379</v>
      </c>
      <c r="G37" s="442">
        <v>2033671</v>
      </c>
      <c r="H37" s="442">
        <v>1894860</v>
      </c>
      <c r="I37" s="432">
        <f t="shared" si="10"/>
        <v>36109336.210000001</v>
      </c>
    </row>
    <row r="38" spans="1:10">
      <c r="A38" s="428" t="s">
        <v>58</v>
      </c>
      <c r="B38" s="429" t="s">
        <v>52</v>
      </c>
      <c r="C38" s="442">
        <v>1750723.71</v>
      </c>
      <c r="D38" s="442">
        <v>469650</v>
      </c>
      <c r="E38" s="442">
        <v>1380957</v>
      </c>
      <c r="F38" s="442">
        <v>4684221</v>
      </c>
      <c r="G38" s="442">
        <v>840488</v>
      </c>
      <c r="H38" s="442">
        <v>129950</v>
      </c>
      <c r="I38" s="432">
        <f t="shared" si="10"/>
        <v>9255989.7100000009</v>
      </c>
    </row>
    <row r="39" spans="1:10" ht="27.6">
      <c r="A39" s="428" t="s">
        <v>182</v>
      </c>
      <c r="B39" s="429" t="s">
        <v>51</v>
      </c>
      <c r="C39" s="442">
        <v>755718.5</v>
      </c>
      <c r="D39" s="442">
        <v>161600</v>
      </c>
      <c r="E39" s="442">
        <v>475168</v>
      </c>
      <c r="F39" s="442">
        <v>3022077</v>
      </c>
      <c r="G39" s="432">
        <v>0</v>
      </c>
      <c r="H39" s="442">
        <v>68590</v>
      </c>
      <c r="I39" s="432">
        <f t="shared" si="10"/>
        <v>4483153.5</v>
      </c>
    </row>
    <row r="40" spans="1:10">
      <c r="A40" s="428" t="s">
        <v>59</v>
      </c>
      <c r="B40" s="429" t="s">
        <v>50</v>
      </c>
      <c r="C40" s="442">
        <v>769032.02</v>
      </c>
      <c r="D40" s="442">
        <v>442630</v>
      </c>
      <c r="E40" s="442">
        <v>2125055.2799999998</v>
      </c>
      <c r="F40" s="442">
        <v>7214290</v>
      </c>
      <c r="G40" s="442">
        <v>400123</v>
      </c>
      <c r="H40" s="442">
        <v>75127</v>
      </c>
      <c r="I40" s="432">
        <f t="shared" si="10"/>
        <v>11026257.300000001</v>
      </c>
    </row>
    <row r="41" spans="1:10">
      <c r="A41" s="428" t="s">
        <v>57</v>
      </c>
      <c r="B41" s="428" t="s">
        <v>49</v>
      </c>
      <c r="C41" s="435">
        <f t="shared" ref="C41:H41" si="11">C35+C38</f>
        <v>5442933.3599999994</v>
      </c>
      <c r="D41" s="435">
        <f t="shared" si="11"/>
        <v>1340250</v>
      </c>
      <c r="E41" s="435">
        <f t="shared" si="11"/>
        <v>2853613</v>
      </c>
      <c r="F41" s="435">
        <f t="shared" si="11"/>
        <v>6276224</v>
      </c>
      <c r="G41" s="435">
        <f t="shared" si="11"/>
        <v>1899064</v>
      </c>
      <c r="H41" s="435">
        <f t="shared" si="11"/>
        <v>591524</v>
      </c>
      <c r="I41" s="432">
        <f t="shared" si="10"/>
        <v>18403608.359999999</v>
      </c>
    </row>
    <row r="42" spans="1:10">
      <c r="A42" s="428" t="s">
        <v>183</v>
      </c>
      <c r="B42" s="428" t="s">
        <v>49</v>
      </c>
      <c r="C42" s="435">
        <f t="shared" ref="C42:H42" si="12">C36+C39</f>
        <v>3534665.5</v>
      </c>
      <c r="D42" s="435">
        <f t="shared" si="12"/>
        <v>1902800</v>
      </c>
      <c r="E42" s="435">
        <f t="shared" si="12"/>
        <v>3420480.96</v>
      </c>
      <c r="F42" s="435">
        <f t="shared" si="12"/>
        <v>6206083</v>
      </c>
      <c r="G42" s="435">
        <f t="shared" si="12"/>
        <v>0</v>
      </c>
      <c r="H42" s="435">
        <f t="shared" si="12"/>
        <v>2554208</v>
      </c>
      <c r="I42" s="432">
        <f t="shared" si="10"/>
        <v>17618237.460000001</v>
      </c>
    </row>
    <row r="43" spans="1:10">
      <c r="A43" s="428" t="s">
        <v>56</v>
      </c>
      <c r="B43" s="428" t="s">
        <v>49</v>
      </c>
      <c r="C43" s="435">
        <f t="shared" ref="C43:H43" si="13">C37+C40</f>
        <v>3854193.36</v>
      </c>
      <c r="D43" s="435">
        <f t="shared" si="13"/>
        <v>5163915</v>
      </c>
      <c r="E43" s="435">
        <f t="shared" si="13"/>
        <v>13206035.149999999</v>
      </c>
      <c r="F43" s="435">
        <f t="shared" si="13"/>
        <v>20507669</v>
      </c>
      <c r="G43" s="435">
        <f t="shared" si="13"/>
        <v>2433794</v>
      </c>
      <c r="H43" s="435">
        <f t="shared" si="13"/>
        <v>1969987</v>
      </c>
      <c r="I43" s="432">
        <f t="shared" si="10"/>
        <v>47135593.509999998</v>
      </c>
    </row>
    <row r="44" spans="1:10">
      <c r="A44" s="428" t="s">
        <v>184</v>
      </c>
      <c r="B44" s="428" t="s">
        <v>49</v>
      </c>
      <c r="C44" s="435">
        <f t="shared" ref="C44:H44" si="14">SUM(C41:C43)</f>
        <v>12831792.219999999</v>
      </c>
      <c r="D44" s="435">
        <f t="shared" si="14"/>
        <v>8406965</v>
      </c>
      <c r="E44" s="435">
        <f t="shared" si="14"/>
        <v>19480129.109999999</v>
      </c>
      <c r="F44" s="435">
        <f t="shared" si="14"/>
        <v>32989976</v>
      </c>
      <c r="G44" s="435">
        <f t="shared" si="14"/>
        <v>4332858</v>
      </c>
      <c r="H44" s="435">
        <f t="shared" si="14"/>
        <v>5115719</v>
      </c>
      <c r="I44" s="432">
        <f t="shared" si="10"/>
        <v>83157439.329999998</v>
      </c>
    </row>
    <row r="45" spans="1:10">
      <c r="A45" s="428" t="s">
        <v>55</v>
      </c>
      <c r="B45" s="428" t="s">
        <v>49</v>
      </c>
      <c r="C45" s="436">
        <f t="shared" ref="C45:H45" si="15">C41+C42</f>
        <v>8977598.8599999994</v>
      </c>
      <c r="D45" s="436">
        <f t="shared" si="15"/>
        <v>3243050</v>
      </c>
      <c r="E45" s="436">
        <f t="shared" si="15"/>
        <v>6274093.96</v>
      </c>
      <c r="F45" s="436">
        <f t="shared" si="15"/>
        <v>12482307</v>
      </c>
      <c r="G45" s="436">
        <f t="shared" si="15"/>
        <v>1899064</v>
      </c>
      <c r="H45" s="436">
        <f t="shared" si="15"/>
        <v>3145732</v>
      </c>
      <c r="I45" s="436">
        <f t="shared" si="10"/>
        <v>36021845.82</v>
      </c>
    </row>
    <row r="46" spans="1:10">
      <c r="A46" s="449"/>
      <c r="B46" s="449"/>
      <c r="C46" s="436"/>
      <c r="D46" s="436"/>
      <c r="E46" s="436"/>
      <c r="F46" s="436"/>
      <c r="G46" s="436"/>
      <c r="H46" s="436"/>
      <c r="I46" s="436"/>
    </row>
    <row r="47" spans="1:10" ht="27.6">
      <c r="A47" s="433" t="s">
        <v>246</v>
      </c>
      <c r="B47" s="434" t="s">
        <v>28</v>
      </c>
      <c r="C47" s="426" t="s">
        <v>102</v>
      </c>
      <c r="D47" s="426" t="s">
        <v>103</v>
      </c>
      <c r="E47" s="426" t="s">
        <v>95</v>
      </c>
      <c r="F47" s="426" t="s">
        <v>83</v>
      </c>
      <c r="G47" s="424" t="s">
        <v>3</v>
      </c>
      <c r="H47" s="424" t="s">
        <v>115</v>
      </c>
      <c r="I47" s="424" t="s">
        <v>247</v>
      </c>
    </row>
    <row r="48" spans="1:10" s="450" customFormat="1" outlineLevel="2">
      <c r="A48" s="428" t="s">
        <v>60</v>
      </c>
      <c r="B48" s="429" t="s">
        <v>54</v>
      </c>
      <c r="C48" s="436">
        <v>3568687.77</v>
      </c>
      <c r="D48" s="436">
        <v>1075648</v>
      </c>
      <c r="E48" s="436">
        <v>1557992</v>
      </c>
      <c r="F48" s="436">
        <v>1511308</v>
      </c>
      <c r="G48" s="436">
        <v>946128</v>
      </c>
      <c r="H48" s="436">
        <v>799905</v>
      </c>
      <c r="I48" s="436">
        <f t="shared" ref="I48:I58" si="16">SUM(C48:H48)</f>
        <v>9459668.7699999996</v>
      </c>
      <c r="J48" s="423"/>
    </row>
    <row r="49" spans="1:15" ht="27.6" outlineLevel="2">
      <c r="A49" s="428" t="s">
        <v>181</v>
      </c>
      <c r="B49" s="429" t="s">
        <v>53</v>
      </c>
      <c r="C49" s="442">
        <v>2567550.5</v>
      </c>
      <c r="D49" s="442">
        <v>2151296</v>
      </c>
      <c r="E49" s="442">
        <v>3115987.35</v>
      </c>
      <c r="F49" s="442">
        <v>3022613</v>
      </c>
      <c r="G49" s="432">
        <v>0</v>
      </c>
      <c r="H49" s="442">
        <v>2399714</v>
      </c>
      <c r="I49" s="432">
        <f t="shared" si="16"/>
        <v>13257160.85</v>
      </c>
    </row>
    <row r="50" spans="1:15" outlineLevel="2">
      <c r="A50" s="428" t="s">
        <v>59</v>
      </c>
      <c r="B50" s="429" t="s">
        <v>50</v>
      </c>
      <c r="C50" s="442">
        <v>2823454.12</v>
      </c>
      <c r="D50" s="442">
        <v>5109328</v>
      </c>
      <c r="E50" s="442">
        <v>11030682.75</v>
      </c>
      <c r="F50" s="442">
        <v>10792521</v>
      </c>
      <c r="G50" s="442">
        <v>1640131</v>
      </c>
      <c r="H50" s="442">
        <v>1678998</v>
      </c>
      <c r="I50" s="432">
        <f t="shared" si="16"/>
        <v>33075114.870000001</v>
      </c>
    </row>
    <row r="51" spans="1:15" outlineLevel="2">
      <c r="A51" s="428" t="s">
        <v>58</v>
      </c>
      <c r="B51" s="429" t="s">
        <v>52</v>
      </c>
      <c r="C51" s="442">
        <v>1111157.51</v>
      </c>
      <c r="D51" s="442">
        <v>883894</v>
      </c>
      <c r="E51" s="442">
        <v>1376519</v>
      </c>
      <c r="F51" s="442">
        <v>3951244</v>
      </c>
      <c r="G51" s="442">
        <v>624254</v>
      </c>
      <c r="H51" s="442">
        <v>42566</v>
      </c>
      <c r="I51" s="432">
        <f t="shared" si="16"/>
        <v>7989634.5099999998</v>
      </c>
    </row>
    <row r="52" spans="1:15" ht="27.6" outlineLevel="2">
      <c r="A52" s="428" t="s">
        <v>182</v>
      </c>
      <c r="B52" s="429" t="s">
        <v>51</v>
      </c>
      <c r="C52" s="442">
        <v>484220</v>
      </c>
      <c r="D52" s="442">
        <v>308784</v>
      </c>
      <c r="E52" s="442">
        <v>480880</v>
      </c>
      <c r="F52" s="442">
        <v>2588153</v>
      </c>
      <c r="G52" s="432">
        <v>0</v>
      </c>
      <c r="H52" s="442">
        <v>20232</v>
      </c>
      <c r="I52" s="432">
        <f t="shared" si="16"/>
        <v>3882269</v>
      </c>
    </row>
    <row r="53" spans="1:15" outlineLevel="2">
      <c r="A53" s="428" t="s">
        <v>59</v>
      </c>
      <c r="B53" s="429" t="s">
        <v>50</v>
      </c>
      <c r="C53" s="442">
        <v>482791.75</v>
      </c>
      <c r="D53" s="442">
        <v>733362</v>
      </c>
      <c r="E53" s="442">
        <v>2081807.6</v>
      </c>
      <c r="F53" s="442">
        <v>4627661</v>
      </c>
      <c r="G53" s="442">
        <v>202641</v>
      </c>
      <c r="H53" s="442">
        <v>17059</v>
      </c>
      <c r="I53" s="432">
        <f t="shared" si="16"/>
        <v>8145322.3499999996</v>
      </c>
    </row>
    <row r="54" spans="1:15" outlineLevel="2">
      <c r="A54" s="428" t="s">
        <v>57</v>
      </c>
      <c r="B54" s="428" t="s">
        <v>49</v>
      </c>
      <c r="C54" s="432">
        <f t="shared" ref="C54:H54" si="17">C48+C51</f>
        <v>4679845.28</v>
      </c>
      <c r="D54" s="432">
        <f t="shared" si="17"/>
        <v>1959542</v>
      </c>
      <c r="E54" s="432">
        <f t="shared" si="17"/>
        <v>2934511</v>
      </c>
      <c r="F54" s="432">
        <f t="shared" si="17"/>
        <v>5462552</v>
      </c>
      <c r="G54" s="432">
        <f t="shared" si="17"/>
        <v>1570382</v>
      </c>
      <c r="H54" s="432">
        <f t="shared" si="17"/>
        <v>842471</v>
      </c>
      <c r="I54" s="432">
        <f t="shared" si="16"/>
        <v>17449303.280000001</v>
      </c>
    </row>
    <row r="55" spans="1:15" outlineLevel="2">
      <c r="A55" s="428" t="s">
        <v>183</v>
      </c>
      <c r="B55" s="428" t="s">
        <v>49</v>
      </c>
      <c r="C55" s="432">
        <f t="shared" ref="C55:H55" si="18">C49+C52</f>
        <v>3051770.5</v>
      </c>
      <c r="D55" s="432">
        <f t="shared" si="18"/>
        <v>2460080</v>
      </c>
      <c r="E55" s="432">
        <f t="shared" si="18"/>
        <v>3596867.35</v>
      </c>
      <c r="F55" s="432">
        <f t="shared" si="18"/>
        <v>5610766</v>
      </c>
      <c r="G55" s="432">
        <f t="shared" si="18"/>
        <v>0</v>
      </c>
      <c r="H55" s="432">
        <f t="shared" si="18"/>
        <v>2419946</v>
      </c>
      <c r="I55" s="432">
        <f t="shared" si="16"/>
        <v>17139429.850000001</v>
      </c>
    </row>
    <row r="56" spans="1:15" outlineLevel="2">
      <c r="A56" s="428" t="s">
        <v>56</v>
      </c>
      <c r="B56" s="428" t="s">
        <v>49</v>
      </c>
      <c r="C56" s="432">
        <f t="shared" ref="C56:H56" si="19">C50+C53</f>
        <v>3306245.87</v>
      </c>
      <c r="D56" s="432">
        <f t="shared" si="19"/>
        <v>5842690</v>
      </c>
      <c r="E56" s="432">
        <f t="shared" si="19"/>
        <v>13112490.35</v>
      </c>
      <c r="F56" s="432">
        <f t="shared" si="19"/>
        <v>15420182</v>
      </c>
      <c r="G56" s="432">
        <f t="shared" si="19"/>
        <v>1842772</v>
      </c>
      <c r="H56" s="432">
        <f t="shared" si="19"/>
        <v>1696057</v>
      </c>
      <c r="I56" s="432">
        <f t="shared" si="16"/>
        <v>41220437.219999999</v>
      </c>
      <c r="J56" s="450"/>
      <c r="K56" s="450"/>
      <c r="L56" s="450"/>
      <c r="M56" s="450"/>
      <c r="N56" s="450"/>
      <c r="O56" s="450"/>
    </row>
    <row r="57" spans="1:15" outlineLevel="2">
      <c r="A57" s="428" t="s">
        <v>184</v>
      </c>
      <c r="B57" s="428" t="s">
        <v>49</v>
      </c>
      <c r="C57" s="432">
        <f t="shared" ref="C57:H57" si="20">SUM(C54:C56)</f>
        <v>11037861.65</v>
      </c>
      <c r="D57" s="432">
        <f t="shared" si="20"/>
        <v>10262312</v>
      </c>
      <c r="E57" s="432">
        <f t="shared" si="20"/>
        <v>19643868.699999999</v>
      </c>
      <c r="F57" s="432">
        <f t="shared" si="20"/>
        <v>26493500</v>
      </c>
      <c r="G57" s="432">
        <f t="shared" si="20"/>
        <v>3413154</v>
      </c>
      <c r="H57" s="432">
        <f t="shared" si="20"/>
        <v>4958474</v>
      </c>
      <c r="I57" s="432">
        <f t="shared" si="16"/>
        <v>75809170.349999994</v>
      </c>
    </row>
    <row r="58" spans="1:15" outlineLevel="2">
      <c r="A58" s="428" t="s">
        <v>55</v>
      </c>
      <c r="B58" s="428" t="s">
        <v>49</v>
      </c>
      <c r="C58" s="436">
        <f t="shared" ref="C58:H58" si="21">C54+C55</f>
        <v>7731615.7800000003</v>
      </c>
      <c r="D58" s="436">
        <f t="shared" si="21"/>
        <v>4419622</v>
      </c>
      <c r="E58" s="436">
        <f t="shared" si="21"/>
        <v>6531378.3499999996</v>
      </c>
      <c r="F58" s="436">
        <f t="shared" si="21"/>
        <v>11073318</v>
      </c>
      <c r="G58" s="436">
        <f t="shared" si="21"/>
        <v>1570382</v>
      </c>
      <c r="H58" s="436">
        <f t="shared" si="21"/>
        <v>3262417</v>
      </c>
      <c r="I58" s="436">
        <f t="shared" si="16"/>
        <v>34588733.130000003</v>
      </c>
    </row>
    <row r="59" spans="1:15" outlineLevel="2"/>
    <row r="60" spans="1:15" ht="27.6" outlineLevel="2">
      <c r="A60" s="433" t="s">
        <v>215</v>
      </c>
      <c r="B60" s="434" t="s">
        <v>28</v>
      </c>
      <c r="C60" s="426" t="s">
        <v>102</v>
      </c>
      <c r="D60" s="426" t="s">
        <v>103</v>
      </c>
      <c r="E60" s="426" t="s">
        <v>95</v>
      </c>
      <c r="F60" s="426" t="s">
        <v>83</v>
      </c>
      <c r="G60" s="424" t="s">
        <v>3</v>
      </c>
      <c r="H60" s="424" t="s">
        <v>115</v>
      </c>
      <c r="I60" s="424" t="s">
        <v>216</v>
      </c>
    </row>
    <row r="61" spans="1:15" s="450" customFormat="1" outlineLevel="2">
      <c r="A61" s="428" t="s">
        <v>60</v>
      </c>
      <c r="B61" s="429" t="s">
        <v>54</v>
      </c>
      <c r="C61" s="436">
        <v>3027672</v>
      </c>
      <c r="D61" s="436">
        <v>1276214</v>
      </c>
      <c r="E61" s="436">
        <v>1548112</v>
      </c>
      <c r="F61" s="436">
        <v>1752647</v>
      </c>
      <c r="G61" s="436">
        <v>1407616</v>
      </c>
      <c r="H61" s="436">
        <v>355377.31</v>
      </c>
      <c r="I61" s="436">
        <f t="shared" ref="I61:I71" si="22">SUM(C61:H61)</f>
        <v>9367638.3100000005</v>
      </c>
      <c r="J61" s="423"/>
    </row>
    <row r="62" spans="1:15" ht="27.6" outlineLevel="2">
      <c r="A62" s="428" t="s">
        <v>181</v>
      </c>
      <c r="B62" s="429" t="s">
        <v>53</v>
      </c>
      <c r="C62" s="432">
        <v>1972708.5</v>
      </c>
      <c r="D62" s="432">
        <v>2552429</v>
      </c>
      <c r="E62" s="432">
        <v>3096224</v>
      </c>
      <c r="F62" s="432">
        <v>3505279</v>
      </c>
      <c r="G62" s="432">
        <v>0</v>
      </c>
      <c r="H62" s="432">
        <v>1016571.55</v>
      </c>
      <c r="I62" s="432">
        <f t="shared" si="22"/>
        <v>12143212.050000001</v>
      </c>
    </row>
    <row r="63" spans="1:15" outlineLevel="2">
      <c r="A63" s="428" t="s">
        <v>59</v>
      </c>
      <c r="B63" s="429" t="s">
        <v>50</v>
      </c>
      <c r="C63" s="432">
        <v>2197276.15</v>
      </c>
      <c r="D63" s="432">
        <v>5870950</v>
      </c>
      <c r="E63" s="432">
        <v>10841536</v>
      </c>
      <c r="F63" s="432">
        <v>12946834</v>
      </c>
      <c r="G63" s="432">
        <v>2226672.56</v>
      </c>
      <c r="H63" s="432">
        <v>629763.52</v>
      </c>
      <c r="I63" s="432">
        <f t="shared" si="22"/>
        <v>34713032.230000004</v>
      </c>
    </row>
    <row r="64" spans="1:15" outlineLevel="2">
      <c r="A64" s="428" t="s">
        <v>58</v>
      </c>
      <c r="B64" s="429" t="s">
        <v>52</v>
      </c>
      <c r="C64" s="432">
        <v>605689.05000000005</v>
      </c>
      <c r="D64" s="432">
        <v>1096736</v>
      </c>
      <c r="E64" s="432">
        <v>1566517</v>
      </c>
      <c r="F64" s="432">
        <v>3571932</v>
      </c>
      <c r="G64" s="432">
        <v>627393.6</v>
      </c>
      <c r="H64" s="432">
        <v>0</v>
      </c>
      <c r="I64" s="432">
        <f t="shared" si="22"/>
        <v>7468267.6499999994</v>
      </c>
    </row>
    <row r="65" spans="1:15" ht="27.6" outlineLevel="2">
      <c r="A65" s="428" t="s">
        <v>182</v>
      </c>
      <c r="B65" s="429" t="s">
        <v>51</v>
      </c>
      <c r="C65" s="432">
        <v>340579.5</v>
      </c>
      <c r="D65" s="432">
        <v>425920</v>
      </c>
      <c r="E65" s="432">
        <v>608176</v>
      </c>
      <c r="F65" s="432">
        <v>2600922</v>
      </c>
      <c r="G65" s="432">
        <v>0</v>
      </c>
      <c r="H65" s="432">
        <v>0</v>
      </c>
      <c r="I65" s="432">
        <f t="shared" si="22"/>
        <v>3975597.5</v>
      </c>
    </row>
    <row r="66" spans="1:15" outlineLevel="2">
      <c r="A66" s="428" t="s">
        <v>59</v>
      </c>
      <c r="B66" s="429" t="s">
        <v>50</v>
      </c>
      <c r="C66" s="432">
        <v>299563.57</v>
      </c>
      <c r="D66" s="432">
        <v>979392</v>
      </c>
      <c r="E66" s="432">
        <v>2655562</v>
      </c>
      <c r="F66" s="432">
        <v>5575585</v>
      </c>
      <c r="G66" s="432">
        <v>192710.34</v>
      </c>
      <c r="H66" s="432">
        <v>0</v>
      </c>
      <c r="I66" s="432">
        <f t="shared" si="22"/>
        <v>9702812.9100000001</v>
      </c>
    </row>
    <row r="67" spans="1:15" outlineLevel="2">
      <c r="A67" s="428" t="s">
        <v>57</v>
      </c>
      <c r="B67" s="428" t="s">
        <v>49</v>
      </c>
      <c r="C67" s="432">
        <f t="shared" ref="C67:H69" si="23">C61+C64</f>
        <v>3633361.05</v>
      </c>
      <c r="D67" s="432">
        <f t="shared" si="23"/>
        <v>2372950</v>
      </c>
      <c r="E67" s="432">
        <f t="shared" si="23"/>
        <v>3114629</v>
      </c>
      <c r="F67" s="432">
        <f t="shared" si="23"/>
        <v>5324579</v>
      </c>
      <c r="G67" s="432">
        <f t="shared" si="23"/>
        <v>2035009.6</v>
      </c>
      <c r="H67" s="432">
        <f t="shared" si="23"/>
        <v>355377.31</v>
      </c>
      <c r="I67" s="432">
        <f t="shared" si="22"/>
        <v>16835905.960000001</v>
      </c>
    </row>
    <row r="68" spans="1:15" outlineLevel="2">
      <c r="A68" s="428" t="s">
        <v>183</v>
      </c>
      <c r="B68" s="428" t="s">
        <v>49</v>
      </c>
      <c r="C68" s="432">
        <f t="shared" si="23"/>
        <v>2313288</v>
      </c>
      <c r="D68" s="432">
        <f t="shared" si="23"/>
        <v>2978349</v>
      </c>
      <c r="E68" s="432">
        <f t="shared" si="23"/>
        <v>3704400</v>
      </c>
      <c r="F68" s="432">
        <f t="shared" si="23"/>
        <v>6106201</v>
      </c>
      <c r="G68" s="432">
        <f t="shared" si="23"/>
        <v>0</v>
      </c>
      <c r="H68" s="432">
        <f t="shared" si="23"/>
        <v>1016571.55</v>
      </c>
      <c r="I68" s="432">
        <f t="shared" si="22"/>
        <v>16118809.550000001</v>
      </c>
    </row>
    <row r="69" spans="1:15" outlineLevel="2">
      <c r="A69" s="428" t="s">
        <v>56</v>
      </c>
      <c r="B69" s="428" t="s">
        <v>49</v>
      </c>
      <c r="C69" s="432">
        <f t="shared" si="23"/>
        <v>2496839.7199999997</v>
      </c>
      <c r="D69" s="432">
        <f t="shared" si="23"/>
        <v>6850342</v>
      </c>
      <c r="E69" s="432">
        <f t="shared" si="23"/>
        <v>13497098</v>
      </c>
      <c r="F69" s="432">
        <f t="shared" si="23"/>
        <v>18522419</v>
      </c>
      <c r="G69" s="432">
        <f t="shared" si="23"/>
        <v>2419382.9</v>
      </c>
      <c r="H69" s="432">
        <f t="shared" si="23"/>
        <v>629763.52</v>
      </c>
      <c r="I69" s="432">
        <f t="shared" si="22"/>
        <v>44415845.140000001</v>
      </c>
      <c r="J69" s="450"/>
      <c r="K69" s="450"/>
      <c r="L69" s="450"/>
      <c r="M69" s="450"/>
      <c r="N69" s="450"/>
      <c r="O69" s="450"/>
    </row>
    <row r="70" spans="1:15" outlineLevel="2">
      <c r="A70" s="428" t="s">
        <v>184</v>
      </c>
      <c r="B70" s="428" t="s">
        <v>49</v>
      </c>
      <c r="C70" s="432">
        <f t="shared" ref="C70:H70" si="24">SUM(C67:C69)</f>
        <v>8443488.7699999996</v>
      </c>
      <c r="D70" s="432">
        <f t="shared" si="24"/>
        <v>12201641</v>
      </c>
      <c r="E70" s="432">
        <f t="shared" si="24"/>
        <v>20316127</v>
      </c>
      <c r="F70" s="432">
        <f t="shared" si="24"/>
        <v>29953199</v>
      </c>
      <c r="G70" s="432">
        <f t="shared" si="24"/>
        <v>4454392.5</v>
      </c>
      <c r="H70" s="432">
        <f t="shared" si="24"/>
        <v>2001712.3800000001</v>
      </c>
      <c r="I70" s="432">
        <f t="shared" si="22"/>
        <v>77370560.649999991</v>
      </c>
    </row>
    <row r="71" spans="1:15" outlineLevel="2">
      <c r="A71" s="428" t="s">
        <v>55</v>
      </c>
      <c r="B71" s="428" t="s">
        <v>49</v>
      </c>
      <c r="C71" s="436">
        <f t="shared" ref="C71:H71" si="25">C67+C68</f>
        <v>5946649.0499999998</v>
      </c>
      <c r="D71" s="436">
        <f t="shared" si="25"/>
        <v>5351299</v>
      </c>
      <c r="E71" s="436">
        <f t="shared" si="25"/>
        <v>6819029</v>
      </c>
      <c r="F71" s="436">
        <f t="shared" si="25"/>
        <v>11430780</v>
      </c>
      <c r="G71" s="436">
        <f t="shared" si="25"/>
        <v>2035009.6</v>
      </c>
      <c r="H71" s="436">
        <f t="shared" si="25"/>
        <v>1371948.86</v>
      </c>
      <c r="I71" s="436">
        <f t="shared" si="22"/>
        <v>32954715.510000002</v>
      </c>
    </row>
    <row r="72" spans="1:15" outlineLevel="2"/>
    <row r="73" spans="1:15" ht="27.6" outlineLevel="2">
      <c r="A73" s="433" t="s">
        <v>202</v>
      </c>
      <c r="B73" s="434" t="s">
        <v>28</v>
      </c>
      <c r="C73" s="426" t="s">
        <v>102</v>
      </c>
      <c r="D73" s="426" t="s">
        <v>103</v>
      </c>
      <c r="E73" s="426" t="s">
        <v>95</v>
      </c>
      <c r="F73" s="426" t="s">
        <v>83</v>
      </c>
      <c r="G73" s="424" t="s">
        <v>201</v>
      </c>
      <c r="H73" s="450"/>
    </row>
    <row r="74" spans="1:15" s="450" customFormat="1" outlineLevel="2">
      <c r="A74" s="428" t="s">
        <v>60</v>
      </c>
      <c r="B74" s="429" t="s">
        <v>54</v>
      </c>
      <c r="C74" s="436">
        <v>3230040</v>
      </c>
      <c r="D74" s="436">
        <v>1381748</v>
      </c>
      <c r="E74" s="436">
        <v>1729656</v>
      </c>
      <c r="F74" s="436">
        <v>1754504</v>
      </c>
      <c r="G74" s="436">
        <f t="shared" ref="G74:G84" si="26">SUM(C74:F74)</f>
        <v>8095948</v>
      </c>
      <c r="H74" s="423"/>
      <c r="I74" s="423"/>
      <c r="J74" s="423"/>
      <c r="K74" s="423"/>
      <c r="L74" s="423"/>
      <c r="M74" s="423"/>
      <c r="N74" s="423"/>
      <c r="O74" s="423"/>
    </row>
    <row r="75" spans="1:15" ht="27.6" outlineLevel="2">
      <c r="A75" s="428" t="s">
        <v>181</v>
      </c>
      <c r="B75" s="429" t="s">
        <v>53</v>
      </c>
      <c r="C75" s="432">
        <v>1354550</v>
      </c>
      <c r="D75" s="432">
        <v>2763496</v>
      </c>
      <c r="E75" s="432">
        <v>3459312</v>
      </c>
      <c r="F75" s="432">
        <v>3509006</v>
      </c>
      <c r="G75" s="432">
        <f t="shared" si="26"/>
        <v>11086364</v>
      </c>
    </row>
    <row r="76" spans="1:15" outlineLevel="2">
      <c r="A76" s="428" t="s">
        <v>59</v>
      </c>
      <c r="B76" s="429" t="s">
        <v>50</v>
      </c>
      <c r="C76" s="432">
        <v>1949229</v>
      </c>
      <c r="D76" s="432">
        <v>5913509</v>
      </c>
      <c r="E76" s="432">
        <v>12001389.43</v>
      </c>
      <c r="F76" s="432">
        <v>13272570</v>
      </c>
      <c r="G76" s="432">
        <f t="shared" si="26"/>
        <v>33136697.43</v>
      </c>
    </row>
    <row r="77" spans="1:15" outlineLevel="2">
      <c r="A77" s="428" t="s">
        <v>58</v>
      </c>
      <c r="B77" s="429" t="s">
        <v>52</v>
      </c>
      <c r="C77" s="432">
        <v>1138849</v>
      </c>
      <c r="D77" s="432">
        <v>891410</v>
      </c>
      <c r="E77" s="432">
        <v>1079234</v>
      </c>
      <c r="F77" s="432">
        <v>3684760</v>
      </c>
      <c r="G77" s="432">
        <f t="shared" si="26"/>
        <v>6794253</v>
      </c>
    </row>
    <row r="78" spans="1:15" ht="27.6" outlineLevel="2">
      <c r="A78" s="428" t="s">
        <v>182</v>
      </c>
      <c r="B78" s="429" t="s">
        <v>51</v>
      </c>
      <c r="C78" s="432">
        <v>382900</v>
      </c>
      <c r="D78" s="432">
        <v>354400</v>
      </c>
      <c r="E78" s="432">
        <v>431680</v>
      </c>
      <c r="F78" s="432">
        <v>2756675</v>
      </c>
      <c r="G78" s="432">
        <f t="shared" si="26"/>
        <v>3925655</v>
      </c>
    </row>
    <row r="79" spans="1:15" outlineLevel="2">
      <c r="A79" s="428" t="s">
        <v>59</v>
      </c>
      <c r="B79" s="429" t="s">
        <v>50</v>
      </c>
      <c r="C79" s="432">
        <v>498963</v>
      </c>
      <c r="D79" s="432">
        <v>764618</v>
      </c>
      <c r="E79" s="432">
        <v>1572060.94</v>
      </c>
      <c r="F79" s="432">
        <v>6108048</v>
      </c>
      <c r="G79" s="432">
        <f t="shared" si="26"/>
        <v>8943689.9399999995</v>
      </c>
    </row>
    <row r="80" spans="1:15" outlineLevel="2">
      <c r="A80" s="428" t="s">
        <v>57</v>
      </c>
      <c r="B80" s="428" t="s">
        <v>49</v>
      </c>
      <c r="C80" s="432">
        <f t="shared" ref="C80:F82" si="27">C74+C77</f>
        <v>4368889</v>
      </c>
      <c r="D80" s="432">
        <f t="shared" si="27"/>
        <v>2273158</v>
      </c>
      <c r="E80" s="432">
        <f t="shared" si="27"/>
        <v>2808890</v>
      </c>
      <c r="F80" s="432">
        <f t="shared" si="27"/>
        <v>5439264</v>
      </c>
      <c r="G80" s="432">
        <f t="shared" si="26"/>
        <v>14890201</v>
      </c>
    </row>
    <row r="81" spans="1:15" outlineLevel="2">
      <c r="A81" s="428" t="s">
        <v>183</v>
      </c>
      <c r="B81" s="428" t="s">
        <v>49</v>
      </c>
      <c r="C81" s="432">
        <f t="shared" si="27"/>
        <v>1737450</v>
      </c>
      <c r="D81" s="432">
        <f t="shared" si="27"/>
        <v>3117896</v>
      </c>
      <c r="E81" s="432">
        <f t="shared" si="27"/>
        <v>3890992</v>
      </c>
      <c r="F81" s="432">
        <f t="shared" si="27"/>
        <v>6265681</v>
      </c>
      <c r="G81" s="432">
        <f t="shared" si="26"/>
        <v>15012019</v>
      </c>
      <c r="I81" s="450"/>
    </row>
    <row r="82" spans="1:15" outlineLevel="2">
      <c r="A82" s="428" t="s">
        <v>56</v>
      </c>
      <c r="B82" s="428" t="s">
        <v>49</v>
      </c>
      <c r="C82" s="432">
        <f t="shared" si="27"/>
        <v>2448192</v>
      </c>
      <c r="D82" s="432">
        <f t="shared" si="27"/>
        <v>6678127</v>
      </c>
      <c r="E82" s="432">
        <f t="shared" si="27"/>
        <v>13573450.369999999</v>
      </c>
      <c r="F82" s="432">
        <f t="shared" si="27"/>
        <v>19380618</v>
      </c>
      <c r="G82" s="432">
        <f t="shared" si="26"/>
        <v>42080387.369999997</v>
      </c>
      <c r="J82" s="451"/>
      <c r="K82" s="451"/>
      <c r="L82" s="451"/>
      <c r="M82" s="451"/>
      <c r="N82" s="451"/>
      <c r="O82" s="451"/>
    </row>
    <row r="83" spans="1:15" outlineLevel="2">
      <c r="A83" s="428" t="s">
        <v>184</v>
      </c>
      <c r="B83" s="428" t="s">
        <v>49</v>
      </c>
      <c r="C83" s="432">
        <f>SUM(C80:C82)</f>
        <v>8554531</v>
      </c>
      <c r="D83" s="432">
        <f>SUM(D80:D82)</f>
        <v>12069181</v>
      </c>
      <c r="E83" s="432">
        <f>SUM(E80:E82)</f>
        <v>20273332.369999997</v>
      </c>
      <c r="F83" s="432">
        <f>SUM(F80:F82)</f>
        <v>31085563</v>
      </c>
      <c r="G83" s="432">
        <f t="shared" si="26"/>
        <v>71982607.370000005</v>
      </c>
      <c r="N83" s="427"/>
    </row>
    <row r="84" spans="1:15" outlineLevel="2">
      <c r="A84" s="428" t="s">
        <v>55</v>
      </c>
      <c r="B84" s="428" t="s">
        <v>49</v>
      </c>
      <c r="C84" s="436">
        <f>C80+C81</f>
        <v>6106339</v>
      </c>
      <c r="D84" s="436">
        <f>D80+D81</f>
        <v>5391054</v>
      </c>
      <c r="E84" s="436">
        <f>E80+E81</f>
        <v>6699882</v>
      </c>
      <c r="F84" s="436">
        <f>F80+F81</f>
        <v>11704945</v>
      </c>
      <c r="G84" s="436">
        <f t="shared" si="26"/>
        <v>29902220</v>
      </c>
      <c r="N84" s="427"/>
    </row>
    <row r="85" spans="1:15" outlineLevel="2">
      <c r="N85" s="427"/>
    </row>
    <row r="86" spans="1:15" ht="27.6" outlineLevel="2">
      <c r="A86" s="433" t="s">
        <v>164</v>
      </c>
      <c r="B86" s="434" t="s">
        <v>28</v>
      </c>
      <c r="C86" s="426" t="s">
        <v>102</v>
      </c>
      <c r="D86" s="426" t="s">
        <v>103</v>
      </c>
      <c r="E86" s="426" t="s">
        <v>95</v>
      </c>
      <c r="F86" s="426" t="s">
        <v>83</v>
      </c>
      <c r="G86" s="424" t="s">
        <v>165</v>
      </c>
      <c r="H86" s="450"/>
      <c r="N86" s="427"/>
    </row>
    <row r="87" spans="1:15" s="451" customFormat="1" outlineLevel="2">
      <c r="A87" s="428" t="s">
        <v>60</v>
      </c>
      <c r="B87" s="429" t="s">
        <v>54</v>
      </c>
      <c r="C87" s="436">
        <v>3272852</v>
      </c>
      <c r="D87" s="436">
        <v>1473320</v>
      </c>
      <c r="E87" s="436">
        <v>1852209.79</v>
      </c>
      <c r="F87" s="436">
        <v>1974251</v>
      </c>
      <c r="G87" s="436">
        <f t="shared" ref="G87:G97" si="28">SUM(C87:F87)</f>
        <v>8572632.7899999991</v>
      </c>
      <c r="H87" s="423"/>
      <c r="I87" s="423"/>
      <c r="J87" s="423"/>
      <c r="K87" s="423"/>
      <c r="L87" s="423"/>
      <c r="M87" s="423"/>
      <c r="N87" s="427"/>
      <c r="O87" s="423"/>
    </row>
    <row r="88" spans="1:15" ht="27.6" outlineLevel="2">
      <c r="A88" s="428" t="s">
        <v>181</v>
      </c>
      <c r="B88" s="429" t="s">
        <v>53</v>
      </c>
      <c r="C88" s="432">
        <v>340950.87</v>
      </c>
      <c r="D88" s="432">
        <v>2836466</v>
      </c>
      <c r="E88" s="432">
        <v>3700241.78</v>
      </c>
      <c r="F88" s="432">
        <v>3948480</v>
      </c>
      <c r="G88" s="432">
        <f t="shared" si="28"/>
        <v>10826138.65</v>
      </c>
      <c r="N88" s="427"/>
    </row>
    <row r="89" spans="1:15" outlineLevel="2">
      <c r="A89" s="428" t="s">
        <v>59</v>
      </c>
      <c r="B89" s="429" t="s">
        <v>50</v>
      </c>
      <c r="C89" s="432">
        <v>1918322.66</v>
      </c>
      <c r="D89" s="432">
        <v>4124205</v>
      </c>
      <c r="E89" s="432">
        <v>10255987.51</v>
      </c>
      <c r="F89" s="432">
        <v>13447106</v>
      </c>
      <c r="G89" s="432">
        <f t="shared" si="28"/>
        <v>29745621.170000002</v>
      </c>
      <c r="N89" s="427"/>
    </row>
    <row r="90" spans="1:15" outlineLevel="2">
      <c r="A90" s="428" t="s">
        <v>58</v>
      </c>
      <c r="B90" s="429" t="s">
        <v>52</v>
      </c>
      <c r="C90" s="432">
        <v>1435907</v>
      </c>
      <c r="D90" s="432">
        <v>711880</v>
      </c>
      <c r="E90" s="432">
        <v>1002332.16</v>
      </c>
      <c r="F90" s="432">
        <v>3266985</v>
      </c>
      <c r="G90" s="432">
        <f t="shared" si="28"/>
        <v>6417104.1600000001</v>
      </c>
      <c r="N90" s="427"/>
    </row>
    <row r="91" spans="1:15" ht="27.6" outlineLevel="2">
      <c r="A91" s="428" t="s">
        <v>182</v>
      </c>
      <c r="B91" s="429" t="s">
        <v>51</v>
      </c>
      <c r="C91" s="432">
        <v>99311.46</v>
      </c>
      <c r="D91" s="432">
        <v>350574</v>
      </c>
      <c r="E91" s="432">
        <v>445626.3</v>
      </c>
      <c r="F91" s="432">
        <v>2722488</v>
      </c>
      <c r="G91" s="432">
        <f t="shared" si="28"/>
        <v>3617999.76</v>
      </c>
      <c r="N91" s="427"/>
    </row>
    <row r="92" spans="1:15" outlineLevel="2">
      <c r="A92" s="428" t="s">
        <v>59</v>
      </c>
      <c r="B92" s="429" t="s">
        <v>50</v>
      </c>
      <c r="C92" s="432">
        <v>558765.05000000005</v>
      </c>
      <c r="D92" s="432">
        <v>509733</v>
      </c>
      <c r="E92" s="432">
        <v>1532776.05</v>
      </c>
      <c r="F92" s="432">
        <v>5818786</v>
      </c>
      <c r="G92" s="432">
        <f t="shared" si="28"/>
        <v>8420060.0999999996</v>
      </c>
      <c r="N92" s="427"/>
    </row>
    <row r="93" spans="1:15" outlineLevel="2">
      <c r="A93" s="428" t="s">
        <v>57</v>
      </c>
      <c r="B93" s="428" t="s">
        <v>49</v>
      </c>
      <c r="C93" s="432">
        <f t="shared" ref="C93:F95" si="29">C87+C90</f>
        <v>4708759</v>
      </c>
      <c r="D93" s="432">
        <f t="shared" si="29"/>
        <v>2185200</v>
      </c>
      <c r="E93" s="432">
        <f t="shared" si="29"/>
        <v>2854541.95</v>
      </c>
      <c r="F93" s="432">
        <f t="shared" si="29"/>
        <v>5241236</v>
      </c>
      <c r="G93" s="432">
        <f t="shared" si="28"/>
        <v>14989736.949999999</v>
      </c>
      <c r="N93" s="427"/>
    </row>
    <row r="94" spans="1:15" outlineLevel="2">
      <c r="A94" s="428" t="s">
        <v>183</v>
      </c>
      <c r="B94" s="428" t="s">
        <v>49</v>
      </c>
      <c r="C94" s="432">
        <f t="shared" si="29"/>
        <v>440262.33</v>
      </c>
      <c r="D94" s="432">
        <f t="shared" si="29"/>
        <v>3187040</v>
      </c>
      <c r="E94" s="432">
        <f t="shared" si="29"/>
        <v>4145868.0799999996</v>
      </c>
      <c r="F94" s="432">
        <f t="shared" si="29"/>
        <v>6670968</v>
      </c>
      <c r="G94" s="432">
        <f t="shared" si="28"/>
        <v>14444138.41</v>
      </c>
      <c r="I94" s="451"/>
    </row>
    <row r="95" spans="1:15" outlineLevel="2">
      <c r="A95" s="428" t="s">
        <v>56</v>
      </c>
      <c r="B95" s="428" t="s">
        <v>49</v>
      </c>
      <c r="C95" s="432">
        <f t="shared" si="29"/>
        <v>2477087.71</v>
      </c>
      <c r="D95" s="432">
        <f t="shared" si="29"/>
        <v>4633938</v>
      </c>
      <c r="E95" s="432">
        <f t="shared" si="29"/>
        <v>11788763.560000001</v>
      </c>
      <c r="F95" s="432">
        <f t="shared" si="29"/>
        <v>19265892</v>
      </c>
      <c r="G95" s="432">
        <f t="shared" si="28"/>
        <v>38165681.269999996</v>
      </c>
      <c r="J95" s="450"/>
      <c r="K95" s="450"/>
      <c r="L95" s="450"/>
      <c r="M95" s="450"/>
      <c r="N95" s="450"/>
      <c r="O95" s="450"/>
    </row>
    <row r="96" spans="1:15" outlineLevel="2">
      <c r="A96" s="428" t="s">
        <v>184</v>
      </c>
      <c r="B96" s="428" t="s">
        <v>49</v>
      </c>
      <c r="C96" s="432">
        <f>SUM(C93:C95)</f>
        <v>7626109.04</v>
      </c>
      <c r="D96" s="432">
        <f>SUM(D93:D95)</f>
        <v>10006178</v>
      </c>
      <c r="E96" s="432">
        <f>SUM(E93:E95)</f>
        <v>18789173.59</v>
      </c>
      <c r="F96" s="432">
        <f>SUM(F93:F95)</f>
        <v>31178096</v>
      </c>
      <c r="G96" s="432">
        <f t="shared" si="28"/>
        <v>67599556.629999995</v>
      </c>
    </row>
    <row r="97" spans="1:15" outlineLevel="2">
      <c r="A97" s="428" t="s">
        <v>55</v>
      </c>
      <c r="B97" s="428" t="s">
        <v>49</v>
      </c>
      <c r="C97" s="436">
        <f>C93+C94</f>
        <v>5149021.33</v>
      </c>
      <c r="D97" s="436">
        <f>D93+D94</f>
        <v>5372240</v>
      </c>
      <c r="E97" s="436">
        <f>E93+E94</f>
        <v>7000410.0299999993</v>
      </c>
      <c r="F97" s="436">
        <f>F93+F94</f>
        <v>11912204</v>
      </c>
      <c r="G97" s="436">
        <f t="shared" si="28"/>
        <v>29433875.359999999</v>
      </c>
    </row>
    <row r="98" spans="1:15" outlineLevel="2"/>
    <row r="99" spans="1:15" ht="27.6" outlineLevel="2">
      <c r="A99" s="433" t="s">
        <v>133</v>
      </c>
      <c r="B99" s="434" t="s">
        <v>28</v>
      </c>
      <c r="C99" s="426" t="s">
        <v>102</v>
      </c>
      <c r="D99" s="426" t="s">
        <v>103</v>
      </c>
      <c r="E99" s="426" t="s">
        <v>95</v>
      </c>
      <c r="F99" s="426" t="s">
        <v>83</v>
      </c>
      <c r="G99" s="424" t="s">
        <v>137</v>
      </c>
      <c r="H99" s="451"/>
    </row>
    <row r="100" spans="1:15" s="450" customFormat="1" outlineLevel="2">
      <c r="A100" s="428" t="s">
        <v>60</v>
      </c>
      <c r="B100" s="429" t="s">
        <v>54</v>
      </c>
      <c r="C100" s="436">
        <v>2908080</v>
      </c>
      <c r="D100" s="436">
        <v>1764404</v>
      </c>
      <c r="E100" s="436">
        <v>2012947.69</v>
      </c>
      <c r="F100" s="436">
        <v>2015063</v>
      </c>
      <c r="G100" s="436">
        <f t="shared" ref="G100:G110" si="30">SUM(C100:F100)</f>
        <v>8700494.6899999995</v>
      </c>
      <c r="H100" s="423"/>
      <c r="I100" s="423"/>
      <c r="J100" s="423"/>
      <c r="K100" s="423"/>
      <c r="L100" s="423"/>
      <c r="M100" s="423"/>
      <c r="N100" s="423"/>
      <c r="O100" s="423"/>
    </row>
    <row r="101" spans="1:15" ht="27.6" outlineLevel="2">
      <c r="A101" s="428" t="s">
        <v>181</v>
      </c>
      <c r="B101" s="429" t="s">
        <v>53</v>
      </c>
      <c r="C101" s="432">
        <v>665022</v>
      </c>
      <c r="D101" s="432">
        <v>2276613</v>
      </c>
      <c r="E101" s="432">
        <v>3968419.85</v>
      </c>
      <c r="F101" s="432">
        <v>4030110</v>
      </c>
      <c r="G101" s="432">
        <f t="shared" si="30"/>
        <v>10940164.85</v>
      </c>
    </row>
    <row r="102" spans="1:15" outlineLevel="2">
      <c r="A102" s="428" t="s">
        <v>59</v>
      </c>
      <c r="B102" s="429" t="s">
        <v>50</v>
      </c>
      <c r="C102" s="432">
        <v>997533</v>
      </c>
      <c r="D102" s="432">
        <v>2744967</v>
      </c>
      <c r="E102" s="432">
        <v>5711146.0599999996</v>
      </c>
      <c r="F102" s="432">
        <v>6157570</v>
      </c>
      <c r="G102" s="432">
        <f t="shared" si="30"/>
        <v>15611216.059999999</v>
      </c>
    </row>
    <row r="103" spans="1:15" outlineLevel="2">
      <c r="A103" s="428" t="s">
        <v>58</v>
      </c>
      <c r="B103" s="429" t="s">
        <v>52</v>
      </c>
      <c r="C103" s="432">
        <v>1554535</v>
      </c>
      <c r="D103" s="432">
        <v>354351</v>
      </c>
      <c r="E103" s="432">
        <v>872768.24</v>
      </c>
      <c r="F103" s="432">
        <v>2247446</v>
      </c>
      <c r="G103" s="432">
        <f t="shared" si="30"/>
        <v>5029100.24</v>
      </c>
    </row>
    <row r="104" spans="1:15" ht="27.6" outlineLevel="2">
      <c r="A104" s="428" t="s">
        <v>182</v>
      </c>
      <c r="B104" s="429" t="s">
        <v>51</v>
      </c>
      <c r="C104" s="432">
        <v>247361</v>
      </c>
      <c r="D104" s="432">
        <v>457220</v>
      </c>
      <c r="E104" s="432">
        <v>422043.94</v>
      </c>
      <c r="F104" s="432">
        <v>2419922</v>
      </c>
      <c r="G104" s="432">
        <f t="shared" si="30"/>
        <v>3546546.94</v>
      </c>
    </row>
    <row r="105" spans="1:15" outlineLevel="2">
      <c r="A105" s="428" t="s">
        <v>59</v>
      </c>
      <c r="B105" s="429" t="s">
        <v>50</v>
      </c>
      <c r="C105" s="432">
        <v>371042</v>
      </c>
      <c r="D105" s="432">
        <v>551281</v>
      </c>
      <c r="E105" s="432">
        <v>630258.89</v>
      </c>
      <c r="F105" s="432">
        <v>3013397</v>
      </c>
      <c r="G105" s="432">
        <f t="shared" si="30"/>
        <v>4565978.8900000006</v>
      </c>
    </row>
    <row r="106" spans="1:15" outlineLevel="2">
      <c r="A106" s="428" t="s">
        <v>57</v>
      </c>
      <c r="B106" s="428" t="s">
        <v>49</v>
      </c>
      <c r="C106" s="432">
        <f t="shared" ref="C106:F108" si="31">C100+C103</f>
        <v>4462615</v>
      </c>
      <c r="D106" s="432">
        <f t="shared" si="31"/>
        <v>2118755</v>
      </c>
      <c r="E106" s="432">
        <f t="shared" si="31"/>
        <v>2885715.9299999997</v>
      </c>
      <c r="F106" s="432">
        <f t="shared" si="31"/>
        <v>4262509</v>
      </c>
      <c r="G106" s="432">
        <f t="shared" si="30"/>
        <v>13729594.93</v>
      </c>
    </row>
    <row r="107" spans="1:15" outlineLevel="2">
      <c r="A107" s="428" t="s">
        <v>183</v>
      </c>
      <c r="B107" s="428" t="s">
        <v>49</v>
      </c>
      <c r="C107" s="432">
        <f t="shared" si="31"/>
        <v>912383</v>
      </c>
      <c r="D107" s="432">
        <f t="shared" si="31"/>
        <v>2733833</v>
      </c>
      <c r="E107" s="432">
        <f t="shared" si="31"/>
        <v>4390463.79</v>
      </c>
      <c r="F107" s="432">
        <f t="shared" si="31"/>
        <v>6450032</v>
      </c>
      <c r="G107" s="432">
        <f t="shared" si="30"/>
        <v>14486711.789999999</v>
      </c>
      <c r="I107" s="450"/>
    </row>
    <row r="108" spans="1:15" outlineLevel="2">
      <c r="A108" s="428" t="s">
        <v>56</v>
      </c>
      <c r="B108" s="428" t="s">
        <v>49</v>
      </c>
      <c r="C108" s="432">
        <f t="shared" si="31"/>
        <v>1368575</v>
      </c>
      <c r="D108" s="432">
        <f t="shared" si="31"/>
        <v>3296248</v>
      </c>
      <c r="E108" s="432">
        <f t="shared" si="31"/>
        <v>6341404.9499999993</v>
      </c>
      <c r="F108" s="432">
        <f t="shared" si="31"/>
        <v>9170967</v>
      </c>
      <c r="G108" s="432">
        <f t="shared" si="30"/>
        <v>20177194.949999999</v>
      </c>
    </row>
    <row r="109" spans="1:15" outlineLevel="2">
      <c r="A109" s="428" t="s">
        <v>184</v>
      </c>
      <c r="B109" s="428" t="s">
        <v>49</v>
      </c>
      <c r="C109" s="432">
        <f>SUM(C106:C108)</f>
        <v>6743573</v>
      </c>
      <c r="D109" s="432">
        <f>SUM(D106:D108)</f>
        <v>8148836</v>
      </c>
      <c r="E109" s="432">
        <f>SUM(E106:E108)</f>
        <v>13617584.669999998</v>
      </c>
      <c r="F109" s="432">
        <f>SUM(F106:F108)</f>
        <v>19883508</v>
      </c>
      <c r="G109" s="432">
        <f t="shared" si="30"/>
        <v>48393501.670000002</v>
      </c>
    </row>
    <row r="110" spans="1:15" outlineLevel="2">
      <c r="A110" s="428" t="s">
        <v>55</v>
      </c>
      <c r="B110" s="428" t="s">
        <v>49</v>
      </c>
      <c r="C110" s="436">
        <f>C106+C107</f>
        <v>5374998</v>
      </c>
      <c r="D110" s="436">
        <f>D106+D107</f>
        <v>4852588</v>
      </c>
      <c r="E110" s="436">
        <f>E106+E107</f>
        <v>7276179.7199999997</v>
      </c>
      <c r="F110" s="436">
        <f>F106+F107</f>
        <v>10712541</v>
      </c>
      <c r="G110" s="436">
        <f t="shared" si="30"/>
        <v>28216306.719999999</v>
      </c>
    </row>
    <row r="111" spans="1:15" outlineLevel="2"/>
    <row r="112" spans="1:15" ht="27.6" outlineLevel="2">
      <c r="A112" s="452" t="s">
        <v>131</v>
      </c>
      <c r="B112" s="434" t="s">
        <v>28</v>
      </c>
      <c r="C112" s="426" t="s">
        <v>102</v>
      </c>
      <c r="D112" s="426" t="s">
        <v>103</v>
      </c>
      <c r="E112" s="426" t="s">
        <v>95</v>
      </c>
      <c r="F112" s="426" t="s">
        <v>83</v>
      </c>
      <c r="G112" s="424" t="s">
        <v>136</v>
      </c>
      <c r="H112" s="450"/>
    </row>
    <row r="113" spans="1:7" outlineLevel="2">
      <c r="A113" s="428" t="s">
        <v>60</v>
      </c>
      <c r="B113" s="429" t="s">
        <v>54</v>
      </c>
      <c r="C113" s="436">
        <v>3548640</v>
      </c>
      <c r="D113" s="436">
        <v>1426861</v>
      </c>
      <c r="E113" s="436">
        <v>2141912</v>
      </c>
      <c r="F113" s="436">
        <v>2355443</v>
      </c>
      <c r="G113" s="436">
        <f t="shared" ref="G113:G123" si="32">SUM(C113:F113)</f>
        <v>9472856</v>
      </c>
    </row>
    <row r="114" spans="1:7" ht="27.6" outlineLevel="2">
      <c r="A114" s="428" t="s">
        <v>181</v>
      </c>
      <c r="B114" s="429" t="s">
        <v>53</v>
      </c>
      <c r="C114" s="432">
        <v>673164</v>
      </c>
      <c r="D114" s="432">
        <v>2853722</v>
      </c>
      <c r="E114" s="432">
        <v>4215678</v>
      </c>
      <c r="F114" s="432">
        <v>4643840</v>
      </c>
      <c r="G114" s="432">
        <f t="shared" si="32"/>
        <v>12386404</v>
      </c>
    </row>
    <row r="115" spans="1:7" outlineLevel="2">
      <c r="A115" s="428" t="s">
        <v>59</v>
      </c>
      <c r="B115" s="429" t="s">
        <v>50</v>
      </c>
      <c r="C115" s="432">
        <v>760968</v>
      </c>
      <c r="D115" s="432">
        <v>1711762</v>
      </c>
      <c r="E115" s="432">
        <v>4058783</v>
      </c>
      <c r="F115" s="432">
        <v>9261918</v>
      </c>
      <c r="G115" s="432">
        <f t="shared" si="32"/>
        <v>15793431</v>
      </c>
    </row>
    <row r="116" spans="1:7" outlineLevel="2">
      <c r="A116" s="428" t="s">
        <v>58</v>
      </c>
      <c r="B116" s="429" t="s">
        <v>52</v>
      </c>
      <c r="C116" s="432">
        <v>1921725</v>
      </c>
      <c r="D116" s="432">
        <v>195298</v>
      </c>
      <c r="E116" s="432">
        <v>799332</v>
      </c>
      <c r="F116" s="432">
        <v>2044086</v>
      </c>
      <c r="G116" s="432">
        <f t="shared" si="32"/>
        <v>4960441</v>
      </c>
    </row>
    <row r="117" spans="1:7" ht="27.6" outlineLevel="2">
      <c r="A117" s="428" t="s">
        <v>182</v>
      </c>
      <c r="B117" s="429" t="s">
        <v>51</v>
      </c>
      <c r="C117" s="432">
        <v>251206</v>
      </c>
      <c r="D117" s="432">
        <v>390597</v>
      </c>
      <c r="E117" s="432">
        <v>400640</v>
      </c>
      <c r="F117" s="432">
        <v>2139280</v>
      </c>
      <c r="G117" s="432">
        <f t="shared" si="32"/>
        <v>3181723</v>
      </c>
    </row>
    <row r="118" spans="1:7" outlineLevel="2">
      <c r="A118" s="428" t="s">
        <v>59</v>
      </c>
      <c r="B118" s="429" t="s">
        <v>50</v>
      </c>
      <c r="C118" s="432">
        <v>283972</v>
      </c>
      <c r="D118" s="432">
        <v>234306</v>
      </c>
      <c r="E118" s="432">
        <v>361747</v>
      </c>
      <c r="F118" s="432">
        <v>3299926</v>
      </c>
      <c r="G118" s="432">
        <f t="shared" si="32"/>
        <v>4179951</v>
      </c>
    </row>
    <row r="119" spans="1:7" outlineLevel="2">
      <c r="A119" s="428" t="s">
        <v>57</v>
      </c>
      <c r="B119" s="428" t="s">
        <v>49</v>
      </c>
      <c r="C119" s="432">
        <f t="shared" ref="C119:F121" si="33">C113+C116</f>
        <v>5470365</v>
      </c>
      <c r="D119" s="432">
        <f t="shared" si="33"/>
        <v>1622159</v>
      </c>
      <c r="E119" s="432">
        <f t="shared" si="33"/>
        <v>2941244</v>
      </c>
      <c r="F119" s="432">
        <f t="shared" si="33"/>
        <v>4399529</v>
      </c>
      <c r="G119" s="432">
        <f t="shared" si="32"/>
        <v>14433297</v>
      </c>
    </row>
    <row r="120" spans="1:7" outlineLevel="2">
      <c r="A120" s="428" t="s">
        <v>183</v>
      </c>
      <c r="B120" s="428" t="s">
        <v>49</v>
      </c>
      <c r="C120" s="432">
        <f t="shared" si="33"/>
        <v>924370</v>
      </c>
      <c r="D120" s="432">
        <f t="shared" si="33"/>
        <v>3244319</v>
      </c>
      <c r="E120" s="432">
        <f t="shared" si="33"/>
        <v>4616318</v>
      </c>
      <c r="F120" s="432">
        <f t="shared" si="33"/>
        <v>6783120</v>
      </c>
      <c r="G120" s="432">
        <f t="shared" si="32"/>
        <v>15568127</v>
      </c>
    </row>
    <row r="121" spans="1:7" outlineLevel="2">
      <c r="A121" s="428" t="s">
        <v>56</v>
      </c>
      <c r="B121" s="428" t="s">
        <v>49</v>
      </c>
      <c r="C121" s="432">
        <f t="shared" si="33"/>
        <v>1044940</v>
      </c>
      <c r="D121" s="432">
        <f t="shared" si="33"/>
        <v>1946068</v>
      </c>
      <c r="E121" s="432">
        <f t="shared" si="33"/>
        <v>4420530</v>
      </c>
      <c r="F121" s="432">
        <f t="shared" si="33"/>
        <v>12561844</v>
      </c>
      <c r="G121" s="432">
        <f t="shared" si="32"/>
        <v>19973382</v>
      </c>
    </row>
    <row r="122" spans="1:7" outlineLevel="2">
      <c r="A122" s="428" t="s">
        <v>184</v>
      </c>
      <c r="B122" s="428" t="s">
        <v>49</v>
      </c>
      <c r="C122" s="432">
        <f>SUM(C119:C121)</f>
        <v>7439675</v>
      </c>
      <c r="D122" s="432">
        <f>SUM(D119:D121)</f>
        <v>6812546</v>
      </c>
      <c r="E122" s="432">
        <f>SUM(E119:E121)</f>
        <v>11978092</v>
      </c>
      <c r="F122" s="432">
        <f>SUM(F119:F121)</f>
        <v>23744493</v>
      </c>
      <c r="G122" s="432">
        <f t="shared" si="32"/>
        <v>49974806</v>
      </c>
    </row>
    <row r="123" spans="1:7" outlineLevel="2">
      <c r="A123" s="428" t="s">
        <v>55</v>
      </c>
      <c r="B123" s="428" t="s">
        <v>49</v>
      </c>
      <c r="C123" s="436">
        <f>C119+C120</f>
        <v>6394735</v>
      </c>
      <c r="D123" s="436">
        <f>D119+D120</f>
        <v>4866478</v>
      </c>
      <c r="E123" s="436">
        <f>E119+E120</f>
        <v>7557562</v>
      </c>
      <c r="F123" s="436">
        <f>F119+F120</f>
        <v>11182649</v>
      </c>
      <c r="G123" s="436">
        <f t="shared" si="32"/>
        <v>30001424</v>
      </c>
    </row>
    <row r="124" spans="1:7" outlineLevel="2"/>
    <row r="125" spans="1:7" ht="27.6">
      <c r="A125" s="452" t="s">
        <v>132</v>
      </c>
      <c r="B125" s="434" t="s">
        <v>28</v>
      </c>
      <c r="C125" s="426" t="s">
        <v>102</v>
      </c>
      <c r="D125" s="426" t="s">
        <v>103</v>
      </c>
      <c r="E125" s="426" t="s">
        <v>95</v>
      </c>
      <c r="F125" s="426" t="s">
        <v>83</v>
      </c>
      <c r="G125" s="424" t="s">
        <v>135</v>
      </c>
    </row>
    <row r="126" spans="1:7">
      <c r="A126" s="428" t="s">
        <v>60</v>
      </c>
      <c r="B126" s="429" t="s">
        <v>54</v>
      </c>
      <c r="C126" s="436">
        <v>2987531</v>
      </c>
      <c r="D126" s="436">
        <v>1499840</v>
      </c>
      <c r="E126" s="436">
        <v>2218408</v>
      </c>
      <c r="F126" s="436">
        <v>2656275.67</v>
      </c>
      <c r="G126" s="436">
        <f t="shared" ref="G126:G136" si="34">SUM(C126:F126)</f>
        <v>9362054.6699999999</v>
      </c>
    </row>
    <row r="127" spans="1:7" ht="27.6">
      <c r="A127" s="428" t="s">
        <v>181</v>
      </c>
      <c r="B127" s="429" t="s">
        <v>53</v>
      </c>
      <c r="C127" s="432">
        <v>0</v>
      </c>
      <c r="D127" s="432">
        <v>2765214.37</v>
      </c>
      <c r="E127" s="432">
        <v>4436816</v>
      </c>
      <c r="F127" s="432">
        <v>5312551.34</v>
      </c>
      <c r="G127" s="432">
        <f t="shared" si="34"/>
        <v>12514581.710000001</v>
      </c>
    </row>
    <row r="128" spans="1:7">
      <c r="A128" s="428" t="s">
        <v>59</v>
      </c>
      <c r="B128" s="429" t="s">
        <v>50</v>
      </c>
      <c r="C128" s="432">
        <v>726542</v>
      </c>
      <c r="D128" s="432">
        <v>1359447.48</v>
      </c>
      <c r="E128" s="432">
        <v>2079758</v>
      </c>
      <c r="F128" s="432">
        <v>5248993.3899999997</v>
      </c>
      <c r="G128" s="432">
        <f t="shared" si="34"/>
        <v>9414740.8699999992</v>
      </c>
    </row>
    <row r="129" spans="1:7">
      <c r="A129" s="428" t="s">
        <v>58</v>
      </c>
      <c r="B129" s="429" t="s">
        <v>52</v>
      </c>
      <c r="C129" s="432">
        <v>1961296</v>
      </c>
      <c r="D129" s="432">
        <v>181755.94</v>
      </c>
      <c r="E129" s="432">
        <v>1145052</v>
      </c>
      <c r="F129" s="432">
        <v>746593.08</v>
      </c>
      <c r="G129" s="432">
        <f t="shared" si="34"/>
        <v>4034697.02</v>
      </c>
    </row>
    <row r="130" spans="1:7" ht="27.6">
      <c r="A130" s="428" t="s">
        <v>182</v>
      </c>
      <c r="B130" s="429" t="s">
        <v>51</v>
      </c>
      <c r="C130" s="432">
        <v>0</v>
      </c>
      <c r="D130" s="432">
        <v>273482.74</v>
      </c>
      <c r="E130" s="432">
        <v>598720</v>
      </c>
      <c r="F130" s="432">
        <v>731954</v>
      </c>
      <c r="G130" s="432">
        <f t="shared" si="34"/>
        <v>1604156.74</v>
      </c>
    </row>
    <row r="131" spans="1:7">
      <c r="A131" s="428" t="s">
        <v>59</v>
      </c>
      <c r="B131" s="429" t="s">
        <v>50</v>
      </c>
      <c r="C131" s="432">
        <v>344464</v>
      </c>
      <c r="D131" s="432">
        <v>140817.53</v>
      </c>
      <c r="E131" s="432">
        <v>280650</v>
      </c>
      <c r="F131" s="432">
        <v>1089566.46</v>
      </c>
      <c r="G131" s="432">
        <f t="shared" si="34"/>
        <v>1855497.99</v>
      </c>
    </row>
    <row r="132" spans="1:7">
      <c r="A132" s="428" t="s">
        <v>57</v>
      </c>
      <c r="B132" s="428" t="s">
        <v>49</v>
      </c>
      <c r="C132" s="432">
        <f t="shared" ref="C132:F134" si="35">C126+C129</f>
        <v>4948827</v>
      </c>
      <c r="D132" s="432">
        <f t="shared" si="35"/>
        <v>1681595.94</v>
      </c>
      <c r="E132" s="432">
        <f t="shared" si="35"/>
        <v>3363460</v>
      </c>
      <c r="F132" s="432">
        <f t="shared" si="35"/>
        <v>3402868.75</v>
      </c>
      <c r="G132" s="432">
        <f t="shared" si="34"/>
        <v>13396751.689999999</v>
      </c>
    </row>
    <row r="133" spans="1:7">
      <c r="A133" s="428" t="s">
        <v>183</v>
      </c>
      <c r="B133" s="428" t="s">
        <v>49</v>
      </c>
      <c r="C133" s="432">
        <f t="shared" si="35"/>
        <v>0</v>
      </c>
      <c r="D133" s="432">
        <f t="shared" si="35"/>
        <v>3038697.1100000003</v>
      </c>
      <c r="E133" s="432">
        <f t="shared" si="35"/>
        <v>5035536</v>
      </c>
      <c r="F133" s="432">
        <f t="shared" si="35"/>
        <v>6044505.3399999999</v>
      </c>
      <c r="G133" s="432">
        <f t="shared" si="34"/>
        <v>14118738.449999999</v>
      </c>
    </row>
    <row r="134" spans="1:7">
      <c r="A134" s="428" t="s">
        <v>56</v>
      </c>
      <c r="B134" s="428" t="s">
        <v>49</v>
      </c>
      <c r="C134" s="432">
        <f t="shared" si="35"/>
        <v>1071006</v>
      </c>
      <c r="D134" s="432">
        <f t="shared" si="35"/>
        <v>1500265.01</v>
      </c>
      <c r="E134" s="432">
        <f t="shared" si="35"/>
        <v>2360408</v>
      </c>
      <c r="F134" s="432">
        <f t="shared" si="35"/>
        <v>6338559.8499999996</v>
      </c>
      <c r="G134" s="432">
        <f t="shared" si="34"/>
        <v>11270238.859999999</v>
      </c>
    </row>
    <row r="135" spans="1:7">
      <c r="A135" s="428" t="s">
        <v>184</v>
      </c>
      <c r="B135" s="428" t="s">
        <v>49</v>
      </c>
      <c r="C135" s="432">
        <f>SUM(C132:C134)</f>
        <v>6019833</v>
      </c>
      <c r="D135" s="432">
        <f>SUM(D132:D134)</f>
        <v>6220558.0600000005</v>
      </c>
      <c r="E135" s="432">
        <f>SUM(E132:E134)</f>
        <v>10759404</v>
      </c>
      <c r="F135" s="432">
        <f>SUM(F132:F134)</f>
        <v>15785933.939999999</v>
      </c>
      <c r="G135" s="432">
        <f t="shared" si="34"/>
        <v>38785729</v>
      </c>
    </row>
    <row r="136" spans="1:7">
      <c r="A136" s="428" t="s">
        <v>55</v>
      </c>
      <c r="B136" s="428" t="s">
        <v>49</v>
      </c>
      <c r="C136" s="436">
        <f>C132+C133</f>
        <v>4948827</v>
      </c>
      <c r="D136" s="436">
        <f>D132+D133</f>
        <v>4720293.0500000007</v>
      </c>
      <c r="E136" s="436">
        <f>E132+E133</f>
        <v>8398996</v>
      </c>
      <c r="F136" s="436">
        <f>F132+F133</f>
        <v>9447374.0899999999</v>
      </c>
      <c r="G136" s="436">
        <f t="shared" si="34"/>
        <v>27515490.140000001</v>
      </c>
    </row>
  </sheetData>
  <mergeCells count="1">
    <mergeCell ref="A4:B6"/>
  </mergeCells>
  <pageMargins left="0.24" right="0" top="0.5" bottom="0.5" header="0.31" footer="0.25"/>
  <pageSetup scale="84" fitToHeight="0" orientation="landscape" r:id="rId1"/>
  <headerFooter alignWithMargins="0">
    <oddFooter>Prepared by Paul Turcotte &amp;D&amp;RPage &amp;P</oddFooter>
  </headerFooter>
  <rowBreaks count="2" manualBreakCount="2">
    <brk id="33" max="16383" man="1"/>
    <brk id="98" max="16383" man="1"/>
  </rowBreaks>
  <colBreaks count="1" manualBreakCount="1">
    <brk id="21"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00B050"/>
    <pageSetUpPr autoPageBreaks="0" fitToPage="1"/>
  </sheetPr>
  <dimension ref="A1:AO3895"/>
  <sheetViews>
    <sheetView showGridLines="0" zoomScale="70" zoomScaleNormal="70" workbookViewId="0">
      <pane xSplit="3" ySplit="4" topLeftCell="D1244" activePane="bottomRight" state="frozen"/>
      <selection pane="topRight" activeCell="D1" sqref="D1"/>
      <selection pane="bottomLeft" activeCell="A5" sqref="A5"/>
      <selection pane="bottomRight" activeCell="G3896" sqref="G3896"/>
    </sheetView>
  </sheetViews>
  <sheetFormatPr defaultColWidth="9.109375" defaultRowHeight="13.8" outlineLevelCol="1"/>
  <cols>
    <col min="1" max="1" width="8.6640625" style="205" customWidth="1"/>
    <col min="2" max="2" width="7.33203125" style="177" bestFit="1" customWidth="1"/>
    <col min="3" max="3" width="7.44140625" style="178" customWidth="1"/>
    <col min="4" max="4" width="13" style="180" customWidth="1" outlineLevel="1"/>
    <col min="5" max="5" width="13.6640625" style="180" customWidth="1" outlineLevel="1"/>
    <col min="6" max="6" width="13" style="180" customWidth="1" outlineLevel="1"/>
    <col min="7" max="7" width="13.5546875" style="180" customWidth="1"/>
    <col min="8" max="8" width="13.33203125" style="180" customWidth="1" outlineLevel="1"/>
    <col min="9" max="9" width="12.88671875" style="180" customWidth="1" outlineLevel="1"/>
    <col min="10" max="10" width="13" style="180" customWidth="1" outlineLevel="1"/>
    <col min="11" max="11" width="13.5546875" style="180" customWidth="1"/>
    <col min="12" max="12" width="12.109375" style="180" customWidth="1" outlineLevel="1"/>
    <col min="13" max="13" width="12.33203125" style="180" customWidth="1" outlineLevel="1"/>
    <col min="14" max="14" width="12.88671875" style="180" customWidth="1" outlineLevel="1"/>
    <col min="15" max="15" width="16.33203125" style="180" customWidth="1"/>
    <col min="16" max="16" width="12.109375" style="180" customWidth="1" outlineLevel="1"/>
    <col min="17" max="17" width="13.6640625" style="180" customWidth="1" outlineLevel="1"/>
    <col min="18" max="18" width="13.44140625" style="180" customWidth="1" outlineLevel="1"/>
    <col min="19" max="19" width="13.5546875" style="180" customWidth="1"/>
    <col min="20" max="20" width="15.88671875" style="180" customWidth="1"/>
    <col min="21" max="21" width="18.44140625" style="180" customWidth="1"/>
    <col min="22" max="22" width="17.6640625" style="180" bestFit="1" customWidth="1"/>
    <col min="23" max="23" width="17" style="180" customWidth="1"/>
    <col min="24" max="24" width="15" style="180" customWidth="1"/>
    <col min="25" max="25" width="17.6640625" style="180" bestFit="1" customWidth="1"/>
    <col min="26" max="26" width="17.33203125" style="180" bestFit="1" customWidth="1"/>
    <col min="27" max="28" width="17.6640625" style="180" bestFit="1" customWidth="1"/>
    <col min="29" max="29" width="6.44140625" style="180" customWidth="1"/>
    <col min="30" max="30" width="14.109375" style="180" hidden="1" customWidth="1"/>
    <col min="31" max="31" width="16" style="180" hidden="1" customWidth="1"/>
    <col min="32" max="32" width="13.88671875" style="180" hidden="1" customWidth="1"/>
    <col min="33" max="33" width="16.5546875" style="180" hidden="1" customWidth="1"/>
    <col min="34" max="34" width="6.44140625" style="180" hidden="1" customWidth="1"/>
    <col min="35" max="37" width="13.88671875" style="180" hidden="1" customWidth="1"/>
    <col min="38" max="38" width="14" style="180" hidden="1" customWidth="1"/>
    <col min="39" max="39" width="5.6640625" style="180" hidden="1" customWidth="1"/>
    <col min="40" max="40" width="17.33203125" style="180" hidden="1" customWidth="1"/>
    <col min="41" max="41" width="17.6640625" style="180" hidden="1" customWidth="1"/>
    <col min="42" max="16384" width="9.109375" style="180"/>
  </cols>
  <sheetData>
    <row r="1" spans="1:41">
      <c r="A1" s="176" t="str">
        <f>Summary!A1</f>
        <v>General Academic Institutions - Formula Funding - 2024-2025</v>
      </c>
      <c r="D1" s="179"/>
      <c r="E1" s="179"/>
      <c r="F1" s="179"/>
      <c r="G1" s="179"/>
      <c r="H1" s="179"/>
      <c r="I1" s="179"/>
      <c r="J1" s="179"/>
      <c r="K1" s="179"/>
      <c r="L1" s="179"/>
      <c r="M1" s="179"/>
      <c r="N1" s="179"/>
      <c r="O1" s="179"/>
      <c r="P1" s="179"/>
      <c r="Q1" s="179"/>
      <c r="R1" s="179"/>
      <c r="S1" s="179"/>
      <c r="T1" s="179"/>
      <c r="U1" s="179"/>
    </row>
    <row r="2" spans="1:41">
      <c r="A2" s="181" t="s">
        <v>418</v>
      </c>
      <c r="E2" s="179"/>
      <c r="F2" s="179"/>
      <c r="G2" s="179"/>
      <c r="I2" s="179"/>
      <c r="J2" s="179"/>
      <c r="K2" s="179"/>
      <c r="M2" s="179"/>
      <c r="N2" s="179"/>
      <c r="O2" s="179"/>
      <c r="Q2" s="179"/>
      <c r="R2" s="179"/>
      <c r="S2" s="179"/>
      <c r="T2" s="179"/>
      <c r="U2" s="179"/>
      <c r="V2" s="182"/>
      <c r="W2" s="182"/>
      <c r="Y2" s="182"/>
    </row>
    <row r="3" spans="1:41">
      <c r="A3" s="183" t="s">
        <v>465</v>
      </c>
      <c r="E3" s="179"/>
      <c r="F3" s="179"/>
      <c r="G3" s="179"/>
      <c r="I3" s="179"/>
      <c r="J3" s="179"/>
      <c r="K3" s="179"/>
      <c r="M3" s="179"/>
      <c r="N3" s="179"/>
      <c r="O3" s="179"/>
      <c r="Q3" s="179"/>
      <c r="R3" s="179"/>
      <c r="S3" s="179"/>
      <c r="T3" s="179"/>
      <c r="U3" s="179"/>
    </row>
    <row r="4" spans="1:41" ht="55.2">
      <c r="A4" s="184" t="s">
        <v>0</v>
      </c>
      <c r="B4" s="185" t="s">
        <v>25</v>
      </c>
      <c r="C4" s="551" t="s">
        <v>421</v>
      </c>
      <c r="D4" s="186" t="s">
        <v>423</v>
      </c>
      <c r="E4" s="187" t="s">
        <v>422</v>
      </c>
      <c r="F4" s="186" t="s">
        <v>173</v>
      </c>
      <c r="G4" s="186" t="s">
        <v>172</v>
      </c>
      <c r="H4" s="186" t="s">
        <v>424</v>
      </c>
      <c r="I4" s="187" t="s">
        <v>427</v>
      </c>
      <c r="J4" s="186" t="s">
        <v>170</v>
      </c>
      <c r="K4" s="186" t="s">
        <v>171</v>
      </c>
      <c r="L4" s="186" t="s">
        <v>425</v>
      </c>
      <c r="M4" s="187" t="s">
        <v>428</v>
      </c>
      <c r="N4" s="186" t="s">
        <v>166</v>
      </c>
      <c r="O4" s="186" t="s">
        <v>167</v>
      </c>
      <c r="P4" s="186" t="s">
        <v>426</v>
      </c>
      <c r="Q4" s="187" t="s">
        <v>429</v>
      </c>
      <c r="R4" s="186" t="s">
        <v>168</v>
      </c>
      <c r="S4" s="186" t="s">
        <v>169</v>
      </c>
      <c r="T4" s="186" t="s">
        <v>63</v>
      </c>
      <c r="U4" s="186" t="s">
        <v>140</v>
      </c>
      <c r="V4" s="186" t="str">
        <f>Summary!J1&amp; " Instruction 
and 
Operations"</f>
        <v>2024 Instruction 
and 
Operations</v>
      </c>
      <c r="W4" s="186" t="s">
        <v>141</v>
      </c>
      <c r="X4" s="186" t="str">
        <f>Summary!J1&amp;" Teaching Supplement"</f>
        <v>2024 Teaching Supplement</v>
      </c>
      <c r="Y4" s="186" t="str">
        <f>Summary!J1+1&amp;" Instruction 
and 
Operations"</f>
        <v>2025 Instruction 
and 
Operations</v>
      </c>
      <c r="Z4" s="186" t="str">
        <f>Summary!J1+1&amp; " Teaching Supplement"</f>
        <v>2025 Teaching Supplement</v>
      </c>
      <c r="AA4" s="186" t="str">
        <f>Summary!J1&amp;" I&amp;O"</f>
        <v>2024 I&amp;O</v>
      </c>
      <c r="AB4" s="186" t="str">
        <f>Summary!J1+1&amp;" I&amp;O"</f>
        <v>2025 I&amp;O</v>
      </c>
      <c r="AD4" s="186" t="s">
        <v>275</v>
      </c>
      <c r="AE4" s="186" t="s">
        <v>276</v>
      </c>
      <c r="AF4" s="186" t="s">
        <v>277</v>
      </c>
      <c r="AG4" s="186" t="s">
        <v>278</v>
      </c>
      <c r="AH4" s="188"/>
      <c r="AI4" s="186" t="s">
        <v>279</v>
      </c>
      <c r="AJ4" s="186" t="s">
        <v>280</v>
      </c>
      <c r="AK4" s="186" t="s">
        <v>281</v>
      </c>
      <c r="AL4" s="186" t="s">
        <v>282</v>
      </c>
      <c r="AM4" s="188"/>
      <c r="AN4" s="186" t="s">
        <v>284</v>
      </c>
      <c r="AO4" s="186" t="s">
        <v>283</v>
      </c>
    </row>
    <row r="5" spans="1:41">
      <c r="A5" s="189">
        <v>20</v>
      </c>
      <c r="B5" s="190">
        <v>1</v>
      </c>
      <c r="C5" s="191">
        <v>1</v>
      </c>
      <c r="D5" s="192">
        <f t="shared" ref="D5:D68" si="0">H5+L5+P5</f>
        <v>327</v>
      </c>
      <c r="E5" s="192">
        <f t="shared" ref="E5:E68" si="1">I5+M5+Q5</f>
        <v>81</v>
      </c>
      <c r="F5" s="192">
        <f t="shared" ref="F5:F68" si="2">J5+N5+R5</f>
        <v>0</v>
      </c>
      <c r="G5" s="193">
        <f t="shared" ref="G5:G68" si="3">(SUM(D5:E5)-F5)*IF(A5=10298,1.51,1)</f>
        <v>408</v>
      </c>
      <c r="H5" s="194">
        <v>102</v>
      </c>
      <c r="I5" s="194">
        <v>36</v>
      </c>
      <c r="J5" s="194">
        <v>0</v>
      </c>
      <c r="K5" s="193">
        <f t="shared" ref="K5:K68" si="4">SUM(H5:I5)-J5</f>
        <v>138</v>
      </c>
      <c r="L5" s="194">
        <v>195</v>
      </c>
      <c r="M5" s="194">
        <v>30</v>
      </c>
      <c r="N5" s="194">
        <v>0</v>
      </c>
      <c r="O5" s="193">
        <f t="shared" ref="O5:O68" si="5">SUM(L5:M5)-N5</f>
        <v>225</v>
      </c>
      <c r="P5" s="194">
        <v>30</v>
      </c>
      <c r="Q5" s="194">
        <v>15</v>
      </c>
      <c r="R5" s="194">
        <v>0</v>
      </c>
      <c r="S5" s="193">
        <f t="shared" ref="S5:S68" si="6">SUM(P5:Q5)-R5</f>
        <v>45</v>
      </c>
      <c r="T5" s="193">
        <f t="shared" ref="T5:T68" si="7">IF(OR(B5=1,B5=2),G5/30,IF(OR(B5=3,B5=5),G5/24,IF(B5=4,G5/18,0)))</f>
        <v>13.6</v>
      </c>
      <c r="U5" s="193">
        <f ca="1">OFFSET('Expenditure Study'!$B$7,'Operations Support'!$C5,'Operations Support'!$B5)*$G5</f>
        <v>408</v>
      </c>
      <c r="V5" s="195">
        <f ca="1">U5*'Expenditure Study'!$B$31</f>
        <v>24105.937766400002</v>
      </c>
      <c r="W5" s="193">
        <f ca="1">IF(A5=10298,1.51,1)*IF($B5&lt;3,$D5*'Expenditure Study'!$B$32*OFFSET('Expenditure Study'!$B$7,'Operations Support'!$C5,'Operations Support'!$B5),0)</f>
        <v>32.700000000000003</v>
      </c>
      <c r="X5" s="195">
        <f ca="1">W5*'Expenditure Study'!$B$31</f>
        <v>1932.0200121600003</v>
      </c>
      <c r="Y5" s="195">
        <f ca="1">U5*'Expenditure Study'!$B$31</f>
        <v>24105.937766400002</v>
      </c>
      <c r="Z5" s="195">
        <f ca="1">W5*'Expenditure Study'!$B$31</f>
        <v>1932.0200121600003</v>
      </c>
      <c r="AA5" s="195">
        <f t="shared" ref="AA5:AA68" ca="1" si="8">V5+X5</f>
        <v>26037.957778560001</v>
      </c>
      <c r="AB5" s="195">
        <f t="shared" ref="AB5:AB68" ca="1" si="9">Y5+Z5</f>
        <v>26037.957778560001</v>
      </c>
      <c r="AD5" s="196">
        <f>IFERROR($G5/SUMIF($A:$A,$A5,$G:$G)*SUMIF(Summary!$A$166:$A$242,$A5,Summary!$P$166:$P$242),0)</f>
        <v>12340.358158346677</v>
      </c>
      <c r="AE5" s="197">
        <f ca="1">V5+X5-AD5</f>
        <v>13697.599620213325</v>
      </c>
      <c r="AF5" s="196">
        <f>IFERROR(G5/SUMIF(A:A,A5,G:G)*SUMIF(Summary!$A$166:$A$242,'Operations Support'!A5,Summary!$Q$166:$Q$242),0)</f>
        <v>12340.857176896947</v>
      </c>
      <c r="AG5" s="196">
        <f ca="1">Y5+Z5-AF5</f>
        <v>13697.100601663054</v>
      </c>
      <c r="AI5" s="196">
        <f>IFERROR($G5/SUMIF($A:$A,$A5,$G:$G)*SUMIF(Summary!$A$247:$A$283,$A5,Summary!$P$247:$P$283),0)</f>
        <v>2250.5733778773042</v>
      </c>
      <c r="AJ5" s="196">
        <f>IFERROR($G5/SUMIF($A:$A,$A5,$G:$G)*(SUMIF(Summary!$A$247:$A$283,$A5,Summary!$L$247:$L$283)+SUMIF(Summary!$A$297:$A$333,$A5,Summary!$L$297:$L$333))-AI5,0)</f>
        <v>54726.200552336326</v>
      </c>
      <c r="AK5" s="196">
        <f>IFERROR($G5/SUMIF($A:$A,$A5,$G:$G)*SUMIF(Summary!$A$247:$A$283,$A5,Summary!$Q$247:$Q$283),0)</f>
        <v>2250.6643864080052</v>
      </c>
      <c r="AL5" s="196">
        <f>IFERROR($G5/SUMIF($A:$A,$A5,$G:$G)*(SUMIF(Summary!$A$247:$A$283,$A5,Summary!$L$247:$L$283)+SUMIF(Summary!$A$297:$A$333,$A5,Summary!$L$297:$L$333))-AK5,0)</f>
        <v>54726.109543805629</v>
      </c>
      <c r="AM5" s="198"/>
      <c r="AN5" s="196">
        <f ca="1">AE5+AJ5</f>
        <v>68423.800172549643</v>
      </c>
      <c r="AO5" s="196">
        <f ca="1">AG5+AL5</f>
        <v>68423.210145468678</v>
      </c>
    </row>
    <row r="6" spans="1:41">
      <c r="A6" s="189">
        <v>20</v>
      </c>
      <c r="B6" s="190">
        <v>1</v>
      </c>
      <c r="C6" s="191" t="s">
        <v>221</v>
      </c>
      <c r="D6" s="192">
        <f t="shared" si="0"/>
        <v>37</v>
      </c>
      <c r="E6" s="192">
        <f t="shared" si="1"/>
        <v>33</v>
      </c>
      <c r="F6" s="192">
        <f t="shared" si="2"/>
        <v>0</v>
      </c>
      <c r="G6" s="193">
        <f t="shared" si="3"/>
        <v>70</v>
      </c>
      <c r="H6" s="194">
        <v>7</v>
      </c>
      <c r="I6" s="194">
        <v>9</v>
      </c>
      <c r="J6" s="194">
        <v>0</v>
      </c>
      <c r="K6" s="193">
        <f t="shared" si="4"/>
        <v>16</v>
      </c>
      <c r="L6" s="194">
        <v>30</v>
      </c>
      <c r="M6" s="194">
        <v>15</v>
      </c>
      <c r="N6" s="194">
        <v>0</v>
      </c>
      <c r="O6" s="193">
        <f t="shared" si="5"/>
        <v>45</v>
      </c>
      <c r="P6" s="194">
        <v>0</v>
      </c>
      <c r="Q6" s="194">
        <v>9</v>
      </c>
      <c r="R6" s="194">
        <v>0</v>
      </c>
      <c r="S6" s="193">
        <f t="shared" si="6"/>
        <v>9</v>
      </c>
      <c r="T6" s="193">
        <f t="shared" si="7"/>
        <v>2.3333333333333335</v>
      </c>
      <c r="U6" s="193">
        <f ca="1">OFFSET('Expenditure Study'!$B$7,'Operations Support'!$C6,'Operations Support'!$B6)*$G6</f>
        <v>93.800000000000011</v>
      </c>
      <c r="V6" s="199">
        <f ca="1">U6*'Expenditure Study'!$B$31</f>
        <v>5542.0023590400006</v>
      </c>
      <c r="W6" s="199">
        <f ca="1">IF(A6=10298,1.51,1)*IF($B6&lt;3,$D6*'Expenditure Study'!$B$32*OFFSET('Expenditure Study'!$B$7,'Operations Support'!$C6,'Operations Support'!$B6),0)</f>
        <v>4.9580000000000002</v>
      </c>
      <c r="X6" s="200">
        <f ca="1">W6*'Expenditure Study'!$B$31</f>
        <v>292.93441040639999</v>
      </c>
      <c r="Y6" s="199">
        <f ca="1">U6*'Expenditure Study'!$B$31</f>
        <v>5542.0023590400006</v>
      </c>
      <c r="Z6" s="200">
        <f ca="1">W6*'Expenditure Study'!$B$31</f>
        <v>292.93441040639999</v>
      </c>
      <c r="AA6" s="195">
        <f t="shared" ca="1" si="8"/>
        <v>5834.9367694464008</v>
      </c>
      <c r="AB6" s="195">
        <f t="shared" ca="1" si="9"/>
        <v>5834.9367694464008</v>
      </c>
      <c r="AD6" s="196">
        <f>IFERROR($G6/SUMIF($A:$A,$A6,$G:$G)*SUMIF(Summary!$A$166:$A$242,$A6,Summary!$P$166:$P$242),0)</f>
        <v>2117.2183114810473</v>
      </c>
      <c r="AE6" s="197">
        <f t="shared" ref="AE6:AE69" ca="1" si="10">V6+X6-AD6</f>
        <v>3717.7184579653535</v>
      </c>
      <c r="AF6" s="196">
        <f>IFERROR(G6/SUMIF(A:A,A6,G:G)*SUMIF(Summary!$A$166:$A$242,'Operations Support'!A6,Summary!$Q$166:$Q$242),0)</f>
        <v>2117.3039274087896</v>
      </c>
      <c r="AG6" s="196">
        <f t="shared" ref="AG6:AG69" ca="1" si="11">Y6+Z6-AF6</f>
        <v>3717.6328420376112</v>
      </c>
      <c r="AI6" s="196">
        <f>IFERROR($G6/SUMIF($A:$A,$A6,$G:$G)*SUMIF(Summary!$A$247:$A$283,$A6,Summary!$P$247:$P$283),0)</f>
        <v>386.12778542012569</v>
      </c>
      <c r="AJ6" s="196">
        <f>IFERROR($G6/SUMIF($A:$A,$A6,$G:$G)*(SUMIF(Summary!$A$247:$A$283,$A6,Summary!$L$247:$L$283)+SUMIF(Summary!$A$297:$A$333,$A6,Summary!$L$297:$L$333))-AI6,0)</f>
        <v>9389.299114371428</v>
      </c>
      <c r="AK6" s="196">
        <f>IFERROR($G6/SUMIF($A:$A,$A6,$G:$G)*SUMIF(Summary!$A$247:$A$283,$A6,Summary!$Q$247:$Q$283),0)</f>
        <v>386.14339962882434</v>
      </c>
      <c r="AL6" s="196">
        <f>IFERROR($G6/SUMIF($A:$A,$A6,$G:$G)*(SUMIF(Summary!$A$247:$A$283,$A6,Summary!$L$247:$L$283)+SUMIF(Summary!$A$297:$A$333,$A6,Summary!$L$297:$L$333))-AK6,0)</f>
        <v>9389.2835001627282</v>
      </c>
      <c r="AM6" s="198"/>
      <c r="AN6" s="196">
        <f t="shared" ref="AN6:AN69" ca="1" si="12">AE6+AJ6</f>
        <v>13107.017572336781</v>
      </c>
      <c r="AO6" s="196">
        <f t="shared" ref="AO6:AO69" ca="1" si="13">AG6+AL6</f>
        <v>13106.91634220034</v>
      </c>
    </row>
    <row r="7" spans="1:41">
      <c r="A7" s="189">
        <v>20</v>
      </c>
      <c r="B7" s="190">
        <v>1</v>
      </c>
      <c r="C7" s="191" t="s">
        <v>222</v>
      </c>
      <c r="D7" s="192">
        <f t="shared" si="0"/>
        <v>0</v>
      </c>
      <c r="E7" s="192">
        <f t="shared" si="1"/>
        <v>0</v>
      </c>
      <c r="F7" s="192">
        <f t="shared" si="2"/>
        <v>0</v>
      </c>
      <c r="G7" s="193">
        <f t="shared" si="3"/>
        <v>0</v>
      </c>
      <c r="H7" s="194">
        <v>0</v>
      </c>
      <c r="I7" s="194">
        <v>0</v>
      </c>
      <c r="J7" s="194">
        <v>0</v>
      </c>
      <c r="K7" s="193">
        <f t="shared" si="4"/>
        <v>0</v>
      </c>
      <c r="L7" s="194">
        <v>0</v>
      </c>
      <c r="M7" s="194">
        <v>0</v>
      </c>
      <c r="N7" s="194">
        <v>0</v>
      </c>
      <c r="O7" s="193">
        <f t="shared" si="5"/>
        <v>0</v>
      </c>
      <c r="P7" s="194">
        <v>0</v>
      </c>
      <c r="Q7" s="194">
        <v>0</v>
      </c>
      <c r="R7" s="194">
        <v>0</v>
      </c>
      <c r="S7" s="193">
        <f t="shared" si="6"/>
        <v>0</v>
      </c>
      <c r="T7" s="193">
        <f t="shared" si="7"/>
        <v>0</v>
      </c>
      <c r="U7" s="193">
        <f ca="1">OFFSET('Expenditure Study'!$B$7,'Operations Support'!$C7,'Operations Support'!$B7)*$G7</f>
        <v>0</v>
      </c>
      <c r="V7" s="199">
        <f ca="1">U7*'Expenditure Study'!$B$31</f>
        <v>0</v>
      </c>
      <c r="W7" s="199">
        <f ca="1">IF(A7=10298,1.51,1)*IF($B7&lt;3,$D7*'Expenditure Study'!$B$32*OFFSET('Expenditure Study'!$B$7,'Operations Support'!$C7,'Operations Support'!$B7),0)</f>
        <v>0</v>
      </c>
      <c r="X7" s="200">
        <f ca="1">W7*'Expenditure Study'!$B$31</f>
        <v>0</v>
      </c>
      <c r="Y7" s="199">
        <f ca="1">U7*'Expenditure Study'!$B$31</f>
        <v>0</v>
      </c>
      <c r="Z7" s="200">
        <f ca="1">W7*'Expenditure Study'!$B$31</f>
        <v>0</v>
      </c>
      <c r="AA7" s="195">
        <f t="shared" ca="1" si="8"/>
        <v>0</v>
      </c>
      <c r="AB7" s="195">
        <f t="shared" ca="1" si="9"/>
        <v>0</v>
      </c>
      <c r="AD7" s="196">
        <f>IFERROR($G7/SUMIF($A:$A,$A7,$G:$G)*SUMIF(Summary!$A$166:$A$242,$A7,Summary!$P$166:$P$242),0)</f>
        <v>0</v>
      </c>
      <c r="AE7" s="197">
        <f t="shared" ca="1" si="10"/>
        <v>0</v>
      </c>
      <c r="AF7" s="196">
        <f>IFERROR(G7/SUMIF(A:A,A7,G:G)*SUMIF(Summary!$A$166:$A$242,'Operations Support'!A7,Summary!$Q$166:$Q$242),0)</f>
        <v>0</v>
      </c>
      <c r="AG7" s="196">
        <f t="shared" ca="1" si="11"/>
        <v>0</v>
      </c>
      <c r="AI7" s="196">
        <f>IFERROR($G7/SUMIF($A:$A,$A7,$G:$G)*SUMIF(Summary!$A$247:$A$283,$A7,Summary!$P$247:$P$283),0)</f>
        <v>0</v>
      </c>
      <c r="AJ7" s="196">
        <f>IFERROR($G7/SUMIF($A:$A,$A7,$G:$G)*(SUMIF(Summary!$A$247:$A$283,$A7,Summary!$L$247:$L$283)+SUMIF(Summary!$A$297:$A$333,$A7,Summary!$L$297:$L$333))-AI7,0)</f>
        <v>0</v>
      </c>
      <c r="AK7" s="196">
        <f>IFERROR($G7/SUMIF($A:$A,$A7,$G:$G)*SUMIF(Summary!$A$247:$A$283,$A7,Summary!$Q$247:$Q$283),0)</f>
        <v>0</v>
      </c>
      <c r="AL7" s="196">
        <f>IFERROR($G7/SUMIF($A:$A,$A7,$G:$G)*(SUMIF(Summary!$A$247:$A$283,$A7,Summary!$L$247:$L$283)+SUMIF(Summary!$A$297:$A$333,$A7,Summary!$L$297:$L$333))-AK7,0)</f>
        <v>0</v>
      </c>
      <c r="AM7" s="198"/>
      <c r="AN7" s="196">
        <f t="shared" ca="1" si="12"/>
        <v>0</v>
      </c>
      <c r="AO7" s="196">
        <f t="shared" ca="1" si="13"/>
        <v>0</v>
      </c>
    </row>
    <row r="8" spans="1:41">
      <c r="A8" s="189">
        <v>20</v>
      </c>
      <c r="B8" s="190">
        <v>1</v>
      </c>
      <c r="C8" s="191" t="s">
        <v>223</v>
      </c>
      <c r="D8" s="192">
        <f t="shared" si="0"/>
        <v>90</v>
      </c>
      <c r="E8" s="192">
        <f t="shared" si="1"/>
        <v>63</v>
      </c>
      <c r="F8" s="192">
        <f t="shared" si="2"/>
        <v>0</v>
      </c>
      <c r="G8" s="193">
        <f t="shared" si="3"/>
        <v>153</v>
      </c>
      <c r="H8" s="194">
        <v>33</v>
      </c>
      <c r="I8" s="194">
        <v>36</v>
      </c>
      <c r="J8" s="194">
        <v>0</v>
      </c>
      <c r="K8" s="193">
        <f t="shared" si="4"/>
        <v>69</v>
      </c>
      <c r="L8" s="194">
        <v>57</v>
      </c>
      <c r="M8" s="194">
        <v>27</v>
      </c>
      <c r="N8" s="194">
        <v>0</v>
      </c>
      <c r="O8" s="193">
        <f t="shared" si="5"/>
        <v>84</v>
      </c>
      <c r="P8" s="194">
        <v>0</v>
      </c>
      <c r="Q8" s="194">
        <v>0</v>
      </c>
      <c r="R8" s="194">
        <v>0</v>
      </c>
      <c r="S8" s="193">
        <f t="shared" si="6"/>
        <v>0</v>
      </c>
      <c r="T8" s="193">
        <f t="shared" si="7"/>
        <v>5.0999999999999996</v>
      </c>
      <c r="U8" s="193">
        <f ca="1">OFFSET('Expenditure Study'!$B$7,'Operations Support'!$C8,'Operations Support'!$B8)*$G8</f>
        <v>192.78</v>
      </c>
      <c r="V8" s="199">
        <f ca="1">U8*'Expenditure Study'!$B$31</f>
        <v>11390.055594624</v>
      </c>
      <c r="W8" s="199">
        <f ca="1">IF(A8=10298,1.51,1)*IF($B8&lt;3,$D8*'Expenditure Study'!$B$32*OFFSET('Expenditure Study'!$B$7,'Operations Support'!$C8,'Operations Support'!$B8),0)</f>
        <v>11.34</v>
      </c>
      <c r="X8" s="200">
        <f ca="1">W8*'Expenditure Study'!$B$31</f>
        <v>670.00327027200001</v>
      </c>
      <c r="Y8" s="199">
        <f ca="1">U8*'Expenditure Study'!$B$31</f>
        <v>11390.055594624</v>
      </c>
      <c r="Z8" s="200">
        <f ca="1">W8*'Expenditure Study'!$B$31</f>
        <v>670.00327027200001</v>
      </c>
      <c r="AA8" s="195">
        <f t="shared" ca="1" si="8"/>
        <v>12060.058864896</v>
      </c>
      <c r="AB8" s="195">
        <f t="shared" ca="1" si="9"/>
        <v>12060.058864896</v>
      </c>
      <c r="AD8" s="196">
        <f>IFERROR($G8/SUMIF($A:$A,$A8,$G:$G)*SUMIF(Summary!$A$166:$A$242,$A8,Summary!$P$166:$P$242),0)</f>
        <v>4627.6343093800033</v>
      </c>
      <c r="AE8" s="197">
        <f t="shared" ca="1" si="10"/>
        <v>7432.4245555159969</v>
      </c>
      <c r="AF8" s="196">
        <f>IFERROR(G8/SUMIF(A:A,A8,G:G)*SUMIF(Summary!$A$166:$A$242,'Operations Support'!A8,Summary!$Q$166:$Q$242),0)</f>
        <v>4627.8214413363548</v>
      </c>
      <c r="AG8" s="196">
        <f t="shared" ca="1" si="11"/>
        <v>7432.2374235596453</v>
      </c>
      <c r="AI8" s="196">
        <f>IFERROR($G8/SUMIF($A:$A,$A8,$G:$G)*SUMIF(Summary!$A$247:$A$283,$A8,Summary!$P$247:$P$283),0)</f>
        <v>843.96501670398902</v>
      </c>
      <c r="AJ8" s="196">
        <f>IFERROR($G8/SUMIF($A:$A,$A8,$G:$G)*(SUMIF(Summary!$A$247:$A$283,$A8,Summary!$L$247:$L$283)+SUMIF(Summary!$A$297:$A$333,$A8,Summary!$L$297:$L$333))-AI8,0)</f>
        <v>20522.325207126123</v>
      </c>
      <c r="AK8" s="196">
        <f>IFERROR($G8/SUMIF($A:$A,$A8,$G:$G)*SUMIF(Summary!$A$247:$A$283,$A8,Summary!$Q$247:$Q$283),0)</f>
        <v>843.99914490300182</v>
      </c>
      <c r="AL8" s="196">
        <f>IFERROR($G8/SUMIF($A:$A,$A8,$G:$G)*(SUMIF(Summary!$A$247:$A$283,$A8,Summary!$L$247:$L$283)+SUMIF(Summary!$A$297:$A$333,$A8,Summary!$L$297:$L$333))-AK8,0)</f>
        <v>20522.291078927108</v>
      </c>
      <c r="AM8" s="198"/>
      <c r="AN8" s="196">
        <f t="shared" ca="1" si="12"/>
        <v>27954.749762642121</v>
      </c>
      <c r="AO8" s="196">
        <f t="shared" ca="1" si="13"/>
        <v>27954.528502486755</v>
      </c>
    </row>
    <row r="9" spans="1:41">
      <c r="A9" s="189">
        <v>20</v>
      </c>
      <c r="B9" s="190">
        <v>1</v>
      </c>
      <c r="C9" s="191" t="s">
        <v>224</v>
      </c>
      <c r="D9" s="192">
        <f t="shared" si="0"/>
        <v>0</v>
      </c>
      <c r="E9" s="192">
        <f t="shared" si="1"/>
        <v>0</v>
      </c>
      <c r="F9" s="192">
        <f t="shared" si="2"/>
        <v>0</v>
      </c>
      <c r="G9" s="193">
        <f t="shared" si="3"/>
        <v>0</v>
      </c>
      <c r="H9" s="194">
        <v>0</v>
      </c>
      <c r="I9" s="194">
        <v>0</v>
      </c>
      <c r="J9" s="194">
        <v>0</v>
      </c>
      <c r="K9" s="193">
        <f t="shared" si="4"/>
        <v>0</v>
      </c>
      <c r="L9" s="194">
        <v>0</v>
      </c>
      <c r="M9" s="194">
        <v>0</v>
      </c>
      <c r="N9" s="194">
        <v>0</v>
      </c>
      <c r="O9" s="193">
        <f t="shared" si="5"/>
        <v>0</v>
      </c>
      <c r="P9" s="194">
        <v>0</v>
      </c>
      <c r="Q9" s="194">
        <v>0</v>
      </c>
      <c r="R9" s="194">
        <v>0</v>
      </c>
      <c r="S9" s="193">
        <f t="shared" si="6"/>
        <v>0</v>
      </c>
      <c r="T9" s="193">
        <f t="shared" si="7"/>
        <v>0</v>
      </c>
      <c r="U9" s="193">
        <f ca="1">OFFSET('Expenditure Study'!$B$7,'Operations Support'!$C9,'Operations Support'!$B9)*$G9</f>
        <v>0</v>
      </c>
      <c r="V9" s="199">
        <f ca="1">U9*'Expenditure Study'!$B$31</f>
        <v>0</v>
      </c>
      <c r="W9" s="199">
        <f ca="1">IF(A9=10298,1.51,1)*IF($B9&lt;3,$D9*'Expenditure Study'!$B$32*OFFSET('Expenditure Study'!$B$7,'Operations Support'!$C9,'Operations Support'!$B9),0)</f>
        <v>0</v>
      </c>
      <c r="X9" s="200">
        <f ca="1">W9*'Expenditure Study'!$B$31</f>
        <v>0</v>
      </c>
      <c r="Y9" s="199">
        <f ca="1">U9*'Expenditure Study'!$B$31</f>
        <v>0</v>
      </c>
      <c r="Z9" s="200">
        <f ca="1">W9*'Expenditure Study'!$B$31</f>
        <v>0</v>
      </c>
      <c r="AA9" s="195">
        <f t="shared" ca="1" si="8"/>
        <v>0</v>
      </c>
      <c r="AB9" s="195">
        <f t="shared" ca="1" si="9"/>
        <v>0</v>
      </c>
      <c r="AD9" s="196">
        <f>IFERROR($G9/SUMIF($A:$A,$A9,$G:$G)*SUMIF(Summary!$A$166:$A$242,$A9,Summary!$P$166:$P$242),0)</f>
        <v>0</v>
      </c>
      <c r="AE9" s="197">
        <f t="shared" ca="1" si="10"/>
        <v>0</v>
      </c>
      <c r="AF9" s="196">
        <f>IFERROR(G9/SUMIF(A:A,A9,G:G)*SUMIF(Summary!$A$166:$A$242,'Operations Support'!A9,Summary!$Q$166:$Q$242),0)</f>
        <v>0</v>
      </c>
      <c r="AG9" s="196">
        <f t="shared" ca="1" si="11"/>
        <v>0</v>
      </c>
      <c r="AI9" s="196">
        <f>IFERROR($G9/SUMIF($A:$A,$A9,$G:$G)*SUMIF(Summary!$A$247:$A$283,$A9,Summary!$P$247:$P$283),0)</f>
        <v>0</v>
      </c>
      <c r="AJ9" s="196">
        <f>IFERROR($G9/SUMIF($A:$A,$A9,$G:$G)*(SUMIF(Summary!$A$247:$A$283,$A9,Summary!$L$247:$L$283)+SUMIF(Summary!$A$297:$A$333,$A9,Summary!$L$297:$L$333))-AI9,0)</f>
        <v>0</v>
      </c>
      <c r="AK9" s="196">
        <f>IFERROR($G9/SUMIF($A:$A,$A9,$G:$G)*SUMIF(Summary!$A$247:$A$283,$A9,Summary!$Q$247:$Q$283),0)</f>
        <v>0</v>
      </c>
      <c r="AL9" s="196">
        <f>IFERROR($G9/SUMIF($A:$A,$A9,$G:$G)*(SUMIF(Summary!$A$247:$A$283,$A9,Summary!$L$247:$L$283)+SUMIF(Summary!$A$297:$A$333,$A9,Summary!$L$297:$L$333))-AK9,0)</f>
        <v>0</v>
      </c>
      <c r="AM9" s="198"/>
      <c r="AN9" s="196">
        <f t="shared" ca="1" si="12"/>
        <v>0</v>
      </c>
      <c r="AO9" s="196">
        <f t="shared" ca="1" si="13"/>
        <v>0</v>
      </c>
    </row>
    <row r="10" spans="1:41">
      <c r="A10" s="189">
        <v>20</v>
      </c>
      <c r="B10" s="190">
        <v>1</v>
      </c>
      <c r="C10" s="191" t="s">
        <v>225</v>
      </c>
      <c r="D10" s="192">
        <f t="shared" si="0"/>
        <v>0</v>
      </c>
      <c r="E10" s="192">
        <f t="shared" si="1"/>
        <v>0</v>
      </c>
      <c r="F10" s="192">
        <f t="shared" si="2"/>
        <v>0</v>
      </c>
      <c r="G10" s="193">
        <f t="shared" si="3"/>
        <v>0</v>
      </c>
      <c r="H10" s="194">
        <v>0</v>
      </c>
      <c r="I10" s="194">
        <v>0</v>
      </c>
      <c r="J10" s="194">
        <v>0</v>
      </c>
      <c r="K10" s="193">
        <f t="shared" si="4"/>
        <v>0</v>
      </c>
      <c r="L10" s="194">
        <v>0</v>
      </c>
      <c r="M10" s="194">
        <v>0</v>
      </c>
      <c r="N10" s="194">
        <v>0</v>
      </c>
      <c r="O10" s="193">
        <f t="shared" si="5"/>
        <v>0</v>
      </c>
      <c r="P10" s="194">
        <v>0</v>
      </c>
      <c r="Q10" s="194">
        <v>0</v>
      </c>
      <c r="R10" s="194">
        <v>0</v>
      </c>
      <c r="S10" s="193">
        <f t="shared" si="6"/>
        <v>0</v>
      </c>
      <c r="T10" s="193">
        <f t="shared" si="7"/>
        <v>0</v>
      </c>
      <c r="U10" s="193">
        <f ca="1">OFFSET('Expenditure Study'!$B$7,'Operations Support'!$C10,'Operations Support'!$B10)*$G10</f>
        <v>0</v>
      </c>
      <c r="V10" s="199">
        <f ca="1">U10*'Expenditure Study'!$B$31</f>
        <v>0</v>
      </c>
      <c r="W10" s="199">
        <f ca="1">IF(A10=10298,1.51,1)*IF($B10&lt;3,$D10*'Expenditure Study'!$B$32*OFFSET('Expenditure Study'!$B$7,'Operations Support'!$C10,'Operations Support'!$B10),0)</f>
        <v>0</v>
      </c>
      <c r="X10" s="200">
        <f ca="1">W10*'Expenditure Study'!$B$31</f>
        <v>0</v>
      </c>
      <c r="Y10" s="199">
        <f ca="1">U10*'Expenditure Study'!$B$31</f>
        <v>0</v>
      </c>
      <c r="Z10" s="200">
        <f ca="1">W10*'Expenditure Study'!$B$31</f>
        <v>0</v>
      </c>
      <c r="AA10" s="195">
        <f t="shared" ca="1" si="8"/>
        <v>0</v>
      </c>
      <c r="AB10" s="195">
        <f t="shared" ca="1" si="9"/>
        <v>0</v>
      </c>
      <c r="AD10" s="196">
        <f>IFERROR($G10/SUMIF($A:$A,$A10,$G:$G)*SUMIF(Summary!$A$166:$A$242,$A10,Summary!$P$166:$P$242),0)</f>
        <v>0</v>
      </c>
      <c r="AE10" s="197">
        <f t="shared" ca="1" si="10"/>
        <v>0</v>
      </c>
      <c r="AF10" s="196">
        <f>IFERROR(G10/SUMIF(A:A,A10,G:G)*SUMIF(Summary!$A$166:$A$242,'Operations Support'!A10,Summary!$Q$166:$Q$242),0)</f>
        <v>0</v>
      </c>
      <c r="AG10" s="196">
        <f t="shared" ca="1" si="11"/>
        <v>0</v>
      </c>
      <c r="AI10" s="196">
        <f>IFERROR($G10/SUMIF($A:$A,$A10,$G:$G)*SUMIF(Summary!$A$247:$A$283,$A10,Summary!$P$247:$P$283),0)</f>
        <v>0</v>
      </c>
      <c r="AJ10" s="196">
        <f>IFERROR($G10/SUMIF($A:$A,$A10,$G:$G)*(SUMIF(Summary!$A$247:$A$283,$A10,Summary!$L$247:$L$283)+SUMIF(Summary!$A$297:$A$333,$A10,Summary!$L$297:$L$333))-AI10,0)</f>
        <v>0</v>
      </c>
      <c r="AK10" s="196">
        <f>IFERROR($G10/SUMIF($A:$A,$A10,$G:$G)*SUMIF(Summary!$A$247:$A$283,$A10,Summary!$Q$247:$Q$283),0)</f>
        <v>0</v>
      </c>
      <c r="AL10" s="196">
        <f>IFERROR($G10/SUMIF($A:$A,$A10,$G:$G)*(SUMIF(Summary!$A$247:$A$283,$A10,Summary!$L$247:$L$283)+SUMIF(Summary!$A$297:$A$333,$A10,Summary!$L$297:$L$333))-AK10,0)</f>
        <v>0</v>
      </c>
      <c r="AM10" s="198"/>
      <c r="AN10" s="196">
        <f t="shared" ca="1" si="12"/>
        <v>0</v>
      </c>
      <c r="AO10" s="196">
        <f t="shared" ca="1" si="13"/>
        <v>0</v>
      </c>
    </row>
    <row r="11" spans="1:41">
      <c r="A11" s="189">
        <v>20</v>
      </c>
      <c r="B11" s="190">
        <v>1</v>
      </c>
      <c r="C11" s="191" t="s">
        <v>226</v>
      </c>
      <c r="D11" s="192">
        <f t="shared" si="0"/>
        <v>0</v>
      </c>
      <c r="E11" s="192">
        <f t="shared" si="1"/>
        <v>0</v>
      </c>
      <c r="F11" s="192">
        <f t="shared" si="2"/>
        <v>0</v>
      </c>
      <c r="G11" s="193">
        <f t="shared" si="3"/>
        <v>0</v>
      </c>
      <c r="H11" s="194">
        <v>0</v>
      </c>
      <c r="I11" s="194">
        <v>0</v>
      </c>
      <c r="J11" s="194">
        <v>0</v>
      </c>
      <c r="K11" s="193">
        <f t="shared" si="4"/>
        <v>0</v>
      </c>
      <c r="L11" s="194">
        <v>0</v>
      </c>
      <c r="M11" s="194">
        <v>0</v>
      </c>
      <c r="N11" s="194">
        <v>0</v>
      </c>
      <c r="O11" s="193">
        <f t="shared" si="5"/>
        <v>0</v>
      </c>
      <c r="P11" s="194">
        <v>0</v>
      </c>
      <c r="Q11" s="194">
        <v>0</v>
      </c>
      <c r="R11" s="194">
        <v>0</v>
      </c>
      <c r="S11" s="193">
        <f t="shared" si="6"/>
        <v>0</v>
      </c>
      <c r="T11" s="193">
        <f t="shared" si="7"/>
        <v>0</v>
      </c>
      <c r="U11" s="193">
        <f ca="1">OFFSET('Expenditure Study'!$B$7,'Operations Support'!$C11,'Operations Support'!$B11)*$G11</f>
        <v>0</v>
      </c>
      <c r="V11" s="199">
        <f ca="1">U11*'Expenditure Study'!$B$31</f>
        <v>0</v>
      </c>
      <c r="W11" s="199">
        <f ca="1">IF(A11=10298,1.51,1)*IF($B11&lt;3,$D11*'Expenditure Study'!$B$32*OFFSET('Expenditure Study'!$B$7,'Operations Support'!$C11,'Operations Support'!$B11),0)</f>
        <v>0</v>
      </c>
      <c r="X11" s="200">
        <f ca="1">W11*'Expenditure Study'!$B$31</f>
        <v>0</v>
      </c>
      <c r="Y11" s="199">
        <f ca="1">U11*'Expenditure Study'!$B$31</f>
        <v>0</v>
      </c>
      <c r="Z11" s="200">
        <f ca="1">W11*'Expenditure Study'!$B$31</f>
        <v>0</v>
      </c>
      <c r="AA11" s="195">
        <f t="shared" ca="1" si="8"/>
        <v>0</v>
      </c>
      <c r="AB11" s="195">
        <f t="shared" ca="1" si="9"/>
        <v>0</v>
      </c>
      <c r="AD11" s="196">
        <f>IFERROR($G11/SUMIF($A:$A,$A11,$G:$G)*SUMIF(Summary!$A$166:$A$242,$A11,Summary!$P$166:$P$242),0)</f>
        <v>0</v>
      </c>
      <c r="AE11" s="197">
        <f t="shared" ca="1" si="10"/>
        <v>0</v>
      </c>
      <c r="AF11" s="196">
        <f>IFERROR(G11/SUMIF(A:A,A11,G:G)*SUMIF(Summary!$A$166:$A$242,'Operations Support'!A11,Summary!$Q$166:$Q$242),0)</f>
        <v>0</v>
      </c>
      <c r="AG11" s="196">
        <f t="shared" ca="1" si="11"/>
        <v>0</v>
      </c>
      <c r="AI11" s="196">
        <f>IFERROR($G11/SUMIF($A:$A,$A11,$G:$G)*SUMIF(Summary!$A$247:$A$283,$A11,Summary!$P$247:$P$283),0)</f>
        <v>0</v>
      </c>
      <c r="AJ11" s="196">
        <f>IFERROR($G11/SUMIF($A:$A,$A11,$G:$G)*(SUMIF(Summary!$A$247:$A$283,$A11,Summary!$L$247:$L$283)+SUMIF(Summary!$A$297:$A$333,$A11,Summary!$L$297:$L$333))-AI11,0)</f>
        <v>0</v>
      </c>
      <c r="AK11" s="196">
        <f>IFERROR($G11/SUMIF($A:$A,$A11,$G:$G)*SUMIF(Summary!$A$247:$A$283,$A11,Summary!$Q$247:$Q$283),0)</f>
        <v>0</v>
      </c>
      <c r="AL11" s="196">
        <f>IFERROR($G11/SUMIF($A:$A,$A11,$G:$G)*(SUMIF(Summary!$A$247:$A$283,$A11,Summary!$L$247:$L$283)+SUMIF(Summary!$A$297:$A$333,$A11,Summary!$L$297:$L$333))-AK11,0)</f>
        <v>0</v>
      </c>
      <c r="AM11" s="198"/>
      <c r="AN11" s="196">
        <f t="shared" ca="1" si="12"/>
        <v>0</v>
      </c>
      <c r="AO11" s="196">
        <f t="shared" ca="1" si="13"/>
        <v>0</v>
      </c>
    </row>
    <row r="12" spans="1:41">
      <c r="A12" s="189">
        <v>20</v>
      </c>
      <c r="B12" s="190">
        <v>1</v>
      </c>
      <c r="C12" s="191" t="s">
        <v>227</v>
      </c>
      <c r="D12" s="192">
        <f t="shared" si="0"/>
        <v>0</v>
      </c>
      <c r="E12" s="192">
        <f t="shared" si="1"/>
        <v>0</v>
      </c>
      <c r="F12" s="192">
        <f t="shared" si="2"/>
        <v>0</v>
      </c>
      <c r="G12" s="193">
        <f t="shared" si="3"/>
        <v>0</v>
      </c>
      <c r="H12" s="194">
        <v>0</v>
      </c>
      <c r="I12" s="194">
        <v>0</v>
      </c>
      <c r="J12" s="194">
        <v>0</v>
      </c>
      <c r="K12" s="193">
        <f t="shared" si="4"/>
        <v>0</v>
      </c>
      <c r="L12" s="194">
        <v>0</v>
      </c>
      <c r="M12" s="194">
        <v>0</v>
      </c>
      <c r="N12" s="194">
        <v>0</v>
      </c>
      <c r="O12" s="193">
        <f t="shared" si="5"/>
        <v>0</v>
      </c>
      <c r="P12" s="194">
        <v>0</v>
      </c>
      <c r="Q12" s="194">
        <v>0</v>
      </c>
      <c r="R12" s="194">
        <v>0</v>
      </c>
      <c r="S12" s="193">
        <f t="shared" si="6"/>
        <v>0</v>
      </c>
      <c r="T12" s="193">
        <f t="shared" si="7"/>
        <v>0</v>
      </c>
      <c r="U12" s="193">
        <f ca="1">OFFSET('Expenditure Study'!$B$7,'Operations Support'!$C12,'Operations Support'!$B12)*$G12</f>
        <v>0</v>
      </c>
      <c r="V12" s="199">
        <f ca="1">U12*'Expenditure Study'!$B$31</f>
        <v>0</v>
      </c>
      <c r="W12" s="199">
        <f ca="1">IF(A12=10298,1.51,1)*IF($B12&lt;3,$D12*'Expenditure Study'!$B$32*OFFSET('Expenditure Study'!$B$7,'Operations Support'!$C12,'Operations Support'!$B12),0)</f>
        <v>0</v>
      </c>
      <c r="X12" s="200">
        <f ca="1">W12*'Expenditure Study'!$B$31</f>
        <v>0</v>
      </c>
      <c r="Y12" s="199">
        <f ca="1">U12*'Expenditure Study'!$B$31</f>
        <v>0</v>
      </c>
      <c r="Z12" s="200">
        <f ca="1">W12*'Expenditure Study'!$B$31</f>
        <v>0</v>
      </c>
      <c r="AA12" s="195">
        <f t="shared" ca="1" si="8"/>
        <v>0</v>
      </c>
      <c r="AB12" s="195">
        <f t="shared" ca="1" si="9"/>
        <v>0</v>
      </c>
      <c r="AD12" s="196">
        <f>IFERROR($G12/SUMIF($A:$A,$A12,$G:$G)*SUMIF(Summary!$A$166:$A$242,$A12,Summary!$P$166:$P$242),0)</f>
        <v>0</v>
      </c>
      <c r="AE12" s="197">
        <f t="shared" ca="1" si="10"/>
        <v>0</v>
      </c>
      <c r="AF12" s="196">
        <f>IFERROR(G12/SUMIF(A:A,A12,G:G)*SUMIF(Summary!$A$166:$A$242,'Operations Support'!A12,Summary!$Q$166:$Q$242),0)</f>
        <v>0</v>
      </c>
      <c r="AG12" s="196">
        <f t="shared" ca="1" si="11"/>
        <v>0</v>
      </c>
      <c r="AI12" s="196">
        <f>IFERROR($G12/SUMIF($A:$A,$A12,$G:$G)*SUMIF(Summary!$A$247:$A$283,$A12,Summary!$P$247:$P$283),0)</f>
        <v>0</v>
      </c>
      <c r="AJ12" s="196">
        <f>IFERROR($G12/SUMIF($A:$A,$A12,$G:$G)*(SUMIF(Summary!$A$247:$A$283,$A12,Summary!$L$247:$L$283)+SUMIF(Summary!$A$297:$A$333,$A12,Summary!$L$297:$L$333))-AI12,0)</f>
        <v>0</v>
      </c>
      <c r="AK12" s="196">
        <f>IFERROR($G12/SUMIF($A:$A,$A12,$G:$G)*SUMIF(Summary!$A$247:$A$283,$A12,Summary!$Q$247:$Q$283),0)</f>
        <v>0</v>
      </c>
      <c r="AL12" s="196">
        <f>IFERROR($G12/SUMIF($A:$A,$A12,$G:$G)*(SUMIF(Summary!$A$247:$A$283,$A12,Summary!$L$247:$L$283)+SUMIF(Summary!$A$297:$A$333,$A12,Summary!$L$297:$L$333))-AK12,0)</f>
        <v>0</v>
      </c>
      <c r="AM12" s="198"/>
      <c r="AN12" s="196">
        <f t="shared" ca="1" si="12"/>
        <v>0</v>
      </c>
      <c r="AO12" s="196">
        <f t="shared" ca="1" si="13"/>
        <v>0</v>
      </c>
    </row>
    <row r="13" spans="1:41">
      <c r="A13" s="189">
        <v>20</v>
      </c>
      <c r="B13" s="190">
        <v>1</v>
      </c>
      <c r="C13" s="191" t="s">
        <v>228</v>
      </c>
      <c r="D13" s="192">
        <f t="shared" si="0"/>
        <v>0</v>
      </c>
      <c r="E13" s="192">
        <f t="shared" si="1"/>
        <v>0</v>
      </c>
      <c r="F13" s="192">
        <f t="shared" si="2"/>
        <v>0</v>
      </c>
      <c r="G13" s="193">
        <f t="shared" si="3"/>
        <v>0</v>
      </c>
      <c r="H13" s="194">
        <v>0</v>
      </c>
      <c r="I13" s="194">
        <v>0</v>
      </c>
      <c r="J13" s="194">
        <v>0</v>
      </c>
      <c r="K13" s="193">
        <f t="shared" si="4"/>
        <v>0</v>
      </c>
      <c r="L13" s="194">
        <v>0</v>
      </c>
      <c r="M13" s="194">
        <v>0</v>
      </c>
      <c r="N13" s="194">
        <v>0</v>
      </c>
      <c r="O13" s="193">
        <f t="shared" si="5"/>
        <v>0</v>
      </c>
      <c r="P13" s="194">
        <v>0</v>
      </c>
      <c r="Q13" s="194">
        <v>0</v>
      </c>
      <c r="R13" s="194">
        <v>0</v>
      </c>
      <c r="S13" s="193">
        <f t="shared" si="6"/>
        <v>0</v>
      </c>
      <c r="T13" s="193">
        <f t="shared" si="7"/>
        <v>0</v>
      </c>
      <c r="U13" s="193">
        <f ca="1">OFFSET('Expenditure Study'!$B$7,'Operations Support'!$C13,'Operations Support'!$B13)*$G13</f>
        <v>0</v>
      </c>
      <c r="V13" s="199">
        <f ca="1">U13*'Expenditure Study'!$B$31</f>
        <v>0</v>
      </c>
      <c r="W13" s="199">
        <f ca="1">IF(A13=10298,1.51,1)*IF($B13&lt;3,$D13*'Expenditure Study'!$B$32*OFFSET('Expenditure Study'!$B$7,'Operations Support'!$C13,'Operations Support'!$B13),0)</f>
        <v>0</v>
      </c>
      <c r="X13" s="200">
        <f ca="1">W13*'Expenditure Study'!$B$31</f>
        <v>0</v>
      </c>
      <c r="Y13" s="199">
        <f ca="1">U13*'Expenditure Study'!$B$31</f>
        <v>0</v>
      </c>
      <c r="Z13" s="200">
        <f ca="1">W13*'Expenditure Study'!$B$31</f>
        <v>0</v>
      </c>
      <c r="AA13" s="195">
        <f t="shared" ca="1" si="8"/>
        <v>0</v>
      </c>
      <c r="AB13" s="195">
        <f t="shared" ca="1" si="9"/>
        <v>0</v>
      </c>
      <c r="AD13" s="196">
        <f>IFERROR($G13/SUMIF($A:$A,$A13,$G:$G)*SUMIF(Summary!$A$166:$A$242,$A13,Summary!$P$166:$P$242),0)</f>
        <v>0</v>
      </c>
      <c r="AE13" s="197">
        <f t="shared" ca="1" si="10"/>
        <v>0</v>
      </c>
      <c r="AF13" s="196">
        <f>IFERROR(G13/SUMIF(A:A,A13,G:G)*SUMIF(Summary!$A$166:$A$242,'Operations Support'!A13,Summary!$Q$166:$Q$242),0)</f>
        <v>0</v>
      </c>
      <c r="AG13" s="196">
        <f t="shared" ca="1" si="11"/>
        <v>0</v>
      </c>
      <c r="AI13" s="196">
        <f>IFERROR($G13/SUMIF($A:$A,$A13,$G:$G)*SUMIF(Summary!$A$247:$A$283,$A13,Summary!$P$247:$P$283),0)</f>
        <v>0</v>
      </c>
      <c r="AJ13" s="196">
        <f>IFERROR($G13/SUMIF($A:$A,$A13,$G:$G)*(SUMIF(Summary!$A$247:$A$283,$A13,Summary!$L$247:$L$283)+SUMIF(Summary!$A$297:$A$333,$A13,Summary!$L$297:$L$333))-AI13,0)</f>
        <v>0</v>
      </c>
      <c r="AK13" s="196">
        <f>IFERROR($G13/SUMIF($A:$A,$A13,$G:$G)*SUMIF(Summary!$A$247:$A$283,$A13,Summary!$Q$247:$Q$283),0)</f>
        <v>0</v>
      </c>
      <c r="AL13" s="196">
        <f>IFERROR($G13/SUMIF($A:$A,$A13,$G:$G)*(SUMIF(Summary!$A$247:$A$283,$A13,Summary!$L$247:$L$283)+SUMIF(Summary!$A$297:$A$333,$A13,Summary!$L$297:$L$333))-AK13,0)</f>
        <v>0</v>
      </c>
      <c r="AM13" s="198"/>
      <c r="AN13" s="196">
        <f t="shared" ca="1" si="12"/>
        <v>0</v>
      </c>
      <c r="AO13" s="196">
        <f t="shared" ca="1" si="13"/>
        <v>0</v>
      </c>
    </row>
    <row r="14" spans="1:41">
      <c r="A14" s="189">
        <v>20</v>
      </c>
      <c r="B14" s="190">
        <v>1</v>
      </c>
      <c r="C14" s="191" t="s">
        <v>229</v>
      </c>
      <c r="D14" s="192">
        <f t="shared" si="0"/>
        <v>0</v>
      </c>
      <c r="E14" s="192">
        <f t="shared" si="1"/>
        <v>0</v>
      </c>
      <c r="F14" s="192">
        <f t="shared" si="2"/>
        <v>0</v>
      </c>
      <c r="G14" s="193">
        <f t="shared" si="3"/>
        <v>0</v>
      </c>
      <c r="H14" s="194">
        <v>0</v>
      </c>
      <c r="I14" s="194">
        <v>0</v>
      </c>
      <c r="J14" s="194">
        <v>0</v>
      </c>
      <c r="K14" s="193">
        <f t="shared" si="4"/>
        <v>0</v>
      </c>
      <c r="L14" s="194">
        <v>0</v>
      </c>
      <c r="M14" s="194">
        <v>0</v>
      </c>
      <c r="N14" s="194">
        <v>0</v>
      </c>
      <c r="O14" s="193">
        <f t="shared" si="5"/>
        <v>0</v>
      </c>
      <c r="P14" s="194">
        <v>0</v>
      </c>
      <c r="Q14" s="194">
        <v>0</v>
      </c>
      <c r="R14" s="194">
        <v>0</v>
      </c>
      <c r="S14" s="193">
        <f t="shared" si="6"/>
        <v>0</v>
      </c>
      <c r="T14" s="193">
        <f t="shared" si="7"/>
        <v>0</v>
      </c>
      <c r="U14" s="193">
        <f ca="1">OFFSET('Expenditure Study'!$B$7,'Operations Support'!$C14,'Operations Support'!$B14)*$G14</f>
        <v>0</v>
      </c>
      <c r="V14" s="199">
        <f ca="1">U14*'Expenditure Study'!$B$31</f>
        <v>0</v>
      </c>
      <c r="W14" s="199">
        <f ca="1">IF(A14=10298,1.51,1)*IF($B14&lt;3,$D14*'Expenditure Study'!$B$32*OFFSET('Expenditure Study'!$B$7,'Operations Support'!$C14,'Operations Support'!$B14),0)</f>
        <v>0</v>
      </c>
      <c r="X14" s="200">
        <f ca="1">W14*'Expenditure Study'!$B$31</f>
        <v>0</v>
      </c>
      <c r="Y14" s="199">
        <f ca="1">U14*'Expenditure Study'!$B$31</f>
        <v>0</v>
      </c>
      <c r="Z14" s="200">
        <f ca="1">W14*'Expenditure Study'!$B$31</f>
        <v>0</v>
      </c>
      <c r="AA14" s="195">
        <f t="shared" ca="1" si="8"/>
        <v>0</v>
      </c>
      <c r="AB14" s="195">
        <f t="shared" ca="1" si="9"/>
        <v>0</v>
      </c>
      <c r="AD14" s="196">
        <f>IFERROR($G14/SUMIF($A:$A,$A14,$G:$G)*SUMIF(Summary!$A$166:$A$242,$A14,Summary!$P$166:$P$242),0)</f>
        <v>0</v>
      </c>
      <c r="AE14" s="197">
        <f t="shared" ca="1" si="10"/>
        <v>0</v>
      </c>
      <c r="AF14" s="196">
        <f>IFERROR(G14/SUMIF(A:A,A14,G:G)*SUMIF(Summary!$A$166:$A$242,'Operations Support'!A14,Summary!$Q$166:$Q$242),0)</f>
        <v>0</v>
      </c>
      <c r="AG14" s="196">
        <f t="shared" ca="1" si="11"/>
        <v>0</v>
      </c>
      <c r="AI14" s="196">
        <f>IFERROR($G14/SUMIF($A:$A,$A14,$G:$G)*SUMIF(Summary!$A$247:$A$283,$A14,Summary!$P$247:$P$283),0)</f>
        <v>0</v>
      </c>
      <c r="AJ14" s="196">
        <f>IFERROR($G14/SUMIF($A:$A,$A14,$G:$G)*(SUMIF(Summary!$A$247:$A$283,$A14,Summary!$L$247:$L$283)+SUMIF(Summary!$A$297:$A$333,$A14,Summary!$L$297:$L$333))-AI14,0)</f>
        <v>0</v>
      </c>
      <c r="AK14" s="196">
        <f>IFERROR($G14/SUMIF($A:$A,$A14,$G:$G)*SUMIF(Summary!$A$247:$A$283,$A14,Summary!$Q$247:$Q$283),0)</f>
        <v>0</v>
      </c>
      <c r="AL14" s="196">
        <f>IFERROR($G14/SUMIF($A:$A,$A14,$G:$G)*(SUMIF(Summary!$A$247:$A$283,$A14,Summary!$L$247:$L$283)+SUMIF(Summary!$A$297:$A$333,$A14,Summary!$L$297:$L$333))-AK14,0)</f>
        <v>0</v>
      </c>
      <c r="AM14" s="198"/>
      <c r="AN14" s="196">
        <f t="shared" ca="1" si="12"/>
        <v>0</v>
      </c>
      <c r="AO14" s="196">
        <f t="shared" ca="1" si="13"/>
        <v>0</v>
      </c>
    </row>
    <row r="15" spans="1:41">
      <c r="A15" s="189">
        <v>20</v>
      </c>
      <c r="B15" s="190">
        <v>1</v>
      </c>
      <c r="C15" s="191" t="s">
        <v>230</v>
      </c>
      <c r="D15" s="192">
        <f t="shared" si="0"/>
        <v>0</v>
      </c>
      <c r="E15" s="192">
        <f t="shared" si="1"/>
        <v>0</v>
      </c>
      <c r="F15" s="192">
        <f t="shared" si="2"/>
        <v>0</v>
      </c>
      <c r="G15" s="193">
        <f t="shared" si="3"/>
        <v>0</v>
      </c>
      <c r="H15" s="194">
        <v>0</v>
      </c>
      <c r="I15" s="194">
        <v>0</v>
      </c>
      <c r="J15" s="194">
        <v>0</v>
      </c>
      <c r="K15" s="193">
        <f t="shared" si="4"/>
        <v>0</v>
      </c>
      <c r="L15" s="194">
        <v>0</v>
      </c>
      <c r="M15" s="194">
        <v>0</v>
      </c>
      <c r="N15" s="194">
        <v>0</v>
      </c>
      <c r="O15" s="193">
        <f t="shared" si="5"/>
        <v>0</v>
      </c>
      <c r="P15" s="194">
        <v>0</v>
      </c>
      <c r="Q15" s="194">
        <v>0</v>
      </c>
      <c r="R15" s="194">
        <v>0</v>
      </c>
      <c r="S15" s="193">
        <f t="shared" si="6"/>
        <v>0</v>
      </c>
      <c r="T15" s="193">
        <f t="shared" si="7"/>
        <v>0</v>
      </c>
      <c r="U15" s="193">
        <f ca="1">OFFSET('Expenditure Study'!$B$7,'Operations Support'!$C15,'Operations Support'!$B15)*$G15</f>
        <v>0</v>
      </c>
      <c r="V15" s="199">
        <f ca="1">U15*'Expenditure Study'!$B$31</f>
        <v>0</v>
      </c>
      <c r="W15" s="199">
        <f ca="1">IF(A15=10298,1.51,1)*IF($B15&lt;3,$D15*'Expenditure Study'!$B$32*OFFSET('Expenditure Study'!$B$7,'Operations Support'!$C15,'Operations Support'!$B15),0)</f>
        <v>0</v>
      </c>
      <c r="X15" s="200">
        <f ca="1">W15*'Expenditure Study'!$B$31</f>
        <v>0</v>
      </c>
      <c r="Y15" s="199">
        <f ca="1">U15*'Expenditure Study'!$B$31</f>
        <v>0</v>
      </c>
      <c r="Z15" s="200">
        <f ca="1">W15*'Expenditure Study'!$B$31</f>
        <v>0</v>
      </c>
      <c r="AA15" s="195">
        <f t="shared" ca="1" si="8"/>
        <v>0</v>
      </c>
      <c r="AB15" s="195">
        <f t="shared" ca="1" si="9"/>
        <v>0</v>
      </c>
      <c r="AD15" s="196">
        <f>IFERROR($G15/SUMIF($A:$A,$A15,$G:$G)*SUMIF(Summary!$A$166:$A$242,$A15,Summary!$P$166:$P$242),0)</f>
        <v>0</v>
      </c>
      <c r="AE15" s="197">
        <f t="shared" ca="1" si="10"/>
        <v>0</v>
      </c>
      <c r="AF15" s="196">
        <f>IFERROR(G15/SUMIF(A:A,A15,G:G)*SUMIF(Summary!$A$166:$A$242,'Operations Support'!A15,Summary!$Q$166:$Q$242),0)</f>
        <v>0</v>
      </c>
      <c r="AG15" s="196">
        <f t="shared" ca="1" si="11"/>
        <v>0</v>
      </c>
      <c r="AI15" s="196">
        <f>IFERROR($G15/SUMIF($A:$A,$A15,$G:$G)*SUMIF(Summary!$A$247:$A$283,$A15,Summary!$P$247:$P$283),0)</f>
        <v>0</v>
      </c>
      <c r="AJ15" s="196">
        <f>IFERROR($G15/SUMIF($A:$A,$A15,$G:$G)*(SUMIF(Summary!$A$247:$A$283,$A15,Summary!$L$247:$L$283)+SUMIF(Summary!$A$297:$A$333,$A15,Summary!$L$297:$L$333))-AI15,0)</f>
        <v>0</v>
      </c>
      <c r="AK15" s="196">
        <f>IFERROR($G15/SUMIF($A:$A,$A15,$G:$G)*SUMIF(Summary!$A$247:$A$283,$A15,Summary!$Q$247:$Q$283),0)</f>
        <v>0</v>
      </c>
      <c r="AL15" s="196">
        <f>IFERROR($G15/SUMIF($A:$A,$A15,$G:$G)*(SUMIF(Summary!$A$247:$A$283,$A15,Summary!$L$247:$L$283)+SUMIF(Summary!$A$297:$A$333,$A15,Summary!$L$297:$L$333))-AK15,0)</f>
        <v>0</v>
      </c>
      <c r="AM15" s="198"/>
      <c r="AN15" s="196">
        <f t="shared" ca="1" si="12"/>
        <v>0</v>
      </c>
      <c r="AO15" s="196">
        <f t="shared" ca="1" si="13"/>
        <v>0</v>
      </c>
    </row>
    <row r="16" spans="1:41">
      <c r="A16" s="189">
        <v>20</v>
      </c>
      <c r="B16" s="190">
        <v>1</v>
      </c>
      <c r="C16" s="191" t="s">
        <v>231</v>
      </c>
      <c r="D16" s="192">
        <f t="shared" si="0"/>
        <v>0</v>
      </c>
      <c r="E16" s="192">
        <f t="shared" si="1"/>
        <v>0</v>
      </c>
      <c r="F16" s="192">
        <f t="shared" si="2"/>
        <v>0</v>
      </c>
      <c r="G16" s="193">
        <f t="shared" si="3"/>
        <v>0</v>
      </c>
      <c r="H16" s="194">
        <v>0</v>
      </c>
      <c r="I16" s="194">
        <v>0</v>
      </c>
      <c r="J16" s="194">
        <v>0</v>
      </c>
      <c r="K16" s="193">
        <f t="shared" si="4"/>
        <v>0</v>
      </c>
      <c r="L16" s="194">
        <v>0</v>
      </c>
      <c r="M16" s="194">
        <v>0</v>
      </c>
      <c r="N16" s="194">
        <v>0</v>
      </c>
      <c r="O16" s="193">
        <f t="shared" si="5"/>
        <v>0</v>
      </c>
      <c r="P16" s="194">
        <v>0</v>
      </c>
      <c r="Q16" s="194">
        <v>0</v>
      </c>
      <c r="R16" s="194">
        <v>0</v>
      </c>
      <c r="S16" s="193">
        <f t="shared" si="6"/>
        <v>0</v>
      </c>
      <c r="T16" s="193">
        <f t="shared" si="7"/>
        <v>0</v>
      </c>
      <c r="U16" s="193">
        <f ca="1">OFFSET('Expenditure Study'!$B$7,'Operations Support'!$C16,'Operations Support'!$B16)*$G16</f>
        <v>0</v>
      </c>
      <c r="V16" s="199">
        <f ca="1">U16*'Expenditure Study'!$B$31</f>
        <v>0</v>
      </c>
      <c r="W16" s="199">
        <f ca="1">IF(A16=10298,1.51,1)*IF($B16&lt;3,$D16*'Expenditure Study'!$B$32*OFFSET('Expenditure Study'!$B$7,'Operations Support'!$C16,'Operations Support'!$B16),0)</f>
        <v>0</v>
      </c>
      <c r="X16" s="200">
        <f ca="1">W16*'Expenditure Study'!$B$31</f>
        <v>0</v>
      </c>
      <c r="Y16" s="199">
        <f ca="1">U16*'Expenditure Study'!$B$31</f>
        <v>0</v>
      </c>
      <c r="Z16" s="200">
        <f ca="1">W16*'Expenditure Study'!$B$31</f>
        <v>0</v>
      </c>
      <c r="AA16" s="195">
        <f t="shared" ca="1" si="8"/>
        <v>0</v>
      </c>
      <c r="AB16" s="195">
        <f t="shared" ca="1" si="9"/>
        <v>0</v>
      </c>
      <c r="AD16" s="196">
        <f>IFERROR($G16/SUMIF($A:$A,$A16,$G:$G)*SUMIF(Summary!$A$166:$A$242,$A16,Summary!$P$166:$P$242),0)</f>
        <v>0</v>
      </c>
      <c r="AE16" s="197">
        <f t="shared" ca="1" si="10"/>
        <v>0</v>
      </c>
      <c r="AF16" s="196">
        <f>IFERROR(G16/SUMIF(A:A,A16,G:G)*SUMIF(Summary!$A$166:$A$242,'Operations Support'!A16,Summary!$Q$166:$Q$242),0)</f>
        <v>0</v>
      </c>
      <c r="AG16" s="196">
        <f t="shared" ca="1" si="11"/>
        <v>0</v>
      </c>
      <c r="AI16" s="196">
        <f>IFERROR($G16/SUMIF($A:$A,$A16,$G:$G)*SUMIF(Summary!$A$247:$A$283,$A16,Summary!$P$247:$P$283),0)</f>
        <v>0</v>
      </c>
      <c r="AJ16" s="196">
        <f>IFERROR($G16/SUMIF($A:$A,$A16,$G:$G)*(SUMIF(Summary!$A$247:$A$283,$A16,Summary!$L$247:$L$283)+SUMIF(Summary!$A$297:$A$333,$A16,Summary!$L$297:$L$333))-AI16,0)</f>
        <v>0</v>
      </c>
      <c r="AK16" s="196">
        <f>IFERROR($G16/SUMIF($A:$A,$A16,$G:$G)*SUMIF(Summary!$A$247:$A$283,$A16,Summary!$Q$247:$Q$283),0)</f>
        <v>0</v>
      </c>
      <c r="AL16" s="196">
        <f>IFERROR($G16/SUMIF($A:$A,$A16,$G:$G)*(SUMIF(Summary!$A$247:$A$283,$A16,Summary!$L$247:$L$283)+SUMIF(Summary!$A$297:$A$333,$A16,Summary!$L$297:$L$333))-AK16,0)</f>
        <v>0</v>
      </c>
      <c r="AM16" s="198"/>
      <c r="AN16" s="196">
        <f t="shared" ca="1" si="12"/>
        <v>0</v>
      </c>
      <c r="AO16" s="196">
        <f t="shared" ca="1" si="13"/>
        <v>0</v>
      </c>
    </row>
    <row r="17" spans="1:41">
      <c r="A17" s="189">
        <v>20</v>
      </c>
      <c r="B17" s="190">
        <v>1</v>
      </c>
      <c r="C17" s="191" t="s">
        <v>232</v>
      </c>
      <c r="D17" s="192">
        <f t="shared" si="0"/>
        <v>0</v>
      </c>
      <c r="E17" s="192">
        <f t="shared" si="1"/>
        <v>0</v>
      </c>
      <c r="F17" s="192">
        <f t="shared" si="2"/>
        <v>0</v>
      </c>
      <c r="G17" s="193">
        <f t="shared" si="3"/>
        <v>0</v>
      </c>
      <c r="H17" s="194">
        <v>0</v>
      </c>
      <c r="I17" s="194">
        <v>0</v>
      </c>
      <c r="J17" s="194">
        <v>0</v>
      </c>
      <c r="K17" s="193">
        <f t="shared" si="4"/>
        <v>0</v>
      </c>
      <c r="L17" s="194">
        <v>0</v>
      </c>
      <c r="M17" s="194">
        <v>0</v>
      </c>
      <c r="N17" s="194">
        <v>0</v>
      </c>
      <c r="O17" s="193">
        <f t="shared" si="5"/>
        <v>0</v>
      </c>
      <c r="P17" s="194">
        <v>0</v>
      </c>
      <c r="Q17" s="194">
        <v>0</v>
      </c>
      <c r="R17" s="194">
        <v>0</v>
      </c>
      <c r="S17" s="193">
        <f t="shared" si="6"/>
        <v>0</v>
      </c>
      <c r="T17" s="193">
        <f t="shared" si="7"/>
        <v>0</v>
      </c>
      <c r="U17" s="193">
        <f ca="1">OFFSET('Expenditure Study'!$B$7,'Operations Support'!$C17,'Operations Support'!$B17)*$G17</f>
        <v>0</v>
      </c>
      <c r="V17" s="199">
        <f ca="1">U17*'Expenditure Study'!$B$31</f>
        <v>0</v>
      </c>
      <c r="W17" s="199">
        <f ca="1">IF(A17=10298,1.51,1)*IF($B17&lt;3,$D17*'Expenditure Study'!$B$32*OFFSET('Expenditure Study'!$B$7,'Operations Support'!$C17,'Operations Support'!$B17),0)</f>
        <v>0</v>
      </c>
      <c r="X17" s="200">
        <f ca="1">W17*'Expenditure Study'!$B$31</f>
        <v>0</v>
      </c>
      <c r="Y17" s="199">
        <f ca="1">U17*'Expenditure Study'!$B$31</f>
        <v>0</v>
      </c>
      <c r="Z17" s="200">
        <f ca="1">W17*'Expenditure Study'!$B$31</f>
        <v>0</v>
      </c>
      <c r="AA17" s="195">
        <f t="shared" ca="1" si="8"/>
        <v>0</v>
      </c>
      <c r="AB17" s="195">
        <f t="shared" ca="1" si="9"/>
        <v>0</v>
      </c>
      <c r="AD17" s="196">
        <f>IFERROR($G17/SUMIF($A:$A,$A17,$G:$G)*SUMIF(Summary!$A$166:$A$242,$A17,Summary!$P$166:$P$242),0)</f>
        <v>0</v>
      </c>
      <c r="AE17" s="197">
        <f t="shared" ca="1" si="10"/>
        <v>0</v>
      </c>
      <c r="AF17" s="196">
        <f>IFERROR(G17/SUMIF(A:A,A17,G:G)*SUMIF(Summary!$A$166:$A$242,'Operations Support'!A17,Summary!$Q$166:$Q$242),0)</f>
        <v>0</v>
      </c>
      <c r="AG17" s="196">
        <f t="shared" ca="1" si="11"/>
        <v>0</v>
      </c>
      <c r="AI17" s="196">
        <f>IFERROR($G17/SUMIF($A:$A,$A17,$G:$G)*SUMIF(Summary!$A$247:$A$283,$A17,Summary!$P$247:$P$283),0)</f>
        <v>0</v>
      </c>
      <c r="AJ17" s="196">
        <f>IFERROR($G17/SUMIF($A:$A,$A17,$G:$G)*(SUMIF(Summary!$A$247:$A$283,$A17,Summary!$L$247:$L$283)+SUMIF(Summary!$A$297:$A$333,$A17,Summary!$L$297:$L$333))-AI17,0)</f>
        <v>0</v>
      </c>
      <c r="AK17" s="196">
        <f>IFERROR($G17/SUMIF($A:$A,$A17,$G:$G)*SUMIF(Summary!$A$247:$A$283,$A17,Summary!$Q$247:$Q$283),0)</f>
        <v>0</v>
      </c>
      <c r="AL17" s="196">
        <f>IFERROR($G17/SUMIF($A:$A,$A17,$G:$G)*(SUMIF(Summary!$A$247:$A$283,$A17,Summary!$L$247:$L$283)+SUMIF(Summary!$A$297:$A$333,$A17,Summary!$L$297:$L$333))-AK17,0)</f>
        <v>0</v>
      </c>
      <c r="AM17" s="198"/>
      <c r="AN17" s="196">
        <f t="shared" ca="1" si="12"/>
        <v>0</v>
      </c>
      <c r="AO17" s="196">
        <f t="shared" ca="1" si="13"/>
        <v>0</v>
      </c>
    </row>
    <row r="18" spans="1:41">
      <c r="A18" s="189">
        <v>20</v>
      </c>
      <c r="B18" s="190">
        <v>1</v>
      </c>
      <c r="C18" s="191" t="s">
        <v>233</v>
      </c>
      <c r="D18" s="192">
        <f t="shared" si="0"/>
        <v>0</v>
      </c>
      <c r="E18" s="192">
        <f t="shared" si="1"/>
        <v>0</v>
      </c>
      <c r="F18" s="192">
        <f t="shared" si="2"/>
        <v>0</v>
      </c>
      <c r="G18" s="193">
        <f t="shared" si="3"/>
        <v>0</v>
      </c>
      <c r="H18" s="194">
        <v>0</v>
      </c>
      <c r="I18" s="194">
        <v>0</v>
      </c>
      <c r="J18" s="194">
        <v>0</v>
      </c>
      <c r="K18" s="193">
        <f t="shared" si="4"/>
        <v>0</v>
      </c>
      <c r="L18" s="194">
        <v>0</v>
      </c>
      <c r="M18" s="194">
        <v>0</v>
      </c>
      <c r="N18" s="194">
        <v>0</v>
      </c>
      <c r="O18" s="193">
        <f t="shared" si="5"/>
        <v>0</v>
      </c>
      <c r="P18" s="194">
        <v>0</v>
      </c>
      <c r="Q18" s="194">
        <v>0</v>
      </c>
      <c r="R18" s="194">
        <v>0</v>
      </c>
      <c r="S18" s="193">
        <f t="shared" si="6"/>
        <v>0</v>
      </c>
      <c r="T18" s="193">
        <f t="shared" si="7"/>
        <v>0</v>
      </c>
      <c r="U18" s="193">
        <f ca="1">OFFSET('Expenditure Study'!$B$7,'Operations Support'!$C18,'Operations Support'!$B18)*$G18</f>
        <v>0</v>
      </c>
      <c r="V18" s="199">
        <f ca="1">U18*'Expenditure Study'!$B$31</f>
        <v>0</v>
      </c>
      <c r="W18" s="199">
        <f ca="1">IF(A18=10298,1.51,1)*IF($B18&lt;3,$D18*'Expenditure Study'!$B$32*OFFSET('Expenditure Study'!$B$7,'Operations Support'!$C18,'Operations Support'!$B18),0)</f>
        <v>0</v>
      </c>
      <c r="X18" s="200">
        <f ca="1">W18*'Expenditure Study'!$B$31</f>
        <v>0</v>
      </c>
      <c r="Y18" s="199">
        <f ca="1">U18*'Expenditure Study'!$B$31</f>
        <v>0</v>
      </c>
      <c r="Z18" s="200">
        <f ca="1">W18*'Expenditure Study'!$B$31</f>
        <v>0</v>
      </c>
      <c r="AA18" s="195">
        <f t="shared" ca="1" si="8"/>
        <v>0</v>
      </c>
      <c r="AB18" s="195">
        <f t="shared" ca="1" si="9"/>
        <v>0</v>
      </c>
      <c r="AD18" s="196">
        <f>IFERROR($G18/SUMIF($A:$A,$A18,$G:$G)*SUMIF(Summary!$A$166:$A$242,$A18,Summary!$P$166:$P$242),0)</f>
        <v>0</v>
      </c>
      <c r="AE18" s="197">
        <f t="shared" ca="1" si="10"/>
        <v>0</v>
      </c>
      <c r="AF18" s="196">
        <f>IFERROR(G18/SUMIF(A:A,A18,G:G)*SUMIF(Summary!$A$166:$A$242,'Operations Support'!A18,Summary!$Q$166:$Q$242),0)</f>
        <v>0</v>
      </c>
      <c r="AG18" s="196">
        <f t="shared" ca="1" si="11"/>
        <v>0</v>
      </c>
      <c r="AI18" s="196">
        <f>IFERROR($G18/SUMIF($A:$A,$A18,$G:$G)*SUMIF(Summary!$A$247:$A$283,$A18,Summary!$P$247:$P$283),0)</f>
        <v>0</v>
      </c>
      <c r="AJ18" s="196">
        <f>IFERROR($G18/SUMIF($A:$A,$A18,$G:$G)*(SUMIF(Summary!$A$247:$A$283,$A18,Summary!$L$247:$L$283)+SUMIF(Summary!$A$297:$A$333,$A18,Summary!$L$297:$L$333))-AI18,0)</f>
        <v>0</v>
      </c>
      <c r="AK18" s="196">
        <f>IFERROR($G18/SUMIF($A:$A,$A18,$G:$G)*SUMIF(Summary!$A$247:$A$283,$A18,Summary!$Q$247:$Q$283),0)</f>
        <v>0</v>
      </c>
      <c r="AL18" s="196">
        <f>IFERROR($G18/SUMIF($A:$A,$A18,$G:$G)*(SUMIF(Summary!$A$247:$A$283,$A18,Summary!$L$247:$L$283)+SUMIF(Summary!$A$297:$A$333,$A18,Summary!$L$297:$L$333))-AK18,0)</f>
        <v>0</v>
      </c>
      <c r="AM18" s="198"/>
      <c r="AN18" s="196">
        <f t="shared" ca="1" si="12"/>
        <v>0</v>
      </c>
      <c r="AO18" s="196">
        <f t="shared" ca="1" si="13"/>
        <v>0</v>
      </c>
    </row>
    <row r="19" spans="1:41">
      <c r="A19" s="189">
        <v>20</v>
      </c>
      <c r="B19" s="190">
        <v>1</v>
      </c>
      <c r="C19" s="191" t="s">
        <v>234</v>
      </c>
      <c r="D19" s="192">
        <f t="shared" si="0"/>
        <v>0</v>
      </c>
      <c r="E19" s="192">
        <f t="shared" si="1"/>
        <v>0</v>
      </c>
      <c r="F19" s="192">
        <f t="shared" si="2"/>
        <v>0</v>
      </c>
      <c r="G19" s="193">
        <f t="shared" si="3"/>
        <v>0</v>
      </c>
      <c r="H19" s="194">
        <v>0</v>
      </c>
      <c r="I19" s="194">
        <v>0</v>
      </c>
      <c r="J19" s="194">
        <v>0</v>
      </c>
      <c r="K19" s="193">
        <f t="shared" si="4"/>
        <v>0</v>
      </c>
      <c r="L19" s="194">
        <v>0</v>
      </c>
      <c r="M19" s="194">
        <v>0</v>
      </c>
      <c r="N19" s="194">
        <v>0</v>
      </c>
      <c r="O19" s="193">
        <f t="shared" si="5"/>
        <v>0</v>
      </c>
      <c r="P19" s="194">
        <v>0</v>
      </c>
      <c r="Q19" s="194">
        <v>0</v>
      </c>
      <c r="R19" s="194">
        <v>0</v>
      </c>
      <c r="S19" s="193">
        <f t="shared" si="6"/>
        <v>0</v>
      </c>
      <c r="T19" s="193">
        <f t="shared" si="7"/>
        <v>0</v>
      </c>
      <c r="U19" s="193">
        <f ca="1">OFFSET('Expenditure Study'!$B$7,'Operations Support'!$C19,'Operations Support'!$B19)*$G19</f>
        <v>0</v>
      </c>
      <c r="V19" s="199">
        <f ca="1">U19*'Expenditure Study'!$B$31</f>
        <v>0</v>
      </c>
      <c r="W19" s="199">
        <f ca="1">IF(A19=10298,1.51,1)*IF($B19&lt;3,$D19*'Expenditure Study'!$B$32*OFFSET('Expenditure Study'!$B$7,'Operations Support'!$C19,'Operations Support'!$B19),0)</f>
        <v>0</v>
      </c>
      <c r="X19" s="200">
        <f ca="1">W19*'Expenditure Study'!$B$31</f>
        <v>0</v>
      </c>
      <c r="Y19" s="199">
        <f ca="1">U19*'Expenditure Study'!$B$31</f>
        <v>0</v>
      </c>
      <c r="Z19" s="200">
        <f ca="1">W19*'Expenditure Study'!$B$31</f>
        <v>0</v>
      </c>
      <c r="AA19" s="195">
        <f t="shared" ca="1" si="8"/>
        <v>0</v>
      </c>
      <c r="AB19" s="195">
        <f t="shared" ca="1" si="9"/>
        <v>0</v>
      </c>
      <c r="AD19" s="196">
        <f>IFERROR($G19/SUMIF($A:$A,$A19,$G:$G)*SUMIF(Summary!$A$166:$A$242,$A19,Summary!$P$166:$P$242),0)</f>
        <v>0</v>
      </c>
      <c r="AE19" s="197">
        <f t="shared" ca="1" si="10"/>
        <v>0</v>
      </c>
      <c r="AF19" s="196">
        <f>IFERROR(G19/SUMIF(A:A,A19,G:G)*SUMIF(Summary!$A$166:$A$242,'Operations Support'!A19,Summary!$Q$166:$Q$242),0)</f>
        <v>0</v>
      </c>
      <c r="AG19" s="196">
        <f t="shared" ca="1" si="11"/>
        <v>0</v>
      </c>
      <c r="AI19" s="196">
        <f>IFERROR($G19/SUMIF($A:$A,$A19,$G:$G)*SUMIF(Summary!$A$247:$A$283,$A19,Summary!$P$247:$P$283),0)</f>
        <v>0</v>
      </c>
      <c r="AJ19" s="196">
        <f>IFERROR($G19/SUMIF($A:$A,$A19,$G:$G)*(SUMIF(Summary!$A$247:$A$283,$A19,Summary!$L$247:$L$283)+SUMIF(Summary!$A$297:$A$333,$A19,Summary!$L$297:$L$333))-AI19,0)</f>
        <v>0</v>
      </c>
      <c r="AK19" s="196">
        <f>IFERROR($G19/SUMIF($A:$A,$A19,$G:$G)*SUMIF(Summary!$A$247:$A$283,$A19,Summary!$Q$247:$Q$283),0)</f>
        <v>0</v>
      </c>
      <c r="AL19" s="196">
        <f>IFERROR($G19/SUMIF($A:$A,$A19,$G:$G)*(SUMIF(Summary!$A$247:$A$283,$A19,Summary!$L$247:$L$283)+SUMIF(Summary!$A$297:$A$333,$A19,Summary!$L$297:$L$333))-AK19,0)</f>
        <v>0</v>
      </c>
      <c r="AM19" s="198"/>
      <c r="AN19" s="196">
        <f t="shared" ca="1" si="12"/>
        <v>0</v>
      </c>
      <c r="AO19" s="196">
        <f t="shared" ca="1" si="13"/>
        <v>0</v>
      </c>
    </row>
    <row r="20" spans="1:41">
      <c r="A20" s="189">
        <v>20</v>
      </c>
      <c r="B20" s="190">
        <v>1</v>
      </c>
      <c r="C20" s="191" t="s">
        <v>235</v>
      </c>
      <c r="D20" s="192">
        <f t="shared" si="0"/>
        <v>42</v>
      </c>
      <c r="E20" s="192">
        <f t="shared" si="1"/>
        <v>39</v>
      </c>
      <c r="F20" s="192">
        <f t="shared" si="2"/>
        <v>0</v>
      </c>
      <c r="G20" s="193">
        <f t="shared" si="3"/>
        <v>81</v>
      </c>
      <c r="H20" s="194">
        <v>0</v>
      </c>
      <c r="I20" s="194">
        <v>0</v>
      </c>
      <c r="J20" s="194">
        <v>0</v>
      </c>
      <c r="K20" s="193">
        <f t="shared" si="4"/>
        <v>0</v>
      </c>
      <c r="L20" s="194">
        <v>36</v>
      </c>
      <c r="M20" s="194">
        <v>39</v>
      </c>
      <c r="N20" s="194">
        <v>0</v>
      </c>
      <c r="O20" s="193">
        <f t="shared" si="5"/>
        <v>75</v>
      </c>
      <c r="P20" s="194">
        <v>6</v>
      </c>
      <c r="Q20" s="194">
        <v>0</v>
      </c>
      <c r="R20" s="194">
        <v>0</v>
      </c>
      <c r="S20" s="193">
        <f t="shared" si="6"/>
        <v>6</v>
      </c>
      <c r="T20" s="193">
        <f t="shared" si="7"/>
        <v>2.7</v>
      </c>
      <c r="U20" s="193">
        <f ca="1">OFFSET('Expenditure Study'!$B$7,'Operations Support'!$C20,'Operations Support'!$B20)*$G20</f>
        <v>89.100000000000009</v>
      </c>
      <c r="V20" s="199">
        <f ca="1">U20*'Expenditure Study'!$B$31</f>
        <v>5264.3114092800006</v>
      </c>
      <c r="W20" s="199">
        <f ca="1">IF(A20=10298,1.51,1)*IF($B20&lt;3,$D20*'Expenditure Study'!$B$32*OFFSET('Expenditure Study'!$B$7,'Operations Support'!$C20,'Operations Support'!$B20),0)</f>
        <v>4.620000000000001</v>
      </c>
      <c r="X20" s="200">
        <f ca="1">W20*'Expenditure Study'!$B$31</f>
        <v>272.96429529600005</v>
      </c>
      <c r="Y20" s="199">
        <f ca="1">U20*'Expenditure Study'!$B$31</f>
        <v>5264.3114092800006</v>
      </c>
      <c r="Z20" s="200">
        <f ca="1">W20*'Expenditure Study'!$B$31</f>
        <v>272.96429529600005</v>
      </c>
      <c r="AA20" s="195">
        <f t="shared" ca="1" si="8"/>
        <v>5537.2757045760009</v>
      </c>
      <c r="AB20" s="195">
        <f t="shared" ca="1" si="9"/>
        <v>5537.2757045760009</v>
      </c>
      <c r="AD20" s="196">
        <f>IFERROR($G20/SUMIF($A:$A,$A20,$G:$G)*SUMIF(Summary!$A$166:$A$242,$A20,Summary!$P$166:$P$242),0)</f>
        <v>2449.9240461423547</v>
      </c>
      <c r="AE20" s="197">
        <f t="shared" ca="1" si="10"/>
        <v>3087.3516584336462</v>
      </c>
      <c r="AF20" s="196">
        <f>IFERROR(G20/SUMIF(A:A,A20,G:G)*SUMIF(Summary!$A$166:$A$242,'Operations Support'!A20,Summary!$Q$166:$Q$242),0)</f>
        <v>2450.0231160015996</v>
      </c>
      <c r="AG20" s="196">
        <f t="shared" ca="1" si="11"/>
        <v>3087.2525885744012</v>
      </c>
      <c r="AI20" s="196">
        <f>IFERROR($G20/SUMIF($A:$A,$A20,$G:$G)*SUMIF(Summary!$A$247:$A$283,$A20,Summary!$P$247:$P$283),0)</f>
        <v>446.80500884328836</v>
      </c>
      <c r="AJ20" s="196">
        <f>IFERROR($G20/SUMIF($A:$A,$A20,$G:$G)*(SUMIF(Summary!$A$247:$A$283,$A20,Summary!$L$247:$L$283)+SUMIF(Summary!$A$297:$A$333,$A20,Summary!$L$297:$L$333))-AI20,0)</f>
        <v>10864.760403772652</v>
      </c>
      <c r="AK20" s="196">
        <f>IFERROR($G20/SUMIF($A:$A,$A20,$G:$G)*SUMIF(Summary!$A$247:$A$283,$A20,Summary!$Q$247:$Q$283),0)</f>
        <v>446.82307671335388</v>
      </c>
      <c r="AL20" s="196">
        <f>IFERROR($G20/SUMIF($A:$A,$A20,$G:$G)*(SUMIF(Summary!$A$247:$A$283,$A20,Summary!$L$247:$L$283)+SUMIF(Summary!$A$297:$A$333,$A20,Summary!$L$297:$L$333))-AK20,0)</f>
        <v>10864.742335902587</v>
      </c>
      <c r="AM20" s="198"/>
      <c r="AN20" s="196">
        <f t="shared" ca="1" si="12"/>
        <v>13952.112062206299</v>
      </c>
      <c r="AO20" s="196">
        <f t="shared" ca="1" si="13"/>
        <v>13951.994924476989</v>
      </c>
    </row>
    <row r="21" spans="1:41">
      <c r="A21" s="189">
        <v>20</v>
      </c>
      <c r="B21" s="190">
        <v>1</v>
      </c>
      <c r="C21" s="191" t="s">
        <v>236</v>
      </c>
      <c r="D21" s="192">
        <f t="shared" si="0"/>
        <v>0</v>
      </c>
      <c r="E21" s="192">
        <f t="shared" si="1"/>
        <v>0</v>
      </c>
      <c r="F21" s="192">
        <f t="shared" si="2"/>
        <v>0</v>
      </c>
      <c r="G21" s="193">
        <f t="shared" si="3"/>
        <v>0</v>
      </c>
      <c r="H21" s="194">
        <v>0</v>
      </c>
      <c r="I21" s="194">
        <v>0</v>
      </c>
      <c r="J21" s="194">
        <v>0</v>
      </c>
      <c r="K21" s="193">
        <f t="shared" si="4"/>
        <v>0</v>
      </c>
      <c r="L21" s="194">
        <v>0</v>
      </c>
      <c r="M21" s="194">
        <v>0</v>
      </c>
      <c r="N21" s="194">
        <v>0</v>
      </c>
      <c r="O21" s="193">
        <f t="shared" si="5"/>
        <v>0</v>
      </c>
      <c r="P21" s="194">
        <v>0</v>
      </c>
      <c r="Q21" s="194">
        <v>0</v>
      </c>
      <c r="R21" s="194">
        <v>0</v>
      </c>
      <c r="S21" s="193">
        <f t="shared" si="6"/>
        <v>0</v>
      </c>
      <c r="T21" s="193">
        <f t="shared" si="7"/>
        <v>0</v>
      </c>
      <c r="U21" s="193">
        <f ca="1">OFFSET('Expenditure Study'!$B$7,'Operations Support'!$C21,'Operations Support'!$B21)*$G21</f>
        <v>0</v>
      </c>
      <c r="V21" s="199">
        <f ca="1">U21*'Expenditure Study'!$B$31</f>
        <v>0</v>
      </c>
      <c r="W21" s="199">
        <f ca="1">IF(A21=10298,1.51,1)*IF($B21&lt;3,$D21*'Expenditure Study'!$B$32*OFFSET('Expenditure Study'!$B$7,'Operations Support'!$C21,'Operations Support'!$B21),0)</f>
        <v>0</v>
      </c>
      <c r="X21" s="200">
        <f ca="1">W21*'Expenditure Study'!$B$31</f>
        <v>0</v>
      </c>
      <c r="Y21" s="199">
        <f ca="1">U21*'Expenditure Study'!$B$31</f>
        <v>0</v>
      </c>
      <c r="Z21" s="200">
        <f ca="1">W21*'Expenditure Study'!$B$31</f>
        <v>0</v>
      </c>
      <c r="AA21" s="195">
        <f t="shared" ca="1" si="8"/>
        <v>0</v>
      </c>
      <c r="AB21" s="195">
        <f t="shared" ca="1" si="9"/>
        <v>0</v>
      </c>
      <c r="AD21" s="196">
        <f>IFERROR($G21/SUMIF($A:$A,$A21,$G:$G)*SUMIF(Summary!$A$166:$A$242,$A21,Summary!$P$166:$P$242),0)</f>
        <v>0</v>
      </c>
      <c r="AE21" s="197">
        <f t="shared" ca="1" si="10"/>
        <v>0</v>
      </c>
      <c r="AF21" s="196">
        <f>IFERROR(G21/SUMIF(A:A,A21,G:G)*SUMIF(Summary!$A$166:$A$242,'Operations Support'!A21,Summary!$Q$166:$Q$242),0)</f>
        <v>0</v>
      </c>
      <c r="AG21" s="196">
        <f t="shared" ca="1" si="11"/>
        <v>0</v>
      </c>
      <c r="AI21" s="196">
        <f>IFERROR($G21/SUMIF($A:$A,$A21,$G:$G)*SUMIF(Summary!$A$247:$A$283,$A21,Summary!$P$247:$P$283),0)</f>
        <v>0</v>
      </c>
      <c r="AJ21" s="196">
        <f>IFERROR($G21/SUMIF($A:$A,$A21,$G:$G)*(SUMIF(Summary!$A$247:$A$283,$A21,Summary!$L$247:$L$283)+SUMIF(Summary!$A$297:$A$333,$A21,Summary!$L$297:$L$333))-AI21,0)</f>
        <v>0</v>
      </c>
      <c r="AK21" s="196">
        <f>IFERROR($G21/SUMIF($A:$A,$A21,$G:$G)*SUMIF(Summary!$A$247:$A$283,$A21,Summary!$Q$247:$Q$283),0)</f>
        <v>0</v>
      </c>
      <c r="AL21" s="196">
        <f>IFERROR($G21/SUMIF($A:$A,$A21,$G:$G)*(SUMIF(Summary!$A$247:$A$283,$A21,Summary!$L$247:$L$283)+SUMIF(Summary!$A$297:$A$333,$A21,Summary!$L$297:$L$333))-AK21,0)</f>
        <v>0</v>
      </c>
      <c r="AM21" s="198"/>
      <c r="AN21" s="196">
        <f t="shared" ca="1" si="12"/>
        <v>0</v>
      </c>
      <c r="AO21" s="196">
        <f t="shared" ca="1" si="13"/>
        <v>0</v>
      </c>
    </row>
    <row r="22" spans="1:41">
      <c r="A22" s="189">
        <v>20</v>
      </c>
      <c r="B22" s="190">
        <v>1</v>
      </c>
      <c r="C22" s="191" t="s">
        <v>237</v>
      </c>
      <c r="D22" s="192">
        <f t="shared" si="0"/>
        <v>0</v>
      </c>
      <c r="E22" s="192">
        <f t="shared" si="1"/>
        <v>0</v>
      </c>
      <c r="F22" s="192">
        <f t="shared" si="2"/>
        <v>0</v>
      </c>
      <c r="G22" s="193">
        <f t="shared" si="3"/>
        <v>0</v>
      </c>
      <c r="H22" s="194">
        <v>0</v>
      </c>
      <c r="I22" s="194">
        <v>0</v>
      </c>
      <c r="J22" s="194">
        <v>0</v>
      </c>
      <c r="K22" s="193">
        <f t="shared" si="4"/>
        <v>0</v>
      </c>
      <c r="L22" s="194">
        <v>0</v>
      </c>
      <c r="M22" s="194">
        <v>0</v>
      </c>
      <c r="N22" s="194">
        <v>0</v>
      </c>
      <c r="O22" s="193">
        <f t="shared" si="5"/>
        <v>0</v>
      </c>
      <c r="P22" s="194">
        <v>0</v>
      </c>
      <c r="Q22" s="194">
        <v>0</v>
      </c>
      <c r="R22" s="194">
        <v>0</v>
      </c>
      <c r="S22" s="193">
        <f t="shared" si="6"/>
        <v>0</v>
      </c>
      <c r="T22" s="193">
        <f t="shared" si="7"/>
        <v>0</v>
      </c>
      <c r="U22" s="193">
        <f ca="1">OFFSET('Expenditure Study'!$B$7,'Operations Support'!$C22,'Operations Support'!$B22)*$G22</f>
        <v>0</v>
      </c>
      <c r="V22" s="199">
        <f ca="1">U22*'Expenditure Study'!$B$31</f>
        <v>0</v>
      </c>
      <c r="W22" s="199">
        <f ca="1">IF(A22=10298,1.51,1)*IF($B22&lt;3,$D22*'Expenditure Study'!$B$32*OFFSET('Expenditure Study'!$B$7,'Operations Support'!$C22,'Operations Support'!$B22),0)</f>
        <v>0</v>
      </c>
      <c r="X22" s="200">
        <f ca="1">W22*'Expenditure Study'!$B$31</f>
        <v>0</v>
      </c>
      <c r="Y22" s="199">
        <f ca="1">U22*'Expenditure Study'!$B$31</f>
        <v>0</v>
      </c>
      <c r="Z22" s="200">
        <f ca="1">W22*'Expenditure Study'!$B$31</f>
        <v>0</v>
      </c>
      <c r="AA22" s="195">
        <f t="shared" ca="1" si="8"/>
        <v>0</v>
      </c>
      <c r="AB22" s="195">
        <f t="shared" ca="1" si="9"/>
        <v>0</v>
      </c>
      <c r="AD22" s="196">
        <f>IFERROR($G22/SUMIF($A:$A,$A22,$G:$G)*SUMIF(Summary!$A$166:$A$242,$A22,Summary!$P$166:$P$242),0)</f>
        <v>0</v>
      </c>
      <c r="AE22" s="197">
        <f t="shared" ca="1" si="10"/>
        <v>0</v>
      </c>
      <c r="AF22" s="196">
        <f>IFERROR(G22/SUMIF(A:A,A22,G:G)*SUMIF(Summary!$A$166:$A$242,'Operations Support'!A22,Summary!$Q$166:$Q$242),0)</f>
        <v>0</v>
      </c>
      <c r="AG22" s="196">
        <f t="shared" ca="1" si="11"/>
        <v>0</v>
      </c>
      <c r="AI22" s="196">
        <f>IFERROR($G22/SUMIF($A:$A,$A22,$G:$G)*SUMIF(Summary!$A$247:$A$283,$A22,Summary!$P$247:$P$283),0)</f>
        <v>0</v>
      </c>
      <c r="AJ22" s="196">
        <f>IFERROR($G22/SUMIF($A:$A,$A22,$G:$G)*(SUMIF(Summary!$A$247:$A$283,$A22,Summary!$L$247:$L$283)+SUMIF(Summary!$A$297:$A$333,$A22,Summary!$L$297:$L$333))-AI22,0)</f>
        <v>0</v>
      </c>
      <c r="AK22" s="196">
        <f>IFERROR($G22/SUMIF($A:$A,$A22,$G:$G)*SUMIF(Summary!$A$247:$A$283,$A22,Summary!$Q$247:$Q$283),0)</f>
        <v>0</v>
      </c>
      <c r="AL22" s="196">
        <f>IFERROR($G22/SUMIF($A:$A,$A22,$G:$G)*(SUMIF(Summary!$A$247:$A$283,$A22,Summary!$L$247:$L$283)+SUMIF(Summary!$A$297:$A$333,$A22,Summary!$L$297:$L$333))-AK22,0)</f>
        <v>0</v>
      </c>
      <c r="AM22" s="198"/>
      <c r="AN22" s="196">
        <f t="shared" ca="1" si="12"/>
        <v>0</v>
      </c>
      <c r="AO22" s="196">
        <f t="shared" ca="1" si="13"/>
        <v>0</v>
      </c>
    </row>
    <row r="23" spans="1:41">
      <c r="A23" s="189">
        <v>20</v>
      </c>
      <c r="B23" s="190">
        <v>1</v>
      </c>
      <c r="C23" s="191" t="s">
        <v>238</v>
      </c>
      <c r="D23" s="192">
        <f t="shared" si="0"/>
        <v>0</v>
      </c>
      <c r="E23" s="192">
        <f t="shared" si="1"/>
        <v>3</v>
      </c>
      <c r="F23" s="192">
        <f t="shared" si="2"/>
        <v>0</v>
      </c>
      <c r="G23" s="193">
        <f t="shared" si="3"/>
        <v>3</v>
      </c>
      <c r="H23" s="194">
        <v>0</v>
      </c>
      <c r="I23" s="194">
        <v>3</v>
      </c>
      <c r="J23" s="194">
        <v>0</v>
      </c>
      <c r="K23" s="193">
        <f t="shared" si="4"/>
        <v>3</v>
      </c>
      <c r="L23" s="194">
        <v>0</v>
      </c>
      <c r="M23" s="194">
        <v>0</v>
      </c>
      <c r="N23" s="194">
        <v>0</v>
      </c>
      <c r="O23" s="193">
        <f t="shared" si="5"/>
        <v>0</v>
      </c>
      <c r="P23" s="194">
        <v>0</v>
      </c>
      <c r="Q23" s="194">
        <v>0</v>
      </c>
      <c r="R23" s="194">
        <v>0</v>
      </c>
      <c r="S23" s="193">
        <f t="shared" si="6"/>
        <v>0</v>
      </c>
      <c r="T23" s="193">
        <f t="shared" si="7"/>
        <v>0.1</v>
      </c>
      <c r="U23" s="193">
        <f ca="1">OFFSET('Expenditure Study'!$B$7,'Operations Support'!$C23,'Operations Support'!$B23)*$G23</f>
        <v>5.34</v>
      </c>
      <c r="V23" s="199">
        <f ca="1">U23*'Expenditure Study'!$B$31</f>
        <v>315.50418547200002</v>
      </c>
      <c r="W23" s="199">
        <f ca="1">IF(A23=10298,1.51,1)*IF($B23&lt;3,$D23*'Expenditure Study'!$B$32*OFFSET('Expenditure Study'!$B$7,'Operations Support'!$C23,'Operations Support'!$B23),0)</f>
        <v>0</v>
      </c>
      <c r="X23" s="200">
        <f ca="1">W23*'Expenditure Study'!$B$31</f>
        <v>0</v>
      </c>
      <c r="Y23" s="199">
        <f ca="1">U23*'Expenditure Study'!$B$31</f>
        <v>315.50418547200002</v>
      </c>
      <c r="Z23" s="200">
        <f ca="1">W23*'Expenditure Study'!$B$31</f>
        <v>0</v>
      </c>
      <c r="AA23" s="195">
        <f t="shared" ca="1" si="8"/>
        <v>315.50418547200002</v>
      </c>
      <c r="AB23" s="195">
        <f t="shared" ca="1" si="9"/>
        <v>315.50418547200002</v>
      </c>
      <c r="AD23" s="196">
        <f>IFERROR($G23/SUMIF($A:$A,$A23,$G:$G)*SUMIF(Summary!$A$166:$A$242,$A23,Summary!$P$166:$P$242),0)</f>
        <v>90.737927634902036</v>
      </c>
      <c r="AE23" s="197">
        <f t="shared" ca="1" si="10"/>
        <v>224.76625783709798</v>
      </c>
      <c r="AF23" s="196">
        <f>IFERROR(G23/SUMIF(A:A,A23,G:G)*SUMIF(Summary!$A$166:$A$242,'Operations Support'!A23,Summary!$Q$166:$Q$242),0)</f>
        <v>90.741596888948138</v>
      </c>
      <c r="AG23" s="196">
        <f t="shared" ca="1" si="11"/>
        <v>224.76258858305187</v>
      </c>
      <c r="AI23" s="196">
        <f>IFERROR($G23/SUMIF($A:$A,$A23,$G:$G)*SUMIF(Summary!$A$247:$A$283,$A23,Summary!$P$247:$P$283),0)</f>
        <v>16.548333660862532</v>
      </c>
      <c r="AJ23" s="196">
        <f>IFERROR($G23/SUMIF($A:$A,$A23,$G:$G)*(SUMIF(Summary!$A$247:$A$283,$A23,Summary!$L$247:$L$283)+SUMIF(Summary!$A$297:$A$333,$A23,Summary!$L$297:$L$333))-AI23,0)</f>
        <v>402.39853347306126</v>
      </c>
      <c r="AK23" s="196">
        <f>IFERROR($G23/SUMIF($A:$A,$A23,$G:$G)*SUMIF(Summary!$A$247:$A$283,$A23,Summary!$Q$247:$Q$283),0)</f>
        <v>16.549002841235328</v>
      </c>
      <c r="AL23" s="196">
        <f>IFERROR($G23/SUMIF($A:$A,$A23,$G:$G)*(SUMIF(Summary!$A$247:$A$283,$A23,Summary!$L$247:$L$283)+SUMIF(Summary!$A$297:$A$333,$A23,Summary!$L$297:$L$333))-AK23,0)</f>
        <v>402.39786429268844</v>
      </c>
      <c r="AM23" s="198"/>
      <c r="AN23" s="196">
        <f t="shared" ca="1" si="12"/>
        <v>627.16479131015922</v>
      </c>
      <c r="AO23" s="196">
        <f t="shared" ca="1" si="13"/>
        <v>627.16045287574025</v>
      </c>
    </row>
    <row r="24" spans="1:41">
      <c r="A24" s="189">
        <v>20</v>
      </c>
      <c r="B24" s="190">
        <v>1</v>
      </c>
      <c r="C24" s="191" t="s">
        <v>239</v>
      </c>
      <c r="D24" s="192">
        <f t="shared" si="0"/>
        <v>0</v>
      </c>
      <c r="E24" s="192">
        <f t="shared" si="1"/>
        <v>0</v>
      </c>
      <c r="F24" s="192">
        <f t="shared" si="2"/>
        <v>0</v>
      </c>
      <c r="G24" s="193">
        <f t="shared" si="3"/>
        <v>0</v>
      </c>
      <c r="H24" s="194">
        <v>0</v>
      </c>
      <c r="I24" s="194">
        <v>0</v>
      </c>
      <c r="J24" s="194">
        <v>0</v>
      </c>
      <c r="K24" s="193">
        <f t="shared" si="4"/>
        <v>0</v>
      </c>
      <c r="L24" s="194">
        <v>0</v>
      </c>
      <c r="M24" s="194">
        <v>0</v>
      </c>
      <c r="N24" s="194">
        <v>0</v>
      </c>
      <c r="O24" s="193">
        <f t="shared" si="5"/>
        <v>0</v>
      </c>
      <c r="P24" s="194">
        <v>0</v>
      </c>
      <c r="Q24" s="194">
        <v>0</v>
      </c>
      <c r="R24" s="194">
        <v>0</v>
      </c>
      <c r="S24" s="193">
        <f t="shared" si="6"/>
        <v>0</v>
      </c>
      <c r="T24" s="193">
        <f t="shared" si="7"/>
        <v>0</v>
      </c>
      <c r="U24" s="193">
        <f ca="1">OFFSET('Expenditure Study'!$B$7,'Operations Support'!$C24,'Operations Support'!$B24)*$G24</f>
        <v>0</v>
      </c>
      <c r="V24" s="199">
        <f ca="1">U24*'Expenditure Study'!$B$31</f>
        <v>0</v>
      </c>
      <c r="W24" s="199">
        <f ca="1">IF(A24=10298,1.51,1)*IF($B24&lt;3,$D24*'Expenditure Study'!$B$32*OFFSET('Expenditure Study'!$B$7,'Operations Support'!$C24,'Operations Support'!$B24),0)</f>
        <v>0</v>
      </c>
      <c r="X24" s="200">
        <f ca="1">W24*'Expenditure Study'!$B$31</f>
        <v>0</v>
      </c>
      <c r="Y24" s="199">
        <f ca="1">U24*'Expenditure Study'!$B$31</f>
        <v>0</v>
      </c>
      <c r="Z24" s="200">
        <f ca="1">W24*'Expenditure Study'!$B$31</f>
        <v>0</v>
      </c>
      <c r="AA24" s="195">
        <f t="shared" ca="1" si="8"/>
        <v>0</v>
      </c>
      <c r="AB24" s="195">
        <f t="shared" ca="1" si="9"/>
        <v>0</v>
      </c>
      <c r="AD24" s="196">
        <f>IFERROR($G24/SUMIF($A:$A,$A24,$G:$G)*SUMIF(Summary!$A$166:$A$242,$A24,Summary!$P$166:$P$242),0)</f>
        <v>0</v>
      </c>
      <c r="AE24" s="197">
        <f t="shared" ca="1" si="10"/>
        <v>0</v>
      </c>
      <c r="AF24" s="196">
        <f>IFERROR(G24/SUMIF(A:A,A24,G:G)*SUMIF(Summary!$A$166:$A$242,'Operations Support'!A24,Summary!$Q$166:$Q$242),0)</f>
        <v>0</v>
      </c>
      <c r="AG24" s="196">
        <f t="shared" ca="1" si="11"/>
        <v>0</v>
      </c>
      <c r="AI24" s="196">
        <f>IFERROR($G24/SUMIF($A:$A,$A24,$G:$G)*SUMIF(Summary!$A$247:$A$283,$A24,Summary!$P$247:$P$283),0)</f>
        <v>0</v>
      </c>
      <c r="AJ24" s="196">
        <f>IFERROR($G24/SUMIF($A:$A,$A24,$G:$G)*(SUMIF(Summary!$A$247:$A$283,$A24,Summary!$L$247:$L$283)+SUMIF(Summary!$A$297:$A$333,$A24,Summary!$L$297:$L$333))-AI24,0)</f>
        <v>0</v>
      </c>
      <c r="AK24" s="196">
        <f>IFERROR($G24/SUMIF($A:$A,$A24,$G:$G)*SUMIF(Summary!$A$247:$A$283,$A24,Summary!$Q$247:$Q$283),0)</f>
        <v>0</v>
      </c>
      <c r="AL24" s="196">
        <f>IFERROR($G24/SUMIF($A:$A,$A24,$G:$G)*(SUMIF(Summary!$A$247:$A$283,$A24,Summary!$L$247:$L$283)+SUMIF(Summary!$A$297:$A$333,$A24,Summary!$L$297:$L$333))-AK24,0)</f>
        <v>0</v>
      </c>
      <c r="AM24" s="198"/>
      <c r="AN24" s="196">
        <f t="shared" ca="1" si="12"/>
        <v>0</v>
      </c>
      <c r="AO24" s="196">
        <f t="shared" ca="1" si="13"/>
        <v>0</v>
      </c>
    </row>
    <row r="25" spans="1:41">
      <c r="A25" s="189">
        <v>20</v>
      </c>
      <c r="B25" s="190">
        <v>1</v>
      </c>
      <c r="C25" s="191" t="s">
        <v>240</v>
      </c>
      <c r="D25" s="192">
        <f t="shared" si="0"/>
        <v>0</v>
      </c>
      <c r="E25" s="192">
        <f t="shared" si="1"/>
        <v>0</v>
      </c>
      <c r="F25" s="192">
        <f t="shared" si="2"/>
        <v>0</v>
      </c>
      <c r="G25" s="193">
        <f t="shared" si="3"/>
        <v>0</v>
      </c>
      <c r="H25" s="194">
        <v>0</v>
      </c>
      <c r="I25" s="194">
        <v>0</v>
      </c>
      <c r="J25" s="194">
        <v>0</v>
      </c>
      <c r="K25" s="193">
        <f t="shared" si="4"/>
        <v>0</v>
      </c>
      <c r="L25" s="194">
        <v>0</v>
      </c>
      <c r="M25" s="194">
        <v>0</v>
      </c>
      <c r="N25" s="194">
        <v>0</v>
      </c>
      <c r="O25" s="193">
        <f t="shared" si="5"/>
        <v>0</v>
      </c>
      <c r="P25" s="194">
        <v>0</v>
      </c>
      <c r="Q25" s="194">
        <v>0</v>
      </c>
      <c r="R25" s="194">
        <v>0</v>
      </c>
      <c r="S25" s="193">
        <f t="shared" si="6"/>
        <v>0</v>
      </c>
      <c r="T25" s="193">
        <f t="shared" si="7"/>
        <v>0</v>
      </c>
      <c r="U25" s="193">
        <f ca="1">OFFSET('Expenditure Study'!$B$7,'Operations Support'!$C25,'Operations Support'!$B25)*$G25</f>
        <v>0</v>
      </c>
      <c r="V25" s="199">
        <f ca="1">U25*'Expenditure Study'!$B$31</f>
        <v>0</v>
      </c>
      <c r="W25" s="199">
        <f ca="1">IF(A25=10298,1.51,1)*IF($B25&lt;3,$D25*'Expenditure Study'!$B$32*OFFSET('Expenditure Study'!$B$7,'Operations Support'!$C25,'Operations Support'!$B25),0)</f>
        <v>0</v>
      </c>
      <c r="X25" s="200">
        <f ca="1">W25*'Expenditure Study'!$B$31</f>
        <v>0</v>
      </c>
      <c r="Y25" s="199">
        <f ca="1">U25*'Expenditure Study'!$B$31</f>
        <v>0</v>
      </c>
      <c r="Z25" s="200">
        <f ca="1">W25*'Expenditure Study'!$B$31</f>
        <v>0</v>
      </c>
      <c r="AA25" s="195">
        <f t="shared" ca="1" si="8"/>
        <v>0</v>
      </c>
      <c r="AB25" s="195">
        <f t="shared" ca="1" si="9"/>
        <v>0</v>
      </c>
      <c r="AD25" s="196">
        <f>IFERROR($G25/SUMIF($A:$A,$A25,$G:$G)*SUMIF(Summary!$A$166:$A$242,$A25,Summary!$P$166:$P$242),0)</f>
        <v>0</v>
      </c>
      <c r="AE25" s="197">
        <f t="shared" ca="1" si="10"/>
        <v>0</v>
      </c>
      <c r="AF25" s="196">
        <f>IFERROR(G25/SUMIF(A:A,A25,G:G)*SUMIF(Summary!$A$166:$A$242,'Operations Support'!A25,Summary!$Q$166:$Q$242),0)</f>
        <v>0</v>
      </c>
      <c r="AG25" s="196">
        <f t="shared" ca="1" si="11"/>
        <v>0</v>
      </c>
      <c r="AI25" s="196">
        <f>IFERROR($G25/SUMIF($A:$A,$A25,$G:$G)*SUMIF(Summary!$A$247:$A$283,$A25,Summary!$P$247:$P$283),0)</f>
        <v>0</v>
      </c>
      <c r="AJ25" s="196">
        <f>IFERROR($G25/SUMIF($A:$A,$A25,$G:$G)*(SUMIF(Summary!$A$247:$A$283,$A25,Summary!$L$247:$L$283)+SUMIF(Summary!$A$297:$A$333,$A25,Summary!$L$297:$L$333))-AI25,0)</f>
        <v>0</v>
      </c>
      <c r="AK25" s="196">
        <f>IFERROR($G25/SUMIF($A:$A,$A25,$G:$G)*SUMIF(Summary!$A$247:$A$283,$A25,Summary!$Q$247:$Q$283),0)</f>
        <v>0</v>
      </c>
      <c r="AL25" s="196">
        <f>IFERROR($G25/SUMIF($A:$A,$A25,$G:$G)*(SUMIF(Summary!$A$247:$A$283,$A25,Summary!$L$247:$L$283)+SUMIF(Summary!$A$297:$A$333,$A25,Summary!$L$297:$L$333))-AK25,0)</f>
        <v>0</v>
      </c>
      <c r="AM25" s="198"/>
      <c r="AN25" s="196">
        <f t="shared" ca="1" si="12"/>
        <v>0</v>
      </c>
      <c r="AO25" s="196">
        <f t="shared" ca="1" si="13"/>
        <v>0</v>
      </c>
    </row>
    <row r="26" spans="1:41" s="201" customFormat="1">
      <c r="A26" s="189">
        <v>20</v>
      </c>
      <c r="B26" s="190">
        <v>2</v>
      </c>
      <c r="C26" s="191" t="s">
        <v>220</v>
      </c>
      <c r="D26" s="192">
        <f t="shared" si="0"/>
        <v>3252</v>
      </c>
      <c r="E26" s="192">
        <f t="shared" si="1"/>
        <v>1152</v>
      </c>
      <c r="F26" s="192">
        <f t="shared" si="2"/>
        <v>0</v>
      </c>
      <c r="G26" s="193">
        <f t="shared" si="3"/>
        <v>4404</v>
      </c>
      <c r="H26" s="194">
        <v>1089</v>
      </c>
      <c r="I26" s="194">
        <v>510</v>
      </c>
      <c r="J26" s="194">
        <v>0</v>
      </c>
      <c r="K26" s="193">
        <f t="shared" si="4"/>
        <v>1599</v>
      </c>
      <c r="L26" s="194">
        <v>1449</v>
      </c>
      <c r="M26" s="194">
        <v>192</v>
      </c>
      <c r="N26" s="194">
        <v>0</v>
      </c>
      <c r="O26" s="193">
        <f t="shared" si="5"/>
        <v>1641</v>
      </c>
      <c r="P26" s="194">
        <v>714</v>
      </c>
      <c r="Q26" s="194">
        <v>450</v>
      </c>
      <c r="R26" s="194">
        <v>0</v>
      </c>
      <c r="S26" s="193">
        <f t="shared" si="6"/>
        <v>1164</v>
      </c>
      <c r="T26" s="193">
        <f t="shared" si="7"/>
        <v>146.80000000000001</v>
      </c>
      <c r="U26" s="193">
        <f ca="1">OFFSET('Expenditure Study'!$B$7,'Operations Support'!$C26,'Operations Support'!$B26)*$G26</f>
        <v>8103.3600000000006</v>
      </c>
      <c r="V26" s="199">
        <f ca="1">U26*'Expenditure Study'!$B$31</f>
        <v>478772.28396748804</v>
      </c>
      <c r="W26" s="199">
        <f ca="1">IF(A26=10298,1.51,1)*IF($B26&lt;3,$D26*'Expenditure Study'!$B$32*OFFSET('Expenditure Study'!$B$7,'Operations Support'!$C26,'Operations Support'!$B26),0)</f>
        <v>598.36800000000017</v>
      </c>
      <c r="X26" s="200">
        <f ca="1">W26*'Expenditure Study'!$B$31</f>
        <v>35353.484728934411</v>
      </c>
      <c r="Y26" s="199">
        <f ca="1">U26*'Expenditure Study'!$B$31</f>
        <v>478772.28396748804</v>
      </c>
      <c r="Z26" s="200">
        <f ca="1">W26*'Expenditure Study'!$B$31</f>
        <v>35353.484728934411</v>
      </c>
      <c r="AA26" s="195">
        <f t="shared" ca="1" si="8"/>
        <v>514125.76869642246</v>
      </c>
      <c r="AB26" s="195">
        <f t="shared" ca="1" si="9"/>
        <v>514125.76869642246</v>
      </c>
      <c r="AD26" s="196">
        <f>IFERROR($G26/SUMIF($A:$A,$A26,$G:$G)*SUMIF(Summary!$A$166:$A$242,$A26,Summary!$P$166:$P$242),0)</f>
        <v>133203.27776803618</v>
      </c>
      <c r="AE26" s="197">
        <f t="shared" ca="1" si="10"/>
        <v>380922.49092838628</v>
      </c>
      <c r="AF26" s="196">
        <f>IFERROR(G26/SUMIF(A:A,A26,G:G)*SUMIF(Summary!$A$166:$A$242,'Operations Support'!A26,Summary!$Q$166:$Q$242),0)</f>
        <v>133208.66423297586</v>
      </c>
      <c r="AG26" s="196">
        <f t="shared" ca="1" si="11"/>
        <v>380917.10446344659</v>
      </c>
      <c r="AH26" s="180"/>
      <c r="AI26" s="196">
        <f>IFERROR($G26/SUMIF($A:$A,$A26,$G:$G)*SUMIF(Summary!$A$247:$A$283,$A26,Summary!$P$247:$P$283),0)</f>
        <v>24292.953814146193</v>
      </c>
      <c r="AJ26" s="196">
        <f>IFERROR($G26/SUMIF($A:$A,$A26,$G:$G)*(SUMIF(Summary!$A$247:$A$283,$A26,Summary!$L$247:$L$283)+SUMIF(Summary!$A$297:$A$333,$A26,Summary!$L$297:$L$333))-AI26,0)</f>
        <v>590721.04713845381</v>
      </c>
      <c r="AK26" s="196">
        <f>IFERROR($G26/SUMIF($A:$A,$A26,$G:$G)*SUMIF(Summary!$A$247:$A$283,$A26,Summary!$Q$247:$Q$283),0)</f>
        <v>24293.936170933463</v>
      </c>
      <c r="AL26" s="196">
        <f>IFERROR($G26/SUMIF($A:$A,$A26,$G:$G)*(SUMIF(Summary!$A$247:$A$283,$A26,Summary!$L$247:$L$283)+SUMIF(Summary!$A$297:$A$333,$A26,Summary!$L$297:$L$333))-AK26,0)</f>
        <v>590720.06478166662</v>
      </c>
      <c r="AM26" s="198"/>
      <c r="AN26" s="196">
        <f t="shared" ca="1" si="12"/>
        <v>971643.53806684003</v>
      </c>
      <c r="AO26" s="196">
        <f t="shared" ca="1" si="13"/>
        <v>971637.16924511315</v>
      </c>
    </row>
    <row r="27" spans="1:41">
      <c r="A27" s="189">
        <v>20</v>
      </c>
      <c r="B27" s="190">
        <v>2</v>
      </c>
      <c r="C27" s="191" t="s">
        <v>221</v>
      </c>
      <c r="D27" s="192">
        <f t="shared" si="0"/>
        <v>561</v>
      </c>
      <c r="E27" s="192">
        <f t="shared" si="1"/>
        <v>192</v>
      </c>
      <c r="F27" s="192">
        <f t="shared" si="2"/>
        <v>0</v>
      </c>
      <c r="G27" s="193">
        <f t="shared" si="3"/>
        <v>753</v>
      </c>
      <c r="H27" s="194">
        <v>242</v>
      </c>
      <c r="I27" s="194">
        <v>90</v>
      </c>
      <c r="J27" s="194">
        <v>0</v>
      </c>
      <c r="K27" s="193">
        <f t="shared" si="4"/>
        <v>332</v>
      </c>
      <c r="L27" s="194">
        <v>274</v>
      </c>
      <c r="M27" s="194">
        <v>87</v>
      </c>
      <c r="N27" s="194">
        <v>0</v>
      </c>
      <c r="O27" s="193">
        <f t="shared" si="5"/>
        <v>361</v>
      </c>
      <c r="P27" s="194">
        <v>45</v>
      </c>
      <c r="Q27" s="194">
        <v>15</v>
      </c>
      <c r="R27" s="194">
        <v>0</v>
      </c>
      <c r="S27" s="193">
        <f t="shared" si="6"/>
        <v>60</v>
      </c>
      <c r="T27" s="193">
        <f t="shared" si="7"/>
        <v>25.1</v>
      </c>
      <c r="U27" s="193">
        <f ca="1">OFFSET('Expenditure Study'!$B$7,'Operations Support'!$C27,'Operations Support'!$B27)*$G27</f>
        <v>1980.3899999999999</v>
      </c>
      <c r="V27" s="199">
        <f ca="1">U27*'Expenditure Study'!$B$31</f>
        <v>117007.740424512</v>
      </c>
      <c r="W27" s="199">
        <f ca="1">IF(A27=10298,1.51,1)*IF($B27&lt;3,$D27*'Expenditure Study'!$B$32*OFFSET('Expenditure Study'!$B$7,'Operations Support'!$C27,'Operations Support'!$B27),0)</f>
        <v>147.54300000000001</v>
      </c>
      <c r="X27" s="200">
        <f ca="1">W27*'Expenditure Study'!$B$31</f>
        <v>8717.3097447744003</v>
      </c>
      <c r="Y27" s="199">
        <f ca="1">U27*'Expenditure Study'!$B$31</f>
        <v>117007.740424512</v>
      </c>
      <c r="Z27" s="200">
        <f ca="1">W27*'Expenditure Study'!$B$31</f>
        <v>8717.3097447744003</v>
      </c>
      <c r="AA27" s="195">
        <f t="shared" ca="1" si="8"/>
        <v>125725.05016928641</v>
      </c>
      <c r="AB27" s="195">
        <f t="shared" ca="1" si="9"/>
        <v>125725.05016928641</v>
      </c>
      <c r="AD27" s="196">
        <f>IFERROR($G27/SUMIF($A:$A,$A27,$G:$G)*SUMIF(Summary!$A$166:$A$242,$A27,Summary!$P$166:$P$242),0)</f>
        <v>22775.219836360411</v>
      </c>
      <c r="AE27" s="197">
        <f t="shared" ca="1" si="10"/>
        <v>102949.83033292599</v>
      </c>
      <c r="AF27" s="196">
        <f>IFERROR(G27/SUMIF(A:A,A27,G:G)*SUMIF(Summary!$A$166:$A$242,'Operations Support'!A27,Summary!$Q$166:$Q$242),0)</f>
        <v>22776.140819125983</v>
      </c>
      <c r="AG27" s="196">
        <f t="shared" ca="1" si="11"/>
        <v>102948.90935016042</v>
      </c>
      <c r="AI27" s="196">
        <f>IFERROR($G27/SUMIF($A:$A,$A27,$G:$G)*SUMIF(Summary!$A$247:$A$283,$A27,Summary!$P$247:$P$283),0)</f>
        <v>4153.6317488764953</v>
      </c>
      <c r="AJ27" s="196">
        <f>IFERROR($G27/SUMIF($A:$A,$A27,$G:$G)*(SUMIF(Summary!$A$247:$A$283,$A27,Summary!$L$247:$L$283)+SUMIF(Summary!$A$297:$A$333,$A27,Summary!$L$297:$L$333))-AI27,0)</f>
        <v>101002.03190173837</v>
      </c>
      <c r="AK27" s="196">
        <f>IFERROR($G27/SUMIF($A:$A,$A27,$G:$G)*SUMIF(Summary!$A$247:$A$283,$A27,Summary!$Q$247:$Q$283),0)</f>
        <v>4153.7997131500679</v>
      </c>
      <c r="AL27" s="196">
        <f>IFERROR($G27/SUMIF($A:$A,$A27,$G:$G)*(SUMIF(Summary!$A$247:$A$283,$A27,Summary!$L$247:$L$283)+SUMIF(Summary!$A$297:$A$333,$A27,Summary!$L$297:$L$333))-AK27,0)</f>
        <v>101001.86393746479</v>
      </c>
      <c r="AM27" s="198"/>
      <c r="AN27" s="196">
        <f t="shared" ca="1" si="12"/>
        <v>203951.86223466438</v>
      </c>
      <c r="AO27" s="196">
        <f t="shared" ca="1" si="13"/>
        <v>203950.77328762523</v>
      </c>
    </row>
    <row r="28" spans="1:41">
      <c r="A28" s="189">
        <v>20</v>
      </c>
      <c r="B28" s="190">
        <v>2</v>
      </c>
      <c r="C28" s="191" t="s">
        <v>222</v>
      </c>
      <c r="D28" s="192">
        <f t="shared" si="0"/>
        <v>0</v>
      </c>
      <c r="E28" s="192">
        <f t="shared" si="1"/>
        <v>0</v>
      </c>
      <c r="F28" s="192">
        <f t="shared" si="2"/>
        <v>0</v>
      </c>
      <c r="G28" s="193">
        <f t="shared" si="3"/>
        <v>0</v>
      </c>
      <c r="H28" s="194">
        <v>0</v>
      </c>
      <c r="I28" s="194">
        <v>0</v>
      </c>
      <c r="J28" s="194">
        <v>0</v>
      </c>
      <c r="K28" s="193">
        <f t="shared" si="4"/>
        <v>0</v>
      </c>
      <c r="L28" s="194">
        <v>0</v>
      </c>
      <c r="M28" s="194">
        <v>0</v>
      </c>
      <c r="N28" s="194">
        <v>0</v>
      </c>
      <c r="O28" s="193">
        <f t="shared" si="5"/>
        <v>0</v>
      </c>
      <c r="P28" s="194">
        <v>0</v>
      </c>
      <c r="Q28" s="194">
        <v>0</v>
      </c>
      <c r="R28" s="194">
        <v>0</v>
      </c>
      <c r="S28" s="193">
        <f t="shared" si="6"/>
        <v>0</v>
      </c>
      <c r="T28" s="193">
        <f t="shared" si="7"/>
        <v>0</v>
      </c>
      <c r="U28" s="193">
        <f ca="1">OFFSET('Expenditure Study'!$B$7,'Operations Support'!$C28,'Operations Support'!$B28)*$G28</f>
        <v>0</v>
      </c>
      <c r="V28" s="199">
        <f ca="1">U28*'Expenditure Study'!$B$31</f>
        <v>0</v>
      </c>
      <c r="W28" s="199">
        <f ca="1">IF(A28=10298,1.51,1)*IF($B28&lt;3,$D28*'Expenditure Study'!$B$32*OFFSET('Expenditure Study'!$B$7,'Operations Support'!$C28,'Operations Support'!$B28),0)</f>
        <v>0</v>
      </c>
      <c r="X28" s="200">
        <f ca="1">W28*'Expenditure Study'!$B$31</f>
        <v>0</v>
      </c>
      <c r="Y28" s="199">
        <f ca="1">U28*'Expenditure Study'!$B$31</f>
        <v>0</v>
      </c>
      <c r="Z28" s="200">
        <f ca="1">W28*'Expenditure Study'!$B$31</f>
        <v>0</v>
      </c>
      <c r="AA28" s="195">
        <f t="shared" ca="1" si="8"/>
        <v>0</v>
      </c>
      <c r="AB28" s="195">
        <f t="shared" ca="1" si="9"/>
        <v>0</v>
      </c>
      <c r="AD28" s="196">
        <f>IFERROR($G28/SUMIF($A:$A,$A28,$G:$G)*SUMIF(Summary!$A$166:$A$242,$A28,Summary!$P$166:$P$242),0)</f>
        <v>0</v>
      </c>
      <c r="AE28" s="197">
        <f t="shared" ca="1" si="10"/>
        <v>0</v>
      </c>
      <c r="AF28" s="196">
        <f>IFERROR(G28/SUMIF(A:A,A28,G:G)*SUMIF(Summary!$A$166:$A$242,'Operations Support'!A28,Summary!$Q$166:$Q$242),0)</f>
        <v>0</v>
      </c>
      <c r="AG28" s="196">
        <f t="shared" ca="1" si="11"/>
        <v>0</v>
      </c>
      <c r="AI28" s="196">
        <f>IFERROR($G28/SUMIF($A:$A,$A28,$G:$G)*SUMIF(Summary!$A$247:$A$283,$A28,Summary!$P$247:$P$283),0)</f>
        <v>0</v>
      </c>
      <c r="AJ28" s="196">
        <f>IFERROR($G28/SUMIF($A:$A,$A28,$G:$G)*(SUMIF(Summary!$A$247:$A$283,$A28,Summary!$L$247:$L$283)+SUMIF(Summary!$A$297:$A$333,$A28,Summary!$L$297:$L$333))-AI28,0)</f>
        <v>0</v>
      </c>
      <c r="AK28" s="196">
        <f>IFERROR($G28/SUMIF($A:$A,$A28,$G:$G)*SUMIF(Summary!$A$247:$A$283,$A28,Summary!$Q$247:$Q$283),0)</f>
        <v>0</v>
      </c>
      <c r="AL28" s="196">
        <f>IFERROR($G28/SUMIF($A:$A,$A28,$G:$G)*(SUMIF(Summary!$A$247:$A$283,$A28,Summary!$L$247:$L$283)+SUMIF(Summary!$A$297:$A$333,$A28,Summary!$L$297:$L$333))-AK28,0)</f>
        <v>0</v>
      </c>
      <c r="AM28" s="198"/>
      <c r="AN28" s="196">
        <f t="shared" ca="1" si="12"/>
        <v>0</v>
      </c>
      <c r="AO28" s="196">
        <f t="shared" ca="1" si="13"/>
        <v>0</v>
      </c>
    </row>
    <row r="29" spans="1:41">
      <c r="A29" s="189">
        <v>20</v>
      </c>
      <c r="B29" s="190">
        <v>2</v>
      </c>
      <c r="C29" s="191" t="s">
        <v>223</v>
      </c>
      <c r="D29" s="192">
        <f t="shared" si="0"/>
        <v>828</v>
      </c>
      <c r="E29" s="192">
        <f t="shared" si="1"/>
        <v>1041</v>
      </c>
      <c r="F29" s="192">
        <f t="shared" si="2"/>
        <v>0</v>
      </c>
      <c r="G29" s="193">
        <f t="shared" si="3"/>
        <v>1869</v>
      </c>
      <c r="H29" s="194">
        <v>315</v>
      </c>
      <c r="I29" s="194">
        <v>399</v>
      </c>
      <c r="J29" s="194">
        <v>0</v>
      </c>
      <c r="K29" s="193">
        <f t="shared" si="4"/>
        <v>714</v>
      </c>
      <c r="L29" s="194">
        <v>399</v>
      </c>
      <c r="M29" s="194">
        <v>483</v>
      </c>
      <c r="N29" s="194">
        <v>0</v>
      </c>
      <c r="O29" s="193">
        <f t="shared" si="5"/>
        <v>882</v>
      </c>
      <c r="P29" s="194">
        <v>114</v>
      </c>
      <c r="Q29" s="194">
        <v>159</v>
      </c>
      <c r="R29" s="194">
        <v>0</v>
      </c>
      <c r="S29" s="193">
        <f t="shared" si="6"/>
        <v>273</v>
      </c>
      <c r="T29" s="193">
        <f t="shared" si="7"/>
        <v>62.3</v>
      </c>
      <c r="U29" s="193">
        <f ca="1">OFFSET('Expenditure Study'!$B$7,'Operations Support'!$C29,'Operations Support'!$B29)*$G29</f>
        <v>3551.1</v>
      </c>
      <c r="V29" s="199">
        <f ca="1">U29*'Expenditure Study'!$B$31</f>
        <v>209810.28333887999</v>
      </c>
      <c r="W29" s="199">
        <f ca="1">IF(A29=10298,1.51,1)*IF($B29&lt;3,$D29*'Expenditure Study'!$B$32*OFFSET('Expenditure Study'!$B$7,'Operations Support'!$C29,'Operations Support'!$B29),0)</f>
        <v>157.32000000000002</v>
      </c>
      <c r="X29" s="200">
        <f ca="1">W29*'Expenditure Study'!$B$31</f>
        <v>9294.966003456002</v>
      </c>
      <c r="Y29" s="199">
        <f ca="1">U29*'Expenditure Study'!$B$31</f>
        <v>209810.28333887999</v>
      </c>
      <c r="Z29" s="200">
        <f ca="1">W29*'Expenditure Study'!$B$31</f>
        <v>9294.966003456002</v>
      </c>
      <c r="AA29" s="195">
        <f t="shared" ca="1" si="8"/>
        <v>219105.249342336</v>
      </c>
      <c r="AB29" s="195">
        <f t="shared" ca="1" si="9"/>
        <v>219105.249342336</v>
      </c>
      <c r="AD29" s="196">
        <f>IFERROR($G29/SUMIF($A:$A,$A29,$G:$G)*SUMIF(Summary!$A$166:$A$242,$A29,Summary!$P$166:$P$242),0)</f>
        <v>56529.728916543965</v>
      </c>
      <c r="AE29" s="197">
        <f t="shared" ca="1" si="10"/>
        <v>162575.52042579203</v>
      </c>
      <c r="AF29" s="196">
        <f>IFERROR(G29/SUMIF(A:A,A29,G:G)*SUMIF(Summary!$A$166:$A$242,'Operations Support'!A29,Summary!$Q$166:$Q$242),0)</f>
        <v>56532.014861814685</v>
      </c>
      <c r="AG29" s="196">
        <f t="shared" ca="1" si="11"/>
        <v>162573.23448052132</v>
      </c>
      <c r="AI29" s="196">
        <f>IFERROR($G29/SUMIF($A:$A,$A29,$G:$G)*SUMIF(Summary!$A$247:$A$283,$A29,Summary!$P$247:$P$283),0)</f>
        <v>10309.611870717355</v>
      </c>
      <c r="AJ29" s="196">
        <f>IFERROR($G29/SUMIF($A:$A,$A29,$G:$G)*(SUMIF(Summary!$A$247:$A$283,$A29,Summary!$L$247:$L$283)+SUMIF(Summary!$A$297:$A$333,$A29,Summary!$L$297:$L$333))-AI29,0)</f>
        <v>250694.28635371715</v>
      </c>
      <c r="AK29" s="196">
        <f>IFERROR($G29/SUMIF($A:$A,$A29,$G:$G)*SUMIF(Summary!$A$247:$A$283,$A29,Summary!$Q$247:$Q$283),0)</f>
        <v>10310.02877008961</v>
      </c>
      <c r="AL29" s="196">
        <f>IFERROR($G29/SUMIF($A:$A,$A29,$G:$G)*(SUMIF(Summary!$A$247:$A$283,$A29,Summary!$L$247:$L$283)+SUMIF(Summary!$A$297:$A$333,$A29,Summary!$L$297:$L$333))-AK29,0)</f>
        <v>250693.86945434488</v>
      </c>
      <c r="AM29" s="198"/>
      <c r="AN29" s="196">
        <f t="shared" ca="1" si="12"/>
        <v>413269.80677950918</v>
      </c>
      <c r="AO29" s="196">
        <f t="shared" ca="1" si="13"/>
        <v>413267.1039348662</v>
      </c>
    </row>
    <row r="30" spans="1:41">
      <c r="A30" s="189">
        <v>20</v>
      </c>
      <c r="B30" s="190">
        <v>2</v>
      </c>
      <c r="C30" s="191" t="s">
        <v>224</v>
      </c>
      <c r="D30" s="192">
        <f t="shared" si="0"/>
        <v>0</v>
      </c>
      <c r="E30" s="192">
        <f t="shared" si="1"/>
        <v>0</v>
      </c>
      <c r="F30" s="192">
        <f t="shared" si="2"/>
        <v>0</v>
      </c>
      <c r="G30" s="193">
        <f t="shared" si="3"/>
        <v>0</v>
      </c>
      <c r="H30" s="194">
        <v>0</v>
      </c>
      <c r="I30" s="194">
        <v>0</v>
      </c>
      <c r="J30" s="194">
        <v>0</v>
      </c>
      <c r="K30" s="193">
        <f t="shared" si="4"/>
        <v>0</v>
      </c>
      <c r="L30" s="194">
        <v>0</v>
      </c>
      <c r="M30" s="194">
        <v>0</v>
      </c>
      <c r="N30" s="194">
        <v>0</v>
      </c>
      <c r="O30" s="193">
        <f t="shared" si="5"/>
        <v>0</v>
      </c>
      <c r="P30" s="194">
        <v>0</v>
      </c>
      <c r="Q30" s="194">
        <v>0</v>
      </c>
      <c r="R30" s="194">
        <v>0</v>
      </c>
      <c r="S30" s="193">
        <f t="shared" si="6"/>
        <v>0</v>
      </c>
      <c r="T30" s="193">
        <f t="shared" si="7"/>
        <v>0</v>
      </c>
      <c r="U30" s="193">
        <f ca="1">OFFSET('Expenditure Study'!$B$7,'Operations Support'!$C30,'Operations Support'!$B30)*$G30</f>
        <v>0</v>
      </c>
      <c r="V30" s="199">
        <f ca="1">U30*'Expenditure Study'!$B$31</f>
        <v>0</v>
      </c>
      <c r="W30" s="199">
        <f ca="1">IF(A30=10298,1.51,1)*IF($B30&lt;3,$D30*'Expenditure Study'!$B$32*OFFSET('Expenditure Study'!$B$7,'Operations Support'!$C30,'Operations Support'!$B30),0)</f>
        <v>0</v>
      </c>
      <c r="X30" s="200">
        <f ca="1">W30*'Expenditure Study'!$B$31</f>
        <v>0</v>
      </c>
      <c r="Y30" s="199">
        <f ca="1">U30*'Expenditure Study'!$B$31</f>
        <v>0</v>
      </c>
      <c r="Z30" s="200">
        <f ca="1">W30*'Expenditure Study'!$B$31</f>
        <v>0</v>
      </c>
      <c r="AA30" s="195">
        <f t="shared" ca="1" si="8"/>
        <v>0</v>
      </c>
      <c r="AB30" s="195">
        <f t="shared" ca="1" si="9"/>
        <v>0</v>
      </c>
      <c r="AD30" s="196">
        <f>IFERROR($G30/SUMIF($A:$A,$A30,$G:$G)*SUMIF(Summary!$A$166:$A$242,$A30,Summary!$P$166:$P$242),0)</f>
        <v>0</v>
      </c>
      <c r="AE30" s="197">
        <f t="shared" ca="1" si="10"/>
        <v>0</v>
      </c>
      <c r="AF30" s="196">
        <f>IFERROR(G30/SUMIF(A:A,A30,G:G)*SUMIF(Summary!$A$166:$A$242,'Operations Support'!A30,Summary!$Q$166:$Q$242),0)</f>
        <v>0</v>
      </c>
      <c r="AG30" s="196">
        <f t="shared" ca="1" si="11"/>
        <v>0</v>
      </c>
      <c r="AI30" s="196">
        <f>IFERROR($G30/SUMIF($A:$A,$A30,$G:$G)*SUMIF(Summary!$A$247:$A$283,$A30,Summary!$P$247:$P$283),0)</f>
        <v>0</v>
      </c>
      <c r="AJ30" s="196">
        <f>IFERROR($G30/SUMIF($A:$A,$A30,$G:$G)*(SUMIF(Summary!$A$247:$A$283,$A30,Summary!$L$247:$L$283)+SUMIF(Summary!$A$297:$A$333,$A30,Summary!$L$297:$L$333))-AI30,0)</f>
        <v>0</v>
      </c>
      <c r="AK30" s="196">
        <f>IFERROR($G30/SUMIF($A:$A,$A30,$G:$G)*SUMIF(Summary!$A$247:$A$283,$A30,Summary!$Q$247:$Q$283),0)</f>
        <v>0</v>
      </c>
      <c r="AL30" s="196">
        <f>IFERROR($G30/SUMIF($A:$A,$A30,$G:$G)*(SUMIF(Summary!$A$247:$A$283,$A30,Summary!$L$247:$L$283)+SUMIF(Summary!$A$297:$A$333,$A30,Summary!$L$297:$L$333))-AK30,0)</f>
        <v>0</v>
      </c>
      <c r="AM30" s="198"/>
      <c r="AN30" s="196">
        <f t="shared" ca="1" si="12"/>
        <v>0</v>
      </c>
      <c r="AO30" s="196">
        <f t="shared" ca="1" si="13"/>
        <v>0</v>
      </c>
    </row>
    <row r="31" spans="1:41">
      <c r="A31" s="189">
        <v>20</v>
      </c>
      <c r="B31" s="190">
        <v>2</v>
      </c>
      <c r="C31" s="191" t="s">
        <v>225</v>
      </c>
      <c r="D31" s="192">
        <f t="shared" si="0"/>
        <v>0</v>
      </c>
      <c r="E31" s="192">
        <f t="shared" si="1"/>
        <v>0</v>
      </c>
      <c r="F31" s="192">
        <f t="shared" si="2"/>
        <v>0</v>
      </c>
      <c r="G31" s="193">
        <f t="shared" si="3"/>
        <v>0</v>
      </c>
      <c r="H31" s="194">
        <v>0</v>
      </c>
      <c r="I31" s="194">
        <v>0</v>
      </c>
      <c r="J31" s="194">
        <v>0</v>
      </c>
      <c r="K31" s="193">
        <f t="shared" si="4"/>
        <v>0</v>
      </c>
      <c r="L31" s="194">
        <v>0</v>
      </c>
      <c r="M31" s="194">
        <v>0</v>
      </c>
      <c r="N31" s="194">
        <v>0</v>
      </c>
      <c r="O31" s="193">
        <f t="shared" si="5"/>
        <v>0</v>
      </c>
      <c r="P31" s="194">
        <v>0</v>
      </c>
      <c r="Q31" s="194">
        <v>0</v>
      </c>
      <c r="R31" s="194">
        <v>0</v>
      </c>
      <c r="S31" s="193">
        <f t="shared" si="6"/>
        <v>0</v>
      </c>
      <c r="T31" s="193">
        <f t="shared" si="7"/>
        <v>0</v>
      </c>
      <c r="U31" s="193">
        <f ca="1">OFFSET('Expenditure Study'!$B$7,'Operations Support'!$C31,'Operations Support'!$B31)*$G31</f>
        <v>0</v>
      </c>
      <c r="V31" s="199">
        <f ca="1">U31*'Expenditure Study'!$B$31</f>
        <v>0</v>
      </c>
      <c r="W31" s="199">
        <f ca="1">IF(A31=10298,1.51,1)*IF($B31&lt;3,$D31*'Expenditure Study'!$B$32*OFFSET('Expenditure Study'!$B$7,'Operations Support'!$C31,'Operations Support'!$B31),0)</f>
        <v>0</v>
      </c>
      <c r="X31" s="200">
        <f ca="1">W31*'Expenditure Study'!$B$31</f>
        <v>0</v>
      </c>
      <c r="Y31" s="199">
        <f ca="1">U31*'Expenditure Study'!$B$31</f>
        <v>0</v>
      </c>
      <c r="Z31" s="200">
        <f ca="1">W31*'Expenditure Study'!$B$31</f>
        <v>0</v>
      </c>
      <c r="AA31" s="195">
        <f t="shared" ca="1" si="8"/>
        <v>0</v>
      </c>
      <c r="AB31" s="195">
        <f t="shared" ca="1" si="9"/>
        <v>0</v>
      </c>
      <c r="AD31" s="196">
        <f>IFERROR($G31/SUMIF($A:$A,$A31,$G:$G)*SUMIF(Summary!$A$166:$A$242,$A31,Summary!$P$166:$P$242),0)</f>
        <v>0</v>
      </c>
      <c r="AE31" s="197">
        <f t="shared" ca="1" si="10"/>
        <v>0</v>
      </c>
      <c r="AF31" s="196">
        <f>IFERROR(G31/SUMIF(A:A,A31,G:G)*SUMIF(Summary!$A$166:$A$242,'Operations Support'!A31,Summary!$Q$166:$Q$242),0)</f>
        <v>0</v>
      </c>
      <c r="AG31" s="196">
        <f t="shared" ca="1" si="11"/>
        <v>0</v>
      </c>
      <c r="AI31" s="196">
        <f>IFERROR($G31/SUMIF($A:$A,$A31,$G:$G)*SUMIF(Summary!$A$247:$A$283,$A31,Summary!$P$247:$P$283),0)</f>
        <v>0</v>
      </c>
      <c r="AJ31" s="196">
        <f>IFERROR($G31/SUMIF($A:$A,$A31,$G:$G)*(SUMIF(Summary!$A$247:$A$283,$A31,Summary!$L$247:$L$283)+SUMIF(Summary!$A$297:$A$333,$A31,Summary!$L$297:$L$333))-AI31,0)</f>
        <v>0</v>
      </c>
      <c r="AK31" s="196">
        <f>IFERROR($G31/SUMIF($A:$A,$A31,$G:$G)*SUMIF(Summary!$A$247:$A$283,$A31,Summary!$Q$247:$Q$283),0)</f>
        <v>0</v>
      </c>
      <c r="AL31" s="196">
        <f>IFERROR($G31/SUMIF($A:$A,$A31,$G:$G)*(SUMIF(Summary!$A$247:$A$283,$A31,Summary!$L$247:$L$283)+SUMIF(Summary!$A$297:$A$333,$A31,Summary!$L$297:$L$333))-AK31,0)</f>
        <v>0</v>
      </c>
      <c r="AM31" s="198"/>
      <c r="AN31" s="196">
        <f t="shared" ca="1" si="12"/>
        <v>0</v>
      </c>
      <c r="AO31" s="196">
        <f t="shared" ca="1" si="13"/>
        <v>0</v>
      </c>
    </row>
    <row r="32" spans="1:41">
      <c r="A32" s="189">
        <v>20</v>
      </c>
      <c r="B32" s="190">
        <v>2</v>
      </c>
      <c r="C32" s="191" t="s">
        <v>226</v>
      </c>
      <c r="D32" s="192">
        <f t="shared" si="0"/>
        <v>0</v>
      </c>
      <c r="E32" s="192">
        <f t="shared" si="1"/>
        <v>0</v>
      </c>
      <c r="F32" s="192">
        <f t="shared" si="2"/>
        <v>0</v>
      </c>
      <c r="G32" s="193">
        <f t="shared" si="3"/>
        <v>0</v>
      </c>
      <c r="H32" s="194">
        <v>0</v>
      </c>
      <c r="I32" s="194">
        <v>0</v>
      </c>
      <c r="J32" s="194">
        <v>0</v>
      </c>
      <c r="K32" s="193">
        <f t="shared" si="4"/>
        <v>0</v>
      </c>
      <c r="L32" s="194">
        <v>0</v>
      </c>
      <c r="M32" s="194">
        <v>0</v>
      </c>
      <c r="N32" s="194">
        <v>0</v>
      </c>
      <c r="O32" s="193">
        <f t="shared" si="5"/>
        <v>0</v>
      </c>
      <c r="P32" s="194">
        <v>0</v>
      </c>
      <c r="Q32" s="194">
        <v>0</v>
      </c>
      <c r="R32" s="194">
        <v>0</v>
      </c>
      <c r="S32" s="193">
        <f t="shared" si="6"/>
        <v>0</v>
      </c>
      <c r="T32" s="193">
        <f t="shared" si="7"/>
        <v>0</v>
      </c>
      <c r="U32" s="193">
        <f ca="1">OFFSET('Expenditure Study'!$B$7,'Operations Support'!$C32,'Operations Support'!$B32)*$G32</f>
        <v>0</v>
      </c>
      <c r="V32" s="199">
        <f ca="1">U32*'Expenditure Study'!$B$31</f>
        <v>0</v>
      </c>
      <c r="W32" s="199">
        <f ca="1">IF(A32=10298,1.51,1)*IF($B32&lt;3,$D32*'Expenditure Study'!$B$32*OFFSET('Expenditure Study'!$B$7,'Operations Support'!$C32,'Operations Support'!$B32),0)</f>
        <v>0</v>
      </c>
      <c r="X32" s="200">
        <f ca="1">W32*'Expenditure Study'!$B$31</f>
        <v>0</v>
      </c>
      <c r="Y32" s="199">
        <f ca="1">U32*'Expenditure Study'!$B$31</f>
        <v>0</v>
      </c>
      <c r="Z32" s="200">
        <f ca="1">W32*'Expenditure Study'!$B$31</f>
        <v>0</v>
      </c>
      <c r="AA32" s="195">
        <f t="shared" ca="1" si="8"/>
        <v>0</v>
      </c>
      <c r="AB32" s="195">
        <f t="shared" ca="1" si="9"/>
        <v>0</v>
      </c>
      <c r="AD32" s="196">
        <f>IFERROR($G32/SUMIF($A:$A,$A32,$G:$G)*SUMIF(Summary!$A$166:$A$242,$A32,Summary!$P$166:$P$242),0)</f>
        <v>0</v>
      </c>
      <c r="AE32" s="197">
        <f t="shared" ca="1" si="10"/>
        <v>0</v>
      </c>
      <c r="AF32" s="196">
        <f>IFERROR(G32/SUMIF(A:A,A32,G:G)*SUMIF(Summary!$A$166:$A$242,'Operations Support'!A32,Summary!$Q$166:$Q$242),0)</f>
        <v>0</v>
      </c>
      <c r="AG32" s="196">
        <f t="shared" ca="1" si="11"/>
        <v>0</v>
      </c>
      <c r="AI32" s="196">
        <f>IFERROR($G32/SUMIF($A:$A,$A32,$G:$G)*SUMIF(Summary!$A$247:$A$283,$A32,Summary!$P$247:$P$283),0)</f>
        <v>0</v>
      </c>
      <c r="AJ32" s="196">
        <f>IFERROR($G32/SUMIF($A:$A,$A32,$G:$G)*(SUMIF(Summary!$A$247:$A$283,$A32,Summary!$L$247:$L$283)+SUMIF(Summary!$A$297:$A$333,$A32,Summary!$L$297:$L$333))-AI32,0)</f>
        <v>0</v>
      </c>
      <c r="AK32" s="196">
        <f>IFERROR($G32/SUMIF($A:$A,$A32,$G:$G)*SUMIF(Summary!$A$247:$A$283,$A32,Summary!$Q$247:$Q$283),0)</f>
        <v>0</v>
      </c>
      <c r="AL32" s="196">
        <f>IFERROR($G32/SUMIF($A:$A,$A32,$G:$G)*(SUMIF(Summary!$A$247:$A$283,$A32,Summary!$L$247:$L$283)+SUMIF(Summary!$A$297:$A$333,$A32,Summary!$L$297:$L$333))-AK32,0)</f>
        <v>0</v>
      </c>
      <c r="AM32" s="198"/>
      <c r="AN32" s="196">
        <f t="shared" ca="1" si="12"/>
        <v>0</v>
      </c>
      <c r="AO32" s="196">
        <f t="shared" ca="1" si="13"/>
        <v>0</v>
      </c>
    </row>
    <row r="33" spans="1:41">
      <c r="A33" s="189">
        <v>20</v>
      </c>
      <c r="B33" s="190">
        <v>2</v>
      </c>
      <c r="C33" s="191" t="s">
        <v>227</v>
      </c>
      <c r="D33" s="192">
        <f t="shared" si="0"/>
        <v>0</v>
      </c>
      <c r="E33" s="192">
        <f t="shared" si="1"/>
        <v>0</v>
      </c>
      <c r="F33" s="192">
        <f t="shared" si="2"/>
        <v>0</v>
      </c>
      <c r="G33" s="193">
        <f t="shared" si="3"/>
        <v>0</v>
      </c>
      <c r="H33" s="194">
        <v>0</v>
      </c>
      <c r="I33" s="194">
        <v>0</v>
      </c>
      <c r="J33" s="194">
        <v>0</v>
      </c>
      <c r="K33" s="193">
        <f t="shared" si="4"/>
        <v>0</v>
      </c>
      <c r="L33" s="194">
        <v>0</v>
      </c>
      <c r="M33" s="194">
        <v>0</v>
      </c>
      <c r="N33" s="194">
        <v>0</v>
      </c>
      <c r="O33" s="193">
        <f t="shared" si="5"/>
        <v>0</v>
      </c>
      <c r="P33" s="194">
        <v>0</v>
      </c>
      <c r="Q33" s="194">
        <v>0</v>
      </c>
      <c r="R33" s="194">
        <v>0</v>
      </c>
      <c r="S33" s="193">
        <f t="shared" si="6"/>
        <v>0</v>
      </c>
      <c r="T33" s="193">
        <f t="shared" si="7"/>
        <v>0</v>
      </c>
      <c r="U33" s="193">
        <f ca="1">OFFSET('Expenditure Study'!$B$7,'Operations Support'!$C33,'Operations Support'!$B33)*$G33</f>
        <v>0</v>
      </c>
      <c r="V33" s="199">
        <f ca="1">U33*'Expenditure Study'!$B$31</f>
        <v>0</v>
      </c>
      <c r="W33" s="199">
        <f ca="1">IF(A33=10298,1.51,1)*IF($B33&lt;3,$D33*'Expenditure Study'!$B$32*OFFSET('Expenditure Study'!$B$7,'Operations Support'!$C33,'Operations Support'!$B33),0)</f>
        <v>0</v>
      </c>
      <c r="X33" s="200">
        <f ca="1">W33*'Expenditure Study'!$B$31</f>
        <v>0</v>
      </c>
      <c r="Y33" s="199">
        <f ca="1">U33*'Expenditure Study'!$B$31</f>
        <v>0</v>
      </c>
      <c r="Z33" s="200">
        <f ca="1">W33*'Expenditure Study'!$B$31</f>
        <v>0</v>
      </c>
      <c r="AA33" s="195">
        <f t="shared" ca="1" si="8"/>
        <v>0</v>
      </c>
      <c r="AB33" s="195">
        <f t="shared" ca="1" si="9"/>
        <v>0</v>
      </c>
      <c r="AD33" s="196">
        <f>IFERROR($G33/SUMIF($A:$A,$A33,$G:$G)*SUMIF(Summary!$A$166:$A$242,$A33,Summary!$P$166:$P$242),0)</f>
        <v>0</v>
      </c>
      <c r="AE33" s="197">
        <f t="shared" ca="1" si="10"/>
        <v>0</v>
      </c>
      <c r="AF33" s="196">
        <f>IFERROR(G33/SUMIF(A:A,A33,G:G)*SUMIF(Summary!$A$166:$A$242,'Operations Support'!A33,Summary!$Q$166:$Q$242),0)</f>
        <v>0</v>
      </c>
      <c r="AG33" s="196">
        <f t="shared" ca="1" si="11"/>
        <v>0</v>
      </c>
      <c r="AI33" s="196">
        <f>IFERROR($G33/SUMIF($A:$A,$A33,$G:$G)*SUMIF(Summary!$A$247:$A$283,$A33,Summary!$P$247:$P$283),0)</f>
        <v>0</v>
      </c>
      <c r="AJ33" s="196">
        <f>IFERROR($G33/SUMIF($A:$A,$A33,$G:$G)*(SUMIF(Summary!$A$247:$A$283,$A33,Summary!$L$247:$L$283)+SUMIF(Summary!$A$297:$A$333,$A33,Summary!$L$297:$L$333))-AI33,0)</f>
        <v>0</v>
      </c>
      <c r="AK33" s="196">
        <f>IFERROR($G33/SUMIF($A:$A,$A33,$G:$G)*SUMIF(Summary!$A$247:$A$283,$A33,Summary!$Q$247:$Q$283),0)</f>
        <v>0</v>
      </c>
      <c r="AL33" s="196">
        <f>IFERROR($G33/SUMIF($A:$A,$A33,$G:$G)*(SUMIF(Summary!$A$247:$A$283,$A33,Summary!$L$247:$L$283)+SUMIF(Summary!$A$297:$A$333,$A33,Summary!$L$297:$L$333))-AK33,0)</f>
        <v>0</v>
      </c>
      <c r="AM33" s="198"/>
      <c r="AN33" s="196">
        <f t="shared" ca="1" si="12"/>
        <v>0</v>
      </c>
      <c r="AO33" s="196">
        <f t="shared" ca="1" si="13"/>
        <v>0</v>
      </c>
    </row>
    <row r="34" spans="1:41">
      <c r="A34" s="189">
        <v>20</v>
      </c>
      <c r="B34" s="190">
        <v>2</v>
      </c>
      <c r="C34" s="191" t="s">
        <v>228</v>
      </c>
      <c r="D34" s="192">
        <f t="shared" si="0"/>
        <v>0</v>
      </c>
      <c r="E34" s="192">
        <f t="shared" si="1"/>
        <v>0</v>
      </c>
      <c r="F34" s="192">
        <f t="shared" si="2"/>
        <v>0</v>
      </c>
      <c r="G34" s="193">
        <f t="shared" si="3"/>
        <v>0</v>
      </c>
      <c r="H34" s="194">
        <v>0</v>
      </c>
      <c r="I34" s="194">
        <v>0</v>
      </c>
      <c r="J34" s="194">
        <v>0</v>
      </c>
      <c r="K34" s="193">
        <f t="shared" si="4"/>
        <v>0</v>
      </c>
      <c r="L34" s="194">
        <v>0</v>
      </c>
      <c r="M34" s="194">
        <v>0</v>
      </c>
      <c r="N34" s="194">
        <v>0</v>
      </c>
      <c r="O34" s="193">
        <f t="shared" si="5"/>
        <v>0</v>
      </c>
      <c r="P34" s="194">
        <v>0</v>
      </c>
      <c r="Q34" s="194">
        <v>0</v>
      </c>
      <c r="R34" s="194">
        <v>0</v>
      </c>
      <c r="S34" s="193">
        <f t="shared" si="6"/>
        <v>0</v>
      </c>
      <c r="T34" s="193">
        <f t="shared" si="7"/>
        <v>0</v>
      </c>
      <c r="U34" s="193">
        <f ca="1">OFFSET('Expenditure Study'!$B$7,'Operations Support'!$C34,'Operations Support'!$B34)*$G34</f>
        <v>0</v>
      </c>
      <c r="V34" s="199">
        <f ca="1">U34*'Expenditure Study'!$B$31</f>
        <v>0</v>
      </c>
      <c r="W34" s="199">
        <f ca="1">IF(A34=10298,1.51,1)*IF($B34&lt;3,$D34*'Expenditure Study'!$B$32*OFFSET('Expenditure Study'!$B$7,'Operations Support'!$C34,'Operations Support'!$B34),0)</f>
        <v>0</v>
      </c>
      <c r="X34" s="200">
        <f ca="1">W34*'Expenditure Study'!$B$31</f>
        <v>0</v>
      </c>
      <c r="Y34" s="199">
        <f ca="1">U34*'Expenditure Study'!$B$31</f>
        <v>0</v>
      </c>
      <c r="Z34" s="200">
        <f ca="1">W34*'Expenditure Study'!$B$31</f>
        <v>0</v>
      </c>
      <c r="AA34" s="195">
        <f t="shared" ca="1" si="8"/>
        <v>0</v>
      </c>
      <c r="AB34" s="195">
        <f t="shared" ca="1" si="9"/>
        <v>0</v>
      </c>
      <c r="AD34" s="196">
        <f>IFERROR($G34/SUMIF($A:$A,$A34,$G:$G)*SUMIF(Summary!$A$166:$A$242,$A34,Summary!$P$166:$P$242),0)</f>
        <v>0</v>
      </c>
      <c r="AE34" s="197">
        <f t="shared" ca="1" si="10"/>
        <v>0</v>
      </c>
      <c r="AF34" s="196">
        <f>IFERROR(G34/SUMIF(A:A,A34,G:G)*SUMIF(Summary!$A$166:$A$242,'Operations Support'!A34,Summary!$Q$166:$Q$242),0)</f>
        <v>0</v>
      </c>
      <c r="AG34" s="196">
        <f t="shared" ca="1" si="11"/>
        <v>0</v>
      </c>
      <c r="AI34" s="196">
        <f>IFERROR($G34/SUMIF($A:$A,$A34,$G:$G)*SUMIF(Summary!$A$247:$A$283,$A34,Summary!$P$247:$P$283),0)</f>
        <v>0</v>
      </c>
      <c r="AJ34" s="196">
        <f>IFERROR($G34/SUMIF($A:$A,$A34,$G:$G)*(SUMIF(Summary!$A$247:$A$283,$A34,Summary!$L$247:$L$283)+SUMIF(Summary!$A$297:$A$333,$A34,Summary!$L$297:$L$333))-AI34,0)</f>
        <v>0</v>
      </c>
      <c r="AK34" s="196">
        <f>IFERROR($G34/SUMIF($A:$A,$A34,$G:$G)*SUMIF(Summary!$A$247:$A$283,$A34,Summary!$Q$247:$Q$283),0)</f>
        <v>0</v>
      </c>
      <c r="AL34" s="196">
        <f>IFERROR($G34/SUMIF($A:$A,$A34,$G:$G)*(SUMIF(Summary!$A$247:$A$283,$A34,Summary!$L$247:$L$283)+SUMIF(Summary!$A$297:$A$333,$A34,Summary!$L$297:$L$333))-AK34,0)</f>
        <v>0</v>
      </c>
      <c r="AM34" s="198"/>
      <c r="AN34" s="196">
        <f t="shared" ca="1" si="12"/>
        <v>0</v>
      </c>
      <c r="AO34" s="196">
        <f t="shared" ca="1" si="13"/>
        <v>0</v>
      </c>
    </row>
    <row r="35" spans="1:41">
      <c r="A35" s="189">
        <v>20</v>
      </c>
      <c r="B35" s="190">
        <v>2</v>
      </c>
      <c r="C35" s="191" t="s">
        <v>229</v>
      </c>
      <c r="D35" s="192">
        <f t="shared" si="0"/>
        <v>0</v>
      </c>
      <c r="E35" s="192">
        <f t="shared" si="1"/>
        <v>0</v>
      </c>
      <c r="F35" s="192">
        <f t="shared" si="2"/>
        <v>0</v>
      </c>
      <c r="G35" s="193">
        <f t="shared" si="3"/>
        <v>0</v>
      </c>
      <c r="H35" s="194">
        <v>0</v>
      </c>
      <c r="I35" s="194">
        <v>0</v>
      </c>
      <c r="J35" s="194">
        <v>0</v>
      </c>
      <c r="K35" s="193">
        <f t="shared" si="4"/>
        <v>0</v>
      </c>
      <c r="L35" s="194">
        <v>0</v>
      </c>
      <c r="M35" s="194">
        <v>0</v>
      </c>
      <c r="N35" s="194">
        <v>0</v>
      </c>
      <c r="O35" s="193">
        <f t="shared" si="5"/>
        <v>0</v>
      </c>
      <c r="P35" s="194">
        <v>0</v>
      </c>
      <c r="Q35" s="194">
        <v>0</v>
      </c>
      <c r="R35" s="194">
        <v>0</v>
      </c>
      <c r="S35" s="193">
        <f t="shared" si="6"/>
        <v>0</v>
      </c>
      <c r="T35" s="193">
        <f t="shared" si="7"/>
        <v>0</v>
      </c>
      <c r="U35" s="193">
        <f ca="1">OFFSET('Expenditure Study'!$B$7,'Operations Support'!$C35,'Operations Support'!$B35)*$G35</f>
        <v>0</v>
      </c>
      <c r="V35" s="199">
        <f ca="1">U35*'Expenditure Study'!$B$31</f>
        <v>0</v>
      </c>
      <c r="W35" s="199">
        <f ca="1">IF(A35=10298,1.51,1)*IF($B35&lt;3,$D35*'Expenditure Study'!$B$32*OFFSET('Expenditure Study'!$B$7,'Operations Support'!$C35,'Operations Support'!$B35),0)</f>
        <v>0</v>
      </c>
      <c r="X35" s="200">
        <f ca="1">W35*'Expenditure Study'!$B$31</f>
        <v>0</v>
      </c>
      <c r="Y35" s="199">
        <f ca="1">U35*'Expenditure Study'!$B$31</f>
        <v>0</v>
      </c>
      <c r="Z35" s="200">
        <f ca="1">W35*'Expenditure Study'!$B$31</f>
        <v>0</v>
      </c>
      <c r="AA35" s="195">
        <f t="shared" ca="1" si="8"/>
        <v>0</v>
      </c>
      <c r="AB35" s="195">
        <f t="shared" ca="1" si="9"/>
        <v>0</v>
      </c>
      <c r="AD35" s="196">
        <f>IFERROR($G35/SUMIF($A:$A,$A35,$G:$G)*SUMIF(Summary!$A$166:$A$242,$A35,Summary!$P$166:$P$242),0)</f>
        <v>0</v>
      </c>
      <c r="AE35" s="197">
        <f t="shared" ca="1" si="10"/>
        <v>0</v>
      </c>
      <c r="AF35" s="196">
        <f>IFERROR(G35/SUMIF(A:A,A35,G:G)*SUMIF(Summary!$A$166:$A$242,'Operations Support'!A35,Summary!$Q$166:$Q$242),0)</f>
        <v>0</v>
      </c>
      <c r="AG35" s="196">
        <f t="shared" ca="1" si="11"/>
        <v>0</v>
      </c>
      <c r="AI35" s="196">
        <f>IFERROR($G35/SUMIF($A:$A,$A35,$G:$G)*SUMIF(Summary!$A$247:$A$283,$A35,Summary!$P$247:$P$283),0)</f>
        <v>0</v>
      </c>
      <c r="AJ35" s="196">
        <f>IFERROR($G35/SUMIF($A:$A,$A35,$G:$G)*(SUMIF(Summary!$A$247:$A$283,$A35,Summary!$L$247:$L$283)+SUMIF(Summary!$A$297:$A$333,$A35,Summary!$L$297:$L$333))-AI35,0)</f>
        <v>0</v>
      </c>
      <c r="AK35" s="196">
        <f>IFERROR($G35/SUMIF($A:$A,$A35,$G:$G)*SUMIF(Summary!$A$247:$A$283,$A35,Summary!$Q$247:$Q$283),0)</f>
        <v>0</v>
      </c>
      <c r="AL35" s="196">
        <f>IFERROR($G35/SUMIF($A:$A,$A35,$G:$G)*(SUMIF(Summary!$A$247:$A$283,$A35,Summary!$L$247:$L$283)+SUMIF(Summary!$A$297:$A$333,$A35,Summary!$L$297:$L$333))-AK35,0)</f>
        <v>0</v>
      </c>
      <c r="AM35" s="198"/>
      <c r="AN35" s="196">
        <f t="shared" ca="1" si="12"/>
        <v>0</v>
      </c>
      <c r="AO35" s="196">
        <f t="shared" ca="1" si="13"/>
        <v>0</v>
      </c>
    </row>
    <row r="36" spans="1:41">
      <c r="A36" s="189">
        <v>20</v>
      </c>
      <c r="B36" s="190">
        <v>2</v>
      </c>
      <c r="C36" s="191" t="s">
        <v>230</v>
      </c>
      <c r="D36" s="192">
        <f t="shared" si="0"/>
        <v>0</v>
      </c>
      <c r="E36" s="192">
        <f t="shared" si="1"/>
        <v>0</v>
      </c>
      <c r="F36" s="192">
        <f t="shared" si="2"/>
        <v>0</v>
      </c>
      <c r="G36" s="193">
        <f t="shared" si="3"/>
        <v>0</v>
      </c>
      <c r="H36" s="194">
        <v>0</v>
      </c>
      <c r="I36" s="194">
        <v>0</v>
      </c>
      <c r="J36" s="194">
        <v>0</v>
      </c>
      <c r="K36" s="193">
        <f t="shared" si="4"/>
        <v>0</v>
      </c>
      <c r="L36" s="194">
        <v>0</v>
      </c>
      <c r="M36" s="194">
        <v>0</v>
      </c>
      <c r="N36" s="194">
        <v>0</v>
      </c>
      <c r="O36" s="193">
        <f t="shared" si="5"/>
        <v>0</v>
      </c>
      <c r="P36" s="194">
        <v>0</v>
      </c>
      <c r="Q36" s="194">
        <v>0</v>
      </c>
      <c r="R36" s="194">
        <v>0</v>
      </c>
      <c r="S36" s="193">
        <f t="shared" si="6"/>
        <v>0</v>
      </c>
      <c r="T36" s="193">
        <f t="shared" si="7"/>
        <v>0</v>
      </c>
      <c r="U36" s="193">
        <f ca="1">OFFSET('Expenditure Study'!$B$7,'Operations Support'!$C36,'Operations Support'!$B36)*$G36</f>
        <v>0</v>
      </c>
      <c r="V36" s="199">
        <f ca="1">U36*'Expenditure Study'!$B$31</f>
        <v>0</v>
      </c>
      <c r="W36" s="199">
        <f ca="1">IF(A36=10298,1.51,1)*IF($B36&lt;3,$D36*'Expenditure Study'!$B$32*OFFSET('Expenditure Study'!$B$7,'Operations Support'!$C36,'Operations Support'!$B36),0)</f>
        <v>0</v>
      </c>
      <c r="X36" s="200">
        <f ca="1">W36*'Expenditure Study'!$B$31</f>
        <v>0</v>
      </c>
      <c r="Y36" s="199">
        <f ca="1">U36*'Expenditure Study'!$B$31</f>
        <v>0</v>
      </c>
      <c r="Z36" s="200">
        <f ca="1">W36*'Expenditure Study'!$B$31</f>
        <v>0</v>
      </c>
      <c r="AA36" s="195">
        <f t="shared" ca="1" si="8"/>
        <v>0</v>
      </c>
      <c r="AB36" s="195">
        <f t="shared" ca="1" si="9"/>
        <v>0</v>
      </c>
      <c r="AD36" s="196">
        <f>IFERROR($G36/SUMIF($A:$A,$A36,$G:$G)*SUMIF(Summary!$A$166:$A$242,$A36,Summary!$P$166:$P$242),0)</f>
        <v>0</v>
      </c>
      <c r="AE36" s="197">
        <f t="shared" ca="1" si="10"/>
        <v>0</v>
      </c>
      <c r="AF36" s="196">
        <f>IFERROR(G36/SUMIF(A:A,A36,G:G)*SUMIF(Summary!$A$166:$A$242,'Operations Support'!A36,Summary!$Q$166:$Q$242),0)</f>
        <v>0</v>
      </c>
      <c r="AG36" s="196">
        <f t="shared" ca="1" si="11"/>
        <v>0</v>
      </c>
      <c r="AI36" s="196">
        <f>IFERROR($G36/SUMIF($A:$A,$A36,$G:$G)*SUMIF(Summary!$A$247:$A$283,$A36,Summary!$P$247:$P$283),0)</f>
        <v>0</v>
      </c>
      <c r="AJ36" s="196">
        <f>IFERROR($G36/SUMIF($A:$A,$A36,$G:$G)*(SUMIF(Summary!$A$247:$A$283,$A36,Summary!$L$247:$L$283)+SUMIF(Summary!$A$297:$A$333,$A36,Summary!$L$297:$L$333))-AI36,0)</f>
        <v>0</v>
      </c>
      <c r="AK36" s="196">
        <f>IFERROR($G36/SUMIF($A:$A,$A36,$G:$G)*SUMIF(Summary!$A$247:$A$283,$A36,Summary!$Q$247:$Q$283),0)</f>
        <v>0</v>
      </c>
      <c r="AL36" s="196">
        <f>IFERROR($G36/SUMIF($A:$A,$A36,$G:$G)*(SUMIF(Summary!$A$247:$A$283,$A36,Summary!$L$247:$L$283)+SUMIF(Summary!$A$297:$A$333,$A36,Summary!$L$297:$L$333))-AK36,0)</f>
        <v>0</v>
      </c>
      <c r="AM36" s="198"/>
      <c r="AN36" s="196">
        <f t="shared" ca="1" si="12"/>
        <v>0</v>
      </c>
      <c r="AO36" s="196">
        <f t="shared" ca="1" si="13"/>
        <v>0</v>
      </c>
    </row>
    <row r="37" spans="1:41">
      <c r="A37" s="189">
        <v>20</v>
      </c>
      <c r="B37" s="190">
        <v>2</v>
      </c>
      <c r="C37" s="191" t="s">
        <v>231</v>
      </c>
      <c r="D37" s="192">
        <f t="shared" si="0"/>
        <v>0</v>
      </c>
      <c r="E37" s="192">
        <f t="shared" si="1"/>
        <v>0</v>
      </c>
      <c r="F37" s="192">
        <f t="shared" si="2"/>
        <v>0</v>
      </c>
      <c r="G37" s="193">
        <f t="shared" si="3"/>
        <v>0</v>
      </c>
      <c r="H37" s="194">
        <v>0</v>
      </c>
      <c r="I37" s="194">
        <v>0</v>
      </c>
      <c r="J37" s="194">
        <v>0</v>
      </c>
      <c r="K37" s="193">
        <f t="shared" si="4"/>
        <v>0</v>
      </c>
      <c r="L37" s="194">
        <v>0</v>
      </c>
      <c r="M37" s="194">
        <v>0</v>
      </c>
      <c r="N37" s="194">
        <v>0</v>
      </c>
      <c r="O37" s="193">
        <f t="shared" si="5"/>
        <v>0</v>
      </c>
      <c r="P37" s="194">
        <v>0</v>
      </c>
      <c r="Q37" s="194">
        <v>0</v>
      </c>
      <c r="R37" s="194">
        <v>0</v>
      </c>
      <c r="S37" s="193">
        <f t="shared" si="6"/>
        <v>0</v>
      </c>
      <c r="T37" s="193">
        <f t="shared" si="7"/>
        <v>0</v>
      </c>
      <c r="U37" s="193">
        <f ca="1">OFFSET('Expenditure Study'!$B$7,'Operations Support'!$C37,'Operations Support'!$B37)*$G37</f>
        <v>0</v>
      </c>
      <c r="V37" s="199">
        <f ca="1">U37*'Expenditure Study'!$B$31</f>
        <v>0</v>
      </c>
      <c r="W37" s="199">
        <f ca="1">IF(A37=10298,1.51,1)*IF($B37&lt;3,$D37*'Expenditure Study'!$B$32*OFFSET('Expenditure Study'!$B$7,'Operations Support'!$C37,'Operations Support'!$B37),0)</f>
        <v>0</v>
      </c>
      <c r="X37" s="200">
        <f ca="1">W37*'Expenditure Study'!$B$31</f>
        <v>0</v>
      </c>
      <c r="Y37" s="199">
        <f ca="1">U37*'Expenditure Study'!$B$31</f>
        <v>0</v>
      </c>
      <c r="Z37" s="200">
        <f ca="1">W37*'Expenditure Study'!$B$31</f>
        <v>0</v>
      </c>
      <c r="AA37" s="195">
        <f t="shared" ca="1" si="8"/>
        <v>0</v>
      </c>
      <c r="AB37" s="195">
        <f t="shared" ca="1" si="9"/>
        <v>0</v>
      </c>
      <c r="AD37" s="196">
        <f>IFERROR($G37/SUMIF($A:$A,$A37,$G:$G)*SUMIF(Summary!$A$166:$A$242,$A37,Summary!$P$166:$P$242),0)</f>
        <v>0</v>
      </c>
      <c r="AE37" s="197">
        <f t="shared" ca="1" si="10"/>
        <v>0</v>
      </c>
      <c r="AF37" s="196">
        <f>IFERROR(G37/SUMIF(A:A,A37,G:G)*SUMIF(Summary!$A$166:$A$242,'Operations Support'!A37,Summary!$Q$166:$Q$242),0)</f>
        <v>0</v>
      </c>
      <c r="AG37" s="196">
        <f t="shared" ca="1" si="11"/>
        <v>0</v>
      </c>
      <c r="AI37" s="196">
        <f>IFERROR($G37/SUMIF($A:$A,$A37,$G:$G)*SUMIF(Summary!$A$247:$A$283,$A37,Summary!$P$247:$P$283),0)</f>
        <v>0</v>
      </c>
      <c r="AJ37" s="196">
        <f>IFERROR($G37/SUMIF($A:$A,$A37,$G:$G)*(SUMIF(Summary!$A$247:$A$283,$A37,Summary!$L$247:$L$283)+SUMIF(Summary!$A$297:$A$333,$A37,Summary!$L$297:$L$333))-AI37,0)</f>
        <v>0</v>
      </c>
      <c r="AK37" s="196">
        <f>IFERROR($G37/SUMIF($A:$A,$A37,$G:$G)*SUMIF(Summary!$A$247:$A$283,$A37,Summary!$Q$247:$Q$283),0)</f>
        <v>0</v>
      </c>
      <c r="AL37" s="196">
        <f>IFERROR($G37/SUMIF($A:$A,$A37,$G:$G)*(SUMIF(Summary!$A$247:$A$283,$A37,Summary!$L$247:$L$283)+SUMIF(Summary!$A$297:$A$333,$A37,Summary!$L$297:$L$333))-AK37,0)</f>
        <v>0</v>
      </c>
      <c r="AM37" s="198"/>
      <c r="AN37" s="196">
        <f t="shared" ca="1" si="12"/>
        <v>0</v>
      </c>
      <c r="AO37" s="196">
        <f t="shared" ca="1" si="13"/>
        <v>0</v>
      </c>
    </row>
    <row r="38" spans="1:41">
      <c r="A38" s="189">
        <v>20</v>
      </c>
      <c r="B38" s="190">
        <v>2</v>
      </c>
      <c r="C38" s="191" t="s">
        <v>232</v>
      </c>
      <c r="D38" s="192">
        <f t="shared" si="0"/>
        <v>0</v>
      </c>
      <c r="E38" s="192">
        <f t="shared" si="1"/>
        <v>0</v>
      </c>
      <c r="F38" s="192">
        <f t="shared" si="2"/>
        <v>0</v>
      </c>
      <c r="G38" s="193">
        <f t="shared" si="3"/>
        <v>0</v>
      </c>
      <c r="H38" s="194">
        <v>0</v>
      </c>
      <c r="I38" s="194">
        <v>0</v>
      </c>
      <c r="J38" s="194">
        <v>0</v>
      </c>
      <c r="K38" s="193">
        <f t="shared" si="4"/>
        <v>0</v>
      </c>
      <c r="L38" s="194">
        <v>0</v>
      </c>
      <c r="M38" s="194">
        <v>0</v>
      </c>
      <c r="N38" s="194">
        <v>0</v>
      </c>
      <c r="O38" s="193">
        <f t="shared" si="5"/>
        <v>0</v>
      </c>
      <c r="P38" s="194">
        <v>0</v>
      </c>
      <c r="Q38" s="194">
        <v>0</v>
      </c>
      <c r="R38" s="194">
        <v>0</v>
      </c>
      <c r="S38" s="193">
        <f t="shared" si="6"/>
        <v>0</v>
      </c>
      <c r="T38" s="193">
        <f t="shared" si="7"/>
        <v>0</v>
      </c>
      <c r="U38" s="193">
        <f ca="1">OFFSET('Expenditure Study'!$B$7,'Operations Support'!$C38,'Operations Support'!$B38)*$G38</f>
        <v>0</v>
      </c>
      <c r="V38" s="199">
        <f ca="1">U38*'Expenditure Study'!$B$31</f>
        <v>0</v>
      </c>
      <c r="W38" s="199">
        <f ca="1">IF(A38=10298,1.51,1)*IF($B38&lt;3,$D38*'Expenditure Study'!$B$32*OFFSET('Expenditure Study'!$B$7,'Operations Support'!$C38,'Operations Support'!$B38),0)</f>
        <v>0</v>
      </c>
      <c r="X38" s="200">
        <f ca="1">W38*'Expenditure Study'!$B$31</f>
        <v>0</v>
      </c>
      <c r="Y38" s="199">
        <f ca="1">U38*'Expenditure Study'!$B$31</f>
        <v>0</v>
      </c>
      <c r="Z38" s="200">
        <f ca="1">W38*'Expenditure Study'!$B$31</f>
        <v>0</v>
      </c>
      <c r="AA38" s="195">
        <f t="shared" ca="1" si="8"/>
        <v>0</v>
      </c>
      <c r="AB38" s="195">
        <f t="shared" ca="1" si="9"/>
        <v>0</v>
      </c>
      <c r="AD38" s="196">
        <f>IFERROR($G38/SUMIF($A:$A,$A38,$G:$G)*SUMIF(Summary!$A$166:$A$242,$A38,Summary!$P$166:$P$242),0)</f>
        <v>0</v>
      </c>
      <c r="AE38" s="197">
        <f t="shared" ca="1" si="10"/>
        <v>0</v>
      </c>
      <c r="AF38" s="196">
        <f>IFERROR(G38/SUMIF(A:A,A38,G:G)*SUMIF(Summary!$A$166:$A$242,'Operations Support'!A38,Summary!$Q$166:$Q$242),0)</f>
        <v>0</v>
      </c>
      <c r="AG38" s="196">
        <f t="shared" ca="1" si="11"/>
        <v>0</v>
      </c>
      <c r="AI38" s="196">
        <f>IFERROR($G38/SUMIF($A:$A,$A38,$G:$G)*SUMIF(Summary!$A$247:$A$283,$A38,Summary!$P$247:$P$283),0)</f>
        <v>0</v>
      </c>
      <c r="AJ38" s="196">
        <f>IFERROR($G38/SUMIF($A:$A,$A38,$G:$G)*(SUMIF(Summary!$A$247:$A$283,$A38,Summary!$L$247:$L$283)+SUMIF(Summary!$A$297:$A$333,$A38,Summary!$L$297:$L$333))-AI38,0)</f>
        <v>0</v>
      </c>
      <c r="AK38" s="196">
        <f>IFERROR($G38/SUMIF($A:$A,$A38,$G:$G)*SUMIF(Summary!$A$247:$A$283,$A38,Summary!$Q$247:$Q$283),0)</f>
        <v>0</v>
      </c>
      <c r="AL38" s="196">
        <f>IFERROR($G38/SUMIF($A:$A,$A38,$G:$G)*(SUMIF(Summary!$A$247:$A$283,$A38,Summary!$L$247:$L$283)+SUMIF(Summary!$A$297:$A$333,$A38,Summary!$L$297:$L$333))-AK38,0)</f>
        <v>0</v>
      </c>
      <c r="AM38" s="198"/>
      <c r="AN38" s="196">
        <f t="shared" ca="1" si="12"/>
        <v>0</v>
      </c>
      <c r="AO38" s="196">
        <f t="shared" ca="1" si="13"/>
        <v>0</v>
      </c>
    </row>
    <row r="39" spans="1:41">
      <c r="A39" s="189">
        <v>20</v>
      </c>
      <c r="B39" s="190">
        <v>2</v>
      </c>
      <c r="C39" s="191" t="s">
        <v>233</v>
      </c>
      <c r="D39" s="192">
        <f t="shared" si="0"/>
        <v>0</v>
      </c>
      <c r="E39" s="192">
        <f t="shared" si="1"/>
        <v>0</v>
      </c>
      <c r="F39" s="192">
        <f t="shared" si="2"/>
        <v>0</v>
      </c>
      <c r="G39" s="193">
        <f t="shared" si="3"/>
        <v>0</v>
      </c>
      <c r="H39" s="194">
        <v>0</v>
      </c>
      <c r="I39" s="194">
        <v>0</v>
      </c>
      <c r="J39" s="194">
        <v>0</v>
      </c>
      <c r="K39" s="193">
        <f t="shared" si="4"/>
        <v>0</v>
      </c>
      <c r="L39" s="194">
        <v>0</v>
      </c>
      <c r="M39" s="194">
        <v>0</v>
      </c>
      <c r="N39" s="194">
        <v>0</v>
      </c>
      <c r="O39" s="193">
        <f t="shared" si="5"/>
        <v>0</v>
      </c>
      <c r="P39" s="194">
        <v>0</v>
      </c>
      <c r="Q39" s="194">
        <v>0</v>
      </c>
      <c r="R39" s="194">
        <v>0</v>
      </c>
      <c r="S39" s="193">
        <f t="shared" si="6"/>
        <v>0</v>
      </c>
      <c r="T39" s="193">
        <f t="shared" si="7"/>
        <v>0</v>
      </c>
      <c r="U39" s="193">
        <f ca="1">OFFSET('Expenditure Study'!$B$7,'Operations Support'!$C39,'Operations Support'!$B39)*$G39</f>
        <v>0</v>
      </c>
      <c r="V39" s="199">
        <f ca="1">U39*'Expenditure Study'!$B$31</f>
        <v>0</v>
      </c>
      <c r="W39" s="199">
        <f ca="1">IF(A39=10298,1.51,1)*IF($B39&lt;3,$D39*'Expenditure Study'!$B$32*OFFSET('Expenditure Study'!$B$7,'Operations Support'!$C39,'Operations Support'!$B39),0)</f>
        <v>0</v>
      </c>
      <c r="X39" s="200">
        <f ca="1">W39*'Expenditure Study'!$B$31</f>
        <v>0</v>
      </c>
      <c r="Y39" s="199">
        <f ca="1">U39*'Expenditure Study'!$B$31</f>
        <v>0</v>
      </c>
      <c r="Z39" s="200">
        <f ca="1">W39*'Expenditure Study'!$B$31</f>
        <v>0</v>
      </c>
      <c r="AA39" s="195">
        <f t="shared" ca="1" si="8"/>
        <v>0</v>
      </c>
      <c r="AB39" s="195">
        <f t="shared" ca="1" si="9"/>
        <v>0</v>
      </c>
      <c r="AD39" s="196">
        <f>IFERROR($G39/SUMIF($A:$A,$A39,$G:$G)*SUMIF(Summary!$A$166:$A$242,$A39,Summary!$P$166:$P$242),0)</f>
        <v>0</v>
      </c>
      <c r="AE39" s="197">
        <f t="shared" ca="1" si="10"/>
        <v>0</v>
      </c>
      <c r="AF39" s="196">
        <f>IFERROR(G39/SUMIF(A:A,A39,G:G)*SUMIF(Summary!$A$166:$A$242,'Operations Support'!A39,Summary!$Q$166:$Q$242),0)</f>
        <v>0</v>
      </c>
      <c r="AG39" s="196">
        <f t="shared" ca="1" si="11"/>
        <v>0</v>
      </c>
      <c r="AI39" s="196">
        <f>IFERROR($G39/SUMIF($A:$A,$A39,$G:$G)*SUMIF(Summary!$A$247:$A$283,$A39,Summary!$P$247:$P$283),0)</f>
        <v>0</v>
      </c>
      <c r="AJ39" s="196">
        <f>IFERROR($G39/SUMIF($A:$A,$A39,$G:$G)*(SUMIF(Summary!$A$247:$A$283,$A39,Summary!$L$247:$L$283)+SUMIF(Summary!$A$297:$A$333,$A39,Summary!$L$297:$L$333))-AI39,0)</f>
        <v>0</v>
      </c>
      <c r="AK39" s="196">
        <f>IFERROR($G39/SUMIF($A:$A,$A39,$G:$G)*SUMIF(Summary!$A$247:$A$283,$A39,Summary!$Q$247:$Q$283),0)</f>
        <v>0</v>
      </c>
      <c r="AL39" s="196">
        <f>IFERROR($G39/SUMIF($A:$A,$A39,$G:$G)*(SUMIF(Summary!$A$247:$A$283,$A39,Summary!$L$247:$L$283)+SUMIF(Summary!$A$297:$A$333,$A39,Summary!$L$297:$L$333))-AK39,0)</f>
        <v>0</v>
      </c>
      <c r="AM39" s="198"/>
      <c r="AN39" s="196">
        <f t="shared" ca="1" si="12"/>
        <v>0</v>
      </c>
      <c r="AO39" s="196">
        <f t="shared" ca="1" si="13"/>
        <v>0</v>
      </c>
    </row>
    <row r="40" spans="1:41">
      <c r="A40" s="189">
        <v>20</v>
      </c>
      <c r="B40" s="190">
        <v>2</v>
      </c>
      <c r="C40" s="191" t="s">
        <v>234</v>
      </c>
      <c r="D40" s="192">
        <f t="shared" si="0"/>
        <v>0</v>
      </c>
      <c r="E40" s="192">
        <f t="shared" si="1"/>
        <v>0</v>
      </c>
      <c r="F40" s="192">
        <f t="shared" si="2"/>
        <v>0</v>
      </c>
      <c r="G40" s="193">
        <f t="shared" si="3"/>
        <v>0</v>
      </c>
      <c r="H40" s="194">
        <v>0</v>
      </c>
      <c r="I40" s="194">
        <v>0</v>
      </c>
      <c r="J40" s="194">
        <v>0</v>
      </c>
      <c r="K40" s="193">
        <f t="shared" si="4"/>
        <v>0</v>
      </c>
      <c r="L40" s="194">
        <v>0</v>
      </c>
      <c r="M40" s="194">
        <v>0</v>
      </c>
      <c r="N40" s="194">
        <v>0</v>
      </c>
      <c r="O40" s="193">
        <f t="shared" si="5"/>
        <v>0</v>
      </c>
      <c r="P40" s="194">
        <v>0</v>
      </c>
      <c r="Q40" s="194">
        <v>0</v>
      </c>
      <c r="R40" s="194">
        <v>0</v>
      </c>
      <c r="S40" s="193">
        <f t="shared" si="6"/>
        <v>0</v>
      </c>
      <c r="T40" s="193">
        <f t="shared" si="7"/>
        <v>0</v>
      </c>
      <c r="U40" s="193">
        <f ca="1">OFFSET('Expenditure Study'!$B$7,'Operations Support'!$C40,'Operations Support'!$B40)*$G40</f>
        <v>0</v>
      </c>
      <c r="V40" s="199">
        <f ca="1">U40*'Expenditure Study'!$B$31</f>
        <v>0</v>
      </c>
      <c r="W40" s="199">
        <f ca="1">IF(A40=10298,1.51,1)*IF($B40&lt;3,$D40*'Expenditure Study'!$B$32*OFFSET('Expenditure Study'!$B$7,'Operations Support'!$C40,'Operations Support'!$B40),0)</f>
        <v>0</v>
      </c>
      <c r="X40" s="200">
        <f ca="1">W40*'Expenditure Study'!$B$31</f>
        <v>0</v>
      </c>
      <c r="Y40" s="199">
        <f ca="1">U40*'Expenditure Study'!$B$31</f>
        <v>0</v>
      </c>
      <c r="Z40" s="200">
        <f ca="1">W40*'Expenditure Study'!$B$31</f>
        <v>0</v>
      </c>
      <c r="AA40" s="195">
        <f t="shared" ca="1" si="8"/>
        <v>0</v>
      </c>
      <c r="AB40" s="195">
        <f t="shared" ca="1" si="9"/>
        <v>0</v>
      </c>
      <c r="AD40" s="196">
        <f>IFERROR($G40/SUMIF($A:$A,$A40,$G:$G)*SUMIF(Summary!$A$166:$A$242,$A40,Summary!$P$166:$P$242),0)</f>
        <v>0</v>
      </c>
      <c r="AE40" s="197">
        <f t="shared" ca="1" si="10"/>
        <v>0</v>
      </c>
      <c r="AF40" s="196">
        <f>IFERROR(G40/SUMIF(A:A,A40,G:G)*SUMIF(Summary!$A$166:$A$242,'Operations Support'!A40,Summary!$Q$166:$Q$242),0)</f>
        <v>0</v>
      </c>
      <c r="AG40" s="196">
        <f t="shared" ca="1" si="11"/>
        <v>0</v>
      </c>
      <c r="AI40" s="196">
        <f>IFERROR($G40/SUMIF($A:$A,$A40,$G:$G)*SUMIF(Summary!$A$247:$A$283,$A40,Summary!$P$247:$P$283),0)</f>
        <v>0</v>
      </c>
      <c r="AJ40" s="196">
        <f>IFERROR($G40/SUMIF($A:$A,$A40,$G:$G)*(SUMIF(Summary!$A$247:$A$283,$A40,Summary!$L$247:$L$283)+SUMIF(Summary!$A$297:$A$333,$A40,Summary!$L$297:$L$333))-AI40,0)</f>
        <v>0</v>
      </c>
      <c r="AK40" s="196">
        <f>IFERROR($G40/SUMIF($A:$A,$A40,$G:$G)*SUMIF(Summary!$A$247:$A$283,$A40,Summary!$Q$247:$Q$283),0)</f>
        <v>0</v>
      </c>
      <c r="AL40" s="196">
        <f>IFERROR($G40/SUMIF($A:$A,$A40,$G:$G)*(SUMIF(Summary!$A$247:$A$283,$A40,Summary!$L$247:$L$283)+SUMIF(Summary!$A$297:$A$333,$A40,Summary!$L$297:$L$333))-AK40,0)</f>
        <v>0</v>
      </c>
      <c r="AM40" s="198"/>
      <c r="AN40" s="196">
        <f t="shared" ca="1" si="12"/>
        <v>0</v>
      </c>
      <c r="AO40" s="196">
        <f t="shared" ca="1" si="13"/>
        <v>0</v>
      </c>
    </row>
    <row r="41" spans="1:41">
      <c r="A41" s="189">
        <v>20</v>
      </c>
      <c r="B41" s="190">
        <v>2</v>
      </c>
      <c r="C41" s="191" t="s">
        <v>235</v>
      </c>
      <c r="D41" s="192">
        <f t="shared" si="0"/>
        <v>1848</v>
      </c>
      <c r="E41" s="192">
        <f t="shared" si="1"/>
        <v>480</v>
      </c>
      <c r="F41" s="192">
        <f t="shared" si="2"/>
        <v>0</v>
      </c>
      <c r="G41" s="193">
        <f t="shared" si="3"/>
        <v>2328</v>
      </c>
      <c r="H41" s="194">
        <v>819</v>
      </c>
      <c r="I41" s="194">
        <v>162</v>
      </c>
      <c r="J41" s="194">
        <v>0</v>
      </c>
      <c r="K41" s="193">
        <f t="shared" si="4"/>
        <v>981</v>
      </c>
      <c r="L41" s="194">
        <v>606</v>
      </c>
      <c r="M41" s="194">
        <v>318</v>
      </c>
      <c r="N41" s="194">
        <v>0</v>
      </c>
      <c r="O41" s="193">
        <f t="shared" si="5"/>
        <v>924</v>
      </c>
      <c r="P41" s="194">
        <v>423</v>
      </c>
      <c r="Q41" s="194">
        <v>0</v>
      </c>
      <c r="R41" s="194">
        <v>0</v>
      </c>
      <c r="S41" s="193">
        <f t="shared" si="6"/>
        <v>423</v>
      </c>
      <c r="T41" s="193">
        <f t="shared" si="7"/>
        <v>77.599999999999994</v>
      </c>
      <c r="U41" s="193">
        <f ca="1">OFFSET('Expenditure Study'!$B$7,'Operations Support'!$C41,'Operations Support'!$B41)*$G41</f>
        <v>4353.3600000000006</v>
      </c>
      <c r="V41" s="199">
        <f ca="1">U41*'Expenditure Study'!$B$31</f>
        <v>257210.35596748805</v>
      </c>
      <c r="W41" s="199">
        <f ca="1">IF(A41=10298,1.51,1)*IF($B41&lt;3,$D41*'Expenditure Study'!$B$32*OFFSET('Expenditure Study'!$B$7,'Operations Support'!$C41,'Operations Support'!$B41),0)</f>
        <v>345.57600000000002</v>
      </c>
      <c r="X41" s="200">
        <f ca="1">W41*'Expenditure Study'!$B$31</f>
        <v>20417.729288140803</v>
      </c>
      <c r="Y41" s="199">
        <f ca="1">U41*'Expenditure Study'!$B$31</f>
        <v>257210.35596748805</v>
      </c>
      <c r="Z41" s="200">
        <f ca="1">W41*'Expenditure Study'!$B$31</f>
        <v>20417.729288140803</v>
      </c>
      <c r="AA41" s="195">
        <f t="shared" ca="1" si="8"/>
        <v>277628.08525562886</v>
      </c>
      <c r="AB41" s="195">
        <f t="shared" ca="1" si="9"/>
        <v>277628.08525562886</v>
      </c>
      <c r="AD41" s="196">
        <f>IFERROR($G41/SUMIF($A:$A,$A41,$G:$G)*SUMIF(Summary!$A$166:$A$242,$A41,Summary!$P$166:$P$242),0)</f>
        <v>70412.631844683972</v>
      </c>
      <c r="AE41" s="197">
        <f t="shared" ca="1" si="10"/>
        <v>207215.4534109449</v>
      </c>
      <c r="AF41" s="196">
        <f>IFERROR(G41/SUMIF(A:A,A41,G:G)*SUMIF(Summary!$A$166:$A$242,'Operations Support'!A41,Summary!$Q$166:$Q$242),0)</f>
        <v>70415.479185823759</v>
      </c>
      <c r="AG41" s="196">
        <f t="shared" ca="1" si="11"/>
        <v>207212.6060698051</v>
      </c>
      <c r="AI41" s="196">
        <f>IFERROR($G41/SUMIF($A:$A,$A41,$G:$G)*SUMIF(Summary!$A$247:$A$283,$A41,Summary!$P$247:$P$283),0)</f>
        <v>12841.506920829323</v>
      </c>
      <c r="AJ41" s="196">
        <f>IFERROR($G41/SUMIF($A:$A,$A41,$G:$G)*(SUMIF(Summary!$A$247:$A$283,$A41,Summary!$L$247:$L$283)+SUMIF(Summary!$A$297:$A$333,$A41,Summary!$L$297:$L$333))-AI41,0)</f>
        <v>312261.26197509549</v>
      </c>
      <c r="AK41" s="196">
        <f>IFERROR($G41/SUMIF($A:$A,$A41,$G:$G)*SUMIF(Summary!$A$247:$A$283,$A41,Summary!$Q$247:$Q$283),0)</f>
        <v>12842.026204798614</v>
      </c>
      <c r="AL41" s="196">
        <f>IFERROR($G41/SUMIF($A:$A,$A41,$G:$G)*(SUMIF(Summary!$A$247:$A$283,$A41,Summary!$L$247:$L$283)+SUMIF(Summary!$A$297:$A$333,$A41,Summary!$L$297:$L$333))-AK41,0)</f>
        <v>312260.74269112619</v>
      </c>
      <c r="AM41" s="198"/>
      <c r="AN41" s="196">
        <f t="shared" ca="1" si="12"/>
        <v>519476.71538604039</v>
      </c>
      <c r="AO41" s="196">
        <f t="shared" ca="1" si="13"/>
        <v>519473.34876093129</v>
      </c>
    </row>
    <row r="42" spans="1:41">
      <c r="A42" s="189">
        <v>20</v>
      </c>
      <c r="B42" s="190">
        <v>2</v>
      </c>
      <c r="C42" s="191" t="s">
        <v>236</v>
      </c>
      <c r="D42" s="192">
        <f t="shared" si="0"/>
        <v>0</v>
      </c>
      <c r="E42" s="192">
        <f t="shared" si="1"/>
        <v>0</v>
      </c>
      <c r="F42" s="192">
        <f t="shared" si="2"/>
        <v>0</v>
      </c>
      <c r="G42" s="193">
        <f t="shared" si="3"/>
        <v>0</v>
      </c>
      <c r="H42" s="194">
        <v>0</v>
      </c>
      <c r="I42" s="194">
        <v>0</v>
      </c>
      <c r="J42" s="194">
        <v>0</v>
      </c>
      <c r="K42" s="193">
        <f t="shared" si="4"/>
        <v>0</v>
      </c>
      <c r="L42" s="194">
        <v>0</v>
      </c>
      <c r="M42" s="194">
        <v>0</v>
      </c>
      <c r="N42" s="194">
        <v>0</v>
      </c>
      <c r="O42" s="193">
        <f t="shared" si="5"/>
        <v>0</v>
      </c>
      <c r="P42" s="194">
        <v>0</v>
      </c>
      <c r="Q42" s="194">
        <v>0</v>
      </c>
      <c r="R42" s="194">
        <v>0</v>
      </c>
      <c r="S42" s="193">
        <f t="shared" si="6"/>
        <v>0</v>
      </c>
      <c r="T42" s="193">
        <f t="shared" si="7"/>
        <v>0</v>
      </c>
      <c r="U42" s="193">
        <f ca="1">OFFSET('Expenditure Study'!$B$7,'Operations Support'!$C42,'Operations Support'!$B42)*$G42</f>
        <v>0</v>
      </c>
      <c r="V42" s="199">
        <f ca="1">U42*'Expenditure Study'!$B$31</f>
        <v>0</v>
      </c>
      <c r="W42" s="199">
        <f ca="1">IF(A42=10298,1.51,1)*IF($B42&lt;3,$D42*'Expenditure Study'!$B$32*OFFSET('Expenditure Study'!$B$7,'Operations Support'!$C42,'Operations Support'!$B42),0)</f>
        <v>0</v>
      </c>
      <c r="X42" s="200">
        <f ca="1">W42*'Expenditure Study'!$B$31</f>
        <v>0</v>
      </c>
      <c r="Y42" s="199">
        <f ca="1">U42*'Expenditure Study'!$B$31</f>
        <v>0</v>
      </c>
      <c r="Z42" s="200">
        <f ca="1">W42*'Expenditure Study'!$B$31</f>
        <v>0</v>
      </c>
      <c r="AA42" s="195">
        <f t="shared" ca="1" si="8"/>
        <v>0</v>
      </c>
      <c r="AB42" s="195">
        <f t="shared" ca="1" si="9"/>
        <v>0</v>
      </c>
      <c r="AD42" s="196">
        <f>IFERROR($G42/SUMIF($A:$A,$A42,$G:$G)*SUMIF(Summary!$A$166:$A$242,$A42,Summary!$P$166:$P$242),0)</f>
        <v>0</v>
      </c>
      <c r="AE42" s="197">
        <f t="shared" ca="1" si="10"/>
        <v>0</v>
      </c>
      <c r="AF42" s="196">
        <f>IFERROR(G42/SUMIF(A:A,A42,G:G)*SUMIF(Summary!$A$166:$A$242,'Operations Support'!A42,Summary!$Q$166:$Q$242),0)</f>
        <v>0</v>
      </c>
      <c r="AG42" s="196">
        <f t="shared" ca="1" si="11"/>
        <v>0</v>
      </c>
      <c r="AI42" s="196">
        <f>IFERROR($G42/SUMIF($A:$A,$A42,$G:$G)*SUMIF(Summary!$A$247:$A$283,$A42,Summary!$P$247:$P$283),0)</f>
        <v>0</v>
      </c>
      <c r="AJ42" s="196">
        <f>IFERROR($G42/SUMIF($A:$A,$A42,$G:$G)*(SUMIF(Summary!$A$247:$A$283,$A42,Summary!$L$247:$L$283)+SUMIF(Summary!$A$297:$A$333,$A42,Summary!$L$297:$L$333))-AI42,0)</f>
        <v>0</v>
      </c>
      <c r="AK42" s="196">
        <f>IFERROR($G42/SUMIF($A:$A,$A42,$G:$G)*SUMIF(Summary!$A$247:$A$283,$A42,Summary!$Q$247:$Q$283),0)</f>
        <v>0</v>
      </c>
      <c r="AL42" s="196">
        <f>IFERROR($G42/SUMIF($A:$A,$A42,$G:$G)*(SUMIF(Summary!$A$247:$A$283,$A42,Summary!$L$247:$L$283)+SUMIF(Summary!$A$297:$A$333,$A42,Summary!$L$297:$L$333))-AK42,0)</f>
        <v>0</v>
      </c>
      <c r="AM42" s="198"/>
      <c r="AN42" s="196">
        <f t="shared" ca="1" si="12"/>
        <v>0</v>
      </c>
      <c r="AO42" s="196">
        <f t="shared" ca="1" si="13"/>
        <v>0</v>
      </c>
    </row>
    <row r="43" spans="1:41">
      <c r="A43" s="189">
        <v>20</v>
      </c>
      <c r="B43" s="190">
        <v>2</v>
      </c>
      <c r="C43" s="191" t="s">
        <v>237</v>
      </c>
      <c r="D43" s="192">
        <f t="shared" si="0"/>
        <v>183</v>
      </c>
      <c r="E43" s="192">
        <f t="shared" si="1"/>
        <v>18</v>
      </c>
      <c r="F43" s="192">
        <f t="shared" si="2"/>
        <v>0</v>
      </c>
      <c r="G43" s="193">
        <f t="shared" si="3"/>
        <v>201</v>
      </c>
      <c r="H43" s="194">
        <v>105</v>
      </c>
      <c r="I43" s="194">
        <v>0</v>
      </c>
      <c r="J43" s="194">
        <v>0</v>
      </c>
      <c r="K43" s="193">
        <f t="shared" si="4"/>
        <v>105</v>
      </c>
      <c r="L43" s="194">
        <v>78</v>
      </c>
      <c r="M43" s="194">
        <v>18</v>
      </c>
      <c r="N43" s="194">
        <v>0</v>
      </c>
      <c r="O43" s="193">
        <f t="shared" si="5"/>
        <v>96</v>
      </c>
      <c r="P43" s="194">
        <v>0</v>
      </c>
      <c r="Q43" s="194">
        <v>0</v>
      </c>
      <c r="R43" s="194">
        <v>0</v>
      </c>
      <c r="S43" s="193">
        <f t="shared" si="6"/>
        <v>0</v>
      </c>
      <c r="T43" s="193">
        <f t="shared" si="7"/>
        <v>6.7</v>
      </c>
      <c r="U43" s="193">
        <f ca="1">OFFSET('Expenditure Study'!$B$7,'Operations Support'!$C43,'Operations Support'!$B43)*$G43</f>
        <v>470.34</v>
      </c>
      <c r="V43" s="199">
        <f ca="1">U43*'Expenditure Study'!$B$31</f>
        <v>27789.183257471999</v>
      </c>
      <c r="W43" s="199">
        <f ca="1">IF(A43=10298,1.51,1)*IF($B43&lt;3,$D43*'Expenditure Study'!$B$32*OFFSET('Expenditure Study'!$B$7,'Operations Support'!$C43,'Operations Support'!$B43),0)</f>
        <v>42.821999999999996</v>
      </c>
      <c r="X43" s="200">
        <f ca="1">W43*'Expenditure Study'!$B$31</f>
        <v>2530.0599682175998</v>
      </c>
      <c r="Y43" s="199">
        <f ca="1">U43*'Expenditure Study'!$B$31</f>
        <v>27789.183257471999</v>
      </c>
      <c r="Z43" s="200">
        <f ca="1">W43*'Expenditure Study'!$B$31</f>
        <v>2530.0599682175998</v>
      </c>
      <c r="AA43" s="195">
        <f t="shared" ca="1" si="8"/>
        <v>30319.243225689599</v>
      </c>
      <c r="AB43" s="195">
        <f t="shared" ca="1" si="9"/>
        <v>30319.243225689599</v>
      </c>
      <c r="AD43" s="196">
        <f>IFERROR($G43/SUMIF($A:$A,$A43,$G:$G)*SUMIF(Summary!$A$166:$A$242,$A43,Summary!$P$166:$P$242),0)</f>
        <v>6079.4411515384363</v>
      </c>
      <c r="AE43" s="197">
        <f t="shared" ca="1" si="10"/>
        <v>24239.802074151165</v>
      </c>
      <c r="AF43" s="196">
        <f>IFERROR(G43/SUMIF(A:A,A43,G:G)*SUMIF(Summary!$A$166:$A$242,'Operations Support'!A43,Summary!$Q$166:$Q$242),0)</f>
        <v>6079.6869915595253</v>
      </c>
      <c r="AG43" s="196">
        <f t="shared" ca="1" si="11"/>
        <v>24239.556234130076</v>
      </c>
      <c r="AI43" s="196">
        <f>IFERROR($G43/SUMIF($A:$A,$A43,$G:$G)*SUMIF(Summary!$A$247:$A$283,$A43,Summary!$P$247:$P$283),0)</f>
        <v>1108.7383552777897</v>
      </c>
      <c r="AJ43" s="196">
        <f>IFERROR($G43/SUMIF($A:$A,$A43,$G:$G)*(SUMIF(Summary!$A$247:$A$283,$A43,Summary!$L$247:$L$283)+SUMIF(Summary!$A$297:$A$333,$A43,Summary!$L$297:$L$333))-AI43,0)</f>
        <v>26960.701742695102</v>
      </c>
      <c r="AK43" s="196">
        <f>IFERROR($G43/SUMIF($A:$A,$A43,$G:$G)*SUMIF(Summary!$A$247:$A$283,$A43,Summary!$Q$247:$Q$283),0)</f>
        <v>1108.7831903627671</v>
      </c>
      <c r="AL43" s="196">
        <f>IFERROR($G43/SUMIF($A:$A,$A43,$G:$G)*(SUMIF(Summary!$A$247:$A$283,$A43,Summary!$L$247:$L$283)+SUMIF(Summary!$A$297:$A$333,$A43,Summary!$L$297:$L$333))-AK43,0)</f>
        <v>26960.656907610126</v>
      </c>
      <c r="AM43" s="198"/>
      <c r="AN43" s="196">
        <f t="shared" ca="1" si="12"/>
        <v>51200.503816846263</v>
      </c>
      <c r="AO43" s="196">
        <f t="shared" ca="1" si="13"/>
        <v>51200.213141740198</v>
      </c>
    </row>
    <row r="44" spans="1:41">
      <c r="A44" s="189">
        <v>20</v>
      </c>
      <c r="B44" s="190">
        <v>2</v>
      </c>
      <c r="C44" s="191" t="s">
        <v>238</v>
      </c>
      <c r="D44" s="192">
        <f t="shared" si="0"/>
        <v>69</v>
      </c>
      <c r="E44" s="192">
        <f t="shared" si="1"/>
        <v>6</v>
      </c>
      <c r="F44" s="192">
        <f t="shared" si="2"/>
        <v>0</v>
      </c>
      <c r="G44" s="193">
        <f t="shared" si="3"/>
        <v>75</v>
      </c>
      <c r="H44" s="194">
        <v>30</v>
      </c>
      <c r="I44" s="194">
        <v>6</v>
      </c>
      <c r="J44" s="194">
        <v>0</v>
      </c>
      <c r="K44" s="193">
        <f t="shared" si="4"/>
        <v>36</v>
      </c>
      <c r="L44" s="194">
        <v>39</v>
      </c>
      <c r="M44" s="194">
        <v>0</v>
      </c>
      <c r="N44" s="194">
        <v>0</v>
      </c>
      <c r="O44" s="193">
        <f t="shared" si="5"/>
        <v>39</v>
      </c>
      <c r="P44" s="194">
        <v>0</v>
      </c>
      <c r="Q44" s="194">
        <v>0</v>
      </c>
      <c r="R44" s="194">
        <v>0</v>
      </c>
      <c r="S44" s="193">
        <f t="shared" si="6"/>
        <v>0</v>
      </c>
      <c r="T44" s="193">
        <f t="shared" si="7"/>
        <v>2.5</v>
      </c>
      <c r="U44" s="193">
        <f ca="1">OFFSET('Expenditure Study'!$B$7,'Operations Support'!$C44,'Operations Support'!$B44)*$G44</f>
        <v>180</v>
      </c>
      <c r="V44" s="199">
        <f ca="1">U44*'Expenditure Study'!$B$31</f>
        <v>10634.972544</v>
      </c>
      <c r="W44" s="199">
        <f ca="1">IF(A44=10298,1.51,1)*IF($B44&lt;3,$D44*'Expenditure Study'!$B$32*OFFSET('Expenditure Study'!$B$7,'Operations Support'!$C44,'Operations Support'!$B44),0)</f>
        <v>16.559999999999999</v>
      </c>
      <c r="X44" s="200">
        <f ca="1">W44*'Expenditure Study'!$B$31</f>
        <v>978.41747404799992</v>
      </c>
      <c r="Y44" s="199">
        <f ca="1">U44*'Expenditure Study'!$B$31</f>
        <v>10634.972544</v>
      </c>
      <c r="Z44" s="200">
        <f ca="1">W44*'Expenditure Study'!$B$31</f>
        <v>978.41747404799992</v>
      </c>
      <c r="AA44" s="195">
        <f t="shared" ca="1" si="8"/>
        <v>11613.390018048</v>
      </c>
      <c r="AB44" s="195">
        <f t="shared" ca="1" si="9"/>
        <v>11613.390018048</v>
      </c>
      <c r="AD44" s="196">
        <f>IFERROR($G44/SUMIF($A:$A,$A44,$G:$G)*SUMIF(Summary!$A$166:$A$242,$A44,Summary!$P$166:$P$242),0)</f>
        <v>2268.4481908725506</v>
      </c>
      <c r="AE44" s="197">
        <f t="shared" ca="1" si="10"/>
        <v>9344.9418271754494</v>
      </c>
      <c r="AF44" s="196">
        <f>IFERROR(G44/SUMIF(A:A,A44,G:G)*SUMIF(Summary!$A$166:$A$242,'Operations Support'!A44,Summary!$Q$166:$Q$242),0)</f>
        <v>2268.5399222237033</v>
      </c>
      <c r="AG44" s="196">
        <f t="shared" ca="1" si="11"/>
        <v>9344.8500958242967</v>
      </c>
      <c r="AI44" s="196">
        <f>IFERROR($G44/SUMIF($A:$A,$A44,$G:$G)*SUMIF(Summary!$A$247:$A$283,$A44,Summary!$P$247:$P$283),0)</f>
        <v>413.70834152156323</v>
      </c>
      <c r="AJ44" s="196">
        <f>IFERROR($G44/SUMIF($A:$A,$A44,$G:$G)*(SUMIF(Summary!$A$247:$A$283,$A44,Summary!$L$247:$L$283)+SUMIF(Summary!$A$297:$A$333,$A44,Summary!$L$297:$L$333))-AI44,0)</f>
        <v>10059.963336826529</v>
      </c>
      <c r="AK44" s="196">
        <f>IFERROR($G44/SUMIF($A:$A,$A44,$G:$G)*SUMIF(Summary!$A$247:$A$283,$A44,Summary!$Q$247:$Q$283),0)</f>
        <v>413.72507103088321</v>
      </c>
      <c r="AL44" s="196">
        <f>IFERROR($G44/SUMIF($A:$A,$A44,$G:$G)*(SUMIF(Summary!$A$247:$A$283,$A44,Summary!$L$247:$L$283)+SUMIF(Summary!$A$297:$A$333,$A44,Summary!$L$297:$L$333))-AK44,0)</f>
        <v>10059.94660731721</v>
      </c>
      <c r="AM44" s="198"/>
      <c r="AN44" s="196">
        <f t="shared" ca="1" si="12"/>
        <v>19404.905164001979</v>
      </c>
      <c r="AO44" s="196">
        <f t="shared" ca="1" si="13"/>
        <v>19404.796703141506</v>
      </c>
    </row>
    <row r="45" spans="1:41">
      <c r="A45" s="189">
        <v>20</v>
      </c>
      <c r="B45" s="190">
        <v>2</v>
      </c>
      <c r="C45" s="191" t="s">
        <v>239</v>
      </c>
      <c r="D45" s="192">
        <f t="shared" si="0"/>
        <v>0</v>
      </c>
      <c r="E45" s="192">
        <f t="shared" si="1"/>
        <v>0</v>
      </c>
      <c r="F45" s="192">
        <f t="shared" si="2"/>
        <v>0</v>
      </c>
      <c r="G45" s="193">
        <f t="shared" si="3"/>
        <v>0</v>
      </c>
      <c r="H45" s="194">
        <v>0</v>
      </c>
      <c r="I45" s="194">
        <v>0</v>
      </c>
      <c r="J45" s="194">
        <v>0</v>
      </c>
      <c r="K45" s="193">
        <f t="shared" si="4"/>
        <v>0</v>
      </c>
      <c r="L45" s="194">
        <v>0</v>
      </c>
      <c r="M45" s="194">
        <v>0</v>
      </c>
      <c r="N45" s="194">
        <v>0</v>
      </c>
      <c r="O45" s="193">
        <f t="shared" si="5"/>
        <v>0</v>
      </c>
      <c r="P45" s="194">
        <v>0</v>
      </c>
      <c r="Q45" s="194">
        <v>0</v>
      </c>
      <c r="R45" s="194">
        <v>0</v>
      </c>
      <c r="S45" s="193">
        <f t="shared" si="6"/>
        <v>0</v>
      </c>
      <c r="T45" s="193">
        <f t="shared" si="7"/>
        <v>0</v>
      </c>
      <c r="U45" s="193">
        <f ca="1">OFFSET('Expenditure Study'!$B$7,'Operations Support'!$C45,'Operations Support'!$B45)*$G45</f>
        <v>0</v>
      </c>
      <c r="V45" s="199">
        <f ca="1">U45*'Expenditure Study'!$B$31</f>
        <v>0</v>
      </c>
      <c r="W45" s="199">
        <f ca="1">IF(A45=10298,1.51,1)*IF($B45&lt;3,$D45*'Expenditure Study'!$B$32*OFFSET('Expenditure Study'!$B$7,'Operations Support'!$C45,'Operations Support'!$B45),0)</f>
        <v>0</v>
      </c>
      <c r="X45" s="200">
        <f ca="1">W45*'Expenditure Study'!$B$31</f>
        <v>0</v>
      </c>
      <c r="Y45" s="199">
        <f ca="1">U45*'Expenditure Study'!$B$31</f>
        <v>0</v>
      </c>
      <c r="Z45" s="200">
        <f ca="1">W45*'Expenditure Study'!$B$31</f>
        <v>0</v>
      </c>
      <c r="AA45" s="195">
        <f t="shared" ca="1" si="8"/>
        <v>0</v>
      </c>
      <c r="AB45" s="195">
        <f t="shared" ca="1" si="9"/>
        <v>0</v>
      </c>
      <c r="AD45" s="196">
        <f>IFERROR($G45/SUMIF($A:$A,$A45,$G:$G)*SUMIF(Summary!$A$166:$A$242,$A45,Summary!$P$166:$P$242),0)</f>
        <v>0</v>
      </c>
      <c r="AE45" s="197">
        <f t="shared" ca="1" si="10"/>
        <v>0</v>
      </c>
      <c r="AF45" s="196">
        <f>IFERROR(G45/SUMIF(A:A,A45,G:G)*SUMIF(Summary!$A$166:$A$242,'Operations Support'!A45,Summary!$Q$166:$Q$242),0)</f>
        <v>0</v>
      </c>
      <c r="AG45" s="196">
        <f t="shared" ca="1" si="11"/>
        <v>0</v>
      </c>
      <c r="AI45" s="196">
        <f>IFERROR($G45/SUMIF($A:$A,$A45,$G:$G)*SUMIF(Summary!$A$247:$A$283,$A45,Summary!$P$247:$P$283),0)</f>
        <v>0</v>
      </c>
      <c r="AJ45" s="196">
        <f>IFERROR($G45/SUMIF($A:$A,$A45,$G:$G)*(SUMIF(Summary!$A$247:$A$283,$A45,Summary!$L$247:$L$283)+SUMIF(Summary!$A$297:$A$333,$A45,Summary!$L$297:$L$333))-AI45,0)</f>
        <v>0</v>
      </c>
      <c r="AK45" s="196">
        <f>IFERROR($G45/SUMIF($A:$A,$A45,$G:$G)*SUMIF(Summary!$A$247:$A$283,$A45,Summary!$Q$247:$Q$283),0)</f>
        <v>0</v>
      </c>
      <c r="AL45" s="196">
        <f>IFERROR($G45/SUMIF($A:$A,$A45,$G:$G)*(SUMIF(Summary!$A$247:$A$283,$A45,Summary!$L$247:$L$283)+SUMIF(Summary!$A$297:$A$333,$A45,Summary!$L$297:$L$333))-AK45,0)</f>
        <v>0</v>
      </c>
      <c r="AM45" s="198"/>
      <c r="AN45" s="196">
        <f t="shared" ca="1" si="12"/>
        <v>0</v>
      </c>
      <c r="AO45" s="196">
        <f t="shared" ca="1" si="13"/>
        <v>0</v>
      </c>
    </row>
    <row r="46" spans="1:41">
      <c r="A46" s="189">
        <v>20</v>
      </c>
      <c r="B46" s="190">
        <v>2</v>
      </c>
      <c r="C46" s="191" t="s">
        <v>240</v>
      </c>
      <c r="D46" s="192">
        <f t="shared" si="0"/>
        <v>0</v>
      </c>
      <c r="E46" s="192">
        <f t="shared" si="1"/>
        <v>0</v>
      </c>
      <c r="F46" s="192">
        <f t="shared" si="2"/>
        <v>0</v>
      </c>
      <c r="G46" s="193">
        <f t="shared" si="3"/>
        <v>0</v>
      </c>
      <c r="H46" s="194">
        <v>0</v>
      </c>
      <c r="I46" s="194">
        <v>0</v>
      </c>
      <c r="J46" s="194">
        <v>0</v>
      </c>
      <c r="K46" s="193">
        <f t="shared" si="4"/>
        <v>0</v>
      </c>
      <c r="L46" s="194">
        <v>0</v>
      </c>
      <c r="M46" s="194">
        <v>0</v>
      </c>
      <c r="N46" s="194">
        <v>0</v>
      </c>
      <c r="O46" s="193">
        <f t="shared" si="5"/>
        <v>0</v>
      </c>
      <c r="P46" s="194">
        <v>0</v>
      </c>
      <c r="Q46" s="194">
        <v>0</v>
      </c>
      <c r="R46" s="194">
        <v>0</v>
      </c>
      <c r="S46" s="193">
        <f t="shared" si="6"/>
        <v>0</v>
      </c>
      <c r="T46" s="193">
        <f t="shared" si="7"/>
        <v>0</v>
      </c>
      <c r="U46" s="193">
        <f ca="1">OFFSET('Expenditure Study'!$B$7,'Operations Support'!$C46,'Operations Support'!$B46)*$G46</f>
        <v>0</v>
      </c>
      <c r="V46" s="199">
        <f ca="1">U46*'Expenditure Study'!$B$31</f>
        <v>0</v>
      </c>
      <c r="W46" s="199">
        <f ca="1">IF(A46=10298,1.51,1)*IF($B46&lt;3,$D46*'Expenditure Study'!$B$32*OFFSET('Expenditure Study'!$B$7,'Operations Support'!$C46,'Operations Support'!$B46),0)</f>
        <v>0</v>
      </c>
      <c r="X46" s="200">
        <f ca="1">W46*'Expenditure Study'!$B$31</f>
        <v>0</v>
      </c>
      <c r="Y46" s="199">
        <f ca="1">U46*'Expenditure Study'!$B$31</f>
        <v>0</v>
      </c>
      <c r="Z46" s="200">
        <f ca="1">W46*'Expenditure Study'!$B$31</f>
        <v>0</v>
      </c>
      <c r="AA46" s="195">
        <f t="shared" ca="1" si="8"/>
        <v>0</v>
      </c>
      <c r="AB46" s="195">
        <f t="shared" ca="1" si="9"/>
        <v>0</v>
      </c>
      <c r="AD46" s="196">
        <f>IFERROR($G46/SUMIF($A:$A,$A46,$G:$G)*SUMIF(Summary!$A$166:$A$242,$A46,Summary!$P$166:$P$242),0)</f>
        <v>0</v>
      </c>
      <c r="AE46" s="197">
        <f t="shared" ca="1" si="10"/>
        <v>0</v>
      </c>
      <c r="AF46" s="196">
        <f>IFERROR(G46/SUMIF(A:A,A46,G:G)*SUMIF(Summary!$A$166:$A$242,'Operations Support'!A46,Summary!$Q$166:$Q$242),0)</f>
        <v>0</v>
      </c>
      <c r="AG46" s="196">
        <f t="shared" ca="1" si="11"/>
        <v>0</v>
      </c>
      <c r="AI46" s="196">
        <f>IFERROR($G46/SUMIF($A:$A,$A46,$G:$G)*SUMIF(Summary!$A$247:$A$283,$A46,Summary!$P$247:$P$283),0)</f>
        <v>0</v>
      </c>
      <c r="AJ46" s="196">
        <f>IFERROR($G46/SUMIF($A:$A,$A46,$G:$G)*(SUMIF(Summary!$A$247:$A$283,$A46,Summary!$L$247:$L$283)+SUMIF(Summary!$A$297:$A$333,$A46,Summary!$L$297:$L$333))-AI46,0)</f>
        <v>0</v>
      </c>
      <c r="AK46" s="196">
        <f>IFERROR($G46/SUMIF($A:$A,$A46,$G:$G)*SUMIF(Summary!$A$247:$A$283,$A46,Summary!$Q$247:$Q$283),0)</f>
        <v>0</v>
      </c>
      <c r="AL46" s="196">
        <f>IFERROR($G46/SUMIF($A:$A,$A46,$G:$G)*(SUMIF(Summary!$A$247:$A$283,$A46,Summary!$L$247:$L$283)+SUMIF(Summary!$A$297:$A$333,$A46,Summary!$L$297:$L$333))-AK46,0)</f>
        <v>0</v>
      </c>
      <c r="AM46" s="198"/>
      <c r="AN46" s="196">
        <f t="shared" ca="1" si="12"/>
        <v>0</v>
      </c>
      <c r="AO46" s="196">
        <f t="shared" ca="1" si="13"/>
        <v>0</v>
      </c>
    </row>
    <row r="47" spans="1:41">
      <c r="A47" s="189">
        <v>20</v>
      </c>
      <c r="B47" s="190">
        <v>3</v>
      </c>
      <c r="C47" s="191" t="s">
        <v>220</v>
      </c>
      <c r="D47" s="192">
        <f t="shared" si="0"/>
        <v>153</v>
      </c>
      <c r="E47" s="192">
        <f t="shared" si="1"/>
        <v>99</v>
      </c>
      <c r="F47" s="192">
        <f t="shared" si="2"/>
        <v>0</v>
      </c>
      <c r="G47" s="193">
        <f t="shared" si="3"/>
        <v>252</v>
      </c>
      <c r="H47" s="194">
        <v>39</v>
      </c>
      <c r="I47" s="194">
        <v>39</v>
      </c>
      <c r="J47" s="194">
        <v>0</v>
      </c>
      <c r="K47" s="193">
        <f t="shared" si="4"/>
        <v>78</v>
      </c>
      <c r="L47" s="194">
        <v>72</v>
      </c>
      <c r="M47" s="194">
        <v>12</v>
      </c>
      <c r="N47" s="194">
        <v>0</v>
      </c>
      <c r="O47" s="193">
        <f t="shared" si="5"/>
        <v>84</v>
      </c>
      <c r="P47" s="194">
        <v>42</v>
      </c>
      <c r="Q47" s="194">
        <v>48</v>
      </c>
      <c r="R47" s="194">
        <v>0</v>
      </c>
      <c r="S47" s="193">
        <f t="shared" si="6"/>
        <v>90</v>
      </c>
      <c r="T47" s="193">
        <f t="shared" si="7"/>
        <v>10.5</v>
      </c>
      <c r="U47" s="193">
        <f ca="1">OFFSET('Expenditure Study'!$B$7,'Operations Support'!$C47,'Operations Support'!$B47)*$G47</f>
        <v>1123.92</v>
      </c>
      <c r="V47" s="199">
        <f ca="1">U47*'Expenditure Study'!$B$31</f>
        <v>66404.768564736005</v>
      </c>
      <c r="W47" s="199">
        <f ca="1">IF(A47=10298,1.51,1)*IF($B47&lt;3,$D47*'Expenditure Study'!$B$32*OFFSET('Expenditure Study'!$B$7,'Operations Support'!$C47,'Operations Support'!$B47),0)</f>
        <v>0</v>
      </c>
      <c r="X47" s="200">
        <f ca="1">W47*'Expenditure Study'!$B$31</f>
        <v>0</v>
      </c>
      <c r="Y47" s="199">
        <f ca="1">U47*'Expenditure Study'!$B$31</f>
        <v>66404.768564736005</v>
      </c>
      <c r="Z47" s="200">
        <f ca="1">W47*'Expenditure Study'!$B$31</f>
        <v>0</v>
      </c>
      <c r="AA47" s="195">
        <f t="shared" ca="1" si="8"/>
        <v>66404.768564736005</v>
      </c>
      <c r="AB47" s="195">
        <f t="shared" ca="1" si="9"/>
        <v>66404.768564736005</v>
      </c>
      <c r="AD47" s="196">
        <f>IFERROR($G47/SUMIF($A:$A,$A47,$G:$G)*SUMIF(Summary!$A$166:$A$242,$A47,Summary!$P$166:$P$242),0)</f>
        <v>7621.9859213317704</v>
      </c>
      <c r="AE47" s="197">
        <f t="shared" ca="1" si="10"/>
        <v>58782.782643404236</v>
      </c>
      <c r="AF47" s="196">
        <f>IFERROR(G47/SUMIF(A:A,A47,G:G)*SUMIF(Summary!$A$166:$A$242,'Operations Support'!A47,Summary!$Q$166:$Q$242),0)</f>
        <v>7622.2941386716439</v>
      </c>
      <c r="AG47" s="196">
        <f t="shared" ca="1" si="11"/>
        <v>58782.474426064364</v>
      </c>
      <c r="AI47" s="196">
        <f>IFERROR($G47/SUMIF($A:$A,$A47,$G:$G)*SUMIF(Summary!$A$247:$A$283,$A47,Summary!$P$247:$P$283),0)</f>
        <v>1390.0600275124525</v>
      </c>
      <c r="AJ47" s="196">
        <f>IFERROR($G47/SUMIF($A:$A,$A47,$G:$G)*(SUMIF(Summary!$A$247:$A$283,$A47,Summary!$L$247:$L$283)+SUMIF(Summary!$A$297:$A$333,$A47,Summary!$L$297:$L$333))-AI47,0)</f>
        <v>33801.476811737142</v>
      </c>
      <c r="AK47" s="196">
        <f>IFERROR($G47/SUMIF($A:$A,$A47,$G:$G)*SUMIF(Summary!$A$247:$A$283,$A47,Summary!$Q$247:$Q$283),0)</f>
        <v>1390.1162386637677</v>
      </c>
      <c r="AL47" s="196">
        <f>IFERROR($G47/SUMIF($A:$A,$A47,$G:$G)*(SUMIF(Summary!$A$247:$A$283,$A47,Summary!$L$247:$L$283)+SUMIF(Summary!$A$297:$A$333,$A47,Summary!$L$297:$L$333))-AK47,0)</f>
        <v>33801.420600585829</v>
      </c>
      <c r="AM47" s="198"/>
      <c r="AN47" s="196">
        <f t="shared" ca="1" si="12"/>
        <v>92584.259455141379</v>
      </c>
      <c r="AO47" s="196">
        <f t="shared" ca="1" si="13"/>
        <v>92583.895026650192</v>
      </c>
    </row>
    <row r="48" spans="1:41" s="201" customFormat="1">
      <c r="A48" s="189">
        <v>20</v>
      </c>
      <c r="B48" s="190">
        <v>3</v>
      </c>
      <c r="C48" s="191" t="s">
        <v>221</v>
      </c>
      <c r="D48" s="192">
        <f t="shared" si="0"/>
        <v>21</v>
      </c>
      <c r="E48" s="192">
        <f t="shared" si="1"/>
        <v>0</v>
      </c>
      <c r="F48" s="192">
        <f t="shared" si="2"/>
        <v>0</v>
      </c>
      <c r="G48" s="193">
        <f t="shared" si="3"/>
        <v>21</v>
      </c>
      <c r="H48" s="194">
        <v>0</v>
      </c>
      <c r="I48" s="194">
        <v>0</v>
      </c>
      <c r="J48" s="194">
        <v>0</v>
      </c>
      <c r="K48" s="193">
        <f t="shared" si="4"/>
        <v>0</v>
      </c>
      <c r="L48" s="194">
        <v>21</v>
      </c>
      <c r="M48" s="194">
        <v>0</v>
      </c>
      <c r="N48" s="194">
        <v>0</v>
      </c>
      <c r="O48" s="193">
        <f t="shared" si="5"/>
        <v>21</v>
      </c>
      <c r="P48" s="194">
        <v>0</v>
      </c>
      <c r="Q48" s="194">
        <v>0</v>
      </c>
      <c r="R48" s="194">
        <v>0</v>
      </c>
      <c r="S48" s="193">
        <f t="shared" si="6"/>
        <v>0</v>
      </c>
      <c r="T48" s="193">
        <f t="shared" si="7"/>
        <v>0.875</v>
      </c>
      <c r="U48" s="193">
        <f ca="1">OFFSET('Expenditure Study'!$B$7,'Operations Support'!$C48,'Operations Support'!$B48)*$G48</f>
        <v>147</v>
      </c>
      <c r="V48" s="199">
        <f ca="1">U48*'Expenditure Study'!$B$31</f>
        <v>8685.2275776000006</v>
      </c>
      <c r="W48" s="199">
        <f ca="1">IF(A48=10298,1.51,1)*IF($B48&lt;3,$D48*'Expenditure Study'!$B$32*OFFSET('Expenditure Study'!$B$7,'Operations Support'!$C48,'Operations Support'!$B48),0)</f>
        <v>0</v>
      </c>
      <c r="X48" s="200">
        <f ca="1">W48*'Expenditure Study'!$B$31</f>
        <v>0</v>
      </c>
      <c r="Y48" s="199">
        <f ca="1">U48*'Expenditure Study'!$B$31</f>
        <v>8685.2275776000006</v>
      </c>
      <c r="Z48" s="200">
        <f ca="1">W48*'Expenditure Study'!$B$31</f>
        <v>0</v>
      </c>
      <c r="AA48" s="195">
        <f t="shared" ca="1" si="8"/>
        <v>8685.2275776000006</v>
      </c>
      <c r="AB48" s="195">
        <f t="shared" ca="1" si="9"/>
        <v>8685.2275776000006</v>
      </c>
      <c r="AD48" s="196">
        <f>IFERROR($G48/SUMIF($A:$A,$A48,$G:$G)*SUMIF(Summary!$A$166:$A$242,$A48,Summary!$P$166:$P$242),0)</f>
        <v>635.16549344431428</v>
      </c>
      <c r="AE48" s="197">
        <f t="shared" ca="1" si="10"/>
        <v>8050.0620841556865</v>
      </c>
      <c r="AF48" s="196">
        <f>IFERROR(G48/SUMIF(A:A,A48,G:G)*SUMIF(Summary!$A$166:$A$242,'Operations Support'!A48,Summary!$Q$166:$Q$242),0)</f>
        <v>635.19117822263695</v>
      </c>
      <c r="AG48" s="196">
        <f t="shared" ca="1" si="11"/>
        <v>8050.0363993773635</v>
      </c>
      <c r="AH48" s="180"/>
      <c r="AI48" s="196">
        <f>IFERROR($G48/SUMIF($A:$A,$A48,$G:$G)*SUMIF(Summary!$A$247:$A$283,$A48,Summary!$P$247:$P$283),0)</f>
        <v>115.83833562603772</v>
      </c>
      <c r="AJ48" s="196">
        <f>IFERROR($G48/SUMIF($A:$A,$A48,$G:$G)*(SUMIF(Summary!$A$247:$A$283,$A48,Summary!$L$247:$L$283)+SUMIF(Summary!$A$297:$A$333,$A48,Summary!$L$297:$L$333))-AI48,0)</f>
        <v>2816.7897343114287</v>
      </c>
      <c r="AK48" s="196">
        <f>IFERROR($G48/SUMIF($A:$A,$A48,$G:$G)*SUMIF(Summary!$A$247:$A$283,$A48,Summary!$Q$247:$Q$283),0)</f>
        <v>115.84301988864732</v>
      </c>
      <c r="AL48" s="196">
        <f>IFERROR($G48/SUMIF($A:$A,$A48,$G:$G)*(SUMIF(Summary!$A$247:$A$283,$A48,Summary!$L$247:$L$283)+SUMIF(Summary!$A$297:$A$333,$A48,Summary!$L$297:$L$333))-AK48,0)</f>
        <v>2816.7850500488194</v>
      </c>
      <c r="AM48" s="198"/>
      <c r="AN48" s="196">
        <f t="shared" ca="1" si="12"/>
        <v>10866.851818467116</v>
      </c>
      <c r="AO48" s="196">
        <f t="shared" ca="1" si="13"/>
        <v>10866.821449426183</v>
      </c>
    </row>
    <row r="49" spans="1:41">
      <c r="A49" s="189">
        <v>20</v>
      </c>
      <c r="B49" s="190">
        <v>3</v>
      </c>
      <c r="C49" s="191" t="s">
        <v>222</v>
      </c>
      <c r="D49" s="192">
        <f t="shared" si="0"/>
        <v>0</v>
      </c>
      <c r="E49" s="192">
        <f t="shared" si="1"/>
        <v>0</v>
      </c>
      <c r="F49" s="192">
        <f t="shared" si="2"/>
        <v>0</v>
      </c>
      <c r="G49" s="193">
        <f t="shared" si="3"/>
        <v>0</v>
      </c>
      <c r="H49" s="194">
        <v>0</v>
      </c>
      <c r="I49" s="194">
        <v>0</v>
      </c>
      <c r="J49" s="194">
        <v>0</v>
      </c>
      <c r="K49" s="193">
        <f t="shared" si="4"/>
        <v>0</v>
      </c>
      <c r="L49" s="194">
        <v>0</v>
      </c>
      <c r="M49" s="194">
        <v>0</v>
      </c>
      <c r="N49" s="194">
        <v>0</v>
      </c>
      <c r="O49" s="193">
        <f t="shared" si="5"/>
        <v>0</v>
      </c>
      <c r="P49" s="194">
        <v>0</v>
      </c>
      <c r="Q49" s="194">
        <v>0</v>
      </c>
      <c r="R49" s="194">
        <v>0</v>
      </c>
      <c r="S49" s="193">
        <f t="shared" si="6"/>
        <v>0</v>
      </c>
      <c r="T49" s="193">
        <f t="shared" si="7"/>
        <v>0</v>
      </c>
      <c r="U49" s="193">
        <f ca="1">OFFSET('Expenditure Study'!$B$7,'Operations Support'!$C49,'Operations Support'!$B49)*$G49</f>
        <v>0</v>
      </c>
      <c r="V49" s="199">
        <f ca="1">U49*'Expenditure Study'!$B$31</f>
        <v>0</v>
      </c>
      <c r="W49" s="199">
        <f ca="1">IF(A49=10298,1.51,1)*IF($B49&lt;3,$D49*'Expenditure Study'!$B$32*OFFSET('Expenditure Study'!$B$7,'Operations Support'!$C49,'Operations Support'!$B49),0)</f>
        <v>0</v>
      </c>
      <c r="X49" s="200">
        <f ca="1">W49*'Expenditure Study'!$B$31</f>
        <v>0</v>
      </c>
      <c r="Y49" s="199">
        <f ca="1">U49*'Expenditure Study'!$B$31</f>
        <v>0</v>
      </c>
      <c r="Z49" s="200">
        <f ca="1">W49*'Expenditure Study'!$B$31</f>
        <v>0</v>
      </c>
      <c r="AA49" s="195">
        <f t="shared" ca="1" si="8"/>
        <v>0</v>
      </c>
      <c r="AB49" s="195">
        <f t="shared" ca="1" si="9"/>
        <v>0</v>
      </c>
      <c r="AD49" s="196">
        <f>IFERROR($G49/SUMIF($A:$A,$A49,$G:$G)*SUMIF(Summary!$A$166:$A$242,$A49,Summary!$P$166:$P$242),0)</f>
        <v>0</v>
      </c>
      <c r="AE49" s="197">
        <f t="shared" ca="1" si="10"/>
        <v>0</v>
      </c>
      <c r="AF49" s="196">
        <f>IFERROR(G49/SUMIF(A:A,A49,G:G)*SUMIF(Summary!$A$166:$A$242,'Operations Support'!A49,Summary!$Q$166:$Q$242),0)</f>
        <v>0</v>
      </c>
      <c r="AG49" s="196">
        <f t="shared" ca="1" si="11"/>
        <v>0</v>
      </c>
      <c r="AI49" s="196">
        <f>IFERROR($G49/SUMIF($A:$A,$A49,$G:$G)*SUMIF(Summary!$A$247:$A$283,$A49,Summary!$P$247:$P$283),0)</f>
        <v>0</v>
      </c>
      <c r="AJ49" s="196">
        <f>IFERROR($G49/SUMIF($A:$A,$A49,$G:$G)*(SUMIF(Summary!$A$247:$A$283,$A49,Summary!$L$247:$L$283)+SUMIF(Summary!$A$297:$A$333,$A49,Summary!$L$297:$L$333))-AI49,0)</f>
        <v>0</v>
      </c>
      <c r="AK49" s="196">
        <f>IFERROR($G49/SUMIF($A:$A,$A49,$G:$G)*SUMIF(Summary!$A$247:$A$283,$A49,Summary!$Q$247:$Q$283),0)</f>
        <v>0</v>
      </c>
      <c r="AL49" s="196">
        <f>IFERROR($G49/SUMIF($A:$A,$A49,$G:$G)*(SUMIF(Summary!$A$247:$A$283,$A49,Summary!$L$247:$L$283)+SUMIF(Summary!$A$297:$A$333,$A49,Summary!$L$297:$L$333))-AK49,0)</f>
        <v>0</v>
      </c>
      <c r="AM49" s="198"/>
      <c r="AN49" s="196">
        <f t="shared" ca="1" si="12"/>
        <v>0</v>
      </c>
      <c r="AO49" s="196">
        <f t="shared" ca="1" si="13"/>
        <v>0</v>
      </c>
    </row>
    <row r="50" spans="1:41">
      <c r="A50" s="189">
        <v>20</v>
      </c>
      <c r="B50" s="190">
        <v>3</v>
      </c>
      <c r="C50" s="191" t="s">
        <v>223</v>
      </c>
      <c r="D50" s="192">
        <f t="shared" si="0"/>
        <v>518</v>
      </c>
      <c r="E50" s="192">
        <f t="shared" si="1"/>
        <v>147</v>
      </c>
      <c r="F50" s="192">
        <f t="shared" si="2"/>
        <v>0</v>
      </c>
      <c r="G50" s="193">
        <f t="shared" si="3"/>
        <v>665</v>
      </c>
      <c r="H50" s="194">
        <v>172</v>
      </c>
      <c r="I50" s="194">
        <v>27</v>
      </c>
      <c r="J50" s="194">
        <v>0</v>
      </c>
      <c r="K50" s="193">
        <f t="shared" si="4"/>
        <v>199</v>
      </c>
      <c r="L50" s="194">
        <v>235</v>
      </c>
      <c r="M50" s="194">
        <v>96</v>
      </c>
      <c r="N50" s="194">
        <v>0</v>
      </c>
      <c r="O50" s="193">
        <f t="shared" si="5"/>
        <v>331</v>
      </c>
      <c r="P50" s="194">
        <v>111</v>
      </c>
      <c r="Q50" s="194">
        <v>24</v>
      </c>
      <c r="R50" s="194">
        <v>0</v>
      </c>
      <c r="S50" s="193">
        <f t="shared" si="6"/>
        <v>135</v>
      </c>
      <c r="T50" s="193">
        <f t="shared" si="7"/>
        <v>27.708333333333332</v>
      </c>
      <c r="U50" s="193">
        <f ca="1">OFFSET('Expenditure Study'!$B$7,'Operations Support'!$C50,'Operations Support'!$B50)*$G50</f>
        <v>1489.6000000000001</v>
      </c>
      <c r="V50" s="199">
        <f ca="1">U50*'Expenditure Study'!$B$31</f>
        <v>88010.306119680012</v>
      </c>
      <c r="W50" s="199">
        <f ca="1">IF(A50=10298,1.51,1)*IF($B50&lt;3,$D50*'Expenditure Study'!$B$32*OFFSET('Expenditure Study'!$B$7,'Operations Support'!$C50,'Operations Support'!$B50),0)</f>
        <v>0</v>
      </c>
      <c r="X50" s="200">
        <f ca="1">W50*'Expenditure Study'!$B$31</f>
        <v>0</v>
      </c>
      <c r="Y50" s="199">
        <f ca="1">U50*'Expenditure Study'!$B$31</f>
        <v>88010.306119680012</v>
      </c>
      <c r="Z50" s="200">
        <f ca="1">W50*'Expenditure Study'!$B$31</f>
        <v>0</v>
      </c>
      <c r="AA50" s="195">
        <f t="shared" ca="1" si="8"/>
        <v>88010.306119680012</v>
      </c>
      <c r="AB50" s="195">
        <f t="shared" ca="1" si="9"/>
        <v>88010.306119680012</v>
      </c>
      <c r="AD50" s="196">
        <f>IFERROR($G50/SUMIF($A:$A,$A50,$G:$G)*SUMIF(Summary!$A$166:$A$242,$A50,Summary!$P$166:$P$242),0)</f>
        <v>20113.573959069949</v>
      </c>
      <c r="AE50" s="197">
        <f t="shared" ca="1" si="10"/>
        <v>67896.73216061006</v>
      </c>
      <c r="AF50" s="196">
        <f>IFERROR(G50/SUMIF(A:A,A50,G:G)*SUMIF(Summary!$A$166:$A$242,'Operations Support'!A50,Summary!$Q$166:$Q$242),0)</f>
        <v>20114.387310383503</v>
      </c>
      <c r="AG50" s="196">
        <f t="shared" ca="1" si="11"/>
        <v>67895.918809296505</v>
      </c>
      <c r="AI50" s="196">
        <f>IFERROR($G50/SUMIF($A:$A,$A50,$G:$G)*SUMIF(Summary!$A$247:$A$283,$A50,Summary!$P$247:$P$283),0)</f>
        <v>3668.2139614911944</v>
      </c>
      <c r="AJ50" s="196">
        <f>IFERROR($G50/SUMIF($A:$A,$A50,$G:$G)*(SUMIF(Summary!$A$247:$A$283,$A50,Summary!$L$247:$L$283)+SUMIF(Summary!$A$297:$A$333,$A50,Summary!$L$297:$L$333))-AI50,0)</f>
        <v>89198.341586528564</v>
      </c>
      <c r="AK50" s="196">
        <f>IFERROR($G50/SUMIF($A:$A,$A50,$G:$G)*SUMIF(Summary!$A$247:$A$283,$A50,Summary!$Q$247:$Q$283),0)</f>
        <v>3668.3622964738315</v>
      </c>
      <c r="AL50" s="196">
        <f>IFERROR($G50/SUMIF($A:$A,$A50,$G:$G)*(SUMIF(Summary!$A$247:$A$283,$A50,Summary!$L$247:$L$283)+SUMIF(Summary!$A$297:$A$333,$A50,Summary!$L$297:$L$333))-AK50,0)</f>
        <v>89198.193251545934</v>
      </c>
      <c r="AM50" s="198"/>
      <c r="AN50" s="196">
        <f t="shared" ca="1" si="12"/>
        <v>157095.07374713861</v>
      </c>
      <c r="AO50" s="196">
        <f t="shared" ca="1" si="13"/>
        <v>157094.11206084245</v>
      </c>
    </row>
    <row r="51" spans="1:41">
      <c r="A51" s="189">
        <v>20</v>
      </c>
      <c r="B51" s="190">
        <v>3</v>
      </c>
      <c r="C51" s="191" t="s">
        <v>224</v>
      </c>
      <c r="D51" s="192">
        <f t="shared" si="0"/>
        <v>0</v>
      </c>
      <c r="E51" s="192">
        <f t="shared" si="1"/>
        <v>0</v>
      </c>
      <c r="F51" s="192">
        <f t="shared" si="2"/>
        <v>0</v>
      </c>
      <c r="G51" s="193">
        <f t="shared" si="3"/>
        <v>0</v>
      </c>
      <c r="H51" s="194">
        <v>0</v>
      </c>
      <c r="I51" s="194">
        <v>0</v>
      </c>
      <c r="J51" s="194">
        <v>0</v>
      </c>
      <c r="K51" s="193">
        <f t="shared" si="4"/>
        <v>0</v>
      </c>
      <c r="L51" s="194">
        <v>0</v>
      </c>
      <c r="M51" s="194">
        <v>0</v>
      </c>
      <c r="N51" s="194">
        <v>0</v>
      </c>
      <c r="O51" s="193">
        <f t="shared" si="5"/>
        <v>0</v>
      </c>
      <c r="P51" s="194">
        <v>0</v>
      </c>
      <c r="Q51" s="194">
        <v>0</v>
      </c>
      <c r="R51" s="194">
        <v>0</v>
      </c>
      <c r="S51" s="193">
        <f t="shared" si="6"/>
        <v>0</v>
      </c>
      <c r="T51" s="193">
        <f t="shared" si="7"/>
        <v>0</v>
      </c>
      <c r="U51" s="193">
        <f ca="1">OFFSET('Expenditure Study'!$B$7,'Operations Support'!$C51,'Operations Support'!$B51)*$G51</f>
        <v>0</v>
      </c>
      <c r="V51" s="199">
        <f ca="1">U51*'Expenditure Study'!$B$31</f>
        <v>0</v>
      </c>
      <c r="W51" s="199">
        <f ca="1">IF(A51=10298,1.51,1)*IF($B51&lt;3,$D51*'Expenditure Study'!$B$32*OFFSET('Expenditure Study'!$B$7,'Operations Support'!$C51,'Operations Support'!$B51),0)</f>
        <v>0</v>
      </c>
      <c r="X51" s="200">
        <f ca="1">W51*'Expenditure Study'!$B$31</f>
        <v>0</v>
      </c>
      <c r="Y51" s="199">
        <f ca="1">U51*'Expenditure Study'!$B$31</f>
        <v>0</v>
      </c>
      <c r="Z51" s="200">
        <f ca="1">W51*'Expenditure Study'!$B$31</f>
        <v>0</v>
      </c>
      <c r="AA51" s="195">
        <f t="shared" ca="1" si="8"/>
        <v>0</v>
      </c>
      <c r="AB51" s="195">
        <f t="shared" ca="1" si="9"/>
        <v>0</v>
      </c>
      <c r="AD51" s="196">
        <f>IFERROR($G51/SUMIF($A:$A,$A51,$G:$G)*SUMIF(Summary!$A$166:$A$242,$A51,Summary!$P$166:$P$242),0)</f>
        <v>0</v>
      </c>
      <c r="AE51" s="197">
        <f t="shared" ca="1" si="10"/>
        <v>0</v>
      </c>
      <c r="AF51" s="196">
        <f>IFERROR(G51/SUMIF(A:A,A51,G:G)*SUMIF(Summary!$A$166:$A$242,'Operations Support'!A51,Summary!$Q$166:$Q$242),0)</f>
        <v>0</v>
      </c>
      <c r="AG51" s="196">
        <f t="shared" ca="1" si="11"/>
        <v>0</v>
      </c>
      <c r="AI51" s="196">
        <f>IFERROR($G51/SUMIF($A:$A,$A51,$G:$G)*SUMIF(Summary!$A$247:$A$283,$A51,Summary!$P$247:$P$283),0)</f>
        <v>0</v>
      </c>
      <c r="AJ51" s="196">
        <f>IFERROR($G51/SUMIF($A:$A,$A51,$G:$G)*(SUMIF(Summary!$A$247:$A$283,$A51,Summary!$L$247:$L$283)+SUMIF(Summary!$A$297:$A$333,$A51,Summary!$L$297:$L$333))-AI51,0)</f>
        <v>0</v>
      </c>
      <c r="AK51" s="196">
        <f>IFERROR($G51/SUMIF($A:$A,$A51,$G:$G)*SUMIF(Summary!$A$247:$A$283,$A51,Summary!$Q$247:$Q$283),0)</f>
        <v>0</v>
      </c>
      <c r="AL51" s="196">
        <f>IFERROR($G51/SUMIF($A:$A,$A51,$G:$G)*(SUMIF(Summary!$A$247:$A$283,$A51,Summary!$L$247:$L$283)+SUMIF(Summary!$A$297:$A$333,$A51,Summary!$L$297:$L$333))-AK51,0)</f>
        <v>0</v>
      </c>
      <c r="AM51" s="198"/>
      <c r="AN51" s="196">
        <f t="shared" ca="1" si="12"/>
        <v>0</v>
      </c>
      <c r="AO51" s="196">
        <f t="shared" ca="1" si="13"/>
        <v>0</v>
      </c>
    </row>
    <row r="52" spans="1:41">
      <c r="A52" s="189">
        <v>20</v>
      </c>
      <c r="B52" s="190">
        <v>3</v>
      </c>
      <c r="C52" s="191" t="s">
        <v>225</v>
      </c>
      <c r="D52" s="192">
        <f t="shared" si="0"/>
        <v>0</v>
      </c>
      <c r="E52" s="192">
        <f t="shared" si="1"/>
        <v>0</v>
      </c>
      <c r="F52" s="192">
        <f t="shared" si="2"/>
        <v>0</v>
      </c>
      <c r="G52" s="193">
        <f t="shared" si="3"/>
        <v>0</v>
      </c>
      <c r="H52" s="194">
        <v>0</v>
      </c>
      <c r="I52" s="194">
        <v>0</v>
      </c>
      <c r="J52" s="194">
        <v>0</v>
      </c>
      <c r="K52" s="193">
        <f t="shared" si="4"/>
        <v>0</v>
      </c>
      <c r="L52" s="194">
        <v>0</v>
      </c>
      <c r="M52" s="194">
        <v>0</v>
      </c>
      <c r="N52" s="194">
        <v>0</v>
      </c>
      <c r="O52" s="193">
        <f t="shared" si="5"/>
        <v>0</v>
      </c>
      <c r="P52" s="194">
        <v>0</v>
      </c>
      <c r="Q52" s="194">
        <v>0</v>
      </c>
      <c r="R52" s="194">
        <v>0</v>
      </c>
      <c r="S52" s="193">
        <f t="shared" si="6"/>
        <v>0</v>
      </c>
      <c r="T52" s="193">
        <f t="shared" si="7"/>
        <v>0</v>
      </c>
      <c r="U52" s="193">
        <f ca="1">OFFSET('Expenditure Study'!$B$7,'Operations Support'!$C52,'Operations Support'!$B52)*$G52</f>
        <v>0</v>
      </c>
      <c r="V52" s="199">
        <f ca="1">U52*'Expenditure Study'!$B$31</f>
        <v>0</v>
      </c>
      <c r="W52" s="199">
        <f ca="1">IF(A52=10298,1.51,1)*IF($B52&lt;3,$D52*'Expenditure Study'!$B$32*OFFSET('Expenditure Study'!$B$7,'Operations Support'!$C52,'Operations Support'!$B52),0)</f>
        <v>0</v>
      </c>
      <c r="X52" s="200">
        <f ca="1">W52*'Expenditure Study'!$B$31</f>
        <v>0</v>
      </c>
      <c r="Y52" s="199">
        <f ca="1">U52*'Expenditure Study'!$B$31</f>
        <v>0</v>
      </c>
      <c r="Z52" s="200">
        <f ca="1">W52*'Expenditure Study'!$B$31</f>
        <v>0</v>
      </c>
      <c r="AA52" s="195">
        <f t="shared" ca="1" si="8"/>
        <v>0</v>
      </c>
      <c r="AB52" s="195">
        <f t="shared" ca="1" si="9"/>
        <v>0</v>
      </c>
      <c r="AD52" s="196">
        <f>IFERROR($G52/SUMIF($A:$A,$A52,$G:$G)*SUMIF(Summary!$A$166:$A$242,$A52,Summary!$P$166:$P$242),0)</f>
        <v>0</v>
      </c>
      <c r="AE52" s="197">
        <f t="shared" ca="1" si="10"/>
        <v>0</v>
      </c>
      <c r="AF52" s="196">
        <f>IFERROR(G52/SUMIF(A:A,A52,G:G)*SUMIF(Summary!$A$166:$A$242,'Operations Support'!A52,Summary!$Q$166:$Q$242),0)</f>
        <v>0</v>
      </c>
      <c r="AG52" s="196">
        <f t="shared" ca="1" si="11"/>
        <v>0</v>
      </c>
      <c r="AI52" s="196">
        <f>IFERROR($G52/SUMIF($A:$A,$A52,$G:$G)*SUMIF(Summary!$A$247:$A$283,$A52,Summary!$P$247:$P$283),0)</f>
        <v>0</v>
      </c>
      <c r="AJ52" s="196">
        <f>IFERROR($G52/SUMIF($A:$A,$A52,$G:$G)*(SUMIF(Summary!$A$247:$A$283,$A52,Summary!$L$247:$L$283)+SUMIF(Summary!$A$297:$A$333,$A52,Summary!$L$297:$L$333))-AI52,0)</f>
        <v>0</v>
      </c>
      <c r="AK52" s="196">
        <f>IFERROR($G52/SUMIF($A:$A,$A52,$G:$G)*SUMIF(Summary!$A$247:$A$283,$A52,Summary!$Q$247:$Q$283),0)</f>
        <v>0</v>
      </c>
      <c r="AL52" s="196">
        <f>IFERROR($G52/SUMIF($A:$A,$A52,$G:$G)*(SUMIF(Summary!$A$247:$A$283,$A52,Summary!$L$247:$L$283)+SUMIF(Summary!$A$297:$A$333,$A52,Summary!$L$297:$L$333))-AK52,0)</f>
        <v>0</v>
      </c>
      <c r="AM52" s="198"/>
      <c r="AN52" s="196">
        <f t="shared" ca="1" si="12"/>
        <v>0</v>
      </c>
      <c r="AO52" s="196">
        <f t="shared" ca="1" si="13"/>
        <v>0</v>
      </c>
    </row>
    <row r="53" spans="1:41">
      <c r="A53" s="189">
        <v>20</v>
      </c>
      <c r="B53" s="190">
        <v>3</v>
      </c>
      <c r="C53" s="191" t="s">
        <v>226</v>
      </c>
      <c r="D53" s="192">
        <f t="shared" si="0"/>
        <v>0</v>
      </c>
      <c r="E53" s="192">
        <f t="shared" si="1"/>
        <v>0</v>
      </c>
      <c r="F53" s="192">
        <f t="shared" si="2"/>
        <v>0</v>
      </c>
      <c r="G53" s="193">
        <f t="shared" si="3"/>
        <v>0</v>
      </c>
      <c r="H53" s="194">
        <v>0</v>
      </c>
      <c r="I53" s="194">
        <v>0</v>
      </c>
      <c r="J53" s="194">
        <v>0</v>
      </c>
      <c r="K53" s="193">
        <f t="shared" si="4"/>
        <v>0</v>
      </c>
      <c r="L53" s="194">
        <v>0</v>
      </c>
      <c r="M53" s="194">
        <v>0</v>
      </c>
      <c r="N53" s="194">
        <v>0</v>
      </c>
      <c r="O53" s="193">
        <f t="shared" si="5"/>
        <v>0</v>
      </c>
      <c r="P53" s="194">
        <v>0</v>
      </c>
      <c r="Q53" s="194">
        <v>0</v>
      </c>
      <c r="R53" s="194">
        <v>0</v>
      </c>
      <c r="S53" s="193">
        <f t="shared" si="6"/>
        <v>0</v>
      </c>
      <c r="T53" s="193">
        <f t="shared" si="7"/>
        <v>0</v>
      </c>
      <c r="U53" s="193">
        <f ca="1">OFFSET('Expenditure Study'!$B$7,'Operations Support'!$C53,'Operations Support'!$B53)*$G53</f>
        <v>0</v>
      </c>
      <c r="V53" s="199">
        <f ca="1">U53*'Expenditure Study'!$B$31</f>
        <v>0</v>
      </c>
      <c r="W53" s="199">
        <f ca="1">IF(A53=10298,1.51,1)*IF($B53&lt;3,$D53*'Expenditure Study'!$B$32*OFFSET('Expenditure Study'!$B$7,'Operations Support'!$C53,'Operations Support'!$B53),0)</f>
        <v>0</v>
      </c>
      <c r="X53" s="200">
        <f ca="1">W53*'Expenditure Study'!$B$31</f>
        <v>0</v>
      </c>
      <c r="Y53" s="199">
        <f ca="1">U53*'Expenditure Study'!$B$31</f>
        <v>0</v>
      </c>
      <c r="Z53" s="200">
        <f ca="1">W53*'Expenditure Study'!$B$31</f>
        <v>0</v>
      </c>
      <c r="AA53" s="195">
        <f t="shared" ca="1" si="8"/>
        <v>0</v>
      </c>
      <c r="AB53" s="195">
        <f t="shared" ca="1" si="9"/>
        <v>0</v>
      </c>
      <c r="AD53" s="196">
        <f>IFERROR($G53/SUMIF($A:$A,$A53,$G:$G)*SUMIF(Summary!$A$166:$A$242,$A53,Summary!$P$166:$P$242),0)</f>
        <v>0</v>
      </c>
      <c r="AE53" s="197">
        <f t="shared" ca="1" si="10"/>
        <v>0</v>
      </c>
      <c r="AF53" s="196">
        <f>IFERROR(G53/SUMIF(A:A,A53,G:G)*SUMIF(Summary!$A$166:$A$242,'Operations Support'!A53,Summary!$Q$166:$Q$242),0)</f>
        <v>0</v>
      </c>
      <c r="AG53" s="196">
        <f t="shared" ca="1" si="11"/>
        <v>0</v>
      </c>
      <c r="AI53" s="196">
        <f>IFERROR($G53/SUMIF($A:$A,$A53,$G:$G)*SUMIF(Summary!$A$247:$A$283,$A53,Summary!$P$247:$P$283),0)</f>
        <v>0</v>
      </c>
      <c r="AJ53" s="196">
        <f>IFERROR($G53/SUMIF($A:$A,$A53,$G:$G)*(SUMIF(Summary!$A$247:$A$283,$A53,Summary!$L$247:$L$283)+SUMIF(Summary!$A$297:$A$333,$A53,Summary!$L$297:$L$333))-AI53,0)</f>
        <v>0</v>
      </c>
      <c r="AK53" s="196">
        <f>IFERROR($G53/SUMIF($A:$A,$A53,$G:$G)*SUMIF(Summary!$A$247:$A$283,$A53,Summary!$Q$247:$Q$283),0)</f>
        <v>0</v>
      </c>
      <c r="AL53" s="196">
        <f>IFERROR($G53/SUMIF($A:$A,$A53,$G:$G)*(SUMIF(Summary!$A$247:$A$283,$A53,Summary!$L$247:$L$283)+SUMIF(Summary!$A$297:$A$333,$A53,Summary!$L$297:$L$333))-AK53,0)</f>
        <v>0</v>
      </c>
      <c r="AM53" s="198"/>
      <c r="AN53" s="196">
        <f t="shared" ca="1" si="12"/>
        <v>0</v>
      </c>
      <c r="AO53" s="196">
        <f t="shared" ca="1" si="13"/>
        <v>0</v>
      </c>
    </row>
    <row r="54" spans="1:41">
      <c r="A54" s="189">
        <v>20</v>
      </c>
      <c r="B54" s="190">
        <v>3</v>
      </c>
      <c r="C54" s="191" t="s">
        <v>227</v>
      </c>
      <c r="D54" s="192">
        <f t="shared" si="0"/>
        <v>0</v>
      </c>
      <c r="E54" s="192">
        <f t="shared" si="1"/>
        <v>0</v>
      </c>
      <c r="F54" s="192">
        <f t="shared" si="2"/>
        <v>0</v>
      </c>
      <c r="G54" s="193">
        <f t="shared" si="3"/>
        <v>0</v>
      </c>
      <c r="H54" s="194">
        <v>0</v>
      </c>
      <c r="I54" s="194">
        <v>0</v>
      </c>
      <c r="J54" s="194">
        <v>0</v>
      </c>
      <c r="K54" s="193">
        <f t="shared" si="4"/>
        <v>0</v>
      </c>
      <c r="L54" s="194">
        <v>0</v>
      </c>
      <c r="M54" s="194">
        <v>0</v>
      </c>
      <c r="N54" s="194">
        <v>0</v>
      </c>
      <c r="O54" s="193">
        <f t="shared" si="5"/>
        <v>0</v>
      </c>
      <c r="P54" s="194">
        <v>0</v>
      </c>
      <c r="Q54" s="194">
        <v>0</v>
      </c>
      <c r="R54" s="194">
        <v>0</v>
      </c>
      <c r="S54" s="193">
        <f t="shared" si="6"/>
        <v>0</v>
      </c>
      <c r="T54" s="193">
        <f t="shared" si="7"/>
        <v>0</v>
      </c>
      <c r="U54" s="193">
        <f ca="1">OFFSET('Expenditure Study'!$B$7,'Operations Support'!$C54,'Operations Support'!$B54)*$G54</f>
        <v>0</v>
      </c>
      <c r="V54" s="199">
        <f ca="1">U54*'Expenditure Study'!$B$31</f>
        <v>0</v>
      </c>
      <c r="W54" s="199">
        <f ca="1">IF(A54=10298,1.51,1)*IF($B54&lt;3,$D54*'Expenditure Study'!$B$32*OFFSET('Expenditure Study'!$B$7,'Operations Support'!$C54,'Operations Support'!$B54),0)</f>
        <v>0</v>
      </c>
      <c r="X54" s="200">
        <f ca="1">W54*'Expenditure Study'!$B$31</f>
        <v>0</v>
      </c>
      <c r="Y54" s="199">
        <f ca="1">U54*'Expenditure Study'!$B$31</f>
        <v>0</v>
      </c>
      <c r="Z54" s="200">
        <f ca="1">W54*'Expenditure Study'!$B$31</f>
        <v>0</v>
      </c>
      <c r="AA54" s="195">
        <f t="shared" ca="1" si="8"/>
        <v>0</v>
      </c>
      <c r="AB54" s="195">
        <f t="shared" ca="1" si="9"/>
        <v>0</v>
      </c>
      <c r="AD54" s="196">
        <f>IFERROR($G54/SUMIF($A:$A,$A54,$G:$G)*SUMIF(Summary!$A$166:$A$242,$A54,Summary!$P$166:$P$242),0)</f>
        <v>0</v>
      </c>
      <c r="AE54" s="197">
        <f t="shared" ca="1" si="10"/>
        <v>0</v>
      </c>
      <c r="AF54" s="196">
        <f>IFERROR(G54/SUMIF(A:A,A54,G:G)*SUMIF(Summary!$A$166:$A$242,'Operations Support'!A54,Summary!$Q$166:$Q$242),0)</f>
        <v>0</v>
      </c>
      <c r="AG54" s="196">
        <f t="shared" ca="1" si="11"/>
        <v>0</v>
      </c>
      <c r="AI54" s="196">
        <f>IFERROR($G54/SUMIF($A:$A,$A54,$G:$G)*SUMIF(Summary!$A$247:$A$283,$A54,Summary!$P$247:$P$283),0)</f>
        <v>0</v>
      </c>
      <c r="AJ54" s="196">
        <f>IFERROR($G54/SUMIF($A:$A,$A54,$G:$G)*(SUMIF(Summary!$A$247:$A$283,$A54,Summary!$L$247:$L$283)+SUMIF(Summary!$A$297:$A$333,$A54,Summary!$L$297:$L$333))-AI54,0)</f>
        <v>0</v>
      </c>
      <c r="AK54" s="196">
        <f>IFERROR($G54/SUMIF($A:$A,$A54,$G:$G)*SUMIF(Summary!$A$247:$A$283,$A54,Summary!$Q$247:$Q$283),0)</f>
        <v>0</v>
      </c>
      <c r="AL54" s="196">
        <f>IFERROR($G54/SUMIF($A:$A,$A54,$G:$G)*(SUMIF(Summary!$A$247:$A$283,$A54,Summary!$L$247:$L$283)+SUMIF(Summary!$A$297:$A$333,$A54,Summary!$L$297:$L$333))-AK54,0)</f>
        <v>0</v>
      </c>
      <c r="AM54" s="198"/>
      <c r="AN54" s="196">
        <f t="shared" ca="1" si="12"/>
        <v>0</v>
      </c>
      <c r="AO54" s="196">
        <f t="shared" ca="1" si="13"/>
        <v>0</v>
      </c>
    </row>
    <row r="55" spans="1:41">
      <c r="A55" s="189">
        <v>20</v>
      </c>
      <c r="B55" s="190">
        <v>3</v>
      </c>
      <c r="C55" s="191" t="s">
        <v>228</v>
      </c>
      <c r="D55" s="192">
        <f t="shared" si="0"/>
        <v>0</v>
      </c>
      <c r="E55" s="192">
        <f t="shared" si="1"/>
        <v>0</v>
      </c>
      <c r="F55" s="192">
        <f t="shared" si="2"/>
        <v>0</v>
      </c>
      <c r="G55" s="193">
        <f t="shared" si="3"/>
        <v>0</v>
      </c>
      <c r="H55" s="194">
        <v>0</v>
      </c>
      <c r="I55" s="194">
        <v>0</v>
      </c>
      <c r="J55" s="194">
        <v>0</v>
      </c>
      <c r="K55" s="193">
        <f t="shared" si="4"/>
        <v>0</v>
      </c>
      <c r="L55" s="194">
        <v>0</v>
      </c>
      <c r="M55" s="194">
        <v>0</v>
      </c>
      <c r="N55" s="194">
        <v>0</v>
      </c>
      <c r="O55" s="193">
        <f t="shared" si="5"/>
        <v>0</v>
      </c>
      <c r="P55" s="194">
        <v>0</v>
      </c>
      <c r="Q55" s="194">
        <v>0</v>
      </c>
      <c r="R55" s="194">
        <v>0</v>
      </c>
      <c r="S55" s="193">
        <f t="shared" si="6"/>
        <v>0</v>
      </c>
      <c r="T55" s="193">
        <f t="shared" si="7"/>
        <v>0</v>
      </c>
      <c r="U55" s="193">
        <f ca="1">OFFSET('Expenditure Study'!$B$7,'Operations Support'!$C55,'Operations Support'!$B55)*$G55</f>
        <v>0</v>
      </c>
      <c r="V55" s="199">
        <f ca="1">U55*'Expenditure Study'!$B$31</f>
        <v>0</v>
      </c>
      <c r="W55" s="199">
        <f ca="1">IF(A55=10298,1.51,1)*IF($B55&lt;3,$D55*'Expenditure Study'!$B$32*OFFSET('Expenditure Study'!$B$7,'Operations Support'!$C55,'Operations Support'!$B55),0)</f>
        <v>0</v>
      </c>
      <c r="X55" s="200">
        <f ca="1">W55*'Expenditure Study'!$B$31</f>
        <v>0</v>
      </c>
      <c r="Y55" s="199">
        <f ca="1">U55*'Expenditure Study'!$B$31</f>
        <v>0</v>
      </c>
      <c r="Z55" s="200">
        <f ca="1">W55*'Expenditure Study'!$B$31</f>
        <v>0</v>
      </c>
      <c r="AA55" s="195">
        <f t="shared" ca="1" si="8"/>
        <v>0</v>
      </c>
      <c r="AB55" s="195">
        <f t="shared" ca="1" si="9"/>
        <v>0</v>
      </c>
      <c r="AD55" s="196">
        <f>IFERROR($G55/SUMIF($A:$A,$A55,$G:$G)*SUMIF(Summary!$A$166:$A$242,$A55,Summary!$P$166:$P$242),0)</f>
        <v>0</v>
      </c>
      <c r="AE55" s="197">
        <f t="shared" ca="1" si="10"/>
        <v>0</v>
      </c>
      <c r="AF55" s="196">
        <f>IFERROR(G55/SUMIF(A:A,A55,G:G)*SUMIF(Summary!$A$166:$A$242,'Operations Support'!A55,Summary!$Q$166:$Q$242),0)</f>
        <v>0</v>
      </c>
      <c r="AG55" s="196">
        <f t="shared" ca="1" si="11"/>
        <v>0</v>
      </c>
      <c r="AI55" s="196">
        <f>IFERROR($G55/SUMIF($A:$A,$A55,$G:$G)*SUMIF(Summary!$A$247:$A$283,$A55,Summary!$P$247:$P$283),0)</f>
        <v>0</v>
      </c>
      <c r="AJ55" s="196">
        <f>IFERROR($G55/SUMIF($A:$A,$A55,$G:$G)*(SUMIF(Summary!$A$247:$A$283,$A55,Summary!$L$247:$L$283)+SUMIF(Summary!$A$297:$A$333,$A55,Summary!$L$297:$L$333))-AI55,0)</f>
        <v>0</v>
      </c>
      <c r="AK55" s="196">
        <f>IFERROR($G55/SUMIF($A:$A,$A55,$G:$G)*SUMIF(Summary!$A$247:$A$283,$A55,Summary!$Q$247:$Q$283),0)</f>
        <v>0</v>
      </c>
      <c r="AL55" s="196">
        <f>IFERROR($G55/SUMIF($A:$A,$A55,$G:$G)*(SUMIF(Summary!$A$247:$A$283,$A55,Summary!$L$247:$L$283)+SUMIF(Summary!$A$297:$A$333,$A55,Summary!$L$297:$L$333))-AK55,0)</f>
        <v>0</v>
      </c>
      <c r="AM55" s="198"/>
      <c r="AN55" s="196">
        <f t="shared" ca="1" si="12"/>
        <v>0</v>
      </c>
      <c r="AO55" s="196">
        <f t="shared" ca="1" si="13"/>
        <v>0</v>
      </c>
    </row>
    <row r="56" spans="1:41">
      <c r="A56" s="189">
        <v>20</v>
      </c>
      <c r="B56" s="190">
        <v>3</v>
      </c>
      <c r="C56" s="191" t="s">
        <v>229</v>
      </c>
      <c r="D56" s="192">
        <f t="shared" si="0"/>
        <v>0</v>
      </c>
      <c r="E56" s="192">
        <f t="shared" si="1"/>
        <v>0</v>
      </c>
      <c r="F56" s="192">
        <f t="shared" si="2"/>
        <v>0</v>
      </c>
      <c r="G56" s="193">
        <f t="shared" si="3"/>
        <v>0</v>
      </c>
      <c r="H56" s="194">
        <v>0</v>
      </c>
      <c r="I56" s="194">
        <v>0</v>
      </c>
      <c r="J56" s="194">
        <v>0</v>
      </c>
      <c r="K56" s="193">
        <f t="shared" si="4"/>
        <v>0</v>
      </c>
      <c r="L56" s="194">
        <v>0</v>
      </c>
      <c r="M56" s="194">
        <v>0</v>
      </c>
      <c r="N56" s="194">
        <v>0</v>
      </c>
      <c r="O56" s="193">
        <f t="shared" si="5"/>
        <v>0</v>
      </c>
      <c r="P56" s="194">
        <v>0</v>
      </c>
      <c r="Q56" s="194">
        <v>0</v>
      </c>
      <c r="R56" s="194">
        <v>0</v>
      </c>
      <c r="S56" s="193">
        <f t="shared" si="6"/>
        <v>0</v>
      </c>
      <c r="T56" s="193">
        <f t="shared" si="7"/>
        <v>0</v>
      </c>
      <c r="U56" s="193">
        <f ca="1">OFFSET('Expenditure Study'!$B$7,'Operations Support'!$C56,'Operations Support'!$B56)*$G56</f>
        <v>0</v>
      </c>
      <c r="V56" s="199">
        <f ca="1">U56*'Expenditure Study'!$B$31</f>
        <v>0</v>
      </c>
      <c r="W56" s="199">
        <f ca="1">IF(A56=10298,1.51,1)*IF($B56&lt;3,$D56*'Expenditure Study'!$B$32*OFFSET('Expenditure Study'!$B$7,'Operations Support'!$C56,'Operations Support'!$B56),0)</f>
        <v>0</v>
      </c>
      <c r="X56" s="200">
        <f ca="1">W56*'Expenditure Study'!$B$31</f>
        <v>0</v>
      </c>
      <c r="Y56" s="199">
        <f ca="1">U56*'Expenditure Study'!$B$31</f>
        <v>0</v>
      </c>
      <c r="Z56" s="200">
        <f ca="1">W56*'Expenditure Study'!$B$31</f>
        <v>0</v>
      </c>
      <c r="AA56" s="195">
        <f t="shared" ca="1" si="8"/>
        <v>0</v>
      </c>
      <c r="AB56" s="195">
        <f t="shared" ca="1" si="9"/>
        <v>0</v>
      </c>
      <c r="AD56" s="196">
        <f>IFERROR($G56/SUMIF($A:$A,$A56,$G:$G)*SUMIF(Summary!$A$166:$A$242,$A56,Summary!$P$166:$P$242),0)</f>
        <v>0</v>
      </c>
      <c r="AE56" s="197">
        <f t="shared" ca="1" si="10"/>
        <v>0</v>
      </c>
      <c r="AF56" s="196">
        <f>IFERROR(G56/SUMIF(A:A,A56,G:G)*SUMIF(Summary!$A$166:$A$242,'Operations Support'!A56,Summary!$Q$166:$Q$242),0)</f>
        <v>0</v>
      </c>
      <c r="AG56" s="196">
        <f t="shared" ca="1" si="11"/>
        <v>0</v>
      </c>
      <c r="AI56" s="196">
        <f>IFERROR($G56/SUMIF($A:$A,$A56,$G:$G)*SUMIF(Summary!$A$247:$A$283,$A56,Summary!$P$247:$P$283),0)</f>
        <v>0</v>
      </c>
      <c r="AJ56" s="196">
        <f>IFERROR($G56/SUMIF($A:$A,$A56,$G:$G)*(SUMIF(Summary!$A$247:$A$283,$A56,Summary!$L$247:$L$283)+SUMIF(Summary!$A$297:$A$333,$A56,Summary!$L$297:$L$333))-AI56,0)</f>
        <v>0</v>
      </c>
      <c r="AK56" s="196">
        <f>IFERROR($G56/SUMIF($A:$A,$A56,$G:$G)*SUMIF(Summary!$A$247:$A$283,$A56,Summary!$Q$247:$Q$283),0)</f>
        <v>0</v>
      </c>
      <c r="AL56" s="196">
        <f>IFERROR($G56/SUMIF($A:$A,$A56,$G:$G)*(SUMIF(Summary!$A$247:$A$283,$A56,Summary!$L$247:$L$283)+SUMIF(Summary!$A$297:$A$333,$A56,Summary!$L$297:$L$333))-AK56,0)</f>
        <v>0</v>
      </c>
      <c r="AM56" s="198"/>
      <c r="AN56" s="196">
        <f t="shared" ca="1" si="12"/>
        <v>0</v>
      </c>
      <c r="AO56" s="196">
        <f t="shared" ca="1" si="13"/>
        <v>0</v>
      </c>
    </row>
    <row r="57" spans="1:41">
      <c r="A57" s="189">
        <v>20</v>
      </c>
      <c r="B57" s="190">
        <v>3</v>
      </c>
      <c r="C57" s="191" t="s">
        <v>230</v>
      </c>
      <c r="D57" s="192">
        <f t="shared" si="0"/>
        <v>0</v>
      </c>
      <c r="E57" s="192">
        <f t="shared" si="1"/>
        <v>0</v>
      </c>
      <c r="F57" s="192">
        <f t="shared" si="2"/>
        <v>0</v>
      </c>
      <c r="G57" s="193">
        <f t="shared" si="3"/>
        <v>0</v>
      </c>
      <c r="H57" s="194">
        <v>0</v>
      </c>
      <c r="I57" s="194">
        <v>0</v>
      </c>
      <c r="J57" s="194">
        <v>0</v>
      </c>
      <c r="K57" s="193">
        <f t="shared" si="4"/>
        <v>0</v>
      </c>
      <c r="L57" s="194">
        <v>0</v>
      </c>
      <c r="M57" s="194">
        <v>0</v>
      </c>
      <c r="N57" s="194">
        <v>0</v>
      </c>
      <c r="O57" s="193">
        <f t="shared" si="5"/>
        <v>0</v>
      </c>
      <c r="P57" s="194">
        <v>0</v>
      </c>
      <c r="Q57" s="194">
        <v>0</v>
      </c>
      <c r="R57" s="194">
        <v>0</v>
      </c>
      <c r="S57" s="193">
        <f t="shared" si="6"/>
        <v>0</v>
      </c>
      <c r="T57" s="193">
        <f t="shared" si="7"/>
        <v>0</v>
      </c>
      <c r="U57" s="193">
        <f ca="1">OFFSET('Expenditure Study'!$B$7,'Operations Support'!$C57,'Operations Support'!$B57)*$G57</f>
        <v>0</v>
      </c>
      <c r="V57" s="199">
        <f ca="1">U57*'Expenditure Study'!$B$31</f>
        <v>0</v>
      </c>
      <c r="W57" s="199">
        <f ca="1">IF(A57=10298,1.51,1)*IF($B57&lt;3,$D57*'Expenditure Study'!$B$32*OFFSET('Expenditure Study'!$B$7,'Operations Support'!$C57,'Operations Support'!$B57),0)</f>
        <v>0</v>
      </c>
      <c r="X57" s="200">
        <f ca="1">W57*'Expenditure Study'!$B$31</f>
        <v>0</v>
      </c>
      <c r="Y57" s="199">
        <f ca="1">U57*'Expenditure Study'!$B$31</f>
        <v>0</v>
      </c>
      <c r="Z57" s="200">
        <f ca="1">W57*'Expenditure Study'!$B$31</f>
        <v>0</v>
      </c>
      <c r="AA57" s="195">
        <f t="shared" ca="1" si="8"/>
        <v>0</v>
      </c>
      <c r="AB57" s="195">
        <f t="shared" ca="1" si="9"/>
        <v>0</v>
      </c>
      <c r="AD57" s="196">
        <f>IFERROR($G57/SUMIF($A:$A,$A57,$G:$G)*SUMIF(Summary!$A$166:$A$242,$A57,Summary!$P$166:$P$242),0)</f>
        <v>0</v>
      </c>
      <c r="AE57" s="197">
        <f t="shared" ca="1" si="10"/>
        <v>0</v>
      </c>
      <c r="AF57" s="196">
        <f>IFERROR(G57/SUMIF(A:A,A57,G:G)*SUMIF(Summary!$A$166:$A$242,'Operations Support'!A57,Summary!$Q$166:$Q$242),0)</f>
        <v>0</v>
      </c>
      <c r="AG57" s="196">
        <f t="shared" ca="1" si="11"/>
        <v>0</v>
      </c>
      <c r="AI57" s="196">
        <f>IFERROR($G57/SUMIF($A:$A,$A57,$G:$G)*SUMIF(Summary!$A$247:$A$283,$A57,Summary!$P$247:$P$283),0)</f>
        <v>0</v>
      </c>
      <c r="AJ57" s="196">
        <f>IFERROR($G57/SUMIF($A:$A,$A57,$G:$G)*(SUMIF(Summary!$A$247:$A$283,$A57,Summary!$L$247:$L$283)+SUMIF(Summary!$A$297:$A$333,$A57,Summary!$L$297:$L$333))-AI57,0)</f>
        <v>0</v>
      </c>
      <c r="AK57" s="196">
        <f>IFERROR($G57/SUMIF($A:$A,$A57,$G:$G)*SUMIF(Summary!$A$247:$A$283,$A57,Summary!$Q$247:$Q$283),0)</f>
        <v>0</v>
      </c>
      <c r="AL57" s="196">
        <f>IFERROR($G57/SUMIF($A:$A,$A57,$G:$G)*(SUMIF(Summary!$A$247:$A$283,$A57,Summary!$L$247:$L$283)+SUMIF(Summary!$A$297:$A$333,$A57,Summary!$L$297:$L$333))-AK57,0)</f>
        <v>0</v>
      </c>
      <c r="AM57" s="198"/>
      <c r="AN57" s="196">
        <f t="shared" ca="1" si="12"/>
        <v>0</v>
      </c>
      <c r="AO57" s="196">
        <f t="shared" ca="1" si="13"/>
        <v>0</v>
      </c>
    </row>
    <row r="58" spans="1:41">
      <c r="A58" s="189">
        <v>20</v>
      </c>
      <c r="B58" s="190">
        <v>3</v>
      </c>
      <c r="C58" s="191" t="s">
        <v>231</v>
      </c>
      <c r="D58" s="192">
        <f t="shared" si="0"/>
        <v>0</v>
      </c>
      <c r="E58" s="192">
        <f t="shared" si="1"/>
        <v>0</v>
      </c>
      <c r="F58" s="192">
        <f t="shared" si="2"/>
        <v>0</v>
      </c>
      <c r="G58" s="193">
        <f t="shared" si="3"/>
        <v>0</v>
      </c>
      <c r="H58" s="194">
        <v>0</v>
      </c>
      <c r="I58" s="194">
        <v>0</v>
      </c>
      <c r="J58" s="194">
        <v>0</v>
      </c>
      <c r="K58" s="193">
        <f t="shared" si="4"/>
        <v>0</v>
      </c>
      <c r="L58" s="194">
        <v>0</v>
      </c>
      <c r="M58" s="194">
        <v>0</v>
      </c>
      <c r="N58" s="194">
        <v>0</v>
      </c>
      <c r="O58" s="193">
        <f t="shared" si="5"/>
        <v>0</v>
      </c>
      <c r="P58" s="194">
        <v>0</v>
      </c>
      <c r="Q58" s="194">
        <v>0</v>
      </c>
      <c r="R58" s="194">
        <v>0</v>
      </c>
      <c r="S58" s="193">
        <f t="shared" si="6"/>
        <v>0</v>
      </c>
      <c r="T58" s="193">
        <f t="shared" si="7"/>
        <v>0</v>
      </c>
      <c r="U58" s="193">
        <f ca="1">OFFSET('Expenditure Study'!$B$7,'Operations Support'!$C58,'Operations Support'!$B58)*$G58</f>
        <v>0</v>
      </c>
      <c r="V58" s="199">
        <f ca="1">U58*'Expenditure Study'!$B$31</f>
        <v>0</v>
      </c>
      <c r="W58" s="199">
        <f ca="1">IF(A58=10298,1.51,1)*IF($B58&lt;3,$D58*'Expenditure Study'!$B$32*OFFSET('Expenditure Study'!$B$7,'Operations Support'!$C58,'Operations Support'!$B58),0)</f>
        <v>0</v>
      </c>
      <c r="X58" s="200">
        <f ca="1">W58*'Expenditure Study'!$B$31</f>
        <v>0</v>
      </c>
      <c r="Y58" s="199">
        <f ca="1">U58*'Expenditure Study'!$B$31</f>
        <v>0</v>
      </c>
      <c r="Z58" s="200">
        <f ca="1">W58*'Expenditure Study'!$B$31</f>
        <v>0</v>
      </c>
      <c r="AA58" s="195">
        <f t="shared" ca="1" si="8"/>
        <v>0</v>
      </c>
      <c r="AB58" s="195">
        <f t="shared" ca="1" si="9"/>
        <v>0</v>
      </c>
      <c r="AD58" s="196">
        <f>IFERROR($G58/SUMIF($A:$A,$A58,$G:$G)*SUMIF(Summary!$A$166:$A$242,$A58,Summary!$P$166:$P$242),0)</f>
        <v>0</v>
      </c>
      <c r="AE58" s="197">
        <f t="shared" ca="1" si="10"/>
        <v>0</v>
      </c>
      <c r="AF58" s="196">
        <f>IFERROR(G58/SUMIF(A:A,A58,G:G)*SUMIF(Summary!$A$166:$A$242,'Operations Support'!A58,Summary!$Q$166:$Q$242),0)</f>
        <v>0</v>
      </c>
      <c r="AG58" s="196">
        <f t="shared" ca="1" si="11"/>
        <v>0</v>
      </c>
      <c r="AI58" s="196">
        <f>IFERROR($G58/SUMIF($A:$A,$A58,$G:$G)*SUMIF(Summary!$A$247:$A$283,$A58,Summary!$P$247:$P$283),0)</f>
        <v>0</v>
      </c>
      <c r="AJ58" s="196">
        <f>IFERROR($G58/SUMIF($A:$A,$A58,$G:$G)*(SUMIF(Summary!$A$247:$A$283,$A58,Summary!$L$247:$L$283)+SUMIF(Summary!$A$297:$A$333,$A58,Summary!$L$297:$L$333))-AI58,0)</f>
        <v>0</v>
      </c>
      <c r="AK58" s="196">
        <f>IFERROR($G58/SUMIF($A:$A,$A58,$G:$G)*SUMIF(Summary!$A$247:$A$283,$A58,Summary!$Q$247:$Q$283),0)</f>
        <v>0</v>
      </c>
      <c r="AL58" s="196">
        <f>IFERROR($G58/SUMIF($A:$A,$A58,$G:$G)*(SUMIF(Summary!$A$247:$A$283,$A58,Summary!$L$247:$L$283)+SUMIF(Summary!$A$297:$A$333,$A58,Summary!$L$297:$L$333))-AK58,0)</f>
        <v>0</v>
      </c>
      <c r="AM58" s="198"/>
      <c r="AN58" s="196">
        <f t="shared" ca="1" si="12"/>
        <v>0</v>
      </c>
      <c r="AO58" s="196">
        <f t="shared" ca="1" si="13"/>
        <v>0</v>
      </c>
    </row>
    <row r="59" spans="1:41">
      <c r="A59" s="189">
        <v>20</v>
      </c>
      <c r="B59" s="190">
        <v>3</v>
      </c>
      <c r="C59" s="191" t="s">
        <v>232</v>
      </c>
      <c r="D59" s="192">
        <f t="shared" si="0"/>
        <v>0</v>
      </c>
      <c r="E59" s="192">
        <f t="shared" si="1"/>
        <v>0</v>
      </c>
      <c r="F59" s="192">
        <f t="shared" si="2"/>
        <v>0</v>
      </c>
      <c r="G59" s="193">
        <f t="shared" si="3"/>
        <v>0</v>
      </c>
      <c r="H59" s="194">
        <v>0</v>
      </c>
      <c r="I59" s="194">
        <v>0</v>
      </c>
      <c r="J59" s="194">
        <v>0</v>
      </c>
      <c r="K59" s="193">
        <f t="shared" si="4"/>
        <v>0</v>
      </c>
      <c r="L59" s="194">
        <v>0</v>
      </c>
      <c r="M59" s="194">
        <v>0</v>
      </c>
      <c r="N59" s="194">
        <v>0</v>
      </c>
      <c r="O59" s="193">
        <f t="shared" si="5"/>
        <v>0</v>
      </c>
      <c r="P59" s="194">
        <v>0</v>
      </c>
      <c r="Q59" s="194">
        <v>0</v>
      </c>
      <c r="R59" s="194">
        <v>0</v>
      </c>
      <c r="S59" s="193">
        <f t="shared" si="6"/>
        <v>0</v>
      </c>
      <c r="T59" s="193">
        <f t="shared" si="7"/>
        <v>0</v>
      </c>
      <c r="U59" s="193">
        <f ca="1">OFFSET('Expenditure Study'!$B$7,'Operations Support'!$C59,'Operations Support'!$B59)*$G59</f>
        <v>0</v>
      </c>
      <c r="V59" s="199">
        <f ca="1">U59*'Expenditure Study'!$B$31</f>
        <v>0</v>
      </c>
      <c r="W59" s="199">
        <f ca="1">IF(A59=10298,1.51,1)*IF($B59&lt;3,$D59*'Expenditure Study'!$B$32*OFFSET('Expenditure Study'!$B$7,'Operations Support'!$C59,'Operations Support'!$B59),0)</f>
        <v>0</v>
      </c>
      <c r="X59" s="200">
        <f ca="1">W59*'Expenditure Study'!$B$31</f>
        <v>0</v>
      </c>
      <c r="Y59" s="199">
        <f ca="1">U59*'Expenditure Study'!$B$31</f>
        <v>0</v>
      </c>
      <c r="Z59" s="200">
        <f ca="1">W59*'Expenditure Study'!$B$31</f>
        <v>0</v>
      </c>
      <c r="AA59" s="195">
        <f t="shared" ca="1" si="8"/>
        <v>0</v>
      </c>
      <c r="AB59" s="195">
        <f t="shared" ca="1" si="9"/>
        <v>0</v>
      </c>
      <c r="AD59" s="196">
        <f>IFERROR($G59/SUMIF($A:$A,$A59,$G:$G)*SUMIF(Summary!$A$166:$A$242,$A59,Summary!$P$166:$P$242),0)</f>
        <v>0</v>
      </c>
      <c r="AE59" s="197">
        <f t="shared" ca="1" si="10"/>
        <v>0</v>
      </c>
      <c r="AF59" s="196">
        <f>IFERROR(G59/SUMIF(A:A,A59,G:G)*SUMIF(Summary!$A$166:$A$242,'Operations Support'!A59,Summary!$Q$166:$Q$242),0)</f>
        <v>0</v>
      </c>
      <c r="AG59" s="196">
        <f t="shared" ca="1" si="11"/>
        <v>0</v>
      </c>
      <c r="AI59" s="196">
        <f>IFERROR($G59/SUMIF($A:$A,$A59,$G:$G)*SUMIF(Summary!$A$247:$A$283,$A59,Summary!$P$247:$P$283),0)</f>
        <v>0</v>
      </c>
      <c r="AJ59" s="196">
        <f>IFERROR($G59/SUMIF($A:$A,$A59,$G:$G)*(SUMIF(Summary!$A$247:$A$283,$A59,Summary!$L$247:$L$283)+SUMIF(Summary!$A$297:$A$333,$A59,Summary!$L$297:$L$333))-AI59,0)</f>
        <v>0</v>
      </c>
      <c r="AK59" s="196">
        <f>IFERROR($G59/SUMIF($A:$A,$A59,$G:$G)*SUMIF(Summary!$A$247:$A$283,$A59,Summary!$Q$247:$Q$283),0)</f>
        <v>0</v>
      </c>
      <c r="AL59" s="196">
        <f>IFERROR($G59/SUMIF($A:$A,$A59,$G:$G)*(SUMIF(Summary!$A$247:$A$283,$A59,Summary!$L$247:$L$283)+SUMIF(Summary!$A$297:$A$333,$A59,Summary!$L$297:$L$333))-AK59,0)</f>
        <v>0</v>
      </c>
      <c r="AM59" s="198"/>
      <c r="AN59" s="196">
        <f t="shared" ca="1" si="12"/>
        <v>0</v>
      </c>
      <c r="AO59" s="196">
        <f t="shared" ca="1" si="13"/>
        <v>0</v>
      </c>
    </row>
    <row r="60" spans="1:41">
      <c r="A60" s="189">
        <v>20</v>
      </c>
      <c r="B60" s="190">
        <v>3</v>
      </c>
      <c r="C60" s="191" t="s">
        <v>233</v>
      </c>
      <c r="D60" s="192">
        <f t="shared" si="0"/>
        <v>0</v>
      </c>
      <c r="E60" s="192">
        <f t="shared" si="1"/>
        <v>0</v>
      </c>
      <c r="F60" s="192">
        <f t="shared" si="2"/>
        <v>0</v>
      </c>
      <c r="G60" s="193">
        <f t="shared" si="3"/>
        <v>0</v>
      </c>
      <c r="H60" s="194">
        <v>0</v>
      </c>
      <c r="I60" s="194">
        <v>0</v>
      </c>
      <c r="J60" s="194">
        <v>0</v>
      </c>
      <c r="K60" s="193">
        <f t="shared" si="4"/>
        <v>0</v>
      </c>
      <c r="L60" s="194">
        <v>0</v>
      </c>
      <c r="M60" s="194">
        <v>0</v>
      </c>
      <c r="N60" s="194">
        <v>0</v>
      </c>
      <c r="O60" s="193">
        <f t="shared" si="5"/>
        <v>0</v>
      </c>
      <c r="P60" s="194">
        <v>0</v>
      </c>
      <c r="Q60" s="194">
        <v>0</v>
      </c>
      <c r="R60" s="194">
        <v>0</v>
      </c>
      <c r="S60" s="193">
        <f t="shared" si="6"/>
        <v>0</v>
      </c>
      <c r="T60" s="193">
        <f t="shared" si="7"/>
        <v>0</v>
      </c>
      <c r="U60" s="193">
        <f ca="1">OFFSET('Expenditure Study'!$B$7,'Operations Support'!$C60,'Operations Support'!$B60)*$G60</f>
        <v>0</v>
      </c>
      <c r="V60" s="199">
        <f ca="1">U60*'Expenditure Study'!$B$31</f>
        <v>0</v>
      </c>
      <c r="W60" s="199">
        <f ca="1">IF(A60=10298,1.51,1)*IF($B60&lt;3,$D60*'Expenditure Study'!$B$32*OFFSET('Expenditure Study'!$B$7,'Operations Support'!$C60,'Operations Support'!$B60),0)</f>
        <v>0</v>
      </c>
      <c r="X60" s="200">
        <f ca="1">W60*'Expenditure Study'!$B$31</f>
        <v>0</v>
      </c>
      <c r="Y60" s="199">
        <f ca="1">U60*'Expenditure Study'!$B$31</f>
        <v>0</v>
      </c>
      <c r="Z60" s="200">
        <f ca="1">W60*'Expenditure Study'!$B$31</f>
        <v>0</v>
      </c>
      <c r="AA60" s="195">
        <f t="shared" ca="1" si="8"/>
        <v>0</v>
      </c>
      <c r="AB60" s="195">
        <f t="shared" ca="1" si="9"/>
        <v>0</v>
      </c>
      <c r="AD60" s="196">
        <f>IFERROR($G60/SUMIF($A:$A,$A60,$G:$G)*SUMIF(Summary!$A$166:$A$242,$A60,Summary!$P$166:$P$242),0)</f>
        <v>0</v>
      </c>
      <c r="AE60" s="197">
        <f t="shared" ca="1" si="10"/>
        <v>0</v>
      </c>
      <c r="AF60" s="196">
        <f>IFERROR(G60/SUMIF(A:A,A60,G:G)*SUMIF(Summary!$A$166:$A$242,'Operations Support'!A60,Summary!$Q$166:$Q$242),0)</f>
        <v>0</v>
      </c>
      <c r="AG60" s="196">
        <f t="shared" ca="1" si="11"/>
        <v>0</v>
      </c>
      <c r="AI60" s="196">
        <f>IFERROR($G60/SUMIF($A:$A,$A60,$G:$G)*SUMIF(Summary!$A$247:$A$283,$A60,Summary!$P$247:$P$283),0)</f>
        <v>0</v>
      </c>
      <c r="AJ60" s="196">
        <f>IFERROR($G60/SUMIF($A:$A,$A60,$G:$G)*(SUMIF(Summary!$A$247:$A$283,$A60,Summary!$L$247:$L$283)+SUMIF(Summary!$A$297:$A$333,$A60,Summary!$L$297:$L$333))-AI60,0)</f>
        <v>0</v>
      </c>
      <c r="AK60" s="196">
        <f>IFERROR($G60/SUMIF($A:$A,$A60,$G:$G)*SUMIF(Summary!$A$247:$A$283,$A60,Summary!$Q$247:$Q$283),0)</f>
        <v>0</v>
      </c>
      <c r="AL60" s="196">
        <f>IFERROR($G60/SUMIF($A:$A,$A60,$G:$G)*(SUMIF(Summary!$A$247:$A$283,$A60,Summary!$L$247:$L$283)+SUMIF(Summary!$A$297:$A$333,$A60,Summary!$L$297:$L$333))-AK60,0)</f>
        <v>0</v>
      </c>
      <c r="AM60" s="198"/>
      <c r="AN60" s="196">
        <f t="shared" ca="1" si="12"/>
        <v>0</v>
      </c>
      <c r="AO60" s="196">
        <f t="shared" ca="1" si="13"/>
        <v>0</v>
      </c>
    </row>
    <row r="61" spans="1:41">
      <c r="A61" s="189">
        <v>20</v>
      </c>
      <c r="B61" s="190">
        <v>3</v>
      </c>
      <c r="C61" s="191" t="s">
        <v>234</v>
      </c>
      <c r="D61" s="192">
        <f t="shared" si="0"/>
        <v>0</v>
      </c>
      <c r="E61" s="192">
        <f t="shared" si="1"/>
        <v>0</v>
      </c>
      <c r="F61" s="192">
        <f t="shared" si="2"/>
        <v>0</v>
      </c>
      <c r="G61" s="193">
        <f t="shared" si="3"/>
        <v>0</v>
      </c>
      <c r="H61" s="194">
        <v>0</v>
      </c>
      <c r="I61" s="194">
        <v>0</v>
      </c>
      <c r="J61" s="194">
        <v>0</v>
      </c>
      <c r="K61" s="193">
        <f t="shared" si="4"/>
        <v>0</v>
      </c>
      <c r="L61" s="194">
        <v>0</v>
      </c>
      <c r="M61" s="194">
        <v>0</v>
      </c>
      <c r="N61" s="194">
        <v>0</v>
      </c>
      <c r="O61" s="193">
        <f t="shared" si="5"/>
        <v>0</v>
      </c>
      <c r="P61" s="194">
        <v>0</v>
      </c>
      <c r="Q61" s="194">
        <v>0</v>
      </c>
      <c r="R61" s="194">
        <v>0</v>
      </c>
      <c r="S61" s="193">
        <f t="shared" si="6"/>
        <v>0</v>
      </c>
      <c r="T61" s="193">
        <f t="shared" si="7"/>
        <v>0</v>
      </c>
      <c r="U61" s="193">
        <f ca="1">OFFSET('Expenditure Study'!$B$7,'Operations Support'!$C61,'Operations Support'!$B61)*$G61</f>
        <v>0</v>
      </c>
      <c r="V61" s="199">
        <f ca="1">U61*'Expenditure Study'!$B$31</f>
        <v>0</v>
      </c>
      <c r="W61" s="199">
        <f ca="1">IF(A61=10298,1.51,1)*IF($B61&lt;3,$D61*'Expenditure Study'!$B$32*OFFSET('Expenditure Study'!$B$7,'Operations Support'!$C61,'Operations Support'!$B61),0)</f>
        <v>0</v>
      </c>
      <c r="X61" s="200">
        <f ca="1">W61*'Expenditure Study'!$B$31</f>
        <v>0</v>
      </c>
      <c r="Y61" s="199">
        <f ca="1">U61*'Expenditure Study'!$B$31</f>
        <v>0</v>
      </c>
      <c r="Z61" s="200">
        <f ca="1">W61*'Expenditure Study'!$B$31</f>
        <v>0</v>
      </c>
      <c r="AA61" s="195">
        <f t="shared" ca="1" si="8"/>
        <v>0</v>
      </c>
      <c r="AB61" s="195">
        <f t="shared" ca="1" si="9"/>
        <v>0</v>
      </c>
      <c r="AD61" s="196">
        <f>IFERROR($G61/SUMIF($A:$A,$A61,$G:$G)*SUMIF(Summary!$A$166:$A$242,$A61,Summary!$P$166:$P$242),0)</f>
        <v>0</v>
      </c>
      <c r="AE61" s="197">
        <f t="shared" ca="1" si="10"/>
        <v>0</v>
      </c>
      <c r="AF61" s="196">
        <f>IFERROR(G61/SUMIF(A:A,A61,G:G)*SUMIF(Summary!$A$166:$A$242,'Operations Support'!A61,Summary!$Q$166:$Q$242),0)</f>
        <v>0</v>
      </c>
      <c r="AG61" s="196">
        <f t="shared" ca="1" si="11"/>
        <v>0</v>
      </c>
      <c r="AI61" s="196">
        <f>IFERROR($G61/SUMIF($A:$A,$A61,$G:$G)*SUMIF(Summary!$A$247:$A$283,$A61,Summary!$P$247:$P$283),0)</f>
        <v>0</v>
      </c>
      <c r="AJ61" s="196">
        <f>IFERROR($G61/SUMIF($A:$A,$A61,$G:$G)*(SUMIF(Summary!$A$247:$A$283,$A61,Summary!$L$247:$L$283)+SUMIF(Summary!$A$297:$A$333,$A61,Summary!$L$297:$L$333))-AI61,0)</f>
        <v>0</v>
      </c>
      <c r="AK61" s="196">
        <f>IFERROR($G61/SUMIF($A:$A,$A61,$G:$G)*SUMIF(Summary!$A$247:$A$283,$A61,Summary!$Q$247:$Q$283),0)</f>
        <v>0</v>
      </c>
      <c r="AL61" s="196">
        <f>IFERROR($G61/SUMIF($A:$A,$A61,$G:$G)*(SUMIF(Summary!$A$247:$A$283,$A61,Summary!$L$247:$L$283)+SUMIF(Summary!$A$297:$A$333,$A61,Summary!$L$297:$L$333))-AK61,0)</f>
        <v>0</v>
      </c>
      <c r="AM61" s="198"/>
      <c r="AN61" s="196">
        <f t="shared" ca="1" si="12"/>
        <v>0</v>
      </c>
      <c r="AO61" s="196">
        <f t="shared" ca="1" si="13"/>
        <v>0</v>
      </c>
    </row>
    <row r="62" spans="1:41">
      <c r="A62" s="189">
        <v>20</v>
      </c>
      <c r="B62" s="190">
        <v>3</v>
      </c>
      <c r="C62" s="191" t="s">
        <v>235</v>
      </c>
      <c r="D62" s="192">
        <f t="shared" si="0"/>
        <v>363</v>
      </c>
      <c r="E62" s="192">
        <f t="shared" si="1"/>
        <v>57</v>
      </c>
      <c r="F62" s="192">
        <f t="shared" si="2"/>
        <v>0</v>
      </c>
      <c r="G62" s="193">
        <f t="shared" si="3"/>
        <v>420</v>
      </c>
      <c r="H62" s="194">
        <v>153</v>
      </c>
      <c r="I62" s="194">
        <v>0</v>
      </c>
      <c r="J62" s="194">
        <v>0</v>
      </c>
      <c r="K62" s="193">
        <f t="shared" si="4"/>
        <v>153</v>
      </c>
      <c r="L62" s="194">
        <v>99</v>
      </c>
      <c r="M62" s="194">
        <v>57</v>
      </c>
      <c r="N62" s="194">
        <v>0</v>
      </c>
      <c r="O62" s="193">
        <f t="shared" si="5"/>
        <v>156</v>
      </c>
      <c r="P62" s="194">
        <v>111</v>
      </c>
      <c r="Q62" s="194">
        <v>0</v>
      </c>
      <c r="R62" s="194">
        <v>0</v>
      </c>
      <c r="S62" s="193">
        <f t="shared" si="6"/>
        <v>111</v>
      </c>
      <c r="T62" s="193">
        <f t="shared" si="7"/>
        <v>17.5</v>
      </c>
      <c r="U62" s="193">
        <f ca="1">OFFSET('Expenditure Study'!$B$7,'Operations Support'!$C62,'Operations Support'!$B62)*$G62</f>
        <v>1327.2</v>
      </c>
      <c r="V62" s="199">
        <f ca="1">U62*'Expenditure Study'!$B$31</f>
        <v>78415.19755776001</v>
      </c>
      <c r="W62" s="199">
        <f ca="1">IF(A62=10298,1.51,1)*IF($B62&lt;3,$D62*'Expenditure Study'!$B$32*OFFSET('Expenditure Study'!$B$7,'Operations Support'!$C62,'Operations Support'!$B62),0)</f>
        <v>0</v>
      </c>
      <c r="X62" s="200">
        <f ca="1">W62*'Expenditure Study'!$B$31</f>
        <v>0</v>
      </c>
      <c r="Y62" s="199">
        <f ca="1">U62*'Expenditure Study'!$B$31</f>
        <v>78415.19755776001</v>
      </c>
      <c r="Z62" s="200">
        <f ca="1">W62*'Expenditure Study'!$B$31</f>
        <v>0</v>
      </c>
      <c r="AA62" s="195">
        <f t="shared" ca="1" si="8"/>
        <v>78415.19755776001</v>
      </c>
      <c r="AB62" s="195">
        <f t="shared" ca="1" si="9"/>
        <v>78415.19755776001</v>
      </c>
      <c r="AD62" s="196">
        <f>IFERROR($G62/SUMIF($A:$A,$A62,$G:$G)*SUMIF(Summary!$A$166:$A$242,$A62,Summary!$P$166:$P$242),0)</f>
        <v>12703.309868886285</v>
      </c>
      <c r="AE62" s="197">
        <f t="shared" ca="1" si="10"/>
        <v>65711.887688873729</v>
      </c>
      <c r="AF62" s="196">
        <f>IFERROR(G62/SUMIF(A:A,A62,G:G)*SUMIF(Summary!$A$166:$A$242,'Operations Support'!A62,Summary!$Q$166:$Q$242),0)</f>
        <v>12703.823564452739</v>
      </c>
      <c r="AG62" s="196">
        <f t="shared" ca="1" si="11"/>
        <v>65711.373993307265</v>
      </c>
      <c r="AI62" s="196">
        <f>IFERROR($G62/SUMIF($A:$A,$A62,$G:$G)*SUMIF(Summary!$A$247:$A$283,$A62,Summary!$P$247:$P$283),0)</f>
        <v>2316.7667125207545</v>
      </c>
      <c r="AJ62" s="196">
        <f>IFERROR($G62/SUMIF($A:$A,$A62,$G:$G)*(SUMIF(Summary!$A$247:$A$283,$A62,Summary!$L$247:$L$283)+SUMIF(Summary!$A$297:$A$333,$A62,Summary!$L$297:$L$333))-AI62,0)</f>
        <v>56335.794686228575</v>
      </c>
      <c r="AK62" s="196">
        <f>IFERROR($G62/SUMIF($A:$A,$A62,$G:$G)*SUMIF(Summary!$A$247:$A$283,$A62,Summary!$Q$247:$Q$283),0)</f>
        <v>2316.8603977729463</v>
      </c>
      <c r="AL62" s="196">
        <f>IFERROR($G62/SUMIF($A:$A,$A62,$G:$G)*(SUMIF(Summary!$A$247:$A$283,$A62,Summary!$L$247:$L$283)+SUMIF(Summary!$A$297:$A$333,$A62,Summary!$L$297:$L$333))-AK62,0)</f>
        <v>56335.701000976384</v>
      </c>
      <c r="AM62" s="198"/>
      <c r="AN62" s="196">
        <f t="shared" ca="1" si="12"/>
        <v>122047.6823751023</v>
      </c>
      <c r="AO62" s="196">
        <f t="shared" ca="1" si="13"/>
        <v>122047.07499428364</v>
      </c>
    </row>
    <row r="63" spans="1:41">
      <c r="A63" s="189">
        <v>20</v>
      </c>
      <c r="B63" s="190">
        <v>3</v>
      </c>
      <c r="C63" s="191" t="s">
        <v>236</v>
      </c>
      <c r="D63" s="192">
        <f t="shared" si="0"/>
        <v>0</v>
      </c>
      <c r="E63" s="192">
        <f t="shared" si="1"/>
        <v>0</v>
      </c>
      <c r="F63" s="192">
        <f t="shared" si="2"/>
        <v>0</v>
      </c>
      <c r="G63" s="193">
        <f t="shared" si="3"/>
        <v>0</v>
      </c>
      <c r="H63" s="194">
        <v>0</v>
      </c>
      <c r="I63" s="194">
        <v>0</v>
      </c>
      <c r="J63" s="194">
        <v>0</v>
      </c>
      <c r="K63" s="193">
        <f t="shared" si="4"/>
        <v>0</v>
      </c>
      <c r="L63" s="194">
        <v>0</v>
      </c>
      <c r="M63" s="194">
        <v>0</v>
      </c>
      <c r="N63" s="194">
        <v>0</v>
      </c>
      <c r="O63" s="193">
        <f t="shared" si="5"/>
        <v>0</v>
      </c>
      <c r="P63" s="194">
        <v>0</v>
      </c>
      <c r="Q63" s="194">
        <v>0</v>
      </c>
      <c r="R63" s="194">
        <v>0</v>
      </c>
      <c r="S63" s="193">
        <f t="shared" si="6"/>
        <v>0</v>
      </c>
      <c r="T63" s="193">
        <f t="shared" si="7"/>
        <v>0</v>
      </c>
      <c r="U63" s="193">
        <f ca="1">OFFSET('Expenditure Study'!$B$7,'Operations Support'!$C63,'Operations Support'!$B63)*$G63</f>
        <v>0</v>
      </c>
      <c r="V63" s="199">
        <f ca="1">U63*'Expenditure Study'!$B$31</f>
        <v>0</v>
      </c>
      <c r="W63" s="199">
        <f ca="1">IF(A63=10298,1.51,1)*IF($B63&lt;3,$D63*'Expenditure Study'!$B$32*OFFSET('Expenditure Study'!$B$7,'Operations Support'!$C63,'Operations Support'!$B63),0)</f>
        <v>0</v>
      </c>
      <c r="X63" s="200">
        <f ca="1">W63*'Expenditure Study'!$B$31</f>
        <v>0</v>
      </c>
      <c r="Y63" s="199">
        <f ca="1">U63*'Expenditure Study'!$B$31</f>
        <v>0</v>
      </c>
      <c r="Z63" s="200">
        <f ca="1">W63*'Expenditure Study'!$B$31</f>
        <v>0</v>
      </c>
      <c r="AA63" s="195">
        <f t="shared" ca="1" si="8"/>
        <v>0</v>
      </c>
      <c r="AB63" s="195">
        <f t="shared" ca="1" si="9"/>
        <v>0</v>
      </c>
      <c r="AD63" s="196">
        <f>IFERROR($G63/SUMIF($A:$A,$A63,$G:$G)*SUMIF(Summary!$A$166:$A$242,$A63,Summary!$P$166:$P$242),0)</f>
        <v>0</v>
      </c>
      <c r="AE63" s="197">
        <f t="shared" ca="1" si="10"/>
        <v>0</v>
      </c>
      <c r="AF63" s="196">
        <f>IFERROR(G63/SUMIF(A:A,A63,G:G)*SUMIF(Summary!$A$166:$A$242,'Operations Support'!A63,Summary!$Q$166:$Q$242),0)</f>
        <v>0</v>
      </c>
      <c r="AG63" s="196">
        <f t="shared" ca="1" si="11"/>
        <v>0</v>
      </c>
      <c r="AI63" s="196">
        <f>IFERROR($G63/SUMIF($A:$A,$A63,$G:$G)*SUMIF(Summary!$A$247:$A$283,$A63,Summary!$P$247:$P$283),0)</f>
        <v>0</v>
      </c>
      <c r="AJ63" s="196">
        <f>IFERROR($G63/SUMIF($A:$A,$A63,$G:$G)*(SUMIF(Summary!$A$247:$A$283,$A63,Summary!$L$247:$L$283)+SUMIF(Summary!$A$297:$A$333,$A63,Summary!$L$297:$L$333))-AI63,0)</f>
        <v>0</v>
      </c>
      <c r="AK63" s="196">
        <f>IFERROR($G63/SUMIF($A:$A,$A63,$G:$G)*SUMIF(Summary!$A$247:$A$283,$A63,Summary!$Q$247:$Q$283),0)</f>
        <v>0</v>
      </c>
      <c r="AL63" s="196">
        <f>IFERROR($G63/SUMIF($A:$A,$A63,$G:$G)*(SUMIF(Summary!$A$247:$A$283,$A63,Summary!$L$247:$L$283)+SUMIF(Summary!$A$297:$A$333,$A63,Summary!$L$297:$L$333))-AK63,0)</f>
        <v>0</v>
      </c>
      <c r="AM63" s="198"/>
      <c r="AN63" s="196">
        <f t="shared" ca="1" si="12"/>
        <v>0</v>
      </c>
      <c r="AO63" s="196">
        <f t="shared" ca="1" si="13"/>
        <v>0</v>
      </c>
    </row>
    <row r="64" spans="1:41">
      <c r="A64" s="189">
        <v>20</v>
      </c>
      <c r="B64" s="190">
        <v>3</v>
      </c>
      <c r="C64" s="191" t="s">
        <v>237</v>
      </c>
      <c r="D64" s="192">
        <f t="shared" si="0"/>
        <v>0</v>
      </c>
      <c r="E64" s="192">
        <f t="shared" si="1"/>
        <v>0</v>
      </c>
      <c r="F64" s="192">
        <f t="shared" si="2"/>
        <v>0</v>
      </c>
      <c r="G64" s="193">
        <f t="shared" si="3"/>
        <v>0</v>
      </c>
      <c r="H64" s="194">
        <v>0</v>
      </c>
      <c r="I64" s="194">
        <v>0</v>
      </c>
      <c r="J64" s="194">
        <v>0</v>
      </c>
      <c r="K64" s="193">
        <f t="shared" si="4"/>
        <v>0</v>
      </c>
      <c r="L64" s="194">
        <v>0</v>
      </c>
      <c r="M64" s="194">
        <v>0</v>
      </c>
      <c r="N64" s="194">
        <v>0</v>
      </c>
      <c r="O64" s="193">
        <f t="shared" si="5"/>
        <v>0</v>
      </c>
      <c r="P64" s="194">
        <v>0</v>
      </c>
      <c r="Q64" s="194">
        <v>0</v>
      </c>
      <c r="R64" s="194">
        <v>0</v>
      </c>
      <c r="S64" s="193">
        <f t="shared" si="6"/>
        <v>0</v>
      </c>
      <c r="T64" s="193">
        <f t="shared" si="7"/>
        <v>0</v>
      </c>
      <c r="U64" s="193">
        <f ca="1">OFFSET('Expenditure Study'!$B$7,'Operations Support'!$C64,'Operations Support'!$B64)*$G64</f>
        <v>0</v>
      </c>
      <c r="V64" s="199">
        <f ca="1">U64*'Expenditure Study'!$B$31</f>
        <v>0</v>
      </c>
      <c r="W64" s="199">
        <f ca="1">IF(A64=10298,1.51,1)*IF($B64&lt;3,$D64*'Expenditure Study'!$B$32*OFFSET('Expenditure Study'!$B$7,'Operations Support'!$C64,'Operations Support'!$B64),0)</f>
        <v>0</v>
      </c>
      <c r="X64" s="200">
        <f ca="1">W64*'Expenditure Study'!$B$31</f>
        <v>0</v>
      </c>
      <c r="Y64" s="199">
        <f ca="1">U64*'Expenditure Study'!$B$31</f>
        <v>0</v>
      </c>
      <c r="Z64" s="200">
        <f ca="1">W64*'Expenditure Study'!$B$31</f>
        <v>0</v>
      </c>
      <c r="AA64" s="195">
        <f t="shared" ca="1" si="8"/>
        <v>0</v>
      </c>
      <c r="AB64" s="195">
        <f t="shared" ca="1" si="9"/>
        <v>0</v>
      </c>
      <c r="AD64" s="196">
        <f>IFERROR($G64/SUMIF($A:$A,$A64,$G:$G)*SUMIF(Summary!$A$166:$A$242,$A64,Summary!$P$166:$P$242),0)</f>
        <v>0</v>
      </c>
      <c r="AE64" s="197">
        <f t="shared" ca="1" si="10"/>
        <v>0</v>
      </c>
      <c r="AF64" s="196">
        <f>IFERROR(G64/SUMIF(A:A,A64,G:G)*SUMIF(Summary!$A$166:$A$242,'Operations Support'!A64,Summary!$Q$166:$Q$242),0)</f>
        <v>0</v>
      </c>
      <c r="AG64" s="196">
        <f t="shared" ca="1" si="11"/>
        <v>0</v>
      </c>
      <c r="AI64" s="196">
        <f>IFERROR($G64/SUMIF($A:$A,$A64,$G:$G)*SUMIF(Summary!$A$247:$A$283,$A64,Summary!$P$247:$P$283),0)</f>
        <v>0</v>
      </c>
      <c r="AJ64" s="196">
        <f>IFERROR($G64/SUMIF($A:$A,$A64,$G:$G)*(SUMIF(Summary!$A$247:$A$283,$A64,Summary!$L$247:$L$283)+SUMIF(Summary!$A$297:$A$333,$A64,Summary!$L$297:$L$333))-AI64,0)</f>
        <v>0</v>
      </c>
      <c r="AK64" s="196">
        <f>IFERROR($G64/SUMIF($A:$A,$A64,$G:$G)*SUMIF(Summary!$A$247:$A$283,$A64,Summary!$Q$247:$Q$283),0)</f>
        <v>0</v>
      </c>
      <c r="AL64" s="196">
        <f>IFERROR($G64/SUMIF($A:$A,$A64,$G:$G)*(SUMIF(Summary!$A$247:$A$283,$A64,Summary!$L$247:$L$283)+SUMIF(Summary!$A$297:$A$333,$A64,Summary!$L$297:$L$333))-AK64,0)</f>
        <v>0</v>
      </c>
      <c r="AM64" s="198"/>
      <c r="AN64" s="196">
        <f t="shared" ca="1" si="12"/>
        <v>0</v>
      </c>
      <c r="AO64" s="196">
        <f t="shared" ca="1" si="13"/>
        <v>0</v>
      </c>
    </row>
    <row r="65" spans="1:41">
      <c r="A65" s="189">
        <v>20</v>
      </c>
      <c r="B65" s="190">
        <v>3</v>
      </c>
      <c r="C65" s="191" t="s">
        <v>238</v>
      </c>
      <c r="D65" s="192">
        <f t="shared" si="0"/>
        <v>0</v>
      </c>
      <c r="E65" s="192">
        <f t="shared" si="1"/>
        <v>0</v>
      </c>
      <c r="F65" s="192">
        <f t="shared" si="2"/>
        <v>0</v>
      </c>
      <c r="G65" s="193">
        <f t="shared" si="3"/>
        <v>0</v>
      </c>
      <c r="H65" s="194">
        <v>0</v>
      </c>
      <c r="I65" s="194">
        <v>0</v>
      </c>
      <c r="J65" s="194">
        <v>0</v>
      </c>
      <c r="K65" s="193">
        <f t="shared" si="4"/>
        <v>0</v>
      </c>
      <c r="L65" s="194">
        <v>0</v>
      </c>
      <c r="M65" s="194">
        <v>0</v>
      </c>
      <c r="N65" s="194">
        <v>0</v>
      </c>
      <c r="O65" s="193">
        <f t="shared" si="5"/>
        <v>0</v>
      </c>
      <c r="P65" s="194">
        <v>0</v>
      </c>
      <c r="Q65" s="194">
        <v>0</v>
      </c>
      <c r="R65" s="194">
        <v>0</v>
      </c>
      <c r="S65" s="193">
        <f t="shared" si="6"/>
        <v>0</v>
      </c>
      <c r="T65" s="193">
        <f t="shared" si="7"/>
        <v>0</v>
      </c>
      <c r="U65" s="193">
        <f ca="1">OFFSET('Expenditure Study'!$B$7,'Operations Support'!$C65,'Operations Support'!$B65)*$G65</f>
        <v>0</v>
      </c>
      <c r="V65" s="199">
        <f ca="1">U65*'Expenditure Study'!$B$31</f>
        <v>0</v>
      </c>
      <c r="W65" s="199">
        <f ca="1">IF(A65=10298,1.51,1)*IF($B65&lt;3,$D65*'Expenditure Study'!$B$32*OFFSET('Expenditure Study'!$B$7,'Operations Support'!$C65,'Operations Support'!$B65),0)</f>
        <v>0</v>
      </c>
      <c r="X65" s="200">
        <f ca="1">W65*'Expenditure Study'!$B$31</f>
        <v>0</v>
      </c>
      <c r="Y65" s="199">
        <f ca="1">U65*'Expenditure Study'!$B$31</f>
        <v>0</v>
      </c>
      <c r="Z65" s="200">
        <f ca="1">W65*'Expenditure Study'!$B$31</f>
        <v>0</v>
      </c>
      <c r="AA65" s="195">
        <f t="shared" ca="1" si="8"/>
        <v>0</v>
      </c>
      <c r="AB65" s="195">
        <f t="shared" ca="1" si="9"/>
        <v>0</v>
      </c>
      <c r="AD65" s="196">
        <f>IFERROR($G65/SUMIF($A:$A,$A65,$G:$G)*SUMIF(Summary!$A$166:$A$242,$A65,Summary!$P$166:$P$242),0)</f>
        <v>0</v>
      </c>
      <c r="AE65" s="197">
        <f t="shared" ca="1" si="10"/>
        <v>0</v>
      </c>
      <c r="AF65" s="196">
        <f>IFERROR(G65/SUMIF(A:A,A65,G:G)*SUMIF(Summary!$A$166:$A$242,'Operations Support'!A65,Summary!$Q$166:$Q$242),0)</f>
        <v>0</v>
      </c>
      <c r="AG65" s="196">
        <f t="shared" ca="1" si="11"/>
        <v>0</v>
      </c>
      <c r="AI65" s="196">
        <f>IFERROR($G65/SUMIF($A:$A,$A65,$G:$G)*SUMIF(Summary!$A$247:$A$283,$A65,Summary!$P$247:$P$283),0)</f>
        <v>0</v>
      </c>
      <c r="AJ65" s="196">
        <f>IFERROR($G65/SUMIF($A:$A,$A65,$G:$G)*(SUMIF(Summary!$A$247:$A$283,$A65,Summary!$L$247:$L$283)+SUMIF(Summary!$A$297:$A$333,$A65,Summary!$L$297:$L$333))-AI65,0)</f>
        <v>0</v>
      </c>
      <c r="AK65" s="196">
        <f>IFERROR($G65/SUMIF($A:$A,$A65,$G:$G)*SUMIF(Summary!$A$247:$A$283,$A65,Summary!$Q$247:$Q$283),0)</f>
        <v>0</v>
      </c>
      <c r="AL65" s="196">
        <f>IFERROR($G65/SUMIF($A:$A,$A65,$G:$G)*(SUMIF(Summary!$A$247:$A$283,$A65,Summary!$L$247:$L$283)+SUMIF(Summary!$A$297:$A$333,$A65,Summary!$L$297:$L$333))-AK65,0)</f>
        <v>0</v>
      </c>
      <c r="AM65" s="198"/>
      <c r="AN65" s="196">
        <f t="shared" ca="1" si="12"/>
        <v>0</v>
      </c>
      <c r="AO65" s="196">
        <f t="shared" ca="1" si="13"/>
        <v>0</v>
      </c>
    </row>
    <row r="66" spans="1:41">
      <c r="A66" s="189">
        <v>20</v>
      </c>
      <c r="B66" s="190">
        <v>3</v>
      </c>
      <c r="C66" s="191" t="s">
        <v>239</v>
      </c>
      <c r="D66" s="192">
        <f t="shared" si="0"/>
        <v>0</v>
      </c>
      <c r="E66" s="192">
        <f t="shared" si="1"/>
        <v>0</v>
      </c>
      <c r="F66" s="192">
        <f t="shared" si="2"/>
        <v>0</v>
      </c>
      <c r="G66" s="193">
        <f t="shared" si="3"/>
        <v>0</v>
      </c>
      <c r="H66" s="194">
        <v>0</v>
      </c>
      <c r="I66" s="194">
        <v>0</v>
      </c>
      <c r="J66" s="194">
        <v>0</v>
      </c>
      <c r="K66" s="193">
        <f t="shared" si="4"/>
        <v>0</v>
      </c>
      <c r="L66" s="194">
        <v>0</v>
      </c>
      <c r="M66" s="194">
        <v>0</v>
      </c>
      <c r="N66" s="194">
        <v>0</v>
      </c>
      <c r="O66" s="193">
        <f t="shared" si="5"/>
        <v>0</v>
      </c>
      <c r="P66" s="194">
        <v>0</v>
      </c>
      <c r="Q66" s="194">
        <v>0</v>
      </c>
      <c r="R66" s="194">
        <v>0</v>
      </c>
      <c r="S66" s="193">
        <f t="shared" si="6"/>
        <v>0</v>
      </c>
      <c r="T66" s="193">
        <f t="shared" si="7"/>
        <v>0</v>
      </c>
      <c r="U66" s="193">
        <f ca="1">OFFSET('Expenditure Study'!$B$7,'Operations Support'!$C66,'Operations Support'!$B66)*$G66</f>
        <v>0</v>
      </c>
      <c r="V66" s="199">
        <f ca="1">U66*'Expenditure Study'!$B$31</f>
        <v>0</v>
      </c>
      <c r="W66" s="199">
        <f ca="1">IF(A66=10298,1.51,1)*IF($B66&lt;3,$D66*'Expenditure Study'!$B$32*OFFSET('Expenditure Study'!$B$7,'Operations Support'!$C66,'Operations Support'!$B66),0)</f>
        <v>0</v>
      </c>
      <c r="X66" s="200">
        <f ca="1">W66*'Expenditure Study'!$B$31</f>
        <v>0</v>
      </c>
      <c r="Y66" s="199">
        <f ca="1">U66*'Expenditure Study'!$B$31</f>
        <v>0</v>
      </c>
      <c r="Z66" s="200">
        <f ca="1">W66*'Expenditure Study'!$B$31</f>
        <v>0</v>
      </c>
      <c r="AA66" s="195">
        <f t="shared" ca="1" si="8"/>
        <v>0</v>
      </c>
      <c r="AB66" s="195">
        <f t="shared" ca="1" si="9"/>
        <v>0</v>
      </c>
      <c r="AD66" s="196">
        <f>IFERROR($G66/SUMIF($A:$A,$A66,$G:$G)*SUMIF(Summary!$A$166:$A$242,$A66,Summary!$P$166:$P$242),0)</f>
        <v>0</v>
      </c>
      <c r="AE66" s="197">
        <f t="shared" ca="1" si="10"/>
        <v>0</v>
      </c>
      <c r="AF66" s="196">
        <f>IFERROR(G66/SUMIF(A:A,A66,G:G)*SUMIF(Summary!$A$166:$A$242,'Operations Support'!A66,Summary!$Q$166:$Q$242),0)</f>
        <v>0</v>
      </c>
      <c r="AG66" s="196">
        <f t="shared" ca="1" si="11"/>
        <v>0</v>
      </c>
      <c r="AI66" s="196">
        <f>IFERROR($G66/SUMIF($A:$A,$A66,$G:$G)*SUMIF(Summary!$A$247:$A$283,$A66,Summary!$P$247:$P$283),0)</f>
        <v>0</v>
      </c>
      <c r="AJ66" s="196">
        <f>IFERROR($G66/SUMIF($A:$A,$A66,$G:$G)*(SUMIF(Summary!$A$247:$A$283,$A66,Summary!$L$247:$L$283)+SUMIF(Summary!$A$297:$A$333,$A66,Summary!$L$297:$L$333))-AI66,0)</f>
        <v>0</v>
      </c>
      <c r="AK66" s="196">
        <f>IFERROR($G66/SUMIF($A:$A,$A66,$G:$G)*SUMIF(Summary!$A$247:$A$283,$A66,Summary!$Q$247:$Q$283),0)</f>
        <v>0</v>
      </c>
      <c r="AL66" s="196">
        <f>IFERROR($G66/SUMIF($A:$A,$A66,$G:$G)*(SUMIF(Summary!$A$247:$A$283,$A66,Summary!$L$247:$L$283)+SUMIF(Summary!$A$297:$A$333,$A66,Summary!$L$297:$L$333))-AK66,0)</f>
        <v>0</v>
      </c>
      <c r="AM66" s="198"/>
      <c r="AN66" s="196">
        <f t="shared" ca="1" si="12"/>
        <v>0</v>
      </c>
      <c r="AO66" s="196">
        <f t="shared" ca="1" si="13"/>
        <v>0</v>
      </c>
    </row>
    <row r="67" spans="1:41">
      <c r="A67" s="189">
        <v>20</v>
      </c>
      <c r="B67" s="190">
        <v>3</v>
      </c>
      <c r="C67" s="191" t="s">
        <v>240</v>
      </c>
      <c r="D67" s="192">
        <f t="shared" si="0"/>
        <v>0</v>
      </c>
      <c r="E67" s="192">
        <f t="shared" si="1"/>
        <v>0</v>
      </c>
      <c r="F67" s="192">
        <f t="shared" si="2"/>
        <v>0</v>
      </c>
      <c r="G67" s="193">
        <f t="shared" si="3"/>
        <v>0</v>
      </c>
      <c r="H67" s="194">
        <v>0</v>
      </c>
      <c r="I67" s="194">
        <v>0</v>
      </c>
      <c r="J67" s="194">
        <v>0</v>
      </c>
      <c r="K67" s="193">
        <f t="shared" si="4"/>
        <v>0</v>
      </c>
      <c r="L67" s="194">
        <v>0</v>
      </c>
      <c r="M67" s="194">
        <v>0</v>
      </c>
      <c r="N67" s="194">
        <v>0</v>
      </c>
      <c r="O67" s="193">
        <f t="shared" si="5"/>
        <v>0</v>
      </c>
      <c r="P67" s="194">
        <v>0</v>
      </c>
      <c r="Q67" s="194">
        <v>0</v>
      </c>
      <c r="R67" s="194">
        <v>0</v>
      </c>
      <c r="S67" s="193">
        <f t="shared" si="6"/>
        <v>0</v>
      </c>
      <c r="T67" s="193">
        <f t="shared" si="7"/>
        <v>0</v>
      </c>
      <c r="U67" s="193">
        <f ca="1">OFFSET('Expenditure Study'!$B$7,'Operations Support'!$C67,'Operations Support'!$B67)*$G67</f>
        <v>0</v>
      </c>
      <c r="V67" s="199">
        <f ca="1">U67*'Expenditure Study'!$B$31</f>
        <v>0</v>
      </c>
      <c r="W67" s="199">
        <f ca="1">IF(A67=10298,1.51,1)*IF($B67&lt;3,$D67*'Expenditure Study'!$B$32*OFFSET('Expenditure Study'!$B$7,'Operations Support'!$C67,'Operations Support'!$B67),0)</f>
        <v>0</v>
      </c>
      <c r="X67" s="200">
        <f ca="1">W67*'Expenditure Study'!$B$31</f>
        <v>0</v>
      </c>
      <c r="Y67" s="199">
        <f ca="1">U67*'Expenditure Study'!$B$31</f>
        <v>0</v>
      </c>
      <c r="Z67" s="200">
        <f ca="1">W67*'Expenditure Study'!$B$31</f>
        <v>0</v>
      </c>
      <c r="AA67" s="195">
        <f t="shared" ca="1" si="8"/>
        <v>0</v>
      </c>
      <c r="AB67" s="195">
        <f t="shared" ca="1" si="9"/>
        <v>0</v>
      </c>
      <c r="AD67" s="196">
        <f>IFERROR($G67/SUMIF($A:$A,$A67,$G:$G)*SUMIF(Summary!$A$166:$A$242,$A67,Summary!$P$166:$P$242),0)</f>
        <v>0</v>
      </c>
      <c r="AE67" s="197">
        <f t="shared" ca="1" si="10"/>
        <v>0</v>
      </c>
      <c r="AF67" s="196">
        <f>IFERROR(G67/SUMIF(A:A,A67,G:G)*SUMIF(Summary!$A$166:$A$242,'Operations Support'!A67,Summary!$Q$166:$Q$242),0)</f>
        <v>0</v>
      </c>
      <c r="AG67" s="196">
        <f t="shared" ca="1" si="11"/>
        <v>0</v>
      </c>
      <c r="AI67" s="196">
        <f>IFERROR($G67/SUMIF($A:$A,$A67,$G:$G)*SUMIF(Summary!$A$247:$A$283,$A67,Summary!$P$247:$P$283),0)</f>
        <v>0</v>
      </c>
      <c r="AJ67" s="196">
        <f>IFERROR($G67/SUMIF($A:$A,$A67,$G:$G)*(SUMIF(Summary!$A$247:$A$283,$A67,Summary!$L$247:$L$283)+SUMIF(Summary!$A$297:$A$333,$A67,Summary!$L$297:$L$333))-AI67,0)</f>
        <v>0</v>
      </c>
      <c r="AK67" s="196">
        <f>IFERROR($G67/SUMIF($A:$A,$A67,$G:$G)*SUMIF(Summary!$A$247:$A$283,$A67,Summary!$Q$247:$Q$283),0)</f>
        <v>0</v>
      </c>
      <c r="AL67" s="196">
        <f>IFERROR($G67/SUMIF($A:$A,$A67,$G:$G)*(SUMIF(Summary!$A$247:$A$283,$A67,Summary!$L$247:$L$283)+SUMIF(Summary!$A$297:$A$333,$A67,Summary!$L$297:$L$333))-AK67,0)</f>
        <v>0</v>
      </c>
      <c r="AM67" s="198"/>
      <c r="AN67" s="196">
        <f t="shared" ca="1" si="12"/>
        <v>0</v>
      </c>
      <c r="AO67" s="196">
        <f t="shared" ca="1" si="13"/>
        <v>0</v>
      </c>
    </row>
    <row r="68" spans="1:41">
      <c r="A68" s="189">
        <v>20</v>
      </c>
      <c r="B68" s="190">
        <v>4</v>
      </c>
      <c r="C68" s="191" t="s">
        <v>220</v>
      </c>
      <c r="D68" s="192">
        <f t="shared" si="0"/>
        <v>0</v>
      </c>
      <c r="E68" s="192">
        <f t="shared" si="1"/>
        <v>0</v>
      </c>
      <c r="F68" s="192">
        <f t="shared" si="2"/>
        <v>0</v>
      </c>
      <c r="G68" s="193">
        <f t="shared" si="3"/>
        <v>0</v>
      </c>
      <c r="H68" s="194">
        <v>0</v>
      </c>
      <c r="I68" s="194">
        <v>0</v>
      </c>
      <c r="J68" s="194">
        <v>0</v>
      </c>
      <c r="K68" s="193">
        <f t="shared" si="4"/>
        <v>0</v>
      </c>
      <c r="L68" s="194">
        <v>0</v>
      </c>
      <c r="M68" s="194">
        <v>0</v>
      </c>
      <c r="N68" s="194">
        <v>0</v>
      </c>
      <c r="O68" s="193">
        <f t="shared" si="5"/>
        <v>0</v>
      </c>
      <c r="P68" s="194">
        <v>0</v>
      </c>
      <c r="Q68" s="194">
        <v>0</v>
      </c>
      <c r="R68" s="194">
        <v>0</v>
      </c>
      <c r="S68" s="193">
        <f t="shared" si="6"/>
        <v>0</v>
      </c>
      <c r="T68" s="193">
        <f t="shared" si="7"/>
        <v>0</v>
      </c>
      <c r="U68" s="193">
        <f ca="1">OFFSET('Expenditure Study'!$B$7,'Operations Support'!$C68,'Operations Support'!$B68)*$G68</f>
        <v>0</v>
      </c>
      <c r="V68" s="199">
        <f ca="1">U68*'Expenditure Study'!$B$31</f>
        <v>0</v>
      </c>
      <c r="W68" s="199">
        <f ca="1">IF(A68=10298,1.51,1)*IF($B68&lt;3,$D68*'Expenditure Study'!$B$32*OFFSET('Expenditure Study'!$B$7,'Operations Support'!$C68,'Operations Support'!$B68),0)</f>
        <v>0</v>
      </c>
      <c r="X68" s="200">
        <f ca="1">W68*'Expenditure Study'!$B$31</f>
        <v>0</v>
      </c>
      <c r="Y68" s="199">
        <f ca="1">U68*'Expenditure Study'!$B$31</f>
        <v>0</v>
      </c>
      <c r="Z68" s="200">
        <f ca="1">W68*'Expenditure Study'!$B$31</f>
        <v>0</v>
      </c>
      <c r="AA68" s="195">
        <f t="shared" ca="1" si="8"/>
        <v>0</v>
      </c>
      <c r="AB68" s="195">
        <f t="shared" ca="1" si="9"/>
        <v>0</v>
      </c>
      <c r="AD68" s="196">
        <f>IFERROR($G68/SUMIF($A:$A,$A68,$G:$G)*SUMIF(Summary!$A$166:$A$242,$A68,Summary!$P$166:$P$242),0)</f>
        <v>0</v>
      </c>
      <c r="AE68" s="197">
        <f t="shared" ca="1" si="10"/>
        <v>0</v>
      </c>
      <c r="AF68" s="196">
        <f>IFERROR(G68/SUMIF(A:A,A68,G:G)*SUMIF(Summary!$A$166:$A$242,'Operations Support'!A68,Summary!$Q$166:$Q$242),0)</f>
        <v>0</v>
      </c>
      <c r="AG68" s="196">
        <f t="shared" ca="1" si="11"/>
        <v>0</v>
      </c>
      <c r="AI68" s="196">
        <f>IFERROR($G68/SUMIF($A:$A,$A68,$G:$G)*SUMIF(Summary!$A$247:$A$283,$A68,Summary!$P$247:$P$283),0)</f>
        <v>0</v>
      </c>
      <c r="AJ68" s="196">
        <f>IFERROR($G68/SUMIF($A:$A,$A68,$G:$G)*(SUMIF(Summary!$A$247:$A$283,$A68,Summary!$L$247:$L$283)+SUMIF(Summary!$A$297:$A$333,$A68,Summary!$L$297:$L$333))-AI68,0)</f>
        <v>0</v>
      </c>
      <c r="AK68" s="196">
        <f>IFERROR($G68/SUMIF($A:$A,$A68,$G:$G)*SUMIF(Summary!$A$247:$A$283,$A68,Summary!$Q$247:$Q$283),0)</f>
        <v>0</v>
      </c>
      <c r="AL68" s="196">
        <f>IFERROR($G68/SUMIF($A:$A,$A68,$G:$G)*(SUMIF(Summary!$A$247:$A$283,$A68,Summary!$L$247:$L$283)+SUMIF(Summary!$A$297:$A$333,$A68,Summary!$L$297:$L$333))-AK68,0)</f>
        <v>0</v>
      </c>
      <c r="AM68" s="198"/>
      <c r="AN68" s="196">
        <f t="shared" ca="1" si="12"/>
        <v>0</v>
      </c>
      <c r="AO68" s="196">
        <f t="shared" ca="1" si="13"/>
        <v>0</v>
      </c>
    </row>
    <row r="69" spans="1:41">
      <c r="A69" s="189">
        <v>20</v>
      </c>
      <c r="B69" s="190">
        <v>4</v>
      </c>
      <c r="C69" s="191" t="s">
        <v>221</v>
      </c>
      <c r="D69" s="192">
        <f t="shared" ref="D69:D132" si="14">H69+L69+P69</f>
        <v>0</v>
      </c>
      <c r="E69" s="192">
        <f t="shared" ref="E69:E132" si="15">I69+M69+Q69</f>
        <v>0</v>
      </c>
      <c r="F69" s="192">
        <f t="shared" ref="F69:F132" si="16">J69+N69+R69</f>
        <v>0</v>
      </c>
      <c r="G69" s="193">
        <f t="shared" ref="G69:G132" si="17">(SUM(D69:E69)-F69)*IF(A69=10298,1.51,1)</f>
        <v>0</v>
      </c>
      <c r="H69" s="194">
        <v>0</v>
      </c>
      <c r="I69" s="194">
        <v>0</v>
      </c>
      <c r="J69" s="194">
        <v>0</v>
      </c>
      <c r="K69" s="193">
        <f t="shared" ref="K69:K132" si="18">SUM(H69:I69)-J69</f>
        <v>0</v>
      </c>
      <c r="L69" s="194">
        <v>0</v>
      </c>
      <c r="M69" s="194">
        <v>0</v>
      </c>
      <c r="N69" s="194">
        <v>0</v>
      </c>
      <c r="O69" s="193">
        <f t="shared" ref="O69:O132" si="19">SUM(L69:M69)-N69</f>
        <v>0</v>
      </c>
      <c r="P69" s="194">
        <v>0</v>
      </c>
      <c r="Q69" s="194">
        <v>0</v>
      </c>
      <c r="R69" s="194">
        <v>0</v>
      </c>
      <c r="S69" s="193">
        <f t="shared" ref="S69:S132" si="20">SUM(P69:Q69)-R69</f>
        <v>0</v>
      </c>
      <c r="T69" s="193">
        <f t="shared" ref="T69:T132" si="21">IF(OR(B69=1,B69=2),G69/30,IF(OR(B69=3,B69=5),G69/24,IF(B69=4,G69/18,0)))</f>
        <v>0</v>
      </c>
      <c r="U69" s="193">
        <f ca="1">OFFSET('Expenditure Study'!$B$7,'Operations Support'!$C69,'Operations Support'!$B69)*$G69</f>
        <v>0</v>
      </c>
      <c r="V69" s="199">
        <f ca="1">U69*'Expenditure Study'!$B$31</f>
        <v>0</v>
      </c>
      <c r="W69" s="199">
        <f ca="1">IF(A69=10298,1.51,1)*IF($B69&lt;3,$D69*'Expenditure Study'!$B$32*OFFSET('Expenditure Study'!$B$7,'Operations Support'!$C69,'Operations Support'!$B69),0)</f>
        <v>0</v>
      </c>
      <c r="X69" s="200">
        <f ca="1">W69*'Expenditure Study'!$B$31</f>
        <v>0</v>
      </c>
      <c r="Y69" s="199">
        <f ca="1">U69*'Expenditure Study'!$B$31</f>
        <v>0</v>
      </c>
      <c r="Z69" s="200">
        <f ca="1">W69*'Expenditure Study'!$B$31</f>
        <v>0</v>
      </c>
      <c r="AA69" s="195">
        <f t="shared" ref="AA69:AA132" ca="1" si="22">V69+X69</f>
        <v>0</v>
      </c>
      <c r="AB69" s="195">
        <f t="shared" ref="AB69:AB132" ca="1" si="23">Y69+Z69</f>
        <v>0</v>
      </c>
      <c r="AD69" s="196">
        <f>IFERROR($G69/SUMIF($A:$A,$A69,$G:$G)*SUMIF(Summary!$A$166:$A$242,$A69,Summary!$P$166:$P$242),0)</f>
        <v>0</v>
      </c>
      <c r="AE69" s="197">
        <f t="shared" ca="1" si="10"/>
        <v>0</v>
      </c>
      <c r="AF69" s="196">
        <f>IFERROR(G69/SUMIF(A:A,A69,G:G)*SUMIF(Summary!$A$166:$A$242,'Operations Support'!A69,Summary!$Q$166:$Q$242),0)</f>
        <v>0</v>
      </c>
      <c r="AG69" s="196">
        <f t="shared" ca="1" si="11"/>
        <v>0</v>
      </c>
      <c r="AI69" s="196">
        <f>IFERROR($G69/SUMIF($A:$A,$A69,$G:$G)*SUMIF(Summary!$A$247:$A$283,$A69,Summary!$P$247:$P$283),0)</f>
        <v>0</v>
      </c>
      <c r="AJ69" s="196">
        <f>IFERROR($G69/SUMIF($A:$A,$A69,$G:$G)*(SUMIF(Summary!$A$247:$A$283,$A69,Summary!$L$247:$L$283)+SUMIF(Summary!$A$297:$A$333,$A69,Summary!$L$297:$L$333))-AI69,0)</f>
        <v>0</v>
      </c>
      <c r="AK69" s="196">
        <f>IFERROR($G69/SUMIF($A:$A,$A69,$G:$G)*SUMIF(Summary!$A$247:$A$283,$A69,Summary!$Q$247:$Q$283),0)</f>
        <v>0</v>
      </c>
      <c r="AL69" s="196">
        <f>IFERROR($G69/SUMIF($A:$A,$A69,$G:$G)*(SUMIF(Summary!$A$247:$A$283,$A69,Summary!$L$247:$L$283)+SUMIF(Summary!$A$297:$A$333,$A69,Summary!$L$297:$L$333))-AK69,0)</f>
        <v>0</v>
      </c>
      <c r="AM69" s="198"/>
      <c r="AN69" s="196">
        <f t="shared" ca="1" si="12"/>
        <v>0</v>
      </c>
      <c r="AO69" s="196">
        <f t="shared" ca="1" si="13"/>
        <v>0</v>
      </c>
    </row>
    <row r="70" spans="1:41" s="201" customFormat="1" ht="14.25" customHeight="1">
      <c r="A70" s="189">
        <v>20</v>
      </c>
      <c r="B70" s="190">
        <v>4</v>
      </c>
      <c r="C70" s="191" t="s">
        <v>222</v>
      </c>
      <c r="D70" s="192">
        <f t="shared" si="14"/>
        <v>0</v>
      </c>
      <c r="E70" s="192">
        <f t="shared" si="15"/>
        <v>0</v>
      </c>
      <c r="F70" s="192">
        <f t="shared" si="16"/>
        <v>0</v>
      </c>
      <c r="G70" s="193">
        <f t="shared" si="17"/>
        <v>0</v>
      </c>
      <c r="H70" s="194">
        <v>0</v>
      </c>
      <c r="I70" s="194">
        <v>0</v>
      </c>
      <c r="J70" s="194">
        <v>0</v>
      </c>
      <c r="K70" s="193">
        <f t="shared" si="18"/>
        <v>0</v>
      </c>
      <c r="L70" s="194">
        <v>0</v>
      </c>
      <c r="M70" s="194">
        <v>0</v>
      </c>
      <c r="N70" s="194">
        <v>0</v>
      </c>
      <c r="O70" s="193">
        <f t="shared" si="19"/>
        <v>0</v>
      </c>
      <c r="P70" s="194">
        <v>0</v>
      </c>
      <c r="Q70" s="194">
        <v>0</v>
      </c>
      <c r="R70" s="194">
        <v>0</v>
      </c>
      <c r="S70" s="193">
        <f t="shared" si="20"/>
        <v>0</v>
      </c>
      <c r="T70" s="193">
        <f t="shared" si="21"/>
        <v>0</v>
      </c>
      <c r="U70" s="193">
        <f ca="1">OFFSET('Expenditure Study'!$B$7,'Operations Support'!$C70,'Operations Support'!$B70)*$G70</f>
        <v>0</v>
      </c>
      <c r="V70" s="199">
        <f ca="1">U70*'Expenditure Study'!$B$31</f>
        <v>0</v>
      </c>
      <c r="W70" s="199">
        <f ca="1">IF(A70=10298,1.51,1)*IF($B70&lt;3,$D70*'Expenditure Study'!$B$32*OFFSET('Expenditure Study'!$B$7,'Operations Support'!$C70,'Operations Support'!$B70),0)</f>
        <v>0</v>
      </c>
      <c r="X70" s="200">
        <f ca="1">W70*'Expenditure Study'!$B$31</f>
        <v>0</v>
      </c>
      <c r="Y70" s="199">
        <f ca="1">U70*'Expenditure Study'!$B$31</f>
        <v>0</v>
      </c>
      <c r="Z70" s="200">
        <f ca="1">W70*'Expenditure Study'!$B$31</f>
        <v>0</v>
      </c>
      <c r="AA70" s="195">
        <f t="shared" ca="1" si="22"/>
        <v>0</v>
      </c>
      <c r="AB70" s="195">
        <f t="shared" ca="1" si="23"/>
        <v>0</v>
      </c>
      <c r="AD70" s="196">
        <f>IFERROR($G70/SUMIF($A:$A,$A70,$G:$G)*SUMIF(Summary!$A$166:$A$242,$A70,Summary!$P$166:$P$242),0)</f>
        <v>0</v>
      </c>
      <c r="AE70" s="197">
        <f t="shared" ref="AE70:AE133" ca="1" si="24">V70+X70-AD70</f>
        <v>0</v>
      </c>
      <c r="AF70" s="196">
        <f>IFERROR(G70/SUMIF(A:A,A70,G:G)*SUMIF(Summary!$A$166:$A$242,'Operations Support'!A70,Summary!$Q$166:$Q$242),0)</f>
        <v>0</v>
      </c>
      <c r="AG70" s="196">
        <f t="shared" ref="AG70:AG133" ca="1" si="25">Y70+Z70-AF70</f>
        <v>0</v>
      </c>
      <c r="AH70" s="180"/>
      <c r="AI70" s="196">
        <f>IFERROR($G70/SUMIF($A:$A,$A70,$G:$G)*SUMIF(Summary!$A$247:$A$283,$A70,Summary!$P$247:$P$283),0)</f>
        <v>0</v>
      </c>
      <c r="AJ70" s="196">
        <f>IFERROR($G70/SUMIF($A:$A,$A70,$G:$G)*(SUMIF(Summary!$A$247:$A$283,$A70,Summary!$L$247:$L$283)+SUMIF(Summary!$A$297:$A$333,$A70,Summary!$L$297:$L$333))-AI70,0)</f>
        <v>0</v>
      </c>
      <c r="AK70" s="196">
        <f>IFERROR($G70/SUMIF($A:$A,$A70,$G:$G)*SUMIF(Summary!$A$247:$A$283,$A70,Summary!$Q$247:$Q$283),0)</f>
        <v>0</v>
      </c>
      <c r="AL70" s="196">
        <f>IFERROR($G70/SUMIF($A:$A,$A70,$G:$G)*(SUMIF(Summary!$A$247:$A$283,$A70,Summary!$L$247:$L$283)+SUMIF(Summary!$A$297:$A$333,$A70,Summary!$L$297:$L$333))-AK70,0)</f>
        <v>0</v>
      </c>
      <c r="AM70" s="198"/>
      <c r="AN70" s="196">
        <f t="shared" ref="AN70:AN133" ca="1" si="26">AE70+AJ70</f>
        <v>0</v>
      </c>
      <c r="AO70" s="196">
        <f t="shared" ref="AO70:AO133" ca="1" si="27">AG70+AL70</f>
        <v>0</v>
      </c>
    </row>
    <row r="71" spans="1:41">
      <c r="A71" s="189">
        <v>20</v>
      </c>
      <c r="B71" s="190">
        <v>4</v>
      </c>
      <c r="C71" s="191" t="s">
        <v>223</v>
      </c>
      <c r="D71" s="192">
        <f t="shared" si="14"/>
        <v>0</v>
      </c>
      <c r="E71" s="192">
        <f t="shared" si="15"/>
        <v>0</v>
      </c>
      <c r="F71" s="192">
        <f t="shared" si="16"/>
        <v>0</v>
      </c>
      <c r="G71" s="193">
        <f t="shared" si="17"/>
        <v>0</v>
      </c>
      <c r="H71" s="194">
        <v>0</v>
      </c>
      <c r="I71" s="194">
        <v>0</v>
      </c>
      <c r="J71" s="194">
        <v>0</v>
      </c>
      <c r="K71" s="193">
        <f t="shared" si="18"/>
        <v>0</v>
      </c>
      <c r="L71" s="194">
        <v>0</v>
      </c>
      <c r="M71" s="194">
        <v>0</v>
      </c>
      <c r="N71" s="194">
        <v>0</v>
      </c>
      <c r="O71" s="193">
        <f t="shared" si="19"/>
        <v>0</v>
      </c>
      <c r="P71" s="194">
        <v>0</v>
      </c>
      <c r="Q71" s="194">
        <v>0</v>
      </c>
      <c r="R71" s="194">
        <v>0</v>
      </c>
      <c r="S71" s="193">
        <f t="shared" si="20"/>
        <v>0</v>
      </c>
      <c r="T71" s="193">
        <f t="shared" si="21"/>
        <v>0</v>
      </c>
      <c r="U71" s="193">
        <f ca="1">OFFSET('Expenditure Study'!$B$7,'Operations Support'!$C71,'Operations Support'!$B71)*$G71</f>
        <v>0</v>
      </c>
      <c r="V71" s="199">
        <f ca="1">U71*'Expenditure Study'!$B$31</f>
        <v>0</v>
      </c>
      <c r="W71" s="199">
        <f ca="1">IF(A71=10298,1.51,1)*IF($B71&lt;3,$D71*'Expenditure Study'!$B$32*OFFSET('Expenditure Study'!$B$7,'Operations Support'!$C71,'Operations Support'!$B71),0)</f>
        <v>0</v>
      </c>
      <c r="X71" s="200">
        <f ca="1">W71*'Expenditure Study'!$B$31</f>
        <v>0</v>
      </c>
      <c r="Y71" s="199">
        <f ca="1">U71*'Expenditure Study'!$B$31</f>
        <v>0</v>
      </c>
      <c r="Z71" s="200">
        <f ca="1">W71*'Expenditure Study'!$B$31</f>
        <v>0</v>
      </c>
      <c r="AA71" s="195">
        <f t="shared" ca="1" si="22"/>
        <v>0</v>
      </c>
      <c r="AB71" s="195">
        <f t="shared" ca="1" si="23"/>
        <v>0</v>
      </c>
      <c r="AD71" s="196">
        <f>IFERROR($G71/SUMIF($A:$A,$A71,$G:$G)*SUMIF(Summary!$A$166:$A$242,$A71,Summary!$P$166:$P$242),0)</f>
        <v>0</v>
      </c>
      <c r="AE71" s="197">
        <f t="shared" ca="1" si="24"/>
        <v>0</v>
      </c>
      <c r="AF71" s="196">
        <f>IFERROR(G71/SUMIF(A:A,A71,G:G)*SUMIF(Summary!$A$166:$A$242,'Operations Support'!A71,Summary!$Q$166:$Q$242),0)</f>
        <v>0</v>
      </c>
      <c r="AG71" s="196">
        <f t="shared" ca="1" si="25"/>
        <v>0</v>
      </c>
      <c r="AI71" s="196">
        <f>IFERROR($G71/SUMIF($A:$A,$A71,$G:$G)*SUMIF(Summary!$A$247:$A$283,$A71,Summary!$P$247:$P$283),0)</f>
        <v>0</v>
      </c>
      <c r="AJ71" s="196">
        <f>IFERROR($G71/SUMIF($A:$A,$A71,$G:$G)*(SUMIF(Summary!$A$247:$A$283,$A71,Summary!$L$247:$L$283)+SUMIF(Summary!$A$297:$A$333,$A71,Summary!$L$297:$L$333))-AI71,0)</f>
        <v>0</v>
      </c>
      <c r="AK71" s="196">
        <f>IFERROR($G71/SUMIF($A:$A,$A71,$G:$G)*SUMIF(Summary!$A$247:$A$283,$A71,Summary!$Q$247:$Q$283),0)</f>
        <v>0</v>
      </c>
      <c r="AL71" s="196">
        <f>IFERROR($G71/SUMIF($A:$A,$A71,$G:$G)*(SUMIF(Summary!$A$247:$A$283,$A71,Summary!$L$247:$L$283)+SUMIF(Summary!$A$297:$A$333,$A71,Summary!$L$297:$L$333))-AK71,0)</f>
        <v>0</v>
      </c>
      <c r="AM71" s="198"/>
      <c r="AN71" s="196">
        <f t="shared" ca="1" si="26"/>
        <v>0</v>
      </c>
      <c r="AO71" s="196">
        <f t="shared" ca="1" si="27"/>
        <v>0</v>
      </c>
    </row>
    <row r="72" spans="1:41">
      <c r="A72" s="189">
        <v>20</v>
      </c>
      <c r="B72" s="190">
        <v>4</v>
      </c>
      <c r="C72" s="191" t="s">
        <v>224</v>
      </c>
      <c r="D72" s="192">
        <f t="shared" si="14"/>
        <v>0</v>
      </c>
      <c r="E72" s="192">
        <f t="shared" si="15"/>
        <v>0</v>
      </c>
      <c r="F72" s="192">
        <f t="shared" si="16"/>
        <v>0</v>
      </c>
      <c r="G72" s="193">
        <f t="shared" si="17"/>
        <v>0</v>
      </c>
      <c r="H72" s="194">
        <v>0</v>
      </c>
      <c r="I72" s="194">
        <v>0</v>
      </c>
      <c r="J72" s="194">
        <v>0</v>
      </c>
      <c r="K72" s="193">
        <f t="shared" si="18"/>
        <v>0</v>
      </c>
      <c r="L72" s="194">
        <v>0</v>
      </c>
      <c r="M72" s="194">
        <v>0</v>
      </c>
      <c r="N72" s="194">
        <v>0</v>
      </c>
      <c r="O72" s="193">
        <f t="shared" si="19"/>
        <v>0</v>
      </c>
      <c r="P72" s="194">
        <v>0</v>
      </c>
      <c r="Q72" s="194">
        <v>0</v>
      </c>
      <c r="R72" s="194">
        <v>0</v>
      </c>
      <c r="S72" s="193">
        <f t="shared" si="20"/>
        <v>0</v>
      </c>
      <c r="T72" s="193">
        <f t="shared" si="21"/>
        <v>0</v>
      </c>
      <c r="U72" s="193">
        <f ca="1">OFFSET('Expenditure Study'!$B$7,'Operations Support'!$C72,'Operations Support'!$B72)*$G72</f>
        <v>0</v>
      </c>
      <c r="V72" s="199">
        <f ca="1">U72*'Expenditure Study'!$B$31</f>
        <v>0</v>
      </c>
      <c r="W72" s="199">
        <f ca="1">IF(A72=10298,1.51,1)*IF($B72&lt;3,$D72*'Expenditure Study'!$B$32*OFFSET('Expenditure Study'!$B$7,'Operations Support'!$C72,'Operations Support'!$B72),0)</f>
        <v>0</v>
      </c>
      <c r="X72" s="200">
        <f ca="1">W72*'Expenditure Study'!$B$31</f>
        <v>0</v>
      </c>
      <c r="Y72" s="199">
        <f ca="1">U72*'Expenditure Study'!$B$31</f>
        <v>0</v>
      </c>
      <c r="Z72" s="200">
        <f ca="1">W72*'Expenditure Study'!$B$31</f>
        <v>0</v>
      </c>
      <c r="AA72" s="195">
        <f t="shared" ca="1" si="22"/>
        <v>0</v>
      </c>
      <c r="AB72" s="195">
        <f t="shared" ca="1" si="23"/>
        <v>0</v>
      </c>
      <c r="AD72" s="196">
        <f>IFERROR($G72/SUMIF($A:$A,$A72,$G:$G)*SUMIF(Summary!$A$166:$A$242,$A72,Summary!$P$166:$P$242),0)</f>
        <v>0</v>
      </c>
      <c r="AE72" s="197">
        <f t="shared" ca="1" si="24"/>
        <v>0</v>
      </c>
      <c r="AF72" s="196">
        <f>IFERROR(G72/SUMIF(A:A,A72,G:G)*SUMIF(Summary!$A$166:$A$242,'Operations Support'!A72,Summary!$Q$166:$Q$242),0)</f>
        <v>0</v>
      </c>
      <c r="AG72" s="196">
        <f t="shared" ca="1" si="25"/>
        <v>0</v>
      </c>
      <c r="AI72" s="196">
        <f>IFERROR($G72/SUMIF($A:$A,$A72,$G:$G)*SUMIF(Summary!$A$247:$A$283,$A72,Summary!$P$247:$P$283),0)</f>
        <v>0</v>
      </c>
      <c r="AJ72" s="196">
        <f>IFERROR($G72/SUMIF($A:$A,$A72,$G:$G)*(SUMIF(Summary!$A$247:$A$283,$A72,Summary!$L$247:$L$283)+SUMIF(Summary!$A$297:$A$333,$A72,Summary!$L$297:$L$333))-AI72,0)</f>
        <v>0</v>
      </c>
      <c r="AK72" s="196">
        <f>IFERROR($G72/SUMIF($A:$A,$A72,$G:$G)*SUMIF(Summary!$A$247:$A$283,$A72,Summary!$Q$247:$Q$283),0)</f>
        <v>0</v>
      </c>
      <c r="AL72" s="196">
        <f>IFERROR($G72/SUMIF($A:$A,$A72,$G:$G)*(SUMIF(Summary!$A$247:$A$283,$A72,Summary!$L$247:$L$283)+SUMIF(Summary!$A$297:$A$333,$A72,Summary!$L$297:$L$333))-AK72,0)</f>
        <v>0</v>
      </c>
      <c r="AM72" s="198"/>
      <c r="AN72" s="196">
        <f t="shared" ca="1" si="26"/>
        <v>0</v>
      </c>
      <c r="AO72" s="196">
        <f t="shared" ca="1" si="27"/>
        <v>0</v>
      </c>
    </row>
    <row r="73" spans="1:41">
      <c r="A73" s="189">
        <v>20</v>
      </c>
      <c r="B73" s="190">
        <v>4</v>
      </c>
      <c r="C73" s="191" t="s">
        <v>225</v>
      </c>
      <c r="D73" s="192">
        <f t="shared" si="14"/>
        <v>0</v>
      </c>
      <c r="E73" s="192">
        <f t="shared" si="15"/>
        <v>0</v>
      </c>
      <c r="F73" s="192">
        <f t="shared" si="16"/>
        <v>0</v>
      </c>
      <c r="G73" s="193">
        <f t="shared" si="17"/>
        <v>0</v>
      </c>
      <c r="H73" s="194">
        <v>0</v>
      </c>
      <c r="I73" s="194">
        <v>0</v>
      </c>
      <c r="J73" s="194">
        <v>0</v>
      </c>
      <c r="K73" s="193">
        <f t="shared" si="18"/>
        <v>0</v>
      </c>
      <c r="L73" s="194">
        <v>0</v>
      </c>
      <c r="M73" s="194">
        <v>0</v>
      </c>
      <c r="N73" s="194">
        <v>0</v>
      </c>
      <c r="O73" s="193">
        <f t="shared" si="19"/>
        <v>0</v>
      </c>
      <c r="P73" s="194">
        <v>0</v>
      </c>
      <c r="Q73" s="194">
        <v>0</v>
      </c>
      <c r="R73" s="194">
        <v>0</v>
      </c>
      <c r="S73" s="193">
        <f t="shared" si="20"/>
        <v>0</v>
      </c>
      <c r="T73" s="193">
        <f t="shared" si="21"/>
        <v>0</v>
      </c>
      <c r="U73" s="193">
        <f ca="1">OFFSET('Expenditure Study'!$B$7,'Operations Support'!$C73,'Operations Support'!$B73)*$G73</f>
        <v>0</v>
      </c>
      <c r="V73" s="199">
        <f ca="1">U73*'Expenditure Study'!$B$31</f>
        <v>0</v>
      </c>
      <c r="W73" s="199">
        <f ca="1">IF(A73=10298,1.51,1)*IF($B73&lt;3,$D73*'Expenditure Study'!$B$32*OFFSET('Expenditure Study'!$B$7,'Operations Support'!$C73,'Operations Support'!$B73),0)</f>
        <v>0</v>
      </c>
      <c r="X73" s="200">
        <f ca="1">W73*'Expenditure Study'!$B$31</f>
        <v>0</v>
      </c>
      <c r="Y73" s="199">
        <f ca="1">U73*'Expenditure Study'!$B$31</f>
        <v>0</v>
      </c>
      <c r="Z73" s="200">
        <f ca="1">W73*'Expenditure Study'!$B$31</f>
        <v>0</v>
      </c>
      <c r="AA73" s="195">
        <f t="shared" ca="1" si="22"/>
        <v>0</v>
      </c>
      <c r="AB73" s="195">
        <f t="shared" ca="1" si="23"/>
        <v>0</v>
      </c>
      <c r="AD73" s="196">
        <f>IFERROR($G73/SUMIF($A:$A,$A73,$G:$G)*SUMIF(Summary!$A$166:$A$242,$A73,Summary!$P$166:$P$242),0)</f>
        <v>0</v>
      </c>
      <c r="AE73" s="197">
        <f t="shared" ca="1" si="24"/>
        <v>0</v>
      </c>
      <c r="AF73" s="196">
        <f>IFERROR(G73/SUMIF(A:A,A73,G:G)*SUMIF(Summary!$A$166:$A$242,'Operations Support'!A73,Summary!$Q$166:$Q$242),0)</f>
        <v>0</v>
      </c>
      <c r="AG73" s="196">
        <f t="shared" ca="1" si="25"/>
        <v>0</v>
      </c>
      <c r="AI73" s="196">
        <f>IFERROR($G73/SUMIF($A:$A,$A73,$G:$G)*SUMIF(Summary!$A$247:$A$283,$A73,Summary!$P$247:$P$283),0)</f>
        <v>0</v>
      </c>
      <c r="AJ73" s="196">
        <f>IFERROR($G73/SUMIF($A:$A,$A73,$G:$G)*(SUMIF(Summary!$A$247:$A$283,$A73,Summary!$L$247:$L$283)+SUMIF(Summary!$A$297:$A$333,$A73,Summary!$L$297:$L$333))-AI73,0)</f>
        <v>0</v>
      </c>
      <c r="AK73" s="196">
        <f>IFERROR($G73/SUMIF($A:$A,$A73,$G:$G)*SUMIF(Summary!$A$247:$A$283,$A73,Summary!$Q$247:$Q$283),0)</f>
        <v>0</v>
      </c>
      <c r="AL73" s="196">
        <f>IFERROR($G73/SUMIF($A:$A,$A73,$G:$G)*(SUMIF(Summary!$A$247:$A$283,$A73,Summary!$L$247:$L$283)+SUMIF(Summary!$A$297:$A$333,$A73,Summary!$L$297:$L$333))-AK73,0)</f>
        <v>0</v>
      </c>
      <c r="AM73" s="198"/>
      <c r="AN73" s="196">
        <f t="shared" ca="1" si="26"/>
        <v>0</v>
      </c>
      <c r="AO73" s="196">
        <f t="shared" ca="1" si="27"/>
        <v>0</v>
      </c>
    </row>
    <row r="74" spans="1:41">
      <c r="A74" s="189">
        <v>20</v>
      </c>
      <c r="B74" s="190">
        <v>4</v>
      </c>
      <c r="C74" s="191" t="s">
        <v>226</v>
      </c>
      <c r="D74" s="192">
        <f t="shared" si="14"/>
        <v>0</v>
      </c>
      <c r="E74" s="192">
        <f t="shared" si="15"/>
        <v>0</v>
      </c>
      <c r="F74" s="192">
        <f t="shared" si="16"/>
        <v>0</v>
      </c>
      <c r="G74" s="193">
        <f t="shared" si="17"/>
        <v>0</v>
      </c>
      <c r="H74" s="194">
        <v>0</v>
      </c>
      <c r="I74" s="194">
        <v>0</v>
      </c>
      <c r="J74" s="194">
        <v>0</v>
      </c>
      <c r="K74" s="193">
        <f t="shared" si="18"/>
        <v>0</v>
      </c>
      <c r="L74" s="194">
        <v>0</v>
      </c>
      <c r="M74" s="194">
        <v>0</v>
      </c>
      <c r="N74" s="194">
        <v>0</v>
      </c>
      <c r="O74" s="193">
        <f t="shared" si="19"/>
        <v>0</v>
      </c>
      <c r="P74" s="194">
        <v>0</v>
      </c>
      <c r="Q74" s="194">
        <v>0</v>
      </c>
      <c r="R74" s="194">
        <v>0</v>
      </c>
      <c r="S74" s="193">
        <f t="shared" si="20"/>
        <v>0</v>
      </c>
      <c r="T74" s="193">
        <f t="shared" si="21"/>
        <v>0</v>
      </c>
      <c r="U74" s="193">
        <f ca="1">OFFSET('Expenditure Study'!$B$7,'Operations Support'!$C74,'Operations Support'!$B74)*$G74</f>
        <v>0</v>
      </c>
      <c r="V74" s="199">
        <f ca="1">U74*'Expenditure Study'!$B$31</f>
        <v>0</v>
      </c>
      <c r="W74" s="199">
        <f ca="1">IF(A74=10298,1.51,1)*IF($B74&lt;3,$D74*'Expenditure Study'!$B$32*OFFSET('Expenditure Study'!$B$7,'Operations Support'!$C74,'Operations Support'!$B74),0)</f>
        <v>0</v>
      </c>
      <c r="X74" s="200">
        <f ca="1">W74*'Expenditure Study'!$B$31</f>
        <v>0</v>
      </c>
      <c r="Y74" s="199">
        <f ca="1">U74*'Expenditure Study'!$B$31</f>
        <v>0</v>
      </c>
      <c r="Z74" s="200">
        <f ca="1">W74*'Expenditure Study'!$B$31</f>
        <v>0</v>
      </c>
      <c r="AA74" s="195">
        <f t="shared" ca="1" si="22"/>
        <v>0</v>
      </c>
      <c r="AB74" s="195">
        <f t="shared" ca="1" si="23"/>
        <v>0</v>
      </c>
      <c r="AD74" s="196">
        <f>IFERROR($G74/SUMIF($A:$A,$A74,$G:$G)*SUMIF(Summary!$A$166:$A$242,$A74,Summary!$P$166:$P$242),0)</f>
        <v>0</v>
      </c>
      <c r="AE74" s="197">
        <f t="shared" ca="1" si="24"/>
        <v>0</v>
      </c>
      <c r="AF74" s="196">
        <f>IFERROR(G74/SUMIF(A:A,A74,G:G)*SUMIF(Summary!$A$166:$A$242,'Operations Support'!A74,Summary!$Q$166:$Q$242),0)</f>
        <v>0</v>
      </c>
      <c r="AG74" s="196">
        <f t="shared" ca="1" si="25"/>
        <v>0</v>
      </c>
      <c r="AI74" s="196">
        <f>IFERROR($G74/SUMIF($A:$A,$A74,$G:$G)*SUMIF(Summary!$A$247:$A$283,$A74,Summary!$P$247:$P$283),0)</f>
        <v>0</v>
      </c>
      <c r="AJ74" s="196">
        <f>IFERROR($G74/SUMIF($A:$A,$A74,$G:$G)*(SUMIF(Summary!$A$247:$A$283,$A74,Summary!$L$247:$L$283)+SUMIF(Summary!$A$297:$A$333,$A74,Summary!$L$297:$L$333))-AI74,0)</f>
        <v>0</v>
      </c>
      <c r="AK74" s="196">
        <f>IFERROR($G74/SUMIF($A:$A,$A74,$G:$G)*SUMIF(Summary!$A$247:$A$283,$A74,Summary!$Q$247:$Q$283),0)</f>
        <v>0</v>
      </c>
      <c r="AL74" s="196">
        <f>IFERROR($G74/SUMIF($A:$A,$A74,$G:$G)*(SUMIF(Summary!$A$247:$A$283,$A74,Summary!$L$247:$L$283)+SUMIF(Summary!$A$297:$A$333,$A74,Summary!$L$297:$L$333))-AK74,0)</f>
        <v>0</v>
      </c>
      <c r="AM74" s="198"/>
      <c r="AN74" s="196">
        <f t="shared" ca="1" si="26"/>
        <v>0</v>
      </c>
      <c r="AO74" s="196">
        <f t="shared" ca="1" si="27"/>
        <v>0</v>
      </c>
    </row>
    <row r="75" spans="1:41">
      <c r="A75" s="189">
        <v>20</v>
      </c>
      <c r="B75" s="190">
        <v>4</v>
      </c>
      <c r="C75" s="191" t="s">
        <v>227</v>
      </c>
      <c r="D75" s="192">
        <f t="shared" si="14"/>
        <v>0</v>
      </c>
      <c r="E75" s="192">
        <f t="shared" si="15"/>
        <v>0</v>
      </c>
      <c r="F75" s="192">
        <f t="shared" si="16"/>
        <v>0</v>
      </c>
      <c r="G75" s="193">
        <f t="shared" si="17"/>
        <v>0</v>
      </c>
      <c r="H75" s="194">
        <v>0</v>
      </c>
      <c r="I75" s="194">
        <v>0</v>
      </c>
      <c r="J75" s="194">
        <v>0</v>
      </c>
      <c r="K75" s="193">
        <f t="shared" si="18"/>
        <v>0</v>
      </c>
      <c r="L75" s="194">
        <v>0</v>
      </c>
      <c r="M75" s="194">
        <v>0</v>
      </c>
      <c r="N75" s="194">
        <v>0</v>
      </c>
      <c r="O75" s="193">
        <f t="shared" si="19"/>
        <v>0</v>
      </c>
      <c r="P75" s="194">
        <v>0</v>
      </c>
      <c r="Q75" s="194">
        <v>0</v>
      </c>
      <c r="R75" s="194">
        <v>0</v>
      </c>
      <c r="S75" s="193">
        <f t="shared" si="20"/>
        <v>0</v>
      </c>
      <c r="T75" s="193">
        <f t="shared" si="21"/>
        <v>0</v>
      </c>
      <c r="U75" s="193">
        <f ca="1">OFFSET('Expenditure Study'!$B$7,'Operations Support'!$C75,'Operations Support'!$B75)*$G75</f>
        <v>0</v>
      </c>
      <c r="V75" s="199">
        <f ca="1">U75*'Expenditure Study'!$B$31</f>
        <v>0</v>
      </c>
      <c r="W75" s="199">
        <f ca="1">IF(A75=10298,1.51,1)*IF($B75&lt;3,$D75*'Expenditure Study'!$B$32*OFFSET('Expenditure Study'!$B$7,'Operations Support'!$C75,'Operations Support'!$B75),0)</f>
        <v>0</v>
      </c>
      <c r="X75" s="200">
        <f ca="1">W75*'Expenditure Study'!$B$31</f>
        <v>0</v>
      </c>
      <c r="Y75" s="199">
        <f ca="1">U75*'Expenditure Study'!$B$31</f>
        <v>0</v>
      </c>
      <c r="Z75" s="200">
        <f ca="1">W75*'Expenditure Study'!$B$31</f>
        <v>0</v>
      </c>
      <c r="AA75" s="195">
        <f t="shared" ca="1" si="22"/>
        <v>0</v>
      </c>
      <c r="AB75" s="195">
        <f t="shared" ca="1" si="23"/>
        <v>0</v>
      </c>
      <c r="AD75" s="196">
        <f>IFERROR($G75/SUMIF($A:$A,$A75,$G:$G)*SUMIF(Summary!$A$166:$A$242,$A75,Summary!$P$166:$P$242),0)</f>
        <v>0</v>
      </c>
      <c r="AE75" s="197">
        <f t="shared" ca="1" si="24"/>
        <v>0</v>
      </c>
      <c r="AF75" s="196">
        <f>IFERROR(G75/SUMIF(A:A,A75,G:G)*SUMIF(Summary!$A$166:$A$242,'Operations Support'!A75,Summary!$Q$166:$Q$242),0)</f>
        <v>0</v>
      </c>
      <c r="AG75" s="196">
        <f t="shared" ca="1" si="25"/>
        <v>0</v>
      </c>
      <c r="AI75" s="196">
        <f>IFERROR($G75/SUMIF($A:$A,$A75,$G:$G)*SUMIF(Summary!$A$247:$A$283,$A75,Summary!$P$247:$P$283),0)</f>
        <v>0</v>
      </c>
      <c r="AJ75" s="196">
        <f>IFERROR($G75/SUMIF($A:$A,$A75,$G:$G)*(SUMIF(Summary!$A$247:$A$283,$A75,Summary!$L$247:$L$283)+SUMIF(Summary!$A$297:$A$333,$A75,Summary!$L$297:$L$333))-AI75,0)</f>
        <v>0</v>
      </c>
      <c r="AK75" s="196">
        <f>IFERROR($G75/SUMIF($A:$A,$A75,$G:$G)*SUMIF(Summary!$A$247:$A$283,$A75,Summary!$Q$247:$Q$283),0)</f>
        <v>0</v>
      </c>
      <c r="AL75" s="196">
        <f>IFERROR($G75/SUMIF($A:$A,$A75,$G:$G)*(SUMIF(Summary!$A$247:$A$283,$A75,Summary!$L$247:$L$283)+SUMIF(Summary!$A$297:$A$333,$A75,Summary!$L$297:$L$333))-AK75,0)</f>
        <v>0</v>
      </c>
      <c r="AM75" s="198"/>
      <c r="AN75" s="196">
        <f t="shared" ca="1" si="26"/>
        <v>0</v>
      </c>
      <c r="AO75" s="196">
        <f t="shared" ca="1" si="27"/>
        <v>0</v>
      </c>
    </row>
    <row r="76" spans="1:41">
      <c r="A76" s="189">
        <v>20</v>
      </c>
      <c r="B76" s="190">
        <v>4</v>
      </c>
      <c r="C76" s="191" t="s">
        <v>228</v>
      </c>
      <c r="D76" s="192">
        <f t="shared" si="14"/>
        <v>0</v>
      </c>
      <c r="E76" s="192">
        <f t="shared" si="15"/>
        <v>0</v>
      </c>
      <c r="F76" s="192">
        <f t="shared" si="16"/>
        <v>0</v>
      </c>
      <c r="G76" s="193">
        <f t="shared" si="17"/>
        <v>0</v>
      </c>
      <c r="H76" s="194">
        <v>0</v>
      </c>
      <c r="I76" s="194">
        <v>0</v>
      </c>
      <c r="J76" s="194">
        <v>0</v>
      </c>
      <c r="K76" s="193">
        <f t="shared" si="18"/>
        <v>0</v>
      </c>
      <c r="L76" s="194">
        <v>0</v>
      </c>
      <c r="M76" s="194">
        <v>0</v>
      </c>
      <c r="N76" s="194">
        <v>0</v>
      </c>
      <c r="O76" s="193">
        <f t="shared" si="19"/>
        <v>0</v>
      </c>
      <c r="P76" s="194">
        <v>0</v>
      </c>
      <c r="Q76" s="194">
        <v>0</v>
      </c>
      <c r="R76" s="194">
        <v>0</v>
      </c>
      <c r="S76" s="193">
        <f t="shared" si="20"/>
        <v>0</v>
      </c>
      <c r="T76" s="193">
        <f t="shared" si="21"/>
        <v>0</v>
      </c>
      <c r="U76" s="193">
        <f ca="1">OFFSET('Expenditure Study'!$B$7,'Operations Support'!$C76,'Operations Support'!$B76)*$G76</f>
        <v>0</v>
      </c>
      <c r="V76" s="199">
        <f ca="1">U76*'Expenditure Study'!$B$31</f>
        <v>0</v>
      </c>
      <c r="W76" s="199">
        <f ca="1">IF(A76=10298,1.51,1)*IF($B76&lt;3,$D76*'Expenditure Study'!$B$32*OFFSET('Expenditure Study'!$B$7,'Operations Support'!$C76,'Operations Support'!$B76),0)</f>
        <v>0</v>
      </c>
      <c r="X76" s="200">
        <f ca="1">W76*'Expenditure Study'!$B$31</f>
        <v>0</v>
      </c>
      <c r="Y76" s="199">
        <f ca="1">U76*'Expenditure Study'!$B$31</f>
        <v>0</v>
      </c>
      <c r="Z76" s="200">
        <f ca="1">W76*'Expenditure Study'!$B$31</f>
        <v>0</v>
      </c>
      <c r="AA76" s="195">
        <f t="shared" ca="1" si="22"/>
        <v>0</v>
      </c>
      <c r="AB76" s="195">
        <f t="shared" ca="1" si="23"/>
        <v>0</v>
      </c>
      <c r="AD76" s="196">
        <f>IFERROR($G76/SUMIF($A:$A,$A76,$G:$G)*SUMIF(Summary!$A$166:$A$242,$A76,Summary!$P$166:$P$242),0)</f>
        <v>0</v>
      </c>
      <c r="AE76" s="197">
        <f t="shared" ca="1" si="24"/>
        <v>0</v>
      </c>
      <c r="AF76" s="196">
        <f>IFERROR(G76/SUMIF(A:A,A76,G:G)*SUMIF(Summary!$A$166:$A$242,'Operations Support'!A76,Summary!$Q$166:$Q$242),0)</f>
        <v>0</v>
      </c>
      <c r="AG76" s="196">
        <f t="shared" ca="1" si="25"/>
        <v>0</v>
      </c>
      <c r="AI76" s="196">
        <f>IFERROR($G76/SUMIF($A:$A,$A76,$G:$G)*SUMIF(Summary!$A$247:$A$283,$A76,Summary!$P$247:$P$283),0)</f>
        <v>0</v>
      </c>
      <c r="AJ76" s="196">
        <f>IFERROR($G76/SUMIF($A:$A,$A76,$G:$G)*(SUMIF(Summary!$A$247:$A$283,$A76,Summary!$L$247:$L$283)+SUMIF(Summary!$A$297:$A$333,$A76,Summary!$L$297:$L$333))-AI76,0)</f>
        <v>0</v>
      </c>
      <c r="AK76" s="196">
        <f>IFERROR($G76/SUMIF($A:$A,$A76,$G:$G)*SUMIF(Summary!$A$247:$A$283,$A76,Summary!$Q$247:$Q$283),0)</f>
        <v>0</v>
      </c>
      <c r="AL76" s="196">
        <f>IFERROR($G76/SUMIF($A:$A,$A76,$G:$G)*(SUMIF(Summary!$A$247:$A$283,$A76,Summary!$L$247:$L$283)+SUMIF(Summary!$A$297:$A$333,$A76,Summary!$L$297:$L$333))-AK76,0)</f>
        <v>0</v>
      </c>
      <c r="AM76" s="198"/>
      <c r="AN76" s="196">
        <f t="shared" ca="1" si="26"/>
        <v>0</v>
      </c>
      <c r="AO76" s="196">
        <f t="shared" ca="1" si="27"/>
        <v>0</v>
      </c>
    </row>
    <row r="77" spans="1:41">
      <c r="A77" s="189">
        <v>20</v>
      </c>
      <c r="B77" s="190">
        <v>4</v>
      </c>
      <c r="C77" s="191" t="s">
        <v>229</v>
      </c>
      <c r="D77" s="192">
        <f t="shared" si="14"/>
        <v>0</v>
      </c>
      <c r="E77" s="192">
        <f t="shared" si="15"/>
        <v>0</v>
      </c>
      <c r="F77" s="192">
        <f t="shared" si="16"/>
        <v>0</v>
      </c>
      <c r="G77" s="193">
        <f t="shared" si="17"/>
        <v>0</v>
      </c>
      <c r="H77" s="194">
        <v>0</v>
      </c>
      <c r="I77" s="194">
        <v>0</v>
      </c>
      <c r="J77" s="194">
        <v>0</v>
      </c>
      <c r="K77" s="193">
        <f t="shared" si="18"/>
        <v>0</v>
      </c>
      <c r="L77" s="194">
        <v>0</v>
      </c>
      <c r="M77" s="194">
        <v>0</v>
      </c>
      <c r="N77" s="194">
        <v>0</v>
      </c>
      <c r="O77" s="193">
        <f t="shared" si="19"/>
        <v>0</v>
      </c>
      <c r="P77" s="194">
        <v>0</v>
      </c>
      <c r="Q77" s="194">
        <v>0</v>
      </c>
      <c r="R77" s="194">
        <v>0</v>
      </c>
      <c r="S77" s="193">
        <f t="shared" si="20"/>
        <v>0</v>
      </c>
      <c r="T77" s="193">
        <f t="shared" si="21"/>
        <v>0</v>
      </c>
      <c r="U77" s="193">
        <f ca="1">OFFSET('Expenditure Study'!$B$7,'Operations Support'!$C77,'Operations Support'!$B77)*$G77</f>
        <v>0</v>
      </c>
      <c r="V77" s="199">
        <f ca="1">U77*'Expenditure Study'!$B$31</f>
        <v>0</v>
      </c>
      <c r="W77" s="199">
        <f ca="1">IF(A77=10298,1.51,1)*IF($B77&lt;3,$D77*'Expenditure Study'!$B$32*OFFSET('Expenditure Study'!$B$7,'Operations Support'!$C77,'Operations Support'!$B77),0)</f>
        <v>0</v>
      </c>
      <c r="X77" s="200">
        <f ca="1">W77*'Expenditure Study'!$B$31</f>
        <v>0</v>
      </c>
      <c r="Y77" s="199">
        <f ca="1">U77*'Expenditure Study'!$B$31</f>
        <v>0</v>
      </c>
      <c r="Z77" s="200">
        <f ca="1">W77*'Expenditure Study'!$B$31</f>
        <v>0</v>
      </c>
      <c r="AA77" s="195">
        <f t="shared" ca="1" si="22"/>
        <v>0</v>
      </c>
      <c r="AB77" s="195">
        <f t="shared" ca="1" si="23"/>
        <v>0</v>
      </c>
      <c r="AD77" s="196">
        <f>IFERROR($G77/SUMIF($A:$A,$A77,$G:$G)*SUMIF(Summary!$A$166:$A$242,$A77,Summary!$P$166:$P$242),0)</f>
        <v>0</v>
      </c>
      <c r="AE77" s="197">
        <f t="shared" ca="1" si="24"/>
        <v>0</v>
      </c>
      <c r="AF77" s="196">
        <f>IFERROR(G77/SUMIF(A:A,A77,G:G)*SUMIF(Summary!$A$166:$A$242,'Operations Support'!A77,Summary!$Q$166:$Q$242),0)</f>
        <v>0</v>
      </c>
      <c r="AG77" s="196">
        <f t="shared" ca="1" si="25"/>
        <v>0</v>
      </c>
      <c r="AI77" s="196">
        <f>IFERROR($G77/SUMIF($A:$A,$A77,$G:$G)*SUMIF(Summary!$A$247:$A$283,$A77,Summary!$P$247:$P$283),0)</f>
        <v>0</v>
      </c>
      <c r="AJ77" s="196">
        <f>IFERROR($G77/SUMIF($A:$A,$A77,$G:$G)*(SUMIF(Summary!$A$247:$A$283,$A77,Summary!$L$247:$L$283)+SUMIF(Summary!$A$297:$A$333,$A77,Summary!$L$297:$L$333))-AI77,0)</f>
        <v>0</v>
      </c>
      <c r="AK77" s="196">
        <f>IFERROR($G77/SUMIF($A:$A,$A77,$G:$G)*SUMIF(Summary!$A$247:$A$283,$A77,Summary!$Q$247:$Q$283),0)</f>
        <v>0</v>
      </c>
      <c r="AL77" s="196">
        <f>IFERROR($G77/SUMIF($A:$A,$A77,$G:$G)*(SUMIF(Summary!$A$247:$A$283,$A77,Summary!$L$247:$L$283)+SUMIF(Summary!$A$297:$A$333,$A77,Summary!$L$297:$L$333))-AK77,0)</f>
        <v>0</v>
      </c>
      <c r="AM77" s="198"/>
      <c r="AN77" s="196">
        <f t="shared" ca="1" si="26"/>
        <v>0</v>
      </c>
      <c r="AO77" s="196">
        <f t="shared" ca="1" si="27"/>
        <v>0</v>
      </c>
    </row>
    <row r="78" spans="1:41">
      <c r="A78" s="189">
        <v>20</v>
      </c>
      <c r="B78" s="190">
        <v>4</v>
      </c>
      <c r="C78" s="191" t="s">
        <v>230</v>
      </c>
      <c r="D78" s="192">
        <f t="shared" si="14"/>
        <v>0</v>
      </c>
      <c r="E78" s="192">
        <f t="shared" si="15"/>
        <v>0</v>
      </c>
      <c r="F78" s="192">
        <f t="shared" si="16"/>
        <v>0</v>
      </c>
      <c r="G78" s="193">
        <f t="shared" si="17"/>
        <v>0</v>
      </c>
      <c r="H78" s="194">
        <v>0</v>
      </c>
      <c r="I78" s="194">
        <v>0</v>
      </c>
      <c r="J78" s="194">
        <v>0</v>
      </c>
      <c r="K78" s="193">
        <f t="shared" si="18"/>
        <v>0</v>
      </c>
      <c r="L78" s="194">
        <v>0</v>
      </c>
      <c r="M78" s="194">
        <v>0</v>
      </c>
      <c r="N78" s="194">
        <v>0</v>
      </c>
      <c r="O78" s="193">
        <f t="shared" si="19"/>
        <v>0</v>
      </c>
      <c r="P78" s="194">
        <v>0</v>
      </c>
      <c r="Q78" s="194">
        <v>0</v>
      </c>
      <c r="R78" s="194">
        <v>0</v>
      </c>
      <c r="S78" s="193">
        <f t="shared" si="20"/>
        <v>0</v>
      </c>
      <c r="T78" s="193">
        <f t="shared" si="21"/>
        <v>0</v>
      </c>
      <c r="U78" s="193">
        <f ca="1">OFFSET('Expenditure Study'!$B$7,'Operations Support'!$C78,'Operations Support'!$B78)*$G78</f>
        <v>0</v>
      </c>
      <c r="V78" s="199">
        <f ca="1">U78*'Expenditure Study'!$B$31</f>
        <v>0</v>
      </c>
      <c r="W78" s="199">
        <f ca="1">IF(A78=10298,1.51,1)*IF($B78&lt;3,$D78*'Expenditure Study'!$B$32*OFFSET('Expenditure Study'!$B$7,'Operations Support'!$C78,'Operations Support'!$B78),0)</f>
        <v>0</v>
      </c>
      <c r="X78" s="200">
        <f ca="1">W78*'Expenditure Study'!$B$31</f>
        <v>0</v>
      </c>
      <c r="Y78" s="199">
        <f ca="1">U78*'Expenditure Study'!$B$31</f>
        <v>0</v>
      </c>
      <c r="Z78" s="200">
        <f ca="1">W78*'Expenditure Study'!$B$31</f>
        <v>0</v>
      </c>
      <c r="AA78" s="195">
        <f t="shared" ca="1" si="22"/>
        <v>0</v>
      </c>
      <c r="AB78" s="195">
        <f t="shared" ca="1" si="23"/>
        <v>0</v>
      </c>
      <c r="AD78" s="196">
        <f>IFERROR($G78/SUMIF($A:$A,$A78,$G:$G)*SUMIF(Summary!$A$166:$A$242,$A78,Summary!$P$166:$P$242),0)</f>
        <v>0</v>
      </c>
      <c r="AE78" s="197">
        <f t="shared" ca="1" si="24"/>
        <v>0</v>
      </c>
      <c r="AF78" s="196">
        <f>IFERROR(G78/SUMIF(A:A,A78,G:G)*SUMIF(Summary!$A$166:$A$242,'Operations Support'!A78,Summary!$Q$166:$Q$242),0)</f>
        <v>0</v>
      </c>
      <c r="AG78" s="196">
        <f t="shared" ca="1" si="25"/>
        <v>0</v>
      </c>
      <c r="AI78" s="196">
        <f>IFERROR($G78/SUMIF($A:$A,$A78,$G:$G)*SUMIF(Summary!$A$247:$A$283,$A78,Summary!$P$247:$P$283),0)</f>
        <v>0</v>
      </c>
      <c r="AJ78" s="196">
        <f>IFERROR($G78/SUMIF($A:$A,$A78,$G:$G)*(SUMIF(Summary!$A$247:$A$283,$A78,Summary!$L$247:$L$283)+SUMIF(Summary!$A$297:$A$333,$A78,Summary!$L$297:$L$333))-AI78,0)</f>
        <v>0</v>
      </c>
      <c r="AK78" s="196">
        <f>IFERROR($G78/SUMIF($A:$A,$A78,$G:$G)*SUMIF(Summary!$A$247:$A$283,$A78,Summary!$Q$247:$Q$283),0)</f>
        <v>0</v>
      </c>
      <c r="AL78" s="196">
        <f>IFERROR($G78/SUMIF($A:$A,$A78,$G:$G)*(SUMIF(Summary!$A$247:$A$283,$A78,Summary!$L$247:$L$283)+SUMIF(Summary!$A$297:$A$333,$A78,Summary!$L$297:$L$333))-AK78,0)</f>
        <v>0</v>
      </c>
      <c r="AM78" s="198"/>
      <c r="AN78" s="196">
        <f t="shared" ca="1" si="26"/>
        <v>0</v>
      </c>
      <c r="AO78" s="196">
        <f t="shared" ca="1" si="27"/>
        <v>0</v>
      </c>
    </row>
    <row r="79" spans="1:41">
      <c r="A79" s="189">
        <v>20</v>
      </c>
      <c r="B79" s="190">
        <v>4</v>
      </c>
      <c r="C79" s="191" t="s">
        <v>231</v>
      </c>
      <c r="D79" s="192">
        <f t="shared" si="14"/>
        <v>0</v>
      </c>
      <c r="E79" s="192">
        <f t="shared" si="15"/>
        <v>0</v>
      </c>
      <c r="F79" s="192">
        <f t="shared" si="16"/>
        <v>0</v>
      </c>
      <c r="G79" s="193">
        <f t="shared" si="17"/>
        <v>0</v>
      </c>
      <c r="H79" s="194">
        <v>0</v>
      </c>
      <c r="I79" s="194">
        <v>0</v>
      </c>
      <c r="J79" s="194">
        <v>0</v>
      </c>
      <c r="K79" s="193">
        <f t="shared" si="18"/>
        <v>0</v>
      </c>
      <c r="L79" s="194">
        <v>0</v>
      </c>
      <c r="M79" s="194">
        <v>0</v>
      </c>
      <c r="N79" s="194">
        <v>0</v>
      </c>
      <c r="O79" s="193">
        <f t="shared" si="19"/>
        <v>0</v>
      </c>
      <c r="P79" s="194">
        <v>0</v>
      </c>
      <c r="Q79" s="194">
        <v>0</v>
      </c>
      <c r="R79" s="194">
        <v>0</v>
      </c>
      <c r="S79" s="193">
        <f t="shared" si="20"/>
        <v>0</v>
      </c>
      <c r="T79" s="193">
        <f t="shared" si="21"/>
        <v>0</v>
      </c>
      <c r="U79" s="193">
        <f ca="1">OFFSET('Expenditure Study'!$B$7,'Operations Support'!$C79,'Operations Support'!$B79)*$G79</f>
        <v>0</v>
      </c>
      <c r="V79" s="199">
        <f ca="1">U79*'Expenditure Study'!$B$31</f>
        <v>0</v>
      </c>
      <c r="W79" s="199">
        <f ca="1">IF(A79=10298,1.51,1)*IF($B79&lt;3,$D79*'Expenditure Study'!$B$32*OFFSET('Expenditure Study'!$B$7,'Operations Support'!$C79,'Operations Support'!$B79),0)</f>
        <v>0</v>
      </c>
      <c r="X79" s="200">
        <f ca="1">W79*'Expenditure Study'!$B$31</f>
        <v>0</v>
      </c>
      <c r="Y79" s="199">
        <f ca="1">U79*'Expenditure Study'!$B$31</f>
        <v>0</v>
      </c>
      <c r="Z79" s="200">
        <f ca="1">W79*'Expenditure Study'!$B$31</f>
        <v>0</v>
      </c>
      <c r="AA79" s="195">
        <f t="shared" ca="1" si="22"/>
        <v>0</v>
      </c>
      <c r="AB79" s="195">
        <f t="shared" ca="1" si="23"/>
        <v>0</v>
      </c>
      <c r="AD79" s="196">
        <f>IFERROR($G79/SUMIF($A:$A,$A79,$G:$G)*SUMIF(Summary!$A$166:$A$242,$A79,Summary!$P$166:$P$242),0)</f>
        <v>0</v>
      </c>
      <c r="AE79" s="197">
        <f t="shared" ca="1" si="24"/>
        <v>0</v>
      </c>
      <c r="AF79" s="196">
        <f>IFERROR(G79/SUMIF(A:A,A79,G:G)*SUMIF(Summary!$A$166:$A$242,'Operations Support'!A79,Summary!$Q$166:$Q$242),0)</f>
        <v>0</v>
      </c>
      <c r="AG79" s="196">
        <f t="shared" ca="1" si="25"/>
        <v>0</v>
      </c>
      <c r="AI79" s="196">
        <f>IFERROR($G79/SUMIF($A:$A,$A79,$G:$G)*SUMIF(Summary!$A$247:$A$283,$A79,Summary!$P$247:$P$283),0)</f>
        <v>0</v>
      </c>
      <c r="AJ79" s="196">
        <f>IFERROR($G79/SUMIF($A:$A,$A79,$G:$G)*(SUMIF(Summary!$A$247:$A$283,$A79,Summary!$L$247:$L$283)+SUMIF(Summary!$A$297:$A$333,$A79,Summary!$L$297:$L$333))-AI79,0)</f>
        <v>0</v>
      </c>
      <c r="AK79" s="196">
        <f>IFERROR($G79/SUMIF($A:$A,$A79,$G:$G)*SUMIF(Summary!$A$247:$A$283,$A79,Summary!$Q$247:$Q$283),0)</f>
        <v>0</v>
      </c>
      <c r="AL79" s="196">
        <f>IFERROR($G79/SUMIF($A:$A,$A79,$G:$G)*(SUMIF(Summary!$A$247:$A$283,$A79,Summary!$L$247:$L$283)+SUMIF(Summary!$A$297:$A$333,$A79,Summary!$L$297:$L$333))-AK79,0)</f>
        <v>0</v>
      </c>
      <c r="AM79" s="198"/>
      <c r="AN79" s="196">
        <f t="shared" ca="1" si="26"/>
        <v>0</v>
      </c>
      <c r="AO79" s="196">
        <f t="shared" ca="1" si="27"/>
        <v>0</v>
      </c>
    </row>
    <row r="80" spans="1:41">
      <c r="A80" s="189">
        <v>20</v>
      </c>
      <c r="B80" s="190">
        <v>4</v>
      </c>
      <c r="C80" s="191" t="s">
        <v>232</v>
      </c>
      <c r="D80" s="192">
        <f t="shared" si="14"/>
        <v>0</v>
      </c>
      <c r="E80" s="192">
        <f t="shared" si="15"/>
        <v>0</v>
      </c>
      <c r="F80" s="192">
        <f t="shared" si="16"/>
        <v>0</v>
      </c>
      <c r="G80" s="193">
        <f t="shared" si="17"/>
        <v>0</v>
      </c>
      <c r="H80" s="194">
        <v>0</v>
      </c>
      <c r="I80" s="194">
        <v>0</v>
      </c>
      <c r="J80" s="194">
        <v>0</v>
      </c>
      <c r="K80" s="193">
        <f t="shared" si="18"/>
        <v>0</v>
      </c>
      <c r="L80" s="194">
        <v>0</v>
      </c>
      <c r="M80" s="194">
        <v>0</v>
      </c>
      <c r="N80" s="194">
        <v>0</v>
      </c>
      <c r="O80" s="193">
        <f t="shared" si="19"/>
        <v>0</v>
      </c>
      <c r="P80" s="194">
        <v>0</v>
      </c>
      <c r="Q80" s="194">
        <v>0</v>
      </c>
      <c r="R80" s="194">
        <v>0</v>
      </c>
      <c r="S80" s="193">
        <f t="shared" si="20"/>
        <v>0</v>
      </c>
      <c r="T80" s="193">
        <f t="shared" si="21"/>
        <v>0</v>
      </c>
      <c r="U80" s="193">
        <f ca="1">OFFSET('Expenditure Study'!$B$7,'Operations Support'!$C80,'Operations Support'!$B80)*$G80</f>
        <v>0</v>
      </c>
      <c r="V80" s="199">
        <f ca="1">U80*'Expenditure Study'!$B$31</f>
        <v>0</v>
      </c>
      <c r="W80" s="199">
        <f ca="1">IF(A80=10298,1.51,1)*IF($B80&lt;3,$D80*'Expenditure Study'!$B$32*OFFSET('Expenditure Study'!$B$7,'Operations Support'!$C80,'Operations Support'!$B80),0)</f>
        <v>0</v>
      </c>
      <c r="X80" s="200">
        <f ca="1">W80*'Expenditure Study'!$B$31</f>
        <v>0</v>
      </c>
      <c r="Y80" s="199">
        <f ca="1">U80*'Expenditure Study'!$B$31</f>
        <v>0</v>
      </c>
      <c r="Z80" s="200">
        <f ca="1">W80*'Expenditure Study'!$B$31</f>
        <v>0</v>
      </c>
      <c r="AA80" s="195">
        <f t="shared" ca="1" si="22"/>
        <v>0</v>
      </c>
      <c r="AB80" s="195">
        <f t="shared" ca="1" si="23"/>
        <v>0</v>
      </c>
      <c r="AD80" s="196">
        <f>IFERROR($G80/SUMIF($A:$A,$A80,$G:$G)*SUMIF(Summary!$A$166:$A$242,$A80,Summary!$P$166:$P$242),0)</f>
        <v>0</v>
      </c>
      <c r="AE80" s="197">
        <f t="shared" ca="1" si="24"/>
        <v>0</v>
      </c>
      <c r="AF80" s="196">
        <f>IFERROR(G80/SUMIF(A:A,A80,G:G)*SUMIF(Summary!$A$166:$A$242,'Operations Support'!A80,Summary!$Q$166:$Q$242),0)</f>
        <v>0</v>
      </c>
      <c r="AG80" s="196">
        <f t="shared" ca="1" si="25"/>
        <v>0</v>
      </c>
      <c r="AI80" s="196">
        <f>IFERROR($G80/SUMIF($A:$A,$A80,$G:$G)*SUMIF(Summary!$A$247:$A$283,$A80,Summary!$P$247:$P$283),0)</f>
        <v>0</v>
      </c>
      <c r="AJ80" s="196">
        <f>IFERROR($G80/SUMIF($A:$A,$A80,$G:$G)*(SUMIF(Summary!$A$247:$A$283,$A80,Summary!$L$247:$L$283)+SUMIF(Summary!$A$297:$A$333,$A80,Summary!$L$297:$L$333))-AI80,0)</f>
        <v>0</v>
      </c>
      <c r="AK80" s="196">
        <f>IFERROR($G80/SUMIF($A:$A,$A80,$G:$G)*SUMIF(Summary!$A$247:$A$283,$A80,Summary!$Q$247:$Q$283),0)</f>
        <v>0</v>
      </c>
      <c r="AL80" s="196">
        <f>IFERROR($G80/SUMIF($A:$A,$A80,$G:$G)*(SUMIF(Summary!$A$247:$A$283,$A80,Summary!$L$247:$L$283)+SUMIF(Summary!$A$297:$A$333,$A80,Summary!$L$297:$L$333))-AK80,0)</f>
        <v>0</v>
      </c>
      <c r="AM80" s="198"/>
      <c r="AN80" s="196">
        <f t="shared" ca="1" si="26"/>
        <v>0</v>
      </c>
      <c r="AO80" s="196">
        <f t="shared" ca="1" si="27"/>
        <v>0</v>
      </c>
    </row>
    <row r="81" spans="1:41">
      <c r="A81" s="189">
        <v>20</v>
      </c>
      <c r="B81" s="190">
        <v>4</v>
      </c>
      <c r="C81" s="191" t="s">
        <v>233</v>
      </c>
      <c r="D81" s="192">
        <f t="shared" si="14"/>
        <v>0</v>
      </c>
      <c r="E81" s="192">
        <f t="shared" si="15"/>
        <v>0</v>
      </c>
      <c r="F81" s="192">
        <f t="shared" si="16"/>
        <v>0</v>
      </c>
      <c r="G81" s="193">
        <f t="shared" si="17"/>
        <v>0</v>
      </c>
      <c r="H81" s="194">
        <v>0</v>
      </c>
      <c r="I81" s="194">
        <v>0</v>
      </c>
      <c r="J81" s="194">
        <v>0</v>
      </c>
      <c r="K81" s="193">
        <f t="shared" si="18"/>
        <v>0</v>
      </c>
      <c r="L81" s="194">
        <v>0</v>
      </c>
      <c r="M81" s="194">
        <v>0</v>
      </c>
      <c r="N81" s="194">
        <v>0</v>
      </c>
      <c r="O81" s="193">
        <f t="shared" si="19"/>
        <v>0</v>
      </c>
      <c r="P81" s="194">
        <v>0</v>
      </c>
      <c r="Q81" s="194">
        <v>0</v>
      </c>
      <c r="R81" s="194">
        <v>0</v>
      </c>
      <c r="S81" s="193">
        <f t="shared" si="20"/>
        <v>0</v>
      </c>
      <c r="T81" s="193">
        <f t="shared" si="21"/>
        <v>0</v>
      </c>
      <c r="U81" s="193">
        <f ca="1">OFFSET('Expenditure Study'!$B$7,'Operations Support'!$C81,'Operations Support'!$B81)*$G81</f>
        <v>0</v>
      </c>
      <c r="V81" s="199">
        <f ca="1">U81*'Expenditure Study'!$B$31</f>
        <v>0</v>
      </c>
      <c r="W81" s="199">
        <f ca="1">IF(A81=10298,1.51,1)*IF($B81&lt;3,$D81*'Expenditure Study'!$B$32*OFFSET('Expenditure Study'!$B$7,'Operations Support'!$C81,'Operations Support'!$B81),0)</f>
        <v>0</v>
      </c>
      <c r="X81" s="200">
        <f ca="1">W81*'Expenditure Study'!$B$31</f>
        <v>0</v>
      </c>
      <c r="Y81" s="199">
        <f ca="1">U81*'Expenditure Study'!$B$31</f>
        <v>0</v>
      </c>
      <c r="Z81" s="200">
        <f ca="1">W81*'Expenditure Study'!$B$31</f>
        <v>0</v>
      </c>
      <c r="AA81" s="195">
        <f t="shared" ca="1" si="22"/>
        <v>0</v>
      </c>
      <c r="AB81" s="195">
        <f t="shared" ca="1" si="23"/>
        <v>0</v>
      </c>
      <c r="AD81" s="196">
        <f>IFERROR($G81/SUMIF($A:$A,$A81,$G:$G)*SUMIF(Summary!$A$166:$A$242,$A81,Summary!$P$166:$P$242),0)</f>
        <v>0</v>
      </c>
      <c r="AE81" s="197">
        <f t="shared" ca="1" si="24"/>
        <v>0</v>
      </c>
      <c r="AF81" s="196">
        <f>IFERROR(G81/SUMIF(A:A,A81,G:G)*SUMIF(Summary!$A$166:$A$242,'Operations Support'!A81,Summary!$Q$166:$Q$242),0)</f>
        <v>0</v>
      </c>
      <c r="AG81" s="196">
        <f t="shared" ca="1" si="25"/>
        <v>0</v>
      </c>
      <c r="AI81" s="196">
        <f>IFERROR($G81/SUMIF($A:$A,$A81,$G:$G)*SUMIF(Summary!$A$247:$A$283,$A81,Summary!$P$247:$P$283),0)</f>
        <v>0</v>
      </c>
      <c r="AJ81" s="196">
        <f>IFERROR($G81/SUMIF($A:$A,$A81,$G:$G)*(SUMIF(Summary!$A$247:$A$283,$A81,Summary!$L$247:$L$283)+SUMIF(Summary!$A$297:$A$333,$A81,Summary!$L$297:$L$333))-AI81,0)</f>
        <v>0</v>
      </c>
      <c r="AK81" s="196">
        <f>IFERROR($G81/SUMIF($A:$A,$A81,$G:$G)*SUMIF(Summary!$A$247:$A$283,$A81,Summary!$Q$247:$Q$283),0)</f>
        <v>0</v>
      </c>
      <c r="AL81" s="196">
        <f>IFERROR($G81/SUMIF($A:$A,$A81,$G:$G)*(SUMIF(Summary!$A$247:$A$283,$A81,Summary!$L$247:$L$283)+SUMIF(Summary!$A$297:$A$333,$A81,Summary!$L$297:$L$333))-AK81,0)</f>
        <v>0</v>
      </c>
      <c r="AM81" s="198"/>
      <c r="AN81" s="196">
        <f t="shared" ca="1" si="26"/>
        <v>0</v>
      </c>
      <c r="AO81" s="196">
        <f t="shared" ca="1" si="27"/>
        <v>0</v>
      </c>
    </row>
    <row r="82" spans="1:41">
      <c r="A82" s="189">
        <v>20</v>
      </c>
      <c r="B82" s="190">
        <v>4</v>
      </c>
      <c r="C82" s="191" t="s">
        <v>234</v>
      </c>
      <c r="D82" s="192">
        <f t="shared" si="14"/>
        <v>0</v>
      </c>
      <c r="E82" s="192">
        <f t="shared" si="15"/>
        <v>0</v>
      </c>
      <c r="F82" s="192">
        <f t="shared" si="16"/>
        <v>0</v>
      </c>
      <c r="G82" s="193">
        <f t="shared" si="17"/>
        <v>0</v>
      </c>
      <c r="H82" s="194">
        <v>0</v>
      </c>
      <c r="I82" s="194">
        <v>0</v>
      </c>
      <c r="J82" s="194">
        <v>0</v>
      </c>
      <c r="K82" s="193">
        <f t="shared" si="18"/>
        <v>0</v>
      </c>
      <c r="L82" s="194">
        <v>0</v>
      </c>
      <c r="M82" s="194">
        <v>0</v>
      </c>
      <c r="N82" s="194">
        <v>0</v>
      </c>
      <c r="O82" s="193">
        <f t="shared" si="19"/>
        <v>0</v>
      </c>
      <c r="P82" s="194">
        <v>0</v>
      </c>
      <c r="Q82" s="194">
        <v>0</v>
      </c>
      <c r="R82" s="194">
        <v>0</v>
      </c>
      <c r="S82" s="193">
        <f t="shared" si="20"/>
        <v>0</v>
      </c>
      <c r="T82" s="193">
        <f t="shared" si="21"/>
        <v>0</v>
      </c>
      <c r="U82" s="193">
        <f ca="1">OFFSET('Expenditure Study'!$B$7,'Operations Support'!$C82,'Operations Support'!$B82)*$G82</f>
        <v>0</v>
      </c>
      <c r="V82" s="199">
        <f ca="1">U82*'Expenditure Study'!$B$31</f>
        <v>0</v>
      </c>
      <c r="W82" s="199">
        <f ca="1">IF(A82=10298,1.51,1)*IF($B82&lt;3,$D82*'Expenditure Study'!$B$32*OFFSET('Expenditure Study'!$B$7,'Operations Support'!$C82,'Operations Support'!$B82),0)</f>
        <v>0</v>
      </c>
      <c r="X82" s="200">
        <f ca="1">W82*'Expenditure Study'!$B$31</f>
        <v>0</v>
      </c>
      <c r="Y82" s="199">
        <f ca="1">U82*'Expenditure Study'!$B$31</f>
        <v>0</v>
      </c>
      <c r="Z82" s="200">
        <f ca="1">W82*'Expenditure Study'!$B$31</f>
        <v>0</v>
      </c>
      <c r="AA82" s="195">
        <f t="shared" ca="1" si="22"/>
        <v>0</v>
      </c>
      <c r="AB82" s="195">
        <f t="shared" ca="1" si="23"/>
        <v>0</v>
      </c>
      <c r="AD82" s="196">
        <f>IFERROR($G82/SUMIF($A:$A,$A82,$G:$G)*SUMIF(Summary!$A$166:$A$242,$A82,Summary!$P$166:$P$242),0)</f>
        <v>0</v>
      </c>
      <c r="AE82" s="197">
        <f t="shared" ca="1" si="24"/>
        <v>0</v>
      </c>
      <c r="AF82" s="196">
        <f>IFERROR(G82/SUMIF(A:A,A82,G:G)*SUMIF(Summary!$A$166:$A$242,'Operations Support'!A82,Summary!$Q$166:$Q$242),0)</f>
        <v>0</v>
      </c>
      <c r="AG82" s="196">
        <f t="shared" ca="1" si="25"/>
        <v>0</v>
      </c>
      <c r="AI82" s="196">
        <f>IFERROR($G82/SUMIF($A:$A,$A82,$G:$G)*SUMIF(Summary!$A$247:$A$283,$A82,Summary!$P$247:$P$283),0)</f>
        <v>0</v>
      </c>
      <c r="AJ82" s="196">
        <f>IFERROR($G82/SUMIF($A:$A,$A82,$G:$G)*(SUMIF(Summary!$A$247:$A$283,$A82,Summary!$L$247:$L$283)+SUMIF(Summary!$A$297:$A$333,$A82,Summary!$L$297:$L$333))-AI82,0)</f>
        <v>0</v>
      </c>
      <c r="AK82" s="196">
        <f>IFERROR($G82/SUMIF($A:$A,$A82,$G:$G)*SUMIF(Summary!$A$247:$A$283,$A82,Summary!$Q$247:$Q$283),0)</f>
        <v>0</v>
      </c>
      <c r="AL82" s="196">
        <f>IFERROR($G82/SUMIF($A:$A,$A82,$G:$G)*(SUMIF(Summary!$A$247:$A$283,$A82,Summary!$L$247:$L$283)+SUMIF(Summary!$A$297:$A$333,$A82,Summary!$L$297:$L$333))-AK82,0)</f>
        <v>0</v>
      </c>
      <c r="AM82" s="198"/>
      <c r="AN82" s="196">
        <f t="shared" ca="1" si="26"/>
        <v>0</v>
      </c>
      <c r="AO82" s="196">
        <f t="shared" ca="1" si="27"/>
        <v>0</v>
      </c>
    </row>
    <row r="83" spans="1:41">
      <c r="A83" s="189">
        <v>20</v>
      </c>
      <c r="B83" s="190">
        <v>4</v>
      </c>
      <c r="C83" s="191" t="s">
        <v>235</v>
      </c>
      <c r="D83" s="192">
        <f t="shared" si="14"/>
        <v>0</v>
      </c>
      <c r="E83" s="192">
        <f t="shared" si="15"/>
        <v>0</v>
      </c>
      <c r="F83" s="192">
        <f t="shared" si="16"/>
        <v>0</v>
      </c>
      <c r="G83" s="193">
        <f t="shared" si="17"/>
        <v>0</v>
      </c>
      <c r="H83" s="194">
        <v>0</v>
      </c>
      <c r="I83" s="194">
        <v>0</v>
      </c>
      <c r="J83" s="194">
        <v>0</v>
      </c>
      <c r="K83" s="193">
        <f t="shared" si="18"/>
        <v>0</v>
      </c>
      <c r="L83" s="194">
        <v>0</v>
      </c>
      <c r="M83" s="194">
        <v>0</v>
      </c>
      <c r="N83" s="194">
        <v>0</v>
      </c>
      <c r="O83" s="193">
        <f t="shared" si="19"/>
        <v>0</v>
      </c>
      <c r="P83" s="194">
        <v>0</v>
      </c>
      <c r="Q83" s="194">
        <v>0</v>
      </c>
      <c r="R83" s="194">
        <v>0</v>
      </c>
      <c r="S83" s="193">
        <f t="shared" si="20"/>
        <v>0</v>
      </c>
      <c r="T83" s="193">
        <f t="shared" si="21"/>
        <v>0</v>
      </c>
      <c r="U83" s="193">
        <f ca="1">OFFSET('Expenditure Study'!$B$7,'Operations Support'!$C83,'Operations Support'!$B83)*$G83</f>
        <v>0</v>
      </c>
      <c r="V83" s="199">
        <f ca="1">U83*'Expenditure Study'!$B$31</f>
        <v>0</v>
      </c>
      <c r="W83" s="199">
        <f ca="1">IF(A83=10298,1.51,1)*IF($B83&lt;3,$D83*'Expenditure Study'!$B$32*OFFSET('Expenditure Study'!$B$7,'Operations Support'!$C83,'Operations Support'!$B83),0)</f>
        <v>0</v>
      </c>
      <c r="X83" s="200">
        <f ca="1">W83*'Expenditure Study'!$B$31</f>
        <v>0</v>
      </c>
      <c r="Y83" s="199">
        <f ca="1">U83*'Expenditure Study'!$B$31</f>
        <v>0</v>
      </c>
      <c r="Z83" s="200">
        <f ca="1">W83*'Expenditure Study'!$B$31</f>
        <v>0</v>
      </c>
      <c r="AA83" s="195">
        <f t="shared" ca="1" si="22"/>
        <v>0</v>
      </c>
      <c r="AB83" s="195">
        <f t="shared" ca="1" si="23"/>
        <v>0</v>
      </c>
      <c r="AD83" s="196">
        <f>IFERROR($G83/SUMIF($A:$A,$A83,$G:$G)*SUMIF(Summary!$A$166:$A$242,$A83,Summary!$P$166:$P$242),0)</f>
        <v>0</v>
      </c>
      <c r="AE83" s="197">
        <f t="shared" ca="1" si="24"/>
        <v>0</v>
      </c>
      <c r="AF83" s="196">
        <f>IFERROR(G83/SUMIF(A:A,A83,G:G)*SUMIF(Summary!$A$166:$A$242,'Operations Support'!A83,Summary!$Q$166:$Q$242),0)</f>
        <v>0</v>
      </c>
      <c r="AG83" s="196">
        <f t="shared" ca="1" si="25"/>
        <v>0</v>
      </c>
      <c r="AI83" s="196">
        <f>IFERROR($G83/SUMIF($A:$A,$A83,$G:$G)*SUMIF(Summary!$A$247:$A$283,$A83,Summary!$P$247:$P$283),0)</f>
        <v>0</v>
      </c>
      <c r="AJ83" s="196">
        <f>IFERROR($G83/SUMIF($A:$A,$A83,$G:$G)*(SUMIF(Summary!$A$247:$A$283,$A83,Summary!$L$247:$L$283)+SUMIF(Summary!$A$297:$A$333,$A83,Summary!$L$297:$L$333))-AI83,0)</f>
        <v>0</v>
      </c>
      <c r="AK83" s="196">
        <f>IFERROR($G83/SUMIF($A:$A,$A83,$G:$G)*SUMIF(Summary!$A$247:$A$283,$A83,Summary!$Q$247:$Q$283),0)</f>
        <v>0</v>
      </c>
      <c r="AL83" s="196">
        <f>IFERROR($G83/SUMIF($A:$A,$A83,$G:$G)*(SUMIF(Summary!$A$247:$A$283,$A83,Summary!$L$247:$L$283)+SUMIF(Summary!$A$297:$A$333,$A83,Summary!$L$297:$L$333))-AK83,0)</f>
        <v>0</v>
      </c>
      <c r="AM83" s="198"/>
      <c r="AN83" s="196">
        <f t="shared" ca="1" si="26"/>
        <v>0</v>
      </c>
      <c r="AO83" s="196">
        <f t="shared" ca="1" si="27"/>
        <v>0</v>
      </c>
    </row>
    <row r="84" spans="1:41">
      <c r="A84" s="189">
        <v>20</v>
      </c>
      <c r="B84" s="190">
        <v>4</v>
      </c>
      <c r="C84" s="191" t="s">
        <v>236</v>
      </c>
      <c r="D84" s="192">
        <f t="shared" si="14"/>
        <v>0</v>
      </c>
      <c r="E84" s="192">
        <f t="shared" si="15"/>
        <v>0</v>
      </c>
      <c r="F84" s="192">
        <f t="shared" si="16"/>
        <v>0</v>
      </c>
      <c r="G84" s="193">
        <f t="shared" si="17"/>
        <v>0</v>
      </c>
      <c r="H84" s="194">
        <v>0</v>
      </c>
      <c r="I84" s="194">
        <v>0</v>
      </c>
      <c r="J84" s="194">
        <v>0</v>
      </c>
      <c r="K84" s="193">
        <f t="shared" si="18"/>
        <v>0</v>
      </c>
      <c r="L84" s="194">
        <v>0</v>
      </c>
      <c r="M84" s="194">
        <v>0</v>
      </c>
      <c r="N84" s="194">
        <v>0</v>
      </c>
      <c r="O84" s="193">
        <f t="shared" si="19"/>
        <v>0</v>
      </c>
      <c r="P84" s="194">
        <v>0</v>
      </c>
      <c r="Q84" s="194">
        <v>0</v>
      </c>
      <c r="R84" s="194">
        <v>0</v>
      </c>
      <c r="S84" s="193">
        <f t="shared" si="20"/>
        <v>0</v>
      </c>
      <c r="T84" s="193">
        <f t="shared" si="21"/>
        <v>0</v>
      </c>
      <c r="U84" s="193">
        <f ca="1">OFFSET('Expenditure Study'!$B$7,'Operations Support'!$C84,'Operations Support'!$B84)*$G84</f>
        <v>0</v>
      </c>
      <c r="V84" s="199">
        <f ca="1">U84*'Expenditure Study'!$B$31</f>
        <v>0</v>
      </c>
      <c r="W84" s="199">
        <f ca="1">IF(A84=10298,1.51,1)*IF($B84&lt;3,$D84*'Expenditure Study'!$B$32*OFFSET('Expenditure Study'!$B$7,'Operations Support'!$C84,'Operations Support'!$B84),0)</f>
        <v>0</v>
      </c>
      <c r="X84" s="200">
        <f ca="1">W84*'Expenditure Study'!$B$31</f>
        <v>0</v>
      </c>
      <c r="Y84" s="199">
        <f ca="1">U84*'Expenditure Study'!$B$31</f>
        <v>0</v>
      </c>
      <c r="Z84" s="200">
        <f ca="1">W84*'Expenditure Study'!$B$31</f>
        <v>0</v>
      </c>
      <c r="AA84" s="195">
        <f t="shared" ca="1" si="22"/>
        <v>0</v>
      </c>
      <c r="AB84" s="195">
        <f t="shared" ca="1" si="23"/>
        <v>0</v>
      </c>
      <c r="AD84" s="196">
        <f>IFERROR($G84/SUMIF($A:$A,$A84,$G:$G)*SUMIF(Summary!$A$166:$A$242,$A84,Summary!$P$166:$P$242),0)</f>
        <v>0</v>
      </c>
      <c r="AE84" s="197">
        <f t="shared" ca="1" si="24"/>
        <v>0</v>
      </c>
      <c r="AF84" s="196">
        <f>IFERROR(G84/SUMIF(A:A,A84,G:G)*SUMIF(Summary!$A$166:$A$242,'Operations Support'!A84,Summary!$Q$166:$Q$242),0)</f>
        <v>0</v>
      </c>
      <c r="AG84" s="196">
        <f t="shared" ca="1" si="25"/>
        <v>0</v>
      </c>
      <c r="AI84" s="196">
        <f>IFERROR($G84/SUMIF($A:$A,$A84,$G:$G)*SUMIF(Summary!$A$247:$A$283,$A84,Summary!$P$247:$P$283),0)</f>
        <v>0</v>
      </c>
      <c r="AJ84" s="196">
        <f>IFERROR($G84/SUMIF($A:$A,$A84,$G:$G)*(SUMIF(Summary!$A$247:$A$283,$A84,Summary!$L$247:$L$283)+SUMIF(Summary!$A$297:$A$333,$A84,Summary!$L$297:$L$333))-AI84,0)</f>
        <v>0</v>
      </c>
      <c r="AK84" s="196">
        <f>IFERROR($G84/SUMIF($A:$A,$A84,$G:$G)*SUMIF(Summary!$A$247:$A$283,$A84,Summary!$Q$247:$Q$283),0)</f>
        <v>0</v>
      </c>
      <c r="AL84" s="196">
        <f>IFERROR($G84/SUMIF($A:$A,$A84,$G:$G)*(SUMIF(Summary!$A$247:$A$283,$A84,Summary!$L$247:$L$283)+SUMIF(Summary!$A$297:$A$333,$A84,Summary!$L$297:$L$333))-AK84,0)</f>
        <v>0</v>
      </c>
      <c r="AM84" s="198"/>
      <c r="AN84" s="196">
        <f t="shared" ca="1" si="26"/>
        <v>0</v>
      </c>
      <c r="AO84" s="196">
        <f t="shared" ca="1" si="27"/>
        <v>0</v>
      </c>
    </row>
    <row r="85" spans="1:41">
      <c r="A85" s="189">
        <v>20</v>
      </c>
      <c r="B85" s="190">
        <v>4</v>
      </c>
      <c r="C85" s="191" t="s">
        <v>237</v>
      </c>
      <c r="D85" s="192">
        <f t="shared" si="14"/>
        <v>0</v>
      </c>
      <c r="E85" s="192">
        <f t="shared" si="15"/>
        <v>0</v>
      </c>
      <c r="F85" s="192">
        <f t="shared" si="16"/>
        <v>0</v>
      </c>
      <c r="G85" s="193">
        <f t="shared" si="17"/>
        <v>0</v>
      </c>
      <c r="H85" s="194">
        <v>0</v>
      </c>
      <c r="I85" s="194">
        <v>0</v>
      </c>
      <c r="J85" s="194">
        <v>0</v>
      </c>
      <c r="K85" s="193">
        <f t="shared" si="18"/>
        <v>0</v>
      </c>
      <c r="L85" s="194">
        <v>0</v>
      </c>
      <c r="M85" s="194">
        <v>0</v>
      </c>
      <c r="N85" s="194">
        <v>0</v>
      </c>
      <c r="O85" s="193">
        <f t="shared" si="19"/>
        <v>0</v>
      </c>
      <c r="P85" s="194">
        <v>0</v>
      </c>
      <c r="Q85" s="194">
        <v>0</v>
      </c>
      <c r="R85" s="194">
        <v>0</v>
      </c>
      <c r="S85" s="193">
        <f t="shared" si="20"/>
        <v>0</v>
      </c>
      <c r="T85" s="193">
        <f t="shared" si="21"/>
        <v>0</v>
      </c>
      <c r="U85" s="193">
        <f ca="1">OFFSET('Expenditure Study'!$B$7,'Operations Support'!$C85,'Operations Support'!$B85)*$G85</f>
        <v>0</v>
      </c>
      <c r="V85" s="199">
        <f ca="1">U85*'Expenditure Study'!$B$31</f>
        <v>0</v>
      </c>
      <c r="W85" s="199">
        <f ca="1">IF(A85=10298,1.51,1)*IF($B85&lt;3,$D85*'Expenditure Study'!$B$32*OFFSET('Expenditure Study'!$B$7,'Operations Support'!$C85,'Operations Support'!$B85),0)</f>
        <v>0</v>
      </c>
      <c r="X85" s="200">
        <f ca="1">W85*'Expenditure Study'!$B$31</f>
        <v>0</v>
      </c>
      <c r="Y85" s="199">
        <f ca="1">U85*'Expenditure Study'!$B$31</f>
        <v>0</v>
      </c>
      <c r="Z85" s="200">
        <f ca="1">W85*'Expenditure Study'!$B$31</f>
        <v>0</v>
      </c>
      <c r="AA85" s="195">
        <f t="shared" ca="1" si="22"/>
        <v>0</v>
      </c>
      <c r="AB85" s="195">
        <f t="shared" ca="1" si="23"/>
        <v>0</v>
      </c>
      <c r="AD85" s="196">
        <f>IFERROR($G85/SUMIF($A:$A,$A85,$G:$G)*SUMIF(Summary!$A$166:$A$242,$A85,Summary!$P$166:$P$242),0)</f>
        <v>0</v>
      </c>
      <c r="AE85" s="197">
        <f t="shared" ca="1" si="24"/>
        <v>0</v>
      </c>
      <c r="AF85" s="196">
        <f>IFERROR(G85/SUMIF(A:A,A85,G:G)*SUMIF(Summary!$A$166:$A$242,'Operations Support'!A85,Summary!$Q$166:$Q$242),0)</f>
        <v>0</v>
      </c>
      <c r="AG85" s="196">
        <f t="shared" ca="1" si="25"/>
        <v>0</v>
      </c>
      <c r="AI85" s="196">
        <f>IFERROR($G85/SUMIF($A:$A,$A85,$G:$G)*SUMIF(Summary!$A$247:$A$283,$A85,Summary!$P$247:$P$283),0)</f>
        <v>0</v>
      </c>
      <c r="AJ85" s="196">
        <f>IFERROR($G85/SUMIF($A:$A,$A85,$G:$G)*(SUMIF(Summary!$A$247:$A$283,$A85,Summary!$L$247:$L$283)+SUMIF(Summary!$A$297:$A$333,$A85,Summary!$L$297:$L$333))-AI85,0)</f>
        <v>0</v>
      </c>
      <c r="AK85" s="196">
        <f>IFERROR($G85/SUMIF($A:$A,$A85,$G:$G)*SUMIF(Summary!$A$247:$A$283,$A85,Summary!$Q$247:$Q$283),0)</f>
        <v>0</v>
      </c>
      <c r="AL85" s="196">
        <f>IFERROR($G85/SUMIF($A:$A,$A85,$G:$G)*(SUMIF(Summary!$A$247:$A$283,$A85,Summary!$L$247:$L$283)+SUMIF(Summary!$A$297:$A$333,$A85,Summary!$L$297:$L$333))-AK85,0)</f>
        <v>0</v>
      </c>
      <c r="AM85" s="198"/>
      <c r="AN85" s="196">
        <f t="shared" ca="1" si="26"/>
        <v>0</v>
      </c>
      <c r="AO85" s="196">
        <f t="shared" ca="1" si="27"/>
        <v>0</v>
      </c>
    </row>
    <row r="86" spans="1:41">
      <c r="A86" s="189">
        <v>20</v>
      </c>
      <c r="B86" s="190">
        <v>4</v>
      </c>
      <c r="C86" s="191" t="s">
        <v>238</v>
      </c>
      <c r="D86" s="192">
        <f t="shared" si="14"/>
        <v>0</v>
      </c>
      <c r="E86" s="192">
        <f t="shared" si="15"/>
        <v>0</v>
      </c>
      <c r="F86" s="192">
        <f t="shared" si="16"/>
        <v>0</v>
      </c>
      <c r="G86" s="193">
        <f t="shared" si="17"/>
        <v>0</v>
      </c>
      <c r="H86" s="194">
        <v>0</v>
      </c>
      <c r="I86" s="194">
        <v>0</v>
      </c>
      <c r="J86" s="194">
        <v>0</v>
      </c>
      <c r="K86" s="193">
        <f t="shared" si="18"/>
        <v>0</v>
      </c>
      <c r="L86" s="194">
        <v>0</v>
      </c>
      <c r="M86" s="194">
        <v>0</v>
      </c>
      <c r="N86" s="194">
        <v>0</v>
      </c>
      <c r="O86" s="193">
        <f t="shared" si="19"/>
        <v>0</v>
      </c>
      <c r="P86" s="194">
        <v>0</v>
      </c>
      <c r="Q86" s="194">
        <v>0</v>
      </c>
      <c r="R86" s="194">
        <v>0</v>
      </c>
      <c r="S86" s="193">
        <f t="shared" si="20"/>
        <v>0</v>
      </c>
      <c r="T86" s="193">
        <f t="shared" si="21"/>
        <v>0</v>
      </c>
      <c r="U86" s="193">
        <f ca="1">OFFSET('Expenditure Study'!$B$7,'Operations Support'!$C86,'Operations Support'!$B86)*$G86</f>
        <v>0</v>
      </c>
      <c r="V86" s="199">
        <f ca="1">U86*'Expenditure Study'!$B$31</f>
        <v>0</v>
      </c>
      <c r="W86" s="199">
        <f ca="1">IF(A86=10298,1.51,1)*IF($B86&lt;3,$D86*'Expenditure Study'!$B$32*OFFSET('Expenditure Study'!$B$7,'Operations Support'!$C86,'Operations Support'!$B86),0)</f>
        <v>0</v>
      </c>
      <c r="X86" s="200">
        <f ca="1">W86*'Expenditure Study'!$B$31</f>
        <v>0</v>
      </c>
      <c r="Y86" s="199">
        <f ca="1">U86*'Expenditure Study'!$B$31</f>
        <v>0</v>
      </c>
      <c r="Z86" s="200">
        <f ca="1">W86*'Expenditure Study'!$B$31</f>
        <v>0</v>
      </c>
      <c r="AA86" s="195">
        <f t="shared" ca="1" si="22"/>
        <v>0</v>
      </c>
      <c r="AB86" s="195">
        <f t="shared" ca="1" si="23"/>
        <v>0</v>
      </c>
      <c r="AD86" s="196">
        <f>IFERROR($G86/SUMIF($A:$A,$A86,$G:$G)*SUMIF(Summary!$A$166:$A$242,$A86,Summary!$P$166:$P$242),0)</f>
        <v>0</v>
      </c>
      <c r="AE86" s="197">
        <f t="shared" ca="1" si="24"/>
        <v>0</v>
      </c>
      <c r="AF86" s="196">
        <f>IFERROR(G86/SUMIF(A:A,A86,G:G)*SUMIF(Summary!$A$166:$A$242,'Operations Support'!A86,Summary!$Q$166:$Q$242),0)</f>
        <v>0</v>
      </c>
      <c r="AG86" s="196">
        <f t="shared" ca="1" si="25"/>
        <v>0</v>
      </c>
      <c r="AI86" s="196">
        <f>IFERROR($G86/SUMIF($A:$A,$A86,$G:$G)*SUMIF(Summary!$A$247:$A$283,$A86,Summary!$P$247:$P$283),0)</f>
        <v>0</v>
      </c>
      <c r="AJ86" s="196">
        <f>IFERROR($G86/SUMIF($A:$A,$A86,$G:$G)*(SUMIF(Summary!$A$247:$A$283,$A86,Summary!$L$247:$L$283)+SUMIF(Summary!$A$297:$A$333,$A86,Summary!$L$297:$L$333))-AI86,0)</f>
        <v>0</v>
      </c>
      <c r="AK86" s="196">
        <f>IFERROR($G86/SUMIF($A:$A,$A86,$G:$G)*SUMIF(Summary!$A$247:$A$283,$A86,Summary!$Q$247:$Q$283),0)</f>
        <v>0</v>
      </c>
      <c r="AL86" s="196">
        <f>IFERROR($G86/SUMIF($A:$A,$A86,$G:$G)*(SUMIF(Summary!$A$247:$A$283,$A86,Summary!$L$247:$L$283)+SUMIF(Summary!$A$297:$A$333,$A86,Summary!$L$297:$L$333))-AK86,0)</f>
        <v>0</v>
      </c>
      <c r="AM86" s="198"/>
      <c r="AN86" s="196">
        <f t="shared" ca="1" si="26"/>
        <v>0</v>
      </c>
      <c r="AO86" s="196">
        <f t="shared" ca="1" si="27"/>
        <v>0</v>
      </c>
    </row>
    <row r="87" spans="1:41">
      <c r="A87" s="189">
        <v>20</v>
      </c>
      <c r="B87" s="190">
        <v>4</v>
      </c>
      <c r="C87" s="191" t="s">
        <v>239</v>
      </c>
      <c r="D87" s="192">
        <f t="shared" si="14"/>
        <v>0</v>
      </c>
      <c r="E87" s="192">
        <f t="shared" si="15"/>
        <v>0</v>
      </c>
      <c r="F87" s="192">
        <f t="shared" si="16"/>
        <v>0</v>
      </c>
      <c r="G87" s="193">
        <f t="shared" si="17"/>
        <v>0</v>
      </c>
      <c r="H87" s="194">
        <v>0</v>
      </c>
      <c r="I87" s="194">
        <v>0</v>
      </c>
      <c r="J87" s="194">
        <v>0</v>
      </c>
      <c r="K87" s="193">
        <f t="shared" si="18"/>
        <v>0</v>
      </c>
      <c r="L87" s="194">
        <v>0</v>
      </c>
      <c r="M87" s="194">
        <v>0</v>
      </c>
      <c r="N87" s="194">
        <v>0</v>
      </c>
      <c r="O87" s="193">
        <f t="shared" si="19"/>
        <v>0</v>
      </c>
      <c r="P87" s="194">
        <v>0</v>
      </c>
      <c r="Q87" s="194">
        <v>0</v>
      </c>
      <c r="R87" s="194">
        <v>0</v>
      </c>
      <c r="S87" s="193">
        <f t="shared" si="20"/>
        <v>0</v>
      </c>
      <c r="T87" s="193">
        <f t="shared" si="21"/>
        <v>0</v>
      </c>
      <c r="U87" s="193">
        <f ca="1">OFFSET('Expenditure Study'!$B$7,'Operations Support'!$C87,'Operations Support'!$B87)*$G87</f>
        <v>0</v>
      </c>
      <c r="V87" s="199">
        <f ca="1">U87*'Expenditure Study'!$B$31</f>
        <v>0</v>
      </c>
      <c r="W87" s="199">
        <f ca="1">IF(A87=10298,1.51,1)*IF($B87&lt;3,$D87*'Expenditure Study'!$B$32*OFFSET('Expenditure Study'!$B$7,'Operations Support'!$C87,'Operations Support'!$B87),0)</f>
        <v>0</v>
      </c>
      <c r="X87" s="200">
        <f ca="1">W87*'Expenditure Study'!$B$31</f>
        <v>0</v>
      </c>
      <c r="Y87" s="199">
        <f ca="1">U87*'Expenditure Study'!$B$31</f>
        <v>0</v>
      </c>
      <c r="Z87" s="200">
        <f ca="1">W87*'Expenditure Study'!$B$31</f>
        <v>0</v>
      </c>
      <c r="AA87" s="195">
        <f t="shared" ca="1" si="22"/>
        <v>0</v>
      </c>
      <c r="AB87" s="195">
        <f t="shared" ca="1" si="23"/>
        <v>0</v>
      </c>
      <c r="AD87" s="196">
        <f>IFERROR($G87/SUMIF($A:$A,$A87,$G:$G)*SUMIF(Summary!$A$166:$A$242,$A87,Summary!$P$166:$P$242),0)</f>
        <v>0</v>
      </c>
      <c r="AE87" s="197">
        <f t="shared" ca="1" si="24"/>
        <v>0</v>
      </c>
      <c r="AF87" s="196">
        <f>IFERROR(G87/SUMIF(A:A,A87,G:G)*SUMIF(Summary!$A$166:$A$242,'Operations Support'!A87,Summary!$Q$166:$Q$242),0)</f>
        <v>0</v>
      </c>
      <c r="AG87" s="196">
        <f t="shared" ca="1" si="25"/>
        <v>0</v>
      </c>
      <c r="AI87" s="196">
        <f>IFERROR($G87/SUMIF($A:$A,$A87,$G:$G)*SUMIF(Summary!$A$247:$A$283,$A87,Summary!$P$247:$P$283),0)</f>
        <v>0</v>
      </c>
      <c r="AJ87" s="196">
        <f>IFERROR($G87/SUMIF($A:$A,$A87,$G:$G)*(SUMIF(Summary!$A$247:$A$283,$A87,Summary!$L$247:$L$283)+SUMIF(Summary!$A$297:$A$333,$A87,Summary!$L$297:$L$333))-AI87,0)</f>
        <v>0</v>
      </c>
      <c r="AK87" s="196">
        <f>IFERROR($G87/SUMIF($A:$A,$A87,$G:$G)*SUMIF(Summary!$A$247:$A$283,$A87,Summary!$Q$247:$Q$283),0)</f>
        <v>0</v>
      </c>
      <c r="AL87" s="196">
        <f>IFERROR($G87/SUMIF($A:$A,$A87,$G:$G)*(SUMIF(Summary!$A$247:$A$283,$A87,Summary!$L$247:$L$283)+SUMIF(Summary!$A$297:$A$333,$A87,Summary!$L$297:$L$333))-AK87,0)</f>
        <v>0</v>
      </c>
      <c r="AM87" s="198"/>
      <c r="AN87" s="196">
        <f t="shared" ca="1" si="26"/>
        <v>0</v>
      </c>
      <c r="AO87" s="196">
        <f t="shared" ca="1" si="27"/>
        <v>0</v>
      </c>
    </row>
    <row r="88" spans="1:41">
      <c r="A88" s="189">
        <v>20</v>
      </c>
      <c r="B88" s="190">
        <v>4</v>
      </c>
      <c r="C88" s="191" t="s">
        <v>240</v>
      </c>
      <c r="D88" s="192">
        <f t="shared" si="14"/>
        <v>0</v>
      </c>
      <c r="E88" s="192">
        <f t="shared" si="15"/>
        <v>0</v>
      </c>
      <c r="F88" s="192">
        <f t="shared" si="16"/>
        <v>0</v>
      </c>
      <c r="G88" s="193">
        <f t="shared" si="17"/>
        <v>0</v>
      </c>
      <c r="H88" s="194">
        <v>0</v>
      </c>
      <c r="I88" s="194">
        <v>0</v>
      </c>
      <c r="J88" s="194">
        <v>0</v>
      </c>
      <c r="K88" s="193">
        <f t="shared" si="18"/>
        <v>0</v>
      </c>
      <c r="L88" s="194">
        <v>0</v>
      </c>
      <c r="M88" s="194">
        <v>0</v>
      </c>
      <c r="N88" s="194">
        <v>0</v>
      </c>
      <c r="O88" s="193">
        <f t="shared" si="19"/>
        <v>0</v>
      </c>
      <c r="P88" s="194">
        <v>0</v>
      </c>
      <c r="Q88" s="194">
        <v>0</v>
      </c>
      <c r="R88" s="194">
        <v>0</v>
      </c>
      <c r="S88" s="193">
        <f t="shared" si="20"/>
        <v>0</v>
      </c>
      <c r="T88" s="193">
        <f t="shared" si="21"/>
        <v>0</v>
      </c>
      <c r="U88" s="193">
        <f ca="1">OFFSET('Expenditure Study'!$B$7,'Operations Support'!$C88,'Operations Support'!$B88)*$G88</f>
        <v>0</v>
      </c>
      <c r="V88" s="199">
        <f ca="1">U88*'Expenditure Study'!$B$31</f>
        <v>0</v>
      </c>
      <c r="W88" s="199">
        <f ca="1">IF(A88=10298,1.51,1)*IF($B88&lt;3,$D88*'Expenditure Study'!$B$32*OFFSET('Expenditure Study'!$B$7,'Operations Support'!$C88,'Operations Support'!$B88),0)</f>
        <v>0</v>
      </c>
      <c r="X88" s="200">
        <f ca="1">W88*'Expenditure Study'!$B$31</f>
        <v>0</v>
      </c>
      <c r="Y88" s="199">
        <f ca="1">U88*'Expenditure Study'!$B$31</f>
        <v>0</v>
      </c>
      <c r="Z88" s="200">
        <f ca="1">W88*'Expenditure Study'!$B$31</f>
        <v>0</v>
      </c>
      <c r="AA88" s="195">
        <f t="shared" ca="1" si="22"/>
        <v>0</v>
      </c>
      <c r="AB88" s="195">
        <f t="shared" ca="1" si="23"/>
        <v>0</v>
      </c>
      <c r="AD88" s="196">
        <f>IFERROR($G88/SUMIF($A:$A,$A88,$G:$G)*SUMIF(Summary!$A$166:$A$242,$A88,Summary!$P$166:$P$242),0)</f>
        <v>0</v>
      </c>
      <c r="AE88" s="197">
        <f t="shared" ca="1" si="24"/>
        <v>0</v>
      </c>
      <c r="AF88" s="196">
        <f>IFERROR(G88/SUMIF(A:A,A88,G:G)*SUMIF(Summary!$A$166:$A$242,'Operations Support'!A88,Summary!$Q$166:$Q$242),0)</f>
        <v>0</v>
      </c>
      <c r="AG88" s="196">
        <f t="shared" ca="1" si="25"/>
        <v>0</v>
      </c>
      <c r="AI88" s="196">
        <f>IFERROR($G88/SUMIF($A:$A,$A88,$G:$G)*SUMIF(Summary!$A$247:$A$283,$A88,Summary!$P$247:$P$283),0)</f>
        <v>0</v>
      </c>
      <c r="AJ88" s="196">
        <f>IFERROR($G88/SUMIF($A:$A,$A88,$G:$G)*(SUMIF(Summary!$A$247:$A$283,$A88,Summary!$L$247:$L$283)+SUMIF(Summary!$A$297:$A$333,$A88,Summary!$L$297:$L$333))-AI88,0)</f>
        <v>0</v>
      </c>
      <c r="AK88" s="196">
        <f>IFERROR($G88/SUMIF($A:$A,$A88,$G:$G)*SUMIF(Summary!$A$247:$A$283,$A88,Summary!$Q$247:$Q$283),0)</f>
        <v>0</v>
      </c>
      <c r="AL88" s="196">
        <f>IFERROR($G88/SUMIF($A:$A,$A88,$G:$G)*(SUMIF(Summary!$A$247:$A$283,$A88,Summary!$L$247:$L$283)+SUMIF(Summary!$A$297:$A$333,$A88,Summary!$L$297:$L$333))-AK88,0)</f>
        <v>0</v>
      </c>
      <c r="AM88" s="198"/>
      <c r="AN88" s="196">
        <f t="shared" ca="1" si="26"/>
        <v>0</v>
      </c>
      <c r="AO88" s="196">
        <f t="shared" ca="1" si="27"/>
        <v>0</v>
      </c>
    </row>
    <row r="89" spans="1:41">
      <c r="A89" s="189">
        <v>20</v>
      </c>
      <c r="B89" s="190">
        <v>5</v>
      </c>
      <c r="C89" s="191" t="s">
        <v>220</v>
      </c>
      <c r="D89" s="192">
        <f t="shared" si="14"/>
        <v>0</v>
      </c>
      <c r="E89" s="192">
        <f t="shared" si="15"/>
        <v>0</v>
      </c>
      <c r="F89" s="192">
        <f t="shared" si="16"/>
        <v>0</v>
      </c>
      <c r="G89" s="193">
        <f t="shared" si="17"/>
        <v>0</v>
      </c>
      <c r="H89" s="194">
        <v>0</v>
      </c>
      <c r="I89" s="194">
        <v>0</v>
      </c>
      <c r="J89" s="194">
        <v>0</v>
      </c>
      <c r="K89" s="193">
        <f t="shared" si="18"/>
        <v>0</v>
      </c>
      <c r="L89" s="194">
        <v>0</v>
      </c>
      <c r="M89" s="194">
        <v>0</v>
      </c>
      <c r="N89" s="194">
        <v>0</v>
      </c>
      <c r="O89" s="193">
        <f t="shared" si="19"/>
        <v>0</v>
      </c>
      <c r="P89" s="194">
        <v>0</v>
      </c>
      <c r="Q89" s="194">
        <v>0</v>
      </c>
      <c r="R89" s="194">
        <v>0</v>
      </c>
      <c r="S89" s="193">
        <f t="shared" si="20"/>
        <v>0</v>
      </c>
      <c r="T89" s="193">
        <f t="shared" si="21"/>
        <v>0</v>
      </c>
      <c r="U89" s="193">
        <f ca="1">OFFSET('Expenditure Study'!$B$7,'Operations Support'!$C89,'Operations Support'!$B89)*$G89</f>
        <v>0</v>
      </c>
      <c r="V89" s="199">
        <f ca="1">U89*'Expenditure Study'!$B$31</f>
        <v>0</v>
      </c>
      <c r="W89" s="199">
        <f ca="1">IF(A89=10298,1.51,1)*IF($B89&lt;3,$D89*'Expenditure Study'!$B$32*OFFSET('Expenditure Study'!$B$7,'Operations Support'!$C89,'Operations Support'!$B89),0)</f>
        <v>0</v>
      </c>
      <c r="X89" s="200">
        <f ca="1">W89*'Expenditure Study'!$B$31</f>
        <v>0</v>
      </c>
      <c r="Y89" s="199">
        <f ca="1">U89*'Expenditure Study'!$B$31</f>
        <v>0</v>
      </c>
      <c r="Z89" s="200">
        <f ca="1">W89*'Expenditure Study'!$B$31</f>
        <v>0</v>
      </c>
      <c r="AA89" s="195">
        <f t="shared" ca="1" si="22"/>
        <v>0</v>
      </c>
      <c r="AB89" s="195">
        <f t="shared" ca="1" si="23"/>
        <v>0</v>
      </c>
      <c r="AD89" s="196">
        <f>IFERROR($G89/SUMIF($A:$A,$A89,$G:$G)*SUMIF(Summary!$A$166:$A$242,$A89,Summary!$P$166:$P$242),0)</f>
        <v>0</v>
      </c>
      <c r="AE89" s="197">
        <f t="shared" ca="1" si="24"/>
        <v>0</v>
      </c>
      <c r="AF89" s="196">
        <f>IFERROR(G89/SUMIF(A:A,A89,G:G)*SUMIF(Summary!$A$166:$A$242,'Operations Support'!A89,Summary!$Q$166:$Q$242),0)</f>
        <v>0</v>
      </c>
      <c r="AG89" s="196">
        <f t="shared" ca="1" si="25"/>
        <v>0</v>
      </c>
      <c r="AI89" s="196">
        <f>IFERROR($G89/SUMIF($A:$A,$A89,$G:$G)*SUMIF(Summary!$A$247:$A$283,$A89,Summary!$P$247:$P$283),0)</f>
        <v>0</v>
      </c>
      <c r="AJ89" s="196">
        <f>IFERROR($G89/SUMIF($A:$A,$A89,$G:$G)*(SUMIF(Summary!$A$247:$A$283,$A89,Summary!$L$247:$L$283)+SUMIF(Summary!$A$297:$A$333,$A89,Summary!$L$297:$L$333))-AI89,0)</f>
        <v>0</v>
      </c>
      <c r="AK89" s="196">
        <f>IFERROR($G89/SUMIF($A:$A,$A89,$G:$G)*SUMIF(Summary!$A$247:$A$283,$A89,Summary!$Q$247:$Q$283),0)</f>
        <v>0</v>
      </c>
      <c r="AL89" s="196">
        <f>IFERROR($G89/SUMIF($A:$A,$A89,$G:$G)*(SUMIF(Summary!$A$247:$A$283,$A89,Summary!$L$247:$L$283)+SUMIF(Summary!$A$297:$A$333,$A89,Summary!$L$297:$L$333))-AK89,0)</f>
        <v>0</v>
      </c>
      <c r="AM89" s="198"/>
      <c r="AN89" s="196">
        <f t="shared" ca="1" si="26"/>
        <v>0</v>
      </c>
      <c r="AO89" s="196">
        <f t="shared" ca="1" si="27"/>
        <v>0</v>
      </c>
    </row>
    <row r="90" spans="1:41">
      <c r="A90" s="189">
        <v>20</v>
      </c>
      <c r="B90" s="190">
        <v>5</v>
      </c>
      <c r="C90" s="191" t="s">
        <v>221</v>
      </c>
      <c r="D90" s="192">
        <f t="shared" si="14"/>
        <v>0</v>
      </c>
      <c r="E90" s="192">
        <f t="shared" si="15"/>
        <v>0</v>
      </c>
      <c r="F90" s="192">
        <f t="shared" si="16"/>
        <v>0</v>
      </c>
      <c r="G90" s="193">
        <f t="shared" si="17"/>
        <v>0</v>
      </c>
      <c r="H90" s="194">
        <v>0</v>
      </c>
      <c r="I90" s="194">
        <v>0</v>
      </c>
      <c r="J90" s="194">
        <v>0</v>
      </c>
      <c r="K90" s="193">
        <f t="shared" si="18"/>
        <v>0</v>
      </c>
      <c r="L90" s="194">
        <v>0</v>
      </c>
      <c r="M90" s="194">
        <v>0</v>
      </c>
      <c r="N90" s="194">
        <v>0</v>
      </c>
      <c r="O90" s="193">
        <f t="shared" si="19"/>
        <v>0</v>
      </c>
      <c r="P90" s="194">
        <v>0</v>
      </c>
      <c r="Q90" s="194">
        <v>0</v>
      </c>
      <c r="R90" s="194">
        <v>0</v>
      </c>
      <c r="S90" s="193">
        <f t="shared" si="20"/>
        <v>0</v>
      </c>
      <c r="T90" s="193">
        <f t="shared" si="21"/>
        <v>0</v>
      </c>
      <c r="U90" s="193">
        <f ca="1">OFFSET('Expenditure Study'!$B$7,'Operations Support'!$C90,'Operations Support'!$B90)*$G90</f>
        <v>0</v>
      </c>
      <c r="V90" s="199">
        <f ca="1">U90*'Expenditure Study'!$B$31</f>
        <v>0</v>
      </c>
      <c r="W90" s="199">
        <f ca="1">IF(A90=10298,1.51,1)*IF($B90&lt;3,$D90*'Expenditure Study'!$B$32*OFFSET('Expenditure Study'!$B$7,'Operations Support'!$C90,'Operations Support'!$B90),0)</f>
        <v>0</v>
      </c>
      <c r="X90" s="200">
        <f ca="1">W90*'Expenditure Study'!$B$31</f>
        <v>0</v>
      </c>
      <c r="Y90" s="199">
        <f ca="1">U90*'Expenditure Study'!$B$31</f>
        <v>0</v>
      </c>
      <c r="Z90" s="200">
        <f ca="1">W90*'Expenditure Study'!$B$31</f>
        <v>0</v>
      </c>
      <c r="AA90" s="195">
        <f t="shared" ca="1" si="22"/>
        <v>0</v>
      </c>
      <c r="AB90" s="195">
        <f t="shared" ca="1" si="23"/>
        <v>0</v>
      </c>
      <c r="AD90" s="196">
        <f>IFERROR($G90/SUMIF($A:$A,$A90,$G:$G)*SUMIF(Summary!$A$166:$A$242,$A90,Summary!$P$166:$P$242),0)</f>
        <v>0</v>
      </c>
      <c r="AE90" s="197">
        <f t="shared" ca="1" si="24"/>
        <v>0</v>
      </c>
      <c r="AF90" s="196">
        <f>IFERROR(G90/SUMIF(A:A,A90,G:G)*SUMIF(Summary!$A$166:$A$242,'Operations Support'!A90,Summary!$Q$166:$Q$242),0)</f>
        <v>0</v>
      </c>
      <c r="AG90" s="196">
        <f t="shared" ca="1" si="25"/>
        <v>0</v>
      </c>
      <c r="AI90" s="196">
        <f>IFERROR($G90/SUMIF($A:$A,$A90,$G:$G)*SUMIF(Summary!$A$247:$A$283,$A90,Summary!$P$247:$P$283),0)</f>
        <v>0</v>
      </c>
      <c r="AJ90" s="196">
        <f>IFERROR($G90/SUMIF($A:$A,$A90,$G:$G)*(SUMIF(Summary!$A$247:$A$283,$A90,Summary!$L$247:$L$283)+SUMIF(Summary!$A$297:$A$333,$A90,Summary!$L$297:$L$333))-AI90,0)</f>
        <v>0</v>
      </c>
      <c r="AK90" s="196">
        <f>IFERROR($G90/SUMIF($A:$A,$A90,$G:$G)*SUMIF(Summary!$A$247:$A$283,$A90,Summary!$Q$247:$Q$283),0)</f>
        <v>0</v>
      </c>
      <c r="AL90" s="196">
        <f>IFERROR($G90/SUMIF($A:$A,$A90,$G:$G)*(SUMIF(Summary!$A$247:$A$283,$A90,Summary!$L$247:$L$283)+SUMIF(Summary!$A$297:$A$333,$A90,Summary!$L$297:$L$333))-AK90,0)</f>
        <v>0</v>
      </c>
      <c r="AM90" s="198"/>
      <c r="AN90" s="196">
        <f t="shared" ca="1" si="26"/>
        <v>0</v>
      </c>
      <c r="AO90" s="196">
        <f t="shared" ca="1" si="27"/>
        <v>0</v>
      </c>
    </row>
    <row r="91" spans="1:41">
      <c r="A91" s="189">
        <v>20</v>
      </c>
      <c r="B91" s="190">
        <v>5</v>
      </c>
      <c r="C91" s="191" t="s">
        <v>222</v>
      </c>
      <c r="D91" s="192">
        <f t="shared" si="14"/>
        <v>0</v>
      </c>
      <c r="E91" s="192">
        <f t="shared" si="15"/>
        <v>0</v>
      </c>
      <c r="F91" s="192">
        <f t="shared" si="16"/>
        <v>0</v>
      </c>
      <c r="G91" s="193">
        <f t="shared" si="17"/>
        <v>0</v>
      </c>
      <c r="H91" s="194">
        <v>0</v>
      </c>
      <c r="I91" s="194">
        <v>0</v>
      </c>
      <c r="J91" s="194">
        <v>0</v>
      </c>
      <c r="K91" s="193">
        <f t="shared" si="18"/>
        <v>0</v>
      </c>
      <c r="L91" s="194">
        <v>0</v>
      </c>
      <c r="M91" s="194">
        <v>0</v>
      </c>
      <c r="N91" s="194">
        <v>0</v>
      </c>
      <c r="O91" s="193">
        <f t="shared" si="19"/>
        <v>0</v>
      </c>
      <c r="P91" s="194">
        <v>0</v>
      </c>
      <c r="Q91" s="194">
        <v>0</v>
      </c>
      <c r="R91" s="194">
        <v>0</v>
      </c>
      <c r="S91" s="193">
        <f t="shared" si="20"/>
        <v>0</v>
      </c>
      <c r="T91" s="193">
        <f t="shared" si="21"/>
        <v>0</v>
      </c>
      <c r="U91" s="193">
        <f ca="1">OFFSET('Expenditure Study'!$B$7,'Operations Support'!$C91,'Operations Support'!$B91)*$G91</f>
        <v>0</v>
      </c>
      <c r="V91" s="199">
        <f ca="1">U91*'Expenditure Study'!$B$31</f>
        <v>0</v>
      </c>
      <c r="W91" s="199">
        <f ca="1">IF(A91=10298,1.51,1)*IF($B91&lt;3,$D91*'Expenditure Study'!$B$32*OFFSET('Expenditure Study'!$B$7,'Operations Support'!$C91,'Operations Support'!$B91),0)</f>
        <v>0</v>
      </c>
      <c r="X91" s="200">
        <f ca="1">W91*'Expenditure Study'!$B$31</f>
        <v>0</v>
      </c>
      <c r="Y91" s="199">
        <f ca="1">U91*'Expenditure Study'!$B$31</f>
        <v>0</v>
      </c>
      <c r="Z91" s="200">
        <f ca="1">W91*'Expenditure Study'!$B$31</f>
        <v>0</v>
      </c>
      <c r="AA91" s="195">
        <f t="shared" ca="1" si="22"/>
        <v>0</v>
      </c>
      <c r="AB91" s="195">
        <f t="shared" ca="1" si="23"/>
        <v>0</v>
      </c>
      <c r="AD91" s="196">
        <f>IFERROR($G91/SUMIF($A:$A,$A91,$G:$G)*SUMIF(Summary!$A$166:$A$242,$A91,Summary!$P$166:$P$242),0)</f>
        <v>0</v>
      </c>
      <c r="AE91" s="197">
        <f t="shared" ca="1" si="24"/>
        <v>0</v>
      </c>
      <c r="AF91" s="196">
        <f>IFERROR(G91/SUMIF(A:A,A91,G:G)*SUMIF(Summary!$A$166:$A$242,'Operations Support'!A91,Summary!$Q$166:$Q$242),0)</f>
        <v>0</v>
      </c>
      <c r="AG91" s="196">
        <f t="shared" ca="1" si="25"/>
        <v>0</v>
      </c>
      <c r="AI91" s="196">
        <f>IFERROR($G91/SUMIF($A:$A,$A91,$G:$G)*SUMIF(Summary!$A$247:$A$283,$A91,Summary!$P$247:$P$283),0)</f>
        <v>0</v>
      </c>
      <c r="AJ91" s="196">
        <f>IFERROR($G91/SUMIF($A:$A,$A91,$G:$G)*(SUMIF(Summary!$A$247:$A$283,$A91,Summary!$L$247:$L$283)+SUMIF(Summary!$A$297:$A$333,$A91,Summary!$L$297:$L$333))-AI91,0)</f>
        <v>0</v>
      </c>
      <c r="AK91" s="196">
        <f>IFERROR($G91/SUMIF($A:$A,$A91,$G:$G)*SUMIF(Summary!$A$247:$A$283,$A91,Summary!$Q$247:$Q$283),0)</f>
        <v>0</v>
      </c>
      <c r="AL91" s="196">
        <f>IFERROR($G91/SUMIF($A:$A,$A91,$G:$G)*(SUMIF(Summary!$A$247:$A$283,$A91,Summary!$L$247:$L$283)+SUMIF(Summary!$A$297:$A$333,$A91,Summary!$L$297:$L$333))-AK91,0)</f>
        <v>0</v>
      </c>
      <c r="AM91" s="198"/>
      <c r="AN91" s="196">
        <f t="shared" ca="1" si="26"/>
        <v>0</v>
      </c>
      <c r="AO91" s="196">
        <f t="shared" ca="1" si="27"/>
        <v>0</v>
      </c>
    </row>
    <row r="92" spans="1:41" s="201" customFormat="1">
      <c r="A92" s="189">
        <v>20</v>
      </c>
      <c r="B92" s="190">
        <v>5</v>
      </c>
      <c r="C92" s="191" t="s">
        <v>223</v>
      </c>
      <c r="D92" s="192">
        <f t="shared" si="14"/>
        <v>0</v>
      </c>
      <c r="E92" s="192">
        <f t="shared" si="15"/>
        <v>0</v>
      </c>
      <c r="F92" s="192">
        <f t="shared" si="16"/>
        <v>0</v>
      </c>
      <c r="G92" s="193">
        <f t="shared" si="17"/>
        <v>0</v>
      </c>
      <c r="H92" s="194">
        <v>0</v>
      </c>
      <c r="I92" s="194">
        <v>0</v>
      </c>
      <c r="J92" s="194">
        <v>0</v>
      </c>
      <c r="K92" s="193">
        <f t="shared" si="18"/>
        <v>0</v>
      </c>
      <c r="L92" s="194">
        <v>0</v>
      </c>
      <c r="M92" s="194">
        <v>0</v>
      </c>
      <c r="N92" s="194">
        <v>0</v>
      </c>
      <c r="O92" s="193">
        <f t="shared" si="19"/>
        <v>0</v>
      </c>
      <c r="P92" s="194">
        <v>0</v>
      </c>
      <c r="Q92" s="194">
        <v>0</v>
      </c>
      <c r="R92" s="194">
        <v>0</v>
      </c>
      <c r="S92" s="193">
        <f t="shared" si="20"/>
        <v>0</v>
      </c>
      <c r="T92" s="193">
        <f t="shared" si="21"/>
        <v>0</v>
      </c>
      <c r="U92" s="193">
        <f ca="1">OFFSET('Expenditure Study'!$B$7,'Operations Support'!$C92,'Operations Support'!$B92)*$G92</f>
        <v>0</v>
      </c>
      <c r="V92" s="199">
        <f ca="1">U92*'Expenditure Study'!$B$31</f>
        <v>0</v>
      </c>
      <c r="W92" s="199">
        <f ca="1">IF(A92=10298,1.51,1)*IF($B92&lt;3,$D92*'Expenditure Study'!$B$32*OFFSET('Expenditure Study'!$B$7,'Operations Support'!$C92,'Operations Support'!$B92),0)</f>
        <v>0</v>
      </c>
      <c r="X92" s="200">
        <f ca="1">W92*'Expenditure Study'!$B$31</f>
        <v>0</v>
      </c>
      <c r="Y92" s="199">
        <f ca="1">U92*'Expenditure Study'!$B$31</f>
        <v>0</v>
      </c>
      <c r="Z92" s="200">
        <f ca="1">W92*'Expenditure Study'!$B$31</f>
        <v>0</v>
      </c>
      <c r="AA92" s="195">
        <f t="shared" ca="1" si="22"/>
        <v>0</v>
      </c>
      <c r="AB92" s="195">
        <f t="shared" ca="1" si="23"/>
        <v>0</v>
      </c>
      <c r="AD92" s="196">
        <f>IFERROR($G92/SUMIF($A:$A,$A92,$G:$G)*SUMIF(Summary!$A$166:$A$242,$A92,Summary!$P$166:$P$242),0)</f>
        <v>0</v>
      </c>
      <c r="AE92" s="197">
        <f t="shared" ca="1" si="24"/>
        <v>0</v>
      </c>
      <c r="AF92" s="196">
        <f>IFERROR(G92/SUMIF(A:A,A92,G:G)*SUMIF(Summary!$A$166:$A$242,'Operations Support'!A92,Summary!$Q$166:$Q$242),0)</f>
        <v>0</v>
      </c>
      <c r="AG92" s="196">
        <f t="shared" ca="1" si="25"/>
        <v>0</v>
      </c>
      <c r="AH92" s="180"/>
      <c r="AI92" s="196">
        <f>IFERROR($G92/SUMIF($A:$A,$A92,$G:$G)*SUMIF(Summary!$A$247:$A$283,$A92,Summary!$P$247:$P$283),0)</f>
        <v>0</v>
      </c>
      <c r="AJ92" s="196">
        <f>IFERROR($G92/SUMIF($A:$A,$A92,$G:$G)*(SUMIF(Summary!$A$247:$A$283,$A92,Summary!$L$247:$L$283)+SUMIF(Summary!$A$297:$A$333,$A92,Summary!$L$297:$L$333))-AI92,0)</f>
        <v>0</v>
      </c>
      <c r="AK92" s="196">
        <f>IFERROR($G92/SUMIF($A:$A,$A92,$G:$G)*SUMIF(Summary!$A$247:$A$283,$A92,Summary!$Q$247:$Q$283),0)</f>
        <v>0</v>
      </c>
      <c r="AL92" s="196">
        <f>IFERROR($G92/SUMIF($A:$A,$A92,$G:$G)*(SUMIF(Summary!$A$247:$A$283,$A92,Summary!$L$247:$L$283)+SUMIF(Summary!$A$297:$A$333,$A92,Summary!$L$297:$L$333))-AK92,0)</f>
        <v>0</v>
      </c>
      <c r="AM92" s="198"/>
      <c r="AN92" s="196">
        <f t="shared" ca="1" si="26"/>
        <v>0</v>
      </c>
      <c r="AO92" s="196">
        <f t="shared" ca="1" si="27"/>
        <v>0</v>
      </c>
    </row>
    <row r="93" spans="1:41">
      <c r="A93" s="189">
        <v>20</v>
      </c>
      <c r="B93" s="190">
        <v>5</v>
      </c>
      <c r="C93" s="191" t="s">
        <v>224</v>
      </c>
      <c r="D93" s="192">
        <f t="shared" si="14"/>
        <v>0</v>
      </c>
      <c r="E93" s="192">
        <f t="shared" si="15"/>
        <v>0</v>
      </c>
      <c r="F93" s="192">
        <f t="shared" si="16"/>
        <v>0</v>
      </c>
      <c r="G93" s="193">
        <f t="shared" si="17"/>
        <v>0</v>
      </c>
      <c r="H93" s="194">
        <v>0</v>
      </c>
      <c r="I93" s="194">
        <v>0</v>
      </c>
      <c r="J93" s="194">
        <v>0</v>
      </c>
      <c r="K93" s="193">
        <f t="shared" si="18"/>
        <v>0</v>
      </c>
      <c r="L93" s="194">
        <v>0</v>
      </c>
      <c r="M93" s="194">
        <v>0</v>
      </c>
      <c r="N93" s="194">
        <v>0</v>
      </c>
      <c r="O93" s="193">
        <f t="shared" si="19"/>
        <v>0</v>
      </c>
      <c r="P93" s="194">
        <v>0</v>
      </c>
      <c r="Q93" s="194">
        <v>0</v>
      </c>
      <c r="R93" s="194">
        <v>0</v>
      </c>
      <c r="S93" s="193">
        <f t="shared" si="20"/>
        <v>0</v>
      </c>
      <c r="T93" s="193">
        <f t="shared" si="21"/>
        <v>0</v>
      </c>
      <c r="U93" s="193">
        <f ca="1">OFFSET('Expenditure Study'!$B$7,'Operations Support'!$C93,'Operations Support'!$B93)*$G93</f>
        <v>0</v>
      </c>
      <c r="V93" s="199">
        <f ca="1">U93*'Expenditure Study'!$B$31</f>
        <v>0</v>
      </c>
      <c r="W93" s="199">
        <f ca="1">IF(A93=10298,1.51,1)*IF($B93&lt;3,$D93*'Expenditure Study'!$B$32*OFFSET('Expenditure Study'!$B$7,'Operations Support'!$C93,'Operations Support'!$B93),0)</f>
        <v>0</v>
      </c>
      <c r="X93" s="200">
        <f ca="1">W93*'Expenditure Study'!$B$31</f>
        <v>0</v>
      </c>
      <c r="Y93" s="199">
        <f ca="1">U93*'Expenditure Study'!$B$31</f>
        <v>0</v>
      </c>
      <c r="Z93" s="200">
        <f ca="1">W93*'Expenditure Study'!$B$31</f>
        <v>0</v>
      </c>
      <c r="AA93" s="195">
        <f t="shared" ca="1" si="22"/>
        <v>0</v>
      </c>
      <c r="AB93" s="195">
        <f t="shared" ca="1" si="23"/>
        <v>0</v>
      </c>
      <c r="AD93" s="196">
        <f>IFERROR($G93/SUMIF($A:$A,$A93,$G:$G)*SUMIF(Summary!$A$166:$A$242,$A93,Summary!$P$166:$P$242),0)</f>
        <v>0</v>
      </c>
      <c r="AE93" s="197">
        <f t="shared" ca="1" si="24"/>
        <v>0</v>
      </c>
      <c r="AF93" s="196">
        <f>IFERROR(G93/SUMIF(A:A,A93,G:G)*SUMIF(Summary!$A$166:$A$242,'Operations Support'!A93,Summary!$Q$166:$Q$242),0)</f>
        <v>0</v>
      </c>
      <c r="AG93" s="196">
        <f t="shared" ca="1" si="25"/>
        <v>0</v>
      </c>
      <c r="AI93" s="196">
        <f>IFERROR($G93/SUMIF($A:$A,$A93,$G:$G)*SUMIF(Summary!$A$247:$A$283,$A93,Summary!$P$247:$P$283),0)</f>
        <v>0</v>
      </c>
      <c r="AJ93" s="196">
        <f>IFERROR($G93/SUMIF($A:$A,$A93,$G:$G)*(SUMIF(Summary!$A$247:$A$283,$A93,Summary!$L$247:$L$283)+SUMIF(Summary!$A$297:$A$333,$A93,Summary!$L$297:$L$333))-AI93,0)</f>
        <v>0</v>
      </c>
      <c r="AK93" s="196">
        <f>IFERROR($G93/SUMIF($A:$A,$A93,$G:$G)*SUMIF(Summary!$A$247:$A$283,$A93,Summary!$Q$247:$Q$283),0)</f>
        <v>0</v>
      </c>
      <c r="AL93" s="196">
        <f>IFERROR($G93/SUMIF($A:$A,$A93,$G:$G)*(SUMIF(Summary!$A$247:$A$283,$A93,Summary!$L$247:$L$283)+SUMIF(Summary!$A$297:$A$333,$A93,Summary!$L$297:$L$333))-AK93,0)</f>
        <v>0</v>
      </c>
      <c r="AM93" s="198"/>
      <c r="AN93" s="196">
        <f t="shared" ca="1" si="26"/>
        <v>0</v>
      </c>
      <c r="AO93" s="196">
        <f t="shared" ca="1" si="27"/>
        <v>0</v>
      </c>
    </row>
    <row r="94" spans="1:41">
      <c r="A94" s="189">
        <v>20</v>
      </c>
      <c r="B94" s="190">
        <v>5</v>
      </c>
      <c r="C94" s="191" t="s">
        <v>225</v>
      </c>
      <c r="D94" s="192">
        <f t="shared" si="14"/>
        <v>0</v>
      </c>
      <c r="E94" s="192">
        <f t="shared" si="15"/>
        <v>0</v>
      </c>
      <c r="F94" s="192">
        <f t="shared" si="16"/>
        <v>0</v>
      </c>
      <c r="G94" s="193">
        <f t="shared" si="17"/>
        <v>0</v>
      </c>
      <c r="H94" s="194">
        <v>0</v>
      </c>
      <c r="I94" s="194">
        <v>0</v>
      </c>
      <c r="J94" s="194">
        <v>0</v>
      </c>
      <c r="K94" s="193">
        <f t="shared" si="18"/>
        <v>0</v>
      </c>
      <c r="L94" s="194">
        <v>0</v>
      </c>
      <c r="M94" s="194">
        <v>0</v>
      </c>
      <c r="N94" s="194">
        <v>0</v>
      </c>
      <c r="O94" s="193">
        <f t="shared" si="19"/>
        <v>0</v>
      </c>
      <c r="P94" s="194">
        <v>0</v>
      </c>
      <c r="Q94" s="194">
        <v>0</v>
      </c>
      <c r="R94" s="194">
        <v>0</v>
      </c>
      <c r="S94" s="193">
        <f t="shared" si="20"/>
        <v>0</v>
      </c>
      <c r="T94" s="193">
        <f t="shared" si="21"/>
        <v>0</v>
      </c>
      <c r="U94" s="193">
        <f ca="1">OFFSET('Expenditure Study'!$B$7,'Operations Support'!$C94,'Operations Support'!$B94)*$G94</f>
        <v>0</v>
      </c>
      <c r="V94" s="199">
        <f ca="1">U94*'Expenditure Study'!$B$31</f>
        <v>0</v>
      </c>
      <c r="W94" s="199">
        <f ca="1">IF(A94=10298,1.51,1)*IF($B94&lt;3,$D94*'Expenditure Study'!$B$32*OFFSET('Expenditure Study'!$B$7,'Operations Support'!$C94,'Operations Support'!$B94),0)</f>
        <v>0</v>
      </c>
      <c r="X94" s="200">
        <f ca="1">W94*'Expenditure Study'!$B$31</f>
        <v>0</v>
      </c>
      <c r="Y94" s="199">
        <f ca="1">U94*'Expenditure Study'!$B$31</f>
        <v>0</v>
      </c>
      <c r="Z94" s="200">
        <f ca="1">W94*'Expenditure Study'!$B$31</f>
        <v>0</v>
      </c>
      <c r="AA94" s="195">
        <f t="shared" ca="1" si="22"/>
        <v>0</v>
      </c>
      <c r="AB94" s="195">
        <f t="shared" ca="1" si="23"/>
        <v>0</v>
      </c>
      <c r="AD94" s="196">
        <f>IFERROR($G94/SUMIF($A:$A,$A94,$G:$G)*SUMIF(Summary!$A$166:$A$242,$A94,Summary!$P$166:$P$242),0)</f>
        <v>0</v>
      </c>
      <c r="AE94" s="197">
        <f t="shared" ca="1" si="24"/>
        <v>0</v>
      </c>
      <c r="AF94" s="196">
        <f>IFERROR(G94/SUMIF(A:A,A94,G:G)*SUMIF(Summary!$A$166:$A$242,'Operations Support'!A94,Summary!$Q$166:$Q$242),0)</f>
        <v>0</v>
      </c>
      <c r="AG94" s="196">
        <f t="shared" ca="1" si="25"/>
        <v>0</v>
      </c>
      <c r="AI94" s="196">
        <f>IFERROR($G94/SUMIF($A:$A,$A94,$G:$G)*SUMIF(Summary!$A$247:$A$283,$A94,Summary!$P$247:$P$283),0)</f>
        <v>0</v>
      </c>
      <c r="AJ94" s="196">
        <f>IFERROR($G94/SUMIF($A:$A,$A94,$G:$G)*(SUMIF(Summary!$A$247:$A$283,$A94,Summary!$L$247:$L$283)+SUMIF(Summary!$A$297:$A$333,$A94,Summary!$L$297:$L$333))-AI94,0)</f>
        <v>0</v>
      </c>
      <c r="AK94" s="196">
        <f>IFERROR($G94/SUMIF($A:$A,$A94,$G:$G)*SUMIF(Summary!$A$247:$A$283,$A94,Summary!$Q$247:$Q$283),0)</f>
        <v>0</v>
      </c>
      <c r="AL94" s="196">
        <f>IFERROR($G94/SUMIF($A:$A,$A94,$G:$G)*(SUMIF(Summary!$A$247:$A$283,$A94,Summary!$L$247:$L$283)+SUMIF(Summary!$A$297:$A$333,$A94,Summary!$L$297:$L$333))-AK94,0)</f>
        <v>0</v>
      </c>
      <c r="AM94" s="198"/>
      <c r="AN94" s="196">
        <f t="shared" ca="1" si="26"/>
        <v>0</v>
      </c>
      <c r="AO94" s="196">
        <f t="shared" ca="1" si="27"/>
        <v>0</v>
      </c>
    </row>
    <row r="95" spans="1:41">
      <c r="A95" s="189">
        <v>20</v>
      </c>
      <c r="B95" s="190">
        <v>5</v>
      </c>
      <c r="C95" s="191" t="s">
        <v>226</v>
      </c>
      <c r="D95" s="192">
        <f t="shared" si="14"/>
        <v>0</v>
      </c>
      <c r="E95" s="192">
        <f t="shared" si="15"/>
        <v>0</v>
      </c>
      <c r="F95" s="192">
        <f t="shared" si="16"/>
        <v>0</v>
      </c>
      <c r="G95" s="193">
        <f t="shared" si="17"/>
        <v>0</v>
      </c>
      <c r="H95" s="194">
        <v>0</v>
      </c>
      <c r="I95" s="194">
        <v>0</v>
      </c>
      <c r="J95" s="194">
        <v>0</v>
      </c>
      <c r="K95" s="193">
        <f t="shared" si="18"/>
        <v>0</v>
      </c>
      <c r="L95" s="194">
        <v>0</v>
      </c>
      <c r="M95" s="194">
        <v>0</v>
      </c>
      <c r="N95" s="194">
        <v>0</v>
      </c>
      <c r="O95" s="193">
        <f t="shared" si="19"/>
        <v>0</v>
      </c>
      <c r="P95" s="194">
        <v>0</v>
      </c>
      <c r="Q95" s="194">
        <v>0</v>
      </c>
      <c r="R95" s="194">
        <v>0</v>
      </c>
      <c r="S95" s="193">
        <f t="shared" si="20"/>
        <v>0</v>
      </c>
      <c r="T95" s="193">
        <f t="shared" si="21"/>
        <v>0</v>
      </c>
      <c r="U95" s="193">
        <f ca="1">OFFSET('Expenditure Study'!$B$7,'Operations Support'!$C95,'Operations Support'!$B95)*$G95</f>
        <v>0</v>
      </c>
      <c r="V95" s="199">
        <f ca="1">U95*'Expenditure Study'!$B$31</f>
        <v>0</v>
      </c>
      <c r="W95" s="199">
        <f ca="1">IF(A95=10298,1.51,1)*IF($B95&lt;3,$D95*'Expenditure Study'!$B$32*OFFSET('Expenditure Study'!$B$7,'Operations Support'!$C95,'Operations Support'!$B95),0)</f>
        <v>0</v>
      </c>
      <c r="X95" s="200">
        <f ca="1">W95*'Expenditure Study'!$B$31</f>
        <v>0</v>
      </c>
      <c r="Y95" s="199">
        <f ca="1">U95*'Expenditure Study'!$B$31</f>
        <v>0</v>
      </c>
      <c r="Z95" s="200">
        <f ca="1">W95*'Expenditure Study'!$B$31</f>
        <v>0</v>
      </c>
      <c r="AA95" s="195">
        <f t="shared" ca="1" si="22"/>
        <v>0</v>
      </c>
      <c r="AB95" s="195">
        <f t="shared" ca="1" si="23"/>
        <v>0</v>
      </c>
      <c r="AD95" s="196">
        <f>IFERROR($G95/SUMIF($A:$A,$A95,$G:$G)*SUMIF(Summary!$A$166:$A$242,$A95,Summary!$P$166:$P$242),0)</f>
        <v>0</v>
      </c>
      <c r="AE95" s="197">
        <f t="shared" ca="1" si="24"/>
        <v>0</v>
      </c>
      <c r="AF95" s="196">
        <f>IFERROR(G95/SUMIF(A:A,A95,G:G)*SUMIF(Summary!$A$166:$A$242,'Operations Support'!A95,Summary!$Q$166:$Q$242),0)</f>
        <v>0</v>
      </c>
      <c r="AG95" s="196">
        <f t="shared" ca="1" si="25"/>
        <v>0</v>
      </c>
      <c r="AI95" s="196">
        <f>IFERROR($G95/SUMIF($A:$A,$A95,$G:$G)*SUMIF(Summary!$A$247:$A$283,$A95,Summary!$P$247:$P$283),0)</f>
        <v>0</v>
      </c>
      <c r="AJ95" s="196">
        <f>IFERROR($G95/SUMIF($A:$A,$A95,$G:$G)*(SUMIF(Summary!$A$247:$A$283,$A95,Summary!$L$247:$L$283)+SUMIF(Summary!$A$297:$A$333,$A95,Summary!$L$297:$L$333))-AI95,0)</f>
        <v>0</v>
      </c>
      <c r="AK95" s="196">
        <f>IFERROR($G95/SUMIF($A:$A,$A95,$G:$G)*SUMIF(Summary!$A$247:$A$283,$A95,Summary!$Q$247:$Q$283),0)</f>
        <v>0</v>
      </c>
      <c r="AL95" s="196">
        <f>IFERROR($G95/SUMIF($A:$A,$A95,$G:$G)*(SUMIF(Summary!$A$247:$A$283,$A95,Summary!$L$247:$L$283)+SUMIF(Summary!$A$297:$A$333,$A95,Summary!$L$297:$L$333))-AK95,0)</f>
        <v>0</v>
      </c>
      <c r="AM95" s="198"/>
      <c r="AN95" s="196">
        <f t="shared" ca="1" si="26"/>
        <v>0</v>
      </c>
      <c r="AO95" s="196">
        <f t="shared" ca="1" si="27"/>
        <v>0</v>
      </c>
    </row>
    <row r="96" spans="1:41">
      <c r="A96" s="189">
        <v>20</v>
      </c>
      <c r="B96" s="190">
        <v>5</v>
      </c>
      <c r="C96" s="191" t="s">
        <v>227</v>
      </c>
      <c r="D96" s="192">
        <f t="shared" si="14"/>
        <v>0</v>
      </c>
      <c r="E96" s="192">
        <f t="shared" si="15"/>
        <v>0</v>
      </c>
      <c r="F96" s="192">
        <f t="shared" si="16"/>
        <v>0</v>
      </c>
      <c r="G96" s="193">
        <f t="shared" si="17"/>
        <v>0</v>
      </c>
      <c r="H96" s="194">
        <v>0</v>
      </c>
      <c r="I96" s="194">
        <v>0</v>
      </c>
      <c r="J96" s="194">
        <v>0</v>
      </c>
      <c r="K96" s="193">
        <f t="shared" si="18"/>
        <v>0</v>
      </c>
      <c r="L96" s="194">
        <v>0</v>
      </c>
      <c r="M96" s="194">
        <v>0</v>
      </c>
      <c r="N96" s="194">
        <v>0</v>
      </c>
      <c r="O96" s="193">
        <f t="shared" si="19"/>
        <v>0</v>
      </c>
      <c r="P96" s="194">
        <v>0</v>
      </c>
      <c r="Q96" s="194">
        <v>0</v>
      </c>
      <c r="R96" s="194">
        <v>0</v>
      </c>
      <c r="S96" s="193">
        <f t="shared" si="20"/>
        <v>0</v>
      </c>
      <c r="T96" s="193">
        <f t="shared" si="21"/>
        <v>0</v>
      </c>
      <c r="U96" s="193">
        <f ca="1">OFFSET('Expenditure Study'!$B$7,'Operations Support'!$C96,'Operations Support'!$B96)*$G96</f>
        <v>0</v>
      </c>
      <c r="V96" s="199">
        <f ca="1">U96*'Expenditure Study'!$B$31</f>
        <v>0</v>
      </c>
      <c r="W96" s="199">
        <f ca="1">IF(A96=10298,1.51,1)*IF($B96&lt;3,$D96*'Expenditure Study'!$B$32*OFFSET('Expenditure Study'!$B$7,'Operations Support'!$C96,'Operations Support'!$B96),0)</f>
        <v>0</v>
      </c>
      <c r="X96" s="200">
        <f ca="1">W96*'Expenditure Study'!$B$31</f>
        <v>0</v>
      </c>
      <c r="Y96" s="199">
        <f ca="1">U96*'Expenditure Study'!$B$31</f>
        <v>0</v>
      </c>
      <c r="Z96" s="200">
        <f ca="1">W96*'Expenditure Study'!$B$31</f>
        <v>0</v>
      </c>
      <c r="AA96" s="195">
        <f t="shared" ca="1" si="22"/>
        <v>0</v>
      </c>
      <c r="AB96" s="195">
        <f t="shared" ca="1" si="23"/>
        <v>0</v>
      </c>
      <c r="AD96" s="196">
        <f>IFERROR($G96/SUMIF($A:$A,$A96,$G:$G)*SUMIF(Summary!$A$166:$A$242,$A96,Summary!$P$166:$P$242),0)</f>
        <v>0</v>
      </c>
      <c r="AE96" s="197">
        <f t="shared" ca="1" si="24"/>
        <v>0</v>
      </c>
      <c r="AF96" s="196">
        <f>IFERROR(G96/SUMIF(A:A,A96,G:G)*SUMIF(Summary!$A$166:$A$242,'Operations Support'!A96,Summary!$Q$166:$Q$242),0)</f>
        <v>0</v>
      </c>
      <c r="AG96" s="196">
        <f t="shared" ca="1" si="25"/>
        <v>0</v>
      </c>
      <c r="AI96" s="196">
        <f>IFERROR($G96/SUMIF($A:$A,$A96,$G:$G)*SUMIF(Summary!$A$247:$A$283,$A96,Summary!$P$247:$P$283),0)</f>
        <v>0</v>
      </c>
      <c r="AJ96" s="196">
        <f>IFERROR($G96/SUMIF($A:$A,$A96,$G:$G)*(SUMIF(Summary!$A$247:$A$283,$A96,Summary!$L$247:$L$283)+SUMIF(Summary!$A$297:$A$333,$A96,Summary!$L$297:$L$333))-AI96,0)</f>
        <v>0</v>
      </c>
      <c r="AK96" s="196">
        <f>IFERROR($G96/SUMIF($A:$A,$A96,$G:$G)*SUMIF(Summary!$A$247:$A$283,$A96,Summary!$Q$247:$Q$283),0)</f>
        <v>0</v>
      </c>
      <c r="AL96" s="196">
        <f>IFERROR($G96/SUMIF($A:$A,$A96,$G:$G)*(SUMIF(Summary!$A$247:$A$283,$A96,Summary!$L$247:$L$283)+SUMIF(Summary!$A$297:$A$333,$A96,Summary!$L$297:$L$333))-AK96,0)</f>
        <v>0</v>
      </c>
      <c r="AM96" s="198"/>
      <c r="AN96" s="196">
        <f t="shared" ca="1" si="26"/>
        <v>0</v>
      </c>
      <c r="AO96" s="196">
        <f t="shared" ca="1" si="27"/>
        <v>0</v>
      </c>
    </row>
    <row r="97" spans="1:41">
      <c r="A97" s="189">
        <v>20</v>
      </c>
      <c r="B97" s="190">
        <v>5</v>
      </c>
      <c r="C97" s="191" t="s">
        <v>228</v>
      </c>
      <c r="D97" s="192">
        <f t="shared" si="14"/>
        <v>0</v>
      </c>
      <c r="E97" s="192">
        <f t="shared" si="15"/>
        <v>0</v>
      </c>
      <c r="F97" s="192">
        <f t="shared" si="16"/>
        <v>0</v>
      </c>
      <c r="G97" s="193">
        <f t="shared" si="17"/>
        <v>0</v>
      </c>
      <c r="H97" s="194">
        <v>0</v>
      </c>
      <c r="I97" s="194">
        <v>0</v>
      </c>
      <c r="J97" s="194">
        <v>0</v>
      </c>
      <c r="K97" s="193">
        <f t="shared" si="18"/>
        <v>0</v>
      </c>
      <c r="L97" s="194">
        <v>0</v>
      </c>
      <c r="M97" s="194">
        <v>0</v>
      </c>
      <c r="N97" s="194">
        <v>0</v>
      </c>
      <c r="O97" s="193">
        <f t="shared" si="19"/>
        <v>0</v>
      </c>
      <c r="P97" s="194">
        <v>0</v>
      </c>
      <c r="Q97" s="194">
        <v>0</v>
      </c>
      <c r="R97" s="194">
        <v>0</v>
      </c>
      <c r="S97" s="193">
        <f t="shared" si="20"/>
        <v>0</v>
      </c>
      <c r="T97" s="193">
        <f t="shared" si="21"/>
        <v>0</v>
      </c>
      <c r="U97" s="193">
        <f ca="1">OFFSET('Expenditure Study'!$B$7,'Operations Support'!$C97,'Operations Support'!$B97)*$G97</f>
        <v>0</v>
      </c>
      <c r="V97" s="199">
        <f ca="1">U97*'Expenditure Study'!$B$31</f>
        <v>0</v>
      </c>
      <c r="W97" s="199">
        <f ca="1">IF(A97=10298,1.51,1)*IF($B97&lt;3,$D97*'Expenditure Study'!$B$32*OFFSET('Expenditure Study'!$B$7,'Operations Support'!$C97,'Operations Support'!$B97),0)</f>
        <v>0</v>
      </c>
      <c r="X97" s="200">
        <f ca="1">W97*'Expenditure Study'!$B$31</f>
        <v>0</v>
      </c>
      <c r="Y97" s="199">
        <f ca="1">U97*'Expenditure Study'!$B$31</f>
        <v>0</v>
      </c>
      <c r="Z97" s="200">
        <f ca="1">W97*'Expenditure Study'!$B$31</f>
        <v>0</v>
      </c>
      <c r="AA97" s="195">
        <f t="shared" ca="1" si="22"/>
        <v>0</v>
      </c>
      <c r="AB97" s="195">
        <f t="shared" ca="1" si="23"/>
        <v>0</v>
      </c>
      <c r="AD97" s="196">
        <f>IFERROR($G97/SUMIF($A:$A,$A97,$G:$G)*SUMIF(Summary!$A$166:$A$242,$A97,Summary!$P$166:$P$242),0)</f>
        <v>0</v>
      </c>
      <c r="AE97" s="197">
        <f t="shared" ca="1" si="24"/>
        <v>0</v>
      </c>
      <c r="AF97" s="196">
        <f>IFERROR(G97/SUMIF(A:A,A97,G:G)*SUMIF(Summary!$A$166:$A$242,'Operations Support'!A97,Summary!$Q$166:$Q$242),0)</f>
        <v>0</v>
      </c>
      <c r="AG97" s="196">
        <f t="shared" ca="1" si="25"/>
        <v>0</v>
      </c>
      <c r="AI97" s="196">
        <f>IFERROR($G97/SUMIF($A:$A,$A97,$G:$G)*SUMIF(Summary!$A$247:$A$283,$A97,Summary!$P$247:$P$283),0)</f>
        <v>0</v>
      </c>
      <c r="AJ97" s="196">
        <f>IFERROR($G97/SUMIF($A:$A,$A97,$G:$G)*(SUMIF(Summary!$A$247:$A$283,$A97,Summary!$L$247:$L$283)+SUMIF(Summary!$A$297:$A$333,$A97,Summary!$L$297:$L$333))-AI97,0)</f>
        <v>0</v>
      </c>
      <c r="AK97" s="196">
        <f>IFERROR($G97/SUMIF($A:$A,$A97,$G:$G)*SUMIF(Summary!$A$247:$A$283,$A97,Summary!$Q$247:$Q$283),0)</f>
        <v>0</v>
      </c>
      <c r="AL97" s="196">
        <f>IFERROR($G97/SUMIF($A:$A,$A97,$G:$G)*(SUMIF(Summary!$A$247:$A$283,$A97,Summary!$L$247:$L$283)+SUMIF(Summary!$A$297:$A$333,$A97,Summary!$L$297:$L$333))-AK97,0)</f>
        <v>0</v>
      </c>
      <c r="AM97" s="198"/>
      <c r="AN97" s="196">
        <f t="shared" ca="1" si="26"/>
        <v>0</v>
      </c>
      <c r="AO97" s="196">
        <f t="shared" ca="1" si="27"/>
        <v>0</v>
      </c>
    </row>
    <row r="98" spans="1:41">
      <c r="A98" s="189">
        <v>20</v>
      </c>
      <c r="B98" s="190">
        <v>5</v>
      </c>
      <c r="C98" s="191" t="s">
        <v>229</v>
      </c>
      <c r="D98" s="192">
        <f t="shared" si="14"/>
        <v>0</v>
      </c>
      <c r="E98" s="192">
        <f t="shared" si="15"/>
        <v>0</v>
      </c>
      <c r="F98" s="192">
        <f t="shared" si="16"/>
        <v>0</v>
      </c>
      <c r="G98" s="193">
        <f t="shared" si="17"/>
        <v>0</v>
      </c>
      <c r="H98" s="194">
        <v>0</v>
      </c>
      <c r="I98" s="194">
        <v>0</v>
      </c>
      <c r="J98" s="194">
        <v>0</v>
      </c>
      <c r="K98" s="193">
        <f t="shared" si="18"/>
        <v>0</v>
      </c>
      <c r="L98" s="194">
        <v>0</v>
      </c>
      <c r="M98" s="194">
        <v>0</v>
      </c>
      <c r="N98" s="194">
        <v>0</v>
      </c>
      <c r="O98" s="193">
        <f t="shared" si="19"/>
        <v>0</v>
      </c>
      <c r="P98" s="194">
        <v>0</v>
      </c>
      <c r="Q98" s="194">
        <v>0</v>
      </c>
      <c r="R98" s="194">
        <v>0</v>
      </c>
      <c r="S98" s="193">
        <f t="shared" si="20"/>
        <v>0</v>
      </c>
      <c r="T98" s="193">
        <f t="shared" si="21"/>
        <v>0</v>
      </c>
      <c r="U98" s="193">
        <f ca="1">OFFSET('Expenditure Study'!$B$7,'Operations Support'!$C98,'Operations Support'!$B98)*$G98</f>
        <v>0</v>
      </c>
      <c r="V98" s="199">
        <f ca="1">U98*'Expenditure Study'!$B$31</f>
        <v>0</v>
      </c>
      <c r="W98" s="199">
        <f ca="1">IF(A98=10298,1.51,1)*IF($B98&lt;3,$D98*'Expenditure Study'!$B$32*OFFSET('Expenditure Study'!$B$7,'Operations Support'!$C98,'Operations Support'!$B98),0)</f>
        <v>0</v>
      </c>
      <c r="X98" s="200">
        <f ca="1">W98*'Expenditure Study'!$B$31</f>
        <v>0</v>
      </c>
      <c r="Y98" s="199">
        <f ca="1">U98*'Expenditure Study'!$B$31</f>
        <v>0</v>
      </c>
      <c r="Z98" s="200">
        <f ca="1">W98*'Expenditure Study'!$B$31</f>
        <v>0</v>
      </c>
      <c r="AA98" s="195">
        <f t="shared" ca="1" si="22"/>
        <v>0</v>
      </c>
      <c r="AB98" s="195">
        <f t="shared" ca="1" si="23"/>
        <v>0</v>
      </c>
      <c r="AD98" s="196">
        <f>IFERROR($G98/SUMIF($A:$A,$A98,$G:$G)*SUMIF(Summary!$A$166:$A$242,$A98,Summary!$P$166:$P$242),0)</f>
        <v>0</v>
      </c>
      <c r="AE98" s="197">
        <f t="shared" ca="1" si="24"/>
        <v>0</v>
      </c>
      <c r="AF98" s="196">
        <f>IFERROR(G98/SUMIF(A:A,A98,G:G)*SUMIF(Summary!$A$166:$A$242,'Operations Support'!A98,Summary!$Q$166:$Q$242),0)</f>
        <v>0</v>
      </c>
      <c r="AG98" s="196">
        <f t="shared" ca="1" si="25"/>
        <v>0</v>
      </c>
      <c r="AI98" s="196">
        <f>IFERROR($G98/SUMIF($A:$A,$A98,$G:$G)*SUMIF(Summary!$A$247:$A$283,$A98,Summary!$P$247:$P$283),0)</f>
        <v>0</v>
      </c>
      <c r="AJ98" s="196">
        <f>IFERROR($G98/SUMIF($A:$A,$A98,$G:$G)*(SUMIF(Summary!$A$247:$A$283,$A98,Summary!$L$247:$L$283)+SUMIF(Summary!$A$297:$A$333,$A98,Summary!$L$297:$L$333))-AI98,0)</f>
        <v>0</v>
      </c>
      <c r="AK98" s="196">
        <f>IFERROR($G98/SUMIF($A:$A,$A98,$G:$G)*SUMIF(Summary!$A$247:$A$283,$A98,Summary!$Q$247:$Q$283),0)</f>
        <v>0</v>
      </c>
      <c r="AL98" s="196">
        <f>IFERROR($G98/SUMIF($A:$A,$A98,$G:$G)*(SUMIF(Summary!$A$247:$A$283,$A98,Summary!$L$247:$L$283)+SUMIF(Summary!$A$297:$A$333,$A98,Summary!$L$297:$L$333))-AK98,0)</f>
        <v>0</v>
      </c>
      <c r="AM98" s="198"/>
      <c r="AN98" s="196">
        <f t="shared" ca="1" si="26"/>
        <v>0</v>
      </c>
      <c r="AO98" s="196">
        <f t="shared" ca="1" si="27"/>
        <v>0</v>
      </c>
    </row>
    <row r="99" spans="1:41">
      <c r="A99" s="189">
        <v>20</v>
      </c>
      <c r="B99" s="190">
        <v>5</v>
      </c>
      <c r="C99" s="191" t="s">
        <v>230</v>
      </c>
      <c r="D99" s="192">
        <f t="shared" si="14"/>
        <v>0</v>
      </c>
      <c r="E99" s="192">
        <f t="shared" si="15"/>
        <v>0</v>
      </c>
      <c r="F99" s="192">
        <f t="shared" si="16"/>
        <v>0</v>
      </c>
      <c r="G99" s="193">
        <f t="shared" si="17"/>
        <v>0</v>
      </c>
      <c r="H99" s="194">
        <v>0</v>
      </c>
      <c r="I99" s="194">
        <v>0</v>
      </c>
      <c r="J99" s="194">
        <v>0</v>
      </c>
      <c r="K99" s="193">
        <f t="shared" si="18"/>
        <v>0</v>
      </c>
      <c r="L99" s="194">
        <v>0</v>
      </c>
      <c r="M99" s="194">
        <v>0</v>
      </c>
      <c r="N99" s="194">
        <v>0</v>
      </c>
      <c r="O99" s="193">
        <f t="shared" si="19"/>
        <v>0</v>
      </c>
      <c r="P99" s="194">
        <v>0</v>
      </c>
      <c r="Q99" s="194">
        <v>0</v>
      </c>
      <c r="R99" s="194">
        <v>0</v>
      </c>
      <c r="S99" s="193">
        <f t="shared" si="20"/>
        <v>0</v>
      </c>
      <c r="T99" s="193">
        <f t="shared" si="21"/>
        <v>0</v>
      </c>
      <c r="U99" s="193">
        <f ca="1">OFFSET('Expenditure Study'!$B$7,'Operations Support'!$C99,'Operations Support'!$B99)*$G99</f>
        <v>0</v>
      </c>
      <c r="V99" s="199">
        <f ca="1">U99*'Expenditure Study'!$B$31</f>
        <v>0</v>
      </c>
      <c r="W99" s="199">
        <f ca="1">IF(A99=10298,1.51,1)*IF($B99&lt;3,$D99*'Expenditure Study'!$B$32*OFFSET('Expenditure Study'!$B$7,'Operations Support'!$C99,'Operations Support'!$B99),0)</f>
        <v>0</v>
      </c>
      <c r="X99" s="200">
        <f ca="1">W99*'Expenditure Study'!$B$31</f>
        <v>0</v>
      </c>
      <c r="Y99" s="199">
        <f ca="1">U99*'Expenditure Study'!$B$31</f>
        <v>0</v>
      </c>
      <c r="Z99" s="200">
        <f ca="1">W99*'Expenditure Study'!$B$31</f>
        <v>0</v>
      </c>
      <c r="AA99" s="195">
        <f t="shared" ca="1" si="22"/>
        <v>0</v>
      </c>
      <c r="AB99" s="195">
        <f t="shared" ca="1" si="23"/>
        <v>0</v>
      </c>
      <c r="AD99" s="196">
        <f>IFERROR($G99/SUMIF($A:$A,$A99,$G:$G)*SUMIF(Summary!$A$166:$A$242,$A99,Summary!$P$166:$P$242),0)</f>
        <v>0</v>
      </c>
      <c r="AE99" s="197">
        <f t="shared" ca="1" si="24"/>
        <v>0</v>
      </c>
      <c r="AF99" s="196">
        <f>IFERROR(G99/SUMIF(A:A,A99,G:G)*SUMIF(Summary!$A$166:$A$242,'Operations Support'!A99,Summary!$Q$166:$Q$242),0)</f>
        <v>0</v>
      </c>
      <c r="AG99" s="196">
        <f t="shared" ca="1" si="25"/>
        <v>0</v>
      </c>
      <c r="AI99" s="196">
        <f>IFERROR($G99/SUMIF($A:$A,$A99,$G:$G)*SUMIF(Summary!$A$247:$A$283,$A99,Summary!$P$247:$P$283),0)</f>
        <v>0</v>
      </c>
      <c r="AJ99" s="196">
        <f>IFERROR($G99/SUMIF($A:$A,$A99,$G:$G)*(SUMIF(Summary!$A$247:$A$283,$A99,Summary!$L$247:$L$283)+SUMIF(Summary!$A$297:$A$333,$A99,Summary!$L$297:$L$333))-AI99,0)</f>
        <v>0</v>
      </c>
      <c r="AK99" s="196">
        <f>IFERROR($G99/SUMIF($A:$A,$A99,$G:$G)*SUMIF(Summary!$A$247:$A$283,$A99,Summary!$Q$247:$Q$283),0)</f>
        <v>0</v>
      </c>
      <c r="AL99" s="196">
        <f>IFERROR($G99/SUMIF($A:$A,$A99,$G:$G)*(SUMIF(Summary!$A$247:$A$283,$A99,Summary!$L$247:$L$283)+SUMIF(Summary!$A$297:$A$333,$A99,Summary!$L$297:$L$333))-AK99,0)</f>
        <v>0</v>
      </c>
      <c r="AM99" s="198"/>
      <c r="AN99" s="196">
        <f t="shared" ca="1" si="26"/>
        <v>0</v>
      </c>
      <c r="AO99" s="196">
        <f t="shared" ca="1" si="27"/>
        <v>0</v>
      </c>
    </row>
    <row r="100" spans="1:41">
      <c r="A100" s="189">
        <v>20</v>
      </c>
      <c r="B100" s="190">
        <v>5</v>
      </c>
      <c r="C100" s="191" t="s">
        <v>231</v>
      </c>
      <c r="D100" s="192">
        <f t="shared" si="14"/>
        <v>0</v>
      </c>
      <c r="E100" s="192">
        <f t="shared" si="15"/>
        <v>0</v>
      </c>
      <c r="F100" s="192">
        <f t="shared" si="16"/>
        <v>0</v>
      </c>
      <c r="G100" s="193">
        <f t="shared" si="17"/>
        <v>0</v>
      </c>
      <c r="H100" s="194">
        <v>0</v>
      </c>
      <c r="I100" s="194">
        <v>0</v>
      </c>
      <c r="J100" s="194">
        <v>0</v>
      </c>
      <c r="K100" s="193">
        <f t="shared" si="18"/>
        <v>0</v>
      </c>
      <c r="L100" s="194">
        <v>0</v>
      </c>
      <c r="M100" s="194">
        <v>0</v>
      </c>
      <c r="N100" s="194">
        <v>0</v>
      </c>
      <c r="O100" s="193">
        <f t="shared" si="19"/>
        <v>0</v>
      </c>
      <c r="P100" s="194">
        <v>0</v>
      </c>
      <c r="Q100" s="194">
        <v>0</v>
      </c>
      <c r="R100" s="194">
        <v>0</v>
      </c>
      <c r="S100" s="193">
        <f t="shared" si="20"/>
        <v>0</v>
      </c>
      <c r="T100" s="193">
        <f t="shared" si="21"/>
        <v>0</v>
      </c>
      <c r="U100" s="193">
        <f ca="1">OFFSET('Expenditure Study'!$B$7,'Operations Support'!$C100,'Operations Support'!$B100)*$G100</f>
        <v>0</v>
      </c>
      <c r="V100" s="199">
        <f ca="1">U100*'Expenditure Study'!$B$31</f>
        <v>0</v>
      </c>
      <c r="W100" s="199">
        <f ca="1">IF(A100=10298,1.51,1)*IF($B100&lt;3,$D100*'Expenditure Study'!$B$32*OFFSET('Expenditure Study'!$B$7,'Operations Support'!$C100,'Operations Support'!$B100),0)</f>
        <v>0</v>
      </c>
      <c r="X100" s="200">
        <f ca="1">W100*'Expenditure Study'!$B$31</f>
        <v>0</v>
      </c>
      <c r="Y100" s="199">
        <f ca="1">U100*'Expenditure Study'!$B$31</f>
        <v>0</v>
      </c>
      <c r="Z100" s="200">
        <f ca="1">W100*'Expenditure Study'!$B$31</f>
        <v>0</v>
      </c>
      <c r="AA100" s="195">
        <f t="shared" ca="1" si="22"/>
        <v>0</v>
      </c>
      <c r="AB100" s="195">
        <f t="shared" ca="1" si="23"/>
        <v>0</v>
      </c>
      <c r="AD100" s="196">
        <f>IFERROR($G100/SUMIF($A:$A,$A100,$G:$G)*SUMIF(Summary!$A$166:$A$242,$A100,Summary!$P$166:$P$242),0)</f>
        <v>0</v>
      </c>
      <c r="AE100" s="197">
        <f t="shared" ca="1" si="24"/>
        <v>0</v>
      </c>
      <c r="AF100" s="196">
        <f>IFERROR(G100/SUMIF(A:A,A100,G:G)*SUMIF(Summary!$A$166:$A$242,'Operations Support'!A100,Summary!$Q$166:$Q$242),0)</f>
        <v>0</v>
      </c>
      <c r="AG100" s="196">
        <f t="shared" ca="1" si="25"/>
        <v>0</v>
      </c>
      <c r="AI100" s="196">
        <f>IFERROR($G100/SUMIF($A:$A,$A100,$G:$G)*SUMIF(Summary!$A$247:$A$283,$A100,Summary!$P$247:$P$283),0)</f>
        <v>0</v>
      </c>
      <c r="AJ100" s="196">
        <f>IFERROR($G100/SUMIF($A:$A,$A100,$G:$G)*(SUMIF(Summary!$A$247:$A$283,$A100,Summary!$L$247:$L$283)+SUMIF(Summary!$A$297:$A$333,$A100,Summary!$L$297:$L$333))-AI100,0)</f>
        <v>0</v>
      </c>
      <c r="AK100" s="196">
        <f>IFERROR($G100/SUMIF($A:$A,$A100,$G:$G)*SUMIF(Summary!$A$247:$A$283,$A100,Summary!$Q$247:$Q$283),0)</f>
        <v>0</v>
      </c>
      <c r="AL100" s="196">
        <f>IFERROR($G100/SUMIF($A:$A,$A100,$G:$G)*(SUMIF(Summary!$A$247:$A$283,$A100,Summary!$L$247:$L$283)+SUMIF(Summary!$A$297:$A$333,$A100,Summary!$L$297:$L$333))-AK100,0)</f>
        <v>0</v>
      </c>
      <c r="AM100" s="198"/>
      <c r="AN100" s="196">
        <f t="shared" ca="1" si="26"/>
        <v>0</v>
      </c>
      <c r="AO100" s="196">
        <f t="shared" ca="1" si="27"/>
        <v>0</v>
      </c>
    </row>
    <row r="101" spans="1:41">
      <c r="A101" s="189">
        <v>20</v>
      </c>
      <c r="B101" s="190">
        <v>5</v>
      </c>
      <c r="C101" s="191" t="s">
        <v>232</v>
      </c>
      <c r="D101" s="192">
        <f t="shared" si="14"/>
        <v>0</v>
      </c>
      <c r="E101" s="192">
        <f t="shared" si="15"/>
        <v>0</v>
      </c>
      <c r="F101" s="192">
        <f t="shared" si="16"/>
        <v>0</v>
      </c>
      <c r="G101" s="193">
        <f t="shared" si="17"/>
        <v>0</v>
      </c>
      <c r="H101" s="194">
        <v>0</v>
      </c>
      <c r="I101" s="194">
        <v>0</v>
      </c>
      <c r="J101" s="194">
        <v>0</v>
      </c>
      <c r="K101" s="193">
        <f t="shared" si="18"/>
        <v>0</v>
      </c>
      <c r="L101" s="194">
        <v>0</v>
      </c>
      <c r="M101" s="194">
        <v>0</v>
      </c>
      <c r="N101" s="194">
        <v>0</v>
      </c>
      <c r="O101" s="193">
        <f t="shared" si="19"/>
        <v>0</v>
      </c>
      <c r="P101" s="194">
        <v>0</v>
      </c>
      <c r="Q101" s="194">
        <v>0</v>
      </c>
      <c r="R101" s="194">
        <v>0</v>
      </c>
      <c r="S101" s="193">
        <f t="shared" si="20"/>
        <v>0</v>
      </c>
      <c r="T101" s="193">
        <f t="shared" si="21"/>
        <v>0</v>
      </c>
      <c r="U101" s="193">
        <f ca="1">OFFSET('Expenditure Study'!$B$7,'Operations Support'!$C101,'Operations Support'!$B101)*$G101</f>
        <v>0</v>
      </c>
      <c r="V101" s="199">
        <f ca="1">U101*'Expenditure Study'!$B$31</f>
        <v>0</v>
      </c>
      <c r="W101" s="199">
        <f ca="1">IF(A101=10298,1.51,1)*IF($B101&lt;3,$D101*'Expenditure Study'!$B$32*OFFSET('Expenditure Study'!$B$7,'Operations Support'!$C101,'Operations Support'!$B101),0)</f>
        <v>0</v>
      </c>
      <c r="X101" s="200">
        <f ca="1">W101*'Expenditure Study'!$B$31</f>
        <v>0</v>
      </c>
      <c r="Y101" s="199">
        <f ca="1">U101*'Expenditure Study'!$B$31</f>
        <v>0</v>
      </c>
      <c r="Z101" s="200">
        <f ca="1">W101*'Expenditure Study'!$B$31</f>
        <v>0</v>
      </c>
      <c r="AA101" s="195">
        <f t="shared" ca="1" si="22"/>
        <v>0</v>
      </c>
      <c r="AB101" s="195">
        <f t="shared" ca="1" si="23"/>
        <v>0</v>
      </c>
      <c r="AD101" s="196">
        <f>IFERROR($G101/SUMIF($A:$A,$A101,$G:$G)*SUMIF(Summary!$A$166:$A$242,$A101,Summary!$P$166:$P$242),0)</f>
        <v>0</v>
      </c>
      <c r="AE101" s="197">
        <f t="shared" ca="1" si="24"/>
        <v>0</v>
      </c>
      <c r="AF101" s="196">
        <f>IFERROR(G101/SUMIF(A:A,A101,G:G)*SUMIF(Summary!$A$166:$A$242,'Operations Support'!A101,Summary!$Q$166:$Q$242),0)</f>
        <v>0</v>
      </c>
      <c r="AG101" s="196">
        <f t="shared" ca="1" si="25"/>
        <v>0</v>
      </c>
      <c r="AI101" s="196">
        <f>IFERROR($G101/SUMIF($A:$A,$A101,$G:$G)*SUMIF(Summary!$A$247:$A$283,$A101,Summary!$P$247:$P$283),0)</f>
        <v>0</v>
      </c>
      <c r="AJ101" s="196">
        <f>IFERROR($G101/SUMIF($A:$A,$A101,$G:$G)*(SUMIF(Summary!$A$247:$A$283,$A101,Summary!$L$247:$L$283)+SUMIF(Summary!$A$297:$A$333,$A101,Summary!$L$297:$L$333))-AI101,0)</f>
        <v>0</v>
      </c>
      <c r="AK101" s="196">
        <f>IFERROR($G101/SUMIF($A:$A,$A101,$G:$G)*SUMIF(Summary!$A$247:$A$283,$A101,Summary!$Q$247:$Q$283),0)</f>
        <v>0</v>
      </c>
      <c r="AL101" s="196">
        <f>IFERROR($G101/SUMIF($A:$A,$A101,$G:$G)*(SUMIF(Summary!$A$247:$A$283,$A101,Summary!$L$247:$L$283)+SUMIF(Summary!$A$297:$A$333,$A101,Summary!$L$297:$L$333))-AK101,0)</f>
        <v>0</v>
      </c>
      <c r="AM101" s="198"/>
      <c r="AN101" s="196">
        <f t="shared" ca="1" si="26"/>
        <v>0</v>
      </c>
      <c r="AO101" s="196">
        <f t="shared" ca="1" si="27"/>
        <v>0</v>
      </c>
    </row>
    <row r="102" spans="1:41">
      <c r="A102" s="189">
        <v>20</v>
      </c>
      <c r="B102" s="190">
        <v>5</v>
      </c>
      <c r="C102" s="191" t="s">
        <v>233</v>
      </c>
      <c r="D102" s="192">
        <f t="shared" si="14"/>
        <v>0</v>
      </c>
      <c r="E102" s="192">
        <f t="shared" si="15"/>
        <v>0</v>
      </c>
      <c r="F102" s="192">
        <f t="shared" si="16"/>
        <v>0</v>
      </c>
      <c r="G102" s="193">
        <f t="shared" si="17"/>
        <v>0</v>
      </c>
      <c r="H102" s="194">
        <v>0</v>
      </c>
      <c r="I102" s="194">
        <v>0</v>
      </c>
      <c r="J102" s="194">
        <v>0</v>
      </c>
      <c r="K102" s="193">
        <f t="shared" si="18"/>
        <v>0</v>
      </c>
      <c r="L102" s="194">
        <v>0</v>
      </c>
      <c r="M102" s="194">
        <v>0</v>
      </c>
      <c r="N102" s="194">
        <v>0</v>
      </c>
      <c r="O102" s="193">
        <f t="shared" si="19"/>
        <v>0</v>
      </c>
      <c r="P102" s="194">
        <v>0</v>
      </c>
      <c r="Q102" s="194">
        <v>0</v>
      </c>
      <c r="R102" s="194">
        <v>0</v>
      </c>
      <c r="S102" s="193">
        <f t="shared" si="20"/>
        <v>0</v>
      </c>
      <c r="T102" s="193">
        <f t="shared" si="21"/>
        <v>0</v>
      </c>
      <c r="U102" s="193">
        <f ca="1">OFFSET('Expenditure Study'!$B$7,'Operations Support'!$C102,'Operations Support'!$B102)*$G102</f>
        <v>0</v>
      </c>
      <c r="V102" s="199">
        <f ca="1">U102*'Expenditure Study'!$B$31</f>
        <v>0</v>
      </c>
      <c r="W102" s="199">
        <f ca="1">IF(A102=10298,1.51,1)*IF($B102&lt;3,$D102*'Expenditure Study'!$B$32*OFFSET('Expenditure Study'!$B$7,'Operations Support'!$C102,'Operations Support'!$B102),0)</f>
        <v>0</v>
      </c>
      <c r="X102" s="200">
        <f ca="1">W102*'Expenditure Study'!$B$31</f>
        <v>0</v>
      </c>
      <c r="Y102" s="199">
        <f ca="1">U102*'Expenditure Study'!$B$31</f>
        <v>0</v>
      </c>
      <c r="Z102" s="200">
        <f ca="1">W102*'Expenditure Study'!$B$31</f>
        <v>0</v>
      </c>
      <c r="AA102" s="195">
        <f t="shared" ca="1" si="22"/>
        <v>0</v>
      </c>
      <c r="AB102" s="195">
        <f t="shared" ca="1" si="23"/>
        <v>0</v>
      </c>
      <c r="AD102" s="196">
        <f>IFERROR($G102/SUMIF($A:$A,$A102,$G:$G)*SUMIF(Summary!$A$166:$A$242,$A102,Summary!$P$166:$P$242),0)</f>
        <v>0</v>
      </c>
      <c r="AE102" s="197">
        <f t="shared" ca="1" si="24"/>
        <v>0</v>
      </c>
      <c r="AF102" s="196">
        <f>IFERROR(G102/SUMIF(A:A,A102,G:G)*SUMIF(Summary!$A$166:$A$242,'Operations Support'!A102,Summary!$Q$166:$Q$242),0)</f>
        <v>0</v>
      </c>
      <c r="AG102" s="196">
        <f t="shared" ca="1" si="25"/>
        <v>0</v>
      </c>
      <c r="AI102" s="196">
        <f>IFERROR($G102/SUMIF($A:$A,$A102,$G:$G)*SUMIF(Summary!$A$247:$A$283,$A102,Summary!$P$247:$P$283),0)</f>
        <v>0</v>
      </c>
      <c r="AJ102" s="196">
        <f>IFERROR($G102/SUMIF($A:$A,$A102,$G:$G)*(SUMIF(Summary!$A$247:$A$283,$A102,Summary!$L$247:$L$283)+SUMIF(Summary!$A$297:$A$333,$A102,Summary!$L$297:$L$333))-AI102,0)</f>
        <v>0</v>
      </c>
      <c r="AK102" s="196">
        <f>IFERROR($G102/SUMIF($A:$A,$A102,$G:$G)*SUMIF(Summary!$A$247:$A$283,$A102,Summary!$Q$247:$Q$283),0)</f>
        <v>0</v>
      </c>
      <c r="AL102" s="196">
        <f>IFERROR($G102/SUMIF($A:$A,$A102,$G:$G)*(SUMIF(Summary!$A$247:$A$283,$A102,Summary!$L$247:$L$283)+SUMIF(Summary!$A$297:$A$333,$A102,Summary!$L$297:$L$333))-AK102,0)</f>
        <v>0</v>
      </c>
      <c r="AM102" s="198"/>
      <c r="AN102" s="196">
        <f t="shared" ca="1" si="26"/>
        <v>0</v>
      </c>
      <c r="AO102" s="196">
        <f t="shared" ca="1" si="27"/>
        <v>0</v>
      </c>
    </row>
    <row r="103" spans="1:41">
      <c r="A103" s="189">
        <v>20</v>
      </c>
      <c r="B103" s="190">
        <v>5</v>
      </c>
      <c r="C103" s="191" t="s">
        <v>234</v>
      </c>
      <c r="D103" s="192">
        <f t="shared" si="14"/>
        <v>0</v>
      </c>
      <c r="E103" s="192">
        <f t="shared" si="15"/>
        <v>0</v>
      </c>
      <c r="F103" s="192">
        <f t="shared" si="16"/>
        <v>0</v>
      </c>
      <c r="G103" s="193">
        <f t="shared" si="17"/>
        <v>0</v>
      </c>
      <c r="H103" s="194">
        <v>0</v>
      </c>
      <c r="I103" s="194">
        <v>0</v>
      </c>
      <c r="J103" s="194">
        <v>0</v>
      </c>
      <c r="K103" s="193">
        <f t="shared" si="18"/>
        <v>0</v>
      </c>
      <c r="L103" s="194">
        <v>0</v>
      </c>
      <c r="M103" s="194">
        <v>0</v>
      </c>
      <c r="N103" s="194">
        <v>0</v>
      </c>
      <c r="O103" s="193">
        <f t="shared" si="19"/>
        <v>0</v>
      </c>
      <c r="P103" s="194">
        <v>0</v>
      </c>
      <c r="Q103" s="194">
        <v>0</v>
      </c>
      <c r="R103" s="194">
        <v>0</v>
      </c>
      <c r="S103" s="193">
        <f t="shared" si="20"/>
        <v>0</v>
      </c>
      <c r="T103" s="193">
        <f t="shared" si="21"/>
        <v>0</v>
      </c>
      <c r="U103" s="193">
        <f ca="1">OFFSET('Expenditure Study'!$B$7,'Operations Support'!$C103,'Operations Support'!$B103)*$G103</f>
        <v>0</v>
      </c>
      <c r="V103" s="199">
        <f ca="1">U103*'Expenditure Study'!$B$31</f>
        <v>0</v>
      </c>
      <c r="W103" s="199">
        <f ca="1">IF(A103=10298,1.51,1)*IF($B103&lt;3,$D103*'Expenditure Study'!$B$32*OFFSET('Expenditure Study'!$B$7,'Operations Support'!$C103,'Operations Support'!$B103),0)</f>
        <v>0</v>
      </c>
      <c r="X103" s="200">
        <f ca="1">W103*'Expenditure Study'!$B$31</f>
        <v>0</v>
      </c>
      <c r="Y103" s="199">
        <f ca="1">U103*'Expenditure Study'!$B$31</f>
        <v>0</v>
      </c>
      <c r="Z103" s="200">
        <f ca="1">W103*'Expenditure Study'!$B$31</f>
        <v>0</v>
      </c>
      <c r="AA103" s="195">
        <f t="shared" ca="1" si="22"/>
        <v>0</v>
      </c>
      <c r="AB103" s="195">
        <f t="shared" ca="1" si="23"/>
        <v>0</v>
      </c>
      <c r="AD103" s="196">
        <f>IFERROR($G103/SUMIF($A:$A,$A103,$G:$G)*SUMIF(Summary!$A$166:$A$242,$A103,Summary!$P$166:$P$242),0)</f>
        <v>0</v>
      </c>
      <c r="AE103" s="197">
        <f t="shared" ca="1" si="24"/>
        <v>0</v>
      </c>
      <c r="AF103" s="196">
        <f>IFERROR(G103/SUMIF(A:A,A103,G:G)*SUMIF(Summary!$A$166:$A$242,'Operations Support'!A103,Summary!$Q$166:$Q$242),0)</f>
        <v>0</v>
      </c>
      <c r="AG103" s="196">
        <f t="shared" ca="1" si="25"/>
        <v>0</v>
      </c>
      <c r="AI103" s="196">
        <f>IFERROR($G103/SUMIF($A:$A,$A103,$G:$G)*SUMIF(Summary!$A$247:$A$283,$A103,Summary!$P$247:$P$283),0)</f>
        <v>0</v>
      </c>
      <c r="AJ103" s="196">
        <f>IFERROR($G103/SUMIF($A:$A,$A103,$G:$G)*(SUMIF(Summary!$A$247:$A$283,$A103,Summary!$L$247:$L$283)+SUMIF(Summary!$A$297:$A$333,$A103,Summary!$L$297:$L$333))-AI103,0)</f>
        <v>0</v>
      </c>
      <c r="AK103" s="196">
        <f>IFERROR($G103/SUMIF($A:$A,$A103,$G:$G)*SUMIF(Summary!$A$247:$A$283,$A103,Summary!$Q$247:$Q$283),0)</f>
        <v>0</v>
      </c>
      <c r="AL103" s="196">
        <f>IFERROR($G103/SUMIF($A:$A,$A103,$G:$G)*(SUMIF(Summary!$A$247:$A$283,$A103,Summary!$L$247:$L$283)+SUMIF(Summary!$A$297:$A$333,$A103,Summary!$L$297:$L$333))-AK103,0)</f>
        <v>0</v>
      </c>
      <c r="AM103" s="198"/>
      <c r="AN103" s="196">
        <f t="shared" ca="1" si="26"/>
        <v>0</v>
      </c>
      <c r="AO103" s="196">
        <f t="shared" ca="1" si="27"/>
        <v>0</v>
      </c>
    </row>
    <row r="104" spans="1:41">
      <c r="A104" s="189">
        <v>20</v>
      </c>
      <c r="B104" s="190">
        <v>5</v>
      </c>
      <c r="C104" s="191" t="s">
        <v>235</v>
      </c>
      <c r="D104" s="192">
        <f t="shared" si="14"/>
        <v>0</v>
      </c>
      <c r="E104" s="192">
        <f t="shared" si="15"/>
        <v>0</v>
      </c>
      <c r="F104" s="192">
        <f t="shared" si="16"/>
        <v>0</v>
      </c>
      <c r="G104" s="193">
        <f t="shared" si="17"/>
        <v>0</v>
      </c>
      <c r="H104" s="194">
        <v>0</v>
      </c>
      <c r="I104" s="194">
        <v>0</v>
      </c>
      <c r="J104" s="194">
        <v>0</v>
      </c>
      <c r="K104" s="193">
        <f t="shared" si="18"/>
        <v>0</v>
      </c>
      <c r="L104" s="194">
        <v>0</v>
      </c>
      <c r="M104" s="194">
        <v>0</v>
      </c>
      <c r="N104" s="194">
        <v>0</v>
      </c>
      <c r="O104" s="193">
        <f t="shared" si="19"/>
        <v>0</v>
      </c>
      <c r="P104" s="194">
        <v>0</v>
      </c>
      <c r="Q104" s="194">
        <v>0</v>
      </c>
      <c r="R104" s="194">
        <v>0</v>
      </c>
      <c r="S104" s="193">
        <f t="shared" si="20"/>
        <v>0</v>
      </c>
      <c r="T104" s="193">
        <f t="shared" si="21"/>
        <v>0</v>
      </c>
      <c r="U104" s="193">
        <f ca="1">OFFSET('Expenditure Study'!$B$7,'Operations Support'!$C104,'Operations Support'!$B104)*$G104</f>
        <v>0</v>
      </c>
      <c r="V104" s="199">
        <f ca="1">U104*'Expenditure Study'!$B$31</f>
        <v>0</v>
      </c>
      <c r="W104" s="199">
        <f ca="1">IF(A104=10298,1.51,1)*IF($B104&lt;3,$D104*'Expenditure Study'!$B$32*OFFSET('Expenditure Study'!$B$7,'Operations Support'!$C104,'Operations Support'!$B104),0)</f>
        <v>0</v>
      </c>
      <c r="X104" s="200">
        <f ca="1">W104*'Expenditure Study'!$B$31</f>
        <v>0</v>
      </c>
      <c r="Y104" s="199">
        <f ca="1">U104*'Expenditure Study'!$B$31</f>
        <v>0</v>
      </c>
      <c r="Z104" s="200">
        <f ca="1">W104*'Expenditure Study'!$B$31</f>
        <v>0</v>
      </c>
      <c r="AA104" s="195">
        <f t="shared" ca="1" si="22"/>
        <v>0</v>
      </c>
      <c r="AB104" s="195">
        <f t="shared" ca="1" si="23"/>
        <v>0</v>
      </c>
      <c r="AD104" s="196">
        <f>IFERROR($G104/SUMIF($A:$A,$A104,$G:$G)*SUMIF(Summary!$A$166:$A$242,$A104,Summary!$P$166:$P$242),0)</f>
        <v>0</v>
      </c>
      <c r="AE104" s="197">
        <f t="shared" ca="1" si="24"/>
        <v>0</v>
      </c>
      <c r="AF104" s="196">
        <f>IFERROR(G104/SUMIF(A:A,A104,G:G)*SUMIF(Summary!$A$166:$A$242,'Operations Support'!A104,Summary!$Q$166:$Q$242),0)</f>
        <v>0</v>
      </c>
      <c r="AG104" s="196">
        <f t="shared" ca="1" si="25"/>
        <v>0</v>
      </c>
      <c r="AI104" s="196">
        <f>IFERROR($G104/SUMIF($A:$A,$A104,$G:$G)*SUMIF(Summary!$A$247:$A$283,$A104,Summary!$P$247:$P$283),0)</f>
        <v>0</v>
      </c>
      <c r="AJ104" s="196">
        <f>IFERROR($G104/SUMIF($A:$A,$A104,$G:$G)*(SUMIF(Summary!$A$247:$A$283,$A104,Summary!$L$247:$L$283)+SUMIF(Summary!$A$297:$A$333,$A104,Summary!$L$297:$L$333))-AI104,0)</f>
        <v>0</v>
      </c>
      <c r="AK104" s="196">
        <f>IFERROR($G104/SUMIF($A:$A,$A104,$G:$G)*SUMIF(Summary!$A$247:$A$283,$A104,Summary!$Q$247:$Q$283),0)</f>
        <v>0</v>
      </c>
      <c r="AL104" s="196">
        <f>IFERROR($G104/SUMIF($A:$A,$A104,$G:$G)*(SUMIF(Summary!$A$247:$A$283,$A104,Summary!$L$247:$L$283)+SUMIF(Summary!$A$297:$A$333,$A104,Summary!$L$297:$L$333))-AK104,0)</f>
        <v>0</v>
      </c>
      <c r="AM104" s="198"/>
      <c r="AN104" s="196">
        <f t="shared" ca="1" si="26"/>
        <v>0</v>
      </c>
      <c r="AO104" s="196">
        <f t="shared" ca="1" si="27"/>
        <v>0</v>
      </c>
    </row>
    <row r="105" spans="1:41">
      <c r="A105" s="189">
        <v>20</v>
      </c>
      <c r="B105" s="190">
        <v>5</v>
      </c>
      <c r="C105" s="191" t="s">
        <v>236</v>
      </c>
      <c r="D105" s="192">
        <f t="shared" si="14"/>
        <v>0</v>
      </c>
      <c r="E105" s="192">
        <f t="shared" si="15"/>
        <v>0</v>
      </c>
      <c r="F105" s="192">
        <f t="shared" si="16"/>
        <v>0</v>
      </c>
      <c r="G105" s="193">
        <f t="shared" si="17"/>
        <v>0</v>
      </c>
      <c r="H105" s="194">
        <v>0</v>
      </c>
      <c r="I105" s="194">
        <v>0</v>
      </c>
      <c r="J105" s="194">
        <v>0</v>
      </c>
      <c r="K105" s="193">
        <f t="shared" si="18"/>
        <v>0</v>
      </c>
      <c r="L105" s="194">
        <v>0</v>
      </c>
      <c r="M105" s="194">
        <v>0</v>
      </c>
      <c r="N105" s="194">
        <v>0</v>
      </c>
      <c r="O105" s="193">
        <f t="shared" si="19"/>
        <v>0</v>
      </c>
      <c r="P105" s="194">
        <v>0</v>
      </c>
      <c r="Q105" s="194">
        <v>0</v>
      </c>
      <c r="R105" s="194">
        <v>0</v>
      </c>
      <c r="S105" s="193">
        <f t="shared" si="20"/>
        <v>0</v>
      </c>
      <c r="T105" s="193">
        <f t="shared" si="21"/>
        <v>0</v>
      </c>
      <c r="U105" s="193">
        <f ca="1">OFFSET('Expenditure Study'!$B$7,'Operations Support'!$C105,'Operations Support'!$B105)*$G105</f>
        <v>0</v>
      </c>
      <c r="V105" s="199">
        <f ca="1">U105*'Expenditure Study'!$B$31</f>
        <v>0</v>
      </c>
      <c r="W105" s="199">
        <f ca="1">IF(A105=10298,1.51,1)*IF($B105&lt;3,$D105*'Expenditure Study'!$B$32*OFFSET('Expenditure Study'!$B$7,'Operations Support'!$C105,'Operations Support'!$B105),0)</f>
        <v>0</v>
      </c>
      <c r="X105" s="200">
        <f ca="1">W105*'Expenditure Study'!$B$31</f>
        <v>0</v>
      </c>
      <c r="Y105" s="199">
        <f ca="1">U105*'Expenditure Study'!$B$31</f>
        <v>0</v>
      </c>
      <c r="Z105" s="200">
        <f ca="1">W105*'Expenditure Study'!$B$31</f>
        <v>0</v>
      </c>
      <c r="AA105" s="195">
        <f t="shared" ca="1" si="22"/>
        <v>0</v>
      </c>
      <c r="AB105" s="195">
        <f t="shared" ca="1" si="23"/>
        <v>0</v>
      </c>
      <c r="AD105" s="196">
        <f>IFERROR($G105/SUMIF($A:$A,$A105,$G:$G)*SUMIF(Summary!$A$166:$A$242,$A105,Summary!$P$166:$P$242),0)</f>
        <v>0</v>
      </c>
      <c r="AE105" s="197">
        <f t="shared" ca="1" si="24"/>
        <v>0</v>
      </c>
      <c r="AF105" s="196">
        <f>IFERROR(G105/SUMIF(A:A,A105,G:G)*SUMIF(Summary!$A$166:$A$242,'Operations Support'!A105,Summary!$Q$166:$Q$242),0)</f>
        <v>0</v>
      </c>
      <c r="AG105" s="196">
        <f t="shared" ca="1" si="25"/>
        <v>0</v>
      </c>
      <c r="AI105" s="196">
        <f>IFERROR($G105/SUMIF($A:$A,$A105,$G:$G)*SUMIF(Summary!$A$247:$A$283,$A105,Summary!$P$247:$P$283),0)</f>
        <v>0</v>
      </c>
      <c r="AJ105" s="196">
        <f>IFERROR($G105/SUMIF($A:$A,$A105,$G:$G)*(SUMIF(Summary!$A$247:$A$283,$A105,Summary!$L$247:$L$283)+SUMIF(Summary!$A$297:$A$333,$A105,Summary!$L$297:$L$333))-AI105,0)</f>
        <v>0</v>
      </c>
      <c r="AK105" s="196">
        <f>IFERROR($G105/SUMIF($A:$A,$A105,$G:$G)*SUMIF(Summary!$A$247:$A$283,$A105,Summary!$Q$247:$Q$283),0)</f>
        <v>0</v>
      </c>
      <c r="AL105" s="196">
        <f>IFERROR($G105/SUMIF($A:$A,$A105,$G:$G)*(SUMIF(Summary!$A$247:$A$283,$A105,Summary!$L$247:$L$283)+SUMIF(Summary!$A$297:$A$333,$A105,Summary!$L$297:$L$333))-AK105,0)</f>
        <v>0</v>
      </c>
      <c r="AM105" s="198"/>
      <c r="AN105" s="196">
        <f t="shared" ca="1" si="26"/>
        <v>0</v>
      </c>
      <c r="AO105" s="196">
        <f t="shared" ca="1" si="27"/>
        <v>0</v>
      </c>
    </row>
    <row r="106" spans="1:41">
      <c r="A106" s="189">
        <v>20</v>
      </c>
      <c r="B106" s="190">
        <v>5</v>
      </c>
      <c r="C106" s="191" t="s">
        <v>237</v>
      </c>
      <c r="D106" s="192">
        <f t="shared" si="14"/>
        <v>0</v>
      </c>
      <c r="E106" s="192">
        <f t="shared" si="15"/>
        <v>0</v>
      </c>
      <c r="F106" s="192">
        <f t="shared" si="16"/>
        <v>0</v>
      </c>
      <c r="G106" s="193">
        <f t="shared" si="17"/>
        <v>0</v>
      </c>
      <c r="H106" s="194">
        <v>0</v>
      </c>
      <c r="I106" s="194">
        <v>0</v>
      </c>
      <c r="J106" s="194">
        <v>0</v>
      </c>
      <c r="K106" s="193">
        <f t="shared" si="18"/>
        <v>0</v>
      </c>
      <c r="L106" s="194">
        <v>0</v>
      </c>
      <c r="M106" s="194">
        <v>0</v>
      </c>
      <c r="N106" s="194">
        <v>0</v>
      </c>
      <c r="O106" s="193">
        <f t="shared" si="19"/>
        <v>0</v>
      </c>
      <c r="P106" s="194">
        <v>0</v>
      </c>
      <c r="Q106" s="194">
        <v>0</v>
      </c>
      <c r="R106" s="194">
        <v>0</v>
      </c>
      <c r="S106" s="193">
        <f t="shared" si="20"/>
        <v>0</v>
      </c>
      <c r="T106" s="193">
        <f t="shared" si="21"/>
        <v>0</v>
      </c>
      <c r="U106" s="193">
        <f ca="1">OFFSET('Expenditure Study'!$B$7,'Operations Support'!$C106,'Operations Support'!$B106)*$G106</f>
        <v>0</v>
      </c>
      <c r="V106" s="199">
        <f ca="1">U106*'Expenditure Study'!$B$31</f>
        <v>0</v>
      </c>
      <c r="W106" s="199">
        <f ca="1">IF(A106=10298,1.51,1)*IF($B106&lt;3,$D106*'Expenditure Study'!$B$32*OFFSET('Expenditure Study'!$B$7,'Operations Support'!$C106,'Operations Support'!$B106),0)</f>
        <v>0</v>
      </c>
      <c r="X106" s="200">
        <f ca="1">W106*'Expenditure Study'!$B$31</f>
        <v>0</v>
      </c>
      <c r="Y106" s="199">
        <f ca="1">U106*'Expenditure Study'!$B$31</f>
        <v>0</v>
      </c>
      <c r="Z106" s="200">
        <f ca="1">W106*'Expenditure Study'!$B$31</f>
        <v>0</v>
      </c>
      <c r="AA106" s="195">
        <f t="shared" ca="1" si="22"/>
        <v>0</v>
      </c>
      <c r="AB106" s="195">
        <f t="shared" ca="1" si="23"/>
        <v>0</v>
      </c>
      <c r="AD106" s="196">
        <f>IFERROR($G106/SUMIF($A:$A,$A106,$G:$G)*SUMIF(Summary!$A$166:$A$242,$A106,Summary!$P$166:$P$242),0)</f>
        <v>0</v>
      </c>
      <c r="AE106" s="197">
        <f t="shared" ca="1" si="24"/>
        <v>0</v>
      </c>
      <c r="AF106" s="196">
        <f>IFERROR(G106/SUMIF(A:A,A106,G:G)*SUMIF(Summary!$A$166:$A$242,'Operations Support'!A106,Summary!$Q$166:$Q$242),0)</f>
        <v>0</v>
      </c>
      <c r="AG106" s="196">
        <f t="shared" ca="1" si="25"/>
        <v>0</v>
      </c>
      <c r="AI106" s="196">
        <f>IFERROR($G106/SUMIF($A:$A,$A106,$G:$G)*SUMIF(Summary!$A$247:$A$283,$A106,Summary!$P$247:$P$283),0)</f>
        <v>0</v>
      </c>
      <c r="AJ106" s="196">
        <f>IFERROR($G106/SUMIF($A:$A,$A106,$G:$G)*(SUMIF(Summary!$A$247:$A$283,$A106,Summary!$L$247:$L$283)+SUMIF(Summary!$A$297:$A$333,$A106,Summary!$L$297:$L$333))-AI106,0)</f>
        <v>0</v>
      </c>
      <c r="AK106" s="196">
        <f>IFERROR($G106/SUMIF($A:$A,$A106,$G:$G)*SUMIF(Summary!$A$247:$A$283,$A106,Summary!$Q$247:$Q$283),0)</f>
        <v>0</v>
      </c>
      <c r="AL106" s="196">
        <f>IFERROR($G106/SUMIF($A:$A,$A106,$G:$G)*(SUMIF(Summary!$A$247:$A$283,$A106,Summary!$L$247:$L$283)+SUMIF(Summary!$A$297:$A$333,$A106,Summary!$L$297:$L$333))-AK106,0)</f>
        <v>0</v>
      </c>
      <c r="AM106" s="198"/>
      <c r="AN106" s="196">
        <f t="shared" ca="1" si="26"/>
        <v>0</v>
      </c>
      <c r="AO106" s="196">
        <f t="shared" ca="1" si="27"/>
        <v>0</v>
      </c>
    </row>
    <row r="107" spans="1:41">
      <c r="A107" s="189">
        <v>20</v>
      </c>
      <c r="B107" s="190">
        <v>5</v>
      </c>
      <c r="C107" s="191" t="s">
        <v>238</v>
      </c>
      <c r="D107" s="192">
        <f t="shared" si="14"/>
        <v>0</v>
      </c>
      <c r="E107" s="192">
        <f t="shared" si="15"/>
        <v>0</v>
      </c>
      <c r="F107" s="192">
        <f t="shared" si="16"/>
        <v>0</v>
      </c>
      <c r="G107" s="193">
        <f t="shared" si="17"/>
        <v>0</v>
      </c>
      <c r="H107" s="194">
        <v>0</v>
      </c>
      <c r="I107" s="194">
        <v>0</v>
      </c>
      <c r="J107" s="194">
        <v>0</v>
      </c>
      <c r="K107" s="193">
        <f t="shared" si="18"/>
        <v>0</v>
      </c>
      <c r="L107" s="194">
        <v>0</v>
      </c>
      <c r="M107" s="194">
        <v>0</v>
      </c>
      <c r="N107" s="194">
        <v>0</v>
      </c>
      <c r="O107" s="193">
        <f t="shared" si="19"/>
        <v>0</v>
      </c>
      <c r="P107" s="194">
        <v>0</v>
      </c>
      <c r="Q107" s="194">
        <v>0</v>
      </c>
      <c r="R107" s="194">
        <v>0</v>
      </c>
      <c r="S107" s="193">
        <f t="shared" si="20"/>
        <v>0</v>
      </c>
      <c r="T107" s="193">
        <f t="shared" si="21"/>
        <v>0</v>
      </c>
      <c r="U107" s="193">
        <f ca="1">OFFSET('Expenditure Study'!$B$7,'Operations Support'!$C107,'Operations Support'!$B107)*$G107</f>
        <v>0</v>
      </c>
      <c r="V107" s="199">
        <f ca="1">U107*'Expenditure Study'!$B$31</f>
        <v>0</v>
      </c>
      <c r="W107" s="199">
        <f ca="1">IF(A107=10298,1.51,1)*IF($B107&lt;3,$D107*'Expenditure Study'!$B$32*OFFSET('Expenditure Study'!$B$7,'Operations Support'!$C107,'Operations Support'!$B107),0)</f>
        <v>0</v>
      </c>
      <c r="X107" s="200">
        <f ca="1">W107*'Expenditure Study'!$B$31</f>
        <v>0</v>
      </c>
      <c r="Y107" s="199">
        <f ca="1">U107*'Expenditure Study'!$B$31</f>
        <v>0</v>
      </c>
      <c r="Z107" s="200">
        <f ca="1">W107*'Expenditure Study'!$B$31</f>
        <v>0</v>
      </c>
      <c r="AA107" s="195">
        <f t="shared" ca="1" si="22"/>
        <v>0</v>
      </c>
      <c r="AB107" s="195">
        <f t="shared" ca="1" si="23"/>
        <v>0</v>
      </c>
      <c r="AD107" s="196">
        <f>IFERROR($G107/SUMIF($A:$A,$A107,$G:$G)*SUMIF(Summary!$A$166:$A$242,$A107,Summary!$P$166:$P$242),0)</f>
        <v>0</v>
      </c>
      <c r="AE107" s="197">
        <f t="shared" ca="1" si="24"/>
        <v>0</v>
      </c>
      <c r="AF107" s="196">
        <f>IFERROR(G107/SUMIF(A:A,A107,G:G)*SUMIF(Summary!$A$166:$A$242,'Operations Support'!A107,Summary!$Q$166:$Q$242),0)</f>
        <v>0</v>
      </c>
      <c r="AG107" s="196">
        <f t="shared" ca="1" si="25"/>
        <v>0</v>
      </c>
      <c r="AI107" s="196">
        <f>IFERROR($G107/SUMIF($A:$A,$A107,$G:$G)*SUMIF(Summary!$A$247:$A$283,$A107,Summary!$P$247:$P$283),0)</f>
        <v>0</v>
      </c>
      <c r="AJ107" s="196">
        <f>IFERROR($G107/SUMIF($A:$A,$A107,$G:$G)*(SUMIF(Summary!$A$247:$A$283,$A107,Summary!$L$247:$L$283)+SUMIF(Summary!$A$297:$A$333,$A107,Summary!$L$297:$L$333))-AI107,0)</f>
        <v>0</v>
      </c>
      <c r="AK107" s="196">
        <f>IFERROR($G107/SUMIF($A:$A,$A107,$G:$G)*SUMIF(Summary!$A$247:$A$283,$A107,Summary!$Q$247:$Q$283),0)</f>
        <v>0</v>
      </c>
      <c r="AL107" s="196">
        <f>IFERROR($G107/SUMIF($A:$A,$A107,$G:$G)*(SUMIF(Summary!$A$247:$A$283,$A107,Summary!$L$247:$L$283)+SUMIF(Summary!$A$297:$A$333,$A107,Summary!$L$297:$L$333))-AK107,0)</f>
        <v>0</v>
      </c>
      <c r="AM107" s="198"/>
      <c r="AN107" s="196">
        <f t="shared" ca="1" si="26"/>
        <v>0</v>
      </c>
      <c r="AO107" s="196">
        <f t="shared" ca="1" si="27"/>
        <v>0</v>
      </c>
    </row>
    <row r="108" spans="1:41">
      <c r="A108" s="189">
        <v>20</v>
      </c>
      <c r="B108" s="190">
        <v>5</v>
      </c>
      <c r="C108" s="191" t="s">
        <v>239</v>
      </c>
      <c r="D108" s="192">
        <f t="shared" si="14"/>
        <v>0</v>
      </c>
      <c r="E108" s="192">
        <f t="shared" si="15"/>
        <v>0</v>
      </c>
      <c r="F108" s="192">
        <f t="shared" si="16"/>
        <v>0</v>
      </c>
      <c r="G108" s="193">
        <f t="shared" si="17"/>
        <v>0</v>
      </c>
      <c r="H108" s="194">
        <v>0</v>
      </c>
      <c r="I108" s="194">
        <v>0</v>
      </c>
      <c r="J108" s="194">
        <v>0</v>
      </c>
      <c r="K108" s="193">
        <f t="shared" si="18"/>
        <v>0</v>
      </c>
      <c r="L108" s="194">
        <v>0</v>
      </c>
      <c r="M108" s="194">
        <v>0</v>
      </c>
      <c r="N108" s="194">
        <v>0</v>
      </c>
      <c r="O108" s="193">
        <f t="shared" si="19"/>
        <v>0</v>
      </c>
      <c r="P108" s="194">
        <v>0</v>
      </c>
      <c r="Q108" s="194">
        <v>0</v>
      </c>
      <c r="R108" s="194">
        <v>0</v>
      </c>
      <c r="S108" s="193">
        <f t="shared" si="20"/>
        <v>0</v>
      </c>
      <c r="T108" s="193">
        <f t="shared" si="21"/>
        <v>0</v>
      </c>
      <c r="U108" s="193">
        <f ca="1">OFFSET('Expenditure Study'!$B$7,'Operations Support'!$C108,'Operations Support'!$B108)*$G108</f>
        <v>0</v>
      </c>
      <c r="V108" s="199">
        <f ca="1">U108*'Expenditure Study'!$B$31</f>
        <v>0</v>
      </c>
      <c r="W108" s="199">
        <f ca="1">IF(A108=10298,1.51,1)*IF($B108&lt;3,$D108*'Expenditure Study'!$B$32*OFFSET('Expenditure Study'!$B$7,'Operations Support'!$C108,'Operations Support'!$B108),0)</f>
        <v>0</v>
      </c>
      <c r="X108" s="200">
        <f ca="1">W108*'Expenditure Study'!$B$31</f>
        <v>0</v>
      </c>
      <c r="Y108" s="199">
        <f ca="1">U108*'Expenditure Study'!$B$31</f>
        <v>0</v>
      </c>
      <c r="Z108" s="200">
        <f ca="1">W108*'Expenditure Study'!$B$31</f>
        <v>0</v>
      </c>
      <c r="AA108" s="195">
        <f t="shared" ca="1" si="22"/>
        <v>0</v>
      </c>
      <c r="AB108" s="195">
        <f t="shared" ca="1" si="23"/>
        <v>0</v>
      </c>
      <c r="AD108" s="196">
        <f>IFERROR($G108/SUMIF($A:$A,$A108,$G:$G)*SUMIF(Summary!$A$166:$A$242,$A108,Summary!$P$166:$P$242),0)</f>
        <v>0</v>
      </c>
      <c r="AE108" s="197">
        <f t="shared" ca="1" si="24"/>
        <v>0</v>
      </c>
      <c r="AF108" s="196">
        <f>IFERROR(G108/SUMIF(A:A,A108,G:G)*SUMIF(Summary!$A$166:$A$242,'Operations Support'!A108,Summary!$Q$166:$Q$242),0)</f>
        <v>0</v>
      </c>
      <c r="AG108" s="196">
        <f t="shared" ca="1" si="25"/>
        <v>0</v>
      </c>
      <c r="AI108" s="196">
        <f>IFERROR($G108/SUMIF($A:$A,$A108,$G:$G)*SUMIF(Summary!$A$247:$A$283,$A108,Summary!$P$247:$P$283),0)</f>
        <v>0</v>
      </c>
      <c r="AJ108" s="196">
        <f>IFERROR($G108/SUMIF($A:$A,$A108,$G:$G)*(SUMIF(Summary!$A$247:$A$283,$A108,Summary!$L$247:$L$283)+SUMIF(Summary!$A$297:$A$333,$A108,Summary!$L$297:$L$333))-AI108,0)</f>
        <v>0</v>
      </c>
      <c r="AK108" s="196">
        <f>IFERROR($G108/SUMIF($A:$A,$A108,$G:$G)*SUMIF(Summary!$A$247:$A$283,$A108,Summary!$Q$247:$Q$283),0)</f>
        <v>0</v>
      </c>
      <c r="AL108" s="196">
        <f>IFERROR($G108/SUMIF($A:$A,$A108,$G:$G)*(SUMIF(Summary!$A$247:$A$283,$A108,Summary!$L$247:$L$283)+SUMIF(Summary!$A$297:$A$333,$A108,Summary!$L$297:$L$333))-AK108,0)</f>
        <v>0</v>
      </c>
      <c r="AM108" s="198"/>
      <c r="AN108" s="196">
        <f t="shared" ca="1" si="26"/>
        <v>0</v>
      </c>
      <c r="AO108" s="196">
        <f t="shared" ca="1" si="27"/>
        <v>0</v>
      </c>
    </row>
    <row r="109" spans="1:41">
      <c r="A109" s="189">
        <v>20</v>
      </c>
      <c r="B109" s="190">
        <v>5</v>
      </c>
      <c r="C109" s="191" t="s">
        <v>240</v>
      </c>
      <c r="D109" s="192">
        <f t="shared" si="14"/>
        <v>0</v>
      </c>
      <c r="E109" s="192">
        <f t="shared" si="15"/>
        <v>0</v>
      </c>
      <c r="F109" s="192">
        <f t="shared" si="16"/>
        <v>0</v>
      </c>
      <c r="G109" s="193">
        <f t="shared" si="17"/>
        <v>0</v>
      </c>
      <c r="H109" s="194">
        <v>0</v>
      </c>
      <c r="I109" s="194">
        <v>0</v>
      </c>
      <c r="J109" s="194">
        <v>0</v>
      </c>
      <c r="K109" s="193">
        <f t="shared" si="18"/>
        <v>0</v>
      </c>
      <c r="L109" s="194">
        <v>0</v>
      </c>
      <c r="M109" s="194">
        <v>0</v>
      </c>
      <c r="N109" s="194">
        <v>0</v>
      </c>
      <c r="O109" s="193">
        <f t="shared" si="19"/>
        <v>0</v>
      </c>
      <c r="P109" s="194">
        <v>0</v>
      </c>
      <c r="Q109" s="194">
        <v>0</v>
      </c>
      <c r="R109" s="194">
        <v>0</v>
      </c>
      <c r="S109" s="193">
        <f t="shared" si="20"/>
        <v>0</v>
      </c>
      <c r="T109" s="193">
        <f t="shared" si="21"/>
        <v>0</v>
      </c>
      <c r="U109" s="193">
        <f ca="1">OFFSET('Expenditure Study'!$B$7,'Operations Support'!$C109,'Operations Support'!$B109)*$G109</f>
        <v>0</v>
      </c>
      <c r="V109" s="199">
        <f ca="1">U109*'Expenditure Study'!$B$31</f>
        <v>0</v>
      </c>
      <c r="W109" s="199">
        <f ca="1">IF(A109=10298,1.51,1)*IF($B109&lt;3,$D109*'Expenditure Study'!$B$32*OFFSET('Expenditure Study'!$B$7,'Operations Support'!$C109,'Operations Support'!$B109),0)</f>
        <v>0</v>
      </c>
      <c r="X109" s="200">
        <f ca="1">W109*'Expenditure Study'!$B$31</f>
        <v>0</v>
      </c>
      <c r="Y109" s="199">
        <f ca="1">U109*'Expenditure Study'!$B$31</f>
        <v>0</v>
      </c>
      <c r="Z109" s="200">
        <f ca="1">W109*'Expenditure Study'!$B$31</f>
        <v>0</v>
      </c>
      <c r="AA109" s="195">
        <f t="shared" ca="1" si="22"/>
        <v>0</v>
      </c>
      <c r="AB109" s="195">
        <f t="shared" ca="1" si="23"/>
        <v>0</v>
      </c>
      <c r="AD109" s="196">
        <f>IFERROR($G109/SUMIF($A:$A,$A109,$G:$G)*SUMIF(Summary!$A$166:$A$242,$A109,Summary!$P$166:$P$242),0)</f>
        <v>0</v>
      </c>
      <c r="AE109" s="197">
        <f t="shared" ca="1" si="24"/>
        <v>0</v>
      </c>
      <c r="AF109" s="196">
        <f>IFERROR(G109/SUMIF(A:A,A109,G:G)*SUMIF(Summary!$A$166:$A$242,'Operations Support'!A109,Summary!$Q$166:$Q$242),0)</f>
        <v>0</v>
      </c>
      <c r="AG109" s="196">
        <f t="shared" ca="1" si="25"/>
        <v>0</v>
      </c>
      <c r="AI109" s="196">
        <f>IFERROR($G109/SUMIF($A:$A,$A109,$G:$G)*SUMIF(Summary!$A$247:$A$283,$A109,Summary!$P$247:$P$283),0)</f>
        <v>0</v>
      </c>
      <c r="AJ109" s="196">
        <f>IFERROR($G109/SUMIF($A:$A,$A109,$G:$G)*(SUMIF(Summary!$A$247:$A$283,$A109,Summary!$L$247:$L$283)+SUMIF(Summary!$A$297:$A$333,$A109,Summary!$L$297:$L$333))-AI109,0)</f>
        <v>0</v>
      </c>
      <c r="AK109" s="196">
        <f>IFERROR($G109/SUMIF($A:$A,$A109,$G:$G)*SUMIF(Summary!$A$247:$A$283,$A109,Summary!$Q$247:$Q$283),0)</f>
        <v>0</v>
      </c>
      <c r="AL109" s="196">
        <f>IFERROR($G109/SUMIF($A:$A,$A109,$G:$G)*(SUMIF(Summary!$A$247:$A$283,$A109,Summary!$L$247:$L$283)+SUMIF(Summary!$A$297:$A$333,$A109,Summary!$L$297:$L$333))-AK109,0)</f>
        <v>0</v>
      </c>
      <c r="AM109" s="198"/>
      <c r="AN109" s="196">
        <f t="shared" ca="1" si="26"/>
        <v>0</v>
      </c>
      <c r="AO109" s="196">
        <f t="shared" ca="1" si="27"/>
        <v>0</v>
      </c>
    </row>
    <row r="110" spans="1:41">
      <c r="A110" s="189">
        <v>3541</v>
      </c>
      <c r="B110" s="190">
        <v>1</v>
      </c>
      <c r="C110" s="191" t="s">
        <v>220</v>
      </c>
      <c r="D110" s="192">
        <f t="shared" si="14"/>
        <v>23730.5</v>
      </c>
      <c r="E110" s="192">
        <f t="shared" si="15"/>
        <v>51548.5</v>
      </c>
      <c r="F110" s="192">
        <f t="shared" si="16"/>
        <v>0</v>
      </c>
      <c r="G110" s="193">
        <f t="shared" si="17"/>
        <v>75279</v>
      </c>
      <c r="H110" s="194">
        <v>9867</v>
      </c>
      <c r="I110" s="194">
        <v>23190</v>
      </c>
      <c r="J110" s="194">
        <v>0</v>
      </c>
      <c r="K110" s="193">
        <f t="shared" si="18"/>
        <v>33057</v>
      </c>
      <c r="L110" s="194">
        <v>10868.5</v>
      </c>
      <c r="M110" s="194">
        <v>26411.5</v>
      </c>
      <c r="N110" s="194">
        <v>0</v>
      </c>
      <c r="O110" s="193">
        <f t="shared" si="19"/>
        <v>37280</v>
      </c>
      <c r="P110" s="194">
        <v>2995</v>
      </c>
      <c r="Q110" s="194">
        <v>1947</v>
      </c>
      <c r="R110" s="194">
        <v>0</v>
      </c>
      <c r="S110" s="193">
        <f t="shared" si="20"/>
        <v>4942</v>
      </c>
      <c r="T110" s="193">
        <f t="shared" si="21"/>
        <v>2509.3000000000002</v>
      </c>
      <c r="U110" s="193">
        <f ca="1">OFFSET('Expenditure Study'!$B$7,'Operations Support'!$C110,'Operations Support'!$B110)*$G110</f>
        <v>75279</v>
      </c>
      <c r="V110" s="199">
        <f ca="1">U110*'Expenditure Study'!$B$31</f>
        <v>4447722.7674431996</v>
      </c>
      <c r="W110" s="199">
        <f ca="1">IF(A110=10298,1.51,1)*IF($B110&lt;3,$D110*'Expenditure Study'!$B$32*OFFSET('Expenditure Study'!$B$7,'Operations Support'!$C110,'Operations Support'!$B110),0)</f>
        <v>2373.0500000000002</v>
      </c>
      <c r="X110" s="200">
        <f ca="1">W110*'Expenditure Study'!$B$31</f>
        <v>140207.34219744001</v>
      </c>
      <c r="Y110" s="199">
        <f ca="1">U110*'Expenditure Study'!$B$31</f>
        <v>4447722.7674431996</v>
      </c>
      <c r="Z110" s="200">
        <f ca="1">W110*'Expenditure Study'!$B$31</f>
        <v>140207.34219744001</v>
      </c>
      <c r="AA110" s="195">
        <f t="shared" ca="1" si="22"/>
        <v>4587930.1096406393</v>
      </c>
      <c r="AB110" s="195">
        <f t="shared" ca="1" si="23"/>
        <v>4587930.1096406393</v>
      </c>
      <c r="AD110" s="196">
        <f>IFERROR($G110/SUMIF($A:$A,$A110,$G:$G)*SUMIF(Summary!$A$166:$A$242,$A110,Summary!$P$166:$P$242),0)</f>
        <v>1709277.2651042785</v>
      </c>
      <c r="AE110" s="197">
        <f t="shared" ca="1" si="24"/>
        <v>2878652.8445363608</v>
      </c>
      <c r="AF110" s="196">
        <f>IFERROR(G110/SUMIF(A:A,A110,G:G)*SUMIF(Summary!$A$166:$A$242,'Operations Support'!A110,Summary!$Q$166:$Q$242),0)</f>
        <v>1710415.8599527243</v>
      </c>
      <c r="AG110" s="196">
        <f t="shared" ca="1" si="25"/>
        <v>2877514.2496879147</v>
      </c>
      <c r="AI110" s="196">
        <f>IFERROR($G110/SUMIF($A:$A,$A110,$G:$G)*SUMIF(Summary!$A$247:$A$283,$A110,Summary!$P$247:$P$283),0)</f>
        <v>311729.51861633861</v>
      </c>
      <c r="AJ110" s="196">
        <f>IFERROR($G110/SUMIF($A:$A,$A110,$G:$G)*(SUMIF(Summary!$A$247:$A$283,$A110,Summary!$L$247:$L$283)+SUMIF(Summary!$A$297:$A$333,$A110,Summary!$L$297:$L$333))-AI110,0)</f>
        <v>1170607.3880392937</v>
      </c>
      <c r="AK110" s="196">
        <f>IFERROR($G110/SUMIF($A:$A,$A110,$G:$G)*SUMIF(Summary!$A$247:$A$283,$A110,Summary!$Q$247:$Q$283),0)</f>
        <v>311937.16990337742</v>
      </c>
      <c r="AL110" s="196">
        <f>IFERROR($G110/SUMIF($A:$A,$A110,$G:$G)*(SUMIF(Summary!$A$247:$A$283,$A110,Summary!$L$247:$L$283)+SUMIF(Summary!$A$297:$A$333,$A110,Summary!$L$297:$L$333))-AK110,0)</f>
        <v>1170399.7367522549</v>
      </c>
      <c r="AM110" s="198"/>
      <c r="AN110" s="196">
        <f t="shared" ca="1" si="26"/>
        <v>4049260.2325756545</v>
      </c>
      <c r="AO110" s="196">
        <f t="shared" ca="1" si="27"/>
        <v>4047913.9864401696</v>
      </c>
    </row>
    <row r="111" spans="1:41">
      <c r="A111" s="189">
        <v>3541</v>
      </c>
      <c r="B111" s="190">
        <v>1</v>
      </c>
      <c r="C111" s="191" t="s">
        <v>221</v>
      </c>
      <c r="D111" s="192">
        <f t="shared" si="14"/>
        <v>10480</v>
      </c>
      <c r="E111" s="192">
        <f t="shared" si="15"/>
        <v>8214</v>
      </c>
      <c r="F111" s="192">
        <f t="shared" si="16"/>
        <v>0</v>
      </c>
      <c r="G111" s="193">
        <f t="shared" si="17"/>
        <v>18694</v>
      </c>
      <c r="H111" s="194">
        <v>4042</v>
      </c>
      <c r="I111" s="194">
        <v>3351</v>
      </c>
      <c r="J111" s="194">
        <v>0</v>
      </c>
      <c r="K111" s="193">
        <f t="shared" si="18"/>
        <v>7393</v>
      </c>
      <c r="L111" s="194">
        <v>5137</v>
      </c>
      <c r="M111" s="194">
        <v>4240</v>
      </c>
      <c r="N111" s="194">
        <v>0</v>
      </c>
      <c r="O111" s="193">
        <f t="shared" si="19"/>
        <v>9377</v>
      </c>
      <c r="P111" s="194">
        <v>1301</v>
      </c>
      <c r="Q111" s="194">
        <v>623</v>
      </c>
      <c r="R111" s="194">
        <v>0</v>
      </c>
      <c r="S111" s="193">
        <f t="shared" si="20"/>
        <v>1924</v>
      </c>
      <c r="T111" s="193">
        <f t="shared" si="21"/>
        <v>623.13333333333333</v>
      </c>
      <c r="U111" s="193">
        <f ca="1">OFFSET('Expenditure Study'!$B$7,'Operations Support'!$C111,'Operations Support'!$B111)*$G111</f>
        <v>25049.960000000003</v>
      </c>
      <c r="V111" s="199">
        <f ca="1">U111*'Expenditure Study'!$B$31</f>
        <v>1480031.3157127681</v>
      </c>
      <c r="W111" s="199">
        <f ca="1">IF(A111=10298,1.51,1)*IF($B111&lt;3,$D111*'Expenditure Study'!$B$32*OFFSET('Expenditure Study'!$B$7,'Operations Support'!$C111,'Operations Support'!$B111),0)</f>
        <v>1404.3200000000002</v>
      </c>
      <c r="X111" s="200">
        <f ca="1">W111*'Expenditure Study'!$B$31</f>
        <v>82971.692461056009</v>
      </c>
      <c r="Y111" s="199">
        <f ca="1">U111*'Expenditure Study'!$B$31</f>
        <v>1480031.3157127681</v>
      </c>
      <c r="Z111" s="200">
        <f ca="1">W111*'Expenditure Study'!$B$31</f>
        <v>82971.692461056009</v>
      </c>
      <c r="AA111" s="195">
        <f t="shared" ca="1" si="22"/>
        <v>1563003.0081738241</v>
      </c>
      <c r="AB111" s="195">
        <f t="shared" ca="1" si="23"/>
        <v>1563003.0081738241</v>
      </c>
      <c r="AD111" s="196">
        <f>IFERROR($G111/SUMIF($A:$A,$A111,$G:$G)*SUMIF(Summary!$A$166:$A$242,$A111,Summary!$P$166:$P$242),0)</f>
        <v>424464.0496534144</v>
      </c>
      <c r="AE111" s="197">
        <f t="shared" ca="1" si="24"/>
        <v>1138538.9585204097</v>
      </c>
      <c r="AF111" s="196">
        <f>IFERROR(G111/SUMIF(A:A,A111,G:G)*SUMIF(Summary!$A$166:$A$242,'Operations Support'!A111,Summary!$Q$166:$Q$242),0)</f>
        <v>424746.79639682022</v>
      </c>
      <c r="AG111" s="196">
        <f t="shared" ca="1" si="25"/>
        <v>1138256.2117770039</v>
      </c>
      <c r="AI111" s="196">
        <f>IFERROR($G111/SUMIF($A:$A,$A111,$G:$G)*SUMIF(Summary!$A$247:$A$283,$A111,Summary!$P$247:$P$283),0)</f>
        <v>77411.650274496671</v>
      </c>
      <c r="AJ111" s="196">
        <f>IFERROR($G111/SUMIF($A:$A,$A111,$G:$G)*(SUMIF(Summary!$A$247:$A$283,$A111,Summary!$L$247:$L$283)+SUMIF(Summary!$A$297:$A$333,$A111,Summary!$L$297:$L$333))-AI111,0)</f>
        <v>290696.4028747268</v>
      </c>
      <c r="AK111" s="196">
        <f>IFERROR($G111/SUMIF($A:$A,$A111,$G:$G)*SUMIF(Summary!$A$247:$A$283,$A111,Summary!$Q$247:$Q$283),0)</f>
        <v>77463.216224627555</v>
      </c>
      <c r="AL111" s="196">
        <f>IFERROR($G111/SUMIF($A:$A,$A111,$G:$G)*(SUMIF(Summary!$A$247:$A$283,$A111,Summary!$L$247:$L$283)+SUMIF(Summary!$A$297:$A$333,$A111,Summary!$L$297:$L$333))-AK111,0)</f>
        <v>290644.83692459587</v>
      </c>
      <c r="AM111" s="198"/>
      <c r="AN111" s="196">
        <f t="shared" ca="1" si="26"/>
        <v>1429235.3613951365</v>
      </c>
      <c r="AO111" s="196">
        <f t="shared" ca="1" si="27"/>
        <v>1428901.0487015997</v>
      </c>
    </row>
    <row r="112" spans="1:41">
      <c r="A112" s="189">
        <v>3541</v>
      </c>
      <c r="B112" s="190">
        <v>1</v>
      </c>
      <c r="C112" s="191" t="s">
        <v>222</v>
      </c>
      <c r="D112" s="192">
        <f t="shared" si="14"/>
        <v>4830</v>
      </c>
      <c r="E112" s="192">
        <f t="shared" si="15"/>
        <v>2946</v>
      </c>
      <c r="F112" s="192">
        <f t="shared" si="16"/>
        <v>0</v>
      </c>
      <c r="G112" s="193">
        <f t="shared" si="17"/>
        <v>7776</v>
      </c>
      <c r="H112" s="194">
        <v>1941</v>
      </c>
      <c r="I112" s="194">
        <v>1124</v>
      </c>
      <c r="J112" s="194">
        <v>0</v>
      </c>
      <c r="K112" s="193">
        <f t="shared" si="18"/>
        <v>3065</v>
      </c>
      <c r="L112" s="194">
        <v>2280</v>
      </c>
      <c r="M112" s="194">
        <v>1663</v>
      </c>
      <c r="N112" s="194">
        <v>0</v>
      </c>
      <c r="O112" s="193">
        <f t="shared" si="19"/>
        <v>3943</v>
      </c>
      <c r="P112" s="194">
        <v>609</v>
      </c>
      <c r="Q112" s="194">
        <v>159</v>
      </c>
      <c r="R112" s="194">
        <v>0</v>
      </c>
      <c r="S112" s="193">
        <f t="shared" si="20"/>
        <v>768</v>
      </c>
      <c r="T112" s="193">
        <f t="shared" si="21"/>
        <v>259.2</v>
      </c>
      <c r="U112" s="193">
        <f ca="1">OFFSET('Expenditure Study'!$B$7,'Operations Support'!$C112,'Operations Support'!$B112)*$G112</f>
        <v>10653.12</v>
      </c>
      <c r="V112" s="199">
        <f ca="1">U112*'Expenditure Study'!$B$31</f>
        <v>629420.21504409611</v>
      </c>
      <c r="W112" s="199">
        <f ca="1">IF(A112=10298,1.51,1)*IF($B112&lt;3,$D112*'Expenditure Study'!$B$32*OFFSET('Expenditure Study'!$B$7,'Operations Support'!$C112,'Operations Support'!$B112),0)</f>
        <v>661.71</v>
      </c>
      <c r="X112" s="200">
        <f ca="1">W112*'Expenditure Study'!$B$31</f>
        <v>39095.931567168001</v>
      </c>
      <c r="Y112" s="199">
        <f ca="1">U112*'Expenditure Study'!$B$31</f>
        <v>629420.21504409611</v>
      </c>
      <c r="Z112" s="200">
        <f ca="1">W112*'Expenditure Study'!$B$31</f>
        <v>39095.931567168001</v>
      </c>
      <c r="AA112" s="195">
        <f t="shared" ca="1" si="22"/>
        <v>668516.14661126409</v>
      </c>
      <c r="AB112" s="195">
        <f t="shared" ca="1" si="23"/>
        <v>668516.14661126409</v>
      </c>
      <c r="AD112" s="196">
        <f>IFERROR($G112/SUMIF($A:$A,$A112,$G:$G)*SUMIF(Summary!$A$166:$A$242,$A112,Summary!$P$166:$P$242),0)</f>
        <v>176561.05970391302</v>
      </c>
      <c r="AE112" s="197">
        <f t="shared" ca="1" si="24"/>
        <v>491955.08690735104</v>
      </c>
      <c r="AF112" s="196">
        <f>IFERROR(G112/SUMIF(A:A,A112,G:G)*SUMIF(Summary!$A$166:$A$242,'Operations Support'!A112,Summary!$Q$166:$Q$242),0)</f>
        <v>176678.6717011701</v>
      </c>
      <c r="AG112" s="196">
        <f t="shared" ca="1" si="25"/>
        <v>491837.474910094</v>
      </c>
      <c r="AI112" s="196">
        <f>IFERROR($G112/SUMIF($A:$A,$A112,$G:$G)*SUMIF(Summary!$A$247:$A$283,$A112,Summary!$P$247:$P$283),0)</f>
        <v>32200.331257862741</v>
      </c>
      <c r="AJ112" s="196">
        <f>IFERROR($G112/SUMIF($A:$A,$A112,$G:$G)*(SUMIF(Summary!$A$247:$A$283,$A112,Summary!$L$247:$L$283)+SUMIF(Summary!$A$297:$A$333,$A112,Summary!$L$297:$L$333))-AI112,0)</f>
        <v>120918.75621878012</v>
      </c>
      <c r="AK112" s="196">
        <f>IFERROR($G112/SUMIF($A:$A,$A112,$G:$G)*SUMIF(Summary!$A$247:$A$283,$A112,Summary!$Q$247:$Q$283),0)</f>
        <v>32221.780751187755</v>
      </c>
      <c r="AL112" s="196">
        <f>IFERROR($G112/SUMIF($A:$A,$A112,$G:$G)*(SUMIF(Summary!$A$247:$A$283,$A112,Summary!$L$247:$L$283)+SUMIF(Summary!$A$297:$A$333,$A112,Summary!$L$297:$L$333))-AK112,0)</f>
        <v>120897.3067254551</v>
      </c>
      <c r="AM112" s="198"/>
      <c r="AN112" s="196">
        <f t="shared" ca="1" si="26"/>
        <v>612873.84312613122</v>
      </c>
      <c r="AO112" s="196">
        <f t="shared" ca="1" si="27"/>
        <v>612734.78163554915</v>
      </c>
    </row>
    <row r="113" spans="1:41">
      <c r="A113" s="189">
        <v>3541</v>
      </c>
      <c r="B113" s="190">
        <v>1</v>
      </c>
      <c r="C113" s="191" t="s">
        <v>223</v>
      </c>
      <c r="D113" s="192">
        <f t="shared" si="14"/>
        <v>657</v>
      </c>
      <c r="E113" s="192">
        <f t="shared" si="15"/>
        <v>165</v>
      </c>
      <c r="F113" s="192">
        <f t="shared" si="16"/>
        <v>0</v>
      </c>
      <c r="G113" s="193">
        <f t="shared" si="17"/>
        <v>822</v>
      </c>
      <c r="H113" s="194">
        <v>201</v>
      </c>
      <c r="I113" s="194">
        <v>95</v>
      </c>
      <c r="J113" s="194">
        <v>0</v>
      </c>
      <c r="K113" s="193">
        <f t="shared" si="18"/>
        <v>296</v>
      </c>
      <c r="L113" s="194">
        <v>375</v>
      </c>
      <c r="M113" s="194">
        <v>70</v>
      </c>
      <c r="N113" s="194">
        <v>0</v>
      </c>
      <c r="O113" s="193">
        <f t="shared" si="19"/>
        <v>445</v>
      </c>
      <c r="P113" s="194">
        <v>81</v>
      </c>
      <c r="Q113" s="194">
        <v>0</v>
      </c>
      <c r="R113" s="194">
        <v>0</v>
      </c>
      <c r="S113" s="193">
        <f t="shared" si="20"/>
        <v>81</v>
      </c>
      <c r="T113" s="193">
        <f t="shared" si="21"/>
        <v>27.4</v>
      </c>
      <c r="U113" s="193">
        <f ca="1">OFFSET('Expenditure Study'!$B$7,'Operations Support'!$C113,'Operations Support'!$B113)*$G113</f>
        <v>1035.72</v>
      </c>
      <c r="V113" s="199">
        <f ca="1">U113*'Expenditure Study'!$B$31</f>
        <v>61193.632018176002</v>
      </c>
      <c r="W113" s="199">
        <f ca="1">IF(A113=10298,1.51,1)*IF($B113&lt;3,$D113*'Expenditure Study'!$B$32*OFFSET('Expenditure Study'!$B$7,'Operations Support'!$C113,'Operations Support'!$B113),0)</f>
        <v>82.782000000000011</v>
      </c>
      <c r="X113" s="200">
        <f ca="1">W113*'Expenditure Study'!$B$31</f>
        <v>4891.023872985601</v>
      </c>
      <c r="Y113" s="199">
        <f ca="1">U113*'Expenditure Study'!$B$31</f>
        <v>61193.632018176002</v>
      </c>
      <c r="Z113" s="200">
        <f ca="1">W113*'Expenditure Study'!$B$31</f>
        <v>4891.023872985601</v>
      </c>
      <c r="AA113" s="195">
        <f t="shared" ca="1" si="22"/>
        <v>66084.655891161601</v>
      </c>
      <c r="AB113" s="195">
        <f t="shared" ca="1" si="23"/>
        <v>66084.655891161601</v>
      </c>
      <c r="AD113" s="196">
        <f>IFERROR($G113/SUMIF($A:$A,$A113,$G:$G)*SUMIF(Summary!$A$166:$A$242,$A113,Summary!$P$166:$P$242),0)</f>
        <v>18664.247823638954</v>
      </c>
      <c r="AE113" s="197">
        <f t="shared" ca="1" si="24"/>
        <v>47420.408067522643</v>
      </c>
      <c r="AF113" s="196">
        <f>IFERROR(G113/SUMIF(A:A,A113,G:G)*SUMIF(Summary!$A$166:$A$242,'Operations Support'!A113,Summary!$Q$166:$Q$242),0)</f>
        <v>18676.680573349</v>
      </c>
      <c r="AG113" s="196">
        <f t="shared" ca="1" si="25"/>
        <v>47407.975317812597</v>
      </c>
      <c r="AI113" s="196">
        <f>IFERROR($G113/SUMIF($A:$A,$A113,$G:$G)*SUMIF(Summary!$A$247:$A$283,$A113,Summary!$P$247:$P$283),0)</f>
        <v>3403.8930419191324</v>
      </c>
      <c r="AJ113" s="196">
        <f>IFERROR($G113/SUMIF($A:$A,$A113,$G:$G)*(SUMIF(Summary!$A$247:$A$283,$A113,Summary!$L$247:$L$283)+SUMIF(Summary!$A$297:$A$333,$A113,Summary!$L$297:$L$333))-AI113,0)</f>
        <v>12782.306791645738</v>
      </c>
      <c r="AK113" s="196">
        <f>IFERROR($G113/SUMIF($A:$A,$A113,$G:$G)*SUMIF(Summary!$A$247:$A$283,$A113,Summary!$Q$247:$Q$283),0)</f>
        <v>3406.1604652104338</v>
      </c>
      <c r="AL113" s="196">
        <f>IFERROR($G113/SUMIF($A:$A,$A113,$G:$G)*(SUMIF(Summary!$A$247:$A$283,$A113,Summary!$L$247:$L$283)+SUMIF(Summary!$A$297:$A$333,$A113,Summary!$L$297:$L$333))-AK113,0)</f>
        <v>12780.039368354437</v>
      </c>
      <c r="AM113" s="198"/>
      <c r="AN113" s="196">
        <f t="shared" ca="1" si="26"/>
        <v>60202.71485916838</v>
      </c>
      <c r="AO113" s="196">
        <f t="shared" ca="1" si="27"/>
        <v>60188.014686167036</v>
      </c>
    </row>
    <row r="114" spans="1:41" s="201" customFormat="1">
      <c r="A114" s="189">
        <v>3541</v>
      </c>
      <c r="B114" s="190">
        <v>1</v>
      </c>
      <c r="C114" s="191" t="s">
        <v>224</v>
      </c>
      <c r="D114" s="192">
        <f t="shared" si="14"/>
        <v>1686</v>
      </c>
      <c r="E114" s="192">
        <f t="shared" si="15"/>
        <v>850</v>
      </c>
      <c r="F114" s="192">
        <f t="shared" si="16"/>
        <v>0</v>
      </c>
      <c r="G114" s="193">
        <f t="shared" si="17"/>
        <v>2536</v>
      </c>
      <c r="H114" s="194">
        <v>828</v>
      </c>
      <c r="I114" s="194">
        <v>178</v>
      </c>
      <c r="J114" s="194">
        <v>0</v>
      </c>
      <c r="K114" s="193">
        <f t="shared" si="18"/>
        <v>1006</v>
      </c>
      <c r="L114" s="194">
        <v>784</v>
      </c>
      <c r="M114" s="194">
        <v>648</v>
      </c>
      <c r="N114" s="194">
        <v>0</v>
      </c>
      <c r="O114" s="193">
        <f t="shared" si="19"/>
        <v>1432</v>
      </c>
      <c r="P114" s="194">
        <v>74</v>
      </c>
      <c r="Q114" s="194">
        <v>24</v>
      </c>
      <c r="R114" s="194">
        <v>0</v>
      </c>
      <c r="S114" s="193">
        <f t="shared" si="20"/>
        <v>98</v>
      </c>
      <c r="T114" s="193">
        <f t="shared" si="21"/>
        <v>84.533333333333331</v>
      </c>
      <c r="U114" s="193">
        <f ca="1">OFFSET('Expenditure Study'!$B$7,'Operations Support'!$C114,'Operations Support'!$B114)*$G114</f>
        <v>3753.2799999999997</v>
      </c>
      <c r="V114" s="199">
        <f ca="1">U114*'Expenditure Study'!$B$31</f>
        <v>221755.72083302398</v>
      </c>
      <c r="W114" s="199">
        <f ca="1">IF(A114=10298,1.51,1)*IF($B114&lt;3,$D114*'Expenditure Study'!$B$32*OFFSET('Expenditure Study'!$B$7,'Operations Support'!$C114,'Operations Support'!$B114),0)</f>
        <v>249.52800000000002</v>
      </c>
      <c r="X114" s="200">
        <f ca="1">W114*'Expenditure Study'!$B$31</f>
        <v>14742.907938662402</v>
      </c>
      <c r="Y114" s="199">
        <f ca="1">U114*'Expenditure Study'!$B$31</f>
        <v>221755.72083302398</v>
      </c>
      <c r="Z114" s="200">
        <f ca="1">W114*'Expenditure Study'!$B$31</f>
        <v>14742.907938662402</v>
      </c>
      <c r="AA114" s="195">
        <f t="shared" ca="1" si="22"/>
        <v>236498.62877168637</v>
      </c>
      <c r="AB114" s="195">
        <f t="shared" ca="1" si="23"/>
        <v>236498.62877168637</v>
      </c>
      <c r="AD114" s="196">
        <f>IFERROR($G114/SUMIF($A:$A,$A114,$G:$G)*SUMIF(Summary!$A$166:$A$242,$A114,Summary!$P$166:$P$242),0)</f>
        <v>57582.156302613606</v>
      </c>
      <c r="AE114" s="197">
        <f t="shared" ca="1" si="24"/>
        <v>178916.47246907276</v>
      </c>
      <c r="AF114" s="196">
        <f>IFERROR(G114/SUMIF(A:A,A114,G:G)*SUMIF(Summary!$A$166:$A$242,'Operations Support'!A114,Summary!$Q$166:$Q$242),0)</f>
        <v>57620.513301719053</v>
      </c>
      <c r="AG114" s="196">
        <f t="shared" ca="1" si="25"/>
        <v>178878.11546996731</v>
      </c>
      <c r="AH114" s="180"/>
      <c r="AI114" s="196">
        <f>IFERROR($G114/SUMIF($A:$A,$A114,$G:$G)*SUMIF(Summary!$A$247:$A$283,$A114,Summary!$P$247:$P$283),0)</f>
        <v>10501.548362903794</v>
      </c>
      <c r="AJ114" s="196">
        <f>IFERROR($G114/SUMIF($A:$A,$A114,$G:$G)*(SUMIF(Summary!$A$247:$A$283,$A114,Summary!$L$247:$L$283)+SUMIF(Summary!$A$297:$A$333,$A114,Summary!$L$297:$L$333))-AI114,0)</f>
        <v>39435.437984931377</v>
      </c>
      <c r="AK114" s="196">
        <f>IFERROR($G114/SUMIF($A:$A,$A114,$G:$G)*SUMIF(Summary!$A$247:$A$283,$A114,Summary!$Q$247:$Q$283),0)</f>
        <v>10508.543722352384</v>
      </c>
      <c r="AL114" s="196">
        <f>IFERROR($G114/SUMIF($A:$A,$A114,$G:$G)*(SUMIF(Summary!$A$247:$A$283,$A114,Summary!$L$247:$L$283)+SUMIF(Summary!$A$297:$A$333,$A114,Summary!$L$297:$L$333))-AK114,0)</f>
        <v>39428.442625482785</v>
      </c>
      <c r="AM114" s="198"/>
      <c r="AN114" s="196">
        <f t="shared" ca="1" si="26"/>
        <v>218351.91045400413</v>
      </c>
      <c r="AO114" s="196">
        <f t="shared" ca="1" si="27"/>
        <v>218306.55809545011</v>
      </c>
    </row>
    <row r="115" spans="1:41" s="201" customFormat="1">
      <c r="A115" s="189">
        <v>3541</v>
      </c>
      <c r="B115" s="190">
        <v>1</v>
      </c>
      <c r="C115" s="191" t="s">
        <v>225</v>
      </c>
      <c r="D115" s="192">
        <f t="shared" si="14"/>
        <v>1523</v>
      </c>
      <c r="E115" s="192">
        <f t="shared" si="15"/>
        <v>1557</v>
      </c>
      <c r="F115" s="192">
        <f t="shared" si="16"/>
        <v>0</v>
      </c>
      <c r="G115" s="193">
        <f t="shared" si="17"/>
        <v>3080</v>
      </c>
      <c r="H115" s="194">
        <v>544</v>
      </c>
      <c r="I115" s="194">
        <v>762</v>
      </c>
      <c r="J115" s="194">
        <v>0</v>
      </c>
      <c r="K115" s="193">
        <f t="shared" si="18"/>
        <v>1306</v>
      </c>
      <c r="L115" s="194">
        <v>727</v>
      </c>
      <c r="M115" s="194">
        <v>723</v>
      </c>
      <c r="N115" s="194">
        <v>0</v>
      </c>
      <c r="O115" s="193">
        <f t="shared" si="19"/>
        <v>1450</v>
      </c>
      <c r="P115" s="194">
        <v>252</v>
      </c>
      <c r="Q115" s="194">
        <v>72</v>
      </c>
      <c r="R115" s="194">
        <v>0</v>
      </c>
      <c r="S115" s="193">
        <f t="shared" si="20"/>
        <v>324</v>
      </c>
      <c r="T115" s="193">
        <f t="shared" si="21"/>
        <v>102.66666666666667</v>
      </c>
      <c r="U115" s="193">
        <f ca="1">OFFSET('Expenditure Study'!$B$7,'Operations Support'!$C115,'Operations Support'!$B115)*$G115</f>
        <v>5420.8</v>
      </c>
      <c r="V115" s="199">
        <f ca="1">U115*'Expenditure Study'!$B$31</f>
        <v>320278.10648064001</v>
      </c>
      <c r="W115" s="199">
        <f ca="1">IF(A115=10298,1.51,1)*IF($B115&lt;3,$D115*'Expenditure Study'!$B$32*OFFSET('Expenditure Study'!$B$7,'Operations Support'!$C115,'Operations Support'!$B115),0)</f>
        <v>268.048</v>
      </c>
      <c r="X115" s="200">
        <f ca="1">W115*'Expenditure Study'!$B$31</f>
        <v>15837.128447078401</v>
      </c>
      <c r="Y115" s="199">
        <f ca="1">U115*'Expenditure Study'!$B$31</f>
        <v>320278.10648064001</v>
      </c>
      <c r="Z115" s="200">
        <f ca="1">W115*'Expenditure Study'!$B$31</f>
        <v>15837.128447078401</v>
      </c>
      <c r="AA115" s="195">
        <f t="shared" ca="1" si="22"/>
        <v>336115.23492771841</v>
      </c>
      <c r="AB115" s="195">
        <f t="shared" ca="1" si="23"/>
        <v>336115.23492771841</v>
      </c>
      <c r="AD115" s="196">
        <f>IFERROR($G115/SUMIF($A:$A,$A115,$G:$G)*SUMIF(Summary!$A$166:$A$242,$A115,Summary!$P$166:$P$242),0)</f>
        <v>69934.164594656919</v>
      </c>
      <c r="AE115" s="197">
        <f t="shared" ca="1" si="24"/>
        <v>266181.07033306151</v>
      </c>
      <c r="AF115" s="196">
        <f>IFERROR(G115/SUMIF(A:A,A115,G:G)*SUMIF(Summary!$A$166:$A$242,'Operations Support'!A115,Summary!$Q$166:$Q$242),0)</f>
        <v>69980.749593570465</v>
      </c>
      <c r="AG115" s="196">
        <f t="shared" ca="1" si="25"/>
        <v>266134.48533414793</v>
      </c>
      <c r="AH115" s="180"/>
      <c r="AI115" s="196">
        <f>IFERROR($G115/SUMIF($A:$A,$A115,$G:$G)*SUMIF(Summary!$A$247:$A$283,$A115,Summary!$P$247:$P$283),0)</f>
        <v>12754.246434441517</v>
      </c>
      <c r="AJ115" s="196">
        <f>IFERROR($G115/SUMIF($A:$A,$A115,$G:$G)*(SUMIF(Summary!$A$247:$A$283,$A115,Summary!$L$247:$L$283)+SUMIF(Summary!$A$297:$A$333,$A115,Summary!$L$297:$L$333))-AI115,0)</f>
        <v>47894.774839743157</v>
      </c>
      <c r="AK115" s="196">
        <f>IFERROR($G115/SUMIF($A:$A,$A115,$G:$G)*SUMIF(Summary!$A$247:$A$283,$A115,Summary!$Q$247:$Q$283),0)</f>
        <v>12762.742375727659</v>
      </c>
      <c r="AL115" s="196">
        <f>IFERROR($G115/SUMIF($A:$A,$A115,$G:$G)*(SUMIF(Summary!$A$247:$A$283,$A115,Summary!$L$247:$L$283)+SUMIF(Summary!$A$297:$A$333,$A115,Summary!$L$297:$L$333))-AK115,0)</f>
        <v>47886.278898457007</v>
      </c>
      <c r="AM115" s="198"/>
      <c r="AN115" s="196">
        <f t="shared" ca="1" si="26"/>
        <v>314075.84517280466</v>
      </c>
      <c r="AO115" s="196">
        <f t="shared" ca="1" si="27"/>
        <v>314020.76423260494</v>
      </c>
    </row>
    <row r="116" spans="1:41">
      <c r="A116" s="189">
        <v>3541</v>
      </c>
      <c r="B116" s="190">
        <v>1</v>
      </c>
      <c r="C116" s="191" t="s">
        <v>226</v>
      </c>
      <c r="D116" s="192">
        <f t="shared" si="14"/>
        <v>327</v>
      </c>
      <c r="E116" s="192">
        <f t="shared" si="15"/>
        <v>3</v>
      </c>
      <c r="F116" s="192">
        <f t="shared" si="16"/>
        <v>0</v>
      </c>
      <c r="G116" s="193">
        <f t="shared" si="17"/>
        <v>330</v>
      </c>
      <c r="H116" s="194">
        <v>183</v>
      </c>
      <c r="I116" s="194">
        <v>0</v>
      </c>
      <c r="J116" s="194">
        <v>0</v>
      </c>
      <c r="K116" s="193">
        <f t="shared" si="18"/>
        <v>183</v>
      </c>
      <c r="L116" s="194">
        <v>144</v>
      </c>
      <c r="M116" s="194">
        <v>0</v>
      </c>
      <c r="N116" s="194">
        <v>0</v>
      </c>
      <c r="O116" s="193">
        <f t="shared" si="19"/>
        <v>144</v>
      </c>
      <c r="P116" s="194">
        <v>0</v>
      </c>
      <c r="Q116" s="194">
        <v>3</v>
      </c>
      <c r="R116" s="194">
        <v>0</v>
      </c>
      <c r="S116" s="193">
        <f t="shared" si="20"/>
        <v>3</v>
      </c>
      <c r="T116" s="193">
        <f t="shared" si="21"/>
        <v>11</v>
      </c>
      <c r="U116" s="193">
        <f ca="1">OFFSET('Expenditure Study'!$B$7,'Operations Support'!$C116,'Operations Support'!$B116)*$G116</f>
        <v>313.5</v>
      </c>
      <c r="V116" s="199">
        <f ca="1">U116*'Expenditure Study'!$B$31</f>
        <v>18522.577180799999</v>
      </c>
      <c r="W116" s="199">
        <f ca="1">IF(A116=10298,1.51,1)*IF($B116&lt;3,$D116*'Expenditure Study'!$B$32*OFFSET('Expenditure Study'!$B$7,'Operations Support'!$C116,'Operations Support'!$B116),0)</f>
        <v>31.065000000000001</v>
      </c>
      <c r="X116" s="200">
        <f ca="1">W116*'Expenditure Study'!$B$31</f>
        <v>1835.419011552</v>
      </c>
      <c r="Y116" s="199">
        <f ca="1">U116*'Expenditure Study'!$B$31</f>
        <v>18522.577180799999</v>
      </c>
      <c r="Z116" s="200">
        <f ca="1">W116*'Expenditure Study'!$B$31</f>
        <v>1835.419011552</v>
      </c>
      <c r="AA116" s="195">
        <f t="shared" ca="1" si="22"/>
        <v>20357.996192351999</v>
      </c>
      <c r="AB116" s="195">
        <f t="shared" ca="1" si="23"/>
        <v>20357.996192351999</v>
      </c>
      <c r="AD116" s="196">
        <f>IFERROR($G116/SUMIF($A:$A,$A116,$G:$G)*SUMIF(Summary!$A$166:$A$242,$A116,Summary!$P$166:$P$242),0)</f>
        <v>7492.9462065703829</v>
      </c>
      <c r="AE116" s="197">
        <f t="shared" ca="1" si="24"/>
        <v>12865.049985781616</v>
      </c>
      <c r="AF116" s="196">
        <f>IFERROR(G116/SUMIF(A:A,A116,G:G)*SUMIF(Summary!$A$166:$A$242,'Operations Support'!A116,Summary!$Q$166:$Q$242),0)</f>
        <v>7497.9374564539776</v>
      </c>
      <c r="AG116" s="196">
        <f t="shared" ca="1" si="25"/>
        <v>12860.058735898021</v>
      </c>
      <c r="AI116" s="196">
        <f>IFERROR($G116/SUMIF($A:$A,$A116,$G:$G)*SUMIF(Summary!$A$247:$A$283,$A116,Summary!$P$247:$P$283),0)</f>
        <v>1366.5264036901626</v>
      </c>
      <c r="AJ116" s="196">
        <f>IFERROR($G116/SUMIF($A:$A,$A116,$G:$G)*(SUMIF(Summary!$A$247:$A$283,$A116,Summary!$L$247:$L$283)+SUMIF(Summary!$A$297:$A$333,$A116,Summary!$L$297:$L$333))-AI116,0)</f>
        <v>5131.583018543909</v>
      </c>
      <c r="AK116" s="196">
        <f>IFERROR($G116/SUMIF($A:$A,$A116,$G:$G)*SUMIF(Summary!$A$247:$A$283,$A116,Summary!$Q$247:$Q$283),0)</f>
        <v>1367.4366831136776</v>
      </c>
      <c r="AL116" s="196">
        <f>IFERROR($G116/SUMIF($A:$A,$A116,$G:$G)*(SUMIF(Summary!$A$247:$A$283,$A116,Summary!$L$247:$L$283)+SUMIF(Summary!$A$297:$A$333,$A116,Summary!$L$297:$L$333))-AK116,0)</f>
        <v>5130.672739120394</v>
      </c>
      <c r="AM116" s="198"/>
      <c r="AN116" s="196">
        <f t="shared" ca="1" si="26"/>
        <v>17996.633004325526</v>
      </c>
      <c r="AO116" s="196">
        <f t="shared" ca="1" si="27"/>
        <v>17990.731475018416</v>
      </c>
    </row>
    <row r="117" spans="1:41">
      <c r="A117" s="189">
        <v>3541</v>
      </c>
      <c r="B117" s="190">
        <v>1</v>
      </c>
      <c r="C117" s="191" t="s">
        <v>227</v>
      </c>
      <c r="D117" s="192">
        <f t="shared" si="14"/>
        <v>0</v>
      </c>
      <c r="E117" s="192">
        <f t="shared" si="15"/>
        <v>0</v>
      </c>
      <c r="F117" s="192">
        <f t="shared" si="16"/>
        <v>0</v>
      </c>
      <c r="G117" s="193">
        <f t="shared" si="17"/>
        <v>0</v>
      </c>
      <c r="H117" s="194">
        <v>0</v>
      </c>
      <c r="I117" s="194">
        <v>0</v>
      </c>
      <c r="J117" s="194">
        <v>0</v>
      </c>
      <c r="K117" s="193">
        <f t="shared" si="18"/>
        <v>0</v>
      </c>
      <c r="L117" s="194">
        <v>0</v>
      </c>
      <c r="M117" s="194">
        <v>0</v>
      </c>
      <c r="N117" s="194">
        <v>0</v>
      </c>
      <c r="O117" s="193">
        <f t="shared" si="19"/>
        <v>0</v>
      </c>
      <c r="P117" s="194">
        <v>0</v>
      </c>
      <c r="Q117" s="194">
        <v>0</v>
      </c>
      <c r="R117" s="194">
        <v>0</v>
      </c>
      <c r="S117" s="193">
        <f t="shared" si="20"/>
        <v>0</v>
      </c>
      <c r="T117" s="193">
        <f t="shared" si="21"/>
        <v>0</v>
      </c>
      <c r="U117" s="193">
        <f ca="1">OFFSET('Expenditure Study'!$B$7,'Operations Support'!$C117,'Operations Support'!$B117)*$G117</f>
        <v>0</v>
      </c>
      <c r="V117" s="199">
        <f ca="1">U117*'Expenditure Study'!$B$31</f>
        <v>0</v>
      </c>
      <c r="W117" s="199">
        <f ca="1">IF(A117=10298,1.51,1)*IF($B117&lt;3,$D117*'Expenditure Study'!$B$32*OFFSET('Expenditure Study'!$B$7,'Operations Support'!$C117,'Operations Support'!$B117),0)</f>
        <v>0</v>
      </c>
      <c r="X117" s="200">
        <f ca="1">W117*'Expenditure Study'!$B$31</f>
        <v>0</v>
      </c>
      <c r="Y117" s="199">
        <f ca="1">U117*'Expenditure Study'!$B$31</f>
        <v>0</v>
      </c>
      <c r="Z117" s="200">
        <f ca="1">W117*'Expenditure Study'!$B$31</f>
        <v>0</v>
      </c>
      <c r="AA117" s="195">
        <f t="shared" ca="1" si="22"/>
        <v>0</v>
      </c>
      <c r="AB117" s="195">
        <f t="shared" ca="1" si="23"/>
        <v>0</v>
      </c>
      <c r="AD117" s="196">
        <f>IFERROR($G117/SUMIF($A:$A,$A117,$G:$G)*SUMIF(Summary!$A$166:$A$242,$A117,Summary!$P$166:$P$242),0)</f>
        <v>0</v>
      </c>
      <c r="AE117" s="197">
        <f t="shared" ca="1" si="24"/>
        <v>0</v>
      </c>
      <c r="AF117" s="196">
        <f>IFERROR(G117/SUMIF(A:A,A117,G:G)*SUMIF(Summary!$A$166:$A$242,'Operations Support'!A117,Summary!$Q$166:$Q$242),0)</f>
        <v>0</v>
      </c>
      <c r="AG117" s="196">
        <f t="shared" ca="1" si="25"/>
        <v>0</v>
      </c>
      <c r="AI117" s="196">
        <f>IFERROR($G117/SUMIF($A:$A,$A117,$G:$G)*SUMIF(Summary!$A$247:$A$283,$A117,Summary!$P$247:$P$283),0)</f>
        <v>0</v>
      </c>
      <c r="AJ117" s="196">
        <f>IFERROR($G117/SUMIF($A:$A,$A117,$G:$G)*(SUMIF(Summary!$A$247:$A$283,$A117,Summary!$L$247:$L$283)+SUMIF(Summary!$A$297:$A$333,$A117,Summary!$L$297:$L$333))-AI117,0)</f>
        <v>0</v>
      </c>
      <c r="AK117" s="196">
        <f>IFERROR($G117/SUMIF($A:$A,$A117,$G:$G)*SUMIF(Summary!$A$247:$A$283,$A117,Summary!$Q$247:$Q$283),0)</f>
        <v>0</v>
      </c>
      <c r="AL117" s="196">
        <f>IFERROR($G117/SUMIF($A:$A,$A117,$G:$G)*(SUMIF(Summary!$A$247:$A$283,$A117,Summary!$L$247:$L$283)+SUMIF(Summary!$A$297:$A$333,$A117,Summary!$L$297:$L$333))-AK117,0)</f>
        <v>0</v>
      </c>
      <c r="AM117" s="198"/>
      <c r="AN117" s="196">
        <f t="shared" ca="1" si="26"/>
        <v>0</v>
      </c>
      <c r="AO117" s="196">
        <f t="shared" ca="1" si="27"/>
        <v>0</v>
      </c>
    </row>
    <row r="118" spans="1:41">
      <c r="A118" s="189">
        <v>3541</v>
      </c>
      <c r="B118" s="190">
        <v>1</v>
      </c>
      <c r="C118" s="191" t="s">
        <v>228</v>
      </c>
      <c r="D118" s="192">
        <f t="shared" si="14"/>
        <v>57</v>
      </c>
      <c r="E118" s="192">
        <f t="shared" si="15"/>
        <v>1137</v>
      </c>
      <c r="F118" s="192">
        <f t="shared" si="16"/>
        <v>0</v>
      </c>
      <c r="G118" s="193">
        <f t="shared" si="17"/>
        <v>1194</v>
      </c>
      <c r="H118" s="194">
        <v>3</v>
      </c>
      <c r="I118" s="194">
        <v>303</v>
      </c>
      <c r="J118" s="194">
        <v>0</v>
      </c>
      <c r="K118" s="193">
        <f t="shared" si="18"/>
        <v>306</v>
      </c>
      <c r="L118" s="194">
        <v>36</v>
      </c>
      <c r="M118" s="194">
        <v>687</v>
      </c>
      <c r="N118" s="194">
        <v>0</v>
      </c>
      <c r="O118" s="193">
        <f t="shared" si="19"/>
        <v>723</v>
      </c>
      <c r="P118" s="194">
        <v>18</v>
      </c>
      <c r="Q118" s="194">
        <v>147</v>
      </c>
      <c r="R118" s="194">
        <v>0</v>
      </c>
      <c r="S118" s="193">
        <f t="shared" si="20"/>
        <v>165</v>
      </c>
      <c r="T118" s="193">
        <f t="shared" si="21"/>
        <v>39.799999999999997</v>
      </c>
      <c r="U118" s="193">
        <f ca="1">OFFSET('Expenditure Study'!$B$7,'Operations Support'!$C118,'Operations Support'!$B118)*$G118</f>
        <v>1886.52</v>
      </c>
      <c r="V118" s="199">
        <f ca="1">U118*'Expenditure Study'!$B$31</f>
        <v>111461.60224281601</v>
      </c>
      <c r="W118" s="199">
        <f ca="1">IF(A118=10298,1.51,1)*IF($B118&lt;3,$D118*'Expenditure Study'!$B$32*OFFSET('Expenditure Study'!$B$7,'Operations Support'!$C118,'Operations Support'!$B118),0)</f>
        <v>9.0060000000000002</v>
      </c>
      <c r="X118" s="200">
        <f ca="1">W118*'Expenditure Study'!$B$31</f>
        <v>532.10312628480006</v>
      </c>
      <c r="Y118" s="199">
        <f ca="1">U118*'Expenditure Study'!$B$31</f>
        <v>111461.60224281601</v>
      </c>
      <c r="Z118" s="200">
        <f ca="1">W118*'Expenditure Study'!$B$31</f>
        <v>532.10312628480006</v>
      </c>
      <c r="AA118" s="195">
        <f t="shared" ca="1" si="22"/>
        <v>111993.7053691008</v>
      </c>
      <c r="AB118" s="195">
        <f t="shared" ca="1" si="23"/>
        <v>111993.7053691008</v>
      </c>
      <c r="AD118" s="196">
        <f>IFERROR($G118/SUMIF($A:$A,$A118,$G:$G)*SUMIF(Summary!$A$166:$A$242,$A118,Summary!$P$166:$P$242),0)</f>
        <v>27110.841729227388</v>
      </c>
      <c r="AE118" s="197">
        <f t="shared" ca="1" si="24"/>
        <v>84882.863639873423</v>
      </c>
      <c r="AF118" s="196">
        <f>IFERROR(G118/SUMIF(A:A,A118,G:G)*SUMIF(Summary!$A$166:$A$242,'Operations Support'!A118,Summary!$Q$166:$Q$242),0)</f>
        <v>27128.90097880621</v>
      </c>
      <c r="AG118" s="196">
        <f t="shared" ca="1" si="25"/>
        <v>84864.804390294594</v>
      </c>
      <c r="AI118" s="196">
        <f>IFERROR($G118/SUMIF($A:$A,$A118,$G:$G)*SUMIF(Summary!$A$247:$A$283,$A118,Summary!$P$247:$P$283),0)</f>
        <v>4944.3409878971333</v>
      </c>
      <c r="AJ118" s="196">
        <f>IFERROR($G118/SUMIF($A:$A,$A118,$G:$G)*(SUMIF(Summary!$A$247:$A$283,$A118,Summary!$L$247:$L$283)+SUMIF(Summary!$A$297:$A$333,$A118,Summary!$L$297:$L$333))-AI118,0)</f>
        <v>18567.000376186144</v>
      </c>
      <c r="AK118" s="196">
        <f>IFERROR($G118/SUMIF($A:$A,$A118,$G:$G)*SUMIF(Summary!$A$247:$A$283,$A118,Summary!$Q$247:$Q$283),0)</f>
        <v>4947.6345443567616</v>
      </c>
      <c r="AL118" s="196">
        <f>IFERROR($G118/SUMIF($A:$A,$A118,$G:$G)*(SUMIF(Summary!$A$247:$A$283,$A118,Summary!$L$247:$L$283)+SUMIF(Summary!$A$297:$A$333,$A118,Summary!$L$297:$L$333))-AK118,0)</f>
        <v>18563.706819726514</v>
      </c>
      <c r="AM118" s="198"/>
      <c r="AN118" s="196">
        <f t="shared" ca="1" si="26"/>
        <v>103449.86401605957</v>
      </c>
      <c r="AO118" s="196">
        <f t="shared" ca="1" si="27"/>
        <v>103428.51121002111</v>
      </c>
    </row>
    <row r="119" spans="1:41">
      <c r="A119" s="189">
        <v>3541</v>
      </c>
      <c r="B119" s="190">
        <v>1</v>
      </c>
      <c r="C119" s="191" t="s">
        <v>229</v>
      </c>
      <c r="D119" s="192">
        <f t="shared" si="14"/>
        <v>0</v>
      </c>
      <c r="E119" s="192">
        <f t="shared" si="15"/>
        <v>0</v>
      </c>
      <c r="F119" s="192">
        <f t="shared" si="16"/>
        <v>0</v>
      </c>
      <c r="G119" s="193">
        <f t="shared" si="17"/>
        <v>0</v>
      </c>
      <c r="H119" s="194">
        <v>0</v>
      </c>
      <c r="I119" s="194">
        <v>0</v>
      </c>
      <c r="J119" s="194">
        <v>0</v>
      </c>
      <c r="K119" s="193">
        <f t="shared" si="18"/>
        <v>0</v>
      </c>
      <c r="L119" s="194">
        <v>0</v>
      </c>
      <c r="M119" s="194">
        <v>0</v>
      </c>
      <c r="N119" s="194">
        <v>0</v>
      </c>
      <c r="O119" s="193">
        <f t="shared" si="19"/>
        <v>0</v>
      </c>
      <c r="P119" s="194">
        <v>0</v>
      </c>
      <c r="Q119" s="194">
        <v>0</v>
      </c>
      <c r="R119" s="194">
        <v>0</v>
      </c>
      <c r="S119" s="193">
        <f t="shared" si="20"/>
        <v>0</v>
      </c>
      <c r="T119" s="193">
        <f t="shared" si="21"/>
        <v>0</v>
      </c>
      <c r="U119" s="193">
        <f ca="1">OFFSET('Expenditure Study'!$B$7,'Operations Support'!$C119,'Operations Support'!$B119)*$G119</f>
        <v>0</v>
      </c>
      <c r="V119" s="199">
        <f ca="1">U119*'Expenditure Study'!$B$31</f>
        <v>0</v>
      </c>
      <c r="W119" s="199">
        <f ca="1">IF(A119=10298,1.51,1)*IF($B119&lt;3,$D119*'Expenditure Study'!$B$32*OFFSET('Expenditure Study'!$B$7,'Operations Support'!$C119,'Operations Support'!$B119),0)</f>
        <v>0</v>
      </c>
      <c r="X119" s="200">
        <f ca="1">W119*'Expenditure Study'!$B$31</f>
        <v>0</v>
      </c>
      <c r="Y119" s="199">
        <f ca="1">U119*'Expenditure Study'!$B$31</f>
        <v>0</v>
      </c>
      <c r="Z119" s="200">
        <f ca="1">W119*'Expenditure Study'!$B$31</f>
        <v>0</v>
      </c>
      <c r="AA119" s="195">
        <f t="shared" ca="1" si="22"/>
        <v>0</v>
      </c>
      <c r="AB119" s="195">
        <f t="shared" ca="1" si="23"/>
        <v>0</v>
      </c>
      <c r="AD119" s="196">
        <f>IFERROR($G119/SUMIF($A:$A,$A119,$G:$G)*SUMIF(Summary!$A$166:$A$242,$A119,Summary!$P$166:$P$242),0)</f>
        <v>0</v>
      </c>
      <c r="AE119" s="197">
        <f t="shared" ca="1" si="24"/>
        <v>0</v>
      </c>
      <c r="AF119" s="196">
        <f>IFERROR(G119/SUMIF(A:A,A119,G:G)*SUMIF(Summary!$A$166:$A$242,'Operations Support'!A119,Summary!$Q$166:$Q$242),0)</f>
        <v>0</v>
      </c>
      <c r="AG119" s="196">
        <f t="shared" ca="1" si="25"/>
        <v>0</v>
      </c>
      <c r="AI119" s="196">
        <f>IFERROR($G119/SUMIF($A:$A,$A119,$G:$G)*SUMIF(Summary!$A$247:$A$283,$A119,Summary!$P$247:$P$283),0)</f>
        <v>0</v>
      </c>
      <c r="AJ119" s="196">
        <f>IFERROR($G119/SUMIF($A:$A,$A119,$G:$G)*(SUMIF(Summary!$A$247:$A$283,$A119,Summary!$L$247:$L$283)+SUMIF(Summary!$A$297:$A$333,$A119,Summary!$L$297:$L$333))-AI119,0)</f>
        <v>0</v>
      </c>
      <c r="AK119" s="196">
        <f>IFERROR($G119/SUMIF($A:$A,$A119,$G:$G)*SUMIF(Summary!$A$247:$A$283,$A119,Summary!$Q$247:$Q$283),0)</f>
        <v>0</v>
      </c>
      <c r="AL119" s="196">
        <f>IFERROR($G119/SUMIF($A:$A,$A119,$G:$G)*(SUMIF(Summary!$A$247:$A$283,$A119,Summary!$L$247:$L$283)+SUMIF(Summary!$A$297:$A$333,$A119,Summary!$L$297:$L$333))-AK119,0)</f>
        <v>0</v>
      </c>
      <c r="AM119" s="198"/>
      <c r="AN119" s="196">
        <f t="shared" ca="1" si="26"/>
        <v>0</v>
      </c>
      <c r="AO119" s="196">
        <f t="shared" ca="1" si="27"/>
        <v>0</v>
      </c>
    </row>
    <row r="120" spans="1:41">
      <c r="A120" s="189">
        <v>3541</v>
      </c>
      <c r="B120" s="190">
        <v>1</v>
      </c>
      <c r="C120" s="191" t="s">
        <v>230</v>
      </c>
      <c r="D120" s="192">
        <f t="shared" si="14"/>
        <v>0</v>
      </c>
      <c r="E120" s="192">
        <f t="shared" si="15"/>
        <v>0</v>
      </c>
      <c r="F120" s="192">
        <f t="shared" si="16"/>
        <v>0</v>
      </c>
      <c r="G120" s="193">
        <f t="shared" si="17"/>
        <v>0</v>
      </c>
      <c r="H120" s="194">
        <v>0</v>
      </c>
      <c r="I120" s="194">
        <v>0</v>
      </c>
      <c r="J120" s="194">
        <v>0</v>
      </c>
      <c r="K120" s="193">
        <f t="shared" si="18"/>
        <v>0</v>
      </c>
      <c r="L120" s="194">
        <v>0</v>
      </c>
      <c r="M120" s="194">
        <v>0</v>
      </c>
      <c r="N120" s="194">
        <v>0</v>
      </c>
      <c r="O120" s="193">
        <f t="shared" si="19"/>
        <v>0</v>
      </c>
      <c r="P120" s="194">
        <v>0</v>
      </c>
      <c r="Q120" s="194">
        <v>0</v>
      </c>
      <c r="R120" s="194">
        <v>0</v>
      </c>
      <c r="S120" s="193">
        <f t="shared" si="20"/>
        <v>0</v>
      </c>
      <c r="T120" s="193">
        <f t="shared" si="21"/>
        <v>0</v>
      </c>
      <c r="U120" s="193">
        <f ca="1">OFFSET('Expenditure Study'!$B$7,'Operations Support'!$C120,'Operations Support'!$B120)*$G120</f>
        <v>0</v>
      </c>
      <c r="V120" s="199">
        <f ca="1">U120*'Expenditure Study'!$B$31</f>
        <v>0</v>
      </c>
      <c r="W120" s="199">
        <f ca="1">IF(A120=10298,1.51,1)*IF($B120&lt;3,$D120*'Expenditure Study'!$B$32*OFFSET('Expenditure Study'!$B$7,'Operations Support'!$C120,'Operations Support'!$B120),0)</f>
        <v>0</v>
      </c>
      <c r="X120" s="200">
        <f ca="1">W120*'Expenditure Study'!$B$31</f>
        <v>0</v>
      </c>
      <c r="Y120" s="199">
        <f ca="1">U120*'Expenditure Study'!$B$31</f>
        <v>0</v>
      </c>
      <c r="Z120" s="200">
        <f ca="1">W120*'Expenditure Study'!$B$31</f>
        <v>0</v>
      </c>
      <c r="AA120" s="195">
        <f t="shared" ca="1" si="22"/>
        <v>0</v>
      </c>
      <c r="AB120" s="195">
        <f t="shared" ca="1" si="23"/>
        <v>0</v>
      </c>
      <c r="AD120" s="196">
        <f>IFERROR($G120/SUMIF($A:$A,$A120,$G:$G)*SUMIF(Summary!$A$166:$A$242,$A120,Summary!$P$166:$P$242),0)</f>
        <v>0</v>
      </c>
      <c r="AE120" s="197">
        <f t="shared" ca="1" si="24"/>
        <v>0</v>
      </c>
      <c r="AF120" s="196">
        <f>IFERROR(G120/SUMIF(A:A,A120,G:G)*SUMIF(Summary!$A$166:$A$242,'Operations Support'!A120,Summary!$Q$166:$Q$242),0)</f>
        <v>0</v>
      </c>
      <c r="AG120" s="196">
        <f t="shared" ca="1" si="25"/>
        <v>0</v>
      </c>
      <c r="AI120" s="196">
        <f>IFERROR($G120/SUMIF($A:$A,$A120,$G:$G)*SUMIF(Summary!$A$247:$A$283,$A120,Summary!$P$247:$P$283),0)</f>
        <v>0</v>
      </c>
      <c r="AJ120" s="196">
        <f>IFERROR($G120/SUMIF($A:$A,$A120,$G:$G)*(SUMIF(Summary!$A$247:$A$283,$A120,Summary!$L$247:$L$283)+SUMIF(Summary!$A$297:$A$333,$A120,Summary!$L$297:$L$333))-AI120,0)</f>
        <v>0</v>
      </c>
      <c r="AK120" s="196">
        <f>IFERROR($G120/SUMIF($A:$A,$A120,$G:$G)*SUMIF(Summary!$A$247:$A$283,$A120,Summary!$Q$247:$Q$283),0)</f>
        <v>0</v>
      </c>
      <c r="AL120" s="196">
        <f>IFERROR($G120/SUMIF($A:$A,$A120,$G:$G)*(SUMIF(Summary!$A$247:$A$283,$A120,Summary!$L$247:$L$283)+SUMIF(Summary!$A$297:$A$333,$A120,Summary!$L$297:$L$333))-AK120,0)</f>
        <v>0</v>
      </c>
      <c r="AM120" s="198"/>
      <c r="AN120" s="196">
        <f t="shared" ca="1" si="26"/>
        <v>0</v>
      </c>
      <c r="AO120" s="196">
        <f t="shared" ca="1" si="27"/>
        <v>0</v>
      </c>
    </row>
    <row r="121" spans="1:41">
      <c r="A121" s="189">
        <v>3541</v>
      </c>
      <c r="B121" s="190">
        <v>1</v>
      </c>
      <c r="C121" s="191" t="s">
        <v>231</v>
      </c>
      <c r="D121" s="192">
        <f t="shared" si="14"/>
        <v>0</v>
      </c>
      <c r="E121" s="192">
        <f t="shared" si="15"/>
        <v>0</v>
      </c>
      <c r="F121" s="192">
        <f t="shared" si="16"/>
        <v>0</v>
      </c>
      <c r="G121" s="193">
        <f t="shared" si="17"/>
        <v>0</v>
      </c>
      <c r="H121" s="194">
        <v>0</v>
      </c>
      <c r="I121" s="194">
        <v>0</v>
      </c>
      <c r="J121" s="194">
        <v>0</v>
      </c>
      <c r="K121" s="193">
        <f t="shared" si="18"/>
        <v>0</v>
      </c>
      <c r="L121" s="194">
        <v>0</v>
      </c>
      <c r="M121" s="194">
        <v>0</v>
      </c>
      <c r="N121" s="194">
        <v>0</v>
      </c>
      <c r="O121" s="193">
        <f t="shared" si="19"/>
        <v>0</v>
      </c>
      <c r="P121" s="194">
        <v>0</v>
      </c>
      <c r="Q121" s="194">
        <v>0</v>
      </c>
      <c r="R121" s="194">
        <v>0</v>
      </c>
      <c r="S121" s="193">
        <f t="shared" si="20"/>
        <v>0</v>
      </c>
      <c r="T121" s="193">
        <f t="shared" si="21"/>
        <v>0</v>
      </c>
      <c r="U121" s="193">
        <f ca="1">OFFSET('Expenditure Study'!$B$7,'Operations Support'!$C121,'Operations Support'!$B121)*$G121</f>
        <v>0</v>
      </c>
      <c r="V121" s="199">
        <f ca="1">U121*'Expenditure Study'!$B$31</f>
        <v>0</v>
      </c>
      <c r="W121" s="199">
        <f ca="1">IF(A121=10298,1.51,1)*IF($B121&lt;3,$D121*'Expenditure Study'!$B$32*OFFSET('Expenditure Study'!$B$7,'Operations Support'!$C121,'Operations Support'!$B121),0)</f>
        <v>0</v>
      </c>
      <c r="X121" s="200">
        <f ca="1">W121*'Expenditure Study'!$B$31</f>
        <v>0</v>
      </c>
      <c r="Y121" s="199">
        <f ca="1">U121*'Expenditure Study'!$B$31</f>
        <v>0</v>
      </c>
      <c r="Z121" s="200">
        <f ca="1">W121*'Expenditure Study'!$B$31</f>
        <v>0</v>
      </c>
      <c r="AA121" s="195">
        <f t="shared" ca="1" si="22"/>
        <v>0</v>
      </c>
      <c r="AB121" s="195">
        <f t="shared" ca="1" si="23"/>
        <v>0</v>
      </c>
      <c r="AD121" s="196">
        <f>IFERROR($G121/SUMIF($A:$A,$A121,$G:$G)*SUMIF(Summary!$A$166:$A$242,$A121,Summary!$P$166:$P$242),0)</f>
        <v>0</v>
      </c>
      <c r="AE121" s="197">
        <f t="shared" ca="1" si="24"/>
        <v>0</v>
      </c>
      <c r="AF121" s="196">
        <f>IFERROR(G121/SUMIF(A:A,A121,G:G)*SUMIF(Summary!$A$166:$A$242,'Operations Support'!A121,Summary!$Q$166:$Q$242),0)</f>
        <v>0</v>
      </c>
      <c r="AG121" s="196">
        <f t="shared" ca="1" si="25"/>
        <v>0</v>
      </c>
      <c r="AI121" s="196">
        <f>IFERROR($G121/SUMIF($A:$A,$A121,$G:$G)*SUMIF(Summary!$A$247:$A$283,$A121,Summary!$P$247:$P$283),0)</f>
        <v>0</v>
      </c>
      <c r="AJ121" s="196">
        <f>IFERROR($G121/SUMIF($A:$A,$A121,$G:$G)*(SUMIF(Summary!$A$247:$A$283,$A121,Summary!$L$247:$L$283)+SUMIF(Summary!$A$297:$A$333,$A121,Summary!$L$297:$L$333))-AI121,0)</f>
        <v>0</v>
      </c>
      <c r="AK121" s="196">
        <f>IFERROR($G121/SUMIF($A:$A,$A121,$G:$G)*SUMIF(Summary!$A$247:$A$283,$A121,Summary!$Q$247:$Q$283),0)</f>
        <v>0</v>
      </c>
      <c r="AL121" s="196">
        <f>IFERROR($G121/SUMIF($A:$A,$A121,$G:$G)*(SUMIF(Summary!$A$247:$A$283,$A121,Summary!$L$247:$L$283)+SUMIF(Summary!$A$297:$A$333,$A121,Summary!$L$297:$L$333))-AK121,0)</f>
        <v>0</v>
      </c>
      <c r="AM121" s="198"/>
      <c r="AN121" s="196">
        <f t="shared" ca="1" si="26"/>
        <v>0</v>
      </c>
      <c r="AO121" s="196">
        <f t="shared" ca="1" si="27"/>
        <v>0</v>
      </c>
    </row>
    <row r="122" spans="1:41">
      <c r="A122" s="189">
        <v>3541</v>
      </c>
      <c r="B122" s="190">
        <v>1</v>
      </c>
      <c r="C122" s="191" t="s">
        <v>232</v>
      </c>
      <c r="D122" s="192">
        <f t="shared" si="14"/>
        <v>0</v>
      </c>
      <c r="E122" s="192">
        <f t="shared" si="15"/>
        <v>0</v>
      </c>
      <c r="F122" s="192">
        <f t="shared" si="16"/>
        <v>0</v>
      </c>
      <c r="G122" s="193">
        <f t="shared" si="17"/>
        <v>0</v>
      </c>
      <c r="H122" s="194">
        <v>0</v>
      </c>
      <c r="I122" s="194">
        <v>0</v>
      </c>
      <c r="J122" s="194">
        <v>0</v>
      </c>
      <c r="K122" s="193">
        <f t="shared" si="18"/>
        <v>0</v>
      </c>
      <c r="L122" s="194">
        <v>0</v>
      </c>
      <c r="M122" s="194">
        <v>0</v>
      </c>
      <c r="N122" s="194">
        <v>0</v>
      </c>
      <c r="O122" s="193">
        <f t="shared" si="19"/>
        <v>0</v>
      </c>
      <c r="P122" s="194">
        <v>0</v>
      </c>
      <c r="Q122" s="194">
        <v>0</v>
      </c>
      <c r="R122" s="194">
        <v>0</v>
      </c>
      <c r="S122" s="193">
        <f t="shared" si="20"/>
        <v>0</v>
      </c>
      <c r="T122" s="193">
        <f t="shared" si="21"/>
        <v>0</v>
      </c>
      <c r="U122" s="193">
        <f ca="1">OFFSET('Expenditure Study'!$B$7,'Operations Support'!$C122,'Operations Support'!$B122)*$G122</f>
        <v>0</v>
      </c>
      <c r="V122" s="199">
        <f ca="1">U122*'Expenditure Study'!$B$31</f>
        <v>0</v>
      </c>
      <c r="W122" s="199">
        <f ca="1">IF(A122=10298,1.51,1)*IF($B122&lt;3,$D122*'Expenditure Study'!$B$32*OFFSET('Expenditure Study'!$B$7,'Operations Support'!$C122,'Operations Support'!$B122),0)</f>
        <v>0</v>
      </c>
      <c r="X122" s="200">
        <f ca="1">W122*'Expenditure Study'!$B$31</f>
        <v>0</v>
      </c>
      <c r="Y122" s="199">
        <f ca="1">U122*'Expenditure Study'!$B$31</f>
        <v>0</v>
      </c>
      <c r="Z122" s="200">
        <f ca="1">W122*'Expenditure Study'!$B$31</f>
        <v>0</v>
      </c>
      <c r="AA122" s="195">
        <f t="shared" ca="1" si="22"/>
        <v>0</v>
      </c>
      <c r="AB122" s="195">
        <f t="shared" ca="1" si="23"/>
        <v>0</v>
      </c>
      <c r="AD122" s="196">
        <f>IFERROR($G122/SUMIF($A:$A,$A122,$G:$G)*SUMIF(Summary!$A$166:$A$242,$A122,Summary!$P$166:$P$242),0)</f>
        <v>0</v>
      </c>
      <c r="AE122" s="197">
        <f t="shared" ca="1" si="24"/>
        <v>0</v>
      </c>
      <c r="AF122" s="196">
        <f>IFERROR(G122/SUMIF(A:A,A122,G:G)*SUMIF(Summary!$A$166:$A$242,'Operations Support'!A122,Summary!$Q$166:$Q$242),0)</f>
        <v>0</v>
      </c>
      <c r="AG122" s="196">
        <f t="shared" ca="1" si="25"/>
        <v>0</v>
      </c>
      <c r="AI122" s="196">
        <f>IFERROR($G122/SUMIF($A:$A,$A122,$G:$G)*SUMIF(Summary!$A$247:$A$283,$A122,Summary!$P$247:$P$283),0)</f>
        <v>0</v>
      </c>
      <c r="AJ122" s="196">
        <f>IFERROR($G122/SUMIF($A:$A,$A122,$G:$G)*(SUMIF(Summary!$A$247:$A$283,$A122,Summary!$L$247:$L$283)+SUMIF(Summary!$A$297:$A$333,$A122,Summary!$L$297:$L$333))-AI122,0)</f>
        <v>0</v>
      </c>
      <c r="AK122" s="196">
        <f>IFERROR($G122/SUMIF($A:$A,$A122,$G:$G)*SUMIF(Summary!$A$247:$A$283,$A122,Summary!$Q$247:$Q$283),0)</f>
        <v>0</v>
      </c>
      <c r="AL122" s="196">
        <f>IFERROR($G122/SUMIF($A:$A,$A122,$G:$G)*(SUMIF(Summary!$A$247:$A$283,$A122,Summary!$L$247:$L$283)+SUMIF(Summary!$A$297:$A$333,$A122,Summary!$L$297:$L$333))-AK122,0)</f>
        <v>0</v>
      </c>
      <c r="AM122" s="198"/>
      <c r="AN122" s="196">
        <f t="shared" ca="1" si="26"/>
        <v>0</v>
      </c>
      <c r="AO122" s="196">
        <f t="shared" ca="1" si="27"/>
        <v>0</v>
      </c>
    </row>
    <row r="123" spans="1:41">
      <c r="A123" s="189">
        <v>3541</v>
      </c>
      <c r="B123" s="190">
        <v>1</v>
      </c>
      <c r="C123" s="191" t="s">
        <v>233</v>
      </c>
      <c r="D123" s="192">
        <f t="shared" si="14"/>
        <v>849</v>
      </c>
      <c r="E123" s="192">
        <f t="shared" si="15"/>
        <v>4134</v>
      </c>
      <c r="F123" s="192">
        <f t="shared" si="16"/>
        <v>0</v>
      </c>
      <c r="G123" s="193">
        <f t="shared" si="17"/>
        <v>4983</v>
      </c>
      <c r="H123" s="194">
        <v>384</v>
      </c>
      <c r="I123" s="194">
        <v>1901</v>
      </c>
      <c r="J123" s="194">
        <v>0</v>
      </c>
      <c r="K123" s="193">
        <f t="shared" si="18"/>
        <v>2285</v>
      </c>
      <c r="L123" s="194">
        <v>384</v>
      </c>
      <c r="M123" s="194">
        <v>1590</v>
      </c>
      <c r="N123" s="194">
        <v>0</v>
      </c>
      <c r="O123" s="193">
        <f t="shared" si="19"/>
        <v>1974</v>
      </c>
      <c r="P123" s="194">
        <v>81</v>
      </c>
      <c r="Q123" s="194">
        <v>643</v>
      </c>
      <c r="R123" s="194">
        <v>0</v>
      </c>
      <c r="S123" s="193">
        <f t="shared" si="20"/>
        <v>724</v>
      </c>
      <c r="T123" s="193">
        <f t="shared" si="21"/>
        <v>166.1</v>
      </c>
      <c r="U123" s="193">
        <f ca="1">OFFSET('Expenditure Study'!$B$7,'Operations Support'!$C123,'Operations Support'!$B123)*$G123</f>
        <v>4783.6799999999994</v>
      </c>
      <c r="V123" s="199">
        <f ca="1">U123*'Expenditure Study'!$B$31</f>
        <v>282635.03032934398</v>
      </c>
      <c r="W123" s="199">
        <f ca="1">IF(A123=10298,1.51,1)*IF($B123&lt;3,$D123*'Expenditure Study'!$B$32*OFFSET('Expenditure Study'!$B$7,'Operations Support'!$C123,'Operations Support'!$B123),0)</f>
        <v>81.504000000000005</v>
      </c>
      <c r="X123" s="200">
        <f ca="1">W123*'Expenditure Study'!$B$31</f>
        <v>4815.5155679232003</v>
      </c>
      <c r="Y123" s="199">
        <f ca="1">U123*'Expenditure Study'!$B$31</f>
        <v>282635.03032934398</v>
      </c>
      <c r="Z123" s="200">
        <f ca="1">W123*'Expenditure Study'!$B$31</f>
        <v>4815.5155679232003</v>
      </c>
      <c r="AA123" s="195">
        <f t="shared" ca="1" si="22"/>
        <v>287450.54589726718</v>
      </c>
      <c r="AB123" s="195">
        <f t="shared" ca="1" si="23"/>
        <v>287450.54589726718</v>
      </c>
      <c r="AD123" s="196">
        <f>IFERROR($G123/SUMIF($A:$A,$A123,$G:$G)*SUMIF(Summary!$A$166:$A$242,$A123,Summary!$P$166:$P$242),0)</f>
        <v>113143.48771921279</v>
      </c>
      <c r="AE123" s="197">
        <f t="shared" ca="1" si="24"/>
        <v>174307.0581780544</v>
      </c>
      <c r="AF123" s="196">
        <f>IFERROR(G123/SUMIF(A:A,A123,G:G)*SUMIF(Summary!$A$166:$A$242,'Operations Support'!A123,Summary!$Q$166:$Q$242),0)</f>
        <v>113218.85559245507</v>
      </c>
      <c r="AG123" s="196">
        <f t="shared" ca="1" si="25"/>
        <v>174231.6903048121</v>
      </c>
      <c r="AI123" s="196">
        <f>IFERROR($G123/SUMIF($A:$A,$A123,$G:$G)*SUMIF(Summary!$A$247:$A$283,$A123,Summary!$P$247:$P$283),0)</f>
        <v>20634.548695721456</v>
      </c>
      <c r="AJ123" s="196">
        <f>IFERROR($G123/SUMIF($A:$A,$A123,$G:$G)*(SUMIF(Summary!$A$247:$A$283,$A123,Summary!$L$247:$L$283)+SUMIF(Summary!$A$297:$A$333,$A123,Summary!$L$297:$L$333))-AI123,0)</f>
        <v>77486.903580013022</v>
      </c>
      <c r="AK123" s="196">
        <f>IFERROR($G123/SUMIF($A:$A,$A123,$G:$G)*SUMIF(Summary!$A$247:$A$283,$A123,Summary!$Q$247:$Q$283),0)</f>
        <v>20648.293915016533</v>
      </c>
      <c r="AL123" s="196">
        <f>IFERROR($G123/SUMIF($A:$A,$A123,$G:$G)*(SUMIF(Summary!$A$247:$A$283,$A123,Summary!$L$247:$L$283)+SUMIF(Summary!$A$297:$A$333,$A123,Summary!$L$297:$L$333))-AK123,0)</f>
        <v>77473.158360717949</v>
      </c>
      <c r="AM123" s="198"/>
      <c r="AN123" s="196">
        <f t="shared" ca="1" si="26"/>
        <v>251793.96175806742</v>
      </c>
      <c r="AO123" s="196">
        <f t="shared" ca="1" si="27"/>
        <v>251704.84866553004</v>
      </c>
    </row>
    <row r="124" spans="1:41">
      <c r="A124" s="189">
        <v>3541</v>
      </c>
      <c r="B124" s="190">
        <v>1</v>
      </c>
      <c r="C124" s="191" t="s">
        <v>234</v>
      </c>
      <c r="D124" s="192">
        <f t="shared" si="14"/>
        <v>0</v>
      </c>
      <c r="E124" s="192">
        <f t="shared" si="15"/>
        <v>0</v>
      </c>
      <c r="F124" s="192">
        <f t="shared" si="16"/>
        <v>0</v>
      </c>
      <c r="G124" s="193">
        <f t="shared" si="17"/>
        <v>0</v>
      </c>
      <c r="H124" s="194">
        <v>0</v>
      </c>
      <c r="I124" s="194">
        <v>0</v>
      </c>
      <c r="J124" s="194">
        <v>0</v>
      </c>
      <c r="K124" s="193">
        <f t="shared" si="18"/>
        <v>0</v>
      </c>
      <c r="L124" s="194">
        <v>0</v>
      </c>
      <c r="M124" s="194">
        <v>0</v>
      </c>
      <c r="N124" s="194">
        <v>0</v>
      </c>
      <c r="O124" s="193">
        <f t="shared" si="19"/>
        <v>0</v>
      </c>
      <c r="P124" s="194">
        <v>0</v>
      </c>
      <c r="Q124" s="194">
        <v>0</v>
      </c>
      <c r="R124" s="194">
        <v>0</v>
      </c>
      <c r="S124" s="193">
        <f t="shared" si="20"/>
        <v>0</v>
      </c>
      <c r="T124" s="193">
        <f t="shared" si="21"/>
        <v>0</v>
      </c>
      <c r="U124" s="193">
        <f ca="1">OFFSET('Expenditure Study'!$B$7,'Operations Support'!$C124,'Operations Support'!$B124)*$G124</f>
        <v>0</v>
      </c>
      <c r="V124" s="199">
        <f ca="1">U124*'Expenditure Study'!$B$31</f>
        <v>0</v>
      </c>
      <c r="W124" s="199">
        <f ca="1">IF(A124=10298,1.51,1)*IF($B124&lt;3,$D124*'Expenditure Study'!$B$32*OFFSET('Expenditure Study'!$B$7,'Operations Support'!$C124,'Operations Support'!$B124),0)</f>
        <v>0</v>
      </c>
      <c r="X124" s="200">
        <f ca="1">W124*'Expenditure Study'!$B$31</f>
        <v>0</v>
      </c>
      <c r="Y124" s="199">
        <f ca="1">U124*'Expenditure Study'!$B$31</f>
        <v>0</v>
      </c>
      <c r="Z124" s="200">
        <f ca="1">W124*'Expenditure Study'!$B$31</f>
        <v>0</v>
      </c>
      <c r="AA124" s="195">
        <f t="shared" ca="1" si="22"/>
        <v>0</v>
      </c>
      <c r="AB124" s="195">
        <f t="shared" ca="1" si="23"/>
        <v>0</v>
      </c>
      <c r="AD124" s="196">
        <f>IFERROR($G124/SUMIF($A:$A,$A124,$G:$G)*SUMIF(Summary!$A$166:$A$242,$A124,Summary!$P$166:$P$242),0)</f>
        <v>0</v>
      </c>
      <c r="AE124" s="197">
        <f t="shared" ca="1" si="24"/>
        <v>0</v>
      </c>
      <c r="AF124" s="196">
        <f>IFERROR(G124/SUMIF(A:A,A124,G:G)*SUMIF(Summary!$A$166:$A$242,'Operations Support'!A124,Summary!$Q$166:$Q$242),0)</f>
        <v>0</v>
      </c>
      <c r="AG124" s="196">
        <f t="shared" ca="1" si="25"/>
        <v>0</v>
      </c>
      <c r="AI124" s="196">
        <f>IFERROR($G124/SUMIF($A:$A,$A124,$G:$G)*SUMIF(Summary!$A$247:$A$283,$A124,Summary!$P$247:$P$283),0)</f>
        <v>0</v>
      </c>
      <c r="AJ124" s="196">
        <f>IFERROR($G124/SUMIF($A:$A,$A124,$G:$G)*(SUMIF(Summary!$A$247:$A$283,$A124,Summary!$L$247:$L$283)+SUMIF(Summary!$A$297:$A$333,$A124,Summary!$L$297:$L$333))-AI124,0)</f>
        <v>0</v>
      </c>
      <c r="AK124" s="196">
        <f>IFERROR($G124/SUMIF($A:$A,$A124,$G:$G)*SUMIF(Summary!$A$247:$A$283,$A124,Summary!$Q$247:$Q$283),0)</f>
        <v>0</v>
      </c>
      <c r="AL124" s="196">
        <f>IFERROR($G124/SUMIF($A:$A,$A124,$G:$G)*(SUMIF(Summary!$A$247:$A$283,$A124,Summary!$L$247:$L$283)+SUMIF(Summary!$A$297:$A$333,$A124,Summary!$L$297:$L$333))-AK124,0)</f>
        <v>0</v>
      </c>
      <c r="AM124" s="198"/>
      <c r="AN124" s="196">
        <f t="shared" ca="1" si="26"/>
        <v>0</v>
      </c>
      <c r="AO124" s="196">
        <f t="shared" ca="1" si="27"/>
        <v>0</v>
      </c>
    </row>
    <row r="125" spans="1:41">
      <c r="A125" s="189">
        <v>3541</v>
      </c>
      <c r="B125" s="190">
        <v>1</v>
      </c>
      <c r="C125" s="191" t="s">
        <v>235</v>
      </c>
      <c r="D125" s="192">
        <f t="shared" si="14"/>
        <v>2476.5</v>
      </c>
      <c r="E125" s="192">
        <f t="shared" si="15"/>
        <v>4345.5</v>
      </c>
      <c r="F125" s="192">
        <f t="shared" si="16"/>
        <v>0</v>
      </c>
      <c r="G125" s="193">
        <f t="shared" si="17"/>
        <v>6822</v>
      </c>
      <c r="H125" s="194">
        <v>1531.5</v>
      </c>
      <c r="I125" s="194">
        <v>1615.5</v>
      </c>
      <c r="J125" s="194">
        <v>0</v>
      </c>
      <c r="K125" s="193">
        <f t="shared" si="18"/>
        <v>3147</v>
      </c>
      <c r="L125" s="194">
        <v>579</v>
      </c>
      <c r="M125" s="194">
        <v>2370</v>
      </c>
      <c r="N125" s="194">
        <v>0</v>
      </c>
      <c r="O125" s="193">
        <f t="shared" si="19"/>
        <v>2949</v>
      </c>
      <c r="P125" s="194">
        <v>366</v>
      </c>
      <c r="Q125" s="194">
        <v>360</v>
      </c>
      <c r="R125" s="194">
        <v>0</v>
      </c>
      <c r="S125" s="193">
        <f t="shared" si="20"/>
        <v>726</v>
      </c>
      <c r="T125" s="193">
        <f t="shared" si="21"/>
        <v>227.4</v>
      </c>
      <c r="U125" s="193">
        <f ca="1">OFFSET('Expenditure Study'!$B$7,'Operations Support'!$C125,'Operations Support'!$B125)*$G125</f>
        <v>7504.2000000000007</v>
      </c>
      <c r="V125" s="199">
        <f ca="1">U125*'Expenditure Study'!$B$31</f>
        <v>443372.00535936008</v>
      </c>
      <c r="W125" s="199">
        <f ca="1">IF(A125=10298,1.51,1)*IF($B125&lt;3,$D125*'Expenditure Study'!$B$32*OFFSET('Expenditure Study'!$B$7,'Operations Support'!$C125,'Operations Support'!$B125),0)</f>
        <v>272.41500000000002</v>
      </c>
      <c r="X125" s="200">
        <f ca="1">W125*'Expenditure Study'!$B$31</f>
        <v>16095.144697632002</v>
      </c>
      <c r="Y125" s="199">
        <f ca="1">U125*'Expenditure Study'!$B$31</f>
        <v>443372.00535936008</v>
      </c>
      <c r="Z125" s="200">
        <f ca="1">W125*'Expenditure Study'!$B$31</f>
        <v>16095.144697632002</v>
      </c>
      <c r="AA125" s="195">
        <f t="shared" ca="1" si="22"/>
        <v>459467.15005699208</v>
      </c>
      <c r="AB125" s="195">
        <f t="shared" ca="1" si="23"/>
        <v>459467.15005699208</v>
      </c>
      <c r="AD125" s="196">
        <f>IFERROR($G125/SUMIF($A:$A,$A125,$G:$G)*SUMIF(Summary!$A$166:$A$242,$A125,Summary!$P$166:$P$242),0)</f>
        <v>154899.6333976459</v>
      </c>
      <c r="AE125" s="197">
        <f t="shared" ca="1" si="24"/>
        <v>304567.51665934618</v>
      </c>
      <c r="AF125" s="196">
        <f>IFERROR(G125/SUMIF(A:A,A125,G:G)*SUMIF(Summary!$A$166:$A$242,'Operations Support'!A125,Summary!$Q$166:$Q$242),0)</f>
        <v>155002.81614523949</v>
      </c>
      <c r="AG125" s="196">
        <f t="shared" ca="1" si="25"/>
        <v>304464.33391175256</v>
      </c>
      <c r="AI125" s="196">
        <f>IFERROR($G125/SUMIF($A:$A,$A125,$G:$G)*SUMIF(Summary!$A$247:$A$283,$A125,Summary!$P$247:$P$283),0)</f>
        <v>28249.827654467539</v>
      </c>
      <c r="AJ125" s="196">
        <f>IFERROR($G125/SUMIF($A:$A,$A125,$G:$G)*(SUMIF(Summary!$A$247:$A$283,$A125,Summary!$L$247:$L$283)+SUMIF(Summary!$A$297:$A$333,$A125,Summary!$L$297:$L$333))-AI125,0)</f>
        <v>106083.8162197168</v>
      </c>
      <c r="AK125" s="196">
        <f>IFERROR($G125/SUMIF($A:$A,$A125,$G:$G)*SUMIF(Summary!$A$247:$A$283,$A125,Summary!$Q$247:$Q$283),0)</f>
        <v>28268.645612731845</v>
      </c>
      <c r="AL125" s="196">
        <f>IFERROR($G125/SUMIF($A:$A,$A125,$G:$G)*(SUMIF(Summary!$A$247:$A$283,$A125,Summary!$L$247:$L$283)+SUMIF(Summary!$A$297:$A$333,$A125,Summary!$L$297:$L$333))-AK125,0)</f>
        <v>106064.99826145251</v>
      </c>
      <c r="AM125" s="198"/>
      <c r="AN125" s="196">
        <f t="shared" ca="1" si="26"/>
        <v>410651.33287906297</v>
      </c>
      <c r="AO125" s="196">
        <f t="shared" ca="1" si="27"/>
        <v>410529.3321732051</v>
      </c>
    </row>
    <row r="126" spans="1:41">
      <c r="A126" s="189">
        <v>3541</v>
      </c>
      <c r="B126" s="190">
        <v>1</v>
      </c>
      <c r="C126" s="191" t="s">
        <v>236</v>
      </c>
      <c r="D126" s="192">
        <f t="shared" si="14"/>
        <v>0</v>
      </c>
      <c r="E126" s="192">
        <f t="shared" si="15"/>
        <v>0</v>
      </c>
      <c r="F126" s="192">
        <f t="shared" si="16"/>
        <v>0</v>
      </c>
      <c r="G126" s="193">
        <f t="shared" si="17"/>
        <v>0</v>
      </c>
      <c r="H126" s="194">
        <v>0</v>
      </c>
      <c r="I126" s="194">
        <v>0</v>
      </c>
      <c r="J126" s="194">
        <v>0</v>
      </c>
      <c r="K126" s="193">
        <f t="shared" si="18"/>
        <v>0</v>
      </c>
      <c r="L126" s="194">
        <v>0</v>
      </c>
      <c r="M126" s="194">
        <v>0</v>
      </c>
      <c r="N126" s="194">
        <v>0</v>
      </c>
      <c r="O126" s="193">
        <f t="shared" si="19"/>
        <v>0</v>
      </c>
      <c r="P126" s="194">
        <v>0</v>
      </c>
      <c r="Q126" s="194">
        <v>0</v>
      </c>
      <c r="R126" s="194">
        <v>0</v>
      </c>
      <c r="S126" s="193">
        <f t="shared" si="20"/>
        <v>0</v>
      </c>
      <c r="T126" s="193">
        <f t="shared" si="21"/>
        <v>0</v>
      </c>
      <c r="U126" s="193">
        <f ca="1">OFFSET('Expenditure Study'!$B$7,'Operations Support'!$C126,'Operations Support'!$B126)*$G126</f>
        <v>0</v>
      </c>
      <c r="V126" s="199">
        <f ca="1">U126*'Expenditure Study'!$B$31</f>
        <v>0</v>
      </c>
      <c r="W126" s="199">
        <f ca="1">IF(A126=10298,1.51,1)*IF($B126&lt;3,$D126*'Expenditure Study'!$B$32*OFFSET('Expenditure Study'!$B$7,'Operations Support'!$C126,'Operations Support'!$B126),0)</f>
        <v>0</v>
      </c>
      <c r="X126" s="200">
        <f ca="1">W126*'Expenditure Study'!$B$31</f>
        <v>0</v>
      </c>
      <c r="Y126" s="199">
        <f ca="1">U126*'Expenditure Study'!$B$31</f>
        <v>0</v>
      </c>
      <c r="Z126" s="200">
        <f ca="1">W126*'Expenditure Study'!$B$31</f>
        <v>0</v>
      </c>
      <c r="AA126" s="195">
        <f t="shared" ca="1" si="22"/>
        <v>0</v>
      </c>
      <c r="AB126" s="195">
        <f t="shared" ca="1" si="23"/>
        <v>0</v>
      </c>
      <c r="AD126" s="196">
        <f>IFERROR($G126/SUMIF($A:$A,$A126,$G:$G)*SUMIF(Summary!$A$166:$A$242,$A126,Summary!$P$166:$P$242),0)</f>
        <v>0</v>
      </c>
      <c r="AE126" s="197">
        <f t="shared" ca="1" si="24"/>
        <v>0</v>
      </c>
      <c r="AF126" s="196">
        <f>IFERROR(G126/SUMIF(A:A,A126,G:G)*SUMIF(Summary!$A$166:$A$242,'Operations Support'!A126,Summary!$Q$166:$Q$242),0)</f>
        <v>0</v>
      </c>
      <c r="AG126" s="196">
        <f t="shared" ca="1" si="25"/>
        <v>0</v>
      </c>
      <c r="AI126" s="196">
        <f>IFERROR($G126/SUMIF($A:$A,$A126,$G:$G)*SUMIF(Summary!$A$247:$A$283,$A126,Summary!$P$247:$P$283),0)</f>
        <v>0</v>
      </c>
      <c r="AJ126" s="196">
        <f>IFERROR($G126/SUMIF($A:$A,$A126,$G:$G)*(SUMIF(Summary!$A$247:$A$283,$A126,Summary!$L$247:$L$283)+SUMIF(Summary!$A$297:$A$333,$A126,Summary!$L$297:$L$333))-AI126,0)</f>
        <v>0</v>
      </c>
      <c r="AK126" s="196">
        <f>IFERROR($G126/SUMIF($A:$A,$A126,$G:$G)*SUMIF(Summary!$A$247:$A$283,$A126,Summary!$Q$247:$Q$283),0)</f>
        <v>0</v>
      </c>
      <c r="AL126" s="196">
        <f>IFERROR($G126/SUMIF($A:$A,$A126,$G:$G)*(SUMIF(Summary!$A$247:$A$283,$A126,Summary!$L$247:$L$283)+SUMIF(Summary!$A$297:$A$333,$A126,Summary!$L$297:$L$333))-AK126,0)</f>
        <v>0</v>
      </c>
      <c r="AM126" s="198"/>
      <c r="AN126" s="196">
        <f t="shared" ca="1" si="26"/>
        <v>0</v>
      </c>
      <c r="AO126" s="196">
        <f t="shared" ca="1" si="27"/>
        <v>0</v>
      </c>
    </row>
    <row r="127" spans="1:41">
      <c r="A127" s="189">
        <v>3541</v>
      </c>
      <c r="B127" s="190">
        <v>1</v>
      </c>
      <c r="C127" s="191" t="s">
        <v>237</v>
      </c>
      <c r="D127" s="192">
        <f t="shared" si="14"/>
        <v>9</v>
      </c>
      <c r="E127" s="192">
        <f t="shared" si="15"/>
        <v>0</v>
      </c>
      <c r="F127" s="192">
        <f t="shared" si="16"/>
        <v>0</v>
      </c>
      <c r="G127" s="193">
        <f t="shared" si="17"/>
        <v>9</v>
      </c>
      <c r="H127" s="194">
        <v>9</v>
      </c>
      <c r="I127" s="194">
        <v>0</v>
      </c>
      <c r="J127" s="194">
        <v>0</v>
      </c>
      <c r="K127" s="193">
        <f t="shared" si="18"/>
        <v>9</v>
      </c>
      <c r="L127" s="194">
        <v>0</v>
      </c>
      <c r="M127" s="194">
        <v>0</v>
      </c>
      <c r="N127" s="194">
        <v>0</v>
      </c>
      <c r="O127" s="193">
        <f t="shared" si="19"/>
        <v>0</v>
      </c>
      <c r="P127" s="194">
        <v>0</v>
      </c>
      <c r="Q127" s="194">
        <v>0</v>
      </c>
      <c r="R127" s="194">
        <v>0</v>
      </c>
      <c r="S127" s="193">
        <f t="shared" si="20"/>
        <v>0</v>
      </c>
      <c r="T127" s="193">
        <f t="shared" si="21"/>
        <v>0.3</v>
      </c>
      <c r="U127" s="193">
        <f ca="1">OFFSET('Expenditure Study'!$B$7,'Operations Support'!$C127,'Operations Support'!$B127)*$G127</f>
        <v>17.73</v>
      </c>
      <c r="V127" s="199">
        <f ca="1">U127*'Expenditure Study'!$B$31</f>
        <v>1047.544795584</v>
      </c>
      <c r="W127" s="199">
        <f ca="1">IF(A127=10298,1.51,1)*IF($B127&lt;3,$D127*'Expenditure Study'!$B$32*OFFSET('Expenditure Study'!$B$7,'Operations Support'!$C127,'Operations Support'!$B127),0)</f>
        <v>1.7729999999999999</v>
      </c>
      <c r="X127" s="200">
        <f ca="1">W127*'Expenditure Study'!$B$31</f>
        <v>104.75447955839999</v>
      </c>
      <c r="Y127" s="199">
        <f ca="1">U127*'Expenditure Study'!$B$31</f>
        <v>1047.544795584</v>
      </c>
      <c r="Z127" s="200">
        <f ca="1">W127*'Expenditure Study'!$B$31</f>
        <v>104.75447955839999</v>
      </c>
      <c r="AA127" s="195">
        <f t="shared" ca="1" si="22"/>
        <v>1152.2992751423999</v>
      </c>
      <c r="AB127" s="195">
        <f t="shared" ca="1" si="23"/>
        <v>1152.2992751423999</v>
      </c>
      <c r="AD127" s="196">
        <f>IFERROR($G127/SUMIF($A:$A,$A127,$G:$G)*SUMIF(Summary!$A$166:$A$242,$A127,Summary!$P$166:$P$242),0)</f>
        <v>204.35307836101043</v>
      </c>
      <c r="AE127" s="197">
        <f t="shared" ca="1" si="24"/>
        <v>947.94619678138952</v>
      </c>
      <c r="AF127" s="196">
        <f>IFERROR(G127/SUMIF(A:A,A127,G:G)*SUMIF(Summary!$A$166:$A$242,'Operations Support'!A127,Summary!$Q$166:$Q$242),0)</f>
        <v>204.48920335783575</v>
      </c>
      <c r="AG127" s="196">
        <f t="shared" ca="1" si="25"/>
        <v>947.81007178456412</v>
      </c>
      <c r="AI127" s="196">
        <f>IFERROR($G127/SUMIF($A:$A,$A127,$G:$G)*SUMIF(Summary!$A$247:$A$283,$A127,Summary!$P$247:$P$283),0)</f>
        <v>37.268901918822614</v>
      </c>
      <c r="AJ127" s="196">
        <f>IFERROR($G127/SUMIF($A:$A,$A127,$G:$G)*(SUMIF(Summary!$A$247:$A$283,$A127,Summary!$L$247:$L$283)+SUMIF(Summary!$A$297:$A$333,$A127,Summary!$L$297:$L$333))-AI127,0)</f>
        <v>139.9522641421066</v>
      </c>
      <c r="AK127" s="196">
        <f>IFERROR($G127/SUMIF($A:$A,$A127,$G:$G)*SUMIF(Summary!$A$247:$A$283,$A127,Summary!$Q$247:$Q$283),0)</f>
        <v>37.293727721282117</v>
      </c>
      <c r="AL127" s="196">
        <f>IFERROR($G127/SUMIF($A:$A,$A127,$G:$G)*(SUMIF(Summary!$A$247:$A$283,$A127,Summary!$L$247:$L$283)+SUMIF(Summary!$A$297:$A$333,$A127,Summary!$L$297:$L$333))-AK127,0)</f>
        <v>139.9274383396471</v>
      </c>
      <c r="AM127" s="198"/>
      <c r="AN127" s="196">
        <f t="shared" ca="1" si="26"/>
        <v>1087.898460923496</v>
      </c>
      <c r="AO127" s="196">
        <f t="shared" ca="1" si="27"/>
        <v>1087.7375101242112</v>
      </c>
    </row>
    <row r="128" spans="1:41">
      <c r="A128" s="189">
        <v>3541</v>
      </c>
      <c r="B128" s="190">
        <v>1</v>
      </c>
      <c r="C128" s="191" t="s">
        <v>238</v>
      </c>
      <c r="D128" s="192">
        <f t="shared" si="14"/>
        <v>57</v>
      </c>
      <c r="E128" s="192">
        <f t="shared" si="15"/>
        <v>2604</v>
      </c>
      <c r="F128" s="192">
        <f t="shared" si="16"/>
        <v>0</v>
      </c>
      <c r="G128" s="193">
        <f t="shared" si="17"/>
        <v>2661</v>
      </c>
      <c r="H128" s="194">
        <v>36</v>
      </c>
      <c r="I128" s="194">
        <v>1267</v>
      </c>
      <c r="J128" s="194">
        <v>0</v>
      </c>
      <c r="K128" s="193">
        <f t="shared" si="18"/>
        <v>1303</v>
      </c>
      <c r="L128" s="194">
        <v>6</v>
      </c>
      <c r="M128" s="194">
        <v>1157</v>
      </c>
      <c r="N128" s="194">
        <v>0</v>
      </c>
      <c r="O128" s="193">
        <f t="shared" si="19"/>
        <v>1163</v>
      </c>
      <c r="P128" s="194">
        <v>15</v>
      </c>
      <c r="Q128" s="194">
        <v>180</v>
      </c>
      <c r="R128" s="194">
        <v>0</v>
      </c>
      <c r="S128" s="193">
        <f t="shared" si="20"/>
        <v>195</v>
      </c>
      <c r="T128" s="193">
        <f t="shared" si="21"/>
        <v>88.7</v>
      </c>
      <c r="U128" s="193">
        <f ca="1">OFFSET('Expenditure Study'!$B$7,'Operations Support'!$C128,'Operations Support'!$B128)*$G128</f>
        <v>4736.58</v>
      </c>
      <c r="V128" s="199">
        <f ca="1">U128*'Expenditure Study'!$B$31</f>
        <v>279852.21251366398</v>
      </c>
      <c r="W128" s="199">
        <f ca="1">IF(A128=10298,1.51,1)*IF($B128&lt;3,$D128*'Expenditure Study'!$B$32*OFFSET('Expenditure Study'!$B$7,'Operations Support'!$C128,'Operations Support'!$B128),0)</f>
        <v>10.146000000000001</v>
      </c>
      <c r="X128" s="200">
        <f ca="1">W128*'Expenditure Study'!$B$31</f>
        <v>599.45795239680001</v>
      </c>
      <c r="Y128" s="199">
        <f ca="1">U128*'Expenditure Study'!$B$31</f>
        <v>279852.21251366398</v>
      </c>
      <c r="Z128" s="200">
        <f ca="1">W128*'Expenditure Study'!$B$31</f>
        <v>599.45795239680001</v>
      </c>
      <c r="AA128" s="195">
        <f t="shared" ca="1" si="22"/>
        <v>280451.67046606081</v>
      </c>
      <c r="AB128" s="195">
        <f t="shared" ca="1" si="23"/>
        <v>280451.67046606081</v>
      </c>
      <c r="AD128" s="196">
        <f>IFERROR($G128/SUMIF($A:$A,$A128,$G:$G)*SUMIF(Summary!$A$166:$A$242,$A128,Summary!$P$166:$P$242),0)</f>
        <v>60420.393502072089</v>
      </c>
      <c r="AE128" s="197">
        <f t="shared" ca="1" si="24"/>
        <v>220031.27696398873</v>
      </c>
      <c r="AF128" s="196">
        <f>IFERROR(G128/SUMIF(A:A,A128,G:G)*SUMIF(Summary!$A$166:$A$242,'Operations Support'!A128,Summary!$Q$166:$Q$242),0)</f>
        <v>60460.641126133443</v>
      </c>
      <c r="AG128" s="196">
        <f t="shared" ca="1" si="25"/>
        <v>219991.02933992737</v>
      </c>
      <c r="AI128" s="196">
        <f>IFERROR($G128/SUMIF($A:$A,$A128,$G:$G)*SUMIF(Summary!$A$247:$A$283,$A128,Summary!$P$247:$P$283),0)</f>
        <v>11019.172000665219</v>
      </c>
      <c r="AJ128" s="196">
        <f>IFERROR($G128/SUMIF($A:$A,$A128,$G:$G)*(SUMIF(Summary!$A$247:$A$283,$A128,Summary!$L$247:$L$283)+SUMIF(Summary!$A$297:$A$333,$A128,Summary!$L$297:$L$333))-AI128,0)</f>
        <v>41379.219431349527</v>
      </c>
      <c r="AK128" s="196">
        <f>IFERROR($G128/SUMIF($A:$A,$A128,$G:$G)*SUMIF(Summary!$A$247:$A$283,$A128,Summary!$Q$247:$Q$283),0)</f>
        <v>11026.512162925746</v>
      </c>
      <c r="AL128" s="196">
        <f>IFERROR($G128/SUMIF($A:$A,$A128,$G:$G)*(SUMIF(Summary!$A$247:$A$283,$A128,Summary!$L$247:$L$283)+SUMIF(Summary!$A$297:$A$333,$A128,Summary!$L$297:$L$333))-AK128,0)</f>
        <v>41371.879269088997</v>
      </c>
      <c r="AM128" s="198"/>
      <c r="AN128" s="196">
        <f t="shared" ca="1" si="26"/>
        <v>261410.49639533827</v>
      </c>
      <c r="AO128" s="196">
        <f t="shared" ca="1" si="27"/>
        <v>261362.90860901636</v>
      </c>
    </row>
    <row r="129" spans="1:41">
      <c r="A129" s="189">
        <v>3541</v>
      </c>
      <c r="B129" s="190">
        <v>1</v>
      </c>
      <c r="C129" s="191" t="s">
        <v>239</v>
      </c>
      <c r="D129" s="192">
        <f t="shared" si="14"/>
        <v>360</v>
      </c>
      <c r="E129" s="192">
        <f t="shared" si="15"/>
        <v>147</v>
      </c>
      <c r="F129" s="192">
        <f t="shared" si="16"/>
        <v>0</v>
      </c>
      <c r="G129" s="193">
        <f t="shared" si="17"/>
        <v>507</v>
      </c>
      <c r="H129" s="194">
        <v>114</v>
      </c>
      <c r="I129" s="194">
        <v>32</v>
      </c>
      <c r="J129" s="194">
        <v>0</v>
      </c>
      <c r="K129" s="193">
        <f t="shared" si="18"/>
        <v>146</v>
      </c>
      <c r="L129" s="194">
        <v>246</v>
      </c>
      <c r="M129" s="194">
        <v>34</v>
      </c>
      <c r="N129" s="194">
        <v>0</v>
      </c>
      <c r="O129" s="193">
        <f t="shared" si="19"/>
        <v>280</v>
      </c>
      <c r="P129" s="194">
        <v>0</v>
      </c>
      <c r="Q129" s="194">
        <v>81</v>
      </c>
      <c r="R129" s="194">
        <v>0</v>
      </c>
      <c r="S129" s="193">
        <f t="shared" si="20"/>
        <v>81</v>
      </c>
      <c r="T129" s="193">
        <f t="shared" si="21"/>
        <v>16.899999999999999</v>
      </c>
      <c r="U129" s="193">
        <f ca="1">OFFSET('Expenditure Study'!$B$7,'Operations Support'!$C129,'Operations Support'!$B129)*$G129</f>
        <v>785.85</v>
      </c>
      <c r="V129" s="199">
        <f ca="1">U129*'Expenditure Study'!$B$31</f>
        <v>46430.517631679999</v>
      </c>
      <c r="W129" s="199">
        <f ca="1">IF(A129=10298,1.51,1)*IF($B129&lt;3,$D129*'Expenditure Study'!$B$32*OFFSET('Expenditure Study'!$B$7,'Operations Support'!$C129,'Operations Support'!$B129),0)</f>
        <v>55.800000000000004</v>
      </c>
      <c r="X129" s="200">
        <f ca="1">W129*'Expenditure Study'!$B$31</f>
        <v>3296.8414886400001</v>
      </c>
      <c r="Y129" s="199">
        <f ca="1">U129*'Expenditure Study'!$B$31</f>
        <v>46430.517631679999</v>
      </c>
      <c r="Z129" s="200">
        <f ca="1">W129*'Expenditure Study'!$B$31</f>
        <v>3296.8414886400001</v>
      </c>
      <c r="AA129" s="195">
        <f t="shared" ca="1" si="22"/>
        <v>49727.359120319998</v>
      </c>
      <c r="AB129" s="195">
        <f t="shared" ca="1" si="23"/>
        <v>49727.359120319998</v>
      </c>
      <c r="AD129" s="196">
        <f>IFERROR($G129/SUMIF($A:$A,$A129,$G:$G)*SUMIF(Summary!$A$166:$A$242,$A129,Summary!$P$166:$P$242),0)</f>
        <v>11511.89008100359</v>
      </c>
      <c r="AE129" s="197">
        <f t="shared" ca="1" si="24"/>
        <v>38215.469039316406</v>
      </c>
      <c r="AF129" s="196">
        <f>IFERROR(G129/SUMIF(A:A,A129,G:G)*SUMIF(Summary!$A$166:$A$242,'Operations Support'!A129,Summary!$Q$166:$Q$242),0)</f>
        <v>11519.558455824748</v>
      </c>
      <c r="AG129" s="196">
        <f t="shared" ca="1" si="25"/>
        <v>38207.800664495247</v>
      </c>
      <c r="AI129" s="196">
        <f>IFERROR($G129/SUMIF($A:$A,$A129,$G:$G)*SUMIF(Summary!$A$247:$A$283,$A129,Summary!$P$247:$P$283),0)</f>
        <v>2099.4814747603409</v>
      </c>
      <c r="AJ129" s="196">
        <f>IFERROR($G129/SUMIF($A:$A,$A129,$G:$G)*(SUMIF(Summary!$A$247:$A$283,$A129,Summary!$L$247:$L$283)+SUMIF(Summary!$A$297:$A$333,$A129,Summary!$L$297:$L$333))-AI129,0)</f>
        <v>7883.9775466720057</v>
      </c>
      <c r="AK129" s="196">
        <f>IFERROR($G129/SUMIF($A:$A,$A129,$G:$G)*SUMIF(Summary!$A$247:$A$283,$A129,Summary!$Q$247:$Q$283),0)</f>
        <v>2100.8799949655595</v>
      </c>
      <c r="AL129" s="196">
        <f>IFERROR($G129/SUMIF($A:$A,$A129,$G:$G)*(SUMIF(Summary!$A$247:$A$283,$A129,Summary!$L$247:$L$283)+SUMIF(Summary!$A$297:$A$333,$A129,Summary!$L$297:$L$333))-AK129,0)</f>
        <v>7882.5790264667876</v>
      </c>
      <c r="AM129" s="198"/>
      <c r="AN129" s="196">
        <f t="shared" ca="1" si="26"/>
        <v>46099.446585988408</v>
      </c>
      <c r="AO129" s="196">
        <f t="shared" ca="1" si="27"/>
        <v>46090.379690962036</v>
      </c>
    </row>
    <row r="130" spans="1:41">
      <c r="A130" s="189">
        <v>3541</v>
      </c>
      <c r="B130" s="190">
        <v>1</v>
      </c>
      <c r="C130" s="191" t="s">
        <v>240</v>
      </c>
      <c r="D130" s="192">
        <f t="shared" si="14"/>
        <v>160</v>
      </c>
      <c r="E130" s="192">
        <f t="shared" si="15"/>
        <v>1358</v>
      </c>
      <c r="F130" s="192">
        <f t="shared" si="16"/>
        <v>0</v>
      </c>
      <c r="G130" s="193">
        <f t="shared" si="17"/>
        <v>1518</v>
      </c>
      <c r="H130" s="194">
        <v>54</v>
      </c>
      <c r="I130" s="194">
        <v>580</v>
      </c>
      <c r="J130" s="194">
        <v>0</v>
      </c>
      <c r="K130" s="193">
        <f t="shared" si="18"/>
        <v>634</v>
      </c>
      <c r="L130" s="194">
        <v>106</v>
      </c>
      <c r="M130" s="194">
        <v>778</v>
      </c>
      <c r="N130" s="194">
        <v>0</v>
      </c>
      <c r="O130" s="193">
        <f t="shared" si="19"/>
        <v>884</v>
      </c>
      <c r="P130" s="194">
        <v>0</v>
      </c>
      <c r="Q130" s="194">
        <v>0</v>
      </c>
      <c r="R130" s="194">
        <v>0</v>
      </c>
      <c r="S130" s="193">
        <f t="shared" si="20"/>
        <v>0</v>
      </c>
      <c r="T130" s="193">
        <f t="shared" si="21"/>
        <v>50.6</v>
      </c>
      <c r="U130" s="193">
        <f ca="1">OFFSET('Expenditure Study'!$B$7,'Operations Support'!$C130,'Operations Support'!$B130)*$G130</f>
        <v>1518</v>
      </c>
      <c r="V130" s="199">
        <f ca="1">U130*'Expenditure Study'!$B$31</f>
        <v>89688.268454400008</v>
      </c>
      <c r="W130" s="199">
        <f ca="1">IF(A130=10298,1.51,1)*IF($B130&lt;3,$D130*'Expenditure Study'!$B$32*OFFSET('Expenditure Study'!$B$7,'Operations Support'!$C130,'Operations Support'!$B130),0)</f>
        <v>16</v>
      </c>
      <c r="X130" s="200">
        <f ca="1">W130*'Expenditure Study'!$B$31</f>
        <v>945.33089280000002</v>
      </c>
      <c r="Y130" s="199">
        <f ca="1">U130*'Expenditure Study'!$B$31</f>
        <v>89688.268454400008</v>
      </c>
      <c r="Z130" s="200">
        <f ca="1">W130*'Expenditure Study'!$B$31</f>
        <v>945.33089280000002</v>
      </c>
      <c r="AA130" s="195">
        <f t="shared" ca="1" si="22"/>
        <v>90633.599347200012</v>
      </c>
      <c r="AB130" s="195">
        <f t="shared" ca="1" si="23"/>
        <v>90633.599347200012</v>
      </c>
      <c r="AD130" s="196">
        <f>IFERROR($G130/SUMIF($A:$A,$A130,$G:$G)*SUMIF(Summary!$A$166:$A$242,$A130,Summary!$P$166:$P$242),0)</f>
        <v>34467.552550223765</v>
      </c>
      <c r="AE130" s="197">
        <f t="shared" ca="1" si="24"/>
        <v>56166.046796976247</v>
      </c>
      <c r="AF130" s="196">
        <f>IFERROR(G130/SUMIF(A:A,A130,G:G)*SUMIF(Summary!$A$166:$A$242,'Operations Support'!A130,Summary!$Q$166:$Q$242),0)</f>
        <v>34490.5122996883</v>
      </c>
      <c r="AG130" s="196">
        <f t="shared" ca="1" si="25"/>
        <v>56143.087047511712</v>
      </c>
      <c r="AI130" s="196">
        <f>IFERROR($G130/SUMIF($A:$A,$A130,$G:$G)*SUMIF(Summary!$A$247:$A$283,$A130,Summary!$P$247:$P$283),0)</f>
        <v>6286.0214569747477</v>
      </c>
      <c r="AJ130" s="196">
        <f>IFERROR($G130/SUMIF($A:$A,$A130,$G:$G)*(SUMIF(Summary!$A$247:$A$283,$A130,Summary!$L$247:$L$283)+SUMIF(Summary!$A$297:$A$333,$A130,Summary!$L$297:$L$333))-AI130,0)</f>
        <v>23605.281885301982</v>
      </c>
      <c r="AK130" s="196">
        <f>IFERROR($G130/SUMIF($A:$A,$A130,$G:$G)*SUMIF(Summary!$A$247:$A$283,$A130,Summary!$Q$247:$Q$283),0)</f>
        <v>6290.2087423229177</v>
      </c>
      <c r="AL130" s="196">
        <f>IFERROR($G130/SUMIF($A:$A,$A130,$G:$G)*(SUMIF(Summary!$A$247:$A$283,$A130,Summary!$L$247:$L$283)+SUMIF(Summary!$A$297:$A$333,$A130,Summary!$L$297:$L$333))-AK130,0)</f>
        <v>23601.094599953813</v>
      </c>
      <c r="AM130" s="198"/>
      <c r="AN130" s="196">
        <f t="shared" ca="1" si="26"/>
        <v>79771.328682278225</v>
      </c>
      <c r="AO130" s="196">
        <f t="shared" ca="1" si="27"/>
        <v>79744.181647465521</v>
      </c>
    </row>
    <row r="131" spans="1:41">
      <c r="A131" s="189">
        <v>3541</v>
      </c>
      <c r="B131" s="190">
        <v>2</v>
      </c>
      <c r="C131" s="191" t="s">
        <v>220</v>
      </c>
      <c r="D131" s="192">
        <f t="shared" si="14"/>
        <v>9785.5</v>
      </c>
      <c r="E131" s="192">
        <f t="shared" si="15"/>
        <v>2941.5</v>
      </c>
      <c r="F131" s="192">
        <f t="shared" si="16"/>
        <v>0</v>
      </c>
      <c r="G131" s="193">
        <f t="shared" si="17"/>
        <v>12727</v>
      </c>
      <c r="H131" s="194">
        <v>4525</v>
      </c>
      <c r="I131" s="194">
        <v>1306</v>
      </c>
      <c r="J131" s="194">
        <v>0</v>
      </c>
      <c r="K131" s="193">
        <f t="shared" si="18"/>
        <v>5831</v>
      </c>
      <c r="L131" s="194">
        <v>3445.5</v>
      </c>
      <c r="M131" s="194">
        <v>1064.5</v>
      </c>
      <c r="N131" s="194">
        <v>0</v>
      </c>
      <c r="O131" s="193">
        <f t="shared" si="19"/>
        <v>4510</v>
      </c>
      <c r="P131" s="194">
        <v>1815</v>
      </c>
      <c r="Q131" s="194">
        <v>571</v>
      </c>
      <c r="R131" s="194">
        <v>0</v>
      </c>
      <c r="S131" s="193">
        <f t="shared" si="20"/>
        <v>2386</v>
      </c>
      <c r="T131" s="193">
        <f t="shared" si="21"/>
        <v>424.23333333333335</v>
      </c>
      <c r="U131" s="193">
        <f ca="1">OFFSET('Expenditure Study'!$B$7,'Operations Support'!$C131,'Operations Support'!$B131)*$G131</f>
        <v>23417.68</v>
      </c>
      <c r="V131" s="199">
        <f ca="1">U131*'Expenditure Study'!$B$31</f>
        <v>1383591.021356544</v>
      </c>
      <c r="W131" s="199">
        <f ca="1">IF(A131=10298,1.51,1)*IF($B131&lt;3,$D131*'Expenditure Study'!$B$32*OFFSET('Expenditure Study'!$B$7,'Operations Support'!$C131,'Operations Support'!$B131),0)</f>
        <v>1800.5320000000002</v>
      </c>
      <c r="X131" s="200">
        <f ca="1">W131*'Expenditure Study'!$B$31</f>
        <v>106381.15769218562</v>
      </c>
      <c r="Y131" s="199">
        <f ca="1">U131*'Expenditure Study'!$B$31</f>
        <v>1383591.021356544</v>
      </c>
      <c r="Z131" s="200">
        <f ca="1">W131*'Expenditure Study'!$B$31</f>
        <v>106381.15769218562</v>
      </c>
      <c r="AA131" s="195">
        <f t="shared" ca="1" si="22"/>
        <v>1489972.1790487296</v>
      </c>
      <c r="AB131" s="195">
        <f t="shared" ca="1" si="23"/>
        <v>1489972.1790487296</v>
      </c>
      <c r="AD131" s="196">
        <f>IFERROR($G131/SUMIF($A:$A,$A131,$G:$G)*SUMIF(Summary!$A$166:$A$242,$A131,Summary!$P$166:$P$242),0)</f>
        <v>288977.95870006445</v>
      </c>
      <c r="AE131" s="197">
        <f t="shared" ca="1" si="24"/>
        <v>1200994.220348665</v>
      </c>
      <c r="AF131" s="196">
        <f>IFERROR(G131/SUMIF(A:A,A131,G:G)*SUMIF(Summary!$A$166:$A$242,'Operations Support'!A131,Summary!$Q$166:$Q$242),0)</f>
        <v>289170.45457057509</v>
      </c>
      <c r="AG131" s="196">
        <f t="shared" ca="1" si="25"/>
        <v>1200801.7244781544</v>
      </c>
      <c r="AI131" s="196">
        <f>IFERROR($G131/SUMIF($A:$A,$A131,$G:$G)*SUMIF(Summary!$A$247:$A$283,$A131,Summary!$P$247:$P$283),0)</f>
        <v>52702.368302317271</v>
      </c>
      <c r="AJ131" s="196">
        <f>IFERROR($G131/SUMIF($A:$A,$A131,$G:$G)*(SUMIF(Summary!$A$247:$A$283,$A131,Summary!$L$247:$L$283)+SUMIF(Summary!$A$297:$A$333,$A131,Summary!$L$297:$L$333))-AI131,0)</f>
        <v>197908.0517485101</v>
      </c>
      <c r="AK131" s="196">
        <f>IFERROR($G131/SUMIF($A:$A,$A131,$G:$G)*SUMIF(Summary!$A$247:$A$283,$A131,Summary!$Q$247:$Q$283),0)</f>
        <v>52737.474745417509</v>
      </c>
      <c r="AL131" s="196">
        <f>IFERROR($G131/SUMIF($A:$A,$A131,$G:$G)*(SUMIF(Summary!$A$247:$A$283,$A131,Summary!$L$247:$L$283)+SUMIF(Summary!$A$297:$A$333,$A131,Summary!$L$297:$L$333))-AK131,0)</f>
        <v>197872.94530540987</v>
      </c>
      <c r="AM131" s="198"/>
      <c r="AN131" s="196">
        <f t="shared" ca="1" si="26"/>
        <v>1398902.272097175</v>
      </c>
      <c r="AO131" s="196">
        <f t="shared" ca="1" si="27"/>
        <v>1398674.6697835643</v>
      </c>
    </row>
    <row r="132" spans="1:41">
      <c r="A132" s="189">
        <v>3541</v>
      </c>
      <c r="B132" s="190">
        <v>2</v>
      </c>
      <c r="C132" s="191" t="s">
        <v>221</v>
      </c>
      <c r="D132" s="192">
        <f t="shared" si="14"/>
        <v>6618.9</v>
      </c>
      <c r="E132" s="192">
        <f t="shared" si="15"/>
        <v>1677.1</v>
      </c>
      <c r="F132" s="192">
        <f t="shared" si="16"/>
        <v>0</v>
      </c>
      <c r="G132" s="193">
        <f t="shared" si="17"/>
        <v>8296</v>
      </c>
      <c r="H132" s="194">
        <v>2751.5</v>
      </c>
      <c r="I132" s="194">
        <v>829.5</v>
      </c>
      <c r="J132" s="194">
        <v>0</v>
      </c>
      <c r="K132" s="193">
        <f t="shared" si="18"/>
        <v>3581</v>
      </c>
      <c r="L132" s="194">
        <v>3193.4</v>
      </c>
      <c r="M132" s="194">
        <v>574.6</v>
      </c>
      <c r="N132" s="194">
        <v>0</v>
      </c>
      <c r="O132" s="193">
        <f t="shared" si="19"/>
        <v>3768</v>
      </c>
      <c r="P132" s="194">
        <v>674</v>
      </c>
      <c r="Q132" s="194">
        <v>273</v>
      </c>
      <c r="R132" s="194">
        <v>0</v>
      </c>
      <c r="S132" s="193">
        <f t="shared" si="20"/>
        <v>947</v>
      </c>
      <c r="T132" s="193">
        <f t="shared" si="21"/>
        <v>276.53333333333336</v>
      </c>
      <c r="U132" s="193">
        <f ca="1">OFFSET('Expenditure Study'!$B$7,'Operations Support'!$C132,'Operations Support'!$B132)*$G132</f>
        <v>21818.48</v>
      </c>
      <c r="V132" s="199">
        <f ca="1">U132*'Expenditure Study'!$B$31</f>
        <v>1289105.1986211841</v>
      </c>
      <c r="W132" s="199">
        <f ca="1">IF(A132=10298,1.51,1)*IF($B132&lt;3,$D132*'Expenditure Study'!$B$32*OFFSET('Expenditure Study'!$B$7,'Operations Support'!$C132,'Operations Support'!$B132),0)</f>
        <v>1740.7706999999998</v>
      </c>
      <c r="X132" s="200">
        <f ca="1">W132*'Expenditure Study'!$B$31</f>
        <v>102850.26999944255</v>
      </c>
      <c r="Y132" s="199">
        <f ca="1">U132*'Expenditure Study'!$B$31</f>
        <v>1289105.1986211841</v>
      </c>
      <c r="Z132" s="200">
        <f ca="1">W132*'Expenditure Study'!$B$31</f>
        <v>102850.26999944255</v>
      </c>
      <c r="AA132" s="195">
        <f t="shared" ca="1" si="22"/>
        <v>1391955.4686206267</v>
      </c>
      <c r="AB132" s="195">
        <f t="shared" ca="1" si="23"/>
        <v>1391955.4686206267</v>
      </c>
      <c r="AD132" s="196">
        <f>IFERROR($G132/SUMIF($A:$A,$A132,$G:$G)*SUMIF(Summary!$A$166:$A$242,$A132,Summary!$P$166:$P$242),0)</f>
        <v>188368.12645366028</v>
      </c>
      <c r="AE132" s="197">
        <f t="shared" ca="1" si="24"/>
        <v>1203587.3421669665</v>
      </c>
      <c r="AF132" s="196">
        <f>IFERROR(G132/SUMIF(A:A,A132,G:G)*SUMIF(Summary!$A$166:$A$242,'Operations Support'!A132,Summary!$Q$166:$Q$242),0)</f>
        <v>188493.60345073394</v>
      </c>
      <c r="AG132" s="196">
        <f t="shared" ca="1" si="25"/>
        <v>1203461.8651698928</v>
      </c>
      <c r="AI132" s="196">
        <f>IFERROR($G132/SUMIF($A:$A,$A132,$G:$G)*SUMIF(Summary!$A$247:$A$283,$A132,Summary!$P$247:$P$283),0)</f>
        <v>34353.645590950269</v>
      </c>
      <c r="AJ132" s="196">
        <f>IFERROR($G132/SUMIF($A:$A,$A132,$G:$G)*(SUMIF(Summary!$A$247:$A$283,$A132,Summary!$L$247:$L$283)+SUMIF(Summary!$A$297:$A$333,$A132,Summary!$L$297:$L$333))-AI132,0)</f>
        <v>129004.8870358796</v>
      </c>
      <c r="AK132" s="196">
        <f>IFERROR($G132/SUMIF($A:$A,$A132,$G:$G)*SUMIF(Summary!$A$247:$A$283,$A132,Summary!$Q$247:$Q$283),0)</f>
        <v>34376.52946397294</v>
      </c>
      <c r="AL132" s="196">
        <f>IFERROR($G132/SUMIF($A:$A,$A132,$G:$G)*(SUMIF(Summary!$A$247:$A$283,$A132,Summary!$L$247:$L$283)+SUMIF(Summary!$A$297:$A$333,$A132,Summary!$L$297:$L$333))-AK132,0)</f>
        <v>128982.00316285693</v>
      </c>
      <c r="AM132" s="198"/>
      <c r="AN132" s="196">
        <f t="shared" ca="1" si="26"/>
        <v>1332592.2292028461</v>
      </c>
      <c r="AO132" s="196">
        <f t="shared" ca="1" si="27"/>
        <v>1332443.8683327497</v>
      </c>
    </row>
    <row r="133" spans="1:41">
      <c r="A133" s="189">
        <v>3541</v>
      </c>
      <c r="B133" s="190">
        <v>2</v>
      </c>
      <c r="C133" s="191" t="s">
        <v>222</v>
      </c>
      <c r="D133" s="192">
        <f t="shared" ref="D133:D196" si="28">H133+L133+P133</f>
        <v>1448</v>
      </c>
      <c r="E133" s="192">
        <f t="shared" ref="E133:E196" si="29">I133+M133+Q133</f>
        <v>226</v>
      </c>
      <c r="F133" s="192">
        <f t="shared" ref="F133:F196" si="30">J133+N133+R133</f>
        <v>0</v>
      </c>
      <c r="G133" s="193">
        <f t="shared" ref="G133:G196" si="31">(SUM(D133:E133)-F133)*IF(A133=10298,1.51,1)</f>
        <v>1674</v>
      </c>
      <c r="H133" s="194">
        <v>605</v>
      </c>
      <c r="I133" s="194">
        <v>102</v>
      </c>
      <c r="J133" s="194">
        <v>0</v>
      </c>
      <c r="K133" s="193">
        <f t="shared" ref="K133:K196" si="32">SUM(H133:I133)-J133</f>
        <v>707</v>
      </c>
      <c r="L133" s="194">
        <v>750</v>
      </c>
      <c r="M133" s="194">
        <v>124</v>
      </c>
      <c r="N133" s="194">
        <v>0</v>
      </c>
      <c r="O133" s="193">
        <f t="shared" ref="O133:O196" si="33">SUM(L133:M133)-N133</f>
        <v>874</v>
      </c>
      <c r="P133" s="194">
        <v>93</v>
      </c>
      <c r="Q133" s="194">
        <v>0</v>
      </c>
      <c r="R133" s="194">
        <v>0</v>
      </c>
      <c r="S133" s="193">
        <f t="shared" ref="S133:S196" si="34">SUM(P133:Q133)-R133</f>
        <v>93</v>
      </c>
      <c r="T133" s="193">
        <f t="shared" ref="T133:T196" si="35">IF(OR(B133=1,B133=2),G133/30,IF(OR(B133=3,B133=5),G133/24,IF(B133=4,G133/18,0)))</f>
        <v>55.8</v>
      </c>
      <c r="U133" s="193">
        <f ca="1">OFFSET('Expenditure Study'!$B$7,'Operations Support'!$C133,'Operations Support'!$B133)*$G133</f>
        <v>4452.84</v>
      </c>
      <c r="V133" s="199">
        <f ca="1">U133*'Expenditure Study'!$B$31</f>
        <v>263087.950793472</v>
      </c>
      <c r="W133" s="199">
        <f ca="1">IF(A133=10298,1.51,1)*IF($B133&lt;3,$D133*'Expenditure Study'!$B$32*OFFSET('Expenditure Study'!$B$7,'Operations Support'!$C133,'Operations Support'!$B133),0)</f>
        <v>385.16800000000006</v>
      </c>
      <c r="X133" s="200">
        <f ca="1">W133*'Expenditure Study'!$B$31</f>
        <v>22756.950582374404</v>
      </c>
      <c r="Y133" s="199">
        <f ca="1">U133*'Expenditure Study'!$B$31</f>
        <v>263087.950793472</v>
      </c>
      <c r="Z133" s="200">
        <f ca="1">W133*'Expenditure Study'!$B$31</f>
        <v>22756.950582374404</v>
      </c>
      <c r="AA133" s="195">
        <f t="shared" ref="AA133:AA196" ca="1" si="36">V133+X133</f>
        <v>285844.90137584641</v>
      </c>
      <c r="AB133" s="195">
        <f t="shared" ref="AB133:AB196" ca="1" si="37">Y133+Z133</f>
        <v>285844.90137584641</v>
      </c>
      <c r="AD133" s="196">
        <f>IFERROR($G133/SUMIF($A:$A,$A133,$G:$G)*SUMIF(Summary!$A$166:$A$242,$A133,Summary!$P$166:$P$242),0)</f>
        <v>38009.672575147946</v>
      </c>
      <c r="AE133" s="197">
        <f t="shared" ca="1" si="24"/>
        <v>247835.22880069847</v>
      </c>
      <c r="AF133" s="196">
        <f>IFERROR(G133/SUMIF(A:A,A133,G:G)*SUMIF(Summary!$A$166:$A$242,'Operations Support'!A133,Summary!$Q$166:$Q$242),0)</f>
        <v>38034.991824557452</v>
      </c>
      <c r="AG133" s="196">
        <f t="shared" ca="1" si="25"/>
        <v>247809.90955128896</v>
      </c>
      <c r="AI133" s="196">
        <f>IFERROR($G133/SUMIF($A:$A,$A133,$G:$G)*SUMIF(Summary!$A$247:$A$283,$A133,Summary!$P$247:$P$283),0)</f>
        <v>6932.0157569010071</v>
      </c>
      <c r="AJ133" s="196">
        <f>IFERROR($G133/SUMIF($A:$A,$A133,$G:$G)*(SUMIF(Summary!$A$247:$A$283,$A133,Summary!$L$247:$L$283)+SUMIF(Summary!$A$297:$A$333,$A133,Summary!$L$297:$L$333))-AI133,0)</f>
        <v>26031.121130431831</v>
      </c>
      <c r="AK133" s="196">
        <f>IFERROR($G133/SUMIF($A:$A,$A133,$G:$G)*SUMIF(Summary!$A$247:$A$283,$A133,Summary!$Q$247:$Q$283),0)</f>
        <v>6936.6333561584752</v>
      </c>
      <c r="AL133" s="196">
        <f>IFERROR($G133/SUMIF($A:$A,$A133,$G:$G)*(SUMIF(Summary!$A$247:$A$283,$A133,Summary!$L$247:$L$283)+SUMIF(Summary!$A$297:$A$333,$A133,Summary!$L$297:$L$333))-AK133,0)</f>
        <v>26026.503531174363</v>
      </c>
      <c r="AM133" s="198"/>
      <c r="AN133" s="196">
        <f t="shared" ca="1" si="26"/>
        <v>273866.3499311303</v>
      </c>
      <c r="AO133" s="196">
        <f t="shared" ca="1" si="27"/>
        <v>273836.41308246332</v>
      </c>
    </row>
    <row r="134" spans="1:41">
      <c r="A134" s="189">
        <v>3541</v>
      </c>
      <c r="B134" s="190">
        <v>2</v>
      </c>
      <c r="C134" s="191" t="s">
        <v>223</v>
      </c>
      <c r="D134" s="192">
        <f t="shared" si="28"/>
        <v>1878</v>
      </c>
      <c r="E134" s="192">
        <f t="shared" si="29"/>
        <v>280</v>
      </c>
      <c r="F134" s="192">
        <f t="shared" si="30"/>
        <v>0</v>
      </c>
      <c r="G134" s="193">
        <f t="shared" si="31"/>
        <v>2158</v>
      </c>
      <c r="H134" s="194">
        <v>903</v>
      </c>
      <c r="I134" s="194">
        <v>126</v>
      </c>
      <c r="J134" s="194">
        <v>0</v>
      </c>
      <c r="K134" s="193">
        <f t="shared" si="32"/>
        <v>1029</v>
      </c>
      <c r="L134" s="194">
        <v>846</v>
      </c>
      <c r="M134" s="194">
        <v>109</v>
      </c>
      <c r="N134" s="194">
        <v>0</v>
      </c>
      <c r="O134" s="193">
        <f t="shared" si="33"/>
        <v>955</v>
      </c>
      <c r="P134" s="194">
        <v>129</v>
      </c>
      <c r="Q134" s="194">
        <v>45</v>
      </c>
      <c r="R134" s="194">
        <v>0</v>
      </c>
      <c r="S134" s="193">
        <f t="shared" si="34"/>
        <v>174</v>
      </c>
      <c r="T134" s="193">
        <f t="shared" si="35"/>
        <v>71.933333333333337</v>
      </c>
      <c r="U134" s="193">
        <f ca="1">OFFSET('Expenditure Study'!$B$7,'Operations Support'!$C134,'Operations Support'!$B134)*$G134</f>
        <v>4100.2</v>
      </c>
      <c r="V134" s="199">
        <f ca="1">U134*'Expenditure Study'!$B$31</f>
        <v>242252.85791615999</v>
      </c>
      <c r="W134" s="199">
        <f ca="1">IF(A134=10298,1.51,1)*IF($B134&lt;3,$D134*'Expenditure Study'!$B$32*OFFSET('Expenditure Study'!$B$7,'Operations Support'!$C134,'Operations Support'!$B134),0)</f>
        <v>356.82</v>
      </c>
      <c r="X134" s="200">
        <f ca="1">W134*'Expenditure Study'!$B$31</f>
        <v>21082.060573055998</v>
      </c>
      <c r="Y134" s="199">
        <f ca="1">U134*'Expenditure Study'!$B$31</f>
        <v>242252.85791615999</v>
      </c>
      <c r="Z134" s="200">
        <f ca="1">W134*'Expenditure Study'!$B$31</f>
        <v>21082.060573055998</v>
      </c>
      <c r="AA134" s="195">
        <f t="shared" ca="1" si="36"/>
        <v>263334.91848921601</v>
      </c>
      <c r="AB134" s="195">
        <f t="shared" ca="1" si="37"/>
        <v>263334.91848921601</v>
      </c>
      <c r="AD134" s="196">
        <f>IFERROR($G134/SUMIF($A:$A,$A134,$G:$G)*SUMIF(Summary!$A$166:$A$242,$A134,Summary!$P$166:$P$242),0)</f>
        <v>48999.327011451169</v>
      </c>
      <c r="AE134" s="197">
        <f t="shared" ref="AE134:AE197" ca="1" si="38">V134+X134-AD134</f>
        <v>214335.59147776483</v>
      </c>
      <c r="AF134" s="196">
        <f>IFERROR(G134/SUMIF(A:A,A134,G:G)*SUMIF(Summary!$A$166:$A$242,'Operations Support'!A134,Summary!$Q$166:$Q$242),0)</f>
        <v>49031.966760689953</v>
      </c>
      <c r="AG134" s="196">
        <f t="shared" ref="AG134:AG197" ca="1" si="39">Y134+Z134-AF134</f>
        <v>214302.95172852607</v>
      </c>
      <c r="AI134" s="196">
        <f>IFERROR($G134/SUMIF($A:$A,$A134,$G:$G)*SUMIF(Summary!$A$247:$A$283,$A134,Summary!$P$247:$P$283),0)</f>
        <v>8936.2544823132448</v>
      </c>
      <c r="AJ134" s="196">
        <f>IFERROR($G134/SUMIF($A:$A,$A134,$G:$G)*(SUMIF(Summary!$A$247:$A$283,$A134,Summary!$L$247:$L$283)+SUMIF(Summary!$A$297:$A$333,$A134,Summary!$L$297:$L$333))-AI134,0)</f>
        <v>33557.442890962891</v>
      </c>
      <c r="AK134" s="196">
        <f>IFERROR($G134/SUMIF($A:$A,$A134,$G:$G)*SUMIF(Summary!$A$247:$A$283,$A134,Summary!$Q$247:$Q$283),0)</f>
        <v>8942.2071580585343</v>
      </c>
      <c r="AL134" s="196">
        <f>IFERROR($G134/SUMIF($A:$A,$A134,$G:$G)*(SUMIF(Summary!$A$247:$A$283,$A134,Summary!$L$247:$L$283)+SUMIF(Summary!$A$297:$A$333,$A134,Summary!$L$297:$L$333))-AK134,0)</f>
        <v>33551.490215217607</v>
      </c>
      <c r="AM134" s="198"/>
      <c r="AN134" s="196">
        <f t="shared" ref="AN134:AN197" ca="1" si="40">AE134+AJ134</f>
        <v>247893.03436872771</v>
      </c>
      <c r="AO134" s="196">
        <f t="shared" ref="AO134:AO197" ca="1" si="41">AG134+AL134</f>
        <v>247854.44194374367</v>
      </c>
    </row>
    <row r="135" spans="1:41">
      <c r="A135" s="189">
        <v>3541</v>
      </c>
      <c r="B135" s="190">
        <v>2</v>
      </c>
      <c r="C135" s="191" t="s">
        <v>224</v>
      </c>
      <c r="D135" s="192">
        <f t="shared" si="28"/>
        <v>1808</v>
      </c>
      <c r="E135" s="192">
        <f t="shared" si="29"/>
        <v>1075</v>
      </c>
      <c r="F135" s="192">
        <f t="shared" si="30"/>
        <v>0</v>
      </c>
      <c r="G135" s="193">
        <f t="shared" si="31"/>
        <v>2883</v>
      </c>
      <c r="H135" s="194">
        <v>658</v>
      </c>
      <c r="I135" s="194">
        <v>734</v>
      </c>
      <c r="J135" s="194">
        <v>0</v>
      </c>
      <c r="K135" s="193">
        <f t="shared" si="32"/>
        <v>1392</v>
      </c>
      <c r="L135" s="194">
        <v>994</v>
      </c>
      <c r="M135" s="194">
        <v>284</v>
      </c>
      <c r="N135" s="194">
        <v>0</v>
      </c>
      <c r="O135" s="193">
        <f t="shared" si="33"/>
        <v>1278</v>
      </c>
      <c r="P135" s="194">
        <v>156</v>
      </c>
      <c r="Q135" s="194">
        <v>57</v>
      </c>
      <c r="R135" s="194">
        <v>0</v>
      </c>
      <c r="S135" s="193">
        <f t="shared" si="34"/>
        <v>213</v>
      </c>
      <c r="T135" s="193">
        <f t="shared" si="35"/>
        <v>96.1</v>
      </c>
      <c r="U135" s="193">
        <f ca="1">OFFSET('Expenditure Study'!$B$7,'Operations Support'!$C135,'Operations Support'!$B135)*$G135</f>
        <v>6544.41</v>
      </c>
      <c r="V135" s="199">
        <f ca="1">U135*'Expenditure Study'!$B$31</f>
        <v>386664.559259328</v>
      </c>
      <c r="W135" s="199">
        <f ca="1">IF(A135=10298,1.51,1)*IF($B135&lt;3,$D135*'Expenditure Study'!$B$32*OFFSET('Expenditure Study'!$B$7,'Operations Support'!$C135,'Operations Support'!$B135),0)</f>
        <v>410.41600000000005</v>
      </c>
      <c r="X135" s="200">
        <f ca="1">W135*'Expenditure Study'!$B$31</f>
        <v>24248.682731212804</v>
      </c>
      <c r="Y135" s="199">
        <f ca="1">U135*'Expenditure Study'!$B$31</f>
        <v>386664.559259328</v>
      </c>
      <c r="Z135" s="200">
        <f ca="1">W135*'Expenditure Study'!$B$31</f>
        <v>24248.682731212804</v>
      </c>
      <c r="AA135" s="195">
        <f t="shared" ca="1" si="36"/>
        <v>410913.24199054082</v>
      </c>
      <c r="AB135" s="195">
        <f t="shared" ca="1" si="37"/>
        <v>410913.24199054082</v>
      </c>
      <c r="AD135" s="196">
        <f>IFERROR($G135/SUMIF($A:$A,$A135,$G:$G)*SUMIF(Summary!$A$166:$A$242,$A135,Summary!$P$166:$P$242),0)</f>
        <v>65461.102768310346</v>
      </c>
      <c r="AE135" s="197">
        <f t="shared" ca="1" si="38"/>
        <v>345452.13922223047</v>
      </c>
      <c r="AF135" s="196">
        <f>IFERROR(G135/SUMIF(A:A,A135,G:G)*SUMIF(Summary!$A$166:$A$242,'Operations Support'!A135,Summary!$Q$166:$Q$242),0)</f>
        <v>65504.708142293392</v>
      </c>
      <c r="AG135" s="196">
        <f t="shared" ca="1" si="39"/>
        <v>345408.53384824743</v>
      </c>
      <c r="AI135" s="196">
        <f>IFERROR($G135/SUMIF($A:$A,$A135,$G:$G)*SUMIF(Summary!$A$247:$A$283,$A135,Summary!$P$247:$P$283),0)</f>
        <v>11938.471581329512</v>
      </c>
      <c r="AJ135" s="196">
        <f>IFERROR($G135/SUMIF($A:$A,$A135,$G:$G)*(SUMIF(Summary!$A$247:$A$283,$A135,Summary!$L$247:$L$283)+SUMIF(Summary!$A$297:$A$333,$A135,Summary!$L$297:$L$333))-AI135,0)</f>
        <v>44831.375280188156</v>
      </c>
      <c r="AK135" s="196">
        <f>IFERROR($G135/SUMIF($A:$A,$A135,$G:$G)*SUMIF(Summary!$A$247:$A$283,$A135,Summary!$Q$247:$Q$283),0)</f>
        <v>11946.424113384039</v>
      </c>
      <c r="AL135" s="196">
        <f>IFERROR($G135/SUMIF($A:$A,$A135,$G:$G)*(SUMIF(Summary!$A$247:$A$283,$A135,Summary!$L$247:$L$283)+SUMIF(Summary!$A$297:$A$333,$A135,Summary!$L$297:$L$333))-AK135,0)</f>
        <v>44823.422748133627</v>
      </c>
      <c r="AM135" s="198"/>
      <c r="AN135" s="196">
        <f t="shared" ca="1" si="40"/>
        <v>390283.51450241863</v>
      </c>
      <c r="AO135" s="196">
        <f t="shared" ca="1" si="41"/>
        <v>390231.95659638103</v>
      </c>
    </row>
    <row r="136" spans="1:41">
      <c r="A136" s="189">
        <v>3541</v>
      </c>
      <c r="B136" s="190">
        <v>2</v>
      </c>
      <c r="C136" s="191" t="s">
        <v>225</v>
      </c>
      <c r="D136" s="192">
        <f t="shared" si="28"/>
        <v>2539</v>
      </c>
      <c r="E136" s="192">
        <f t="shared" si="29"/>
        <v>201</v>
      </c>
      <c r="F136" s="192">
        <f t="shared" si="30"/>
        <v>0</v>
      </c>
      <c r="G136" s="193">
        <f t="shared" si="31"/>
        <v>2740</v>
      </c>
      <c r="H136" s="194">
        <v>1121</v>
      </c>
      <c r="I136" s="194">
        <v>39</v>
      </c>
      <c r="J136" s="194">
        <v>0</v>
      </c>
      <c r="K136" s="193">
        <f t="shared" si="32"/>
        <v>1160</v>
      </c>
      <c r="L136" s="194">
        <v>1290</v>
      </c>
      <c r="M136" s="194">
        <v>129</v>
      </c>
      <c r="N136" s="194">
        <v>0</v>
      </c>
      <c r="O136" s="193">
        <f t="shared" si="33"/>
        <v>1419</v>
      </c>
      <c r="P136" s="194">
        <v>128</v>
      </c>
      <c r="Q136" s="194">
        <v>33</v>
      </c>
      <c r="R136" s="194">
        <v>0</v>
      </c>
      <c r="S136" s="193">
        <f t="shared" si="34"/>
        <v>161</v>
      </c>
      <c r="T136" s="193">
        <f t="shared" si="35"/>
        <v>91.333333333333329</v>
      </c>
      <c r="U136" s="193">
        <f ca="1">OFFSET('Expenditure Study'!$B$7,'Operations Support'!$C136,'Operations Support'!$B136)*$G136</f>
        <v>7671.9999999999991</v>
      </c>
      <c r="V136" s="199">
        <f ca="1">U136*'Expenditure Study'!$B$31</f>
        <v>453286.16309759993</v>
      </c>
      <c r="W136" s="199">
        <f ca="1">IF(A136=10298,1.51,1)*IF($B136&lt;3,$D136*'Expenditure Study'!$B$32*OFFSET('Expenditure Study'!$B$7,'Operations Support'!$C136,'Operations Support'!$B136),0)</f>
        <v>710.92</v>
      </c>
      <c r="X136" s="200">
        <f ca="1">W136*'Expenditure Study'!$B$31</f>
        <v>42003.414894335998</v>
      </c>
      <c r="Y136" s="199">
        <f ca="1">U136*'Expenditure Study'!$B$31</f>
        <v>453286.16309759993</v>
      </c>
      <c r="Z136" s="200">
        <f ca="1">W136*'Expenditure Study'!$B$31</f>
        <v>42003.414894335998</v>
      </c>
      <c r="AA136" s="195">
        <f t="shared" ca="1" si="36"/>
        <v>495289.57799193595</v>
      </c>
      <c r="AB136" s="195">
        <f t="shared" ca="1" si="37"/>
        <v>495289.57799193595</v>
      </c>
      <c r="AD136" s="196">
        <f>IFERROR($G136/SUMIF($A:$A,$A136,$G:$G)*SUMIF(Summary!$A$166:$A$242,$A136,Summary!$P$166:$P$242),0)</f>
        <v>62214.159412129855</v>
      </c>
      <c r="AE136" s="197">
        <f t="shared" ca="1" si="38"/>
        <v>433075.41857980611</v>
      </c>
      <c r="AF136" s="196">
        <f>IFERROR(G136/SUMIF(A:A,A136,G:G)*SUMIF(Summary!$A$166:$A$242,'Operations Support'!A136,Summary!$Q$166:$Q$242),0)</f>
        <v>62255.601911163336</v>
      </c>
      <c r="AG136" s="196">
        <f t="shared" ca="1" si="39"/>
        <v>433033.97608077258</v>
      </c>
      <c r="AI136" s="196">
        <f>IFERROR($G136/SUMIF($A:$A,$A136,$G:$G)*SUMIF(Summary!$A$247:$A$283,$A136,Summary!$P$247:$P$283),0)</f>
        <v>11346.310139730442</v>
      </c>
      <c r="AJ136" s="196">
        <f>IFERROR($G136/SUMIF($A:$A,$A136,$G:$G)*(SUMIF(Summary!$A$247:$A$283,$A136,Summary!$L$247:$L$283)+SUMIF(Summary!$A$297:$A$333,$A136,Summary!$L$297:$L$333))-AI136,0)</f>
        <v>42607.689305485794</v>
      </c>
      <c r="AK136" s="196">
        <f>IFERROR($G136/SUMIF($A:$A,$A136,$G:$G)*SUMIF(Summary!$A$247:$A$283,$A136,Summary!$Q$247:$Q$283),0)</f>
        <v>11353.868217368114</v>
      </c>
      <c r="AL136" s="196">
        <f>IFERROR($G136/SUMIF($A:$A,$A136,$G:$G)*(SUMIF(Summary!$A$247:$A$283,$A136,Summary!$L$247:$L$283)+SUMIF(Summary!$A$297:$A$333,$A136,Summary!$L$297:$L$333))-AK136,0)</f>
        <v>42600.13122784812</v>
      </c>
      <c r="AM136" s="198"/>
      <c r="AN136" s="196">
        <f t="shared" ca="1" si="40"/>
        <v>475683.10788529192</v>
      </c>
      <c r="AO136" s="196">
        <f t="shared" ca="1" si="41"/>
        <v>475634.1073086207</v>
      </c>
    </row>
    <row r="137" spans="1:41" s="201" customFormat="1">
      <c r="A137" s="189">
        <v>3541</v>
      </c>
      <c r="B137" s="190">
        <v>2</v>
      </c>
      <c r="C137" s="191" t="s">
        <v>226</v>
      </c>
      <c r="D137" s="192">
        <f t="shared" si="28"/>
        <v>252</v>
      </c>
      <c r="E137" s="192">
        <f t="shared" si="29"/>
        <v>33</v>
      </c>
      <c r="F137" s="192">
        <f t="shared" si="30"/>
        <v>0</v>
      </c>
      <c r="G137" s="193">
        <f t="shared" si="31"/>
        <v>285</v>
      </c>
      <c r="H137" s="194">
        <v>132</v>
      </c>
      <c r="I137" s="194">
        <v>0</v>
      </c>
      <c r="J137" s="194">
        <v>0</v>
      </c>
      <c r="K137" s="193">
        <f t="shared" si="32"/>
        <v>132</v>
      </c>
      <c r="L137" s="194">
        <v>120</v>
      </c>
      <c r="M137" s="194">
        <v>0</v>
      </c>
      <c r="N137" s="194">
        <v>0</v>
      </c>
      <c r="O137" s="193">
        <f t="shared" si="33"/>
        <v>120</v>
      </c>
      <c r="P137" s="194">
        <v>0</v>
      </c>
      <c r="Q137" s="194">
        <v>33</v>
      </c>
      <c r="R137" s="194">
        <v>0</v>
      </c>
      <c r="S137" s="193">
        <f t="shared" si="34"/>
        <v>33</v>
      </c>
      <c r="T137" s="193">
        <f t="shared" si="35"/>
        <v>9.5</v>
      </c>
      <c r="U137" s="193">
        <f ca="1">OFFSET('Expenditure Study'!$B$7,'Operations Support'!$C137,'Operations Support'!$B137)*$G137</f>
        <v>513</v>
      </c>
      <c r="V137" s="199">
        <f ca="1">U137*'Expenditure Study'!$B$31</f>
        <v>30309.671750400001</v>
      </c>
      <c r="W137" s="199">
        <f ca="1">IF(A137=10298,1.51,1)*IF($B137&lt;3,$D137*'Expenditure Study'!$B$32*OFFSET('Expenditure Study'!$B$7,'Operations Support'!$C137,'Operations Support'!$B137),0)</f>
        <v>45.360000000000007</v>
      </c>
      <c r="X137" s="200">
        <f ca="1">W137*'Expenditure Study'!$B$31</f>
        <v>2680.0130810880005</v>
      </c>
      <c r="Y137" s="199">
        <f ca="1">U137*'Expenditure Study'!$B$31</f>
        <v>30309.671750400001</v>
      </c>
      <c r="Z137" s="200">
        <f ca="1">W137*'Expenditure Study'!$B$31</f>
        <v>2680.0130810880005</v>
      </c>
      <c r="AA137" s="195">
        <f t="shared" ca="1" si="36"/>
        <v>32989.684831488004</v>
      </c>
      <c r="AB137" s="195">
        <f t="shared" ca="1" si="37"/>
        <v>32989.684831488004</v>
      </c>
      <c r="AD137" s="196">
        <f>IFERROR($G137/SUMIF($A:$A,$A137,$G:$G)*SUMIF(Summary!$A$166:$A$242,$A137,Summary!$P$166:$P$242),0)</f>
        <v>6471.180814765331</v>
      </c>
      <c r="AE137" s="197">
        <f t="shared" ca="1" si="38"/>
        <v>26518.504016722673</v>
      </c>
      <c r="AF137" s="196">
        <f>IFERROR(G137/SUMIF(A:A,A137,G:G)*SUMIF(Summary!$A$166:$A$242,'Operations Support'!A137,Summary!$Q$166:$Q$242),0)</f>
        <v>6475.4914396647991</v>
      </c>
      <c r="AG137" s="196">
        <f t="shared" ca="1" si="39"/>
        <v>26514.193391823206</v>
      </c>
      <c r="AH137" s="180"/>
      <c r="AI137" s="196">
        <f>IFERROR($G137/SUMIF($A:$A,$A137,$G:$G)*SUMIF(Summary!$A$247:$A$283,$A137,Summary!$P$247:$P$283),0)</f>
        <v>1180.1818940960495</v>
      </c>
      <c r="AJ137" s="196">
        <f>IFERROR($G137/SUMIF($A:$A,$A137,$G:$G)*(SUMIF(Summary!$A$247:$A$283,$A137,Summary!$L$247:$L$283)+SUMIF(Summary!$A$297:$A$333,$A137,Summary!$L$297:$L$333))-AI137,0)</f>
        <v>4431.8216978333767</v>
      </c>
      <c r="AK137" s="196">
        <f>IFERROR($G137/SUMIF($A:$A,$A137,$G:$G)*SUMIF(Summary!$A$247:$A$283,$A137,Summary!$Q$247:$Q$283),0)</f>
        <v>1180.9680445072672</v>
      </c>
      <c r="AL137" s="196">
        <f>IFERROR($G137/SUMIF($A:$A,$A137,$G:$G)*(SUMIF(Summary!$A$247:$A$283,$A137,Summary!$L$247:$L$283)+SUMIF(Summary!$A$297:$A$333,$A137,Summary!$L$297:$L$333))-AK137,0)</f>
        <v>4431.0355474221587</v>
      </c>
      <c r="AM137" s="198"/>
      <c r="AN137" s="196">
        <f t="shared" ca="1" si="40"/>
        <v>30950.325714556049</v>
      </c>
      <c r="AO137" s="196">
        <f t="shared" ca="1" si="41"/>
        <v>30945.228939245364</v>
      </c>
    </row>
    <row r="138" spans="1:41">
      <c r="A138" s="189">
        <v>3541</v>
      </c>
      <c r="B138" s="190">
        <v>2</v>
      </c>
      <c r="C138" s="191" t="s">
        <v>227</v>
      </c>
      <c r="D138" s="192">
        <f t="shared" si="28"/>
        <v>0</v>
      </c>
      <c r="E138" s="192">
        <f t="shared" si="29"/>
        <v>0</v>
      </c>
      <c r="F138" s="192">
        <f t="shared" si="30"/>
        <v>0</v>
      </c>
      <c r="G138" s="193">
        <f t="shared" si="31"/>
        <v>0</v>
      </c>
      <c r="H138" s="194">
        <v>0</v>
      </c>
      <c r="I138" s="194">
        <v>0</v>
      </c>
      <c r="J138" s="194">
        <v>0</v>
      </c>
      <c r="K138" s="193">
        <f t="shared" si="32"/>
        <v>0</v>
      </c>
      <c r="L138" s="194">
        <v>0</v>
      </c>
      <c r="M138" s="194">
        <v>0</v>
      </c>
      <c r="N138" s="194">
        <v>0</v>
      </c>
      <c r="O138" s="193">
        <f t="shared" si="33"/>
        <v>0</v>
      </c>
      <c r="P138" s="194">
        <v>0</v>
      </c>
      <c r="Q138" s="194">
        <v>0</v>
      </c>
      <c r="R138" s="194">
        <v>0</v>
      </c>
      <c r="S138" s="193">
        <f t="shared" si="34"/>
        <v>0</v>
      </c>
      <c r="T138" s="193">
        <f t="shared" si="35"/>
        <v>0</v>
      </c>
      <c r="U138" s="193">
        <f ca="1">OFFSET('Expenditure Study'!$B$7,'Operations Support'!$C138,'Operations Support'!$B138)*$G138</f>
        <v>0</v>
      </c>
      <c r="V138" s="199">
        <f ca="1">U138*'Expenditure Study'!$B$31</f>
        <v>0</v>
      </c>
      <c r="W138" s="199">
        <f ca="1">IF(A138=10298,1.51,1)*IF($B138&lt;3,$D138*'Expenditure Study'!$B$32*OFFSET('Expenditure Study'!$B$7,'Operations Support'!$C138,'Operations Support'!$B138),0)</f>
        <v>0</v>
      </c>
      <c r="X138" s="200">
        <f ca="1">W138*'Expenditure Study'!$B$31</f>
        <v>0</v>
      </c>
      <c r="Y138" s="199">
        <f ca="1">U138*'Expenditure Study'!$B$31</f>
        <v>0</v>
      </c>
      <c r="Z138" s="200">
        <f ca="1">W138*'Expenditure Study'!$B$31</f>
        <v>0</v>
      </c>
      <c r="AA138" s="195">
        <f t="shared" ca="1" si="36"/>
        <v>0</v>
      </c>
      <c r="AB138" s="195">
        <f t="shared" ca="1" si="37"/>
        <v>0</v>
      </c>
      <c r="AD138" s="196">
        <f>IFERROR($G138/SUMIF($A:$A,$A138,$G:$G)*SUMIF(Summary!$A$166:$A$242,$A138,Summary!$P$166:$P$242),0)</f>
        <v>0</v>
      </c>
      <c r="AE138" s="197">
        <f t="shared" ca="1" si="38"/>
        <v>0</v>
      </c>
      <c r="AF138" s="196">
        <f>IFERROR(G138/SUMIF(A:A,A138,G:G)*SUMIF(Summary!$A$166:$A$242,'Operations Support'!A138,Summary!$Q$166:$Q$242),0)</f>
        <v>0</v>
      </c>
      <c r="AG138" s="196">
        <f t="shared" ca="1" si="39"/>
        <v>0</v>
      </c>
      <c r="AI138" s="196">
        <f>IFERROR($G138/SUMIF($A:$A,$A138,$G:$G)*SUMIF(Summary!$A$247:$A$283,$A138,Summary!$P$247:$P$283),0)</f>
        <v>0</v>
      </c>
      <c r="AJ138" s="196">
        <f>IFERROR($G138/SUMIF($A:$A,$A138,$G:$G)*(SUMIF(Summary!$A$247:$A$283,$A138,Summary!$L$247:$L$283)+SUMIF(Summary!$A$297:$A$333,$A138,Summary!$L$297:$L$333))-AI138,0)</f>
        <v>0</v>
      </c>
      <c r="AK138" s="196">
        <f>IFERROR($G138/SUMIF($A:$A,$A138,$G:$G)*SUMIF(Summary!$A$247:$A$283,$A138,Summary!$Q$247:$Q$283),0)</f>
        <v>0</v>
      </c>
      <c r="AL138" s="196">
        <f>IFERROR($G138/SUMIF($A:$A,$A138,$G:$G)*(SUMIF(Summary!$A$247:$A$283,$A138,Summary!$L$247:$L$283)+SUMIF(Summary!$A$297:$A$333,$A138,Summary!$L$297:$L$333))-AK138,0)</f>
        <v>0</v>
      </c>
      <c r="AM138" s="198"/>
      <c r="AN138" s="196">
        <f t="shared" ca="1" si="40"/>
        <v>0</v>
      </c>
      <c r="AO138" s="196">
        <f t="shared" ca="1" si="41"/>
        <v>0</v>
      </c>
    </row>
    <row r="139" spans="1:41">
      <c r="A139" s="189">
        <v>3541</v>
      </c>
      <c r="B139" s="190">
        <v>2</v>
      </c>
      <c r="C139" s="191" t="s">
        <v>228</v>
      </c>
      <c r="D139" s="192">
        <f t="shared" si="28"/>
        <v>582</v>
      </c>
      <c r="E139" s="192">
        <f t="shared" si="29"/>
        <v>3174</v>
      </c>
      <c r="F139" s="192">
        <f t="shared" si="30"/>
        <v>0</v>
      </c>
      <c r="G139" s="193">
        <f t="shared" si="31"/>
        <v>3756</v>
      </c>
      <c r="H139" s="194">
        <v>78</v>
      </c>
      <c r="I139" s="194">
        <v>1560</v>
      </c>
      <c r="J139" s="194">
        <v>0</v>
      </c>
      <c r="K139" s="193">
        <f t="shared" si="32"/>
        <v>1638</v>
      </c>
      <c r="L139" s="194">
        <v>162</v>
      </c>
      <c r="M139" s="194">
        <v>1371</v>
      </c>
      <c r="N139" s="194">
        <v>0</v>
      </c>
      <c r="O139" s="193">
        <f t="shared" si="33"/>
        <v>1533</v>
      </c>
      <c r="P139" s="194">
        <v>342</v>
      </c>
      <c r="Q139" s="194">
        <v>243</v>
      </c>
      <c r="R139" s="194">
        <v>0</v>
      </c>
      <c r="S139" s="193">
        <f t="shared" si="34"/>
        <v>585</v>
      </c>
      <c r="T139" s="193">
        <f t="shared" si="35"/>
        <v>125.2</v>
      </c>
      <c r="U139" s="193">
        <f ca="1">OFFSET('Expenditure Study'!$B$7,'Operations Support'!$C139,'Operations Support'!$B139)*$G139</f>
        <v>7173.96</v>
      </c>
      <c r="V139" s="199">
        <f ca="1">U139*'Expenditure Study'!$B$31</f>
        <v>423860.37573196803</v>
      </c>
      <c r="W139" s="199">
        <f ca="1">IF(A139=10298,1.51,1)*IF($B139&lt;3,$D139*'Expenditure Study'!$B$32*OFFSET('Expenditure Study'!$B$7,'Operations Support'!$C139,'Operations Support'!$B139),0)</f>
        <v>111.16200000000001</v>
      </c>
      <c r="X139" s="200">
        <f ca="1">W139*'Expenditure Study'!$B$31</f>
        <v>6567.8045440896003</v>
      </c>
      <c r="Y139" s="199">
        <f ca="1">U139*'Expenditure Study'!$B$31</f>
        <v>423860.37573196803</v>
      </c>
      <c r="Z139" s="200">
        <f ca="1">W139*'Expenditure Study'!$B$31</f>
        <v>6567.8045440896003</v>
      </c>
      <c r="AA139" s="195">
        <f t="shared" ca="1" si="36"/>
        <v>430428.18027605762</v>
      </c>
      <c r="AB139" s="195">
        <f t="shared" ca="1" si="37"/>
        <v>430428.18027605762</v>
      </c>
      <c r="AD139" s="196">
        <f>IFERROR($G139/SUMIF($A:$A,$A139,$G:$G)*SUMIF(Summary!$A$166:$A$242,$A139,Summary!$P$166:$P$242),0)</f>
        <v>85283.35136932836</v>
      </c>
      <c r="AE139" s="197">
        <f t="shared" ca="1" si="38"/>
        <v>345144.82890672924</v>
      </c>
      <c r="AF139" s="196">
        <f>IFERROR(G139/SUMIF(A:A,A139,G:G)*SUMIF(Summary!$A$166:$A$242,'Operations Support'!A139,Summary!$Q$166:$Q$242),0)</f>
        <v>85340.160868003455</v>
      </c>
      <c r="AG139" s="196">
        <f t="shared" ca="1" si="39"/>
        <v>345088.01940805418</v>
      </c>
      <c r="AI139" s="196">
        <f>IFERROR($G139/SUMIF($A:$A,$A139,$G:$G)*SUMIF(Summary!$A$247:$A$283,$A139,Summary!$P$247:$P$283),0)</f>
        <v>15553.555067455305</v>
      </c>
      <c r="AJ139" s="196">
        <f>IFERROR($G139/SUMIF($A:$A,$A139,$G:$G)*(SUMIF(Summary!$A$247:$A$283,$A139,Summary!$L$247:$L$283)+SUMIF(Summary!$A$297:$A$333,$A139,Summary!$L$297:$L$333))-AI139,0)</f>
        <v>58406.744901972488</v>
      </c>
      <c r="AK139" s="196">
        <f>IFERROR($G139/SUMIF($A:$A,$A139,$G:$G)*SUMIF(Summary!$A$247:$A$283,$A139,Summary!$Q$247:$Q$283),0)</f>
        <v>15563.915702348406</v>
      </c>
      <c r="AL139" s="196">
        <f>IFERROR($G139/SUMIF($A:$A,$A139,$G:$G)*(SUMIF(Summary!$A$247:$A$283,$A139,Summary!$L$247:$L$283)+SUMIF(Summary!$A$297:$A$333,$A139,Summary!$L$297:$L$333))-AK139,0)</f>
        <v>58396.384267079389</v>
      </c>
      <c r="AM139" s="198"/>
      <c r="AN139" s="196">
        <f t="shared" ca="1" si="40"/>
        <v>403551.57380870171</v>
      </c>
      <c r="AO139" s="196">
        <f t="shared" ca="1" si="41"/>
        <v>403484.4036751336</v>
      </c>
    </row>
    <row r="140" spans="1:41">
      <c r="A140" s="189">
        <v>3541</v>
      </c>
      <c r="B140" s="190">
        <v>2</v>
      </c>
      <c r="C140" s="191" t="s">
        <v>229</v>
      </c>
      <c r="D140" s="192">
        <f t="shared" si="28"/>
        <v>0</v>
      </c>
      <c r="E140" s="192">
        <f t="shared" si="29"/>
        <v>0</v>
      </c>
      <c r="F140" s="192">
        <f t="shared" si="30"/>
        <v>0</v>
      </c>
      <c r="G140" s="193">
        <f t="shared" si="31"/>
        <v>0</v>
      </c>
      <c r="H140" s="194">
        <v>0</v>
      </c>
      <c r="I140" s="194">
        <v>0</v>
      </c>
      <c r="J140" s="194">
        <v>0</v>
      </c>
      <c r="K140" s="193">
        <f t="shared" si="32"/>
        <v>0</v>
      </c>
      <c r="L140" s="194">
        <v>0</v>
      </c>
      <c r="M140" s="194">
        <v>0</v>
      </c>
      <c r="N140" s="194">
        <v>0</v>
      </c>
      <c r="O140" s="193">
        <f t="shared" si="33"/>
        <v>0</v>
      </c>
      <c r="P140" s="194">
        <v>0</v>
      </c>
      <c r="Q140" s="194">
        <v>0</v>
      </c>
      <c r="R140" s="194">
        <v>0</v>
      </c>
      <c r="S140" s="193">
        <f t="shared" si="34"/>
        <v>0</v>
      </c>
      <c r="T140" s="193">
        <f t="shared" si="35"/>
        <v>0</v>
      </c>
      <c r="U140" s="193">
        <f ca="1">OFFSET('Expenditure Study'!$B$7,'Operations Support'!$C140,'Operations Support'!$B140)*$G140</f>
        <v>0</v>
      </c>
      <c r="V140" s="199">
        <f ca="1">U140*'Expenditure Study'!$B$31</f>
        <v>0</v>
      </c>
      <c r="W140" s="199">
        <f ca="1">IF(A140=10298,1.51,1)*IF($B140&lt;3,$D140*'Expenditure Study'!$B$32*OFFSET('Expenditure Study'!$B$7,'Operations Support'!$C140,'Operations Support'!$B140),0)</f>
        <v>0</v>
      </c>
      <c r="X140" s="200">
        <f ca="1">W140*'Expenditure Study'!$B$31</f>
        <v>0</v>
      </c>
      <c r="Y140" s="199">
        <f ca="1">U140*'Expenditure Study'!$B$31</f>
        <v>0</v>
      </c>
      <c r="Z140" s="200">
        <f ca="1">W140*'Expenditure Study'!$B$31</f>
        <v>0</v>
      </c>
      <c r="AA140" s="195">
        <f t="shared" ca="1" si="36"/>
        <v>0</v>
      </c>
      <c r="AB140" s="195">
        <f t="shared" ca="1" si="37"/>
        <v>0</v>
      </c>
      <c r="AD140" s="196">
        <f>IFERROR($G140/SUMIF($A:$A,$A140,$G:$G)*SUMIF(Summary!$A$166:$A$242,$A140,Summary!$P$166:$P$242),0)</f>
        <v>0</v>
      </c>
      <c r="AE140" s="197">
        <f t="shared" ca="1" si="38"/>
        <v>0</v>
      </c>
      <c r="AF140" s="196">
        <f>IFERROR(G140/SUMIF(A:A,A140,G:G)*SUMIF(Summary!$A$166:$A$242,'Operations Support'!A140,Summary!$Q$166:$Q$242),0)</f>
        <v>0</v>
      </c>
      <c r="AG140" s="196">
        <f t="shared" ca="1" si="39"/>
        <v>0</v>
      </c>
      <c r="AI140" s="196">
        <f>IFERROR($G140/SUMIF($A:$A,$A140,$G:$G)*SUMIF(Summary!$A$247:$A$283,$A140,Summary!$P$247:$P$283),0)</f>
        <v>0</v>
      </c>
      <c r="AJ140" s="196">
        <f>IFERROR($G140/SUMIF($A:$A,$A140,$G:$G)*(SUMIF(Summary!$A$247:$A$283,$A140,Summary!$L$247:$L$283)+SUMIF(Summary!$A$297:$A$333,$A140,Summary!$L$297:$L$333))-AI140,0)</f>
        <v>0</v>
      </c>
      <c r="AK140" s="196">
        <f>IFERROR($G140/SUMIF($A:$A,$A140,$G:$G)*SUMIF(Summary!$A$247:$A$283,$A140,Summary!$Q$247:$Q$283),0)</f>
        <v>0</v>
      </c>
      <c r="AL140" s="196">
        <f>IFERROR($G140/SUMIF($A:$A,$A140,$G:$G)*(SUMIF(Summary!$A$247:$A$283,$A140,Summary!$L$247:$L$283)+SUMIF(Summary!$A$297:$A$333,$A140,Summary!$L$297:$L$333))-AK140,0)</f>
        <v>0</v>
      </c>
      <c r="AM140" s="198"/>
      <c r="AN140" s="196">
        <f t="shared" ca="1" si="40"/>
        <v>0</v>
      </c>
      <c r="AO140" s="196">
        <f t="shared" ca="1" si="41"/>
        <v>0</v>
      </c>
    </row>
    <row r="141" spans="1:41">
      <c r="A141" s="189">
        <v>3541</v>
      </c>
      <c r="B141" s="190">
        <v>2</v>
      </c>
      <c r="C141" s="191" t="s">
        <v>230</v>
      </c>
      <c r="D141" s="192">
        <f t="shared" si="28"/>
        <v>0</v>
      </c>
      <c r="E141" s="192">
        <f t="shared" si="29"/>
        <v>0</v>
      </c>
      <c r="F141" s="192">
        <f t="shared" si="30"/>
        <v>0</v>
      </c>
      <c r="G141" s="193">
        <f t="shared" si="31"/>
        <v>0</v>
      </c>
      <c r="H141" s="194">
        <v>0</v>
      </c>
      <c r="I141" s="194">
        <v>0</v>
      </c>
      <c r="J141" s="194">
        <v>0</v>
      </c>
      <c r="K141" s="193">
        <f t="shared" si="32"/>
        <v>0</v>
      </c>
      <c r="L141" s="194">
        <v>0</v>
      </c>
      <c r="M141" s="194">
        <v>0</v>
      </c>
      <c r="N141" s="194">
        <v>0</v>
      </c>
      <c r="O141" s="193">
        <f t="shared" si="33"/>
        <v>0</v>
      </c>
      <c r="P141" s="194">
        <v>0</v>
      </c>
      <c r="Q141" s="194">
        <v>0</v>
      </c>
      <c r="R141" s="194">
        <v>0</v>
      </c>
      <c r="S141" s="193">
        <f t="shared" si="34"/>
        <v>0</v>
      </c>
      <c r="T141" s="193">
        <f t="shared" si="35"/>
        <v>0</v>
      </c>
      <c r="U141" s="193">
        <f ca="1">OFFSET('Expenditure Study'!$B$7,'Operations Support'!$C141,'Operations Support'!$B141)*$G141</f>
        <v>0</v>
      </c>
      <c r="V141" s="199">
        <f ca="1">U141*'Expenditure Study'!$B$31</f>
        <v>0</v>
      </c>
      <c r="W141" s="199">
        <f ca="1">IF(A141=10298,1.51,1)*IF($B141&lt;3,$D141*'Expenditure Study'!$B$32*OFFSET('Expenditure Study'!$B$7,'Operations Support'!$C141,'Operations Support'!$B141),0)</f>
        <v>0</v>
      </c>
      <c r="X141" s="200">
        <f ca="1">W141*'Expenditure Study'!$B$31</f>
        <v>0</v>
      </c>
      <c r="Y141" s="199">
        <f ca="1">U141*'Expenditure Study'!$B$31</f>
        <v>0</v>
      </c>
      <c r="Z141" s="200">
        <f ca="1">W141*'Expenditure Study'!$B$31</f>
        <v>0</v>
      </c>
      <c r="AA141" s="195">
        <f t="shared" ca="1" si="36"/>
        <v>0</v>
      </c>
      <c r="AB141" s="195">
        <f t="shared" ca="1" si="37"/>
        <v>0</v>
      </c>
      <c r="AD141" s="196">
        <f>IFERROR($G141/SUMIF($A:$A,$A141,$G:$G)*SUMIF(Summary!$A$166:$A$242,$A141,Summary!$P$166:$P$242),0)</f>
        <v>0</v>
      </c>
      <c r="AE141" s="197">
        <f t="shared" ca="1" si="38"/>
        <v>0</v>
      </c>
      <c r="AF141" s="196">
        <f>IFERROR(G141/SUMIF(A:A,A141,G:G)*SUMIF(Summary!$A$166:$A$242,'Operations Support'!A141,Summary!$Q$166:$Q$242),0)</f>
        <v>0</v>
      </c>
      <c r="AG141" s="196">
        <f t="shared" ca="1" si="39"/>
        <v>0</v>
      </c>
      <c r="AI141" s="196">
        <f>IFERROR($G141/SUMIF($A:$A,$A141,$G:$G)*SUMIF(Summary!$A$247:$A$283,$A141,Summary!$P$247:$P$283),0)</f>
        <v>0</v>
      </c>
      <c r="AJ141" s="196">
        <f>IFERROR($G141/SUMIF($A:$A,$A141,$G:$G)*(SUMIF(Summary!$A$247:$A$283,$A141,Summary!$L$247:$L$283)+SUMIF(Summary!$A$297:$A$333,$A141,Summary!$L$297:$L$333))-AI141,0)</f>
        <v>0</v>
      </c>
      <c r="AK141" s="196">
        <f>IFERROR($G141/SUMIF($A:$A,$A141,$G:$G)*SUMIF(Summary!$A$247:$A$283,$A141,Summary!$Q$247:$Q$283),0)</f>
        <v>0</v>
      </c>
      <c r="AL141" s="196">
        <f>IFERROR($G141/SUMIF($A:$A,$A141,$G:$G)*(SUMIF(Summary!$A$247:$A$283,$A141,Summary!$L$247:$L$283)+SUMIF(Summary!$A$297:$A$333,$A141,Summary!$L$297:$L$333))-AK141,0)</f>
        <v>0</v>
      </c>
      <c r="AM141" s="198"/>
      <c r="AN141" s="196">
        <f t="shared" ca="1" si="40"/>
        <v>0</v>
      </c>
      <c r="AO141" s="196">
        <f t="shared" ca="1" si="41"/>
        <v>0</v>
      </c>
    </row>
    <row r="142" spans="1:41">
      <c r="A142" s="189">
        <v>3541</v>
      </c>
      <c r="B142" s="190">
        <v>2</v>
      </c>
      <c r="C142" s="191" t="s">
        <v>231</v>
      </c>
      <c r="D142" s="192">
        <f t="shared" si="28"/>
        <v>0</v>
      </c>
      <c r="E142" s="192">
        <f t="shared" si="29"/>
        <v>0</v>
      </c>
      <c r="F142" s="192">
        <f t="shared" si="30"/>
        <v>0</v>
      </c>
      <c r="G142" s="193">
        <f t="shared" si="31"/>
        <v>0</v>
      </c>
      <c r="H142" s="194">
        <v>0</v>
      </c>
      <c r="I142" s="194">
        <v>0</v>
      </c>
      <c r="J142" s="194">
        <v>0</v>
      </c>
      <c r="K142" s="193">
        <f t="shared" si="32"/>
        <v>0</v>
      </c>
      <c r="L142" s="194">
        <v>0</v>
      </c>
      <c r="M142" s="194">
        <v>0</v>
      </c>
      <c r="N142" s="194">
        <v>0</v>
      </c>
      <c r="O142" s="193">
        <f t="shared" si="33"/>
        <v>0</v>
      </c>
      <c r="P142" s="194">
        <v>0</v>
      </c>
      <c r="Q142" s="194">
        <v>0</v>
      </c>
      <c r="R142" s="194">
        <v>0</v>
      </c>
      <c r="S142" s="193">
        <f t="shared" si="34"/>
        <v>0</v>
      </c>
      <c r="T142" s="193">
        <f t="shared" si="35"/>
        <v>0</v>
      </c>
      <c r="U142" s="193">
        <f ca="1">OFFSET('Expenditure Study'!$B$7,'Operations Support'!$C142,'Operations Support'!$B142)*$G142</f>
        <v>0</v>
      </c>
      <c r="V142" s="199">
        <f ca="1">U142*'Expenditure Study'!$B$31</f>
        <v>0</v>
      </c>
      <c r="W142" s="199">
        <f ca="1">IF(A142=10298,1.51,1)*IF($B142&lt;3,$D142*'Expenditure Study'!$B$32*OFFSET('Expenditure Study'!$B$7,'Operations Support'!$C142,'Operations Support'!$B142),0)</f>
        <v>0</v>
      </c>
      <c r="X142" s="200">
        <f ca="1">W142*'Expenditure Study'!$B$31</f>
        <v>0</v>
      </c>
      <c r="Y142" s="199">
        <f ca="1">U142*'Expenditure Study'!$B$31</f>
        <v>0</v>
      </c>
      <c r="Z142" s="200">
        <f ca="1">W142*'Expenditure Study'!$B$31</f>
        <v>0</v>
      </c>
      <c r="AA142" s="195">
        <f t="shared" ca="1" si="36"/>
        <v>0</v>
      </c>
      <c r="AB142" s="195">
        <f t="shared" ca="1" si="37"/>
        <v>0</v>
      </c>
      <c r="AD142" s="196">
        <f>IFERROR($G142/SUMIF($A:$A,$A142,$G:$G)*SUMIF(Summary!$A$166:$A$242,$A142,Summary!$P$166:$P$242),0)</f>
        <v>0</v>
      </c>
      <c r="AE142" s="197">
        <f t="shared" ca="1" si="38"/>
        <v>0</v>
      </c>
      <c r="AF142" s="196">
        <f>IFERROR(G142/SUMIF(A:A,A142,G:G)*SUMIF(Summary!$A$166:$A$242,'Operations Support'!A142,Summary!$Q$166:$Q$242),0)</f>
        <v>0</v>
      </c>
      <c r="AG142" s="196">
        <f t="shared" ca="1" si="39"/>
        <v>0</v>
      </c>
      <c r="AI142" s="196">
        <f>IFERROR($G142/SUMIF($A:$A,$A142,$G:$G)*SUMIF(Summary!$A$247:$A$283,$A142,Summary!$P$247:$P$283),0)</f>
        <v>0</v>
      </c>
      <c r="AJ142" s="196">
        <f>IFERROR($G142/SUMIF($A:$A,$A142,$G:$G)*(SUMIF(Summary!$A$247:$A$283,$A142,Summary!$L$247:$L$283)+SUMIF(Summary!$A$297:$A$333,$A142,Summary!$L$297:$L$333))-AI142,0)</f>
        <v>0</v>
      </c>
      <c r="AK142" s="196">
        <f>IFERROR($G142/SUMIF($A:$A,$A142,$G:$G)*SUMIF(Summary!$A$247:$A$283,$A142,Summary!$Q$247:$Q$283),0)</f>
        <v>0</v>
      </c>
      <c r="AL142" s="196">
        <f>IFERROR($G142/SUMIF($A:$A,$A142,$G:$G)*(SUMIF(Summary!$A$247:$A$283,$A142,Summary!$L$247:$L$283)+SUMIF(Summary!$A$297:$A$333,$A142,Summary!$L$297:$L$333))-AK142,0)</f>
        <v>0</v>
      </c>
      <c r="AM142" s="198"/>
      <c r="AN142" s="196">
        <f t="shared" ca="1" si="40"/>
        <v>0</v>
      </c>
      <c r="AO142" s="196">
        <f t="shared" ca="1" si="41"/>
        <v>0</v>
      </c>
    </row>
    <row r="143" spans="1:41">
      <c r="A143" s="189">
        <v>3541</v>
      </c>
      <c r="B143" s="190">
        <v>2</v>
      </c>
      <c r="C143" s="191" t="s">
        <v>232</v>
      </c>
      <c r="D143" s="192">
        <f t="shared" si="28"/>
        <v>0</v>
      </c>
      <c r="E143" s="192">
        <f t="shared" si="29"/>
        <v>0</v>
      </c>
      <c r="F143" s="192">
        <f t="shared" si="30"/>
        <v>0</v>
      </c>
      <c r="G143" s="193">
        <f t="shared" si="31"/>
        <v>0</v>
      </c>
      <c r="H143" s="194">
        <v>0</v>
      </c>
      <c r="I143" s="194">
        <v>0</v>
      </c>
      <c r="J143" s="194">
        <v>0</v>
      </c>
      <c r="K143" s="193">
        <f t="shared" si="32"/>
        <v>0</v>
      </c>
      <c r="L143" s="194">
        <v>0</v>
      </c>
      <c r="M143" s="194">
        <v>0</v>
      </c>
      <c r="N143" s="194">
        <v>0</v>
      </c>
      <c r="O143" s="193">
        <f t="shared" si="33"/>
        <v>0</v>
      </c>
      <c r="P143" s="194">
        <v>0</v>
      </c>
      <c r="Q143" s="194">
        <v>0</v>
      </c>
      <c r="R143" s="194">
        <v>0</v>
      </c>
      <c r="S143" s="193">
        <f t="shared" si="34"/>
        <v>0</v>
      </c>
      <c r="T143" s="193">
        <f t="shared" si="35"/>
        <v>0</v>
      </c>
      <c r="U143" s="193">
        <f ca="1">OFFSET('Expenditure Study'!$B$7,'Operations Support'!$C143,'Operations Support'!$B143)*$G143</f>
        <v>0</v>
      </c>
      <c r="V143" s="199">
        <f ca="1">U143*'Expenditure Study'!$B$31</f>
        <v>0</v>
      </c>
      <c r="W143" s="199">
        <f ca="1">IF(A143=10298,1.51,1)*IF($B143&lt;3,$D143*'Expenditure Study'!$B$32*OFFSET('Expenditure Study'!$B$7,'Operations Support'!$C143,'Operations Support'!$B143),0)</f>
        <v>0</v>
      </c>
      <c r="X143" s="200">
        <f ca="1">W143*'Expenditure Study'!$B$31</f>
        <v>0</v>
      </c>
      <c r="Y143" s="199">
        <f ca="1">U143*'Expenditure Study'!$B$31</f>
        <v>0</v>
      </c>
      <c r="Z143" s="200">
        <f ca="1">W143*'Expenditure Study'!$B$31</f>
        <v>0</v>
      </c>
      <c r="AA143" s="195">
        <f t="shared" ca="1" si="36"/>
        <v>0</v>
      </c>
      <c r="AB143" s="195">
        <f t="shared" ca="1" si="37"/>
        <v>0</v>
      </c>
      <c r="AD143" s="196">
        <f>IFERROR($G143/SUMIF($A:$A,$A143,$G:$G)*SUMIF(Summary!$A$166:$A$242,$A143,Summary!$P$166:$P$242),0)</f>
        <v>0</v>
      </c>
      <c r="AE143" s="197">
        <f t="shared" ca="1" si="38"/>
        <v>0</v>
      </c>
      <c r="AF143" s="196">
        <f>IFERROR(G143/SUMIF(A:A,A143,G:G)*SUMIF(Summary!$A$166:$A$242,'Operations Support'!A143,Summary!$Q$166:$Q$242),0)</f>
        <v>0</v>
      </c>
      <c r="AG143" s="196">
        <f t="shared" ca="1" si="39"/>
        <v>0</v>
      </c>
      <c r="AI143" s="196">
        <f>IFERROR($G143/SUMIF($A:$A,$A143,$G:$G)*SUMIF(Summary!$A$247:$A$283,$A143,Summary!$P$247:$P$283),0)</f>
        <v>0</v>
      </c>
      <c r="AJ143" s="196">
        <f>IFERROR($G143/SUMIF($A:$A,$A143,$G:$G)*(SUMIF(Summary!$A$247:$A$283,$A143,Summary!$L$247:$L$283)+SUMIF(Summary!$A$297:$A$333,$A143,Summary!$L$297:$L$333))-AI143,0)</f>
        <v>0</v>
      </c>
      <c r="AK143" s="196">
        <f>IFERROR($G143/SUMIF($A:$A,$A143,$G:$G)*SUMIF(Summary!$A$247:$A$283,$A143,Summary!$Q$247:$Q$283),0)</f>
        <v>0</v>
      </c>
      <c r="AL143" s="196">
        <f>IFERROR($G143/SUMIF($A:$A,$A143,$G:$G)*(SUMIF(Summary!$A$247:$A$283,$A143,Summary!$L$247:$L$283)+SUMIF(Summary!$A$297:$A$333,$A143,Summary!$L$297:$L$333))-AK143,0)</f>
        <v>0</v>
      </c>
      <c r="AM143" s="198"/>
      <c r="AN143" s="196">
        <f t="shared" ca="1" si="40"/>
        <v>0</v>
      </c>
      <c r="AO143" s="196">
        <f t="shared" ca="1" si="41"/>
        <v>0</v>
      </c>
    </row>
    <row r="144" spans="1:41">
      <c r="A144" s="189">
        <v>3541</v>
      </c>
      <c r="B144" s="190">
        <v>2</v>
      </c>
      <c r="C144" s="191" t="s">
        <v>233</v>
      </c>
      <c r="D144" s="192">
        <f t="shared" si="28"/>
        <v>3232</v>
      </c>
      <c r="E144" s="192">
        <f t="shared" si="29"/>
        <v>1586</v>
      </c>
      <c r="F144" s="192">
        <f t="shared" si="30"/>
        <v>0</v>
      </c>
      <c r="G144" s="193">
        <f t="shared" si="31"/>
        <v>4818</v>
      </c>
      <c r="H144" s="194">
        <v>1350</v>
      </c>
      <c r="I144" s="194">
        <v>745</v>
      </c>
      <c r="J144" s="194">
        <v>0</v>
      </c>
      <c r="K144" s="193">
        <f t="shared" si="32"/>
        <v>2095</v>
      </c>
      <c r="L144" s="194">
        <v>1260</v>
      </c>
      <c r="M144" s="194">
        <v>535</v>
      </c>
      <c r="N144" s="194">
        <v>0</v>
      </c>
      <c r="O144" s="193">
        <f t="shared" si="33"/>
        <v>1795</v>
      </c>
      <c r="P144" s="194">
        <v>622</v>
      </c>
      <c r="Q144" s="194">
        <v>306</v>
      </c>
      <c r="R144" s="194">
        <v>0</v>
      </c>
      <c r="S144" s="193">
        <f t="shared" si="34"/>
        <v>928</v>
      </c>
      <c r="T144" s="193">
        <f t="shared" si="35"/>
        <v>160.6</v>
      </c>
      <c r="U144" s="193">
        <f ca="1">OFFSET('Expenditure Study'!$B$7,'Operations Support'!$C144,'Operations Support'!$B144)*$G144</f>
        <v>7756.9800000000005</v>
      </c>
      <c r="V144" s="199">
        <f ca="1">U144*'Expenditure Study'!$B$31</f>
        <v>458307.05180198402</v>
      </c>
      <c r="W144" s="199">
        <f ca="1">IF(A144=10298,1.51,1)*IF($B144&lt;3,$D144*'Expenditure Study'!$B$32*OFFSET('Expenditure Study'!$B$7,'Operations Support'!$C144,'Operations Support'!$B144),0)</f>
        <v>520.35200000000009</v>
      </c>
      <c r="X144" s="200">
        <f ca="1">W144*'Expenditure Study'!$B$31</f>
        <v>30744.051295641606</v>
      </c>
      <c r="Y144" s="199">
        <f ca="1">U144*'Expenditure Study'!$B$31</f>
        <v>458307.05180198402</v>
      </c>
      <c r="Z144" s="200">
        <f ca="1">W144*'Expenditure Study'!$B$31</f>
        <v>30744.051295641606</v>
      </c>
      <c r="AA144" s="195">
        <f t="shared" ca="1" si="36"/>
        <v>489051.10309762566</v>
      </c>
      <c r="AB144" s="195">
        <f t="shared" ca="1" si="37"/>
        <v>489051.10309762566</v>
      </c>
      <c r="AD144" s="196">
        <f>IFERROR($G144/SUMIF($A:$A,$A144,$G:$G)*SUMIF(Summary!$A$166:$A$242,$A144,Summary!$P$166:$P$242),0)</f>
        <v>109397.0146159276</v>
      </c>
      <c r="AE144" s="197">
        <f t="shared" ca="1" si="38"/>
        <v>379654.08848169807</v>
      </c>
      <c r="AF144" s="196">
        <f>IFERROR(G144/SUMIF(A:A,A144,G:G)*SUMIF(Summary!$A$166:$A$242,'Operations Support'!A144,Summary!$Q$166:$Q$242),0)</f>
        <v>109469.88686422809</v>
      </c>
      <c r="AG144" s="196">
        <f t="shared" ca="1" si="39"/>
        <v>379581.2162333976</v>
      </c>
      <c r="AI144" s="196">
        <f>IFERROR($G144/SUMIF($A:$A,$A144,$G:$G)*SUMIF(Summary!$A$247:$A$283,$A144,Summary!$P$247:$P$283),0)</f>
        <v>19951.285493876374</v>
      </c>
      <c r="AJ144" s="196">
        <f>IFERROR($G144/SUMIF($A:$A,$A144,$G:$G)*(SUMIF(Summary!$A$247:$A$283,$A144,Summary!$L$247:$L$283)+SUMIF(Summary!$A$297:$A$333,$A144,Summary!$L$297:$L$333))-AI144,0)</f>
        <v>74921.112070741074</v>
      </c>
      <c r="AK144" s="196">
        <f>IFERROR($G144/SUMIF($A:$A,$A144,$G:$G)*SUMIF(Summary!$A$247:$A$283,$A144,Summary!$Q$247:$Q$283),0)</f>
        <v>19964.575573459697</v>
      </c>
      <c r="AL144" s="196">
        <f>IFERROR($G144/SUMIF($A:$A,$A144,$G:$G)*(SUMIF(Summary!$A$247:$A$283,$A144,Summary!$L$247:$L$283)+SUMIF(Summary!$A$297:$A$333,$A144,Summary!$L$297:$L$333))-AK144,0)</f>
        <v>74907.821991157747</v>
      </c>
      <c r="AM144" s="198"/>
      <c r="AN144" s="196">
        <f t="shared" ca="1" si="40"/>
        <v>454575.20055243914</v>
      </c>
      <c r="AO144" s="196">
        <f t="shared" ca="1" si="41"/>
        <v>454489.03822455532</v>
      </c>
    </row>
    <row r="145" spans="1:41">
      <c r="A145" s="189">
        <v>3541</v>
      </c>
      <c r="B145" s="190">
        <v>2</v>
      </c>
      <c r="C145" s="191" t="s">
        <v>234</v>
      </c>
      <c r="D145" s="192">
        <f t="shared" si="28"/>
        <v>0</v>
      </c>
      <c r="E145" s="192">
        <f t="shared" si="29"/>
        <v>0</v>
      </c>
      <c r="F145" s="192">
        <f t="shared" si="30"/>
        <v>0</v>
      </c>
      <c r="G145" s="193">
        <f t="shared" si="31"/>
        <v>0</v>
      </c>
      <c r="H145" s="194">
        <v>0</v>
      </c>
      <c r="I145" s="194">
        <v>0</v>
      </c>
      <c r="J145" s="194">
        <v>0</v>
      </c>
      <c r="K145" s="193">
        <f t="shared" si="32"/>
        <v>0</v>
      </c>
      <c r="L145" s="194">
        <v>0</v>
      </c>
      <c r="M145" s="194">
        <v>0</v>
      </c>
      <c r="N145" s="194">
        <v>0</v>
      </c>
      <c r="O145" s="193">
        <f t="shared" si="33"/>
        <v>0</v>
      </c>
      <c r="P145" s="194">
        <v>0</v>
      </c>
      <c r="Q145" s="194">
        <v>0</v>
      </c>
      <c r="R145" s="194">
        <v>0</v>
      </c>
      <c r="S145" s="193">
        <f t="shared" si="34"/>
        <v>0</v>
      </c>
      <c r="T145" s="193">
        <f t="shared" si="35"/>
        <v>0</v>
      </c>
      <c r="U145" s="193">
        <f ca="1">OFFSET('Expenditure Study'!$B$7,'Operations Support'!$C145,'Operations Support'!$B145)*$G145</f>
        <v>0</v>
      </c>
      <c r="V145" s="199">
        <f ca="1">U145*'Expenditure Study'!$B$31</f>
        <v>0</v>
      </c>
      <c r="W145" s="199">
        <f ca="1">IF(A145=10298,1.51,1)*IF($B145&lt;3,$D145*'Expenditure Study'!$B$32*OFFSET('Expenditure Study'!$B$7,'Operations Support'!$C145,'Operations Support'!$B145),0)</f>
        <v>0</v>
      </c>
      <c r="X145" s="200">
        <f ca="1">W145*'Expenditure Study'!$B$31</f>
        <v>0</v>
      </c>
      <c r="Y145" s="199">
        <f ca="1">U145*'Expenditure Study'!$B$31</f>
        <v>0</v>
      </c>
      <c r="Z145" s="200">
        <f ca="1">W145*'Expenditure Study'!$B$31</f>
        <v>0</v>
      </c>
      <c r="AA145" s="195">
        <f t="shared" ca="1" si="36"/>
        <v>0</v>
      </c>
      <c r="AB145" s="195">
        <f t="shared" ca="1" si="37"/>
        <v>0</v>
      </c>
      <c r="AD145" s="196">
        <f>IFERROR($G145/SUMIF($A:$A,$A145,$G:$G)*SUMIF(Summary!$A$166:$A$242,$A145,Summary!$P$166:$P$242),0)</f>
        <v>0</v>
      </c>
      <c r="AE145" s="197">
        <f t="shared" ca="1" si="38"/>
        <v>0</v>
      </c>
      <c r="AF145" s="196">
        <f>IFERROR(G145/SUMIF(A:A,A145,G:G)*SUMIF(Summary!$A$166:$A$242,'Operations Support'!A145,Summary!$Q$166:$Q$242),0)</f>
        <v>0</v>
      </c>
      <c r="AG145" s="196">
        <f t="shared" ca="1" si="39"/>
        <v>0</v>
      </c>
      <c r="AI145" s="196">
        <f>IFERROR($G145/SUMIF($A:$A,$A145,$G:$G)*SUMIF(Summary!$A$247:$A$283,$A145,Summary!$P$247:$P$283),0)</f>
        <v>0</v>
      </c>
      <c r="AJ145" s="196">
        <f>IFERROR($G145/SUMIF($A:$A,$A145,$G:$G)*(SUMIF(Summary!$A$247:$A$283,$A145,Summary!$L$247:$L$283)+SUMIF(Summary!$A$297:$A$333,$A145,Summary!$L$297:$L$333))-AI145,0)</f>
        <v>0</v>
      </c>
      <c r="AK145" s="196">
        <f>IFERROR($G145/SUMIF($A:$A,$A145,$G:$G)*SUMIF(Summary!$A$247:$A$283,$A145,Summary!$Q$247:$Q$283),0)</f>
        <v>0</v>
      </c>
      <c r="AL145" s="196">
        <f>IFERROR($G145/SUMIF($A:$A,$A145,$G:$G)*(SUMIF(Summary!$A$247:$A$283,$A145,Summary!$L$247:$L$283)+SUMIF(Summary!$A$297:$A$333,$A145,Summary!$L$297:$L$333))-AK145,0)</f>
        <v>0</v>
      </c>
      <c r="AM145" s="198"/>
      <c r="AN145" s="196">
        <f t="shared" ca="1" si="40"/>
        <v>0</v>
      </c>
      <c r="AO145" s="196">
        <f t="shared" ca="1" si="41"/>
        <v>0</v>
      </c>
    </row>
    <row r="146" spans="1:41">
      <c r="A146" s="189">
        <v>3541</v>
      </c>
      <c r="B146" s="190">
        <v>2</v>
      </c>
      <c r="C146" s="191" t="s">
        <v>235</v>
      </c>
      <c r="D146" s="192">
        <f t="shared" si="28"/>
        <v>4750.75</v>
      </c>
      <c r="E146" s="192">
        <f t="shared" si="29"/>
        <v>5414.25</v>
      </c>
      <c r="F146" s="192">
        <f t="shared" si="30"/>
        <v>0</v>
      </c>
      <c r="G146" s="193">
        <f t="shared" si="31"/>
        <v>10165</v>
      </c>
      <c r="H146" s="194">
        <v>2577.75</v>
      </c>
      <c r="I146" s="194">
        <v>2216.25</v>
      </c>
      <c r="J146" s="194">
        <v>0</v>
      </c>
      <c r="K146" s="193">
        <f t="shared" si="32"/>
        <v>4794</v>
      </c>
      <c r="L146" s="194">
        <v>1398</v>
      </c>
      <c r="M146" s="194">
        <v>1875</v>
      </c>
      <c r="N146" s="194">
        <v>0</v>
      </c>
      <c r="O146" s="193">
        <f t="shared" si="33"/>
        <v>3273</v>
      </c>
      <c r="P146" s="194">
        <v>775</v>
      </c>
      <c r="Q146" s="194">
        <v>1323</v>
      </c>
      <c r="R146" s="194">
        <v>0</v>
      </c>
      <c r="S146" s="193">
        <f t="shared" si="34"/>
        <v>2098</v>
      </c>
      <c r="T146" s="193">
        <f t="shared" si="35"/>
        <v>338.83333333333331</v>
      </c>
      <c r="U146" s="193">
        <f ca="1">OFFSET('Expenditure Study'!$B$7,'Operations Support'!$C146,'Operations Support'!$B146)*$G146</f>
        <v>19008.55</v>
      </c>
      <c r="V146" s="199">
        <f ca="1">U146*'Expenditure Study'!$B$31</f>
        <v>1123085.5963958399</v>
      </c>
      <c r="W146" s="199">
        <f ca="1">IF(A146=10298,1.51,1)*IF($B146&lt;3,$D146*'Expenditure Study'!$B$32*OFFSET('Expenditure Study'!$B$7,'Operations Support'!$C146,'Operations Support'!$B146),0)</f>
        <v>888.39025000000015</v>
      </c>
      <c r="X146" s="200">
        <f ca="1">W146*'Expenditure Study'!$B$31</f>
        <v>52488.921761707206</v>
      </c>
      <c r="Y146" s="199">
        <f ca="1">U146*'Expenditure Study'!$B$31</f>
        <v>1123085.5963958399</v>
      </c>
      <c r="Z146" s="200">
        <f ca="1">W146*'Expenditure Study'!$B$31</f>
        <v>52488.921761707206</v>
      </c>
      <c r="AA146" s="195">
        <f t="shared" ca="1" si="36"/>
        <v>1175574.5181575471</v>
      </c>
      <c r="AB146" s="195">
        <f t="shared" ca="1" si="37"/>
        <v>1175574.5181575471</v>
      </c>
      <c r="AD146" s="196">
        <f>IFERROR($G146/SUMIF($A:$A,$A146,$G:$G)*SUMIF(Summary!$A$166:$A$242,$A146,Summary!$P$166:$P$242),0)</f>
        <v>230805.44905996349</v>
      </c>
      <c r="AE146" s="197">
        <f t="shared" ca="1" si="38"/>
        <v>944769.06909758365</v>
      </c>
      <c r="AF146" s="196">
        <f>IFERROR(G146/SUMIF(A:A,A146,G:G)*SUMIF(Summary!$A$166:$A$242,'Operations Support'!A146,Summary!$Q$166:$Q$242),0)</f>
        <v>230959.19468137785</v>
      </c>
      <c r="AG146" s="196">
        <f t="shared" ca="1" si="39"/>
        <v>944615.32347616926</v>
      </c>
      <c r="AI146" s="196">
        <f>IFERROR($G146/SUMIF($A:$A,$A146,$G:$G)*SUMIF(Summary!$A$247:$A$283,$A146,Summary!$P$247:$P$283),0)</f>
        <v>42093.154222759098</v>
      </c>
      <c r="AJ146" s="196">
        <f>IFERROR($G146/SUMIF($A:$A,$A146,$G:$G)*(SUMIF(Summary!$A$247:$A$283,$A146,Summary!$L$247:$L$283)+SUMIF(Summary!$A$297:$A$333,$A146,Summary!$L$297:$L$333))-AI146,0)</f>
        <v>158068.30722272376</v>
      </c>
      <c r="AK146" s="196">
        <f>IFERROR($G146/SUMIF($A:$A,$A146,$G:$G)*SUMIF(Summary!$A$247:$A$283,$A146,Summary!$Q$247:$Q$283),0)</f>
        <v>42121.193587425863</v>
      </c>
      <c r="AL146" s="196">
        <f>IFERROR($G146/SUMIF($A:$A,$A146,$G:$G)*(SUMIF(Summary!$A$247:$A$283,$A146,Summary!$L$247:$L$283)+SUMIF(Summary!$A$297:$A$333,$A146,Summary!$L$297:$L$333))-AK146,0)</f>
        <v>158040.26785805699</v>
      </c>
      <c r="AM146" s="198"/>
      <c r="AN146" s="196">
        <f t="shared" ca="1" si="40"/>
        <v>1102837.3763203074</v>
      </c>
      <c r="AO146" s="196">
        <f t="shared" ca="1" si="41"/>
        <v>1102655.5913342263</v>
      </c>
    </row>
    <row r="147" spans="1:41">
      <c r="A147" s="189">
        <v>3541</v>
      </c>
      <c r="B147" s="190">
        <v>2</v>
      </c>
      <c r="C147" s="191" t="s">
        <v>236</v>
      </c>
      <c r="D147" s="192">
        <f t="shared" si="28"/>
        <v>0</v>
      </c>
      <c r="E147" s="192">
        <f t="shared" si="29"/>
        <v>0</v>
      </c>
      <c r="F147" s="192">
        <f t="shared" si="30"/>
        <v>0</v>
      </c>
      <c r="G147" s="193">
        <f t="shared" si="31"/>
        <v>0</v>
      </c>
      <c r="H147" s="194">
        <v>0</v>
      </c>
      <c r="I147" s="194">
        <v>0</v>
      </c>
      <c r="J147" s="194">
        <v>0</v>
      </c>
      <c r="K147" s="193">
        <f t="shared" si="32"/>
        <v>0</v>
      </c>
      <c r="L147" s="194">
        <v>0</v>
      </c>
      <c r="M147" s="194">
        <v>0</v>
      </c>
      <c r="N147" s="194">
        <v>0</v>
      </c>
      <c r="O147" s="193">
        <f t="shared" si="33"/>
        <v>0</v>
      </c>
      <c r="P147" s="194">
        <v>0</v>
      </c>
      <c r="Q147" s="194">
        <v>0</v>
      </c>
      <c r="R147" s="194">
        <v>0</v>
      </c>
      <c r="S147" s="193">
        <f t="shared" si="34"/>
        <v>0</v>
      </c>
      <c r="T147" s="193">
        <f t="shared" si="35"/>
        <v>0</v>
      </c>
      <c r="U147" s="193">
        <f ca="1">OFFSET('Expenditure Study'!$B$7,'Operations Support'!$C147,'Operations Support'!$B147)*$G147</f>
        <v>0</v>
      </c>
      <c r="V147" s="199">
        <f ca="1">U147*'Expenditure Study'!$B$31</f>
        <v>0</v>
      </c>
      <c r="W147" s="199">
        <f ca="1">IF(A147=10298,1.51,1)*IF($B147&lt;3,$D147*'Expenditure Study'!$B$32*OFFSET('Expenditure Study'!$B$7,'Operations Support'!$C147,'Operations Support'!$B147),0)</f>
        <v>0</v>
      </c>
      <c r="X147" s="200">
        <f ca="1">W147*'Expenditure Study'!$B$31</f>
        <v>0</v>
      </c>
      <c r="Y147" s="199">
        <f ca="1">U147*'Expenditure Study'!$B$31</f>
        <v>0</v>
      </c>
      <c r="Z147" s="200">
        <f ca="1">W147*'Expenditure Study'!$B$31</f>
        <v>0</v>
      </c>
      <c r="AA147" s="195">
        <f t="shared" ca="1" si="36"/>
        <v>0</v>
      </c>
      <c r="AB147" s="195">
        <f t="shared" ca="1" si="37"/>
        <v>0</v>
      </c>
      <c r="AD147" s="196">
        <f>IFERROR($G147/SUMIF($A:$A,$A147,$G:$G)*SUMIF(Summary!$A$166:$A$242,$A147,Summary!$P$166:$P$242),0)</f>
        <v>0</v>
      </c>
      <c r="AE147" s="197">
        <f t="shared" ca="1" si="38"/>
        <v>0</v>
      </c>
      <c r="AF147" s="196">
        <f>IFERROR(G147/SUMIF(A:A,A147,G:G)*SUMIF(Summary!$A$166:$A$242,'Operations Support'!A147,Summary!$Q$166:$Q$242),0)</f>
        <v>0</v>
      </c>
      <c r="AG147" s="196">
        <f t="shared" ca="1" si="39"/>
        <v>0</v>
      </c>
      <c r="AI147" s="196">
        <f>IFERROR($G147/SUMIF($A:$A,$A147,$G:$G)*SUMIF(Summary!$A$247:$A$283,$A147,Summary!$P$247:$P$283),0)</f>
        <v>0</v>
      </c>
      <c r="AJ147" s="196">
        <f>IFERROR($G147/SUMIF($A:$A,$A147,$G:$G)*(SUMIF(Summary!$A$247:$A$283,$A147,Summary!$L$247:$L$283)+SUMIF(Summary!$A$297:$A$333,$A147,Summary!$L$297:$L$333))-AI147,0)</f>
        <v>0</v>
      </c>
      <c r="AK147" s="196">
        <f>IFERROR($G147/SUMIF($A:$A,$A147,$G:$G)*SUMIF(Summary!$A$247:$A$283,$A147,Summary!$Q$247:$Q$283),0)</f>
        <v>0</v>
      </c>
      <c r="AL147" s="196">
        <f>IFERROR($G147/SUMIF($A:$A,$A147,$G:$G)*(SUMIF(Summary!$A$247:$A$283,$A147,Summary!$L$247:$L$283)+SUMIF(Summary!$A$297:$A$333,$A147,Summary!$L$297:$L$333))-AK147,0)</f>
        <v>0</v>
      </c>
      <c r="AM147" s="198"/>
      <c r="AN147" s="196">
        <f t="shared" ca="1" si="40"/>
        <v>0</v>
      </c>
      <c r="AO147" s="196">
        <f t="shared" ca="1" si="41"/>
        <v>0</v>
      </c>
    </row>
    <row r="148" spans="1:41">
      <c r="A148" s="189">
        <v>3541</v>
      </c>
      <c r="B148" s="190">
        <v>2</v>
      </c>
      <c r="C148" s="191" t="s">
        <v>237</v>
      </c>
      <c r="D148" s="192">
        <f t="shared" si="28"/>
        <v>693</v>
      </c>
      <c r="E148" s="192">
        <f t="shared" si="29"/>
        <v>0</v>
      </c>
      <c r="F148" s="192">
        <f t="shared" si="30"/>
        <v>0</v>
      </c>
      <c r="G148" s="193">
        <f t="shared" si="31"/>
        <v>693</v>
      </c>
      <c r="H148" s="194">
        <v>423</v>
      </c>
      <c r="I148" s="194">
        <v>0</v>
      </c>
      <c r="J148" s="194">
        <v>0</v>
      </c>
      <c r="K148" s="193">
        <f t="shared" si="32"/>
        <v>423</v>
      </c>
      <c r="L148" s="194">
        <v>270</v>
      </c>
      <c r="M148" s="194">
        <v>0</v>
      </c>
      <c r="N148" s="194">
        <v>0</v>
      </c>
      <c r="O148" s="193">
        <f t="shared" si="33"/>
        <v>270</v>
      </c>
      <c r="P148" s="194">
        <v>0</v>
      </c>
      <c r="Q148" s="194">
        <v>0</v>
      </c>
      <c r="R148" s="194">
        <v>0</v>
      </c>
      <c r="S148" s="193">
        <f t="shared" si="34"/>
        <v>0</v>
      </c>
      <c r="T148" s="193">
        <f t="shared" si="35"/>
        <v>23.1</v>
      </c>
      <c r="U148" s="193">
        <f ca="1">OFFSET('Expenditure Study'!$B$7,'Operations Support'!$C148,'Operations Support'!$B148)*$G148</f>
        <v>1621.62</v>
      </c>
      <c r="V148" s="199">
        <f ca="1">U148*'Expenditure Study'!$B$31</f>
        <v>95810.467648895996</v>
      </c>
      <c r="W148" s="199">
        <f ca="1">IF(A148=10298,1.51,1)*IF($B148&lt;3,$D148*'Expenditure Study'!$B$32*OFFSET('Expenditure Study'!$B$7,'Operations Support'!$C148,'Operations Support'!$B148),0)</f>
        <v>162.16199999999998</v>
      </c>
      <c r="X148" s="200">
        <f ca="1">W148*'Expenditure Study'!$B$31</f>
        <v>9581.0467648895992</v>
      </c>
      <c r="Y148" s="199">
        <f ca="1">U148*'Expenditure Study'!$B$31</f>
        <v>95810.467648895996</v>
      </c>
      <c r="Z148" s="200">
        <f ca="1">W148*'Expenditure Study'!$B$31</f>
        <v>9581.0467648895992</v>
      </c>
      <c r="AA148" s="195">
        <f t="shared" ca="1" si="36"/>
        <v>105391.5144137856</v>
      </c>
      <c r="AB148" s="195">
        <f t="shared" ca="1" si="37"/>
        <v>105391.5144137856</v>
      </c>
      <c r="AD148" s="196">
        <f>IFERROR($G148/SUMIF($A:$A,$A148,$G:$G)*SUMIF(Summary!$A$166:$A$242,$A148,Summary!$P$166:$P$242),0)</f>
        <v>15735.187033797805</v>
      </c>
      <c r="AE148" s="197">
        <f t="shared" ca="1" si="38"/>
        <v>89656.327379987793</v>
      </c>
      <c r="AF148" s="196">
        <f>IFERROR(G148/SUMIF(A:A,A148,G:G)*SUMIF(Summary!$A$166:$A$242,'Operations Support'!A148,Summary!$Q$166:$Q$242),0)</f>
        <v>15745.668658553353</v>
      </c>
      <c r="AG148" s="196">
        <f t="shared" ca="1" si="39"/>
        <v>89645.845755232236</v>
      </c>
      <c r="AI148" s="196">
        <f>IFERROR($G148/SUMIF($A:$A,$A148,$G:$G)*SUMIF(Summary!$A$247:$A$283,$A148,Summary!$P$247:$P$283),0)</f>
        <v>2869.7054477493416</v>
      </c>
      <c r="AJ148" s="196">
        <f>IFERROR($G148/SUMIF($A:$A,$A148,$G:$G)*(SUMIF(Summary!$A$247:$A$283,$A148,Summary!$L$247:$L$283)+SUMIF(Summary!$A$297:$A$333,$A148,Summary!$L$297:$L$333))-AI148,0)</f>
        <v>10776.32433894221</v>
      </c>
      <c r="AK148" s="196">
        <f>IFERROR($G148/SUMIF($A:$A,$A148,$G:$G)*SUMIF(Summary!$A$247:$A$283,$A148,Summary!$Q$247:$Q$283),0)</f>
        <v>2871.6170345387231</v>
      </c>
      <c r="AL148" s="196">
        <f>IFERROR($G148/SUMIF($A:$A,$A148,$G:$G)*(SUMIF(Summary!$A$247:$A$283,$A148,Summary!$L$247:$L$283)+SUMIF(Summary!$A$297:$A$333,$A148,Summary!$L$297:$L$333))-AK148,0)</f>
        <v>10774.412752152828</v>
      </c>
      <c r="AM148" s="198"/>
      <c r="AN148" s="196">
        <f t="shared" ca="1" si="40"/>
        <v>100432.65171893001</v>
      </c>
      <c r="AO148" s="196">
        <f t="shared" ca="1" si="41"/>
        <v>100420.25850738506</v>
      </c>
    </row>
    <row r="149" spans="1:41">
      <c r="A149" s="189">
        <v>3541</v>
      </c>
      <c r="B149" s="190">
        <v>2</v>
      </c>
      <c r="C149" s="191" t="s">
        <v>238</v>
      </c>
      <c r="D149" s="192">
        <f t="shared" si="28"/>
        <v>241</v>
      </c>
      <c r="E149" s="192">
        <f t="shared" si="29"/>
        <v>921</v>
      </c>
      <c r="F149" s="192">
        <f t="shared" si="30"/>
        <v>0</v>
      </c>
      <c r="G149" s="193">
        <f t="shared" si="31"/>
        <v>1162</v>
      </c>
      <c r="H149" s="194">
        <v>153</v>
      </c>
      <c r="I149" s="194">
        <v>393</v>
      </c>
      <c r="J149" s="194">
        <v>0</v>
      </c>
      <c r="K149" s="193">
        <f t="shared" si="32"/>
        <v>546</v>
      </c>
      <c r="L149" s="194">
        <v>55</v>
      </c>
      <c r="M149" s="194">
        <v>195</v>
      </c>
      <c r="N149" s="194">
        <v>0</v>
      </c>
      <c r="O149" s="193">
        <f t="shared" si="33"/>
        <v>250</v>
      </c>
      <c r="P149" s="194">
        <v>33</v>
      </c>
      <c r="Q149" s="194">
        <v>333</v>
      </c>
      <c r="R149" s="194">
        <v>0</v>
      </c>
      <c r="S149" s="193">
        <f t="shared" si="34"/>
        <v>366</v>
      </c>
      <c r="T149" s="193">
        <f t="shared" si="35"/>
        <v>38.733333333333334</v>
      </c>
      <c r="U149" s="193">
        <f ca="1">OFFSET('Expenditure Study'!$B$7,'Operations Support'!$C149,'Operations Support'!$B149)*$G149</f>
        <v>2788.7999999999997</v>
      </c>
      <c r="V149" s="199">
        <f ca="1">U149*'Expenditure Study'!$B$31</f>
        <v>164771.17461503998</v>
      </c>
      <c r="W149" s="199">
        <f ca="1">IF(A149=10298,1.51,1)*IF($B149&lt;3,$D149*'Expenditure Study'!$B$32*OFFSET('Expenditure Study'!$B$7,'Operations Support'!$C149,'Operations Support'!$B149),0)</f>
        <v>57.84</v>
      </c>
      <c r="X149" s="200">
        <f ca="1">W149*'Expenditure Study'!$B$31</f>
        <v>3417.3711774720005</v>
      </c>
      <c r="Y149" s="199">
        <f ca="1">U149*'Expenditure Study'!$B$31</f>
        <v>164771.17461503998</v>
      </c>
      <c r="Z149" s="200">
        <f ca="1">W149*'Expenditure Study'!$B$31</f>
        <v>3417.3711774720005</v>
      </c>
      <c r="AA149" s="195">
        <f t="shared" ca="1" si="36"/>
        <v>168188.54579251198</v>
      </c>
      <c r="AB149" s="195">
        <f t="shared" ca="1" si="37"/>
        <v>168188.54579251198</v>
      </c>
      <c r="AD149" s="196">
        <f>IFERROR($G149/SUMIF($A:$A,$A149,$G:$G)*SUMIF(Summary!$A$166:$A$242,$A149,Summary!$P$166:$P$242),0)</f>
        <v>26384.253006166015</v>
      </c>
      <c r="AE149" s="197">
        <f t="shared" ca="1" si="38"/>
        <v>141804.29278634596</v>
      </c>
      <c r="AF149" s="196">
        <f>IFERROR(G149/SUMIF(A:A,A149,G:G)*SUMIF(Summary!$A$166:$A$242,'Operations Support'!A149,Summary!$Q$166:$Q$242),0)</f>
        <v>26401.828255756129</v>
      </c>
      <c r="AG149" s="196">
        <f t="shared" ca="1" si="39"/>
        <v>141786.71753675587</v>
      </c>
      <c r="AI149" s="196">
        <f>IFERROR($G149/SUMIF($A:$A,$A149,$G:$G)*SUMIF(Summary!$A$247:$A$283,$A149,Summary!$P$247:$P$283),0)</f>
        <v>4811.8293366302087</v>
      </c>
      <c r="AJ149" s="196">
        <f>IFERROR($G149/SUMIF($A:$A,$A149,$G:$G)*(SUMIF(Summary!$A$247:$A$283,$A149,Summary!$L$247:$L$283)+SUMIF(Summary!$A$297:$A$333,$A149,Summary!$L$297:$L$333))-AI149,0)</f>
        <v>18069.392325903096</v>
      </c>
      <c r="AK149" s="196">
        <f>IFERROR($G149/SUMIF($A:$A,$A149,$G:$G)*SUMIF(Summary!$A$247:$A$283,$A149,Summary!$Q$247:$Q$283),0)</f>
        <v>4815.0346235699799</v>
      </c>
      <c r="AL149" s="196">
        <f>IFERROR($G149/SUMIF($A:$A,$A149,$G:$G)*(SUMIF(Summary!$A$247:$A$283,$A149,Summary!$L$247:$L$283)+SUMIF(Summary!$A$297:$A$333,$A149,Summary!$L$297:$L$333))-AK149,0)</f>
        <v>18066.187038963326</v>
      </c>
      <c r="AM149" s="198"/>
      <c r="AN149" s="196">
        <f t="shared" ca="1" si="40"/>
        <v>159873.68511224905</v>
      </c>
      <c r="AO149" s="196">
        <f t="shared" ca="1" si="41"/>
        <v>159852.90457571921</v>
      </c>
    </row>
    <row r="150" spans="1:41">
      <c r="A150" s="189">
        <v>3541</v>
      </c>
      <c r="B150" s="190">
        <v>2</v>
      </c>
      <c r="C150" s="191" t="s">
        <v>239</v>
      </c>
      <c r="D150" s="192">
        <f t="shared" si="28"/>
        <v>1364</v>
      </c>
      <c r="E150" s="192">
        <f t="shared" si="29"/>
        <v>2579</v>
      </c>
      <c r="F150" s="192">
        <f t="shared" si="30"/>
        <v>0</v>
      </c>
      <c r="G150" s="193">
        <f t="shared" si="31"/>
        <v>3943</v>
      </c>
      <c r="H150" s="194">
        <v>626</v>
      </c>
      <c r="I150" s="194">
        <v>1222</v>
      </c>
      <c r="J150" s="194">
        <v>0</v>
      </c>
      <c r="K150" s="193">
        <f t="shared" si="32"/>
        <v>1848</v>
      </c>
      <c r="L150" s="194">
        <v>684</v>
      </c>
      <c r="M150" s="194">
        <v>1090</v>
      </c>
      <c r="N150" s="194">
        <v>0</v>
      </c>
      <c r="O150" s="193">
        <f t="shared" si="33"/>
        <v>1774</v>
      </c>
      <c r="P150" s="194">
        <v>54</v>
      </c>
      <c r="Q150" s="194">
        <v>267</v>
      </c>
      <c r="R150" s="194">
        <v>0</v>
      </c>
      <c r="S150" s="193">
        <f t="shared" si="34"/>
        <v>321</v>
      </c>
      <c r="T150" s="193">
        <f t="shared" si="35"/>
        <v>131.43333333333334</v>
      </c>
      <c r="U150" s="193">
        <f ca="1">OFFSET('Expenditure Study'!$B$7,'Operations Support'!$C150,'Operations Support'!$B150)*$G150</f>
        <v>8201.44</v>
      </c>
      <c r="V150" s="199">
        <f ca="1">U150*'Expenditure Study'!$B$31</f>
        <v>484567.16234035202</v>
      </c>
      <c r="W150" s="199">
        <f ca="1">IF(A150=10298,1.51,1)*IF($B150&lt;3,$D150*'Expenditure Study'!$B$32*OFFSET('Expenditure Study'!$B$7,'Operations Support'!$C150,'Operations Support'!$B150),0)</f>
        <v>283.71200000000005</v>
      </c>
      <c r="X150" s="200">
        <f ca="1">W150*'Expenditure Study'!$B$31</f>
        <v>16762.607391129604</v>
      </c>
      <c r="Y150" s="199">
        <f ca="1">U150*'Expenditure Study'!$B$31</f>
        <v>484567.16234035202</v>
      </c>
      <c r="Z150" s="200">
        <f ca="1">W150*'Expenditure Study'!$B$31</f>
        <v>16762.607391129604</v>
      </c>
      <c r="AA150" s="195">
        <f t="shared" ca="1" si="36"/>
        <v>501329.76973148162</v>
      </c>
      <c r="AB150" s="195">
        <f t="shared" ca="1" si="37"/>
        <v>501329.76973148162</v>
      </c>
      <c r="AD150" s="196">
        <f>IFERROR($G150/SUMIF($A:$A,$A150,$G:$G)*SUMIF(Summary!$A$166:$A$242,$A150,Summary!$P$166:$P$242),0)</f>
        <v>89529.35421971824</v>
      </c>
      <c r="AE150" s="197">
        <f t="shared" ca="1" si="38"/>
        <v>411800.41551176336</v>
      </c>
      <c r="AF150" s="196">
        <f>IFERROR(G150/SUMIF(A:A,A150,G:G)*SUMIF(Summary!$A$166:$A$242,'Operations Support'!A150,Summary!$Q$166:$Q$242),0)</f>
        <v>89588.992093327382</v>
      </c>
      <c r="AG150" s="196">
        <f t="shared" ca="1" si="39"/>
        <v>411740.77763815422</v>
      </c>
      <c r="AI150" s="196">
        <f>IFERROR($G150/SUMIF($A:$A,$A150,$G:$G)*SUMIF(Summary!$A$247:$A$283,$A150,Summary!$P$247:$P$283),0)</f>
        <v>16327.920029546396</v>
      </c>
      <c r="AJ150" s="196">
        <f>IFERROR($G150/SUMIF($A:$A,$A150,$G:$G)*(SUMIF(Summary!$A$247:$A$283,$A150,Summary!$L$247:$L$283)+SUMIF(Summary!$A$297:$A$333,$A150,Summary!$L$297:$L$333))-AI150,0)</f>
        <v>61314.641945814044</v>
      </c>
      <c r="AK150" s="196">
        <f>IFERROR($G150/SUMIF($A:$A,$A150,$G:$G)*SUMIF(Summary!$A$247:$A$283,$A150,Summary!$Q$247:$Q$283),0)</f>
        <v>16338.796489446157</v>
      </c>
      <c r="AL150" s="196">
        <f>IFERROR($G150/SUMIF($A:$A,$A150,$G:$G)*(SUMIF(Summary!$A$247:$A$283,$A150,Summary!$L$247:$L$283)+SUMIF(Summary!$A$297:$A$333,$A150,Summary!$L$297:$L$333))-AK150,0)</f>
        <v>61303.765485914286</v>
      </c>
      <c r="AM150" s="198"/>
      <c r="AN150" s="196">
        <f t="shared" ca="1" si="40"/>
        <v>473115.05745757744</v>
      </c>
      <c r="AO150" s="196">
        <f t="shared" ca="1" si="41"/>
        <v>473044.54312406853</v>
      </c>
    </row>
    <row r="151" spans="1:41">
      <c r="A151" s="189">
        <v>3541</v>
      </c>
      <c r="B151" s="190">
        <v>2</v>
      </c>
      <c r="C151" s="191" t="s">
        <v>240</v>
      </c>
      <c r="D151" s="192">
        <f t="shared" si="28"/>
        <v>0</v>
      </c>
      <c r="E151" s="192">
        <f t="shared" si="29"/>
        <v>0</v>
      </c>
      <c r="F151" s="192">
        <f t="shared" si="30"/>
        <v>0</v>
      </c>
      <c r="G151" s="193">
        <f t="shared" si="31"/>
        <v>0</v>
      </c>
      <c r="H151" s="194">
        <v>0</v>
      </c>
      <c r="I151" s="194">
        <v>0</v>
      </c>
      <c r="J151" s="194">
        <v>0</v>
      </c>
      <c r="K151" s="193">
        <f t="shared" si="32"/>
        <v>0</v>
      </c>
      <c r="L151" s="194">
        <v>0</v>
      </c>
      <c r="M151" s="194">
        <v>0</v>
      </c>
      <c r="N151" s="194">
        <v>0</v>
      </c>
      <c r="O151" s="193">
        <f t="shared" si="33"/>
        <v>0</v>
      </c>
      <c r="P151" s="194">
        <v>0</v>
      </c>
      <c r="Q151" s="194">
        <v>0</v>
      </c>
      <c r="R151" s="194">
        <v>0</v>
      </c>
      <c r="S151" s="193">
        <f t="shared" si="34"/>
        <v>0</v>
      </c>
      <c r="T151" s="193">
        <f t="shared" si="35"/>
        <v>0</v>
      </c>
      <c r="U151" s="193">
        <f ca="1">OFFSET('Expenditure Study'!$B$7,'Operations Support'!$C151,'Operations Support'!$B151)*$G151</f>
        <v>0</v>
      </c>
      <c r="V151" s="199">
        <f ca="1">U151*'Expenditure Study'!$B$31</f>
        <v>0</v>
      </c>
      <c r="W151" s="199">
        <f ca="1">IF(A151=10298,1.51,1)*IF($B151&lt;3,$D151*'Expenditure Study'!$B$32*OFFSET('Expenditure Study'!$B$7,'Operations Support'!$C151,'Operations Support'!$B151),0)</f>
        <v>0</v>
      </c>
      <c r="X151" s="200">
        <f ca="1">W151*'Expenditure Study'!$B$31</f>
        <v>0</v>
      </c>
      <c r="Y151" s="199">
        <f ca="1">U151*'Expenditure Study'!$B$31</f>
        <v>0</v>
      </c>
      <c r="Z151" s="200">
        <f ca="1">W151*'Expenditure Study'!$B$31</f>
        <v>0</v>
      </c>
      <c r="AA151" s="195">
        <f t="shared" ca="1" si="36"/>
        <v>0</v>
      </c>
      <c r="AB151" s="195">
        <f t="shared" ca="1" si="37"/>
        <v>0</v>
      </c>
      <c r="AD151" s="196">
        <f>IFERROR($G151/SUMIF($A:$A,$A151,$G:$G)*SUMIF(Summary!$A$166:$A$242,$A151,Summary!$P$166:$P$242),0)</f>
        <v>0</v>
      </c>
      <c r="AE151" s="197">
        <f t="shared" ca="1" si="38"/>
        <v>0</v>
      </c>
      <c r="AF151" s="196">
        <f>IFERROR(G151/SUMIF(A:A,A151,G:G)*SUMIF(Summary!$A$166:$A$242,'Operations Support'!A151,Summary!$Q$166:$Q$242),0)</f>
        <v>0</v>
      </c>
      <c r="AG151" s="196">
        <f t="shared" ca="1" si="39"/>
        <v>0</v>
      </c>
      <c r="AI151" s="196">
        <f>IFERROR($G151/SUMIF($A:$A,$A151,$G:$G)*SUMIF(Summary!$A$247:$A$283,$A151,Summary!$P$247:$P$283),0)</f>
        <v>0</v>
      </c>
      <c r="AJ151" s="196">
        <f>IFERROR($G151/SUMIF($A:$A,$A151,$G:$G)*(SUMIF(Summary!$A$247:$A$283,$A151,Summary!$L$247:$L$283)+SUMIF(Summary!$A$297:$A$333,$A151,Summary!$L$297:$L$333))-AI151,0)</f>
        <v>0</v>
      </c>
      <c r="AK151" s="196">
        <f>IFERROR($G151/SUMIF($A:$A,$A151,$G:$G)*SUMIF(Summary!$A$247:$A$283,$A151,Summary!$Q$247:$Q$283),0)</f>
        <v>0</v>
      </c>
      <c r="AL151" s="196">
        <f>IFERROR($G151/SUMIF($A:$A,$A151,$G:$G)*(SUMIF(Summary!$A$247:$A$283,$A151,Summary!$L$247:$L$283)+SUMIF(Summary!$A$297:$A$333,$A151,Summary!$L$297:$L$333))-AK151,0)</f>
        <v>0</v>
      </c>
      <c r="AM151" s="198"/>
      <c r="AN151" s="196">
        <f t="shared" ca="1" si="40"/>
        <v>0</v>
      </c>
      <c r="AO151" s="196">
        <f t="shared" ca="1" si="41"/>
        <v>0</v>
      </c>
    </row>
    <row r="152" spans="1:41">
      <c r="A152" s="189">
        <v>3541</v>
      </c>
      <c r="B152" s="190">
        <v>3</v>
      </c>
      <c r="C152" s="191" t="s">
        <v>220</v>
      </c>
      <c r="D152" s="192">
        <f t="shared" si="28"/>
        <v>3456</v>
      </c>
      <c r="E152" s="192">
        <f t="shared" si="29"/>
        <v>1776</v>
      </c>
      <c r="F152" s="192">
        <f t="shared" si="30"/>
        <v>0</v>
      </c>
      <c r="G152" s="193">
        <f t="shared" si="31"/>
        <v>5232</v>
      </c>
      <c r="H152" s="194">
        <v>1626</v>
      </c>
      <c r="I152" s="194">
        <v>624</v>
      </c>
      <c r="J152" s="194">
        <v>0</v>
      </c>
      <c r="K152" s="193">
        <f t="shared" si="32"/>
        <v>2250</v>
      </c>
      <c r="L152" s="194">
        <v>840</v>
      </c>
      <c r="M152" s="194">
        <v>621</v>
      </c>
      <c r="N152" s="194">
        <v>0</v>
      </c>
      <c r="O152" s="193">
        <f t="shared" si="33"/>
        <v>1461</v>
      </c>
      <c r="P152" s="194">
        <v>990</v>
      </c>
      <c r="Q152" s="194">
        <v>531</v>
      </c>
      <c r="R152" s="194">
        <v>0</v>
      </c>
      <c r="S152" s="193">
        <f t="shared" si="34"/>
        <v>1521</v>
      </c>
      <c r="T152" s="193">
        <f t="shared" si="35"/>
        <v>218</v>
      </c>
      <c r="U152" s="193">
        <f ca="1">OFFSET('Expenditure Study'!$B$7,'Operations Support'!$C152,'Operations Support'!$B152)*$G152</f>
        <v>23334.720000000001</v>
      </c>
      <c r="V152" s="199">
        <f ca="1">U152*'Expenditure Study'!$B$31</f>
        <v>1378689.480677376</v>
      </c>
      <c r="W152" s="199">
        <f ca="1">IF(A152=10298,1.51,1)*IF($B152&lt;3,$D152*'Expenditure Study'!$B$32*OFFSET('Expenditure Study'!$B$7,'Operations Support'!$C152,'Operations Support'!$B152),0)</f>
        <v>0</v>
      </c>
      <c r="X152" s="200">
        <f ca="1">W152*'Expenditure Study'!$B$31</f>
        <v>0</v>
      </c>
      <c r="Y152" s="199">
        <f ca="1">U152*'Expenditure Study'!$B$31</f>
        <v>1378689.480677376</v>
      </c>
      <c r="Z152" s="200">
        <f ca="1">W152*'Expenditure Study'!$B$31</f>
        <v>0</v>
      </c>
      <c r="AA152" s="195">
        <f t="shared" ca="1" si="36"/>
        <v>1378689.480677376</v>
      </c>
      <c r="AB152" s="195">
        <f t="shared" ca="1" si="37"/>
        <v>1378689.480677376</v>
      </c>
      <c r="AD152" s="196">
        <f>IFERROR($G152/SUMIF($A:$A,$A152,$G:$G)*SUMIF(Summary!$A$166:$A$242,$A152,Summary!$P$166:$P$242),0)</f>
        <v>118797.25622053408</v>
      </c>
      <c r="AE152" s="197">
        <f t="shared" ca="1" si="38"/>
        <v>1259892.2244568421</v>
      </c>
      <c r="AF152" s="196">
        <f>IFERROR(G152/SUMIF(A:A,A152,G:G)*SUMIF(Summary!$A$166:$A$242,'Operations Support'!A152,Summary!$Q$166:$Q$242),0)</f>
        <v>118876.39021868852</v>
      </c>
      <c r="AG152" s="196">
        <f t="shared" ca="1" si="39"/>
        <v>1259813.0904586874</v>
      </c>
      <c r="AI152" s="196">
        <f>IFERROR($G152/SUMIF($A:$A,$A152,$G:$G)*SUMIF(Summary!$A$247:$A$283,$A152,Summary!$P$247:$P$283),0)</f>
        <v>21665.654982142216</v>
      </c>
      <c r="AJ152" s="196">
        <f>IFERROR($G152/SUMIF($A:$A,$A152,$G:$G)*(SUMIF(Summary!$A$247:$A$283,$A152,Summary!$L$247:$L$283)+SUMIF(Summary!$A$297:$A$333,$A152,Summary!$L$297:$L$333))-AI152,0)</f>
        <v>81358.916221277992</v>
      </c>
      <c r="AK152" s="196">
        <f>IFERROR($G152/SUMIF($A:$A,$A152,$G:$G)*SUMIF(Summary!$A$247:$A$283,$A152,Summary!$Q$247:$Q$283),0)</f>
        <v>21680.087048638674</v>
      </c>
      <c r="AL152" s="196">
        <f>IFERROR($G152/SUMIF($A:$A,$A152,$G:$G)*(SUMIF(Summary!$A$247:$A$283,$A152,Summary!$L$247:$L$283)+SUMIF(Summary!$A$297:$A$333,$A152,Summary!$L$297:$L$333))-AK152,0)</f>
        <v>81344.48415478153</v>
      </c>
      <c r="AM152" s="198"/>
      <c r="AN152" s="196">
        <f t="shared" ca="1" si="40"/>
        <v>1341251.1406781201</v>
      </c>
      <c r="AO152" s="196">
        <f t="shared" ca="1" si="41"/>
        <v>1341157.574613469</v>
      </c>
    </row>
    <row r="153" spans="1:41">
      <c r="A153" s="189">
        <v>3541</v>
      </c>
      <c r="B153" s="190">
        <v>3</v>
      </c>
      <c r="C153" s="191" t="s">
        <v>221</v>
      </c>
      <c r="D153" s="192">
        <f t="shared" si="28"/>
        <v>531.5</v>
      </c>
      <c r="E153" s="192">
        <f t="shared" si="29"/>
        <v>177.5</v>
      </c>
      <c r="F153" s="192">
        <f t="shared" si="30"/>
        <v>0</v>
      </c>
      <c r="G153" s="193">
        <f t="shared" si="31"/>
        <v>709</v>
      </c>
      <c r="H153" s="194">
        <v>183</v>
      </c>
      <c r="I153" s="194">
        <v>87</v>
      </c>
      <c r="J153" s="194">
        <v>0</v>
      </c>
      <c r="K153" s="193">
        <f t="shared" si="32"/>
        <v>270</v>
      </c>
      <c r="L153" s="194">
        <v>153</v>
      </c>
      <c r="M153" s="194">
        <v>59</v>
      </c>
      <c r="N153" s="194">
        <v>0</v>
      </c>
      <c r="O153" s="193">
        <f t="shared" si="33"/>
        <v>212</v>
      </c>
      <c r="P153" s="194">
        <v>195.5</v>
      </c>
      <c r="Q153" s="194">
        <v>31.5</v>
      </c>
      <c r="R153" s="194">
        <v>0</v>
      </c>
      <c r="S153" s="193">
        <f t="shared" si="34"/>
        <v>227</v>
      </c>
      <c r="T153" s="193">
        <f t="shared" si="35"/>
        <v>29.541666666666668</v>
      </c>
      <c r="U153" s="193">
        <f ca="1">OFFSET('Expenditure Study'!$B$7,'Operations Support'!$C153,'Operations Support'!$B153)*$G153</f>
        <v>4963</v>
      </c>
      <c r="V153" s="199">
        <f ca="1">U153*'Expenditure Study'!$B$31</f>
        <v>293229.82631039998</v>
      </c>
      <c r="W153" s="199">
        <f ca="1">IF(A153=10298,1.51,1)*IF($B153&lt;3,$D153*'Expenditure Study'!$B$32*OFFSET('Expenditure Study'!$B$7,'Operations Support'!$C153,'Operations Support'!$B153),0)</f>
        <v>0</v>
      </c>
      <c r="X153" s="200">
        <f ca="1">W153*'Expenditure Study'!$B$31</f>
        <v>0</v>
      </c>
      <c r="Y153" s="199">
        <f ca="1">U153*'Expenditure Study'!$B$31</f>
        <v>293229.82631039998</v>
      </c>
      <c r="Z153" s="200">
        <f ca="1">W153*'Expenditure Study'!$B$31</f>
        <v>0</v>
      </c>
      <c r="AA153" s="195">
        <f t="shared" ca="1" si="36"/>
        <v>293229.82631039998</v>
      </c>
      <c r="AB153" s="195">
        <f t="shared" ca="1" si="37"/>
        <v>293229.82631039998</v>
      </c>
      <c r="AD153" s="196">
        <f>IFERROR($G153/SUMIF($A:$A,$A153,$G:$G)*SUMIF(Summary!$A$166:$A$242,$A153,Summary!$P$166:$P$242),0)</f>
        <v>16098.481395328492</v>
      </c>
      <c r="AE153" s="197">
        <f t="shared" ca="1" si="38"/>
        <v>277131.3449150715</v>
      </c>
      <c r="AF153" s="196">
        <f>IFERROR(G153/SUMIF(A:A,A153,G:G)*SUMIF(Summary!$A$166:$A$242,'Operations Support'!A153,Summary!$Q$166:$Q$242),0)</f>
        <v>16109.205020078396</v>
      </c>
      <c r="AG153" s="196">
        <f t="shared" ca="1" si="39"/>
        <v>277120.62129032158</v>
      </c>
      <c r="AI153" s="196">
        <f>IFERROR($G153/SUMIF($A:$A,$A153,$G:$G)*SUMIF(Summary!$A$247:$A$283,$A153,Summary!$P$247:$P$283),0)</f>
        <v>2935.9612733828039</v>
      </c>
      <c r="AJ153" s="196">
        <f>IFERROR($G153/SUMIF($A:$A,$A153,$G:$G)*(SUMIF(Summary!$A$247:$A$283,$A153,Summary!$L$247:$L$283)+SUMIF(Summary!$A$297:$A$333,$A153,Summary!$L$297:$L$333))-AI153,0)</f>
        <v>11025.128364083734</v>
      </c>
      <c r="AK153" s="196">
        <f>IFERROR($G153/SUMIF($A:$A,$A153,$G:$G)*SUMIF(Summary!$A$247:$A$283,$A153,Summary!$Q$247:$Q$283),0)</f>
        <v>2937.916994932114</v>
      </c>
      <c r="AL153" s="196">
        <f>IFERROR($G153/SUMIF($A:$A,$A153,$G:$G)*(SUMIF(Summary!$A$247:$A$283,$A153,Summary!$L$247:$L$283)+SUMIF(Summary!$A$297:$A$333,$A153,Summary!$L$297:$L$333))-AK153,0)</f>
        <v>11023.172642534424</v>
      </c>
      <c r="AM153" s="198"/>
      <c r="AN153" s="196">
        <f t="shared" ca="1" si="40"/>
        <v>288156.47327915521</v>
      </c>
      <c r="AO153" s="196">
        <f t="shared" ca="1" si="41"/>
        <v>288143.793932856</v>
      </c>
    </row>
    <row r="154" spans="1:41">
      <c r="A154" s="189">
        <v>3541</v>
      </c>
      <c r="B154" s="190">
        <v>3</v>
      </c>
      <c r="C154" s="191" t="s">
        <v>222</v>
      </c>
      <c r="D154" s="192">
        <f t="shared" si="28"/>
        <v>0</v>
      </c>
      <c r="E154" s="192">
        <f t="shared" si="29"/>
        <v>0</v>
      </c>
      <c r="F154" s="192">
        <f t="shared" si="30"/>
        <v>0</v>
      </c>
      <c r="G154" s="193">
        <f t="shared" si="31"/>
        <v>0</v>
      </c>
      <c r="H154" s="194">
        <v>0</v>
      </c>
      <c r="I154" s="194">
        <v>0</v>
      </c>
      <c r="J154" s="194">
        <v>0</v>
      </c>
      <c r="K154" s="193">
        <f t="shared" si="32"/>
        <v>0</v>
      </c>
      <c r="L154" s="194">
        <v>0</v>
      </c>
      <c r="M154" s="194">
        <v>0</v>
      </c>
      <c r="N154" s="194">
        <v>0</v>
      </c>
      <c r="O154" s="193">
        <f t="shared" si="33"/>
        <v>0</v>
      </c>
      <c r="P154" s="194">
        <v>0</v>
      </c>
      <c r="Q154" s="194">
        <v>0</v>
      </c>
      <c r="R154" s="194">
        <v>0</v>
      </c>
      <c r="S154" s="193">
        <f t="shared" si="34"/>
        <v>0</v>
      </c>
      <c r="T154" s="193">
        <f t="shared" si="35"/>
        <v>0</v>
      </c>
      <c r="U154" s="193">
        <f ca="1">OFFSET('Expenditure Study'!$B$7,'Operations Support'!$C154,'Operations Support'!$B154)*$G154</f>
        <v>0</v>
      </c>
      <c r="V154" s="199">
        <f ca="1">U154*'Expenditure Study'!$B$31</f>
        <v>0</v>
      </c>
      <c r="W154" s="199">
        <f ca="1">IF(A154=10298,1.51,1)*IF($B154&lt;3,$D154*'Expenditure Study'!$B$32*OFFSET('Expenditure Study'!$B$7,'Operations Support'!$C154,'Operations Support'!$B154),0)</f>
        <v>0</v>
      </c>
      <c r="X154" s="200">
        <f ca="1">W154*'Expenditure Study'!$B$31</f>
        <v>0</v>
      </c>
      <c r="Y154" s="199">
        <f ca="1">U154*'Expenditure Study'!$B$31</f>
        <v>0</v>
      </c>
      <c r="Z154" s="200">
        <f ca="1">W154*'Expenditure Study'!$B$31</f>
        <v>0</v>
      </c>
      <c r="AA154" s="195">
        <f t="shared" ca="1" si="36"/>
        <v>0</v>
      </c>
      <c r="AB154" s="195">
        <f t="shared" ca="1" si="37"/>
        <v>0</v>
      </c>
      <c r="AD154" s="196">
        <f>IFERROR($G154/SUMIF($A:$A,$A154,$G:$G)*SUMIF(Summary!$A$166:$A$242,$A154,Summary!$P$166:$P$242),0)</f>
        <v>0</v>
      </c>
      <c r="AE154" s="197">
        <f t="shared" ca="1" si="38"/>
        <v>0</v>
      </c>
      <c r="AF154" s="196">
        <f>IFERROR(G154/SUMIF(A:A,A154,G:G)*SUMIF(Summary!$A$166:$A$242,'Operations Support'!A154,Summary!$Q$166:$Q$242),0)</f>
        <v>0</v>
      </c>
      <c r="AG154" s="196">
        <f t="shared" ca="1" si="39"/>
        <v>0</v>
      </c>
      <c r="AI154" s="196">
        <f>IFERROR($G154/SUMIF($A:$A,$A154,$G:$G)*SUMIF(Summary!$A$247:$A$283,$A154,Summary!$P$247:$P$283),0)</f>
        <v>0</v>
      </c>
      <c r="AJ154" s="196">
        <f>IFERROR($G154/SUMIF($A:$A,$A154,$G:$G)*(SUMIF(Summary!$A$247:$A$283,$A154,Summary!$L$247:$L$283)+SUMIF(Summary!$A$297:$A$333,$A154,Summary!$L$297:$L$333))-AI154,0)</f>
        <v>0</v>
      </c>
      <c r="AK154" s="196">
        <f>IFERROR($G154/SUMIF($A:$A,$A154,$G:$G)*SUMIF(Summary!$A$247:$A$283,$A154,Summary!$Q$247:$Q$283),0)</f>
        <v>0</v>
      </c>
      <c r="AL154" s="196">
        <f>IFERROR($G154/SUMIF($A:$A,$A154,$G:$G)*(SUMIF(Summary!$A$247:$A$283,$A154,Summary!$L$247:$L$283)+SUMIF(Summary!$A$297:$A$333,$A154,Summary!$L$297:$L$333))-AK154,0)</f>
        <v>0</v>
      </c>
      <c r="AM154" s="198"/>
      <c r="AN154" s="196">
        <f t="shared" ca="1" si="40"/>
        <v>0</v>
      </c>
      <c r="AO154" s="196">
        <f t="shared" ca="1" si="41"/>
        <v>0</v>
      </c>
    </row>
    <row r="155" spans="1:41">
      <c r="A155" s="189">
        <v>3541</v>
      </c>
      <c r="B155" s="190">
        <v>3</v>
      </c>
      <c r="C155" s="191" t="s">
        <v>223</v>
      </c>
      <c r="D155" s="192">
        <f t="shared" si="28"/>
        <v>5010</v>
      </c>
      <c r="E155" s="192">
        <f t="shared" si="29"/>
        <v>3972</v>
      </c>
      <c r="F155" s="192">
        <f t="shared" si="30"/>
        <v>0</v>
      </c>
      <c r="G155" s="193">
        <f t="shared" si="31"/>
        <v>8982</v>
      </c>
      <c r="H155" s="194">
        <v>2148</v>
      </c>
      <c r="I155" s="194">
        <v>1626</v>
      </c>
      <c r="J155" s="194">
        <v>0</v>
      </c>
      <c r="K155" s="193">
        <f t="shared" si="32"/>
        <v>3774</v>
      </c>
      <c r="L155" s="194">
        <v>876</v>
      </c>
      <c r="M155" s="194">
        <v>1020</v>
      </c>
      <c r="N155" s="194">
        <v>0</v>
      </c>
      <c r="O155" s="193">
        <f t="shared" si="33"/>
        <v>1896</v>
      </c>
      <c r="P155" s="194">
        <v>1986</v>
      </c>
      <c r="Q155" s="194">
        <v>1326</v>
      </c>
      <c r="R155" s="194">
        <v>0</v>
      </c>
      <c r="S155" s="193">
        <f t="shared" si="34"/>
        <v>3312</v>
      </c>
      <c r="T155" s="193">
        <f t="shared" si="35"/>
        <v>374.25</v>
      </c>
      <c r="U155" s="193">
        <f ca="1">OFFSET('Expenditure Study'!$B$7,'Operations Support'!$C155,'Operations Support'!$B155)*$G155</f>
        <v>20119.68</v>
      </c>
      <c r="V155" s="199">
        <f ca="1">U155*'Expenditure Study'!$B$31</f>
        <v>1188734.6910781441</v>
      </c>
      <c r="W155" s="199">
        <f ca="1">IF(A155=10298,1.51,1)*IF($B155&lt;3,$D155*'Expenditure Study'!$B$32*OFFSET('Expenditure Study'!$B$7,'Operations Support'!$C155,'Operations Support'!$B155),0)</f>
        <v>0</v>
      </c>
      <c r="X155" s="200">
        <f ca="1">W155*'Expenditure Study'!$B$31</f>
        <v>0</v>
      </c>
      <c r="Y155" s="199">
        <f ca="1">U155*'Expenditure Study'!$B$31</f>
        <v>1188734.6910781441</v>
      </c>
      <c r="Z155" s="200">
        <f ca="1">W155*'Expenditure Study'!$B$31</f>
        <v>0</v>
      </c>
      <c r="AA155" s="195">
        <f t="shared" ca="1" si="36"/>
        <v>1188734.6910781441</v>
      </c>
      <c r="AB155" s="195">
        <f t="shared" ca="1" si="37"/>
        <v>1188734.6910781441</v>
      </c>
      <c r="AD155" s="196">
        <f>IFERROR($G155/SUMIF($A:$A,$A155,$G:$G)*SUMIF(Summary!$A$166:$A$242,$A155,Summary!$P$166:$P$242),0)</f>
        <v>203944.37220428846</v>
      </c>
      <c r="AE155" s="197">
        <f t="shared" ca="1" si="38"/>
        <v>984790.31887385563</v>
      </c>
      <c r="AF155" s="196">
        <f>IFERROR(G155/SUMIF(A:A,A155,G:G)*SUMIF(Summary!$A$166:$A$242,'Operations Support'!A155,Summary!$Q$166:$Q$242),0)</f>
        <v>204080.22495112012</v>
      </c>
      <c r="AG155" s="196">
        <f t="shared" ca="1" si="39"/>
        <v>984654.46612702403</v>
      </c>
      <c r="AI155" s="196">
        <f>IFERROR($G155/SUMIF($A:$A,$A155,$G:$G)*SUMIF(Summary!$A$247:$A$283,$A155,Summary!$P$247:$P$283),0)</f>
        <v>37194.364114984972</v>
      </c>
      <c r="AJ155" s="196">
        <f>IFERROR($G155/SUMIF($A:$A,$A155,$G:$G)*(SUMIF(Summary!$A$247:$A$283,$A155,Summary!$L$247:$L$283)+SUMIF(Summary!$A$297:$A$333,$A155,Summary!$L$297:$L$333))-AI155,0)</f>
        <v>139672.35961382242</v>
      </c>
      <c r="AK155" s="196">
        <f>IFERROR($G155/SUMIF($A:$A,$A155,$G:$G)*SUMIF(Summary!$A$247:$A$283,$A155,Summary!$Q$247:$Q$283),0)</f>
        <v>37219.14026583956</v>
      </c>
      <c r="AL155" s="196">
        <f>IFERROR($G155/SUMIF($A:$A,$A155,$G:$G)*(SUMIF(Summary!$A$247:$A$283,$A155,Summary!$L$247:$L$283)+SUMIF(Summary!$A$297:$A$333,$A155,Summary!$L$297:$L$333))-AK155,0)</f>
        <v>139647.58346296783</v>
      </c>
      <c r="AM155" s="198"/>
      <c r="AN155" s="196">
        <f t="shared" ca="1" si="40"/>
        <v>1124462.6784876781</v>
      </c>
      <c r="AO155" s="196">
        <f t="shared" ca="1" si="41"/>
        <v>1124302.0495899918</v>
      </c>
    </row>
    <row r="156" spans="1:41">
      <c r="A156" s="189">
        <v>3541</v>
      </c>
      <c r="B156" s="190">
        <v>3</v>
      </c>
      <c r="C156" s="191" t="s">
        <v>224</v>
      </c>
      <c r="D156" s="192">
        <f t="shared" si="28"/>
        <v>324</v>
      </c>
      <c r="E156" s="192">
        <f t="shared" si="29"/>
        <v>0</v>
      </c>
      <c r="F156" s="192">
        <f t="shared" si="30"/>
        <v>0</v>
      </c>
      <c r="G156" s="193">
        <f t="shared" si="31"/>
        <v>324</v>
      </c>
      <c r="H156" s="194">
        <v>148</v>
      </c>
      <c r="I156" s="194">
        <v>0</v>
      </c>
      <c r="J156" s="194">
        <v>0</v>
      </c>
      <c r="K156" s="193">
        <f t="shared" si="32"/>
        <v>148</v>
      </c>
      <c r="L156" s="194">
        <v>157</v>
      </c>
      <c r="M156" s="194">
        <v>0</v>
      </c>
      <c r="N156" s="194">
        <v>0</v>
      </c>
      <c r="O156" s="193">
        <f t="shared" si="33"/>
        <v>157</v>
      </c>
      <c r="P156" s="194">
        <v>19</v>
      </c>
      <c r="Q156" s="194">
        <v>0</v>
      </c>
      <c r="R156" s="194">
        <v>0</v>
      </c>
      <c r="S156" s="193">
        <f t="shared" si="34"/>
        <v>19</v>
      </c>
      <c r="T156" s="193">
        <f t="shared" si="35"/>
        <v>13.5</v>
      </c>
      <c r="U156" s="193">
        <f ca="1">OFFSET('Expenditure Study'!$B$7,'Operations Support'!$C156,'Operations Support'!$B156)*$G156</f>
        <v>2971.08</v>
      </c>
      <c r="V156" s="199">
        <f ca="1">U156*'Expenditure Study'!$B$31</f>
        <v>175540.85681126401</v>
      </c>
      <c r="W156" s="199">
        <f ca="1">IF(A156=10298,1.51,1)*IF($B156&lt;3,$D156*'Expenditure Study'!$B$32*OFFSET('Expenditure Study'!$B$7,'Operations Support'!$C156,'Operations Support'!$B156),0)</f>
        <v>0</v>
      </c>
      <c r="X156" s="200">
        <f ca="1">W156*'Expenditure Study'!$B$31</f>
        <v>0</v>
      </c>
      <c r="Y156" s="199">
        <f ca="1">U156*'Expenditure Study'!$B$31</f>
        <v>175540.85681126401</v>
      </c>
      <c r="Z156" s="200">
        <f ca="1">W156*'Expenditure Study'!$B$31</f>
        <v>0</v>
      </c>
      <c r="AA156" s="195">
        <f t="shared" ca="1" si="36"/>
        <v>175540.85681126401</v>
      </c>
      <c r="AB156" s="195">
        <f t="shared" ca="1" si="37"/>
        <v>175540.85681126401</v>
      </c>
      <c r="AD156" s="196">
        <f>IFERROR($G156/SUMIF($A:$A,$A156,$G:$G)*SUMIF(Summary!$A$166:$A$242,$A156,Summary!$P$166:$P$242),0)</f>
        <v>7356.7108209963762</v>
      </c>
      <c r="AE156" s="197">
        <f t="shared" ca="1" si="38"/>
        <v>168184.14599026763</v>
      </c>
      <c r="AF156" s="196">
        <f>IFERROR(G156/SUMIF(A:A,A156,G:G)*SUMIF(Summary!$A$166:$A$242,'Operations Support'!A156,Summary!$Q$166:$Q$242),0)</f>
        <v>7361.6113208820871</v>
      </c>
      <c r="AG156" s="196">
        <f t="shared" ca="1" si="39"/>
        <v>168179.24549038193</v>
      </c>
      <c r="AI156" s="196">
        <f>IFERROR($G156/SUMIF($A:$A,$A156,$G:$G)*SUMIF(Summary!$A$247:$A$283,$A156,Summary!$P$247:$P$283),0)</f>
        <v>1341.6804690776141</v>
      </c>
      <c r="AJ156" s="196">
        <f>IFERROR($G156/SUMIF($A:$A,$A156,$G:$G)*(SUMIF(Summary!$A$247:$A$283,$A156,Summary!$L$247:$L$283)+SUMIF(Summary!$A$297:$A$333,$A156,Summary!$L$297:$L$333))-AI156,0)</f>
        <v>5038.2815091158382</v>
      </c>
      <c r="AK156" s="196">
        <f>IFERROR($G156/SUMIF($A:$A,$A156,$G:$G)*SUMIF(Summary!$A$247:$A$283,$A156,Summary!$Q$247:$Q$283),0)</f>
        <v>1342.5741979661564</v>
      </c>
      <c r="AL156" s="196">
        <f>IFERROR($G156/SUMIF($A:$A,$A156,$G:$G)*(SUMIF(Summary!$A$247:$A$283,$A156,Summary!$L$247:$L$283)+SUMIF(Summary!$A$297:$A$333,$A156,Summary!$L$297:$L$333))-AK156,0)</f>
        <v>5037.3877802272964</v>
      </c>
      <c r="AM156" s="198"/>
      <c r="AN156" s="196">
        <f t="shared" ca="1" si="40"/>
        <v>173222.42749938346</v>
      </c>
      <c r="AO156" s="196">
        <f t="shared" ca="1" si="41"/>
        <v>173216.63327060922</v>
      </c>
    </row>
    <row r="157" spans="1:41">
      <c r="A157" s="189">
        <v>3541</v>
      </c>
      <c r="B157" s="190">
        <v>3</v>
      </c>
      <c r="C157" s="191" t="s">
        <v>225</v>
      </c>
      <c r="D157" s="192">
        <f t="shared" si="28"/>
        <v>282</v>
      </c>
      <c r="E157" s="192">
        <f t="shared" si="29"/>
        <v>57</v>
      </c>
      <c r="F157" s="192">
        <f t="shared" si="30"/>
        <v>0</v>
      </c>
      <c r="G157" s="193">
        <f t="shared" si="31"/>
        <v>339</v>
      </c>
      <c r="H157" s="194">
        <v>195</v>
      </c>
      <c r="I157" s="194">
        <v>0</v>
      </c>
      <c r="J157" s="194">
        <v>0</v>
      </c>
      <c r="K157" s="193">
        <f t="shared" si="32"/>
        <v>195</v>
      </c>
      <c r="L157" s="194">
        <v>87</v>
      </c>
      <c r="M157" s="194">
        <v>21</v>
      </c>
      <c r="N157" s="194">
        <v>0</v>
      </c>
      <c r="O157" s="193">
        <f t="shared" si="33"/>
        <v>108</v>
      </c>
      <c r="P157" s="194">
        <v>0</v>
      </c>
      <c r="Q157" s="194">
        <v>36</v>
      </c>
      <c r="R157" s="194">
        <v>0</v>
      </c>
      <c r="S157" s="193">
        <f t="shared" si="34"/>
        <v>36</v>
      </c>
      <c r="T157" s="193">
        <f t="shared" si="35"/>
        <v>14.125</v>
      </c>
      <c r="U157" s="193">
        <f ca="1">OFFSET('Expenditure Study'!$B$7,'Operations Support'!$C157,'Operations Support'!$B157)*$G157</f>
        <v>2342.4900000000002</v>
      </c>
      <c r="V157" s="199">
        <f ca="1">U157*'Expenditure Study'!$B$31</f>
        <v>138401.76019219201</v>
      </c>
      <c r="W157" s="199">
        <f ca="1">IF(A157=10298,1.51,1)*IF($B157&lt;3,$D157*'Expenditure Study'!$B$32*OFFSET('Expenditure Study'!$B$7,'Operations Support'!$C157,'Operations Support'!$B157),0)</f>
        <v>0</v>
      </c>
      <c r="X157" s="200">
        <f ca="1">W157*'Expenditure Study'!$B$31</f>
        <v>0</v>
      </c>
      <c r="Y157" s="199">
        <f ca="1">U157*'Expenditure Study'!$B$31</f>
        <v>138401.76019219201</v>
      </c>
      <c r="Z157" s="200">
        <f ca="1">W157*'Expenditure Study'!$B$31</f>
        <v>0</v>
      </c>
      <c r="AA157" s="195">
        <f t="shared" ca="1" si="36"/>
        <v>138401.76019219201</v>
      </c>
      <c r="AB157" s="195">
        <f t="shared" ca="1" si="37"/>
        <v>138401.76019219201</v>
      </c>
      <c r="AD157" s="196">
        <f>IFERROR($G157/SUMIF($A:$A,$A157,$G:$G)*SUMIF(Summary!$A$166:$A$242,$A157,Summary!$P$166:$P$242),0)</f>
        <v>7697.2992849313941</v>
      </c>
      <c r="AE157" s="197">
        <f t="shared" ca="1" si="38"/>
        <v>130704.46090726063</v>
      </c>
      <c r="AF157" s="196">
        <f>IFERROR(G157/SUMIF(A:A,A157,G:G)*SUMIF(Summary!$A$166:$A$242,'Operations Support'!A157,Summary!$Q$166:$Q$242),0)</f>
        <v>7702.4266598118138</v>
      </c>
      <c r="AG157" s="196">
        <f t="shared" ca="1" si="39"/>
        <v>130699.3335323802</v>
      </c>
      <c r="AI157" s="196">
        <f>IFERROR($G157/SUMIF($A:$A,$A157,$G:$G)*SUMIF(Summary!$A$247:$A$283,$A157,Summary!$P$247:$P$283),0)</f>
        <v>1403.7953056089852</v>
      </c>
      <c r="AJ157" s="196">
        <f>IFERROR($G157/SUMIF($A:$A,$A157,$G:$G)*(SUMIF(Summary!$A$247:$A$283,$A157,Summary!$L$247:$L$283)+SUMIF(Summary!$A$297:$A$333,$A157,Summary!$L$297:$L$333))-AI157,0)</f>
        <v>5271.5352826860162</v>
      </c>
      <c r="AK157" s="196">
        <f>IFERROR($G157/SUMIF($A:$A,$A157,$G:$G)*SUMIF(Summary!$A$247:$A$283,$A157,Summary!$Q$247:$Q$283),0)</f>
        <v>1404.7304108349599</v>
      </c>
      <c r="AL157" s="196">
        <f>IFERROR($G157/SUMIF($A:$A,$A157,$G:$G)*(SUMIF(Summary!$A$247:$A$283,$A157,Summary!$L$247:$L$283)+SUMIF(Summary!$A$297:$A$333,$A157,Summary!$L$297:$L$333))-AK157,0)</f>
        <v>5270.6001774600418</v>
      </c>
      <c r="AM157" s="198"/>
      <c r="AN157" s="196">
        <f t="shared" ca="1" si="40"/>
        <v>135975.99618994663</v>
      </c>
      <c r="AO157" s="196">
        <f t="shared" ca="1" si="41"/>
        <v>135969.93370984023</v>
      </c>
    </row>
    <row r="158" spans="1:41">
      <c r="A158" s="189">
        <v>3541</v>
      </c>
      <c r="B158" s="190">
        <v>3</v>
      </c>
      <c r="C158" s="191" t="s">
        <v>226</v>
      </c>
      <c r="D158" s="192">
        <f t="shared" si="28"/>
        <v>99</v>
      </c>
      <c r="E158" s="192">
        <f t="shared" si="29"/>
        <v>0</v>
      </c>
      <c r="F158" s="192">
        <f t="shared" si="30"/>
        <v>0</v>
      </c>
      <c r="G158" s="193">
        <f t="shared" si="31"/>
        <v>99</v>
      </c>
      <c r="H158" s="194">
        <v>0</v>
      </c>
      <c r="I158" s="194">
        <v>0</v>
      </c>
      <c r="J158" s="194">
        <v>0</v>
      </c>
      <c r="K158" s="193">
        <f t="shared" si="32"/>
        <v>0</v>
      </c>
      <c r="L158" s="194">
        <v>48</v>
      </c>
      <c r="M158" s="194">
        <v>0</v>
      </c>
      <c r="N158" s="194">
        <v>0</v>
      </c>
      <c r="O158" s="193">
        <f t="shared" si="33"/>
        <v>48</v>
      </c>
      <c r="P158" s="194">
        <v>51</v>
      </c>
      <c r="Q158" s="194">
        <v>0</v>
      </c>
      <c r="R158" s="194">
        <v>0</v>
      </c>
      <c r="S158" s="193">
        <f t="shared" si="34"/>
        <v>51</v>
      </c>
      <c r="T158" s="193">
        <f t="shared" si="35"/>
        <v>4.125</v>
      </c>
      <c r="U158" s="193">
        <f ca="1">OFFSET('Expenditure Study'!$B$7,'Operations Support'!$C158,'Operations Support'!$B158)*$G158</f>
        <v>341.55</v>
      </c>
      <c r="V158" s="199">
        <f ca="1">U158*'Expenditure Study'!$B$31</f>
        <v>20179.86040224</v>
      </c>
      <c r="W158" s="199">
        <f ca="1">IF(A158=10298,1.51,1)*IF($B158&lt;3,$D158*'Expenditure Study'!$B$32*OFFSET('Expenditure Study'!$B$7,'Operations Support'!$C158,'Operations Support'!$B158),0)</f>
        <v>0</v>
      </c>
      <c r="X158" s="200">
        <f ca="1">W158*'Expenditure Study'!$B$31</f>
        <v>0</v>
      </c>
      <c r="Y158" s="199">
        <f ca="1">U158*'Expenditure Study'!$B$31</f>
        <v>20179.86040224</v>
      </c>
      <c r="Z158" s="200">
        <f ca="1">W158*'Expenditure Study'!$B$31</f>
        <v>0</v>
      </c>
      <c r="AA158" s="195">
        <f t="shared" ca="1" si="36"/>
        <v>20179.86040224</v>
      </c>
      <c r="AB158" s="195">
        <f t="shared" ca="1" si="37"/>
        <v>20179.86040224</v>
      </c>
      <c r="AD158" s="196">
        <f>IFERROR($G158/SUMIF($A:$A,$A158,$G:$G)*SUMIF(Summary!$A$166:$A$242,$A158,Summary!$P$166:$P$242),0)</f>
        <v>2247.883861971115</v>
      </c>
      <c r="AE158" s="197">
        <f t="shared" ca="1" si="38"/>
        <v>17931.976540268886</v>
      </c>
      <c r="AF158" s="196">
        <f>IFERROR(G158/SUMIF(A:A,A158,G:G)*SUMIF(Summary!$A$166:$A$242,'Operations Support'!A158,Summary!$Q$166:$Q$242),0)</f>
        <v>2249.3812369361935</v>
      </c>
      <c r="AG158" s="196">
        <f t="shared" ca="1" si="39"/>
        <v>17930.479165303805</v>
      </c>
      <c r="AI158" s="196">
        <f>IFERROR($G158/SUMIF($A:$A,$A158,$G:$G)*SUMIF(Summary!$A$247:$A$283,$A158,Summary!$P$247:$P$283),0)</f>
        <v>409.95792110704878</v>
      </c>
      <c r="AJ158" s="196">
        <f>IFERROR($G158/SUMIF($A:$A,$A158,$G:$G)*(SUMIF(Summary!$A$247:$A$283,$A158,Summary!$L$247:$L$283)+SUMIF(Summary!$A$297:$A$333,$A158,Summary!$L$297:$L$333))-AI158,0)</f>
        <v>1539.4749055631728</v>
      </c>
      <c r="AK158" s="196">
        <f>IFERROR($G158/SUMIF($A:$A,$A158,$G:$G)*SUMIF(Summary!$A$247:$A$283,$A158,Summary!$Q$247:$Q$283),0)</f>
        <v>410.23100493410334</v>
      </c>
      <c r="AL158" s="196">
        <f>IFERROR($G158/SUMIF($A:$A,$A158,$G:$G)*(SUMIF(Summary!$A$247:$A$283,$A158,Summary!$L$247:$L$283)+SUMIF(Summary!$A$297:$A$333,$A158,Summary!$L$297:$L$333))-AK158,0)</f>
        <v>1539.2018217361183</v>
      </c>
      <c r="AM158" s="198"/>
      <c r="AN158" s="196">
        <f t="shared" ca="1" si="40"/>
        <v>19471.451445832059</v>
      </c>
      <c r="AO158" s="196">
        <f t="shared" ca="1" si="41"/>
        <v>19469.680987039923</v>
      </c>
    </row>
    <row r="159" spans="1:41" s="201" customFormat="1">
      <c r="A159" s="189">
        <v>3541</v>
      </c>
      <c r="B159" s="190">
        <v>3</v>
      </c>
      <c r="C159" s="191" t="s">
        <v>227</v>
      </c>
      <c r="D159" s="192">
        <f t="shared" si="28"/>
        <v>0</v>
      </c>
      <c r="E159" s="192">
        <f t="shared" si="29"/>
        <v>0</v>
      </c>
      <c r="F159" s="192">
        <f t="shared" si="30"/>
        <v>0</v>
      </c>
      <c r="G159" s="193">
        <f t="shared" si="31"/>
        <v>0</v>
      </c>
      <c r="H159" s="194">
        <v>0</v>
      </c>
      <c r="I159" s="194">
        <v>0</v>
      </c>
      <c r="J159" s="194">
        <v>0</v>
      </c>
      <c r="K159" s="193">
        <f t="shared" si="32"/>
        <v>0</v>
      </c>
      <c r="L159" s="194">
        <v>0</v>
      </c>
      <c r="M159" s="194">
        <v>0</v>
      </c>
      <c r="N159" s="194">
        <v>0</v>
      </c>
      <c r="O159" s="193">
        <f t="shared" si="33"/>
        <v>0</v>
      </c>
      <c r="P159" s="194">
        <v>0</v>
      </c>
      <c r="Q159" s="194">
        <v>0</v>
      </c>
      <c r="R159" s="194">
        <v>0</v>
      </c>
      <c r="S159" s="193">
        <f t="shared" si="34"/>
        <v>0</v>
      </c>
      <c r="T159" s="193">
        <f t="shared" si="35"/>
        <v>0</v>
      </c>
      <c r="U159" s="193">
        <f ca="1">OFFSET('Expenditure Study'!$B$7,'Operations Support'!$C159,'Operations Support'!$B159)*$G159</f>
        <v>0</v>
      </c>
      <c r="V159" s="199">
        <f ca="1">U159*'Expenditure Study'!$B$31</f>
        <v>0</v>
      </c>
      <c r="W159" s="199">
        <f ca="1">IF(A159=10298,1.51,1)*IF($B159&lt;3,$D159*'Expenditure Study'!$B$32*OFFSET('Expenditure Study'!$B$7,'Operations Support'!$C159,'Operations Support'!$B159),0)</f>
        <v>0</v>
      </c>
      <c r="X159" s="200">
        <f ca="1">W159*'Expenditure Study'!$B$31</f>
        <v>0</v>
      </c>
      <c r="Y159" s="199">
        <f ca="1">U159*'Expenditure Study'!$B$31</f>
        <v>0</v>
      </c>
      <c r="Z159" s="200">
        <f ca="1">W159*'Expenditure Study'!$B$31</f>
        <v>0</v>
      </c>
      <c r="AA159" s="195">
        <f t="shared" ca="1" si="36"/>
        <v>0</v>
      </c>
      <c r="AB159" s="195">
        <f t="shared" ca="1" si="37"/>
        <v>0</v>
      </c>
      <c r="AD159" s="196">
        <f>IFERROR($G159/SUMIF($A:$A,$A159,$G:$G)*SUMIF(Summary!$A$166:$A$242,$A159,Summary!$P$166:$P$242),0)</f>
        <v>0</v>
      </c>
      <c r="AE159" s="197">
        <f t="shared" ca="1" si="38"/>
        <v>0</v>
      </c>
      <c r="AF159" s="196">
        <f>IFERROR(G159/SUMIF(A:A,A159,G:G)*SUMIF(Summary!$A$166:$A$242,'Operations Support'!A159,Summary!$Q$166:$Q$242),0)</f>
        <v>0</v>
      </c>
      <c r="AG159" s="196">
        <f t="shared" ca="1" si="39"/>
        <v>0</v>
      </c>
      <c r="AH159" s="180"/>
      <c r="AI159" s="196">
        <f>IFERROR($G159/SUMIF($A:$A,$A159,$G:$G)*SUMIF(Summary!$A$247:$A$283,$A159,Summary!$P$247:$P$283),0)</f>
        <v>0</v>
      </c>
      <c r="AJ159" s="196">
        <f>IFERROR($G159/SUMIF($A:$A,$A159,$G:$G)*(SUMIF(Summary!$A$247:$A$283,$A159,Summary!$L$247:$L$283)+SUMIF(Summary!$A$297:$A$333,$A159,Summary!$L$297:$L$333))-AI159,0)</f>
        <v>0</v>
      </c>
      <c r="AK159" s="196">
        <f>IFERROR($G159/SUMIF($A:$A,$A159,$G:$G)*SUMIF(Summary!$A$247:$A$283,$A159,Summary!$Q$247:$Q$283),0)</f>
        <v>0</v>
      </c>
      <c r="AL159" s="196">
        <f>IFERROR($G159/SUMIF($A:$A,$A159,$G:$G)*(SUMIF(Summary!$A$247:$A$283,$A159,Summary!$L$247:$L$283)+SUMIF(Summary!$A$297:$A$333,$A159,Summary!$L$297:$L$333))-AK159,0)</f>
        <v>0</v>
      </c>
      <c r="AM159" s="198"/>
      <c r="AN159" s="196">
        <f t="shared" ca="1" si="40"/>
        <v>0</v>
      </c>
      <c r="AO159" s="196">
        <f t="shared" ca="1" si="41"/>
        <v>0</v>
      </c>
    </row>
    <row r="160" spans="1:41">
      <c r="A160" s="189">
        <v>3541</v>
      </c>
      <c r="B160" s="190">
        <v>3</v>
      </c>
      <c r="C160" s="191" t="s">
        <v>228</v>
      </c>
      <c r="D160" s="192">
        <f t="shared" si="28"/>
        <v>738</v>
      </c>
      <c r="E160" s="192">
        <f t="shared" si="29"/>
        <v>1326</v>
      </c>
      <c r="F160" s="192">
        <f t="shared" si="30"/>
        <v>0</v>
      </c>
      <c r="G160" s="193">
        <f t="shared" si="31"/>
        <v>2064</v>
      </c>
      <c r="H160" s="194">
        <v>321</v>
      </c>
      <c r="I160" s="194">
        <v>414</v>
      </c>
      <c r="J160" s="194">
        <v>0</v>
      </c>
      <c r="K160" s="193">
        <f t="shared" si="32"/>
        <v>735</v>
      </c>
      <c r="L160" s="194">
        <v>309</v>
      </c>
      <c r="M160" s="194">
        <v>576</v>
      </c>
      <c r="N160" s="194">
        <v>0</v>
      </c>
      <c r="O160" s="193">
        <f t="shared" si="33"/>
        <v>885</v>
      </c>
      <c r="P160" s="194">
        <v>108</v>
      </c>
      <c r="Q160" s="194">
        <v>336</v>
      </c>
      <c r="R160" s="194">
        <v>0</v>
      </c>
      <c r="S160" s="193">
        <f t="shared" si="34"/>
        <v>444</v>
      </c>
      <c r="T160" s="193">
        <f t="shared" si="35"/>
        <v>86</v>
      </c>
      <c r="U160" s="193">
        <f ca="1">OFFSET('Expenditure Study'!$B$7,'Operations Support'!$C160,'Operations Support'!$B160)*$G160</f>
        <v>5036.16</v>
      </c>
      <c r="V160" s="199">
        <f ca="1">U160*'Expenditure Study'!$B$31</f>
        <v>297552.35181772802</v>
      </c>
      <c r="W160" s="199">
        <f ca="1">IF(A160=10298,1.51,1)*IF($B160&lt;3,$D160*'Expenditure Study'!$B$32*OFFSET('Expenditure Study'!$B$7,'Operations Support'!$C160,'Operations Support'!$B160),0)</f>
        <v>0</v>
      </c>
      <c r="X160" s="200">
        <f ca="1">W160*'Expenditure Study'!$B$31</f>
        <v>0</v>
      </c>
      <c r="Y160" s="199">
        <f ca="1">U160*'Expenditure Study'!$B$31</f>
        <v>297552.35181772802</v>
      </c>
      <c r="Z160" s="200">
        <f ca="1">W160*'Expenditure Study'!$B$31</f>
        <v>0</v>
      </c>
      <c r="AA160" s="195">
        <f t="shared" ca="1" si="36"/>
        <v>297552.35181772802</v>
      </c>
      <c r="AB160" s="195">
        <f t="shared" ca="1" si="37"/>
        <v>297552.35181772802</v>
      </c>
      <c r="AD160" s="196">
        <f>IFERROR($G160/SUMIF($A:$A,$A160,$G:$G)*SUMIF(Summary!$A$166:$A$242,$A160,Summary!$P$166:$P$242),0)</f>
        <v>46864.972637458392</v>
      </c>
      <c r="AE160" s="197">
        <f t="shared" ca="1" si="38"/>
        <v>250687.37918026964</v>
      </c>
      <c r="AF160" s="196">
        <f>IFERROR(G160/SUMIF(A:A,A160,G:G)*SUMIF(Summary!$A$166:$A$242,'Operations Support'!A160,Summary!$Q$166:$Q$242),0)</f>
        <v>46896.190636730331</v>
      </c>
      <c r="AG160" s="196">
        <f t="shared" ca="1" si="39"/>
        <v>250656.16118099767</v>
      </c>
      <c r="AI160" s="196">
        <f>IFERROR($G160/SUMIF($A:$A,$A160,$G:$G)*SUMIF(Summary!$A$247:$A$283,$A160,Summary!$P$247:$P$283),0)</f>
        <v>8547.0015067166532</v>
      </c>
      <c r="AJ160" s="196">
        <f>IFERROR($G160/SUMIF($A:$A,$A160,$G:$G)*(SUMIF(Summary!$A$247:$A$283,$A160,Summary!$L$247:$L$283)+SUMIF(Summary!$A$297:$A$333,$A160,Summary!$L$297:$L$333))-AI160,0)</f>
        <v>32095.719243256448</v>
      </c>
      <c r="AK160" s="196">
        <f>IFERROR($G160/SUMIF($A:$A,$A160,$G:$G)*SUMIF(Summary!$A$247:$A$283,$A160,Summary!$Q$247:$Q$283),0)</f>
        <v>8552.6948907473652</v>
      </c>
      <c r="AL160" s="196">
        <f>IFERROR($G160/SUMIF($A:$A,$A160,$G:$G)*(SUMIF(Summary!$A$247:$A$283,$A160,Summary!$L$247:$L$283)+SUMIF(Summary!$A$297:$A$333,$A160,Summary!$L$297:$L$333))-AK160,0)</f>
        <v>32090.025859225738</v>
      </c>
      <c r="AM160" s="198"/>
      <c r="AN160" s="196">
        <f t="shared" ca="1" si="40"/>
        <v>282783.0984235261</v>
      </c>
      <c r="AO160" s="196">
        <f t="shared" ca="1" si="41"/>
        <v>282746.18704022339</v>
      </c>
    </row>
    <row r="161" spans="1:41">
      <c r="A161" s="189">
        <v>3541</v>
      </c>
      <c r="B161" s="190">
        <v>3</v>
      </c>
      <c r="C161" s="191" t="s">
        <v>229</v>
      </c>
      <c r="D161" s="192">
        <f t="shared" si="28"/>
        <v>0</v>
      </c>
      <c r="E161" s="192">
        <f t="shared" si="29"/>
        <v>0</v>
      </c>
      <c r="F161" s="192">
        <f t="shared" si="30"/>
        <v>0</v>
      </c>
      <c r="G161" s="193">
        <f t="shared" si="31"/>
        <v>0</v>
      </c>
      <c r="H161" s="194">
        <v>0</v>
      </c>
      <c r="I161" s="194">
        <v>0</v>
      </c>
      <c r="J161" s="194">
        <v>0</v>
      </c>
      <c r="K161" s="193">
        <f t="shared" si="32"/>
        <v>0</v>
      </c>
      <c r="L161" s="194">
        <v>0</v>
      </c>
      <c r="M161" s="194">
        <v>0</v>
      </c>
      <c r="N161" s="194">
        <v>0</v>
      </c>
      <c r="O161" s="193">
        <f t="shared" si="33"/>
        <v>0</v>
      </c>
      <c r="P161" s="194">
        <v>0</v>
      </c>
      <c r="Q161" s="194">
        <v>0</v>
      </c>
      <c r="R161" s="194">
        <v>0</v>
      </c>
      <c r="S161" s="193">
        <f t="shared" si="34"/>
        <v>0</v>
      </c>
      <c r="T161" s="193">
        <f t="shared" si="35"/>
        <v>0</v>
      </c>
      <c r="U161" s="193">
        <f ca="1">OFFSET('Expenditure Study'!$B$7,'Operations Support'!$C161,'Operations Support'!$B161)*$G161</f>
        <v>0</v>
      </c>
      <c r="V161" s="199">
        <f ca="1">U161*'Expenditure Study'!$B$31</f>
        <v>0</v>
      </c>
      <c r="W161" s="199">
        <f ca="1">IF(A161=10298,1.51,1)*IF($B161&lt;3,$D161*'Expenditure Study'!$B$32*OFFSET('Expenditure Study'!$B$7,'Operations Support'!$C161,'Operations Support'!$B161),0)</f>
        <v>0</v>
      </c>
      <c r="X161" s="200">
        <f ca="1">W161*'Expenditure Study'!$B$31</f>
        <v>0</v>
      </c>
      <c r="Y161" s="199">
        <f ca="1">U161*'Expenditure Study'!$B$31</f>
        <v>0</v>
      </c>
      <c r="Z161" s="200">
        <f ca="1">W161*'Expenditure Study'!$B$31</f>
        <v>0</v>
      </c>
      <c r="AA161" s="195">
        <f t="shared" ca="1" si="36"/>
        <v>0</v>
      </c>
      <c r="AB161" s="195">
        <f t="shared" ca="1" si="37"/>
        <v>0</v>
      </c>
      <c r="AD161" s="196">
        <f>IFERROR($G161/SUMIF($A:$A,$A161,$G:$G)*SUMIF(Summary!$A$166:$A$242,$A161,Summary!$P$166:$P$242),0)</f>
        <v>0</v>
      </c>
      <c r="AE161" s="197">
        <f t="shared" ca="1" si="38"/>
        <v>0</v>
      </c>
      <c r="AF161" s="196">
        <f>IFERROR(G161/SUMIF(A:A,A161,G:G)*SUMIF(Summary!$A$166:$A$242,'Operations Support'!A161,Summary!$Q$166:$Q$242),0)</f>
        <v>0</v>
      </c>
      <c r="AG161" s="196">
        <f t="shared" ca="1" si="39"/>
        <v>0</v>
      </c>
      <c r="AI161" s="196">
        <f>IFERROR($G161/SUMIF($A:$A,$A161,$G:$G)*SUMIF(Summary!$A$247:$A$283,$A161,Summary!$P$247:$P$283),0)</f>
        <v>0</v>
      </c>
      <c r="AJ161" s="196">
        <f>IFERROR($G161/SUMIF($A:$A,$A161,$G:$G)*(SUMIF(Summary!$A$247:$A$283,$A161,Summary!$L$247:$L$283)+SUMIF(Summary!$A$297:$A$333,$A161,Summary!$L$297:$L$333))-AI161,0)</f>
        <v>0</v>
      </c>
      <c r="AK161" s="196">
        <f>IFERROR($G161/SUMIF($A:$A,$A161,$G:$G)*SUMIF(Summary!$A$247:$A$283,$A161,Summary!$Q$247:$Q$283),0)</f>
        <v>0</v>
      </c>
      <c r="AL161" s="196">
        <f>IFERROR($G161/SUMIF($A:$A,$A161,$G:$G)*(SUMIF(Summary!$A$247:$A$283,$A161,Summary!$L$247:$L$283)+SUMIF(Summary!$A$297:$A$333,$A161,Summary!$L$297:$L$333))-AK161,0)</f>
        <v>0</v>
      </c>
      <c r="AM161" s="198"/>
      <c r="AN161" s="196">
        <f t="shared" ca="1" si="40"/>
        <v>0</v>
      </c>
      <c r="AO161" s="196">
        <f t="shared" ca="1" si="41"/>
        <v>0</v>
      </c>
    </row>
    <row r="162" spans="1:41">
      <c r="A162" s="189">
        <v>3541</v>
      </c>
      <c r="B162" s="190">
        <v>3</v>
      </c>
      <c r="C162" s="191" t="s">
        <v>230</v>
      </c>
      <c r="D162" s="192">
        <f t="shared" si="28"/>
        <v>0</v>
      </c>
      <c r="E162" s="192">
        <f t="shared" si="29"/>
        <v>0</v>
      </c>
      <c r="F162" s="192">
        <f t="shared" si="30"/>
        <v>0</v>
      </c>
      <c r="G162" s="193">
        <f t="shared" si="31"/>
        <v>0</v>
      </c>
      <c r="H162" s="194">
        <v>0</v>
      </c>
      <c r="I162" s="194">
        <v>0</v>
      </c>
      <c r="J162" s="194">
        <v>0</v>
      </c>
      <c r="K162" s="193">
        <f t="shared" si="32"/>
        <v>0</v>
      </c>
      <c r="L162" s="194">
        <v>0</v>
      </c>
      <c r="M162" s="194">
        <v>0</v>
      </c>
      <c r="N162" s="194">
        <v>0</v>
      </c>
      <c r="O162" s="193">
        <f t="shared" si="33"/>
        <v>0</v>
      </c>
      <c r="P162" s="194">
        <v>0</v>
      </c>
      <c r="Q162" s="194">
        <v>0</v>
      </c>
      <c r="R162" s="194">
        <v>0</v>
      </c>
      <c r="S162" s="193">
        <f t="shared" si="34"/>
        <v>0</v>
      </c>
      <c r="T162" s="193">
        <f t="shared" si="35"/>
        <v>0</v>
      </c>
      <c r="U162" s="193">
        <f ca="1">OFFSET('Expenditure Study'!$B$7,'Operations Support'!$C162,'Operations Support'!$B162)*$G162</f>
        <v>0</v>
      </c>
      <c r="V162" s="199">
        <f ca="1">U162*'Expenditure Study'!$B$31</f>
        <v>0</v>
      </c>
      <c r="W162" s="199">
        <f ca="1">IF(A162=10298,1.51,1)*IF($B162&lt;3,$D162*'Expenditure Study'!$B$32*OFFSET('Expenditure Study'!$B$7,'Operations Support'!$C162,'Operations Support'!$B162),0)</f>
        <v>0</v>
      </c>
      <c r="X162" s="200">
        <f ca="1">W162*'Expenditure Study'!$B$31</f>
        <v>0</v>
      </c>
      <c r="Y162" s="199">
        <f ca="1">U162*'Expenditure Study'!$B$31</f>
        <v>0</v>
      </c>
      <c r="Z162" s="200">
        <f ca="1">W162*'Expenditure Study'!$B$31</f>
        <v>0</v>
      </c>
      <c r="AA162" s="195">
        <f t="shared" ca="1" si="36"/>
        <v>0</v>
      </c>
      <c r="AB162" s="195">
        <f t="shared" ca="1" si="37"/>
        <v>0</v>
      </c>
      <c r="AD162" s="196">
        <f>IFERROR($G162/SUMIF($A:$A,$A162,$G:$G)*SUMIF(Summary!$A$166:$A$242,$A162,Summary!$P$166:$P$242),0)</f>
        <v>0</v>
      </c>
      <c r="AE162" s="197">
        <f t="shared" ca="1" si="38"/>
        <v>0</v>
      </c>
      <c r="AF162" s="196">
        <f>IFERROR(G162/SUMIF(A:A,A162,G:G)*SUMIF(Summary!$A$166:$A$242,'Operations Support'!A162,Summary!$Q$166:$Q$242),0)</f>
        <v>0</v>
      </c>
      <c r="AG162" s="196">
        <f t="shared" ca="1" si="39"/>
        <v>0</v>
      </c>
      <c r="AI162" s="196">
        <f>IFERROR($G162/SUMIF($A:$A,$A162,$G:$G)*SUMIF(Summary!$A$247:$A$283,$A162,Summary!$P$247:$P$283),0)</f>
        <v>0</v>
      </c>
      <c r="AJ162" s="196">
        <f>IFERROR($G162/SUMIF($A:$A,$A162,$G:$G)*(SUMIF(Summary!$A$247:$A$283,$A162,Summary!$L$247:$L$283)+SUMIF(Summary!$A$297:$A$333,$A162,Summary!$L$297:$L$333))-AI162,0)</f>
        <v>0</v>
      </c>
      <c r="AK162" s="196">
        <f>IFERROR($G162/SUMIF($A:$A,$A162,$G:$G)*SUMIF(Summary!$A$247:$A$283,$A162,Summary!$Q$247:$Q$283),0)</f>
        <v>0</v>
      </c>
      <c r="AL162" s="196">
        <f>IFERROR($G162/SUMIF($A:$A,$A162,$G:$G)*(SUMIF(Summary!$A$247:$A$283,$A162,Summary!$L$247:$L$283)+SUMIF(Summary!$A$297:$A$333,$A162,Summary!$L$297:$L$333))-AK162,0)</f>
        <v>0</v>
      </c>
      <c r="AM162" s="198"/>
      <c r="AN162" s="196">
        <f t="shared" ca="1" si="40"/>
        <v>0</v>
      </c>
      <c r="AO162" s="196">
        <f t="shared" ca="1" si="41"/>
        <v>0</v>
      </c>
    </row>
    <row r="163" spans="1:41">
      <c r="A163" s="189">
        <v>3541</v>
      </c>
      <c r="B163" s="190">
        <v>3</v>
      </c>
      <c r="C163" s="191" t="s">
        <v>231</v>
      </c>
      <c r="D163" s="192">
        <f t="shared" si="28"/>
        <v>0</v>
      </c>
      <c r="E163" s="192">
        <f t="shared" si="29"/>
        <v>0</v>
      </c>
      <c r="F163" s="192">
        <f t="shared" si="30"/>
        <v>0</v>
      </c>
      <c r="G163" s="193">
        <f t="shared" si="31"/>
        <v>0</v>
      </c>
      <c r="H163" s="194">
        <v>0</v>
      </c>
      <c r="I163" s="194">
        <v>0</v>
      </c>
      <c r="J163" s="194">
        <v>0</v>
      </c>
      <c r="K163" s="193">
        <f t="shared" si="32"/>
        <v>0</v>
      </c>
      <c r="L163" s="194">
        <v>0</v>
      </c>
      <c r="M163" s="194">
        <v>0</v>
      </c>
      <c r="N163" s="194">
        <v>0</v>
      </c>
      <c r="O163" s="193">
        <f t="shared" si="33"/>
        <v>0</v>
      </c>
      <c r="P163" s="194">
        <v>0</v>
      </c>
      <c r="Q163" s="194">
        <v>0</v>
      </c>
      <c r="R163" s="194">
        <v>0</v>
      </c>
      <c r="S163" s="193">
        <f t="shared" si="34"/>
        <v>0</v>
      </c>
      <c r="T163" s="193">
        <f t="shared" si="35"/>
        <v>0</v>
      </c>
      <c r="U163" s="193">
        <f ca="1">OFFSET('Expenditure Study'!$B$7,'Operations Support'!$C163,'Operations Support'!$B163)*$G163</f>
        <v>0</v>
      </c>
      <c r="V163" s="199">
        <f ca="1">U163*'Expenditure Study'!$B$31</f>
        <v>0</v>
      </c>
      <c r="W163" s="199">
        <f ca="1">IF(A163=10298,1.51,1)*IF($B163&lt;3,$D163*'Expenditure Study'!$B$32*OFFSET('Expenditure Study'!$B$7,'Operations Support'!$C163,'Operations Support'!$B163),0)</f>
        <v>0</v>
      </c>
      <c r="X163" s="200">
        <f ca="1">W163*'Expenditure Study'!$B$31</f>
        <v>0</v>
      </c>
      <c r="Y163" s="199">
        <f ca="1">U163*'Expenditure Study'!$B$31</f>
        <v>0</v>
      </c>
      <c r="Z163" s="200">
        <f ca="1">W163*'Expenditure Study'!$B$31</f>
        <v>0</v>
      </c>
      <c r="AA163" s="195">
        <f t="shared" ca="1" si="36"/>
        <v>0</v>
      </c>
      <c r="AB163" s="195">
        <f t="shared" ca="1" si="37"/>
        <v>0</v>
      </c>
      <c r="AD163" s="196">
        <f>IFERROR($G163/SUMIF($A:$A,$A163,$G:$G)*SUMIF(Summary!$A$166:$A$242,$A163,Summary!$P$166:$P$242),0)</f>
        <v>0</v>
      </c>
      <c r="AE163" s="197">
        <f t="shared" ca="1" si="38"/>
        <v>0</v>
      </c>
      <c r="AF163" s="196">
        <f>IFERROR(G163/SUMIF(A:A,A163,G:G)*SUMIF(Summary!$A$166:$A$242,'Operations Support'!A163,Summary!$Q$166:$Q$242),0)</f>
        <v>0</v>
      </c>
      <c r="AG163" s="196">
        <f t="shared" ca="1" si="39"/>
        <v>0</v>
      </c>
      <c r="AI163" s="196">
        <f>IFERROR($G163/SUMIF($A:$A,$A163,$G:$G)*SUMIF(Summary!$A$247:$A$283,$A163,Summary!$P$247:$P$283),0)</f>
        <v>0</v>
      </c>
      <c r="AJ163" s="196">
        <f>IFERROR($G163/SUMIF($A:$A,$A163,$G:$G)*(SUMIF(Summary!$A$247:$A$283,$A163,Summary!$L$247:$L$283)+SUMIF(Summary!$A$297:$A$333,$A163,Summary!$L$297:$L$333))-AI163,0)</f>
        <v>0</v>
      </c>
      <c r="AK163" s="196">
        <f>IFERROR($G163/SUMIF($A:$A,$A163,$G:$G)*SUMIF(Summary!$A$247:$A$283,$A163,Summary!$Q$247:$Q$283),0)</f>
        <v>0</v>
      </c>
      <c r="AL163" s="196">
        <f>IFERROR($G163/SUMIF($A:$A,$A163,$G:$G)*(SUMIF(Summary!$A$247:$A$283,$A163,Summary!$L$247:$L$283)+SUMIF(Summary!$A$297:$A$333,$A163,Summary!$L$297:$L$333))-AK163,0)</f>
        <v>0</v>
      </c>
      <c r="AM163" s="198"/>
      <c r="AN163" s="196">
        <f t="shared" ca="1" si="40"/>
        <v>0</v>
      </c>
      <c r="AO163" s="196">
        <f t="shared" ca="1" si="41"/>
        <v>0</v>
      </c>
    </row>
    <row r="164" spans="1:41">
      <c r="A164" s="189">
        <v>3541</v>
      </c>
      <c r="B164" s="190">
        <v>3</v>
      </c>
      <c r="C164" s="191" t="s">
        <v>232</v>
      </c>
      <c r="D164" s="192">
        <f t="shared" si="28"/>
        <v>0</v>
      </c>
      <c r="E164" s="192">
        <f t="shared" si="29"/>
        <v>0</v>
      </c>
      <c r="F164" s="192">
        <f t="shared" si="30"/>
        <v>0</v>
      </c>
      <c r="G164" s="193">
        <f t="shared" si="31"/>
        <v>0</v>
      </c>
      <c r="H164" s="194">
        <v>0</v>
      </c>
      <c r="I164" s="194">
        <v>0</v>
      </c>
      <c r="J164" s="194">
        <v>0</v>
      </c>
      <c r="K164" s="193">
        <f t="shared" si="32"/>
        <v>0</v>
      </c>
      <c r="L164" s="194">
        <v>0</v>
      </c>
      <c r="M164" s="194">
        <v>0</v>
      </c>
      <c r="N164" s="194">
        <v>0</v>
      </c>
      <c r="O164" s="193">
        <f t="shared" si="33"/>
        <v>0</v>
      </c>
      <c r="P164" s="194">
        <v>0</v>
      </c>
      <c r="Q164" s="194">
        <v>0</v>
      </c>
      <c r="R164" s="194">
        <v>0</v>
      </c>
      <c r="S164" s="193">
        <f t="shared" si="34"/>
        <v>0</v>
      </c>
      <c r="T164" s="193">
        <f t="shared" si="35"/>
        <v>0</v>
      </c>
      <c r="U164" s="193">
        <f ca="1">OFFSET('Expenditure Study'!$B$7,'Operations Support'!$C164,'Operations Support'!$B164)*$G164</f>
        <v>0</v>
      </c>
      <c r="V164" s="199">
        <f ca="1">U164*'Expenditure Study'!$B$31</f>
        <v>0</v>
      </c>
      <c r="W164" s="199">
        <f ca="1">IF(A164=10298,1.51,1)*IF($B164&lt;3,$D164*'Expenditure Study'!$B$32*OFFSET('Expenditure Study'!$B$7,'Operations Support'!$C164,'Operations Support'!$B164),0)</f>
        <v>0</v>
      </c>
      <c r="X164" s="200">
        <f ca="1">W164*'Expenditure Study'!$B$31</f>
        <v>0</v>
      </c>
      <c r="Y164" s="199">
        <f ca="1">U164*'Expenditure Study'!$B$31</f>
        <v>0</v>
      </c>
      <c r="Z164" s="200">
        <f ca="1">W164*'Expenditure Study'!$B$31</f>
        <v>0</v>
      </c>
      <c r="AA164" s="195">
        <f t="shared" ca="1" si="36"/>
        <v>0</v>
      </c>
      <c r="AB164" s="195">
        <f t="shared" ca="1" si="37"/>
        <v>0</v>
      </c>
      <c r="AD164" s="196">
        <f>IFERROR($G164/SUMIF($A:$A,$A164,$G:$G)*SUMIF(Summary!$A$166:$A$242,$A164,Summary!$P$166:$P$242),0)</f>
        <v>0</v>
      </c>
      <c r="AE164" s="197">
        <f t="shared" ca="1" si="38"/>
        <v>0</v>
      </c>
      <c r="AF164" s="196">
        <f>IFERROR(G164/SUMIF(A:A,A164,G:G)*SUMIF(Summary!$A$166:$A$242,'Operations Support'!A164,Summary!$Q$166:$Q$242),0)</f>
        <v>0</v>
      </c>
      <c r="AG164" s="196">
        <f t="shared" ca="1" si="39"/>
        <v>0</v>
      </c>
      <c r="AI164" s="196">
        <f>IFERROR($G164/SUMIF($A:$A,$A164,$G:$G)*SUMIF(Summary!$A$247:$A$283,$A164,Summary!$P$247:$P$283),0)</f>
        <v>0</v>
      </c>
      <c r="AJ164" s="196">
        <f>IFERROR($G164/SUMIF($A:$A,$A164,$G:$G)*(SUMIF(Summary!$A$247:$A$283,$A164,Summary!$L$247:$L$283)+SUMIF(Summary!$A$297:$A$333,$A164,Summary!$L$297:$L$333))-AI164,0)</f>
        <v>0</v>
      </c>
      <c r="AK164" s="196">
        <f>IFERROR($G164/SUMIF($A:$A,$A164,$G:$G)*SUMIF(Summary!$A$247:$A$283,$A164,Summary!$Q$247:$Q$283),0)</f>
        <v>0</v>
      </c>
      <c r="AL164" s="196">
        <f>IFERROR($G164/SUMIF($A:$A,$A164,$G:$G)*(SUMIF(Summary!$A$247:$A$283,$A164,Summary!$L$247:$L$283)+SUMIF(Summary!$A$297:$A$333,$A164,Summary!$L$297:$L$333))-AK164,0)</f>
        <v>0</v>
      </c>
      <c r="AM164" s="198"/>
      <c r="AN164" s="196">
        <f t="shared" ca="1" si="40"/>
        <v>0</v>
      </c>
      <c r="AO164" s="196">
        <f t="shared" ca="1" si="41"/>
        <v>0</v>
      </c>
    </row>
    <row r="165" spans="1:41">
      <c r="A165" s="189">
        <v>3541</v>
      </c>
      <c r="B165" s="190">
        <v>3</v>
      </c>
      <c r="C165" s="191" t="s">
        <v>233</v>
      </c>
      <c r="D165" s="192">
        <f t="shared" si="28"/>
        <v>361</v>
      </c>
      <c r="E165" s="192">
        <f t="shared" si="29"/>
        <v>133</v>
      </c>
      <c r="F165" s="192">
        <f t="shared" si="30"/>
        <v>0</v>
      </c>
      <c r="G165" s="193">
        <f t="shared" si="31"/>
        <v>494</v>
      </c>
      <c r="H165" s="194">
        <v>153</v>
      </c>
      <c r="I165" s="194">
        <v>94</v>
      </c>
      <c r="J165" s="194">
        <v>0</v>
      </c>
      <c r="K165" s="193">
        <f t="shared" si="32"/>
        <v>247</v>
      </c>
      <c r="L165" s="194">
        <v>93</v>
      </c>
      <c r="M165" s="194">
        <v>39</v>
      </c>
      <c r="N165" s="194">
        <v>0</v>
      </c>
      <c r="O165" s="193">
        <f t="shared" si="33"/>
        <v>132</v>
      </c>
      <c r="P165" s="194">
        <v>115</v>
      </c>
      <c r="Q165" s="194">
        <v>0</v>
      </c>
      <c r="R165" s="194">
        <v>0</v>
      </c>
      <c r="S165" s="193">
        <f t="shared" si="34"/>
        <v>115</v>
      </c>
      <c r="T165" s="193">
        <f t="shared" si="35"/>
        <v>20.583333333333332</v>
      </c>
      <c r="U165" s="193">
        <f ca="1">OFFSET('Expenditure Study'!$B$7,'Operations Support'!$C165,'Operations Support'!$B165)*$G165</f>
        <v>1294.28</v>
      </c>
      <c r="V165" s="199">
        <f ca="1">U165*'Expenditure Study'!$B$31</f>
        <v>76470.179245823994</v>
      </c>
      <c r="W165" s="199">
        <f ca="1">IF(A165=10298,1.51,1)*IF($B165&lt;3,$D165*'Expenditure Study'!$B$32*OFFSET('Expenditure Study'!$B$7,'Operations Support'!$C165,'Operations Support'!$B165),0)</f>
        <v>0</v>
      </c>
      <c r="X165" s="200">
        <f ca="1">W165*'Expenditure Study'!$B$31</f>
        <v>0</v>
      </c>
      <c r="Y165" s="199">
        <f ca="1">U165*'Expenditure Study'!$B$31</f>
        <v>76470.179245823994</v>
      </c>
      <c r="Z165" s="200">
        <f ca="1">W165*'Expenditure Study'!$B$31</f>
        <v>0</v>
      </c>
      <c r="AA165" s="195">
        <f t="shared" ca="1" si="36"/>
        <v>76470.179245823994</v>
      </c>
      <c r="AB165" s="195">
        <f t="shared" ca="1" si="37"/>
        <v>76470.179245823994</v>
      </c>
      <c r="AD165" s="196">
        <f>IFERROR($G165/SUMIF($A:$A,$A165,$G:$G)*SUMIF(Summary!$A$166:$A$242,$A165,Summary!$P$166:$P$242),0)</f>
        <v>11216.713412259907</v>
      </c>
      <c r="AE165" s="197">
        <f t="shared" ca="1" si="38"/>
        <v>65253.465833564085</v>
      </c>
      <c r="AF165" s="196">
        <f>IFERROR(G165/SUMIF(A:A,A165,G:G)*SUMIF(Summary!$A$166:$A$242,'Operations Support'!A165,Summary!$Q$166:$Q$242),0)</f>
        <v>11224.185162085652</v>
      </c>
      <c r="AG165" s="196">
        <f t="shared" ca="1" si="39"/>
        <v>65245.99408373834</v>
      </c>
      <c r="AI165" s="196">
        <f>IFERROR($G165/SUMIF($A:$A,$A165,$G:$G)*SUMIF(Summary!$A$247:$A$283,$A165,Summary!$P$247:$P$283),0)</f>
        <v>2045.6486164331523</v>
      </c>
      <c r="AJ165" s="196">
        <f>IFERROR($G165/SUMIF($A:$A,$A165,$G:$G)*(SUMIF(Summary!$A$247:$A$283,$A165,Summary!$L$247:$L$283)+SUMIF(Summary!$A$297:$A$333,$A165,Summary!$L$297:$L$333))-AI165,0)</f>
        <v>7681.8242762445188</v>
      </c>
      <c r="AK165" s="196">
        <f>IFERROR($G165/SUMIF($A:$A,$A165,$G:$G)*SUMIF(Summary!$A$247:$A$283,$A165,Summary!$Q$247:$Q$283),0)</f>
        <v>2047.0112771459296</v>
      </c>
      <c r="AL165" s="196">
        <f>IFERROR($G165/SUMIF($A:$A,$A165,$G:$G)*(SUMIF(Summary!$A$247:$A$283,$A165,Summary!$L$247:$L$283)+SUMIF(Summary!$A$297:$A$333,$A165,Summary!$L$297:$L$333))-AK165,0)</f>
        <v>7680.4616155317417</v>
      </c>
      <c r="AM165" s="198"/>
      <c r="AN165" s="196">
        <f t="shared" ca="1" si="40"/>
        <v>72935.2901098086</v>
      </c>
      <c r="AO165" s="196">
        <f t="shared" ca="1" si="41"/>
        <v>72926.455699270082</v>
      </c>
    </row>
    <row r="166" spans="1:41">
      <c r="A166" s="189">
        <v>3541</v>
      </c>
      <c r="B166" s="190">
        <v>3</v>
      </c>
      <c r="C166" s="191" t="s">
        <v>234</v>
      </c>
      <c r="D166" s="192">
        <f t="shared" si="28"/>
        <v>0</v>
      </c>
      <c r="E166" s="192">
        <f t="shared" si="29"/>
        <v>0</v>
      </c>
      <c r="F166" s="192">
        <f t="shared" si="30"/>
        <v>0</v>
      </c>
      <c r="G166" s="193">
        <f t="shared" si="31"/>
        <v>0</v>
      </c>
      <c r="H166" s="194">
        <v>0</v>
      </c>
      <c r="I166" s="194">
        <v>0</v>
      </c>
      <c r="J166" s="194">
        <v>0</v>
      </c>
      <c r="K166" s="193">
        <f t="shared" si="32"/>
        <v>0</v>
      </c>
      <c r="L166" s="194">
        <v>0</v>
      </c>
      <c r="M166" s="194">
        <v>0</v>
      </c>
      <c r="N166" s="194">
        <v>0</v>
      </c>
      <c r="O166" s="193">
        <f t="shared" si="33"/>
        <v>0</v>
      </c>
      <c r="P166" s="194">
        <v>0</v>
      </c>
      <c r="Q166" s="194">
        <v>0</v>
      </c>
      <c r="R166" s="194">
        <v>0</v>
      </c>
      <c r="S166" s="193">
        <f t="shared" si="34"/>
        <v>0</v>
      </c>
      <c r="T166" s="193">
        <f t="shared" si="35"/>
        <v>0</v>
      </c>
      <c r="U166" s="193">
        <f ca="1">OFFSET('Expenditure Study'!$B$7,'Operations Support'!$C166,'Operations Support'!$B166)*$G166</f>
        <v>0</v>
      </c>
      <c r="V166" s="199">
        <f ca="1">U166*'Expenditure Study'!$B$31</f>
        <v>0</v>
      </c>
      <c r="W166" s="199">
        <f ca="1">IF(A166=10298,1.51,1)*IF($B166&lt;3,$D166*'Expenditure Study'!$B$32*OFFSET('Expenditure Study'!$B$7,'Operations Support'!$C166,'Operations Support'!$B166),0)</f>
        <v>0</v>
      </c>
      <c r="X166" s="200">
        <f ca="1">W166*'Expenditure Study'!$B$31</f>
        <v>0</v>
      </c>
      <c r="Y166" s="199">
        <f ca="1">U166*'Expenditure Study'!$B$31</f>
        <v>0</v>
      </c>
      <c r="Z166" s="200">
        <f ca="1">W166*'Expenditure Study'!$B$31</f>
        <v>0</v>
      </c>
      <c r="AA166" s="195">
        <f t="shared" ca="1" si="36"/>
        <v>0</v>
      </c>
      <c r="AB166" s="195">
        <f t="shared" ca="1" si="37"/>
        <v>0</v>
      </c>
      <c r="AD166" s="196">
        <f>IFERROR($G166/SUMIF($A:$A,$A166,$G:$G)*SUMIF(Summary!$A$166:$A$242,$A166,Summary!$P$166:$P$242),0)</f>
        <v>0</v>
      </c>
      <c r="AE166" s="197">
        <f t="shared" ca="1" si="38"/>
        <v>0</v>
      </c>
      <c r="AF166" s="196">
        <f>IFERROR(G166/SUMIF(A:A,A166,G:G)*SUMIF(Summary!$A$166:$A$242,'Operations Support'!A166,Summary!$Q$166:$Q$242),0)</f>
        <v>0</v>
      </c>
      <c r="AG166" s="196">
        <f t="shared" ca="1" si="39"/>
        <v>0</v>
      </c>
      <c r="AI166" s="196">
        <f>IFERROR($G166/SUMIF($A:$A,$A166,$G:$G)*SUMIF(Summary!$A$247:$A$283,$A166,Summary!$P$247:$P$283),0)</f>
        <v>0</v>
      </c>
      <c r="AJ166" s="196">
        <f>IFERROR($G166/SUMIF($A:$A,$A166,$G:$G)*(SUMIF(Summary!$A$247:$A$283,$A166,Summary!$L$247:$L$283)+SUMIF(Summary!$A$297:$A$333,$A166,Summary!$L$297:$L$333))-AI166,0)</f>
        <v>0</v>
      </c>
      <c r="AK166" s="196">
        <f>IFERROR($G166/SUMIF($A:$A,$A166,$G:$G)*SUMIF(Summary!$A$247:$A$283,$A166,Summary!$Q$247:$Q$283),0)</f>
        <v>0</v>
      </c>
      <c r="AL166" s="196">
        <f>IFERROR($G166/SUMIF($A:$A,$A166,$G:$G)*(SUMIF(Summary!$A$247:$A$283,$A166,Summary!$L$247:$L$283)+SUMIF(Summary!$A$297:$A$333,$A166,Summary!$L$297:$L$333))-AK166,0)</f>
        <v>0</v>
      </c>
      <c r="AM166" s="198"/>
      <c r="AN166" s="196">
        <f t="shared" ca="1" si="40"/>
        <v>0</v>
      </c>
      <c r="AO166" s="196">
        <f t="shared" ca="1" si="41"/>
        <v>0</v>
      </c>
    </row>
    <row r="167" spans="1:41">
      <c r="A167" s="189">
        <v>3541</v>
      </c>
      <c r="B167" s="190">
        <v>3</v>
      </c>
      <c r="C167" s="191" t="s">
        <v>235</v>
      </c>
      <c r="D167" s="192">
        <f t="shared" si="28"/>
        <v>3141</v>
      </c>
      <c r="E167" s="192">
        <f t="shared" si="29"/>
        <v>906</v>
      </c>
      <c r="F167" s="192">
        <f t="shared" si="30"/>
        <v>0</v>
      </c>
      <c r="G167" s="193">
        <f t="shared" si="31"/>
        <v>4047</v>
      </c>
      <c r="H167" s="194">
        <v>1356</v>
      </c>
      <c r="I167" s="194">
        <v>198</v>
      </c>
      <c r="J167" s="194">
        <v>0</v>
      </c>
      <c r="K167" s="193">
        <f t="shared" si="32"/>
        <v>1554</v>
      </c>
      <c r="L167" s="194">
        <v>720</v>
      </c>
      <c r="M167" s="194">
        <v>315</v>
      </c>
      <c r="N167" s="194">
        <v>0</v>
      </c>
      <c r="O167" s="193">
        <f t="shared" si="33"/>
        <v>1035</v>
      </c>
      <c r="P167" s="194">
        <v>1065</v>
      </c>
      <c r="Q167" s="194">
        <v>393</v>
      </c>
      <c r="R167" s="194">
        <v>0</v>
      </c>
      <c r="S167" s="193">
        <f t="shared" si="34"/>
        <v>1458</v>
      </c>
      <c r="T167" s="193">
        <f t="shared" si="35"/>
        <v>168.625</v>
      </c>
      <c r="U167" s="193">
        <f ca="1">OFFSET('Expenditure Study'!$B$7,'Operations Support'!$C167,'Operations Support'!$B167)*$G167</f>
        <v>12788.52</v>
      </c>
      <c r="V167" s="199">
        <f ca="1">U167*'Expenditure Study'!$B$31</f>
        <v>755586.43932441599</v>
      </c>
      <c r="W167" s="199">
        <f ca="1">IF(A167=10298,1.51,1)*IF($B167&lt;3,$D167*'Expenditure Study'!$B$32*OFFSET('Expenditure Study'!$B$7,'Operations Support'!$C167,'Operations Support'!$B167),0)</f>
        <v>0</v>
      </c>
      <c r="X167" s="200">
        <f ca="1">W167*'Expenditure Study'!$B$31</f>
        <v>0</v>
      </c>
      <c r="Y167" s="199">
        <f ca="1">U167*'Expenditure Study'!$B$31</f>
        <v>755586.43932441599</v>
      </c>
      <c r="Z167" s="200">
        <f ca="1">W167*'Expenditure Study'!$B$31</f>
        <v>0</v>
      </c>
      <c r="AA167" s="195">
        <f t="shared" ca="1" si="36"/>
        <v>755586.43932441599</v>
      </c>
      <c r="AB167" s="195">
        <f t="shared" ca="1" si="37"/>
        <v>755586.43932441599</v>
      </c>
      <c r="AD167" s="196">
        <f>IFERROR($G167/SUMIF($A:$A,$A167,$G:$G)*SUMIF(Summary!$A$166:$A$242,$A167,Summary!$P$166:$P$242),0)</f>
        <v>91890.767569667689</v>
      </c>
      <c r="AE167" s="197">
        <f t="shared" ca="1" si="38"/>
        <v>663695.67175474833</v>
      </c>
      <c r="AF167" s="196">
        <f>IFERROR(G167/SUMIF(A:A,A167,G:G)*SUMIF(Summary!$A$166:$A$242,'Operations Support'!A167,Summary!$Q$166:$Q$242),0)</f>
        <v>91951.978443240136</v>
      </c>
      <c r="AG167" s="196">
        <f t="shared" ca="1" si="39"/>
        <v>663634.46088117582</v>
      </c>
      <c r="AI167" s="196">
        <f>IFERROR($G167/SUMIF($A:$A,$A167,$G:$G)*SUMIF(Summary!$A$247:$A$283,$A167,Summary!$P$247:$P$283),0)</f>
        <v>16758.582896163902</v>
      </c>
      <c r="AJ167" s="196">
        <f>IFERROR($G167/SUMIF($A:$A,$A167,$G:$G)*(SUMIF(Summary!$A$247:$A$283,$A167,Summary!$L$247:$L$283)+SUMIF(Summary!$A$297:$A$333,$A167,Summary!$L$297:$L$333))-AI167,0)</f>
        <v>62931.868109233939</v>
      </c>
      <c r="AK167" s="196">
        <f>IFERROR($G167/SUMIF($A:$A,$A167,$G:$G)*SUMIF(Summary!$A$247:$A$283,$A167,Summary!$Q$247:$Q$283),0)</f>
        <v>16769.746232003192</v>
      </c>
      <c r="AL167" s="196">
        <f>IFERROR($G167/SUMIF($A:$A,$A167,$G:$G)*(SUMIF(Summary!$A$247:$A$283,$A167,Summary!$L$247:$L$283)+SUMIF(Summary!$A$297:$A$333,$A167,Summary!$L$297:$L$333))-AK167,0)</f>
        <v>62920.704773394653</v>
      </c>
      <c r="AM167" s="198"/>
      <c r="AN167" s="196">
        <f t="shared" ca="1" si="40"/>
        <v>726627.53986398224</v>
      </c>
      <c r="AO167" s="196">
        <f t="shared" ca="1" si="41"/>
        <v>726555.16565457045</v>
      </c>
    </row>
    <row r="168" spans="1:41">
      <c r="A168" s="189">
        <v>3541</v>
      </c>
      <c r="B168" s="190">
        <v>3</v>
      </c>
      <c r="C168" s="191" t="s">
        <v>236</v>
      </c>
      <c r="D168" s="192">
        <f t="shared" si="28"/>
        <v>0</v>
      </c>
      <c r="E168" s="192">
        <f t="shared" si="29"/>
        <v>0</v>
      </c>
      <c r="F168" s="192">
        <f t="shared" si="30"/>
        <v>0</v>
      </c>
      <c r="G168" s="193">
        <f t="shared" si="31"/>
        <v>0</v>
      </c>
      <c r="H168" s="194">
        <v>0</v>
      </c>
      <c r="I168" s="194">
        <v>0</v>
      </c>
      <c r="J168" s="194">
        <v>0</v>
      </c>
      <c r="K168" s="193">
        <f t="shared" si="32"/>
        <v>0</v>
      </c>
      <c r="L168" s="194">
        <v>0</v>
      </c>
      <c r="M168" s="194">
        <v>0</v>
      </c>
      <c r="N168" s="194">
        <v>0</v>
      </c>
      <c r="O168" s="193">
        <f t="shared" si="33"/>
        <v>0</v>
      </c>
      <c r="P168" s="194">
        <v>0</v>
      </c>
      <c r="Q168" s="194">
        <v>0</v>
      </c>
      <c r="R168" s="194">
        <v>0</v>
      </c>
      <c r="S168" s="193">
        <f t="shared" si="34"/>
        <v>0</v>
      </c>
      <c r="T168" s="193">
        <f t="shared" si="35"/>
        <v>0</v>
      </c>
      <c r="U168" s="193">
        <f ca="1">OFFSET('Expenditure Study'!$B$7,'Operations Support'!$C168,'Operations Support'!$B168)*$G168</f>
        <v>0</v>
      </c>
      <c r="V168" s="199">
        <f ca="1">U168*'Expenditure Study'!$B$31</f>
        <v>0</v>
      </c>
      <c r="W168" s="199">
        <f ca="1">IF(A168=10298,1.51,1)*IF($B168&lt;3,$D168*'Expenditure Study'!$B$32*OFFSET('Expenditure Study'!$B$7,'Operations Support'!$C168,'Operations Support'!$B168),0)</f>
        <v>0</v>
      </c>
      <c r="X168" s="200">
        <f ca="1">W168*'Expenditure Study'!$B$31</f>
        <v>0</v>
      </c>
      <c r="Y168" s="199">
        <f ca="1">U168*'Expenditure Study'!$B$31</f>
        <v>0</v>
      </c>
      <c r="Z168" s="200">
        <f ca="1">W168*'Expenditure Study'!$B$31</f>
        <v>0</v>
      </c>
      <c r="AA168" s="195">
        <f t="shared" ca="1" si="36"/>
        <v>0</v>
      </c>
      <c r="AB168" s="195">
        <f t="shared" ca="1" si="37"/>
        <v>0</v>
      </c>
      <c r="AD168" s="196">
        <f>IFERROR($G168/SUMIF($A:$A,$A168,$G:$G)*SUMIF(Summary!$A$166:$A$242,$A168,Summary!$P$166:$P$242),0)</f>
        <v>0</v>
      </c>
      <c r="AE168" s="197">
        <f t="shared" ca="1" si="38"/>
        <v>0</v>
      </c>
      <c r="AF168" s="196">
        <f>IFERROR(G168/SUMIF(A:A,A168,G:G)*SUMIF(Summary!$A$166:$A$242,'Operations Support'!A168,Summary!$Q$166:$Q$242),0)</f>
        <v>0</v>
      </c>
      <c r="AG168" s="196">
        <f t="shared" ca="1" si="39"/>
        <v>0</v>
      </c>
      <c r="AI168" s="196">
        <f>IFERROR($G168/SUMIF($A:$A,$A168,$G:$G)*SUMIF(Summary!$A$247:$A$283,$A168,Summary!$P$247:$P$283),0)</f>
        <v>0</v>
      </c>
      <c r="AJ168" s="196">
        <f>IFERROR($G168/SUMIF($A:$A,$A168,$G:$G)*(SUMIF(Summary!$A$247:$A$283,$A168,Summary!$L$247:$L$283)+SUMIF(Summary!$A$297:$A$333,$A168,Summary!$L$297:$L$333))-AI168,0)</f>
        <v>0</v>
      </c>
      <c r="AK168" s="196">
        <f>IFERROR($G168/SUMIF($A:$A,$A168,$G:$G)*SUMIF(Summary!$A$247:$A$283,$A168,Summary!$Q$247:$Q$283),0)</f>
        <v>0</v>
      </c>
      <c r="AL168" s="196">
        <f>IFERROR($G168/SUMIF($A:$A,$A168,$G:$G)*(SUMIF(Summary!$A$247:$A$283,$A168,Summary!$L$247:$L$283)+SUMIF(Summary!$A$297:$A$333,$A168,Summary!$L$297:$L$333))-AK168,0)</f>
        <v>0</v>
      </c>
      <c r="AM168" s="198"/>
      <c r="AN168" s="196">
        <f t="shared" ca="1" si="40"/>
        <v>0</v>
      </c>
      <c r="AO168" s="196">
        <f t="shared" ca="1" si="41"/>
        <v>0</v>
      </c>
    </row>
    <row r="169" spans="1:41">
      <c r="A169" s="189">
        <v>3541</v>
      </c>
      <c r="B169" s="190">
        <v>3</v>
      </c>
      <c r="C169" s="191" t="s">
        <v>237</v>
      </c>
      <c r="D169" s="192">
        <f t="shared" si="28"/>
        <v>0</v>
      </c>
      <c r="E169" s="192">
        <f t="shared" si="29"/>
        <v>0</v>
      </c>
      <c r="F169" s="192">
        <f t="shared" si="30"/>
        <v>0</v>
      </c>
      <c r="G169" s="193">
        <f t="shared" si="31"/>
        <v>0</v>
      </c>
      <c r="H169" s="194">
        <v>0</v>
      </c>
      <c r="I169" s="194">
        <v>0</v>
      </c>
      <c r="J169" s="194">
        <v>0</v>
      </c>
      <c r="K169" s="193">
        <f t="shared" si="32"/>
        <v>0</v>
      </c>
      <c r="L169" s="194">
        <v>0</v>
      </c>
      <c r="M169" s="194">
        <v>0</v>
      </c>
      <c r="N169" s="194">
        <v>0</v>
      </c>
      <c r="O169" s="193">
        <f t="shared" si="33"/>
        <v>0</v>
      </c>
      <c r="P169" s="194">
        <v>0</v>
      </c>
      <c r="Q169" s="194">
        <v>0</v>
      </c>
      <c r="R169" s="194">
        <v>0</v>
      </c>
      <c r="S169" s="193">
        <f t="shared" si="34"/>
        <v>0</v>
      </c>
      <c r="T169" s="193">
        <f t="shared" si="35"/>
        <v>0</v>
      </c>
      <c r="U169" s="193">
        <f ca="1">OFFSET('Expenditure Study'!$B$7,'Operations Support'!$C169,'Operations Support'!$B169)*$G169</f>
        <v>0</v>
      </c>
      <c r="V169" s="199">
        <f ca="1">U169*'Expenditure Study'!$B$31</f>
        <v>0</v>
      </c>
      <c r="W169" s="199">
        <f ca="1">IF(A169=10298,1.51,1)*IF($B169&lt;3,$D169*'Expenditure Study'!$B$32*OFFSET('Expenditure Study'!$B$7,'Operations Support'!$C169,'Operations Support'!$B169),0)</f>
        <v>0</v>
      </c>
      <c r="X169" s="200">
        <f ca="1">W169*'Expenditure Study'!$B$31</f>
        <v>0</v>
      </c>
      <c r="Y169" s="199">
        <f ca="1">U169*'Expenditure Study'!$B$31</f>
        <v>0</v>
      </c>
      <c r="Z169" s="200">
        <f ca="1">W169*'Expenditure Study'!$B$31</f>
        <v>0</v>
      </c>
      <c r="AA169" s="195">
        <f t="shared" ca="1" si="36"/>
        <v>0</v>
      </c>
      <c r="AB169" s="195">
        <f t="shared" ca="1" si="37"/>
        <v>0</v>
      </c>
      <c r="AD169" s="196">
        <f>IFERROR($G169/SUMIF($A:$A,$A169,$G:$G)*SUMIF(Summary!$A$166:$A$242,$A169,Summary!$P$166:$P$242),0)</f>
        <v>0</v>
      </c>
      <c r="AE169" s="197">
        <f t="shared" ca="1" si="38"/>
        <v>0</v>
      </c>
      <c r="AF169" s="196">
        <f>IFERROR(G169/SUMIF(A:A,A169,G:G)*SUMIF(Summary!$A$166:$A$242,'Operations Support'!A169,Summary!$Q$166:$Q$242),0)</f>
        <v>0</v>
      </c>
      <c r="AG169" s="196">
        <f t="shared" ca="1" si="39"/>
        <v>0</v>
      </c>
      <c r="AI169" s="196">
        <f>IFERROR($G169/SUMIF($A:$A,$A169,$G:$G)*SUMIF(Summary!$A$247:$A$283,$A169,Summary!$P$247:$P$283),0)</f>
        <v>0</v>
      </c>
      <c r="AJ169" s="196">
        <f>IFERROR($G169/SUMIF($A:$A,$A169,$G:$G)*(SUMIF(Summary!$A$247:$A$283,$A169,Summary!$L$247:$L$283)+SUMIF(Summary!$A$297:$A$333,$A169,Summary!$L$297:$L$333))-AI169,0)</f>
        <v>0</v>
      </c>
      <c r="AK169" s="196">
        <f>IFERROR($G169/SUMIF($A:$A,$A169,$G:$G)*SUMIF(Summary!$A$247:$A$283,$A169,Summary!$Q$247:$Q$283),0)</f>
        <v>0</v>
      </c>
      <c r="AL169" s="196">
        <f>IFERROR($G169/SUMIF($A:$A,$A169,$G:$G)*(SUMIF(Summary!$A$247:$A$283,$A169,Summary!$L$247:$L$283)+SUMIF(Summary!$A$297:$A$333,$A169,Summary!$L$297:$L$333))-AK169,0)</f>
        <v>0</v>
      </c>
      <c r="AM169" s="198"/>
      <c r="AN169" s="196">
        <f t="shared" ca="1" si="40"/>
        <v>0</v>
      </c>
      <c r="AO169" s="196">
        <f t="shared" ca="1" si="41"/>
        <v>0</v>
      </c>
    </row>
    <row r="170" spans="1:41">
      <c r="A170" s="189">
        <v>3541</v>
      </c>
      <c r="B170" s="190">
        <v>3</v>
      </c>
      <c r="C170" s="191" t="s">
        <v>238</v>
      </c>
      <c r="D170" s="192">
        <f t="shared" si="28"/>
        <v>273</v>
      </c>
      <c r="E170" s="192">
        <f t="shared" si="29"/>
        <v>84</v>
      </c>
      <c r="F170" s="192">
        <f t="shared" si="30"/>
        <v>0</v>
      </c>
      <c r="G170" s="193">
        <f t="shared" si="31"/>
        <v>357</v>
      </c>
      <c r="H170" s="194">
        <v>108</v>
      </c>
      <c r="I170" s="194">
        <v>27</v>
      </c>
      <c r="J170" s="194">
        <v>0</v>
      </c>
      <c r="K170" s="193">
        <f t="shared" si="32"/>
        <v>135</v>
      </c>
      <c r="L170" s="194">
        <v>69</v>
      </c>
      <c r="M170" s="194">
        <v>36</v>
      </c>
      <c r="N170" s="194">
        <v>0</v>
      </c>
      <c r="O170" s="193">
        <f t="shared" si="33"/>
        <v>105</v>
      </c>
      <c r="P170" s="194">
        <v>96</v>
      </c>
      <c r="Q170" s="194">
        <v>21</v>
      </c>
      <c r="R170" s="194">
        <v>0</v>
      </c>
      <c r="S170" s="193">
        <f t="shared" si="34"/>
        <v>117</v>
      </c>
      <c r="T170" s="193">
        <f t="shared" si="35"/>
        <v>14.875</v>
      </c>
      <c r="U170" s="193">
        <f ca="1">OFFSET('Expenditure Study'!$B$7,'Operations Support'!$C170,'Operations Support'!$B170)*$G170</f>
        <v>2084.88</v>
      </c>
      <c r="V170" s="199">
        <f ca="1">U170*'Expenditure Study'!$B$31</f>
        <v>123181.341986304</v>
      </c>
      <c r="W170" s="199">
        <f ca="1">IF(A170=10298,1.51,1)*IF($B170&lt;3,$D170*'Expenditure Study'!$B$32*OFFSET('Expenditure Study'!$B$7,'Operations Support'!$C170,'Operations Support'!$B170),0)</f>
        <v>0</v>
      </c>
      <c r="X170" s="200">
        <f ca="1">W170*'Expenditure Study'!$B$31</f>
        <v>0</v>
      </c>
      <c r="Y170" s="199">
        <f ca="1">U170*'Expenditure Study'!$B$31</f>
        <v>123181.341986304</v>
      </c>
      <c r="Z170" s="200">
        <f ca="1">W170*'Expenditure Study'!$B$31</f>
        <v>0</v>
      </c>
      <c r="AA170" s="195">
        <f t="shared" ca="1" si="36"/>
        <v>123181.341986304</v>
      </c>
      <c r="AB170" s="195">
        <f t="shared" ca="1" si="37"/>
        <v>123181.341986304</v>
      </c>
      <c r="AD170" s="196">
        <f>IFERROR($G170/SUMIF($A:$A,$A170,$G:$G)*SUMIF(Summary!$A$166:$A$242,$A170,Summary!$P$166:$P$242),0)</f>
        <v>8106.0054416534149</v>
      </c>
      <c r="AE170" s="197">
        <f t="shared" ca="1" si="38"/>
        <v>115075.33654465059</v>
      </c>
      <c r="AF170" s="196">
        <f>IFERROR(G170/SUMIF(A:A,A170,G:G)*SUMIF(Summary!$A$166:$A$242,'Operations Support'!A170,Summary!$Q$166:$Q$242),0)</f>
        <v>8111.4050665274854</v>
      </c>
      <c r="AG170" s="196">
        <f t="shared" ca="1" si="39"/>
        <v>115069.93691977652</v>
      </c>
      <c r="AI170" s="196">
        <f>IFERROR($G170/SUMIF($A:$A,$A170,$G:$G)*SUMIF(Summary!$A$247:$A$283,$A170,Summary!$P$247:$P$283),0)</f>
        <v>1478.3331094466305</v>
      </c>
      <c r="AJ170" s="196">
        <f>IFERROR($G170/SUMIF($A:$A,$A170,$G:$G)*(SUMIF(Summary!$A$247:$A$283,$A170,Summary!$L$247:$L$283)+SUMIF(Summary!$A$297:$A$333,$A170,Summary!$L$297:$L$333))-AI170,0)</f>
        <v>5551.4398109702297</v>
      </c>
      <c r="AK170" s="196">
        <f>IFERROR($G170/SUMIF($A:$A,$A170,$G:$G)*SUMIF(Summary!$A$247:$A$283,$A170,Summary!$Q$247:$Q$283),0)</f>
        <v>1479.3178662775242</v>
      </c>
      <c r="AL170" s="196">
        <f>IFERROR($G170/SUMIF($A:$A,$A170,$G:$G)*(SUMIF(Summary!$A$247:$A$283,$A170,Summary!$L$247:$L$283)+SUMIF(Summary!$A$297:$A$333,$A170,Summary!$L$297:$L$333))-AK170,0)</f>
        <v>5550.4550541393355</v>
      </c>
      <c r="AM170" s="198"/>
      <c r="AN170" s="196">
        <f t="shared" ca="1" si="40"/>
        <v>120626.77635562082</v>
      </c>
      <c r="AO170" s="196">
        <f t="shared" ca="1" si="41"/>
        <v>120620.39197391586</v>
      </c>
    </row>
    <row r="171" spans="1:41">
      <c r="A171" s="189">
        <v>3541</v>
      </c>
      <c r="B171" s="190">
        <v>3</v>
      </c>
      <c r="C171" s="191" t="s">
        <v>239</v>
      </c>
      <c r="D171" s="192">
        <f t="shared" si="28"/>
        <v>814</v>
      </c>
      <c r="E171" s="192">
        <f t="shared" si="29"/>
        <v>226</v>
      </c>
      <c r="F171" s="192">
        <f t="shared" si="30"/>
        <v>0</v>
      </c>
      <c r="G171" s="193">
        <f t="shared" si="31"/>
        <v>1040</v>
      </c>
      <c r="H171" s="194">
        <v>354</v>
      </c>
      <c r="I171" s="194">
        <v>36</v>
      </c>
      <c r="J171" s="194">
        <v>0</v>
      </c>
      <c r="K171" s="193">
        <f t="shared" si="32"/>
        <v>390</v>
      </c>
      <c r="L171" s="194">
        <v>273</v>
      </c>
      <c r="M171" s="194">
        <v>114</v>
      </c>
      <c r="N171" s="194">
        <v>0</v>
      </c>
      <c r="O171" s="193">
        <f t="shared" si="33"/>
        <v>387</v>
      </c>
      <c r="P171" s="194">
        <v>187</v>
      </c>
      <c r="Q171" s="194">
        <v>76</v>
      </c>
      <c r="R171" s="194">
        <v>0</v>
      </c>
      <c r="S171" s="193">
        <f t="shared" si="34"/>
        <v>263</v>
      </c>
      <c r="T171" s="193">
        <f t="shared" si="35"/>
        <v>43.333333333333336</v>
      </c>
      <c r="U171" s="193">
        <f ca="1">OFFSET('Expenditure Study'!$B$7,'Operations Support'!$C171,'Operations Support'!$B171)*$G171</f>
        <v>2828.8</v>
      </c>
      <c r="V171" s="199">
        <f ca="1">U171*'Expenditure Study'!$B$31</f>
        <v>167134.50184704002</v>
      </c>
      <c r="W171" s="199">
        <f ca="1">IF(A171=10298,1.51,1)*IF($B171&lt;3,$D171*'Expenditure Study'!$B$32*OFFSET('Expenditure Study'!$B$7,'Operations Support'!$C171,'Operations Support'!$B171),0)</f>
        <v>0</v>
      </c>
      <c r="X171" s="200">
        <f ca="1">W171*'Expenditure Study'!$B$31</f>
        <v>0</v>
      </c>
      <c r="Y171" s="199">
        <f ca="1">U171*'Expenditure Study'!$B$31</f>
        <v>167134.50184704002</v>
      </c>
      <c r="Z171" s="200">
        <f ca="1">W171*'Expenditure Study'!$B$31</f>
        <v>0</v>
      </c>
      <c r="AA171" s="195">
        <f t="shared" ca="1" si="36"/>
        <v>167134.50184704002</v>
      </c>
      <c r="AB171" s="195">
        <f t="shared" ca="1" si="37"/>
        <v>167134.50184704002</v>
      </c>
      <c r="AD171" s="196">
        <f>IFERROR($G171/SUMIF($A:$A,$A171,$G:$G)*SUMIF(Summary!$A$166:$A$242,$A171,Summary!$P$166:$P$242),0)</f>
        <v>23614.133499494543</v>
      </c>
      <c r="AE171" s="197">
        <f t="shared" ca="1" si="38"/>
        <v>143520.36834754547</v>
      </c>
      <c r="AF171" s="196">
        <f>IFERROR(G171/SUMIF(A:A,A171,G:G)*SUMIF(Summary!$A$166:$A$242,'Operations Support'!A171,Summary!$Q$166:$Q$242),0)</f>
        <v>23629.863499127689</v>
      </c>
      <c r="AG171" s="196">
        <f t="shared" ca="1" si="39"/>
        <v>143504.63834791235</v>
      </c>
      <c r="AI171" s="196">
        <f>IFERROR($G171/SUMIF($A:$A,$A171,$G:$G)*SUMIF(Summary!$A$247:$A$283,$A171,Summary!$P$247:$P$283),0)</f>
        <v>4306.6286661750573</v>
      </c>
      <c r="AJ171" s="196">
        <f>IFERROR($G171/SUMIF($A:$A,$A171,$G:$G)*(SUMIF(Summary!$A$247:$A$283,$A171,Summary!$L$247:$L$283)+SUMIF(Summary!$A$297:$A$333,$A171,Summary!$L$297:$L$333))-AI171,0)</f>
        <v>16172.261634198989</v>
      </c>
      <c r="AK171" s="196">
        <f>IFERROR($G171/SUMIF($A:$A,$A171,$G:$G)*SUMIF(Summary!$A$247:$A$283,$A171,Summary!$Q$247:$Q$283),0)</f>
        <v>4309.4974255703783</v>
      </c>
      <c r="AL171" s="196">
        <f>IFERROR($G171/SUMIF($A:$A,$A171,$G:$G)*(SUMIF(Summary!$A$247:$A$283,$A171,Summary!$L$247:$L$283)+SUMIF(Summary!$A$297:$A$333,$A171,Summary!$L$297:$L$333))-AK171,0)</f>
        <v>16169.392874803667</v>
      </c>
      <c r="AM171" s="198"/>
      <c r="AN171" s="196">
        <f t="shared" ca="1" si="40"/>
        <v>159692.62998174445</v>
      </c>
      <c r="AO171" s="196">
        <f t="shared" ca="1" si="41"/>
        <v>159674.031222716</v>
      </c>
    </row>
    <row r="172" spans="1:41">
      <c r="A172" s="189">
        <v>3541</v>
      </c>
      <c r="B172" s="190">
        <v>3</v>
      </c>
      <c r="C172" s="191" t="s">
        <v>240</v>
      </c>
      <c r="D172" s="192">
        <f t="shared" si="28"/>
        <v>0</v>
      </c>
      <c r="E172" s="192">
        <f t="shared" si="29"/>
        <v>0</v>
      </c>
      <c r="F172" s="192">
        <f t="shared" si="30"/>
        <v>0</v>
      </c>
      <c r="G172" s="193">
        <f t="shared" si="31"/>
        <v>0</v>
      </c>
      <c r="H172" s="194">
        <v>0</v>
      </c>
      <c r="I172" s="194">
        <v>0</v>
      </c>
      <c r="J172" s="194">
        <v>0</v>
      </c>
      <c r="K172" s="193">
        <f t="shared" si="32"/>
        <v>0</v>
      </c>
      <c r="L172" s="194">
        <v>0</v>
      </c>
      <c r="M172" s="194">
        <v>0</v>
      </c>
      <c r="N172" s="194">
        <v>0</v>
      </c>
      <c r="O172" s="193">
        <f t="shared" si="33"/>
        <v>0</v>
      </c>
      <c r="P172" s="194">
        <v>0</v>
      </c>
      <c r="Q172" s="194">
        <v>0</v>
      </c>
      <c r="R172" s="194">
        <v>0</v>
      </c>
      <c r="S172" s="193">
        <f t="shared" si="34"/>
        <v>0</v>
      </c>
      <c r="T172" s="193">
        <f t="shared" si="35"/>
        <v>0</v>
      </c>
      <c r="U172" s="193">
        <f ca="1">OFFSET('Expenditure Study'!$B$7,'Operations Support'!$C172,'Operations Support'!$B172)*$G172</f>
        <v>0</v>
      </c>
      <c r="V172" s="199">
        <f ca="1">U172*'Expenditure Study'!$B$31</f>
        <v>0</v>
      </c>
      <c r="W172" s="199">
        <f ca="1">IF(A172=10298,1.51,1)*IF($B172&lt;3,$D172*'Expenditure Study'!$B$32*OFFSET('Expenditure Study'!$B$7,'Operations Support'!$C172,'Operations Support'!$B172),0)</f>
        <v>0</v>
      </c>
      <c r="X172" s="200">
        <f ca="1">W172*'Expenditure Study'!$B$31</f>
        <v>0</v>
      </c>
      <c r="Y172" s="199">
        <f ca="1">U172*'Expenditure Study'!$B$31</f>
        <v>0</v>
      </c>
      <c r="Z172" s="200">
        <f ca="1">W172*'Expenditure Study'!$B$31</f>
        <v>0</v>
      </c>
      <c r="AA172" s="195">
        <f t="shared" ca="1" si="36"/>
        <v>0</v>
      </c>
      <c r="AB172" s="195">
        <f t="shared" ca="1" si="37"/>
        <v>0</v>
      </c>
      <c r="AD172" s="196">
        <f>IFERROR($G172/SUMIF($A:$A,$A172,$G:$G)*SUMIF(Summary!$A$166:$A$242,$A172,Summary!$P$166:$P$242),0)</f>
        <v>0</v>
      </c>
      <c r="AE172" s="197">
        <f t="shared" ca="1" si="38"/>
        <v>0</v>
      </c>
      <c r="AF172" s="196">
        <f>IFERROR(G172/SUMIF(A:A,A172,G:G)*SUMIF(Summary!$A$166:$A$242,'Operations Support'!A172,Summary!$Q$166:$Q$242),0)</f>
        <v>0</v>
      </c>
      <c r="AG172" s="196">
        <f t="shared" ca="1" si="39"/>
        <v>0</v>
      </c>
      <c r="AI172" s="196">
        <f>IFERROR($G172/SUMIF($A:$A,$A172,$G:$G)*SUMIF(Summary!$A$247:$A$283,$A172,Summary!$P$247:$P$283),0)</f>
        <v>0</v>
      </c>
      <c r="AJ172" s="196">
        <f>IFERROR($G172/SUMIF($A:$A,$A172,$G:$G)*(SUMIF(Summary!$A$247:$A$283,$A172,Summary!$L$247:$L$283)+SUMIF(Summary!$A$297:$A$333,$A172,Summary!$L$297:$L$333))-AI172,0)</f>
        <v>0</v>
      </c>
      <c r="AK172" s="196">
        <f>IFERROR($G172/SUMIF($A:$A,$A172,$G:$G)*SUMIF(Summary!$A$247:$A$283,$A172,Summary!$Q$247:$Q$283),0)</f>
        <v>0</v>
      </c>
      <c r="AL172" s="196">
        <f>IFERROR($G172/SUMIF($A:$A,$A172,$G:$G)*(SUMIF(Summary!$A$247:$A$283,$A172,Summary!$L$247:$L$283)+SUMIF(Summary!$A$297:$A$333,$A172,Summary!$L$297:$L$333))-AK172,0)</f>
        <v>0</v>
      </c>
      <c r="AM172" s="198"/>
      <c r="AN172" s="196">
        <f t="shared" ca="1" si="40"/>
        <v>0</v>
      </c>
      <c r="AO172" s="196">
        <f t="shared" ca="1" si="41"/>
        <v>0</v>
      </c>
    </row>
    <row r="173" spans="1:41">
      <c r="A173" s="189">
        <v>3541</v>
      </c>
      <c r="B173" s="190">
        <v>4</v>
      </c>
      <c r="C173" s="191" t="s">
        <v>220</v>
      </c>
      <c r="D173" s="192">
        <f t="shared" si="28"/>
        <v>0</v>
      </c>
      <c r="E173" s="192">
        <f t="shared" si="29"/>
        <v>9</v>
      </c>
      <c r="F173" s="192">
        <f t="shared" si="30"/>
        <v>0</v>
      </c>
      <c r="G173" s="193">
        <f t="shared" si="31"/>
        <v>9</v>
      </c>
      <c r="H173" s="194">
        <v>0</v>
      </c>
      <c r="I173" s="194">
        <v>6</v>
      </c>
      <c r="J173" s="194">
        <v>0</v>
      </c>
      <c r="K173" s="193">
        <f t="shared" si="32"/>
        <v>6</v>
      </c>
      <c r="L173" s="194">
        <v>0</v>
      </c>
      <c r="M173" s="194">
        <v>3</v>
      </c>
      <c r="N173" s="194">
        <v>0</v>
      </c>
      <c r="O173" s="193">
        <f t="shared" si="33"/>
        <v>3</v>
      </c>
      <c r="P173" s="194">
        <v>0</v>
      </c>
      <c r="Q173" s="194">
        <v>0</v>
      </c>
      <c r="R173" s="194">
        <v>0</v>
      </c>
      <c r="S173" s="193">
        <f t="shared" si="34"/>
        <v>0</v>
      </c>
      <c r="T173" s="193">
        <f t="shared" si="35"/>
        <v>0.5</v>
      </c>
      <c r="U173" s="193">
        <f ca="1">OFFSET('Expenditure Study'!$B$7,'Operations Support'!$C173,'Operations Support'!$B173)*$G173</f>
        <v>132.57</v>
      </c>
      <c r="V173" s="199">
        <f ca="1">U173*'Expenditure Study'!$B$31</f>
        <v>7832.657278656</v>
      </c>
      <c r="W173" s="199">
        <f ca="1">IF(A173=10298,1.51,1)*IF($B173&lt;3,$D173*'Expenditure Study'!$B$32*OFFSET('Expenditure Study'!$B$7,'Operations Support'!$C173,'Operations Support'!$B173),0)</f>
        <v>0</v>
      </c>
      <c r="X173" s="200">
        <f ca="1">W173*'Expenditure Study'!$B$31</f>
        <v>0</v>
      </c>
      <c r="Y173" s="199">
        <f ca="1">U173*'Expenditure Study'!$B$31</f>
        <v>7832.657278656</v>
      </c>
      <c r="Z173" s="200">
        <f ca="1">W173*'Expenditure Study'!$B$31</f>
        <v>0</v>
      </c>
      <c r="AA173" s="195">
        <f t="shared" ca="1" si="36"/>
        <v>7832.657278656</v>
      </c>
      <c r="AB173" s="195">
        <f t="shared" ca="1" si="37"/>
        <v>7832.657278656</v>
      </c>
      <c r="AD173" s="196">
        <f>IFERROR($G173/SUMIF($A:$A,$A173,$G:$G)*SUMIF(Summary!$A$166:$A$242,$A173,Summary!$P$166:$P$242),0)</f>
        <v>204.35307836101043</v>
      </c>
      <c r="AE173" s="197">
        <f t="shared" ca="1" si="38"/>
        <v>7628.3042002949896</v>
      </c>
      <c r="AF173" s="196">
        <f>IFERROR(G173/SUMIF(A:A,A173,G:G)*SUMIF(Summary!$A$166:$A$242,'Operations Support'!A173,Summary!$Q$166:$Q$242),0)</f>
        <v>204.48920335783575</v>
      </c>
      <c r="AG173" s="196">
        <f t="shared" ca="1" si="39"/>
        <v>7628.1680752981647</v>
      </c>
      <c r="AI173" s="196">
        <f>IFERROR($G173/SUMIF($A:$A,$A173,$G:$G)*SUMIF(Summary!$A$247:$A$283,$A173,Summary!$P$247:$P$283),0)</f>
        <v>37.268901918822614</v>
      </c>
      <c r="AJ173" s="196">
        <f>IFERROR($G173/SUMIF($A:$A,$A173,$G:$G)*(SUMIF(Summary!$A$247:$A$283,$A173,Summary!$L$247:$L$283)+SUMIF(Summary!$A$297:$A$333,$A173,Summary!$L$297:$L$333))-AI173,0)</f>
        <v>139.9522641421066</v>
      </c>
      <c r="AK173" s="196">
        <f>IFERROR($G173/SUMIF($A:$A,$A173,$G:$G)*SUMIF(Summary!$A$247:$A$283,$A173,Summary!$Q$247:$Q$283),0)</f>
        <v>37.293727721282117</v>
      </c>
      <c r="AL173" s="196">
        <f>IFERROR($G173/SUMIF($A:$A,$A173,$G:$G)*(SUMIF(Summary!$A$247:$A$283,$A173,Summary!$L$247:$L$283)+SUMIF(Summary!$A$297:$A$333,$A173,Summary!$L$297:$L$333))-AK173,0)</f>
        <v>139.9274383396471</v>
      </c>
      <c r="AM173" s="198"/>
      <c r="AN173" s="196">
        <f t="shared" ca="1" si="40"/>
        <v>7768.2564644370959</v>
      </c>
      <c r="AO173" s="196">
        <f t="shared" ca="1" si="41"/>
        <v>7768.0955136378116</v>
      </c>
    </row>
    <row r="174" spans="1:41">
      <c r="A174" s="189">
        <v>3541</v>
      </c>
      <c r="B174" s="190">
        <v>4</v>
      </c>
      <c r="C174" s="191" t="s">
        <v>221</v>
      </c>
      <c r="D174" s="192">
        <f t="shared" si="28"/>
        <v>0</v>
      </c>
      <c r="E174" s="192">
        <f t="shared" si="29"/>
        <v>0</v>
      </c>
      <c r="F174" s="192">
        <f t="shared" si="30"/>
        <v>0</v>
      </c>
      <c r="G174" s="193">
        <f t="shared" si="31"/>
        <v>0</v>
      </c>
      <c r="H174" s="194">
        <v>0</v>
      </c>
      <c r="I174" s="194">
        <v>0</v>
      </c>
      <c r="J174" s="194">
        <v>0</v>
      </c>
      <c r="K174" s="193">
        <f t="shared" si="32"/>
        <v>0</v>
      </c>
      <c r="L174" s="194">
        <v>0</v>
      </c>
      <c r="M174" s="194">
        <v>0</v>
      </c>
      <c r="N174" s="194">
        <v>0</v>
      </c>
      <c r="O174" s="193">
        <f t="shared" si="33"/>
        <v>0</v>
      </c>
      <c r="P174" s="194">
        <v>0</v>
      </c>
      <c r="Q174" s="194">
        <v>0</v>
      </c>
      <c r="R174" s="194">
        <v>0</v>
      </c>
      <c r="S174" s="193">
        <f t="shared" si="34"/>
        <v>0</v>
      </c>
      <c r="T174" s="193">
        <f t="shared" si="35"/>
        <v>0</v>
      </c>
      <c r="U174" s="193">
        <f ca="1">OFFSET('Expenditure Study'!$B$7,'Operations Support'!$C174,'Operations Support'!$B174)*$G174</f>
        <v>0</v>
      </c>
      <c r="V174" s="199">
        <f ca="1">U174*'Expenditure Study'!$B$31</f>
        <v>0</v>
      </c>
      <c r="W174" s="199">
        <f ca="1">IF(A174=10298,1.51,1)*IF($B174&lt;3,$D174*'Expenditure Study'!$B$32*OFFSET('Expenditure Study'!$B$7,'Operations Support'!$C174,'Operations Support'!$B174),0)</f>
        <v>0</v>
      </c>
      <c r="X174" s="200">
        <f ca="1">W174*'Expenditure Study'!$B$31</f>
        <v>0</v>
      </c>
      <c r="Y174" s="199">
        <f ca="1">U174*'Expenditure Study'!$B$31</f>
        <v>0</v>
      </c>
      <c r="Z174" s="200">
        <f ca="1">W174*'Expenditure Study'!$B$31</f>
        <v>0</v>
      </c>
      <c r="AA174" s="195">
        <f t="shared" ca="1" si="36"/>
        <v>0</v>
      </c>
      <c r="AB174" s="195">
        <f t="shared" ca="1" si="37"/>
        <v>0</v>
      </c>
      <c r="AD174" s="196">
        <f>IFERROR($G174/SUMIF($A:$A,$A174,$G:$G)*SUMIF(Summary!$A$166:$A$242,$A174,Summary!$P$166:$P$242),0)</f>
        <v>0</v>
      </c>
      <c r="AE174" s="197">
        <f t="shared" ca="1" si="38"/>
        <v>0</v>
      </c>
      <c r="AF174" s="196">
        <f>IFERROR(G174/SUMIF(A:A,A174,G:G)*SUMIF(Summary!$A$166:$A$242,'Operations Support'!A174,Summary!$Q$166:$Q$242),0)</f>
        <v>0</v>
      </c>
      <c r="AG174" s="196">
        <f t="shared" ca="1" si="39"/>
        <v>0</v>
      </c>
      <c r="AI174" s="196">
        <f>IFERROR($G174/SUMIF($A:$A,$A174,$G:$G)*SUMIF(Summary!$A$247:$A$283,$A174,Summary!$P$247:$P$283),0)</f>
        <v>0</v>
      </c>
      <c r="AJ174" s="196">
        <f>IFERROR($G174/SUMIF($A:$A,$A174,$G:$G)*(SUMIF(Summary!$A$247:$A$283,$A174,Summary!$L$247:$L$283)+SUMIF(Summary!$A$297:$A$333,$A174,Summary!$L$297:$L$333))-AI174,0)</f>
        <v>0</v>
      </c>
      <c r="AK174" s="196">
        <f>IFERROR($G174/SUMIF($A:$A,$A174,$G:$G)*SUMIF(Summary!$A$247:$A$283,$A174,Summary!$Q$247:$Q$283),0)</f>
        <v>0</v>
      </c>
      <c r="AL174" s="196">
        <f>IFERROR($G174/SUMIF($A:$A,$A174,$G:$G)*(SUMIF(Summary!$A$247:$A$283,$A174,Summary!$L$247:$L$283)+SUMIF(Summary!$A$297:$A$333,$A174,Summary!$L$297:$L$333))-AK174,0)</f>
        <v>0</v>
      </c>
      <c r="AM174" s="198"/>
      <c r="AN174" s="196">
        <f t="shared" ca="1" si="40"/>
        <v>0</v>
      </c>
      <c r="AO174" s="196">
        <f t="shared" ca="1" si="41"/>
        <v>0</v>
      </c>
    </row>
    <row r="175" spans="1:41">
      <c r="A175" s="189">
        <v>3541</v>
      </c>
      <c r="B175" s="190">
        <v>4</v>
      </c>
      <c r="C175" s="191" t="s">
        <v>222</v>
      </c>
      <c r="D175" s="192">
        <f t="shared" si="28"/>
        <v>0</v>
      </c>
      <c r="E175" s="192">
        <f t="shared" si="29"/>
        <v>0</v>
      </c>
      <c r="F175" s="192">
        <f t="shared" si="30"/>
        <v>0</v>
      </c>
      <c r="G175" s="193">
        <f t="shared" si="31"/>
        <v>0</v>
      </c>
      <c r="H175" s="194">
        <v>0</v>
      </c>
      <c r="I175" s="194">
        <v>0</v>
      </c>
      <c r="J175" s="194">
        <v>0</v>
      </c>
      <c r="K175" s="193">
        <f t="shared" si="32"/>
        <v>0</v>
      </c>
      <c r="L175" s="194">
        <v>0</v>
      </c>
      <c r="M175" s="194">
        <v>0</v>
      </c>
      <c r="N175" s="194">
        <v>0</v>
      </c>
      <c r="O175" s="193">
        <f t="shared" si="33"/>
        <v>0</v>
      </c>
      <c r="P175" s="194">
        <v>0</v>
      </c>
      <c r="Q175" s="194">
        <v>0</v>
      </c>
      <c r="R175" s="194">
        <v>0</v>
      </c>
      <c r="S175" s="193">
        <f t="shared" si="34"/>
        <v>0</v>
      </c>
      <c r="T175" s="193">
        <f t="shared" si="35"/>
        <v>0</v>
      </c>
      <c r="U175" s="193">
        <f ca="1">OFFSET('Expenditure Study'!$B$7,'Operations Support'!$C175,'Operations Support'!$B175)*$G175</f>
        <v>0</v>
      </c>
      <c r="V175" s="199">
        <f ca="1">U175*'Expenditure Study'!$B$31</f>
        <v>0</v>
      </c>
      <c r="W175" s="199">
        <f ca="1">IF(A175=10298,1.51,1)*IF($B175&lt;3,$D175*'Expenditure Study'!$B$32*OFFSET('Expenditure Study'!$B$7,'Operations Support'!$C175,'Operations Support'!$B175),0)</f>
        <v>0</v>
      </c>
      <c r="X175" s="200">
        <f ca="1">W175*'Expenditure Study'!$B$31</f>
        <v>0</v>
      </c>
      <c r="Y175" s="199">
        <f ca="1">U175*'Expenditure Study'!$B$31</f>
        <v>0</v>
      </c>
      <c r="Z175" s="200">
        <f ca="1">W175*'Expenditure Study'!$B$31</f>
        <v>0</v>
      </c>
      <c r="AA175" s="195">
        <f t="shared" ca="1" si="36"/>
        <v>0</v>
      </c>
      <c r="AB175" s="195">
        <f t="shared" ca="1" si="37"/>
        <v>0</v>
      </c>
      <c r="AD175" s="196">
        <f>IFERROR($G175/SUMIF($A:$A,$A175,$G:$G)*SUMIF(Summary!$A$166:$A$242,$A175,Summary!$P$166:$P$242),0)</f>
        <v>0</v>
      </c>
      <c r="AE175" s="197">
        <f t="shared" ca="1" si="38"/>
        <v>0</v>
      </c>
      <c r="AF175" s="196">
        <f>IFERROR(G175/SUMIF(A:A,A175,G:G)*SUMIF(Summary!$A$166:$A$242,'Operations Support'!A175,Summary!$Q$166:$Q$242),0)</f>
        <v>0</v>
      </c>
      <c r="AG175" s="196">
        <f t="shared" ca="1" si="39"/>
        <v>0</v>
      </c>
      <c r="AI175" s="196">
        <f>IFERROR($G175/SUMIF($A:$A,$A175,$G:$G)*SUMIF(Summary!$A$247:$A$283,$A175,Summary!$P$247:$P$283),0)</f>
        <v>0</v>
      </c>
      <c r="AJ175" s="196">
        <f>IFERROR($G175/SUMIF($A:$A,$A175,$G:$G)*(SUMIF(Summary!$A$247:$A$283,$A175,Summary!$L$247:$L$283)+SUMIF(Summary!$A$297:$A$333,$A175,Summary!$L$297:$L$333))-AI175,0)</f>
        <v>0</v>
      </c>
      <c r="AK175" s="196">
        <f>IFERROR($G175/SUMIF($A:$A,$A175,$G:$G)*SUMIF(Summary!$A$247:$A$283,$A175,Summary!$Q$247:$Q$283),0)</f>
        <v>0</v>
      </c>
      <c r="AL175" s="196">
        <f>IFERROR($G175/SUMIF($A:$A,$A175,$G:$G)*(SUMIF(Summary!$A$247:$A$283,$A175,Summary!$L$247:$L$283)+SUMIF(Summary!$A$297:$A$333,$A175,Summary!$L$297:$L$333))-AK175,0)</f>
        <v>0</v>
      </c>
      <c r="AM175" s="198"/>
      <c r="AN175" s="196">
        <f t="shared" ca="1" si="40"/>
        <v>0</v>
      </c>
      <c r="AO175" s="196">
        <f t="shared" ca="1" si="41"/>
        <v>0</v>
      </c>
    </row>
    <row r="176" spans="1:41">
      <c r="A176" s="189">
        <v>3541</v>
      </c>
      <c r="B176" s="190">
        <v>4</v>
      </c>
      <c r="C176" s="191" t="s">
        <v>223</v>
      </c>
      <c r="D176" s="192">
        <f t="shared" si="28"/>
        <v>0</v>
      </c>
      <c r="E176" s="192">
        <f t="shared" si="29"/>
        <v>0</v>
      </c>
      <c r="F176" s="192">
        <f t="shared" si="30"/>
        <v>0</v>
      </c>
      <c r="G176" s="193">
        <f t="shared" si="31"/>
        <v>0</v>
      </c>
      <c r="H176" s="194">
        <v>0</v>
      </c>
      <c r="I176" s="194">
        <v>0</v>
      </c>
      <c r="J176" s="194">
        <v>0</v>
      </c>
      <c r="K176" s="193">
        <f t="shared" si="32"/>
        <v>0</v>
      </c>
      <c r="L176" s="194">
        <v>0</v>
      </c>
      <c r="M176" s="194">
        <v>0</v>
      </c>
      <c r="N176" s="194">
        <v>0</v>
      </c>
      <c r="O176" s="193">
        <f t="shared" si="33"/>
        <v>0</v>
      </c>
      <c r="P176" s="194">
        <v>0</v>
      </c>
      <c r="Q176" s="194">
        <v>0</v>
      </c>
      <c r="R176" s="194">
        <v>0</v>
      </c>
      <c r="S176" s="193">
        <f t="shared" si="34"/>
        <v>0</v>
      </c>
      <c r="T176" s="193">
        <f t="shared" si="35"/>
        <v>0</v>
      </c>
      <c r="U176" s="193">
        <f ca="1">OFFSET('Expenditure Study'!$B$7,'Operations Support'!$C176,'Operations Support'!$B176)*$G176</f>
        <v>0</v>
      </c>
      <c r="V176" s="199">
        <f ca="1">U176*'Expenditure Study'!$B$31</f>
        <v>0</v>
      </c>
      <c r="W176" s="199">
        <f ca="1">IF(A176=10298,1.51,1)*IF($B176&lt;3,$D176*'Expenditure Study'!$B$32*OFFSET('Expenditure Study'!$B$7,'Operations Support'!$C176,'Operations Support'!$B176),0)</f>
        <v>0</v>
      </c>
      <c r="X176" s="200">
        <f ca="1">W176*'Expenditure Study'!$B$31</f>
        <v>0</v>
      </c>
      <c r="Y176" s="199">
        <f ca="1">U176*'Expenditure Study'!$B$31</f>
        <v>0</v>
      </c>
      <c r="Z176" s="200">
        <f ca="1">W176*'Expenditure Study'!$B$31</f>
        <v>0</v>
      </c>
      <c r="AA176" s="195">
        <f t="shared" ca="1" si="36"/>
        <v>0</v>
      </c>
      <c r="AB176" s="195">
        <f t="shared" ca="1" si="37"/>
        <v>0</v>
      </c>
      <c r="AD176" s="196">
        <f>IFERROR($G176/SUMIF($A:$A,$A176,$G:$G)*SUMIF(Summary!$A$166:$A$242,$A176,Summary!$P$166:$P$242),0)</f>
        <v>0</v>
      </c>
      <c r="AE176" s="197">
        <f t="shared" ca="1" si="38"/>
        <v>0</v>
      </c>
      <c r="AF176" s="196">
        <f>IFERROR(G176/SUMIF(A:A,A176,G:G)*SUMIF(Summary!$A$166:$A$242,'Operations Support'!A176,Summary!$Q$166:$Q$242),0)</f>
        <v>0</v>
      </c>
      <c r="AG176" s="196">
        <f t="shared" ca="1" si="39"/>
        <v>0</v>
      </c>
      <c r="AI176" s="196">
        <f>IFERROR($G176/SUMIF($A:$A,$A176,$G:$G)*SUMIF(Summary!$A$247:$A$283,$A176,Summary!$P$247:$P$283),0)</f>
        <v>0</v>
      </c>
      <c r="AJ176" s="196">
        <f>IFERROR($G176/SUMIF($A:$A,$A176,$G:$G)*(SUMIF(Summary!$A$247:$A$283,$A176,Summary!$L$247:$L$283)+SUMIF(Summary!$A$297:$A$333,$A176,Summary!$L$297:$L$333))-AI176,0)</f>
        <v>0</v>
      </c>
      <c r="AK176" s="196">
        <f>IFERROR($G176/SUMIF($A:$A,$A176,$G:$G)*SUMIF(Summary!$A$247:$A$283,$A176,Summary!$Q$247:$Q$283),0)</f>
        <v>0</v>
      </c>
      <c r="AL176" s="196">
        <f>IFERROR($G176/SUMIF($A:$A,$A176,$G:$G)*(SUMIF(Summary!$A$247:$A$283,$A176,Summary!$L$247:$L$283)+SUMIF(Summary!$A$297:$A$333,$A176,Summary!$L$297:$L$333))-AK176,0)</f>
        <v>0</v>
      </c>
      <c r="AM176" s="198"/>
      <c r="AN176" s="196">
        <f t="shared" ca="1" si="40"/>
        <v>0</v>
      </c>
      <c r="AO176" s="196">
        <f t="shared" ca="1" si="41"/>
        <v>0</v>
      </c>
    </row>
    <row r="177" spans="1:41">
      <c r="A177" s="189">
        <v>3541</v>
      </c>
      <c r="B177" s="190">
        <v>4</v>
      </c>
      <c r="C177" s="191" t="s">
        <v>224</v>
      </c>
      <c r="D177" s="192">
        <f t="shared" si="28"/>
        <v>0</v>
      </c>
      <c r="E177" s="192">
        <f t="shared" si="29"/>
        <v>0</v>
      </c>
      <c r="F177" s="192">
        <f t="shared" si="30"/>
        <v>0</v>
      </c>
      <c r="G177" s="193">
        <f t="shared" si="31"/>
        <v>0</v>
      </c>
      <c r="H177" s="194">
        <v>0</v>
      </c>
      <c r="I177" s="194">
        <v>0</v>
      </c>
      <c r="J177" s="194">
        <v>0</v>
      </c>
      <c r="K177" s="193">
        <f t="shared" si="32"/>
        <v>0</v>
      </c>
      <c r="L177" s="194">
        <v>0</v>
      </c>
      <c r="M177" s="194">
        <v>0</v>
      </c>
      <c r="N177" s="194">
        <v>0</v>
      </c>
      <c r="O177" s="193">
        <f t="shared" si="33"/>
        <v>0</v>
      </c>
      <c r="P177" s="194">
        <v>0</v>
      </c>
      <c r="Q177" s="194">
        <v>0</v>
      </c>
      <c r="R177" s="194">
        <v>0</v>
      </c>
      <c r="S177" s="193">
        <f t="shared" si="34"/>
        <v>0</v>
      </c>
      <c r="T177" s="193">
        <f t="shared" si="35"/>
        <v>0</v>
      </c>
      <c r="U177" s="193">
        <f ca="1">OFFSET('Expenditure Study'!$B$7,'Operations Support'!$C177,'Operations Support'!$B177)*$G177</f>
        <v>0</v>
      </c>
      <c r="V177" s="199">
        <f ca="1">U177*'Expenditure Study'!$B$31</f>
        <v>0</v>
      </c>
      <c r="W177" s="199">
        <f ca="1">IF(A177=10298,1.51,1)*IF($B177&lt;3,$D177*'Expenditure Study'!$B$32*OFFSET('Expenditure Study'!$B$7,'Operations Support'!$C177,'Operations Support'!$B177),0)</f>
        <v>0</v>
      </c>
      <c r="X177" s="200">
        <f ca="1">W177*'Expenditure Study'!$B$31</f>
        <v>0</v>
      </c>
      <c r="Y177" s="199">
        <f ca="1">U177*'Expenditure Study'!$B$31</f>
        <v>0</v>
      </c>
      <c r="Z177" s="200">
        <f ca="1">W177*'Expenditure Study'!$B$31</f>
        <v>0</v>
      </c>
      <c r="AA177" s="195">
        <f t="shared" ca="1" si="36"/>
        <v>0</v>
      </c>
      <c r="AB177" s="195">
        <f t="shared" ca="1" si="37"/>
        <v>0</v>
      </c>
      <c r="AD177" s="196">
        <f>IFERROR($G177/SUMIF($A:$A,$A177,$G:$G)*SUMIF(Summary!$A$166:$A$242,$A177,Summary!$P$166:$P$242),0)</f>
        <v>0</v>
      </c>
      <c r="AE177" s="197">
        <f t="shared" ca="1" si="38"/>
        <v>0</v>
      </c>
      <c r="AF177" s="196">
        <f>IFERROR(G177/SUMIF(A:A,A177,G:G)*SUMIF(Summary!$A$166:$A$242,'Operations Support'!A177,Summary!$Q$166:$Q$242),0)</f>
        <v>0</v>
      </c>
      <c r="AG177" s="196">
        <f t="shared" ca="1" si="39"/>
        <v>0</v>
      </c>
      <c r="AI177" s="196">
        <f>IFERROR($G177/SUMIF($A:$A,$A177,$G:$G)*SUMIF(Summary!$A$247:$A$283,$A177,Summary!$P$247:$P$283),0)</f>
        <v>0</v>
      </c>
      <c r="AJ177" s="196">
        <f>IFERROR($G177/SUMIF($A:$A,$A177,$G:$G)*(SUMIF(Summary!$A$247:$A$283,$A177,Summary!$L$247:$L$283)+SUMIF(Summary!$A$297:$A$333,$A177,Summary!$L$297:$L$333))-AI177,0)</f>
        <v>0</v>
      </c>
      <c r="AK177" s="196">
        <f>IFERROR($G177/SUMIF($A:$A,$A177,$G:$G)*SUMIF(Summary!$A$247:$A$283,$A177,Summary!$Q$247:$Q$283),0)</f>
        <v>0</v>
      </c>
      <c r="AL177" s="196">
        <f>IFERROR($G177/SUMIF($A:$A,$A177,$G:$G)*(SUMIF(Summary!$A$247:$A$283,$A177,Summary!$L$247:$L$283)+SUMIF(Summary!$A$297:$A$333,$A177,Summary!$L$297:$L$333))-AK177,0)</f>
        <v>0</v>
      </c>
      <c r="AM177" s="198"/>
      <c r="AN177" s="196">
        <f t="shared" ca="1" si="40"/>
        <v>0</v>
      </c>
      <c r="AO177" s="196">
        <f t="shared" ca="1" si="41"/>
        <v>0</v>
      </c>
    </row>
    <row r="178" spans="1:41">
      <c r="A178" s="189">
        <v>3541</v>
      </c>
      <c r="B178" s="190">
        <v>4</v>
      </c>
      <c r="C178" s="191" t="s">
        <v>225</v>
      </c>
      <c r="D178" s="192">
        <f t="shared" si="28"/>
        <v>0</v>
      </c>
      <c r="E178" s="192">
        <f t="shared" si="29"/>
        <v>0</v>
      </c>
      <c r="F178" s="192">
        <f t="shared" si="30"/>
        <v>0</v>
      </c>
      <c r="G178" s="193">
        <f t="shared" si="31"/>
        <v>0</v>
      </c>
      <c r="H178" s="194">
        <v>0</v>
      </c>
      <c r="I178" s="194">
        <v>0</v>
      </c>
      <c r="J178" s="194">
        <v>0</v>
      </c>
      <c r="K178" s="193">
        <f t="shared" si="32"/>
        <v>0</v>
      </c>
      <c r="L178" s="194">
        <v>0</v>
      </c>
      <c r="M178" s="194">
        <v>0</v>
      </c>
      <c r="N178" s="194">
        <v>0</v>
      </c>
      <c r="O178" s="193">
        <f t="shared" si="33"/>
        <v>0</v>
      </c>
      <c r="P178" s="194">
        <v>0</v>
      </c>
      <c r="Q178" s="194">
        <v>0</v>
      </c>
      <c r="R178" s="194">
        <v>0</v>
      </c>
      <c r="S178" s="193">
        <f t="shared" si="34"/>
        <v>0</v>
      </c>
      <c r="T178" s="193">
        <f t="shared" si="35"/>
        <v>0</v>
      </c>
      <c r="U178" s="193">
        <f ca="1">OFFSET('Expenditure Study'!$B$7,'Operations Support'!$C178,'Operations Support'!$B178)*$G178</f>
        <v>0</v>
      </c>
      <c r="V178" s="199">
        <f ca="1">U178*'Expenditure Study'!$B$31</f>
        <v>0</v>
      </c>
      <c r="W178" s="199">
        <f ca="1">IF(A178=10298,1.51,1)*IF($B178&lt;3,$D178*'Expenditure Study'!$B$32*OFFSET('Expenditure Study'!$B$7,'Operations Support'!$C178,'Operations Support'!$B178),0)</f>
        <v>0</v>
      </c>
      <c r="X178" s="200">
        <f ca="1">W178*'Expenditure Study'!$B$31</f>
        <v>0</v>
      </c>
      <c r="Y178" s="199">
        <f ca="1">U178*'Expenditure Study'!$B$31</f>
        <v>0</v>
      </c>
      <c r="Z178" s="200">
        <f ca="1">W178*'Expenditure Study'!$B$31</f>
        <v>0</v>
      </c>
      <c r="AA178" s="195">
        <f t="shared" ca="1" si="36"/>
        <v>0</v>
      </c>
      <c r="AB178" s="195">
        <f t="shared" ca="1" si="37"/>
        <v>0</v>
      </c>
      <c r="AD178" s="196">
        <f>IFERROR($G178/SUMIF($A:$A,$A178,$G:$G)*SUMIF(Summary!$A$166:$A$242,$A178,Summary!$P$166:$P$242),0)</f>
        <v>0</v>
      </c>
      <c r="AE178" s="197">
        <f t="shared" ca="1" si="38"/>
        <v>0</v>
      </c>
      <c r="AF178" s="196">
        <f>IFERROR(G178/SUMIF(A:A,A178,G:G)*SUMIF(Summary!$A$166:$A$242,'Operations Support'!A178,Summary!$Q$166:$Q$242),0)</f>
        <v>0</v>
      </c>
      <c r="AG178" s="196">
        <f t="shared" ca="1" si="39"/>
        <v>0</v>
      </c>
      <c r="AI178" s="196">
        <f>IFERROR($G178/SUMIF($A:$A,$A178,$G:$G)*SUMIF(Summary!$A$247:$A$283,$A178,Summary!$P$247:$P$283),0)</f>
        <v>0</v>
      </c>
      <c r="AJ178" s="196">
        <f>IFERROR($G178/SUMIF($A:$A,$A178,$G:$G)*(SUMIF(Summary!$A$247:$A$283,$A178,Summary!$L$247:$L$283)+SUMIF(Summary!$A$297:$A$333,$A178,Summary!$L$297:$L$333))-AI178,0)</f>
        <v>0</v>
      </c>
      <c r="AK178" s="196">
        <f>IFERROR($G178/SUMIF($A:$A,$A178,$G:$G)*SUMIF(Summary!$A$247:$A$283,$A178,Summary!$Q$247:$Q$283),0)</f>
        <v>0</v>
      </c>
      <c r="AL178" s="196">
        <f>IFERROR($G178/SUMIF($A:$A,$A178,$G:$G)*(SUMIF(Summary!$A$247:$A$283,$A178,Summary!$L$247:$L$283)+SUMIF(Summary!$A$297:$A$333,$A178,Summary!$L$297:$L$333))-AK178,0)</f>
        <v>0</v>
      </c>
      <c r="AM178" s="198"/>
      <c r="AN178" s="196">
        <f t="shared" ca="1" si="40"/>
        <v>0</v>
      </c>
      <c r="AO178" s="196">
        <f t="shared" ca="1" si="41"/>
        <v>0</v>
      </c>
    </row>
    <row r="179" spans="1:41">
      <c r="A179" s="189">
        <v>3541</v>
      </c>
      <c r="B179" s="190">
        <v>4</v>
      </c>
      <c r="C179" s="191" t="s">
        <v>226</v>
      </c>
      <c r="D179" s="192">
        <f t="shared" si="28"/>
        <v>0</v>
      </c>
      <c r="E179" s="192">
        <f t="shared" si="29"/>
        <v>0</v>
      </c>
      <c r="F179" s="192">
        <f t="shared" si="30"/>
        <v>0</v>
      </c>
      <c r="G179" s="193">
        <f t="shared" si="31"/>
        <v>0</v>
      </c>
      <c r="H179" s="194">
        <v>0</v>
      </c>
      <c r="I179" s="194">
        <v>0</v>
      </c>
      <c r="J179" s="194">
        <v>0</v>
      </c>
      <c r="K179" s="193">
        <f t="shared" si="32"/>
        <v>0</v>
      </c>
      <c r="L179" s="194">
        <v>0</v>
      </c>
      <c r="M179" s="194">
        <v>0</v>
      </c>
      <c r="N179" s="194">
        <v>0</v>
      </c>
      <c r="O179" s="193">
        <f t="shared" si="33"/>
        <v>0</v>
      </c>
      <c r="P179" s="194">
        <v>0</v>
      </c>
      <c r="Q179" s="194">
        <v>0</v>
      </c>
      <c r="R179" s="194">
        <v>0</v>
      </c>
      <c r="S179" s="193">
        <f t="shared" si="34"/>
        <v>0</v>
      </c>
      <c r="T179" s="193">
        <f t="shared" si="35"/>
        <v>0</v>
      </c>
      <c r="U179" s="193">
        <f ca="1">OFFSET('Expenditure Study'!$B$7,'Operations Support'!$C179,'Operations Support'!$B179)*$G179</f>
        <v>0</v>
      </c>
      <c r="V179" s="199">
        <f ca="1">U179*'Expenditure Study'!$B$31</f>
        <v>0</v>
      </c>
      <c r="W179" s="199">
        <f ca="1">IF(A179=10298,1.51,1)*IF($B179&lt;3,$D179*'Expenditure Study'!$B$32*OFFSET('Expenditure Study'!$B$7,'Operations Support'!$C179,'Operations Support'!$B179),0)</f>
        <v>0</v>
      </c>
      <c r="X179" s="200">
        <f ca="1">W179*'Expenditure Study'!$B$31</f>
        <v>0</v>
      </c>
      <c r="Y179" s="199">
        <f ca="1">U179*'Expenditure Study'!$B$31</f>
        <v>0</v>
      </c>
      <c r="Z179" s="200">
        <f ca="1">W179*'Expenditure Study'!$B$31</f>
        <v>0</v>
      </c>
      <c r="AA179" s="195">
        <f t="shared" ca="1" si="36"/>
        <v>0</v>
      </c>
      <c r="AB179" s="195">
        <f t="shared" ca="1" si="37"/>
        <v>0</v>
      </c>
      <c r="AD179" s="196">
        <f>IFERROR($G179/SUMIF($A:$A,$A179,$G:$G)*SUMIF(Summary!$A$166:$A$242,$A179,Summary!$P$166:$P$242),0)</f>
        <v>0</v>
      </c>
      <c r="AE179" s="197">
        <f t="shared" ca="1" si="38"/>
        <v>0</v>
      </c>
      <c r="AF179" s="196">
        <f>IFERROR(G179/SUMIF(A:A,A179,G:G)*SUMIF(Summary!$A$166:$A$242,'Operations Support'!A179,Summary!$Q$166:$Q$242),0)</f>
        <v>0</v>
      </c>
      <c r="AG179" s="196">
        <f t="shared" ca="1" si="39"/>
        <v>0</v>
      </c>
      <c r="AI179" s="196">
        <f>IFERROR($G179/SUMIF($A:$A,$A179,$G:$G)*SUMIF(Summary!$A$247:$A$283,$A179,Summary!$P$247:$P$283),0)</f>
        <v>0</v>
      </c>
      <c r="AJ179" s="196">
        <f>IFERROR($G179/SUMIF($A:$A,$A179,$G:$G)*(SUMIF(Summary!$A$247:$A$283,$A179,Summary!$L$247:$L$283)+SUMIF(Summary!$A$297:$A$333,$A179,Summary!$L$297:$L$333))-AI179,0)</f>
        <v>0</v>
      </c>
      <c r="AK179" s="196">
        <f>IFERROR($G179/SUMIF($A:$A,$A179,$G:$G)*SUMIF(Summary!$A$247:$A$283,$A179,Summary!$Q$247:$Q$283),0)</f>
        <v>0</v>
      </c>
      <c r="AL179" s="196">
        <f>IFERROR($G179/SUMIF($A:$A,$A179,$G:$G)*(SUMIF(Summary!$A$247:$A$283,$A179,Summary!$L$247:$L$283)+SUMIF(Summary!$A$297:$A$333,$A179,Summary!$L$297:$L$333))-AK179,0)</f>
        <v>0</v>
      </c>
      <c r="AM179" s="198"/>
      <c r="AN179" s="196">
        <f t="shared" ca="1" si="40"/>
        <v>0</v>
      </c>
      <c r="AO179" s="196">
        <f t="shared" ca="1" si="41"/>
        <v>0</v>
      </c>
    </row>
    <row r="180" spans="1:41">
      <c r="A180" s="189">
        <v>3541</v>
      </c>
      <c r="B180" s="190">
        <v>4</v>
      </c>
      <c r="C180" s="191" t="s">
        <v>227</v>
      </c>
      <c r="D180" s="192">
        <f t="shared" si="28"/>
        <v>0</v>
      </c>
      <c r="E180" s="192">
        <f t="shared" si="29"/>
        <v>0</v>
      </c>
      <c r="F180" s="192">
        <f t="shared" si="30"/>
        <v>0</v>
      </c>
      <c r="G180" s="193">
        <f t="shared" si="31"/>
        <v>0</v>
      </c>
      <c r="H180" s="194">
        <v>0</v>
      </c>
      <c r="I180" s="194">
        <v>0</v>
      </c>
      <c r="J180" s="194">
        <v>0</v>
      </c>
      <c r="K180" s="193">
        <f t="shared" si="32"/>
        <v>0</v>
      </c>
      <c r="L180" s="194">
        <v>0</v>
      </c>
      <c r="M180" s="194">
        <v>0</v>
      </c>
      <c r="N180" s="194">
        <v>0</v>
      </c>
      <c r="O180" s="193">
        <f t="shared" si="33"/>
        <v>0</v>
      </c>
      <c r="P180" s="194">
        <v>0</v>
      </c>
      <c r="Q180" s="194">
        <v>0</v>
      </c>
      <c r="R180" s="194">
        <v>0</v>
      </c>
      <c r="S180" s="193">
        <f t="shared" si="34"/>
        <v>0</v>
      </c>
      <c r="T180" s="193">
        <f t="shared" si="35"/>
        <v>0</v>
      </c>
      <c r="U180" s="193">
        <f ca="1">OFFSET('Expenditure Study'!$B$7,'Operations Support'!$C180,'Operations Support'!$B180)*$G180</f>
        <v>0</v>
      </c>
      <c r="V180" s="199">
        <f ca="1">U180*'Expenditure Study'!$B$31</f>
        <v>0</v>
      </c>
      <c r="W180" s="199">
        <f ca="1">IF(A180=10298,1.51,1)*IF($B180&lt;3,$D180*'Expenditure Study'!$B$32*OFFSET('Expenditure Study'!$B$7,'Operations Support'!$C180,'Operations Support'!$B180),0)</f>
        <v>0</v>
      </c>
      <c r="X180" s="200">
        <f ca="1">W180*'Expenditure Study'!$B$31</f>
        <v>0</v>
      </c>
      <c r="Y180" s="199">
        <f ca="1">U180*'Expenditure Study'!$B$31</f>
        <v>0</v>
      </c>
      <c r="Z180" s="200">
        <f ca="1">W180*'Expenditure Study'!$B$31</f>
        <v>0</v>
      </c>
      <c r="AA180" s="195">
        <f t="shared" ca="1" si="36"/>
        <v>0</v>
      </c>
      <c r="AB180" s="195">
        <f t="shared" ca="1" si="37"/>
        <v>0</v>
      </c>
      <c r="AD180" s="196">
        <f>IFERROR($G180/SUMIF($A:$A,$A180,$G:$G)*SUMIF(Summary!$A$166:$A$242,$A180,Summary!$P$166:$P$242),0)</f>
        <v>0</v>
      </c>
      <c r="AE180" s="197">
        <f t="shared" ca="1" si="38"/>
        <v>0</v>
      </c>
      <c r="AF180" s="196">
        <f>IFERROR(G180/SUMIF(A:A,A180,G:G)*SUMIF(Summary!$A$166:$A$242,'Operations Support'!A180,Summary!$Q$166:$Q$242),0)</f>
        <v>0</v>
      </c>
      <c r="AG180" s="196">
        <f t="shared" ca="1" si="39"/>
        <v>0</v>
      </c>
      <c r="AI180" s="196">
        <f>IFERROR($G180/SUMIF($A:$A,$A180,$G:$G)*SUMIF(Summary!$A$247:$A$283,$A180,Summary!$P$247:$P$283),0)</f>
        <v>0</v>
      </c>
      <c r="AJ180" s="196">
        <f>IFERROR($G180/SUMIF($A:$A,$A180,$G:$G)*(SUMIF(Summary!$A$247:$A$283,$A180,Summary!$L$247:$L$283)+SUMIF(Summary!$A$297:$A$333,$A180,Summary!$L$297:$L$333))-AI180,0)</f>
        <v>0</v>
      </c>
      <c r="AK180" s="196">
        <f>IFERROR($G180/SUMIF($A:$A,$A180,$G:$G)*SUMIF(Summary!$A$247:$A$283,$A180,Summary!$Q$247:$Q$283),0)</f>
        <v>0</v>
      </c>
      <c r="AL180" s="196">
        <f>IFERROR($G180/SUMIF($A:$A,$A180,$G:$G)*(SUMIF(Summary!$A$247:$A$283,$A180,Summary!$L$247:$L$283)+SUMIF(Summary!$A$297:$A$333,$A180,Summary!$L$297:$L$333))-AK180,0)</f>
        <v>0</v>
      </c>
      <c r="AM180" s="198"/>
      <c r="AN180" s="196">
        <f t="shared" ca="1" si="40"/>
        <v>0</v>
      </c>
      <c r="AO180" s="196">
        <f t="shared" ca="1" si="41"/>
        <v>0</v>
      </c>
    </row>
    <row r="181" spans="1:41" s="201" customFormat="1">
      <c r="A181" s="189">
        <v>3541</v>
      </c>
      <c r="B181" s="190">
        <v>4</v>
      </c>
      <c r="C181" s="191" t="s">
        <v>228</v>
      </c>
      <c r="D181" s="192">
        <f t="shared" si="28"/>
        <v>198</v>
      </c>
      <c r="E181" s="192">
        <f t="shared" si="29"/>
        <v>0</v>
      </c>
      <c r="F181" s="192">
        <f t="shared" si="30"/>
        <v>0</v>
      </c>
      <c r="G181" s="193">
        <f t="shared" si="31"/>
        <v>198</v>
      </c>
      <c r="H181" s="194">
        <v>99</v>
      </c>
      <c r="I181" s="194">
        <v>0</v>
      </c>
      <c r="J181" s="194">
        <v>0</v>
      </c>
      <c r="K181" s="193">
        <f t="shared" si="32"/>
        <v>99</v>
      </c>
      <c r="L181" s="194">
        <v>99</v>
      </c>
      <c r="M181" s="194">
        <v>0</v>
      </c>
      <c r="N181" s="194">
        <v>0</v>
      </c>
      <c r="O181" s="193">
        <f t="shared" si="33"/>
        <v>99</v>
      </c>
      <c r="P181" s="194">
        <v>0</v>
      </c>
      <c r="Q181" s="194">
        <v>0</v>
      </c>
      <c r="R181" s="194">
        <v>0</v>
      </c>
      <c r="S181" s="193">
        <f t="shared" si="34"/>
        <v>0</v>
      </c>
      <c r="T181" s="193">
        <f t="shared" si="35"/>
        <v>11</v>
      </c>
      <c r="U181" s="193">
        <f ca="1">OFFSET('Expenditure Study'!$B$7,'Operations Support'!$C181,'Operations Support'!$B181)*$G181</f>
        <v>5755.86</v>
      </c>
      <c r="V181" s="199">
        <f ca="1">U181*'Expenditure Study'!$B$31</f>
        <v>340074.51703948801</v>
      </c>
      <c r="W181" s="199">
        <f ca="1">IF(A181=10298,1.51,1)*IF($B181&lt;3,$D181*'Expenditure Study'!$B$32*OFFSET('Expenditure Study'!$B$7,'Operations Support'!$C181,'Operations Support'!$B181),0)</f>
        <v>0</v>
      </c>
      <c r="X181" s="200">
        <f ca="1">W181*'Expenditure Study'!$B$31</f>
        <v>0</v>
      </c>
      <c r="Y181" s="199">
        <f ca="1">U181*'Expenditure Study'!$B$31</f>
        <v>340074.51703948801</v>
      </c>
      <c r="Z181" s="200">
        <f ca="1">W181*'Expenditure Study'!$B$31</f>
        <v>0</v>
      </c>
      <c r="AA181" s="195">
        <f t="shared" ca="1" si="36"/>
        <v>340074.51703948801</v>
      </c>
      <c r="AB181" s="195">
        <f t="shared" ca="1" si="37"/>
        <v>340074.51703948801</v>
      </c>
      <c r="AD181" s="196">
        <f>IFERROR($G181/SUMIF($A:$A,$A181,$G:$G)*SUMIF(Summary!$A$166:$A$242,$A181,Summary!$P$166:$P$242),0)</f>
        <v>4495.7677239422301</v>
      </c>
      <c r="AE181" s="197">
        <f t="shared" ca="1" si="38"/>
        <v>335578.74931554578</v>
      </c>
      <c r="AF181" s="196">
        <f>IFERROR(G181/SUMIF(A:A,A181,G:G)*SUMIF(Summary!$A$166:$A$242,'Operations Support'!A181,Summary!$Q$166:$Q$242),0)</f>
        <v>4498.7624738723871</v>
      </c>
      <c r="AG181" s="196">
        <f t="shared" ca="1" si="39"/>
        <v>335575.75456561561</v>
      </c>
      <c r="AH181" s="180"/>
      <c r="AI181" s="196">
        <f>IFERROR($G181/SUMIF($A:$A,$A181,$G:$G)*SUMIF(Summary!$A$247:$A$283,$A181,Summary!$P$247:$P$283),0)</f>
        <v>819.91584221409755</v>
      </c>
      <c r="AJ181" s="196">
        <f>IFERROR($G181/SUMIF($A:$A,$A181,$G:$G)*(SUMIF(Summary!$A$247:$A$283,$A181,Summary!$L$247:$L$283)+SUMIF(Summary!$A$297:$A$333,$A181,Summary!$L$297:$L$333))-AI181,0)</f>
        <v>3078.9498111263456</v>
      </c>
      <c r="AK181" s="196">
        <f>IFERROR($G181/SUMIF($A:$A,$A181,$G:$G)*SUMIF(Summary!$A$247:$A$283,$A181,Summary!$Q$247:$Q$283),0)</f>
        <v>820.46200986820668</v>
      </c>
      <c r="AL181" s="196">
        <f>IFERROR($G181/SUMIF($A:$A,$A181,$G:$G)*(SUMIF(Summary!$A$247:$A$283,$A181,Summary!$L$247:$L$283)+SUMIF(Summary!$A$297:$A$333,$A181,Summary!$L$297:$L$333))-AK181,0)</f>
        <v>3078.4036434722366</v>
      </c>
      <c r="AM181" s="198"/>
      <c r="AN181" s="196">
        <f t="shared" ca="1" si="40"/>
        <v>338657.69912667212</v>
      </c>
      <c r="AO181" s="196">
        <f t="shared" ca="1" si="41"/>
        <v>338654.15820908785</v>
      </c>
    </row>
    <row r="182" spans="1:41">
      <c r="A182" s="189">
        <v>3541</v>
      </c>
      <c r="B182" s="190">
        <v>4</v>
      </c>
      <c r="C182" s="191" t="s">
        <v>229</v>
      </c>
      <c r="D182" s="192">
        <f t="shared" si="28"/>
        <v>0</v>
      </c>
      <c r="E182" s="192">
        <f t="shared" si="29"/>
        <v>0</v>
      </c>
      <c r="F182" s="192">
        <f t="shared" si="30"/>
        <v>0</v>
      </c>
      <c r="G182" s="193">
        <f t="shared" si="31"/>
        <v>0</v>
      </c>
      <c r="H182" s="194">
        <v>0</v>
      </c>
      <c r="I182" s="194">
        <v>0</v>
      </c>
      <c r="J182" s="194">
        <v>0</v>
      </c>
      <c r="K182" s="193">
        <f t="shared" si="32"/>
        <v>0</v>
      </c>
      <c r="L182" s="194">
        <v>0</v>
      </c>
      <c r="M182" s="194">
        <v>0</v>
      </c>
      <c r="N182" s="194">
        <v>0</v>
      </c>
      <c r="O182" s="193">
        <f t="shared" si="33"/>
        <v>0</v>
      </c>
      <c r="P182" s="194">
        <v>0</v>
      </c>
      <c r="Q182" s="194">
        <v>0</v>
      </c>
      <c r="R182" s="194">
        <v>0</v>
      </c>
      <c r="S182" s="193">
        <f t="shared" si="34"/>
        <v>0</v>
      </c>
      <c r="T182" s="193">
        <f t="shared" si="35"/>
        <v>0</v>
      </c>
      <c r="U182" s="193">
        <f ca="1">OFFSET('Expenditure Study'!$B$7,'Operations Support'!$C182,'Operations Support'!$B182)*$G182</f>
        <v>0</v>
      </c>
      <c r="V182" s="199">
        <f ca="1">U182*'Expenditure Study'!$B$31</f>
        <v>0</v>
      </c>
      <c r="W182" s="199">
        <f ca="1">IF(A182=10298,1.51,1)*IF($B182&lt;3,$D182*'Expenditure Study'!$B$32*OFFSET('Expenditure Study'!$B$7,'Operations Support'!$C182,'Operations Support'!$B182),0)</f>
        <v>0</v>
      </c>
      <c r="X182" s="200">
        <f ca="1">W182*'Expenditure Study'!$B$31</f>
        <v>0</v>
      </c>
      <c r="Y182" s="199">
        <f ca="1">U182*'Expenditure Study'!$B$31</f>
        <v>0</v>
      </c>
      <c r="Z182" s="200">
        <f ca="1">W182*'Expenditure Study'!$B$31</f>
        <v>0</v>
      </c>
      <c r="AA182" s="195">
        <f t="shared" ca="1" si="36"/>
        <v>0</v>
      </c>
      <c r="AB182" s="195">
        <f t="shared" ca="1" si="37"/>
        <v>0</v>
      </c>
      <c r="AD182" s="196">
        <f>IFERROR($G182/SUMIF($A:$A,$A182,$G:$G)*SUMIF(Summary!$A$166:$A$242,$A182,Summary!$P$166:$P$242),0)</f>
        <v>0</v>
      </c>
      <c r="AE182" s="197">
        <f t="shared" ca="1" si="38"/>
        <v>0</v>
      </c>
      <c r="AF182" s="196">
        <f>IFERROR(G182/SUMIF(A:A,A182,G:G)*SUMIF(Summary!$A$166:$A$242,'Operations Support'!A182,Summary!$Q$166:$Q$242),0)</f>
        <v>0</v>
      </c>
      <c r="AG182" s="196">
        <f t="shared" ca="1" si="39"/>
        <v>0</v>
      </c>
      <c r="AI182" s="196">
        <f>IFERROR($G182/SUMIF($A:$A,$A182,$G:$G)*SUMIF(Summary!$A$247:$A$283,$A182,Summary!$P$247:$P$283),0)</f>
        <v>0</v>
      </c>
      <c r="AJ182" s="196">
        <f>IFERROR($G182/SUMIF($A:$A,$A182,$G:$G)*(SUMIF(Summary!$A$247:$A$283,$A182,Summary!$L$247:$L$283)+SUMIF(Summary!$A$297:$A$333,$A182,Summary!$L$297:$L$333))-AI182,0)</f>
        <v>0</v>
      </c>
      <c r="AK182" s="196">
        <f>IFERROR($G182/SUMIF($A:$A,$A182,$G:$G)*SUMIF(Summary!$A$247:$A$283,$A182,Summary!$Q$247:$Q$283),0)</f>
        <v>0</v>
      </c>
      <c r="AL182" s="196">
        <f>IFERROR($G182/SUMIF($A:$A,$A182,$G:$G)*(SUMIF(Summary!$A$247:$A$283,$A182,Summary!$L$247:$L$283)+SUMIF(Summary!$A$297:$A$333,$A182,Summary!$L$297:$L$333))-AK182,0)</f>
        <v>0</v>
      </c>
      <c r="AM182" s="198"/>
      <c r="AN182" s="196">
        <f t="shared" ca="1" si="40"/>
        <v>0</v>
      </c>
      <c r="AO182" s="196">
        <f t="shared" ca="1" si="41"/>
        <v>0</v>
      </c>
    </row>
    <row r="183" spans="1:41">
      <c r="A183" s="189">
        <v>3541</v>
      </c>
      <c r="B183" s="190">
        <v>4</v>
      </c>
      <c r="C183" s="191" t="s">
        <v>230</v>
      </c>
      <c r="D183" s="192">
        <f t="shared" si="28"/>
        <v>0</v>
      </c>
      <c r="E183" s="192">
        <f t="shared" si="29"/>
        <v>0</v>
      </c>
      <c r="F183" s="192">
        <f t="shared" si="30"/>
        <v>0</v>
      </c>
      <c r="G183" s="193">
        <f t="shared" si="31"/>
        <v>0</v>
      </c>
      <c r="H183" s="194">
        <v>0</v>
      </c>
      <c r="I183" s="194">
        <v>0</v>
      </c>
      <c r="J183" s="194">
        <v>0</v>
      </c>
      <c r="K183" s="193">
        <f t="shared" si="32"/>
        <v>0</v>
      </c>
      <c r="L183" s="194">
        <v>0</v>
      </c>
      <c r="M183" s="194">
        <v>0</v>
      </c>
      <c r="N183" s="194">
        <v>0</v>
      </c>
      <c r="O183" s="193">
        <f t="shared" si="33"/>
        <v>0</v>
      </c>
      <c r="P183" s="194">
        <v>0</v>
      </c>
      <c r="Q183" s="194">
        <v>0</v>
      </c>
      <c r="R183" s="194">
        <v>0</v>
      </c>
      <c r="S183" s="193">
        <f t="shared" si="34"/>
        <v>0</v>
      </c>
      <c r="T183" s="193">
        <f t="shared" si="35"/>
        <v>0</v>
      </c>
      <c r="U183" s="193">
        <f ca="1">OFFSET('Expenditure Study'!$B$7,'Operations Support'!$C183,'Operations Support'!$B183)*$G183</f>
        <v>0</v>
      </c>
      <c r="V183" s="199">
        <f ca="1">U183*'Expenditure Study'!$B$31</f>
        <v>0</v>
      </c>
      <c r="W183" s="199">
        <f ca="1">IF(A183=10298,1.51,1)*IF($B183&lt;3,$D183*'Expenditure Study'!$B$32*OFFSET('Expenditure Study'!$B$7,'Operations Support'!$C183,'Operations Support'!$B183),0)</f>
        <v>0</v>
      </c>
      <c r="X183" s="200">
        <f ca="1">W183*'Expenditure Study'!$B$31</f>
        <v>0</v>
      </c>
      <c r="Y183" s="199">
        <f ca="1">U183*'Expenditure Study'!$B$31</f>
        <v>0</v>
      </c>
      <c r="Z183" s="200">
        <f ca="1">W183*'Expenditure Study'!$B$31</f>
        <v>0</v>
      </c>
      <c r="AA183" s="195">
        <f t="shared" ca="1" si="36"/>
        <v>0</v>
      </c>
      <c r="AB183" s="195">
        <f t="shared" ca="1" si="37"/>
        <v>0</v>
      </c>
      <c r="AD183" s="196">
        <f>IFERROR($G183/SUMIF($A:$A,$A183,$G:$G)*SUMIF(Summary!$A$166:$A$242,$A183,Summary!$P$166:$P$242),0)</f>
        <v>0</v>
      </c>
      <c r="AE183" s="197">
        <f t="shared" ca="1" si="38"/>
        <v>0</v>
      </c>
      <c r="AF183" s="196">
        <f>IFERROR(G183/SUMIF(A:A,A183,G:G)*SUMIF(Summary!$A$166:$A$242,'Operations Support'!A183,Summary!$Q$166:$Q$242),0)</f>
        <v>0</v>
      </c>
      <c r="AG183" s="196">
        <f t="shared" ca="1" si="39"/>
        <v>0</v>
      </c>
      <c r="AI183" s="196">
        <f>IFERROR($G183/SUMIF($A:$A,$A183,$G:$G)*SUMIF(Summary!$A$247:$A$283,$A183,Summary!$P$247:$P$283),0)</f>
        <v>0</v>
      </c>
      <c r="AJ183" s="196">
        <f>IFERROR($G183/SUMIF($A:$A,$A183,$G:$G)*(SUMIF(Summary!$A$247:$A$283,$A183,Summary!$L$247:$L$283)+SUMIF(Summary!$A$297:$A$333,$A183,Summary!$L$297:$L$333))-AI183,0)</f>
        <v>0</v>
      </c>
      <c r="AK183" s="196">
        <f>IFERROR($G183/SUMIF($A:$A,$A183,$G:$G)*SUMIF(Summary!$A$247:$A$283,$A183,Summary!$Q$247:$Q$283),0)</f>
        <v>0</v>
      </c>
      <c r="AL183" s="196">
        <f>IFERROR($G183/SUMIF($A:$A,$A183,$G:$G)*(SUMIF(Summary!$A$247:$A$283,$A183,Summary!$L$247:$L$283)+SUMIF(Summary!$A$297:$A$333,$A183,Summary!$L$297:$L$333))-AK183,0)</f>
        <v>0</v>
      </c>
      <c r="AM183" s="198"/>
      <c r="AN183" s="196">
        <f t="shared" ca="1" si="40"/>
        <v>0</v>
      </c>
      <c r="AO183" s="196">
        <f t="shared" ca="1" si="41"/>
        <v>0</v>
      </c>
    </row>
    <row r="184" spans="1:41">
      <c r="A184" s="189">
        <v>3541</v>
      </c>
      <c r="B184" s="190">
        <v>4</v>
      </c>
      <c r="C184" s="191" t="s">
        <v>231</v>
      </c>
      <c r="D184" s="192">
        <f t="shared" si="28"/>
        <v>0</v>
      </c>
      <c r="E184" s="192">
        <f t="shared" si="29"/>
        <v>0</v>
      </c>
      <c r="F184" s="192">
        <f t="shared" si="30"/>
        <v>0</v>
      </c>
      <c r="G184" s="193">
        <f t="shared" si="31"/>
        <v>0</v>
      </c>
      <c r="H184" s="194">
        <v>0</v>
      </c>
      <c r="I184" s="194">
        <v>0</v>
      </c>
      <c r="J184" s="194">
        <v>0</v>
      </c>
      <c r="K184" s="193">
        <f t="shared" si="32"/>
        <v>0</v>
      </c>
      <c r="L184" s="194">
        <v>0</v>
      </c>
      <c r="M184" s="194">
        <v>0</v>
      </c>
      <c r="N184" s="194">
        <v>0</v>
      </c>
      <c r="O184" s="193">
        <f t="shared" si="33"/>
        <v>0</v>
      </c>
      <c r="P184" s="194">
        <v>0</v>
      </c>
      <c r="Q184" s="194">
        <v>0</v>
      </c>
      <c r="R184" s="194">
        <v>0</v>
      </c>
      <c r="S184" s="193">
        <f t="shared" si="34"/>
        <v>0</v>
      </c>
      <c r="T184" s="193">
        <f t="shared" si="35"/>
        <v>0</v>
      </c>
      <c r="U184" s="193">
        <f ca="1">OFFSET('Expenditure Study'!$B$7,'Operations Support'!$C184,'Operations Support'!$B184)*$G184</f>
        <v>0</v>
      </c>
      <c r="V184" s="199">
        <f ca="1">U184*'Expenditure Study'!$B$31</f>
        <v>0</v>
      </c>
      <c r="W184" s="199">
        <f ca="1">IF(A184=10298,1.51,1)*IF($B184&lt;3,$D184*'Expenditure Study'!$B$32*OFFSET('Expenditure Study'!$B$7,'Operations Support'!$C184,'Operations Support'!$B184),0)</f>
        <v>0</v>
      </c>
      <c r="X184" s="200">
        <f ca="1">W184*'Expenditure Study'!$B$31</f>
        <v>0</v>
      </c>
      <c r="Y184" s="199">
        <f ca="1">U184*'Expenditure Study'!$B$31</f>
        <v>0</v>
      </c>
      <c r="Z184" s="200">
        <f ca="1">W184*'Expenditure Study'!$B$31</f>
        <v>0</v>
      </c>
      <c r="AA184" s="195">
        <f t="shared" ca="1" si="36"/>
        <v>0</v>
      </c>
      <c r="AB184" s="195">
        <f t="shared" ca="1" si="37"/>
        <v>0</v>
      </c>
      <c r="AD184" s="196">
        <f>IFERROR($G184/SUMIF($A:$A,$A184,$G:$G)*SUMIF(Summary!$A$166:$A$242,$A184,Summary!$P$166:$P$242),0)</f>
        <v>0</v>
      </c>
      <c r="AE184" s="197">
        <f t="shared" ca="1" si="38"/>
        <v>0</v>
      </c>
      <c r="AF184" s="196">
        <f>IFERROR(G184/SUMIF(A:A,A184,G:G)*SUMIF(Summary!$A$166:$A$242,'Operations Support'!A184,Summary!$Q$166:$Q$242),0)</f>
        <v>0</v>
      </c>
      <c r="AG184" s="196">
        <f t="shared" ca="1" si="39"/>
        <v>0</v>
      </c>
      <c r="AI184" s="196">
        <f>IFERROR($G184/SUMIF($A:$A,$A184,$G:$G)*SUMIF(Summary!$A$247:$A$283,$A184,Summary!$P$247:$P$283),0)</f>
        <v>0</v>
      </c>
      <c r="AJ184" s="196">
        <f>IFERROR($G184/SUMIF($A:$A,$A184,$G:$G)*(SUMIF(Summary!$A$247:$A$283,$A184,Summary!$L$247:$L$283)+SUMIF(Summary!$A$297:$A$333,$A184,Summary!$L$297:$L$333))-AI184,0)</f>
        <v>0</v>
      </c>
      <c r="AK184" s="196">
        <f>IFERROR($G184/SUMIF($A:$A,$A184,$G:$G)*SUMIF(Summary!$A$247:$A$283,$A184,Summary!$Q$247:$Q$283),0)</f>
        <v>0</v>
      </c>
      <c r="AL184" s="196">
        <f>IFERROR($G184/SUMIF($A:$A,$A184,$G:$G)*(SUMIF(Summary!$A$247:$A$283,$A184,Summary!$L$247:$L$283)+SUMIF(Summary!$A$297:$A$333,$A184,Summary!$L$297:$L$333))-AK184,0)</f>
        <v>0</v>
      </c>
      <c r="AM184" s="198"/>
      <c r="AN184" s="196">
        <f t="shared" ca="1" si="40"/>
        <v>0</v>
      </c>
      <c r="AO184" s="196">
        <f t="shared" ca="1" si="41"/>
        <v>0</v>
      </c>
    </row>
    <row r="185" spans="1:41">
      <c r="A185" s="189">
        <v>3541</v>
      </c>
      <c r="B185" s="190">
        <v>4</v>
      </c>
      <c r="C185" s="191" t="s">
        <v>232</v>
      </c>
      <c r="D185" s="192">
        <f t="shared" si="28"/>
        <v>0</v>
      </c>
      <c r="E185" s="192">
        <f t="shared" si="29"/>
        <v>0</v>
      </c>
      <c r="F185" s="192">
        <f t="shared" si="30"/>
        <v>0</v>
      </c>
      <c r="G185" s="193">
        <f t="shared" si="31"/>
        <v>0</v>
      </c>
      <c r="H185" s="194">
        <v>0</v>
      </c>
      <c r="I185" s="194">
        <v>0</v>
      </c>
      <c r="J185" s="194">
        <v>0</v>
      </c>
      <c r="K185" s="193">
        <f t="shared" si="32"/>
        <v>0</v>
      </c>
      <c r="L185" s="194">
        <v>0</v>
      </c>
      <c r="M185" s="194">
        <v>0</v>
      </c>
      <c r="N185" s="194">
        <v>0</v>
      </c>
      <c r="O185" s="193">
        <f t="shared" si="33"/>
        <v>0</v>
      </c>
      <c r="P185" s="194">
        <v>0</v>
      </c>
      <c r="Q185" s="194">
        <v>0</v>
      </c>
      <c r="R185" s="194">
        <v>0</v>
      </c>
      <c r="S185" s="193">
        <f t="shared" si="34"/>
        <v>0</v>
      </c>
      <c r="T185" s="193">
        <f t="shared" si="35"/>
        <v>0</v>
      </c>
      <c r="U185" s="193">
        <f ca="1">OFFSET('Expenditure Study'!$B$7,'Operations Support'!$C185,'Operations Support'!$B185)*$G185</f>
        <v>0</v>
      </c>
      <c r="V185" s="199">
        <f ca="1">U185*'Expenditure Study'!$B$31</f>
        <v>0</v>
      </c>
      <c r="W185" s="199">
        <f ca="1">IF(A185=10298,1.51,1)*IF($B185&lt;3,$D185*'Expenditure Study'!$B$32*OFFSET('Expenditure Study'!$B$7,'Operations Support'!$C185,'Operations Support'!$B185),0)</f>
        <v>0</v>
      </c>
      <c r="X185" s="200">
        <f ca="1">W185*'Expenditure Study'!$B$31</f>
        <v>0</v>
      </c>
      <c r="Y185" s="199">
        <f ca="1">U185*'Expenditure Study'!$B$31</f>
        <v>0</v>
      </c>
      <c r="Z185" s="200">
        <f ca="1">W185*'Expenditure Study'!$B$31</f>
        <v>0</v>
      </c>
      <c r="AA185" s="195">
        <f t="shared" ca="1" si="36"/>
        <v>0</v>
      </c>
      <c r="AB185" s="195">
        <f t="shared" ca="1" si="37"/>
        <v>0</v>
      </c>
      <c r="AD185" s="196">
        <f>IFERROR($G185/SUMIF($A:$A,$A185,$G:$G)*SUMIF(Summary!$A$166:$A$242,$A185,Summary!$P$166:$P$242),0)</f>
        <v>0</v>
      </c>
      <c r="AE185" s="197">
        <f t="shared" ca="1" si="38"/>
        <v>0</v>
      </c>
      <c r="AF185" s="196">
        <f>IFERROR(G185/SUMIF(A:A,A185,G:G)*SUMIF(Summary!$A$166:$A$242,'Operations Support'!A185,Summary!$Q$166:$Q$242),0)</f>
        <v>0</v>
      </c>
      <c r="AG185" s="196">
        <f t="shared" ca="1" si="39"/>
        <v>0</v>
      </c>
      <c r="AI185" s="196">
        <f>IFERROR($G185/SUMIF($A:$A,$A185,$G:$G)*SUMIF(Summary!$A$247:$A$283,$A185,Summary!$P$247:$P$283),0)</f>
        <v>0</v>
      </c>
      <c r="AJ185" s="196">
        <f>IFERROR($G185/SUMIF($A:$A,$A185,$G:$G)*(SUMIF(Summary!$A$247:$A$283,$A185,Summary!$L$247:$L$283)+SUMIF(Summary!$A$297:$A$333,$A185,Summary!$L$297:$L$333))-AI185,0)</f>
        <v>0</v>
      </c>
      <c r="AK185" s="196">
        <f>IFERROR($G185/SUMIF($A:$A,$A185,$G:$G)*SUMIF(Summary!$A$247:$A$283,$A185,Summary!$Q$247:$Q$283),0)</f>
        <v>0</v>
      </c>
      <c r="AL185" s="196">
        <f>IFERROR($G185/SUMIF($A:$A,$A185,$G:$G)*(SUMIF(Summary!$A$247:$A$283,$A185,Summary!$L$247:$L$283)+SUMIF(Summary!$A$297:$A$333,$A185,Summary!$L$297:$L$333))-AK185,0)</f>
        <v>0</v>
      </c>
      <c r="AM185" s="198"/>
      <c r="AN185" s="196">
        <f t="shared" ca="1" si="40"/>
        <v>0</v>
      </c>
      <c r="AO185" s="196">
        <f t="shared" ca="1" si="41"/>
        <v>0</v>
      </c>
    </row>
    <row r="186" spans="1:41">
      <c r="A186" s="189">
        <v>3541</v>
      </c>
      <c r="B186" s="190">
        <v>4</v>
      </c>
      <c r="C186" s="191" t="s">
        <v>233</v>
      </c>
      <c r="D186" s="192">
        <f t="shared" si="28"/>
        <v>0</v>
      </c>
      <c r="E186" s="192">
        <f t="shared" si="29"/>
        <v>0</v>
      </c>
      <c r="F186" s="192">
        <f t="shared" si="30"/>
        <v>0</v>
      </c>
      <c r="G186" s="193">
        <f t="shared" si="31"/>
        <v>0</v>
      </c>
      <c r="H186" s="194">
        <v>0</v>
      </c>
      <c r="I186" s="194">
        <v>0</v>
      </c>
      <c r="J186" s="194">
        <v>0</v>
      </c>
      <c r="K186" s="193">
        <f t="shared" si="32"/>
        <v>0</v>
      </c>
      <c r="L186" s="194">
        <v>0</v>
      </c>
      <c r="M186" s="194">
        <v>0</v>
      </c>
      <c r="N186" s="194">
        <v>0</v>
      </c>
      <c r="O186" s="193">
        <f t="shared" si="33"/>
        <v>0</v>
      </c>
      <c r="P186" s="194">
        <v>0</v>
      </c>
      <c r="Q186" s="194">
        <v>0</v>
      </c>
      <c r="R186" s="194">
        <v>0</v>
      </c>
      <c r="S186" s="193">
        <f t="shared" si="34"/>
        <v>0</v>
      </c>
      <c r="T186" s="193">
        <f t="shared" si="35"/>
        <v>0</v>
      </c>
      <c r="U186" s="193">
        <f ca="1">OFFSET('Expenditure Study'!$B$7,'Operations Support'!$C186,'Operations Support'!$B186)*$G186</f>
        <v>0</v>
      </c>
      <c r="V186" s="199">
        <f ca="1">U186*'Expenditure Study'!$B$31</f>
        <v>0</v>
      </c>
      <c r="W186" s="199">
        <f ca="1">IF(A186=10298,1.51,1)*IF($B186&lt;3,$D186*'Expenditure Study'!$B$32*OFFSET('Expenditure Study'!$B$7,'Operations Support'!$C186,'Operations Support'!$B186),0)</f>
        <v>0</v>
      </c>
      <c r="X186" s="200">
        <f ca="1">W186*'Expenditure Study'!$B$31</f>
        <v>0</v>
      </c>
      <c r="Y186" s="199">
        <f ca="1">U186*'Expenditure Study'!$B$31</f>
        <v>0</v>
      </c>
      <c r="Z186" s="200">
        <f ca="1">W186*'Expenditure Study'!$B$31</f>
        <v>0</v>
      </c>
      <c r="AA186" s="195">
        <f t="shared" ca="1" si="36"/>
        <v>0</v>
      </c>
      <c r="AB186" s="195">
        <f t="shared" ca="1" si="37"/>
        <v>0</v>
      </c>
      <c r="AD186" s="196">
        <f>IFERROR($G186/SUMIF($A:$A,$A186,$G:$G)*SUMIF(Summary!$A$166:$A$242,$A186,Summary!$P$166:$P$242),0)</f>
        <v>0</v>
      </c>
      <c r="AE186" s="197">
        <f t="shared" ca="1" si="38"/>
        <v>0</v>
      </c>
      <c r="AF186" s="196">
        <f>IFERROR(G186/SUMIF(A:A,A186,G:G)*SUMIF(Summary!$A$166:$A$242,'Operations Support'!A186,Summary!$Q$166:$Q$242),0)</f>
        <v>0</v>
      </c>
      <c r="AG186" s="196">
        <f t="shared" ca="1" si="39"/>
        <v>0</v>
      </c>
      <c r="AI186" s="196">
        <f>IFERROR($G186/SUMIF($A:$A,$A186,$G:$G)*SUMIF(Summary!$A$247:$A$283,$A186,Summary!$P$247:$P$283),0)</f>
        <v>0</v>
      </c>
      <c r="AJ186" s="196">
        <f>IFERROR($G186/SUMIF($A:$A,$A186,$G:$G)*(SUMIF(Summary!$A$247:$A$283,$A186,Summary!$L$247:$L$283)+SUMIF(Summary!$A$297:$A$333,$A186,Summary!$L$297:$L$333))-AI186,0)</f>
        <v>0</v>
      </c>
      <c r="AK186" s="196">
        <f>IFERROR($G186/SUMIF($A:$A,$A186,$G:$G)*SUMIF(Summary!$A$247:$A$283,$A186,Summary!$Q$247:$Q$283),0)</f>
        <v>0</v>
      </c>
      <c r="AL186" s="196">
        <f>IFERROR($G186/SUMIF($A:$A,$A186,$G:$G)*(SUMIF(Summary!$A$247:$A$283,$A186,Summary!$L$247:$L$283)+SUMIF(Summary!$A$297:$A$333,$A186,Summary!$L$297:$L$333))-AK186,0)</f>
        <v>0</v>
      </c>
      <c r="AM186" s="198"/>
      <c r="AN186" s="196">
        <f t="shared" ca="1" si="40"/>
        <v>0</v>
      </c>
      <c r="AO186" s="196">
        <f t="shared" ca="1" si="41"/>
        <v>0</v>
      </c>
    </row>
    <row r="187" spans="1:41">
      <c r="A187" s="189">
        <v>3541</v>
      </c>
      <c r="B187" s="190">
        <v>4</v>
      </c>
      <c r="C187" s="191" t="s">
        <v>234</v>
      </c>
      <c r="D187" s="192">
        <f t="shared" si="28"/>
        <v>0</v>
      </c>
      <c r="E187" s="192">
        <f t="shared" si="29"/>
        <v>0</v>
      </c>
      <c r="F187" s="192">
        <f t="shared" si="30"/>
        <v>0</v>
      </c>
      <c r="G187" s="193">
        <f t="shared" si="31"/>
        <v>0</v>
      </c>
      <c r="H187" s="194">
        <v>0</v>
      </c>
      <c r="I187" s="194">
        <v>0</v>
      </c>
      <c r="J187" s="194">
        <v>0</v>
      </c>
      <c r="K187" s="193">
        <f t="shared" si="32"/>
        <v>0</v>
      </c>
      <c r="L187" s="194">
        <v>0</v>
      </c>
      <c r="M187" s="194">
        <v>0</v>
      </c>
      <c r="N187" s="194">
        <v>0</v>
      </c>
      <c r="O187" s="193">
        <f t="shared" si="33"/>
        <v>0</v>
      </c>
      <c r="P187" s="194">
        <v>0</v>
      </c>
      <c r="Q187" s="194">
        <v>0</v>
      </c>
      <c r="R187" s="194">
        <v>0</v>
      </c>
      <c r="S187" s="193">
        <f t="shared" si="34"/>
        <v>0</v>
      </c>
      <c r="T187" s="193">
        <f t="shared" si="35"/>
        <v>0</v>
      </c>
      <c r="U187" s="193">
        <f ca="1">OFFSET('Expenditure Study'!$B$7,'Operations Support'!$C187,'Operations Support'!$B187)*$G187</f>
        <v>0</v>
      </c>
      <c r="V187" s="199">
        <f ca="1">U187*'Expenditure Study'!$B$31</f>
        <v>0</v>
      </c>
      <c r="W187" s="199">
        <f ca="1">IF(A187=10298,1.51,1)*IF($B187&lt;3,$D187*'Expenditure Study'!$B$32*OFFSET('Expenditure Study'!$B$7,'Operations Support'!$C187,'Operations Support'!$B187),0)</f>
        <v>0</v>
      </c>
      <c r="X187" s="200">
        <f ca="1">W187*'Expenditure Study'!$B$31</f>
        <v>0</v>
      </c>
      <c r="Y187" s="199">
        <f ca="1">U187*'Expenditure Study'!$B$31</f>
        <v>0</v>
      </c>
      <c r="Z187" s="200">
        <f ca="1">W187*'Expenditure Study'!$B$31</f>
        <v>0</v>
      </c>
      <c r="AA187" s="195">
        <f t="shared" ca="1" si="36"/>
        <v>0</v>
      </c>
      <c r="AB187" s="195">
        <f t="shared" ca="1" si="37"/>
        <v>0</v>
      </c>
      <c r="AD187" s="196">
        <f>IFERROR($G187/SUMIF($A:$A,$A187,$G:$G)*SUMIF(Summary!$A$166:$A$242,$A187,Summary!$P$166:$P$242),0)</f>
        <v>0</v>
      </c>
      <c r="AE187" s="197">
        <f t="shared" ca="1" si="38"/>
        <v>0</v>
      </c>
      <c r="AF187" s="196">
        <f>IFERROR(G187/SUMIF(A:A,A187,G:G)*SUMIF(Summary!$A$166:$A$242,'Operations Support'!A187,Summary!$Q$166:$Q$242),0)</f>
        <v>0</v>
      </c>
      <c r="AG187" s="196">
        <f t="shared" ca="1" si="39"/>
        <v>0</v>
      </c>
      <c r="AI187" s="196">
        <f>IFERROR($G187/SUMIF($A:$A,$A187,$G:$G)*SUMIF(Summary!$A$247:$A$283,$A187,Summary!$P$247:$P$283),0)</f>
        <v>0</v>
      </c>
      <c r="AJ187" s="196">
        <f>IFERROR($G187/SUMIF($A:$A,$A187,$G:$G)*(SUMIF(Summary!$A$247:$A$283,$A187,Summary!$L$247:$L$283)+SUMIF(Summary!$A$297:$A$333,$A187,Summary!$L$297:$L$333))-AI187,0)</f>
        <v>0</v>
      </c>
      <c r="AK187" s="196">
        <f>IFERROR($G187/SUMIF($A:$A,$A187,$G:$G)*SUMIF(Summary!$A$247:$A$283,$A187,Summary!$Q$247:$Q$283),0)</f>
        <v>0</v>
      </c>
      <c r="AL187" s="196">
        <f>IFERROR($G187/SUMIF($A:$A,$A187,$G:$G)*(SUMIF(Summary!$A$247:$A$283,$A187,Summary!$L$247:$L$283)+SUMIF(Summary!$A$297:$A$333,$A187,Summary!$L$297:$L$333))-AK187,0)</f>
        <v>0</v>
      </c>
      <c r="AM187" s="198"/>
      <c r="AN187" s="196">
        <f t="shared" ca="1" si="40"/>
        <v>0</v>
      </c>
      <c r="AO187" s="196">
        <f t="shared" ca="1" si="41"/>
        <v>0</v>
      </c>
    </row>
    <row r="188" spans="1:41">
      <c r="A188" s="189">
        <v>3541</v>
      </c>
      <c r="B188" s="190">
        <v>4</v>
      </c>
      <c r="C188" s="191" t="s">
        <v>235</v>
      </c>
      <c r="D188" s="192">
        <f t="shared" si="28"/>
        <v>0</v>
      </c>
      <c r="E188" s="192">
        <f t="shared" si="29"/>
        <v>0</v>
      </c>
      <c r="F188" s="192">
        <f t="shared" si="30"/>
        <v>0</v>
      </c>
      <c r="G188" s="193">
        <f t="shared" si="31"/>
        <v>0</v>
      </c>
      <c r="H188" s="194">
        <v>0</v>
      </c>
      <c r="I188" s="194">
        <v>0</v>
      </c>
      <c r="J188" s="194">
        <v>0</v>
      </c>
      <c r="K188" s="193">
        <f t="shared" si="32"/>
        <v>0</v>
      </c>
      <c r="L188" s="194">
        <v>0</v>
      </c>
      <c r="M188" s="194">
        <v>0</v>
      </c>
      <c r="N188" s="194">
        <v>0</v>
      </c>
      <c r="O188" s="193">
        <f t="shared" si="33"/>
        <v>0</v>
      </c>
      <c r="P188" s="194">
        <v>0</v>
      </c>
      <c r="Q188" s="194">
        <v>0</v>
      </c>
      <c r="R188" s="194">
        <v>0</v>
      </c>
      <c r="S188" s="193">
        <f t="shared" si="34"/>
        <v>0</v>
      </c>
      <c r="T188" s="193">
        <f t="shared" si="35"/>
        <v>0</v>
      </c>
      <c r="U188" s="193">
        <f ca="1">OFFSET('Expenditure Study'!$B$7,'Operations Support'!$C188,'Operations Support'!$B188)*$G188</f>
        <v>0</v>
      </c>
      <c r="V188" s="199">
        <f ca="1">U188*'Expenditure Study'!$B$31</f>
        <v>0</v>
      </c>
      <c r="W188" s="199">
        <f ca="1">IF(A188=10298,1.51,1)*IF($B188&lt;3,$D188*'Expenditure Study'!$B$32*OFFSET('Expenditure Study'!$B$7,'Operations Support'!$C188,'Operations Support'!$B188),0)</f>
        <v>0</v>
      </c>
      <c r="X188" s="200">
        <f ca="1">W188*'Expenditure Study'!$B$31</f>
        <v>0</v>
      </c>
      <c r="Y188" s="199">
        <f ca="1">U188*'Expenditure Study'!$B$31</f>
        <v>0</v>
      </c>
      <c r="Z188" s="200">
        <f ca="1">W188*'Expenditure Study'!$B$31</f>
        <v>0</v>
      </c>
      <c r="AA188" s="195">
        <f t="shared" ca="1" si="36"/>
        <v>0</v>
      </c>
      <c r="AB188" s="195">
        <f t="shared" ca="1" si="37"/>
        <v>0</v>
      </c>
      <c r="AD188" s="196">
        <f>IFERROR($G188/SUMIF($A:$A,$A188,$G:$G)*SUMIF(Summary!$A$166:$A$242,$A188,Summary!$P$166:$P$242),0)</f>
        <v>0</v>
      </c>
      <c r="AE188" s="197">
        <f t="shared" ca="1" si="38"/>
        <v>0</v>
      </c>
      <c r="AF188" s="196">
        <f>IFERROR(G188/SUMIF(A:A,A188,G:G)*SUMIF(Summary!$A$166:$A$242,'Operations Support'!A188,Summary!$Q$166:$Q$242),0)</f>
        <v>0</v>
      </c>
      <c r="AG188" s="196">
        <f t="shared" ca="1" si="39"/>
        <v>0</v>
      </c>
      <c r="AI188" s="196">
        <f>IFERROR($G188/SUMIF($A:$A,$A188,$G:$G)*SUMIF(Summary!$A$247:$A$283,$A188,Summary!$P$247:$P$283),0)</f>
        <v>0</v>
      </c>
      <c r="AJ188" s="196">
        <f>IFERROR($G188/SUMIF($A:$A,$A188,$G:$G)*(SUMIF(Summary!$A$247:$A$283,$A188,Summary!$L$247:$L$283)+SUMIF(Summary!$A$297:$A$333,$A188,Summary!$L$297:$L$333))-AI188,0)</f>
        <v>0</v>
      </c>
      <c r="AK188" s="196">
        <f>IFERROR($G188/SUMIF($A:$A,$A188,$G:$G)*SUMIF(Summary!$A$247:$A$283,$A188,Summary!$Q$247:$Q$283),0)</f>
        <v>0</v>
      </c>
      <c r="AL188" s="196">
        <f>IFERROR($G188/SUMIF($A:$A,$A188,$G:$G)*(SUMIF(Summary!$A$247:$A$283,$A188,Summary!$L$247:$L$283)+SUMIF(Summary!$A$297:$A$333,$A188,Summary!$L$297:$L$333))-AK188,0)</f>
        <v>0</v>
      </c>
      <c r="AM188" s="198"/>
      <c r="AN188" s="196">
        <f t="shared" ca="1" si="40"/>
        <v>0</v>
      </c>
      <c r="AO188" s="196">
        <f t="shared" ca="1" si="41"/>
        <v>0</v>
      </c>
    </row>
    <row r="189" spans="1:41">
      <c r="A189" s="189">
        <v>3541</v>
      </c>
      <c r="B189" s="190">
        <v>4</v>
      </c>
      <c r="C189" s="191" t="s">
        <v>236</v>
      </c>
      <c r="D189" s="192">
        <f t="shared" si="28"/>
        <v>0</v>
      </c>
      <c r="E189" s="192">
        <f t="shared" si="29"/>
        <v>0</v>
      </c>
      <c r="F189" s="192">
        <f t="shared" si="30"/>
        <v>0</v>
      </c>
      <c r="G189" s="193">
        <f t="shared" si="31"/>
        <v>0</v>
      </c>
      <c r="H189" s="194">
        <v>0</v>
      </c>
      <c r="I189" s="194">
        <v>0</v>
      </c>
      <c r="J189" s="194">
        <v>0</v>
      </c>
      <c r="K189" s="193">
        <f t="shared" si="32"/>
        <v>0</v>
      </c>
      <c r="L189" s="194">
        <v>0</v>
      </c>
      <c r="M189" s="194">
        <v>0</v>
      </c>
      <c r="N189" s="194">
        <v>0</v>
      </c>
      <c r="O189" s="193">
        <f t="shared" si="33"/>
        <v>0</v>
      </c>
      <c r="P189" s="194">
        <v>0</v>
      </c>
      <c r="Q189" s="194">
        <v>0</v>
      </c>
      <c r="R189" s="194">
        <v>0</v>
      </c>
      <c r="S189" s="193">
        <f t="shared" si="34"/>
        <v>0</v>
      </c>
      <c r="T189" s="193">
        <f t="shared" si="35"/>
        <v>0</v>
      </c>
      <c r="U189" s="193">
        <f ca="1">OFFSET('Expenditure Study'!$B$7,'Operations Support'!$C189,'Operations Support'!$B189)*$G189</f>
        <v>0</v>
      </c>
      <c r="V189" s="199">
        <f ca="1">U189*'Expenditure Study'!$B$31</f>
        <v>0</v>
      </c>
      <c r="W189" s="199">
        <f ca="1">IF(A189=10298,1.51,1)*IF($B189&lt;3,$D189*'Expenditure Study'!$B$32*OFFSET('Expenditure Study'!$B$7,'Operations Support'!$C189,'Operations Support'!$B189),0)</f>
        <v>0</v>
      </c>
      <c r="X189" s="200">
        <f ca="1">W189*'Expenditure Study'!$B$31</f>
        <v>0</v>
      </c>
      <c r="Y189" s="199">
        <f ca="1">U189*'Expenditure Study'!$B$31</f>
        <v>0</v>
      </c>
      <c r="Z189" s="200">
        <f ca="1">W189*'Expenditure Study'!$B$31</f>
        <v>0</v>
      </c>
      <c r="AA189" s="195">
        <f t="shared" ca="1" si="36"/>
        <v>0</v>
      </c>
      <c r="AB189" s="195">
        <f t="shared" ca="1" si="37"/>
        <v>0</v>
      </c>
      <c r="AD189" s="196">
        <f>IFERROR($G189/SUMIF($A:$A,$A189,$G:$G)*SUMIF(Summary!$A$166:$A$242,$A189,Summary!$P$166:$P$242),0)</f>
        <v>0</v>
      </c>
      <c r="AE189" s="197">
        <f t="shared" ca="1" si="38"/>
        <v>0</v>
      </c>
      <c r="AF189" s="196">
        <f>IFERROR(G189/SUMIF(A:A,A189,G:G)*SUMIF(Summary!$A$166:$A$242,'Operations Support'!A189,Summary!$Q$166:$Q$242),0)</f>
        <v>0</v>
      </c>
      <c r="AG189" s="196">
        <f t="shared" ca="1" si="39"/>
        <v>0</v>
      </c>
      <c r="AI189" s="196">
        <f>IFERROR($G189/SUMIF($A:$A,$A189,$G:$G)*SUMIF(Summary!$A$247:$A$283,$A189,Summary!$P$247:$P$283),0)</f>
        <v>0</v>
      </c>
      <c r="AJ189" s="196">
        <f>IFERROR($G189/SUMIF($A:$A,$A189,$G:$G)*(SUMIF(Summary!$A$247:$A$283,$A189,Summary!$L$247:$L$283)+SUMIF(Summary!$A$297:$A$333,$A189,Summary!$L$297:$L$333))-AI189,0)</f>
        <v>0</v>
      </c>
      <c r="AK189" s="196">
        <f>IFERROR($G189/SUMIF($A:$A,$A189,$G:$G)*SUMIF(Summary!$A$247:$A$283,$A189,Summary!$Q$247:$Q$283),0)</f>
        <v>0</v>
      </c>
      <c r="AL189" s="196">
        <f>IFERROR($G189/SUMIF($A:$A,$A189,$G:$G)*(SUMIF(Summary!$A$247:$A$283,$A189,Summary!$L$247:$L$283)+SUMIF(Summary!$A$297:$A$333,$A189,Summary!$L$297:$L$333))-AK189,0)</f>
        <v>0</v>
      </c>
      <c r="AM189" s="198"/>
      <c r="AN189" s="196">
        <f t="shared" ca="1" si="40"/>
        <v>0</v>
      </c>
      <c r="AO189" s="196">
        <f t="shared" ca="1" si="41"/>
        <v>0</v>
      </c>
    </row>
    <row r="190" spans="1:41">
      <c r="A190" s="189">
        <v>3541</v>
      </c>
      <c r="B190" s="190">
        <v>4</v>
      </c>
      <c r="C190" s="191" t="s">
        <v>237</v>
      </c>
      <c r="D190" s="192">
        <f t="shared" si="28"/>
        <v>0</v>
      </c>
      <c r="E190" s="192">
        <f t="shared" si="29"/>
        <v>0</v>
      </c>
      <c r="F190" s="192">
        <f t="shared" si="30"/>
        <v>0</v>
      </c>
      <c r="G190" s="193">
        <f t="shared" si="31"/>
        <v>0</v>
      </c>
      <c r="H190" s="194">
        <v>0</v>
      </c>
      <c r="I190" s="194">
        <v>0</v>
      </c>
      <c r="J190" s="194">
        <v>0</v>
      </c>
      <c r="K190" s="193">
        <f t="shared" si="32"/>
        <v>0</v>
      </c>
      <c r="L190" s="194">
        <v>0</v>
      </c>
      <c r="M190" s="194">
        <v>0</v>
      </c>
      <c r="N190" s="194">
        <v>0</v>
      </c>
      <c r="O190" s="193">
        <f t="shared" si="33"/>
        <v>0</v>
      </c>
      <c r="P190" s="194">
        <v>0</v>
      </c>
      <c r="Q190" s="194">
        <v>0</v>
      </c>
      <c r="R190" s="194">
        <v>0</v>
      </c>
      <c r="S190" s="193">
        <f t="shared" si="34"/>
        <v>0</v>
      </c>
      <c r="T190" s="193">
        <f t="shared" si="35"/>
        <v>0</v>
      </c>
      <c r="U190" s="193">
        <f ca="1">OFFSET('Expenditure Study'!$B$7,'Operations Support'!$C190,'Operations Support'!$B190)*$G190</f>
        <v>0</v>
      </c>
      <c r="V190" s="199">
        <f ca="1">U190*'Expenditure Study'!$B$31</f>
        <v>0</v>
      </c>
      <c r="W190" s="199">
        <f ca="1">IF(A190=10298,1.51,1)*IF($B190&lt;3,$D190*'Expenditure Study'!$B$32*OFFSET('Expenditure Study'!$B$7,'Operations Support'!$C190,'Operations Support'!$B190),0)</f>
        <v>0</v>
      </c>
      <c r="X190" s="200">
        <f ca="1">W190*'Expenditure Study'!$B$31</f>
        <v>0</v>
      </c>
      <c r="Y190" s="199">
        <f ca="1">U190*'Expenditure Study'!$B$31</f>
        <v>0</v>
      </c>
      <c r="Z190" s="200">
        <f ca="1">W190*'Expenditure Study'!$B$31</f>
        <v>0</v>
      </c>
      <c r="AA190" s="195">
        <f t="shared" ca="1" si="36"/>
        <v>0</v>
      </c>
      <c r="AB190" s="195">
        <f t="shared" ca="1" si="37"/>
        <v>0</v>
      </c>
      <c r="AD190" s="196">
        <f>IFERROR($G190/SUMIF($A:$A,$A190,$G:$G)*SUMIF(Summary!$A$166:$A$242,$A190,Summary!$P$166:$P$242),0)</f>
        <v>0</v>
      </c>
      <c r="AE190" s="197">
        <f t="shared" ca="1" si="38"/>
        <v>0</v>
      </c>
      <c r="AF190" s="196">
        <f>IFERROR(G190/SUMIF(A:A,A190,G:G)*SUMIF(Summary!$A$166:$A$242,'Operations Support'!A190,Summary!$Q$166:$Q$242),0)</f>
        <v>0</v>
      </c>
      <c r="AG190" s="196">
        <f t="shared" ca="1" si="39"/>
        <v>0</v>
      </c>
      <c r="AI190" s="196">
        <f>IFERROR($G190/SUMIF($A:$A,$A190,$G:$G)*SUMIF(Summary!$A$247:$A$283,$A190,Summary!$P$247:$P$283),0)</f>
        <v>0</v>
      </c>
      <c r="AJ190" s="196">
        <f>IFERROR($G190/SUMIF($A:$A,$A190,$G:$G)*(SUMIF(Summary!$A$247:$A$283,$A190,Summary!$L$247:$L$283)+SUMIF(Summary!$A$297:$A$333,$A190,Summary!$L$297:$L$333))-AI190,0)</f>
        <v>0</v>
      </c>
      <c r="AK190" s="196">
        <f>IFERROR($G190/SUMIF($A:$A,$A190,$G:$G)*SUMIF(Summary!$A$247:$A$283,$A190,Summary!$Q$247:$Q$283),0)</f>
        <v>0</v>
      </c>
      <c r="AL190" s="196">
        <f>IFERROR($G190/SUMIF($A:$A,$A190,$G:$G)*(SUMIF(Summary!$A$247:$A$283,$A190,Summary!$L$247:$L$283)+SUMIF(Summary!$A$297:$A$333,$A190,Summary!$L$297:$L$333))-AK190,0)</f>
        <v>0</v>
      </c>
      <c r="AM190" s="198"/>
      <c r="AN190" s="196">
        <f t="shared" ca="1" si="40"/>
        <v>0</v>
      </c>
      <c r="AO190" s="196">
        <f t="shared" ca="1" si="41"/>
        <v>0</v>
      </c>
    </row>
    <row r="191" spans="1:41">
      <c r="A191" s="189">
        <v>3541</v>
      </c>
      <c r="B191" s="190">
        <v>4</v>
      </c>
      <c r="C191" s="191" t="s">
        <v>238</v>
      </c>
      <c r="D191" s="192">
        <f t="shared" si="28"/>
        <v>0</v>
      </c>
      <c r="E191" s="192">
        <f t="shared" si="29"/>
        <v>0</v>
      </c>
      <c r="F191" s="192">
        <f t="shared" si="30"/>
        <v>0</v>
      </c>
      <c r="G191" s="193">
        <f t="shared" si="31"/>
        <v>0</v>
      </c>
      <c r="H191" s="194">
        <v>0</v>
      </c>
      <c r="I191" s="194">
        <v>0</v>
      </c>
      <c r="J191" s="194">
        <v>0</v>
      </c>
      <c r="K191" s="193">
        <f t="shared" si="32"/>
        <v>0</v>
      </c>
      <c r="L191" s="194">
        <v>0</v>
      </c>
      <c r="M191" s="194">
        <v>0</v>
      </c>
      <c r="N191" s="194">
        <v>0</v>
      </c>
      <c r="O191" s="193">
        <f t="shared" si="33"/>
        <v>0</v>
      </c>
      <c r="P191" s="194">
        <v>0</v>
      </c>
      <c r="Q191" s="194">
        <v>0</v>
      </c>
      <c r="R191" s="194">
        <v>0</v>
      </c>
      <c r="S191" s="193">
        <f t="shared" si="34"/>
        <v>0</v>
      </c>
      <c r="T191" s="193">
        <f t="shared" si="35"/>
        <v>0</v>
      </c>
      <c r="U191" s="193">
        <f ca="1">OFFSET('Expenditure Study'!$B$7,'Operations Support'!$C191,'Operations Support'!$B191)*$G191</f>
        <v>0</v>
      </c>
      <c r="V191" s="199">
        <f ca="1">U191*'Expenditure Study'!$B$31</f>
        <v>0</v>
      </c>
      <c r="W191" s="199">
        <f ca="1">IF(A191=10298,1.51,1)*IF($B191&lt;3,$D191*'Expenditure Study'!$B$32*OFFSET('Expenditure Study'!$B$7,'Operations Support'!$C191,'Operations Support'!$B191),0)</f>
        <v>0</v>
      </c>
      <c r="X191" s="200">
        <f ca="1">W191*'Expenditure Study'!$B$31</f>
        <v>0</v>
      </c>
      <c r="Y191" s="199">
        <f ca="1">U191*'Expenditure Study'!$B$31</f>
        <v>0</v>
      </c>
      <c r="Z191" s="200">
        <f ca="1">W191*'Expenditure Study'!$B$31</f>
        <v>0</v>
      </c>
      <c r="AA191" s="195">
        <f t="shared" ca="1" si="36"/>
        <v>0</v>
      </c>
      <c r="AB191" s="195">
        <f t="shared" ca="1" si="37"/>
        <v>0</v>
      </c>
      <c r="AD191" s="196">
        <f>IFERROR($G191/SUMIF($A:$A,$A191,$G:$G)*SUMIF(Summary!$A$166:$A$242,$A191,Summary!$P$166:$P$242),0)</f>
        <v>0</v>
      </c>
      <c r="AE191" s="197">
        <f t="shared" ca="1" si="38"/>
        <v>0</v>
      </c>
      <c r="AF191" s="196">
        <f>IFERROR(G191/SUMIF(A:A,A191,G:G)*SUMIF(Summary!$A$166:$A$242,'Operations Support'!A191,Summary!$Q$166:$Q$242),0)</f>
        <v>0</v>
      </c>
      <c r="AG191" s="196">
        <f t="shared" ca="1" si="39"/>
        <v>0</v>
      </c>
      <c r="AI191" s="196">
        <f>IFERROR($G191/SUMIF($A:$A,$A191,$G:$G)*SUMIF(Summary!$A$247:$A$283,$A191,Summary!$P$247:$P$283),0)</f>
        <v>0</v>
      </c>
      <c r="AJ191" s="196">
        <f>IFERROR($G191/SUMIF($A:$A,$A191,$G:$G)*(SUMIF(Summary!$A$247:$A$283,$A191,Summary!$L$247:$L$283)+SUMIF(Summary!$A$297:$A$333,$A191,Summary!$L$297:$L$333))-AI191,0)</f>
        <v>0</v>
      </c>
      <c r="AK191" s="196">
        <f>IFERROR($G191/SUMIF($A:$A,$A191,$G:$G)*SUMIF(Summary!$A$247:$A$283,$A191,Summary!$Q$247:$Q$283),0)</f>
        <v>0</v>
      </c>
      <c r="AL191" s="196">
        <f>IFERROR($G191/SUMIF($A:$A,$A191,$G:$G)*(SUMIF(Summary!$A$247:$A$283,$A191,Summary!$L$247:$L$283)+SUMIF(Summary!$A$297:$A$333,$A191,Summary!$L$297:$L$333))-AK191,0)</f>
        <v>0</v>
      </c>
      <c r="AM191" s="198"/>
      <c r="AN191" s="196">
        <f t="shared" ca="1" si="40"/>
        <v>0</v>
      </c>
      <c r="AO191" s="196">
        <f t="shared" ca="1" si="41"/>
        <v>0</v>
      </c>
    </row>
    <row r="192" spans="1:41">
      <c r="A192" s="189">
        <v>3541</v>
      </c>
      <c r="B192" s="190">
        <v>4</v>
      </c>
      <c r="C192" s="191" t="s">
        <v>239</v>
      </c>
      <c r="D192" s="192">
        <f t="shared" si="28"/>
        <v>0</v>
      </c>
      <c r="E192" s="192">
        <f t="shared" si="29"/>
        <v>0</v>
      </c>
      <c r="F192" s="192">
        <f t="shared" si="30"/>
        <v>0</v>
      </c>
      <c r="G192" s="193">
        <f t="shared" si="31"/>
        <v>0</v>
      </c>
      <c r="H192" s="194">
        <v>0</v>
      </c>
      <c r="I192" s="194">
        <v>0</v>
      </c>
      <c r="J192" s="194">
        <v>0</v>
      </c>
      <c r="K192" s="193">
        <f t="shared" si="32"/>
        <v>0</v>
      </c>
      <c r="L192" s="194">
        <v>0</v>
      </c>
      <c r="M192" s="194">
        <v>0</v>
      </c>
      <c r="N192" s="194">
        <v>0</v>
      </c>
      <c r="O192" s="193">
        <f t="shared" si="33"/>
        <v>0</v>
      </c>
      <c r="P192" s="194">
        <v>0</v>
      </c>
      <c r="Q192" s="194">
        <v>0</v>
      </c>
      <c r="R192" s="194">
        <v>0</v>
      </c>
      <c r="S192" s="193">
        <f t="shared" si="34"/>
        <v>0</v>
      </c>
      <c r="T192" s="193">
        <f t="shared" si="35"/>
        <v>0</v>
      </c>
      <c r="U192" s="193">
        <f ca="1">OFFSET('Expenditure Study'!$B$7,'Operations Support'!$C192,'Operations Support'!$B192)*$G192</f>
        <v>0</v>
      </c>
      <c r="V192" s="199">
        <f ca="1">U192*'Expenditure Study'!$B$31</f>
        <v>0</v>
      </c>
      <c r="W192" s="199">
        <f ca="1">IF(A192=10298,1.51,1)*IF($B192&lt;3,$D192*'Expenditure Study'!$B$32*OFFSET('Expenditure Study'!$B$7,'Operations Support'!$C192,'Operations Support'!$B192),0)</f>
        <v>0</v>
      </c>
      <c r="X192" s="200">
        <f ca="1">W192*'Expenditure Study'!$B$31</f>
        <v>0</v>
      </c>
      <c r="Y192" s="199">
        <f ca="1">U192*'Expenditure Study'!$B$31</f>
        <v>0</v>
      </c>
      <c r="Z192" s="200">
        <f ca="1">W192*'Expenditure Study'!$B$31</f>
        <v>0</v>
      </c>
      <c r="AA192" s="195">
        <f t="shared" ca="1" si="36"/>
        <v>0</v>
      </c>
      <c r="AB192" s="195">
        <f t="shared" ca="1" si="37"/>
        <v>0</v>
      </c>
      <c r="AD192" s="196">
        <f>IFERROR($G192/SUMIF($A:$A,$A192,$G:$G)*SUMIF(Summary!$A$166:$A$242,$A192,Summary!$P$166:$P$242),0)</f>
        <v>0</v>
      </c>
      <c r="AE192" s="197">
        <f t="shared" ca="1" si="38"/>
        <v>0</v>
      </c>
      <c r="AF192" s="196">
        <f>IFERROR(G192/SUMIF(A:A,A192,G:G)*SUMIF(Summary!$A$166:$A$242,'Operations Support'!A192,Summary!$Q$166:$Q$242),0)</f>
        <v>0</v>
      </c>
      <c r="AG192" s="196">
        <f t="shared" ca="1" si="39"/>
        <v>0</v>
      </c>
      <c r="AI192" s="196">
        <f>IFERROR($G192/SUMIF($A:$A,$A192,$G:$G)*SUMIF(Summary!$A$247:$A$283,$A192,Summary!$P$247:$P$283),0)</f>
        <v>0</v>
      </c>
      <c r="AJ192" s="196">
        <f>IFERROR($G192/SUMIF($A:$A,$A192,$G:$G)*(SUMIF(Summary!$A$247:$A$283,$A192,Summary!$L$247:$L$283)+SUMIF(Summary!$A$297:$A$333,$A192,Summary!$L$297:$L$333))-AI192,0)</f>
        <v>0</v>
      </c>
      <c r="AK192" s="196">
        <f>IFERROR($G192/SUMIF($A:$A,$A192,$G:$G)*SUMIF(Summary!$A$247:$A$283,$A192,Summary!$Q$247:$Q$283),0)</f>
        <v>0</v>
      </c>
      <c r="AL192" s="196">
        <f>IFERROR($G192/SUMIF($A:$A,$A192,$G:$G)*(SUMIF(Summary!$A$247:$A$283,$A192,Summary!$L$247:$L$283)+SUMIF(Summary!$A$297:$A$333,$A192,Summary!$L$297:$L$333))-AK192,0)</f>
        <v>0</v>
      </c>
      <c r="AM192" s="198"/>
      <c r="AN192" s="196">
        <f t="shared" ca="1" si="40"/>
        <v>0</v>
      </c>
      <c r="AO192" s="196">
        <f t="shared" ca="1" si="41"/>
        <v>0</v>
      </c>
    </row>
    <row r="193" spans="1:41">
      <c r="A193" s="189">
        <v>3541</v>
      </c>
      <c r="B193" s="190">
        <v>4</v>
      </c>
      <c r="C193" s="191" t="s">
        <v>240</v>
      </c>
      <c r="D193" s="192">
        <f t="shared" si="28"/>
        <v>0</v>
      </c>
      <c r="E193" s="192">
        <f t="shared" si="29"/>
        <v>0</v>
      </c>
      <c r="F193" s="192">
        <f t="shared" si="30"/>
        <v>0</v>
      </c>
      <c r="G193" s="193">
        <f t="shared" si="31"/>
        <v>0</v>
      </c>
      <c r="H193" s="194">
        <v>0</v>
      </c>
      <c r="I193" s="194">
        <v>0</v>
      </c>
      <c r="J193" s="194">
        <v>0</v>
      </c>
      <c r="K193" s="193">
        <f t="shared" si="32"/>
        <v>0</v>
      </c>
      <c r="L193" s="194">
        <v>0</v>
      </c>
      <c r="M193" s="194">
        <v>0</v>
      </c>
      <c r="N193" s="194">
        <v>0</v>
      </c>
      <c r="O193" s="193">
        <f t="shared" si="33"/>
        <v>0</v>
      </c>
      <c r="P193" s="194">
        <v>0</v>
      </c>
      <c r="Q193" s="194">
        <v>0</v>
      </c>
      <c r="R193" s="194">
        <v>0</v>
      </c>
      <c r="S193" s="193">
        <f t="shared" si="34"/>
        <v>0</v>
      </c>
      <c r="T193" s="193">
        <f t="shared" si="35"/>
        <v>0</v>
      </c>
      <c r="U193" s="193">
        <f ca="1">OFFSET('Expenditure Study'!$B$7,'Operations Support'!$C193,'Operations Support'!$B193)*$G193</f>
        <v>0</v>
      </c>
      <c r="V193" s="199">
        <f ca="1">U193*'Expenditure Study'!$B$31</f>
        <v>0</v>
      </c>
      <c r="W193" s="199">
        <f ca="1">IF(A193=10298,1.51,1)*IF($B193&lt;3,$D193*'Expenditure Study'!$B$32*OFFSET('Expenditure Study'!$B$7,'Operations Support'!$C193,'Operations Support'!$B193),0)</f>
        <v>0</v>
      </c>
      <c r="X193" s="200">
        <f ca="1">W193*'Expenditure Study'!$B$31</f>
        <v>0</v>
      </c>
      <c r="Y193" s="199">
        <f ca="1">U193*'Expenditure Study'!$B$31</f>
        <v>0</v>
      </c>
      <c r="Z193" s="200">
        <f ca="1">W193*'Expenditure Study'!$B$31</f>
        <v>0</v>
      </c>
      <c r="AA193" s="195">
        <f t="shared" ca="1" si="36"/>
        <v>0</v>
      </c>
      <c r="AB193" s="195">
        <f t="shared" ca="1" si="37"/>
        <v>0</v>
      </c>
      <c r="AD193" s="196">
        <f>IFERROR($G193/SUMIF($A:$A,$A193,$G:$G)*SUMIF(Summary!$A$166:$A$242,$A193,Summary!$P$166:$P$242),0)</f>
        <v>0</v>
      </c>
      <c r="AE193" s="197">
        <f t="shared" ca="1" si="38"/>
        <v>0</v>
      </c>
      <c r="AF193" s="196">
        <f>IFERROR(G193/SUMIF(A:A,A193,G:G)*SUMIF(Summary!$A$166:$A$242,'Operations Support'!A193,Summary!$Q$166:$Q$242),0)</f>
        <v>0</v>
      </c>
      <c r="AG193" s="196">
        <f t="shared" ca="1" si="39"/>
        <v>0</v>
      </c>
      <c r="AI193" s="196">
        <f>IFERROR($G193/SUMIF($A:$A,$A193,$G:$G)*SUMIF(Summary!$A$247:$A$283,$A193,Summary!$P$247:$P$283),0)</f>
        <v>0</v>
      </c>
      <c r="AJ193" s="196">
        <f>IFERROR($G193/SUMIF($A:$A,$A193,$G:$G)*(SUMIF(Summary!$A$247:$A$283,$A193,Summary!$L$247:$L$283)+SUMIF(Summary!$A$297:$A$333,$A193,Summary!$L$297:$L$333))-AI193,0)</f>
        <v>0</v>
      </c>
      <c r="AK193" s="196">
        <f>IFERROR($G193/SUMIF($A:$A,$A193,$G:$G)*SUMIF(Summary!$A$247:$A$283,$A193,Summary!$Q$247:$Q$283),0)</f>
        <v>0</v>
      </c>
      <c r="AL193" s="196">
        <f>IFERROR($G193/SUMIF($A:$A,$A193,$G:$G)*(SUMIF(Summary!$A$247:$A$283,$A193,Summary!$L$247:$L$283)+SUMIF(Summary!$A$297:$A$333,$A193,Summary!$L$297:$L$333))-AK193,0)</f>
        <v>0</v>
      </c>
      <c r="AM193" s="198"/>
      <c r="AN193" s="196">
        <f t="shared" ca="1" si="40"/>
        <v>0</v>
      </c>
      <c r="AO193" s="196">
        <f t="shared" ca="1" si="41"/>
        <v>0</v>
      </c>
    </row>
    <row r="194" spans="1:41">
      <c r="A194" s="189">
        <v>3541</v>
      </c>
      <c r="B194" s="190">
        <v>5</v>
      </c>
      <c r="C194" s="191" t="s">
        <v>220</v>
      </c>
      <c r="D194" s="192">
        <f t="shared" si="28"/>
        <v>0</v>
      </c>
      <c r="E194" s="192">
        <f t="shared" si="29"/>
        <v>0</v>
      </c>
      <c r="F194" s="192">
        <f t="shared" si="30"/>
        <v>0</v>
      </c>
      <c r="G194" s="193">
        <f t="shared" si="31"/>
        <v>0</v>
      </c>
      <c r="H194" s="194">
        <v>0</v>
      </c>
      <c r="I194" s="194">
        <v>0</v>
      </c>
      <c r="J194" s="194">
        <v>0</v>
      </c>
      <c r="K194" s="193">
        <f t="shared" si="32"/>
        <v>0</v>
      </c>
      <c r="L194" s="194">
        <v>0</v>
      </c>
      <c r="M194" s="194">
        <v>0</v>
      </c>
      <c r="N194" s="194">
        <v>0</v>
      </c>
      <c r="O194" s="193">
        <f t="shared" si="33"/>
        <v>0</v>
      </c>
      <c r="P194" s="194">
        <v>0</v>
      </c>
      <c r="Q194" s="194">
        <v>0</v>
      </c>
      <c r="R194" s="194">
        <v>0</v>
      </c>
      <c r="S194" s="193">
        <f t="shared" si="34"/>
        <v>0</v>
      </c>
      <c r="T194" s="193">
        <f t="shared" si="35"/>
        <v>0</v>
      </c>
      <c r="U194" s="193">
        <f ca="1">OFFSET('Expenditure Study'!$B$7,'Operations Support'!$C194,'Operations Support'!$B194)*$G194</f>
        <v>0</v>
      </c>
      <c r="V194" s="199">
        <f ca="1">U194*'Expenditure Study'!$B$31</f>
        <v>0</v>
      </c>
      <c r="W194" s="199">
        <f ca="1">IF(A194=10298,1.51,1)*IF($B194&lt;3,$D194*'Expenditure Study'!$B$32*OFFSET('Expenditure Study'!$B$7,'Operations Support'!$C194,'Operations Support'!$B194),0)</f>
        <v>0</v>
      </c>
      <c r="X194" s="200">
        <f ca="1">W194*'Expenditure Study'!$B$31</f>
        <v>0</v>
      </c>
      <c r="Y194" s="199">
        <f ca="1">U194*'Expenditure Study'!$B$31</f>
        <v>0</v>
      </c>
      <c r="Z194" s="200">
        <f ca="1">W194*'Expenditure Study'!$B$31</f>
        <v>0</v>
      </c>
      <c r="AA194" s="195">
        <f t="shared" ca="1" si="36"/>
        <v>0</v>
      </c>
      <c r="AB194" s="195">
        <f t="shared" ca="1" si="37"/>
        <v>0</v>
      </c>
      <c r="AD194" s="196">
        <f>IFERROR($G194/SUMIF($A:$A,$A194,$G:$G)*SUMIF(Summary!$A$166:$A$242,$A194,Summary!$P$166:$P$242),0)</f>
        <v>0</v>
      </c>
      <c r="AE194" s="197">
        <f t="shared" ca="1" si="38"/>
        <v>0</v>
      </c>
      <c r="AF194" s="196">
        <f>IFERROR(G194/SUMIF(A:A,A194,G:G)*SUMIF(Summary!$A$166:$A$242,'Operations Support'!A194,Summary!$Q$166:$Q$242),0)</f>
        <v>0</v>
      </c>
      <c r="AG194" s="196">
        <f t="shared" ca="1" si="39"/>
        <v>0</v>
      </c>
      <c r="AI194" s="196">
        <f>IFERROR($G194/SUMIF($A:$A,$A194,$G:$G)*SUMIF(Summary!$A$247:$A$283,$A194,Summary!$P$247:$P$283),0)</f>
        <v>0</v>
      </c>
      <c r="AJ194" s="196">
        <f>IFERROR($G194/SUMIF($A:$A,$A194,$G:$G)*(SUMIF(Summary!$A$247:$A$283,$A194,Summary!$L$247:$L$283)+SUMIF(Summary!$A$297:$A$333,$A194,Summary!$L$297:$L$333))-AI194,0)</f>
        <v>0</v>
      </c>
      <c r="AK194" s="196">
        <f>IFERROR($G194/SUMIF($A:$A,$A194,$G:$G)*SUMIF(Summary!$A$247:$A$283,$A194,Summary!$Q$247:$Q$283),0)</f>
        <v>0</v>
      </c>
      <c r="AL194" s="196">
        <f>IFERROR($G194/SUMIF($A:$A,$A194,$G:$G)*(SUMIF(Summary!$A$247:$A$283,$A194,Summary!$L$247:$L$283)+SUMIF(Summary!$A$297:$A$333,$A194,Summary!$L$297:$L$333))-AK194,0)</f>
        <v>0</v>
      </c>
      <c r="AM194" s="198"/>
      <c r="AN194" s="196">
        <f t="shared" ca="1" si="40"/>
        <v>0</v>
      </c>
      <c r="AO194" s="196">
        <f t="shared" ca="1" si="41"/>
        <v>0</v>
      </c>
    </row>
    <row r="195" spans="1:41">
      <c r="A195" s="189">
        <v>3541</v>
      </c>
      <c r="B195" s="190">
        <v>5</v>
      </c>
      <c r="C195" s="191" t="s">
        <v>221</v>
      </c>
      <c r="D195" s="192">
        <f t="shared" si="28"/>
        <v>0</v>
      </c>
      <c r="E195" s="192">
        <f t="shared" si="29"/>
        <v>0</v>
      </c>
      <c r="F195" s="192">
        <f t="shared" si="30"/>
        <v>0</v>
      </c>
      <c r="G195" s="193">
        <f t="shared" si="31"/>
        <v>0</v>
      </c>
      <c r="H195" s="194">
        <v>0</v>
      </c>
      <c r="I195" s="194">
        <v>0</v>
      </c>
      <c r="J195" s="194">
        <v>0</v>
      </c>
      <c r="K195" s="193">
        <f t="shared" si="32"/>
        <v>0</v>
      </c>
      <c r="L195" s="194">
        <v>0</v>
      </c>
      <c r="M195" s="194">
        <v>0</v>
      </c>
      <c r="N195" s="194">
        <v>0</v>
      </c>
      <c r="O195" s="193">
        <f t="shared" si="33"/>
        <v>0</v>
      </c>
      <c r="P195" s="194">
        <v>0</v>
      </c>
      <c r="Q195" s="194">
        <v>0</v>
      </c>
      <c r="R195" s="194">
        <v>0</v>
      </c>
      <c r="S195" s="193">
        <f t="shared" si="34"/>
        <v>0</v>
      </c>
      <c r="T195" s="193">
        <f t="shared" si="35"/>
        <v>0</v>
      </c>
      <c r="U195" s="193">
        <f ca="1">OFFSET('Expenditure Study'!$B$7,'Operations Support'!$C195,'Operations Support'!$B195)*$G195</f>
        <v>0</v>
      </c>
      <c r="V195" s="199">
        <f ca="1">U195*'Expenditure Study'!$B$31</f>
        <v>0</v>
      </c>
      <c r="W195" s="199">
        <f ca="1">IF(A195=10298,1.51,1)*IF($B195&lt;3,$D195*'Expenditure Study'!$B$32*OFFSET('Expenditure Study'!$B$7,'Operations Support'!$C195,'Operations Support'!$B195),0)</f>
        <v>0</v>
      </c>
      <c r="X195" s="200">
        <f ca="1">W195*'Expenditure Study'!$B$31</f>
        <v>0</v>
      </c>
      <c r="Y195" s="199">
        <f ca="1">U195*'Expenditure Study'!$B$31</f>
        <v>0</v>
      </c>
      <c r="Z195" s="200">
        <f ca="1">W195*'Expenditure Study'!$B$31</f>
        <v>0</v>
      </c>
      <c r="AA195" s="195">
        <f t="shared" ca="1" si="36"/>
        <v>0</v>
      </c>
      <c r="AB195" s="195">
        <f t="shared" ca="1" si="37"/>
        <v>0</v>
      </c>
      <c r="AD195" s="196">
        <f>IFERROR($G195/SUMIF($A:$A,$A195,$G:$G)*SUMIF(Summary!$A$166:$A$242,$A195,Summary!$P$166:$P$242),0)</f>
        <v>0</v>
      </c>
      <c r="AE195" s="197">
        <f t="shared" ca="1" si="38"/>
        <v>0</v>
      </c>
      <c r="AF195" s="196">
        <f>IFERROR(G195/SUMIF(A:A,A195,G:G)*SUMIF(Summary!$A$166:$A$242,'Operations Support'!A195,Summary!$Q$166:$Q$242),0)</f>
        <v>0</v>
      </c>
      <c r="AG195" s="196">
        <f t="shared" ca="1" si="39"/>
        <v>0</v>
      </c>
      <c r="AI195" s="196">
        <f>IFERROR($G195/SUMIF($A:$A,$A195,$G:$G)*SUMIF(Summary!$A$247:$A$283,$A195,Summary!$P$247:$P$283),0)</f>
        <v>0</v>
      </c>
      <c r="AJ195" s="196">
        <f>IFERROR($G195/SUMIF($A:$A,$A195,$G:$G)*(SUMIF(Summary!$A$247:$A$283,$A195,Summary!$L$247:$L$283)+SUMIF(Summary!$A$297:$A$333,$A195,Summary!$L$297:$L$333))-AI195,0)</f>
        <v>0</v>
      </c>
      <c r="AK195" s="196">
        <f>IFERROR($G195/SUMIF($A:$A,$A195,$G:$G)*SUMIF(Summary!$A$247:$A$283,$A195,Summary!$Q$247:$Q$283),0)</f>
        <v>0</v>
      </c>
      <c r="AL195" s="196">
        <f>IFERROR($G195/SUMIF($A:$A,$A195,$G:$G)*(SUMIF(Summary!$A$247:$A$283,$A195,Summary!$L$247:$L$283)+SUMIF(Summary!$A$297:$A$333,$A195,Summary!$L$297:$L$333))-AK195,0)</f>
        <v>0</v>
      </c>
      <c r="AM195" s="198"/>
      <c r="AN195" s="196">
        <f t="shared" ca="1" si="40"/>
        <v>0</v>
      </c>
      <c r="AO195" s="196">
        <f t="shared" ca="1" si="41"/>
        <v>0</v>
      </c>
    </row>
    <row r="196" spans="1:41">
      <c r="A196" s="189">
        <v>3541</v>
      </c>
      <c r="B196" s="190">
        <v>5</v>
      </c>
      <c r="C196" s="191" t="s">
        <v>222</v>
      </c>
      <c r="D196" s="192">
        <f t="shared" si="28"/>
        <v>0</v>
      </c>
      <c r="E196" s="192">
        <f t="shared" si="29"/>
        <v>0</v>
      </c>
      <c r="F196" s="192">
        <f t="shared" si="30"/>
        <v>0</v>
      </c>
      <c r="G196" s="193">
        <f t="shared" si="31"/>
        <v>0</v>
      </c>
      <c r="H196" s="194">
        <v>0</v>
      </c>
      <c r="I196" s="194">
        <v>0</v>
      </c>
      <c r="J196" s="194">
        <v>0</v>
      </c>
      <c r="K196" s="193">
        <f t="shared" si="32"/>
        <v>0</v>
      </c>
      <c r="L196" s="194">
        <v>0</v>
      </c>
      <c r="M196" s="194">
        <v>0</v>
      </c>
      <c r="N196" s="194">
        <v>0</v>
      </c>
      <c r="O196" s="193">
        <f t="shared" si="33"/>
        <v>0</v>
      </c>
      <c r="P196" s="194">
        <v>0</v>
      </c>
      <c r="Q196" s="194">
        <v>0</v>
      </c>
      <c r="R196" s="194">
        <v>0</v>
      </c>
      <c r="S196" s="193">
        <f t="shared" si="34"/>
        <v>0</v>
      </c>
      <c r="T196" s="193">
        <f t="shared" si="35"/>
        <v>0</v>
      </c>
      <c r="U196" s="193">
        <f ca="1">OFFSET('Expenditure Study'!$B$7,'Operations Support'!$C196,'Operations Support'!$B196)*$G196</f>
        <v>0</v>
      </c>
      <c r="V196" s="199">
        <f ca="1">U196*'Expenditure Study'!$B$31</f>
        <v>0</v>
      </c>
      <c r="W196" s="199">
        <f ca="1">IF(A196=10298,1.51,1)*IF($B196&lt;3,$D196*'Expenditure Study'!$B$32*OFFSET('Expenditure Study'!$B$7,'Operations Support'!$C196,'Operations Support'!$B196),0)</f>
        <v>0</v>
      </c>
      <c r="X196" s="200">
        <f ca="1">W196*'Expenditure Study'!$B$31</f>
        <v>0</v>
      </c>
      <c r="Y196" s="199">
        <f ca="1">U196*'Expenditure Study'!$B$31</f>
        <v>0</v>
      </c>
      <c r="Z196" s="200">
        <f ca="1">W196*'Expenditure Study'!$B$31</f>
        <v>0</v>
      </c>
      <c r="AA196" s="195">
        <f t="shared" ca="1" si="36"/>
        <v>0</v>
      </c>
      <c r="AB196" s="195">
        <f t="shared" ca="1" si="37"/>
        <v>0</v>
      </c>
      <c r="AD196" s="196">
        <f>IFERROR($G196/SUMIF($A:$A,$A196,$G:$G)*SUMIF(Summary!$A$166:$A$242,$A196,Summary!$P$166:$P$242),0)</f>
        <v>0</v>
      </c>
      <c r="AE196" s="197">
        <f t="shared" ca="1" si="38"/>
        <v>0</v>
      </c>
      <c r="AF196" s="196">
        <f>IFERROR(G196/SUMIF(A:A,A196,G:G)*SUMIF(Summary!$A$166:$A$242,'Operations Support'!A196,Summary!$Q$166:$Q$242),0)</f>
        <v>0</v>
      </c>
      <c r="AG196" s="196">
        <f t="shared" ca="1" si="39"/>
        <v>0</v>
      </c>
      <c r="AI196" s="196">
        <f>IFERROR($G196/SUMIF($A:$A,$A196,$G:$G)*SUMIF(Summary!$A$247:$A$283,$A196,Summary!$P$247:$P$283),0)</f>
        <v>0</v>
      </c>
      <c r="AJ196" s="196">
        <f>IFERROR($G196/SUMIF($A:$A,$A196,$G:$G)*(SUMIF(Summary!$A$247:$A$283,$A196,Summary!$L$247:$L$283)+SUMIF(Summary!$A$297:$A$333,$A196,Summary!$L$297:$L$333))-AI196,0)</f>
        <v>0</v>
      </c>
      <c r="AK196" s="196">
        <f>IFERROR($G196/SUMIF($A:$A,$A196,$G:$G)*SUMIF(Summary!$A$247:$A$283,$A196,Summary!$Q$247:$Q$283),0)</f>
        <v>0</v>
      </c>
      <c r="AL196" s="196">
        <f>IFERROR($G196/SUMIF($A:$A,$A196,$G:$G)*(SUMIF(Summary!$A$247:$A$283,$A196,Summary!$L$247:$L$283)+SUMIF(Summary!$A$297:$A$333,$A196,Summary!$L$297:$L$333))-AK196,0)</f>
        <v>0</v>
      </c>
      <c r="AM196" s="198"/>
      <c r="AN196" s="196">
        <f t="shared" ca="1" si="40"/>
        <v>0</v>
      </c>
      <c r="AO196" s="196">
        <f t="shared" ca="1" si="41"/>
        <v>0</v>
      </c>
    </row>
    <row r="197" spans="1:41">
      <c r="A197" s="189">
        <v>3541</v>
      </c>
      <c r="B197" s="190">
        <v>5</v>
      </c>
      <c r="C197" s="191" t="s">
        <v>223</v>
      </c>
      <c r="D197" s="192">
        <f t="shared" ref="D197:D260" si="42">H197+L197+P197</f>
        <v>0</v>
      </c>
      <c r="E197" s="192">
        <f t="shared" ref="E197:E260" si="43">I197+M197+Q197</f>
        <v>0</v>
      </c>
      <c r="F197" s="192">
        <f t="shared" ref="F197:F260" si="44">J197+N197+R197</f>
        <v>0</v>
      </c>
      <c r="G197" s="193">
        <f t="shared" ref="G197:G260" si="45">(SUM(D197:E197)-F197)*IF(A197=10298,1.51,1)</f>
        <v>0</v>
      </c>
      <c r="H197" s="194">
        <v>0</v>
      </c>
      <c r="I197" s="194">
        <v>0</v>
      </c>
      <c r="J197" s="194">
        <v>0</v>
      </c>
      <c r="K197" s="193">
        <f t="shared" ref="K197:K260" si="46">SUM(H197:I197)-J197</f>
        <v>0</v>
      </c>
      <c r="L197" s="194">
        <v>0</v>
      </c>
      <c r="M197" s="194">
        <v>0</v>
      </c>
      <c r="N197" s="194">
        <v>0</v>
      </c>
      <c r="O197" s="193">
        <f t="shared" ref="O197:O260" si="47">SUM(L197:M197)-N197</f>
        <v>0</v>
      </c>
      <c r="P197" s="194">
        <v>0</v>
      </c>
      <c r="Q197" s="194">
        <v>0</v>
      </c>
      <c r="R197" s="194">
        <v>0</v>
      </c>
      <c r="S197" s="193">
        <f t="shared" ref="S197:S260" si="48">SUM(P197:Q197)-R197</f>
        <v>0</v>
      </c>
      <c r="T197" s="193">
        <f t="shared" ref="T197:T260" si="49">IF(OR(B197=1,B197=2),G197/30,IF(OR(B197=3,B197=5),G197/24,IF(B197=4,G197/18,0)))</f>
        <v>0</v>
      </c>
      <c r="U197" s="193">
        <f ca="1">OFFSET('Expenditure Study'!$B$7,'Operations Support'!$C197,'Operations Support'!$B197)*$G197</f>
        <v>0</v>
      </c>
      <c r="V197" s="199">
        <f ca="1">U197*'Expenditure Study'!$B$31</f>
        <v>0</v>
      </c>
      <c r="W197" s="199">
        <f ca="1">IF(A197=10298,1.51,1)*IF($B197&lt;3,$D197*'Expenditure Study'!$B$32*OFFSET('Expenditure Study'!$B$7,'Operations Support'!$C197,'Operations Support'!$B197),0)</f>
        <v>0</v>
      </c>
      <c r="X197" s="200">
        <f ca="1">W197*'Expenditure Study'!$B$31</f>
        <v>0</v>
      </c>
      <c r="Y197" s="199">
        <f ca="1">U197*'Expenditure Study'!$B$31</f>
        <v>0</v>
      </c>
      <c r="Z197" s="200">
        <f ca="1">W197*'Expenditure Study'!$B$31</f>
        <v>0</v>
      </c>
      <c r="AA197" s="195">
        <f t="shared" ref="AA197:AA260" ca="1" si="50">V197+X197</f>
        <v>0</v>
      </c>
      <c r="AB197" s="195">
        <f t="shared" ref="AB197:AB260" ca="1" si="51">Y197+Z197</f>
        <v>0</v>
      </c>
      <c r="AD197" s="196">
        <f>IFERROR($G197/SUMIF($A:$A,$A197,$G:$G)*SUMIF(Summary!$A$166:$A$242,$A197,Summary!$P$166:$P$242),0)</f>
        <v>0</v>
      </c>
      <c r="AE197" s="197">
        <f t="shared" ca="1" si="38"/>
        <v>0</v>
      </c>
      <c r="AF197" s="196">
        <f>IFERROR(G197/SUMIF(A:A,A197,G:G)*SUMIF(Summary!$A$166:$A$242,'Operations Support'!A197,Summary!$Q$166:$Q$242),0)</f>
        <v>0</v>
      </c>
      <c r="AG197" s="196">
        <f t="shared" ca="1" si="39"/>
        <v>0</v>
      </c>
      <c r="AI197" s="196">
        <f>IFERROR($G197/SUMIF($A:$A,$A197,$G:$G)*SUMIF(Summary!$A$247:$A$283,$A197,Summary!$P$247:$P$283),0)</f>
        <v>0</v>
      </c>
      <c r="AJ197" s="196">
        <f>IFERROR($G197/SUMIF($A:$A,$A197,$G:$G)*(SUMIF(Summary!$A$247:$A$283,$A197,Summary!$L$247:$L$283)+SUMIF(Summary!$A$297:$A$333,$A197,Summary!$L$297:$L$333))-AI197,0)</f>
        <v>0</v>
      </c>
      <c r="AK197" s="196">
        <f>IFERROR($G197/SUMIF($A:$A,$A197,$G:$G)*SUMIF(Summary!$A$247:$A$283,$A197,Summary!$Q$247:$Q$283),0)</f>
        <v>0</v>
      </c>
      <c r="AL197" s="196">
        <f>IFERROR($G197/SUMIF($A:$A,$A197,$G:$G)*(SUMIF(Summary!$A$247:$A$283,$A197,Summary!$L$247:$L$283)+SUMIF(Summary!$A$297:$A$333,$A197,Summary!$L$297:$L$333))-AK197,0)</f>
        <v>0</v>
      </c>
      <c r="AM197" s="198"/>
      <c r="AN197" s="196">
        <f t="shared" ca="1" si="40"/>
        <v>0</v>
      </c>
      <c r="AO197" s="196">
        <f t="shared" ca="1" si="41"/>
        <v>0</v>
      </c>
    </row>
    <row r="198" spans="1:41">
      <c r="A198" s="189">
        <v>3541</v>
      </c>
      <c r="B198" s="190">
        <v>5</v>
      </c>
      <c r="C198" s="191" t="s">
        <v>224</v>
      </c>
      <c r="D198" s="192">
        <f t="shared" si="42"/>
        <v>0</v>
      </c>
      <c r="E198" s="192">
        <f t="shared" si="43"/>
        <v>0</v>
      </c>
      <c r="F198" s="192">
        <f t="shared" si="44"/>
        <v>0</v>
      </c>
      <c r="G198" s="193">
        <f t="shared" si="45"/>
        <v>0</v>
      </c>
      <c r="H198" s="194">
        <v>0</v>
      </c>
      <c r="I198" s="194">
        <v>0</v>
      </c>
      <c r="J198" s="194">
        <v>0</v>
      </c>
      <c r="K198" s="193">
        <f t="shared" si="46"/>
        <v>0</v>
      </c>
      <c r="L198" s="194">
        <v>0</v>
      </c>
      <c r="M198" s="194">
        <v>0</v>
      </c>
      <c r="N198" s="194">
        <v>0</v>
      </c>
      <c r="O198" s="193">
        <f t="shared" si="47"/>
        <v>0</v>
      </c>
      <c r="P198" s="194">
        <v>0</v>
      </c>
      <c r="Q198" s="194">
        <v>0</v>
      </c>
      <c r="R198" s="194">
        <v>0</v>
      </c>
      <c r="S198" s="193">
        <f t="shared" si="48"/>
        <v>0</v>
      </c>
      <c r="T198" s="193">
        <f t="shared" si="49"/>
        <v>0</v>
      </c>
      <c r="U198" s="193">
        <f ca="1">OFFSET('Expenditure Study'!$B$7,'Operations Support'!$C198,'Operations Support'!$B198)*$G198</f>
        <v>0</v>
      </c>
      <c r="V198" s="199">
        <f ca="1">U198*'Expenditure Study'!$B$31</f>
        <v>0</v>
      </c>
      <c r="W198" s="199">
        <f ca="1">IF(A198=10298,1.51,1)*IF($B198&lt;3,$D198*'Expenditure Study'!$B$32*OFFSET('Expenditure Study'!$B$7,'Operations Support'!$C198,'Operations Support'!$B198),0)</f>
        <v>0</v>
      </c>
      <c r="X198" s="200">
        <f ca="1">W198*'Expenditure Study'!$B$31</f>
        <v>0</v>
      </c>
      <c r="Y198" s="199">
        <f ca="1">U198*'Expenditure Study'!$B$31</f>
        <v>0</v>
      </c>
      <c r="Z198" s="200">
        <f ca="1">W198*'Expenditure Study'!$B$31</f>
        <v>0</v>
      </c>
      <c r="AA198" s="195">
        <f t="shared" ca="1" si="50"/>
        <v>0</v>
      </c>
      <c r="AB198" s="195">
        <f t="shared" ca="1" si="51"/>
        <v>0</v>
      </c>
      <c r="AD198" s="196">
        <f>IFERROR($G198/SUMIF($A:$A,$A198,$G:$G)*SUMIF(Summary!$A$166:$A$242,$A198,Summary!$P$166:$P$242),0)</f>
        <v>0</v>
      </c>
      <c r="AE198" s="197">
        <f t="shared" ref="AE198:AE261" ca="1" si="52">V198+X198-AD198</f>
        <v>0</v>
      </c>
      <c r="AF198" s="196">
        <f>IFERROR(G198/SUMIF(A:A,A198,G:G)*SUMIF(Summary!$A$166:$A$242,'Operations Support'!A198,Summary!$Q$166:$Q$242),0)</f>
        <v>0</v>
      </c>
      <c r="AG198" s="196">
        <f t="shared" ref="AG198:AG261" ca="1" si="53">Y198+Z198-AF198</f>
        <v>0</v>
      </c>
      <c r="AI198" s="196">
        <f>IFERROR($G198/SUMIF($A:$A,$A198,$G:$G)*SUMIF(Summary!$A$247:$A$283,$A198,Summary!$P$247:$P$283),0)</f>
        <v>0</v>
      </c>
      <c r="AJ198" s="196">
        <f>IFERROR($G198/SUMIF($A:$A,$A198,$G:$G)*(SUMIF(Summary!$A$247:$A$283,$A198,Summary!$L$247:$L$283)+SUMIF(Summary!$A$297:$A$333,$A198,Summary!$L$297:$L$333))-AI198,0)</f>
        <v>0</v>
      </c>
      <c r="AK198" s="196">
        <f>IFERROR($G198/SUMIF($A:$A,$A198,$G:$G)*SUMIF(Summary!$A$247:$A$283,$A198,Summary!$Q$247:$Q$283),0)</f>
        <v>0</v>
      </c>
      <c r="AL198" s="196">
        <f>IFERROR($G198/SUMIF($A:$A,$A198,$G:$G)*(SUMIF(Summary!$A$247:$A$283,$A198,Summary!$L$247:$L$283)+SUMIF(Summary!$A$297:$A$333,$A198,Summary!$L$297:$L$333))-AK198,0)</f>
        <v>0</v>
      </c>
      <c r="AM198" s="198"/>
      <c r="AN198" s="196">
        <f t="shared" ref="AN198:AN261" ca="1" si="54">AE198+AJ198</f>
        <v>0</v>
      </c>
      <c r="AO198" s="196">
        <f t="shared" ref="AO198:AO261" ca="1" si="55">AG198+AL198</f>
        <v>0</v>
      </c>
    </row>
    <row r="199" spans="1:41">
      <c r="A199" s="189">
        <v>3541</v>
      </c>
      <c r="B199" s="190">
        <v>5</v>
      </c>
      <c r="C199" s="191" t="s">
        <v>225</v>
      </c>
      <c r="D199" s="192">
        <f t="shared" si="42"/>
        <v>0</v>
      </c>
      <c r="E199" s="192">
        <f t="shared" si="43"/>
        <v>0</v>
      </c>
      <c r="F199" s="192">
        <f t="shared" si="44"/>
        <v>0</v>
      </c>
      <c r="G199" s="193">
        <f t="shared" si="45"/>
        <v>0</v>
      </c>
      <c r="H199" s="194">
        <v>0</v>
      </c>
      <c r="I199" s="194">
        <v>0</v>
      </c>
      <c r="J199" s="194">
        <v>0</v>
      </c>
      <c r="K199" s="193">
        <f t="shared" si="46"/>
        <v>0</v>
      </c>
      <c r="L199" s="194">
        <v>0</v>
      </c>
      <c r="M199" s="194">
        <v>0</v>
      </c>
      <c r="N199" s="194">
        <v>0</v>
      </c>
      <c r="O199" s="193">
        <f t="shared" si="47"/>
        <v>0</v>
      </c>
      <c r="P199" s="194">
        <v>0</v>
      </c>
      <c r="Q199" s="194">
        <v>0</v>
      </c>
      <c r="R199" s="194">
        <v>0</v>
      </c>
      <c r="S199" s="193">
        <f t="shared" si="48"/>
        <v>0</v>
      </c>
      <c r="T199" s="193">
        <f t="shared" si="49"/>
        <v>0</v>
      </c>
      <c r="U199" s="193">
        <f ca="1">OFFSET('Expenditure Study'!$B$7,'Operations Support'!$C199,'Operations Support'!$B199)*$G199</f>
        <v>0</v>
      </c>
      <c r="V199" s="199">
        <f ca="1">U199*'Expenditure Study'!$B$31</f>
        <v>0</v>
      </c>
      <c r="W199" s="199">
        <f ca="1">IF(A199=10298,1.51,1)*IF($B199&lt;3,$D199*'Expenditure Study'!$B$32*OFFSET('Expenditure Study'!$B$7,'Operations Support'!$C199,'Operations Support'!$B199),0)</f>
        <v>0</v>
      </c>
      <c r="X199" s="200">
        <f ca="1">W199*'Expenditure Study'!$B$31</f>
        <v>0</v>
      </c>
      <c r="Y199" s="199">
        <f ca="1">U199*'Expenditure Study'!$B$31</f>
        <v>0</v>
      </c>
      <c r="Z199" s="200">
        <f ca="1">W199*'Expenditure Study'!$B$31</f>
        <v>0</v>
      </c>
      <c r="AA199" s="195">
        <f t="shared" ca="1" si="50"/>
        <v>0</v>
      </c>
      <c r="AB199" s="195">
        <f t="shared" ca="1" si="51"/>
        <v>0</v>
      </c>
      <c r="AD199" s="196">
        <f>IFERROR($G199/SUMIF($A:$A,$A199,$G:$G)*SUMIF(Summary!$A$166:$A$242,$A199,Summary!$P$166:$P$242),0)</f>
        <v>0</v>
      </c>
      <c r="AE199" s="197">
        <f t="shared" ca="1" si="52"/>
        <v>0</v>
      </c>
      <c r="AF199" s="196">
        <f>IFERROR(G199/SUMIF(A:A,A199,G:G)*SUMIF(Summary!$A$166:$A$242,'Operations Support'!A199,Summary!$Q$166:$Q$242),0)</f>
        <v>0</v>
      </c>
      <c r="AG199" s="196">
        <f t="shared" ca="1" si="53"/>
        <v>0</v>
      </c>
      <c r="AI199" s="196">
        <f>IFERROR($G199/SUMIF($A:$A,$A199,$G:$G)*SUMIF(Summary!$A$247:$A$283,$A199,Summary!$P$247:$P$283),0)</f>
        <v>0</v>
      </c>
      <c r="AJ199" s="196">
        <f>IFERROR($G199/SUMIF($A:$A,$A199,$G:$G)*(SUMIF(Summary!$A$247:$A$283,$A199,Summary!$L$247:$L$283)+SUMIF(Summary!$A$297:$A$333,$A199,Summary!$L$297:$L$333))-AI199,0)</f>
        <v>0</v>
      </c>
      <c r="AK199" s="196">
        <f>IFERROR($G199/SUMIF($A:$A,$A199,$G:$G)*SUMIF(Summary!$A$247:$A$283,$A199,Summary!$Q$247:$Q$283),0)</f>
        <v>0</v>
      </c>
      <c r="AL199" s="196">
        <f>IFERROR($G199/SUMIF($A:$A,$A199,$G:$G)*(SUMIF(Summary!$A$247:$A$283,$A199,Summary!$L$247:$L$283)+SUMIF(Summary!$A$297:$A$333,$A199,Summary!$L$297:$L$333))-AK199,0)</f>
        <v>0</v>
      </c>
      <c r="AM199" s="198"/>
      <c r="AN199" s="196">
        <f t="shared" ca="1" si="54"/>
        <v>0</v>
      </c>
      <c r="AO199" s="196">
        <f t="shared" ca="1" si="55"/>
        <v>0</v>
      </c>
    </row>
    <row r="200" spans="1:41">
      <c r="A200" s="189">
        <v>3541</v>
      </c>
      <c r="B200" s="190">
        <v>5</v>
      </c>
      <c r="C200" s="191" t="s">
        <v>226</v>
      </c>
      <c r="D200" s="192">
        <f t="shared" si="42"/>
        <v>0</v>
      </c>
      <c r="E200" s="192">
        <f t="shared" si="43"/>
        <v>0</v>
      </c>
      <c r="F200" s="192">
        <f t="shared" si="44"/>
        <v>0</v>
      </c>
      <c r="G200" s="193">
        <f t="shared" si="45"/>
        <v>0</v>
      </c>
      <c r="H200" s="194">
        <v>0</v>
      </c>
      <c r="I200" s="194">
        <v>0</v>
      </c>
      <c r="J200" s="194">
        <v>0</v>
      </c>
      <c r="K200" s="193">
        <f t="shared" si="46"/>
        <v>0</v>
      </c>
      <c r="L200" s="194">
        <v>0</v>
      </c>
      <c r="M200" s="194">
        <v>0</v>
      </c>
      <c r="N200" s="194">
        <v>0</v>
      </c>
      <c r="O200" s="193">
        <f t="shared" si="47"/>
        <v>0</v>
      </c>
      <c r="P200" s="194">
        <v>0</v>
      </c>
      <c r="Q200" s="194">
        <v>0</v>
      </c>
      <c r="R200" s="194">
        <v>0</v>
      </c>
      <c r="S200" s="193">
        <f t="shared" si="48"/>
        <v>0</v>
      </c>
      <c r="T200" s="193">
        <f t="shared" si="49"/>
        <v>0</v>
      </c>
      <c r="U200" s="193">
        <f ca="1">OFFSET('Expenditure Study'!$B$7,'Operations Support'!$C200,'Operations Support'!$B200)*$G200</f>
        <v>0</v>
      </c>
      <c r="V200" s="199">
        <f ca="1">U200*'Expenditure Study'!$B$31</f>
        <v>0</v>
      </c>
      <c r="W200" s="199">
        <f ca="1">IF(A200=10298,1.51,1)*IF($B200&lt;3,$D200*'Expenditure Study'!$B$32*OFFSET('Expenditure Study'!$B$7,'Operations Support'!$C200,'Operations Support'!$B200),0)</f>
        <v>0</v>
      </c>
      <c r="X200" s="200">
        <f ca="1">W200*'Expenditure Study'!$B$31</f>
        <v>0</v>
      </c>
      <c r="Y200" s="199">
        <f ca="1">U200*'Expenditure Study'!$B$31</f>
        <v>0</v>
      </c>
      <c r="Z200" s="200">
        <f ca="1">W200*'Expenditure Study'!$B$31</f>
        <v>0</v>
      </c>
      <c r="AA200" s="195">
        <f t="shared" ca="1" si="50"/>
        <v>0</v>
      </c>
      <c r="AB200" s="195">
        <f t="shared" ca="1" si="51"/>
        <v>0</v>
      </c>
      <c r="AD200" s="196">
        <f>IFERROR($G200/SUMIF($A:$A,$A200,$G:$G)*SUMIF(Summary!$A$166:$A$242,$A200,Summary!$P$166:$P$242),0)</f>
        <v>0</v>
      </c>
      <c r="AE200" s="197">
        <f t="shared" ca="1" si="52"/>
        <v>0</v>
      </c>
      <c r="AF200" s="196">
        <f>IFERROR(G200/SUMIF(A:A,A200,G:G)*SUMIF(Summary!$A$166:$A$242,'Operations Support'!A200,Summary!$Q$166:$Q$242),0)</f>
        <v>0</v>
      </c>
      <c r="AG200" s="196">
        <f t="shared" ca="1" si="53"/>
        <v>0</v>
      </c>
      <c r="AI200" s="196">
        <f>IFERROR($G200/SUMIF($A:$A,$A200,$G:$G)*SUMIF(Summary!$A$247:$A$283,$A200,Summary!$P$247:$P$283),0)</f>
        <v>0</v>
      </c>
      <c r="AJ200" s="196">
        <f>IFERROR($G200/SUMIF($A:$A,$A200,$G:$G)*(SUMIF(Summary!$A$247:$A$283,$A200,Summary!$L$247:$L$283)+SUMIF(Summary!$A$297:$A$333,$A200,Summary!$L$297:$L$333))-AI200,0)</f>
        <v>0</v>
      </c>
      <c r="AK200" s="196">
        <f>IFERROR($G200/SUMIF($A:$A,$A200,$G:$G)*SUMIF(Summary!$A$247:$A$283,$A200,Summary!$Q$247:$Q$283),0)</f>
        <v>0</v>
      </c>
      <c r="AL200" s="196">
        <f>IFERROR($G200/SUMIF($A:$A,$A200,$G:$G)*(SUMIF(Summary!$A$247:$A$283,$A200,Summary!$L$247:$L$283)+SUMIF(Summary!$A$297:$A$333,$A200,Summary!$L$297:$L$333))-AK200,0)</f>
        <v>0</v>
      </c>
      <c r="AM200" s="198"/>
      <c r="AN200" s="196">
        <f t="shared" ca="1" si="54"/>
        <v>0</v>
      </c>
      <c r="AO200" s="196">
        <f t="shared" ca="1" si="55"/>
        <v>0</v>
      </c>
    </row>
    <row r="201" spans="1:41">
      <c r="A201" s="189">
        <v>3541</v>
      </c>
      <c r="B201" s="190">
        <v>5</v>
      </c>
      <c r="C201" s="191" t="s">
        <v>227</v>
      </c>
      <c r="D201" s="192">
        <f t="shared" si="42"/>
        <v>0</v>
      </c>
      <c r="E201" s="192">
        <f t="shared" si="43"/>
        <v>0</v>
      </c>
      <c r="F201" s="192">
        <f t="shared" si="44"/>
        <v>0</v>
      </c>
      <c r="G201" s="193">
        <f t="shared" si="45"/>
        <v>0</v>
      </c>
      <c r="H201" s="194">
        <v>0</v>
      </c>
      <c r="I201" s="194">
        <v>0</v>
      </c>
      <c r="J201" s="194">
        <v>0</v>
      </c>
      <c r="K201" s="193">
        <f t="shared" si="46"/>
        <v>0</v>
      </c>
      <c r="L201" s="194">
        <v>0</v>
      </c>
      <c r="M201" s="194">
        <v>0</v>
      </c>
      <c r="N201" s="194">
        <v>0</v>
      </c>
      <c r="O201" s="193">
        <f t="shared" si="47"/>
        <v>0</v>
      </c>
      <c r="P201" s="194">
        <v>0</v>
      </c>
      <c r="Q201" s="194">
        <v>0</v>
      </c>
      <c r="R201" s="194">
        <v>0</v>
      </c>
      <c r="S201" s="193">
        <f t="shared" si="48"/>
        <v>0</v>
      </c>
      <c r="T201" s="193">
        <f t="shared" si="49"/>
        <v>0</v>
      </c>
      <c r="U201" s="193">
        <f ca="1">OFFSET('Expenditure Study'!$B$7,'Operations Support'!$C201,'Operations Support'!$B201)*$G201</f>
        <v>0</v>
      </c>
      <c r="V201" s="199">
        <f ca="1">U201*'Expenditure Study'!$B$31</f>
        <v>0</v>
      </c>
      <c r="W201" s="199">
        <f ca="1">IF(A201=10298,1.51,1)*IF($B201&lt;3,$D201*'Expenditure Study'!$B$32*OFFSET('Expenditure Study'!$B$7,'Operations Support'!$C201,'Operations Support'!$B201),0)</f>
        <v>0</v>
      </c>
      <c r="X201" s="200">
        <f ca="1">W201*'Expenditure Study'!$B$31</f>
        <v>0</v>
      </c>
      <c r="Y201" s="199">
        <f ca="1">U201*'Expenditure Study'!$B$31</f>
        <v>0</v>
      </c>
      <c r="Z201" s="200">
        <f ca="1">W201*'Expenditure Study'!$B$31</f>
        <v>0</v>
      </c>
      <c r="AA201" s="195">
        <f t="shared" ca="1" si="50"/>
        <v>0</v>
      </c>
      <c r="AB201" s="195">
        <f t="shared" ca="1" si="51"/>
        <v>0</v>
      </c>
      <c r="AD201" s="196">
        <f>IFERROR($G201/SUMIF($A:$A,$A201,$G:$G)*SUMIF(Summary!$A$166:$A$242,$A201,Summary!$P$166:$P$242),0)</f>
        <v>0</v>
      </c>
      <c r="AE201" s="197">
        <f t="shared" ca="1" si="52"/>
        <v>0</v>
      </c>
      <c r="AF201" s="196">
        <f>IFERROR(G201/SUMIF(A:A,A201,G:G)*SUMIF(Summary!$A$166:$A$242,'Operations Support'!A201,Summary!$Q$166:$Q$242),0)</f>
        <v>0</v>
      </c>
      <c r="AG201" s="196">
        <f t="shared" ca="1" si="53"/>
        <v>0</v>
      </c>
      <c r="AI201" s="196">
        <f>IFERROR($G201/SUMIF($A:$A,$A201,$G:$G)*SUMIF(Summary!$A$247:$A$283,$A201,Summary!$P$247:$P$283),0)</f>
        <v>0</v>
      </c>
      <c r="AJ201" s="196">
        <f>IFERROR($G201/SUMIF($A:$A,$A201,$G:$G)*(SUMIF(Summary!$A$247:$A$283,$A201,Summary!$L$247:$L$283)+SUMIF(Summary!$A$297:$A$333,$A201,Summary!$L$297:$L$333))-AI201,0)</f>
        <v>0</v>
      </c>
      <c r="AK201" s="196">
        <f>IFERROR($G201/SUMIF($A:$A,$A201,$G:$G)*SUMIF(Summary!$A$247:$A$283,$A201,Summary!$Q$247:$Q$283),0)</f>
        <v>0</v>
      </c>
      <c r="AL201" s="196">
        <f>IFERROR($G201/SUMIF($A:$A,$A201,$G:$G)*(SUMIF(Summary!$A$247:$A$283,$A201,Summary!$L$247:$L$283)+SUMIF(Summary!$A$297:$A$333,$A201,Summary!$L$297:$L$333))-AK201,0)</f>
        <v>0</v>
      </c>
      <c r="AM201" s="198"/>
      <c r="AN201" s="196">
        <f t="shared" ca="1" si="54"/>
        <v>0</v>
      </c>
      <c r="AO201" s="196">
        <f t="shared" ca="1" si="55"/>
        <v>0</v>
      </c>
    </row>
    <row r="202" spans="1:41">
      <c r="A202" s="189">
        <v>3541</v>
      </c>
      <c r="B202" s="190">
        <v>5</v>
      </c>
      <c r="C202" s="191" t="s">
        <v>228</v>
      </c>
      <c r="D202" s="192">
        <f t="shared" si="42"/>
        <v>0</v>
      </c>
      <c r="E202" s="192">
        <f t="shared" si="43"/>
        <v>0</v>
      </c>
      <c r="F202" s="192">
        <f t="shared" si="44"/>
        <v>0</v>
      </c>
      <c r="G202" s="193">
        <f t="shared" si="45"/>
        <v>0</v>
      </c>
      <c r="H202" s="194">
        <v>0</v>
      </c>
      <c r="I202" s="194">
        <v>0</v>
      </c>
      <c r="J202" s="194">
        <v>0</v>
      </c>
      <c r="K202" s="193">
        <f t="shared" si="46"/>
        <v>0</v>
      </c>
      <c r="L202" s="194">
        <v>0</v>
      </c>
      <c r="M202" s="194">
        <v>0</v>
      </c>
      <c r="N202" s="194">
        <v>0</v>
      </c>
      <c r="O202" s="193">
        <f t="shared" si="47"/>
        <v>0</v>
      </c>
      <c r="P202" s="194">
        <v>0</v>
      </c>
      <c r="Q202" s="194">
        <v>0</v>
      </c>
      <c r="R202" s="194">
        <v>0</v>
      </c>
      <c r="S202" s="193">
        <f t="shared" si="48"/>
        <v>0</v>
      </c>
      <c r="T202" s="193">
        <f t="shared" si="49"/>
        <v>0</v>
      </c>
      <c r="U202" s="193">
        <f ca="1">OFFSET('Expenditure Study'!$B$7,'Operations Support'!$C202,'Operations Support'!$B202)*$G202</f>
        <v>0</v>
      </c>
      <c r="V202" s="199">
        <f ca="1">U202*'Expenditure Study'!$B$31</f>
        <v>0</v>
      </c>
      <c r="W202" s="199">
        <f ca="1">IF(A202=10298,1.51,1)*IF($B202&lt;3,$D202*'Expenditure Study'!$B$32*OFFSET('Expenditure Study'!$B$7,'Operations Support'!$C202,'Operations Support'!$B202),0)</f>
        <v>0</v>
      </c>
      <c r="X202" s="200">
        <f ca="1">W202*'Expenditure Study'!$B$31</f>
        <v>0</v>
      </c>
      <c r="Y202" s="199">
        <f ca="1">U202*'Expenditure Study'!$B$31</f>
        <v>0</v>
      </c>
      <c r="Z202" s="200">
        <f ca="1">W202*'Expenditure Study'!$B$31</f>
        <v>0</v>
      </c>
      <c r="AA202" s="195">
        <f t="shared" ca="1" si="50"/>
        <v>0</v>
      </c>
      <c r="AB202" s="195">
        <f t="shared" ca="1" si="51"/>
        <v>0</v>
      </c>
      <c r="AD202" s="196">
        <f>IFERROR($G202/SUMIF($A:$A,$A202,$G:$G)*SUMIF(Summary!$A$166:$A$242,$A202,Summary!$P$166:$P$242),0)</f>
        <v>0</v>
      </c>
      <c r="AE202" s="197">
        <f t="shared" ca="1" si="52"/>
        <v>0</v>
      </c>
      <c r="AF202" s="196">
        <f>IFERROR(G202/SUMIF(A:A,A202,G:G)*SUMIF(Summary!$A$166:$A$242,'Operations Support'!A202,Summary!$Q$166:$Q$242),0)</f>
        <v>0</v>
      </c>
      <c r="AG202" s="196">
        <f t="shared" ca="1" si="53"/>
        <v>0</v>
      </c>
      <c r="AI202" s="196">
        <f>IFERROR($G202/SUMIF($A:$A,$A202,$G:$G)*SUMIF(Summary!$A$247:$A$283,$A202,Summary!$P$247:$P$283),0)</f>
        <v>0</v>
      </c>
      <c r="AJ202" s="196">
        <f>IFERROR($G202/SUMIF($A:$A,$A202,$G:$G)*(SUMIF(Summary!$A$247:$A$283,$A202,Summary!$L$247:$L$283)+SUMIF(Summary!$A$297:$A$333,$A202,Summary!$L$297:$L$333))-AI202,0)</f>
        <v>0</v>
      </c>
      <c r="AK202" s="196">
        <f>IFERROR($G202/SUMIF($A:$A,$A202,$G:$G)*SUMIF(Summary!$A$247:$A$283,$A202,Summary!$Q$247:$Q$283),0)</f>
        <v>0</v>
      </c>
      <c r="AL202" s="196">
        <f>IFERROR($G202/SUMIF($A:$A,$A202,$G:$G)*(SUMIF(Summary!$A$247:$A$283,$A202,Summary!$L$247:$L$283)+SUMIF(Summary!$A$297:$A$333,$A202,Summary!$L$297:$L$333))-AK202,0)</f>
        <v>0</v>
      </c>
      <c r="AM202" s="198"/>
      <c r="AN202" s="196">
        <f t="shared" ca="1" si="54"/>
        <v>0</v>
      </c>
      <c r="AO202" s="196">
        <f t="shared" ca="1" si="55"/>
        <v>0</v>
      </c>
    </row>
    <row r="203" spans="1:41" s="201" customFormat="1">
      <c r="A203" s="189">
        <v>3541</v>
      </c>
      <c r="B203" s="190">
        <v>5</v>
      </c>
      <c r="C203" s="191" t="s">
        <v>229</v>
      </c>
      <c r="D203" s="192">
        <f t="shared" si="42"/>
        <v>0</v>
      </c>
      <c r="E203" s="192">
        <f t="shared" si="43"/>
        <v>0</v>
      </c>
      <c r="F203" s="192">
        <f t="shared" si="44"/>
        <v>0</v>
      </c>
      <c r="G203" s="193">
        <f t="shared" si="45"/>
        <v>0</v>
      </c>
      <c r="H203" s="194">
        <v>0</v>
      </c>
      <c r="I203" s="194">
        <v>0</v>
      </c>
      <c r="J203" s="194">
        <v>0</v>
      </c>
      <c r="K203" s="193">
        <f t="shared" si="46"/>
        <v>0</v>
      </c>
      <c r="L203" s="194">
        <v>0</v>
      </c>
      <c r="M203" s="194">
        <v>0</v>
      </c>
      <c r="N203" s="194">
        <v>0</v>
      </c>
      <c r="O203" s="193">
        <f t="shared" si="47"/>
        <v>0</v>
      </c>
      <c r="P203" s="194">
        <v>0</v>
      </c>
      <c r="Q203" s="194">
        <v>0</v>
      </c>
      <c r="R203" s="194">
        <v>0</v>
      </c>
      <c r="S203" s="193">
        <f t="shared" si="48"/>
        <v>0</v>
      </c>
      <c r="T203" s="193">
        <f t="shared" si="49"/>
        <v>0</v>
      </c>
      <c r="U203" s="193">
        <f ca="1">OFFSET('Expenditure Study'!$B$7,'Operations Support'!$C203,'Operations Support'!$B203)*$G203</f>
        <v>0</v>
      </c>
      <c r="V203" s="199">
        <f ca="1">U203*'Expenditure Study'!$B$31</f>
        <v>0</v>
      </c>
      <c r="W203" s="199">
        <f ca="1">IF(A203=10298,1.51,1)*IF($B203&lt;3,$D203*'Expenditure Study'!$B$32*OFFSET('Expenditure Study'!$B$7,'Operations Support'!$C203,'Operations Support'!$B203),0)</f>
        <v>0</v>
      </c>
      <c r="X203" s="200">
        <f ca="1">W203*'Expenditure Study'!$B$31</f>
        <v>0</v>
      </c>
      <c r="Y203" s="199">
        <f ca="1">U203*'Expenditure Study'!$B$31</f>
        <v>0</v>
      </c>
      <c r="Z203" s="200">
        <f ca="1">W203*'Expenditure Study'!$B$31</f>
        <v>0</v>
      </c>
      <c r="AA203" s="195">
        <f t="shared" ca="1" si="50"/>
        <v>0</v>
      </c>
      <c r="AB203" s="195">
        <f t="shared" ca="1" si="51"/>
        <v>0</v>
      </c>
      <c r="AD203" s="196">
        <f>IFERROR($G203/SUMIF($A:$A,$A203,$G:$G)*SUMIF(Summary!$A$166:$A$242,$A203,Summary!$P$166:$P$242),0)</f>
        <v>0</v>
      </c>
      <c r="AE203" s="197">
        <f t="shared" ca="1" si="52"/>
        <v>0</v>
      </c>
      <c r="AF203" s="196">
        <f>IFERROR(G203/SUMIF(A:A,A203,G:G)*SUMIF(Summary!$A$166:$A$242,'Operations Support'!A203,Summary!$Q$166:$Q$242),0)</f>
        <v>0</v>
      </c>
      <c r="AG203" s="196">
        <f t="shared" ca="1" si="53"/>
        <v>0</v>
      </c>
      <c r="AH203" s="180"/>
      <c r="AI203" s="196">
        <f>IFERROR($G203/SUMIF($A:$A,$A203,$G:$G)*SUMIF(Summary!$A$247:$A$283,$A203,Summary!$P$247:$P$283),0)</f>
        <v>0</v>
      </c>
      <c r="AJ203" s="196">
        <f>IFERROR($G203/SUMIF($A:$A,$A203,$G:$G)*(SUMIF(Summary!$A$247:$A$283,$A203,Summary!$L$247:$L$283)+SUMIF(Summary!$A$297:$A$333,$A203,Summary!$L$297:$L$333))-AI203,0)</f>
        <v>0</v>
      </c>
      <c r="AK203" s="196">
        <f>IFERROR($G203/SUMIF($A:$A,$A203,$G:$G)*SUMIF(Summary!$A$247:$A$283,$A203,Summary!$Q$247:$Q$283),0)</f>
        <v>0</v>
      </c>
      <c r="AL203" s="196">
        <f>IFERROR($G203/SUMIF($A:$A,$A203,$G:$G)*(SUMIF(Summary!$A$247:$A$283,$A203,Summary!$L$247:$L$283)+SUMIF(Summary!$A$297:$A$333,$A203,Summary!$L$297:$L$333))-AK203,0)</f>
        <v>0</v>
      </c>
      <c r="AM203" s="198"/>
      <c r="AN203" s="196">
        <f t="shared" ca="1" si="54"/>
        <v>0</v>
      </c>
      <c r="AO203" s="196">
        <f t="shared" ca="1" si="55"/>
        <v>0</v>
      </c>
    </row>
    <row r="204" spans="1:41">
      <c r="A204" s="189">
        <v>3541</v>
      </c>
      <c r="B204" s="190">
        <v>5</v>
      </c>
      <c r="C204" s="191" t="s">
        <v>230</v>
      </c>
      <c r="D204" s="192">
        <f t="shared" si="42"/>
        <v>0</v>
      </c>
      <c r="E204" s="192">
        <f t="shared" si="43"/>
        <v>0</v>
      </c>
      <c r="F204" s="192">
        <f t="shared" si="44"/>
        <v>0</v>
      </c>
      <c r="G204" s="193">
        <f t="shared" si="45"/>
        <v>0</v>
      </c>
      <c r="H204" s="194">
        <v>0</v>
      </c>
      <c r="I204" s="194">
        <v>0</v>
      </c>
      <c r="J204" s="194">
        <v>0</v>
      </c>
      <c r="K204" s="193">
        <f t="shared" si="46"/>
        <v>0</v>
      </c>
      <c r="L204" s="194">
        <v>0</v>
      </c>
      <c r="M204" s="194">
        <v>0</v>
      </c>
      <c r="N204" s="194">
        <v>0</v>
      </c>
      <c r="O204" s="193">
        <f t="shared" si="47"/>
        <v>0</v>
      </c>
      <c r="P204" s="194">
        <v>0</v>
      </c>
      <c r="Q204" s="194">
        <v>0</v>
      </c>
      <c r="R204" s="194">
        <v>0</v>
      </c>
      <c r="S204" s="193">
        <f t="shared" si="48"/>
        <v>0</v>
      </c>
      <c r="T204" s="193">
        <f t="shared" si="49"/>
        <v>0</v>
      </c>
      <c r="U204" s="193">
        <f ca="1">OFFSET('Expenditure Study'!$B$7,'Operations Support'!$C204,'Operations Support'!$B204)*$G204</f>
        <v>0</v>
      </c>
      <c r="V204" s="199">
        <f ca="1">U204*'Expenditure Study'!$B$31</f>
        <v>0</v>
      </c>
      <c r="W204" s="199">
        <f ca="1">IF(A204=10298,1.51,1)*IF($B204&lt;3,$D204*'Expenditure Study'!$B$32*OFFSET('Expenditure Study'!$B$7,'Operations Support'!$C204,'Operations Support'!$B204),0)</f>
        <v>0</v>
      </c>
      <c r="X204" s="200">
        <f ca="1">W204*'Expenditure Study'!$B$31</f>
        <v>0</v>
      </c>
      <c r="Y204" s="199">
        <f ca="1">U204*'Expenditure Study'!$B$31</f>
        <v>0</v>
      </c>
      <c r="Z204" s="200">
        <f ca="1">W204*'Expenditure Study'!$B$31</f>
        <v>0</v>
      </c>
      <c r="AA204" s="195">
        <f t="shared" ca="1" si="50"/>
        <v>0</v>
      </c>
      <c r="AB204" s="195">
        <f t="shared" ca="1" si="51"/>
        <v>0</v>
      </c>
      <c r="AD204" s="196">
        <f>IFERROR($G204/SUMIF($A:$A,$A204,$G:$G)*SUMIF(Summary!$A$166:$A$242,$A204,Summary!$P$166:$P$242),0)</f>
        <v>0</v>
      </c>
      <c r="AE204" s="197">
        <f t="shared" ca="1" si="52"/>
        <v>0</v>
      </c>
      <c r="AF204" s="196">
        <f>IFERROR(G204/SUMIF(A:A,A204,G:G)*SUMIF(Summary!$A$166:$A$242,'Operations Support'!A204,Summary!$Q$166:$Q$242),0)</f>
        <v>0</v>
      </c>
      <c r="AG204" s="196">
        <f t="shared" ca="1" si="53"/>
        <v>0</v>
      </c>
      <c r="AI204" s="196">
        <f>IFERROR($G204/SUMIF($A:$A,$A204,$G:$G)*SUMIF(Summary!$A$247:$A$283,$A204,Summary!$P$247:$P$283),0)</f>
        <v>0</v>
      </c>
      <c r="AJ204" s="196">
        <f>IFERROR($G204/SUMIF($A:$A,$A204,$G:$G)*(SUMIF(Summary!$A$247:$A$283,$A204,Summary!$L$247:$L$283)+SUMIF(Summary!$A$297:$A$333,$A204,Summary!$L$297:$L$333))-AI204,0)</f>
        <v>0</v>
      </c>
      <c r="AK204" s="196">
        <f>IFERROR($G204/SUMIF($A:$A,$A204,$G:$G)*SUMIF(Summary!$A$247:$A$283,$A204,Summary!$Q$247:$Q$283),0)</f>
        <v>0</v>
      </c>
      <c r="AL204" s="196">
        <f>IFERROR($G204/SUMIF($A:$A,$A204,$G:$G)*(SUMIF(Summary!$A$247:$A$283,$A204,Summary!$L$247:$L$283)+SUMIF(Summary!$A$297:$A$333,$A204,Summary!$L$297:$L$333))-AK204,0)</f>
        <v>0</v>
      </c>
      <c r="AM204" s="198"/>
      <c r="AN204" s="196">
        <f t="shared" ca="1" si="54"/>
        <v>0</v>
      </c>
      <c r="AO204" s="196">
        <f t="shared" ca="1" si="55"/>
        <v>0</v>
      </c>
    </row>
    <row r="205" spans="1:41">
      <c r="A205" s="189">
        <v>3541</v>
      </c>
      <c r="B205" s="190">
        <v>5</v>
      </c>
      <c r="C205" s="191" t="s">
        <v>231</v>
      </c>
      <c r="D205" s="192">
        <f t="shared" si="42"/>
        <v>0</v>
      </c>
      <c r="E205" s="192">
        <f t="shared" si="43"/>
        <v>0</v>
      </c>
      <c r="F205" s="192">
        <f t="shared" si="44"/>
        <v>0</v>
      </c>
      <c r="G205" s="193">
        <f t="shared" si="45"/>
        <v>0</v>
      </c>
      <c r="H205" s="194">
        <v>0</v>
      </c>
      <c r="I205" s="194">
        <v>0</v>
      </c>
      <c r="J205" s="194">
        <v>0</v>
      </c>
      <c r="K205" s="193">
        <f t="shared" si="46"/>
        <v>0</v>
      </c>
      <c r="L205" s="194">
        <v>0</v>
      </c>
      <c r="M205" s="194">
        <v>0</v>
      </c>
      <c r="N205" s="194">
        <v>0</v>
      </c>
      <c r="O205" s="193">
        <f t="shared" si="47"/>
        <v>0</v>
      </c>
      <c r="P205" s="194">
        <v>0</v>
      </c>
      <c r="Q205" s="194">
        <v>0</v>
      </c>
      <c r="R205" s="194">
        <v>0</v>
      </c>
      <c r="S205" s="193">
        <f t="shared" si="48"/>
        <v>0</v>
      </c>
      <c r="T205" s="193">
        <f t="shared" si="49"/>
        <v>0</v>
      </c>
      <c r="U205" s="193">
        <f ca="1">OFFSET('Expenditure Study'!$B$7,'Operations Support'!$C205,'Operations Support'!$B205)*$G205</f>
        <v>0</v>
      </c>
      <c r="V205" s="199">
        <f ca="1">U205*'Expenditure Study'!$B$31</f>
        <v>0</v>
      </c>
      <c r="W205" s="199">
        <f ca="1">IF(A205=10298,1.51,1)*IF($B205&lt;3,$D205*'Expenditure Study'!$B$32*OFFSET('Expenditure Study'!$B$7,'Operations Support'!$C205,'Operations Support'!$B205),0)</f>
        <v>0</v>
      </c>
      <c r="X205" s="200">
        <f ca="1">W205*'Expenditure Study'!$B$31</f>
        <v>0</v>
      </c>
      <c r="Y205" s="199">
        <f ca="1">U205*'Expenditure Study'!$B$31</f>
        <v>0</v>
      </c>
      <c r="Z205" s="200">
        <f ca="1">W205*'Expenditure Study'!$B$31</f>
        <v>0</v>
      </c>
      <c r="AA205" s="195">
        <f t="shared" ca="1" si="50"/>
        <v>0</v>
      </c>
      <c r="AB205" s="195">
        <f t="shared" ca="1" si="51"/>
        <v>0</v>
      </c>
      <c r="AD205" s="196">
        <f>IFERROR($G205/SUMIF($A:$A,$A205,$G:$G)*SUMIF(Summary!$A$166:$A$242,$A205,Summary!$P$166:$P$242),0)</f>
        <v>0</v>
      </c>
      <c r="AE205" s="197">
        <f t="shared" ca="1" si="52"/>
        <v>0</v>
      </c>
      <c r="AF205" s="196">
        <f>IFERROR(G205/SUMIF(A:A,A205,G:G)*SUMIF(Summary!$A$166:$A$242,'Operations Support'!A205,Summary!$Q$166:$Q$242),0)</f>
        <v>0</v>
      </c>
      <c r="AG205" s="196">
        <f t="shared" ca="1" si="53"/>
        <v>0</v>
      </c>
      <c r="AI205" s="196">
        <f>IFERROR($G205/SUMIF($A:$A,$A205,$G:$G)*SUMIF(Summary!$A$247:$A$283,$A205,Summary!$P$247:$P$283),0)</f>
        <v>0</v>
      </c>
      <c r="AJ205" s="196">
        <f>IFERROR($G205/SUMIF($A:$A,$A205,$G:$G)*(SUMIF(Summary!$A$247:$A$283,$A205,Summary!$L$247:$L$283)+SUMIF(Summary!$A$297:$A$333,$A205,Summary!$L$297:$L$333))-AI205,0)</f>
        <v>0</v>
      </c>
      <c r="AK205" s="196">
        <f>IFERROR($G205/SUMIF($A:$A,$A205,$G:$G)*SUMIF(Summary!$A$247:$A$283,$A205,Summary!$Q$247:$Q$283),0)</f>
        <v>0</v>
      </c>
      <c r="AL205" s="196">
        <f>IFERROR($G205/SUMIF($A:$A,$A205,$G:$G)*(SUMIF(Summary!$A$247:$A$283,$A205,Summary!$L$247:$L$283)+SUMIF(Summary!$A$297:$A$333,$A205,Summary!$L$297:$L$333))-AK205,0)</f>
        <v>0</v>
      </c>
      <c r="AM205" s="198"/>
      <c r="AN205" s="196">
        <f t="shared" ca="1" si="54"/>
        <v>0</v>
      </c>
      <c r="AO205" s="196">
        <f t="shared" ca="1" si="55"/>
        <v>0</v>
      </c>
    </row>
    <row r="206" spans="1:41">
      <c r="A206" s="189">
        <v>3541</v>
      </c>
      <c r="B206" s="190">
        <v>5</v>
      </c>
      <c r="C206" s="191" t="s">
        <v>232</v>
      </c>
      <c r="D206" s="192">
        <f t="shared" si="42"/>
        <v>0</v>
      </c>
      <c r="E206" s="192">
        <f t="shared" si="43"/>
        <v>0</v>
      </c>
      <c r="F206" s="192">
        <f t="shared" si="44"/>
        <v>0</v>
      </c>
      <c r="G206" s="193">
        <f t="shared" si="45"/>
        <v>0</v>
      </c>
      <c r="H206" s="194">
        <v>0</v>
      </c>
      <c r="I206" s="194">
        <v>0</v>
      </c>
      <c r="J206" s="194">
        <v>0</v>
      </c>
      <c r="K206" s="193">
        <f t="shared" si="46"/>
        <v>0</v>
      </c>
      <c r="L206" s="194">
        <v>0</v>
      </c>
      <c r="M206" s="194">
        <v>0</v>
      </c>
      <c r="N206" s="194">
        <v>0</v>
      </c>
      <c r="O206" s="193">
        <f t="shared" si="47"/>
        <v>0</v>
      </c>
      <c r="P206" s="194">
        <v>0</v>
      </c>
      <c r="Q206" s="194">
        <v>0</v>
      </c>
      <c r="R206" s="194">
        <v>0</v>
      </c>
      <c r="S206" s="193">
        <f t="shared" si="48"/>
        <v>0</v>
      </c>
      <c r="T206" s="193">
        <f t="shared" si="49"/>
        <v>0</v>
      </c>
      <c r="U206" s="193">
        <f ca="1">OFFSET('Expenditure Study'!$B$7,'Operations Support'!$C206,'Operations Support'!$B206)*$G206</f>
        <v>0</v>
      </c>
      <c r="V206" s="199">
        <f ca="1">U206*'Expenditure Study'!$B$31</f>
        <v>0</v>
      </c>
      <c r="W206" s="199">
        <f ca="1">IF(A206=10298,1.51,1)*IF($B206&lt;3,$D206*'Expenditure Study'!$B$32*OFFSET('Expenditure Study'!$B$7,'Operations Support'!$C206,'Operations Support'!$B206),0)</f>
        <v>0</v>
      </c>
      <c r="X206" s="200">
        <f ca="1">W206*'Expenditure Study'!$B$31</f>
        <v>0</v>
      </c>
      <c r="Y206" s="199">
        <f ca="1">U206*'Expenditure Study'!$B$31</f>
        <v>0</v>
      </c>
      <c r="Z206" s="200">
        <f ca="1">W206*'Expenditure Study'!$B$31</f>
        <v>0</v>
      </c>
      <c r="AA206" s="195">
        <f t="shared" ca="1" si="50"/>
        <v>0</v>
      </c>
      <c r="AB206" s="195">
        <f t="shared" ca="1" si="51"/>
        <v>0</v>
      </c>
      <c r="AD206" s="196">
        <f>IFERROR($G206/SUMIF($A:$A,$A206,$G:$G)*SUMIF(Summary!$A$166:$A$242,$A206,Summary!$P$166:$P$242),0)</f>
        <v>0</v>
      </c>
      <c r="AE206" s="197">
        <f t="shared" ca="1" si="52"/>
        <v>0</v>
      </c>
      <c r="AF206" s="196">
        <f>IFERROR(G206/SUMIF(A:A,A206,G:G)*SUMIF(Summary!$A$166:$A$242,'Operations Support'!A206,Summary!$Q$166:$Q$242),0)</f>
        <v>0</v>
      </c>
      <c r="AG206" s="196">
        <f t="shared" ca="1" si="53"/>
        <v>0</v>
      </c>
      <c r="AI206" s="196">
        <f>IFERROR($G206/SUMIF($A:$A,$A206,$G:$G)*SUMIF(Summary!$A$247:$A$283,$A206,Summary!$P$247:$P$283),0)</f>
        <v>0</v>
      </c>
      <c r="AJ206" s="196">
        <f>IFERROR($G206/SUMIF($A:$A,$A206,$G:$G)*(SUMIF(Summary!$A$247:$A$283,$A206,Summary!$L$247:$L$283)+SUMIF(Summary!$A$297:$A$333,$A206,Summary!$L$297:$L$333))-AI206,0)</f>
        <v>0</v>
      </c>
      <c r="AK206" s="196">
        <f>IFERROR($G206/SUMIF($A:$A,$A206,$G:$G)*SUMIF(Summary!$A$247:$A$283,$A206,Summary!$Q$247:$Q$283),0)</f>
        <v>0</v>
      </c>
      <c r="AL206" s="196">
        <f>IFERROR($G206/SUMIF($A:$A,$A206,$G:$G)*(SUMIF(Summary!$A$247:$A$283,$A206,Summary!$L$247:$L$283)+SUMIF(Summary!$A$297:$A$333,$A206,Summary!$L$297:$L$333))-AK206,0)</f>
        <v>0</v>
      </c>
      <c r="AM206" s="198"/>
      <c r="AN206" s="196">
        <f t="shared" ca="1" si="54"/>
        <v>0</v>
      </c>
      <c r="AO206" s="196">
        <f t="shared" ca="1" si="55"/>
        <v>0</v>
      </c>
    </row>
    <row r="207" spans="1:41">
      <c r="A207" s="189">
        <v>3541</v>
      </c>
      <c r="B207" s="190">
        <v>5</v>
      </c>
      <c r="C207" s="191" t="s">
        <v>233</v>
      </c>
      <c r="D207" s="192">
        <f t="shared" si="42"/>
        <v>1373.5000000000009</v>
      </c>
      <c r="E207" s="192">
        <f t="shared" si="43"/>
        <v>1355.4999999999991</v>
      </c>
      <c r="F207" s="192">
        <f t="shared" si="44"/>
        <v>0</v>
      </c>
      <c r="G207" s="193">
        <f t="shared" si="45"/>
        <v>2729</v>
      </c>
      <c r="H207" s="194">
        <v>522.45000000000095</v>
      </c>
      <c r="I207" s="194">
        <v>644.54999999999905</v>
      </c>
      <c r="J207" s="194">
        <v>0</v>
      </c>
      <c r="K207" s="193">
        <f t="shared" si="46"/>
        <v>1167</v>
      </c>
      <c r="L207" s="194">
        <v>389.05</v>
      </c>
      <c r="M207" s="194">
        <v>488.95</v>
      </c>
      <c r="N207" s="194">
        <v>0</v>
      </c>
      <c r="O207" s="193">
        <f t="shared" si="47"/>
        <v>878</v>
      </c>
      <c r="P207" s="194">
        <v>462</v>
      </c>
      <c r="Q207" s="194">
        <v>222</v>
      </c>
      <c r="R207" s="194">
        <v>0</v>
      </c>
      <c r="S207" s="193">
        <f t="shared" si="48"/>
        <v>684</v>
      </c>
      <c r="T207" s="193">
        <f t="shared" si="49"/>
        <v>113.70833333333333</v>
      </c>
      <c r="U207" s="193">
        <f ca="1">OFFSET('Expenditure Study'!$B$7,'Operations Support'!$C207,'Operations Support'!$B207)*$G207</f>
        <v>8951.119999999999</v>
      </c>
      <c r="V207" s="199">
        <f ca="1">U207*'Expenditure Study'!$B$31</f>
        <v>528860.641322496</v>
      </c>
      <c r="W207" s="199">
        <f ca="1">IF(A207=10298,1.51,1)*IF($B207&lt;3,$D207*'Expenditure Study'!$B$32*OFFSET('Expenditure Study'!$B$7,'Operations Support'!$C207,'Operations Support'!$B207),0)</f>
        <v>0</v>
      </c>
      <c r="X207" s="200">
        <f ca="1">W207*'Expenditure Study'!$B$31</f>
        <v>0</v>
      </c>
      <c r="Y207" s="199">
        <f ca="1">U207*'Expenditure Study'!$B$31</f>
        <v>528860.641322496</v>
      </c>
      <c r="Z207" s="200">
        <f ca="1">W207*'Expenditure Study'!$B$31</f>
        <v>0</v>
      </c>
      <c r="AA207" s="195">
        <f t="shared" ca="1" si="50"/>
        <v>528860.641322496</v>
      </c>
      <c r="AB207" s="195">
        <f t="shared" ca="1" si="51"/>
        <v>528860.641322496</v>
      </c>
      <c r="AD207" s="196">
        <f>IFERROR($G207/SUMIF($A:$A,$A207,$G:$G)*SUMIF(Summary!$A$166:$A$242,$A207,Summary!$P$166:$P$242),0)</f>
        <v>61964.3945385775</v>
      </c>
      <c r="AE207" s="197">
        <f t="shared" ca="1" si="52"/>
        <v>466896.24678391847</v>
      </c>
      <c r="AF207" s="196">
        <f>IFERROR(G207/SUMIF(A:A,A207,G:G)*SUMIF(Summary!$A$166:$A$242,'Operations Support'!A207,Summary!$Q$166:$Q$242),0)</f>
        <v>62005.670662614866</v>
      </c>
      <c r="AG207" s="196">
        <f t="shared" ca="1" si="53"/>
        <v>466854.97065988113</v>
      </c>
      <c r="AI207" s="196">
        <f>IFERROR($G207/SUMIF($A:$A,$A207,$G:$G)*SUMIF(Summary!$A$247:$A$283,$A207,Summary!$P$247:$P$283),0)</f>
        <v>11300.759259607436</v>
      </c>
      <c r="AJ207" s="196">
        <f>IFERROR($G207/SUMIF($A:$A,$A207,$G:$G)*(SUMIF(Summary!$A$247:$A$283,$A207,Summary!$L$247:$L$283)+SUMIF(Summary!$A$297:$A$333,$A207,Summary!$L$297:$L$333))-AI207,0)</f>
        <v>42436.636538200997</v>
      </c>
      <c r="AK207" s="196">
        <f>IFERROR($G207/SUMIF($A:$A,$A207,$G:$G)*SUMIF(Summary!$A$247:$A$283,$A207,Summary!$Q$247:$Q$283),0)</f>
        <v>11308.286994597656</v>
      </c>
      <c r="AL207" s="196">
        <f>IFERROR($G207/SUMIF($A:$A,$A207,$G:$G)*(SUMIF(Summary!$A$247:$A$283,$A207,Summary!$L$247:$L$283)+SUMIF(Summary!$A$297:$A$333,$A207,Summary!$L$297:$L$333))-AK207,0)</f>
        <v>42429.108803210773</v>
      </c>
      <c r="AM207" s="198"/>
      <c r="AN207" s="196">
        <f t="shared" ca="1" si="54"/>
        <v>509332.88332211948</v>
      </c>
      <c r="AO207" s="196">
        <f t="shared" ca="1" si="55"/>
        <v>509284.07946309191</v>
      </c>
    </row>
    <row r="208" spans="1:41">
      <c r="A208" s="189">
        <v>3541</v>
      </c>
      <c r="B208" s="190">
        <v>5</v>
      </c>
      <c r="C208" s="191" t="s">
        <v>234</v>
      </c>
      <c r="D208" s="192">
        <f t="shared" si="42"/>
        <v>0</v>
      </c>
      <c r="E208" s="192">
        <f t="shared" si="43"/>
        <v>0</v>
      </c>
      <c r="F208" s="192">
        <f t="shared" si="44"/>
        <v>0</v>
      </c>
      <c r="G208" s="193">
        <f t="shared" si="45"/>
        <v>0</v>
      </c>
      <c r="H208" s="194">
        <v>0</v>
      </c>
      <c r="I208" s="194">
        <v>0</v>
      </c>
      <c r="J208" s="194">
        <v>0</v>
      </c>
      <c r="K208" s="193">
        <f t="shared" si="46"/>
        <v>0</v>
      </c>
      <c r="L208" s="194">
        <v>0</v>
      </c>
      <c r="M208" s="194">
        <v>0</v>
      </c>
      <c r="N208" s="194">
        <v>0</v>
      </c>
      <c r="O208" s="193">
        <f t="shared" si="47"/>
        <v>0</v>
      </c>
      <c r="P208" s="194">
        <v>0</v>
      </c>
      <c r="Q208" s="194">
        <v>0</v>
      </c>
      <c r="R208" s="194">
        <v>0</v>
      </c>
      <c r="S208" s="193">
        <f t="shared" si="48"/>
        <v>0</v>
      </c>
      <c r="T208" s="193">
        <f t="shared" si="49"/>
        <v>0</v>
      </c>
      <c r="U208" s="193">
        <f ca="1">OFFSET('Expenditure Study'!$B$7,'Operations Support'!$C208,'Operations Support'!$B208)*$G208</f>
        <v>0</v>
      </c>
      <c r="V208" s="199">
        <f ca="1">U208*'Expenditure Study'!$B$31</f>
        <v>0</v>
      </c>
      <c r="W208" s="199">
        <f ca="1">IF(A208=10298,1.51,1)*IF($B208&lt;3,$D208*'Expenditure Study'!$B$32*OFFSET('Expenditure Study'!$B$7,'Operations Support'!$C208,'Operations Support'!$B208),0)</f>
        <v>0</v>
      </c>
      <c r="X208" s="200">
        <f ca="1">W208*'Expenditure Study'!$B$31</f>
        <v>0</v>
      </c>
      <c r="Y208" s="199">
        <f ca="1">U208*'Expenditure Study'!$B$31</f>
        <v>0</v>
      </c>
      <c r="Z208" s="200">
        <f ca="1">W208*'Expenditure Study'!$B$31</f>
        <v>0</v>
      </c>
      <c r="AA208" s="195">
        <f t="shared" ca="1" si="50"/>
        <v>0</v>
      </c>
      <c r="AB208" s="195">
        <f t="shared" ca="1" si="51"/>
        <v>0</v>
      </c>
      <c r="AD208" s="196">
        <f>IFERROR($G208/SUMIF($A:$A,$A208,$G:$G)*SUMIF(Summary!$A$166:$A$242,$A208,Summary!$P$166:$P$242),0)</f>
        <v>0</v>
      </c>
      <c r="AE208" s="197">
        <f t="shared" ca="1" si="52"/>
        <v>0</v>
      </c>
      <c r="AF208" s="196">
        <f>IFERROR(G208/SUMIF(A:A,A208,G:G)*SUMIF(Summary!$A$166:$A$242,'Operations Support'!A208,Summary!$Q$166:$Q$242),0)</f>
        <v>0</v>
      </c>
      <c r="AG208" s="196">
        <f t="shared" ca="1" si="53"/>
        <v>0</v>
      </c>
      <c r="AI208" s="196">
        <f>IFERROR($G208/SUMIF($A:$A,$A208,$G:$G)*SUMIF(Summary!$A$247:$A$283,$A208,Summary!$P$247:$P$283),0)</f>
        <v>0</v>
      </c>
      <c r="AJ208" s="196">
        <f>IFERROR($G208/SUMIF($A:$A,$A208,$G:$G)*(SUMIF(Summary!$A$247:$A$283,$A208,Summary!$L$247:$L$283)+SUMIF(Summary!$A$297:$A$333,$A208,Summary!$L$297:$L$333))-AI208,0)</f>
        <v>0</v>
      </c>
      <c r="AK208" s="196">
        <f>IFERROR($G208/SUMIF($A:$A,$A208,$G:$G)*SUMIF(Summary!$A$247:$A$283,$A208,Summary!$Q$247:$Q$283),0)</f>
        <v>0</v>
      </c>
      <c r="AL208" s="196">
        <f>IFERROR($G208/SUMIF($A:$A,$A208,$G:$G)*(SUMIF(Summary!$A$247:$A$283,$A208,Summary!$L$247:$L$283)+SUMIF(Summary!$A$297:$A$333,$A208,Summary!$L$297:$L$333))-AK208,0)</f>
        <v>0</v>
      </c>
      <c r="AM208" s="198"/>
      <c r="AN208" s="196">
        <f t="shared" ca="1" si="54"/>
        <v>0</v>
      </c>
      <c r="AO208" s="196">
        <f t="shared" ca="1" si="55"/>
        <v>0</v>
      </c>
    </row>
    <row r="209" spans="1:41">
      <c r="A209" s="189">
        <v>3541</v>
      </c>
      <c r="B209" s="190">
        <v>5</v>
      </c>
      <c r="C209" s="191" t="s">
        <v>235</v>
      </c>
      <c r="D209" s="192">
        <f t="shared" si="42"/>
        <v>0</v>
      </c>
      <c r="E209" s="192">
        <f t="shared" si="43"/>
        <v>0</v>
      </c>
      <c r="F209" s="192">
        <f t="shared" si="44"/>
        <v>0</v>
      </c>
      <c r="G209" s="193">
        <f t="shared" si="45"/>
        <v>0</v>
      </c>
      <c r="H209" s="194">
        <v>0</v>
      </c>
      <c r="I209" s="194">
        <v>0</v>
      </c>
      <c r="J209" s="194">
        <v>0</v>
      </c>
      <c r="K209" s="193">
        <f t="shared" si="46"/>
        <v>0</v>
      </c>
      <c r="L209" s="194">
        <v>0</v>
      </c>
      <c r="M209" s="194">
        <v>0</v>
      </c>
      <c r="N209" s="194">
        <v>0</v>
      </c>
      <c r="O209" s="193">
        <f t="shared" si="47"/>
        <v>0</v>
      </c>
      <c r="P209" s="194">
        <v>0</v>
      </c>
      <c r="Q209" s="194">
        <v>0</v>
      </c>
      <c r="R209" s="194">
        <v>0</v>
      </c>
      <c r="S209" s="193">
        <f t="shared" si="48"/>
        <v>0</v>
      </c>
      <c r="T209" s="193">
        <f t="shared" si="49"/>
        <v>0</v>
      </c>
      <c r="U209" s="193">
        <f ca="1">OFFSET('Expenditure Study'!$B$7,'Operations Support'!$C209,'Operations Support'!$B209)*$G209</f>
        <v>0</v>
      </c>
      <c r="V209" s="199">
        <f ca="1">U209*'Expenditure Study'!$B$31</f>
        <v>0</v>
      </c>
      <c r="W209" s="199">
        <f ca="1">IF(A209=10298,1.51,1)*IF($B209&lt;3,$D209*'Expenditure Study'!$B$32*OFFSET('Expenditure Study'!$B$7,'Operations Support'!$C209,'Operations Support'!$B209),0)</f>
        <v>0</v>
      </c>
      <c r="X209" s="200">
        <f ca="1">W209*'Expenditure Study'!$B$31</f>
        <v>0</v>
      </c>
      <c r="Y209" s="199">
        <f ca="1">U209*'Expenditure Study'!$B$31</f>
        <v>0</v>
      </c>
      <c r="Z209" s="200">
        <f ca="1">W209*'Expenditure Study'!$B$31</f>
        <v>0</v>
      </c>
      <c r="AA209" s="195">
        <f t="shared" ca="1" si="50"/>
        <v>0</v>
      </c>
      <c r="AB209" s="195">
        <f t="shared" ca="1" si="51"/>
        <v>0</v>
      </c>
      <c r="AD209" s="196">
        <f>IFERROR($G209/SUMIF($A:$A,$A209,$G:$G)*SUMIF(Summary!$A$166:$A$242,$A209,Summary!$P$166:$P$242),0)</f>
        <v>0</v>
      </c>
      <c r="AE209" s="197">
        <f t="shared" ca="1" si="52"/>
        <v>0</v>
      </c>
      <c r="AF209" s="196">
        <f>IFERROR(G209/SUMIF(A:A,A209,G:G)*SUMIF(Summary!$A$166:$A$242,'Operations Support'!A209,Summary!$Q$166:$Q$242),0)</f>
        <v>0</v>
      </c>
      <c r="AG209" s="196">
        <f t="shared" ca="1" si="53"/>
        <v>0</v>
      </c>
      <c r="AI209" s="196">
        <f>IFERROR($G209/SUMIF($A:$A,$A209,$G:$G)*SUMIF(Summary!$A$247:$A$283,$A209,Summary!$P$247:$P$283),0)</f>
        <v>0</v>
      </c>
      <c r="AJ209" s="196">
        <f>IFERROR($G209/SUMIF($A:$A,$A209,$G:$G)*(SUMIF(Summary!$A$247:$A$283,$A209,Summary!$L$247:$L$283)+SUMIF(Summary!$A$297:$A$333,$A209,Summary!$L$297:$L$333))-AI209,0)</f>
        <v>0</v>
      </c>
      <c r="AK209" s="196">
        <f>IFERROR($G209/SUMIF($A:$A,$A209,$G:$G)*SUMIF(Summary!$A$247:$A$283,$A209,Summary!$Q$247:$Q$283),0)</f>
        <v>0</v>
      </c>
      <c r="AL209" s="196">
        <f>IFERROR($G209/SUMIF($A:$A,$A209,$G:$G)*(SUMIF(Summary!$A$247:$A$283,$A209,Summary!$L$247:$L$283)+SUMIF(Summary!$A$297:$A$333,$A209,Summary!$L$297:$L$333))-AK209,0)</f>
        <v>0</v>
      </c>
      <c r="AM209" s="198"/>
      <c r="AN209" s="196">
        <f t="shared" ca="1" si="54"/>
        <v>0</v>
      </c>
      <c r="AO209" s="196">
        <f t="shared" ca="1" si="55"/>
        <v>0</v>
      </c>
    </row>
    <row r="210" spans="1:41">
      <c r="A210" s="189">
        <v>3541</v>
      </c>
      <c r="B210" s="190">
        <v>5</v>
      </c>
      <c r="C210" s="191" t="s">
        <v>236</v>
      </c>
      <c r="D210" s="192">
        <f t="shared" si="42"/>
        <v>0</v>
      </c>
      <c r="E210" s="192">
        <f t="shared" si="43"/>
        <v>0</v>
      </c>
      <c r="F210" s="192">
        <f t="shared" si="44"/>
        <v>0</v>
      </c>
      <c r="G210" s="193">
        <f t="shared" si="45"/>
        <v>0</v>
      </c>
      <c r="H210" s="194">
        <v>0</v>
      </c>
      <c r="I210" s="194">
        <v>0</v>
      </c>
      <c r="J210" s="194">
        <v>0</v>
      </c>
      <c r="K210" s="193">
        <f t="shared" si="46"/>
        <v>0</v>
      </c>
      <c r="L210" s="194">
        <v>0</v>
      </c>
      <c r="M210" s="194">
        <v>0</v>
      </c>
      <c r="N210" s="194">
        <v>0</v>
      </c>
      <c r="O210" s="193">
        <f t="shared" si="47"/>
        <v>0</v>
      </c>
      <c r="P210" s="194">
        <v>0</v>
      </c>
      <c r="Q210" s="194">
        <v>0</v>
      </c>
      <c r="R210" s="194">
        <v>0</v>
      </c>
      <c r="S210" s="193">
        <f t="shared" si="48"/>
        <v>0</v>
      </c>
      <c r="T210" s="193">
        <f t="shared" si="49"/>
        <v>0</v>
      </c>
      <c r="U210" s="193">
        <f ca="1">OFFSET('Expenditure Study'!$B$7,'Operations Support'!$C210,'Operations Support'!$B210)*$G210</f>
        <v>0</v>
      </c>
      <c r="V210" s="199">
        <f ca="1">U210*'Expenditure Study'!$B$31</f>
        <v>0</v>
      </c>
      <c r="W210" s="199">
        <f ca="1">IF(A210=10298,1.51,1)*IF($B210&lt;3,$D210*'Expenditure Study'!$B$32*OFFSET('Expenditure Study'!$B$7,'Operations Support'!$C210,'Operations Support'!$B210),0)</f>
        <v>0</v>
      </c>
      <c r="X210" s="200">
        <f ca="1">W210*'Expenditure Study'!$B$31</f>
        <v>0</v>
      </c>
      <c r="Y210" s="199">
        <f ca="1">U210*'Expenditure Study'!$B$31</f>
        <v>0</v>
      </c>
      <c r="Z210" s="200">
        <f ca="1">W210*'Expenditure Study'!$B$31</f>
        <v>0</v>
      </c>
      <c r="AA210" s="195">
        <f t="shared" ca="1" si="50"/>
        <v>0</v>
      </c>
      <c r="AB210" s="195">
        <f t="shared" ca="1" si="51"/>
        <v>0</v>
      </c>
      <c r="AD210" s="196">
        <f>IFERROR($G210/SUMIF($A:$A,$A210,$G:$G)*SUMIF(Summary!$A$166:$A$242,$A210,Summary!$P$166:$P$242),0)</f>
        <v>0</v>
      </c>
      <c r="AE210" s="197">
        <f t="shared" ca="1" si="52"/>
        <v>0</v>
      </c>
      <c r="AF210" s="196">
        <f>IFERROR(G210/SUMIF(A:A,A210,G:G)*SUMIF(Summary!$A$166:$A$242,'Operations Support'!A210,Summary!$Q$166:$Q$242),0)</f>
        <v>0</v>
      </c>
      <c r="AG210" s="196">
        <f t="shared" ca="1" si="53"/>
        <v>0</v>
      </c>
      <c r="AI210" s="196">
        <f>IFERROR($G210/SUMIF($A:$A,$A210,$G:$G)*SUMIF(Summary!$A$247:$A$283,$A210,Summary!$P$247:$P$283),0)</f>
        <v>0</v>
      </c>
      <c r="AJ210" s="196">
        <f>IFERROR($G210/SUMIF($A:$A,$A210,$G:$G)*(SUMIF(Summary!$A$247:$A$283,$A210,Summary!$L$247:$L$283)+SUMIF(Summary!$A$297:$A$333,$A210,Summary!$L$297:$L$333))-AI210,0)</f>
        <v>0</v>
      </c>
      <c r="AK210" s="196">
        <f>IFERROR($G210/SUMIF($A:$A,$A210,$G:$G)*SUMIF(Summary!$A$247:$A$283,$A210,Summary!$Q$247:$Q$283),0)</f>
        <v>0</v>
      </c>
      <c r="AL210" s="196">
        <f>IFERROR($G210/SUMIF($A:$A,$A210,$G:$G)*(SUMIF(Summary!$A$247:$A$283,$A210,Summary!$L$247:$L$283)+SUMIF(Summary!$A$297:$A$333,$A210,Summary!$L$297:$L$333))-AK210,0)</f>
        <v>0</v>
      </c>
      <c r="AM210" s="198"/>
      <c r="AN210" s="196">
        <f t="shared" ca="1" si="54"/>
        <v>0</v>
      </c>
      <c r="AO210" s="196">
        <f t="shared" ca="1" si="55"/>
        <v>0</v>
      </c>
    </row>
    <row r="211" spans="1:41">
      <c r="A211" s="189">
        <v>3541</v>
      </c>
      <c r="B211" s="190">
        <v>5</v>
      </c>
      <c r="C211" s="191" t="s">
        <v>237</v>
      </c>
      <c r="D211" s="192">
        <f t="shared" si="42"/>
        <v>0</v>
      </c>
      <c r="E211" s="192">
        <f t="shared" si="43"/>
        <v>0</v>
      </c>
      <c r="F211" s="192">
        <f t="shared" si="44"/>
        <v>0</v>
      </c>
      <c r="G211" s="193">
        <f t="shared" si="45"/>
        <v>0</v>
      </c>
      <c r="H211" s="194">
        <v>0</v>
      </c>
      <c r="I211" s="194">
        <v>0</v>
      </c>
      <c r="J211" s="194">
        <v>0</v>
      </c>
      <c r="K211" s="193">
        <f t="shared" si="46"/>
        <v>0</v>
      </c>
      <c r="L211" s="194">
        <v>0</v>
      </c>
      <c r="M211" s="194">
        <v>0</v>
      </c>
      <c r="N211" s="194">
        <v>0</v>
      </c>
      <c r="O211" s="193">
        <f t="shared" si="47"/>
        <v>0</v>
      </c>
      <c r="P211" s="194">
        <v>0</v>
      </c>
      <c r="Q211" s="194">
        <v>0</v>
      </c>
      <c r="R211" s="194">
        <v>0</v>
      </c>
      <c r="S211" s="193">
        <f t="shared" si="48"/>
        <v>0</v>
      </c>
      <c r="T211" s="193">
        <f t="shared" si="49"/>
        <v>0</v>
      </c>
      <c r="U211" s="193">
        <f ca="1">OFFSET('Expenditure Study'!$B$7,'Operations Support'!$C211,'Operations Support'!$B211)*$G211</f>
        <v>0</v>
      </c>
      <c r="V211" s="199">
        <f ca="1">U211*'Expenditure Study'!$B$31</f>
        <v>0</v>
      </c>
      <c r="W211" s="199">
        <f ca="1">IF(A211=10298,1.51,1)*IF($B211&lt;3,$D211*'Expenditure Study'!$B$32*OFFSET('Expenditure Study'!$B$7,'Operations Support'!$C211,'Operations Support'!$B211),0)</f>
        <v>0</v>
      </c>
      <c r="X211" s="200">
        <f ca="1">W211*'Expenditure Study'!$B$31</f>
        <v>0</v>
      </c>
      <c r="Y211" s="199">
        <f ca="1">U211*'Expenditure Study'!$B$31</f>
        <v>0</v>
      </c>
      <c r="Z211" s="200">
        <f ca="1">W211*'Expenditure Study'!$B$31</f>
        <v>0</v>
      </c>
      <c r="AA211" s="195">
        <f t="shared" ca="1" si="50"/>
        <v>0</v>
      </c>
      <c r="AB211" s="195">
        <f t="shared" ca="1" si="51"/>
        <v>0</v>
      </c>
      <c r="AD211" s="196">
        <f>IFERROR($G211/SUMIF($A:$A,$A211,$G:$G)*SUMIF(Summary!$A$166:$A$242,$A211,Summary!$P$166:$P$242),0)</f>
        <v>0</v>
      </c>
      <c r="AE211" s="197">
        <f t="shared" ca="1" si="52"/>
        <v>0</v>
      </c>
      <c r="AF211" s="196">
        <f>IFERROR(G211/SUMIF(A:A,A211,G:G)*SUMIF(Summary!$A$166:$A$242,'Operations Support'!A211,Summary!$Q$166:$Q$242),0)</f>
        <v>0</v>
      </c>
      <c r="AG211" s="196">
        <f t="shared" ca="1" si="53"/>
        <v>0</v>
      </c>
      <c r="AI211" s="196">
        <f>IFERROR($G211/SUMIF($A:$A,$A211,$G:$G)*SUMIF(Summary!$A$247:$A$283,$A211,Summary!$P$247:$P$283),0)</f>
        <v>0</v>
      </c>
      <c r="AJ211" s="196">
        <f>IFERROR($G211/SUMIF($A:$A,$A211,$G:$G)*(SUMIF(Summary!$A$247:$A$283,$A211,Summary!$L$247:$L$283)+SUMIF(Summary!$A$297:$A$333,$A211,Summary!$L$297:$L$333))-AI211,0)</f>
        <v>0</v>
      </c>
      <c r="AK211" s="196">
        <f>IFERROR($G211/SUMIF($A:$A,$A211,$G:$G)*SUMIF(Summary!$A$247:$A$283,$A211,Summary!$Q$247:$Q$283),0)</f>
        <v>0</v>
      </c>
      <c r="AL211" s="196">
        <f>IFERROR($G211/SUMIF($A:$A,$A211,$G:$G)*(SUMIF(Summary!$A$247:$A$283,$A211,Summary!$L$247:$L$283)+SUMIF(Summary!$A$297:$A$333,$A211,Summary!$L$297:$L$333))-AK211,0)</f>
        <v>0</v>
      </c>
      <c r="AM211" s="198"/>
      <c r="AN211" s="196">
        <f t="shared" ca="1" si="54"/>
        <v>0</v>
      </c>
      <c r="AO211" s="196">
        <f t="shared" ca="1" si="55"/>
        <v>0</v>
      </c>
    </row>
    <row r="212" spans="1:41">
      <c r="A212" s="189">
        <v>3541</v>
      </c>
      <c r="B212" s="190">
        <v>5</v>
      </c>
      <c r="C212" s="191" t="s">
        <v>238</v>
      </c>
      <c r="D212" s="192">
        <f t="shared" si="42"/>
        <v>0</v>
      </c>
      <c r="E212" s="192">
        <f t="shared" si="43"/>
        <v>0</v>
      </c>
      <c r="F212" s="192">
        <f t="shared" si="44"/>
        <v>0</v>
      </c>
      <c r="G212" s="193">
        <f t="shared" si="45"/>
        <v>0</v>
      </c>
      <c r="H212" s="194">
        <v>0</v>
      </c>
      <c r="I212" s="194">
        <v>0</v>
      </c>
      <c r="J212" s="194">
        <v>0</v>
      </c>
      <c r="K212" s="193">
        <f t="shared" si="46"/>
        <v>0</v>
      </c>
      <c r="L212" s="194">
        <v>0</v>
      </c>
      <c r="M212" s="194">
        <v>0</v>
      </c>
      <c r="N212" s="194">
        <v>0</v>
      </c>
      <c r="O212" s="193">
        <f t="shared" si="47"/>
        <v>0</v>
      </c>
      <c r="P212" s="194">
        <v>0</v>
      </c>
      <c r="Q212" s="194">
        <v>0</v>
      </c>
      <c r="R212" s="194">
        <v>0</v>
      </c>
      <c r="S212" s="193">
        <f t="shared" si="48"/>
        <v>0</v>
      </c>
      <c r="T212" s="193">
        <f t="shared" si="49"/>
        <v>0</v>
      </c>
      <c r="U212" s="193">
        <f ca="1">OFFSET('Expenditure Study'!$B$7,'Operations Support'!$C212,'Operations Support'!$B212)*$G212</f>
        <v>0</v>
      </c>
      <c r="V212" s="199">
        <f ca="1">U212*'Expenditure Study'!$B$31</f>
        <v>0</v>
      </c>
      <c r="W212" s="199">
        <f ca="1">IF(A212=10298,1.51,1)*IF($B212&lt;3,$D212*'Expenditure Study'!$B$32*OFFSET('Expenditure Study'!$B$7,'Operations Support'!$C212,'Operations Support'!$B212),0)</f>
        <v>0</v>
      </c>
      <c r="X212" s="200">
        <f ca="1">W212*'Expenditure Study'!$B$31</f>
        <v>0</v>
      </c>
      <c r="Y212" s="199">
        <f ca="1">U212*'Expenditure Study'!$B$31</f>
        <v>0</v>
      </c>
      <c r="Z212" s="200">
        <f ca="1">W212*'Expenditure Study'!$B$31</f>
        <v>0</v>
      </c>
      <c r="AA212" s="195">
        <f t="shared" ca="1" si="50"/>
        <v>0</v>
      </c>
      <c r="AB212" s="195">
        <f t="shared" ca="1" si="51"/>
        <v>0</v>
      </c>
      <c r="AD212" s="196">
        <f>IFERROR($G212/SUMIF($A:$A,$A212,$G:$G)*SUMIF(Summary!$A$166:$A$242,$A212,Summary!$P$166:$P$242),0)</f>
        <v>0</v>
      </c>
      <c r="AE212" s="197">
        <f t="shared" ca="1" si="52"/>
        <v>0</v>
      </c>
      <c r="AF212" s="196">
        <f>IFERROR(G212/SUMIF(A:A,A212,G:G)*SUMIF(Summary!$A$166:$A$242,'Operations Support'!A212,Summary!$Q$166:$Q$242),0)</f>
        <v>0</v>
      </c>
      <c r="AG212" s="196">
        <f t="shared" ca="1" si="53"/>
        <v>0</v>
      </c>
      <c r="AI212" s="196">
        <f>IFERROR($G212/SUMIF($A:$A,$A212,$G:$G)*SUMIF(Summary!$A$247:$A$283,$A212,Summary!$P$247:$P$283),0)</f>
        <v>0</v>
      </c>
      <c r="AJ212" s="196">
        <f>IFERROR($G212/SUMIF($A:$A,$A212,$G:$G)*(SUMIF(Summary!$A$247:$A$283,$A212,Summary!$L$247:$L$283)+SUMIF(Summary!$A$297:$A$333,$A212,Summary!$L$297:$L$333))-AI212,0)</f>
        <v>0</v>
      </c>
      <c r="AK212" s="196">
        <f>IFERROR($G212/SUMIF($A:$A,$A212,$G:$G)*SUMIF(Summary!$A$247:$A$283,$A212,Summary!$Q$247:$Q$283),0)</f>
        <v>0</v>
      </c>
      <c r="AL212" s="196">
        <f>IFERROR($G212/SUMIF($A:$A,$A212,$G:$G)*(SUMIF(Summary!$A$247:$A$283,$A212,Summary!$L$247:$L$283)+SUMIF(Summary!$A$297:$A$333,$A212,Summary!$L$297:$L$333))-AK212,0)</f>
        <v>0</v>
      </c>
      <c r="AM212" s="198"/>
      <c r="AN212" s="196">
        <f t="shared" ca="1" si="54"/>
        <v>0</v>
      </c>
      <c r="AO212" s="196">
        <f t="shared" ca="1" si="55"/>
        <v>0</v>
      </c>
    </row>
    <row r="213" spans="1:41">
      <c r="A213" s="189">
        <v>3541</v>
      </c>
      <c r="B213" s="190">
        <v>5</v>
      </c>
      <c r="C213" s="191" t="s">
        <v>239</v>
      </c>
      <c r="D213" s="192">
        <f t="shared" si="42"/>
        <v>0</v>
      </c>
      <c r="E213" s="192">
        <f t="shared" si="43"/>
        <v>0</v>
      </c>
      <c r="F213" s="192">
        <f t="shared" si="44"/>
        <v>0</v>
      </c>
      <c r="G213" s="193">
        <f t="shared" si="45"/>
        <v>0</v>
      </c>
      <c r="H213" s="194">
        <v>0</v>
      </c>
      <c r="I213" s="194">
        <v>0</v>
      </c>
      <c r="J213" s="194">
        <v>0</v>
      </c>
      <c r="K213" s="193">
        <f t="shared" si="46"/>
        <v>0</v>
      </c>
      <c r="L213" s="194">
        <v>0</v>
      </c>
      <c r="M213" s="194">
        <v>0</v>
      </c>
      <c r="N213" s="194">
        <v>0</v>
      </c>
      <c r="O213" s="193">
        <f t="shared" si="47"/>
        <v>0</v>
      </c>
      <c r="P213" s="194">
        <v>0</v>
      </c>
      <c r="Q213" s="194">
        <v>0</v>
      </c>
      <c r="R213" s="194">
        <v>0</v>
      </c>
      <c r="S213" s="193">
        <f t="shared" si="48"/>
        <v>0</v>
      </c>
      <c r="T213" s="193">
        <f t="shared" si="49"/>
        <v>0</v>
      </c>
      <c r="U213" s="193">
        <f ca="1">OFFSET('Expenditure Study'!$B$7,'Operations Support'!$C213,'Operations Support'!$B213)*$G213</f>
        <v>0</v>
      </c>
      <c r="V213" s="199">
        <f ca="1">U213*'Expenditure Study'!$B$31</f>
        <v>0</v>
      </c>
      <c r="W213" s="199">
        <f ca="1">IF(A213=10298,1.51,1)*IF($B213&lt;3,$D213*'Expenditure Study'!$B$32*OFFSET('Expenditure Study'!$B$7,'Operations Support'!$C213,'Operations Support'!$B213),0)</f>
        <v>0</v>
      </c>
      <c r="X213" s="200">
        <f ca="1">W213*'Expenditure Study'!$B$31</f>
        <v>0</v>
      </c>
      <c r="Y213" s="199">
        <f ca="1">U213*'Expenditure Study'!$B$31</f>
        <v>0</v>
      </c>
      <c r="Z213" s="200">
        <f ca="1">W213*'Expenditure Study'!$B$31</f>
        <v>0</v>
      </c>
      <c r="AA213" s="195">
        <f t="shared" ca="1" si="50"/>
        <v>0</v>
      </c>
      <c r="AB213" s="195">
        <f t="shared" ca="1" si="51"/>
        <v>0</v>
      </c>
      <c r="AD213" s="196">
        <f>IFERROR($G213/SUMIF($A:$A,$A213,$G:$G)*SUMIF(Summary!$A$166:$A$242,$A213,Summary!$P$166:$P$242),0)</f>
        <v>0</v>
      </c>
      <c r="AE213" s="197">
        <f t="shared" ca="1" si="52"/>
        <v>0</v>
      </c>
      <c r="AF213" s="196">
        <f>IFERROR(G213/SUMIF(A:A,A213,G:G)*SUMIF(Summary!$A$166:$A$242,'Operations Support'!A213,Summary!$Q$166:$Q$242),0)</f>
        <v>0</v>
      </c>
      <c r="AG213" s="196">
        <f t="shared" ca="1" si="53"/>
        <v>0</v>
      </c>
      <c r="AI213" s="196">
        <f>IFERROR($G213/SUMIF($A:$A,$A213,$G:$G)*SUMIF(Summary!$A$247:$A$283,$A213,Summary!$P$247:$P$283),0)</f>
        <v>0</v>
      </c>
      <c r="AJ213" s="196">
        <f>IFERROR($G213/SUMIF($A:$A,$A213,$G:$G)*(SUMIF(Summary!$A$247:$A$283,$A213,Summary!$L$247:$L$283)+SUMIF(Summary!$A$297:$A$333,$A213,Summary!$L$297:$L$333))-AI213,0)</f>
        <v>0</v>
      </c>
      <c r="AK213" s="196">
        <f>IFERROR($G213/SUMIF($A:$A,$A213,$G:$G)*SUMIF(Summary!$A$247:$A$283,$A213,Summary!$Q$247:$Q$283),0)</f>
        <v>0</v>
      </c>
      <c r="AL213" s="196">
        <f>IFERROR($G213/SUMIF($A:$A,$A213,$G:$G)*(SUMIF(Summary!$A$247:$A$283,$A213,Summary!$L$247:$L$283)+SUMIF(Summary!$A$297:$A$333,$A213,Summary!$L$297:$L$333))-AK213,0)</f>
        <v>0</v>
      </c>
      <c r="AM213" s="198"/>
      <c r="AN213" s="196">
        <f t="shared" ca="1" si="54"/>
        <v>0</v>
      </c>
      <c r="AO213" s="196">
        <f t="shared" ca="1" si="55"/>
        <v>0</v>
      </c>
    </row>
    <row r="214" spans="1:41">
      <c r="A214" s="189">
        <v>3541</v>
      </c>
      <c r="B214" s="190">
        <v>5</v>
      </c>
      <c r="C214" s="191" t="s">
        <v>240</v>
      </c>
      <c r="D214" s="192">
        <f t="shared" si="42"/>
        <v>0</v>
      </c>
      <c r="E214" s="192">
        <f t="shared" si="43"/>
        <v>0</v>
      </c>
      <c r="F214" s="192">
        <f t="shared" si="44"/>
        <v>0</v>
      </c>
      <c r="G214" s="193">
        <f t="shared" si="45"/>
        <v>0</v>
      </c>
      <c r="H214" s="194">
        <v>0</v>
      </c>
      <c r="I214" s="194">
        <v>0</v>
      </c>
      <c r="J214" s="194">
        <v>0</v>
      </c>
      <c r="K214" s="193">
        <f t="shared" si="46"/>
        <v>0</v>
      </c>
      <c r="L214" s="194">
        <v>0</v>
      </c>
      <c r="M214" s="194">
        <v>0</v>
      </c>
      <c r="N214" s="194">
        <v>0</v>
      </c>
      <c r="O214" s="193">
        <f t="shared" si="47"/>
        <v>0</v>
      </c>
      <c r="P214" s="194">
        <v>0</v>
      </c>
      <c r="Q214" s="194">
        <v>0</v>
      </c>
      <c r="R214" s="194">
        <v>0</v>
      </c>
      <c r="S214" s="193">
        <f t="shared" si="48"/>
        <v>0</v>
      </c>
      <c r="T214" s="193">
        <f t="shared" si="49"/>
        <v>0</v>
      </c>
      <c r="U214" s="193">
        <f ca="1">OFFSET('Expenditure Study'!$B$7,'Operations Support'!$C214,'Operations Support'!$B214)*$G214</f>
        <v>0</v>
      </c>
      <c r="V214" s="199">
        <f ca="1">U214*'Expenditure Study'!$B$31</f>
        <v>0</v>
      </c>
      <c r="W214" s="199">
        <f ca="1">IF(A214=10298,1.51,1)*IF($B214&lt;3,$D214*'Expenditure Study'!$B$32*OFFSET('Expenditure Study'!$B$7,'Operations Support'!$C214,'Operations Support'!$B214),0)</f>
        <v>0</v>
      </c>
      <c r="X214" s="200">
        <f ca="1">W214*'Expenditure Study'!$B$31</f>
        <v>0</v>
      </c>
      <c r="Y214" s="199">
        <f ca="1">U214*'Expenditure Study'!$B$31</f>
        <v>0</v>
      </c>
      <c r="Z214" s="200">
        <f ca="1">W214*'Expenditure Study'!$B$31</f>
        <v>0</v>
      </c>
      <c r="AA214" s="195">
        <f t="shared" ca="1" si="50"/>
        <v>0</v>
      </c>
      <c r="AB214" s="195">
        <f t="shared" ca="1" si="51"/>
        <v>0</v>
      </c>
      <c r="AD214" s="196">
        <f>IFERROR($G214/SUMIF($A:$A,$A214,$G:$G)*SUMIF(Summary!$A$166:$A$242,$A214,Summary!$P$166:$P$242),0)</f>
        <v>0</v>
      </c>
      <c r="AE214" s="197">
        <f t="shared" ca="1" si="52"/>
        <v>0</v>
      </c>
      <c r="AF214" s="196">
        <f>IFERROR(G214/SUMIF(A:A,A214,G:G)*SUMIF(Summary!$A$166:$A$242,'Operations Support'!A214,Summary!$Q$166:$Q$242),0)</f>
        <v>0</v>
      </c>
      <c r="AG214" s="196">
        <f t="shared" ca="1" si="53"/>
        <v>0</v>
      </c>
      <c r="AI214" s="196">
        <f>IFERROR($G214/SUMIF($A:$A,$A214,$G:$G)*SUMIF(Summary!$A$247:$A$283,$A214,Summary!$P$247:$P$283),0)</f>
        <v>0</v>
      </c>
      <c r="AJ214" s="196">
        <f>IFERROR($G214/SUMIF($A:$A,$A214,$G:$G)*(SUMIF(Summary!$A$247:$A$283,$A214,Summary!$L$247:$L$283)+SUMIF(Summary!$A$297:$A$333,$A214,Summary!$L$297:$L$333))-AI214,0)</f>
        <v>0</v>
      </c>
      <c r="AK214" s="196">
        <f>IFERROR($G214/SUMIF($A:$A,$A214,$G:$G)*SUMIF(Summary!$A$247:$A$283,$A214,Summary!$Q$247:$Q$283),0)</f>
        <v>0</v>
      </c>
      <c r="AL214" s="196">
        <f>IFERROR($G214/SUMIF($A:$A,$A214,$G:$G)*(SUMIF(Summary!$A$247:$A$283,$A214,Summary!$L$247:$L$283)+SUMIF(Summary!$A$297:$A$333,$A214,Summary!$L$297:$L$333))-AK214,0)</f>
        <v>0</v>
      </c>
      <c r="AM214" s="198"/>
      <c r="AN214" s="196">
        <f t="shared" ca="1" si="54"/>
        <v>0</v>
      </c>
      <c r="AO214" s="196">
        <f t="shared" ca="1" si="55"/>
        <v>0</v>
      </c>
    </row>
    <row r="215" spans="1:41">
      <c r="A215" s="189">
        <v>3565</v>
      </c>
      <c r="B215" s="190">
        <v>1</v>
      </c>
      <c r="C215" s="191" t="s">
        <v>220</v>
      </c>
      <c r="D215" s="192">
        <f t="shared" si="42"/>
        <v>13075</v>
      </c>
      <c r="E215" s="192">
        <f t="shared" si="43"/>
        <v>32747</v>
      </c>
      <c r="F215" s="192">
        <f t="shared" si="44"/>
        <v>0</v>
      </c>
      <c r="G215" s="193">
        <f t="shared" si="45"/>
        <v>45822</v>
      </c>
      <c r="H215" s="194">
        <v>5422</v>
      </c>
      <c r="I215" s="194">
        <v>14005</v>
      </c>
      <c r="J215" s="194">
        <v>0</v>
      </c>
      <c r="K215" s="193">
        <f t="shared" si="46"/>
        <v>19427</v>
      </c>
      <c r="L215" s="194">
        <v>6376</v>
      </c>
      <c r="M215" s="194">
        <v>13848</v>
      </c>
      <c r="N215" s="194">
        <v>0</v>
      </c>
      <c r="O215" s="193">
        <f t="shared" si="47"/>
        <v>20224</v>
      </c>
      <c r="P215" s="194">
        <v>1277</v>
      </c>
      <c r="Q215" s="194">
        <v>4894</v>
      </c>
      <c r="R215" s="194">
        <v>0</v>
      </c>
      <c r="S215" s="193">
        <f t="shared" si="48"/>
        <v>6171</v>
      </c>
      <c r="T215" s="193">
        <f t="shared" si="49"/>
        <v>1527.4</v>
      </c>
      <c r="U215" s="193">
        <f ca="1">OFFSET('Expenditure Study'!$B$7,'Operations Support'!$C215,'Operations Support'!$B215)*$G215</f>
        <v>45822</v>
      </c>
      <c r="V215" s="199">
        <f ca="1">U215*'Expenditure Study'!$B$31</f>
        <v>2707309.5106175998</v>
      </c>
      <c r="W215" s="199">
        <f ca="1">IF(A215=10298,1.51,1)*IF($B215&lt;3,$D215*'Expenditure Study'!$B$32*OFFSET('Expenditure Study'!$B$7,'Operations Support'!$C215,'Operations Support'!$B215),0)</f>
        <v>1307.5</v>
      </c>
      <c r="X215" s="200">
        <f ca="1">W215*'Expenditure Study'!$B$31</f>
        <v>77251.258895999999</v>
      </c>
      <c r="Y215" s="199">
        <f ca="1">U215*'Expenditure Study'!$B$31</f>
        <v>2707309.5106175998</v>
      </c>
      <c r="Z215" s="200">
        <f ca="1">W215*'Expenditure Study'!$B$31</f>
        <v>77251.258895999999</v>
      </c>
      <c r="AA215" s="195">
        <f t="shared" ca="1" si="50"/>
        <v>2784560.7695136</v>
      </c>
      <c r="AB215" s="195">
        <f t="shared" ca="1" si="51"/>
        <v>2784560.7695136</v>
      </c>
      <c r="AD215" s="196">
        <f>IFERROR($G215/SUMIF($A:$A,$A215,$G:$G)*SUMIF(Summary!$A$166:$A$242,$A215,Summary!$P$166:$P$242),0)</f>
        <v>574602.57962601352</v>
      </c>
      <c r="AE215" s="197">
        <f t="shared" ca="1" si="52"/>
        <v>2209958.1898875865</v>
      </c>
      <c r="AF215" s="196">
        <f>IFERROR(G215/SUMIF(A:A,A215,G:G)*SUMIF(Summary!$A$166:$A$242,'Operations Support'!A215,Summary!$Q$166:$Q$242),0)</f>
        <v>575828.95516941126</v>
      </c>
      <c r="AG215" s="196">
        <f t="shared" ca="1" si="53"/>
        <v>2208731.8143441887</v>
      </c>
      <c r="AI215" s="196">
        <f>IFERROR($G215/SUMIF($A:$A,$A215,$G:$G)*SUMIF(Summary!$A$247:$A$283,$A215,Summary!$P$247:$P$283),0)</f>
        <v>104793.17147624725</v>
      </c>
      <c r="AJ215" s="196">
        <f>IFERROR($G215/SUMIF($A:$A,$A215,$G:$G)*(SUMIF(Summary!$A$247:$A$283,$A215,Summary!$L$247:$L$283)+SUMIF(Summary!$A$297:$A$333,$A215,Summary!$L$297:$L$333))-AI215,0)</f>
        <v>748713.58076160727</v>
      </c>
      <c r="AK215" s="196">
        <f>IFERROR($G215/SUMIF($A:$A,$A215,$G:$G)*SUMIF(Summary!$A$247:$A$283,$A215,Summary!$Q$247:$Q$283),0)</f>
        <v>105016.83177150246</v>
      </c>
      <c r="AL215" s="196">
        <f>IFERROR($G215/SUMIF($A:$A,$A215,$G:$G)*(SUMIF(Summary!$A$247:$A$283,$A215,Summary!$L$247:$L$283)+SUMIF(Summary!$A$297:$A$333,$A215,Summary!$L$297:$L$333))-AK215,0)</f>
        <v>748489.92046635202</v>
      </c>
      <c r="AM215" s="198"/>
      <c r="AN215" s="196">
        <f t="shared" ca="1" si="54"/>
        <v>2958671.7706491938</v>
      </c>
      <c r="AO215" s="196">
        <f t="shared" ca="1" si="55"/>
        <v>2957221.7348105405</v>
      </c>
    </row>
    <row r="216" spans="1:41">
      <c r="A216" s="189">
        <v>3565</v>
      </c>
      <c r="B216" s="190">
        <v>1</v>
      </c>
      <c r="C216" s="191" t="s">
        <v>221</v>
      </c>
      <c r="D216" s="192">
        <f t="shared" si="42"/>
        <v>7127</v>
      </c>
      <c r="E216" s="192">
        <f t="shared" si="43"/>
        <v>9942</v>
      </c>
      <c r="F216" s="192">
        <f t="shared" si="44"/>
        <v>0</v>
      </c>
      <c r="G216" s="193">
        <f t="shared" si="45"/>
        <v>17069</v>
      </c>
      <c r="H216" s="194">
        <v>3125</v>
      </c>
      <c r="I216" s="194">
        <v>4060</v>
      </c>
      <c r="J216" s="194">
        <v>0</v>
      </c>
      <c r="K216" s="193">
        <f t="shared" si="46"/>
        <v>7185</v>
      </c>
      <c r="L216" s="194">
        <v>3396</v>
      </c>
      <c r="M216" s="194">
        <v>4793</v>
      </c>
      <c r="N216" s="194">
        <v>0</v>
      </c>
      <c r="O216" s="193">
        <f t="shared" si="47"/>
        <v>8189</v>
      </c>
      <c r="P216" s="194">
        <v>606</v>
      </c>
      <c r="Q216" s="194">
        <v>1089</v>
      </c>
      <c r="R216" s="194">
        <v>0</v>
      </c>
      <c r="S216" s="193">
        <f t="shared" si="48"/>
        <v>1695</v>
      </c>
      <c r="T216" s="193">
        <f t="shared" si="49"/>
        <v>568.9666666666667</v>
      </c>
      <c r="U216" s="193">
        <f ca="1">OFFSET('Expenditure Study'!$B$7,'Operations Support'!$C216,'Operations Support'!$B216)*$G216</f>
        <v>22872.460000000003</v>
      </c>
      <c r="V216" s="199">
        <f ca="1">U216*'Expenditure Study'!$B$31</f>
        <v>1351377.6895207681</v>
      </c>
      <c r="W216" s="199">
        <f ca="1">IF(A216=10298,1.51,1)*IF($B216&lt;3,$D216*'Expenditure Study'!$B$32*OFFSET('Expenditure Study'!$B$7,'Operations Support'!$C216,'Operations Support'!$B216),0)</f>
        <v>955.01800000000014</v>
      </c>
      <c r="X216" s="200">
        <f ca="1">W216*'Expenditure Study'!$B$31</f>
        <v>56425.501161254411</v>
      </c>
      <c r="Y216" s="199">
        <f ca="1">U216*'Expenditure Study'!$B$31</f>
        <v>1351377.6895207681</v>
      </c>
      <c r="Z216" s="200">
        <f ca="1">W216*'Expenditure Study'!$B$31</f>
        <v>56425.501161254411</v>
      </c>
      <c r="AA216" s="195">
        <f t="shared" ca="1" si="50"/>
        <v>1407803.1906820226</v>
      </c>
      <c r="AB216" s="195">
        <f t="shared" ca="1" si="51"/>
        <v>1407803.1906820226</v>
      </c>
      <c r="AD216" s="196">
        <f>IFERROR($G216/SUMIF($A:$A,$A216,$G:$G)*SUMIF(Summary!$A$166:$A$242,$A216,Summary!$P$166:$P$242),0)</f>
        <v>214043.28557540977</v>
      </c>
      <c r="AE216" s="197">
        <f t="shared" ca="1" si="52"/>
        <v>1193759.9051066129</v>
      </c>
      <c r="AF216" s="196">
        <f>IFERROR(G216/SUMIF(A:A,A216,G:G)*SUMIF(Summary!$A$166:$A$242,'Operations Support'!A216,Summary!$Q$166:$Q$242),0)</f>
        <v>214500.11862831569</v>
      </c>
      <c r="AG216" s="196">
        <f t="shared" ca="1" si="53"/>
        <v>1193303.072053707</v>
      </c>
      <c r="AI216" s="196">
        <f>IFERROR($G216/SUMIF($A:$A,$A216,$G:$G)*SUMIF(Summary!$A$247:$A$283,$A216,Summary!$P$247:$P$283),0)</f>
        <v>39036.153898303535</v>
      </c>
      <c r="AJ216" s="196">
        <f>IFERROR($G216/SUMIF($A:$A,$A216,$G:$G)*(SUMIF(Summary!$A$247:$A$283,$A216,Summary!$L$247:$L$283)+SUMIF(Summary!$A$297:$A$333,$A216,Summary!$L$297:$L$333))-AI216,0)</f>
        <v>278900.79241455795</v>
      </c>
      <c r="AK216" s="196">
        <f>IFERROR($G216/SUMIF($A:$A,$A216,$G:$G)*SUMIF(Summary!$A$247:$A$283,$A216,Summary!$Q$247:$Q$283),0)</f>
        <v>39119.46884701182</v>
      </c>
      <c r="AL216" s="196">
        <f>IFERROR($G216/SUMIF($A:$A,$A216,$G:$G)*(SUMIF(Summary!$A$247:$A$283,$A216,Summary!$L$247:$L$283)+SUMIF(Summary!$A$297:$A$333,$A216,Summary!$L$297:$L$333))-AK216,0)</f>
        <v>278817.47746584966</v>
      </c>
      <c r="AM216" s="198"/>
      <c r="AN216" s="196">
        <f t="shared" ca="1" si="54"/>
        <v>1472660.6975211708</v>
      </c>
      <c r="AO216" s="196">
        <f t="shared" ca="1" si="55"/>
        <v>1472120.5495195566</v>
      </c>
    </row>
    <row r="217" spans="1:41">
      <c r="A217" s="189">
        <v>3565</v>
      </c>
      <c r="B217" s="190">
        <v>1</v>
      </c>
      <c r="C217" s="191" t="s">
        <v>222</v>
      </c>
      <c r="D217" s="192">
        <f t="shared" si="42"/>
        <v>2587</v>
      </c>
      <c r="E217" s="192">
        <f t="shared" si="43"/>
        <v>6587</v>
      </c>
      <c r="F217" s="192">
        <f t="shared" si="44"/>
        <v>0</v>
      </c>
      <c r="G217" s="193">
        <f t="shared" si="45"/>
        <v>9174</v>
      </c>
      <c r="H217" s="194">
        <v>1204</v>
      </c>
      <c r="I217" s="194">
        <v>2583</v>
      </c>
      <c r="J217" s="194">
        <v>0</v>
      </c>
      <c r="K217" s="193">
        <f t="shared" si="46"/>
        <v>3787</v>
      </c>
      <c r="L217" s="194">
        <v>1248</v>
      </c>
      <c r="M217" s="194">
        <v>3665</v>
      </c>
      <c r="N217" s="194">
        <v>0</v>
      </c>
      <c r="O217" s="193">
        <f t="shared" si="47"/>
        <v>4913</v>
      </c>
      <c r="P217" s="194">
        <v>135</v>
      </c>
      <c r="Q217" s="194">
        <v>339</v>
      </c>
      <c r="R217" s="194">
        <v>0</v>
      </c>
      <c r="S217" s="193">
        <f t="shared" si="48"/>
        <v>474</v>
      </c>
      <c r="T217" s="193">
        <f t="shared" si="49"/>
        <v>305.8</v>
      </c>
      <c r="U217" s="193">
        <f ca="1">OFFSET('Expenditure Study'!$B$7,'Operations Support'!$C217,'Operations Support'!$B217)*$G217</f>
        <v>12568.380000000001</v>
      </c>
      <c r="V217" s="199">
        <f ca="1">U217*'Expenditure Study'!$B$31</f>
        <v>742579.86790310405</v>
      </c>
      <c r="W217" s="199">
        <f ca="1">IF(A217=10298,1.51,1)*IF($B217&lt;3,$D217*'Expenditure Study'!$B$32*OFFSET('Expenditure Study'!$B$7,'Operations Support'!$C217,'Operations Support'!$B217),0)</f>
        <v>354.41900000000004</v>
      </c>
      <c r="X217" s="200">
        <f ca="1">W217*'Expenditure Study'!$B$31</f>
        <v>20940.201855955202</v>
      </c>
      <c r="Y217" s="199">
        <f ca="1">U217*'Expenditure Study'!$B$31</f>
        <v>742579.86790310405</v>
      </c>
      <c r="Z217" s="200">
        <f ca="1">W217*'Expenditure Study'!$B$31</f>
        <v>20940.201855955202</v>
      </c>
      <c r="AA217" s="195">
        <f t="shared" ca="1" si="50"/>
        <v>763520.06975905923</v>
      </c>
      <c r="AB217" s="195">
        <f t="shared" ca="1" si="51"/>
        <v>763520.06975905923</v>
      </c>
      <c r="AD217" s="196">
        <f>IFERROR($G217/SUMIF($A:$A,$A217,$G:$G)*SUMIF(Summary!$A$166:$A$242,$A217,Summary!$P$166:$P$242),0)</f>
        <v>115040.89881474072</v>
      </c>
      <c r="AE217" s="197">
        <f t="shared" ca="1" si="52"/>
        <v>648479.17094431852</v>
      </c>
      <c r="AF217" s="196">
        <f>IFERROR(G217/SUMIF(A:A,A217,G:G)*SUMIF(Summary!$A$166:$A$242,'Operations Support'!A217,Summary!$Q$166:$Q$242),0)</f>
        <v>115286.43085688488</v>
      </c>
      <c r="AG217" s="196">
        <f t="shared" ca="1" si="53"/>
        <v>648233.63890217431</v>
      </c>
      <c r="AI217" s="196">
        <f>IFERROR($G217/SUMIF($A:$A,$A217,$G:$G)*SUMIF(Summary!$A$247:$A$283,$A217,Summary!$P$247:$P$283),0)</f>
        <v>20980.589130179662</v>
      </c>
      <c r="AJ217" s="196">
        <f>IFERROR($G217/SUMIF($A:$A,$A217,$G:$G)*(SUMIF(Summary!$A$247:$A$283,$A217,Summary!$L$247:$L$283)+SUMIF(Summary!$A$297:$A$333,$A217,Summary!$L$297:$L$333))-AI217,0)</f>
        <v>149899.57640231733</v>
      </c>
      <c r="AK217" s="196">
        <f>IFERROR($G217/SUMIF($A:$A,$A217,$G:$G)*SUMIF(Summary!$A$247:$A$283,$A217,Summary!$Q$247:$Q$283),0)</f>
        <v>21025.368047482949</v>
      </c>
      <c r="AL217" s="196">
        <f>IFERROR($G217/SUMIF($A:$A,$A217,$G:$G)*(SUMIF(Summary!$A$247:$A$283,$A217,Summary!$L$247:$L$283)+SUMIF(Summary!$A$297:$A$333,$A217,Summary!$L$297:$L$333))-AK217,0)</f>
        <v>149854.79748501405</v>
      </c>
      <c r="AM217" s="198"/>
      <c r="AN217" s="196">
        <f t="shared" ca="1" si="54"/>
        <v>798378.74734663591</v>
      </c>
      <c r="AO217" s="196">
        <f t="shared" ca="1" si="55"/>
        <v>798088.43638718838</v>
      </c>
    </row>
    <row r="218" spans="1:41">
      <c r="A218" s="189">
        <v>3565</v>
      </c>
      <c r="B218" s="190">
        <v>1</v>
      </c>
      <c r="C218" s="191" t="s">
        <v>223</v>
      </c>
      <c r="D218" s="192">
        <f t="shared" si="42"/>
        <v>327</v>
      </c>
      <c r="E218" s="192">
        <f t="shared" si="43"/>
        <v>572</v>
      </c>
      <c r="F218" s="192">
        <f t="shared" si="44"/>
        <v>0</v>
      </c>
      <c r="G218" s="193">
        <f t="shared" si="45"/>
        <v>899</v>
      </c>
      <c r="H218" s="194">
        <v>108</v>
      </c>
      <c r="I218" s="194">
        <v>305</v>
      </c>
      <c r="J218" s="194">
        <v>0</v>
      </c>
      <c r="K218" s="193">
        <f t="shared" si="46"/>
        <v>413</v>
      </c>
      <c r="L218" s="194">
        <v>180</v>
      </c>
      <c r="M218" s="194">
        <v>246</v>
      </c>
      <c r="N218" s="194">
        <v>0</v>
      </c>
      <c r="O218" s="193">
        <f t="shared" si="47"/>
        <v>426</v>
      </c>
      <c r="P218" s="194">
        <v>39</v>
      </c>
      <c r="Q218" s="194">
        <v>21</v>
      </c>
      <c r="R218" s="194">
        <v>0</v>
      </c>
      <c r="S218" s="193">
        <f t="shared" si="48"/>
        <v>60</v>
      </c>
      <c r="T218" s="193">
        <f t="shared" si="49"/>
        <v>29.966666666666665</v>
      </c>
      <c r="U218" s="193">
        <f ca="1">OFFSET('Expenditure Study'!$B$7,'Operations Support'!$C218,'Operations Support'!$B218)*$G218</f>
        <v>1132.74</v>
      </c>
      <c r="V218" s="199">
        <f ca="1">U218*'Expenditure Study'!$B$31</f>
        <v>66925.882219392006</v>
      </c>
      <c r="W218" s="199">
        <f ca="1">IF(A218=10298,1.51,1)*IF($B218&lt;3,$D218*'Expenditure Study'!$B$32*OFFSET('Expenditure Study'!$B$7,'Operations Support'!$C218,'Operations Support'!$B218),0)</f>
        <v>41.202000000000005</v>
      </c>
      <c r="X218" s="200">
        <f ca="1">W218*'Expenditure Study'!$B$31</f>
        <v>2434.3452153216003</v>
      </c>
      <c r="Y218" s="199">
        <f ca="1">U218*'Expenditure Study'!$B$31</f>
        <v>66925.882219392006</v>
      </c>
      <c r="Z218" s="200">
        <f ca="1">W218*'Expenditure Study'!$B$31</f>
        <v>2434.3452153216003</v>
      </c>
      <c r="AA218" s="195">
        <f t="shared" ca="1" si="50"/>
        <v>69360.227434713612</v>
      </c>
      <c r="AB218" s="195">
        <f t="shared" ca="1" si="51"/>
        <v>69360.227434713612</v>
      </c>
      <c r="AD218" s="196">
        <f>IFERROR($G218/SUMIF($A:$A,$A218,$G:$G)*SUMIF(Summary!$A$166:$A$242,$A218,Summary!$P$166:$P$242),0)</f>
        <v>11273.356009859592</v>
      </c>
      <c r="AE218" s="197">
        <f t="shared" ca="1" si="52"/>
        <v>58086.87142485402</v>
      </c>
      <c r="AF218" s="196">
        <f>IFERROR(G218/SUMIF(A:A,A218,G:G)*SUMIF(Summary!$A$166:$A$242,'Operations Support'!A218,Summary!$Q$166:$Q$242),0)</f>
        <v>11297.416758266787</v>
      </c>
      <c r="AG218" s="196">
        <f t="shared" ca="1" si="53"/>
        <v>58062.810676446825</v>
      </c>
      <c r="AI218" s="196">
        <f>IFERROR($G218/SUMIF($A:$A,$A218,$G:$G)*SUMIF(Summary!$A$247:$A$283,$A218,Summary!$P$247:$P$283),0)</f>
        <v>2055.978812735068</v>
      </c>
      <c r="AJ218" s="196">
        <f>IFERROR($G218/SUMIF($A:$A,$A218,$G:$G)*(SUMIF(Summary!$A$247:$A$283,$A218,Summary!$L$247:$L$283)+SUMIF(Summary!$A$297:$A$333,$A218,Summary!$L$297:$L$333))-AI218,0)</f>
        <v>14689.308827739622</v>
      </c>
      <c r="AK218" s="196">
        <f>IFERROR($G218/SUMIF($A:$A,$A218,$G:$G)*SUMIF(Summary!$A$247:$A$283,$A218,Summary!$Q$247:$Q$283),0)</f>
        <v>2060.366892815257</v>
      </c>
      <c r="AL218" s="196">
        <f>IFERROR($G218/SUMIF($A:$A,$A218,$G:$G)*(SUMIF(Summary!$A$247:$A$283,$A218,Summary!$L$247:$L$283)+SUMIF(Summary!$A$297:$A$333,$A218,Summary!$L$297:$L$333))-AK218,0)</f>
        <v>14684.920747659433</v>
      </c>
      <c r="AM218" s="198"/>
      <c r="AN218" s="196">
        <f t="shared" ca="1" si="54"/>
        <v>72776.180252593636</v>
      </c>
      <c r="AO218" s="196">
        <f t="shared" ca="1" si="55"/>
        <v>72747.731424106256</v>
      </c>
    </row>
    <row r="219" spans="1:41">
      <c r="A219" s="189">
        <v>3565</v>
      </c>
      <c r="B219" s="190">
        <v>1</v>
      </c>
      <c r="C219" s="191" t="s">
        <v>224</v>
      </c>
      <c r="D219" s="192">
        <f t="shared" si="42"/>
        <v>2191</v>
      </c>
      <c r="E219" s="192">
        <f t="shared" si="43"/>
        <v>2305</v>
      </c>
      <c r="F219" s="192">
        <f t="shared" si="44"/>
        <v>0</v>
      </c>
      <c r="G219" s="193">
        <f t="shared" si="45"/>
        <v>4496</v>
      </c>
      <c r="H219" s="194">
        <v>845</v>
      </c>
      <c r="I219" s="194">
        <v>986</v>
      </c>
      <c r="J219" s="194">
        <v>0</v>
      </c>
      <c r="K219" s="193">
        <f t="shared" si="46"/>
        <v>1831</v>
      </c>
      <c r="L219" s="194">
        <v>1208</v>
      </c>
      <c r="M219" s="194">
        <v>1237</v>
      </c>
      <c r="N219" s="194">
        <v>0</v>
      </c>
      <c r="O219" s="193">
        <f t="shared" si="47"/>
        <v>2445</v>
      </c>
      <c r="P219" s="194">
        <v>138</v>
      </c>
      <c r="Q219" s="194">
        <v>82</v>
      </c>
      <c r="R219" s="194">
        <v>0</v>
      </c>
      <c r="S219" s="193">
        <f t="shared" si="48"/>
        <v>220</v>
      </c>
      <c r="T219" s="193">
        <f t="shared" si="49"/>
        <v>149.86666666666667</v>
      </c>
      <c r="U219" s="193">
        <f ca="1">OFFSET('Expenditure Study'!$B$7,'Operations Support'!$C219,'Operations Support'!$B219)*$G219</f>
        <v>6654.08</v>
      </c>
      <c r="V219" s="199">
        <f ca="1">U219*'Expenditure Study'!$B$31</f>
        <v>393144.211697664</v>
      </c>
      <c r="W219" s="199">
        <f ca="1">IF(A219=10298,1.51,1)*IF($B219&lt;3,$D219*'Expenditure Study'!$B$32*OFFSET('Expenditure Study'!$B$7,'Operations Support'!$C219,'Operations Support'!$B219),0)</f>
        <v>324.26800000000003</v>
      </c>
      <c r="X219" s="200">
        <f ca="1">W219*'Expenditure Study'!$B$31</f>
        <v>19158.784871654403</v>
      </c>
      <c r="Y219" s="199">
        <f ca="1">U219*'Expenditure Study'!$B$31</f>
        <v>393144.211697664</v>
      </c>
      <c r="Z219" s="200">
        <f ca="1">W219*'Expenditure Study'!$B$31</f>
        <v>19158.784871654403</v>
      </c>
      <c r="AA219" s="195">
        <f t="shared" ca="1" si="50"/>
        <v>412302.99656931841</v>
      </c>
      <c r="AB219" s="195">
        <f t="shared" ca="1" si="51"/>
        <v>412302.99656931841</v>
      </c>
      <c r="AD219" s="196">
        <f>IFERROR($G219/SUMIF($A:$A,$A219,$G:$G)*SUMIF(Summary!$A$166:$A$242,$A219,Summary!$P$166:$P$242),0)</f>
        <v>56379.319933624836</v>
      </c>
      <c r="AE219" s="197">
        <f t="shared" ca="1" si="52"/>
        <v>355923.67663569358</v>
      </c>
      <c r="AF219" s="196">
        <f>IFERROR(G219/SUMIF(A:A,A219,G:G)*SUMIF(Summary!$A$166:$A$242,'Operations Support'!A219,Summary!$Q$166:$Q$242),0)</f>
        <v>56499.650439563382</v>
      </c>
      <c r="AG219" s="196">
        <f t="shared" ca="1" si="53"/>
        <v>355803.34612975502</v>
      </c>
      <c r="AI219" s="196">
        <f>IFERROR($G219/SUMIF($A:$A,$A219,$G:$G)*SUMIF(Summary!$A$247:$A$283,$A219,Summary!$P$247:$P$283),0)</f>
        <v>10282.181025647238</v>
      </c>
      <c r="AJ219" s="196">
        <f>IFERROR($G219/SUMIF($A:$A,$A219,$G:$G)*(SUMIF(Summary!$A$247:$A$283,$A219,Summary!$L$247:$L$283)+SUMIF(Summary!$A$297:$A$333,$A219,Summary!$L$297:$L$333))-AI219,0)</f>
        <v>73462.88374807268</v>
      </c>
      <c r="AK219" s="196">
        <f>IFERROR($G219/SUMIF($A:$A,$A219,$G:$G)*SUMIF(Summary!$A$247:$A$283,$A219,Summary!$Q$247:$Q$283),0)</f>
        <v>10304.126307116125</v>
      </c>
      <c r="AL219" s="196">
        <f>IFERROR($G219/SUMIF($A:$A,$A219,$G:$G)*(SUMIF(Summary!$A$247:$A$283,$A219,Summary!$L$247:$L$283)+SUMIF(Summary!$A$297:$A$333,$A219,Summary!$L$297:$L$333))-AK219,0)</f>
        <v>73440.938466603795</v>
      </c>
      <c r="AM219" s="198"/>
      <c r="AN219" s="196">
        <f t="shared" ca="1" si="54"/>
        <v>429386.56038376625</v>
      </c>
      <c r="AO219" s="196">
        <f t="shared" ca="1" si="55"/>
        <v>429244.28459635883</v>
      </c>
    </row>
    <row r="220" spans="1:41">
      <c r="A220" s="189">
        <v>3565</v>
      </c>
      <c r="B220" s="190">
        <v>1</v>
      </c>
      <c r="C220" s="191" t="s">
        <v>225</v>
      </c>
      <c r="D220" s="192">
        <f t="shared" si="42"/>
        <v>2029</v>
      </c>
      <c r="E220" s="192">
        <f t="shared" si="43"/>
        <v>535</v>
      </c>
      <c r="F220" s="192">
        <f t="shared" si="44"/>
        <v>0</v>
      </c>
      <c r="G220" s="193">
        <f t="shared" si="45"/>
        <v>2564</v>
      </c>
      <c r="H220" s="194">
        <v>909</v>
      </c>
      <c r="I220" s="194">
        <v>161</v>
      </c>
      <c r="J220" s="194">
        <v>0</v>
      </c>
      <c r="K220" s="193">
        <f t="shared" si="46"/>
        <v>1070</v>
      </c>
      <c r="L220" s="194">
        <v>1072</v>
      </c>
      <c r="M220" s="194">
        <v>306</v>
      </c>
      <c r="N220" s="194">
        <v>0</v>
      </c>
      <c r="O220" s="193">
        <f t="shared" si="47"/>
        <v>1378</v>
      </c>
      <c r="P220" s="194">
        <v>48</v>
      </c>
      <c r="Q220" s="194">
        <v>68</v>
      </c>
      <c r="R220" s="194">
        <v>0</v>
      </c>
      <c r="S220" s="193">
        <f t="shared" si="48"/>
        <v>116</v>
      </c>
      <c r="T220" s="193">
        <f t="shared" si="49"/>
        <v>85.466666666666669</v>
      </c>
      <c r="U220" s="193">
        <f ca="1">OFFSET('Expenditure Study'!$B$7,'Operations Support'!$C220,'Operations Support'!$B220)*$G220</f>
        <v>4512.6400000000003</v>
      </c>
      <c r="V220" s="199">
        <f ca="1">U220*'Expenditure Study'!$B$31</f>
        <v>266621.12500531203</v>
      </c>
      <c r="W220" s="199">
        <f ca="1">IF(A220=10298,1.51,1)*IF($B220&lt;3,$D220*'Expenditure Study'!$B$32*OFFSET('Expenditure Study'!$B$7,'Operations Support'!$C220,'Operations Support'!$B220),0)</f>
        <v>357.10399999999998</v>
      </c>
      <c r="X220" s="200">
        <f ca="1">W220*'Expenditure Study'!$B$31</f>
        <v>21098.840196403198</v>
      </c>
      <c r="Y220" s="199">
        <f ca="1">U220*'Expenditure Study'!$B$31</f>
        <v>266621.12500531203</v>
      </c>
      <c r="Z220" s="200">
        <f ca="1">W220*'Expenditure Study'!$B$31</f>
        <v>21098.840196403198</v>
      </c>
      <c r="AA220" s="195">
        <f t="shared" ca="1" si="50"/>
        <v>287719.96520171524</v>
      </c>
      <c r="AB220" s="195">
        <f t="shared" ca="1" si="51"/>
        <v>287719.96520171524</v>
      </c>
      <c r="AD220" s="196">
        <f>IFERROR($G220/SUMIF($A:$A,$A220,$G:$G)*SUMIF(Summary!$A$166:$A$242,$A220,Summary!$P$166:$P$242),0)</f>
        <v>32152.263414104553</v>
      </c>
      <c r="AE220" s="197">
        <f t="shared" ca="1" si="52"/>
        <v>255567.70178761068</v>
      </c>
      <c r="AF220" s="196">
        <f>IFERROR(G220/SUMIF(A:A,A220,G:G)*SUMIF(Summary!$A$166:$A$242,'Operations Support'!A220,Summary!$Q$166:$Q$242),0)</f>
        <v>32220.886060284807</v>
      </c>
      <c r="AG220" s="196">
        <f t="shared" ca="1" si="53"/>
        <v>255499.07914143044</v>
      </c>
      <c r="AI220" s="196">
        <f>IFERROR($G220/SUMIF($A:$A,$A220,$G:$G)*SUMIF(Summary!$A$247:$A$283,$A220,Summary!$P$247:$P$283),0)</f>
        <v>5863.7704959429529</v>
      </c>
      <c r="AJ220" s="196">
        <f>IFERROR($G220/SUMIF($A:$A,$A220,$G:$G)*(SUMIF(Summary!$A$247:$A$283,$A220,Summary!$L$247:$L$283)+SUMIF(Summary!$A$297:$A$333,$A220,Summary!$L$297:$L$333))-AI220,0)</f>
        <v>41894.758436400873</v>
      </c>
      <c r="AK220" s="196">
        <f>IFERROR($G220/SUMIF($A:$A,$A220,$G:$G)*SUMIF(Summary!$A$247:$A$283,$A220,Summary!$Q$247:$Q$283),0)</f>
        <v>5876.2855541471854</v>
      </c>
      <c r="AL220" s="196">
        <f>IFERROR($G220/SUMIF($A:$A,$A220,$G:$G)*(SUMIF(Summary!$A$247:$A$283,$A220,Summary!$L$247:$L$283)+SUMIF(Summary!$A$297:$A$333,$A220,Summary!$L$297:$L$333))-AK220,0)</f>
        <v>41882.243378196639</v>
      </c>
      <c r="AM220" s="198"/>
      <c r="AN220" s="196">
        <f t="shared" ca="1" si="54"/>
        <v>297462.46022401156</v>
      </c>
      <c r="AO220" s="196">
        <f t="shared" ca="1" si="55"/>
        <v>297381.32251962705</v>
      </c>
    </row>
    <row r="221" spans="1:41">
      <c r="A221" s="189">
        <v>3565</v>
      </c>
      <c r="B221" s="190">
        <v>1</v>
      </c>
      <c r="C221" s="191" t="s">
        <v>226</v>
      </c>
      <c r="D221" s="192">
        <f t="shared" si="42"/>
        <v>171</v>
      </c>
      <c r="E221" s="192">
        <f t="shared" si="43"/>
        <v>123</v>
      </c>
      <c r="F221" s="192">
        <f t="shared" si="44"/>
        <v>0</v>
      </c>
      <c r="G221" s="193">
        <f t="shared" si="45"/>
        <v>294</v>
      </c>
      <c r="H221" s="194">
        <v>45</v>
      </c>
      <c r="I221" s="194">
        <v>87</v>
      </c>
      <c r="J221" s="194">
        <v>0</v>
      </c>
      <c r="K221" s="193">
        <f t="shared" si="46"/>
        <v>132</v>
      </c>
      <c r="L221" s="194">
        <v>126</v>
      </c>
      <c r="M221" s="194">
        <v>27</v>
      </c>
      <c r="N221" s="194">
        <v>0</v>
      </c>
      <c r="O221" s="193">
        <f t="shared" si="47"/>
        <v>153</v>
      </c>
      <c r="P221" s="194">
        <v>0</v>
      </c>
      <c r="Q221" s="194">
        <v>9</v>
      </c>
      <c r="R221" s="194">
        <v>0</v>
      </c>
      <c r="S221" s="193">
        <f t="shared" si="48"/>
        <v>9</v>
      </c>
      <c r="T221" s="193">
        <f t="shared" si="49"/>
        <v>9.8000000000000007</v>
      </c>
      <c r="U221" s="193">
        <f ca="1">OFFSET('Expenditure Study'!$B$7,'Operations Support'!$C221,'Operations Support'!$B221)*$G221</f>
        <v>279.3</v>
      </c>
      <c r="V221" s="199">
        <f ca="1">U221*'Expenditure Study'!$B$31</f>
        <v>16501.932397439999</v>
      </c>
      <c r="W221" s="199">
        <f ca="1">IF(A221=10298,1.51,1)*IF($B221&lt;3,$D221*'Expenditure Study'!$B$32*OFFSET('Expenditure Study'!$B$7,'Operations Support'!$C221,'Operations Support'!$B221),0)</f>
        <v>16.245000000000001</v>
      </c>
      <c r="X221" s="200">
        <f ca="1">W221*'Expenditure Study'!$B$31</f>
        <v>959.80627209600004</v>
      </c>
      <c r="Y221" s="199">
        <f ca="1">U221*'Expenditure Study'!$B$31</f>
        <v>16501.932397439999</v>
      </c>
      <c r="Z221" s="200">
        <f ca="1">W221*'Expenditure Study'!$B$31</f>
        <v>959.80627209600004</v>
      </c>
      <c r="AA221" s="195">
        <f t="shared" ca="1" si="50"/>
        <v>17461.738669536</v>
      </c>
      <c r="AB221" s="195">
        <f t="shared" ca="1" si="51"/>
        <v>17461.738669536</v>
      </c>
      <c r="AD221" s="196">
        <f>IFERROR($G221/SUMIF($A:$A,$A221,$G:$G)*SUMIF(Summary!$A$166:$A$242,$A221,Summary!$P$166:$P$242),0)</f>
        <v>3686.7259921009118</v>
      </c>
      <c r="AE221" s="197">
        <f t="shared" ca="1" si="52"/>
        <v>13775.012677435088</v>
      </c>
      <c r="AF221" s="196">
        <f>IFERROR(G221/SUMIF(A:A,A221,G:G)*SUMIF(Summary!$A$166:$A$242,'Operations Support'!A221,Summary!$Q$166:$Q$242),0)</f>
        <v>3694.5945794554341</v>
      </c>
      <c r="AG221" s="196">
        <f t="shared" ca="1" si="53"/>
        <v>13767.144090080566</v>
      </c>
      <c r="AI221" s="196">
        <f>IFERROR($G221/SUMIF($A:$A,$A221,$G:$G)*SUMIF(Summary!$A$247:$A$283,$A221,Summary!$P$247:$P$283),0)</f>
        <v>672.36681973760835</v>
      </c>
      <c r="AJ221" s="196">
        <f>IFERROR($G221/SUMIF($A:$A,$A221,$G:$G)*(SUMIF(Summary!$A$247:$A$283,$A221,Summary!$L$247:$L$283)+SUMIF(Summary!$A$297:$A$333,$A221,Summary!$L$297:$L$333))-AI221,0)</f>
        <v>4803.845156123969</v>
      </c>
      <c r="AK221" s="196">
        <f>IFERROR($G221/SUMIF($A:$A,$A221,$G:$G)*SUMIF(Summary!$A$247:$A$283,$A221,Summary!$Q$247:$Q$283),0)</f>
        <v>673.80185371266464</v>
      </c>
      <c r="AL221" s="196">
        <f>IFERROR($G221/SUMIF($A:$A,$A221,$G:$G)*(SUMIF(Summary!$A$247:$A$283,$A221,Summary!$L$247:$L$283)+SUMIF(Summary!$A$297:$A$333,$A221,Summary!$L$297:$L$333))-AK221,0)</f>
        <v>4802.4101221489127</v>
      </c>
      <c r="AM221" s="198"/>
      <c r="AN221" s="196">
        <f t="shared" ca="1" si="54"/>
        <v>18578.857833559057</v>
      </c>
      <c r="AO221" s="196">
        <f t="shared" ca="1" si="55"/>
        <v>18569.554212229479</v>
      </c>
    </row>
    <row r="222" spans="1:41">
      <c r="A222" s="189">
        <v>3565</v>
      </c>
      <c r="B222" s="190">
        <v>1</v>
      </c>
      <c r="C222" s="191" t="s">
        <v>227</v>
      </c>
      <c r="D222" s="192">
        <f t="shared" si="42"/>
        <v>0</v>
      </c>
      <c r="E222" s="192">
        <f t="shared" si="43"/>
        <v>0</v>
      </c>
      <c r="F222" s="192">
        <f t="shared" si="44"/>
        <v>0</v>
      </c>
      <c r="G222" s="193">
        <f t="shared" si="45"/>
        <v>0</v>
      </c>
      <c r="H222" s="194">
        <v>0</v>
      </c>
      <c r="I222" s="194">
        <v>0</v>
      </c>
      <c r="J222" s="194">
        <v>0</v>
      </c>
      <c r="K222" s="193">
        <f t="shared" si="46"/>
        <v>0</v>
      </c>
      <c r="L222" s="194">
        <v>0</v>
      </c>
      <c r="M222" s="194">
        <v>0</v>
      </c>
      <c r="N222" s="194">
        <v>0</v>
      </c>
      <c r="O222" s="193">
        <f t="shared" si="47"/>
        <v>0</v>
      </c>
      <c r="P222" s="194">
        <v>0</v>
      </c>
      <c r="Q222" s="194">
        <v>0</v>
      </c>
      <c r="R222" s="194">
        <v>0</v>
      </c>
      <c r="S222" s="193">
        <f t="shared" si="48"/>
        <v>0</v>
      </c>
      <c r="T222" s="193">
        <f t="shared" si="49"/>
        <v>0</v>
      </c>
      <c r="U222" s="193">
        <f ca="1">OFFSET('Expenditure Study'!$B$7,'Operations Support'!$C222,'Operations Support'!$B222)*$G222</f>
        <v>0</v>
      </c>
      <c r="V222" s="199">
        <f ca="1">U222*'Expenditure Study'!$B$31</f>
        <v>0</v>
      </c>
      <c r="W222" s="199">
        <f ca="1">IF(A222=10298,1.51,1)*IF($B222&lt;3,$D222*'Expenditure Study'!$B$32*OFFSET('Expenditure Study'!$B$7,'Operations Support'!$C222,'Operations Support'!$B222),0)</f>
        <v>0</v>
      </c>
      <c r="X222" s="200">
        <f ca="1">W222*'Expenditure Study'!$B$31</f>
        <v>0</v>
      </c>
      <c r="Y222" s="199">
        <f ca="1">U222*'Expenditure Study'!$B$31</f>
        <v>0</v>
      </c>
      <c r="Z222" s="200">
        <f ca="1">W222*'Expenditure Study'!$B$31</f>
        <v>0</v>
      </c>
      <c r="AA222" s="195">
        <f t="shared" ca="1" si="50"/>
        <v>0</v>
      </c>
      <c r="AB222" s="195">
        <f t="shared" ca="1" si="51"/>
        <v>0</v>
      </c>
      <c r="AD222" s="196">
        <f>IFERROR($G222/SUMIF($A:$A,$A222,$G:$G)*SUMIF(Summary!$A$166:$A$242,$A222,Summary!$P$166:$P$242),0)</f>
        <v>0</v>
      </c>
      <c r="AE222" s="197">
        <f t="shared" ca="1" si="52"/>
        <v>0</v>
      </c>
      <c r="AF222" s="196">
        <f>IFERROR(G222/SUMIF(A:A,A222,G:G)*SUMIF(Summary!$A$166:$A$242,'Operations Support'!A222,Summary!$Q$166:$Q$242),0)</f>
        <v>0</v>
      </c>
      <c r="AG222" s="196">
        <f t="shared" ca="1" si="53"/>
        <v>0</v>
      </c>
      <c r="AI222" s="196">
        <f>IFERROR($G222/SUMIF($A:$A,$A222,$G:$G)*SUMIF(Summary!$A$247:$A$283,$A222,Summary!$P$247:$P$283),0)</f>
        <v>0</v>
      </c>
      <c r="AJ222" s="196">
        <f>IFERROR($G222/SUMIF($A:$A,$A222,$G:$G)*(SUMIF(Summary!$A$247:$A$283,$A222,Summary!$L$247:$L$283)+SUMIF(Summary!$A$297:$A$333,$A222,Summary!$L$297:$L$333))-AI222,0)</f>
        <v>0</v>
      </c>
      <c r="AK222" s="196">
        <f>IFERROR($G222/SUMIF($A:$A,$A222,$G:$G)*SUMIF(Summary!$A$247:$A$283,$A222,Summary!$Q$247:$Q$283),0)</f>
        <v>0</v>
      </c>
      <c r="AL222" s="196">
        <f>IFERROR($G222/SUMIF($A:$A,$A222,$G:$G)*(SUMIF(Summary!$A$247:$A$283,$A222,Summary!$L$247:$L$283)+SUMIF(Summary!$A$297:$A$333,$A222,Summary!$L$297:$L$333))-AK222,0)</f>
        <v>0</v>
      </c>
      <c r="AM222" s="198"/>
      <c r="AN222" s="196">
        <f t="shared" ca="1" si="54"/>
        <v>0</v>
      </c>
      <c r="AO222" s="196">
        <f t="shared" ca="1" si="55"/>
        <v>0</v>
      </c>
    </row>
    <row r="223" spans="1:41">
      <c r="A223" s="189">
        <v>3565</v>
      </c>
      <c r="B223" s="190">
        <v>1</v>
      </c>
      <c r="C223" s="191" t="s">
        <v>228</v>
      </c>
      <c r="D223" s="192">
        <f t="shared" si="42"/>
        <v>18</v>
      </c>
      <c r="E223" s="192">
        <f t="shared" si="43"/>
        <v>390</v>
      </c>
      <c r="F223" s="192">
        <f t="shared" si="44"/>
        <v>0</v>
      </c>
      <c r="G223" s="193">
        <f t="shared" si="45"/>
        <v>408</v>
      </c>
      <c r="H223" s="194">
        <v>12</v>
      </c>
      <c r="I223" s="194">
        <v>156</v>
      </c>
      <c r="J223" s="194">
        <v>0</v>
      </c>
      <c r="K223" s="193">
        <f t="shared" si="46"/>
        <v>168</v>
      </c>
      <c r="L223" s="194">
        <v>6</v>
      </c>
      <c r="M223" s="194">
        <v>114</v>
      </c>
      <c r="N223" s="194">
        <v>0</v>
      </c>
      <c r="O223" s="193">
        <f t="shared" si="47"/>
        <v>120</v>
      </c>
      <c r="P223" s="194">
        <v>0</v>
      </c>
      <c r="Q223" s="194">
        <v>120</v>
      </c>
      <c r="R223" s="194">
        <v>0</v>
      </c>
      <c r="S223" s="193">
        <f t="shared" si="48"/>
        <v>120</v>
      </c>
      <c r="T223" s="193">
        <f t="shared" si="49"/>
        <v>13.6</v>
      </c>
      <c r="U223" s="193">
        <f ca="1">OFFSET('Expenditure Study'!$B$7,'Operations Support'!$C223,'Operations Support'!$B223)*$G223</f>
        <v>644.64</v>
      </c>
      <c r="V223" s="199">
        <f ca="1">U223*'Expenditure Study'!$B$31</f>
        <v>38087.381670912</v>
      </c>
      <c r="W223" s="199">
        <f ca="1">IF(A223=10298,1.51,1)*IF($B223&lt;3,$D223*'Expenditure Study'!$B$32*OFFSET('Expenditure Study'!$B$7,'Operations Support'!$C223,'Operations Support'!$B223),0)</f>
        <v>2.8440000000000003</v>
      </c>
      <c r="X223" s="200">
        <f ca="1">W223*'Expenditure Study'!$B$31</f>
        <v>168.03256619520002</v>
      </c>
      <c r="Y223" s="199">
        <f ca="1">U223*'Expenditure Study'!$B$31</f>
        <v>38087.381670912</v>
      </c>
      <c r="Z223" s="200">
        <f ca="1">W223*'Expenditure Study'!$B$31</f>
        <v>168.03256619520002</v>
      </c>
      <c r="AA223" s="195">
        <f t="shared" ca="1" si="50"/>
        <v>38255.414237107201</v>
      </c>
      <c r="AB223" s="195">
        <f t="shared" ca="1" si="51"/>
        <v>38255.414237107201</v>
      </c>
      <c r="AD223" s="196">
        <f>IFERROR($G223/SUMIF($A:$A,$A223,$G:$G)*SUMIF(Summary!$A$166:$A$242,$A223,Summary!$P$166:$P$242),0)</f>
        <v>5116.2728053645315</v>
      </c>
      <c r="AE223" s="197">
        <f t="shared" ca="1" si="52"/>
        <v>33139.141431742668</v>
      </c>
      <c r="AF223" s="196">
        <f>IFERROR(G223/SUMIF(A:A,A223,G:G)*SUMIF(Summary!$A$166:$A$242,'Operations Support'!A223,Summary!$Q$166:$Q$242),0)</f>
        <v>5127.192477611623</v>
      </c>
      <c r="AG223" s="196">
        <f t="shared" ca="1" si="53"/>
        <v>33128.22175949558</v>
      </c>
      <c r="AI223" s="196">
        <f>IFERROR($G223/SUMIF($A:$A,$A223,$G:$G)*SUMIF(Summary!$A$247:$A$283,$A223,Summary!$P$247:$P$283),0)</f>
        <v>933.08048453382401</v>
      </c>
      <c r="AJ223" s="196">
        <f>IFERROR($G223/SUMIF($A:$A,$A223,$G:$G)*(SUMIF(Summary!$A$247:$A$283,$A223,Summary!$L$247:$L$283)+SUMIF(Summary!$A$297:$A$333,$A223,Summary!$L$297:$L$333))-AI223,0)</f>
        <v>6666.5606248250997</v>
      </c>
      <c r="AK223" s="196">
        <f>IFERROR($G223/SUMIF($A:$A,$A223,$G:$G)*SUMIF(Summary!$A$247:$A$283,$A223,Summary!$Q$247:$Q$283),0)</f>
        <v>935.07196025431028</v>
      </c>
      <c r="AL223" s="196">
        <f>IFERROR($G223/SUMIF($A:$A,$A223,$G:$G)*(SUMIF(Summary!$A$247:$A$283,$A223,Summary!$L$247:$L$283)+SUMIF(Summary!$A$297:$A$333,$A223,Summary!$L$297:$L$333))-AK223,0)</f>
        <v>6664.5691491046136</v>
      </c>
      <c r="AM223" s="198"/>
      <c r="AN223" s="196">
        <f t="shared" ca="1" si="54"/>
        <v>39805.702056567767</v>
      </c>
      <c r="AO223" s="196">
        <f t="shared" ca="1" si="55"/>
        <v>39792.790908600196</v>
      </c>
    </row>
    <row r="224" spans="1:41">
      <c r="A224" s="189">
        <v>3565</v>
      </c>
      <c r="B224" s="190">
        <v>1</v>
      </c>
      <c r="C224" s="191" t="s">
        <v>229</v>
      </c>
      <c r="D224" s="192">
        <f t="shared" si="42"/>
        <v>0</v>
      </c>
      <c r="E224" s="192">
        <f t="shared" si="43"/>
        <v>0</v>
      </c>
      <c r="F224" s="192">
        <f t="shared" si="44"/>
        <v>0</v>
      </c>
      <c r="G224" s="193">
        <f t="shared" si="45"/>
        <v>0</v>
      </c>
      <c r="H224" s="194">
        <v>0</v>
      </c>
      <c r="I224" s="194">
        <v>0</v>
      </c>
      <c r="J224" s="194">
        <v>0</v>
      </c>
      <c r="K224" s="193">
        <f t="shared" si="46"/>
        <v>0</v>
      </c>
      <c r="L224" s="194">
        <v>0</v>
      </c>
      <c r="M224" s="194">
        <v>0</v>
      </c>
      <c r="N224" s="194">
        <v>0</v>
      </c>
      <c r="O224" s="193">
        <f t="shared" si="47"/>
        <v>0</v>
      </c>
      <c r="P224" s="194">
        <v>0</v>
      </c>
      <c r="Q224" s="194">
        <v>0</v>
      </c>
      <c r="R224" s="194">
        <v>0</v>
      </c>
      <c r="S224" s="193">
        <f t="shared" si="48"/>
        <v>0</v>
      </c>
      <c r="T224" s="193">
        <f t="shared" si="49"/>
        <v>0</v>
      </c>
      <c r="U224" s="193">
        <f ca="1">OFFSET('Expenditure Study'!$B$7,'Operations Support'!$C224,'Operations Support'!$B224)*$G224</f>
        <v>0</v>
      </c>
      <c r="V224" s="199">
        <f ca="1">U224*'Expenditure Study'!$B$31</f>
        <v>0</v>
      </c>
      <c r="W224" s="199">
        <f ca="1">IF(A224=10298,1.51,1)*IF($B224&lt;3,$D224*'Expenditure Study'!$B$32*OFFSET('Expenditure Study'!$B$7,'Operations Support'!$C224,'Operations Support'!$B224),0)</f>
        <v>0</v>
      </c>
      <c r="X224" s="200">
        <f ca="1">W224*'Expenditure Study'!$B$31</f>
        <v>0</v>
      </c>
      <c r="Y224" s="199">
        <f ca="1">U224*'Expenditure Study'!$B$31</f>
        <v>0</v>
      </c>
      <c r="Z224" s="200">
        <f ca="1">W224*'Expenditure Study'!$B$31</f>
        <v>0</v>
      </c>
      <c r="AA224" s="195">
        <f t="shared" ca="1" si="50"/>
        <v>0</v>
      </c>
      <c r="AB224" s="195">
        <f t="shared" ca="1" si="51"/>
        <v>0</v>
      </c>
      <c r="AD224" s="196">
        <f>IFERROR($G224/SUMIF($A:$A,$A224,$G:$G)*SUMIF(Summary!$A$166:$A$242,$A224,Summary!$P$166:$P$242),0)</f>
        <v>0</v>
      </c>
      <c r="AE224" s="197">
        <f t="shared" ca="1" si="52"/>
        <v>0</v>
      </c>
      <c r="AF224" s="196">
        <f>IFERROR(G224/SUMIF(A:A,A224,G:G)*SUMIF(Summary!$A$166:$A$242,'Operations Support'!A224,Summary!$Q$166:$Q$242),0)</f>
        <v>0</v>
      </c>
      <c r="AG224" s="196">
        <f t="shared" ca="1" si="53"/>
        <v>0</v>
      </c>
      <c r="AI224" s="196">
        <f>IFERROR($G224/SUMIF($A:$A,$A224,$G:$G)*SUMIF(Summary!$A$247:$A$283,$A224,Summary!$P$247:$P$283),0)</f>
        <v>0</v>
      </c>
      <c r="AJ224" s="196">
        <f>IFERROR($G224/SUMIF($A:$A,$A224,$G:$G)*(SUMIF(Summary!$A$247:$A$283,$A224,Summary!$L$247:$L$283)+SUMIF(Summary!$A$297:$A$333,$A224,Summary!$L$297:$L$333))-AI224,0)</f>
        <v>0</v>
      </c>
      <c r="AK224" s="196">
        <f>IFERROR($G224/SUMIF($A:$A,$A224,$G:$G)*SUMIF(Summary!$A$247:$A$283,$A224,Summary!$Q$247:$Q$283),0)</f>
        <v>0</v>
      </c>
      <c r="AL224" s="196">
        <f>IFERROR($G224/SUMIF($A:$A,$A224,$G:$G)*(SUMIF(Summary!$A$247:$A$283,$A224,Summary!$L$247:$L$283)+SUMIF(Summary!$A$297:$A$333,$A224,Summary!$L$297:$L$333))-AK224,0)</f>
        <v>0</v>
      </c>
      <c r="AM224" s="198"/>
      <c r="AN224" s="196">
        <f t="shared" ca="1" si="54"/>
        <v>0</v>
      </c>
      <c r="AO224" s="196">
        <f t="shared" ca="1" si="55"/>
        <v>0</v>
      </c>
    </row>
    <row r="225" spans="1:41" s="201" customFormat="1">
      <c r="A225" s="189">
        <v>3565</v>
      </c>
      <c r="B225" s="190">
        <v>1</v>
      </c>
      <c r="C225" s="191" t="s">
        <v>230</v>
      </c>
      <c r="D225" s="192">
        <f t="shared" si="42"/>
        <v>0</v>
      </c>
      <c r="E225" s="192">
        <f t="shared" si="43"/>
        <v>0</v>
      </c>
      <c r="F225" s="192">
        <f t="shared" si="44"/>
        <v>0</v>
      </c>
      <c r="G225" s="193">
        <f t="shared" si="45"/>
        <v>0</v>
      </c>
      <c r="H225" s="194">
        <v>0</v>
      </c>
      <c r="I225" s="194">
        <v>0</v>
      </c>
      <c r="J225" s="194">
        <v>0</v>
      </c>
      <c r="K225" s="193">
        <f t="shared" si="46"/>
        <v>0</v>
      </c>
      <c r="L225" s="194">
        <v>0</v>
      </c>
      <c r="M225" s="194">
        <v>0</v>
      </c>
      <c r="N225" s="194">
        <v>0</v>
      </c>
      <c r="O225" s="193">
        <f t="shared" si="47"/>
        <v>0</v>
      </c>
      <c r="P225" s="194">
        <v>0</v>
      </c>
      <c r="Q225" s="194">
        <v>0</v>
      </c>
      <c r="R225" s="194">
        <v>0</v>
      </c>
      <c r="S225" s="193">
        <f t="shared" si="48"/>
        <v>0</v>
      </c>
      <c r="T225" s="193">
        <f t="shared" si="49"/>
        <v>0</v>
      </c>
      <c r="U225" s="193">
        <f ca="1">OFFSET('Expenditure Study'!$B$7,'Operations Support'!$C225,'Operations Support'!$B225)*$G225</f>
        <v>0</v>
      </c>
      <c r="V225" s="199">
        <f ca="1">U225*'Expenditure Study'!$B$31</f>
        <v>0</v>
      </c>
      <c r="W225" s="199">
        <f ca="1">IF(A225=10298,1.51,1)*IF($B225&lt;3,$D225*'Expenditure Study'!$B$32*OFFSET('Expenditure Study'!$B$7,'Operations Support'!$C225,'Operations Support'!$B225),0)</f>
        <v>0</v>
      </c>
      <c r="X225" s="200">
        <f ca="1">W225*'Expenditure Study'!$B$31</f>
        <v>0</v>
      </c>
      <c r="Y225" s="199">
        <f ca="1">U225*'Expenditure Study'!$B$31</f>
        <v>0</v>
      </c>
      <c r="Z225" s="200">
        <f ca="1">W225*'Expenditure Study'!$B$31</f>
        <v>0</v>
      </c>
      <c r="AA225" s="195">
        <f t="shared" ca="1" si="50"/>
        <v>0</v>
      </c>
      <c r="AB225" s="195">
        <f t="shared" ca="1" si="51"/>
        <v>0</v>
      </c>
      <c r="AD225" s="196">
        <f>IFERROR($G225/SUMIF($A:$A,$A225,$G:$G)*SUMIF(Summary!$A$166:$A$242,$A225,Summary!$P$166:$P$242),0)</f>
        <v>0</v>
      </c>
      <c r="AE225" s="197">
        <f t="shared" ca="1" si="52"/>
        <v>0</v>
      </c>
      <c r="AF225" s="196">
        <f>IFERROR(G225/SUMIF(A:A,A225,G:G)*SUMIF(Summary!$A$166:$A$242,'Operations Support'!A225,Summary!$Q$166:$Q$242),0)</f>
        <v>0</v>
      </c>
      <c r="AG225" s="196">
        <f t="shared" ca="1" si="53"/>
        <v>0</v>
      </c>
      <c r="AH225" s="180"/>
      <c r="AI225" s="196">
        <f>IFERROR($G225/SUMIF($A:$A,$A225,$G:$G)*SUMIF(Summary!$A$247:$A$283,$A225,Summary!$P$247:$P$283),0)</f>
        <v>0</v>
      </c>
      <c r="AJ225" s="196">
        <f>IFERROR($G225/SUMIF($A:$A,$A225,$G:$G)*(SUMIF(Summary!$A$247:$A$283,$A225,Summary!$L$247:$L$283)+SUMIF(Summary!$A$297:$A$333,$A225,Summary!$L$297:$L$333))-AI225,0)</f>
        <v>0</v>
      </c>
      <c r="AK225" s="196">
        <f>IFERROR($G225/SUMIF($A:$A,$A225,$G:$G)*SUMIF(Summary!$A$247:$A$283,$A225,Summary!$Q$247:$Q$283),0)</f>
        <v>0</v>
      </c>
      <c r="AL225" s="196">
        <f>IFERROR($G225/SUMIF($A:$A,$A225,$G:$G)*(SUMIF(Summary!$A$247:$A$283,$A225,Summary!$L$247:$L$283)+SUMIF(Summary!$A$297:$A$333,$A225,Summary!$L$297:$L$333))-AK225,0)</f>
        <v>0</v>
      </c>
      <c r="AM225" s="198"/>
      <c r="AN225" s="196">
        <f t="shared" ca="1" si="54"/>
        <v>0</v>
      </c>
      <c r="AO225" s="196">
        <f t="shared" ca="1" si="55"/>
        <v>0</v>
      </c>
    </row>
    <row r="226" spans="1:41" s="201" customFormat="1">
      <c r="A226" s="189">
        <v>3565</v>
      </c>
      <c r="B226" s="190">
        <v>1</v>
      </c>
      <c r="C226" s="191" t="s">
        <v>231</v>
      </c>
      <c r="D226" s="192">
        <f t="shared" si="42"/>
        <v>0</v>
      </c>
      <c r="E226" s="192">
        <f t="shared" si="43"/>
        <v>168</v>
      </c>
      <c r="F226" s="192">
        <f t="shared" si="44"/>
        <v>0</v>
      </c>
      <c r="G226" s="193">
        <f t="shared" si="45"/>
        <v>168</v>
      </c>
      <c r="H226" s="194">
        <v>0</v>
      </c>
      <c r="I226" s="194">
        <v>84</v>
      </c>
      <c r="J226" s="194">
        <v>0</v>
      </c>
      <c r="K226" s="193">
        <f t="shared" si="46"/>
        <v>84</v>
      </c>
      <c r="L226" s="194">
        <v>0</v>
      </c>
      <c r="M226" s="194">
        <v>84</v>
      </c>
      <c r="N226" s="194">
        <v>0</v>
      </c>
      <c r="O226" s="193">
        <f t="shared" si="47"/>
        <v>84</v>
      </c>
      <c r="P226" s="194">
        <v>0</v>
      </c>
      <c r="Q226" s="194">
        <v>0</v>
      </c>
      <c r="R226" s="194">
        <v>0</v>
      </c>
      <c r="S226" s="193">
        <f t="shared" si="48"/>
        <v>0</v>
      </c>
      <c r="T226" s="193">
        <f t="shared" si="49"/>
        <v>5.6</v>
      </c>
      <c r="U226" s="193">
        <f ca="1">OFFSET('Expenditure Study'!$B$7,'Operations Support'!$C226,'Operations Support'!$B226)*$G226</f>
        <v>255.36</v>
      </c>
      <c r="V226" s="199">
        <f ca="1">U226*'Expenditure Study'!$B$31</f>
        <v>15087.481049088001</v>
      </c>
      <c r="W226" s="199">
        <f ca="1">IF(A226=10298,1.51,1)*IF($B226&lt;3,$D226*'Expenditure Study'!$B$32*OFFSET('Expenditure Study'!$B$7,'Operations Support'!$C226,'Operations Support'!$B226),0)</f>
        <v>0</v>
      </c>
      <c r="X226" s="200">
        <f ca="1">W226*'Expenditure Study'!$B$31</f>
        <v>0</v>
      </c>
      <c r="Y226" s="199">
        <f ca="1">U226*'Expenditure Study'!$B$31</f>
        <v>15087.481049088001</v>
      </c>
      <c r="Z226" s="200">
        <f ca="1">W226*'Expenditure Study'!$B$31</f>
        <v>0</v>
      </c>
      <c r="AA226" s="195">
        <f t="shared" ca="1" si="50"/>
        <v>15087.481049088001</v>
      </c>
      <c r="AB226" s="195">
        <f t="shared" ca="1" si="51"/>
        <v>15087.481049088001</v>
      </c>
      <c r="AD226" s="196">
        <f>IFERROR($G226/SUMIF($A:$A,$A226,$G:$G)*SUMIF(Summary!$A$166:$A$242,$A226,Summary!$P$166:$P$242),0)</f>
        <v>2106.700566914807</v>
      </c>
      <c r="AE226" s="197">
        <f t="shared" ca="1" si="52"/>
        <v>12980.780482173193</v>
      </c>
      <c r="AF226" s="196">
        <f>IFERROR(G226/SUMIF(A:A,A226,G:G)*SUMIF(Summary!$A$166:$A$242,'Operations Support'!A226,Summary!$Q$166:$Q$242),0)</f>
        <v>2111.1969025459625</v>
      </c>
      <c r="AG226" s="196">
        <f t="shared" ca="1" si="53"/>
        <v>12976.284146542039</v>
      </c>
      <c r="AH226" s="180"/>
      <c r="AI226" s="196">
        <f>IFERROR($G226/SUMIF($A:$A,$A226,$G:$G)*SUMIF(Summary!$A$247:$A$283,$A226,Summary!$P$247:$P$283),0)</f>
        <v>384.20961127863342</v>
      </c>
      <c r="AJ226" s="196">
        <f>IFERROR($G226/SUMIF($A:$A,$A226,$G:$G)*(SUMIF(Summary!$A$247:$A$283,$A226,Summary!$L$247:$L$283)+SUMIF(Summary!$A$297:$A$333,$A226,Summary!$L$297:$L$333))-AI226,0)</f>
        <v>2745.0543749279827</v>
      </c>
      <c r="AK226" s="196">
        <f>IFERROR($G226/SUMIF($A:$A,$A226,$G:$G)*SUMIF(Summary!$A$247:$A$283,$A226,Summary!$Q$247:$Q$283),0)</f>
        <v>385.02963069295129</v>
      </c>
      <c r="AL226" s="196">
        <f>IFERROR($G226/SUMIF($A:$A,$A226,$G:$G)*(SUMIF(Summary!$A$247:$A$283,$A226,Summary!$L$247:$L$283)+SUMIF(Summary!$A$297:$A$333,$A226,Summary!$L$297:$L$333))-AK226,0)</f>
        <v>2744.2343555136649</v>
      </c>
      <c r="AM226" s="198"/>
      <c r="AN226" s="196">
        <f t="shared" ca="1" si="54"/>
        <v>15725.834857101176</v>
      </c>
      <c r="AO226" s="196">
        <f t="shared" ca="1" si="55"/>
        <v>15720.518502055704</v>
      </c>
    </row>
    <row r="227" spans="1:41">
      <c r="A227" s="189">
        <v>3565</v>
      </c>
      <c r="B227" s="190">
        <v>1</v>
      </c>
      <c r="C227" s="191" t="s">
        <v>232</v>
      </c>
      <c r="D227" s="192">
        <f t="shared" si="42"/>
        <v>0</v>
      </c>
      <c r="E227" s="192">
        <f t="shared" si="43"/>
        <v>0</v>
      </c>
      <c r="F227" s="192">
        <f t="shared" si="44"/>
        <v>0</v>
      </c>
      <c r="G227" s="193">
        <f t="shared" si="45"/>
        <v>0</v>
      </c>
      <c r="H227" s="194">
        <v>0</v>
      </c>
      <c r="I227" s="194">
        <v>0</v>
      </c>
      <c r="J227" s="194">
        <v>0</v>
      </c>
      <c r="K227" s="193">
        <f t="shared" si="46"/>
        <v>0</v>
      </c>
      <c r="L227" s="194">
        <v>0</v>
      </c>
      <c r="M227" s="194">
        <v>0</v>
      </c>
      <c r="N227" s="194">
        <v>0</v>
      </c>
      <c r="O227" s="193">
        <f t="shared" si="47"/>
        <v>0</v>
      </c>
      <c r="P227" s="194">
        <v>0</v>
      </c>
      <c r="Q227" s="194">
        <v>0</v>
      </c>
      <c r="R227" s="194">
        <v>0</v>
      </c>
      <c r="S227" s="193">
        <f t="shared" si="48"/>
        <v>0</v>
      </c>
      <c r="T227" s="193">
        <f t="shared" si="49"/>
        <v>0</v>
      </c>
      <c r="U227" s="193">
        <f ca="1">OFFSET('Expenditure Study'!$B$7,'Operations Support'!$C227,'Operations Support'!$B227)*$G227</f>
        <v>0</v>
      </c>
      <c r="V227" s="199">
        <f ca="1">U227*'Expenditure Study'!$B$31</f>
        <v>0</v>
      </c>
      <c r="W227" s="199">
        <f ca="1">IF(A227=10298,1.51,1)*IF($B227&lt;3,$D227*'Expenditure Study'!$B$32*OFFSET('Expenditure Study'!$B$7,'Operations Support'!$C227,'Operations Support'!$B227),0)</f>
        <v>0</v>
      </c>
      <c r="X227" s="200">
        <f ca="1">W227*'Expenditure Study'!$B$31</f>
        <v>0</v>
      </c>
      <c r="Y227" s="199">
        <f ca="1">U227*'Expenditure Study'!$B$31</f>
        <v>0</v>
      </c>
      <c r="Z227" s="200">
        <f ca="1">W227*'Expenditure Study'!$B$31</f>
        <v>0</v>
      </c>
      <c r="AA227" s="195">
        <f t="shared" ca="1" si="50"/>
        <v>0</v>
      </c>
      <c r="AB227" s="195">
        <f t="shared" ca="1" si="51"/>
        <v>0</v>
      </c>
      <c r="AD227" s="196">
        <f>IFERROR($G227/SUMIF($A:$A,$A227,$G:$G)*SUMIF(Summary!$A$166:$A$242,$A227,Summary!$P$166:$P$242),0)</f>
        <v>0</v>
      </c>
      <c r="AE227" s="197">
        <f t="shared" ca="1" si="52"/>
        <v>0</v>
      </c>
      <c r="AF227" s="196">
        <f>IFERROR(G227/SUMIF(A:A,A227,G:G)*SUMIF(Summary!$A$166:$A$242,'Operations Support'!A227,Summary!$Q$166:$Q$242),0)</f>
        <v>0</v>
      </c>
      <c r="AG227" s="196">
        <f t="shared" ca="1" si="53"/>
        <v>0</v>
      </c>
      <c r="AI227" s="196">
        <f>IFERROR($G227/SUMIF($A:$A,$A227,$G:$G)*SUMIF(Summary!$A$247:$A$283,$A227,Summary!$P$247:$P$283),0)</f>
        <v>0</v>
      </c>
      <c r="AJ227" s="196">
        <f>IFERROR($G227/SUMIF($A:$A,$A227,$G:$G)*(SUMIF(Summary!$A$247:$A$283,$A227,Summary!$L$247:$L$283)+SUMIF(Summary!$A$297:$A$333,$A227,Summary!$L$297:$L$333))-AI227,0)</f>
        <v>0</v>
      </c>
      <c r="AK227" s="196">
        <f>IFERROR($G227/SUMIF($A:$A,$A227,$G:$G)*SUMIF(Summary!$A$247:$A$283,$A227,Summary!$Q$247:$Q$283),0)</f>
        <v>0</v>
      </c>
      <c r="AL227" s="196">
        <f>IFERROR($G227/SUMIF($A:$A,$A227,$G:$G)*(SUMIF(Summary!$A$247:$A$283,$A227,Summary!$L$247:$L$283)+SUMIF(Summary!$A$297:$A$333,$A227,Summary!$L$297:$L$333))-AK227,0)</f>
        <v>0</v>
      </c>
      <c r="AM227" s="198"/>
      <c r="AN227" s="196">
        <f t="shared" ca="1" si="54"/>
        <v>0</v>
      </c>
      <c r="AO227" s="196">
        <f t="shared" ca="1" si="55"/>
        <v>0</v>
      </c>
    </row>
    <row r="228" spans="1:41">
      <c r="A228" s="189">
        <v>3565</v>
      </c>
      <c r="B228" s="190">
        <v>1</v>
      </c>
      <c r="C228" s="191" t="s">
        <v>233</v>
      </c>
      <c r="D228" s="192">
        <f t="shared" si="42"/>
        <v>945</v>
      </c>
      <c r="E228" s="192">
        <f t="shared" si="43"/>
        <v>2861</v>
      </c>
      <c r="F228" s="192">
        <f t="shared" si="44"/>
        <v>0</v>
      </c>
      <c r="G228" s="193">
        <f t="shared" si="45"/>
        <v>3806</v>
      </c>
      <c r="H228" s="194">
        <v>333</v>
      </c>
      <c r="I228" s="194">
        <v>1221</v>
      </c>
      <c r="J228" s="194">
        <v>0</v>
      </c>
      <c r="K228" s="193">
        <f t="shared" si="46"/>
        <v>1554</v>
      </c>
      <c r="L228" s="194">
        <v>309</v>
      </c>
      <c r="M228" s="194">
        <v>1164</v>
      </c>
      <c r="N228" s="194">
        <v>0</v>
      </c>
      <c r="O228" s="193">
        <f t="shared" si="47"/>
        <v>1473</v>
      </c>
      <c r="P228" s="194">
        <v>303</v>
      </c>
      <c r="Q228" s="194">
        <v>476</v>
      </c>
      <c r="R228" s="194">
        <v>0</v>
      </c>
      <c r="S228" s="193">
        <f t="shared" si="48"/>
        <v>779</v>
      </c>
      <c r="T228" s="193">
        <f t="shared" si="49"/>
        <v>126.86666666666666</v>
      </c>
      <c r="U228" s="193">
        <f ca="1">OFFSET('Expenditure Study'!$B$7,'Operations Support'!$C228,'Operations Support'!$B228)*$G228</f>
        <v>3653.7599999999998</v>
      </c>
      <c r="V228" s="199">
        <f ca="1">U228*'Expenditure Study'!$B$31</f>
        <v>215875.76267980799</v>
      </c>
      <c r="W228" s="199">
        <f ca="1">IF(A228=10298,1.51,1)*IF($B228&lt;3,$D228*'Expenditure Study'!$B$32*OFFSET('Expenditure Study'!$B$7,'Operations Support'!$C228,'Operations Support'!$B228),0)</f>
        <v>90.72</v>
      </c>
      <c r="X228" s="200">
        <f ca="1">W228*'Expenditure Study'!$B$31</f>
        <v>5360.0261621760001</v>
      </c>
      <c r="Y228" s="199">
        <f ca="1">U228*'Expenditure Study'!$B$31</f>
        <v>215875.76267980799</v>
      </c>
      <c r="Z228" s="200">
        <f ca="1">W228*'Expenditure Study'!$B$31</f>
        <v>5360.0261621760001</v>
      </c>
      <c r="AA228" s="195">
        <f t="shared" ca="1" si="50"/>
        <v>221235.788841984</v>
      </c>
      <c r="AB228" s="195">
        <f t="shared" ca="1" si="51"/>
        <v>221235.788841984</v>
      </c>
      <c r="AD228" s="196">
        <f>IFERROR($G228/SUMIF($A:$A,$A228,$G:$G)*SUMIF(Summary!$A$166:$A$242,$A228,Summary!$P$166:$P$242),0)</f>
        <v>47726.799748081874</v>
      </c>
      <c r="AE228" s="197">
        <f t="shared" ca="1" si="52"/>
        <v>173508.98909390211</v>
      </c>
      <c r="AF228" s="196">
        <f>IFERROR(G228/SUMIF(A:A,A228,G:G)*SUMIF(Summary!$A$166:$A$242,'Operations Support'!A228,Summary!$Q$166:$Q$242),0)</f>
        <v>47828.663161249598</v>
      </c>
      <c r="AG228" s="196">
        <f t="shared" ca="1" si="53"/>
        <v>173407.1256807344</v>
      </c>
      <c r="AI228" s="196">
        <f>IFERROR($G228/SUMIF($A:$A,$A228,$G:$G)*SUMIF(Summary!$A$247:$A$283,$A228,Summary!$P$247:$P$283),0)</f>
        <v>8704.1772650385647</v>
      </c>
      <c r="AJ228" s="196">
        <f>IFERROR($G228/SUMIF($A:$A,$A228,$G:$G)*(SUMIF(Summary!$A$247:$A$283,$A228,Summary!$L$247:$L$283)+SUMIF(Summary!$A$297:$A$333,$A228,Summary!$L$297:$L$333))-AI228,0)</f>
        <v>62188.553279618456</v>
      </c>
      <c r="AK228" s="196">
        <f>IFERROR($G228/SUMIF($A:$A,$A228,$G:$G)*SUMIF(Summary!$A$247:$A$283,$A228,Summary!$Q$247:$Q$283),0)</f>
        <v>8722.7546096272181</v>
      </c>
      <c r="AL228" s="196">
        <f>IFERROR($G228/SUMIF($A:$A,$A228,$G:$G)*(SUMIF(Summary!$A$247:$A$283,$A228,Summary!$L$247:$L$283)+SUMIF(Summary!$A$297:$A$333,$A228,Summary!$L$297:$L$333))-AK228,0)</f>
        <v>62169.975935029805</v>
      </c>
      <c r="AM228" s="198"/>
      <c r="AN228" s="196">
        <f t="shared" ca="1" si="54"/>
        <v>235697.54237352055</v>
      </c>
      <c r="AO228" s="196">
        <f t="shared" ca="1" si="55"/>
        <v>235577.1016157642</v>
      </c>
    </row>
    <row r="229" spans="1:41">
      <c r="A229" s="189">
        <v>3565</v>
      </c>
      <c r="B229" s="190">
        <v>1</v>
      </c>
      <c r="C229" s="191" t="s">
        <v>234</v>
      </c>
      <c r="D229" s="192">
        <f t="shared" si="42"/>
        <v>0</v>
      </c>
      <c r="E229" s="192">
        <f t="shared" si="43"/>
        <v>0</v>
      </c>
      <c r="F229" s="192">
        <f t="shared" si="44"/>
        <v>0</v>
      </c>
      <c r="G229" s="193">
        <f t="shared" si="45"/>
        <v>0</v>
      </c>
      <c r="H229" s="194">
        <v>0</v>
      </c>
      <c r="I229" s="194">
        <v>0</v>
      </c>
      <c r="J229" s="194">
        <v>0</v>
      </c>
      <c r="K229" s="193">
        <f t="shared" si="46"/>
        <v>0</v>
      </c>
      <c r="L229" s="194">
        <v>0</v>
      </c>
      <c r="M229" s="194">
        <v>0</v>
      </c>
      <c r="N229" s="194">
        <v>0</v>
      </c>
      <c r="O229" s="193">
        <f t="shared" si="47"/>
        <v>0</v>
      </c>
      <c r="P229" s="194">
        <v>0</v>
      </c>
      <c r="Q229" s="194">
        <v>0</v>
      </c>
      <c r="R229" s="194">
        <v>0</v>
      </c>
      <c r="S229" s="193">
        <f t="shared" si="48"/>
        <v>0</v>
      </c>
      <c r="T229" s="193">
        <f t="shared" si="49"/>
        <v>0</v>
      </c>
      <c r="U229" s="193">
        <f ca="1">OFFSET('Expenditure Study'!$B$7,'Operations Support'!$C229,'Operations Support'!$B229)*$G229</f>
        <v>0</v>
      </c>
      <c r="V229" s="199">
        <f ca="1">U229*'Expenditure Study'!$B$31</f>
        <v>0</v>
      </c>
      <c r="W229" s="199">
        <f ca="1">IF(A229=10298,1.51,1)*IF($B229&lt;3,$D229*'Expenditure Study'!$B$32*OFFSET('Expenditure Study'!$B$7,'Operations Support'!$C229,'Operations Support'!$B229),0)</f>
        <v>0</v>
      </c>
      <c r="X229" s="200">
        <f ca="1">W229*'Expenditure Study'!$B$31</f>
        <v>0</v>
      </c>
      <c r="Y229" s="199">
        <f ca="1">U229*'Expenditure Study'!$B$31</f>
        <v>0</v>
      </c>
      <c r="Z229" s="200">
        <f ca="1">W229*'Expenditure Study'!$B$31</f>
        <v>0</v>
      </c>
      <c r="AA229" s="195">
        <f t="shared" ca="1" si="50"/>
        <v>0</v>
      </c>
      <c r="AB229" s="195">
        <f t="shared" ca="1" si="51"/>
        <v>0</v>
      </c>
      <c r="AD229" s="196">
        <f>IFERROR($G229/SUMIF($A:$A,$A229,$G:$G)*SUMIF(Summary!$A$166:$A$242,$A229,Summary!$P$166:$P$242),0)</f>
        <v>0</v>
      </c>
      <c r="AE229" s="197">
        <f t="shared" ca="1" si="52"/>
        <v>0</v>
      </c>
      <c r="AF229" s="196">
        <f>IFERROR(G229/SUMIF(A:A,A229,G:G)*SUMIF(Summary!$A$166:$A$242,'Operations Support'!A229,Summary!$Q$166:$Q$242),0)</f>
        <v>0</v>
      </c>
      <c r="AG229" s="196">
        <f t="shared" ca="1" si="53"/>
        <v>0</v>
      </c>
      <c r="AI229" s="196">
        <f>IFERROR($G229/SUMIF($A:$A,$A229,$G:$G)*SUMIF(Summary!$A$247:$A$283,$A229,Summary!$P$247:$P$283),0)</f>
        <v>0</v>
      </c>
      <c r="AJ229" s="196">
        <f>IFERROR($G229/SUMIF($A:$A,$A229,$G:$G)*(SUMIF(Summary!$A$247:$A$283,$A229,Summary!$L$247:$L$283)+SUMIF(Summary!$A$297:$A$333,$A229,Summary!$L$297:$L$333))-AI229,0)</f>
        <v>0</v>
      </c>
      <c r="AK229" s="196">
        <f>IFERROR($G229/SUMIF($A:$A,$A229,$G:$G)*SUMIF(Summary!$A$247:$A$283,$A229,Summary!$Q$247:$Q$283),0)</f>
        <v>0</v>
      </c>
      <c r="AL229" s="196">
        <f>IFERROR($G229/SUMIF($A:$A,$A229,$G:$G)*(SUMIF(Summary!$A$247:$A$283,$A229,Summary!$L$247:$L$283)+SUMIF(Summary!$A$297:$A$333,$A229,Summary!$L$297:$L$333))-AK229,0)</f>
        <v>0</v>
      </c>
      <c r="AM229" s="198"/>
      <c r="AN229" s="196">
        <f t="shared" ca="1" si="54"/>
        <v>0</v>
      </c>
      <c r="AO229" s="196">
        <f t="shared" ca="1" si="55"/>
        <v>0</v>
      </c>
    </row>
    <row r="230" spans="1:41">
      <c r="A230" s="189">
        <v>3565</v>
      </c>
      <c r="B230" s="190">
        <v>1</v>
      </c>
      <c r="C230" s="191" t="s">
        <v>235</v>
      </c>
      <c r="D230" s="192">
        <f t="shared" si="42"/>
        <v>609</v>
      </c>
      <c r="E230" s="192">
        <f t="shared" si="43"/>
        <v>2715</v>
      </c>
      <c r="F230" s="192">
        <f t="shared" si="44"/>
        <v>0</v>
      </c>
      <c r="G230" s="193">
        <f t="shared" si="45"/>
        <v>3324</v>
      </c>
      <c r="H230" s="194">
        <v>198</v>
      </c>
      <c r="I230" s="194">
        <v>1368</v>
      </c>
      <c r="J230" s="194">
        <v>0</v>
      </c>
      <c r="K230" s="193">
        <f t="shared" si="46"/>
        <v>1566</v>
      </c>
      <c r="L230" s="194">
        <v>177</v>
      </c>
      <c r="M230" s="194">
        <v>1218</v>
      </c>
      <c r="N230" s="194">
        <v>0</v>
      </c>
      <c r="O230" s="193">
        <f t="shared" si="47"/>
        <v>1395</v>
      </c>
      <c r="P230" s="194">
        <v>234</v>
      </c>
      <c r="Q230" s="194">
        <v>129</v>
      </c>
      <c r="R230" s="194">
        <v>0</v>
      </c>
      <c r="S230" s="193">
        <f t="shared" si="48"/>
        <v>363</v>
      </c>
      <c r="T230" s="193">
        <f t="shared" si="49"/>
        <v>110.8</v>
      </c>
      <c r="U230" s="193">
        <f ca="1">OFFSET('Expenditure Study'!$B$7,'Operations Support'!$C230,'Operations Support'!$B230)*$G230</f>
        <v>3656.4</v>
      </c>
      <c r="V230" s="199">
        <f ca="1">U230*'Expenditure Study'!$B$31</f>
        <v>216031.74227712001</v>
      </c>
      <c r="W230" s="199">
        <f ca="1">IF(A230=10298,1.51,1)*IF($B230&lt;3,$D230*'Expenditure Study'!$B$32*OFFSET('Expenditure Study'!$B$7,'Operations Support'!$C230,'Operations Support'!$B230),0)</f>
        <v>66.990000000000009</v>
      </c>
      <c r="X230" s="200">
        <f ca="1">W230*'Expenditure Study'!$B$31</f>
        <v>3957.9822817920008</v>
      </c>
      <c r="Y230" s="199">
        <f ca="1">U230*'Expenditure Study'!$B$31</f>
        <v>216031.74227712001</v>
      </c>
      <c r="Z230" s="200">
        <f ca="1">W230*'Expenditure Study'!$B$31</f>
        <v>3957.9822817920008</v>
      </c>
      <c r="AA230" s="195">
        <f t="shared" ca="1" si="50"/>
        <v>219989.72455891201</v>
      </c>
      <c r="AB230" s="195">
        <f t="shared" ca="1" si="51"/>
        <v>219989.72455891201</v>
      </c>
      <c r="AD230" s="196">
        <f>IFERROR($G230/SUMIF($A:$A,$A230,$G:$G)*SUMIF(Summary!$A$166:$A$242,$A230,Summary!$P$166:$P$242),0)</f>
        <v>41682.575502528685</v>
      </c>
      <c r="AE230" s="197">
        <f t="shared" ca="1" si="52"/>
        <v>178307.14905638332</v>
      </c>
      <c r="AF230" s="196">
        <f>IFERROR(G230/SUMIF(A:A,A230,G:G)*SUMIF(Summary!$A$166:$A$242,'Operations Support'!A230,Summary!$Q$166:$Q$242),0)</f>
        <v>41771.5387146594</v>
      </c>
      <c r="AG230" s="196">
        <f t="shared" ca="1" si="53"/>
        <v>178218.18584425261</v>
      </c>
      <c r="AI230" s="196">
        <f>IFERROR($G230/SUMIF($A:$A,$A230,$G:$G)*SUMIF(Summary!$A$247:$A$283,$A230,Summary!$P$247:$P$283),0)</f>
        <v>7601.8615945843894</v>
      </c>
      <c r="AJ230" s="196">
        <f>IFERROR($G230/SUMIF($A:$A,$A230,$G:$G)*(SUMIF(Summary!$A$247:$A$283,$A230,Summary!$L$247:$L$283)+SUMIF(Summary!$A$297:$A$333,$A230,Summary!$L$297:$L$333))-AI230,0)</f>
        <v>54312.861561075086</v>
      </c>
      <c r="AK230" s="196">
        <f>IFERROR($G230/SUMIF($A:$A,$A230,$G:$G)*SUMIF(Summary!$A$247:$A$283,$A230,Summary!$Q$247:$Q$283),0)</f>
        <v>7618.0862644248218</v>
      </c>
      <c r="AL230" s="196">
        <f>IFERROR($G230/SUMIF($A:$A,$A230,$G:$G)*(SUMIF(Summary!$A$247:$A$283,$A230,Summary!$L$247:$L$283)+SUMIF(Summary!$A$297:$A$333,$A230,Summary!$L$297:$L$333))-AK230,0)</f>
        <v>54296.636891234659</v>
      </c>
      <c r="AM230" s="198"/>
      <c r="AN230" s="196">
        <f t="shared" ca="1" si="54"/>
        <v>232620.01061745841</v>
      </c>
      <c r="AO230" s="196">
        <f t="shared" ca="1" si="55"/>
        <v>232514.82273548728</v>
      </c>
    </row>
    <row r="231" spans="1:41">
      <c r="A231" s="189">
        <v>3565</v>
      </c>
      <c r="B231" s="190">
        <v>1</v>
      </c>
      <c r="C231" s="191" t="s">
        <v>236</v>
      </c>
      <c r="D231" s="192">
        <f t="shared" si="42"/>
        <v>0</v>
      </c>
      <c r="E231" s="192">
        <f t="shared" si="43"/>
        <v>0</v>
      </c>
      <c r="F231" s="192">
        <f t="shared" si="44"/>
        <v>0</v>
      </c>
      <c r="G231" s="193">
        <f t="shared" si="45"/>
        <v>0</v>
      </c>
      <c r="H231" s="194">
        <v>0</v>
      </c>
      <c r="I231" s="194">
        <v>0</v>
      </c>
      <c r="J231" s="194">
        <v>0</v>
      </c>
      <c r="K231" s="193">
        <f t="shared" si="46"/>
        <v>0</v>
      </c>
      <c r="L231" s="194">
        <v>0</v>
      </c>
      <c r="M231" s="194">
        <v>0</v>
      </c>
      <c r="N231" s="194">
        <v>0</v>
      </c>
      <c r="O231" s="193">
        <f t="shared" si="47"/>
        <v>0</v>
      </c>
      <c r="P231" s="194">
        <v>0</v>
      </c>
      <c r="Q231" s="194">
        <v>0</v>
      </c>
      <c r="R231" s="194">
        <v>0</v>
      </c>
      <c r="S231" s="193">
        <f t="shared" si="48"/>
        <v>0</v>
      </c>
      <c r="T231" s="193">
        <f t="shared" si="49"/>
        <v>0</v>
      </c>
      <c r="U231" s="193">
        <f ca="1">OFFSET('Expenditure Study'!$B$7,'Operations Support'!$C231,'Operations Support'!$B231)*$G231</f>
        <v>0</v>
      </c>
      <c r="V231" s="199">
        <f ca="1">U231*'Expenditure Study'!$B$31</f>
        <v>0</v>
      </c>
      <c r="W231" s="199">
        <f ca="1">IF(A231=10298,1.51,1)*IF($B231&lt;3,$D231*'Expenditure Study'!$B$32*OFFSET('Expenditure Study'!$B$7,'Operations Support'!$C231,'Operations Support'!$B231),0)</f>
        <v>0</v>
      </c>
      <c r="X231" s="200">
        <f ca="1">W231*'Expenditure Study'!$B$31</f>
        <v>0</v>
      </c>
      <c r="Y231" s="199">
        <f ca="1">U231*'Expenditure Study'!$B$31</f>
        <v>0</v>
      </c>
      <c r="Z231" s="200">
        <f ca="1">W231*'Expenditure Study'!$B$31</f>
        <v>0</v>
      </c>
      <c r="AA231" s="195">
        <f t="shared" ca="1" si="50"/>
        <v>0</v>
      </c>
      <c r="AB231" s="195">
        <f t="shared" ca="1" si="51"/>
        <v>0</v>
      </c>
      <c r="AD231" s="196">
        <f>IFERROR($G231/SUMIF($A:$A,$A231,$G:$G)*SUMIF(Summary!$A$166:$A$242,$A231,Summary!$P$166:$P$242),0)</f>
        <v>0</v>
      </c>
      <c r="AE231" s="197">
        <f t="shared" ca="1" si="52"/>
        <v>0</v>
      </c>
      <c r="AF231" s="196">
        <f>IFERROR(G231/SUMIF(A:A,A231,G:G)*SUMIF(Summary!$A$166:$A$242,'Operations Support'!A231,Summary!$Q$166:$Q$242),0)</f>
        <v>0</v>
      </c>
      <c r="AG231" s="196">
        <f t="shared" ca="1" si="53"/>
        <v>0</v>
      </c>
      <c r="AI231" s="196">
        <f>IFERROR($G231/SUMIF($A:$A,$A231,$G:$G)*SUMIF(Summary!$A$247:$A$283,$A231,Summary!$P$247:$P$283),0)</f>
        <v>0</v>
      </c>
      <c r="AJ231" s="196">
        <f>IFERROR($G231/SUMIF($A:$A,$A231,$G:$G)*(SUMIF(Summary!$A$247:$A$283,$A231,Summary!$L$247:$L$283)+SUMIF(Summary!$A$297:$A$333,$A231,Summary!$L$297:$L$333))-AI231,0)</f>
        <v>0</v>
      </c>
      <c r="AK231" s="196">
        <f>IFERROR($G231/SUMIF($A:$A,$A231,$G:$G)*SUMIF(Summary!$A$247:$A$283,$A231,Summary!$Q$247:$Q$283),0)</f>
        <v>0</v>
      </c>
      <c r="AL231" s="196">
        <f>IFERROR($G231/SUMIF($A:$A,$A231,$G:$G)*(SUMIF(Summary!$A$247:$A$283,$A231,Summary!$L$247:$L$283)+SUMIF(Summary!$A$297:$A$333,$A231,Summary!$L$297:$L$333))-AK231,0)</f>
        <v>0</v>
      </c>
      <c r="AM231" s="198"/>
      <c r="AN231" s="196">
        <f t="shared" ca="1" si="54"/>
        <v>0</v>
      </c>
      <c r="AO231" s="196">
        <f t="shared" ca="1" si="55"/>
        <v>0</v>
      </c>
    </row>
    <row r="232" spans="1:41">
      <c r="A232" s="189">
        <v>3565</v>
      </c>
      <c r="B232" s="190">
        <v>1</v>
      </c>
      <c r="C232" s="191" t="s">
        <v>237</v>
      </c>
      <c r="D232" s="192">
        <f t="shared" si="42"/>
        <v>0</v>
      </c>
      <c r="E232" s="192">
        <f t="shared" si="43"/>
        <v>0</v>
      </c>
      <c r="F232" s="192">
        <f t="shared" si="44"/>
        <v>0</v>
      </c>
      <c r="G232" s="193">
        <f t="shared" si="45"/>
        <v>0</v>
      </c>
      <c r="H232" s="194">
        <v>0</v>
      </c>
      <c r="I232" s="194">
        <v>0</v>
      </c>
      <c r="J232" s="194">
        <v>0</v>
      </c>
      <c r="K232" s="193">
        <f t="shared" si="46"/>
        <v>0</v>
      </c>
      <c r="L232" s="194">
        <v>0</v>
      </c>
      <c r="M232" s="194">
        <v>0</v>
      </c>
      <c r="N232" s="194">
        <v>0</v>
      </c>
      <c r="O232" s="193">
        <f t="shared" si="47"/>
        <v>0</v>
      </c>
      <c r="P232" s="194">
        <v>0</v>
      </c>
      <c r="Q232" s="194">
        <v>0</v>
      </c>
      <c r="R232" s="194">
        <v>0</v>
      </c>
      <c r="S232" s="193">
        <f t="shared" si="48"/>
        <v>0</v>
      </c>
      <c r="T232" s="193">
        <f t="shared" si="49"/>
        <v>0</v>
      </c>
      <c r="U232" s="193">
        <f ca="1">OFFSET('Expenditure Study'!$B$7,'Operations Support'!$C232,'Operations Support'!$B232)*$G232</f>
        <v>0</v>
      </c>
      <c r="V232" s="199">
        <f ca="1">U232*'Expenditure Study'!$B$31</f>
        <v>0</v>
      </c>
      <c r="W232" s="199">
        <f ca="1">IF(A232=10298,1.51,1)*IF($B232&lt;3,$D232*'Expenditure Study'!$B$32*OFFSET('Expenditure Study'!$B$7,'Operations Support'!$C232,'Operations Support'!$B232),0)</f>
        <v>0</v>
      </c>
      <c r="X232" s="200">
        <f ca="1">W232*'Expenditure Study'!$B$31</f>
        <v>0</v>
      </c>
      <c r="Y232" s="199">
        <f ca="1">U232*'Expenditure Study'!$B$31</f>
        <v>0</v>
      </c>
      <c r="Z232" s="200">
        <f ca="1">W232*'Expenditure Study'!$B$31</f>
        <v>0</v>
      </c>
      <c r="AA232" s="195">
        <f t="shared" ca="1" si="50"/>
        <v>0</v>
      </c>
      <c r="AB232" s="195">
        <f t="shared" ca="1" si="51"/>
        <v>0</v>
      </c>
      <c r="AD232" s="196">
        <f>IFERROR($G232/SUMIF($A:$A,$A232,$G:$G)*SUMIF(Summary!$A$166:$A$242,$A232,Summary!$P$166:$P$242),0)</f>
        <v>0</v>
      </c>
      <c r="AE232" s="197">
        <f t="shared" ca="1" si="52"/>
        <v>0</v>
      </c>
      <c r="AF232" s="196">
        <f>IFERROR(G232/SUMIF(A:A,A232,G:G)*SUMIF(Summary!$A$166:$A$242,'Operations Support'!A232,Summary!$Q$166:$Q$242),0)</f>
        <v>0</v>
      </c>
      <c r="AG232" s="196">
        <f t="shared" ca="1" si="53"/>
        <v>0</v>
      </c>
      <c r="AI232" s="196">
        <f>IFERROR($G232/SUMIF($A:$A,$A232,$G:$G)*SUMIF(Summary!$A$247:$A$283,$A232,Summary!$P$247:$P$283),0)</f>
        <v>0</v>
      </c>
      <c r="AJ232" s="196">
        <f>IFERROR($G232/SUMIF($A:$A,$A232,$G:$G)*(SUMIF(Summary!$A$247:$A$283,$A232,Summary!$L$247:$L$283)+SUMIF(Summary!$A$297:$A$333,$A232,Summary!$L$297:$L$333))-AI232,0)</f>
        <v>0</v>
      </c>
      <c r="AK232" s="196">
        <f>IFERROR($G232/SUMIF($A:$A,$A232,$G:$G)*SUMIF(Summary!$A$247:$A$283,$A232,Summary!$Q$247:$Q$283),0)</f>
        <v>0</v>
      </c>
      <c r="AL232" s="196">
        <f>IFERROR($G232/SUMIF($A:$A,$A232,$G:$G)*(SUMIF(Summary!$A$247:$A$283,$A232,Summary!$L$247:$L$283)+SUMIF(Summary!$A$297:$A$333,$A232,Summary!$L$297:$L$333))-AK232,0)</f>
        <v>0</v>
      </c>
      <c r="AM232" s="198"/>
      <c r="AN232" s="196">
        <f t="shared" ca="1" si="54"/>
        <v>0</v>
      </c>
      <c r="AO232" s="196">
        <f t="shared" ca="1" si="55"/>
        <v>0</v>
      </c>
    </row>
    <row r="233" spans="1:41">
      <c r="A233" s="189">
        <v>3565</v>
      </c>
      <c r="B233" s="190">
        <v>1</v>
      </c>
      <c r="C233" s="191" t="s">
        <v>238</v>
      </c>
      <c r="D233" s="192">
        <f t="shared" si="42"/>
        <v>351</v>
      </c>
      <c r="E233" s="192">
        <f t="shared" si="43"/>
        <v>131</v>
      </c>
      <c r="F233" s="192">
        <f t="shared" si="44"/>
        <v>0</v>
      </c>
      <c r="G233" s="193">
        <f t="shared" si="45"/>
        <v>482</v>
      </c>
      <c r="H233" s="194">
        <v>201</v>
      </c>
      <c r="I233" s="194">
        <v>37</v>
      </c>
      <c r="J233" s="194">
        <v>0</v>
      </c>
      <c r="K233" s="193">
        <f t="shared" si="46"/>
        <v>238</v>
      </c>
      <c r="L233" s="194">
        <v>144</v>
      </c>
      <c r="M233" s="194">
        <v>94</v>
      </c>
      <c r="N233" s="194">
        <v>0</v>
      </c>
      <c r="O233" s="193">
        <f t="shared" si="47"/>
        <v>238</v>
      </c>
      <c r="P233" s="194">
        <v>6</v>
      </c>
      <c r="Q233" s="194">
        <v>0</v>
      </c>
      <c r="R233" s="194">
        <v>0</v>
      </c>
      <c r="S233" s="193">
        <f t="shared" si="48"/>
        <v>6</v>
      </c>
      <c r="T233" s="193">
        <f t="shared" si="49"/>
        <v>16.066666666666666</v>
      </c>
      <c r="U233" s="193">
        <f ca="1">OFFSET('Expenditure Study'!$B$7,'Operations Support'!$C233,'Operations Support'!$B233)*$G233</f>
        <v>857.96</v>
      </c>
      <c r="V233" s="199">
        <f ca="1">U233*'Expenditure Study'!$B$31</f>
        <v>50691.005799168001</v>
      </c>
      <c r="W233" s="199">
        <f ca="1">IF(A233=10298,1.51,1)*IF($B233&lt;3,$D233*'Expenditure Study'!$B$32*OFFSET('Expenditure Study'!$B$7,'Operations Support'!$C233,'Operations Support'!$B233),0)</f>
        <v>62.478000000000002</v>
      </c>
      <c r="X233" s="200">
        <f ca="1">W233*'Expenditure Study'!$B$31</f>
        <v>3691.3989700224001</v>
      </c>
      <c r="Y233" s="199">
        <f ca="1">U233*'Expenditure Study'!$B$31</f>
        <v>50691.005799168001</v>
      </c>
      <c r="Z233" s="200">
        <f ca="1">W233*'Expenditure Study'!$B$31</f>
        <v>3691.3989700224001</v>
      </c>
      <c r="AA233" s="195">
        <f t="shared" ca="1" si="50"/>
        <v>54382.404769190398</v>
      </c>
      <c r="AB233" s="195">
        <f t="shared" ca="1" si="51"/>
        <v>54382.404769190398</v>
      </c>
      <c r="AD233" s="196">
        <f>IFERROR($G233/SUMIF($A:$A,$A233,$G:$G)*SUMIF(Summary!$A$166:$A$242,$A233,Summary!$P$166:$P$242),0)</f>
        <v>6044.2242455531959</v>
      </c>
      <c r="AE233" s="197">
        <f t="shared" ca="1" si="52"/>
        <v>48338.180523637202</v>
      </c>
      <c r="AF233" s="196">
        <f>IFERROR(G233/SUMIF(A:A,A233,G:G)*SUMIF(Summary!$A$166:$A$242,'Operations Support'!A233,Summary!$Q$166:$Q$242),0)</f>
        <v>6057.1244465902018</v>
      </c>
      <c r="AG233" s="196">
        <f t="shared" ca="1" si="53"/>
        <v>48325.2803226002</v>
      </c>
      <c r="AI233" s="196">
        <f>IFERROR($G233/SUMIF($A:$A,$A233,$G:$G)*SUMIF(Summary!$A$247:$A$283,$A233,Summary!$P$247:$P$283),0)</f>
        <v>1102.3156704541743</v>
      </c>
      <c r="AJ233" s="196">
        <f>IFERROR($G233/SUMIF($A:$A,$A233,$G:$G)*(SUMIF(Summary!$A$247:$A$283,$A233,Summary!$L$247:$L$283)+SUMIF(Summary!$A$297:$A$333,$A233,Summary!$L$297:$L$333))-AI233,0)</f>
        <v>7875.6917185433795</v>
      </c>
      <c r="AK233" s="196">
        <f>IFERROR($G233/SUMIF($A:$A,$A233,$G:$G)*SUMIF(Summary!$A$247:$A$283,$A233,Summary!$Q$247:$Q$283),0)</f>
        <v>1104.6683452023958</v>
      </c>
      <c r="AL233" s="196">
        <f>IFERROR($G233/SUMIF($A:$A,$A233,$G:$G)*(SUMIF(Summary!$A$247:$A$283,$A233,Summary!$L$247:$L$283)+SUMIF(Summary!$A$297:$A$333,$A233,Summary!$L$297:$L$333))-AK233,0)</f>
        <v>7873.3390437951584</v>
      </c>
      <c r="AM233" s="198"/>
      <c r="AN233" s="196">
        <f t="shared" ca="1" si="54"/>
        <v>56213.87224218058</v>
      </c>
      <c r="AO233" s="196">
        <f t="shared" ca="1" si="55"/>
        <v>56198.61936639536</v>
      </c>
    </row>
    <row r="234" spans="1:41">
      <c r="A234" s="189">
        <v>3565</v>
      </c>
      <c r="B234" s="190">
        <v>1</v>
      </c>
      <c r="C234" s="191" t="s">
        <v>239</v>
      </c>
      <c r="D234" s="192">
        <f t="shared" si="42"/>
        <v>0</v>
      </c>
      <c r="E234" s="192">
        <f t="shared" si="43"/>
        <v>65</v>
      </c>
      <c r="F234" s="192">
        <f t="shared" si="44"/>
        <v>0</v>
      </c>
      <c r="G234" s="193">
        <f t="shared" si="45"/>
        <v>65</v>
      </c>
      <c r="H234" s="194">
        <v>0</v>
      </c>
      <c r="I234" s="194">
        <v>32</v>
      </c>
      <c r="J234" s="194">
        <v>0</v>
      </c>
      <c r="K234" s="193">
        <f t="shared" si="46"/>
        <v>32</v>
      </c>
      <c r="L234" s="194">
        <v>0</v>
      </c>
      <c r="M234" s="194">
        <v>33</v>
      </c>
      <c r="N234" s="194">
        <v>0</v>
      </c>
      <c r="O234" s="193">
        <f t="shared" si="47"/>
        <v>33</v>
      </c>
      <c r="P234" s="194">
        <v>0</v>
      </c>
      <c r="Q234" s="194">
        <v>0</v>
      </c>
      <c r="R234" s="194">
        <v>0</v>
      </c>
      <c r="S234" s="193">
        <f t="shared" si="48"/>
        <v>0</v>
      </c>
      <c r="T234" s="193">
        <f t="shared" si="49"/>
        <v>2.1666666666666665</v>
      </c>
      <c r="U234" s="193">
        <f ca="1">OFFSET('Expenditure Study'!$B$7,'Operations Support'!$C234,'Operations Support'!$B234)*$G234</f>
        <v>100.75</v>
      </c>
      <c r="V234" s="199">
        <f ca="1">U234*'Expenditure Study'!$B$31</f>
        <v>5952.6304656000002</v>
      </c>
      <c r="W234" s="199">
        <f ca="1">IF(A234=10298,1.51,1)*IF($B234&lt;3,$D234*'Expenditure Study'!$B$32*OFFSET('Expenditure Study'!$B$7,'Operations Support'!$C234,'Operations Support'!$B234),0)</f>
        <v>0</v>
      </c>
      <c r="X234" s="200">
        <f ca="1">W234*'Expenditure Study'!$B$31</f>
        <v>0</v>
      </c>
      <c r="Y234" s="199">
        <f ca="1">U234*'Expenditure Study'!$B$31</f>
        <v>5952.6304656000002</v>
      </c>
      <c r="Z234" s="200">
        <f ca="1">W234*'Expenditure Study'!$B$31</f>
        <v>0</v>
      </c>
      <c r="AA234" s="195">
        <f t="shared" ca="1" si="50"/>
        <v>5952.6304656000002</v>
      </c>
      <c r="AB234" s="195">
        <f t="shared" ca="1" si="51"/>
        <v>5952.6304656000002</v>
      </c>
      <c r="AD234" s="196">
        <f>IFERROR($G234/SUMIF($A:$A,$A234,$G:$G)*SUMIF(Summary!$A$166:$A$242,$A234,Summary!$P$166:$P$242),0)</f>
        <v>815.09248124680028</v>
      </c>
      <c r="AE234" s="197">
        <f t="shared" ca="1" si="52"/>
        <v>5137.5379843532</v>
      </c>
      <c r="AF234" s="196">
        <f>IFERROR(G234/SUMIF(A:A,A234,G:G)*SUMIF(Summary!$A$166:$A$242,'Operations Support'!A234,Summary!$Q$166:$Q$242),0)</f>
        <v>816.83213491361641</v>
      </c>
      <c r="AG234" s="196">
        <f t="shared" ca="1" si="53"/>
        <v>5135.7983306863835</v>
      </c>
      <c r="AI234" s="196">
        <f>IFERROR($G234/SUMIF($A:$A,$A234,$G:$G)*SUMIF(Summary!$A$247:$A$283,$A234,Summary!$P$247:$P$283),0)</f>
        <v>148.65252817328079</v>
      </c>
      <c r="AJ234" s="196">
        <f>IFERROR($G234/SUMIF($A:$A,$A234,$G:$G)*(SUMIF(Summary!$A$247:$A$283,$A234,Summary!$L$247:$L$283)+SUMIF(Summary!$A$297:$A$333,$A234,Summary!$L$297:$L$333))-AI234,0)</f>
        <v>1062.0746093471359</v>
      </c>
      <c r="AK234" s="196">
        <f>IFERROR($G234/SUMIF($A:$A,$A234,$G:$G)*SUMIF(Summary!$A$247:$A$283,$A234,Summary!$Q$247:$Q$283),0)</f>
        <v>148.96979758953472</v>
      </c>
      <c r="AL234" s="196">
        <f>IFERROR($G234/SUMIF($A:$A,$A234,$G:$G)*(SUMIF(Summary!$A$247:$A$283,$A234,Summary!$L$247:$L$283)+SUMIF(Summary!$A$297:$A$333,$A234,Summary!$L$297:$L$333))-AK234,0)</f>
        <v>1061.7573399308822</v>
      </c>
      <c r="AM234" s="198"/>
      <c r="AN234" s="196">
        <f t="shared" ca="1" si="54"/>
        <v>6199.6125937003362</v>
      </c>
      <c r="AO234" s="196">
        <f t="shared" ca="1" si="55"/>
        <v>6197.5556706172656</v>
      </c>
    </row>
    <row r="235" spans="1:41">
      <c r="A235" s="189">
        <v>3565</v>
      </c>
      <c r="B235" s="190">
        <v>1</v>
      </c>
      <c r="C235" s="191" t="s">
        <v>240</v>
      </c>
      <c r="D235" s="192">
        <f t="shared" si="42"/>
        <v>114</v>
      </c>
      <c r="E235" s="192">
        <f t="shared" si="43"/>
        <v>1626</v>
      </c>
      <c r="F235" s="192">
        <f t="shared" si="44"/>
        <v>0</v>
      </c>
      <c r="G235" s="193">
        <f t="shared" si="45"/>
        <v>1740</v>
      </c>
      <c r="H235" s="194">
        <v>0</v>
      </c>
      <c r="I235" s="194">
        <v>552</v>
      </c>
      <c r="J235" s="194">
        <v>0</v>
      </c>
      <c r="K235" s="193">
        <f t="shared" si="46"/>
        <v>552</v>
      </c>
      <c r="L235" s="194">
        <v>78</v>
      </c>
      <c r="M235" s="194">
        <v>915</v>
      </c>
      <c r="N235" s="194">
        <v>0</v>
      </c>
      <c r="O235" s="193">
        <f t="shared" si="47"/>
        <v>993</v>
      </c>
      <c r="P235" s="194">
        <v>36</v>
      </c>
      <c r="Q235" s="194">
        <v>159</v>
      </c>
      <c r="R235" s="194">
        <v>0</v>
      </c>
      <c r="S235" s="193">
        <f t="shared" si="48"/>
        <v>195</v>
      </c>
      <c r="T235" s="193">
        <f t="shared" si="49"/>
        <v>58</v>
      </c>
      <c r="U235" s="193">
        <f ca="1">OFFSET('Expenditure Study'!$B$7,'Operations Support'!$C235,'Operations Support'!$B235)*$G235</f>
        <v>1740</v>
      </c>
      <c r="V235" s="199">
        <f ca="1">U235*'Expenditure Study'!$B$31</f>
        <v>102804.73459200001</v>
      </c>
      <c r="W235" s="199">
        <f ca="1">IF(A235=10298,1.51,1)*IF($B235&lt;3,$D235*'Expenditure Study'!$B$32*OFFSET('Expenditure Study'!$B$7,'Operations Support'!$C235,'Operations Support'!$B235),0)</f>
        <v>11.4</v>
      </c>
      <c r="X235" s="200">
        <f ca="1">W235*'Expenditure Study'!$B$31</f>
        <v>673.54826112000001</v>
      </c>
      <c r="Y235" s="199">
        <f ca="1">U235*'Expenditure Study'!$B$31</f>
        <v>102804.73459200001</v>
      </c>
      <c r="Z235" s="200">
        <f ca="1">W235*'Expenditure Study'!$B$31</f>
        <v>673.54826112000001</v>
      </c>
      <c r="AA235" s="195">
        <f t="shared" ca="1" si="50"/>
        <v>103478.28285312001</v>
      </c>
      <c r="AB235" s="195">
        <f t="shared" ca="1" si="51"/>
        <v>103478.28285312001</v>
      </c>
      <c r="AD235" s="196">
        <f>IFERROR($G235/SUMIF($A:$A,$A235,$G:$G)*SUMIF(Summary!$A$166:$A$242,$A235,Summary!$P$166:$P$242),0)</f>
        <v>21819.398728760501</v>
      </c>
      <c r="AE235" s="197">
        <f t="shared" ca="1" si="52"/>
        <v>81658.884124359509</v>
      </c>
      <c r="AF235" s="196">
        <f>IFERROR(G235/SUMIF(A:A,A235,G:G)*SUMIF(Summary!$A$166:$A$242,'Operations Support'!A235,Summary!$Q$166:$Q$242),0)</f>
        <v>21865.967919226041</v>
      </c>
      <c r="AG235" s="196">
        <f t="shared" ca="1" si="53"/>
        <v>81612.314933893969</v>
      </c>
      <c r="AI235" s="196">
        <f>IFERROR($G235/SUMIF($A:$A,$A235,$G:$G)*SUMIF(Summary!$A$247:$A$283,$A235,Summary!$P$247:$P$283),0)</f>
        <v>3979.3138311001317</v>
      </c>
      <c r="AJ235" s="196">
        <f>IFERROR($G235/SUMIF($A:$A,$A235,$G:$G)*(SUMIF(Summary!$A$247:$A$283,$A235,Summary!$L$247:$L$283)+SUMIF(Summary!$A$297:$A$333,$A235,Summary!$L$297:$L$333))-AI235,0)</f>
        <v>28430.920311754104</v>
      </c>
      <c r="AK235" s="196">
        <f>IFERROR($G235/SUMIF($A:$A,$A235,$G:$G)*SUMIF(Summary!$A$247:$A$283,$A235,Summary!$Q$247:$Q$283),0)</f>
        <v>3987.8068893198524</v>
      </c>
      <c r="AL235" s="196">
        <f>IFERROR($G235/SUMIF($A:$A,$A235,$G:$G)*(SUMIF(Summary!$A$247:$A$283,$A235,Summary!$L$247:$L$283)+SUMIF(Summary!$A$297:$A$333,$A235,Summary!$L$297:$L$333))-AK235,0)</f>
        <v>28422.427253534384</v>
      </c>
      <c r="AM235" s="198"/>
      <c r="AN235" s="196">
        <f t="shared" ca="1" si="54"/>
        <v>110089.80443611361</v>
      </c>
      <c r="AO235" s="196">
        <f t="shared" ca="1" si="55"/>
        <v>110034.74218742835</v>
      </c>
    </row>
    <row r="236" spans="1:41">
      <c r="A236" s="189">
        <v>3565</v>
      </c>
      <c r="B236" s="190">
        <v>2</v>
      </c>
      <c r="C236" s="191" t="s">
        <v>220</v>
      </c>
      <c r="D236" s="192">
        <f t="shared" si="42"/>
        <v>7563</v>
      </c>
      <c r="E236" s="192">
        <f t="shared" si="43"/>
        <v>15581</v>
      </c>
      <c r="F236" s="192">
        <f t="shared" si="44"/>
        <v>0</v>
      </c>
      <c r="G236" s="193">
        <f t="shared" si="45"/>
        <v>23144</v>
      </c>
      <c r="H236" s="194">
        <v>2919</v>
      </c>
      <c r="I236" s="194">
        <v>6730</v>
      </c>
      <c r="J236" s="194">
        <v>0</v>
      </c>
      <c r="K236" s="193">
        <f t="shared" si="46"/>
        <v>9649</v>
      </c>
      <c r="L236" s="194">
        <v>3196</v>
      </c>
      <c r="M236" s="194">
        <v>5030</v>
      </c>
      <c r="N236" s="194">
        <v>0</v>
      </c>
      <c r="O236" s="193">
        <f t="shared" si="47"/>
        <v>8226</v>
      </c>
      <c r="P236" s="194">
        <v>1448</v>
      </c>
      <c r="Q236" s="194">
        <v>3821</v>
      </c>
      <c r="R236" s="194">
        <v>0</v>
      </c>
      <c r="S236" s="193">
        <f t="shared" si="48"/>
        <v>5269</v>
      </c>
      <c r="T236" s="193">
        <f t="shared" si="49"/>
        <v>771.4666666666667</v>
      </c>
      <c r="U236" s="193">
        <f ca="1">OFFSET('Expenditure Study'!$B$7,'Operations Support'!$C236,'Operations Support'!$B236)*$G236</f>
        <v>42584.959999999999</v>
      </c>
      <c r="V236" s="199">
        <f ca="1">U236*'Expenditure Study'!$B$31</f>
        <v>2516054.891040768</v>
      </c>
      <c r="W236" s="199">
        <f ca="1">IF(A236=10298,1.51,1)*IF($B236&lt;3,$D236*'Expenditure Study'!$B$32*OFFSET('Expenditure Study'!$B$7,'Operations Support'!$C236,'Operations Support'!$B236),0)</f>
        <v>1391.5920000000001</v>
      </c>
      <c r="X236" s="200">
        <f ca="1">W236*'Expenditure Study'!$B$31</f>
        <v>82219.681735833612</v>
      </c>
      <c r="Y236" s="199">
        <f ca="1">U236*'Expenditure Study'!$B$31</f>
        <v>2516054.891040768</v>
      </c>
      <c r="Z236" s="200">
        <f ca="1">W236*'Expenditure Study'!$B$31</f>
        <v>82219.681735833612</v>
      </c>
      <c r="AA236" s="195">
        <f t="shared" ca="1" si="50"/>
        <v>2598274.5727766016</v>
      </c>
      <c r="AB236" s="195">
        <f t="shared" ca="1" si="51"/>
        <v>2598274.5727766016</v>
      </c>
      <c r="AD236" s="196">
        <f>IFERROR($G236/SUMIF($A:$A,$A236,$G:$G)*SUMIF(Summary!$A$166:$A$242,$A236,Summary!$P$166:$P$242),0)</f>
        <v>290223.08286116843</v>
      </c>
      <c r="AE236" s="197">
        <f t="shared" ca="1" si="52"/>
        <v>2308051.4899154333</v>
      </c>
      <c r="AF236" s="196">
        <f>IFERROR(G236/SUMIF(A:A,A236,G:G)*SUMIF(Summary!$A$166:$A$242,'Operations Support'!A236,Summary!$Q$166:$Q$242),0)</f>
        <v>290842.50662216521</v>
      </c>
      <c r="AG236" s="196">
        <f t="shared" ca="1" si="53"/>
        <v>2307432.0661544362</v>
      </c>
      <c r="AI236" s="196">
        <f>IFERROR($G236/SUMIF($A:$A,$A236,$G:$G)*SUMIF(Summary!$A$247:$A$283,$A236,Summary!$P$247:$P$283),0)</f>
        <v>52929.447877575541</v>
      </c>
      <c r="AJ236" s="196">
        <f>IFERROR($G236/SUMIF($A:$A,$A236,$G:$G)*(SUMIF(Summary!$A$247:$A$283,$A236,Summary!$L$247:$L$283)+SUMIF(Summary!$A$297:$A$333,$A236,Summary!$L$297:$L$333))-AI236,0)</f>
        <v>378163.91936507879</v>
      </c>
      <c r="AK236" s="196">
        <f>IFERROR($G236/SUMIF($A:$A,$A236,$G:$G)*SUMIF(Summary!$A$247:$A$283,$A236,Summary!$Q$247:$Q$283),0)</f>
        <v>53042.415314033715</v>
      </c>
      <c r="AL236" s="196">
        <f>IFERROR($G236/SUMIF($A:$A,$A236,$G:$G)*(SUMIF(Summary!$A$247:$A$283,$A236,Summary!$L$247:$L$283)+SUMIF(Summary!$A$297:$A$333,$A236,Summary!$L$297:$L$333))-AK236,0)</f>
        <v>378050.95192862058</v>
      </c>
      <c r="AM236" s="198"/>
      <c r="AN236" s="196">
        <f t="shared" ca="1" si="54"/>
        <v>2686215.409280512</v>
      </c>
      <c r="AO236" s="196">
        <f t="shared" ca="1" si="55"/>
        <v>2685483.0180830569</v>
      </c>
    </row>
    <row r="237" spans="1:41">
      <c r="A237" s="189">
        <v>3565</v>
      </c>
      <c r="B237" s="190">
        <v>2</v>
      </c>
      <c r="C237" s="191" t="s">
        <v>221</v>
      </c>
      <c r="D237" s="192">
        <f t="shared" si="42"/>
        <v>4205</v>
      </c>
      <c r="E237" s="192">
        <f t="shared" si="43"/>
        <v>3390</v>
      </c>
      <c r="F237" s="192">
        <f t="shared" si="44"/>
        <v>0</v>
      </c>
      <c r="G237" s="193">
        <f t="shared" si="45"/>
        <v>7595</v>
      </c>
      <c r="H237" s="194">
        <v>1969</v>
      </c>
      <c r="I237" s="194">
        <v>1595</v>
      </c>
      <c r="J237" s="194">
        <v>0</v>
      </c>
      <c r="K237" s="193">
        <f t="shared" si="46"/>
        <v>3564</v>
      </c>
      <c r="L237" s="194">
        <v>1808</v>
      </c>
      <c r="M237" s="194">
        <v>1084</v>
      </c>
      <c r="N237" s="194">
        <v>0</v>
      </c>
      <c r="O237" s="193">
        <f t="shared" si="47"/>
        <v>2892</v>
      </c>
      <c r="P237" s="194">
        <v>428</v>
      </c>
      <c r="Q237" s="194">
        <v>711</v>
      </c>
      <c r="R237" s="194">
        <v>0</v>
      </c>
      <c r="S237" s="193">
        <f t="shared" si="48"/>
        <v>1139</v>
      </c>
      <c r="T237" s="193">
        <f t="shared" si="49"/>
        <v>253.16666666666666</v>
      </c>
      <c r="U237" s="193">
        <f ca="1">OFFSET('Expenditure Study'!$B$7,'Operations Support'!$C237,'Operations Support'!$B237)*$G237</f>
        <v>19974.849999999999</v>
      </c>
      <c r="V237" s="199">
        <f ca="1">U237*'Expenditure Study'!$B$31</f>
        <v>1180177.67400288</v>
      </c>
      <c r="W237" s="199">
        <f ca="1">IF(A237=10298,1.51,1)*IF($B237&lt;3,$D237*'Expenditure Study'!$B$32*OFFSET('Expenditure Study'!$B$7,'Operations Support'!$C237,'Operations Support'!$B237),0)</f>
        <v>1105.915</v>
      </c>
      <c r="X237" s="200">
        <f ca="1">W237*'Expenditure Study'!$B$31</f>
        <v>65340.975894431998</v>
      </c>
      <c r="Y237" s="199">
        <f ca="1">U237*'Expenditure Study'!$B$31</f>
        <v>1180177.67400288</v>
      </c>
      <c r="Z237" s="200">
        <f ca="1">W237*'Expenditure Study'!$B$31</f>
        <v>65340.975894431998</v>
      </c>
      <c r="AA237" s="195">
        <f t="shared" ca="1" si="50"/>
        <v>1245518.649897312</v>
      </c>
      <c r="AB237" s="195">
        <f t="shared" ca="1" si="51"/>
        <v>1245518.649897312</v>
      </c>
      <c r="AD237" s="196">
        <f>IFERROR($G237/SUMIF($A:$A,$A237,$G:$G)*SUMIF(Summary!$A$166:$A$242,$A237,Summary!$P$166:$P$242),0)</f>
        <v>95240.421462606901</v>
      </c>
      <c r="AE237" s="197">
        <f t="shared" ca="1" si="52"/>
        <v>1150278.2284347052</v>
      </c>
      <c r="AF237" s="196">
        <f>IFERROR(G237/SUMIF(A:A,A237,G:G)*SUMIF(Summary!$A$166:$A$242,'Operations Support'!A237,Summary!$Q$166:$Q$242),0)</f>
        <v>95443.693302598724</v>
      </c>
      <c r="AG237" s="196">
        <f t="shared" ca="1" si="53"/>
        <v>1150074.9565947133</v>
      </c>
      <c r="AI237" s="196">
        <f>IFERROR($G237/SUMIF($A:$A,$A237,$G:$G)*SUMIF(Summary!$A$247:$A$283,$A237,Summary!$P$247:$P$283),0)</f>
        <v>17369.476176554886</v>
      </c>
      <c r="AJ237" s="196">
        <f>IFERROR($G237/SUMIF($A:$A,$A237,$G:$G)*(SUMIF(Summary!$A$247:$A$283,$A237,Summary!$L$247:$L$283)+SUMIF(Summary!$A$297:$A$333,$A237,Summary!$L$297:$L$333))-AI237,0)</f>
        <v>124099.33319986923</v>
      </c>
      <c r="AK237" s="196">
        <f>IFERROR($G237/SUMIF($A:$A,$A237,$G:$G)*SUMIF(Summary!$A$247:$A$283,$A237,Summary!$Q$247:$Q$283),0)</f>
        <v>17406.547887577173</v>
      </c>
      <c r="AL237" s="196">
        <f>IFERROR($G237/SUMIF($A:$A,$A237,$G:$G)*(SUMIF(Summary!$A$247:$A$283,$A237,Summary!$L$247:$L$283)+SUMIF(Summary!$A$297:$A$333,$A237,Summary!$L$297:$L$333))-AK237,0)</f>
        <v>124062.26148884694</v>
      </c>
      <c r="AM237" s="198"/>
      <c r="AN237" s="196">
        <f t="shared" ca="1" si="54"/>
        <v>1274377.5616345743</v>
      </c>
      <c r="AO237" s="196">
        <f t="shared" ca="1" si="55"/>
        <v>1274137.2180835602</v>
      </c>
    </row>
    <row r="238" spans="1:41">
      <c r="A238" s="189">
        <v>3565</v>
      </c>
      <c r="B238" s="190">
        <v>2</v>
      </c>
      <c r="C238" s="191" t="s">
        <v>222</v>
      </c>
      <c r="D238" s="192">
        <f t="shared" si="42"/>
        <v>1626</v>
      </c>
      <c r="E238" s="192">
        <f t="shared" si="43"/>
        <v>1980</v>
      </c>
      <c r="F238" s="192">
        <f t="shared" si="44"/>
        <v>0</v>
      </c>
      <c r="G238" s="193">
        <f t="shared" si="45"/>
        <v>3606</v>
      </c>
      <c r="H238" s="194">
        <v>766</v>
      </c>
      <c r="I238" s="194">
        <v>1063</v>
      </c>
      <c r="J238" s="194">
        <v>0</v>
      </c>
      <c r="K238" s="193">
        <f t="shared" si="46"/>
        <v>1829</v>
      </c>
      <c r="L238" s="194">
        <v>785</v>
      </c>
      <c r="M238" s="194">
        <v>886</v>
      </c>
      <c r="N238" s="194">
        <v>0</v>
      </c>
      <c r="O238" s="193">
        <f t="shared" si="47"/>
        <v>1671</v>
      </c>
      <c r="P238" s="194">
        <v>75</v>
      </c>
      <c r="Q238" s="194">
        <v>31</v>
      </c>
      <c r="R238" s="194">
        <v>0</v>
      </c>
      <c r="S238" s="193">
        <f t="shared" si="48"/>
        <v>106</v>
      </c>
      <c r="T238" s="193">
        <f t="shared" si="49"/>
        <v>120.2</v>
      </c>
      <c r="U238" s="193">
        <f ca="1">OFFSET('Expenditure Study'!$B$7,'Operations Support'!$C238,'Operations Support'!$B238)*$G238</f>
        <v>9591.9600000000009</v>
      </c>
      <c r="V238" s="199">
        <f ca="1">U238*'Expenditure Study'!$B$31</f>
        <v>566723.50690636807</v>
      </c>
      <c r="W238" s="199">
        <f ca="1">IF(A238=10298,1.51,1)*IF($B238&lt;3,$D238*'Expenditure Study'!$B$32*OFFSET('Expenditure Study'!$B$7,'Operations Support'!$C238,'Operations Support'!$B238),0)</f>
        <v>432.51600000000008</v>
      </c>
      <c r="X238" s="200">
        <f ca="1">W238*'Expenditure Study'!$B$31</f>
        <v>25554.421026892804</v>
      </c>
      <c r="Y238" s="199">
        <f ca="1">U238*'Expenditure Study'!$B$31</f>
        <v>566723.50690636807</v>
      </c>
      <c r="Z238" s="200">
        <f ca="1">W238*'Expenditure Study'!$B$31</f>
        <v>25554.421026892804</v>
      </c>
      <c r="AA238" s="195">
        <f t="shared" ca="1" si="50"/>
        <v>592277.92793326091</v>
      </c>
      <c r="AB238" s="195">
        <f t="shared" ca="1" si="51"/>
        <v>592277.92793326091</v>
      </c>
      <c r="AD238" s="196">
        <f>IFERROR($G238/SUMIF($A:$A,$A238,$G:$G)*SUMIF(Summary!$A$166:$A$242,$A238,Summary!$P$166:$P$242),0)</f>
        <v>45218.822882707107</v>
      </c>
      <c r="AE238" s="197">
        <f t="shared" ca="1" si="52"/>
        <v>547059.1050505538</v>
      </c>
      <c r="AF238" s="196">
        <f>IFERROR(G238/SUMIF(A:A,A238,G:G)*SUMIF(Summary!$A$166:$A$242,'Operations Support'!A238,Summary!$Q$166:$Q$242),0)</f>
        <v>45315.333515361555</v>
      </c>
      <c r="AG238" s="196">
        <f t="shared" ca="1" si="53"/>
        <v>546962.59441789938</v>
      </c>
      <c r="AI238" s="196">
        <f>IFERROR($G238/SUMIF($A:$A,$A238,$G:$G)*SUMIF(Summary!$A$247:$A$283,$A238,Summary!$P$247:$P$283),0)</f>
        <v>8246.7848706592395</v>
      </c>
      <c r="AJ238" s="196">
        <f>IFERROR($G238/SUMIF($A:$A,$A238,$G:$G)*(SUMIF(Summary!$A$247:$A$283,$A238,Summary!$L$247:$L$283)+SUMIF(Summary!$A$297:$A$333,$A238,Summary!$L$297:$L$333))-AI238,0)</f>
        <v>58920.631404704203</v>
      </c>
      <c r="AK238" s="196">
        <f>IFERROR($G238/SUMIF($A:$A,$A238,$G:$G)*SUMIF(Summary!$A$247:$A$283,$A238,Summary!$Q$247:$Q$283),0)</f>
        <v>8264.386001659419</v>
      </c>
      <c r="AL238" s="196">
        <f>IFERROR($G238/SUMIF($A:$A,$A238,$G:$G)*(SUMIF(Summary!$A$247:$A$283,$A238,Summary!$L$247:$L$283)+SUMIF(Summary!$A$297:$A$333,$A238,Summary!$L$297:$L$333))-AK238,0)</f>
        <v>58903.030273704026</v>
      </c>
      <c r="AM238" s="198"/>
      <c r="AN238" s="196">
        <f t="shared" ca="1" si="54"/>
        <v>605979.73645525798</v>
      </c>
      <c r="AO238" s="196">
        <f t="shared" ca="1" si="55"/>
        <v>605865.62469160336</v>
      </c>
    </row>
    <row r="239" spans="1:41">
      <c r="A239" s="189">
        <v>3565</v>
      </c>
      <c r="B239" s="190">
        <v>2</v>
      </c>
      <c r="C239" s="191" t="s">
        <v>223</v>
      </c>
      <c r="D239" s="192">
        <f t="shared" si="42"/>
        <v>4008</v>
      </c>
      <c r="E239" s="192">
        <f t="shared" si="43"/>
        <v>5272</v>
      </c>
      <c r="F239" s="192">
        <f t="shared" si="44"/>
        <v>0</v>
      </c>
      <c r="G239" s="193">
        <f t="shared" si="45"/>
        <v>9280</v>
      </c>
      <c r="H239" s="194">
        <v>1557</v>
      </c>
      <c r="I239" s="194">
        <v>2395</v>
      </c>
      <c r="J239" s="194">
        <v>0</v>
      </c>
      <c r="K239" s="193">
        <f t="shared" si="46"/>
        <v>3952</v>
      </c>
      <c r="L239" s="194">
        <v>1677</v>
      </c>
      <c r="M239" s="194">
        <v>2511</v>
      </c>
      <c r="N239" s="194">
        <v>0</v>
      </c>
      <c r="O239" s="193">
        <f t="shared" si="47"/>
        <v>4188</v>
      </c>
      <c r="P239" s="194">
        <v>774</v>
      </c>
      <c r="Q239" s="194">
        <v>366</v>
      </c>
      <c r="R239" s="194">
        <v>0</v>
      </c>
      <c r="S239" s="193">
        <f t="shared" si="48"/>
        <v>1140</v>
      </c>
      <c r="T239" s="193">
        <f t="shared" si="49"/>
        <v>309.33333333333331</v>
      </c>
      <c r="U239" s="193">
        <f ca="1">OFFSET('Expenditure Study'!$B$7,'Operations Support'!$C239,'Operations Support'!$B239)*$G239</f>
        <v>17632</v>
      </c>
      <c r="V239" s="199">
        <f ca="1">U239*'Expenditure Study'!$B$31</f>
        <v>1041754.6438656</v>
      </c>
      <c r="W239" s="199">
        <f ca="1">IF(A239=10298,1.51,1)*IF($B239&lt;3,$D239*'Expenditure Study'!$B$32*OFFSET('Expenditure Study'!$B$7,'Operations Support'!$C239,'Operations Support'!$B239),0)</f>
        <v>761.52</v>
      </c>
      <c r="X239" s="200">
        <f ca="1">W239*'Expenditure Study'!$B$31</f>
        <v>44993.023842816001</v>
      </c>
      <c r="Y239" s="199">
        <f ca="1">U239*'Expenditure Study'!$B$31</f>
        <v>1041754.6438656</v>
      </c>
      <c r="Z239" s="200">
        <f ca="1">W239*'Expenditure Study'!$B$31</f>
        <v>44993.023842816001</v>
      </c>
      <c r="AA239" s="195">
        <f t="shared" ca="1" si="50"/>
        <v>1086747.667708416</v>
      </c>
      <c r="AB239" s="195">
        <f t="shared" ca="1" si="51"/>
        <v>1086747.667708416</v>
      </c>
      <c r="AD239" s="196">
        <f>IFERROR($G239/SUMIF($A:$A,$A239,$G:$G)*SUMIF(Summary!$A$166:$A$242,$A239,Summary!$P$166:$P$242),0)</f>
        <v>116370.12655338935</v>
      </c>
      <c r="AE239" s="197">
        <f t="shared" ca="1" si="52"/>
        <v>970377.54115502664</v>
      </c>
      <c r="AF239" s="196">
        <f>IFERROR(G239/SUMIF(A:A,A239,G:G)*SUMIF(Summary!$A$166:$A$242,'Operations Support'!A239,Summary!$Q$166:$Q$242),0)</f>
        <v>116618.49556920555</v>
      </c>
      <c r="AG239" s="196">
        <f t="shared" ca="1" si="53"/>
        <v>970129.17213921039</v>
      </c>
      <c r="AI239" s="196">
        <f>IFERROR($G239/SUMIF($A:$A,$A239,$G:$G)*SUMIF(Summary!$A$247:$A$283,$A239,Summary!$P$247:$P$283),0)</f>
        <v>21223.007099200702</v>
      </c>
      <c r="AJ239" s="196">
        <f>IFERROR($G239/SUMIF($A:$A,$A239,$G:$G)*(SUMIF(Summary!$A$247:$A$283,$A239,Summary!$L$247:$L$283)+SUMIF(Summary!$A$297:$A$333,$A239,Summary!$L$297:$L$333))-AI239,0)</f>
        <v>151631.5749960219</v>
      </c>
      <c r="AK239" s="196">
        <f>IFERROR($G239/SUMIF($A:$A,$A239,$G:$G)*SUMIF(Summary!$A$247:$A$283,$A239,Summary!$Q$247:$Q$283),0)</f>
        <v>21268.303409705881</v>
      </c>
      <c r="AL239" s="196">
        <f>IFERROR($G239/SUMIF($A:$A,$A239,$G:$G)*(SUMIF(Summary!$A$247:$A$283,$A239,Summary!$L$247:$L$283)+SUMIF(Summary!$A$297:$A$333,$A239,Summary!$L$297:$L$333))-AK239,0)</f>
        <v>151586.27868551674</v>
      </c>
      <c r="AM239" s="198"/>
      <c r="AN239" s="196">
        <f t="shared" ca="1" si="54"/>
        <v>1122009.1161510486</v>
      </c>
      <c r="AO239" s="196">
        <f t="shared" ca="1" si="55"/>
        <v>1121715.4508247271</v>
      </c>
    </row>
    <row r="240" spans="1:41">
      <c r="A240" s="189">
        <v>3565</v>
      </c>
      <c r="B240" s="190">
        <v>2</v>
      </c>
      <c r="C240" s="191" t="s">
        <v>224</v>
      </c>
      <c r="D240" s="192">
        <f t="shared" si="42"/>
        <v>3649</v>
      </c>
      <c r="E240" s="192">
        <f t="shared" si="43"/>
        <v>2121</v>
      </c>
      <c r="F240" s="192">
        <f t="shared" si="44"/>
        <v>0</v>
      </c>
      <c r="G240" s="193">
        <f t="shared" si="45"/>
        <v>5770</v>
      </c>
      <c r="H240" s="194">
        <v>1616</v>
      </c>
      <c r="I240" s="194">
        <v>1044</v>
      </c>
      <c r="J240" s="194">
        <v>0</v>
      </c>
      <c r="K240" s="193">
        <f t="shared" si="46"/>
        <v>2660</v>
      </c>
      <c r="L240" s="194">
        <v>1415</v>
      </c>
      <c r="M240" s="194">
        <v>930</v>
      </c>
      <c r="N240" s="194">
        <v>0</v>
      </c>
      <c r="O240" s="193">
        <f t="shared" si="47"/>
        <v>2345</v>
      </c>
      <c r="P240" s="194">
        <v>618</v>
      </c>
      <c r="Q240" s="194">
        <v>147</v>
      </c>
      <c r="R240" s="194">
        <v>0</v>
      </c>
      <c r="S240" s="193">
        <f t="shared" si="48"/>
        <v>765</v>
      </c>
      <c r="T240" s="193">
        <f t="shared" si="49"/>
        <v>192.33333333333334</v>
      </c>
      <c r="U240" s="193">
        <f ca="1">OFFSET('Expenditure Study'!$B$7,'Operations Support'!$C240,'Operations Support'!$B240)*$G240</f>
        <v>13097.9</v>
      </c>
      <c r="V240" s="199">
        <f ca="1">U240*'Expenditure Study'!$B$31</f>
        <v>773865.59380031994</v>
      </c>
      <c r="W240" s="199">
        <f ca="1">IF(A240=10298,1.51,1)*IF($B240&lt;3,$D240*'Expenditure Study'!$B$32*OFFSET('Expenditure Study'!$B$7,'Operations Support'!$C240,'Operations Support'!$B240),0)</f>
        <v>828.32300000000009</v>
      </c>
      <c r="X240" s="200">
        <f ca="1">W240*'Expenditure Study'!$B$31</f>
        <v>48939.957569798404</v>
      </c>
      <c r="Y240" s="199">
        <f ca="1">U240*'Expenditure Study'!$B$31</f>
        <v>773865.59380031994</v>
      </c>
      <c r="Z240" s="200">
        <f ca="1">W240*'Expenditure Study'!$B$31</f>
        <v>48939.957569798404</v>
      </c>
      <c r="AA240" s="195">
        <f t="shared" ca="1" si="50"/>
        <v>822805.5513701184</v>
      </c>
      <c r="AB240" s="195">
        <f t="shared" ca="1" si="51"/>
        <v>822805.5513701184</v>
      </c>
      <c r="AD240" s="196">
        <f>IFERROR($G240/SUMIF($A:$A,$A240,$G:$G)*SUMIF(Summary!$A$166:$A$242,$A240,Summary!$P$166:$P$242),0)</f>
        <v>72355.132566062122</v>
      </c>
      <c r="AE240" s="197">
        <f t="shared" ca="1" si="52"/>
        <v>750450.41880405624</v>
      </c>
      <c r="AF240" s="196">
        <f>IFERROR(G240/SUMIF(A:A,A240,G:G)*SUMIF(Summary!$A$166:$A$242,'Operations Support'!A240,Summary!$Q$166:$Q$242),0)</f>
        <v>72509.560283870262</v>
      </c>
      <c r="AG240" s="196">
        <f t="shared" ca="1" si="53"/>
        <v>750295.99108624808</v>
      </c>
      <c r="AI240" s="196">
        <f>IFERROR($G240/SUMIF($A:$A,$A240,$G:$G)*SUMIF(Summary!$A$247:$A$283,$A240,Summary!$P$247:$P$283),0)</f>
        <v>13195.770577843539</v>
      </c>
      <c r="AJ240" s="196">
        <f>IFERROR($G240/SUMIF($A:$A,$A240,$G:$G)*(SUMIF(Summary!$A$247:$A$283,$A240,Summary!$L$247:$L$283)+SUMIF(Summary!$A$297:$A$333,$A240,Summary!$L$297:$L$333))-AI240,0)</f>
        <v>94279.546091276556</v>
      </c>
      <c r="AK240" s="196">
        <f>IFERROR($G240/SUMIF($A:$A,$A240,$G:$G)*SUMIF(Summary!$A$247:$A$283,$A240,Summary!$Q$247:$Q$283),0)</f>
        <v>13223.934339871004</v>
      </c>
      <c r="AL240" s="196">
        <f>IFERROR($G240/SUMIF($A:$A,$A240,$G:$G)*(SUMIF(Summary!$A$247:$A$283,$A240,Summary!$L$247:$L$283)+SUMIF(Summary!$A$297:$A$333,$A240,Summary!$L$297:$L$333))-AK240,0)</f>
        <v>94251.382329249085</v>
      </c>
      <c r="AM240" s="198"/>
      <c r="AN240" s="196">
        <f t="shared" ca="1" si="54"/>
        <v>844729.96489533281</v>
      </c>
      <c r="AO240" s="196">
        <f t="shared" ca="1" si="55"/>
        <v>844547.37341549713</v>
      </c>
    </row>
    <row r="241" spans="1:41">
      <c r="A241" s="189">
        <v>3565</v>
      </c>
      <c r="B241" s="190">
        <v>2</v>
      </c>
      <c r="C241" s="191" t="s">
        <v>225</v>
      </c>
      <c r="D241" s="192">
        <f t="shared" si="42"/>
        <v>2871</v>
      </c>
      <c r="E241" s="192">
        <f t="shared" si="43"/>
        <v>1104</v>
      </c>
      <c r="F241" s="192">
        <f t="shared" si="44"/>
        <v>0</v>
      </c>
      <c r="G241" s="193">
        <f t="shared" si="45"/>
        <v>3975</v>
      </c>
      <c r="H241" s="194">
        <v>1433</v>
      </c>
      <c r="I241" s="194">
        <v>594</v>
      </c>
      <c r="J241" s="194">
        <v>0</v>
      </c>
      <c r="K241" s="193">
        <f t="shared" si="46"/>
        <v>2027</v>
      </c>
      <c r="L241" s="194">
        <v>1246</v>
      </c>
      <c r="M241" s="194">
        <v>510</v>
      </c>
      <c r="N241" s="194">
        <v>0</v>
      </c>
      <c r="O241" s="193">
        <f t="shared" si="47"/>
        <v>1756</v>
      </c>
      <c r="P241" s="194">
        <v>192</v>
      </c>
      <c r="Q241" s="194">
        <v>0</v>
      </c>
      <c r="R241" s="194">
        <v>0</v>
      </c>
      <c r="S241" s="193">
        <f t="shared" si="48"/>
        <v>192</v>
      </c>
      <c r="T241" s="193">
        <f t="shared" si="49"/>
        <v>132.5</v>
      </c>
      <c r="U241" s="193">
        <f ca="1">OFFSET('Expenditure Study'!$B$7,'Operations Support'!$C241,'Operations Support'!$B241)*$G241</f>
        <v>11130</v>
      </c>
      <c r="V241" s="199">
        <f ca="1">U241*'Expenditure Study'!$B$31</f>
        <v>657595.80230400001</v>
      </c>
      <c r="W241" s="199">
        <f ca="1">IF(A241=10298,1.51,1)*IF($B241&lt;3,$D241*'Expenditure Study'!$B$32*OFFSET('Expenditure Study'!$B$7,'Operations Support'!$C241,'Operations Support'!$B241),0)</f>
        <v>803.88</v>
      </c>
      <c r="X241" s="200">
        <f ca="1">W241*'Expenditure Study'!$B$31</f>
        <v>47495.787381504</v>
      </c>
      <c r="Y241" s="199">
        <f ca="1">U241*'Expenditure Study'!$B$31</f>
        <v>657595.80230400001</v>
      </c>
      <c r="Z241" s="200">
        <f ca="1">W241*'Expenditure Study'!$B$31</f>
        <v>47495.787381504</v>
      </c>
      <c r="AA241" s="195">
        <f t="shared" ca="1" si="50"/>
        <v>705091.58968550398</v>
      </c>
      <c r="AB241" s="195">
        <f t="shared" ca="1" si="51"/>
        <v>705091.58968550398</v>
      </c>
      <c r="AD241" s="196">
        <f>IFERROR($G241/SUMIF($A:$A,$A241,$G:$G)*SUMIF(Summary!$A$166:$A$242,$A241,Summary!$P$166:$P$242),0)</f>
        <v>49846.040199323557</v>
      </c>
      <c r="AE241" s="197">
        <f t="shared" ca="1" si="52"/>
        <v>655245.54948618042</v>
      </c>
      <c r="AF241" s="196">
        <f>IFERROR(G241/SUMIF(A:A,A241,G:G)*SUMIF(Summary!$A$166:$A$242,'Operations Support'!A241,Summary!$Q$166:$Q$242),0)</f>
        <v>49952.426712025001</v>
      </c>
      <c r="AG241" s="196">
        <f t="shared" ca="1" si="53"/>
        <v>655139.16297347902</v>
      </c>
      <c r="AI241" s="196">
        <f>IFERROR($G241/SUMIF($A:$A,$A241,$G:$G)*SUMIF(Summary!$A$247:$A$283,$A241,Summary!$P$247:$P$283),0)</f>
        <v>9090.6738382890944</v>
      </c>
      <c r="AJ241" s="196">
        <f>IFERROR($G241/SUMIF($A:$A,$A241,$G:$G)*(SUMIF(Summary!$A$247:$A$283,$A241,Summary!$L$247:$L$283)+SUMIF(Summary!$A$297:$A$333,$A241,Summary!$L$297:$L$333))-AI241,0)</f>
        <v>64949.947263921014</v>
      </c>
      <c r="AK241" s="196">
        <f>IFERROR($G241/SUMIF($A:$A,$A241,$G:$G)*SUMIF(Summary!$A$247:$A$283,$A241,Summary!$Q$247:$Q$283),0)</f>
        <v>9110.076083360007</v>
      </c>
      <c r="AL241" s="196">
        <f>IFERROR($G241/SUMIF($A:$A,$A241,$G:$G)*(SUMIF(Summary!$A$247:$A$283,$A241,Summary!$L$247:$L$283)+SUMIF(Summary!$A$297:$A$333,$A241,Summary!$L$297:$L$333))-AK241,0)</f>
        <v>64930.545018850098</v>
      </c>
      <c r="AM241" s="198"/>
      <c r="AN241" s="196">
        <f t="shared" ca="1" si="54"/>
        <v>720195.49675010145</v>
      </c>
      <c r="AO241" s="196">
        <f t="shared" ca="1" si="55"/>
        <v>720069.70799232915</v>
      </c>
    </row>
    <row r="242" spans="1:41">
      <c r="A242" s="189">
        <v>3565</v>
      </c>
      <c r="B242" s="190">
        <v>2</v>
      </c>
      <c r="C242" s="191" t="s">
        <v>226</v>
      </c>
      <c r="D242" s="192">
        <f t="shared" si="42"/>
        <v>225</v>
      </c>
      <c r="E242" s="192">
        <f t="shared" si="43"/>
        <v>444</v>
      </c>
      <c r="F242" s="192">
        <f t="shared" si="44"/>
        <v>0</v>
      </c>
      <c r="G242" s="193">
        <f t="shared" si="45"/>
        <v>669</v>
      </c>
      <c r="H242" s="194">
        <v>21</v>
      </c>
      <c r="I242" s="194">
        <v>255</v>
      </c>
      <c r="J242" s="194">
        <v>0</v>
      </c>
      <c r="K242" s="193">
        <f t="shared" si="46"/>
        <v>276</v>
      </c>
      <c r="L242" s="194">
        <v>183</v>
      </c>
      <c r="M242" s="194">
        <v>99</v>
      </c>
      <c r="N242" s="194">
        <v>0</v>
      </c>
      <c r="O242" s="193">
        <f t="shared" si="47"/>
        <v>282</v>
      </c>
      <c r="P242" s="194">
        <v>21</v>
      </c>
      <c r="Q242" s="194">
        <v>90</v>
      </c>
      <c r="R242" s="194">
        <v>0</v>
      </c>
      <c r="S242" s="193">
        <f t="shared" si="48"/>
        <v>111</v>
      </c>
      <c r="T242" s="193">
        <f t="shared" si="49"/>
        <v>22.3</v>
      </c>
      <c r="U242" s="193">
        <f ca="1">OFFSET('Expenditure Study'!$B$7,'Operations Support'!$C242,'Operations Support'!$B242)*$G242</f>
        <v>1204.2</v>
      </c>
      <c r="V242" s="199">
        <f ca="1">U242*'Expenditure Study'!$B$31</f>
        <v>71147.966319359999</v>
      </c>
      <c r="W242" s="199">
        <f ca="1">IF(A242=10298,1.51,1)*IF($B242&lt;3,$D242*'Expenditure Study'!$B$32*OFFSET('Expenditure Study'!$B$7,'Operations Support'!$C242,'Operations Support'!$B242),0)</f>
        <v>40.5</v>
      </c>
      <c r="X242" s="200">
        <f ca="1">W242*'Expenditure Study'!$B$31</f>
        <v>2392.8688224000002</v>
      </c>
      <c r="Y242" s="199">
        <f ca="1">U242*'Expenditure Study'!$B$31</f>
        <v>71147.966319359999</v>
      </c>
      <c r="Z242" s="200">
        <f ca="1">W242*'Expenditure Study'!$B$31</f>
        <v>2392.8688224000002</v>
      </c>
      <c r="AA242" s="195">
        <f t="shared" ca="1" si="50"/>
        <v>73540.835141760006</v>
      </c>
      <c r="AB242" s="195">
        <f t="shared" ca="1" si="51"/>
        <v>73540.835141760006</v>
      </c>
      <c r="AD242" s="196">
        <f>IFERROR($G242/SUMIF($A:$A,$A242,$G:$G)*SUMIF(Summary!$A$166:$A$242,$A242,Summary!$P$166:$P$242),0)</f>
        <v>8389.1826146786079</v>
      </c>
      <c r="AE242" s="197">
        <f t="shared" ca="1" si="52"/>
        <v>65151.652527081402</v>
      </c>
      <c r="AF242" s="196">
        <f>IFERROR(G242/SUMIF(A:A,A242,G:G)*SUMIF(Summary!$A$166:$A$242,'Operations Support'!A242,Summary!$Q$166:$Q$242),0)</f>
        <v>8407.08766549553</v>
      </c>
      <c r="AG242" s="196">
        <f t="shared" ca="1" si="53"/>
        <v>65133.747476264478</v>
      </c>
      <c r="AI242" s="196">
        <f>IFERROR($G242/SUMIF($A:$A,$A242,$G:$G)*SUMIF(Summary!$A$247:$A$283,$A242,Summary!$P$247:$P$283),0)</f>
        <v>1529.9775591988439</v>
      </c>
      <c r="AJ242" s="196">
        <f>IFERROR($G242/SUMIF($A:$A,$A242,$G:$G)*(SUMIF(Summary!$A$247:$A$283,$A242,Summary!$L$247:$L$283)+SUMIF(Summary!$A$297:$A$333,$A242,Summary!$L$297:$L$333))-AI242,0)</f>
        <v>10931.198671588218</v>
      </c>
      <c r="AK242" s="196">
        <f>IFERROR($G242/SUMIF($A:$A,$A242,$G:$G)*SUMIF(Summary!$A$247:$A$283,$A242,Summary!$Q$247:$Q$283),0)</f>
        <v>1533.2429936522883</v>
      </c>
      <c r="AL242" s="196">
        <f>IFERROR($G242/SUMIF($A:$A,$A242,$G:$G)*(SUMIF(Summary!$A$247:$A$283,$A242,Summary!$L$247:$L$283)+SUMIF(Summary!$A$297:$A$333,$A242,Summary!$L$297:$L$333))-AK242,0)</f>
        <v>10927.933237134774</v>
      </c>
      <c r="AM242" s="198"/>
      <c r="AN242" s="196">
        <f t="shared" ca="1" si="54"/>
        <v>76082.851198669625</v>
      </c>
      <c r="AO242" s="196">
        <f t="shared" ca="1" si="55"/>
        <v>76061.680713399255</v>
      </c>
    </row>
    <row r="243" spans="1:41">
      <c r="A243" s="189">
        <v>3565</v>
      </c>
      <c r="B243" s="190">
        <v>2</v>
      </c>
      <c r="C243" s="191" t="s">
        <v>227</v>
      </c>
      <c r="D243" s="192">
        <f t="shared" si="42"/>
        <v>0</v>
      </c>
      <c r="E243" s="192">
        <f t="shared" si="43"/>
        <v>0</v>
      </c>
      <c r="F243" s="192">
        <f t="shared" si="44"/>
        <v>0</v>
      </c>
      <c r="G243" s="193">
        <f t="shared" si="45"/>
        <v>0</v>
      </c>
      <c r="H243" s="194">
        <v>0</v>
      </c>
      <c r="I243" s="194">
        <v>0</v>
      </c>
      <c r="J243" s="194">
        <v>0</v>
      </c>
      <c r="K243" s="193">
        <f t="shared" si="46"/>
        <v>0</v>
      </c>
      <c r="L243" s="194">
        <v>0</v>
      </c>
      <c r="M243" s="194">
        <v>0</v>
      </c>
      <c r="N243" s="194">
        <v>0</v>
      </c>
      <c r="O243" s="193">
        <f t="shared" si="47"/>
        <v>0</v>
      </c>
      <c r="P243" s="194">
        <v>0</v>
      </c>
      <c r="Q243" s="194">
        <v>0</v>
      </c>
      <c r="R243" s="194">
        <v>0</v>
      </c>
      <c r="S243" s="193">
        <f t="shared" si="48"/>
        <v>0</v>
      </c>
      <c r="T243" s="193">
        <f t="shared" si="49"/>
        <v>0</v>
      </c>
      <c r="U243" s="193">
        <f ca="1">OFFSET('Expenditure Study'!$B$7,'Operations Support'!$C243,'Operations Support'!$B243)*$G243</f>
        <v>0</v>
      </c>
      <c r="V243" s="199">
        <f ca="1">U243*'Expenditure Study'!$B$31</f>
        <v>0</v>
      </c>
      <c r="W243" s="199">
        <f ca="1">IF(A243=10298,1.51,1)*IF($B243&lt;3,$D243*'Expenditure Study'!$B$32*OFFSET('Expenditure Study'!$B$7,'Operations Support'!$C243,'Operations Support'!$B243),0)</f>
        <v>0</v>
      </c>
      <c r="X243" s="200">
        <f ca="1">W243*'Expenditure Study'!$B$31</f>
        <v>0</v>
      </c>
      <c r="Y243" s="199">
        <f ca="1">U243*'Expenditure Study'!$B$31</f>
        <v>0</v>
      </c>
      <c r="Z243" s="200">
        <f ca="1">W243*'Expenditure Study'!$B$31</f>
        <v>0</v>
      </c>
      <c r="AA243" s="195">
        <f t="shared" ca="1" si="50"/>
        <v>0</v>
      </c>
      <c r="AB243" s="195">
        <f t="shared" ca="1" si="51"/>
        <v>0</v>
      </c>
      <c r="AD243" s="196">
        <f>IFERROR($G243/SUMIF($A:$A,$A243,$G:$G)*SUMIF(Summary!$A$166:$A$242,$A243,Summary!$P$166:$P$242),0)</f>
        <v>0</v>
      </c>
      <c r="AE243" s="197">
        <f t="shared" ca="1" si="52"/>
        <v>0</v>
      </c>
      <c r="AF243" s="196">
        <f>IFERROR(G243/SUMIF(A:A,A243,G:G)*SUMIF(Summary!$A$166:$A$242,'Operations Support'!A243,Summary!$Q$166:$Q$242),0)</f>
        <v>0</v>
      </c>
      <c r="AG243" s="196">
        <f t="shared" ca="1" si="53"/>
        <v>0</v>
      </c>
      <c r="AI243" s="196">
        <f>IFERROR($G243/SUMIF($A:$A,$A243,$G:$G)*SUMIF(Summary!$A$247:$A$283,$A243,Summary!$P$247:$P$283),0)</f>
        <v>0</v>
      </c>
      <c r="AJ243" s="196">
        <f>IFERROR($G243/SUMIF($A:$A,$A243,$G:$G)*(SUMIF(Summary!$A$247:$A$283,$A243,Summary!$L$247:$L$283)+SUMIF(Summary!$A$297:$A$333,$A243,Summary!$L$297:$L$333))-AI243,0)</f>
        <v>0</v>
      </c>
      <c r="AK243" s="196">
        <f>IFERROR($G243/SUMIF($A:$A,$A243,$G:$G)*SUMIF(Summary!$A$247:$A$283,$A243,Summary!$Q$247:$Q$283),0)</f>
        <v>0</v>
      </c>
      <c r="AL243" s="196">
        <f>IFERROR($G243/SUMIF($A:$A,$A243,$G:$G)*(SUMIF(Summary!$A$247:$A$283,$A243,Summary!$L$247:$L$283)+SUMIF(Summary!$A$297:$A$333,$A243,Summary!$L$297:$L$333))-AK243,0)</f>
        <v>0</v>
      </c>
      <c r="AM243" s="198"/>
      <c r="AN243" s="196">
        <f t="shared" ca="1" si="54"/>
        <v>0</v>
      </c>
      <c r="AO243" s="196">
        <f t="shared" ca="1" si="55"/>
        <v>0</v>
      </c>
    </row>
    <row r="244" spans="1:41">
      <c r="A244" s="189">
        <v>3565</v>
      </c>
      <c r="B244" s="190">
        <v>2</v>
      </c>
      <c r="C244" s="191" t="s">
        <v>228</v>
      </c>
      <c r="D244" s="192">
        <f t="shared" si="42"/>
        <v>297</v>
      </c>
      <c r="E244" s="192">
        <f t="shared" si="43"/>
        <v>1953</v>
      </c>
      <c r="F244" s="192">
        <f t="shared" si="44"/>
        <v>0</v>
      </c>
      <c r="G244" s="193">
        <f t="shared" si="45"/>
        <v>2250</v>
      </c>
      <c r="H244" s="194">
        <v>192</v>
      </c>
      <c r="I244" s="194">
        <v>630</v>
      </c>
      <c r="J244" s="194">
        <v>0</v>
      </c>
      <c r="K244" s="193">
        <f t="shared" si="46"/>
        <v>822</v>
      </c>
      <c r="L244" s="194">
        <v>66</v>
      </c>
      <c r="M244" s="194">
        <v>1032</v>
      </c>
      <c r="N244" s="194">
        <v>0</v>
      </c>
      <c r="O244" s="193">
        <f t="shared" si="47"/>
        <v>1098</v>
      </c>
      <c r="P244" s="194">
        <v>39</v>
      </c>
      <c r="Q244" s="194">
        <v>291</v>
      </c>
      <c r="R244" s="194">
        <v>0</v>
      </c>
      <c r="S244" s="193">
        <f t="shared" si="48"/>
        <v>330</v>
      </c>
      <c r="T244" s="193">
        <f t="shared" si="49"/>
        <v>75</v>
      </c>
      <c r="U244" s="193">
        <f ca="1">OFFSET('Expenditure Study'!$B$7,'Operations Support'!$C244,'Operations Support'!$B244)*$G244</f>
        <v>4297.5</v>
      </c>
      <c r="V244" s="199">
        <f ca="1">U244*'Expenditure Study'!$B$31</f>
        <v>253909.969488</v>
      </c>
      <c r="W244" s="199">
        <f ca="1">IF(A244=10298,1.51,1)*IF($B244&lt;3,$D244*'Expenditure Study'!$B$32*OFFSET('Expenditure Study'!$B$7,'Operations Support'!$C244,'Operations Support'!$B244),0)</f>
        <v>56.727000000000004</v>
      </c>
      <c r="X244" s="200">
        <f ca="1">W244*'Expenditure Study'!$B$31</f>
        <v>3351.6115972416001</v>
      </c>
      <c r="Y244" s="199">
        <f ca="1">U244*'Expenditure Study'!$B$31</f>
        <v>253909.969488</v>
      </c>
      <c r="Z244" s="200">
        <f ca="1">W244*'Expenditure Study'!$B$31</f>
        <v>3351.6115972416001</v>
      </c>
      <c r="AA244" s="195">
        <f t="shared" ca="1" si="50"/>
        <v>257261.5810852416</v>
      </c>
      <c r="AB244" s="195">
        <f t="shared" ca="1" si="51"/>
        <v>257261.5810852416</v>
      </c>
      <c r="AD244" s="196">
        <f>IFERROR($G244/SUMIF($A:$A,$A244,$G:$G)*SUMIF(Summary!$A$166:$A$242,$A244,Summary!$P$166:$P$242),0)</f>
        <v>28214.739735466166</v>
      </c>
      <c r="AE244" s="197">
        <f t="shared" ca="1" si="52"/>
        <v>229046.84134977544</v>
      </c>
      <c r="AF244" s="196">
        <f>IFERROR(G244/SUMIF(A:A,A244,G:G)*SUMIF(Summary!$A$166:$A$242,'Operations Support'!A244,Summary!$Q$166:$Q$242),0)</f>
        <v>28274.958516240571</v>
      </c>
      <c r="AG244" s="196">
        <f t="shared" ca="1" si="53"/>
        <v>228986.62256900105</v>
      </c>
      <c r="AI244" s="196">
        <f>IFERROR($G244/SUMIF($A:$A,$A244,$G:$G)*SUMIF(Summary!$A$247:$A$283,$A244,Summary!$P$247:$P$283),0)</f>
        <v>5145.6644367674126</v>
      </c>
      <c r="AJ244" s="196">
        <f>IFERROR($G244/SUMIF($A:$A,$A244,$G:$G)*(SUMIF(Summary!$A$247:$A$283,$A244,Summary!$L$247:$L$283)+SUMIF(Summary!$A$297:$A$333,$A244,Summary!$L$297:$L$333))-AI244,0)</f>
        <v>36764.121092785485</v>
      </c>
      <c r="AK244" s="196">
        <f>IFERROR($G244/SUMIF($A:$A,$A244,$G:$G)*SUMIF(Summary!$A$247:$A$283,$A244,Summary!$Q$247:$Q$283),0)</f>
        <v>5156.6468396377413</v>
      </c>
      <c r="AL244" s="196">
        <f>IFERROR($G244/SUMIF($A:$A,$A244,$G:$G)*(SUMIF(Summary!$A$247:$A$283,$A244,Summary!$L$247:$L$283)+SUMIF(Summary!$A$297:$A$333,$A244,Summary!$L$297:$L$333))-AK244,0)</f>
        <v>36753.138689915162</v>
      </c>
      <c r="AM244" s="198"/>
      <c r="AN244" s="196">
        <f t="shared" ca="1" si="54"/>
        <v>265810.96244256094</v>
      </c>
      <c r="AO244" s="196">
        <f t="shared" ca="1" si="55"/>
        <v>265739.76125891623</v>
      </c>
    </row>
    <row r="245" spans="1:41">
      <c r="A245" s="189">
        <v>3565</v>
      </c>
      <c r="B245" s="190">
        <v>2</v>
      </c>
      <c r="C245" s="191" t="s">
        <v>229</v>
      </c>
      <c r="D245" s="192">
        <f t="shared" si="42"/>
        <v>0</v>
      </c>
      <c r="E245" s="192">
        <f t="shared" si="43"/>
        <v>0</v>
      </c>
      <c r="F245" s="192">
        <f t="shared" si="44"/>
        <v>0</v>
      </c>
      <c r="G245" s="193">
        <f t="shared" si="45"/>
        <v>0</v>
      </c>
      <c r="H245" s="194">
        <v>0</v>
      </c>
      <c r="I245" s="194">
        <v>0</v>
      </c>
      <c r="J245" s="194">
        <v>0</v>
      </c>
      <c r="K245" s="193">
        <f t="shared" si="46"/>
        <v>0</v>
      </c>
      <c r="L245" s="194">
        <v>0</v>
      </c>
      <c r="M245" s="194">
        <v>0</v>
      </c>
      <c r="N245" s="194">
        <v>0</v>
      </c>
      <c r="O245" s="193">
        <f t="shared" si="47"/>
        <v>0</v>
      </c>
      <c r="P245" s="194">
        <v>0</v>
      </c>
      <c r="Q245" s="194">
        <v>0</v>
      </c>
      <c r="R245" s="194">
        <v>0</v>
      </c>
      <c r="S245" s="193">
        <f t="shared" si="48"/>
        <v>0</v>
      </c>
      <c r="T245" s="193">
        <f t="shared" si="49"/>
        <v>0</v>
      </c>
      <c r="U245" s="193">
        <f ca="1">OFFSET('Expenditure Study'!$B$7,'Operations Support'!$C245,'Operations Support'!$B245)*$G245</f>
        <v>0</v>
      </c>
      <c r="V245" s="199">
        <f ca="1">U245*'Expenditure Study'!$B$31</f>
        <v>0</v>
      </c>
      <c r="W245" s="199">
        <f ca="1">IF(A245=10298,1.51,1)*IF($B245&lt;3,$D245*'Expenditure Study'!$B$32*OFFSET('Expenditure Study'!$B$7,'Operations Support'!$C245,'Operations Support'!$B245),0)</f>
        <v>0</v>
      </c>
      <c r="X245" s="200">
        <f ca="1">W245*'Expenditure Study'!$B$31</f>
        <v>0</v>
      </c>
      <c r="Y245" s="199">
        <f ca="1">U245*'Expenditure Study'!$B$31</f>
        <v>0</v>
      </c>
      <c r="Z245" s="200">
        <f ca="1">W245*'Expenditure Study'!$B$31</f>
        <v>0</v>
      </c>
      <c r="AA245" s="195">
        <f t="shared" ca="1" si="50"/>
        <v>0</v>
      </c>
      <c r="AB245" s="195">
        <f t="shared" ca="1" si="51"/>
        <v>0</v>
      </c>
      <c r="AD245" s="196">
        <f>IFERROR($G245/SUMIF($A:$A,$A245,$G:$G)*SUMIF(Summary!$A$166:$A$242,$A245,Summary!$P$166:$P$242),0)</f>
        <v>0</v>
      </c>
      <c r="AE245" s="197">
        <f t="shared" ca="1" si="52"/>
        <v>0</v>
      </c>
      <c r="AF245" s="196">
        <f>IFERROR(G245/SUMIF(A:A,A245,G:G)*SUMIF(Summary!$A$166:$A$242,'Operations Support'!A245,Summary!$Q$166:$Q$242),0)</f>
        <v>0</v>
      </c>
      <c r="AG245" s="196">
        <f t="shared" ca="1" si="53"/>
        <v>0</v>
      </c>
      <c r="AI245" s="196">
        <f>IFERROR($G245/SUMIF($A:$A,$A245,$G:$G)*SUMIF(Summary!$A$247:$A$283,$A245,Summary!$P$247:$P$283),0)</f>
        <v>0</v>
      </c>
      <c r="AJ245" s="196">
        <f>IFERROR($G245/SUMIF($A:$A,$A245,$G:$G)*(SUMIF(Summary!$A$247:$A$283,$A245,Summary!$L$247:$L$283)+SUMIF(Summary!$A$297:$A$333,$A245,Summary!$L$297:$L$333))-AI245,0)</f>
        <v>0</v>
      </c>
      <c r="AK245" s="196">
        <f>IFERROR($G245/SUMIF($A:$A,$A245,$G:$G)*SUMIF(Summary!$A$247:$A$283,$A245,Summary!$Q$247:$Q$283),0)</f>
        <v>0</v>
      </c>
      <c r="AL245" s="196">
        <f>IFERROR($G245/SUMIF($A:$A,$A245,$G:$G)*(SUMIF(Summary!$A$247:$A$283,$A245,Summary!$L$247:$L$283)+SUMIF(Summary!$A$297:$A$333,$A245,Summary!$L$297:$L$333))-AK245,0)</f>
        <v>0</v>
      </c>
      <c r="AM245" s="198"/>
      <c r="AN245" s="196">
        <f t="shared" ca="1" si="54"/>
        <v>0</v>
      </c>
      <c r="AO245" s="196">
        <f t="shared" ca="1" si="55"/>
        <v>0</v>
      </c>
    </row>
    <row r="246" spans="1:41">
      <c r="A246" s="189">
        <v>3565</v>
      </c>
      <c r="B246" s="190">
        <v>2</v>
      </c>
      <c r="C246" s="191" t="s">
        <v>230</v>
      </c>
      <c r="D246" s="192">
        <f t="shared" si="42"/>
        <v>0</v>
      </c>
      <c r="E246" s="192">
        <f t="shared" si="43"/>
        <v>0</v>
      </c>
      <c r="F246" s="192">
        <f t="shared" si="44"/>
        <v>0</v>
      </c>
      <c r="G246" s="193">
        <f t="shared" si="45"/>
        <v>0</v>
      </c>
      <c r="H246" s="194">
        <v>0</v>
      </c>
      <c r="I246" s="194">
        <v>0</v>
      </c>
      <c r="J246" s="194">
        <v>0</v>
      </c>
      <c r="K246" s="193">
        <f t="shared" si="46"/>
        <v>0</v>
      </c>
      <c r="L246" s="194">
        <v>0</v>
      </c>
      <c r="M246" s="194">
        <v>0</v>
      </c>
      <c r="N246" s="194">
        <v>0</v>
      </c>
      <c r="O246" s="193">
        <f t="shared" si="47"/>
        <v>0</v>
      </c>
      <c r="P246" s="194">
        <v>0</v>
      </c>
      <c r="Q246" s="194">
        <v>0</v>
      </c>
      <c r="R246" s="194">
        <v>0</v>
      </c>
      <c r="S246" s="193">
        <f t="shared" si="48"/>
        <v>0</v>
      </c>
      <c r="T246" s="193">
        <f t="shared" si="49"/>
        <v>0</v>
      </c>
      <c r="U246" s="193">
        <f ca="1">OFFSET('Expenditure Study'!$B$7,'Operations Support'!$C246,'Operations Support'!$B246)*$G246</f>
        <v>0</v>
      </c>
      <c r="V246" s="199">
        <f ca="1">U246*'Expenditure Study'!$B$31</f>
        <v>0</v>
      </c>
      <c r="W246" s="199">
        <f ca="1">IF(A246=10298,1.51,1)*IF($B246&lt;3,$D246*'Expenditure Study'!$B$32*OFFSET('Expenditure Study'!$B$7,'Operations Support'!$C246,'Operations Support'!$B246),0)</f>
        <v>0</v>
      </c>
      <c r="X246" s="200">
        <f ca="1">W246*'Expenditure Study'!$B$31</f>
        <v>0</v>
      </c>
      <c r="Y246" s="199">
        <f ca="1">U246*'Expenditure Study'!$B$31</f>
        <v>0</v>
      </c>
      <c r="Z246" s="200">
        <f ca="1">W246*'Expenditure Study'!$B$31</f>
        <v>0</v>
      </c>
      <c r="AA246" s="195">
        <f t="shared" ca="1" si="50"/>
        <v>0</v>
      </c>
      <c r="AB246" s="195">
        <f t="shared" ca="1" si="51"/>
        <v>0</v>
      </c>
      <c r="AD246" s="196">
        <f>IFERROR($G246/SUMIF($A:$A,$A246,$G:$G)*SUMIF(Summary!$A$166:$A$242,$A246,Summary!$P$166:$P$242),0)</f>
        <v>0</v>
      </c>
      <c r="AE246" s="197">
        <f t="shared" ca="1" si="52"/>
        <v>0</v>
      </c>
      <c r="AF246" s="196">
        <f>IFERROR(G246/SUMIF(A:A,A246,G:G)*SUMIF(Summary!$A$166:$A$242,'Operations Support'!A246,Summary!$Q$166:$Q$242),0)</f>
        <v>0</v>
      </c>
      <c r="AG246" s="196">
        <f t="shared" ca="1" si="53"/>
        <v>0</v>
      </c>
      <c r="AI246" s="196">
        <f>IFERROR($G246/SUMIF($A:$A,$A246,$G:$G)*SUMIF(Summary!$A$247:$A$283,$A246,Summary!$P$247:$P$283),0)</f>
        <v>0</v>
      </c>
      <c r="AJ246" s="196">
        <f>IFERROR($G246/SUMIF($A:$A,$A246,$G:$G)*(SUMIF(Summary!$A$247:$A$283,$A246,Summary!$L$247:$L$283)+SUMIF(Summary!$A$297:$A$333,$A246,Summary!$L$297:$L$333))-AI246,0)</f>
        <v>0</v>
      </c>
      <c r="AK246" s="196">
        <f>IFERROR($G246/SUMIF($A:$A,$A246,$G:$G)*SUMIF(Summary!$A$247:$A$283,$A246,Summary!$Q$247:$Q$283),0)</f>
        <v>0</v>
      </c>
      <c r="AL246" s="196">
        <f>IFERROR($G246/SUMIF($A:$A,$A246,$G:$G)*(SUMIF(Summary!$A$247:$A$283,$A246,Summary!$L$247:$L$283)+SUMIF(Summary!$A$297:$A$333,$A246,Summary!$L$297:$L$333))-AK246,0)</f>
        <v>0</v>
      </c>
      <c r="AM246" s="198"/>
      <c r="AN246" s="196">
        <f t="shared" ca="1" si="54"/>
        <v>0</v>
      </c>
      <c r="AO246" s="196">
        <f t="shared" ca="1" si="55"/>
        <v>0</v>
      </c>
    </row>
    <row r="247" spans="1:41">
      <c r="A247" s="189">
        <v>3565</v>
      </c>
      <c r="B247" s="190">
        <v>2</v>
      </c>
      <c r="C247" s="191" t="s">
        <v>231</v>
      </c>
      <c r="D247" s="192">
        <f t="shared" si="42"/>
        <v>0</v>
      </c>
      <c r="E247" s="192">
        <f t="shared" si="43"/>
        <v>651</v>
      </c>
      <c r="F247" s="192">
        <f t="shared" si="44"/>
        <v>0</v>
      </c>
      <c r="G247" s="193">
        <f t="shared" si="45"/>
        <v>651</v>
      </c>
      <c r="H247" s="194">
        <v>0</v>
      </c>
      <c r="I247" s="194">
        <v>312</v>
      </c>
      <c r="J247" s="194">
        <v>0</v>
      </c>
      <c r="K247" s="193">
        <f t="shared" si="46"/>
        <v>312</v>
      </c>
      <c r="L247" s="194">
        <v>0</v>
      </c>
      <c r="M247" s="194">
        <v>339</v>
      </c>
      <c r="N247" s="194">
        <v>0</v>
      </c>
      <c r="O247" s="193">
        <f t="shared" si="47"/>
        <v>339</v>
      </c>
      <c r="P247" s="194">
        <v>0</v>
      </c>
      <c r="Q247" s="194">
        <v>0</v>
      </c>
      <c r="R247" s="194">
        <v>0</v>
      </c>
      <c r="S247" s="193">
        <f t="shared" si="48"/>
        <v>0</v>
      </c>
      <c r="T247" s="193">
        <f t="shared" si="49"/>
        <v>21.7</v>
      </c>
      <c r="U247" s="193">
        <f ca="1">OFFSET('Expenditure Study'!$B$7,'Operations Support'!$C247,'Operations Support'!$B247)*$G247</f>
        <v>2291.52</v>
      </c>
      <c r="V247" s="199">
        <f ca="1">U247*'Expenditure Study'!$B$31</f>
        <v>135390.29046681599</v>
      </c>
      <c r="W247" s="199">
        <f ca="1">IF(A247=10298,1.51,1)*IF($B247&lt;3,$D247*'Expenditure Study'!$B$32*OFFSET('Expenditure Study'!$B$7,'Operations Support'!$C247,'Operations Support'!$B247),0)</f>
        <v>0</v>
      </c>
      <c r="X247" s="200">
        <f ca="1">W247*'Expenditure Study'!$B$31</f>
        <v>0</v>
      </c>
      <c r="Y247" s="199">
        <f ca="1">U247*'Expenditure Study'!$B$31</f>
        <v>135390.29046681599</v>
      </c>
      <c r="Z247" s="200">
        <f ca="1">W247*'Expenditure Study'!$B$31</f>
        <v>0</v>
      </c>
      <c r="AA247" s="195">
        <f t="shared" ca="1" si="50"/>
        <v>135390.29046681599</v>
      </c>
      <c r="AB247" s="195">
        <f t="shared" ca="1" si="51"/>
        <v>135390.29046681599</v>
      </c>
      <c r="AD247" s="196">
        <f>IFERROR($G247/SUMIF($A:$A,$A247,$G:$G)*SUMIF(Summary!$A$166:$A$242,$A247,Summary!$P$166:$P$242),0)</f>
        <v>8163.4646967948775</v>
      </c>
      <c r="AE247" s="197">
        <f t="shared" ca="1" si="52"/>
        <v>127226.82577002111</v>
      </c>
      <c r="AF247" s="196">
        <f>IFERROR(G247/SUMIF(A:A,A247,G:G)*SUMIF(Summary!$A$166:$A$242,'Operations Support'!A247,Summary!$Q$166:$Q$242),0)</f>
        <v>8180.8879973656058</v>
      </c>
      <c r="AG247" s="196">
        <f t="shared" ca="1" si="53"/>
        <v>127209.40246945039</v>
      </c>
      <c r="AI247" s="196">
        <f>IFERROR($G247/SUMIF($A:$A,$A247,$G:$G)*SUMIF(Summary!$A$247:$A$283,$A247,Summary!$P$247:$P$283),0)</f>
        <v>1488.8122437047045</v>
      </c>
      <c r="AJ247" s="196">
        <f>IFERROR($G247/SUMIF($A:$A,$A247,$G:$G)*(SUMIF(Summary!$A$247:$A$283,$A247,Summary!$L$247:$L$283)+SUMIF(Summary!$A$297:$A$333,$A247,Summary!$L$297:$L$333))-AI247,0)</f>
        <v>10637.085702845934</v>
      </c>
      <c r="AK247" s="196">
        <f>IFERROR($G247/SUMIF($A:$A,$A247,$G:$G)*SUMIF(Summary!$A$247:$A$283,$A247,Summary!$Q$247:$Q$283),0)</f>
        <v>1491.9898189351863</v>
      </c>
      <c r="AL247" s="196">
        <f>IFERROR($G247/SUMIF($A:$A,$A247,$G:$G)*(SUMIF(Summary!$A$247:$A$283,$A247,Summary!$L$247:$L$283)+SUMIF(Summary!$A$297:$A$333,$A247,Summary!$L$297:$L$333))-AK247,0)</f>
        <v>10633.908127615452</v>
      </c>
      <c r="AM247" s="198"/>
      <c r="AN247" s="196">
        <f t="shared" ca="1" si="54"/>
        <v>137863.91147286704</v>
      </c>
      <c r="AO247" s="196">
        <f t="shared" ca="1" si="55"/>
        <v>137843.31059706584</v>
      </c>
    </row>
    <row r="248" spans="1:41" s="201" customFormat="1">
      <c r="A248" s="189">
        <v>3565</v>
      </c>
      <c r="B248" s="190">
        <v>2</v>
      </c>
      <c r="C248" s="191" t="s">
        <v>232</v>
      </c>
      <c r="D248" s="192">
        <f t="shared" si="42"/>
        <v>0</v>
      </c>
      <c r="E248" s="192">
        <f t="shared" si="43"/>
        <v>0</v>
      </c>
      <c r="F248" s="192">
        <f t="shared" si="44"/>
        <v>0</v>
      </c>
      <c r="G248" s="193">
        <f t="shared" si="45"/>
        <v>0</v>
      </c>
      <c r="H248" s="194">
        <v>0</v>
      </c>
      <c r="I248" s="194">
        <v>0</v>
      </c>
      <c r="J248" s="194">
        <v>0</v>
      </c>
      <c r="K248" s="193">
        <f t="shared" si="46"/>
        <v>0</v>
      </c>
      <c r="L248" s="194">
        <v>0</v>
      </c>
      <c r="M248" s="194">
        <v>0</v>
      </c>
      <c r="N248" s="194">
        <v>0</v>
      </c>
      <c r="O248" s="193">
        <f t="shared" si="47"/>
        <v>0</v>
      </c>
      <c r="P248" s="194">
        <v>0</v>
      </c>
      <c r="Q248" s="194">
        <v>0</v>
      </c>
      <c r="R248" s="194">
        <v>0</v>
      </c>
      <c r="S248" s="193">
        <f t="shared" si="48"/>
        <v>0</v>
      </c>
      <c r="T248" s="193">
        <f t="shared" si="49"/>
        <v>0</v>
      </c>
      <c r="U248" s="193">
        <f ca="1">OFFSET('Expenditure Study'!$B$7,'Operations Support'!$C248,'Operations Support'!$B248)*$G248</f>
        <v>0</v>
      </c>
      <c r="V248" s="199">
        <f ca="1">U248*'Expenditure Study'!$B$31</f>
        <v>0</v>
      </c>
      <c r="W248" s="199">
        <f ca="1">IF(A248=10298,1.51,1)*IF($B248&lt;3,$D248*'Expenditure Study'!$B$32*OFFSET('Expenditure Study'!$B$7,'Operations Support'!$C248,'Operations Support'!$B248),0)</f>
        <v>0</v>
      </c>
      <c r="X248" s="200">
        <f ca="1">W248*'Expenditure Study'!$B$31</f>
        <v>0</v>
      </c>
      <c r="Y248" s="199">
        <f ca="1">U248*'Expenditure Study'!$B$31</f>
        <v>0</v>
      </c>
      <c r="Z248" s="200">
        <f ca="1">W248*'Expenditure Study'!$B$31</f>
        <v>0</v>
      </c>
      <c r="AA248" s="195">
        <f t="shared" ca="1" si="50"/>
        <v>0</v>
      </c>
      <c r="AB248" s="195">
        <f t="shared" ca="1" si="51"/>
        <v>0</v>
      </c>
      <c r="AD248" s="196">
        <f>IFERROR($G248/SUMIF($A:$A,$A248,$G:$G)*SUMIF(Summary!$A$166:$A$242,$A248,Summary!$P$166:$P$242),0)</f>
        <v>0</v>
      </c>
      <c r="AE248" s="197">
        <f t="shared" ca="1" si="52"/>
        <v>0</v>
      </c>
      <c r="AF248" s="196">
        <f>IFERROR(G248/SUMIF(A:A,A248,G:G)*SUMIF(Summary!$A$166:$A$242,'Operations Support'!A248,Summary!$Q$166:$Q$242),0)</f>
        <v>0</v>
      </c>
      <c r="AG248" s="196">
        <f t="shared" ca="1" si="53"/>
        <v>0</v>
      </c>
      <c r="AH248" s="180"/>
      <c r="AI248" s="196">
        <f>IFERROR($G248/SUMIF($A:$A,$A248,$G:$G)*SUMIF(Summary!$A$247:$A$283,$A248,Summary!$P$247:$P$283),0)</f>
        <v>0</v>
      </c>
      <c r="AJ248" s="196">
        <f>IFERROR($G248/SUMIF($A:$A,$A248,$G:$G)*(SUMIF(Summary!$A$247:$A$283,$A248,Summary!$L$247:$L$283)+SUMIF(Summary!$A$297:$A$333,$A248,Summary!$L$297:$L$333))-AI248,0)</f>
        <v>0</v>
      </c>
      <c r="AK248" s="196">
        <f>IFERROR($G248/SUMIF($A:$A,$A248,$G:$G)*SUMIF(Summary!$A$247:$A$283,$A248,Summary!$Q$247:$Q$283),0)</f>
        <v>0</v>
      </c>
      <c r="AL248" s="196">
        <f>IFERROR($G248/SUMIF($A:$A,$A248,$G:$G)*(SUMIF(Summary!$A$247:$A$283,$A248,Summary!$L$247:$L$283)+SUMIF(Summary!$A$297:$A$333,$A248,Summary!$L$297:$L$333))-AK248,0)</f>
        <v>0</v>
      </c>
      <c r="AM248" s="198"/>
      <c r="AN248" s="196">
        <f t="shared" ca="1" si="54"/>
        <v>0</v>
      </c>
      <c r="AO248" s="196">
        <f t="shared" ca="1" si="55"/>
        <v>0</v>
      </c>
    </row>
    <row r="249" spans="1:41">
      <c r="A249" s="189">
        <v>3565</v>
      </c>
      <c r="B249" s="190">
        <v>2</v>
      </c>
      <c r="C249" s="191" t="s">
        <v>233</v>
      </c>
      <c r="D249" s="192">
        <f t="shared" si="42"/>
        <v>2048</v>
      </c>
      <c r="E249" s="192">
        <f t="shared" si="43"/>
        <v>2081</v>
      </c>
      <c r="F249" s="192">
        <f t="shared" si="44"/>
        <v>0</v>
      </c>
      <c r="G249" s="193">
        <f t="shared" si="45"/>
        <v>4129</v>
      </c>
      <c r="H249" s="194">
        <v>645</v>
      </c>
      <c r="I249" s="194">
        <v>873</v>
      </c>
      <c r="J249" s="194">
        <v>0</v>
      </c>
      <c r="K249" s="193">
        <f t="shared" si="46"/>
        <v>1518</v>
      </c>
      <c r="L249" s="194">
        <v>707</v>
      </c>
      <c r="M249" s="194">
        <v>671</v>
      </c>
      <c r="N249" s="194">
        <v>0</v>
      </c>
      <c r="O249" s="193">
        <f t="shared" si="47"/>
        <v>1378</v>
      </c>
      <c r="P249" s="194">
        <v>696</v>
      </c>
      <c r="Q249" s="194">
        <v>537</v>
      </c>
      <c r="R249" s="194">
        <v>0</v>
      </c>
      <c r="S249" s="193">
        <f t="shared" si="48"/>
        <v>1233</v>
      </c>
      <c r="T249" s="193">
        <f t="shared" si="49"/>
        <v>137.63333333333333</v>
      </c>
      <c r="U249" s="193">
        <f ca="1">OFFSET('Expenditure Study'!$B$7,'Operations Support'!$C249,'Operations Support'!$B249)*$G249</f>
        <v>6647.6900000000005</v>
      </c>
      <c r="V249" s="199">
        <f ca="1">U249*'Expenditure Study'!$B$31</f>
        <v>392766.67017235205</v>
      </c>
      <c r="W249" s="199">
        <f ca="1">IF(A249=10298,1.51,1)*IF($B249&lt;3,$D249*'Expenditure Study'!$B$32*OFFSET('Expenditure Study'!$B$7,'Operations Support'!$C249,'Operations Support'!$B249),0)</f>
        <v>329.72800000000007</v>
      </c>
      <c r="X249" s="200">
        <f ca="1">W249*'Expenditure Study'!$B$31</f>
        <v>19481.379038822404</v>
      </c>
      <c r="Y249" s="199">
        <f ca="1">U249*'Expenditure Study'!$B$31</f>
        <v>392766.67017235205</v>
      </c>
      <c r="Z249" s="200">
        <f ca="1">W249*'Expenditure Study'!$B$31</f>
        <v>19481.379038822404</v>
      </c>
      <c r="AA249" s="195">
        <f t="shared" ca="1" si="50"/>
        <v>412248.04921117448</v>
      </c>
      <c r="AB249" s="195">
        <f t="shared" ca="1" si="51"/>
        <v>412248.04921117448</v>
      </c>
      <c r="AD249" s="196">
        <f>IFERROR($G249/SUMIF($A:$A,$A249,$G:$G)*SUMIF(Summary!$A$166:$A$242,$A249,Summary!$P$166:$P$242),0)</f>
        <v>51777.182385662134</v>
      </c>
      <c r="AE249" s="197">
        <f t="shared" ca="1" si="52"/>
        <v>360470.86682551238</v>
      </c>
      <c r="AF249" s="196">
        <f>IFERROR(G249/SUMIF(A:A,A249,G:G)*SUMIF(Summary!$A$166:$A$242,'Operations Support'!A249,Summary!$Q$166:$Q$242),0)</f>
        <v>51887.690539358802</v>
      </c>
      <c r="AG249" s="196">
        <f t="shared" ca="1" si="53"/>
        <v>360360.35867181566</v>
      </c>
      <c r="AI249" s="196">
        <f>IFERROR($G249/SUMIF($A:$A,$A249,$G:$G)*SUMIF(Summary!$A$247:$A$283,$A249,Summary!$P$247:$P$283),0)</f>
        <v>9442.8659819611748</v>
      </c>
      <c r="AJ249" s="196">
        <f>IFERROR($G249/SUMIF($A:$A,$A249,$G:$G)*(SUMIF(Summary!$A$247:$A$283,$A249,Summary!$L$247:$L$283)+SUMIF(Summary!$A$297:$A$333,$A249,Summary!$L$297:$L$333))-AI249,0)</f>
        <v>67466.247107604999</v>
      </c>
      <c r="AK249" s="196">
        <f>IFERROR($G249/SUMIF($A:$A,$A249,$G:$G)*SUMIF(Summary!$A$247:$A$283,$A249,Summary!$Q$247:$Q$283),0)</f>
        <v>9463.0199114952138</v>
      </c>
      <c r="AL249" s="196">
        <f>IFERROR($G249/SUMIF($A:$A,$A249,$G:$G)*(SUMIF(Summary!$A$247:$A$283,$A249,Summary!$L$247:$L$283)+SUMIF(Summary!$A$297:$A$333,$A249,Summary!$L$297:$L$333))-AK249,0)</f>
        <v>67446.093178070965</v>
      </c>
      <c r="AM249" s="198"/>
      <c r="AN249" s="196">
        <f t="shared" ca="1" si="54"/>
        <v>427937.11393311736</v>
      </c>
      <c r="AO249" s="196">
        <f t="shared" ca="1" si="55"/>
        <v>427806.45184988662</v>
      </c>
    </row>
    <row r="250" spans="1:41">
      <c r="A250" s="189">
        <v>3565</v>
      </c>
      <c r="B250" s="190">
        <v>2</v>
      </c>
      <c r="C250" s="191" t="s">
        <v>234</v>
      </c>
      <c r="D250" s="192">
        <f t="shared" si="42"/>
        <v>0</v>
      </c>
      <c r="E250" s="192">
        <f t="shared" si="43"/>
        <v>0</v>
      </c>
      <c r="F250" s="192">
        <f t="shared" si="44"/>
        <v>0</v>
      </c>
      <c r="G250" s="193">
        <f t="shared" si="45"/>
        <v>0</v>
      </c>
      <c r="H250" s="194">
        <v>0</v>
      </c>
      <c r="I250" s="194">
        <v>0</v>
      </c>
      <c r="J250" s="194">
        <v>0</v>
      </c>
      <c r="K250" s="193">
        <f t="shared" si="46"/>
        <v>0</v>
      </c>
      <c r="L250" s="194">
        <v>0</v>
      </c>
      <c r="M250" s="194">
        <v>0</v>
      </c>
      <c r="N250" s="194">
        <v>0</v>
      </c>
      <c r="O250" s="193">
        <f t="shared" si="47"/>
        <v>0</v>
      </c>
      <c r="P250" s="194">
        <v>0</v>
      </c>
      <c r="Q250" s="194">
        <v>0</v>
      </c>
      <c r="R250" s="194">
        <v>0</v>
      </c>
      <c r="S250" s="193">
        <f t="shared" si="48"/>
        <v>0</v>
      </c>
      <c r="T250" s="193">
        <f t="shared" si="49"/>
        <v>0</v>
      </c>
      <c r="U250" s="193">
        <f ca="1">OFFSET('Expenditure Study'!$B$7,'Operations Support'!$C250,'Operations Support'!$B250)*$G250</f>
        <v>0</v>
      </c>
      <c r="V250" s="199">
        <f ca="1">U250*'Expenditure Study'!$B$31</f>
        <v>0</v>
      </c>
      <c r="W250" s="199">
        <f ca="1">IF(A250=10298,1.51,1)*IF($B250&lt;3,$D250*'Expenditure Study'!$B$32*OFFSET('Expenditure Study'!$B$7,'Operations Support'!$C250,'Operations Support'!$B250),0)</f>
        <v>0</v>
      </c>
      <c r="X250" s="200">
        <f ca="1">W250*'Expenditure Study'!$B$31</f>
        <v>0</v>
      </c>
      <c r="Y250" s="199">
        <f ca="1">U250*'Expenditure Study'!$B$31</f>
        <v>0</v>
      </c>
      <c r="Z250" s="200">
        <f ca="1">W250*'Expenditure Study'!$B$31</f>
        <v>0</v>
      </c>
      <c r="AA250" s="195">
        <f t="shared" ca="1" si="50"/>
        <v>0</v>
      </c>
      <c r="AB250" s="195">
        <f t="shared" ca="1" si="51"/>
        <v>0</v>
      </c>
      <c r="AD250" s="196">
        <f>IFERROR($G250/SUMIF($A:$A,$A250,$G:$G)*SUMIF(Summary!$A$166:$A$242,$A250,Summary!$P$166:$P$242),0)</f>
        <v>0</v>
      </c>
      <c r="AE250" s="197">
        <f t="shared" ca="1" si="52"/>
        <v>0</v>
      </c>
      <c r="AF250" s="196">
        <f>IFERROR(G250/SUMIF(A:A,A250,G:G)*SUMIF(Summary!$A$166:$A$242,'Operations Support'!A250,Summary!$Q$166:$Q$242),0)</f>
        <v>0</v>
      </c>
      <c r="AG250" s="196">
        <f t="shared" ca="1" si="53"/>
        <v>0</v>
      </c>
      <c r="AI250" s="196">
        <f>IFERROR($G250/SUMIF($A:$A,$A250,$G:$G)*SUMIF(Summary!$A$247:$A$283,$A250,Summary!$P$247:$P$283),0)</f>
        <v>0</v>
      </c>
      <c r="AJ250" s="196">
        <f>IFERROR($G250/SUMIF($A:$A,$A250,$G:$G)*(SUMIF(Summary!$A$247:$A$283,$A250,Summary!$L$247:$L$283)+SUMIF(Summary!$A$297:$A$333,$A250,Summary!$L$297:$L$333))-AI250,0)</f>
        <v>0</v>
      </c>
      <c r="AK250" s="196">
        <f>IFERROR($G250/SUMIF($A:$A,$A250,$G:$G)*SUMIF(Summary!$A$247:$A$283,$A250,Summary!$Q$247:$Q$283),0)</f>
        <v>0</v>
      </c>
      <c r="AL250" s="196">
        <f>IFERROR($G250/SUMIF($A:$A,$A250,$G:$G)*(SUMIF(Summary!$A$247:$A$283,$A250,Summary!$L$247:$L$283)+SUMIF(Summary!$A$297:$A$333,$A250,Summary!$L$297:$L$333))-AK250,0)</f>
        <v>0</v>
      </c>
      <c r="AM250" s="198"/>
      <c r="AN250" s="196">
        <f t="shared" ca="1" si="54"/>
        <v>0</v>
      </c>
      <c r="AO250" s="196">
        <f t="shared" ca="1" si="55"/>
        <v>0</v>
      </c>
    </row>
    <row r="251" spans="1:41">
      <c r="A251" s="189">
        <v>3565</v>
      </c>
      <c r="B251" s="190">
        <v>2</v>
      </c>
      <c r="C251" s="191" t="s">
        <v>235</v>
      </c>
      <c r="D251" s="192">
        <f t="shared" si="42"/>
        <v>7629</v>
      </c>
      <c r="E251" s="192">
        <f t="shared" si="43"/>
        <v>13203</v>
      </c>
      <c r="F251" s="192">
        <f t="shared" si="44"/>
        <v>0</v>
      </c>
      <c r="G251" s="193">
        <f t="shared" si="45"/>
        <v>20832</v>
      </c>
      <c r="H251" s="194">
        <v>3336</v>
      </c>
      <c r="I251" s="194">
        <v>5337</v>
      </c>
      <c r="J251" s="194">
        <v>0</v>
      </c>
      <c r="K251" s="193">
        <f t="shared" si="46"/>
        <v>8673</v>
      </c>
      <c r="L251" s="194">
        <v>2925</v>
      </c>
      <c r="M251" s="194">
        <v>4071</v>
      </c>
      <c r="N251" s="194">
        <v>0</v>
      </c>
      <c r="O251" s="193">
        <f t="shared" si="47"/>
        <v>6996</v>
      </c>
      <c r="P251" s="194">
        <v>1368</v>
      </c>
      <c r="Q251" s="194">
        <v>3795</v>
      </c>
      <c r="R251" s="194">
        <v>0</v>
      </c>
      <c r="S251" s="193">
        <f t="shared" si="48"/>
        <v>5163</v>
      </c>
      <c r="T251" s="193">
        <f t="shared" si="49"/>
        <v>694.4</v>
      </c>
      <c r="U251" s="193">
        <f ca="1">OFFSET('Expenditure Study'!$B$7,'Operations Support'!$C251,'Operations Support'!$B251)*$G251</f>
        <v>38955.840000000004</v>
      </c>
      <c r="V251" s="199">
        <f ca="1">U251*'Expenditure Study'!$B$31</f>
        <v>2301634.9379358725</v>
      </c>
      <c r="W251" s="199">
        <f ca="1">IF(A251=10298,1.51,1)*IF($B251&lt;3,$D251*'Expenditure Study'!$B$32*OFFSET('Expenditure Study'!$B$7,'Operations Support'!$C251,'Operations Support'!$B251),0)</f>
        <v>1426.6230000000003</v>
      </c>
      <c r="X251" s="200">
        <f ca="1">W251*'Expenditure Study'!$B$31</f>
        <v>84289.424642438418</v>
      </c>
      <c r="Y251" s="199">
        <f ca="1">U251*'Expenditure Study'!$B$31</f>
        <v>2301634.9379358725</v>
      </c>
      <c r="Z251" s="200">
        <f ca="1">W251*'Expenditure Study'!$B$31</f>
        <v>84289.424642438418</v>
      </c>
      <c r="AA251" s="195">
        <f t="shared" ca="1" si="50"/>
        <v>2385924.362578311</v>
      </c>
      <c r="AB251" s="195">
        <f t="shared" ca="1" si="51"/>
        <v>2385924.362578311</v>
      </c>
      <c r="AD251" s="196">
        <f>IFERROR($G251/SUMIF($A:$A,$A251,$G:$G)*SUMIF(Summary!$A$166:$A$242,$A251,Summary!$P$166:$P$242),0)</f>
        <v>261230.87029743608</v>
      </c>
      <c r="AE251" s="197">
        <f t="shared" ca="1" si="52"/>
        <v>2124693.4922808749</v>
      </c>
      <c r="AF251" s="196">
        <f>IFERROR(G251/SUMIF(A:A,A251,G:G)*SUMIF(Summary!$A$166:$A$242,'Operations Support'!A251,Summary!$Q$166:$Q$242),0)</f>
        <v>261788.41591569938</v>
      </c>
      <c r="AG251" s="196">
        <f t="shared" ca="1" si="53"/>
        <v>2124135.9466626118</v>
      </c>
      <c r="AI251" s="196">
        <f>IFERROR($G251/SUMIF($A:$A,$A251,$G:$G)*SUMIF(Summary!$A$247:$A$283,$A251,Summary!$P$247:$P$283),0)</f>
        <v>47641.991798550545</v>
      </c>
      <c r="AJ251" s="196">
        <f>IFERROR($G251/SUMIF($A:$A,$A251,$G:$G)*(SUMIF(Summary!$A$247:$A$283,$A251,Summary!$L$247:$L$283)+SUMIF(Summary!$A$297:$A$333,$A251,Summary!$L$297:$L$333))-AI251,0)</f>
        <v>340386.74249106989</v>
      </c>
      <c r="AK251" s="196">
        <f>IFERROR($G251/SUMIF($A:$A,$A251,$G:$G)*SUMIF(Summary!$A$247:$A$283,$A251,Summary!$Q$247:$Q$283),0)</f>
        <v>47743.674205925963</v>
      </c>
      <c r="AL251" s="196">
        <f>IFERROR($G251/SUMIF($A:$A,$A251,$G:$G)*(SUMIF(Summary!$A$247:$A$283,$A251,Summary!$L$247:$L$283)+SUMIF(Summary!$A$297:$A$333,$A251,Summary!$L$297:$L$333))-AK251,0)</f>
        <v>340285.06008369446</v>
      </c>
      <c r="AM251" s="198"/>
      <c r="AN251" s="196">
        <f t="shared" ca="1" si="54"/>
        <v>2465080.2347719446</v>
      </c>
      <c r="AO251" s="196">
        <f t="shared" ca="1" si="55"/>
        <v>2464421.0067463061</v>
      </c>
    </row>
    <row r="252" spans="1:41">
      <c r="A252" s="189">
        <v>3565</v>
      </c>
      <c r="B252" s="190">
        <v>2</v>
      </c>
      <c r="C252" s="191" t="s">
        <v>236</v>
      </c>
      <c r="D252" s="192">
        <f t="shared" si="42"/>
        <v>0</v>
      </c>
      <c r="E252" s="192">
        <f t="shared" si="43"/>
        <v>0</v>
      </c>
      <c r="F252" s="192">
        <f t="shared" si="44"/>
        <v>0</v>
      </c>
      <c r="G252" s="193">
        <f t="shared" si="45"/>
        <v>0</v>
      </c>
      <c r="H252" s="194">
        <v>0</v>
      </c>
      <c r="I252" s="194">
        <v>0</v>
      </c>
      <c r="J252" s="194">
        <v>0</v>
      </c>
      <c r="K252" s="193">
        <f t="shared" si="46"/>
        <v>0</v>
      </c>
      <c r="L252" s="194">
        <v>0</v>
      </c>
      <c r="M252" s="194">
        <v>0</v>
      </c>
      <c r="N252" s="194">
        <v>0</v>
      </c>
      <c r="O252" s="193">
        <f t="shared" si="47"/>
        <v>0</v>
      </c>
      <c r="P252" s="194">
        <v>0</v>
      </c>
      <c r="Q252" s="194">
        <v>0</v>
      </c>
      <c r="R252" s="194">
        <v>0</v>
      </c>
      <c r="S252" s="193">
        <f t="shared" si="48"/>
        <v>0</v>
      </c>
      <c r="T252" s="193">
        <f t="shared" si="49"/>
        <v>0</v>
      </c>
      <c r="U252" s="193">
        <f ca="1">OFFSET('Expenditure Study'!$B$7,'Operations Support'!$C252,'Operations Support'!$B252)*$G252</f>
        <v>0</v>
      </c>
      <c r="V252" s="199">
        <f ca="1">U252*'Expenditure Study'!$B$31</f>
        <v>0</v>
      </c>
      <c r="W252" s="199">
        <f ca="1">IF(A252=10298,1.51,1)*IF($B252&lt;3,$D252*'Expenditure Study'!$B$32*OFFSET('Expenditure Study'!$B$7,'Operations Support'!$C252,'Operations Support'!$B252),0)</f>
        <v>0</v>
      </c>
      <c r="X252" s="200">
        <f ca="1">W252*'Expenditure Study'!$B$31</f>
        <v>0</v>
      </c>
      <c r="Y252" s="199">
        <f ca="1">U252*'Expenditure Study'!$B$31</f>
        <v>0</v>
      </c>
      <c r="Z252" s="200">
        <f ca="1">W252*'Expenditure Study'!$B$31</f>
        <v>0</v>
      </c>
      <c r="AA252" s="195">
        <f t="shared" ca="1" si="50"/>
        <v>0</v>
      </c>
      <c r="AB252" s="195">
        <f t="shared" ca="1" si="51"/>
        <v>0</v>
      </c>
      <c r="AD252" s="196">
        <f>IFERROR($G252/SUMIF($A:$A,$A252,$G:$G)*SUMIF(Summary!$A$166:$A$242,$A252,Summary!$P$166:$P$242),0)</f>
        <v>0</v>
      </c>
      <c r="AE252" s="197">
        <f t="shared" ca="1" si="52"/>
        <v>0</v>
      </c>
      <c r="AF252" s="196">
        <f>IFERROR(G252/SUMIF(A:A,A252,G:G)*SUMIF(Summary!$A$166:$A$242,'Operations Support'!A252,Summary!$Q$166:$Q$242),0)</f>
        <v>0</v>
      </c>
      <c r="AG252" s="196">
        <f t="shared" ca="1" si="53"/>
        <v>0</v>
      </c>
      <c r="AI252" s="196">
        <f>IFERROR($G252/SUMIF($A:$A,$A252,$G:$G)*SUMIF(Summary!$A$247:$A$283,$A252,Summary!$P$247:$P$283),0)</f>
        <v>0</v>
      </c>
      <c r="AJ252" s="196">
        <f>IFERROR($G252/SUMIF($A:$A,$A252,$G:$G)*(SUMIF(Summary!$A$247:$A$283,$A252,Summary!$L$247:$L$283)+SUMIF(Summary!$A$297:$A$333,$A252,Summary!$L$297:$L$333))-AI252,0)</f>
        <v>0</v>
      </c>
      <c r="AK252" s="196">
        <f>IFERROR($G252/SUMIF($A:$A,$A252,$G:$G)*SUMIF(Summary!$A$247:$A$283,$A252,Summary!$Q$247:$Q$283),0)</f>
        <v>0</v>
      </c>
      <c r="AL252" s="196">
        <f>IFERROR($G252/SUMIF($A:$A,$A252,$G:$G)*(SUMIF(Summary!$A$247:$A$283,$A252,Summary!$L$247:$L$283)+SUMIF(Summary!$A$297:$A$333,$A252,Summary!$L$297:$L$333))-AK252,0)</f>
        <v>0</v>
      </c>
      <c r="AM252" s="198"/>
      <c r="AN252" s="196">
        <f t="shared" ca="1" si="54"/>
        <v>0</v>
      </c>
      <c r="AO252" s="196">
        <f t="shared" ca="1" si="55"/>
        <v>0</v>
      </c>
    </row>
    <row r="253" spans="1:41">
      <c r="A253" s="189">
        <v>3565</v>
      </c>
      <c r="B253" s="190">
        <v>2</v>
      </c>
      <c r="C253" s="191" t="s">
        <v>237</v>
      </c>
      <c r="D253" s="192">
        <f t="shared" si="42"/>
        <v>283.5</v>
      </c>
      <c r="E253" s="192">
        <f t="shared" si="43"/>
        <v>1027.5</v>
      </c>
      <c r="F253" s="192">
        <f t="shared" si="44"/>
        <v>0</v>
      </c>
      <c r="G253" s="193">
        <f t="shared" si="45"/>
        <v>1311</v>
      </c>
      <c r="H253" s="194">
        <v>181.5</v>
      </c>
      <c r="I253" s="194">
        <v>892.5</v>
      </c>
      <c r="J253" s="194">
        <v>0</v>
      </c>
      <c r="K253" s="193">
        <f t="shared" si="46"/>
        <v>1074</v>
      </c>
      <c r="L253" s="194">
        <v>102</v>
      </c>
      <c r="M253" s="194">
        <v>135</v>
      </c>
      <c r="N253" s="194">
        <v>0</v>
      </c>
      <c r="O253" s="193">
        <f t="shared" si="47"/>
        <v>237</v>
      </c>
      <c r="P253" s="194">
        <v>0</v>
      </c>
      <c r="Q253" s="194">
        <v>0</v>
      </c>
      <c r="R253" s="194">
        <v>0</v>
      </c>
      <c r="S253" s="193">
        <f t="shared" si="48"/>
        <v>0</v>
      </c>
      <c r="T253" s="193">
        <f t="shared" si="49"/>
        <v>43.7</v>
      </c>
      <c r="U253" s="193">
        <f ca="1">OFFSET('Expenditure Study'!$B$7,'Operations Support'!$C253,'Operations Support'!$B253)*$G253</f>
        <v>3067.74</v>
      </c>
      <c r="V253" s="199">
        <f ca="1">U253*'Expenditure Study'!$B$31</f>
        <v>181251.83706739199</v>
      </c>
      <c r="W253" s="199">
        <f ca="1">IF(A253=10298,1.51,1)*IF($B253&lt;3,$D253*'Expenditure Study'!$B$32*OFFSET('Expenditure Study'!$B$7,'Operations Support'!$C253,'Operations Support'!$B253),0)</f>
        <v>66.338999999999999</v>
      </c>
      <c r="X253" s="200">
        <f ca="1">W253*'Expenditure Study'!$B$31</f>
        <v>3919.5191310912001</v>
      </c>
      <c r="Y253" s="199">
        <f ca="1">U253*'Expenditure Study'!$B$31</f>
        <v>181251.83706739199</v>
      </c>
      <c r="Z253" s="200">
        <f ca="1">W253*'Expenditure Study'!$B$31</f>
        <v>3919.5191310912001</v>
      </c>
      <c r="AA253" s="195">
        <f t="shared" ca="1" si="50"/>
        <v>185171.35619848318</v>
      </c>
      <c r="AB253" s="195">
        <f t="shared" ca="1" si="51"/>
        <v>185171.35619848318</v>
      </c>
      <c r="AD253" s="196">
        <f>IFERROR($G253/SUMIF($A:$A,$A253,$G:$G)*SUMIF(Summary!$A$166:$A$242,$A253,Summary!$P$166:$P$242),0)</f>
        <v>16439.788352531617</v>
      </c>
      <c r="AE253" s="197">
        <f t="shared" ca="1" si="52"/>
        <v>168731.56784595156</v>
      </c>
      <c r="AF253" s="196">
        <f>IFERROR(G253/SUMIF(A:A,A253,G:G)*SUMIF(Summary!$A$166:$A$242,'Operations Support'!A253,Summary!$Q$166:$Q$242),0)</f>
        <v>16474.875828796172</v>
      </c>
      <c r="AG253" s="196">
        <f t="shared" ca="1" si="53"/>
        <v>168696.48036968699</v>
      </c>
      <c r="AI253" s="196">
        <f>IFERROR($G253/SUMIF($A:$A,$A253,$G:$G)*SUMIF(Summary!$A$247:$A$283,$A253,Summary!$P$247:$P$283),0)</f>
        <v>2998.2071451564784</v>
      </c>
      <c r="AJ253" s="196">
        <f>IFERROR($G253/SUMIF($A:$A,$A253,$G:$G)*(SUMIF(Summary!$A$247:$A$283,$A253,Summary!$L$247:$L$283)+SUMIF(Summary!$A$297:$A$333,$A253,Summary!$L$297:$L$333))-AI253,0)</f>
        <v>21421.227890063008</v>
      </c>
      <c r="AK253" s="196">
        <f>IFERROR($G253/SUMIF($A:$A,$A253,$G:$G)*SUMIF(Summary!$A$247:$A$283,$A253,Summary!$Q$247:$Q$283),0)</f>
        <v>3004.6062252289234</v>
      </c>
      <c r="AL253" s="196">
        <f>IFERROR($G253/SUMIF($A:$A,$A253,$G:$G)*(SUMIF(Summary!$A$247:$A$283,$A253,Summary!$L$247:$L$283)+SUMIF(Summary!$A$297:$A$333,$A253,Summary!$L$297:$L$333))-AK253,0)</f>
        <v>21414.828809990562</v>
      </c>
      <c r="AM253" s="198"/>
      <c r="AN253" s="196">
        <f t="shared" ca="1" si="54"/>
        <v>190152.79573601458</v>
      </c>
      <c r="AO253" s="196">
        <f t="shared" ca="1" si="55"/>
        <v>190111.30917967757</v>
      </c>
    </row>
    <row r="254" spans="1:41">
      <c r="A254" s="189">
        <v>3565</v>
      </c>
      <c r="B254" s="190">
        <v>2</v>
      </c>
      <c r="C254" s="191" t="s">
        <v>238</v>
      </c>
      <c r="D254" s="192">
        <f t="shared" si="42"/>
        <v>807</v>
      </c>
      <c r="E254" s="192">
        <f t="shared" si="43"/>
        <v>739</v>
      </c>
      <c r="F254" s="192">
        <f t="shared" si="44"/>
        <v>0</v>
      </c>
      <c r="G254" s="193">
        <f t="shared" si="45"/>
        <v>1546</v>
      </c>
      <c r="H254" s="194">
        <v>327</v>
      </c>
      <c r="I254" s="194">
        <v>283</v>
      </c>
      <c r="J254" s="194">
        <v>0</v>
      </c>
      <c r="K254" s="193">
        <f t="shared" si="46"/>
        <v>610</v>
      </c>
      <c r="L254" s="194">
        <v>414</v>
      </c>
      <c r="M254" s="194">
        <v>456</v>
      </c>
      <c r="N254" s="194">
        <v>0</v>
      </c>
      <c r="O254" s="193">
        <f t="shared" si="47"/>
        <v>870</v>
      </c>
      <c r="P254" s="194">
        <v>66</v>
      </c>
      <c r="Q254" s="194">
        <v>0</v>
      </c>
      <c r="R254" s="194">
        <v>0</v>
      </c>
      <c r="S254" s="193">
        <f t="shared" si="48"/>
        <v>66</v>
      </c>
      <c r="T254" s="193">
        <f t="shared" si="49"/>
        <v>51.533333333333331</v>
      </c>
      <c r="U254" s="193">
        <f ca="1">OFFSET('Expenditure Study'!$B$7,'Operations Support'!$C254,'Operations Support'!$B254)*$G254</f>
        <v>3710.3999999999996</v>
      </c>
      <c r="V254" s="199">
        <f ca="1">U254*'Expenditure Study'!$B$31</f>
        <v>219222.23404031998</v>
      </c>
      <c r="W254" s="199">
        <f ca="1">IF(A254=10298,1.51,1)*IF($B254&lt;3,$D254*'Expenditure Study'!$B$32*OFFSET('Expenditure Study'!$B$7,'Operations Support'!$C254,'Operations Support'!$B254),0)</f>
        <v>193.68</v>
      </c>
      <c r="X254" s="200">
        <f ca="1">W254*'Expenditure Study'!$B$31</f>
        <v>11443.230457344001</v>
      </c>
      <c r="Y254" s="199">
        <f ca="1">U254*'Expenditure Study'!$B$31</f>
        <v>219222.23404031998</v>
      </c>
      <c r="Z254" s="200">
        <f ca="1">W254*'Expenditure Study'!$B$31</f>
        <v>11443.230457344001</v>
      </c>
      <c r="AA254" s="195">
        <f t="shared" ca="1" si="50"/>
        <v>230665.46449766398</v>
      </c>
      <c r="AB254" s="195">
        <f t="shared" ca="1" si="51"/>
        <v>230665.46449766398</v>
      </c>
      <c r="AD254" s="196">
        <f>IFERROR($G254/SUMIF($A:$A,$A254,$G:$G)*SUMIF(Summary!$A$166:$A$242,$A254,Summary!$P$166:$P$242),0)</f>
        <v>19386.661169346975</v>
      </c>
      <c r="AE254" s="197">
        <f t="shared" ca="1" si="52"/>
        <v>211278.80332831701</v>
      </c>
      <c r="AF254" s="196">
        <f>IFERROR(G254/SUMIF(A:A,A254,G:G)*SUMIF(Summary!$A$166:$A$242,'Operations Support'!A254,Summary!$Q$166:$Q$242),0)</f>
        <v>19428.038162714631</v>
      </c>
      <c r="AG254" s="196">
        <f t="shared" ca="1" si="53"/>
        <v>211237.42633494936</v>
      </c>
      <c r="AI254" s="196">
        <f>IFERROR($G254/SUMIF($A:$A,$A254,$G:$G)*SUMIF(Summary!$A$247:$A$283,$A254,Summary!$P$247:$P$283),0)</f>
        <v>3535.643208552186</v>
      </c>
      <c r="AJ254" s="196">
        <f>IFERROR($G254/SUMIF($A:$A,$A254,$G:$G)*(SUMIF(Summary!$A$247:$A$283,$A254,Summary!$L$247:$L$283)+SUMIF(Summary!$A$297:$A$333,$A254,Summary!$L$297:$L$333))-AI254,0)</f>
        <v>25261.03609308727</v>
      </c>
      <c r="AK254" s="196">
        <f>IFERROR($G254/SUMIF($A:$A,$A254,$G:$G)*SUMIF(Summary!$A$247:$A$283,$A254,Summary!$Q$247:$Q$283),0)</f>
        <v>3543.1893395910874</v>
      </c>
      <c r="AL254" s="196">
        <f>IFERROR($G254/SUMIF($A:$A,$A254,$G:$G)*(SUMIF(Summary!$A$247:$A$283,$A254,Summary!$L$247:$L$283)+SUMIF(Summary!$A$297:$A$333,$A254,Summary!$L$297:$L$333))-AK254,0)</f>
        <v>25253.489962048367</v>
      </c>
      <c r="AM254" s="198"/>
      <c r="AN254" s="196">
        <f t="shared" ca="1" si="54"/>
        <v>236539.83942140429</v>
      </c>
      <c r="AO254" s="196">
        <f t="shared" ca="1" si="55"/>
        <v>236490.91629699772</v>
      </c>
    </row>
    <row r="255" spans="1:41">
      <c r="A255" s="189">
        <v>3565</v>
      </c>
      <c r="B255" s="190">
        <v>2</v>
      </c>
      <c r="C255" s="191" t="s">
        <v>239</v>
      </c>
      <c r="D255" s="192">
        <f t="shared" si="42"/>
        <v>429</v>
      </c>
      <c r="E255" s="192">
        <f t="shared" si="43"/>
        <v>3305</v>
      </c>
      <c r="F255" s="192">
        <f t="shared" si="44"/>
        <v>0</v>
      </c>
      <c r="G255" s="193">
        <f t="shared" si="45"/>
        <v>3734</v>
      </c>
      <c r="H255" s="194">
        <v>212</v>
      </c>
      <c r="I255" s="194">
        <v>1571</v>
      </c>
      <c r="J255" s="194">
        <v>0</v>
      </c>
      <c r="K255" s="193">
        <f t="shared" si="46"/>
        <v>1783</v>
      </c>
      <c r="L255" s="194">
        <v>118</v>
      </c>
      <c r="M255" s="194">
        <v>1602</v>
      </c>
      <c r="N255" s="194">
        <v>0</v>
      </c>
      <c r="O255" s="193">
        <f t="shared" si="47"/>
        <v>1720</v>
      </c>
      <c r="P255" s="194">
        <v>99</v>
      </c>
      <c r="Q255" s="194">
        <v>132</v>
      </c>
      <c r="R255" s="194">
        <v>0</v>
      </c>
      <c r="S255" s="193">
        <f t="shared" si="48"/>
        <v>231</v>
      </c>
      <c r="T255" s="193">
        <f t="shared" si="49"/>
        <v>124.46666666666667</v>
      </c>
      <c r="U255" s="193">
        <f ca="1">OFFSET('Expenditure Study'!$B$7,'Operations Support'!$C255,'Operations Support'!$B255)*$G255</f>
        <v>7766.72</v>
      </c>
      <c r="V255" s="199">
        <f ca="1">U255*'Expenditure Study'!$B$31</f>
        <v>458882.521982976</v>
      </c>
      <c r="W255" s="199">
        <f ca="1">IF(A255=10298,1.51,1)*IF($B255&lt;3,$D255*'Expenditure Study'!$B$32*OFFSET('Expenditure Study'!$B$7,'Operations Support'!$C255,'Operations Support'!$B255),0)</f>
        <v>89.232000000000014</v>
      </c>
      <c r="X255" s="200">
        <f ca="1">W255*'Expenditure Study'!$B$31</f>
        <v>5272.1103891456005</v>
      </c>
      <c r="Y255" s="199">
        <f ca="1">U255*'Expenditure Study'!$B$31</f>
        <v>458882.521982976</v>
      </c>
      <c r="Z255" s="200">
        <f ca="1">W255*'Expenditure Study'!$B$31</f>
        <v>5272.1103891456005</v>
      </c>
      <c r="AA255" s="195">
        <f t="shared" ca="1" si="50"/>
        <v>464154.63237212162</v>
      </c>
      <c r="AB255" s="195">
        <f t="shared" ca="1" si="51"/>
        <v>464154.63237212162</v>
      </c>
      <c r="AD255" s="196">
        <f>IFERROR($G255/SUMIF($A:$A,$A255,$G:$G)*SUMIF(Summary!$A$166:$A$242,$A255,Summary!$P$166:$P$242),0)</f>
        <v>46823.928076546959</v>
      </c>
      <c r="AE255" s="197">
        <f t="shared" ca="1" si="52"/>
        <v>417330.70429557469</v>
      </c>
      <c r="AF255" s="196">
        <f>IFERROR(G255/SUMIF(A:A,A255,G:G)*SUMIF(Summary!$A$166:$A$242,'Operations Support'!A255,Summary!$Q$166:$Q$242),0)</f>
        <v>46923.864488729901</v>
      </c>
      <c r="AG255" s="196">
        <f t="shared" ca="1" si="53"/>
        <v>417230.7678833917</v>
      </c>
      <c r="AI255" s="196">
        <f>IFERROR($G255/SUMIF($A:$A,$A255,$G:$G)*SUMIF(Summary!$A$247:$A$283,$A255,Summary!$P$247:$P$283),0)</f>
        <v>8539.5160030620063</v>
      </c>
      <c r="AJ255" s="196">
        <f>IFERROR($G255/SUMIF($A:$A,$A255,$G:$G)*(SUMIF(Summary!$A$247:$A$283,$A255,Summary!$L$247:$L$283)+SUMIF(Summary!$A$297:$A$333,$A255,Summary!$L$297:$L$333))-AI255,0)</f>
        <v>61012.101404649336</v>
      </c>
      <c r="AK255" s="196">
        <f>IFERROR($G255/SUMIF($A:$A,$A255,$G:$G)*SUMIF(Summary!$A$247:$A$283,$A255,Summary!$Q$247:$Q$283),0)</f>
        <v>8557.7419107588103</v>
      </c>
      <c r="AL255" s="196">
        <f>IFERROR($G255/SUMIF($A:$A,$A255,$G:$G)*(SUMIF(Summary!$A$247:$A$283,$A255,Summary!$L$247:$L$283)+SUMIF(Summary!$A$297:$A$333,$A255,Summary!$L$297:$L$333))-AK255,0)</f>
        <v>60993.875496952533</v>
      </c>
      <c r="AM255" s="198"/>
      <c r="AN255" s="196">
        <f t="shared" ca="1" si="54"/>
        <v>478342.80570022401</v>
      </c>
      <c r="AO255" s="196">
        <f t="shared" ca="1" si="55"/>
        <v>478224.64338034426</v>
      </c>
    </row>
    <row r="256" spans="1:41">
      <c r="A256" s="189">
        <v>3565</v>
      </c>
      <c r="B256" s="190">
        <v>2</v>
      </c>
      <c r="C256" s="191" t="s">
        <v>240</v>
      </c>
      <c r="D256" s="192">
        <f t="shared" si="42"/>
        <v>0</v>
      </c>
      <c r="E256" s="192">
        <f t="shared" si="43"/>
        <v>0</v>
      </c>
      <c r="F256" s="192">
        <f t="shared" si="44"/>
        <v>0</v>
      </c>
      <c r="G256" s="193">
        <f t="shared" si="45"/>
        <v>0</v>
      </c>
      <c r="H256" s="194">
        <v>0</v>
      </c>
      <c r="I256" s="194">
        <v>0</v>
      </c>
      <c r="J256" s="194">
        <v>0</v>
      </c>
      <c r="K256" s="193">
        <f t="shared" si="46"/>
        <v>0</v>
      </c>
      <c r="L256" s="194">
        <v>0</v>
      </c>
      <c r="M256" s="194">
        <v>0</v>
      </c>
      <c r="N256" s="194">
        <v>0</v>
      </c>
      <c r="O256" s="193">
        <f t="shared" si="47"/>
        <v>0</v>
      </c>
      <c r="P256" s="194">
        <v>0</v>
      </c>
      <c r="Q256" s="194">
        <v>0</v>
      </c>
      <c r="R256" s="194">
        <v>0</v>
      </c>
      <c r="S256" s="193">
        <f t="shared" si="48"/>
        <v>0</v>
      </c>
      <c r="T256" s="193">
        <f t="shared" si="49"/>
        <v>0</v>
      </c>
      <c r="U256" s="193">
        <f ca="1">OFFSET('Expenditure Study'!$B$7,'Operations Support'!$C256,'Operations Support'!$B256)*$G256</f>
        <v>0</v>
      </c>
      <c r="V256" s="199">
        <f ca="1">U256*'Expenditure Study'!$B$31</f>
        <v>0</v>
      </c>
      <c r="W256" s="199">
        <f ca="1">IF(A256=10298,1.51,1)*IF($B256&lt;3,$D256*'Expenditure Study'!$B$32*OFFSET('Expenditure Study'!$B$7,'Operations Support'!$C256,'Operations Support'!$B256),0)</f>
        <v>0</v>
      </c>
      <c r="X256" s="200">
        <f ca="1">W256*'Expenditure Study'!$B$31</f>
        <v>0</v>
      </c>
      <c r="Y256" s="199">
        <f ca="1">U256*'Expenditure Study'!$B$31</f>
        <v>0</v>
      </c>
      <c r="Z256" s="200">
        <f ca="1">W256*'Expenditure Study'!$B$31</f>
        <v>0</v>
      </c>
      <c r="AA256" s="195">
        <f t="shared" ca="1" si="50"/>
        <v>0</v>
      </c>
      <c r="AB256" s="195">
        <f t="shared" ca="1" si="51"/>
        <v>0</v>
      </c>
      <c r="AD256" s="196">
        <f>IFERROR($G256/SUMIF($A:$A,$A256,$G:$G)*SUMIF(Summary!$A$166:$A$242,$A256,Summary!$P$166:$P$242),0)</f>
        <v>0</v>
      </c>
      <c r="AE256" s="197">
        <f t="shared" ca="1" si="52"/>
        <v>0</v>
      </c>
      <c r="AF256" s="196">
        <f>IFERROR(G256/SUMIF(A:A,A256,G:G)*SUMIF(Summary!$A$166:$A$242,'Operations Support'!A256,Summary!$Q$166:$Q$242),0)</f>
        <v>0</v>
      </c>
      <c r="AG256" s="196">
        <f t="shared" ca="1" si="53"/>
        <v>0</v>
      </c>
      <c r="AI256" s="196">
        <f>IFERROR($G256/SUMIF($A:$A,$A256,$G:$G)*SUMIF(Summary!$A$247:$A$283,$A256,Summary!$P$247:$P$283),0)</f>
        <v>0</v>
      </c>
      <c r="AJ256" s="196">
        <f>IFERROR($G256/SUMIF($A:$A,$A256,$G:$G)*(SUMIF(Summary!$A$247:$A$283,$A256,Summary!$L$247:$L$283)+SUMIF(Summary!$A$297:$A$333,$A256,Summary!$L$297:$L$333))-AI256,0)</f>
        <v>0</v>
      </c>
      <c r="AK256" s="196">
        <f>IFERROR($G256/SUMIF($A:$A,$A256,$G:$G)*SUMIF(Summary!$A$247:$A$283,$A256,Summary!$Q$247:$Q$283),0)</f>
        <v>0</v>
      </c>
      <c r="AL256" s="196">
        <f>IFERROR($G256/SUMIF($A:$A,$A256,$G:$G)*(SUMIF(Summary!$A$247:$A$283,$A256,Summary!$L$247:$L$283)+SUMIF(Summary!$A$297:$A$333,$A256,Summary!$L$297:$L$333))-AK256,0)</f>
        <v>0</v>
      </c>
      <c r="AM256" s="198"/>
      <c r="AN256" s="196">
        <f t="shared" ca="1" si="54"/>
        <v>0</v>
      </c>
      <c r="AO256" s="196">
        <f t="shared" ca="1" si="55"/>
        <v>0</v>
      </c>
    </row>
    <row r="257" spans="1:41">
      <c r="A257" s="189">
        <v>3565</v>
      </c>
      <c r="B257" s="190">
        <v>3</v>
      </c>
      <c r="C257" s="191" t="s">
        <v>220</v>
      </c>
      <c r="D257" s="192">
        <f t="shared" si="42"/>
        <v>7436</v>
      </c>
      <c r="E257" s="192">
        <f t="shared" si="43"/>
        <v>2354</v>
      </c>
      <c r="F257" s="192">
        <f t="shared" si="44"/>
        <v>0</v>
      </c>
      <c r="G257" s="193">
        <f t="shared" si="45"/>
        <v>9790</v>
      </c>
      <c r="H257" s="194">
        <v>1971</v>
      </c>
      <c r="I257" s="194">
        <v>996</v>
      </c>
      <c r="J257" s="194">
        <v>0</v>
      </c>
      <c r="K257" s="193">
        <f t="shared" si="46"/>
        <v>2967</v>
      </c>
      <c r="L257" s="194">
        <v>1809</v>
      </c>
      <c r="M257" s="194">
        <v>720</v>
      </c>
      <c r="N257" s="194">
        <v>0</v>
      </c>
      <c r="O257" s="193">
        <f t="shared" si="47"/>
        <v>2529</v>
      </c>
      <c r="P257" s="194">
        <v>3656</v>
      </c>
      <c r="Q257" s="194">
        <v>638</v>
      </c>
      <c r="R257" s="194">
        <v>0</v>
      </c>
      <c r="S257" s="193">
        <f t="shared" si="48"/>
        <v>4294</v>
      </c>
      <c r="T257" s="193">
        <f t="shared" si="49"/>
        <v>407.91666666666669</v>
      </c>
      <c r="U257" s="193">
        <f ca="1">OFFSET('Expenditure Study'!$B$7,'Operations Support'!$C257,'Operations Support'!$B257)*$G257</f>
        <v>43663.4</v>
      </c>
      <c r="V257" s="199">
        <f ca="1">U257*'Expenditure Study'!$B$31</f>
        <v>2579772.5565427202</v>
      </c>
      <c r="W257" s="199">
        <f ca="1">IF(A257=10298,1.51,1)*IF($B257&lt;3,$D257*'Expenditure Study'!$B$32*OFFSET('Expenditure Study'!$B$7,'Operations Support'!$C257,'Operations Support'!$B257),0)</f>
        <v>0</v>
      </c>
      <c r="X257" s="200">
        <f ca="1">W257*'Expenditure Study'!$B$31</f>
        <v>0</v>
      </c>
      <c r="Y257" s="199">
        <f ca="1">U257*'Expenditure Study'!$B$31</f>
        <v>2579772.5565427202</v>
      </c>
      <c r="Z257" s="200">
        <f ca="1">W257*'Expenditure Study'!$B$31</f>
        <v>0</v>
      </c>
      <c r="AA257" s="195">
        <f t="shared" ca="1" si="50"/>
        <v>2579772.5565427202</v>
      </c>
      <c r="AB257" s="195">
        <f t="shared" ca="1" si="51"/>
        <v>2579772.5565427202</v>
      </c>
      <c r="AD257" s="196">
        <f>IFERROR($G257/SUMIF($A:$A,$A257,$G:$G)*SUMIF(Summary!$A$166:$A$242,$A257,Summary!$P$166:$P$242),0)</f>
        <v>122765.46756009501</v>
      </c>
      <c r="AE257" s="197">
        <f t="shared" ca="1" si="52"/>
        <v>2457007.0889826249</v>
      </c>
      <c r="AF257" s="196">
        <f>IFERROR(G257/SUMIF(A:A,A257,G:G)*SUMIF(Summary!$A$166:$A$242,'Operations Support'!A257,Summary!$Q$166:$Q$242),0)</f>
        <v>123027.48616622009</v>
      </c>
      <c r="AG257" s="196">
        <f t="shared" ca="1" si="53"/>
        <v>2456745.0703765</v>
      </c>
      <c r="AI257" s="196">
        <f>IFERROR($G257/SUMIF($A:$A,$A257,$G:$G)*SUMIF(Summary!$A$247:$A$283,$A257,Summary!$P$247:$P$283),0)</f>
        <v>22389.357704867984</v>
      </c>
      <c r="AJ257" s="196">
        <f>IFERROR($G257/SUMIF($A:$A,$A257,$G:$G)*(SUMIF(Summary!$A$247:$A$283,$A257,Summary!$L$247:$L$283)+SUMIF(Summary!$A$297:$A$333,$A257,Summary!$L$297:$L$333))-AI257,0)</f>
        <v>159964.77577705329</v>
      </c>
      <c r="AK257" s="196">
        <f>IFERROR($G257/SUMIF($A:$A,$A257,$G:$G)*SUMIF(Summary!$A$247:$A$283,$A257,Summary!$Q$247:$Q$283),0)</f>
        <v>22437.143360023769</v>
      </c>
      <c r="AL257" s="196">
        <f>IFERROR($G257/SUMIF($A:$A,$A257,$G:$G)*(SUMIF(Summary!$A$247:$A$283,$A257,Summary!$L$247:$L$283)+SUMIF(Summary!$A$297:$A$333,$A257,Summary!$L$297:$L$333))-AK257,0)</f>
        <v>159916.99012189751</v>
      </c>
      <c r="AM257" s="198"/>
      <c r="AN257" s="196">
        <f t="shared" ca="1" si="54"/>
        <v>2616971.864759678</v>
      </c>
      <c r="AO257" s="196">
        <f t="shared" ca="1" si="55"/>
        <v>2616662.0604983973</v>
      </c>
    </row>
    <row r="258" spans="1:41">
      <c r="A258" s="189">
        <v>3565</v>
      </c>
      <c r="B258" s="190">
        <v>3</v>
      </c>
      <c r="C258" s="191" t="s">
        <v>221</v>
      </c>
      <c r="D258" s="192">
        <f t="shared" si="42"/>
        <v>7155</v>
      </c>
      <c r="E258" s="192">
        <f t="shared" si="43"/>
        <v>1521</v>
      </c>
      <c r="F258" s="192">
        <f t="shared" si="44"/>
        <v>0</v>
      </c>
      <c r="G258" s="193">
        <f t="shared" si="45"/>
        <v>8676</v>
      </c>
      <c r="H258" s="194">
        <v>3221</v>
      </c>
      <c r="I258" s="194">
        <v>981</v>
      </c>
      <c r="J258" s="194">
        <v>0</v>
      </c>
      <c r="K258" s="193">
        <f t="shared" si="46"/>
        <v>4202</v>
      </c>
      <c r="L258" s="194">
        <v>1745</v>
      </c>
      <c r="M258" s="194">
        <v>324</v>
      </c>
      <c r="N258" s="194">
        <v>0</v>
      </c>
      <c r="O258" s="193">
        <f t="shared" si="47"/>
        <v>2069</v>
      </c>
      <c r="P258" s="194">
        <v>2189</v>
      </c>
      <c r="Q258" s="194">
        <v>216</v>
      </c>
      <c r="R258" s="194">
        <v>0</v>
      </c>
      <c r="S258" s="193">
        <f t="shared" si="48"/>
        <v>2405</v>
      </c>
      <c r="T258" s="193">
        <f t="shared" si="49"/>
        <v>361.5</v>
      </c>
      <c r="U258" s="193">
        <f ca="1">OFFSET('Expenditure Study'!$B$7,'Operations Support'!$C258,'Operations Support'!$B258)*$G258</f>
        <v>60732</v>
      </c>
      <c r="V258" s="199">
        <f ca="1">U258*'Expenditure Study'!$B$31</f>
        <v>3588239.7363455999</v>
      </c>
      <c r="W258" s="199">
        <f ca="1">IF(A258=10298,1.51,1)*IF($B258&lt;3,$D258*'Expenditure Study'!$B$32*OFFSET('Expenditure Study'!$B$7,'Operations Support'!$C258,'Operations Support'!$B258),0)</f>
        <v>0</v>
      </c>
      <c r="X258" s="200">
        <f ca="1">W258*'Expenditure Study'!$B$31</f>
        <v>0</v>
      </c>
      <c r="Y258" s="199">
        <f ca="1">U258*'Expenditure Study'!$B$31</f>
        <v>3588239.7363455999</v>
      </c>
      <c r="Z258" s="200">
        <f ca="1">W258*'Expenditure Study'!$B$31</f>
        <v>0</v>
      </c>
      <c r="AA258" s="195">
        <f t="shared" ca="1" si="50"/>
        <v>3588239.7363455999</v>
      </c>
      <c r="AB258" s="195">
        <f t="shared" ca="1" si="51"/>
        <v>3588239.7363455999</v>
      </c>
      <c r="AD258" s="196">
        <f>IFERROR($G258/SUMIF($A:$A,$A258,$G:$G)*SUMIF(Summary!$A$166:$A$242,$A258,Summary!$P$166:$P$242),0)</f>
        <v>108796.03641995753</v>
      </c>
      <c r="AE258" s="197">
        <f t="shared" ca="1" si="52"/>
        <v>3479443.6999256425</v>
      </c>
      <c r="AF258" s="196">
        <f>IFERROR(G258/SUMIF(A:A,A258,G:G)*SUMIF(Summary!$A$166:$A$242,'Operations Support'!A258,Summary!$Q$166:$Q$242),0)</f>
        <v>109028.24003862363</v>
      </c>
      <c r="AG258" s="196">
        <f t="shared" ca="1" si="53"/>
        <v>3479211.4963069763</v>
      </c>
      <c r="AI258" s="196">
        <f>IFERROR($G258/SUMIF($A:$A,$A258,$G:$G)*SUMIF(Summary!$A$247:$A$283,$A258,Summary!$P$247:$P$283),0)</f>
        <v>19841.682068175138</v>
      </c>
      <c r="AJ258" s="196">
        <f>IFERROR($G258/SUMIF($A:$A,$A258,$G:$G)*(SUMIF(Summary!$A$247:$A$283,$A258,Summary!$L$247:$L$283)+SUMIF(Summary!$A$297:$A$333,$A258,Summary!$L$297:$L$333))-AI258,0)</f>
        <v>141762.45093378081</v>
      </c>
      <c r="AK258" s="196">
        <f>IFERROR($G258/SUMIF($A:$A,$A258,$G:$G)*SUMIF(Summary!$A$247:$A$283,$A258,Summary!$Q$247:$Q$283),0)</f>
        <v>19884.030213643127</v>
      </c>
      <c r="AL258" s="196">
        <f>IFERROR($G258/SUMIF($A:$A,$A258,$G:$G)*(SUMIF(Summary!$A$247:$A$283,$A258,Summary!$L$247:$L$283)+SUMIF(Summary!$A$297:$A$333,$A258,Summary!$L$297:$L$333))-AK258,0)</f>
        <v>141720.10278831283</v>
      </c>
      <c r="AM258" s="198"/>
      <c r="AN258" s="196">
        <f t="shared" ca="1" si="54"/>
        <v>3621206.1508594234</v>
      </c>
      <c r="AO258" s="196">
        <f t="shared" ca="1" si="55"/>
        <v>3620931.5990952891</v>
      </c>
    </row>
    <row r="259" spans="1:41">
      <c r="A259" s="189">
        <v>3565</v>
      </c>
      <c r="B259" s="190">
        <v>3</v>
      </c>
      <c r="C259" s="191" t="s">
        <v>222</v>
      </c>
      <c r="D259" s="192">
        <f t="shared" si="42"/>
        <v>1025</v>
      </c>
      <c r="E259" s="192">
        <f t="shared" si="43"/>
        <v>469</v>
      </c>
      <c r="F259" s="192">
        <f t="shared" si="44"/>
        <v>0</v>
      </c>
      <c r="G259" s="193">
        <f t="shared" si="45"/>
        <v>1494</v>
      </c>
      <c r="H259" s="194">
        <v>206</v>
      </c>
      <c r="I259" s="194">
        <v>138</v>
      </c>
      <c r="J259" s="194">
        <v>0</v>
      </c>
      <c r="K259" s="193">
        <f t="shared" si="46"/>
        <v>344</v>
      </c>
      <c r="L259" s="194">
        <v>265</v>
      </c>
      <c r="M259" s="194">
        <v>118</v>
      </c>
      <c r="N259" s="194">
        <v>0</v>
      </c>
      <c r="O259" s="193">
        <f t="shared" si="47"/>
        <v>383</v>
      </c>
      <c r="P259" s="194">
        <v>554</v>
      </c>
      <c r="Q259" s="194">
        <v>213</v>
      </c>
      <c r="R259" s="194">
        <v>0</v>
      </c>
      <c r="S259" s="193">
        <f t="shared" si="48"/>
        <v>767</v>
      </c>
      <c r="T259" s="193">
        <f t="shared" si="49"/>
        <v>62.25</v>
      </c>
      <c r="U259" s="193">
        <f ca="1">OFFSET('Expenditure Study'!$B$7,'Operations Support'!$C259,'Operations Support'!$B259)*$G259</f>
        <v>11219.94</v>
      </c>
      <c r="V259" s="199">
        <f ca="1">U259*'Expenditure Study'!$B$31</f>
        <v>662909.74358515209</v>
      </c>
      <c r="W259" s="199">
        <f ca="1">IF(A259=10298,1.51,1)*IF($B259&lt;3,$D259*'Expenditure Study'!$B$32*OFFSET('Expenditure Study'!$B$7,'Operations Support'!$C259,'Operations Support'!$B259),0)</f>
        <v>0</v>
      </c>
      <c r="X259" s="200">
        <f ca="1">W259*'Expenditure Study'!$B$31</f>
        <v>0</v>
      </c>
      <c r="Y259" s="199">
        <f ca="1">U259*'Expenditure Study'!$B$31</f>
        <v>662909.74358515209</v>
      </c>
      <c r="Z259" s="200">
        <f ca="1">W259*'Expenditure Study'!$B$31</f>
        <v>0</v>
      </c>
      <c r="AA259" s="195">
        <f t="shared" ca="1" si="50"/>
        <v>662909.74358515209</v>
      </c>
      <c r="AB259" s="195">
        <f t="shared" ca="1" si="51"/>
        <v>662909.74358515209</v>
      </c>
      <c r="AD259" s="196">
        <f>IFERROR($G259/SUMIF($A:$A,$A259,$G:$G)*SUMIF(Summary!$A$166:$A$242,$A259,Summary!$P$166:$P$242),0)</f>
        <v>18734.587184349533</v>
      </c>
      <c r="AE259" s="197">
        <f t="shared" ca="1" si="52"/>
        <v>644175.15640080255</v>
      </c>
      <c r="AF259" s="196">
        <f>IFERROR(G259/SUMIF(A:A,A259,G:G)*SUMIF(Summary!$A$166:$A$242,'Operations Support'!A259,Summary!$Q$166:$Q$242),0)</f>
        <v>18774.572454783738</v>
      </c>
      <c r="AG259" s="196">
        <f t="shared" ca="1" si="53"/>
        <v>644135.17113036837</v>
      </c>
      <c r="AI259" s="196">
        <f>IFERROR($G259/SUMIF($A:$A,$A259,$G:$G)*SUMIF(Summary!$A$247:$A$283,$A259,Summary!$P$247:$P$283),0)</f>
        <v>3416.7211860135612</v>
      </c>
      <c r="AJ259" s="196">
        <f>IFERROR($G259/SUMIF($A:$A,$A259,$G:$G)*(SUMIF(Summary!$A$247:$A$283,$A259,Summary!$L$247:$L$283)+SUMIF(Summary!$A$297:$A$333,$A259,Summary!$L$297:$L$333))-AI259,0)</f>
        <v>24411.376405609557</v>
      </c>
      <c r="AK259" s="196">
        <f>IFERROR($G259/SUMIF($A:$A,$A259,$G:$G)*SUMIF(Summary!$A$247:$A$283,$A259,Summary!$Q$247:$Q$283),0)</f>
        <v>3424.0135015194596</v>
      </c>
      <c r="AL259" s="196">
        <f>IFERROR($G259/SUMIF($A:$A,$A259,$G:$G)*(SUMIF(Summary!$A$247:$A$283,$A259,Summary!$L$247:$L$283)+SUMIF(Summary!$A$297:$A$333,$A259,Summary!$L$297:$L$333))-AK259,0)</f>
        <v>24404.084090103657</v>
      </c>
      <c r="AM259" s="198"/>
      <c r="AN259" s="196">
        <f t="shared" ca="1" si="54"/>
        <v>668586.53280641208</v>
      </c>
      <c r="AO259" s="196">
        <f t="shared" ca="1" si="55"/>
        <v>668539.255220472</v>
      </c>
    </row>
    <row r="260" spans="1:41">
      <c r="A260" s="189">
        <v>3565</v>
      </c>
      <c r="B260" s="190">
        <v>3</v>
      </c>
      <c r="C260" s="191" t="s">
        <v>223</v>
      </c>
      <c r="D260" s="192">
        <f t="shared" si="42"/>
        <v>10201</v>
      </c>
      <c r="E260" s="192">
        <f t="shared" si="43"/>
        <v>5964</v>
      </c>
      <c r="F260" s="192">
        <f t="shared" si="44"/>
        <v>0</v>
      </c>
      <c r="G260" s="193">
        <f t="shared" si="45"/>
        <v>16165</v>
      </c>
      <c r="H260" s="194">
        <v>2385</v>
      </c>
      <c r="I260" s="194">
        <v>2097</v>
      </c>
      <c r="J260" s="194">
        <v>0</v>
      </c>
      <c r="K260" s="193">
        <f t="shared" si="46"/>
        <v>4482</v>
      </c>
      <c r="L260" s="194">
        <v>2007</v>
      </c>
      <c r="M260" s="194">
        <v>1914</v>
      </c>
      <c r="N260" s="194">
        <v>0</v>
      </c>
      <c r="O260" s="193">
        <f t="shared" si="47"/>
        <v>3921</v>
      </c>
      <c r="P260" s="194">
        <v>5809</v>
      </c>
      <c r="Q260" s="194">
        <v>1953</v>
      </c>
      <c r="R260" s="194">
        <v>0</v>
      </c>
      <c r="S260" s="193">
        <f t="shared" si="48"/>
        <v>7762</v>
      </c>
      <c r="T260" s="193">
        <f t="shared" si="49"/>
        <v>673.54166666666663</v>
      </c>
      <c r="U260" s="193">
        <f ca="1">OFFSET('Expenditure Study'!$B$7,'Operations Support'!$C260,'Operations Support'!$B260)*$G260</f>
        <v>36209.600000000006</v>
      </c>
      <c r="V260" s="199">
        <f ca="1">U260*'Expenditure Study'!$B$31</f>
        <v>2139378.3434956805</v>
      </c>
      <c r="W260" s="199">
        <f ca="1">IF(A260=10298,1.51,1)*IF($B260&lt;3,$D260*'Expenditure Study'!$B$32*OFFSET('Expenditure Study'!$B$7,'Operations Support'!$C260,'Operations Support'!$B260),0)</f>
        <v>0</v>
      </c>
      <c r="X260" s="200">
        <f ca="1">W260*'Expenditure Study'!$B$31</f>
        <v>0</v>
      </c>
      <c r="Y260" s="199">
        <f ca="1">U260*'Expenditure Study'!$B$31</f>
        <v>2139378.3434956805</v>
      </c>
      <c r="Z260" s="200">
        <f ca="1">W260*'Expenditure Study'!$B$31</f>
        <v>0</v>
      </c>
      <c r="AA260" s="195">
        <f t="shared" ca="1" si="50"/>
        <v>2139378.3434956805</v>
      </c>
      <c r="AB260" s="195">
        <f t="shared" ca="1" si="51"/>
        <v>2139378.3434956805</v>
      </c>
      <c r="AD260" s="196">
        <f>IFERROR($G260/SUMIF($A:$A,$A260,$G:$G)*SUMIF(Summary!$A$166:$A$242,$A260,Summary!$P$166:$P$242),0)</f>
        <v>202707.2301439158</v>
      </c>
      <c r="AE260" s="197">
        <f t="shared" ca="1" si="52"/>
        <v>1936671.1133517646</v>
      </c>
      <c r="AF260" s="196">
        <f>IFERROR(G260/SUMIF(A:A,A260,G:G)*SUMIF(Summary!$A$166:$A$242,'Operations Support'!A260,Summary!$Q$166:$Q$242),0)</f>
        <v>203139.86862890169</v>
      </c>
      <c r="AG260" s="196">
        <f t="shared" ca="1" si="53"/>
        <v>1936238.4748667788</v>
      </c>
      <c r="AI260" s="196">
        <f>IFERROR($G260/SUMIF($A:$A,$A260,$G:$G)*SUMIF(Summary!$A$247:$A$283,$A260,Summary!$P$247:$P$283),0)</f>
        <v>36968.74027570898</v>
      </c>
      <c r="AJ260" s="196">
        <f>IFERROR($G260/SUMIF($A:$A,$A260,$G:$G)*(SUMIF(Summary!$A$247:$A$283,$A260,Summary!$L$247:$L$283)+SUMIF(Summary!$A$297:$A$333,$A260,Summary!$L$297:$L$333))-AI260,0)</f>
        <v>264129.78553994547</v>
      </c>
      <c r="AK260" s="196">
        <f>IFERROR($G260/SUMIF($A:$A,$A260,$G:$G)*SUMIF(Summary!$A$247:$A$283,$A260,Summary!$Q$247:$Q$283),0)</f>
        <v>37047.642738997361</v>
      </c>
      <c r="AL260" s="196">
        <f>IFERROR($G260/SUMIF($A:$A,$A260,$G:$G)*(SUMIF(Summary!$A$247:$A$283,$A260,Summary!$L$247:$L$283)+SUMIF(Summary!$A$297:$A$333,$A260,Summary!$L$297:$L$333))-AK260,0)</f>
        <v>264050.88307665708</v>
      </c>
      <c r="AM260" s="198"/>
      <c r="AN260" s="196">
        <f t="shared" ca="1" si="54"/>
        <v>2200800.8988917102</v>
      </c>
      <c r="AO260" s="196">
        <f t="shared" ca="1" si="55"/>
        <v>2200289.3579434361</v>
      </c>
    </row>
    <row r="261" spans="1:41">
      <c r="A261" s="189">
        <v>3565</v>
      </c>
      <c r="B261" s="190">
        <v>3</v>
      </c>
      <c r="C261" s="191" t="s">
        <v>224</v>
      </c>
      <c r="D261" s="192">
        <f t="shared" ref="D261:D324" si="56">H261+L261+P261</f>
        <v>1096</v>
      </c>
      <c r="E261" s="192">
        <f t="shared" ref="E261:E324" si="57">I261+M261+Q261</f>
        <v>270</v>
      </c>
      <c r="F261" s="192">
        <f t="shared" ref="F261:F324" si="58">J261+N261+R261</f>
        <v>0</v>
      </c>
      <c r="G261" s="193">
        <f t="shared" ref="G261:G324" si="59">(SUM(D261:E261)-F261)*IF(A261=10298,1.51,1)</f>
        <v>1366</v>
      </c>
      <c r="H261" s="194">
        <v>225</v>
      </c>
      <c r="I261" s="194">
        <v>93</v>
      </c>
      <c r="J261" s="194">
        <v>0</v>
      </c>
      <c r="K261" s="193">
        <f t="shared" ref="K261:K324" si="60">SUM(H261:I261)-J261</f>
        <v>318</v>
      </c>
      <c r="L261" s="194">
        <v>243</v>
      </c>
      <c r="M261" s="194">
        <v>75</v>
      </c>
      <c r="N261" s="194">
        <v>0</v>
      </c>
      <c r="O261" s="193">
        <f t="shared" ref="O261:O324" si="61">SUM(L261:M261)-N261</f>
        <v>318</v>
      </c>
      <c r="P261" s="194">
        <v>628</v>
      </c>
      <c r="Q261" s="194">
        <v>102</v>
      </c>
      <c r="R261" s="194">
        <v>0</v>
      </c>
      <c r="S261" s="193">
        <f t="shared" ref="S261:S324" si="62">SUM(P261:Q261)-R261</f>
        <v>730</v>
      </c>
      <c r="T261" s="193">
        <f t="shared" ref="T261:T324" si="63">IF(OR(B261=1,B261=2),G261/30,IF(OR(B261=3,B261=5),G261/24,IF(B261=4,G261/18,0)))</f>
        <v>56.916666666666664</v>
      </c>
      <c r="U261" s="193">
        <f ca="1">OFFSET('Expenditure Study'!$B$7,'Operations Support'!$C261,'Operations Support'!$B261)*$G261</f>
        <v>12526.22</v>
      </c>
      <c r="V261" s="199">
        <f ca="1">U261*'Expenditure Study'!$B$31</f>
        <v>740088.921000576</v>
      </c>
      <c r="W261" s="199">
        <f ca="1">IF(A261=10298,1.51,1)*IF($B261&lt;3,$D261*'Expenditure Study'!$B$32*OFFSET('Expenditure Study'!$B$7,'Operations Support'!$C261,'Operations Support'!$B261),0)</f>
        <v>0</v>
      </c>
      <c r="X261" s="200">
        <f ca="1">W261*'Expenditure Study'!$B$31</f>
        <v>0</v>
      </c>
      <c r="Y261" s="199">
        <f ca="1">U261*'Expenditure Study'!$B$31</f>
        <v>740088.921000576</v>
      </c>
      <c r="Z261" s="200">
        <f ca="1">W261*'Expenditure Study'!$B$31</f>
        <v>0</v>
      </c>
      <c r="AA261" s="195">
        <f t="shared" ref="AA261:AA324" ca="1" si="64">V261+X261</f>
        <v>740088.921000576</v>
      </c>
      <c r="AB261" s="195">
        <f t="shared" ref="AB261:AB324" ca="1" si="65">Y261+Z261</f>
        <v>740088.921000576</v>
      </c>
      <c r="AD261" s="196">
        <f>IFERROR($G261/SUMIF($A:$A,$A261,$G:$G)*SUMIF(Summary!$A$166:$A$242,$A261,Summary!$P$166:$P$242),0)</f>
        <v>17129.481990509681</v>
      </c>
      <c r="AE261" s="197">
        <f t="shared" ca="1" si="52"/>
        <v>722959.43901006633</v>
      </c>
      <c r="AF261" s="196">
        <f>IFERROR(G261/SUMIF(A:A,A261,G:G)*SUMIF(Summary!$A$166:$A$242,'Operations Support'!A261,Summary!$Q$166:$Q$242),0)</f>
        <v>17166.041481415385</v>
      </c>
      <c r="AG261" s="196">
        <f t="shared" ca="1" si="53"/>
        <v>722922.8795191606</v>
      </c>
      <c r="AI261" s="196">
        <f>IFERROR($G261/SUMIF($A:$A,$A261,$G:$G)*SUMIF(Summary!$A$247:$A$283,$A261,Summary!$P$247:$P$283),0)</f>
        <v>3123.990053610793</v>
      </c>
      <c r="AJ261" s="196">
        <f>IFERROR($G261/SUMIF($A:$A,$A261,$G:$G)*(SUMIF(Summary!$A$247:$A$283,$A261,Summary!$L$247:$L$283)+SUMIF(Summary!$A$297:$A$333,$A261,Summary!$L$297:$L$333))-AI261,0)</f>
        <v>22319.906405664431</v>
      </c>
      <c r="AK261" s="196">
        <f>IFERROR($G261/SUMIF($A:$A,$A261,$G:$G)*SUMIF(Summary!$A$247:$A$283,$A261,Summary!$Q$247:$Q$283),0)</f>
        <v>3130.6575924200683</v>
      </c>
      <c r="AL261" s="196">
        <f>IFERROR($G261/SUMIF($A:$A,$A261,$G:$G)*(SUMIF(Summary!$A$247:$A$283,$A261,Summary!$L$247:$L$283)+SUMIF(Summary!$A$297:$A$333,$A261,Summary!$L$297:$L$333))-AK261,0)</f>
        <v>22313.238866855154</v>
      </c>
      <c r="AM261" s="198"/>
      <c r="AN261" s="196">
        <f t="shared" ca="1" si="54"/>
        <v>745279.34541573073</v>
      </c>
      <c r="AO261" s="196">
        <f t="shared" ca="1" si="55"/>
        <v>745236.11838601576</v>
      </c>
    </row>
    <row r="262" spans="1:41">
      <c r="A262" s="189">
        <v>3565</v>
      </c>
      <c r="B262" s="190">
        <v>3</v>
      </c>
      <c r="C262" s="191" t="s">
        <v>225</v>
      </c>
      <c r="D262" s="192">
        <f t="shared" si="56"/>
        <v>6850</v>
      </c>
      <c r="E262" s="192">
        <f t="shared" si="57"/>
        <v>1119</v>
      </c>
      <c r="F262" s="192">
        <f t="shared" si="58"/>
        <v>0</v>
      </c>
      <c r="G262" s="193">
        <f t="shared" si="59"/>
        <v>7969</v>
      </c>
      <c r="H262" s="194">
        <v>2120</v>
      </c>
      <c r="I262" s="194">
        <v>557</v>
      </c>
      <c r="J262" s="194">
        <v>0</v>
      </c>
      <c r="K262" s="193">
        <f t="shared" si="60"/>
        <v>2677</v>
      </c>
      <c r="L262" s="194">
        <v>3059</v>
      </c>
      <c r="M262" s="194">
        <v>487</v>
      </c>
      <c r="N262" s="194">
        <v>0</v>
      </c>
      <c r="O262" s="193">
        <f t="shared" si="61"/>
        <v>3546</v>
      </c>
      <c r="P262" s="194">
        <v>1671</v>
      </c>
      <c r="Q262" s="194">
        <v>75</v>
      </c>
      <c r="R262" s="194">
        <v>0</v>
      </c>
      <c r="S262" s="193">
        <f t="shared" si="62"/>
        <v>1746</v>
      </c>
      <c r="T262" s="193">
        <f t="shared" si="63"/>
        <v>332.04166666666669</v>
      </c>
      <c r="U262" s="193">
        <f ca="1">OFFSET('Expenditure Study'!$B$7,'Operations Support'!$C262,'Operations Support'!$B262)*$G262</f>
        <v>55065.79</v>
      </c>
      <c r="V262" s="199">
        <f ca="1">U262*'Expenditure Study'!$B$31</f>
        <v>3253462.026464832</v>
      </c>
      <c r="W262" s="199">
        <f ca="1">IF(A262=10298,1.51,1)*IF($B262&lt;3,$D262*'Expenditure Study'!$B$32*OFFSET('Expenditure Study'!$B$7,'Operations Support'!$C262,'Operations Support'!$B262),0)</f>
        <v>0</v>
      </c>
      <c r="X262" s="200">
        <f ca="1">W262*'Expenditure Study'!$B$31</f>
        <v>0</v>
      </c>
      <c r="Y262" s="199">
        <f ca="1">U262*'Expenditure Study'!$B$31</f>
        <v>3253462.026464832</v>
      </c>
      <c r="Z262" s="200">
        <f ca="1">W262*'Expenditure Study'!$B$31</f>
        <v>0</v>
      </c>
      <c r="AA262" s="195">
        <f t="shared" ca="1" si="64"/>
        <v>3253462.026464832</v>
      </c>
      <c r="AB262" s="195">
        <f t="shared" ca="1" si="65"/>
        <v>3253462.026464832</v>
      </c>
      <c r="AD262" s="196">
        <f>IFERROR($G262/SUMIF($A:$A,$A262,$G:$G)*SUMIF(Summary!$A$166:$A$242,$A262,Summary!$P$166:$P$242),0)</f>
        <v>99930.338200857717</v>
      </c>
      <c r="AE262" s="197">
        <f t="shared" ref="AE262:AE325" ca="1" si="66">V262+X262-AD262</f>
        <v>3153531.6882639742</v>
      </c>
      <c r="AF262" s="196">
        <f>IFERROR(G262/SUMIF(A:A,A262,G:G)*SUMIF(Summary!$A$166:$A$242,'Operations Support'!A262,Summary!$Q$166:$Q$242),0)</f>
        <v>100143.61974040937</v>
      </c>
      <c r="AG262" s="196">
        <f t="shared" ref="AG262:AG325" ca="1" si="67">Y262+Z262-AF262</f>
        <v>3153318.4067244227</v>
      </c>
      <c r="AI262" s="196">
        <f>IFERROR($G262/SUMIF($A:$A,$A262,$G:$G)*SUMIF(Summary!$A$247:$A$283,$A262,Summary!$P$247:$P$283),0)</f>
        <v>18224.799954044225</v>
      </c>
      <c r="AJ262" s="196">
        <f>IFERROR($G262/SUMIF($A:$A,$A262,$G:$G)*(SUMIF(Summary!$A$247:$A$283,$A262,Summary!$L$247:$L$283)+SUMIF(Summary!$A$297:$A$333,$A262,Summary!$L$297:$L$333))-AI262,0)</f>
        <v>130210.34710595888</v>
      </c>
      <c r="AK262" s="196">
        <f>IFERROR($G262/SUMIF($A:$A,$A262,$G:$G)*SUMIF(Summary!$A$247:$A$283,$A262,Summary!$Q$247:$Q$283),0)</f>
        <v>18263.697184476958</v>
      </c>
      <c r="AL262" s="196">
        <f>IFERROR($G262/SUMIF($A:$A,$A262,$G:$G)*(SUMIF(Summary!$A$247:$A$283,$A262,Summary!$L$247:$L$283)+SUMIF(Summary!$A$297:$A$333,$A262,Summary!$L$297:$L$333))-AK262,0)</f>
        <v>130171.44987552614</v>
      </c>
      <c r="AM262" s="198"/>
      <c r="AN262" s="196">
        <f t="shared" ref="AN262:AN325" ca="1" si="68">AE262+AJ262</f>
        <v>3283742.0353699331</v>
      </c>
      <c r="AO262" s="196">
        <f t="shared" ref="AO262:AO325" ca="1" si="69">AG262+AL262</f>
        <v>3283489.8565999488</v>
      </c>
    </row>
    <row r="263" spans="1:41">
      <c r="A263" s="189">
        <v>3565</v>
      </c>
      <c r="B263" s="190">
        <v>3</v>
      </c>
      <c r="C263" s="191" t="s">
        <v>226</v>
      </c>
      <c r="D263" s="192">
        <f t="shared" si="56"/>
        <v>0</v>
      </c>
      <c r="E263" s="192">
        <f t="shared" si="57"/>
        <v>0</v>
      </c>
      <c r="F263" s="192">
        <f t="shared" si="58"/>
        <v>0</v>
      </c>
      <c r="G263" s="193">
        <f t="shared" si="59"/>
        <v>0</v>
      </c>
      <c r="H263" s="194">
        <v>0</v>
      </c>
      <c r="I263" s="194">
        <v>0</v>
      </c>
      <c r="J263" s="194">
        <v>0</v>
      </c>
      <c r="K263" s="193">
        <f t="shared" si="60"/>
        <v>0</v>
      </c>
      <c r="L263" s="194">
        <v>0</v>
      </c>
      <c r="M263" s="194">
        <v>0</v>
      </c>
      <c r="N263" s="194">
        <v>0</v>
      </c>
      <c r="O263" s="193">
        <f t="shared" si="61"/>
        <v>0</v>
      </c>
      <c r="P263" s="194">
        <v>0</v>
      </c>
      <c r="Q263" s="194">
        <v>0</v>
      </c>
      <c r="R263" s="194">
        <v>0</v>
      </c>
      <c r="S263" s="193">
        <f t="shared" si="62"/>
        <v>0</v>
      </c>
      <c r="T263" s="193">
        <f t="shared" si="63"/>
        <v>0</v>
      </c>
      <c r="U263" s="193">
        <f ca="1">OFFSET('Expenditure Study'!$B$7,'Operations Support'!$C263,'Operations Support'!$B263)*$G263</f>
        <v>0</v>
      </c>
      <c r="V263" s="199">
        <f ca="1">U263*'Expenditure Study'!$B$31</f>
        <v>0</v>
      </c>
      <c r="W263" s="199">
        <f ca="1">IF(A263=10298,1.51,1)*IF($B263&lt;3,$D263*'Expenditure Study'!$B$32*OFFSET('Expenditure Study'!$B$7,'Operations Support'!$C263,'Operations Support'!$B263),0)</f>
        <v>0</v>
      </c>
      <c r="X263" s="200">
        <f ca="1">W263*'Expenditure Study'!$B$31</f>
        <v>0</v>
      </c>
      <c r="Y263" s="199">
        <f ca="1">U263*'Expenditure Study'!$B$31</f>
        <v>0</v>
      </c>
      <c r="Z263" s="200">
        <f ca="1">W263*'Expenditure Study'!$B$31</f>
        <v>0</v>
      </c>
      <c r="AA263" s="195">
        <f t="shared" ca="1" si="64"/>
        <v>0</v>
      </c>
      <c r="AB263" s="195">
        <f t="shared" ca="1" si="65"/>
        <v>0</v>
      </c>
      <c r="AD263" s="196">
        <f>IFERROR($G263/SUMIF($A:$A,$A263,$G:$G)*SUMIF(Summary!$A$166:$A$242,$A263,Summary!$P$166:$P$242),0)</f>
        <v>0</v>
      </c>
      <c r="AE263" s="197">
        <f t="shared" ca="1" si="66"/>
        <v>0</v>
      </c>
      <c r="AF263" s="196">
        <f>IFERROR(G263/SUMIF(A:A,A263,G:G)*SUMIF(Summary!$A$166:$A$242,'Operations Support'!A263,Summary!$Q$166:$Q$242),0)</f>
        <v>0</v>
      </c>
      <c r="AG263" s="196">
        <f t="shared" ca="1" si="67"/>
        <v>0</v>
      </c>
      <c r="AI263" s="196">
        <f>IFERROR($G263/SUMIF($A:$A,$A263,$G:$G)*SUMIF(Summary!$A$247:$A$283,$A263,Summary!$P$247:$P$283),0)</f>
        <v>0</v>
      </c>
      <c r="AJ263" s="196">
        <f>IFERROR($G263/SUMIF($A:$A,$A263,$G:$G)*(SUMIF(Summary!$A$247:$A$283,$A263,Summary!$L$247:$L$283)+SUMIF(Summary!$A$297:$A$333,$A263,Summary!$L$297:$L$333))-AI263,0)</f>
        <v>0</v>
      </c>
      <c r="AK263" s="196">
        <f>IFERROR($G263/SUMIF($A:$A,$A263,$G:$G)*SUMIF(Summary!$A$247:$A$283,$A263,Summary!$Q$247:$Q$283),0)</f>
        <v>0</v>
      </c>
      <c r="AL263" s="196">
        <f>IFERROR($G263/SUMIF($A:$A,$A263,$G:$G)*(SUMIF(Summary!$A$247:$A$283,$A263,Summary!$L$247:$L$283)+SUMIF(Summary!$A$297:$A$333,$A263,Summary!$L$297:$L$333))-AK263,0)</f>
        <v>0</v>
      </c>
      <c r="AM263" s="198"/>
      <c r="AN263" s="196">
        <f t="shared" ca="1" si="68"/>
        <v>0</v>
      </c>
      <c r="AO263" s="196">
        <f t="shared" ca="1" si="69"/>
        <v>0</v>
      </c>
    </row>
    <row r="264" spans="1:41">
      <c r="A264" s="189">
        <v>3565</v>
      </c>
      <c r="B264" s="190">
        <v>3</v>
      </c>
      <c r="C264" s="191" t="s">
        <v>227</v>
      </c>
      <c r="D264" s="192">
        <f t="shared" si="56"/>
        <v>0</v>
      </c>
      <c r="E264" s="192">
        <f t="shared" si="57"/>
        <v>0</v>
      </c>
      <c r="F264" s="192">
        <f t="shared" si="58"/>
        <v>0</v>
      </c>
      <c r="G264" s="193">
        <f t="shared" si="59"/>
        <v>0</v>
      </c>
      <c r="H264" s="194">
        <v>0</v>
      </c>
      <c r="I264" s="194">
        <v>0</v>
      </c>
      <c r="J264" s="194">
        <v>0</v>
      </c>
      <c r="K264" s="193">
        <f t="shared" si="60"/>
        <v>0</v>
      </c>
      <c r="L264" s="194">
        <v>0</v>
      </c>
      <c r="M264" s="194">
        <v>0</v>
      </c>
      <c r="N264" s="194">
        <v>0</v>
      </c>
      <c r="O264" s="193">
        <f t="shared" si="61"/>
        <v>0</v>
      </c>
      <c r="P264" s="194">
        <v>0</v>
      </c>
      <c r="Q264" s="194">
        <v>0</v>
      </c>
      <c r="R264" s="194">
        <v>0</v>
      </c>
      <c r="S264" s="193">
        <f t="shared" si="62"/>
        <v>0</v>
      </c>
      <c r="T264" s="193">
        <f t="shared" si="63"/>
        <v>0</v>
      </c>
      <c r="U264" s="193">
        <f ca="1">OFFSET('Expenditure Study'!$B$7,'Operations Support'!$C264,'Operations Support'!$B264)*$G264</f>
        <v>0</v>
      </c>
      <c r="V264" s="199">
        <f ca="1">U264*'Expenditure Study'!$B$31</f>
        <v>0</v>
      </c>
      <c r="W264" s="199">
        <f ca="1">IF(A264=10298,1.51,1)*IF($B264&lt;3,$D264*'Expenditure Study'!$B$32*OFFSET('Expenditure Study'!$B$7,'Operations Support'!$C264,'Operations Support'!$B264),0)</f>
        <v>0</v>
      </c>
      <c r="X264" s="200">
        <f ca="1">W264*'Expenditure Study'!$B$31</f>
        <v>0</v>
      </c>
      <c r="Y264" s="199">
        <f ca="1">U264*'Expenditure Study'!$B$31</f>
        <v>0</v>
      </c>
      <c r="Z264" s="200">
        <f ca="1">W264*'Expenditure Study'!$B$31</f>
        <v>0</v>
      </c>
      <c r="AA264" s="195">
        <f t="shared" ca="1" si="64"/>
        <v>0</v>
      </c>
      <c r="AB264" s="195">
        <f t="shared" ca="1" si="65"/>
        <v>0</v>
      </c>
      <c r="AD264" s="196">
        <f>IFERROR($G264/SUMIF($A:$A,$A264,$G:$G)*SUMIF(Summary!$A$166:$A$242,$A264,Summary!$P$166:$P$242),0)</f>
        <v>0</v>
      </c>
      <c r="AE264" s="197">
        <f t="shared" ca="1" si="66"/>
        <v>0</v>
      </c>
      <c r="AF264" s="196">
        <f>IFERROR(G264/SUMIF(A:A,A264,G:G)*SUMIF(Summary!$A$166:$A$242,'Operations Support'!A264,Summary!$Q$166:$Q$242),0)</f>
        <v>0</v>
      </c>
      <c r="AG264" s="196">
        <f t="shared" ca="1" si="67"/>
        <v>0</v>
      </c>
      <c r="AI264" s="196">
        <f>IFERROR($G264/SUMIF($A:$A,$A264,$G:$G)*SUMIF(Summary!$A$247:$A$283,$A264,Summary!$P$247:$P$283),0)</f>
        <v>0</v>
      </c>
      <c r="AJ264" s="196">
        <f>IFERROR($G264/SUMIF($A:$A,$A264,$G:$G)*(SUMIF(Summary!$A$247:$A$283,$A264,Summary!$L$247:$L$283)+SUMIF(Summary!$A$297:$A$333,$A264,Summary!$L$297:$L$333))-AI264,0)</f>
        <v>0</v>
      </c>
      <c r="AK264" s="196">
        <f>IFERROR($G264/SUMIF($A:$A,$A264,$G:$G)*SUMIF(Summary!$A$247:$A$283,$A264,Summary!$Q$247:$Q$283),0)</f>
        <v>0</v>
      </c>
      <c r="AL264" s="196">
        <f>IFERROR($G264/SUMIF($A:$A,$A264,$G:$G)*(SUMIF(Summary!$A$247:$A$283,$A264,Summary!$L$247:$L$283)+SUMIF(Summary!$A$297:$A$333,$A264,Summary!$L$297:$L$333))-AK264,0)</f>
        <v>0</v>
      </c>
      <c r="AM264" s="198"/>
      <c r="AN264" s="196">
        <f t="shared" ca="1" si="68"/>
        <v>0</v>
      </c>
      <c r="AO264" s="196">
        <f t="shared" ca="1" si="69"/>
        <v>0</v>
      </c>
    </row>
    <row r="265" spans="1:41">
      <c r="A265" s="189">
        <v>3565</v>
      </c>
      <c r="B265" s="190">
        <v>3</v>
      </c>
      <c r="C265" s="191" t="s">
        <v>228</v>
      </c>
      <c r="D265" s="192">
        <f t="shared" si="56"/>
        <v>2670</v>
      </c>
      <c r="E265" s="192">
        <f t="shared" si="57"/>
        <v>2202</v>
      </c>
      <c r="F265" s="192">
        <f t="shared" si="58"/>
        <v>0</v>
      </c>
      <c r="G265" s="193">
        <f t="shared" si="59"/>
        <v>4872</v>
      </c>
      <c r="H265" s="194">
        <v>729</v>
      </c>
      <c r="I265" s="194">
        <v>726</v>
      </c>
      <c r="J265" s="194">
        <v>0</v>
      </c>
      <c r="K265" s="193">
        <f t="shared" si="60"/>
        <v>1455</v>
      </c>
      <c r="L265" s="194">
        <v>822</v>
      </c>
      <c r="M265" s="194">
        <v>582</v>
      </c>
      <c r="N265" s="194">
        <v>0</v>
      </c>
      <c r="O265" s="193">
        <f t="shared" si="61"/>
        <v>1404</v>
      </c>
      <c r="P265" s="194">
        <v>1119</v>
      </c>
      <c r="Q265" s="194">
        <v>894</v>
      </c>
      <c r="R265" s="194">
        <v>0</v>
      </c>
      <c r="S265" s="193">
        <f t="shared" si="62"/>
        <v>2013</v>
      </c>
      <c r="T265" s="193">
        <f t="shared" si="63"/>
        <v>203</v>
      </c>
      <c r="U265" s="193">
        <f ca="1">OFFSET('Expenditure Study'!$B$7,'Operations Support'!$C265,'Operations Support'!$B265)*$G265</f>
        <v>11887.68</v>
      </c>
      <c r="V265" s="199">
        <f ca="1">U265*'Expenditure Study'!$B$31</f>
        <v>702361.94673254399</v>
      </c>
      <c r="W265" s="199">
        <f ca="1">IF(A265=10298,1.51,1)*IF($B265&lt;3,$D265*'Expenditure Study'!$B$32*OFFSET('Expenditure Study'!$B$7,'Operations Support'!$C265,'Operations Support'!$B265),0)</f>
        <v>0</v>
      </c>
      <c r="X265" s="200">
        <f ca="1">W265*'Expenditure Study'!$B$31</f>
        <v>0</v>
      </c>
      <c r="Y265" s="199">
        <f ca="1">U265*'Expenditure Study'!$B$31</f>
        <v>702361.94673254399</v>
      </c>
      <c r="Z265" s="200">
        <f ca="1">W265*'Expenditure Study'!$B$31</f>
        <v>0</v>
      </c>
      <c r="AA265" s="195">
        <f t="shared" ca="1" si="64"/>
        <v>702361.94673254399</v>
      </c>
      <c r="AB265" s="195">
        <f t="shared" ca="1" si="65"/>
        <v>702361.94673254399</v>
      </c>
      <c r="AD265" s="196">
        <f>IFERROR($G265/SUMIF($A:$A,$A265,$G:$G)*SUMIF(Summary!$A$166:$A$242,$A265,Summary!$P$166:$P$242),0)</f>
        <v>61094.316440529408</v>
      </c>
      <c r="AE265" s="197">
        <f t="shared" ca="1" si="66"/>
        <v>641267.63029201457</v>
      </c>
      <c r="AF265" s="196">
        <f>IFERROR(G265/SUMIF(A:A,A265,G:G)*SUMIF(Summary!$A$166:$A$242,'Operations Support'!A265,Summary!$Q$166:$Q$242),0)</f>
        <v>61224.710173832915</v>
      </c>
      <c r="AG265" s="196">
        <f t="shared" ca="1" si="67"/>
        <v>641137.23655871104</v>
      </c>
      <c r="AI265" s="196">
        <f>IFERROR($G265/SUMIF($A:$A,$A265,$G:$G)*SUMIF(Summary!$A$247:$A$283,$A265,Summary!$P$247:$P$283),0)</f>
        <v>11142.078727080368</v>
      </c>
      <c r="AJ265" s="196">
        <f>IFERROR($G265/SUMIF($A:$A,$A265,$G:$G)*(SUMIF(Summary!$A$247:$A$283,$A265,Summary!$L$247:$L$283)+SUMIF(Summary!$A$297:$A$333,$A265,Summary!$L$297:$L$333))-AI265,0)</f>
        <v>79606.576872911493</v>
      </c>
      <c r="AK265" s="196">
        <f>IFERROR($G265/SUMIF($A:$A,$A265,$G:$G)*SUMIF(Summary!$A$247:$A$283,$A265,Summary!$Q$247:$Q$283),0)</f>
        <v>11165.859290095588</v>
      </c>
      <c r="AL265" s="196">
        <f>IFERROR($G265/SUMIF($A:$A,$A265,$G:$G)*(SUMIF(Summary!$A$247:$A$283,$A265,Summary!$L$247:$L$283)+SUMIF(Summary!$A$297:$A$333,$A265,Summary!$L$297:$L$333))-AK265,0)</f>
        <v>79582.796309896279</v>
      </c>
      <c r="AM265" s="198"/>
      <c r="AN265" s="196">
        <f t="shared" ca="1" si="68"/>
        <v>720874.20716492611</v>
      </c>
      <c r="AO265" s="196">
        <f t="shared" ca="1" si="69"/>
        <v>720720.03286860732</v>
      </c>
    </row>
    <row r="266" spans="1:41">
      <c r="A266" s="189">
        <v>3565</v>
      </c>
      <c r="B266" s="190">
        <v>3</v>
      </c>
      <c r="C266" s="191" t="s">
        <v>229</v>
      </c>
      <c r="D266" s="192">
        <f t="shared" si="56"/>
        <v>615</v>
      </c>
      <c r="E266" s="192">
        <f t="shared" si="57"/>
        <v>582</v>
      </c>
      <c r="F266" s="192">
        <f t="shared" si="58"/>
        <v>0</v>
      </c>
      <c r="G266" s="193">
        <f t="shared" si="59"/>
        <v>1197</v>
      </c>
      <c r="H266" s="194">
        <v>132</v>
      </c>
      <c r="I266" s="194">
        <v>276</v>
      </c>
      <c r="J266" s="194">
        <v>0</v>
      </c>
      <c r="K266" s="193">
        <f t="shared" si="60"/>
        <v>408</v>
      </c>
      <c r="L266" s="194">
        <v>105</v>
      </c>
      <c r="M266" s="194">
        <v>135</v>
      </c>
      <c r="N266" s="194">
        <v>0</v>
      </c>
      <c r="O266" s="193">
        <f t="shared" si="61"/>
        <v>240</v>
      </c>
      <c r="P266" s="194">
        <v>378</v>
      </c>
      <c r="Q266" s="194">
        <v>171</v>
      </c>
      <c r="R266" s="194">
        <v>0</v>
      </c>
      <c r="S266" s="193">
        <f t="shared" si="62"/>
        <v>549</v>
      </c>
      <c r="T266" s="193">
        <f t="shared" si="63"/>
        <v>49.875</v>
      </c>
      <c r="U266" s="193">
        <f ca="1">OFFSET('Expenditure Study'!$B$7,'Operations Support'!$C266,'Operations Support'!$B266)*$G266</f>
        <v>4416.93</v>
      </c>
      <c r="V266" s="199">
        <f ca="1">U266*'Expenditure Study'!$B$31</f>
        <v>260966.27377094401</v>
      </c>
      <c r="W266" s="199">
        <f ca="1">IF(A266=10298,1.51,1)*IF($B266&lt;3,$D266*'Expenditure Study'!$B$32*OFFSET('Expenditure Study'!$B$7,'Operations Support'!$C266,'Operations Support'!$B266),0)</f>
        <v>0</v>
      </c>
      <c r="X266" s="200">
        <f ca="1">W266*'Expenditure Study'!$B$31</f>
        <v>0</v>
      </c>
      <c r="Y266" s="199">
        <f ca="1">U266*'Expenditure Study'!$B$31</f>
        <v>260966.27377094401</v>
      </c>
      <c r="Z266" s="200">
        <f ca="1">W266*'Expenditure Study'!$B$31</f>
        <v>0</v>
      </c>
      <c r="AA266" s="195">
        <f t="shared" ca="1" si="64"/>
        <v>260966.27377094401</v>
      </c>
      <c r="AB266" s="195">
        <f t="shared" ca="1" si="65"/>
        <v>260966.27377094401</v>
      </c>
      <c r="AD266" s="196">
        <f>IFERROR($G266/SUMIF($A:$A,$A266,$G:$G)*SUMIF(Summary!$A$166:$A$242,$A266,Summary!$P$166:$P$242),0)</f>
        <v>15010.241539268001</v>
      </c>
      <c r="AE266" s="197">
        <f t="shared" ca="1" si="66"/>
        <v>245956.03223167601</v>
      </c>
      <c r="AF266" s="196">
        <f>IFERROR(G266/SUMIF(A:A,A266,G:G)*SUMIF(Summary!$A$166:$A$242,'Operations Support'!A266,Summary!$Q$166:$Q$242),0)</f>
        <v>15042.277930639984</v>
      </c>
      <c r="AG266" s="196">
        <f t="shared" ca="1" si="67"/>
        <v>245923.99584030404</v>
      </c>
      <c r="AI266" s="196">
        <f>IFERROR($G266/SUMIF($A:$A,$A266,$G:$G)*SUMIF(Summary!$A$247:$A$283,$A266,Summary!$P$247:$P$283),0)</f>
        <v>2737.4934803602632</v>
      </c>
      <c r="AJ266" s="196">
        <f>IFERROR($G266/SUMIF($A:$A,$A266,$G:$G)*(SUMIF(Summary!$A$247:$A$283,$A266,Summary!$L$247:$L$283)+SUMIF(Summary!$A$297:$A$333,$A266,Summary!$L$297:$L$333))-AI266,0)</f>
        <v>19558.512421361876</v>
      </c>
      <c r="AK266" s="196">
        <f>IFERROR($G266/SUMIF($A:$A,$A266,$G:$G)*SUMIF(Summary!$A$247:$A$283,$A266,Summary!$Q$247:$Q$283),0)</f>
        <v>2743.336118687278</v>
      </c>
      <c r="AL266" s="196">
        <f>IFERROR($G266/SUMIF($A:$A,$A266,$G:$G)*(SUMIF(Summary!$A$247:$A$283,$A266,Summary!$L$247:$L$283)+SUMIF(Summary!$A$297:$A$333,$A266,Summary!$L$297:$L$333))-AK266,0)</f>
        <v>19552.66978303486</v>
      </c>
      <c r="AM266" s="198"/>
      <c r="AN266" s="196">
        <f t="shared" ca="1" si="68"/>
        <v>265514.54465303791</v>
      </c>
      <c r="AO266" s="196">
        <f t="shared" ca="1" si="69"/>
        <v>265476.66562333889</v>
      </c>
    </row>
    <row r="267" spans="1:41">
      <c r="A267" s="189">
        <v>3565</v>
      </c>
      <c r="B267" s="190">
        <v>3</v>
      </c>
      <c r="C267" s="191" t="s">
        <v>230</v>
      </c>
      <c r="D267" s="192">
        <f t="shared" si="56"/>
        <v>0</v>
      </c>
      <c r="E267" s="192">
        <f t="shared" si="57"/>
        <v>0</v>
      </c>
      <c r="F267" s="192">
        <f t="shared" si="58"/>
        <v>0</v>
      </c>
      <c r="G267" s="193">
        <f t="shared" si="59"/>
        <v>0</v>
      </c>
      <c r="H267" s="194">
        <v>0</v>
      </c>
      <c r="I267" s="194">
        <v>0</v>
      </c>
      <c r="J267" s="194">
        <v>0</v>
      </c>
      <c r="K267" s="193">
        <f t="shared" si="60"/>
        <v>0</v>
      </c>
      <c r="L267" s="194">
        <v>0</v>
      </c>
      <c r="M267" s="194">
        <v>0</v>
      </c>
      <c r="N267" s="194">
        <v>0</v>
      </c>
      <c r="O267" s="193">
        <f t="shared" si="61"/>
        <v>0</v>
      </c>
      <c r="P267" s="194">
        <v>0</v>
      </c>
      <c r="Q267" s="194">
        <v>0</v>
      </c>
      <c r="R267" s="194">
        <v>0</v>
      </c>
      <c r="S267" s="193">
        <f t="shared" si="62"/>
        <v>0</v>
      </c>
      <c r="T267" s="193">
        <f t="shared" si="63"/>
        <v>0</v>
      </c>
      <c r="U267" s="193">
        <f ca="1">OFFSET('Expenditure Study'!$B$7,'Operations Support'!$C267,'Operations Support'!$B267)*$G267</f>
        <v>0</v>
      </c>
      <c r="V267" s="199">
        <f ca="1">U267*'Expenditure Study'!$B$31</f>
        <v>0</v>
      </c>
      <c r="W267" s="199">
        <f ca="1">IF(A267=10298,1.51,1)*IF($B267&lt;3,$D267*'Expenditure Study'!$B$32*OFFSET('Expenditure Study'!$B$7,'Operations Support'!$C267,'Operations Support'!$B267),0)</f>
        <v>0</v>
      </c>
      <c r="X267" s="200">
        <f ca="1">W267*'Expenditure Study'!$B$31</f>
        <v>0</v>
      </c>
      <c r="Y267" s="199">
        <f ca="1">U267*'Expenditure Study'!$B$31</f>
        <v>0</v>
      </c>
      <c r="Z267" s="200">
        <f ca="1">W267*'Expenditure Study'!$B$31</f>
        <v>0</v>
      </c>
      <c r="AA267" s="195">
        <f t="shared" ca="1" si="64"/>
        <v>0</v>
      </c>
      <c r="AB267" s="195">
        <f t="shared" ca="1" si="65"/>
        <v>0</v>
      </c>
      <c r="AD267" s="196">
        <f>IFERROR($G267/SUMIF($A:$A,$A267,$G:$G)*SUMIF(Summary!$A$166:$A$242,$A267,Summary!$P$166:$P$242),0)</f>
        <v>0</v>
      </c>
      <c r="AE267" s="197">
        <f t="shared" ca="1" si="66"/>
        <v>0</v>
      </c>
      <c r="AF267" s="196">
        <f>IFERROR(G267/SUMIF(A:A,A267,G:G)*SUMIF(Summary!$A$166:$A$242,'Operations Support'!A267,Summary!$Q$166:$Q$242),0)</f>
        <v>0</v>
      </c>
      <c r="AG267" s="196">
        <f t="shared" ca="1" si="67"/>
        <v>0</v>
      </c>
      <c r="AI267" s="196">
        <f>IFERROR($G267/SUMIF($A:$A,$A267,$G:$G)*SUMIF(Summary!$A$247:$A$283,$A267,Summary!$P$247:$P$283),0)</f>
        <v>0</v>
      </c>
      <c r="AJ267" s="196">
        <f>IFERROR($G267/SUMIF($A:$A,$A267,$G:$G)*(SUMIF(Summary!$A$247:$A$283,$A267,Summary!$L$247:$L$283)+SUMIF(Summary!$A$297:$A$333,$A267,Summary!$L$297:$L$333))-AI267,0)</f>
        <v>0</v>
      </c>
      <c r="AK267" s="196">
        <f>IFERROR($G267/SUMIF($A:$A,$A267,$G:$G)*SUMIF(Summary!$A$247:$A$283,$A267,Summary!$Q$247:$Q$283),0)</f>
        <v>0</v>
      </c>
      <c r="AL267" s="196">
        <f>IFERROR($G267/SUMIF($A:$A,$A267,$G:$G)*(SUMIF(Summary!$A$247:$A$283,$A267,Summary!$L$247:$L$283)+SUMIF(Summary!$A$297:$A$333,$A267,Summary!$L$297:$L$333))-AK267,0)</f>
        <v>0</v>
      </c>
      <c r="AM267" s="198"/>
      <c r="AN267" s="196">
        <f t="shared" ca="1" si="68"/>
        <v>0</v>
      </c>
      <c r="AO267" s="196">
        <f t="shared" ca="1" si="69"/>
        <v>0</v>
      </c>
    </row>
    <row r="268" spans="1:41">
      <c r="A268" s="189">
        <v>3565</v>
      </c>
      <c r="B268" s="190">
        <v>3</v>
      </c>
      <c r="C268" s="191" t="s">
        <v>231</v>
      </c>
      <c r="D268" s="192">
        <f t="shared" si="56"/>
        <v>0</v>
      </c>
      <c r="E268" s="192">
        <f t="shared" si="57"/>
        <v>0</v>
      </c>
      <c r="F268" s="192">
        <f t="shared" si="58"/>
        <v>0</v>
      </c>
      <c r="G268" s="193">
        <f t="shared" si="59"/>
        <v>0</v>
      </c>
      <c r="H268" s="194">
        <v>0</v>
      </c>
      <c r="I268" s="194">
        <v>0</v>
      </c>
      <c r="J268" s="194">
        <v>0</v>
      </c>
      <c r="K268" s="193">
        <f t="shared" si="60"/>
        <v>0</v>
      </c>
      <c r="L268" s="194">
        <v>0</v>
      </c>
      <c r="M268" s="194">
        <v>0</v>
      </c>
      <c r="N268" s="194">
        <v>0</v>
      </c>
      <c r="O268" s="193">
        <f t="shared" si="61"/>
        <v>0</v>
      </c>
      <c r="P268" s="194">
        <v>0</v>
      </c>
      <c r="Q268" s="194">
        <v>0</v>
      </c>
      <c r="R268" s="194">
        <v>0</v>
      </c>
      <c r="S268" s="193">
        <f t="shared" si="62"/>
        <v>0</v>
      </c>
      <c r="T268" s="193">
        <f t="shared" si="63"/>
        <v>0</v>
      </c>
      <c r="U268" s="193">
        <f ca="1">OFFSET('Expenditure Study'!$B$7,'Operations Support'!$C268,'Operations Support'!$B268)*$G268</f>
        <v>0</v>
      </c>
      <c r="V268" s="199">
        <f ca="1">U268*'Expenditure Study'!$B$31</f>
        <v>0</v>
      </c>
      <c r="W268" s="199">
        <f ca="1">IF(A268=10298,1.51,1)*IF($B268&lt;3,$D268*'Expenditure Study'!$B$32*OFFSET('Expenditure Study'!$B$7,'Operations Support'!$C268,'Operations Support'!$B268),0)</f>
        <v>0</v>
      </c>
      <c r="X268" s="200">
        <f ca="1">W268*'Expenditure Study'!$B$31</f>
        <v>0</v>
      </c>
      <c r="Y268" s="199">
        <f ca="1">U268*'Expenditure Study'!$B$31</f>
        <v>0</v>
      </c>
      <c r="Z268" s="200">
        <f ca="1">W268*'Expenditure Study'!$B$31</f>
        <v>0</v>
      </c>
      <c r="AA268" s="195">
        <f t="shared" ca="1" si="64"/>
        <v>0</v>
      </c>
      <c r="AB268" s="195">
        <f t="shared" ca="1" si="65"/>
        <v>0</v>
      </c>
      <c r="AD268" s="196">
        <f>IFERROR($G268/SUMIF($A:$A,$A268,$G:$G)*SUMIF(Summary!$A$166:$A$242,$A268,Summary!$P$166:$P$242),0)</f>
        <v>0</v>
      </c>
      <c r="AE268" s="197">
        <f t="shared" ca="1" si="66"/>
        <v>0</v>
      </c>
      <c r="AF268" s="196">
        <f>IFERROR(G268/SUMIF(A:A,A268,G:G)*SUMIF(Summary!$A$166:$A$242,'Operations Support'!A268,Summary!$Q$166:$Q$242),0)</f>
        <v>0</v>
      </c>
      <c r="AG268" s="196">
        <f t="shared" ca="1" si="67"/>
        <v>0</v>
      </c>
      <c r="AI268" s="196">
        <f>IFERROR($G268/SUMIF($A:$A,$A268,$G:$G)*SUMIF(Summary!$A$247:$A$283,$A268,Summary!$P$247:$P$283),0)</f>
        <v>0</v>
      </c>
      <c r="AJ268" s="196">
        <f>IFERROR($G268/SUMIF($A:$A,$A268,$G:$G)*(SUMIF(Summary!$A$247:$A$283,$A268,Summary!$L$247:$L$283)+SUMIF(Summary!$A$297:$A$333,$A268,Summary!$L$297:$L$333))-AI268,0)</f>
        <v>0</v>
      </c>
      <c r="AK268" s="196">
        <f>IFERROR($G268/SUMIF($A:$A,$A268,$G:$G)*SUMIF(Summary!$A$247:$A$283,$A268,Summary!$Q$247:$Q$283),0)</f>
        <v>0</v>
      </c>
      <c r="AL268" s="196">
        <f>IFERROR($G268/SUMIF($A:$A,$A268,$G:$G)*(SUMIF(Summary!$A$247:$A$283,$A268,Summary!$L$247:$L$283)+SUMIF(Summary!$A$297:$A$333,$A268,Summary!$L$297:$L$333))-AK268,0)</f>
        <v>0</v>
      </c>
      <c r="AM268" s="198"/>
      <c r="AN268" s="196">
        <f t="shared" ca="1" si="68"/>
        <v>0</v>
      </c>
      <c r="AO268" s="196">
        <f t="shared" ca="1" si="69"/>
        <v>0</v>
      </c>
    </row>
    <row r="269" spans="1:41">
      <c r="A269" s="189">
        <v>3565</v>
      </c>
      <c r="B269" s="190">
        <v>3</v>
      </c>
      <c r="C269" s="191" t="s">
        <v>232</v>
      </c>
      <c r="D269" s="192">
        <f t="shared" si="56"/>
        <v>0</v>
      </c>
      <c r="E269" s="192">
        <f t="shared" si="57"/>
        <v>0</v>
      </c>
      <c r="F269" s="192">
        <f t="shared" si="58"/>
        <v>0</v>
      </c>
      <c r="G269" s="193">
        <f t="shared" si="59"/>
        <v>0</v>
      </c>
      <c r="H269" s="194">
        <v>0</v>
      </c>
      <c r="I269" s="194">
        <v>0</v>
      </c>
      <c r="J269" s="194">
        <v>0</v>
      </c>
      <c r="K269" s="193">
        <f t="shared" si="60"/>
        <v>0</v>
      </c>
      <c r="L269" s="194">
        <v>0</v>
      </c>
      <c r="M269" s="194">
        <v>0</v>
      </c>
      <c r="N269" s="194">
        <v>0</v>
      </c>
      <c r="O269" s="193">
        <f t="shared" si="61"/>
        <v>0</v>
      </c>
      <c r="P269" s="194">
        <v>0</v>
      </c>
      <c r="Q269" s="194">
        <v>0</v>
      </c>
      <c r="R269" s="194">
        <v>0</v>
      </c>
      <c r="S269" s="193">
        <f t="shared" si="62"/>
        <v>0</v>
      </c>
      <c r="T269" s="193">
        <f t="shared" si="63"/>
        <v>0</v>
      </c>
      <c r="U269" s="193">
        <f ca="1">OFFSET('Expenditure Study'!$B$7,'Operations Support'!$C269,'Operations Support'!$B269)*$G269</f>
        <v>0</v>
      </c>
      <c r="V269" s="199">
        <f ca="1">U269*'Expenditure Study'!$B$31</f>
        <v>0</v>
      </c>
      <c r="W269" s="199">
        <f ca="1">IF(A269=10298,1.51,1)*IF($B269&lt;3,$D269*'Expenditure Study'!$B$32*OFFSET('Expenditure Study'!$B$7,'Operations Support'!$C269,'Operations Support'!$B269),0)</f>
        <v>0</v>
      </c>
      <c r="X269" s="200">
        <f ca="1">W269*'Expenditure Study'!$B$31</f>
        <v>0</v>
      </c>
      <c r="Y269" s="199">
        <f ca="1">U269*'Expenditure Study'!$B$31</f>
        <v>0</v>
      </c>
      <c r="Z269" s="200">
        <f ca="1">W269*'Expenditure Study'!$B$31</f>
        <v>0</v>
      </c>
      <c r="AA269" s="195">
        <f t="shared" ca="1" si="64"/>
        <v>0</v>
      </c>
      <c r="AB269" s="195">
        <f t="shared" ca="1" si="65"/>
        <v>0</v>
      </c>
      <c r="AD269" s="196">
        <f>IFERROR($G269/SUMIF($A:$A,$A269,$G:$G)*SUMIF(Summary!$A$166:$A$242,$A269,Summary!$P$166:$P$242),0)</f>
        <v>0</v>
      </c>
      <c r="AE269" s="197">
        <f t="shared" ca="1" si="66"/>
        <v>0</v>
      </c>
      <c r="AF269" s="196">
        <f>IFERROR(G269/SUMIF(A:A,A269,G:G)*SUMIF(Summary!$A$166:$A$242,'Operations Support'!A269,Summary!$Q$166:$Q$242),0)</f>
        <v>0</v>
      </c>
      <c r="AG269" s="196">
        <f t="shared" ca="1" si="67"/>
        <v>0</v>
      </c>
      <c r="AI269" s="196">
        <f>IFERROR($G269/SUMIF($A:$A,$A269,$G:$G)*SUMIF(Summary!$A$247:$A$283,$A269,Summary!$P$247:$P$283),0)</f>
        <v>0</v>
      </c>
      <c r="AJ269" s="196">
        <f>IFERROR($G269/SUMIF($A:$A,$A269,$G:$G)*(SUMIF(Summary!$A$247:$A$283,$A269,Summary!$L$247:$L$283)+SUMIF(Summary!$A$297:$A$333,$A269,Summary!$L$297:$L$333))-AI269,0)</f>
        <v>0</v>
      </c>
      <c r="AK269" s="196">
        <f>IFERROR($G269/SUMIF($A:$A,$A269,$G:$G)*SUMIF(Summary!$A$247:$A$283,$A269,Summary!$Q$247:$Q$283),0)</f>
        <v>0</v>
      </c>
      <c r="AL269" s="196">
        <f>IFERROR($G269/SUMIF($A:$A,$A269,$G:$G)*(SUMIF(Summary!$A$247:$A$283,$A269,Summary!$L$247:$L$283)+SUMIF(Summary!$A$297:$A$333,$A269,Summary!$L$297:$L$333))-AK269,0)</f>
        <v>0</v>
      </c>
      <c r="AM269" s="198"/>
      <c r="AN269" s="196">
        <f t="shared" ca="1" si="68"/>
        <v>0</v>
      </c>
      <c r="AO269" s="196">
        <f t="shared" ca="1" si="69"/>
        <v>0</v>
      </c>
    </row>
    <row r="270" spans="1:41" s="201" customFormat="1">
      <c r="A270" s="189">
        <v>3565</v>
      </c>
      <c r="B270" s="190">
        <v>3</v>
      </c>
      <c r="C270" s="191" t="s">
        <v>233</v>
      </c>
      <c r="D270" s="192">
        <f t="shared" si="56"/>
        <v>1317</v>
      </c>
      <c r="E270" s="192">
        <f t="shared" si="57"/>
        <v>1197</v>
      </c>
      <c r="F270" s="192">
        <f t="shared" si="58"/>
        <v>0</v>
      </c>
      <c r="G270" s="193">
        <f t="shared" si="59"/>
        <v>2514</v>
      </c>
      <c r="H270" s="194">
        <v>453</v>
      </c>
      <c r="I270" s="194">
        <v>336</v>
      </c>
      <c r="J270" s="194">
        <v>0</v>
      </c>
      <c r="K270" s="193">
        <f t="shared" si="60"/>
        <v>789</v>
      </c>
      <c r="L270" s="194">
        <v>213</v>
      </c>
      <c r="M270" s="194">
        <v>339</v>
      </c>
      <c r="N270" s="194">
        <v>0</v>
      </c>
      <c r="O270" s="193">
        <f t="shared" si="61"/>
        <v>552</v>
      </c>
      <c r="P270" s="194">
        <v>651</v>
      </c>
      <c r="Q270" s="194">
        <v>522</v>
      </c>
      <c r="R270" s="194">
        <v>0</v>
      </c>
      <c r="S270" s="193">
        <f t="shared" si="62"/>
        <v>1173</v>
      </c>
      <c r="T270" s="193">
        <f t="shared" si="63"/>
        <v>104.75</v>
      </c>
      <c r="U270" s="193">
        <f ca="1">OFFSET('Expenditure Study'!$B$7,'Operations Support'!$C270,'Operations Support'!$B270)*$G270</f>
        <v>6586.68</v>
      </c>
      <c r="V270" s="199">
        <f ca="1">U270*'Expenditure Study'!$B$31</f>
        <v>389162.005311744</v>
      </c>
      <c r="W270" s="199">
        <f ca="1">IF(A270=10298,1.51,1)*IF($B270&lt;3,$D270*'Expenditure Study'!$B$32*OFFSET('Expenditure Study'!$B$7,'Operations Support'!$C270,'Operations Support'!$B270),0)</f>
        <v>0</v>
      </c>
      <c r="X270" s="200">
        <f ca="1">W270*'Expenditure Study'!$B$31</f>
        <v>0</v>
      </c>
      <c r="Y270" s="199">
        <f ca="1">U270*'Expenditure Study'!$B$31</f>
        <v>389162.005311744</v>
      </c>
      <c r="Z270" s="200">
        <f ca="1">W270*'Expenditure Study'!$B$31</f>
        <v>0</v>
      </c>
      <c r="AA270" s="195">
        <f t="shared" ca="1" si="64"/>
        <v>389162.005311744</v>
      </c>
      <c r="AB270" s="195">
        <f t="shared" ca="1" si="65"/>
        <v>389162.005311744</v>
      </c>
      <c r="AD270" s="196">
        <f>IFERROR($G270/SUMIF($A:$A,$A270,$G:$G)*SUMIF(Summary!$A$166:$A$242,$A270,Summary!$P$166:$P$242),0)</f>
        <v>31525.269197760863</v>
      </c>
      <c r="AE270" s="197">
        <f t="shared" ca="1" si="66"/>
        <v>357636.73611398315</v>
      </c>
      <c r="AF270" s="196">
        <f>IFERROR(G270/SUMIF(A:A,A270,G:G)*SUMIF(Summary!$A$166:$A$242,'Operations Support'!A270,Summary!$Q$166:$Q$242),0)</f>
        <v>31592.553648812795</v>
      </c>
      <c r="AG270" s="196">
        <f t="shared" ca="1" si="67"/>
        <v>357569.45166293118</v>
      </c>
      <c r="AH270" s="180"/>
      <c r="AI270" s="196">
        <f>IFERROR($G270/SUMIF($A:$A,$A270,$G:$G)*SUMIF(Summary!$A$247:$A$283,$A270,Summary!$P$247:$P$283),0)</f>
        <v>5749.4223973481212</v>
      </c>
      <c r="AJ270" s="196">
        <f>IFERROR($G270/SUMIF($A:$A,$A270,$G:$G)*(SUMIF(Summary!$A$247:$A$283,$A270,Summary!$L$247:$L$283)+SUMIF(Summary!$A$297:$A$333,$A270,Summary!$L$297:$L$333))-AI270,0)</f>
        <v>41077.777967672315</v>
      </c>
      <c r="AK270" s="196">
        <f>IFERROR($G270/SUMIF($A:$A,$A270,$G:$G)*SUMIF(Summary!$A$247:$A$283,$A270,Summary!$Q$247:$Q$283),0)</f>
        <v>5761.6934021552352</v>
      </c>
      <c r="AL270" s="196">
        <f>IFERROR($G270/SUMIF($A:$A,$A270,$G:$G)*(SUMIF(Summary!$A$247:$A$283,$A270,Summary!$L$247:$L$283)+SUMIF(Summary!$A$297:$A$333,$A270,Summary!$L$297:$L$333))-AK270,0)</f>
        <v>41065.506962865198</v>
      </c>
      <c r="AM270" s="198"/>
      <c r="AN270" s="196">
        <f t="shared" ca="1" si="68"/>
        <v>398714.51408165548</v>
      </c>
      <c r="AO270" s="196">
        <f t="shared" ca="1" si="69"/>
        <v>398634.95862579637</v>
      </c>
    </row>
    <row r="271" spans="1:41">
      <c r="A271" s="189">
        <v>3565</v>
      </c>
      <c r="B271" s="190">
        <v>3</v>
      </c>
      <c r="C271" s="191" t="s">
        <v>234</v>
      </c>
      <c r="D271" s="192">
        <f t="shared" si="56"/>
        <v>0</v>
      </c>
      <c r="E271" s="192">
        <f t="shared" si="57"/>
        <v>0</v>
      </c>
      <c r="F271" s="192">
        <f t="shared" si="58"/>
        <v>0</v>
      </c>
      <c r="G271" s="193">
        <f t="shared" si="59"/>
        <v>0</v>
      </c>
      <c r="H271" s="194">
        <v>0</v>
      </c>
      <c r="I271" s="194">
        <v>0</v>
      </c>
      <c r="J271" s="194">
        <v>0</v>
      </c>
      <c r="K271" s="193">
        <f t="shared" si="60"/>
        <v>0</v>
      </c>
      <c r="L271" s="194">
        <v>0</v>
      </c>
      <c r="M271" s="194">
        <v>0</v>
      </c>
      <c r="N271" s="194">
        <v>0</v>
      </c>
      <c r="O271" s="193">
        <f t="shared" si="61"/>
        <v>0</v>
      </c>
      <c r="P271" s="194">
        <v>0</v>
      </c>
      <c r="Q271" s="194">
        <v>0</v>
      </c>
      <c r="R271" s="194">
        <v>0</v>
      </c>
      <c r="S271" s="193">
        <f t="shared" si="62"/>
        <v>0</v>
      </c>
      <c r="T271" s="193">
        <f t="shared" si="63"/>
        <v>0</v>
      </c>
      <c r="U271" s="193">
        <f ca="1">OFFSET('Expenditure Study'!$B$7,'Operations Support'!$C271,'Operations Support'!$B271)*$G271</f>
        <v>0</v>
      </c>
      <c r="V271" s="199">
        <f ca="1">U271*'Expenditure Study'!$B$31</f>
        <v>0</v>
      </c>
      <c r="W271" s="199">
        <f ca="1">IF(A271=10298,1.51,1)*IF($B271&lt;3,$D271*'Expenditure Study'!$B$32*OFFSET('Expenditure Study'!$B$7,'Operations Support'!$C271,'Operations Support'!$B271),0)</f>
        <v>0</v>
      </c>
      <c r="X271" s="200">
        <f ca="1">W271*'Expenditure Study'!$B$31</f>
        <v>0</v>
      </c>
      <c r="Y271" s="199">
        <f ca="1">U271*'Expenditure Study'!$B$31</f>
        <v>0</v>
      </c>
      <c r="Z271" s="200">
        <f ca="1">W271*'Expenditure Study'!$B$31</f>
        <v>0</v>
      </c>
      <c r="AA271" s="195">
        <f t="shared" ca="1" si="64"/>
        <v>0</v>
      </c>
      <c r="AB271" s="195">
        <f t="shared" ca="1" si="65"/>
        <v>0</v>
      </c>
      <c r="AD271" s="196">
        <f>IFERROR($G271/SUMIF($A:$A,$A271,$G:$G)*SUMIF(Summary!$A$166:$A$242,$A271,Summary!$P$166:$P$242),0)</f>
        <v>0</v>
      </c>
      <c r="AE271" s="197">
        <f t="shared" ca="1" si="66"/>
        <v>0</v>
      </c>
      <c r="AF271" s="196">
        <f>IFERROR(G271/SUMIF(A:A,A271,G:G)*SUMIF(Summary!$A$166:$A$242,'Operations Support'!A271,Summary!$Q$166:$Q$242),0)</f>
        <v>0</v>
      </c>
      <c r="AG271" s="196">
        <f t="shared" ca="1" si="67"/>
        <v>0</v>
      </c>
      <c r="AI271" s="196">
        <f>IFERROR($G271/SUMIF($A:$A,$A271,$G:$G)*SUMIF(Summary!$A$247:$A$283,$A271,Summary!$P$247:$P$283),0)</f>
        <v>0</v>
      </c>
      <c r="AJ271" s="196">
        <f>IFERROR($G271/SUMIF($A:$A,$A271,$G:$G)*(SUMIF(Summary!$A$247:$A$283,$A271,Summary!$L$247:$L$283)+SUMIF(Summary!$A$297:$A$333,$A271,Summary!$L$297:$L$333))-AI271,0)</f>
        <v>0</v>
      </c>
      <c r="AK271" s="196">
        <f>IFERROR($G271/SUMIF($A:$A,$A271,$G:$G)*SUMIF(Summary!$A$247:$A$283,$A271,Summary!$Q$247:$Q$283),0)</f>
        <v>0</v>
      </c>
      <c r="AL271" s="196">
        <f>IFERROR($G271/SUMIF($A:$A,$A271,$G:$G)*(SUMIF(Summary!$A$247:$A$283,$A271,Summary!$L$247:$L$283)+SUMIF(Summary!$A$297:$A$333,$A271,Summary!$L$297:$L$333))-AK271,0)</f>
        <v>0</v>
      </c>
      <c r="AM271" s="198"/>
      <c r="AN271" s="196">
        <f t="shared" ca="1" si="68"/>
        <v>0</v>
      </c>
      <c r="AO271" s="196">
        <f t="shared" ca="1" si="69"/>
        <v>0</v>
      </c>
    </row>
    <row r="272" spans="1:41">
      <c r="A272" s="189">
        <v>3565</v>
      </c>
      <c r="B272" s="190">
        <v>3</v>
      </c>
      <c r="C272" s="191" t="s">
        <v>235</v>
      </c>
      <c r="D272" s="192">
        <f t="shared" si="56"/>
        <v>13182</v>
      </c>
      <c r="E272" s="192">
        <f t="shared" si="57"/>
        <v>2079</v>
      </c>
      <c r="F272" s="192">
        <f t="shared" si="58"/>
        <v>0</v>
      </c>
      <c r="G272" s="193">
        <f t="shared" si="59"/>
        <v>15261</v>
      </c>
      <c r="H272" s="194">
        <v>5475</v>
      </c>
      <c r="I272" s="194">
        <v>588</v>
      </c>
      <c r="J272" s="194">
        <v>0</v>
      </c>
      <c r="K272" s="193">
        <f t="shared" si="60"/>
        <v>6063</v>
      </c>
      <c r="L272" s="194">
        <v>2409</v>
      </c>
      <c r="M272" s="194">
        <v>672</v>
      </c>
      <c r="N272" s="194">
        <v>0</v>
      </c>
      <c r="O272" s="193">
        <f t="shared" si="61"/>
        <v>3081</v>
      </c>
      <c r="P272" s="194">
        <v>5298</v>
      </c>
      <c r="Q272" s="194">
        <v>819</v>
      </c>
      <c r="R272" s="194">
        <v>0</v>
      </c>
      <c r="S272" s="193">
        <f t="shared" si="62"/>
        <v>6117</v>
      </c>
      <c r="T272" s="193">
        <f t="shared" si="63"/>
        <v>635.875</v>
      </c>
      <c r="U272" s="193">
        <f ca="1">OFFSET('Expenditure Study'!$B$7,'Operations Support'!$C272,'Operations Support'!$B272)*$G272</f>
        <v>48224.76</v>
      </c>
      <c r="V272" s="199">
        <f ca="1">U272*'Expenditure Study'!$B$31</f>
        <v>2849272.2141166083</v>
      </c>
      <c r="W272" s="199">
        <f ca="1">IF(A272=10298,1.51,1)*IF($B272&lt;3,$D272*'Expenditure Study'!$B$32*OFFSET('Expenditure Study'!$B$7,'Operations Support'!$C272,'Operations Support'!$B272),0)</f>
        <v>0</v>
      </c>
      <c r="X272" s="200">
        <f ca="1">W272*'Expenditure Study'!$B$31</f>
        <v>0</v>
      </c>
      <c r="Y272" s="199">
        <f ca="1">U272*'Expenditure Study'!$B$31</f>
        <v>2849272.2141166083</v>
      </c>
      <c r="Z272" s="200">
        <f ca="1">W272*'Expenditure Study'!$B$31</f>
        <v>0</v>
      </c>
      <c r="AA272" s="195">
        <f t="shared" ca="1" si="64"/>
        <v>2849272.2141166083</v>
      </c>
      <c r="AB272" s="195">
        <f t="shared" ca="1" si="65"/>
        <v>2849272.2141166083</v>
      </c>
      <c r="AD272" s="196">
        <f>IFERROR($G272/SUMIF($A:$A,$A272,$G:$G)*SUMIF(Summary!$A$166:$A$242,$A272,Summary!$P$166:$P$242),0)</f>
        <v>191371.17471242184</v>
      </c>
      <c r="AE272" s="197">
        <f t="shared" ca="1" si="66"/>
        <v>2657901.0394041864</v>
      </c>
      <c r="AF272" s="196">
        <f>IFERROR(G272/SUMIF(A:A,A272,G:G)*SUMIF(Summary!$A$166:$A$242,'Operations Support'!A272,Summary!$Q$166:$Q$242),0)</f>
        <v>191779.6186294877</v>
      </c>
      <c r="AG272" s="196">
        <f t="shared" ca="1" si="67"/>
        <v>2657492.5954871206</v>
      </c>
      <c r="AI272" s="196">
        <f>IFERROR($G272/SUMIF($A:$A,$A272,$G:$G)*SUMIF(Summary!$A$247:$A$283,$A272,Summary!$P$247:$P$283),0)</f>
        <v>34901.326653114433</v>
      </c>
      <c r="AJ272" s="196">
        <f>IFERROR($G272/SUMIF($A:$A,$A272,$G:$G)*(SUMIF(Summary!$A$247:$A$283,$A272,Summary!$L$247:$L$283)+SUMIF(Summary!$A$297:$A$333,$A272,Summary!$L$297:$L$333))-AI272,0)</f>
        <v>249358.77866533303</v>
      </c>
      <c r="AK272" s="196">
        <f>IFERROR($G272/SUMIF($A:$A,$A272,$G:$G)*SUMIF(Summary!$A$247:$A$283,$A272,Summary!$Q$247:$Q$283),0)</f>
        <v>34975.816630982918</v>
      </c>
      <c r="AL272" s="196">
        <f>IFERROR($G272/SUMIF($A:$A,$A272,$G:$G)*(SUMIF(Summary!$A$247:$A$283,$A272,Summary!$L$247:$L$283)+SUMIF(Summary!$A$297:$A$333,$A272,Summary!$L$297:$L$333))-AK272,0)</f>
        <v>249284.28868746455</v>
      </c>
      <c r="AM272" s="198"/>
      <c r="AN272" s="196">
        <f t="shared" ca="1" si="68"/>
        <v>2907259.8180695195</v>
      </c>
      <c r="AO272" s="196">
        <f t="shared" ca="1" si="69"/>
        <v>2906776.8841745853</v>
      </c>
    </row>
    <row r="273" spans="1:41">
      <c r="A273" s="189">
        <v>3565</v>
      </c>
      <c r="B273" s="190">
        <v>3</v>
      </c>
      <c r="C273" s="191" t="s">
        <v>236</v>
      </c>
      <c r="D273" s="192">
        <f t="shared" si="56"/>
        <v>0</v>
      </c>
      <c r="E273" s="192">
        <f t="shared" si="57"/>
        <v>0</v>
      </c>
      <c r="F273" s="192">
        <f t="shared" si="58"/>
        <v>0</v>
      </c>
      <c r="G273" s="193">
        <f t="shared" si="59"/>
        <v>0</v>
      </c>
      <c r="H273" s="194">
        <v>0</v>
      </c>
      <c r="I273" s="194">
        <v>0</v>
      </c>
      <c r="J273" s="194">
        <v>0</v>
      </c>
      <c r="K273" s="193">
        <f t="shared" si="60"/>
        <v>0</v>
      </c>
      <c r="L273" s="194">
        <v>0</v>
      </c>
      <c r="M273" s="194">
        <v>0</v>
      </c>
      <c r="N273" s="194">
        <v>0</v>
      </c>
      <c r="O273" s="193">
        <f t="shared" si="61"/>
        <v>0</v>
      </c>
      <c r="P273" s="194">
        <v>0</v>
      </c>
      <c r="Q273" s="194">
        <v>0</v>
      </c>
      <c r="R273" s="194">
        <v>0</v>
      </c>
      <c r="S273" s="193">
        <f t="shared" si="62"/>
        <v>0</v>
      </c>
      <c r="T273" s="193">
        <f t="shared" si="63"/>
        <v>0</v>
      </c>
      <c r="U273" s="193">
        <f ca="1">OFFSET('Expenditure Study'!$B$7,'Operations Support'!$C273,'Operations Support'!$B273)*$G273</f>
        <v>0</v>
      </c>
      <c r="V273" s="199">
        <f ca="1">U273*'Expenditure Study'!$B$31</f>
        <v>0</v>
      </c>
      <c r="W273" s="199">
        <f ca="1">IF(A273=10298,1.51,1)*IF($B273&lt;3,$D273*'Expenditure Study'!$B$32*OFFSET('Expenditure Study'!$B$7,'Operations Support'!$C273,'Operations Support'!$B273),0)</f>
        <v>0</v>
      </c>
      <c r="X273" s="200">
        <f ca="1">W273*'Expenditure Study'!$B$31</f>
        <v>0</v>
      </c>
      <c r="Y273" s="199">
        <f ca="1">U273*'Expenditure Study'!$B$31</f>
        <v>0</v>
      </c>
      <c r="Z273" s="200">
        <f ca="1">W273*'Expenditure Study'!$B$31</f>
        <v>0</v>
      </c>
      <c r="AA273" s="195">
        <f t="shared" ca="1" si="64"/>
        <v>0</v>
      </c>
      <c r="AB273" s="195">
        <f t="shared" ca="1" si="65"/>
        <v>0</v>
      </c>
      <c r="AD273" s="196">
        <f>IFERROR($G273/SUMIF($A:$A,$A273,$G:$G)*SUMIF(Summary!$A$166:$A$242,$A273,Summary!$P$166:$P$242),0)</f>
        <v>0</v>
      </c>
      <c r="AE273" s="197">
        <f t="shared" ca="1" si="66"/>
        <v>0</v>
      </c>
      <c r="AF273" s="196">
        <f>IFERROR(G273/SUMIF(A:A,A273,G:G)*SUMIF(Summary!$A$166:$A$242,'Operations Support'!A273,Summary!$Q$166:$Q$242),0)</f>
        <v>0</v>
      </c>
      <c r="AG273" s="196">
        <f t="shared" ca="1" si="67"/>
        <v>0</v>
      </c>
      <c r="AI273" s="196">
        <f>IFERROR($G273/SUMIF($A:$A,$A273,$G:$G)*SUMIF(Summary!$A$247:$A$283,$A273,Summary!$P$247:$P$283),0)</f>
        <v>0</v>
      </c>
      <c r="AJ273" s="196">
        <f>IFERROR($G273/SUMIF($A:$A,$A273,$G:$G)*(SUMIF(Summary!$A$247:$A$283,$A273,Summary!$L$247:$L$283)+SUMIF(Summary!$A$297:$A$333,$A273,Summary!$L$297:$L$333))-AI273,0)</f>
        <v>0</v>
      </c>
      <c r="AK273" s="196">
        <f>IFERROR($G273/SUMIF($A:$A,$A273,$G:$G)*SUMIF(Summary!$A$247:$A$283,$A273,Summary!$Q$247:$Q$283),0)</f>
        <v>0</v>
      </c>
      <c r="AL273" s="196">
        <f>IFERROR($G273/SUMIF($A:$A,$A273,$G:$G)*(SUMIF(Summary!$A$247:$A$283,$A273,Summary!$L$247:$L$283)+SUMIF(Summary!$A$297:$A$333,$A273,Summary!$L$297:$L$333))-AK273,0)</f>
        <v>0</v>
      </c>
      <c r="AM273" s="198"/>
      <c r="AN273" s="196">
        <f t="shared" ca="1" si="68"/>
        <v>0</v>
      </c>
      <c r="AO273" s="196">
        <f t="shared" ca="1" si="69"/>
        <v>0</v>
      </c>
    </row>
    <row r="274" spans="1:41">
      <c r="A274" s="189">
        <v>3565</v>
      </c>
      <c r="B274" s="190">
        <v>3</v>
      </c>
      <c r="C274" s="191" t="s">
        <v>237</v>
      </c>
      <c r="D274" s="192">
        <f t="shared" si="56"/>
        <v>0</v>
      </c>
      <c r="E274" s="192">
        <f t="shared" si="57"/>
        <v>0</v>
      </c>
      <c r="F274" s="192">
        <f t="shared" si="58"/>
        <v>0</v>
      </c>
      <c r="G274" s="193">
        <f t="shared" si="59"/>
        <v>0</v>
      </c>
      <c r="H274" s="194">
        <v>0</v>
      </c>
      <c r="I274" s="194">
        <v>0</v>
      </c>
      <c r="J274" s="194">
        <v>0</v>
      </c>
      <c r="K274" s="193">
        <f t="shared" si="60"/>
        <v>0</v>
      </c>
      <c r="L274" s="194">
        <v>0</v>
      </c>
      <c r="M274" s="194">
        <v>0</v>
      </c>
      <c r="N274" s="194">
        <v>0</v>
      </c>
      <c r="O274" s="193">
        <f t="shared" si="61"/>
        <v>0</v>
      </c>
      <c r="P274" s="194">
        <v>0</v>
      </c>
      <c r="Q274" s="194">
        <v>0</v>
      </c>
      <c r="R274" s="194">
        <v>0</v>
      </c>
      <c r="S274" s="193">
        <f t="shared" si="62"/>
        <v>0</v>
      </c>
      <c r="T274" s="193">
        <f t="shared" si="63"/>
        <v>0</v>
      </c>
      <c r="U274" s="193">
        <f ca="1">OFFSET('Expenditure Study'!$B$7,'Operations Support'!$C274,'Operations Support'!$B274)*$G274</f>
        <v>0</v>
      </c>
      <c r="V274" s="199">
        <f ca="1">U274*'Expenditure Study'!$B$31</f>
        <v>0</v>
      </c>
      <c r="W274" s="199">
        <f ca="1">IF(A274=10298,1.51,1)*IF($B274&lt;3,$D274*'Expenditure Study'!$B$32*OFFSET('Expenditure Study'!$B$7,'Operations Support'!$C274,'Operations Support'!$B274),0)</f>
        <v>0</v>
      </c>
      <c r="X274" s="200">
        <f ca="1">W274*'Expenditure Study'!$B$31</f>
        <v>0</v>
      </c>
      <c r="Y274" s="199">
        <f ca="1">U274*'Expenditure Study'!$B$31</f>
        <v>0</v>
      </c>
      <c r="Z274" s="200">
        <f ca="1">W274*'Expenditure Study'!$B$31</f>
        <v>0</v>
      </c>
      <c r="AA274" s="195">
        <f t="shared" ca="1" si="64"/>
        <v>0</v>
      </c>
      <c r="AB274" s="195">
        <f t="shared" ca="1" si="65"/>
        <v>0</v>
      </c>
      <c r="AD274" s="196">
        <f>IFERROR($G274/SUMIF($A:$A,$A274,$G:$G)*SUMIF(Summary!$A$166:$A$242,$A274,Summary!$P$166:$P$242),0)</f>
        <v>0</v>
      </c>
      <c r="AE274" s="197">
        <f t="shared" ca="1" si="66"/>
        <v>0</v>
      </c>
      <c r="AF274" s="196">
        <f>IFERROR(G274/SUMIF(A:A,A274,G:G)*SUMIF(Summary!$A$166:$A$242,'Operations Support'!A274,Summary!$Q$166:$Q$242),0)</f>
        <v>0</v>
      </c>
      <c r="AG274" s="196">
        <f t="shared" ca="1" si="67"/>
        <v>0</v>
      </c>
      <c r="AI274" s="196">
        <f>IFERROR($G274/SUMIF($A:$A,$A274,$G:$G)*SUMIF(Summary!$A$247:$A$283,$A274,Summary!$P$247:$P$283),0)</f>
        <v>0</v>
      </c>
      <c r="AJ274" s="196">
        <f>IFERROR($G274/SUMIF($A:$A,$A274,$G:$G)*(SUMIF(Summary!$A$247:$A$283,$A274,Summary!$L$247:$L$283)+SUMIF(Summary!$A$297:$A$333,$A274,Summary!$L$297:$L$333))-AI274,0)</f>
        <v>0</v>
      </c>
      <c r="AK274" s="196">
        <f>IFERROR($G274/SUMIF($A:$A,$A274,$G:$G)*SUMIF(Summary!$A$247:$A$283,$A274,Summary!$Q$247:$Q$283),0)</f>
        <v>0</v>
      </c>
      <c r="AL274" s="196">
        <f>IFERROR($G274/SUMIF($A:$A,$A274,$G:$G)*(SUMIF(Summary!$A$247:$A$283,$A274,Summary!$L$247:$L$283)+SUMIF(Summary!$A$297:$A$333,$A274,Summary!$L$297:$L$333))-AK274,0)</f>
        <v>0</v>
      </c>
      <c r="AM274" s="198"/>
      <c r="AN274" s="196">
        <f t="shared" ca="1" si="68"/>
        <v>0</v>
      </c>
      <c r="AO274" s="196">
        <f t="shared" ca="1" si="69"/>
        <v>0</v>
      </c>
    </row>
    <row r="275" spans="1:41">
      <c r="A275" s="189">
        <v>3565</v>
      </c>
      <c r="B275" s="190">
        <v>3</v>
      </c>
      <c r="C275" s="191" t="s">
        <v>238</v>
      </c>
      <c r="D275" s="192">
        <f t="shared" si="56"/>
        <v>882</v>
      </c>
      <c r="E275" s="192">
        <f t="shared" si="57"/>
        <v>837</v>
      </c>
      <c r="F275" s="192">
        <f t="shared" si="58"/>
        <v>0</v>
      </c>
      <c r="G275" s="193">
        <f t="shared" si="59"/>
        <v>1719</v>
      </c>
      <c r="H275" s="194">
        <v>387</v>
      </c>
      <c r="I275" s="194">
        <v>429</v>
      </c>
      <c r="J275" s="194">
        <v>0</v>
      </c>
      <c r="K275" s="193">
        <f t="shared" si="60"/>
        <v>816</v>
      </c>
      <c r="L275" s="194">
        <v>384</v>
      </c>
      <c r="M275" s="194">
        <v>408</v>
      </c>
      <c r="N275" s="194">
        <v>0</v>
      </c>
      <c r="O275" s="193">
        <f t="shared" si="61"/>
        <v>792</v>
      </c>
      <c r="P275" s="194">
        <v>111</v>
      </c>
      <c r="Q275" s="194">
        <v>0</v>
      </c>
      <c r="R275" s="194">
        <v>0</v>
      </c>
      <c r="S275" s="193">
        <f t="shared" si="62"/>
        <v>111</v>
      </c>
      <c r="T275" s="193">
        <f t="shared" si="63"/>
        <v>71.625</v>
      </c>
      <c r="U275" s="193">
        <f ca="1">OFFSET('Expenditure Study'!$B$7,'Operations Support'!$C275,'Operations Support'!$B275)*$G275</f>
        <v>10038.959999999999</v>
      </c>
      <c r="V275" s="199">
        <f ca="1">U275*'Expenditure Study'!$B$31</f>
        <v>593133.68872396799</v>
      </c>
      <c r="W275" s="199">
        <f ca="1">IF(A275=10298,1.51,1)*IF($B275&lt;3,$D275*'Expenditure Study'!$B$32*OFFSET('Expenditure Study'!$B$7,'Operations Support'!$C275,'Operations Support'!$B275),0)</f>
        <v>0</v>
      </c>
      <c r="X275" s="200">
        <f ca="1">W275*'Expenditure Study'!$B$31</f>
        <v>0</v>
      </c>
      <c r="Y275" s="199">
        <f ca="1">U275*'Expenditure Study'!$B$31</f>
        <v>593133.68872396799</v>
      </c>
      <c r="Z275" s="200">
        <f ca="1">W275*'Expenditure Study'!$B$31</f>
        <v>0</v>
      </c>
      <c r="AA275" s="195">
        <f t="shared" ca="1" si="64"/>
        <v>593133.68872396799</v>
      </c>
      <c r="AB275" s="195">
        <f t="shared" ca="1" si="65"/>
        <v>593133.68872396799</v>
      </c>
      <c r="AD275" s="196">
        <f>IFERROR($G275/SUMIF($A:$A,$A275,$G:$G)*SUMIF(Summary!$A$166:$A$242,$A275,Summary!$P$166:$P$242),0)</f>
        <v>21556.061157896151</v>
      </c>
      <c r="AE275" s="197">
        <f t="shared" ca="1" si="66"/>
        <v>571577.62756607181</v>
      </c>
      <c r="AF275" s="196">
        <f>IFERROR(G275/SUMIF(A:A,A275,G:G)*SUMIF(Summary!$A$166:$A$242,'Operations Support'!A275,Summary!$Q$166:$Q$242),0)</f>
        <v>21602.068306407793</v>
      </c>
      <c r="AG275" s="196">
        <f t="shared" ca="1" si="67"/>
        <v>571531.62041756022</v>
      </c>
      <c r="AI275" s="196">
        <f>IFERROR($G275/SUMIF($A:$A,$A275,$G:$G)*SUMIF(Summary!$A$247:$A$283,$A275,Summary!$P$247:$P$283),0)</f>
        <v>3931.2876296903023</v>
      </c>
      <c r="AJ275" s="196">
        <f>IFERROR($G275/SUMIF($A:$A,$A275,$G:$G)*(SUMIF(Summary!$A$247:$A$283,$A275,Summary!$L$247:$L$283)+SUMIF(Summary!$A$297:$A$333,$A275,Summary!$L$297:$L$333))-AI275,0)</f>
        <v>28087.788514888111</v>
      </c>
      <c r="AK275" s="196">
        <f>IFERROR($G275/SUMIF($A:$A,$A275,$G:$G)*SUMIF(Summary!$A$247:$A$283,$A275,Summary!$Q$247:$Q$283),0)</f>
        <v>3939.6781854832338</v>
      </c>
      <c r="AL275" s="196">
        <f>IFERROR($G275/SUMIF($A:$A,$A275,$G:$G)*(SUMIF(Summary!$A$247:$A$283,$A275,Summary!$L$247:$L$283)+SUMIF(Summary!$A$297:$A$333,$A275,Summary!$L$297:$L$333))-AK275,0)</f>
        <v>28079.397959095179</v>
      </c>
      <c r="AM275" s="198"/>
      <c r="AN275" s="196">
        <f t="shared" ca="1" si="68"/>
        <v>599665.41608095996</v>
      </c>
      <c r="AO275" s="196">
        <f t="shared" ca="1" si="69"/>
        <v>599611.01837665541</v>
      </c>
    </row>
    <row r="276" spans="1:41">
      <c r="A276" s="189">
        <v>3565</v>
      </c>
      <c r="B276" s="190">
        <v>3</v>
      </c>
      <c r="C276" s="191" t="s">
        <v>239</v>
      </c>
      <c r="D276" s="192">
        <f t="shared" si="56"/>
        <v>77</v>
      </c>
      <c r="E276" s="192">
        <f t="shared" si="57"/>
        <v>134</v>
      </c>
      <c r="F276" s="192">
        <f t="shared" si="58"/>
        <v>0</v>
      </c>
      <c r="G276" s="193">
        <f t="shared" si="59"/>
        <v>211</v>
      </c>
      <c r="H276" s="194">
        <v>30</v>
      </c>
      <c r="I276" s="194">
        <v>30</v>
      </c>
      <c r="J276" s="194">
        <v>0</v>
      </c>
      <c r="K276" s="193">
        <f t="shared" si="60"/>
        <v>60</v>
      </c>
      <c r="L276" s="194">
        <v>33</v>
      </c>
      <c r="M276" s="194">
        <v>34</v>
      </c>
      <c r="N276" s="194">
        <v>0</v>
      </c>
      <c r="O276" s="193">
        <f t="shared" si="61"/>
        <v>67</v>
      </c>
      <c r="P276" s="194">
        <v>14</v>
      </c>
      <c r="Q276" s="194">
        <v>70</v>
      </c>
      <c r="R276" s="194">
        <v>0</v>
      </c>
      <c r="S276" s="193">
        <f t="shared" si="62"/>
        <v>84</v>
      </c>
      <c r="T276" s="193">
        <f t="shared" si="63"/>
        <v>8.7916666666666661</v>
      </c>
      <c r="U276" s="193">
        <f ca="1">OFFSET('Expenditure Study'!$B$7,'Operations Support'!$C276,'Operations Support'!$B276)*$G276</f>
        <v>573.92000000000007</v>
      </c>
      <c r="V276" s="199">
        <f ca="1">U276*'Expenditure Study'!$B$31</f>
        <v>33909.019124736005</v>
      </c>
      <c r="W276" s="199">
        <f ca="1">IF(A276=10298,1.51,1)*IF($B276&lt;3,$D276*'Expenditure Study'!$B$32*OFFSET('Expenditure Study'!$B$7,'Operations Support'!$C276,'Operations Support'!$B276),0)</f>
        <v>0</v>
      </c>
      <c r="X276" s="200">
        <f ca="1">W276*'Expenditure Study'!$B$31</f>
        <v>0</v>
      </c>
      <c r="Y276" s="199">
        <f ca="1">U276*'Expenditure Study'!$B$31</f>
        <v>33909.019124736005</v>
      </c>
      <c r="Z276" s="200">
        <f ca="1">W276*'Expenditure Study'!$B$31</f>
        <v>0</v>
      </c>
      <c r="AA276" s="195">
        <f t="shared" ca="1" si="64"/>
        <v>33909.019124736005</v>
      </c>
      <c r="AB276" s="195">
        <f t="shared" ca="1" si="65"/>
        <v>33909.019124736005</v>
      </c>
      <c r="AD276" s="196">
        <f>IFERROR($G276/SUMIF($A:$A,$A276,$G:$G)*SUMIF(Summary!$A$166:$A$242,$A276,Summary!$P$166:$P$242),0)</f>
        <v>2645.9155929703829</v>
      </c>
      <c r="AE276" s="197">
        <f t="shared" ca="1" si="66"/>
        <v>31263.103531765621</v>
      </c>
      <c r="AF276" s="196">
        <f>IFERROR(G276/SUMIF(A:A,A276,G:G)*SUMIF(Summary!$A$166:$A$242,'Operations Support'!A276,Summary!$Q$166:$Q$242),0)</f>
        <v>2651.5627764118935</v>
      </c>
      <c r="AG276" s="196">
        <f t="shared" ca="1" si="67"/>
        <v>31257.456348324111</v>
      </c>
      <c r="AI276" s="196">
        <f>IFERROR($G276/SUMIF($A:$A,$A276,$G:$G)*SUMIF(Summary!$A$247:$A$283,$A276,Summary!$P$247:$P$283),0)</f>
        <v>482.54897607018842</v>
      </c>
      <c r="AJ276" s="196">
        <f>IFERROR($G276/SUMIF($A:$A,$A276,$G:$G)*(SUMIF(Summary!$A$247:$A$283,$A276,Summary!$L$247:$L$283)+SUMIF(Summary!$A$297:$A$333,$A276,Summary!$L$297:$L$333))-AI276,0)</f>
        <v>3447.6575780345497</v>
      </c>
      <c r="AK276" s="196">
        <f>IFERROR($G276/SUMIF($A:$A,$A276,$G:$G)*SUMIF(Summary!$A$247:$A$283,$A276,Summary!$Q$247:$Q$283),0)</f>
        <v>483.57888140602813</v>
      </c>
      <c r="AL276" s="196">
        <f>IFERROR($G276/SUMIF($A:$A,$A276,$G:$G)*(SUMIF(Summary!$A$247:$A$283,$A276,Summary!$L$247:$L$283)+SUMIF(Summary!$A$297:$A$333,$A276,Summary!$L$297:$L$333))-AK276,0)</f>
        <v>3446.6276726987098</v>
      </c>
      <c r="AM276" s="198"/>
      <c r="AN276" s="196">
        <f t="shared" ca="1" si="68"/>
        <v>34710.761109800173</v>
      </c>
      <c r="AO276" s="196">
        <f t="shared" ca="1" si="69"/>
        <v>34704.08402102282</v>
      </c>
    </row>
    <row r="277" spans="1:41">
      <c r="A277" s="189">
        <v>3565</v>
      </c>
      <c r="B277" s="190">
        <v>3</v>
      </c>
      <c r="C277" s="191" t="s">
        <v>240</v>
      </c>
      <c r="D277" s="192">
        <f t="shared" si="56"/>
        <v>0</v>
      </c>
      <c r="E277" s="192">
        <f t="shared" si="57"/>
        <v>0</v>
      </c>
      <c r="F277" s="192">
        <f t="shared" si="58"/>
        <v>0</v>
      </c>
      <c r="G277" s="193">
        <f t="shared" si="59"/>
        <v>0</v>
      </c>
      <c r="H277" s="194">
        <v>0</v>
      </c>
      <c r="I277" s="194">
        <v>0</v>
      </c>
      <c r="J277" s="194">
        <v>0</v>
      </c>
      <c r="K277" s="193">
        <f t="shared" si="60"/>
        <v>0</v>
      </c>
      <c r="L277" s="194">
        <v>0</v>
      </c>
      <c r="M277" s="194">
        <v>0</v>
      </c>
      <c r="N277" s="194">
        <v>0</v>
      </c>
      <c r="O277" s="193">
        <f t="shared" si="61"/>
        <v>0</v>
      </c>
      <c r="P277" s="194">
        <v>0</v>
      </c>
      <c r="Q277" s="194">
        <v>0</v>
      </c>
      <c r="R277" s="194">
        <v>0</v>
      </c>
      <c r="S277" s="193">
        <f t="shared" si="62"/>
        <v>0</v>
      </c>
      <c r="T277" s="193">
        <f t="shared" si="63"/>
        <v>0</v>
      </c>
      <c r="U277" s="193">
        <f ca="1">OFFSET('Expenditure Study'!$B$7,'Operations Support'!$C277,'Operations Support'!$B277)*$G277</f>
        <v>0</v>
      </c>
      <c r="V277" s="199">
        <f ca="1">U277*'Expenditure Study'!$B$31</f>
        <v>0</v>
      </c>
      <c r="W277" s="199">
        <f ca="1">IF(A277=10298,1.51,1)*IF($B277&lt;3,$D277*'Expenditure Study'!$B$32*OFFSET('Expenditure Study'!$B$7,'Operations Support'!$C277,'Operations Support'!$B277),0)</f>
        <v>0</v>
      </c>
      <c r="X277" s="200">
        <f ca="1">W277*'Expenditure Study'!$B$31</f>
        <v>0</v>
      </c>
      <c r="Y277" s="199">
        <f ca="1">U277*'Expenditure Study'!$B$31</f>
        <v>0</v>
      </c>
      <c r="Z277" s="200">
        <f ca="1">W277*'Expenditure Study'!$B$31</f>
        <v>0</v>
      </c>
      <c r="AA277" s="195">
        <f t="shared" ca="1" si="64"/>
        <v>0</v>
      </c>
      <c r="AB277" s="195">
        <f t="shared" ca="1" si="65"/>
        <v>0</v>
      </c>
      <c r="AD277" s="196">
        <f>IFERROR($G277/SUMIF($A:$A,$A277,$G:$G)*SUMIF(Summary!$A$166:$A$242,$A277,Summary!$P$166:$P$242),0)</f>
        <v>0</v>
      </c>
      <c r="AE277" s="197">
        <f t="shared" ca="1" si="66"/>
        <v>0</v>
      </c>
      <c r="AF277" s="196">
        <f>IFERROR(G277/SUMIF(A:A,A277,G:G)*SUMIF(Summary!$A$166:$A$242,'Operations Support'!A277,Summary!$Q$166:$Q$242),0)</f>
        <v>0</v>
      </c>
      <c r="AG277" s="196">
        <f t="shared" ca="1" si="67"/>
        <v>0</v>
      </c>
      <c r="AI277" s="196">
        <f>IFERROR($G277/SUMIF($A:$A,$A277,$G:$G)*SUMIF(Summary!$A$247:$A$283,$A277,Summary!$P$247:$P$283),0)</f>
        <v>0</v>
      </c>
      <c r="AJ277" s="196">
        <f>IFERROR($G277/SUMIF($A:$A,$A277,$G:$G)*(SUMIF(Summary!$A$247:$A$283,$A277,Summary!$L$247:$L$283)+SUMIF(Summary!$A$297:$A$333,$A277,Summary!$L$297:$L$333))-AI277,0)</f>
        <v>0</v>
      </c>
      <c r="AK277" s="196">
        <f>IFERROR($G277/SUMIF($A:$A,$A277,$G:$G)*SUMIF(Summary!$A$247:$A$283,$A277,Summary!$Q$247:$Q$283),0)</f>
        <v>0</v>
      </c>
      <c r="AL277" s="196">
        <f>IFERROR($G277/SUMIF($A:$A,$A277,$G:$G)*(SUMIF(Summary!$A$247:$A$283,$A277,Summary!$L$247:$L$283)+SUMIF(Summary!$A$297:$A$333,$A277,Summary!$L$297:$L$333))-AK277,0)</f>
        <v>0</v>
      </c>
      <c r="AM277" s="198"/>
      <c r="AN277" s="196">
        <f t="shared" ca="1" si="68"/>
        <v>0</v>
      </c>
      <c r="AO277" s="196">
        <f t="shared" ca="1" si="69"/>
        <v>0</v>
      </c>
    </row>
    <row r="278" spans="1:41">
      <c r="A278" s="189">
        <v>3565</v>
      </c>
      <c r="B278" s="190">
        <v>4</v>
      </c>
      <c r="C278" s="191" t="s">
        <v>220</v>
      </c>
      <c r="D278" s="192">
        <f t="shared" si="56"/>
        <v>1260</v>
      </c>
      <c r="E278" s="192">
        <f t="shared" si="57"/>
        <v>129</v>
      </c>
      <c r="F278" s="192">
        <f t="shared" si="58"/>
        <v>13</v>
      </c>
      <c r="G278" s="193">
        <f t="shared" si="59"/>
        <v>1376</v>
      </c>
      <c r="H278" s="194">
        <v>297</v>
      </c>
      <c r="I278" s="194">
        <v>48</v>
      </c>
      <c r="J278" s="194">
        <v>3</v>
      </c>
      <c r="K278" s="193">
        <f t="shared" si="60"/>
        <v>342</v>
      </c>
      <c r="L278" s="194">
        <v>273</v>
      </c>
      <c r="M278" s="194">
        <v>69</v>
      </c>
      <c r="N278" s="194">
        <v>6</v>
      </c>
      <c r="O278" s="193">
        <f t="shared" si="61"/>
        <v>336</v>
      </c>
      <c r="P278" s="194">
        <v>690</v>
      </c>
      <c r="Q278" s="194">
        <v>12</v>
      </c>
      <c r="R278" s="194">
        <v>4</v>
      </c>
      <c r="S278" s="193">
        <f t="shared" si="62"/>
        <v>698</v>
      </c>
      <c r="T278" s="193">
        <f t="shared" si="63"/>
        <v>76.444444444444443</v>
      </c>
      <c r="U278" s="193">
        <f ca="1">OFFSET('Expenditure Study'!$B$7,'Operations Support'!$C278,'Operations Support'!$B278)*$G278</f>
        <v>20268.48</v>
      </c>
      <c r="V278" s="199">
        <f ca="1">U278*'Expenditure Study'!$B$31</f>
        <v>1197526.268381184</v>
      </c>
      <c r="W278" s="199">
        <f ca="1">IF(A278=10298,1.51,1)*IF($B278&lt;3,$D278*'Expenditure Study'!$B$32*OFFSET('Expenditure Study'!$B$7,'Operations Support'!$C278,'Operations Support'!$B278),0)</f>
        <v>0</v>
      </c>
      <c r="X278" s="200">
        <f ca="1">W278*'Expenditure Study'!$B$31</f>
        <v>0</v>
      </c>
      <c r="Y278" s="199">
        <f ca="1">U278*'Expenditure Study'!$B$31</f>
        <v>1197526.268381184</v>
      </c>
      <c r="Z278" s="200">
        <f ca="1">W278*'Expenditure Study'!$B$31</f>
        <v>0</v>
      </c>
      <c r="AA278" s="195">
        <f t="shared" ca="1" si="64"/>
        <v>1197526.268381184</v>
      </c>
      <c r="AB278" s="195">
        <f t="shared" ca="1" si="65"/>
        <v>1197526.268381184</v>
      </c>
      <c r="AD278" s="196">
        <f>IFERROR($G278/SUMIF($A:$A,$A278,$G:$G)*SUMIF(Summary!$A$166:$A$242,$A278,Summary!$P$166:$P$242),0)</f>
        <v>17254.880833778418</v>
      </c>
      <c r="AE278" s="197">
        <f t="shared" ca="1" si="66"/>
        <v>1180271.3875474054</v>
      </c>
      <c r="AF278" s="196">
        <f>IFERROR(G278/SUMIF(A:A,A278,G:G)*SUMIF(Summary!$A$166:$A$242,'Operations Support'!A278,Summary!$Q$166:$Q$242),0)</f>
        <v>17291.707963709789</v>
      </c>
      <c r="AG278" s="196">
        <f t="shared" ca="1" si="67"/>
        <v>1180234.5604174742</v>
      </c>
      <c r="AI278" s="196">
        <f>IFERROR($G278/SUMIF($A:$A,$A278,$G:$G)*SUMIF(Summary!$A$247:$A$283,$A278,Summary!$P$247:$P$283),0)</f>
        <v>3146.8596733297595</v>
      </c>
      <c r="AJ278" s="196">
        <f>IFERROR($G278/SUMIF($A:$A,$A278,$G:$G)*(SUMIF(Summary!$A$247:$A$283,$A278,Summary!$L$247:$L$283)+SUMIF(Summary!$A$297:$A$333,$A278,Summary!$L$297:$L$333))-AI278,0)</f>
        <v>22483.302499410143</v>
      </c>
      <c r="AK278" s="196">
        <f>IFERROR($G278/SUMIF($A:$A,$A278,$G:$G)*SUMIF(Summary!$A$247:$A$283,$A278,Summary!$Q$247:$Q$283),0)</f>
        <v>3153.5760228184581</v>
      </c>
      <c r="AL278" s="196">
        <f>IFERROR($G278/SUMIF($A:$A,$A278,$G:$G)*(SUMIF(Summary!$A$247:$A$283,$A278,Summary!$L$247:$L$283)+SUMIF(Summary!$A$297:$A$333,$A278,Summary!$L$297:$L$333))-AK278,0)</f>
        <v>22476.586149921444</v>
      </c>
      <c r="AM278" s="198"/>
      <c r="AN278" s="196">
        <f t="shared" ca="1" si="68"/>
        <v>1202754.6900468157</v>
      </c>
      <c r="AO278" s="196">
        <f t="shared" ca="1" si="69"/>
        <v>1202711.1465673957</v>
      </c>
    </row>
    <row r="279" spans="1:41">
      <c r="A279" s="189">
        <v>3565</v>
      </c>
      <c r="B279" s="190">
        <v>4</v>
      </c>
      <c r="C279" s="191" t="s">
        <v>221</v>
      </c>
      <c r="D279" s="192">
        <f t="shared" si="56"/>
        <v>0</v>
      </c>
      <c r="E279" s="192">
        <f t="shared" si="57"/>
        <v>0</v>
      </c>
      <c r="F279" s="192">
        <f t="shared" si="58"/>
        <v>0</v>
      </c>
      <c r="G279" s="193">
        <f t="shared" si="59"/>
        <v>0</v>
      </c>
      <c r="H279" s="194">
        <v>0</v>
      </c>
      <c r="I279" s="194">
        <v>0</v>
      </c>
      <c r="J279" s="194">
        <v>0</v>
      </c>
      <c r="K279" s="193">
        <f t="shared" si="60"/>
        <v>0</v>
      </c>
      <c r="L279" s="194">
        <v>0</v>
      </c>
      <c r="M279" s="194">
        <v>0</v>
      </c>
      <c r="N279" s="194">
        <v>0</v>
      </c>
      <c r="O279" s="193">
        <f t="shared" si="61"/>
        <v>0</v>
      </c>
      <c r="P279" s="194">
        <v>0</v>
      </c>
      <c r="Q279" s="194">
        <v>0</v>
      </c>
      <c r="R279" s="194">
        <v>0</v>
      </c>
      <c r="S279" s="193">
        <f t="shared" si="62"/>
        <v>0</v>
      </c>
      <c r="T279" s="193">
        <f t="shared" si="63"/>
        <v>0</v>
      </c>
      <c r="U279" s="193">
        <f ca="1">OFFSET('Expenditure Study'!$B$7,'Operations Support'!$C279,'Operations Support'!$B279)*$G279</f>
        <v>0</v>
      </c>
      <c r="V279" s="199">
        <f ca="1">U279*'Expenditure Study'!$B$31</f>
        <v>0</v>
      </c>
      <c r="W279" s="199">
        <f ca="1">IF(A279=10298,1.51,1)*IF($B279&lt;3,$D279*'Expenditure Study'!$B$32*OFFSET('Expenditure Study'!$B$7,'Operations Support'!$C279,'Operations Support'!$B279),0)</f>
        <v>0</v>
      </c>
      <c r="X279" s="200">
        <f ca="1">W279*'Expenditure Study'!$B$31</f>
        <v>0</v>
      </c>
      <c r="Y279" s="199">
        <f ca="1">U279*'Expenditure Study'!$B$31</f>
        <v>0</v>
      </c>
      <c r="Z279" s="200">
        <f ca="1">W279*'Expenditure Study'!$B$31</f>
        <v>0</v>
      </c>
      <c r="AA279" s="195">
        <f t="shared" ca="1" si="64"/>
        <v>0</v>
      </c>
      <c r="AB279" s="195">
        <f t="shared" ca="1" si="65"/>
        <v>0</v>
      </c>
      <c r="AD279" s="196">
        <f>IFERROR($G279/SUMIF($A:$A,$A279,$G:$G)*SUMIF(Summary!$A$166:$A$242,$A279,Summary!$P$166:$P$242),0)</f>
        <v>0</v>
      </c>
      <c r="AE279" s="197">
        <f t="shared" ca="1" si="66"/>
        <v>0</v>
      </c>
      <c r="AF279" s="196">
        <f>IFERROR(G279/SUMIF(A:A,A279,G:G)*SUMIF(Summary!$A$166:$A$242,'Operations Support'!A279,Summary!$Q$166:$Q$242),0)</f>
        <v>0</v>
      </c>
      <c r="AG279" s="196">
        <f t="shared" ca="1" si="67"/>
        <v>0</v>
      </c>
      <c r="AI279" s="196">
        <f>IFERROR($G279/SUMIF($A:$A,$A279,$G:$G)*SUMIF(Summary!$A$247:$A$283,$A279,Summary!$P$247:$P$283),0)</f>
        <v>0</v>
      </c>
      <c r="AJ279" s="196">
        <f>IFERROR($G279/SUMIF($A:$A,$A279,$G:$G)*(SUMIF(Summary!$A$247:$A$283,$A279,Summary!$L$247:$L$283)+SUMIF(Summary!$A$297:$A$333,$A279,Summary!$L$297:$L$333))-AI279,0)</f>
        <v>0</v>
      </c>
      <c r="AK279" s="196">
        <f>IFERROR($G279/SUMIF($A:$A,$A279,$G:$G)*SUMIF(Summary!$A$247:$A$283,$A279,Summary!$Q$247:$Q$283),0)</f>
        <v>0</v>
      </c>
      <c r="AL279" s="196">
        <f>IFERROR($G279/SUMIF($A:$A,$A279,$G:$G)*(SUMIF(Summary!$A$247:$A$283,$A279,Summary!$L$247:$L$283)+SUMIF(Summary!$A$297:$A$333,$A279,Summary!$L$297:$L$333))-AK279,0)</f>
        <v>0</v>
      </c>
      <c r="AM279" s="198"/>
      <c r="AN279" s="196">
        <f t="shared" ca="1" si="68"/>
        <v>0</v>
      </c>
      <c r="AO279" s="196">
        <f t="shared" ca="1" si="69"/>
        <v>0</v>
      </c>
    </row>
    <row r="280" spans="1:41">
      <c r="A280" s="189">
        <v>3565</v>
      </c>
      <c r="B280" s="190">
        <v>4</v>
      </c>
      <c r="C280" s="191" t="s">
        <v>222</v>
      </c>
      <c r="D280" s="192">
        <f t="shared" si="56"/>
        <v>3</v>
      </c>
      <c r="E280" s="192">
        <f t="shared" si="57"/>
        <v>0</v>
      </c>
      <c r="F280" s="192">
        <f t="shared" si="58"/>
        <v>0</v>
      </c>
      <c r="G280" s="193">
        <f t="shared" si="59"/>
        <v>3</v>
      </c>
      <c r="H280" s="194">
        <v>0</v>
      </c>
      <c r="I280" s="194">
        <v>0</v>
      </c>
      <c r="J280" s="194">
        <v>0</v>
      </c>
      <c r="K280" s="193">
        <f t="shared" si="60"/>
        <v>0</v>
      </c>
      <c r="L280" s="194">
        <v>3</v>
      </c>
      <c r="M280" s="194">
        <v>0</v>
      </c>
      <c r="N280" s="194">
        <v>0</v>
      </c>
      <c r="O280" s="193">
        <f t="shared" si="61"/>
        <v>3</v>
      </c>
      <c r="P280" s="194">
        <v>0</v>
      </c>
      <c r="Q280" s="194">
        <v>0</v>
      </c>
      <c r="R280" s="194">
        <v>0</v>
      </c>
      <c r="S280" s="193">
        <f t="shared" si="62"/>
        <v>0</v>
      </c>
      <c r="T280" s="193">
        <f t="shared" si="63"/>
        <v>0.16666666666666666</v>
      </c>
      <c r="U280" s="193">
        <f ca="1">OFFSET('Expenditure Study'!$B$7,'Operations Support'!$C280,'Operations Support'!$B280)*$G280</f>
        <v>30.299999999999997</v>
      </c>
      <c r="V280" s="199">
        <f ca="1">U280*'Expenditure Study'!$B$31</f>
        <v>1790.2203782399999</v>
      </c>
      <c r="W280" s="199">
        <f ca="1">IF(A280=10298,1.51,1)*IF($B280&lt;3,$D280*'Expenditure Study'!$B$32*OFFSET('Expenditure Study'!$B$7,'Operations Support'!$C280,'Operations Support'!$B280),0)</f>
        <v>0</v>
      </c>
      <c r="X280" s="200">
        <f ca="1">W280*'Expenditure Study'!$B$31</f>
        <v>0</v>
      </c>
      <c r="Y280" s="199">
        <f ca="1">U280*'Expenditure Study'!$B$31</f>
        <v>1790.2203782399999</v>
      </c>
      <c r="Z280" s="200">
        <f ca="1">W280*'Expenditure Study'!$B$31</f>
        <v>0</v>
      </c>
      <c r="AA280" s="195">
        <f t="shared" ca="1" si="64"/>
        <v>1790.2203782399999</v>
      </c>
      <c r="AB280" s="195">
        <f t="shared" ca="1" si="65"/>
        <v>1790.2203782399999</v>
      </c>
      <c r="AD280" s="196">
        <f>IFERROR($G280/SUMIF($A:$A,$A280,$G:$G)*SUMIF(Summary!$A$166:$A$242,$A280,Summary!$P$166:$P$242),0)</f>
        <v>37.619652980621552</v>
      </c>
      <c r="AE280" s="197">
        <f t="shared" ca="1" si="66"/>
        <v>1752.6007252593784</v>
      </c>
      <c r="AF280" s="196">
        <f>IFERROR(G280/SUMIF(A:A,A280,G:G)*SUMIF(Summary!$A$166:$A$242,'Operations Support'!A280,Summary!$Q$166:$Q$242),0)</f>
        <v>37.699944688320763</v>
      </c>
      <c r="AG280" s="196">
        <f t="shared" ca="1" si="67"/>
        <v>1752.5204335516792</v>
      </c>
      <c r="AI280" s="196">
        <f>IFERROR($G280/SUMIF($A:$A,$A280,$G:$G)*SUMIF(Summary!$A$247:$A$283,$A280,Summary!$P$247:$P$283),0)</f>
        <v>6.8608859156898827</v>
      </c>
      <c r="AJ280" s="196">
        <f>IFERROR($G280/SUMIF($A:$A,$A280,$G:$G)*(SUMIF(Summary!$A$247:$A$283,$A280,Summary!$L$247:$L$283)+SUMIF(Summary!$A$297:$A$333,$A280,Summary!$L$297:$L$333))-AI280,0)</f>
        <v>49.018828123713973</v>
      </c>
      <c r="AK280" s="196">
        <f>IFERROR($G280/SUMIF($A:$A,$A280,$G:$G)*SUMIF(Summary!$A$247:$A$283,$A280,Summary!$Q$247:$Q$283),0)</f>
        <v>6.8755291195169876</v>
      </c>
      <c r="AL280" s="196">
        <f>IFERROR($G280/SUMIF($A:$A,$A280,$G:$G)*(SUMIF(Summary!$A$247:$A$283,$A280,Summary!$L$247:$L$283)+SUMIF(Summary!$A$297:$A$333,$A280,Summary!$L$297:$L$333))-AK280,0)</f>
        <v>49.004184919886868</v>
      </c>
      <c r="AM280" s="198"/>
      <c r="AN280" s="196">
        <f t="shared" ca="1" si="68"/>
        <v>1801.6195533830924</v>
      </c>
      <c r="AO280" s="196">
        <f t="shared" ca="1" si="69"/>
        <v>1801.5246184715661</v>
      </c>
    </row>
    <row r="281" spans="1:41">
      <c r="A281" s="189">
        <v>3565</v>
      </c>
      <c r="B281" s="190">
        <v>4</v>
      </c>
      <c r="C281" s="191" t="s">
        <v>223</v>
      </c>
      <c r="D281" s="192">
        <f t="shared" si="56"/>
        <v>5442</v>
      </c>
      <c r="E281" s="192">
        <f t="shared" si="57"/>
        <v>468</v>
      </c>
      <c r="F281" s="192">
        <f t="shared" si="58"/>
        <v>657</v>
      </c>
      <c r="G281" s="193">
        <f t="shared" si="59"/>
        <v>5253</v>
      </c>
      <c r="H281" s="194">
        <v>1536</v>
      </c>
      <c r="I281" s="194">
        <v>93</v>
      </c>
      <c r="J281" s="194">
        <v>177</v>
      </c>
      <c r="K281" s="193">
        <f t="shared" si="60"/>
        <v>1452</v>
      </c>
      <c r="L281" s="194">
        <v>1347</v>
      </c>
      <c r="M281" s="194">
        <v>204</v>
      </c>
      <c r="N281" s="194">
        <v>174</v>
      </c>
      <c r="O281" s="193">
        <f t="shared" si="61"/>
        <v>1377</v>
      </c>
      <c r="P281" s="194">
        <v>2559</v>
      </c>
      <c r="Q281" s="194">
        <v>171</v>
      </c>
      <c r="R281" s="194">
        <v>306</v>
      </c>
      <c r="S281" s="193">
        <f t="shared" si="62"/>
        <v>2424</v>
      </c>
      <c r="T281" s="193">
        <f t="shared" si="63"/>
        <v>291.83333333333331</v>
      </c>
      <c r="U281" s="193">
        <f ca="1">OFFSET('Expenditure Study'!$B$7,'Operations Support'!$C281,'Operations Support'!$B281)*$G281</f>
        <v>41078.46</v>
      </c>
      <c r="V281" s="199">
        <f ca="1">U281*'Expenditure Study'!$B$31</f>
        <v>2427046.0791655681</v>
      </c>
      <c r="W281" s="199">
        <f ca="1">IF(A281=10298,1.51,1)*IF($B281&lt;3,$D281*'Expenditure Study'!$B$32*OFFSET('Expenditure Study'!$B$7,'Operations Support'!$C281,'Operations Support'!$B281),0)</f>
        <v>0</v>
      </c>
      <c r="X281" s="200">
        <f ca="1">W281*'Expenditure Study'!$B$31</f>
        <v>0</v>
      </c>
      <c r="Y281" s="199">
        <f ca="1">U281*'Expenditure Study'!$B$31</f>
        <v>2427046.0791655681</v>
      </c>
      <c r="Z281" s="200">
        <f ca="1">W281*'Expenditure Study'!$B$31</f>
        <v>0</v>
      </c>
      <c r="AA281" s="195">
        <f t="shared" ca="1" si="64"/>
        <v>2427046.0791655681</v>
      </c>
      <c r="AB281" s="195">
        <f t="shared" ca="1" si="65"/>
        <v>2427046.0791655681</v>
      </c>
      <c r="AD281" s="196">
        <f>IFERROR($G281/SUMIF($A:$A,$A281,$G:$G)*SUMIF(Summary!$A$166:$A$242,$A281,Summary!$P$166:$P$242),0)</f>
        <v>65872.012369068339</v>
      </c>
      <c r="AE281" s="197">
        <f t="shared" ca="1" si="66"/>
        <v>2361174.0667964998</v>
      </c>
      <c r="AF281" s="196">
        <f>IFERROR(G281/SUMIF(A:A,A281,G:G)*SUMIF(Summary!$A$166:$A$242,'Operations Support'!A281,Summary!$Q$166:$Q$242),0)</f>
        <v>66012.60314924964</v>
      </c>
      <c r="AG281" s="196">
        <f t="shared" ca="1" si="67"/>
        <v>2361033.4760163184</v>
      </c>
      <c r="AI281" s="196">
        <f>IFERROR($G281/SUMIF($A:$A,$A281,$G:$G)*SUMIF(Summary!$A$247:$A$283,$A281,Summary!$P$247:$P$283),0)</f>
        <v>12013.411238372984</v>
      </c>
      <c r="AJ281" s="196">
        <f>IFERROR($G281/SUMIF($A:$A,$A281,$G:$G)*(SUMIF(Summary!$A$247:$A$283,$A281,Summary!$L$247:$L$283)+SUMIF(Summary!$A$297:$A$333,$A281,Summary!$L$297:$L$333))-AI281,0)</f>
        <v>85831.968044623165</v>
      </c>
      <c r="AK281" s="196">
        <f>IFERROR($G281/SUMIF($A:$A,$A281,$G:$G)*SUMIF(Summary!$A$247:$A$283,$A281,Summary!$Q$247:$Q$283),0)</f>
        <v>12039.051488274245</v>
      </c>
      <c r="AL281" s="196">
        <f>IFERROR($G281/SUMIF($A:$A,$A281,$G:$G)*(SUMIF(Summary!$A$247:$A$283,$A281,Summary!$L$247:$L$283)+SUMIF(Summary!$A$297:$A$333,$A281,Summary!$L$297:$L$333))-AK281,0)</f>
        <v>85806.327794721903</v>
      </c>
      <c r="AM281" s="198"/>
      <c r="AN281" s="196">
        <f t="shared" ca="1" si="68"/>
        <v>2447006.034841123</v>
      </c>
      <c r="AO281" s="196">
        <f t="shared" ca="1" si="69"/>
        <v>2446839.8038110402</v>
      </c>
    </row>
    <row r="282" spans="1:41">
      <c r="A282" s="189">
        <v>3565</v>
      </c>
      <c r="B282" s="190">
        <v>4</v>
      </c>
      <c r="C282" s="191" t="s">
        <v>224</v>
      </c>
      <c r="D282" s="192">
        <f t="shared" si="56"/>
        <v>0</v>
      </c>
      <c r="E282" s="192">
        <f t="shared" si="57"/>
        <v>0</v>
      </c>
      <c r="F282" s="192">
        <f t="shared" si="58"/>
        <v>0</v>
      </c>
      <c r="G282" s="193">
        <f t="shared" si="59"/>
        <v>0</v>
      </c>
      <c r="H282" s="194">
        <v>0</v>
      </c>
      <c r="I282" s="194">
        <v>0</v>
      </c>
      <c r="J282" s="194">
        <v>0</v>
      </c>
      <c r="K282" s="193">
        <f t="shared" si="60"/>
        <v>0</v>
      </c>
      <c r="L282" s="194">
        <v>0</v>
      </c>
      <c r="M282" s="194">
        <v>0</v>
      </c>
      <c r="N282" s="194">
        <v>0</v>
      </c>
      <c r="O282" s="193">
        <f t="shared" si="61"/>
        <v>0</v>
      </c>
      <c r="P282" s="194">
        <v>0</v>
      </c>
      <c r="Q282" s="194">
        <v>0</v>
      </c>
      <c r="R282" s="194">
        <v>0</v>
      </c>
      <c r="S282" s="193">
        <f t="shared" si="62"/>
        <v>0</v>
      </c>
      <c r="T282" s="193">
        <f t="shared" si="63"/>
        <v>0</v>
      </c>
      <c r="U282" s="193">
        <f ca="1">OFFSET('Expenditure Study'!$B$7,'Operations Support'!$C282,'Operations Support'!$B282)*$G282</f>
        <v>0</v>
      </c>
      <c r="V282" s="199">
        <f ca="1">U282*'Expenditure Study'!$B$31</f>
        <v>0</v>
      </c>
      <c r="W282" s="199">
        <f ca="1">IF(A282=10298,1.51,1)*IF($B282&lt;3,$D282*'Expenditure Study'!$B$32*OFFSET('Expenditure Study'!$B$7,'Operations Support'!$C282,'Operations Support'!$B282),0)</f>
        <v>0</v>
      </c>
      <c r="X282" s="200">
        <f ca="1">W282*'Expenditure Study'!$B$31</f>
        <v>0</v>
      </c>
      <c r="Y282" s="199">
        <f ca="1">U282*'Expenditure Study'!$B$31</f>
        <v>0</v>
      </c>
      <c r="Z282" s="200">
        <f ca="1">W282*'Expenditure Study'!$B$31</f>
        <v>0</v>
      </c>
      <c r="AA282" s="195">
        <f t="shared" ca="1" si="64"/>
        <v>0</v>
      </c>
      <c r="AB282" s="195">
        <f t="shared" ca="1" si="65"/>
        <v>0</v>
      </c>
      <c r="AD282" s="196">
        <f>IFERROR($G282/SUMIF($A:$A,$A282,$G:$G)*SUMIF(Summary!$A$166:$A$242,$A282,Summary!$P$166:$P$242),0)</f>
        <v>0</v>
      </c>
      <c r="AE282" s="197">
        <f t="shared" ca="1" si="66"/>
        <v>0</v>
      </c>
      <c r="AF282" s="196">
        <f>IFERROR(G282/SUMIF(A:A,A282,G:G)*SUMIF(Summary!$A$166:$A$242,'Operations Support'!A282,Summary!$Q$166:$Q$242),0)</f>
        <v>0</v>
      </c>
      <c r="AG282" s="196">
        <f t="shared" ca="1" si="67"/>
        <v>0</v>
      </c>
      <c r="AI282" s="196">
        <f>IFERROR($G282/SUMIF($A:$A,$A282,$G:$G)*SUMIF(Summary!$A$247:$A$283,$A282,Summary!$P$247:$P$283),0)</f>
        <v>0</v>
      </c>
      <c r="AJ282" s="196">
        <f>IFERROR($G282/SUMIF($A:$A,$A282,$G:$G)*(SUMIF(Summary!$A$247:$A$283,$A282,Summary!$L$247:$L$283)+SUMIF(Summary!$A$297:$A$333,$A282,Summary!$L$297:$L$333))-AI282,0)</f>
        <v>0</v>
      </c>
      <c r="AK282" s="196">
        <f>IFERROR($G282/SUMIF($A:$A,$A282,$G:$G)*SUMIF(Summary!$A$247:$A$283,$A282,Summary!$Q$247:$Q$283),0)</f>
        <v>0</v>
      </c>
      <c r="AL282" s="196">
        <f>IFERROR($G282/SUMIF($A:$A,$A282,$G:$G)*(SUMIF(Summary!$A$247:$A$283,$A282,Summary!$L$247:$L$283)+SUMIF(Summary!$A$297:$A$333,$A282,Summary!$L$297:$L$333))-AK282,0)</f>
        <v>0</v>
      </c>
      <c r="AM282" s="198"/>
      <c r="AN282" s="196">
        <f t="shared" ca="1" si="68"/>
        <v>0</v>
      </c>
      <c r="AO282" s="196">
        <f t="shared" ca="1" si="69"/>
        <v>0</v>
      </c>
    </row>
    <row r="283" spans="1:41">
      <c r="A283" s="189">
        <v>3565</v>
      </c>
      <c r="B283" s="190">
        <v>4</v>
      </c>
      <c r="C283" s="191" t="s">
        <v>225</v>
      </c>
      <c r="D283" s="192">
        <f t="shared" si="56"/>
        <v>0</v>
      </c>
      <c r="E283" s="192">
        <f t="shared" si="57"/>
        <v>0</v>
      </c>
      <c r="F283" s="192">
        <f t="shared" si="58"/>
        <v>0</v>
      </c>
      <c r="G283" s="193">
        <f t="shared" si="59"/>
        <v>0</v>
      </c>
      <c r="H283" s="194">
        <v>0</v>
      </c>
      <c r="I283" s="194">
        <v>0</v>
      </c>
      <c r="J283" s="194">
        <v>0</v>
      </c>
      <c r="K283" s="193">
        <f t="shared" si="60"/>
        <v>0</v>
      </c>
      <c r="L283" s="194">
        <v>0</v>
      </c>
      <c r="M283" s="194">
        <v>0</v>
      </c>
      <c r="N283" s="194">
        <v>0</v>
      </c>
      <c r="O283" s="193">
        <f t="shared" si="61"/>
        <v>0</v>
      </c>
      <c r="P283" s="194">
        <v>0</v>
      </c>
      <c r="Q283" s="194">
        <v>0</v>
      </c>
      <c r="R283" s="194">
        <v>0</v>
      </c>
      <c r="S283" s="193">
        <f t="shared" si="62"/>
        <v>0</v>
      </c>
      <c r="T283" s="193">
        <f t="shared" si="63"/>
        <v>0</v>
      </c>
      <c r="U283" s="193">
        <f ca="1">OFFSET('Expenditure Study'!$B$7,'Operations Support'!$C283,'Operations Support'!$B283)*$G283</f>
        <v>0</v>
      </c>
      <c r="V283" s="199">
        <f ca="1">U283*'Expenditure Study'!$B$31</f>
        <v>0</v>
      </c>
      <c r="W283" s="199">
        <f ca="1">IF(A283=10298,1.51,1)*IF($B283&lt;3,$D283*'Expenditure Study'!$B$32*OFFSET('Expenditure Study'!$B$7,'Operations Support'!$C283,'Operations Support'!$B283),0)</f>
        <v>0</v>
      </c>
      <c r="X283" s="200">
        <f ca="1">W283*'Expenditure Study'!$B$31</f>
        <v>0</v>
      </c>
      <c r="Y283" s="199">
        <f ca="1">U283*'Expenditure Study'!$B$31</f>
        <v>0</v>
      </c>
      <c r="Z283" s="200">
        <f ca="1">W283*'Expenditure Study'!$B$31</f>
        <v>0</v>
      </c>
      <c r="AA283" s="195">
        <f t="shared" ca="1" si="64"/>
        <v>0</v>
      </c>
      <c r="AB283" s="195">
        <f t="shared" ca="1" si="65"/>
        <v>0</v>
      </c>
      <c r="AD283" s="196">
        <f>IFERROR($G283/SUMIF($A:$A,$A283,$G:$G)*SUMIF(Summary!$A$166:$A$242,$A283,Summary!$P$166:$P$242),0)</f>
        <v>0</v>
      </c>
      <c r="AE283" s="197">
        <f t="shared" ca="1" si="66"/>
        <v>0</v>
      </c>
      <c r="AF283" s="196">
        <f>IFERROR(G283/SUMIF(A:A,A283,G:G)*SUMIF(Summary!$A$166:$A$242,'Operations Support'!A283,Summary!$Q$166:$Q$242),0)</f>
        <v>0</v>
      </c>
      <c r="AG283" s="196">
        <f t="shared" ca="1" si="67"/>
        <v>0</v>
      </c>
      <c r="AI283" s="196">
        <f>IFERROR($G283/SUMIF($A:$A,$A283,$G:$G)*SUMIF(Summary!$A$247:$A$283,$A283,Summary!$P$247:$P$283),0)</f>
        <v>0</v>
      </c>
      <c r="AJ283" s="196">
        <f>IFERROR($G283/SUMIF($A:$A,$A283,$G:$G)*(SUMIF(Summary!$A$247:$A$283,$A283,Summary!$L$247:$L$283)+SUMIF(Summary!$A$297:$A$333,$A283,Summary!$L$297:$L$333))-AI283,0)</f>
        <v>0</v>
      </c>
      <c r="AK283" s="196">
        <f>IFERROR($G283/SUMIF($A:$A,$A283,$G:$G)*SUMIF(Summary!$A$247:$A$283,$A283,Summary!$Q$247:$Q$283),0)</f>
        <v>0</v>
      </c>
      <c r="AL283" s="196">
        <f>IFERROR($G283/SUMIF($A:$A,$A283,$G:$G)*(SUMIF(Summary!$A$247:$A$283,$A283,Summary!$L$247:$L$283)+SUMIF(Summary!$A$297:$A$333,$A283,Summary!$L$297:$L$333))-AK283,0)</f>
        <v>0</v>
      </c>
      <c r="AM283" s="198"/>
      <c r="AN283" s="196">
        <f t="shared" ca="1" si="68"/>
        <v>0</v>
      </c>
      <c r="AO283" s="196">
        <f t="shared" ca="1" si="69"/>
        <v>0</v>
      </c>
    </row>
    <row r="284" spans="1:41">
      <c r="A284" s="189">
        <v>3565</v>
      </c>
      <c r="B284" s="190">
        <v>4</v>
      </c>
      <c r="C284" s="191" t="s">
        <v>226</v>
      </c>
      <c r="D284" s="192">
        <f t="shared" si="56"/>
        <v>0</v>
      </c>
      <c r="E284" s="192">
        <f t="shared" si="57"/>
        <v>0</v>
      </c>
      <c r="F284" s="192">
        <f t="shared" si="58"/>
        <v>0</v>
      </c>
      <c r="G284" s="193">
        <f t="shared" si="59"/>
        <v>0</v>
      </c>
      <c r="H284" s="194">
        <v>0</v>
      </c>
      <c r="I284" s="194">
        <v>0</v>
      </c>
      <c r="J284" s="194">
        <v>0</v>
      </c>
      <c r="K284" s="193">
        <f t="shared" si="60"/>
        <v>0</v>
      </c>
      <c r="L284" s="194">
        <v>0</v>
      </c>
      <c r="M284" s="194">
        <v>0</v>
      </c>
      <c r="N284" s="194">
        <v>0</v>
      </c>
      <c r="O284" s="193">
        <f t="shared" si="61"/>
        <v>0</v>
      </c>
      <c r="P284" s="194">
        <v>0</v>
      </c>
      <c r="Q284" s="194">
        <v>0</v>
      </c>
      <c r="R284" s="194">
        <v>0</v>
      </c>
      <c r="S284" s="193">
        <f t="shared" si="62"/>
        <v>0</v>
      </c>
      <c r="T284" s="193">
        <f t="shared" si="63"/>
        <v>0</v>
      </c>
      <c r="U284" s="193">
        <f ca="1">OFFSET('Expenditure Study'!$B$7,'Operations Support'!$C284,'Operations Support'!$B284)*$G284</f>
        <v>0</v>
      </c>
      <c r="V284" s="199">
        <f ca="1">U284*'Expenditure Study'!$B$31</f>
        <v>0</v>
      </c>
      <c r="W284" s="199">
        <f ca="1">IF(A284=10298,1.51,1)*IF($B284&lt;3,$D284*'Expenditure Study'!$B$32*OFFSET('Expenditure Study'!$B$7,'Operations Support'!$C284,'Operations Support'!$B284),0)</f>
        <v>0</v>
      </c>
      <c r="X284" s="200">
        <f ca="1">W284*'Expenditure Study'!$B$31</f>
        <v>0</v>
      </c>
      <c r="Y284" s="199">
        <f ca="1">U284*'Expenditure Study'!$B$31</f>
        <v>0</v>
      </c>
      <c r="Z284" s="200">
        <f ca="1">W284*'Expenditure Study'!$B$31</f>
        <v>0</v>
      </c>
      <c r="AA284" s="195">
        <f t="shared" ca="1" si="64"/>
        <v>0</v>
      </c>
      <c r="AB284" s="195">
        <f t="shared" ca="1" si="65"/>
        <v>0</v>
      </c>
      <c r="AD284" s="196">
        <f>IFERROR($G284/SUMIF($A:$A,$A284,$G:$G)*SUMIF(Summary!$A$166:$A$242,$A284,Summary!$P$166:$P$242),0)</f>
        <v>0</v>
      </c>
      <c r="AE284" s="197">
        <f t="shared" ca="1" si="66"/>
        <v>0</v>
      </c>
      <c r="AF284" s="196">
        <f>IFERROR(G284/SUMIF(A:A,A284,G:G)*SUMIF(Summary!$A$166:$A$242,'Operations Support'!A284,Summary!$Q$166:$Q$242),0)</f>
        <v>0</v>
      </c>
      <c r="AG284" s="196">
        <f t="shared" ca="1" si="67"/>
        <v>0</v>
      </c>
      <c r="AI284" s="196">
        <f>IFERROR($G284/SUMIF($A:$A,$A284,$G:$G)*SUMIF(Summary!$A$247:$A$283,$A284,Summary!$P$247:$P$283),0)</f>
        <v>0</v>
      </c>
      <c r="AJ284" s="196">
        <f>IFERROR($G284/SUMIF($A:$A,$A284,$G:$G)*(SUMIF(Summary!$A$247:$A$283,$A284,Summary!$L$247:$L$283)+SUMIF(Summary!$A$297:$A$333,$A284,Summary!$L$297:$L$333))-AI284,0)</f>
        <v>0</v>
      </c>
      <c r="AK284" s="196">
        <f>IFERROR($G284/SUMIF($A:$A,$A284,$G:$G)*SUMIF(Summary!$A$247:$A$283,$A284,Summary!$Q$247:$Q$283),0)</f>
        <v>0</v>
      </c>
      <c r="AL284" s="196">
        <f>IFERROR($G284/SUMIF($A:$A,$A284,$G:$G)*(SUMIF(Summary!$A$247:$A$283,$A284,Summary!$L$247:$L$283)+SUMIF(Summary!$A$297:$A$333,$A284,Summary!$L$297:$L$333))-AK284,0)</f>
        <v>0</v>
      </c>
      <c r="AM284" s="198"/>
      <c r="AN284" s="196">
        <f t="shared" ca="1" si="68"/>
        <v>0</v>
      </c>
      <c r="AO284" s="196">
        <f t="shared" ca="1" si="69"/>
        <v>0</v>
      </c>
    </row>
    <row r="285" spans="1:41">
      <c r="A285" s="189">
        <v>3565</v>
      </c>
      <c r="B285" s="190">
        <v>4</v>
      </c>
      <c r="C285" s="191" t="s">
        <v>227</v>
      </c>
      <c r="D285" s="192">
        <f t="shared" si="56"/>
        <v>0</v>
      </c>
      <c r="E285" s="192">
        <f t="shared" si="57"/>
        <v>0</v>
      </c>
      <c r="F285" s="192">
        <f t="shared" si="58"/>
        <v>0</v>
      </c>
      <c r="G285" s="193">
        <f t="shared" si="59"/>
        <v>0</v>
      </c>
      <c r="H285" s="194">
        <v>0</v>
      </c>
      <c r="I285" s="194">
        <v>0</v>
      </c>
      <c r="J285" s="194">
        <v>0</v>
      </c>
      <c r="K285" s="193">
        <f t="shared" si="60"/>
        <v>0</v>
      </c>
      <c r="L285" s="194">
        <v>0</v>
      </c>
      <c r="M285" s="194">
        <v>0</v>
      </c>
      <c r="N285" s="194">
        <v>0</v>
      </c>
      <c r="O285" s="193">
        <f t="shared" si="61"/>
        <v>0</v>
      </c>
      <c r="P285" s="194">
        <v>0</v>
      </c>
      <c r="Q285" s="194">
        <v>0</v>
      </c>
      <c r="R285" s="194">
        <v>0</v>
      </c>
      <c r="S285" s="193">
        <f t="shared" si="62"/>
        <v>0</v>
      </c>
      <c r="T285" s="193">
        <f t="shared" si="63"/>
        <v>0</v>
      </c>
      <c r="U285" s="193">
        <f ca="1">OFFSET('Expenditure Study'!$B$7,'Operations Support'!$C285,'Operations Support'!$B285)*$G285</f>
        <v>0</v>
      </c>
      <c r="V285" s="199">
        <f ca="1">U285*'Expenditure Study'!$B$31</f>
        <v>0</v>
      </c>
      <c r="W285" s="199">
        <f ca="1">IF(A285=10298,1.51,1)*IF($B285&lt;3,$D285*'Expenditure Study'!$B$32*OFFSET('Expenditure Study'!$B$7,'Operations Support'!$C285,'Operations Support'!$B285),0)</f>
        <v>0</v>
      </c>
      <c r="X285" s="200">
        <f ca="1">W285*'Expenditure Study'!$B$31</f>
        <v>0</v>
      </c>
      <c r="Y285" s="199">
        <f ca="1">U285*'Expenditure Study'!$B$31</f>
        <v>0</v>
      </c>
      <c r="Z285" s="200">
        <f ca="1">W285*'Expenditure Study'!$B$31</f>
        <v>0</v>
      </c>
      <c r="AA285" s="195">
        <f t="shared" ca="1" si="64"/>
        <v>0</v>
      </c>
      <c r="AB285" s="195">
        <f t="shared" ca="1" si="65"/>
        <v>0</v>
      </c>
      <c r="AD285" s="196">
        <f>IFERROR($G285/SUMIF($A:$A,$A285,$G:$G)*SUMIF(Summary!$A$166:$A$242,$A285,Summary!$P$166:$P$242),0)</f>
        <v>0</v>
      </c>
      <c r="AE285" s="197">
        <f t="shared" ca="1" si="66"/>
        <v>0</v>
      </c>
      <c r="AF285" s="196">
        <f>IFERROR(G285/SUMIF(A:A,A285,G:G)*SUMIF(Summary!$A$166:$A$242,'Operations Support'!A285,Summary!$Q$166:$Q$242),0)</f>
        <v>0</v>
      </c>
      <c r="AG285" s="196">
        <f t="shared" ca="1" si="67"/>
        <v>0</v>
      </c>
      <c r="AI285" s="196">
        <f>IFERROR($G285/SUMIF($A:$A,$A285,$G:$G)*SUMIF(Summary!$A$247:$A$283,$A285,Summary!$P$247:$P$283),0)</f>
        <v>0</v>
      </c>
      <c r="AJ285" s="196">
        <f>IFERROR($G285/SUMIF($A:$A,$A285,$G:$G)*(SUMIF(Summary!$A$247:$A$283,$A285,Summary!$L$247:$L$283)+SUMIF(Summary!$A$297:$A$333,$A285,Summary!$L$297:$L$333))-AI285,0)</f>
        <v>0</v>
      </c>
      <c r="AK285" s="196">
        <f>IFERROR($G285/SUMIF($A:$A,$A285,$G:$G)*SUMIF(Summary!$A$247:$A$283,$A285,Summary!$Q$247:$Q$283),0)</f>
        <v>0</v>
      </c>
      <c r="AL285" s="196">
        <f>IFERROR($G285/SUMIF($A:$A,$A285,$G:$G)*(SUMIF(Summary!$A$247:$A$283,$A285,Summary!$L$247:$L$283)+SUMIF(Summary!$A$297:$A$333,$A285,Summary!$L$297:$L$333))-AK285,0)</f>
        <v>0</v>
      </c>
      <c r="AM285" s="198"/>
      <c r="AN285" s="196">
        <f t="shared" ca="1" si="68"/>
        <v>0</v>
      </c>
      <c r="AO285" s="196">
        <f t="shared" ca="1" si="69"/>
        <v>0</v>
      </c>
    </row>
    <row r="286" spans="1:41">
      <c r="A286" s="189">
        <v>3565</v>
      </c>
      <c r="B286" s="190">
        <v>4</v>
      </c>
      <c r="C286" s="191" t="s">
        <v>228</v>
      </c>
      <c r="D286" s="192">
        <f t="shared" si="56"/>
        <v>0</v>
      </c>
      <c r="E286" s="192">
        <f t="shared" si="57"/>
        <v>0</v>
      </c>
      <c r="F286" s="192">
        <f t="shared" si="58"/>
        <v>0</v>
      </c>
      <c r="G286" s="193">
        <f t="shared" si="59"/>
        <v>0</v>
      </c>
      <c r="H286" s="194">
        <v>0</v>
      </c>
      <c r="I286" s="194">
        <v>0</v>
      </c>
      <c r="J286" s="194">
        <v>0</v>
      </c>
      <c r="K286" s="193">
        <f t="shared" si="60"/>
        <v>0</v>
      </c>
      <c r="L286" s="194">
        <v>0</v>
      </c>
      <c r="M286" s="194">
        <v>0</v>
      </c>
      <c r="N286" s="194">
        <v>0</v>
      </c>
      <c r="O286" s="193">
        <f t="shared" si="61"/>
        <v>0</v>
      </c>
      <c r="P286" s="194">
        <v>0</v>
      </c>
      <c r="Q286" s="194">
        <v>0</v>
      </c>
      <c r="R286" s="194">
        <v>0</v>
      </c>
      <c r="S286" s="193">
        <f t="shared" si="62"/>
        <v>0</v>
      </c>
      <c r="T286" s="193">
        <f t="shared" si="63"/>
        <v>0</v>
      </c>
      <c r="U286" s="193">
        <f ca="1">OFFSET('Expenditure Study'!$B$7,'Operations Support'!$C286,'Operations Support'!$B286)*$G286</f>
        <v>0</v>
      </c>
      <c r="V286" s="199">
        <f ca="1">U286*'Expenditure Study'!$B$31</f>
        <v>0</v>
      </c>
      <c r="W286" s="199">
        <f ca="1">IF(A286=10298,1.51,1)*IF($B286&lt;3,$D286*'Expenditure Study'!$B$32*OFFSET('Expenditure Study'!$B$7,'Operations Support'!$C286,'Operations Support'!$B286),0)</f>
        <v>0</v>
      </c>
      <c r="X286" s="200">
        <f ca="1">W286*'Expenditure Study'!$B$31</f>
        <v>0</v>
      </c>
      <c r="Y286" s="199">
        <f ca="1">U286*'Expenditure Study'!$B$31</f>
        <v>0</v>
      </c>
      <c r="Z286" s="200">
        <f ca="1">W286*'Expenditure Study'!$B$31</f>
        <v>0</v>
      </c>
      <c r="AA286" s="195">
        <f t="shared" ca="1" si="64"/>
        <v>0</v>
      </c>
      <c r="AB286" s="195">
        <f t="shared" ca="1" si="65"/>
        <v>0</v>
      </c>
      <c r="AD286" s="196">
        <f>IFERROR($G286/SUMIF($A:$A,$A286,$G:$G)*SUMIF(Summary!$A$166:$A$242,$A286,Summary!$P$166:$P$242),0)</f>
        <v>0</v>
      </c>
      <c r="AE286" s="197">
        <f t="shared" ca="1" si="66"/>
        <v>0</v>
      </c>
      <c r="AF286" s="196">
        <f>IFERROR(G286/SUMIF(A:A,A286,G:G)*SUMIF(Summary!$A$166:$A$242,'Operations Support'!A286,Summary!$Q$166:$Q$242),0)</f>
        <v>0</v>
      </c>
      <c r="AG286" s="196">
        <f t="shared" ca="1" si="67"/>
        <v>0</v>
      </c>
      <c r="AI286" s="196">
        <f>IFERROR($G286/SUMIF($A:$A,$A286,$G:$G)*SUMIF(Summary!$A$247:$A$283,$A286,Summary!$P$247:$P$283),0)</f>
        <v>0</v>
      </c>
      <c r="AJ286" s="196">
        <f>IFERROR($G286/SUMIF($A:$A,$A286,$G:$G)*(SUMIF(Summary!$A$247:$A$283,$A286,Summary!$L$247:$L$283)+SUMIF(Summary!$A$297:$A$333,$A286,Summary!$L$297:$L$333))-AI286,0)</f>
        <v>0</v>
      </c>
      <c r="AK286" s="196">
        <f>IFERROR($G286/SUMIF($A:$A,$A286,$G:$G)*SUMIF(Summary!$A$247:$A$283,$A286,Summary!$Q$247:$Q$283),0)</f>
        <v>0</v>
      </c>
      <c r="AL286" s="196">
        <f>IFERROR($G286/SUMIF($A:$A,$A286,$G:$G)*(SUMIF(Summary!$A$247:$A$283,$A286,Summary!$L$247:$L$283)+SUMIF(Summary!$A$297:$A$333,$A286,Summary!$L$297:$L$333))-AK286,0)</f>
        <v>0</v>
      </c>
      <c r="AM286" s="198"/>
      <c r="AN286" s="196">
        <f t="shared" ca="1" si="68"/>
        <v>0</v>
      </c>
      <c r="AO286" s="196">
        <f t="shared" ca="1" si="69"/>
        <v>0</v>
      </c>
    </row>
    <row r="287" spans="1:41">
      <c r="A287" s="189">
        <v>3565</v>
      </c>
      <c r="B287" s="190">
        <v>4</v>
      </c>
      <c r="C287" s="191" t="s">
        <v>229</v>
      </c>
      <c r="D287" s="192">
        <f t="shared" si="56"/>
        <v>0</v>
      </c>
      <c r="E287" s="192">
        <f t="shared" si="57"/>
        <v>0</v>
      </c>
      <c r="F287" s="192">
        <f t="shared" si="58"/>
        <v>0</v>
      </c>
      <c r="G287" s="193">
        <f t="shared" si="59"/>
        <v>0</v>
      </c>
      <c r="H287" s="194">
        <v>0</v>
      </c>
      <c r="I287" s="194">
        <v>0</v>
      </c>
      <c r="J287" s="194">
        <v>0</v>
      </c>
      <c r="K287" s="193">
        <f t="shared" si="60"/>
        <v>0</v>
      </c>
      <c r="L287" s="194">
        <v>0</v>
      </c>
      <c r="M287" s="194">
        <v>0</v>
      </c>
      <c r="N287" s="194">
        <v>0</v>
      </c>
      <c r="O287" s="193">
        <f t="shared" si="61"/>
        <v>0</v>
      </c>
      <c r="P287" s="194">
        <v>0</v>
      </c>
      <c r="Q287" s="194">
        <v>0</v>
      </c>
      <c r="R287" s="194">
        <v>0</v>
      </c>
      <c r="S287" s="193">
        <f t="shared" si="62"/>
        <v>0</v>
      </c>
      <c r="T287" s="193">
        <f t="shared" si="63"/>
        <v>0</v>
      </c>
      <c r="U287" s="193">
        <f ca="1">OFFSET('Expenditure Study'!$B$7,'Operations Support'!$C287,'Operations Support'!$B287)*$G287</f>
        <v>0</v>
      </c>
      <c r="V287" s="199">
        <f ca="1">U287*'Expenditure Study'!$B$31</f>
        <v>0</v>
      </c>
      <c r="W287" s="199">
        <f ca="1">IF(A287=10298,1.51,1)*IF($B287&lt;3,$D287*'Expenditure Study'!$B$32*OFFSET('Expenditure Study'!$B$7,'Operations Support'!$C287,'Operations Support'!$B287),0)</f>
        <v>0</v>
      </c>
      <c r="X287" s="200">
        <f ca="1">W287*'Expenditure Study'!$B$31</f>
        <v>0</v>
      </c>
      <c r="Y287" s="199">
        <f ca="1">U287*'Expenditure Study'!$B$31</f>
        <v>0</v>
      </c>
      <c r="Z287" s="200">
        <f ca="1">W287*'Expenditure Study'!$B$31</f>
        <v>0</v>
      </c>
      <c r="AA287" s="195">
        <f t="shared" ca="1" si="64"/>
        <v>0</v>
      </c>
      <c r="AB287" s="195">
        <f t="shared" ca="1" si="65"/>
        <v>0</v>
      </c>
      <c r="AD287" s="196">
        <f>IFERROR($G287/SUMIF($A:$A,$A287,$G:$G)*SUMIF(Summary!$A$166:$A$242,$A287,Summary!$P$166:$P$242),0)</f>
        <v>0</v>
      </c>
      <c r="AE287" s="197">
        <f t="shared" ca="1" si="66"/>
        <v>0</v>
      </c>
      <c r="AF287" s="196">
        <f>IFERROR(G287/SUMIF(A:A,A287,G:G)*SUMIF(Summary!$A$166:$A$242,'Operations Support'!A287,Summary!$Q$166:$Q$242),0)</f>
        <v>0</v>
      </c>
      <c r="AG287" s="196">
        <f t="shared" ca="1" si="67"/>
        <v>0</v>
      </c>
      <c r="AI287" s="196">
        <f>IFERROR($G287/SUMIF($A:$A,$A287,$G:$G)*SUMIF(Summary!$A$247:$A$283,$A287,Summary!$P$247:$P$283),0)</f>
        <v>0</v>
      </c>
      <c r="AJ287" s="196">
        <f>IFERROR($G287/SUMIF($A:$A,$A287,$G:$G)*(SUMIF(Summary!$A$247:$A$283,$A287,Summary!$L$247:$L$283)+SUMIF(Summary!$A$297:$A$333,$A287,Summary!$L$297:$L$333))-AI287,0)</f>
        <v>0</v>
      </c>
      <c r="AK287" s="196">
        <f>IFERROR($G287/SUMIF($A:$A,$A287,$G:$G)*SUMIF(Summary!$A$247:$A$283,$A287,Summary!$Q$247:$Q$283),0)</f>
        <v>0</v>
      </c>
      <c r="AL287" s="196">
        <f>IFERROR($G287/SUMIF($A:$A,$A287,$G:$G)*(SUMIF(Summary!$A$247:$A$283,$A287,Summary!$L$247:$L$283)+SUMIF(Summary!$A$297:$A$333,$A287,Summary!$L$297:$L$333))-AK287,0)</f>
        <v>0</v>
      </c>
      <c r="AM287" s="198"/>
      <c r="AN287" s="196">
        <f t="shared" ca="1" si="68"/>
        <v>0</v>
      </c>
      <c r="AO287" s="196">
        <f t="shared" ca="1" si="69"/>
        <v>0</v>
      </c>
    </row>
    <row r="288" spans="1:41">
      <c r="A288" s="189">
        <v>3565</v>
      </c>
      <c r="B288" s="190">
        <v>4</v>
      </c>
      <c r="C288" s="191" t="s">
        <v>230</v>
      </c>
      <c r="D288" s="192">
        <f t="shared" si="56"/>
        <v>0</v>
      </c>
      <c r="E288" s="192">
        <f t="shared" si="57"/>
        <v>0</v>
      </c>
      <c r="F288" s="192">
        <f t="shared" si="58"/>
        <v>0</v>
      </c>
      <c r="G288" s="193">
        <f t="shared" si="59"/>
        <v>0</v>
      </c>
      <c r="H288" s="194">
        <v>0</v>
      </c>
      <c r="I288" s="194">
        <v>0</v>
      </c>
      <c r="J288" s="194">
        <v>0</v>
      </c>
      <c r="K288" s="193">
        <f t="shared" si="60"/>
        <v>0</v>
      </c>
      <c r="L288" s="194">
        <v>0</v>
      </c>
      <c r="M288" s="194">
        <v>0</v>
      </c>
      <c r="N288" s="194">
        <v>0</v>
      </c>
      <c r="O288" s="193">
        <f t="shared" si="61"/>
        <v>0</v>
      </c>
      <c r="P288" s="194">
        <v>0</v>
      </c>
      <c r="Q288" s="194">
        <v>0</v>
      </c>
      <c r="R288" s="194">
        <v>0</v>
      </c>
      <c r="S288" s="193">
        <f t="shared" si="62"/>
        <v>0</v>
      </c>
      <c r="T288" s="193">
        <f t="shared" si="63"/>
        <v>0</v>
      </c>
      <c r="U288" s="193">
        <f ca="1">OFFSET('Expenditure Study'!$B$7,'Operations Support'!$C288,'Operations Support'!$B288)*$G288</f>
        <v>0</v>
      </c>
      <c r="V288" s="199">
        <f ca="1">U288*'Expenditure Study'!$B$31</f>
        <v>0</v>
      </c>
      <c r="W288" s="199">
        <f ca="1">IF(A288=10298,1.51,1)*IF($B288&lt;3,$D288*'Expenditure Study'!$B$32*OFFSET('Expenditure Study'!$B$7,'Operations Support'!$C288,'Operations Support'!$B288),0)</f>
        <v>0</v>
      </c>
      <c r="X288" s="200">
        <f ca="1">W288*'Expenditure Study'!$B$31</f>
        <v>0</v>
      </c>
      <c r="Y288" s="199">
        <f ca="1">U288*'Expenditure Study'!$B$31</f>
        <v>0</v>
      </c>
      <c r="Z288" s="200">
        <f ca="1">W288*'Expenditure Study'!$B$31</f>
        <v>0</v>
      </c>
      <c r="AA288" s="195">
        <f t="shared" ca="1" si="64"/>
        <v>0</v>
      </c>
      <c r="AB288" s="195">
        <f t="shared" ca="1" si="65"/>
        <v>0</v>
      </c>
      <c r="AD288" s="196">
        <f>IFERROR($G288/SUMIF($A:$A,$A288,$G:$G)*SUMIF(Summary!$A$166:$A$242,$A288,Summary!$P$166:$P$242),0)</f>
        <v>0</v>
      </c>
      <c r="AE288" s="197">
        <f t="shared" ca="1" si="66"/>
        <v>0</v>
      </c>
      <c r="AF288" s="196">
        <f>IFERROR(G288/SUMIF(A:A,A288,G:G)*SUMIF(Summary!$A$166:$A$242,'Operations Support'!A288,Summary!$Q$166:$Q$242),0)</f>
        <v>0</v>
      </c>
      <c r="AG288" s="196">
        <f t="shared" ca="1" si="67"/>
        <v>0</v>
      </c>
      <c r="AI288" s="196">
        <f>IFERROR($G288/SUMIF($A:$A,$A288,$G:$G)*SUMIF(Summary!$A$247:$A$283,$A288,Summary!$P$247:$P$283),0)</f>
        <v>0</v>
      </c>
      <c r="AJ288" s="196">
        <f>IFERROR($G288/SUMIF($A:$A,$A288,$G:$G)*(SUMIF(Summary!$A$247:$A$283,$A288,Summary!$L$247:$L$283)+SUMIF(Summary!$A$297:$A$333,$A288,Summary!$L$297:$L$333))-AI288,0)</f>
        <v>0</v>
      </c>
      <c r="AK288" s="196">
        <f>IFERROR($G288/SUMIF($A:$A,$A288,$G:$G)*SUMIF(Summary!$A$247:$A$283,$A288,Summary!$Q$247:$Q$283),0)</f>
        <v>0</v>
      </c>
      <c r="AL288" s="196">
        <f>IFERROR($G288/SUMIF($A:$A,$A288,$G:$G)*(SUMIF(Summary!$A$247:$A$283,$A288,Summary!$L$247:$L$283)+SUMIF(Summary!$A$297:$A$333,$A288,Summary!$L$297:$L$333))-AK288,0)</f>
        <v>0</v>
      </c>
      <c r="AM288" s="198"/>
      <c r="AN288" s="196">
        <f t="shared" ca="1" si="68"/>
        <v>0</v>
      </c>
      <c r="AO288" s="196">
        <f t="shared" ca="1" si="69"/>
        <v>0</v>
      </c>
    </row>
    <row r="289" spans="1:41">
      <c r="A289" s="189">
        <v>3565</v>
      </c>
      <c r="B289" s="190">
        <v>4</v>
      </c>
      <c r="C289" s="191" t="s">
        <v>231</v>
      </c>
      <c r="D289" s="192">
        <f t="shared" si="56"/>
        <v>0</v>
      </c>
      <c r="E289" s="192">
        <f t="shared" si="57"/>
        <v>0</v>
      </c>
      <c r="F289" s="192">
        <f t="shared" si="58"/>
        <v>0</v>
      </c>
      <c r="G289" s="193">
        <f t="shared" si="59"/>
        <v>0</v>
      </c>
      <c r="H289" s="194">
        <v>0</v>
      </c>
      <c r="I289" s="194">
        <v>0</v>
      </c>
      <c r="J289" s="194">
        <v>0</v>
      </c>
      <c r="K289" s="193">
        <f t="shared" si="60"/>
        <v>0</v>
      </c>
      <c r="L289" s="194">
        <v>0</v>
      </c>
      <c r="M289" s="194">
        <v>0</v>
      </c>
      <c r="N289" s="194">
        <v>0</v>
      </c>
      <c r="O289" s="193">
        <f t="shared" si="61"/>
        <v>0</v>
      </c>
      <c r="P289" s="194">
        <v>0</v>
      </c>
      <c r="Q289" s="194">
        <v>0</v>
      </c>
      <c r="R289" s="194">
        <v>0</v>
      </c>
      <c r="S289" s="193">
        <f t="shared" si="62"/>
        <v>0</v>
      </c>
      <c r="T289" s="193">
        <f t="shared" si="63"/>
        <v>0</v>
      </c>
      <c r="U289" s="193">
        <f ca="1">OFFSET('Expenditure Study'!$B$7,'Operations Support'!$C289,'Operations Support'!$B289)*$G289</f>
        <v>0</v>
      </c>
      <c r="V289" s="199">
        <f ca="1">U289*'Expenditure Study'!$B$31</f>
        <v>0</v>
      </c>
      <c r="W289" s="199">
        <f ca="1">IF(A289=10298,1.51,1)*IF($B289&lt;3,$D289*'Expenditure Study'!$B$32*OFFSET('Expenditure Study'!$B$7,'Operations Support'!$C289,'Operations Support'!$B289),0)</f>
        <v>0</v>
      </c>
      <c r="X289" s="200">
        <f ca="1">W289*'Expenditure Study'!$B$31</f>
        <v>0</v>
      </c>
      <c r="Y289" s="199">
        <f ca="1">U289*'Expenditure Study'!$B$31</f>
        <v>0</v>
      </c>
      <c r="Z289" s="200">
        <f ca="1">W289*'Expenditure Study'!$B$31</f>
        <v>0</v>
      </c>
      <c r="AA289" s="195">
        <f t="shared" ca="1" si="64"/>
        <v>0</v>
      </c>
      <c r="AB289" s="195">
        <f t="shared" ca="1" si="65"/>
        <v>0</v>
      </c>
      <c r="AD289" s="196">
        <f>IFERROR($G289/SUMIF($A:$A,$A289,$G:$G)*SUMIF(Summary!$A$166:$A$242,$A289,Summary!$P$166:$P$242),0)</f>
        <v>0</v>
      </c>
      <c r="AE289" s="197">
        <f t="shared" ca="1" si="66"/>
        <v>0</v>
      </c>
      <c r="AF289" s="196">
        <f>IFERROR(G289/SUMIF(A:A,A289,G:G)*SUMIF(Summary!$A$166:$A$242,'Operations Support'!A289,Summary!$Q$166:$Q$242),0)</f>
        <v>0</v>
      </c>
      <c r="AG289" s="196">
        <f t="shared" ca="1" si="67"/>
        <v>0</v>
      </c>
      <c r="AI289" s="196">
        <f>IFERROR($G289/SUMIF($A:$A,$A289,$G:$G)*SUMIF(Summary!$A$247:$A$283,$A289,Summary!$P$247:$P$283),0)</f>
        <v>0</v>
      </c>
      <c r="AJ289" s="196">
        <f>IFERROR($G289/SUMIF($A:$A,$A289,$G:$G)*(SUMIF(Summary!$A$247:$A$283,$A289,Summary!$L$247:$L$283)+SUMIF(Summary!$A$297:$A$333,$A289,Summary!$L$297:$L$333))-AI289,0)</f>
        <v>0</v>
      </c>
      <c r="AK289" s="196">
        <f>IFERROR($G289/SUMIF($A:$A,$A289,$G:$G)*SUMIF(Summary!$A$247:$A$283,$A289,Summary!$Q$247:$Q$283),0)</f>
        <v>0</v>
      </c>
      <c r="AL289" s="196">
        <f>IFERROR($G289/SUMIF($A:$A,$A289,$G:$G)*(SUMIF(Summary!$A$247:$A$283,$A289,Summary!$L$247:$L$283)+SUMIF(Summary!$A$297:$A$333,$A289,Summary!$L$297:$L$333))-AK289,0)</f>
        <v>0</v>
      </c>
      <c r="AM289" s="198"/>
      <c r="AN289" s="196">
        <f t="shared" ca="1" si="68"/>
        <v>0</v>
      </c>
      <c r="AO289" s="196">
        <f t="shared" ca="1" si="69"/>
        <v>0</v>
      </c>
    </row>
    <row r="290" spans="1:41">
      <c r="A290" s="189">
        <v>3565</v>
      </c>
      <c r="B290" s="190">
        <v>4</v>
      </c>
      <c r="C290" s="191" t="s">
        <v>232</v>
      </c>
      <c r="D290" s="192">
        <f t="shared" si="56"/>
        <v>0</v>
      </c>
      <c r="E290" s="192">
        <f t="shared" si="57"/>
        <v>0</v>
      </c>
      <c r="F290" s="192">
        <f t="shared" si="58"/>
        <v>0</v>
      </c>
      <c r="G290" s="193">
        <f t="shared" si="59"/>
        <v>0</v>
      </c>
      <c r="H290" s="194">
        <v>0</v>
      </c>
      <c r="I290" s="194">
        <v>0</v>
      </c>
      <c r="J290" s="194">
        <v>0</v>
      </c>
      <c r="K290" s="193">
        <f t="shared" si="60"/>
        <v>0</v>
      </c>
      <c r="L290" s="194">
        <v>0</v>
      </c>
      <c r="M290" s="194">
        <v>0</v>
      </c>
      <c r="N290" s="194">
        <v>0</v>
      </c>
      <c r="O290" s="193">
        <f t="shared" si="61"/>
        <v>0</v>
      </c>
      <c r="P290" s="194">
        <v>0</v>
      </c>
      <c r="Q290" s="194">
        <v>0</v>
      </c>
      <c r="R290" s="194">
        <v>0</v>
      </c>
      <c r="S290" s="193">
        <f t="shared" si="62"/>
        <v>0</v>
      </c>
      <c r="T290" s="193">
        <f t="shared" si="63"/>
        <v>0</v>
      </c>
      <c r="U290" s="193">
        <f ca="1">OFFSET('Expenditure Study'!$B$7,'Operations Support'!$C290,'Operations Support'!$B290)*$G290</f>
        <v>0</v>
      </c>
      <c r="V290" s="199">
        <f ca="1">U290*'Expenditure Study'!$B$31</f>
        <v>0</v>
      </c>
      <c r="W290" s="199">
        <f ca="1">IF(A290=10298,1.51,1)*IF($B290&lt;3,$D290*'Expenditure Study'!$B$32*OFFSET('Expenditure Study'!$B$7,'Operations Support'!$C290,'Operations Support'!$B290),0)</f>
        <v>0</v>
      </c>
      <c r="X290" s="200">
        <f ca="1">W290*'Expenditure Study'!$B$31</f>
        <v>0</v>
      </c>
      <c r="Y290" s="199">
        <f ca="1">U290*'Expenditure Study'!$B$31</f>
        <v>0</v>
      </c>
      <c r="Z290" s="200">
        <f ca="1">W290*'Expenditure Study'!$B$31</f>
        <v>0</v>
      </c>
      <c r="AA290" s="195">
        <f t="shared" ca="1" si="64"/>
        <v>0</v>
      </c>
      <c r="AB290" s="195">
        <f t="shared" ca="1" si="65"/>
        <v>0</v>
      </c>
      <c r="AD290" s="196">
        <f>IFERROR($G290/SUMIF($A:$A,$A290,$G:$G)*SUMIF(Summary!$A$166:$A$242,$A290,Summary!$P$166:$P$242),0)</f>
        <v>0</v>
      </c>
      <c r="AE290" s="197">
        <f t="shared" ca="1" si="66"/>
        <v>0</v>
      </c>
      <c r="AF290" s="196">
        <f>IFERROR(G290/SUMIF(A:A,A290,G:G)*SUMIF(Summary!$A$166:$A$242,'Operations Support'!A290,Summary!$Q$166:$Q$242),0)</f>
        <v>0</v>
      </c>
      <c r="AG290" s="196">
        <f t="shared" ca="1" si="67"/>
        <v>0</v>
      </c>
      <c r="AI290" s="196">
        <f>IFERROR($G290/SUMIF($A:$A,$A290,$G:$G)*SUMIF(Summary!$A$247:$A$283,$A290,Summary!$P$247:$P$283),0)</f>
        <v>0</v>
      </c>
      <c r="AJ290" s="196">
        <f>IFERROR($G290/SUMIF($A:$A,$A290,$G:$G)*(SUMIF(Summary!$A$247:$A$283,$A290,Summary!$L$247:$L$283)+SUMIF(Summary!$A$297:$A$333,$A290,Summary!$L$297:$L$333))-AI290,0)</f>
        <v>0</v>
      </c>
      <c r="AK290" s="196">
        <f>IFERROR($G290/SUMIF($A:$A,$A290,$G:$G)*SUMIF(Summary!$A$247:$A$283,$A290,Summary!$Q$247:$Q$283),0)</f>
        <v>0</v>
      </c>
      <c r="AL290" s="196">
        <f>IFERROR($G290/SUMIF($A:$A,$A290,$G:$G)*(SUMIF(Summary!$A$247:$A$283,$A290,Summary!$L$247:$L$283)+SUMIF(Summary!$A$297:$A$333,$A290,Summary!$L$297:$L$333))-AK290,0)</f>
        <v>0</v>
      </c>
      <c r="AM290" s="198"/>
      <c r="AN290" s="196">
        <f t="shared" ca="1" si="68"/>
        <v>0</v>
      </c>
      <c r="AO290" s="196">
        <f t="shared" ca="1" si="69"/>
        <v>0</v>
      </c>
    </row>
    <row r="291" spans="1:41">
      <c r="A291" s="189">
        <v>3565</v>
      </c>
      <c r="B291" s="190">
        <v>4</v>
      </c>
      <c r="C291" s="191" t="s">
        <v>233</v>
      </c>
      <c r="D291" s="192">
        <f t="shared" si="56"/>
        <v>0</v>
      </c>
      <c r="E291" s="192">
        <f t="shared" si="57"/>
        <v>6</v>
      </c>
      <c r="F291" s="192">
        <f t="shared" si="58"/>
        <v>0</v>
      </c>
      <c r="G291" s="193">
        <f t="shared" si="59"/>
        <v>6</v>
      </c>
      <c r="H291" s="194">
        <v>0</v>
      </c>
      <c r="I291" s="194">
        <v>0</v>
      </c>
      <c r="J291" s="194">
        <v>0</v>
      </c>
      <c r="K291" s="193">
        <f t="shared" si="60"/>
        <v>0</v>
      </c>
      <c r="L291" s="194">
        <v>0</v>
      </c>
      <c r="M291" s="194">
        <v>3</v>
      </c>
      <c r="N291" s="194">
        <v>0</v>
      </c>
      <c r="O291" s="193">
        <f t="shared" si="61"/>
        <v>3</v>
      </c>
      <c r="P291" s="194">
        <v>0</v>
      </c>
      <c r="Q291" s="194">
        <v>3</v>
      </c>
      <c r="R291" s="194">
        <v>0</v>
      </c>
      <c r="S291" s="193">
        <f t="shared" si="62"/>
        <v>3</v>
      </c>
      <c r="T291" s="193">
        <f t="shared" si="63"/>
        <v>0.33333333333333331</v>
      </c>
      <c r="U291" s="193">
        <f ca="1">OFFSET('Expenditure Study'!$B$7,'Operations Support'!$C291,'Operations Support'!$B291)*$G291</f>
        <v>55.199999999999996</v>
      </c>
      <c r="V291" s="199">
        <f ca="1">U291*'Expenditure Study'!$B$31</f>
        <v>3261.3915801599996</v>
      </c>
      <c r="W291" s="199">
        <f ca="1">IF(A291=10298,1.51,1)*IF($B291&lt;3,$D291*'Expenditure Study'!$B$32*OFFSET('Expenditure Study'!$B$7,'Operations Support'!$C291,'Operations Support'!$B291),0)</f>
        <v>0</v>
      </c>
      <c r="X291" s="200">
        <f ca="1">W291*'Expenditure Study'!$B$31</f>
        <v>0</v>
      </c>
      <c r="Y291" s="199">
        <f ca="1">U291*'Expenditure Study'!$B$31</f>
        <v>3261.3915801599996</v>
      </c>
      <c r="Z291" s="200">
        <f ca="1">W291*'Expenditure Study'!$B$31</f>
        <v>0</v>
      </c>
      <c r="AA291" s="195">
        <f t="shared" ca="1" si="64"/>
        <v>3261.3915801599996</v>
      </c>
      <c r="AB291" s="195">
        <f t="shared" ca="1" si="65"/>
        <v>3261.3915801599996</v>
      </c>
      <c r="AD291" s="196">
        <f>IFERROR($G291/SUMIF($A:$A,$A291,$G:$G)*SUMIF(Summary!$A$166:$A$242,$A291,Summary!$P$166:$P$242),0)</f>
        <v>75.239305961243105</v>
      </c>
      <c r="AE291" s="197">
        <f t="shared" ca="1" si="66"/>
        <v>3186.1522741987565</v>
      </c>
      <c r="AF291" s="196">
        <f>IFERROR(G291/SUMIF(A:A,A291,G:G)*SUMIF(Summary!$A$166:$A$242,'Operations Support'!A291,Summary!$Q$166:$Q$242),0)</f>
        <v>75.399889376641525</v>
      </c>
      <c r="AG291" s="196">
        <f t="shared" ca="1" si="67"/>
        <v>3185.9916907833581</v>
      </c>
      <c r="AI291" s="196">
        <f>IFERROR($G291/SUMIF($A:$A,$A291,$G:$G)*SUMIF(Summary!$A$247:$A$283,$A291,Summary!$P$247:$P$283),0)</f>
        <v>13.721771831379765</v>
      </c>
      <c r="AJ291" s="196">
        <f>IFERROR($G291/SUMIF($A:$A,$A291,$G:$G)*(SUMIF(Summary!$A$247:$A$283,$A291,Summary!$L$247:$L$283)+SUMIF(Summary!$A$297:$A$333,$A291,Summary!$L$297:$L$333))-AI291,0)</f>
        <v>98.037656247427947</v>
      </c>
      <c r="AK291" s="196">
        <f>IFERROR($G291/SUMIF($A:$A,$A291,$G:$G)*SUMIF(Summary!$A$247:$A$283,$A291,Summary!$Q$247:$Q$283),0)</f>
        <v>13.751058239033975</v>
      </c>
      <c r="AL291" s="196">
        <f>IFERROR($G291/SUMIF($A:$A,$A291,$G:$G)*(SUMIF(Summary!$A$247:$A$283,$A291,Summary!$L$247:$L$283)+SUMIF(Summary!$A$297:$A$333,$A291,Summary!$L$297:$L$333))-AK291,0)</f>
        <v>98.008369839773735</v>
      </c>
      <c r="AM291" s="198"/>
      <c r="AN291" s="196">
        <f t="shared" ca="1" si="68"/>
        <v>3284.1899304461845</v>
      </c>
      <c r="AO291" s="196">
        <f t="shared" ca="1" si="69"/>
        <v>3284.000060623132</v>
      </c>
    </row>
    <row r="292" spans="1:41" s="201" customFormat="1">
      <c r="A292" s="189">
        <v>3565</v>
      </c>
      <c r="B292" s="190">
        <v>4</v>
      </c>
      <c r="C292" s="191" t="s">
        <v>234</v>
      </c>
      <c r="D292" s="192">
        <f t="shared" si="56"/>
        <v>0</v>
      </c>
      <c r="E292" s="192">
        <f t="shared" si="57"/>
        <v>0</v>
      </c>
      <c r="F292" s="192">
        <f t="shared" si="58"/>
        <v>0</v>
      </c>
      <c r="G292" s="193">
        <f t="shared" si="59"/>
        <v>0</v>
      </c>
      <c r="H292" s="194">
        <v>0</v>
      </c>
      <c r="I292" s="194">
        <v>0</v>
      </c>
      <c r="J292" s="194">
        <v>0</v>
      </c>
      <c r="K292" s="193">
        <f t="shared" si="60"/>
        <v>0</v>
      </c>
      <c r="L292" s="194">
        <v>0</v>
      </c>
      <c r="M292" s="194">
        <v>0</v>
      </c>
      <c r="N292" s="194">
        <v>0</v>
      </c>
      <c r="O292" s="193">
        <f t="shared" si="61"/>
        <v>0</v>
      </c>
      <c r="P292" s="194">
        <v>0</v>
      </c>
      <c r="Q292" s="194">
        <v>0</v>
      </c>
      <c r="R292" s="194">
        <v>0</v>
      </c>
      <c r="S292" s="193">
        <f t="shared" si="62"/>
        <v>0</v>
      </c>
      <c r="T292" s="193">
        <f t="shared" si="63"/>
        <v>0</v>
      </c>
      <c r="U292" s="193">
        <f ca="1">OFFSET('Expenditure Study'!$B$7,'Operations Support'!$C292,'Operations Support'!$B292)*$G292</f>
        <v>0</v>
      </c>
      <c r="V292" s="199">
        <f ca="1">U292*'Expenditure Study'!$B$31</f>
        <v>0</v>
      </c>
      <c r="W292" s="199">
        <f ca="1">IF(A292=10298,1.51,1)*IF($B292&lt;3,$D292*'Expenditure Study'!$B$32*OFFSET('Expenditure Study'!$B$7,'Operations Support'!$C292,'Operations Support'!$B292),0)</f>
        <v>0</v>
      </c>
      <c r="X292" s="200">
        <f ca="1">W292*'Expenditure Study'!$B$31</f>
        <v>0</v>
      </c>
      <c r="Y292" s="199">
        <f ca="1">U292*'Expenditure Study'!$B$31</f>
        <v>0</v>
      </c>
      <c r="Z292" s="200">
        <f ca="1">W292*'Expenditure Study'!$B$31</f>
        <v>0</v>
      </c>
      <c r="AA292" s="195">
        <f t="shared" ca="1" si="64"/>
        <v>0</v>
      </c>
      <c r="AB292" s="195">
        <f t="shared" ca="1" si="65"/>
        <v>0</v>
      </c>
      <c r="AD292" s="196">
        <f>IFERROR($G292/SUMIF($A:$A,$A292,$G:$G)*SUMIF(Summary!$A$166:$A$242,$A292,Summary!$P$166:$P$242),0)</f>
        <v>0</v>
      </c>
      <c r="AE292" s="197">
        <f t="shared" ca="1" si="66"/>
        <v>0</v>
      </c>
      <c r="AF292" s="196">
        <f>IFERROR(G292/SUMIF(A:A,A292,G:G)*SUMIF(Summary!$A$166:$A$242,'Operations Support'!A292,Summary!$Q$166:$Q$242),0)</f>
        <v>0</v>
      </c>
      <c r="AG292" s="196">
        <f t="shared" ca="1" si="67"/>
        <v>0</v>
      </c>
      <c r="AH292" s="180"/>
      <c r="AI292" s="196">
        <f>IFERROR($G292/SUMIF($A:$A,$A292,$G:$G)*SUMIF(Summary!$A$247:$A$283,$A292,Summary!$P$247:$P$283),0)</f>
        <v>0</v>
      </c>
      <c r="AJ292" s="196">
        <f>IFERROR($G292/SUMIF($A:$A,$A292,$G:$G)*(SUMIF(Summary!$A$247:$A$283,$A292,Summary!$L$247:$L$283)+SUMIF(Summary!$A$297:$A$333,$A292,Summary!$L$297:$L$333))-AI292,0)</f>
        <v>0</v>
      </c>
      <c r="AK292" s="196">
        <f>IFERROR($G292/SUMIF($A:$A,$A292,$G:$G)*SUMIF(Summary!$A$247:$A$283,$A292,Summary!$Q$247:$Q$283),0)</f>
        <v>0</v>
      </c>
      <c r="AL292" s="196">
        <f>IFERROR($G292/SUMIF($A:$A,$A292,$G:$G)*(SUMIF(Summary!$A$247:$A$283,$A292,Summary!$L$247:$L$283)+SUMIF(Summary!$A$297:$A$333,$A292,Summary!$L$297:$L$333))-AK292,0)</f>
        <v>0</v>
      </c>
      <c r="AM292" s="198"/>
      <c r="AN292" s="196">
        <f t="shared" ca="1" si="68"/>
        <v>0</v>
      </c>
      <c r="AO292" s="196">
        <f t="shared" ca="1" si="69"/>
        <v>0</v>
      </c>
    </row>
    <row r="293" spans="1:41">
      <c r="A293" s="189">
        <v>3565</v>
      </c>
      <c r="B293" s="190">
        <v>4</v>
      </c>
      <c r="C293" s="191" t="s">
        <v>235</v>
      </c>
      <c r="D293" s="192">
        <f t="shared" si="56"/>
        <v>0</v>
      </c>
      <c r="E293" s="192">
        <f t="shared" si="57"/>
        <v>0</v>
      </c>
      <c r="F293" s="192">
        <f t="shared" si="58"/>
        <v>0</v>
      </c>
      <c r="G293" s="193">
        <f t="shared" si="59"/>
        <v>0</v>
      </c>
      <c r="H293" s="194">
        <v>0</v>
      </c>
      <c r="I293" s="194">
        <v>0</v>
      </c>
      <c r="J293" s="194">
        <v>0</v>
      </c>
      <c r="K293" s="193">
        <f t="shared" si="60"/>
        <v>0</v>
      </c>
      <c r="L293" s="194">
        <v>0</v>
      </c>
      <c r="M293" s="194">
        <v>0</v>
      </c>
      <c r="N293" s="194">
        <v>0</v>
      </c>
      <c r="O293" s="193">
        <f t="shared" si="61"/>
        <v>0</v>
      </c>
      <c r="P293" s="194">
        <v>0</v>
      </c>
      <c r="Q293" s="194">
        <v>0</v>
      </c>
      <c r="R293" s="194">
        <v>0</v>
      </c>
      <c r="S293" s="193">
        <f t="shared" si="62"/>
        <v>0</v>
      </c>
      <c r="T293" s="193">
        <f t="shared" si="63"/>
        <v>0</v>
      </c>
      <c r="U293" s="193">
        <f ca="1">OFFSET('Expenditure Study'!$B$7,'Operations Support'!$C293,'Operations Support'!$B293)*$G293</f>
        <v>0</v>
      </c>
      <c r="V293" s="199">
        <f ca="1">U293*'Expenditure Study'!$B$31</f>
        <v>0</v>
      </c>
      <c r="W293" s="199">
        <f ca="1">IF(A293=10298,1.51,1)*IF($B293&lt;3,$D293*'Expenditure Study'!$B$32*OFFSET('Expenditure Study'!$B$7,'Operations Support'!$C293,'Operations Support'!$B293),0)</f>
        <v>0</v>
      </c>
      <c r="X293" s="200">
        <f ca="1">W293*'Expenditure Study'!$B$31</f>
        <v>0</v>
      </c>
      <c r="Y293" s="199">
        <f ca="1">U293*'Expenditure Study'!$B$31</f>
        <v>0</v>
      </c>
      <c r="Z293" s="200">
        <f ca="1">W293*'Expenditure Study'!$B$31</f>
        <v>0</v>
      </c>
      <c r="AA293" s="195">
        <f t="shared" ca="1" si="64"/>
        <v>0</v>
      </c>
      <c r="AB293" s="195">
        <f t="shared" ca="1" si="65"/>
        <v>0</v>
      </c>
      <c r="AD293" s="196">
        <f>IFERROR($G293/SUMIF($A:$A,$A293,$G:$G)*SUMIF(Summary!$A$166:$A$242,$A293,Summary!$P$166:$P$242),0)</f>
        <v>0</v>
      </c>
      <c r="AE293" s="197">
        <f t="shared" ca="1" si="66"/>
        <v>0</v>
      </c>
      <c r="AF293" s="196">
        <f>IFERROR(G293/SUMIF(A:A,A293,G:G)*SUMIF(Summary!$A$166:$A$242,'Operations Support'!A293,Summary!$Q$166:$Q$242),0)</f>
        <v>0</v>
      </c>
      <c r="AG293" s="196">
        <f t="shared" ca="1" si="67"/>
        <v>0</v>
      </c>
      <c r="AI293" s="196">
        <f>IFERROR($G293/SUMIF($A:$A,$A293,$G:$G)*SUMIF(Summary!$A$247:$A$283,$A293,Summary!$P$247:$P$283),0)</f>
        <v>0</v>
      </c>
      <c r="AJ293" s="196">
        <f>IFERROR($G293/SUMIF($A:$A,$A293,$G:$G)*(SUMIF(Summary!$A$247:$A$283,$A293,Summary!$L$247:$L$283)+SUMIF(Summary!$A$297:$A$333,$A293,Summary!$L$297:$L$333))-AI293,0)</f>
        <v>0</v>
      </c>
      <c r="AK293" s="196">
        <f>IFERROR($G293/SUMIF($A:$A,$A293,$G:$G)*SUMIF(Summary!$A$247:$A$283,$A293,Summary!$Q$247:$Q$283),0)</f>
        <v>0</v>
      </c>
      <c r="AL293" s="196">
        <f>IFERROR($G293/SUMIF($A:$A,$A293,$G:$G)*(SUMIF(Summary!$A$247:$A$283,$A293,Summary!$L$247:$L$283)+SUMIF(Summary!$A$297:$A$333,$A293,Summary!$L$297:$L$333))-AK293,0)</f>
        <v>0</v>
      </c>
      <c r="AM293" s="198"/>
      <c r="AN293" s="196">
        <f t="shared" ca="1" si="68"/>
        <v>0</v>
      </c>
      <c r="AO293" s="196">
        <f t="shared" ca="1" si="69"/>
        <v>0</v>
      </c>
    </row>
    <row r="294" spans="1:41">
      <c r="A294" s="189">
        <v>3565</v>
      </c>
      <c r="B294" s="190">
        <v>4</v>
      </c>
      <c r="C294" s="191" t="s">
        <v>236</v>
      </c>
      <c r="D294" s="192">
        <f t="shared" si="56"/>
        <v>0</v>
      </c>
      <c r="E294" s="192">
        <f t="shared" si="57"/>
        <v>0</v>
      </c>
      <c r="F294" s="192">
        <f t="shared" si="58"/>
        <v>0</v>
      </c>
      <c r="G294" s="193">
        <f t="shared" si="59"/>
        <v>0</v>
      </c>
      <c r="H294" s="194">
        <v>0</v>
      </c>
      <c r="I294" s="194">
        <v>0</v>
      </c>
      <c r="J294" s="194">
        <v>0</v>
      </c>
      <c r="K294" s="193">
        <f t="shared" si="60"/>
        <v>0</v>
      </c>
      <c r="L294" s="194">
        <v>0</v>
      </c>
      <c r="M294" s="194">
        <v>0</v>
      </c>
      <c r="N294" s="194">
        <v>0</v>
      </c>
      <c r="O294" s="193">
        <f t="shared" si="61"/>
        <v>0</v>
      </c>
      <c r="P294" s="194">
        <v>0</v>
      </c>
      <c r="Q294" s="194">
        <v>0</v>
      </c>
      <c r="R294" s="194">
        <v>0</v>
      </c>
      <c r="S294" s="193">
        <f t="shared" si="62"/>
        <v>0</v>
      </c>
      <c r="T294" s="193">
        <f t="shared" si="63"/>
        <v>0</v>
      </c>
      <c r="U294" s="193">
        <f ca="1">OFFSET('Expenditure Study'!$B$7,'Operations Support'!$C294,'Operations Support'!$B294)*$G294</f>
        <v>0</v>
      </c>
      <c r="V294" s="199">
        <f ca="1">U294*'Expenditure Study'!$B$31</f>
        <v>0</v>
      </c>
      <c r="W294" s="199">
        <f ca="1">IF(A294=10298,1.51,1)*IF($B294&lt;3,$D294*'Expenditure Study'!$B$32*OFFSET('Expenditure Study'!$B$7,'Operations Support'!$C294,'Operations Support'!$B294),0)</f>
        <v>0</v>
      </c>
      <c r="X294" s="200">
        <f ca="1">W294*'Expenditure Study'!$B$31</f>
        <v>0</v>
      </c>
      <c r="Y294" s="199">
        <f ca="1">U294*'Expenditure Study'!$B$31</f>
        <v>0</v>
      </c>
      <c r="Z294" s="200">
        <f ca="1">W294*'Expenditure Study'!$B$31</f>
        <v>0</v>
      </c>
      <c r="AA294" s="195">
        <f t="shared" ca="1" si="64"/>
        <v>0</v>
      </c>
      <c r="AB294" s="195">
        <f t="shared" ca="1" si="65"/>
        <v>0</v>
      </c>
      <c r="AD294" s="196">
        <f>IFERROR($G294/SUMIF($A:$A,$A294,$G:$G)*SUMIF(Summary!$A$166:$A$242,$A294,Summary!$P$166:$P$242),0)</f>
        <v>0</v>
      </c>
      <c r="AE294" s="197">
        <f t="shared" ca="1" si="66"/>
        <v>0</v>
      </c>
      <c r="AF294" s="196">
        <f>IFERROR(G294/SUMIF(A:A,A294,G:G)*SUMIF(Summary!$A$166:$A$242,'Operations Support'!A294,Summary!$Q$166:$Q$242),0)</f>
        <v>0</v>
      </c>
      <c r="AG294" s="196">
        <f t="shared" ca="1" si="67"/>
        <v>0</v>
      </c>
      <c r="AI294" s="196">
        <f>IFERROR($G294/SUMIF($A:$A,$A294,$G:$G)*SUMIF(Summary!$A$247:$A$283,$A294,Summary!$P$247:$P$283),0)</f>
        <v>0</v>
      </c>
      <c r="AJ294" s="196">
        <f>IFERROR($G294/SUMIF($A:$A,$A294,$G:$G)*(SUMIF(Summary!$A$247:$A$283,$A294,Summary!$L$247:$L$283)+SUMIF(Summary!$A$297:$A$333,$A294,Summary!$L$297:$L$333))-AI294,0)</f>
        <v>0</v>
      </c>
      <c r="AK294" s="196">
        <f>IFERROR($G294/SUMIF($A:$A,$A294,$G:$G)*SUMIF(Summary!$A$247:$A$283,$A294,Summary!$Q$247:$Q$283),0)</f>
        <v>0</v>
      </c>
      <c r="AL294" s="196">
        <f>IFERROR($G294/SUMIF($A:$A,$A294,$G:$G)*(SUMIF(Summary!$A$247:$A$283,$A294,Summary!$L$247:$L$283)+SUMIF(Summary!$A$297:$A$333,$A294,Summary!$L$297:$L$333))-AK294,0)</f>
        <v>0</v>
      </c>
      <c r="AM294" s="198"/>
      <c r="AN294" s="196">
        <f t="shared" ca="1" si="68"/>
        <v>0</v>
      </c>
      <c r="AO294" s="196">
        <f t="shared" ca="1" si="69"/>
        <v>0</v>
      </c>
    </row>
    <row r="295" spans="1:41">
      <c r="A295" s="189">
        <v>3565</v>
      </c>
      <c r="B295" s="190">
        <v>4</v>
      </c>
      <c r="C295" s="191" t="s">
        <v>237</v>
      </c>
      <c r="D295" s="192">
        <f t="shared" si="56"/>
        <v>0</v>
      </c>
      <c r="E295" s="192">
        <f t="shared" si="57"/>
        <v>0</v>
      </c>
      <c r="F295" s="192">
        <f t="shared" si="58"/>
        <v>0</v>
      </c>
      <c r="G295" s="193">
        <f t="shared" si="59"/>
        <v>0</v>
      </c>
      <c r="H295" s="194">
        <v>0</v>
      </c>
      <c r="I295" s="194">
        <v>0</v>
      </c>
      <c r="J295" s="194">
        <v>0</v>
      </c>
      <c r="K295" s="193">
        <f t="shared" si="60"/>
        <v>0</v>
      </c>
      <c r="L295" s="194">
        <v>0</v>
      </c>
      <c r="M295" s="194">
        <v>0</v>
      </c>
      <c r="N295" s="194">
        <v>0</v>
      </c>
      <c r="O295" s="193">
        <f t="shared" si="61"/>
        <v>0</v>
      </c>
      <c r="P295" s="194">
        <v>0</v>
      </c>
      <c r="Q295" s="194">
        <v>0</v>
      </c>
      <c r="R295" s="194">
        <v>0</v>
      </c>
      <c r="S295" s="193">
        <f t="shared" si="62"/>
        <v>0</v>
      </c>
      <c r="T295" s="193">
        <f t="shared" si="63"/>
        <v>0</v>
      </c>
      <c r="U295" s="193">
        <f ca="1">OFFSET('Expenditure Study'!$B$7,'Operations Support'!$C295,'Operations Support'!$B295)*$G295</f>
        <v>0</v>
      </c>
      <c r="V295" s="199">
        <f ca="1">U295*'Expenditure Study'!$B$31</f>
        <v>0</v>
      </c>
      <c r="W295" s="199">
        <f ca="1">IF(A295=10298,1.51,1)*IF($B295&lt;3,$D295*'Expenditure Study'!$B$32*OFFSET('Expenditure Study'!$B$7,'Operations Support'!$C295,'Operations Support'!$B295),0)</f>
        <v>0</v>
      </c>
      <c r="X295" s="200">
        <f ca="1">W295*'Expenditure Study'!$B$31</f>
        <v>0</v>
      </c>
      <c r="Y295" s="199">
        <f ca="1">U295*'Expenditure Study'!$B$31</f>
        <v>0</v>
      </c>
      <c r="Z295" s="200">
        <f ca="1">W295*'Expenditure Study'!$B$31</f>
        <v>0</v>
      </c>
      <c r="AA295" s="195">
        <f t="shared" ca="1" si="64"/>
        <v>0</v>
      </c>
      <c r="AB295" s="195">
        <f t="shared" ca="1" si="65"/>
        <v>0</v>
      </c>
      <c r="AD295" s="196">
        <f>IFERROR($G295/SUMIF($A:$A,$A295,$G:$G)*SUMIF(Summary!$A$166:$A$242,$A295,Summary!$P$166:$P$242),0)</f>
        <v>0</v>
      </c>
      <c r="AE295" s="197">
        <f t="shared" ca="1" si="66"/>
        <v>0</v>
      </c>
      <c r="AF295" s="196">
        <f>IFERROR(G295/SUMIF(A:A,A295,G:G)*SUMIF(Summary!$A$166:$A$242,'Operations Support'!A295,Summary!$Q$166:$Q$242),0)</f>
        <v>0</v>
      </c>
      <c r="AG295" s="196">
        <f t="shared" ca="1" si="67"/>
        <v>0</v>
      </c>
      <c r="AI295" s="196">
        <f>IFERROR($G295/SUMIF($A:$A,$A295,$G:$G)*SUMIF(Summary!$A$247:$A$283,$A295,Summary!$P$247:$P$283),0)</f>
        <v>0</v>
      </c>
      <c r="AJ295" s="196">
        <f>IFERROR($G295/SUMIF($A:$A,$A295,$G:$G)*(SUMIF(Summary!$A$247:$A$283,$A295,Summary!$L$247:$L$283)+SUMIF(Summary!$A$297:$A$333,$A295,Summary!$L$297:$L$333))-AI295,0)</f>
        <v>0</v>
      </c>
      <c r="AK295" s="196">
        <f>IFERROR($G295/SUMIF($A:$A,$A295,$G:$G)*SUMIF(Summary!$A$247:$A$283,$A295,Summary!$Q$247:$Q$283),0)</f>
        <v>0</v>
      </c>
      <c r="AL295" s="196">
        <f>IFERROR($G295/SUMIF($A:$A,$A295,$G:$G)*(SUMIF(Summary!$A$247:$A$283,$A295,Summary!$L$247:$L$283)+SUMIF(Summary!$A$297:$A$333,$A295,Summary!$L$297:$L$333))-AK295,0)</f>
        <v>0</v>
      </c>
      <c r="AM295" s="198"/>
      <c r="AN295" s="196">
        <f t="shared" ca="1" si="68"/>
        <v>0</v>
      </c>
      <c r="AO295" s="196">
        <f t="shared" ca="1" si="69"/>
        <v>0</v>
      </c>
    </row>
    <row r="296" spans="1:41">
      <c r="A296" s="189">
        <v>3565</v>
      </c>
      <c r="B296" s="190">
        <v>4</v>
      </c>
      <c r="C296" s="191" t="s">
        <v>238</v>
      </c>
      <c r="D296" s="192">
        <f t="shared" si="56"/>
        <v>0</v>
      </c>
      <c r="E296" s="192">
        <f t="shared" si="57"/>
        <v>0</v>
      </c>
      <c r="F296" s="192">
        <f t="shared" si="58"/>
        <v>0</v>
      </c>
      <c r="G296" s="193">
        <f t="shared" si="59"/>
        <v>0</v>
      </c>
      <c r="H296" s="194">
        <v>0</v>
      </c>
      <c r="I296" s="194">
        <v>0</v>
      </c>
      <c r="J296" s="194">
        <v>0</v>
      </c>
      <c r="K296" s="193">
        <f t="shared" si="60"/>
        <v>0</v>
      </c>
      <c r="L296" s="194">
        <v>0</v>
      </c>
      <c r="M296" s="194">
        <v>0</v>
      </c>
      <c r="N296" s="194">
        <v>0</v>
      </c>
      <c r="O296" s="193">
        <f t="shared" si="61"/>
        <v>0</v>
      </c>
      <c r="P296" s="194">
        <v>0</v>
      </c>
      <c r="Q296" s="194">
        <v>0</v>
      </c>
      <c r="R296" s="194">
        <v>0</v>
      </c>
      <c r="S296" s="193">
        <f t="shared" si="62"/>
        <v>0</v>
      </c>
      <c r="T296" s="193">
        <f t="shared" si="63"/>
        <v>0</v>
      </c>
      <c r="U296" s="193">
        <f ca="1">OFFSET('Expenditure Study'!$B$7,'Operations Support'!$C296,'Operations Support'!$B296)*$G296</f>
        <v>0</v>
      </c>
      <c r="V296" s="199">
        <f ca="1">U296*'Expenditure Study'!$B$31</f>
        <v>0</v>
      </c>
      <c r="W296" s="199">
        <f ca="1">IF(A296=10298,1.51,1)*IF($B296&lt;3,$D296*'Expenditure Study'!$B$32*OFFSET('Expenditure Study'!$B$7,'Operations Support'!$C296,'Operations Support'!$B296),0)</f>
        <v>0</v>
      </c>
      <c r="X296" s="200">
        <f ca="1">W296*'Expenditure Study'!$B$31</f>
        <v>0</v>
      </c>
      <c r="Y296" s="199">
        <f ca="1">U296*'Expenditure Study'!$B$31</f>
        <v>0</v>
      </c>
      <c r="Z296" s="200">
        <f ca="1">W296*'Expenditure Study'!$B$31</f>
        <v>0</v>
      </c>
      <c r="AA296" s="195">
        <f t="shared" ca="1" si="64"/>
        <v>0</v>
      </c>
      <c r="AB296" s="195">
        <f t="shared" ca="1" si="65"/>
        <v>0</v>
      </c>
      <c r="AD296" s="196">
        <f>IFERROR($G296/SUMIF($A:$A,$A296,$G:$G)*SUMIF(Summary!$A$166:$A$242,$A296,Summary!$P$166:$P$242),0)</f>
        <v>0</v>
      </c>
      <c r="AE296" s="197">
        <f t="shared" ca="1" si="66"/>
        <v>0</v>
      </c>
      <c r="AF296" s="196">
        <f>IFERROR(G296/SUMIF(A:A,A296,G:G)*SUMIF(Summary!$A$166:$A$242,'Operations Support'!A296,Summary!$Q$166:$Q$242),0)</f>
        <v>0</v>
      </c>
      <c r="AG296" s="196">
        <f t="shared" ca="1" si="67"/>
        <v>0</v>
      </c>
      <c r="AI296" s="196">
        <f>IFERROR($G296/SUMIF($A:$A,$A296,$G:$G)*SUMIF(Summary!$A$247:$A$283,$A296,Summary!$P$247:$P$283),0)</f>
        <v>0</v>
      </c>
      <c r="AJ296" s="196">
        <f>IFERROR($G296/SUMIF($A:$A,$A296,$G:$G)*(SUMIF(Summary!$A$247:$A$283,$A296,Summary!$L$247:$L$283)+SUMIF(Summary!$A$297:$A$333,$A296,Summary!$L$297:$L$333))-AI296,0)</f>
        <v>0</v>
      </c>
      <c r="AK296" s="196">
        <f>IFERROR($G296/SUMIF($A:$A,$A296,$G:$G)*SUMIF(Summary!$A$247:$A$283,$A296,Summary!$Q$247:$Q$283),0)</f>
        <v>0</v>
      </c>
      <c r="AL296" s="196">
        <f>IFERROR($G296/SUMIF($A:$A,$A296,$G:$G)*(SUMIF(Summary!$A$247:$A$283,$A296,Summary!$L$247:$L$283)+SUMIF(Summary!$A$297:$A$333,$A296,Summary!$L$297:$L$333))-AK296,0)</f>
        <v>0</v>
      </c>
      <c r="AM296" s="198"/>
      <c r="AN296" s="196">
        <f t="shared" ca="1" si="68"/>
        <v>0</v>
      </c>
      <c r="AO296" s="196">
        <f t="shared" ca="1" si="69"/>
        <v>0</v>
      </c>
    </row>
    <row r="297" spans="1:41">
      <c r="A297" s="189">
        <v>3565</v>
      </c>
      <c r="B297" s="190">
        <v>4</v>
      </c>
      <c r="C297" s="191" t="s">
        <v>239</v>
      </c>
      <c r="D297" s="192">
        <f t="shared" si="56"/>
        <v>0</v>
      </c>
      <c r="E297" s="192">
        <f t="shared" si="57"/>
        <v>0</v>
      </c>
      <c r="F297" s="192">
        <f t="shared" si="58"/>
        <v>0</v>
      </c>
      <c r="G297" s="193">
        <f t="shared" si="59"/>
        <v>0</v>
      </c>
      <c r="H297" s="194">
        <v>0</v>
      </c>
      <c r="I297" s="194">
        <v>0</v>
      </c>
      <c r="J297" s="194">
        <v>0</v>
      </c>
      <c r="K297" s="193">
        <f t="shared" si="60"/>
        <v>0</v>
      </c>
      <c r="L297" s="194">
        <v>0</v>
      </c>
      <c r="M297" s="194">
        <v>0</v>
      </c>
      <c r="N297" s="194">
        <v>0</v>
      </c>
      <c r="O297" s="193">
        <f t="shared" si="61"/>
        <v>0</v>
      </c>
      <c r="P297" s="194">
        <v>0</v>
      </c>
      <c r="Q297" s="194">
        <v>0</v>
      </c>
      <c r="R297" s="194">
        <v>0</v>
      </c>
      <c r="S297" s="193">
        <f t="shared" si="62"/>
        <v>0</v>
      </c>
      <c r="T297" s="193">
        <f t="shared" si="63"/>
        <v>0</v>
      </c>
      <c r="U297" s="193">
        <f ca="1">OFFSET('Expenditure Study'!$B$7,'Operations Support'!$C297,'Operations Support'!$B297)*$G297</f>
        <v>0</v>
      </c>
      <c r="V297" s="199">
        <f ca="1">U297*'Expenditure Study'!$B$31</f>
        <v>0</v>
      </c>
      <c r="W297" s="199">
        <f ca="1">IF(A297=10298,1.51,1)*IF($B297&lt;3,$D297*'Expenditure Study'!$B$32*OFFSET('Expenditure Study'!$B$7,'Operations Support'!$C297,'Operations Support'!$B297),0)</f>
        <v>0</v>
      </c>
      <c r="X297" s="200">
        <f ca="1">W297*'Expenditure Study'!$B$31</f>
        <v>0</v>
      </c>
      <c r="Y297" s="199">
        <f ca="1">U297*'Expenditure Study'!$B$31</f>
        <v>0</v>
      </c>
      <c r="Z297" s="200">
        <f ca="1">W297*'Expenditure Study'!$B$31</f>
        <v>0</v>
      </c>
      <c r="AA297" s="195">
        <f t="shared" ca="1" si="64"/>
        <v>0</v>
      </c>
      <c r="AB297" s="195">
        <f t="shared" ca="1" si="65"/>
        <v>0</v>
      </c>
      <c r="AD297" s="196">
        <f>IFERROR($G297/SUMIF($A:$A,$A297,$G:$G)*SUMIF(Summary!$A$166:$A$242,$A297,Summary!$P$166:$P$242),0)</f>
        <v>0</v>
      </c>
      <c r="AE297" s="197">
        <f t="shared" ca="1" si="66"/>
        <v>0</v>
      </c>
      <c r="AF297" s="196">
        <f>IFERROR(G297/SUMIF(A:A,A297,G:G)*SUMIF(Summary!$A$166:$A$242,'Operations Support'!A297,Summary!$Q$166:$Q$242),0)</f>
        <v>0</v>
      </c>
      <c r="AG297" s="196">
        <f t="shared" ca="1" si="67"/>
        <v>0</v>
      </c>
      <c r="AI297" s="196">
        <f>IFERROR($G297/SUMIF($A:$A,$A297,$G:$G)*SUMIF(Summary!$A$247:$A$283,$A297,Summary!$P$247:$P$283),0)</f>
        <v>0</v>
      </c>
      <c r="AJ297" s="196">
        <f>IFERROR($G297/SUMIF($A:$A,$A297,$G:$G)*(SUMIF(Summary!$A$247:$A$283,$A297,Summary!$L$247:$L$283)+SUMIF(Summary!$A$297:$A$333,$A297,Summary!$L$297:$L$333))-AI297,0)</f>
        <v>0</v>
      </c>
      <c r="AK297" s="196">
        <f>IFERROR($G297/SUMIF($A:$A,$A297,$G:$G)*SUMIF(Summary!$A$247:$A$283,$A297,Summary!$Q$247:$Q$283),0)</f>
        <v>0</v>
      </c>
      <c r="AL297" s="196">
        <f>IFERROR($G297/SUMIF($A:$A,$A297,$G:$G)*(SUMIF(Summary!$A$247:$A$283,$A297,Summary!$L$247:$L$283)+SUMIF(Summary!$A$297:$A$333,$A297,Summary!$L$297:$L$333))-AK297,0)</f>
        <v>0</v>
      </c>
      <c r="AM297" s="198"/>
      <c r="AN297" s="196">
        <f t="shared" ca="1" si="68"/>
        <v>0</v>
      </c>
      <c r="AO297" s="196">
        <f t="shared" ca="1" si="69"/>
        <v>0</v>
      </c>
    </row>
    <row r="298" spans="1:41">
      <c r="A298" s="189">
        <v>3565</v>
      </c>
      <c r="B298" s="190">
        <v>4</v>
      </c>
      <c r="C298" s="191" t="s">
        <v>240</v>
      </c>
      <c r="D298" s="192">
        <f t="shared" si="56"/>
        <v>0</v>
      </c>
      <c r="E298" s="192">
        <f t="shared" si="57"/>
        <v>0</v>
      </c>
      <c r="F298" s="192">
        <f t="shared" si="58"/>
        <v>0</v>
      </c>
      <c r="G298" s="193">
        <f t="shared" si="59"/>
        <v>0</v>
      </c>
      <c r="H298" s="194">
        <v>0</v>
      </c>
      <c r="I298" s="194">
        <v>0</v>
      </c>
      <c r="J298" s="194">
        <v>0</v>
      </c>
      <c r="K298" s="193">
        <f t="shared" si="60"/>
        <v>0</v>
      </c>
      <c r="L298" s="194">
        <v>0</v>
      </c>
      <c r="M298" s="194">
        <v>0</v>
      </c>
      <c r="N298" s="194">
        <v>0</v>
      </c>
      <c r="O298" s="193">
        <f t="shared" si="61"/>
        <v>0</v>
      </c>
      <c r="P298" s="194">
        <v>0</v>
      </c>
      <c r="Q298" s="194">
        <v>0</v>
      </c>
      <c r="R298" s="194">
        <v>0</v>
      </c>
      <c r="S298" s="193">
        <f t="shared" si="62"/>
        <v>0</v>
      </c>
      <c r="T298" s="193">
        <f t="shared" si="63"/>
        <v>0</v>
      </c>
      <c r="U298" s="193">
        <f ca="1">OFFSET('Expenditure Study'!$B$7,'Operations Support'!$C298,'Operations Support'!$B298)*$G298</f>
        <v>0</v>
      </c>
      <c r="V298" s="199">
        <f ca="1">U298*'Expenditure Study'!$B$31</f>
        <v>0</v>
      </c>
      <c r="W298" s="199">
        <f ca="1">IF(A298=10298,1.51,1)*IF($B298&lt;3,$D298*'Expenditure Study'!$B$32*OFFSET('Expenditure Study'!$B$7,'Operations Support'!$C298,'Operations Support'!$B298),0)</f>
        <v>0</v>
      </c>
      <c r="X298" s="200">
        <f ca="1">W298*'Expenditure Study'!$B$31</f>
        <v>0</v>
      </c>
      <c r="Y298" s="199">
        <f ca="1">U298*'Expenditure Study'!$B$31</f>
        <v>0</v>
      </c>
      <c r="Z298" s="200">
        <f ca="1">W298*'Expenditure Study'!$B$31</f>
        <v>0</v>
      </c>
      <c r="AA298" s="195">
        <f t="shared" ca="1" si="64"/>
        <v>0</v>
      </c>
      <c r="AB298" s="195">
        <f t="shared" ca="1" si="65"/>
        <v>0</v>
      </c>
      <c r="AD298" s="196">
        <f>IFERROR($G298/SUMIF($A:$A,$A298,$G:$G)*SUMIF(Summary!$A$166:$A$242,$A298,Summary!$P$166:$P$242),0)</f>
        <v>0</v>
      </c>
      <c r="AE298" s="197">
        <f t="shared" ca="1" si="66"/>
        <v>0</v>
      </c>
      <c r="AF298" s="196">
        <f>IFERROR(G298/SUMIF(A:A,A298,G:G)*SUMIF(Summary!$A$166:$A$242,'Operations Support'!A298,Summary!$Q$166:$Q$242),0)</f>
        <v>0</v>
      </c>
      <c r="AG298" s="196">
        <f t="shared" ca="1" si="67"/>
        <v>0</v>
      </c>
      <c r="AI298" s="196">
        <f>IFERROR($G298/SUMIF($A:$A,$A298,$G:$G)*SUMIF(Summary!$A$247:$A$283,$A298,Summary!$P$247:$P$283),0)</f>
        <v>0</v>
      </c>
      <c r="AJ298" s="196">
        <f>IFERROR($G298/SUMIF($A:$A,$A298,$G:$G)*(SUMIF(Summary!$A$247:$A$283,$A298,Summary!$L$247:$L$283)+SUMIF(Summary!$A$297:$A$333,$A298,Summary!$L$297:$L$333))-AI298,0)</f>
        <v>0</v>
      </c>
      <c r="AK298" s="196">
        <f>IFERROR($G298/SUMIF($A:$A,$A298,$G:$G)*SUMIF(Summary!$A$247:$A$283,$A298,Summary!$Q$247:$Q$283),0)</f>
        <v>0</v>
      </c>
      <c r="AL298" s="196">
        <f>IFERROR($G298/SUMIF($A:$A,$A298,$G:$G)*(SUMIF(Summary!$A$247:$A$283,$A298,Summary!$L$247:$L$283)+SUMIF(Summary!$A$297:$A$333,$A298,Summary!$L$297:$L$333))-AK298,0)</f>
        <v>0</v>
      </c>
      <c r="AM298" s="198"/>
      <c r="AN298" s="196">
        <f t="shared" ca="1" si="68"/>
        <v>0</v>
      </c>
      <c r="AO298" s="196">
        <f t="shared" ca="1" si="69"/>
        <v>0</v>
      </c>
    </row>
    <row r="299" spans="1:41">
      <c r="A299" s="189">
        <v>3565</v>
      </c>
      <c r="B299" s="190">
        <v>5</v>
      </c>
      <c r="C299" s="191" t="s">
        <v>220</v>
      </c>
      <c r="D299" s="192">
        <f t="shared" si="56"/>
        <v>0</v>
      </c>
      <c r="E299" s="192">
        <f t="shared" si="57"/>
        <v>0</v>
      </c>
      <c r="F299" s="192">
        <f t="shared" si="58"/>
        <v>0</v>
      </c>
      <c r="G299" s="193">
        <f t="shared" si="59"/>
        <v>0</v>
      </c>
      <c r="H299" s="194">
        <v>0</v>
      </c>
      <c r="I299" s="194">
        <v>0</v>
      </c>
      <c r="J299" s="194">
        <v>0</v>
      </c>
      <c r="K299" s="193">
        <f t="shared" si="60"/>
        <v>0</v>
      </c>
      <c r="L299" s="194">
        <v>0</v>
      </c>
      <c r="M299" s="194">
        <v>0</v>
      </c>
      <c r="N299" s="194">
        <v>0</v>
      </c>
      <c r="O299" s="193">
        <f t="shared" si="61"/>
        <v>0</v>
      </c>
      <c r="P299" s="194">
        <v>0</v>
      </c>
      <c r="Q299" s="194">
        <v>0</v>
      </c>
      <c r="R299" s="194">
        <v>0</v>
      </c>
      <c r="S299" s="193">
        <f t="shared" si="62"/>
        <v>0</v>
      </c>
      <c r="T299" s="193">
        <f t="shared" si="63"/>
        <v>0</v>
      </c>
      <c r="U299" s="193">
        <f ca="1">OFFSET('Expenditure Study'!$B$7,'Operations Support'!$C299,'Operations Support'!$B299)*$G299</f>
        <v>0</v>
      </c>
      <c r="V299" s="199">
        <f ca="1">U299*'Expenditure Study'!$B$31</f>
        <v>0</v>
      </c>
      <c r="W299" s="199">
        <f ca="1">IF(A299=10298,1.51,1)*IF($B299&lt;3,$D299*'Expenditure Study'!$B$32*OFFSET('Expenditure Study'!$B$7,'Operations Support'!$C299,'Operations Support'!$B299),0)</f>
        <v>0</v>
      </c>
      <c r="X299" s="200">
        <f ca="1">W299*'Expenditure Study'!$B$31</f>
        <v>0</v>
      </c>
      <c r="Y299" s="199">
        <f ca="1">U299*'Expenditure Study'!$B$31</f>
        <v>0</v>
      </c>
      <c r="Z299" s="200">
        <f ca="1">W299*'Expenditure Study'!$B$31</f>
        <v>0</v>
      </c>
      <c r="AA299" s="195">
        <f t="shared" ca="1" si="64"/>
        <v>0</v>
      </c>
      <c r="AB299" s="195">
        <f t="shared" ca="1" si="65"/>
        <v>0</v>
      </c>
      <c r="AD299" s="196">
        <f>IFERROR($G299/SUMIF($A:$A,$A299,$G:$G)*SUMIF(Summary!$A$166:$A$242,$A299,Summary!$P$166:$P$242),0)</f>
        <v>0</v>
      </c>
      <c r="AE299" s="197">
        <f t="shared" ca="1" si="66"/>
        <v>0</v>
      </c>
      <c r="AF299" s="196">
        <f>IFERROR(G299/SUMIF(A:A,A299,G:G)*SUMIF(Summary!$A$166:$A$242,'Operations Support'!A299,Summary!$Q$166:$Q$242),0)</f>
        <v>0</v>
      </c>
      <c r="AG299" s="196">
        <f t="shared" ca="1" si="67"/>
        <v>0</v>
      </c>
      <c r="AI299" s="196">
        <f>IFERROR($G299/SUMIF($A:$A,$A299,$G:$G)*SUMIF(Summary!$A$247:$A$283,$A299,Summary!$P$247:$P$283),0)</f>
        <v>0</v>
      </c>
      <c r="AJ299" s="196">
        <f>IFERROR($G299/SUMIF($A:$A,$A299,$G:$G)*(SUMIF(Summary!$A$247:$A$283,$A299,Summary!$L$247:$L$283)+SUMIF(Summary!$A$297:$A$333,$A299,Summary!$L$297:$L$333))-AI299,0)</f>
        <v>0</v>
      </c>
      <c r="AK299" s="196">
        <f>IFERROR($G299/SUMIF($A:$A,$A299,$G:$G)*SUMIF(Summary!$A$247:$A$283,$A299,Summary!$Q$247:$Q$283),0)</f>
        <v>0</v>
      </c>
      <c r="AL299" s="196">
        <f>IFERROR($G299/SUMIF($A:$A,$A299,$G:$G)*(SUMIF(Summary!$A$247:$A$283,$A299,Summary!$L$247:$L$283)+SUMIF(Summary!$A$297:$A$333,$A299,Summary!$L$297:$L$333))-AK299,0)</f>
        <v>0</v>
      </c>
      <c r="AM299" s="198"/>
      <c r="AN299" s="196">
        <f t="shared" ca="1" si="68"/>
        <v>0</v>
      </c>
      <c r="AO299" s="196">
        <f t="shared" ca="1" si="69"/>
        <v>0</v>
      </c>
    </row>
    <row r="300" spans="1:41">
      <c r="A300" s="189">
        <v>3565</v>
      </c>
      <c r="B300" s="190">
        <v>5</v>
      </c>
      <c r="C300" s="191" t="s">
        <v>221</v>
      </c>
      <c r="D300" s="192">
        <f t="shared" si="56"/>
        <v>0</v>
      </c>
      <c r="E300" s="192">
        <f t="shared" si="57"/>
        <v>0</v>
      </c>
      <c r="F300" s="192">
        <f t="shared" si="58"/>
        <v>0</v>
      </c>
      <c r="G300" s="193">
        <f t="shared" si="59"/>
        <v>0</v>
      </c>
      <c r="H300" s="194">
        <v>0</v>
      </c>
      <c r="I300" s="194">
        <v>0</v>
      </c>
      <c r="J300" s="194">
        <v>0</v>
      </c>
      <c r="K300" s="193">
        <f t="shared" si="60"/>
        <v>0</v>
      </c>
      <c r="L300" s="194">
        <v>0</v>
      </c>
      <c r="M300" s="194">
        <v>0</v>
      </c>
      <c r="N300" s="194">
        <v>0</v>
      </c>
      <c r="O300" s="193">
        <f t="shared" si="61"/>
        <v>0</v>
      </c>
      <c r="P300" s="194">
        <v>0</v>
      </c>
      <c r="Q300" s="194">
        <v>0</v>
      </c>
      <c r="R300" s="194">
        <v>0</v>
      </c>
      <c r="S300" s="193">
        <f t="shared" si="62"/>
        <v>0</v>
      </c>
      <c r="T300" s="193">
        <f t="shared" si="63"/>
        <v>0</v>
      </c>
      <c r="U300" s="193">
        <f ca="1">OFFSET('Expenditure Study'!$B$7,'Operations Support'!$C300,'Operations Support'!$B300)*$G300</f>
        <v>0</v>
      </c>
      <c r="V300" s="199">
        <f ca="1">U300*'Expenditure Study'!$B$31</f>
        <v>0</v>
      </c>
      <c r="W300" s="199">
        <f ca="1">IF(A300=10298,1.51,1)*IF($B300&lt;3,$D300*'Expenditure Study'!$B$32*OFFSET('Expenditure Study'!$B$7,'Operations Support'!$C300,'Operations Support'!$B300),0)</f>
        <v>0</v>
      </c>
      <c r="X300" s="200">
        <f ca="1">W300*'Expenditure Study'!$B$31</f>
        <v>0</v>
      </c>
      <c r="Y300" s="199">
        <f ca="1">U300*'Expenditure Study'!$B$31</f>
        <v>0</v>
      </c>
      <c r="Z300" s="200">
        <f ca="1">W300*'Expenditure Study'!$B$31</f>
        <v>0</v>
      </c>
      <c r="AA300" s="195">
        <f t="shared" ca="1" si="64"/>
        <v>0</v>
      </c>
      <c r="AB300" s="195">
        <f t="shared" ca="1" si="65"/>
        <v>0</v>
      </c>
      <c r="AD300" s="196">
        <f>IFERROR($G300/SUMIF($A:$A,$A300,$G:$G)*SUMIF(Summary!$A$166:$A$242,$A300,Summary!$P$166:$P$242),0)</f>
        <v>0</v>
      </c>
      <c r="AE300" s="197">
        <f t="shared" ca="1" si="66"/>
        <v>0</v>
      </c>
      <c r="AF300" s="196">
        <f>IFERROR(G300/SUMIF(A:A,A300,G:G)*SUMIF(Summary!$A$166:$A$242,'Operations Support'!A300,Summary!$Q$166:$Q$242),0)</f>
        <v>0</v>
      </c>
      <c r="AG300" s="196">
        <f t="shared" ca="1" si="67"/>
        <v>0</v>
      </c>
      <c r="AI300" s="196">
        <f>IFERROR($G300/SUMIF($A:$A,$A300,$G:$G)*SUMIF(Summary!$A$247:$A$283,$A300,Summary!$P$247:$P$283),0)</f>
        <v>0</v>
      </c>
      <c r="AJ300" s="196">
        <f>IFERROR($G300/SUMIF($A:$A,$A300,$G:$G)*(SUMIF(Summary!$A$247:$A$283,$A300,Summary!$L$247:$L$283)+SUMIF(Summary!$A$297:$A$333,$A300,Summary!$L$297:$L$333))-AI300,0)</f>
        <v>0</v>
      </c>
      <c r="AK300" s="196">
        <f>IFERROR($G300/SUMIF($A:$A,$A300,$G:$G)*SUMIF(Summary!$A$247:$A$283,$A300,Summary!$Q$247:$Q$283),0)</f>
        <v>0</v>
      </c>
      <c r="AL300" s="196">
        <f>IFERROR($G300/SUMIF($A:$A,$A300,$G:$G)*(SUMIF(Summary!$A$247:$A$283,$A300,Summary!$L$247:$L$283)+SUMIF(Summary!$A$297:$A$333,$A300,Summary!$L$297:$L$333))-AK300,0)</f>
        <v>0</v>
      </c>
      <c r="AM300" s="198"/>
      <c r="AN300" s="196">
        <f t="shared" ca="1" si="68"/>
        <v>0</v>
      </c>
      <c r="AO300" s="196">
        <f t="shared" ca="1" si="69"/>
        <v>0</v>
      </c>
    </row>
    <row r="301" spans="1:41">
      <c r="A301" s="189">
        <v>3565</v>
      </c>
      <c r="B301" s="190">
        <v>5</v>
      </c>
      <c r="C301" s="191" t="s">
        <v>222</v>
      </c>
      <c r="D301" s="192">
        <f t="shared" si="56"/>
        <v>0</v>
      </c>
      <c r="E301" s="192">
        <f t="shared" si="57"/>
        <v>0</v>
      </c>
      <c r="F301" s="192">
        <f t="shared" si="58"/>
        <v>0</v>
      </c>
      <c r="G301" s="193">
        <f t="shared" si="59"/>
        <v>0</v>
      </c>
      <c r="H301" s="194">
        <v>0</v>
      </c>
      <c r="I301" s="194">
        <v>0</v>
      </c>
      <c r="J301" s="194">
        <v>0</v>
      </c>
      <c r="K301" s="193">
        <f t="shared" si="60"/>
        <v>0</v>
      </c>
      <c r="L301" s="194">
        <v>0</v>
      </c>
      <c r="M301" s="194">
        <v>0</v>
      </c>
      <c r="N301" s="194">
        <v>0</v>
      </c>
      <c r="O301" s="193">
        <f t="shared" si="61"/>
        <v>0</v>
      </c>
      <c r="P301" s="194">
        <v>0</v>
      </c>
      <c r="Q301" s="194">
        <v>0</v>
      </c>
      <c r="R301" s="194">
        <v>0</v>
      </c>
      <c r="S301" s="193">
        <f t="shared" si="62"/>
        <v>0</v>
      </c>
      <c r="T301" s="193">
        <f t="shared" si="63"/>
        <v>0</v>
      </c>
      <c r="U301" s="193">
        <f ca="1">OFFSET('Expenditure Study'!$B$7,'Operations Support'!$C301,'Operations Support'!$B301)*$G301</f>
        <v>0</v>
      </c>
      <c r="V301" s="199">
        <f ca="1">U301*'Expenditure Study'!$B$31</f>
        <v>0</v>
      </c>
      <c r="W301" s="199">
        <f ca="1">IF(A301=10298,1.51,1)*IF($B301&lt;3,$D301*'Expenditure Study'!$B$32*OFFSET('Expenditure Study'!$B$7,'Operations Support'!$C301,'Operations Support'!$B301),0)</f>
        <v>0</v>
      </c>
      <c r="X301" s="200">
        <f ca="1">W301*'Expenditure Study'!$B$31</f>
        <v>0</v>
      </c>
      <c r="Y301" s="199">
        <f ca="1">U301*'Expenditure Study'!$B$31</f>
        <v>0</v>
      </c>
      <c r="Z301" s="200">
        <f ca="1">W301*'Expenditure Study'!$B$31</f>
        <v>0</v>
      </c>
      <c r="AA301" s="195">
        <f t="shared" ca="1" si="64"/>
        <v>0</v>
      </c>
      <c r="AB301" s="195">
        <f t="shared" ca="1" si="65"/>
        <v>0</v>
      </c>
      <c r="AD301" s="196">
        <f>IFERROR($G301/SUMIF($A:$A,$A301,$G:$G)*SUMIF(Summary!$A$166:$A$242,$A301,Summary!$P$166:$P$242),0)</f>
        <v>0</v>
      </c>
      <c r="AE301" s="197">
        <f t="shared" ca="1" si="66"/>
        <v>0</v>
      </c>
      <c r="AF301" s="196">
        <f>IFERROR(G301/SUMIF(A:A,A301,G:G)*SUMIF(Summary!$A$166:$A$242,'Operations Support'!A301,Summary!$Q$166:$Q$242),0)</f>
        <v>0</v>
      </c>
      <c r="AG301" s="196">
        <f t="shared" ca="1" si="67"/>
        <v>0</v>
      </c>
      <c r="AI301" s="196">
        <f>IFERROR($G301/SUMIF($A:$A,$A301,$G:$G)*SUMIF(Summary!$A$247:$A$283,$A301,Summary!$P$247:$P$283),0)</f>
        <v>0</v>
      </c>
      <c r="AJ301" s="196">
        <f>IFERROR($G301/SUMIF($A:$A,$A301,$G:$G)*(SUMIF(Summary!$A$247:$A$283,$A301,Summary!$L$247:$L$283)+SUMIF(Summary!$A$297:$A$333,$A301,Summary!$L$297:$L$333))-AI301,0)</f>
        <v>0</v>
      </c>
      <c r="AK301" s="196">
        <f>IFERROR($G301/SUMIF($A:$A,$A301,$G:$G)*SUMIF(Summary!$A$247:$A$283,$A301,Summary!$Q$247:$Q$283),0)</f>
        <v>0</v>
      </c>
      <c r="AL301" s="196">
        <f>IFERROR($G301/SUMIF($A:$A,$A301,$G:$G)*(SUMIF(Summary!$A$247:$A$283,$A301,Summary!$L$247:$L$283)+SUMIF(Summary!$A$297:$A$333,$A301,Summary!$L$297:$L$333))-AK301,0)</f>
        <v>0</v>
      </c>
      <c r="AM301" s="198"/>
      <c r="AN301" s="196">
        <f t="shared" ca="1" si="68"/>
        <v>0</v>
      </c>
      <c r="AO301" s="196">
        <f t="shared" ca="1" si="69"/>
        <v>0</v>
      </c>
    </row>
    <row r="302" spans="1:41">
      <c r="A302" s="189">
        <v>3565</v>
      </c>
      <c r="B302" s="190">
        <v>5</v>
      </c>
      <c r="C302" s="191" t="s">
        <v>223</v>
      </c>
      <c r="D302" s="192">
        <f t="shared" si="56"/>
        <v>0</v>
      </c>
      <c r="E302" s="192">
        <f t="shared" si="57"/>
        <v>0</v>
      </c>
      <c r="F302" s="192">
        <f t="shared" si="58"/>
        <v>0</v>
      </c>
      <c r="G302" s="193">
        <f t="shared" si="59"/>
        <v>0</v>
      </c>
      <c r="H302" s="194">
        <v>0</v>
      </c>
      <c r="I302" s="194">
        <v>0</v>
      </c>
      <c r="J302" s="194">
        <v>0</v>
      </c>
      <c r="K302" s="193">
        <f t="shared" si="60"/>
        <v>0</v>
      </c>
      <c r="L302" s="194">
        <v>0</v>
      </c>
      <c r="M302" s="194">
        <v>0</v>
      </c>
      <c r="N302" s="194">
        <v>0</v>
      </c>
      <c r="O302" s="193">
        <f t="shared" si="61"/>
        <v>0</v>
      </c>
      <c r="P302" s="194">
        <v>0</v>
      </c>
      <c r="Q302" s="194">
        <v>0</v>
      </c>
      <c r="R302" s="194">
        <v>0</v>
      </c>
      <c r="S302" s="193">
        <f t="shared" si="62"/>
        <v>0</v>
      </c>
      <c r="T302" s="193">
        <f t="shared" si="63"/>
        <v>0</v>
      </c>
      <c r="U302" s="193">
        <f ca="1">OFFSET('Expenditure Study'!$B$7,'Operations Support'!$C302,'Operations Support'!$B302)*$G302</f>
        <v>0</v>
      </c>
      <c r="V302" s="199">
        <f ca="1">U302*'Expenditure Study'!$B$31</f>
        <v>0</v>
      </c>
      <c r="W302" s="199">
        <f ca="1">IF(A302=10298,1.51,1)*IF($B302&lt;3,$D302*'Expenditure Study'!$B$32*OFFSET('Expenditure Study'!$B$7,'Operations Support'!$C302,'Operations Support'!$B302),0)</f>
        <v>0</v>
      </c>
      <c r="X302" s="200">
        <f ca="1">W302*'Expenditure Study'!$B$31</f>
        <v>0</v>
      </c>
      <c r="Y302" s="199">
        <f ca="1">U302*'Expenditure Study'!$B$31</f>
        <v>0</v>
      </c>
      <c r="Z302" s="200">
        <f ca="1">W302*'Expenditure Study'!$B$31</f>
        <v>0</v>
      </c>
      <c r="AA302" s="195">
        <f t="shared" ca="1" si="64"/>
        <v>0</v>
      </c>
      <c r="AB302" s="195">
        <f t="shared" ca="1" si="65"/>
        <v>0</v>
      </c>
      <c r="AD302" s="196">
        <f>IFERROR($G302/SUMIF($A:$A,$A302,$G:$G)*SUMIF(Summary!$A$166:$A$242,$A302,Summary!$P$166:$P$242),0)</f>
        <v>0</v>
      </c>
      <c r="AE302" s="197">
        <f t="shared" ca="1" si="66"/>
        <v>0</v>
      </c>
      <c r="AF302" s="196">
        <f>IFERROR(G302/SUMIF(A:A,A302,G:G)*SUMIF(Summary!$A$166:$A$242,'Operations Support'!A302,Summary!$Q$166:$Q$242),0)</f>
        <v>0</v>
      </c>
      <c r="AG302" s="196">
        <f t="shared" ca="1" si="67"/>
        <v>0</v>
      </c>
      <c r="AI302" s="196">
        <f>IFERROR($G302/SUMIF($A:$A,$A302,$G:$G)*SUMIF(Summary!$A$247:$A$283,$A302,Summary!$P$247:$P$283),0)</f>
        <v>0</v>
      </c>
      <c r="AJ302" s="196">
        <f>IFERROR($G302/SUMIF($A:$A,$A302,$G:$G)*(SUMIF(Summary!$A$247:$A$283,$A302,Summary!$L$247:$L$283)+SUMIF(Summary!$A$297:$A$333,$A302,Summary!$L$297:$L$333))-AI302,0)</f>
        <v>0</v>
      </c>
      <c r="AK302" s="196">
        <f>IFERROR($G302/SUMIF($A:$A,$A302,$G:$G)*SUMIF(Summary!$A$247:$A$283,$A302,Summary!$Q$247:$Q$283),0)</f>
        <v>0</v>
      </c>
      <c r="AL302" s="196">
        <f>IFERROR($G302/SUMIF($A:$A,$A302,$G:$G)*(SUMIF(Summary!$A$247:$A$283,$A302,Summary!$L$247:$L$283)+SUMIF(Summary!$A$297:$A$333,$A302,Summary!$L$297:$L$333))-AK302,0)</f>
        <v>0</v>
      </c>
      <c r="AM302" s="198"/>
      <c r="AN302" s="196">
        <f t="shared" ca="1" si="68"/>
        <v>0</v>
      </c>
      <c r="AO302" s="196">
        <f t="shared" ca="1" si="69"/>
        <v>0</v>
      </c>
    </row>
    <row r="303" spans="1:41">
      <c r="A303" s="189">
        <v>3565</v>
      </c>
      <c r="B303" s="190">
        <v>5</v>
      </c>
      <c r="C303" s="191" t="s">
        <v>224</v>
      </c>
      <c r="D303" s="192">
        <f t="shared" si="56"/>
        <v>0</v>
      </c>
      <c r="E303" s="192">
        <f t="shared" si="57"/>
        <v>0</v>
      </c>
      <c r="F303" s="192">
        <f t="shared" si="58"/>
        <v>0</v>
      </c>
      <c r="G303" s="193">
        <f t="shared" si="59"/>
        <v>0</v>
      </c>
      <c r="H303" s="194">
        <v>0</v>
      </c>
      <c r="I303" s="194">
        <v>0</v>
      </c>
      <c r="J303" s="194">
        <v>0</v>
      </c>
      <c r="K303" s="193">
        <f t="shared" si="60"/>
        <v>0</v>
      </c>
      <c r="L303" s="194">
        <v>0</v>
      </c>
      <c r="M303" s="194">
        <v>0</v>
      </c>
      <c r="N303" s="194">
        <v>0</v>
      </c>
      <c r="O303" s="193">
        <f t="shared" si="61"/>
        <v>0</v>
      </c>
      <c r="P303" s="194">
        <v>0</v>
      </c>
      <c r="Q303" s="194">
        <v>0</v>
      </c>
      <c r="R303" s="194">
        <v>0</v>
      </c>
      <c r="S303" s="193">
        <f t="shared" si="62"/>
        <v>0</v>
      </c>
      <c r="T303" s="193">
        <f t="shared" si="63"/>
        <v>0</v>
      </c>
      <c r="U303" s="193">
        <f ca="1">OFFSET('Expenditure Study'!$B$7,'Operations Support'!$C303,'Operations Support'!$B303)*$G303</f>
        <v>0</v>
      </c>
      <c r="V303" s="199">
        <f ca="1">U303*'Expenditure Study'!$B$31</f>
        <v>0</v>
      </c>
      <c r="W303" s="199">
        <f ca="1">IF(A303=10298,1.51,1)*IF($B303&lt;3,$D303*'Expenditure Study'!$B$32*OFFSET('Expenditure Study'!$B$7,'Operations Support'!$C303,'Operations Support'!$B303),0)</f>
        <v>0</v>
      </c>
      <c r="X303" s="200">
        <f ca="1">W303*'Expenditure Study'!$B$31</f>
        <v>0</v>
      </c>
      <c r="Y303" s="199">
        <f ca="1">U303*'Expenditure Study'!$B$31</f>
        <v>0</v>
      </c>
      <c r="Z303" s="200">
        <f ca="1">W303*'Expenditure Study'!$B$31</f>
        <v>0</v>
      </c>
      <c r="AA303" s="195">
        <f t="shared" ca="1" si="64"/>
        <v>0</v>
      </c>
      <c r="AB303" s="195">
        <f t="shared" ca="1" si="65"/>
        <v>0</v>
      </c>
      <c r="AD303" s="196">
        <f>IFERROR($G303/SUMIF($A:$A,$A303,$G:$G)*SUMIF(Summary!$A$166:$A$242,$A303,Summary!$P$166:$P$242),0)</f>
        <v>0</v>
      </c>
      <c r="AE303" s="197">
        <f t="shared" ca="1" si="66"/>
        <v>0</v>
      </c>
      <c r="AF303" s="196">
        <f>IFERROR(G303/SUMIF(A:A,A303,G:G)*SUMIF(Summary!$A$166:$A$242,'Operations Support'!A303,Summary!$Q$166:$Q$242),0)</f>
        <v>0</v>
      </c>
      <c r="AG303" s="196">
        <f t="shared" ca="1" si="67"/>
        <v>0</v>
      </c>
      <c r="AI303" s="196">
        <f>IFERROR($G303/SUMIF($A:$A,$A303,$G:$G)*SUMIF(Summary!$A$247:$A$283,$A303,Summary!$P$247:$P$283),0)</f>
        <v>0</v>
      </c>
      <c r="AJ303" s="196">
        <f>IFERROR($G303/SUMIF($A:$A,$A303,$G:$G)*(SUMIF(Summary!$A$247:$A$283,$A303,Summary!$L$247:$L$283)+SUMIF(Summary!$A$297:$A$333,$A303,Summary!$L$297:$L$333))-AI303,0)</f>
        <v>0</v>
      </c>
      <c r="AK303" s="196">
        <f>IFERROR($G303/SUMIF($A:$A,$A303,$G:$G)*SUMIF(Summary!$A$247:$A$283,$A303,Summary!$Q$247:$Q$283),0)</f>
        <v>0</v>
      </c>
      <c r="AL303" s="196">
        <f>IFERROR($G303/SUMIF($A:$A,$A303,$G:$G)*(SUMIF(Summary!$A$247:$A$283,$A303,Summary!$L$247:$L$283)+SUMIF(Summary!$A$297:$A$333,$A303,Summary!$L$297:$L$333))-AK303,0)</f>
        <v>0</v>
      </c>
      <c r="AM303" s="198"/>
      <c r="AN303" s="196">
        <f t="shared" ca="1" si="68"/>
        <v>0</v>
      </c>
      <c r="AO303" s="196">
        <f t="shared" ca="1" si="69"/>
        <v>0</v>
      </c>
    </row>
    <row r="304" spans="1:41">
      <c r="A304" s="189">
        <v>3565</v>
      </c>
      <c r="B304" s="190">
        <v>5</v>
      </c>
      <c r="C304" s="191" t="s">
        <v>225</v>
      </c>
      <c r="D304" s="192">
        <f t="shared" si="56"/>
        <v>0</v>
      </c>
      <c r="E304" s="192">
        <f t="shared" si="57"/>
        <v>0</v>
      </c>
      <c r="F304" s="192">
        <f t="shared" si="58"/>
        <v>0</v>
      </c>
      <c r="G304" s="193">
        <f t="shared" si="59"/>
        <v>0</v>
      </c>
      <c r="H304" s="194">
        <v>0</v>
      </c>
      <c r="I304" s="194">
        <v>0</v>
      </c>
      <c r="J304" s="194">
        <v>0</v>
      </c>
      <c r="K304" s="193">
        <f t="shared" si="60"/>
        <v>0</v>
      </c>
      <c r="L304" s="194">
        <v>0</v>
      </c>
      <c r="M304" s="194">
        <v>0</v>
      </c>
      <c r="N304" s="194">
        <v>0</v>
      </c>
      <c r="O304" s="193">
        <f t="shared" si="61"/>
        <v>0</v>
      </c>
      <c r="P304" s="194">
        <v>0</v>
      </c>
      <c r="Q304" s="194">
        <v>0</v>
      </c>
      <c r="R304" s="194">
        <v>0</v>
      </c>
      <c r="S304" s="193">
        <f t="shared" si="62"/>
        <v>0</v>
      </c>
      <c r="T304" s="193">
        <f t="shared" si="63"/>
        <v>0</v>
      </c>
      <c r="U304" s="193">
        <f ca="1">OFFSET('Expenditure Study'!$B$7,'Operations Support'!$C304,'Operations Support'!$B304)*$G304</f>
        <v>0</v>
      </c>
      <c r="V304" s="199">
        <f ca="1">U304*'Expenditure Study'!$B$31</f>
        <v>0</v>
      </c>
      <c r="W304" s="199">
        <f ca="1">IF(A304=10298,1.51,1)*IF($B304&lt;3,$D304*'Expenditure Study'!$B$32*OFFSET('Expenditure Study'!$B$7,'Operations Support'!$C304,'Operations Support'!$B304),0)</f>
        <v>0</v>
      </c>
      <c r="X304" s="200">
        <f ca="1">W304*'Expenditure Study'!$B$31</f>
        <v>0</v>
      </c>
      <c r="Y304" s="199">
        <f ca="1">U304*'Expenditure Study'!$B$31</f>
        <v>0</v>
      </c>
      <c r="Z304" s="200">
        <f ca="1">W304*'Expenditure Study'!$B$31</f>
        <v>0</v>
      </c>
      <c r="AA304" s="195">
        <f t="shared" ca="1" si="64"/>
        <v>0</v>
      </c>
      <c r="AB304" s="195">
        <f t="shared" ca="1" si="65"/>
        <v>0</v>
      </c>
      <c r="AD304" s="196">
        <f>IFERROR($G304/SUMIF($A:$A,$A304,$G:$G)*SUMIF(Summary!$A$166:$A$242,$A304,Summary!$P$166:$P$242),0)</f>
        <v>0</v>
      </c>
      <c r="AE304" s="197">
        <f t="shared" ca="1" si="66"/>
        <v>0</v>
      </c>
      <c r="AF304" s="196">
        <f>IFERROR(G304/SUMIF(A:A,A304,G:G)*SUMIF(Summary!$A$166:$A$242,'Operations Support'!A304,Summary!$Q$166:$Q$242),0)</f>
        <v>0</v>
      </c>
      <c r="AG304" s="196">
        <f t="shared" ca="1" si="67"/>
        <v>0</v>
      </c>
      <c r="AI304" s="196">
        <f>IFERROR($G304/SUMIF($A:$A,$A304,$G:$G)*SUMIF(Summary!$A$247:$A$283,$A304,Summary!$P$247:$P$283),0)</f>
        <v>0</v>
      </c>
      <c r="AJ304" s="196">
        <f>IFERROR($G304/SUMIF($A:$A,$A304,$G:$G)*(SUMIF(Summary!$A$247:$A$283,$A304,Summary!$L$247:$L$283)+SUMIF(Summary!$A$297:$A$333,$A304,Summary!$L$297:$L$333))-AI304,0)</f>
        <v>0</v>
      </c>
      <c r="AK304" s="196">
        <f>IFERROR($G304/SUMIF($A:$A,$A304,$G:$G)*SUMIF(Summary!$A$247:$A$283,$A304,Summary!$Q$247:$Q$283),0)</f>
        <v>0</v>
      </c>
      <c r="AL304" s="196">
        <f>IFERROR($G304/SUMIF($A:$A,$A304,$G:$G)*(SUMIF(Summary!$A$247:$A$283,$A304,Summary!$L$247:$L$283)+SUMIF(Summary!$A$297:$A$333,$A304,Summary!$L$297:$L$333))-AK304,0)</f>
        <v>0</v>
      </c>
      <c r="AM304" s="198"/>
      <c r="AN304" s="196">
        <f t="shared" ca="1" si="68"/>
        <v>0</v>
      </c>
      <c r="AO304" s="196">
        <f t="shared" ca="1" si="69"/>
        <v>0</v>
      </c>
    </row>
    <row r="305" spans="1:41">
      <c r="A305" s="189">
        <v>3565</v>
      </c>
      <c r="B305" s="190">
        <v>5</v>
      </c>
      <c r="C305" s="191" t="s">
        <v>226</v>
      </c>
      <c r="D305" s="192">
        <f t="shared" si="56"/>
        <v>0</v>
      </c>
      <c r="E305" s="192">
        <f t="shared" si="57"/>
        <v>0</v>
      </c>
      <c r="F305" s="192">
        <f t="shared" si="58"/>
        <v>0</v>
      </c>
      <c r="G305" s="193">
        <f t="shared" si="59"/>
        <v>0</v>
      </c>
      <c r="H305" s="194">
        <v>0</v>
      </c>
      <c r="I305" s="194">
        <v>0</v>
      </c>
      <c r="J305" s="194">
        <v>0</v>
      </c>
      <c r="K305" s="193">
        <f t="shared" si="60"/>
        <v>0</v>
      </c>
      <c r="L305" s="194">
        <v>0</v>
      </c>
      <c r="M305" s="194">
        <v>0</v>
      </c>
      <c r="N305" s="194">
        <v>0</v>
      </c>
      <c r="O305" s="193">
        <f t="shared" si="61"/>
        <v>0</v>
      </c>
      <c r="P305" s="194">
        <v>0</v>
      </c>
      <c r="Q305" s="194">
        <v>0</v>
      </c>
      <c r="R305" s="194">
        <v>0</v>
      </c>
      <c r="S305" s="193">
        <f t="shared" si="62"/>
        <v>0</v>
      </c>
      <c r="T305" s="193">
        <f t="shared" si="63"/>
        <v>0</v>
      </c>
      <c r="U305" s="193">
        <f ca="1">OFFSET('Expenditure Study'!$B$7,'Operations Support'!$C305,'Operations Support'!$B305)*$G305</f>
        <v>0</v>
      </c>
      <c r="V305" s="199">
        <f ca="1">U305*'Expenditure Study'!$B$31</f>
        <v>0</v>
      </c>
      <c r="W305" s="199">
        <f ca="1">IF(A305=10298,1.51,1)*IF($B305&lt;3,$D305*'Expenditure Study'!$B$32*OFFSET('Expenditure Study'!$B$7,'Operations Support'!$C305,'Operations Support'!$B305),0)</f>
        <v>0</v>
      </c>
      <c r="X305" s="200">
        <f ca="1">W305*'Expenditure Study'!$B$31</f>
        <v>0</v>
      </c>
      <c r="Y305" s="199">
        <f ca="1">U305*'Expenditure Study'!$B$31</f>
        <v>0</v>
      </c>
      <c r="Z305" s="200">
        <f ca="1">W305*'Expenditure Study'!$B$31</f>
        <v>0</v>
      </c>
      <c r="AA305" s="195">
        <f t="shared" ca="1" si="64"/>
        <v>0</v>
      </c>
      <c r="AB305" s="195">
        <f t="shared" ca="1" si="65"/>
        <v>0</v>
      </c>
      <c r="AD305" s="196">
        <f>IFERROR($G305/SUMIF($A:$A,$A305,$G:$G)*SUMIF(Summary!$A$166:$A$242,$A305,Summary!$P$166:$P$242),0)</f>
        <v>0</v>
      </c>
      <c r="AE305" s="197">
        <f t="shared" ca="1" si="66"/>
        <v>0</v>
      </c>
      <c r="AF305" s="196">
        <f>IFERROR(G305/SUMIF(A:A,A305,G:G)*SUMIF(Summary!$A$166:$A$242,'Operations Support'!A305,Summary!$Q$166:$Q$242),0)</f>
        <v>0</v>
      </c>
      <c r="AG305" s="196">
        <f t="shared" ca="1" si="67"/>
        <v>0</v>
      </c>
      <c r="AI305" s="196">
        <f>IFERROR($G305/SUMIF($A:$A,$A305,$G:$G)*SUMIF(Summary!$A$247:$A$283,$A305,Summary!$P$247:$P$283),0)</f>
        <v>0</v>
      </c>
      <c r="AJ305" s="196">
        <f>IFERROR($G305/SUMIF($A:$A,$A305,$G:$G)*(SUMIF(Summary!$A$247:$A$283,$A305,Summary!$L$247:$L$283)+SUMIF(Summary!$A$297:$A$333,$A305,Summary!$L$297:$L$333))-AI305,0)</f>
        <v>0</v>
      </c>
      <c r="AK305" s="196">
        <f>IFERROR($G305/SUMIF($A:$A,$A305,$G:$G)*SUMIF(Summary!$A$247:$A$283,$A305,Summary!$Q$247:$Q$283),0)</f>
        <v>0</v>
      </c>
      <c r="AL305" s="196">
        <f>IFERROR($G305/SUMIF($A:$A,$A305,$G:$G)*(SUMIF(Summary!$A$247:$A$283,$A305,Summary!$L$247:$L$283)+SUMIF(Summary!$A$297:$A$333,$A305,Summary!$L$297:$L$333))-AK305,0)</f>
        <v>0</v>
      </c>
      <c r="AM305" s="198"/>
      <c r="AN305" s="196">
        <f t="shared" ca="1" si="68"/>
        <v>0</v>
      </c>
      <c r="AO305" s="196">
        <f t="shared" ca="1" si="69"/>
        <v>0</v>
      </c>
    </row>
    <row r="306" spans="1:41">
      <c r="A306" s="189">
        <v>3565</v>
      </c>
      <c r="B306" s="190">
        <v>5</v>
      </c>
      <c r="C306" s="191" t="s">
        <v>227</v>
      </c>
      <c r="D306" s="192">
        <f t="shared" si="56"/>
        <v>0</v>
      </c>
      <c r="E306" s="192">
        <f t="shared" si="57"/>
        <v>0</v>
      </c>
      <c r="F306" s="192">
        <f t="shared" si="58"/>
        <v>0</v>
      </c>
      <c r="G306" s="193">
        <f t="shared" si="59"/>
        <v>0</v>
      </c>
      <c r="H306" s="194">
        <v>0</v>
      </c>
      <c r="I306" s="194">
        <v>0</v>
      </c>
      <c r="J306" s="194">
        <v>0</v>
      </c>
      <c r="K306" s="193">
        <f t="shared" si="60"/>
        <v>0</v>
      </c>
      <c r="L306" s="194">
        <v>0</v>
      </c>
      <c r="M306" s="194">
        <v>0</v>
      </c>
      <c r="N306" s="194">
        <v>0</v>
      </c>
      <c r="O306" s="193">
        <f t="shared" si="61"/>
        <v>0</v>
      </c>
      <c r="P306" s="194">
        <v>0</v>
      </c>
      <c r="Q306" s="194">
        <v>0</v>
      </c>
      <c r="R306" s="194">
        <v>0</v>
      </c>
      <c r="S306" s="193">
        <f t="shared" si="62"/>
        <v>0</v>
      </c>
      <c r="T306" s="193">
        <f t="shared" si="63"/>
        <v>0</v>
      </c>
      <c r="U306" s="193">
        <f ca="1">OFFSET('Expenditure Study'!$B$7,'Operations Support'!$C306,'Operations Support'!$B306)*$G306</f>
        <v>0</v>
      </c>
      <c r="V306" s="199">
        <f ca="1">U306*'Expenditure Study'!$B$31</f>
        <v>0</v>
      </c>
      <c r="W306" s="199">
        <f ca="1">IF(A306=10298,1.51,1)*IF($B306&lt;3,$D306*'Expenditure Study'!$B$32*OFFSET('Expenditure Study'!$B$7,'Operations Support'!$C306,'Operations Support'!$B306),0)</f>
        <v>0</v>
      </c>
      <c r="X306" s="200">
        <f ca="1">W306*'Expenditure Study'!$B$31</f>
        <v>0</v>
      </c>
      <c r="Y306" s="199">
        <f ca="1">U306*'Expenditure Study'!$B$31</f>
        <v>0</v>
      </c>
      <c r="Z306" s="200">
        <f ca="1">W306*'Expenditure Study'!$B$31</f>
        <v>0</v>
      </c>
      <c r="AA306" s="195">
        <f t="shared" ca="1" si="64"/>
        <v>0</v>
      </c>
      <c r="AB306" s="195">
        <f t="shared" ca="1" si="65"/>
        <v>0</v>
      </c>
      <c r="AD306" s="196">
        <f>IFERROR($G306/SUMIF($A:$A,$A306,$G:$G)*SUMIF(Summary!$A$166:$A$242,$A306,Summary!$P$166:$P$242),0)</f>
        <v>0</v>
      </c>
      <c r="AE306" s="197">
        <f t="shared" ca="1" si="66"/>
        <v>0</v>
      </c>
      <c r="AF306" s="196">
        <f>IFERROR(G306/SUMIF(A:A,A306,G:G)*SUMIF(Summary!$A$166:$A$242,'Operations Support'!A306,Summary!$Q$166:$Q$242),0)</f>
        <v>0</v>
      </c>
      <c r="AG306" s="196">
        <f t="shared" ca="1" si="67"/>
        <v>0</v>
      </c>
      <c r="AI306" s="196">
        <f>IFERROR($G306/SUMIF($A:$A,$A306,$G:$G)*SUMIF(Summary!$A$247:$A$283,$A306,Summary!$P$247:$P$283),0)</f>
        <v>0</v>
      </c>
      <c r="AJ306" s="196">
        <f>IFERROR($G306/SUMIF($A:$A,$A306,$G:$G)*(SUMIF(Summary!$A$247:$A$283,$A306,Summary!$L$247:$L$283)+SUMIF(Summary!$A$297:$A$333,$A306,Summary!$L$297:$L$333))-AI306,0)</f>
        <v>0</v>
      </c>
      <c r="AK306" s="196">
        <f>IFERROR($G306/SUMIF($A:$A,$A306,$G:$G)*SUMIF(Summary!$A$247:$A$283,$A306,Summary!$Q$247:$Q$283),0)</f>
        <v>0</v>
      </c>
      <c r="AL306" s="196">
        <f>IFERROR($G306/SUMIF($A:$A,$A306,$G:$G)*(SUMIF(Summary!$A$247:$A$283,$A306,Summary!$L$247:$L$283)+SUMIF(Summary!$A$297:$A$333,$A306,Summary!$L$297:$L$333))-AK306,0)</f>
        <v>0</v>
      </c>
      <c r="AM306" s="198"/>
      <c r="AN306" s="196">
        <f t="shared" ca="1" si="68"/>
        <v>0</v>
      </c>
      <c r="AO306" s="196">
        <f t="shared" ca="1" si="69"/>
        <v>0</v>
      </c>
    </row>
    <row r="307" spans="1:41">
      <c r="A307" s="189">
        <v>3565</v>
      </c>
      <c r="B307" s="190">
        <v>5</v>
      </c>
      <c r="C307" s="191" t="s">
        <v>228</v>
      </c>
      <c r="D307" s="192">
        <f t="shared" si="56"/>
        <v>0</v>
      </c>
      <c r="E307" s="192">
        <f t="shared" si="57"/>
        <v>0</v>
      </c>
      <c r="F307" s="192">
        <f t="shared" si="58"/>
        <v>0</v>
      </c>
      <c r="G307" s="193">
        <f t="shared" si="59"/>
        <v>0</v>
      </c>
      <c r="H307" s="194">
        <v>0</v>
      </c>
      <c r="I307" s="194">
        <v>0</v>
      </c>
      <c r="J307" s="194">
        <v>0</v>
      </c>
      <c r="K307" s="193">
        <f t="shared" si="60"/>
        <v>0</v>
      </c>
      <c r="L307" s="194">
        <v>0</v>
      </c>
      <c r="M307" s="194">
        <v>0</v>
      </c>
      <c r="N307" s="194">
        <v>0</v>
      </c>
      <c r="O307" s="193">
        <f t="shared" si="61"/>
        <v>0</v>
      </c>
      <c r="P307" s="194">
        <v>0</v>
      </c>
      <c r="Q307" s="194">
        <v>0</v>
      </c>
      <c r="R307" s="194">
        <v>0</v>
      </c>
      <c r="S307" s="193">
        <f t="shared" si="62"/>
        <v>0</v>
      </c>
      <c r="T307" s="193">
        <f t="shared" si="63"/>
        <v>0</v>
      </c>
      <c r="U307" s="193">
        <f ca="1">OFFSET('Expenditure Study'!$B$7,'Operations Support'!$C307,'Operations Support'!$B307)*$G307</f>
        <v>0</v>
      </c>
      <c r="V307" s="199">
        <f ca="1">U307*'Expenditure Study'!$B$31</f>
        <v>0</v>
      </c>
      <c r="W307" s="199">
        <f ca="1">IF(A307=10298,1.51,1)*IF($B307&lt;3,$D307*'Expenditure Study'!$B$32*OFFSET('Expenditure Study'!$B$7,'Operations Support'!$C307,'Operations Support'!$B307),0)</f>
        <v>0</v>
      </c>
      <c r="X307" s="200">
        <f ca="1">W307*'Expenditure Study'!$B$31</f>
        <v>0</v>
      </c>
      <c r="Y307" s="199">
        <f ca="1">U307*'Expenditure Study'!$B$31</f>
        <v>0</v>
      </c>
      <c r="Z307" s="200">
        <f ca="1">W307*'Expenditure Study'!$B$31</f>
        <v>0</v>
      </c>
      <c r="AA307" s="195">
        <f t="shared" ca="1" si="64"/>
        <v>0</v>
      </c>
      <c r="AB307" s="195">
        <f t="shared" ca="1" si="65"/>
        <v>0</v>
      </c>
      <c r="AD307" s="196">
        <f>IFERROR($G307/SUMIF($A:$A,$A307,$G:$G)*SUMIF(Summary!$A$166:$A$242,$A307,Summary!$P$166:$P$242),0)</f>
        <v>0</v>
      </c>
      <c r="AE307" s="197">
        <f t="shared" ca="1" si="66"/>
        <v>0</v>
      </c>
      <c r="AF307" s="196">
        <f>IFERROR(G307/SUMIF(A:A,A307,G:G)*SUMIF(Summary!$A$166:$A$242,'Operations Support'!A307,Summary!$Q$166:$Q$242),0)</f>
        <v>0</v>
      </c>
      <c r="AG307" s="196">
        <f t="shared" ca="1" si="67"/>
        <v>0</v>
      </c>
      <c r="AI307" s="196">
        <f>IFERROR($G307/SUMIF($A:$A,$A307,$G:$G)*SUMIF(Summary!$A$247:$A$283,$A307,Summary!$P$247:$P$283),0)</f>
        <v>0</v>
      </c>
      <c r="AJ307" s="196">
        <f>IFERROR($G307/SUMIF($A:$A,$A307,$G:$G)*(SUMIF(Summary!$A$247:$A$283,$A307,Summary!$L$247:$L$283)+SUMIF(Summary!$A$297:$A$333,$A307,Summary!$L$297:$L$333))-AI307,0)</f>
        <v>0</v>
      </c>
      <c r="AK307" s="196">
        <f>IFERROR($G307/SUMIF($A:$A,$A307,$G:$G)*SUMIF(Summary!$A$247:$A$283,$A307,Summary!$Q$247:$Q$283),0)</f>
        <v>0</v>
      </c>
      <c r="AL307" s="196">
        <f>IFERROR($G307/SUMIF($A:$A,$A307,$G:$G)*(SUMIF(Summary!$A$247:$A$283,$A307,Summary!$L$247:$L$283)+SUMIF(Summary!$A$297:$A$333,$A307,Summary!$L$297:$L$333))-AK307,0)</f>
        <v>0</v>
      </c>
      <c r="AM307" s="198"/>
      <c r="AN307" s="196">
        <f t="shared" ca="1" si="68"/>
        <v>0</v>
      </c>
      <c r="AO307" s="196">
        <f t="shared" ca="1" si="69"/>
        <v>0</v>
      </c>
    </row>
    <row r="308" spans="1:41">
      <c r="A308" s="189">
        <v>3565</v>
      </c>
      <c r="B308" s="190">
        <v>5</v>
      </c>
      <c r="C308" s="191" t="s">
        <v>229</v>
      </c>
      <c r="D308" s="192">
        <f t="shared" si="56"/>
        <v>0</v>
      </c>
      <c r="E308" s="192">
        <f t="shared" si="57"/>
        <v>0</v>
      </c>
      <c r="F308" s="192">
        <f t="shared" si="58"/>
        <v>0</v>
      </c>
      <c r="G308" s="193">
        <f t="shared" si="59"/>
        <v>0</v>
      </c>
      <c r="H308" s="194">
        <v>0</v>
      </c>
      <c r="I308" s="194">
        <v>0</v>
      </c>
      <c r="J308" s="194">
        <v>0</v>
      </c>
      <c r="K308" s="193">
        <f t="shared" si="60"/>
        <v>0</v>
      </c>
      <c r="L308" s="194">
        <v>0</v>
      </c>
      <c r="M308" s="194">
        <v>0</v>
      </c>
      <c r="N308" s="194">
        <v>0</v>
      </c>
      <c r="O308" s="193">
        <f t="shared" si="61"/>
        <v>0</v>
      </c>
      <c r="P308" s="194">
        <v>0</v>
      </c>
      <c r="Q308" s="194">
        <v>0</v>
      </c>
      <c r="R308" s="194">
        <v>0</v>
      </c>
      <c r="S308" s="193">
        <f t="shared" si="62"/>
        <v>0</v>
      </c>
      <c r="T308" s="193">
        <f t="shared" si="63"/>
        <v>0</v>
      </c>
      <c r="U308" s="193">
        <f ca="1">OFFSET('Expenditure Study'!$B$7,'Operations Support'!$C308,'Operations Support'!$B308)*$G308</f>
        <v>0</v>
      </c>
      <c r="V308" s="199">
        <f ca="1">U308*'Expenditure Study'!$B$31</f>
        <v>0</v>
      </c>
      <c r="W308" s="199">
        <f ca="1">IF(A308=10298,1.51,1)*IF($B308&lt;3,$D308*'Expenditure Study'!$B$32*OFFSET('Expenditure Study'!$B$7,'Operations Support'!$C308,'Operations Support'!$B308),0)</f>
        <v>0</v>
      </c>
      <c r="X308" s="200">
        <f ca="1">W308*'Expenditure Study'!$B$31</f>
        <v>0</v>
      </c>
      <c r="Y308" s="199">
        <f ca="1">U308*'Expenditure Study'!$B$31</f>
        <v>0</v>
      </c>
      <c r="Z308" s="200">
        <f ca="1">W308*'Expenditure Study'!$B$31</f>
        <v>0</v>
      </c>
      <c r="AA308" s="195">
        <f t="shared" ca="1" si="64"/>
        <v>0</v>
      </c>
      <c r="AB308" s="195">
        <f t="shared" ca="1" si="65"/>
        <v>0</v>
      </c>
      <c r="AD308" s="196">
        <f>IFERROR($G308/SUMIF($A:$A,$A308,$G:$G)*SUMIF(Summary!$A$166:$A$242,$A308,Summary!$P$166:$P$242),0)</f>
        <v>0</v>
      </c>
      <c r="AE308" s="197">
        <f t="shared" ca="1" si="66"/>
        <v>0</v>
      </c>
      <c r="AF308" s="196">
        <f>IFERROR(G308/SUMIF(A:A,A308,G:G)*SUMIF(Summary!$A$166:$A$242,'Operations Support'!A308,Summary!$Q$166:$Q$242),0)</f>
        <v>0</v>
      </c>
      <c r="AG308" s="196">
        <f t="shared" ca="1" si="67"/>
        <v>0</v>
      </c>
      <c r="AI308" s="196">
        <f>IFERROR($G308/SUMIF($A:$A,$A308,$G:$G)*SUMIF(Summary!$A$247:$A$283,$A308,Summary!$P$247:$P$283),0)</f>
        <v>0</v>
      </c>
      <c r="AJ308" s="196">
        <f>IFERROR($G308/SUMIF($A:$A,$A308,$G:$G)*(SUMIF(Summary!$A$247:$A$283,$A308,Summary!$L$247:$L$283)+SUMIF(Summary!$A$297:$A$333,$A308,Summary!$L$297:$L$333))-AI308,0)</f>
        <v>0</v>
      </c>
      <c r="AK308" s="196">
        <f>IFERROR($G308/SUMIF($A:$A,$A308,$G:$G)*SUMIF(Summary!$A$247:$A$283,$A308,Summary!$Q$247:$Q$283),0)</f>
        <v>0</v>
      </c>
      <c r="AL308" s="196">
        <f>IFERROR($G308/SUMIF($A:$A,$A308,$G:$G)*(SUMIF(Summary!$A$247:$A$283,$A308,Summary!$L$247:$L$283)+SUMIF(Summary!$A$297:$A$333,$A308,Summary!$L$297:$L$333))-AK308,0)</f>
        <v>0</v>
      </c>
      <c r="AM308" s="198"/>
      <c r="AN308" s="196">
        <f t="shared" ca="1" si="68"/>
        <v>0</v>
      </c>
      <c r="AO308" s="196">
        <f t="shared" ca="1" si="69"/>
        <v>0</v>
      </c>
    </row>
    <row r="309" spans="1:41">
      <c r="A309" s="189">
        <v>3565</v>
      </c>
      <c r="B309" s="190">
        <v>5</v>
      </c>
      <c r="C309" s="191" t="s">
        <v>230</v>
      </c>
      <c r="D309" s="192">
        <f t="shared" si="56"/>
        <v>0</v>
      </c>
      <c r="E309" s="192">
        <f t="shared" si="57"/>
        <v>0</v>
      </c>
      <c r="F309" s="192">
        <f t="shared" si="58"/>
        <v>0</v>
      </c>
      <c r="G309" s="193">
        <f t="shared" si="59"/>
        <v>0</v>
      </c>
      <c r="H309" s="194">
        <v>0</v>
      </c>
      <c r="I309" s="194">
        <v>0</v>
      </c>
      <c r="J309" s="194">
        <v>0</v>
      </c>
      <c r="K309" s="193">
        <f t="shared" si="60"/>
        <v>0</v>
      </c>
      <c r="L309" s="194">
        <v>0</v>
      </c>
      <c r="M309" s="194">
        <v>0</v>
      </c>
      <c r="N309" s="194">
        <v>0</v>
      </c>
      <c r="O309" s="193">
        <f t="shared" si="61"/>
        <v>0</v>
      </c>
      <c r="P309" s="194">
        <v>0</v>
      </c>
      <c r="Q309" s="194">
        <v>0</v>
      </c>
      <c r="R309" s="194">
        <v>0</v>
      </c>
      <c r="S309" s="193">
        <f t="shared" si="62"/>
        <v>0</v>
      </c>
      <c r="T309" s="193">
        <f t="shared" si="63"/>
        <v>0</v>
      </c>
      <c r="U309" s="193">
        <f ca="1">OFFSET('Expenditure Study'!$B$7,'Operations Support'!$C309,'Operations Support'!$B309)*$G309</f>
        <v>0</v>
      </c>
      <c r="V309" s="199">
        <f ca="1">U309*'Expenditure Study'!$B$31</f>
        <v>0</v>
      </c>
      <c r="W309" s="199">
        <f ca="1">IF(A309=10298,1.51,1)*IF($B309&lt;3,$D309*'Expenditure Study'!$B$32*OFFSET('Expenditure Study'!$B$7,'Operations Support'!$C309,'Operations Support'!$B309),0)</f>
        <v>0</v>
      </c>
      <c r="X309" s="200">
        <f ca="1">W309*'Expenditure Study'!$B$31</f>
        <v>0</v>
      </c>
      <c r="Y309" s="199">
        <f ca="1">U309*'Expenditure Study'!$B$31</f>
        <v>0</v>
      </c>
      <c r="Z309" s="200">
        <f ca="1">W309*'Expenditure Study'!$B$31</f>
        <v>0</v>
      </c>
      <c r="AA309" s="195">
        <f t="shared" ca="1" si="64"/>
        <v>0</v>
      </c>
      <c r="AB309" s="195">
        <f t="shared" ca="1" si="65"/>
        <v>0</v>
      </c>
      <c r="AD309" s="196">
        <f>IFERROR($G309/SUMIF($A:$A,$A309,$G:$G)*SUMIF(Summary!$A$166:$A$242,$A309,Summary!$P$166:$P$242),0)</f>
        <v>0</v>
      </c>
      <c r="AE309" s="197">
        <f t="shared" ca="1" si="66"/>
        <v>0</v>
      </c>
      <c r="AF309" s="196">
        <f>IFERROR(G309/SUMIF(A:A,A309,G:G)*SUMIF(Summary!$A$166:$A$242,'Operations Support'!A309,Summary!$Q$166:$Q$242),0)</f>
        <v>0</v>
      </c>
      <c r="AG309" s="196">
        <f t="shared" ca="1" si="67"/>
        <v>0</v>
      </c>
      <c r="AI309" s="196">
        <f>IFERROR($G309/SUMIF($A:$A,$A309,$G:$G)*SUMIF(Summary!$A$247:$A$283,$A309,Summary!$P$247:$P$283),0)</f>
        <v>0</v>
      </c>
      <c r="AJ309" s="196">
        <f>IFERROR($G309/SUMIF($A:$A,$A309,$G:$G)*(SUMIF(Summary!$A$247:$A$283,$A309,Summary!$L$247:$L$283)+SUMIF(Summary!$A$297:$A$333,$A309,Summary!$L$297:$L$333))-AI309,0)</f>
        <v>0</v>
      </c>
      <c r="AK309" s="196">
        <f>IFERROR($G309/SUMIF($A:$A,$A309,$G:$G)*SUMIF(Summary!$A$247:$A$283,$A309,Summary!$Q$247:$Q$283),0)</f>
        <v>0</v>
      </c>
      <c r="AL309" s="196">
        <f>IFERROR($G309/SUMIF($A:$A,$A309,$G:$G)*(SUMIF(Summary!$A$247:$A$283,$A309,Summary!$L$247:$L$283)+SUMIF(Summary!$A$297:$A$333,$A309,Summary!$L$297:$L$333))-AK309,0)</f>
        <v>0</v>
      </c>
      <c r="AM309" s="198"/>
      <c r="AN309" s="196">
        <f t="shared" ca="1" si="68"/>
        <v>0</v>
      </c>
      <c r="AO309" s="196">
        <f t="shared" ca="1" si="69"/>
        <v>0</v>
      </c>
    </row>
    <row r="310" spans="1:41">
      <c r="A310" s="189">
        <v>3565</v>
      </c>
      <c r="B310" s="190">
        <v>5</v>
      </c>
      <c r="C310" s="191" t="s">
        <v>231</v>
      </c>
      <c r="D310" s="192">
        <f t="shared" si="56"/>
        <v>0</v>
      </c>
      <c r="E310" s="192">
        <f t="shared" si="57"/>
        <v>0</v>
      </c>
      <c r="F310" s="192">
        <f t="shared" si="58"/>
        <v>0</v>
      </c>
      <c r="G310" s="193">
        <f t="shared" si="59"/>
        <v>0</v>
      </c>
      <c r="H310" s="194">
        <v>0</v>
      </c>
      <c r="I310" s="194">
        <v>0</v>
      </c>
      <c r="J310" s="194">
        <v>0</v>
      </c>
      <c r="K310" s="193">
        <f t="shared" si="60"/>
        <v>0</v>
      </c>
      <c r="L310" s="194">
        <v>0</v>
      </c>
      <c r="M310" s="194">
        <v>0</v>
      </c>
      <c r="N310" s="194">
        <v>0</v>
      </c>
      <c r="O310" s="193">
        <f t="shared" si="61"/>
        <v>0</v>
      </c>
      <c r="P310" s="194">
        <v>0</v>
      </c>
      <c r="Q310" s="194">
        <v>0</v>
      </c>
      <c r="R310" s="194">
        <v>0</v>
      </c>
      <c r="S310" s="193">
        <f t="shared" si="62"/>
        <v>0</v>
      </c>
      <c r="T310" s="193">
        <f t="shared" si="63"/>
        <v>0</v>
      </c>
      <c r="U310" s="193">
        <f ca="1">OFFSET('Expenditure Study'!$B$7,'Operations Support'!$C310,'Operations Support'!$B310)*$G310</f>
        <v>0</v>
      </c>
      <c r="V310" s="199">
        <f ca="1">U310*'Expenditure Study'!$B$31</f>
        <v>0</v>
      </c>
      <c r="W310" s="199">
        <f ca="1">IF(A310=10298,1.51,1)*IF($B310&lt;3,$D310*'Expenditure Study'!$B$32*OFFSET('Expenditure Study'!$B$7,'Operations Support'!$C310,'Operations Support'!$B310),0)</f>
        <v>0</v>
      </c>
      <c r="X310" s="200">
        <f ca="1">W310*'Expenditure Study'!$B$31</f>
        <v>0</v>
      </c>
      <c r="Y310" s="199">
        <f ca="1">U310*'Expenditure Study'!$B$31</f>
        <v>0</v>
      </c>
      <c r="Z310" s="200">
        <f ca="1">W310*'Expenditure Study'!$B$31</f>
        <v>0</v>
      </c>
      <c r="AA310" s="195">
        <f t="shared" ca="1" si="64"/>
        <v>0</v>
      </c>
      <c r="AB310" s="195">
        <f t="shared" ca="1" si="65"/>
        <v>0</v>
      </c>
      <c r="AD310" s="196">
        <f>IFERROR($G310/SUMIF($A:$A,$A310,$G:$G)*SUMIF(Summary!$A$166:$A$242,$A310,Summary!$P$166:$P$242),0)</f>
        <v>0</v>
      </c>
      <c r="AE310" s="197">
        <f t="shared" ca="1" si="66"/>
        <v>0</v>
      </c>
      <c r="AF310" s="196">
        <f>IFERROR(G310/SUMIF(A:A,A310,G:G)*SUMIF(Summary!$A$166:$A$242,'Operations Support'!A310,Summary!$Q$166:$Q$242),0)</f>
        <v>0</v>
      </c>
      <c r="AG310" s="196">
        <f t="shared" ca="1" si="67"/>
        <v>0</v>
      </c>
      <c r="AI310" s="196">
        <f>IFERROR($G310/SUMIF($A:$A,$A310,$G:$G)*SUMIF(Summary!$A$247:$A$283,$A310,Summary!$P$247:$P$283),0)</f>
        <v>0</v>
      </c>
      <c r="AJ310" s="196">
        <f>IFERROR($G310/SUMIF($A:$A,$A310,$G:$G)*(SUMIF(Summary!$A$247:$A$283,$A310,Summary!$L$247:$L$283)+SUMIF(Summary!$A$297:$A$333,$A310,Summary!$L$297:$L$333))-AI310,0)</f>
        <v>0</v>
      </c>
      <c r="AK310" s="196">
        <f>IFERROR($G310/SUMIF($A:$A,$A310,$G:$G)*SUMIF(Summary!$A$247:$A$283,$A310,Summary!$Q$247:$Q$283),0)</f>
        <v>0</v>
      </c>
      <c r="AL310" s="196">
        <f>IFERROR($G310/SUMIF($A:$A,$A310,$G:$G)*(SUMIF(Summary!$A$247:$A$283,$A310,Summary!$L$247:$L$283)+SUMIF(Summary!$A$297:$A$333,$A310,Summary!$L$297:$L$333))-AK310,0)</f>
        <v>0</v>
      </c>
      <c r="AM310" s="198"/>
      <c r="AN310" s="196">
        <f t="shared" ca="1" si="68"/>
        <v>0</v>
      </c>
      <c r="AO310" s="196">
        <f t="shared" ca="1" si="69"/>
        <v>0</v>
      </c>
    </row>
    <row r="311" spans="1:41">
      <c r="A311" s="189">
        <v>3565</v>
      </c>
      <c r="B311" s="190">
        <v>5</v>
      </c>
      <c r="C311" s="191" t="s">
        <v>232</v>
      </c>
      <c r="D311" s="192">
        <f t="shared" si="56"/>
        <v>0</v>
      </c>
      <c r="E311" s="192">
        <f t="shared" si="57"/>
        <v>0</v>
      </c>
      <c r="F311" s="192">
        <f t="shared" si="58"/>
        <v>0</v>
      </c>
      <c r="G311" s="193">
        <f t="shared" si="59"/>
        <v>0</v>
      </c>
      <c r="H311" s="194">
        <v>0</v>
      </c>
      <c r="I311" s="194">
        <v>0</v>
      </c>
      <c r="J311" s="194">
        <v>0</v>
      </c>
      <c r="K311" s="193">
        <f t="shared" si="60"/>
        <v>0</v>
      </c>
      <c r="L311" s="194">
        <v>0</v>
      </c>
      <c r="M311" s="194">
        <v>0</v>
      </c>
      <c r="N311" s="194">
        <v>0</v>
      </c>
      <c r="O311" s="193">
        <f t="shared" si="61"/>
        <v>0</v>
      </c>
      <c r="P311" s="194">
        <v>0</v>
      </c>
      <c r="Q311" s="194">
        <v>0</v>
      </c>
      <c r="R311" s="194">
        <v>0</v>
      </c>
      <c r="S311" s="193">
        <f t="shared" si="62"/>
        <v>0</v>
      </c>
      <c r="T311" s="193">
        <f t="shared" si="63"/>
        <v>0</v>
      </c>
      <c r="U311" s="193">
        <f ca="1">OFFSET('Expenditure Study'!$B$7,'Operations Support'!$C311,'Operations Support'!$B311)*$G311</f>
        <v>0</v>
      </c>
      <c r="V311" s="199">
        <f ca="1">U311*'Expenditure Study'!$B$31</f>
        <v>0</v>
      </c>
      <c r="W311" s="199">
        <f ca="1">IF(A311=10298,1.51,1)*IF($B311&lt;3,$D311*'Expenditure Study'!$B$32*OFFSET('Expenditure Study'!$B$7,'Operations Support'!$C311,'Operations Support'!$B311),0)</f>
        <v>0</v>
      </c>
      <c r="X311" s="200">
        <f ca="1">W311*'Expenditure Study'!$B$31</f>
        <v>0</v>
      </c>
      <c r="Y311" s="199">
        <f ca="1">U311*'Expenditure Study'!$B$31</f>
        <v>0</v>
      </c>
      <c r="Z311" s="200">
        <f ca="1">W311*'Expenditure Study'!$B$31</f>
        <v>0</v>
      </c>
      <c r="AA311" s="195">
        <f t="shared" ca="1" si="64"/>
        <v>0</v>
      </c>
      <c r="AB311" s="195">
        <f t="shared" ca="1" si="65"/>
        <v>0</v>
      </c>
      <c r="AD311" s="196">
        <f>IFERROR($G311/SUMIF($A:$A,$A311,$G:$G)*SUMIF(Summary!$A$166:$A$242,$A311,Summary!$P$166:$P$242),0)</f>
        <v>0</v>
      </c>
      <c r="AE311" s="197">
        <f t="shared" ca="1" si="66"/>
        <v>0</v>
      </c>
      <c r="AF311" s="196">
        <f>IFERROR(G311/SUMIF(A:A,A311,G:G)*SUMIF(Summary!$A$166:$A$242,'Operations Support'!A311,Summary!$Q$166:$Q$242),0)</f>
        <v>0</v>
      </c>
      <c r="AG311" s="196">
        <f t="shared" ca="1" si="67"/>
        <v>0</v>
      </c>
      <c r="AI311" s="196">
        <f>IFERROR($G311/SUMIF($A:$A,$A311,$G:$G)*SUMIF(Summary!$A$247:$A$283,$A311,Summary!$P$247:$P$283),0)</f>
        <v>0</v>
      </c>
      <c r="AJ311" s="196">
        <f>IFERROR($G311/SUMIF($A:$A,$A311,$G:$G)*(SUMIF(Summary!$A$247:$A$283,$A311,Summary!$L$247:$L$283)+SUMIF(Summary!$A$297:$A$333,$A311,Summary!$L$297:$L$333))-AI311,0)</f>
        <v>0</v>
      </c>
      <c r="AK311" s="196">
        <f>IFERROR($G311/SUMIF($A:$A,$A311,$G:$G)*SUMIF(Summary!$A$247:$A$283,$A311,Summary!$Q$247:$Q$283),0)</f>
        <v>0</v>
      </c>
      <c r="AL311" s="196">
        <f>IFERROR($G311/SUMIF($A:$A,$A311,$G:$G)*(SUMIF(Summary!$A$247:$A$283,$A311,Summary!$L$247:$L$283)+SUMIF(Summary!$A$297:$A$333,$A311,Summary!$L$297:$L$333))-AK311,0)</f>
        <v>0</v>
      </c>
      <c r="AM311" s="198"/>
      <c r="AN311" s="196">
        <f t="shared" ca="1" si="68"/>
        <v>0</v>
      </c>
      <c r="AO311" s="196">
        <f t="shared" ca="1" si="69"/>
        <v>0</v>
      </c>
    </row>
    <row r="312" spans="1:41">
      <c r="A312" s="189">
        <v>3565</v>
      </c>
      <c r="B312" s="190">
        <v>5</v>
      </c>
      <c r="C312" s="191" t="s">
        <v>233</v>
      </c>
      <c r="D312" s="192">
        <f t="shared" si="56"/>
        <v>0</v>
      </c>
      <c r="E312" s="192">
        <f t="shared" si="57"/>
        <v>0</v>
      </c>
      <c r="F312" s="192">
        <f t="shared" si="58"/>
        <v>0</v>
      </c>
      <c r="G312" s="193">
        <f t="shared" si="59"/>
        <v>0</v>
      </c>
      <c r="H312" s="194">
        <v>0</v>
      </c>
      <c r="I312" s="194">
        <v>0</v>
      </c>
      <c r="J312" s="194">
        <v>0</v>
      </c>
      <c r="K312" s="193">
        <f t="shared" si="60"/>
        <v>0</v>
      </c>
      <c r="L312" s="194">
        <v>0</v>
      </c>
      <c r="M312" s="194">
        <v>0</v>
      </c>
      <c r="N312" s="194">
        <v>0</v>
      </c>
      <c r="O312" s="193">
        <f t="shared" si="61"/>
        <v>0</v>
      </c>
      <c r="P312" s="194">
        <v>0</v>
      </c>
      <c r="Q312" s="194">
        <v>0</v>
      </c>
      <c r="R312" s="194">
        <v>0</v>
      </c>
      <c r="S312" s="193">
        <f t="shared" si="62"/>
        <v>0</v>
      </c>
      <c r="T312" s="193">
        <f t="shared" si="63"/>
        <v>0</v>
      </c>
      <c r="U312" s="193">
        <f ca="1">OFFSET('Expenditure Study'!$B$7,'Operations Support'!$C312,'Operations Support'!$B312)*$G312</f>
        <v>0</v>
      </c>
      <c r="V312" s="199">
        <f ca="1">U312*'Expenditure Study'!$B$31</f>
        <v>0</v>
      </c>
      <c r="W312" s="199">
        <f ca="1">IF(A312=10298,1.51,1)*IF($B312&lt;3,$D312*'Expenditure Study'!$B$32*OFFSET('Expenditure Study'!$B$7,'Operations Support'!$C312,'Operations Support'!$B312),0)</f>
        <v>0</v>
      </c>
      <c r="X312" s="200">
        <f ca="1">W312*'Expenditure Study'!$B$31</f>
        <v>0</v>
      </c>
      <c r="Y312" s="199">
        <f ca="1">U312*'Expenditure Study'!$B$31</f>
        <v>0</v>
      </c>
      <c r="Z312" s="200">
        <f ca="1">W312*'Expenditure Study'!$B$31</f>
        <v>0</v>
      </c>
      <c r="AA312" s="195">
        <f t="shared" ca="1" si="64"/>
        <v>0</v>
      </c>
      <c r="AB312" s="195">
        <f t="shared" ca="1" si="65"/>
        <v>0</v>
      </c>
      <c r="AD312" s="196">
        <f>IFERROR($G312/SUMIF($A:$A,$A312,$G:$G)*SUMIF(Summary!$A$166:$A$242,$A312,Summary!$P$166:$P$242),0)</f>
        <v>0</v>
      </c>
      <c r="AE312" s="197">
        <f t="shared" ca="1" si="66"/>
        <v>0</v>
      </c>
      <c r="AF312" s="196">
        <f>IFERROR(G312/SUMIF(A:A,A312,G:G)*SUMIF(Summary!$A$166:$A$242,'Operations Support'!A312,Summary!$Q$166:$Q$242),0)</f>
        <v>0</v>
      </c>
      <c r="AG312" s="196">
        <f t="shared" ca="1" si="67"/>
        <v>0</v>
      </c>
      <c r="AI312" s="196">
        <f>IFERROR($G312/SUMIF($A:$A,$A312,$G:$G)*SUMIF(Summary!$A$247:$A$283,$A312,Summary!$P$247:$P$283),0)</f>
        <v>0</v>
      </c>
      <c r="AJ312" s="196">
        <f>IFERROR($G312/SUMIF($A:$A,$A312,$G:$G)*(SUMIF(Summary!$A$247:$A$283,$A312,Summary!$L$247:$L$283)+SUMIF(Summary!$A$297:$A$333,$A312,Summary!$L$297:$L$333))-AI312,0)</f>
        <v>0</v>
      </c>
      <c r="AK312" s="196">
        <f>IFERROR($G312/SUMIF($A:$A,$A312,$G:$G)*SUMIF(Summary!$A$247:$A$283,$A312,Summary!$Q$247:$Q$283),0)</f>
        <v>0</v>
      </c>
      <c r="AL312" s="196">
        <f>IFERROR($G312/SUMIF($A:$A,$A312,$G:$G)*(SUMIF(Summary!$A$247:$A$283,$A312,Summary!$L$247:$L$283)+SUMIF(Summary!$A$297:$A$333,$A312,Summary!$L$297:$L$333))-AK312,0)</f>
        <v>0</v>
      </c>
      <c r="AM312" s="198"/>
      <c r="AN312" s="196">
        <f t="shared" ca="1" si="68"/>
        <v>0</v>
      </c>
      <c r="AO312" s="196">
        <f t="shared" ca="1" si="69"/>
        <v>0</v>
      </c>
    </row>
    <row r="313" spans="1:41">
      <c r="A313" s="189">
        <v>3565</v>
      </c>
      <c r="B313" s="190">
        <v>5</v>
      </c>
      <c r="C313" s="191" t="s">
        <v>234</v>
      </c>
      <c r="D313" s="192">
        <f t="shared" si="56"/>
        <v>0</v>
      </c>
      <c r="E313" s="192">
        <f t="shared" si="57"/>
        <v>0</v>
      </c>
      <c r="F313" s="192">
        <f t="shared" si="58"/>
        <v>0</v>
      </c>
      <c r="G313" s="193">
        <f t="shared" si="59"/>
        <v>0</v>
      </c>
      <c r="H313" s="194">
        <v>0</v>
      </c>
      <c r="I313" s="194">
        <v>0</v>
      </c>
      <c r="J313" s="194">
        <v>0</v>
      </c>
      <c r="K313" s="193">
        <f t="shared" si="60"/>
        <v>0</v>
      </c>
      <c r="L313" s="194">
        <v>0</v>
      </c>
      <c r="M313" s="194">
        <v>0</v>
      </c>
      <c r="N313" s="194">
        <v>0</v>
      </c>
      <c r="O313" s="193">
        <f t="shared" si="61"/>
        <v>0</v>
      </c>
      <c r="P313" s="194">
        <v>0</v>
      </c>
      <c r="Q313" s="194">
        <v>0</v>
      </c>
      <c r="R313" s="194">
        <v>0</v>
      </c>
      <c r="S313" s="193">
        <f t="shared" si="62"/>
        <v>0</v>
      </c>
      <c r="T313" s="193">
        <f t="shared" si="63"/>
        <v>0</v>
      </c>
      <c r="U313" s="193">
        <f ca="1">OFFSET('Expenditure Study'!$B$7,'Operations Support'!$C313,'Operations Support'!$B313)*$G313</f>
        <v>0</v>
      </c>
      <c r="V313" s="199">
        <f ca="1">U313*'Expenditure Study'!$B$31</f>
        <v>0</v>
      </c>
      <c r="W313" s="199">
        <f ca="1">IF(A313=10298,1.51,1)*IF($B313&lt;3,$D313*'Expenditure Study'!$B$32*OFFSET('Expenditure Study'!$B$7,'Operations Support'!$C313,'Operations Support'!$B313),0)</f>
        <v>0</v>
      </c>
      <c r="X313" s="200">
        <f ca="1">W313*'Expenditure Study'!$B$31</f>
        <v>0</v>
      </c>
      <c r="Y313" s="199">
        <f ca="1">U313*'Expenditure Study'!$B$31</f>
        <v>0</v>
      </c>
      <c r="Z313" s="200">
        <f ca="1">W313*'Expenditure Study'!$B$31</f>
        <v>0</v>
      </c>
      <c r="AA313" s="195">
        <f t="shared" ca="1" si="64"/>
        <v>0</v>
      </c>
      <c r="AB313" s="195">
        <f t="shared" ca="1" si="65"/>
        <v>0</v>
      </c>
      <c r="AD313" s="196">
        <f>IFERROR($G313/SUMIF($A:$A,$A313,$G:$G)*SUMIF(Summary!$A$166:$A$242,$A313,Summary!$P$166:$P$242),0)</f>
        <v>0</v>
      </c>
      <c r="AE313" s="197">
        <f t="shared" ca="1" si="66"/>
        <v>0</v>
      </c>
      <c r="AF313" s="196">
        <f>IFERROR(G313/SUMIF(A:A,A313,G:G)*SUMIF(Summary!$A$166:$A$242,'Operations Support'!A313,Summary!$Q$166:$Q$242),0)</f>
        <v>0</v>
      </c>
      <c r="AG313" s="196">
        <f t="shared" ca="1" si="67"/>
        <v>0</v>
      </c>
      <c r="AI313" s="196">
        <f>IFERROR($G313/SUMIF($A:$A,$A313,$G:$G)*SUMIF(Summary!$A$247:$A$283,$A313,Summary!$P$247:$P$283),0)</f>
        <v>0</v>
      </c>
      <c r="AJ313" s="196">
        <f>IFERROR($G313/SUMIF($A:$A,$A313,$G:$G)*(SUMIF(Summary!$A$247:$A$283,$A313,Summary!$L$247:$L$283)+SUMIF(Summary!$A$297:$A$333,$A313,Summary!$L$297:$L$333))-AI313,0)</f>
        <v>0</v>
      </c>
      <c r="AK313" s="196">
        <f>IFERROR($G313/SUMIF($A:$A,$A313,$G:$G)*SUMIF(Summary!$A$247:$A$283,$A313,Summary!$Q$247:$Q$283),0)</f>
        <v>0</v>
      </c>
      <c r="AL313" s="196">
        <f>IFERROR($G313/SUMIF($A:$A,$A313,$G:$G)*(SUMIF(Summary!$A$247:$A$283,$A313,Summary!$L$247:$L$283)+SUMIF(Summary!$A$297:$A$333,$A313,Summary!$L$297:$L$333))-AK313,0)</f>
        <v>0</v>
      </c>
      <c r="AM313" s="198"/>
      <c r="AN313" s="196">
        <f t="shared" ca="1" si="68"/>
        <v>0</v>
      </c>
      <c r="AO313" s="196">
        <f t="shared" ca="1" si="69"/>
        <v>0</v>
      </c>
    </row>
    <row r="314" spans="1:41" s="201" customFormat="1">
      <c r="A314" s="189">
        <v>3565</v>
      </c>
      <c r="B314" s="190">
        <v>5</v>
      </c>
      <c r="C314" s="191" t="s">
        <v>235</v>
      </c>
      <c r="D314" s="192">
        <f t="shared" si="56"/>
        <v>0</v>
      </c>
      <c r="E314" s="192">
        <f t="shared" si="57"/>
        <v>0</v>
      </c>
      <c r="F314" s="192">
        <f t="shared" si="58"/>
        <v>0</v>
      </c>
      <c r="G314" s="193">
        <f t="shared" si="59"/>
        <v>0</v>
      </c>
      <c r="H314" s="194">
        <v>0</v>
      </c>
      <c r="I314" s="194">
        <v>0</v>
      </c>
      <c r="J314" s="194">
        <v>0</v>
      </c>
      <c r="K314" s="193">
        <f t="shared" si="60"/>
        <v>0</v>
      </c>
      <c r="L314" s="194">
        <v>0</v>
      </c>
      <c r="M314" s="194">
        <v>0</v>
      </c>
      <c r="N314" s="194">
        <v>0</v>
      </c>
      <c r="O314" s="193">
        <f t="shared" si="61"/>
        <v>0</v>
      </c>
      <c r="P314" s="194">
        <v>0</v>
      </c>
      <c r="Q314" s="194">
        <v>0</v>
      </c>
      <c r="R314" s="194">
        <v>0</v>
      </c>
      <c r="S314" s="193">
        <f t="shared" si="62"/>
        <v>0</v>
      </c>
      <c r="T314" s="193">
        <f t="shared" si="63"/>
        <v>0</v>
      </c>
      <c r="U314" s="193">
        <f ca="1">OFFSET('Expenditure Study'!$B$7,'Operations Support'!$C314,'Operations Support'!$B314)*$G314</f>
        <v>0</v>
      </c>
      <c r="V314" s="199">
        <f ca="1">U314*'Expenditure Study'!$B$31</f>
        <v>0</v>
      </c>
      <c r="W314" s="199">
        <f ca="1">IF(A314=10298,1.51,1)*IF($B314&lt;3,$D314*'Expenditure Study'!$B$32*OFFSET('Expenditure Study'!$B$7,'Operations Support'!$C314,'Operations Support'!$B314),0)</f>
        <v>0</v>
      </c>
      <c r="X314" s="200">
        <f ca="1">W314*'Expenditure Study'!$B$31</f>
        <v>0</v>
      </c>
      <c r="Y314" s="199">
        <f ca="1">U314*'Expenditure Study'!$B$31</f>
        <v>0</v>
      </c>
      <c r="Z314" s="200">
        <f ca="1">W314*'Expenditure Study'!$B$31</f>
        <v>0</v>
      </c>
      <c r="AA314" s="195">
        <f t="shared" ca="1" si="64"/>
        <v>0</v>
      </c>
      <c r="AB314" s="195">
        <f t="shared" ca="1" si="65"/>
        <v>0</v>
      </c>
      <c r="AD314" s="196">
        <f>IFERROR($G314/SUMIF($A:$A,$A314,$G:$G)*SUMIF(Summary!$A$166:$A$242,$A314,Summary!$P$166:$P$242),0)</f>
        <v>0</v>
      </c>
      <c r="AE314" s="197">
        <f t="shared" ca="1" si="66"/>
        <v>0</v>
      </c>
      <c r="AF314" s="196">
        <f>IFERROR(G314/SUMIF(A:A,A314,G:G)*SUMIF(Summary!$A$166:$A$242,'Operations Support'!A314,Summary!$Q$166:$Q$242),0)</f>
        <v>0</v>
      </c>
      <c r="AG314" s="196">
        <f t="shared" ca="1" si="67"/>
        <v>0</v>
      </c>
      <c r="AH314" s="180"/>
      <c r="AI314" s="196">
        <f>IFERROR($G314/SUMIF($A:$A,$A314,$G:$G)*SUMIF(Summary!$A$247:$A$283,$A314,Summary!$P$247:$P$283),0)</f>
        <v>0</v>
      </c>
      <c r="AJ314" s="196">
        <f>IFERROR($G314/SUMIF($A:$A,$A314,$G:$G)*(SUMIF(Summary!$A$247:$A$283,$A314,Summary!$L$247:$L$283)+SUMIF(Summary!$A$297:$A$333,$A314,Summary!$L$297:$L$333))-AI314,0)</f>
        <v>0</v>
      </c>
      <c r="AK314" s="196">
        <f>IFERROR($G314/SUMIF($A:$A,$A314,$G:$G)*SUMIF(Summary!$A$247:$A$283,$A314,Summary!$Q$247:$Q$283),0)</f>
        <v>0</v>
      </c>
      <c r="AL314" s="196">
        <f>IFERROR($G314/SUMIF($A:$A,$A314,$G:$G)*(SUMIF(Summary!$A$247:$A$283,$A314,Summary!$L$247:$L$283)+SUMIF(Summary!$A$297:$A$333,$A314,Summary!$L$297:$L$333))-AK314,0)</f>
        <v>0</v>
      </c>
      <c r="AM314" s="198"/>
      <c r="AN314" s="196">
        <f t="shared" ca="1" si="68"/>
        <v>0</v>
      </c>
      <c r="AO314" s="196">
        <f t="shared" ca="1" si="69"/>
        <v>0</v>
      </c>
    </row>
    <row r="315" spans="1:41">
      <c r="A315" s="189">
        <v>3565</v>
      </c>
      <c r="B315" s="190">
        <v>5</v>
      </c>
      <c r="C315" s="191" t="s">
        <v>236</v>
      </c>
      <c r="D315" s="192">
        <f t="shared" si="56"/>
        <v>0</v>
      </c>
      <c r="E315" s="192">
        <f t="shared" si="57"/>
        <v>0</v>
      </c>
      <c r="F315" s="192">
        <f t="shared" si="58"/>
        <v>0</v>
      </c>
      <c r="G315" s="193">
        <f t="shared" si="59"/>
        <v>0</v>
      </c>
      <c r="H315" s="194">
        <v>0</v>
      </c>
      <c r="I315" s="194">
        <v>0</v>
      </c>
      <c r="J315" s="194">
        <v>0</v>
      </c>
      <c r="K315" s="193">
        <f t="shared" si="60"/>
        <v>0</v>
      </c>
      <c r="L315" s="194">
        <v>0</v>
      </c>
      <c r="M315" s="194">
        <v>0</v>
      </c>
      <c r="N315" s="194">
        <v>0</v>
      </c>
      <c r="O315" s="193">
        <f t="shared" si="61"/>
        <v>0</v>
      </c>
      <c r="P315" s="194">
        <v>0</v>
      </c>
      <c r="Q315" s="194">
        <v>0</v>
      </c>
      <c r="R315" s="194">
        <v>0</v>
      </c>
      <c r="S315" s="193">
        <f t="shared" si="62"/>
        <v>0</v>
      </c>
      <c r="T315" s="193">
        <f t="shared" si="63"/>
        <v>0</v>
      </c>
      <c r="U315" s="193">
        <f ca="1">OFFSET('Expenditure Study'!$B$7,'Operations Support'!$C315,'Operations Support'!$B315)*$G315</f>
        <v>0</v>
      </c>
      <c r="V315" s="199">
        <f ca="1">U315*'Expenditure Study'!$B$31</f>
        <v>0</v>
      </c>
      <c r="W315" s="199">
        <f ca="1">IF(A315=10298,1.51,1)*IF($B315&lt;3,$D315*'Expenditure Study'!$B$32*OFFSET('Expenditure Study'!$B$7,'Operations Support'!$C315,'Operations Support'!$B315),0)</f>
        <v>0</v>
      </c>
      <c r="X315" s="200">
        <f ca="1">W315*'Expenditure Study'!$B$31</f>
        <v>0</v>
      </c>
      <c r="Y315" s="199">
        <f ca="1">U315*'Expenditure Study'!$B$31</f>
        <v>0</v>
      </c>
      <c r="Z315" s="200">
        <f ca="1">W315*'Expenditure Study'!$B$31</f>
        <v>0</v>
      </c>
      <c r="AA315" s="195">
        <f t="shared" ca="1" si="64"/>
        <v>0</v>
      </c>
      <c r="AB315" s="195">
        <f t="shared" ca="1" si="65"/>
        <v>0</v>
      </c>
      <c r="AD315" s="196">
        <f>IFERROR($G315/SUMIF($A:$A,$A315,$G:$G)*SUMIF(Summary!$A$166:$A$242,$A315,Summary!$P$166:$P$242),0)</f>
        <v>0</v>
      </c>
      <c r="AE315" s="197">
        <f t="shared" ca="1" si="66"/>
        <v>0</v>
      </c>
      <c r="AF315" s="196">
        <f>IFERROR(G315/SUMIF(A:A,A315,G:G)*SUMIF(Summary!$A$166:$A$242,'Operations Support'!A315,Summary!$Q$166:$Q$242),0)</f>
        <v>0</v>
      </c>
      <c r="AG315" s="196">
        <f t="shared" ca="1" si="67"/>
        <v>0</v>
      </c>
      <c r="AI315" s="196">
        <f>IFERROR($G315/SUMIF($A:$A,$A315,$G:$G)*SUMIF(Summary!$A$247:$A$283,$A315,Summary!$P$247:$P$283),0)</f>
        <v>0</v>
      </c>
      <c r="AJ315" s="196">
        <f>IFERROR($G315/SUMIF($A:$A,$A315,$G:$G)*(SUMIF(Summary!$A$247:$A$283,$A315,Summary!$L$247:$L$283)+SUMIF(Summary!$A$297:$A$333,$A315,Summary!$L$297:$L$333))-AI315,0)</f>
        <v>0</v>
      </c>
      <c r="AK315" s="196">
        <f>IFERROR($G315/SUMIF($A:$A,$A315,$G:$G)*SUMIF(Summary!$A$247:$A$283,$A315,Summary!$Q$247:$Q$283),0)</f>
        <v>0</v>
      </c>
      <c r="AL315" s="196">
        <f>IFERROR($G315/SUMIF($A:$A,$A315,$G:$G)*(SUMIF(Summary!$A$247:$A$283,$A315,Summary!$L$247:$L$283)+SUMIF(Summary!$A$297:$A$333,$A315,Summary!$L$297:$L$333))-AK315,0)</f>
        <v>0</v>
      </c>
      <c r="AM315" s="198"/>
      <c r="AN315" s="196">
        <f t="shared" ca="1" si="68"/>
        <v>0</v>
      </c>
      <c r="AO315" s="196">
        <f t="shared" ca="1" si="69"/>
        <v>0</v>
      </c>
    </row>
    <row r="316" spans="1:41">
      <c r="A316" s="189">
        <v>3565</v>
      </c>
      <c r="B316" s="190">
        <v>5</v>
      </c>
      <c r="C316" s="191" t="s">
        <v>237</v>
      </c>
      <c r="D316" s="192">
        <f t="shared" si="56"/>
        <v>0</v>
      </c>
      <c r="E316" s="192">
        <f t="shared" si="57"/>
        <v>0</v>
      </c>
      <c r="F316" s="192">
        <f t="shared" si="58"/>
        <v>0</v>
      </c>
      <c r="G316" s="193">
        <f t="shared" si="59"/>
        <v>0</v>
      </c>
      <c r="H316" s="194">
        <v>0</v>
      </c>
      <c r="I316" s="194">
        <v>0</v>
      </c>
      <c r="J316" s="194">
        <v>0</v>
      </c>
      <c r="K316" s="193">
        <f t="shared" si="60"/>
        <v>0</v>
      </c>
      <c r="L316" s="194">
        <v>0</v>
      </c>
      <c r="M316" s="194">
        <v>0</v>
      </c>
      <c r="N316" s="194">
        <v>0</v>
      </c>
      <c r="O316" s="193">
        <f t="shared" si="61"/>
        <v>0</v>
      </c>
      <c r="P316" s="194">
        <v>0</v>
      </c>
      <c r="Q316" s="194">
        <v>0</v>
      </c>
      <c r="R316" s="194">
        <v>0</v>
      </c>
      <c r="S316" s="193">
        <f t="shared" si="62"/>
        <v>0</v>
      </c>
      <c r="T316" s="193">
        <f t="shared" si="63"/>
        <v>0</v>
      </c>
      <c r="U316" s="193">
        <f ca="1">OFFSET('Expenditure Study'!$B$7,'Operations Support'!$C316,'Operations Support'!$B316)*$G316</f>
        <v>0</v>
      </c>
      <c r="V316" s="199">
        <f ca="1">U316*'Expenditure Study'!$B$31</f>
        <v>0</v>
      </c>
      <c r="W316" s="199">
        <f ca="1">IF(A316=10298,1.51,1)*IF($B316&lt;3,$D316*'Expenditure Study'!$B$32*OFFSET('Expenditure Study'!$B$7,'Operations Support'!$C316,'Operations Support'!$B316),0)</f>
        <v>0</v>
      </c>
      <c r="X316" s="200">
        <f ca="1">W316*'Expenditure Study'!$B$31</f>
        <v>0</v>
      </c>
      <c r="Y316" s="199">
        <f ca="1">U316*'Expenditure Study'!$B$31</f>
        <v>0</v>
      </c>
      <c r="Z316" s="200">
        <f ca="1">W316*'Expenditure Study'!$B$31</f>
        <v>0</v>
      </c>
      <c r="AA316" s="195">
        <f t="shared" ca="1" si="64"/>
        <v>0</v>
      </c>
      <c r="AB316" s="195">
        <f t="shared" ca="1" si="65"/>
        <v>0</v>
      </c>
      <c r="AD316" s="196">
        <f>IFERROR($G316/SUMIF($A:$A,$A316,$G:$G)*SUMIF(Summary!$A$166:$A$242,$A316,Summary!$P$166:$P$242),0)</f>
        <v>0</v>
      </c>
      <c r="AE316" s="197">
        <f t="shared" ca="1" si="66"/>
        <v>0</v>
      </c>
      <c r="AF316" s="196">
        <f>IFERROR(G316/SUMIF(A:A,A316,G:G)*SUMIF(Summary!$A$166:$A$242,'Operations Support'!A316,Summary!$Q$166:$Q$242),0)</f>
        <v>0</v>
      </c>
      <c r="AG316" s="196">
        <f t="shared" ca="1" si="67"/>
        <v>0</v>
      </c>
      <c r="AI316" s="196">
        <f>IFERROR($G316/SUMIF($A:$A,$A316,$G:$G)*SUMIF(Summary!$A$247:$A$283,$A316,Summary!$P$247:$P$283),0)</f>
        <v>0</v>
      </c>
      <c r="AJ316" s="196">
        <f>IFERROR($G316/SUMIF($A:$A,$A316,$G:$G)*(SUMIF(Summary!$A$247:$A$283,$A316,Summary!$L$247:$L$283)+SUMIF(Summary!$A$297:$A$333,$A316,Summary!$L$297:$L$333))-AI316,0)</f>
        <v>0</v>
      </c>
      <c r="AK316" s="196">
        <f>IFERROR($G316/SUMIF($A:$A,$A316,$G:$G)*SUMIF(Summary!$A$247:$A$283,$A316,Summary!$Q$247:$Q$283),0)</f>
        <v>0</v>
      </c>
      <c r="AL316" s="196">
        <f>IFERROR($G316/SUMIF($A:$A,$A316,$G:$G)*(SUMIF(Summary!$A$247:$A$283,$A316,Summary!$L$247:$L$283)+SUMIF(Summary!$A$297:$A$333,$A316,Summary!$L$297:$L$333))-AK316,0)</f>
        <v>0</v>
      </c>
      <c r="AM316" s="198"/>
      <c r="AN316" s="196">
        <f t="shared" ca="1" si="68"/>
        <v>0</v>
      </c>
      <c r="AO316" s="196">
        <f t="shared" ca="1" si="69"/>
        <v>0</v>
      </c>
    </row>
    <row r="317" spans="1:41">
      <c r="A317" s="189">
        <v>3565</v>
      </c>
      <c r="B317" s="190">
        <v>5</v>
      </c>
      <c r="C317" s="191" t="s">
        <v>238</v>
      </c>
      <c r="D317" s="192">
        <f t="shared" si="56"/>
        <v>0</v>
      </c>
      <c r="E317" s="192">
        <f t="shared" si="57"/>
        <v>0</v>
      </c>
      <c r="F317" s="192">
        <f t="shared" si="58"/>
        <v>0</v>
      </c>
      <c r="G317" s="193">
        <f t="shared" si="59"/>
        <v>0</v>
      </c>
      <c r="H317" s="194">
        <v>0</v>
      </c>
      <c r="I317" s="194">
        <v>0</v>
      </c>
      <c r="J317" s="194">
        <v>0</v>
      </c>
      <c r="K317" s="193">
        <f t="shared" si="60"/>
        <v>0</v>
      </c>
      <c r="L317" s="194">
        <v>0</v>
      </c>
      <c r="M317" s="194">
        <v>0</v>
      </c>
      <c r="N317" s="194">
        <v>0</v>
      </c>
      <c r="O317" s="193">
        <f t="shared" si="61"/>
        <v>0</v>
      </c>
      <c r="P317" s="194">
        <v>0</v>
      </c>
      <c r="Q317" s="194">
        <v>0</v>
      </c>
      <c r="R317" s="194">
        <v>0</v>
      </c>
      <c r="S317" s="193">
        <f t="shared" si="62"/>
        <v>0</v>
      </c>
      <c r="T317" s="193">
        <f t="shared" si="63"/>
        <v>0</v>
      </c>
      <c r="U317" s="193">
        <f ca="1">OFFSET('Expenditure Study'!$B$7,'Operations Support'!$C317,'Operations Support'!$B317)*$G317</f>
        <v>0</v>
      </c>
      <c r="V317" s="199">
        <f ca="1">U317*'Expenditure Study'!$B$31</f>
        <v>0</v>
      </c>
      <c r="W317" s="199">
        <f ca="1">IF(A317=10298,1.51,1)*IF($B317&lt;3,$D317*'Expenditure Study'!$B$32*OFFSET('Expenditure Study'!$B$7,'Operations Support'!$C317,'Operations Support'!$B317),0)</f>
        <v>0</v>
      </c>
      <c r="X317" s="200">
        <f ca="1">W317*'Expenditure Study'!$B$31</f>
        <v>0</v>
      </c>
      <c r="Y317" s="199">
        <f ca="1">U317*'Expenditure Study'!$B$31</f>
        <v>0</v>
      </c>
      <c r="Z317" s="200">
        <f ca="1">W317*'Expenditure Study'!$B$31</f>
        <v>0</v>
      </c>
      <c r="AA317" s="195">
        <f t="shared" ca="1" si="64"/>
        <v>0</v>
      </c>
      <c r="AB317" s="195">
        <f t="shared" ca="1" si="65"/>
        <v>0</v>
      </c>
      <c r="AD317" s="196">
        <f>IFERROR($G317/SUMIF($A:$A,$A317,$G:$G)*SUMIF(Summary!$A$166:$A$242,$A317,Summary!$P$166:$P$242),0)</f>
        <v>0</v>
      </c>
      <c r="AE317" s="197">
        <f t="shared" ca="1" si="66"/>
        <v>0</v>
      </c>
      <c r="AF317" s="196">
        <f>IFERROR(G317/SUMIF(A:A,A317,G:G)*SUMIF(Summary!$A$166:$A$242,'Operations Support'!A317,Summary!$Q$166:$Q$242),0)</f>
        <v>0</v>
      </c>
      <c r="AG317" s="196">
        <f t="shared" ca="1" si="67"/>
        <v>0</v>
      </c>
      <c r="AI317" s="196">
        <f>IFERROR($G317/SUMIF($A:$A,$A317,$G:$G)*SUMIF(Summary!$A$247:$A$283,$A317,Summary!$P$247:$P$283),0)</f>
        <v>0</v>
      </c>
      <c r="AJ317" s="196">
        <f>IFERROR($G317/SUMIF($A:$A,$A317,$G:$G)*(SUMIF(Summary!$A$247:$A$283,$A317,Summary!$L$247:$L$283)+SUMIF(Summary!$A$297:$A$333,$A317,Summary!$L$297:$L$333))-AI317,0)</f>
        <v>0</v>
      </c>
      <c r="AK317" s="196">
        <f>IFERROR($G317/SUMIF($A:$A,$A317,$G:$G)*SUMIF(Summary!$A$247:$A$283,$A317,Summary!$Q$247:$Q$283),0)</f>
        <v>0</v>
      </c>
      <c r="AL317" s="196">
        <f>IFERROR($G317/SUMIF($A:$A,$A317,$G:$G)*(SUMIF(Summary!$A$247:$A$283,$A317,Summary!$L$247:$L$283)+SUMIF(Summary!$A$297:$A$333,$A317,Summary!$L$297:$L$333))-AK317,0)</f>
        <v>0</v>
      </c>
      <c r="AM317" s="198"/>
      <c r="AN317" s="196">
        <f t="shared" ca="1" si="68"/>
        <v>0</v>
      </c>
      <c r="AO317" s="196">
        <f t="shared" ca="1" si="69"/>
        <v>0</v>
      </c>
    </row>
    <row r="318" spans="1:41">
      <c r="A318" s="189">
        <v>3565</v>
      </c>
      <c r="B318" s="190">
        <v>5</v>
      </c>
      <c r="C318" s="191" t="s">
        <v>239</v>
      </c>
      <c r="D318" s="192">
        <f t="shared" si="56"/>
        <v>0</v>
      </c>
      <c r="E318" s="192">
        <f t="shared" si="57"/>
        <v>0</v>
      </c>
      <c r="F318" s="192">
        <f t="shared" si="58"/>
        <v>0</v>
      </c>
      <c r="G318" s="193">
        <f t="shared" si="59"/>
        <v>0</v>
      </c>
      <c r="H318" s="194">
        <v>0</v>
      </c>
      <c r="I318" s="194">
        <v>0</v>
      </c>
      <c r="J318" s="194">
        <v>0</v>
      </c>
      <c r="K318" s="193">
        <f t="shared" si="60"/>
        <v>0</v>
      </c>
      <c r="L318" s="194">
        <v>0</v>
      </c>
      <c r="M318" s="194">
        <v>0</v>
      </c>
      <c r="N318" s="194">
        <v>0</v>
      </c>
      <c r="O318" s="193">
        <f t="shared" si="61"/>
        <v>0</v>
      </c>
      <c r="P318" s="194">
        <v>0</v>
      </c>
      <c r="Q318" s="194">
        <v>0</v>
      </c>
      <c r="R318" s="194">
        <v>0</v>
      </c>
      <c r="S318" s="193">
        <f t="shared" si="62"/>
        <v>0</v>
      </c>
      <c r="T318" s="193">
        <f t="shared" si="63"/>
        <v>0</v>
      </c>
      <c r="U318" s="193">
        <f ca="1">OFFSET('Expenditure Study'!$B$7,'Operations Support'!$C318,'Operations Support'!$B318)*$G318</f>
        <v>0</v>
      </c>
      <c r="V318" s="199">
        <f ca="1">U318*'Expenditure Study'!$B$31</f>
        <v>0</v>
      </c>
      <c r="W318" s="199">
        <f ca="1">IF(A318=10298,1.51,1)*IF($B318&lt;3,$D318*'Expenditure Study'!$B$32*OFFSET('Expenditure Study'!$B$7,'Operations Support'!$C318,'Operations Support'!$B318),0)</f>
        <v>0</v>
      </c>
      <c r="X318" s="200">
        <f ca="1">W318*'Expenditure Study'!$B$31</f>
        <v>0</v>
      </c>
      <c r="Y318" s="199">
        <f ca="1">U318*'Expenditure Study'!$B$31</f>
        <v>0</v>
      </c>
      <c r="Z318" s="200">
        <f ca="1">W318*'Expenditure Study'!$B$31</f>
        <v>0</v>
      </c>
      <c r="AA318" s="195">
        <f t="shared" ca="1" si="64"/>
        <v>0</v>
      </c>
      <c r="AB318" s="195">
        <f t="shared" ca="1" si="65"/>
        <v>0</v>
      </c>
      <c r="AD318" s="196">
        <f>IFERROR($G318/SUMIF($A:$A,$A318,$G:$G)*SUMIF(Summary!$A$166:$A$242,$A318,Summary!$P$166:$P$242),0)</f>
        <v>0</v>
      </c>
      <c r="AE318" s="197">
        <f t="shared" ca="1" si="66"/>
        <v>0</v>
      </c>
      <c r="AF318" s="196">
        <f>IFERROR(G318/SUMIF(A:A,A318,G:G)*SUMIF(Summary!$A$166:$A$242,'Operations Support'!A318,Summary!$Q$166:$Q$242),0)</f>
        <v>0</v>
      </c>
      <c r="AG318" s="196">
        <f t="shared" ca="1" si="67"/>
        <v>0</v>
      </c>
      <c r="AI318" s="196">
        <f>IFERROR($G318/SUMIF($A:$A,$A318,$G:$G)*SUMIF(Summary!$A$247:$A$283,$A318,Summary!$P$247:$P$283),0)</f>
        <v>0</v>
      </c>
      <c r="AJ318" s="196">
        <f>IFERROR($G318/SUMIF($A:$A,$A318,$G:$G)*(SUMIF(Summary!$A$247:$A$283,$A318,Summary!$L$247:$L$283)+SUMIF(Summary!$A$297:$A$333,$A318,Summary!$L$297:$L$333))-AI318,0)</f>
        <v>0</v>
      </c>
      <c r="AK318" s="196">
        <f>IFERROR($G318/SUMIF($A:$A,$A318,$G:$G)*SUMIF(Summary!$A$247:$A$283,$A318,Summary!$Q$247:$Q$283),0)</f>
        <v>0</v>
      </c>
      <c r="AL318" s="196">
        <f>IFERROR($G318/SUMIF($A:$A,$A318,$G:$G)*(SUMIF(Summary!$A$247:$A$283,$A318,Summary!$L$247:$L$283)+SUMIF(Summary!$A$297:$A$333,$A318,Summary!$L$297:$L$333))-AK318,0)</f>
        <v>0</v>
      </c>
      <c r="AM318" s="198"/>
      <c r="AN318" s="196">
        <f t="shared" ca="1" si="68"/>
        <v>0</v>
      </c>
      <c r="AO318" s="196">
        <f t="shared" ca="1" si="69"/>
        <v>0</v>
      </c>
    </row>
    <row r="319" spans="1:41">
      <c r="A319" s="189">
        <v>3565</v>
      </c>
      <c r="B319" s="190">
        <v>5</v>
      </c>
      <c r="C319" s="191" t="s">
        <v>240</v>
      </c>
      <c r="D319" s="192">
        <f t="shared" si="56"/>
        <v>0</v>
      </c>
      <c r="E319" s="192">
        <f t="shared" si="57"/>
        <v>0</v>
      </c>
      <c r="F319" s="192">
        <f t="shared" si="58"/>
        <v>0</v>
      </c>
      <c r="G319" s="193">
        <f t="shared" si="59"/>
        <v>0</v>
      </c>
      <c r="H319" s="194">
        <v>0</v>
      </c>
      <c r="I319" s="194">
        <v>0</v>
      </c>
      <c r="J319" s="194">
        <v>0</v>
      </c>
      <c r="K319" s="193">
        <f t="shared" si="60"/>
        <v>0</v>
      </c>
      <c r="L319" s="194">
        <v>0</v>
      </c>
      <c r="M319" s="194">
        <v>0</v>
      </c>
      <c r="N319" s="194">
        <v>0</v>
      </c>
      <c r="O319" s="193">
        <f t="shared" si="61"/>
        <v>0</v>
      </c>
      <c r="P319" s="194">
        <v>0</v>
      </c>
      <c r="Q319" s="194">
        <v>0</v>
      </c>
      <c r="R319" s="194">
        <v>0</v>
      </c>
      <c r="S319" s="193">
        <f t="shared" si="62"/>
        <v>0</v>
      </c>
      <c r="T319" s="193">
        <f t="shared" si="63"/>
        <v>0</v>
      </c>
      <c r="U319" s="193">
        <f ca="1">OFFSET('Expenditure Study'!$B$7,'Operations Support'!$C319,'Operations Support'!$B319)*$G319</f>
        <v>0</v>
      </c>
      <c r="V319" s="199">
        <f ca="1">U319*'Expenditure Study'!$B$31</f>
        <v>0</v>
      </c>
      <c r="W319" s="199">
        <f ca="1">IF(A319=10298,1.51,1)*IF($B319&lt;3,$D319*'Expenditure Study'!$B$32*OFFSET('Expenditure Study'!$B$7,'Operations Support'!$C319,'Operations Support'!$B319),0)</f>
        <v>0</v>
      </c>
      <c r="X319" s="200">
        <f ca="1">W319*'Expenditure Study'!$B$31</f>
        <v>0</v>
      </c>
      <c r="Y319" s="199">
        <f ca="1">U319*'Expenditure Study'!$B$31</f>
        <v>0</v>
      </c>
      <c r="Z319" s="200">
        <f ca="1">W319*'Expenditure Study'!$B$31</f>
        <v>0</v>
      </c>
      <c r="AA319" s="195">
        <f t="shared" ca="1" si="64"/>
        <v>0</v>
      </c>
      <c r="AB319" s="195">
        <f t="shared" ca="1" si="65"/>
        <v>0</v>
      </c>
      <c r="AD319" s="196">
        <f>IFERROR($G319/SUMIF($A:$A,$A319,$G:$G)*SUMIF(Summary!$A$166:$A$242,$A319,Summary!$P$166:$P$242),0)</f>
        <v>0</v>
      </c>
      <c r="AE319" s="197">
        <f t="shared" ca="1" si="66"/>
        <v>0</v>
      </c>
      <c r="AF319" s="196">
        <f>IFERROR(G319/SUMIF(A:A,A319,G:G)*SUMIF(Summary!$A$166:$A$242,'Operations Support'!A319,Summary!$Q$166:$Q$242),0)</f>
        <v>0</v>
      </c>
      <c r="AG319" s="196">
        <f t="shared" ca="1" si="67"/>
        <v>0</v>
      </c>
      <c r="AI319" s="196">
        <f>IFERROR($G319/SUMIF($A:$A,$A319,$G:$G)*SUMIF(Summary!$A$247:$A$283,$A319,Summary!$P$247:$P$283),0)</f>
        <v>0</v>
      </c>
      <c r="AJ319" s="196">
        <f>IFERROR($G319/SUMIF($A:$A,$A319,$G:$G)*(SUMIF(Summary!$A$247:$A$283,$A319,Summary!$L$247:$L$283)+SUMIF(Summary!$A$297:$A$333,$A319,Summary!$L$297:$L$333))-AI319,0)</f>
        <v>0</v>
      </c>
      <c r="AK319" s="196">
        <f>IFERROR($G319/SUMIF($A:$A,$A319,$G:$G)*SUMIF(Summary!$A$247:$A$283,$A319,Summary!$Q$247:$Q$283),0)</f>
        <v>0</v>
      </c>
      <c r="AL319" s="196">
        <f>IFERROR($G319/SUMIF($A:$A,$A319,$G:$G)*(SUMIF(Summary!$A$247:$A$283,$A319,Summary!$L$247:$L$283)+SUMIF(Summary!$A$297:$A$333,$A319,Summary!$L$297:$L$333))-AK319,0)</f>
        <v>0</v>
      </c>
      <c r="AM319" s="198"/>
      <c r="AN319" s="196">
        <f t="shared" ca="1" si="68"/>
        <v>0</v>
      </c>
      <c r="AO319" s="196">
        <f t="shared" ca="1" si="69"/>
        <v>0</v>
      </c>
    </row>
    <row r="320" spans="1:41">
      <c r="A320" s="189">
        <v>3581</v>
      </c>
      <c r="B320" s="190">
        <v>1</v>
      </c>
      <c r="C320" s="191" t="s">
        <v>220</v>
      </c>
      <c r="D320" s="192">
        <f t="shared" si="56"/>
        <v>22719.34</v>
      </c>
      <c r="E320" s="192">
        <f t="shared" si="57"/>
        <v>40819.660000000003</v>
      </c>
      <c r="F320" s="192">
        <f t="shared" si="58"/>
        <v>0</v>
      </c>
      <c r="G320" s="193">
        <f t="shared" si="59"/>
        <v>63539</v>
      </c>
      <c r="H320" s="194">
        <v>8814</v>
      </c>
      <c r="I320" s="194">
        <v>15918</v>
      </c>
      <c r="J320" s="194">
        <v>0</v>
      </c>
      <c r="K320" s="193">
        <f t="shared" si="60"/>
        <v>24732</v>
      </c>
      <c r="L320" s="194">
        <v>10621.34</v>
      </c>
      <c r="M320" s="194">
        <v>20293.66</v>
      </c>
      <c r="N320" s="194">
        <v>0</v>
      </c>
      <c r="O320" s="193">
        <f t="shared" si="61"/>
        <v>30915</v>
      </c>
      <c r="P320" s="194">
        <v>3284</v>
      </c>
      <c r="Q320" s="194">
        <v>4608</v>
      </c>
      <c r="R320" s="194">
        <v>0</v>
      </c>
      <c r="S320" s="193">
        <f t="shared" si="62"/>
        <v>7892</v>
      </c>
      <c r="T320" s="193">
        <f t="shared" si="63"/>
        <v>2117.9666666666667</v>
      </c>
      <c r="U320" s="193">
        <f ca="1">OFFSET('Expenditure Study'!$B$7,'Operations Support'!$C320,'Operations Support'!$B320)*$G320</f>
        <v>63539</v>
      </c>
      <c r="V320" s="199">
        <f ca="1">U320*'Expenditure Study'!$B$31</f>
        <v>3754086.2248511999</v>
      </c>
      <c r="W320" s="199">
        <f ca="1">IF(A320=10298,1.51,1)*IF($B320&lt;3,$D320*'Expenditure Study'!$B$32*OFFSET('Expenditure Study'!$B$7,'Operations Support'!$C320,'Operations Support'!$B320),0)</f>
        <v>2271.9340000000002</v>
      </c>
      <c r="X320" s="200">
        <f ca="1">W320*'Expenditure Study'!$B$31</f>
        <v>134233.08728766721</v>
      </c>
      <c r="Y320" s="199">
        <f ca="1">U320*'Expenditure Study'!$B$31</f>
        <v>3754086.2248511999</v>
      </c>
      <c r="Z320" s="200">
        <f ca="1">W320*'Expenditure Study'!$B$31</f>
        <v>134233.08728766721</v>
      </c>
      <c r="AA320" s="195">
        <f t="shared" ca="1" si="64"/>
        <v>3888319.3121388671</v>
      </c>
      <c r="AB320" s="195">
        <f t="shared" ca="1" si="65"/>
        <v>3888319.3121388671</v>
      </c>
      <c r="AD320" s="196">
        <f>IFERROR($G320/SUMIF($A:$A,$A320,$G:$G)*SUMIF(Summary!$A$166:$A$242,$A320,Summary!$P$166:$P$242),0)</f>
        <v>2214845.2721898686</v>
      </c>
      <c r="AE320" s="197">
        <f t="shared" ca="1" si="66"/>
        <v>1673474.0399489985</v>
      </c>
      <c r="AF320" s="196">
        <f>IFERROR(G320/SUMIF(A:A,A320,G:G)*SUMIF(Summary!$A$166:$A$242,'Operations Support'!A320,Summary!$Q$166:$Q$242),0)</f>
        <v>2217621.4930451289</v>
      </c>
      <c r="AG320" s="196">
        <f t="shared" ca="1" si="67"/>
        <v>1670697.8190937382</v>
      </c>
      <c r="AI320" s="196">
        <f>IFERROR($G320/SUMIF($A:$A,$A320,$G:$G)*SUMIF(Summary!$A$247:$A$283,$A320,Summary!$P$247:$P$283),0)</f>
        <v>403932.50679976714</v>
      </c>
      <c r="AJ320" s="196">
        <f>IFERROR($G320/SUMIF($A:$A,$A320,$G:$G)*(SUMIF(Summary!$A$247:$A$283,$A320,Summary!$L$247:$L$283)+SUMIF(Summary!$A$297:$A$333,$A320,Summary!$L$297:$L$333))-AI320,0)</f>
        <v>711737.78838832967</v>
      </c>
      <c r="AK320" s="196">
        <f>IFERROR($G320/SUMIF($A:$A,$A320,$G:$G)*SUMIF(Summary!$A$247:$A$283,$A320,Summary!$Q$247:$Q$283),0)</f>
        <v>404438.82020394737</v>
      </c>
      <c r="AL320" s="196">
        <f>IFERROR($G320/SUMIF($A:$A,$A320,$G:$G)*(SUMIF(Summary!$A$247:$A$283,$A320,Summary!$L$247:$L$283)+SUMIF(Summary!$A$297:$A$333,$A320,Summary!$L$297:$L$333))-AK320,0)</f>
        <v>711231.47498414945</v>
      </c>
      <c r="AM320" s="198"/>
      <c r="AN320" s="196">
        <f t="shared" ca="1" si="68"/>
        <v>2385211.828337328</v>
      </c>
      <c r="AO320" s="196">
        <f t="shared" ca="1" si="69"/>
        <v>2381929.2940778877</v>
      </c>
    </row>
    <row r="321" spans="1:41">
      <c r="A321" s="189">
        <v>3581</v>
      </c>
      <c r="B321" s="190">
        <v>1</v>
      </c>
      <c r="C321" s="191" t="s">
        <v>221</v>
      </c>
      <c r="D321" s="192">
        <f t="shared" si="56"/>
        <v>8653.6400000000212</v>
      </c>
      <c r="E321" s="192">
        <f t="shared" si="57"/>
        <v>10229.359999999999</v>
      </c>
      <c r="F321" s="192">
        <f t="shared" si="58"/>
        <v>0</v>
      </c>
      <c r="G321" s="193">
        <f t="shared" si="59"/>
        <v>18883.000000000022</v>
      </c>
      <c r="H321" s="194">
        <v>3454.8000000000102</v>
      </c>
      <c r="I321" s="194">
        <v>4222.2</v>
      </c>
      <c r="J321" s="194">
        <v>0</v>
      </c>
      <c r="K321" s="193">
        <f t="shared" si="60"/>
        <v>7677.00000000001</v>
      </c>
      <c r="L321" s="194">
        <v>4406.5600000000104</v>
      </c>
      <c r="M321" s="194">
        <v>4671.4399999999996</v>
      </c>
      <c r="N321" s="194">
        <v>0</v>
      </c>
      <c r="O321" s="193">
        <f t="shared" si="61"/>
        <v>9078.0000000000109</v>
      </c>
      <c r="P321" s="194">
        <v>792.28</v>
      </c>
      <c r="Q321" s="194">
        <v>1335.72</v>
      </c>
      <c r="R321" s="194">
        <v>0</v>
      </c>
      <c r="S321" s="193">
        <f t="shared" si="62"/>
        <v>2128</v>
      </c>
      <c r="T321" s="193">
        <f t="shared" si="63"/>
        <v>629.43333333333408</v>
      </c>
      <c r="U321" s="193">
        <f ca="1">OFFSET('Expenditure Study'!$B$7,'Operations Support'!$C321,'Operations Support'!$B321)*$G321</f>
        <v>25303.22000000003</v>
      </c>
      <c r="V321" s="199">
        <f ca="1">U321*'Expenditure Study'!$B$31</f>
        <v>1494994.7220821779</v>
      </c>
      <c r="W321" s="199">
        <f ca="1">IF(A321=10298,1.51,1)*IF($B321&lt;3,$D321*'Expenditure Study'!$B$32*OFFSET('Expenditure Study'!$B$7,'Operations Support'!$C321,'Operations Support'!$B321),0)</f>
        <v>1159.5877600000031</v>
      </c>
      <c r="X321" s="200">
        <f ca="1">W321*'Expenditure Study'!$B$31</f>
        <v>68512.133277547196</v>
      </c>
      <c r="Y321" s="199">
        <f ca="1">U321*'Expenditure Study'!$B$31</f>
        <v>1494994.7220821779</v>
      </c>
      <c r="Z321" s="200">
        <f ca="1">W321*'Expenditure Study'!$B$31</f>
        <v>68512.133277547196</v>
      </c>
      <c r="AA321" s="195">
        <f t="shared" ca="1" si="64"/>
        <v>1563506.8553597252</v>
      </c>
      <c r="AB321" s="195">
        <f t="shared" ca="1" si="65"/>
        <v>1563506.8553597252</v>
      </c>
      <c r="AD321" s="196">
        <f>IFERROR($G321/SUMIF($A:$A,$A321,$G:$G)*SUMIF(Summary!$A$166:$A$242,$A321,Summary!$P$166:$P$242),0)</f>
        <v>658224.44915345439</v>
      </c>
      <c r="AE321" s="197">
        <f t="shared" ca="1" si="66"/>
        <v>905282.4062062708</v>
      </c>
      <c r="AF321" s="196">
        <f>IFERROR(G321/SUMIF(A:A,A321,G:G)*SUMIF(Summary!$A$166:$A$242,'Operations Support'!A321,Summary!$Q$166:$Q$242),0)</f>
        <v>659049.50743907236</v>
      </c>
      <c r="AG321" s="196">
        <f t="shared" ca="1" si="67"/>
        <v>904457.34792065283</v>
      </c>
      <c r="AI321" s="196">
        <f>IFERROR($G321/SUMIF($A:$A,$A321,$G:$G)*SUMIF(Summary!$A$247:$A$283,$A321,Summary!$P$247:$P$283),0)</f>
        <v>120043.7137175595</v>
      </c>
      <c r="AJ321" s="196">
        <f>IFERROR($G321/SUMIF($A:$A,$A321,$G:$G)*(SUMIF(Summary!$A$247:$A$283,$A321,Summary!$L$247:$L$283)+SUMIF(Summary!$A$297:$A$333,$A321,Summary!$L$297:$L$333))-AI321,0)</f>
        <v>211519.6124921205</v>
      </c>
      <c r="AK321" s="196">
        <f>IFERROR($G321/SUMIF($A:$A,$A321,$G:$G)*SUMIF(Summary!$A$247:$A$283,$A321,Summary!$Q$247:$Q$283),0)</f>
        <v>120194.18375975618</v>
      </c>
      <c r="AL321" s="196">
        <f>IFERROR($G321/SUMIF($A:$A,$A321,$G:$G)*(SUMIF(Summary!$A$247:$A$283,$A321,Summary!$L$247:$L$283)+SUMIF(Summary!$A$297:$A$333,$A321,Summary!$L$297:$L$333))-AK321,0)</f>
        <v>211369.14244992382</v>
      </c>
      <c r="AM321" s="198"/>
      <c r="AN321" s="196">
        <f t="shared" ca="1" si="68"/>
        <v>1116802.0186983913</v>
      </c>
      <c r="AO321" s="196">
        <f t="shared" ca="1" si="69"/>
        <v>1115826.4903705767</v>
      </c>
    </row>
    <row r="322" spans="1:41">
      <c r="A322" s="189">
        <v>3581</v>
      </c>
      <c r="B322" s="190">
        <v>1</v>
      </c>
      <c r="C322" s="191" t="s">
        <v>222</v>
      </c>
      <c r="D322" s="192">
        <f t="shared" si="56"/>
        <v>3900.9</v>
      </c>
      <c r="E322" s="192">
        <f t="shared" si="57"/>
        <v>4586.1000000000004</v>
      </c>
      <c r="F322" s="192">
        <f t="shared" si="58"/>
        <v>0</v>
      </c>
      <c r="G322" s="193">
        <f t="shared" si="59"/>
        <v>8487</v>
      </c>
      <c r="H322" s="194">
        <v>1435</v>
      </c>
      <c r="I322" s="194">
        <v>1409</v>
      </c>
      <c r="J322" s="194">
        <v>0</v>
      </c>
      <c r="K322" s="193">
        <f t="shared" si="60"/>
        <v>2844</v>
      </c>
      <c r="L322" s="194">
        <v>2188.9</v>
      </c>
      <c r="M322" s="194">
        <v>2832.1</v>
      </c>
      <c r="N322" s="194">
        <v>0</v>
      </c>
      <c r="O322" s="193">
        <f t="shared" si="61"/>
        <v>5021</v>
      </c>
      <c r="P322" s="194">
        <v>277</v>
      </c>
      <c r="Q322" s="194">
        <v>345</v>
      </c>
      <c r="R322" s="194">
        <v>0</v>
      </c>
      <c r="S322" s="193">
        <f t="shared" si="62"/>
        <v>622</v>
      </c>
      <c r="T322" s="193">
        <f t="shared" si="63"/>
        <v>282.89999999999998</v>
      </c>
      <c r="U322" s="193">
        <f ca="1">OFFSET('Expenditure Study'!$B$7,'Operations Support'!$C322,'Operations Support'!$B322)*$G322</f>
        <v>11627.19</v>
      </c>
      <c r="V322" s="199">
        <f ca="1">U322*'Expenditure Study'!$B$31</f>
        <v>686971.36896595208</v>
      </c>
      <c r="W322" s="199">
        <f ca="1">IF(A322=10298,1.51,1)*IF($B322&lt;3,$D322*'Expenditure Study'!$B$32*OFFSET('Expenditure Study'!$B$7,'Operations Support'!$C322,'Operations Support'!$B322),0)</f>
        <v>534.42330000000004</v>
      </c>
      <c r="X322" s="200">
        <f ca="1">W322*'Expenditure Study'!$B$31</f>
        <v>31575.428457632643</v>
      </c>
      <c r="Y322" s="199">
        <f ca="1">U322*'Expenditure Study'!$B$31</f>
        <v>686971.36896595208</v>
      </c>
      <c r="Z322" s="200">
        <f ca="1">W322*'Expenditure Study'!$B$31</f>
        <v>31575.428457632643</v>
      </c>
      <c r="AA322" s="195">
        <f t="shared" ca="1" si="64"/>
        <v>718546.79742358474</v>
      </c>
      <c r="AB322" s="195">
        <f t="shared" ca="1" si="65"/>
        <v>718546.79742358474</v>
      </c>
      <c r="AD322" s="196">
        <f>IFERROR($G322/SUMIF($A:$A,$A322,$G:$G)*SUMIF(Summary!$A$166:$A$242,$A322,Summary!$P$166:$P$242),0)</f>
        <v>295840.22136129643</v>
      </c>
      <c r="AE322" s="197">
        <f t="shared" ca="1" si="66"/>
        <v>422706.57606228831</v>
      </c>
      <c r="AF322" s="196">
        <f>IFERROR(G322/SUMIF(A:A,A322,G:G)*SUMIF(Summary!$A$166:$A$242,'Operations Support'!A322,Summary!$Q$166:$Q$242),0)</f>
        <v>296211.04536542925</v>
      </c>
      <c r="AG322" s="196">
        <f t="shared" ca="1" si="67"/>
        <v>422335.75205815549</v>
      </c>
      <c r="AI322" s="196">
        <f>IFERROR($G322/SUMIF($A:$A,$A322,$G:$G)*SUMIF(Summary!$A$247:$A$283,$A322,Summary!$P$247:$P$283),0)</f>
        <v>53953.873765870158</v>
      </c>
      <c r="AJ322" s="196">
        <f>IFERROR($G322/SUMIF($A:$A,$A322,$G:$G)*(SUMIF(Summary!$A$247:$A$283,$A322,Summary!$L$247:$L$283)+SUMIF(Summary!$A$297:$A$333,$A322,Summary!$L$297:$L$333))-AI322,0)</f>
        <v>95067.88917124529</v>
      </c>
      <c r="AK322" s="196">
        <f>IFERROR($G322/SUMIF($A:$A,$A322,$G:$G)*SUMIF(Summary!$A$247:$A$283,$A322,Summary!$Q$247:$Q$283),0)</f>
        <v>54021.502810414095</v>
      </c>
      <c r="AL322" s="196">
        <f>IFERROR($G322/SUMIF($A:$A,$A322,$G:$G)*(SUMIF(Summary!$A$247:$A$283,$A322,Summary!$L$247:$L$283)+SUMIF(Summary!$A$297:$A$333,$A322,Summary!$L$297:$L$333))-AK322,0)</f>
        <v>95000.260126701352</v>
      </c>
      <c r="AM322" s="198"/>
      <c r="AN322" s="196">
        <f t="shared" ca="1" si="68"/>
        <v>517774.46523353358</v>
      </c>
      <c r="AO322" s="196">
        <f t="shared" ca="1" si="69"/>
        <v>517336.01218485681</v>
      </c>
    </row>
    <row r="323" spans="1:41">
      <c r="A323" s="189">
        <v>3581</v>
      </c>
      <c r="B323" s="190">
        <v>1</v>
      </c>
      <c r="C323" s="191" t="s">
        <v>223</v>
      </c>
      <c r="D323" s="192">
        <f t="shared" si="56"/>
        <v>627</v>
      </c>
      <c r="E323" s="192">
        <f t="shared" si="57"/>
        <v>9</v>
      </c>
      <c r="F323" s="192">
        <f t="shared" si="58"/>
        <v>0</v>
      </c>
      <c r="G323" s="193">
        <f t="shared" si="59"/>
        <v>636</v>
      </c>
      <c r="H323" s="194">
        <v>309</v>
      </c>
      <c r="I323" s="194">
        <v>9</v>
      </c>
      <c r="J323" s="194">
        <v>0</v>
      </c>
      <c r="K323" s="193">
        <f t="shared" si="60"/>
        <v>318</v>
      </c>
      <c r="L323" s="194">
        <v>315</v>
      </c>
      <c r="M323" s="194">
        <v>0</v>
      </c>
      <c r="N323" s="194">
        <v>0</v>
      </c>
      <c r="O323" s="193">
        <f t="shared" si="61"/>
        <v>315</v>
      </c>
      <c r="P323" s="194">
        <v>3</v>
      </c>
      <c r="Q323" s="194">
        <v>0</v>
      </c>
      <c r="R323" s="194">
        <v>0</v>
      </c>
      <c r="S323" s="193">
        <f t="shared" si="62"/>
        <v>3</v>
      </c>
      <c r="T323" s="193">
        <f t="shared" si="63"/>
        <v>21.2</v>
      </c>
      <c r="U323" s="193">
        <f ca="1">OFFSET('Expenditure Study'!$B$7,'Operations Support'!$C323,'Operations Support'!$B323)*$G323</f>
        <v>801.36</v>
      </c>
      <c r="V323" s="199">
        <f ca="1">U323*'Expenditure Study'!$B$31</f>
        <v>47346.897765888003</v>
      </c>
      <c r="W323" s="199">
        <f ca="1">IF(A323=10298,1.51,1)*IF($B323&lt;3,$D323*'Expenditure Study'!$B$32*OFFSET('Expenditure Study'!$B$7,'Operations Support'!$C323,'Operations Support'!$B323),0)</f>
        <v>79.00200000000001</v>
      </c>
      <c r="X323" s="200">
        <f ca="1">W323*'Expenditure Study'!$B$31</f>
        <v>4667.6894495616007</v>
      </c>
      <c r="Y323" s="199">
        <f ca="1">U323*'Expenditure Study'!$B$31</f>
        <v>47346.897765888003</v>
      </c>
      <c r="Z323" s="200">
        <f ca="1">W323*'Expenditure Study'!$B$31</f>
        <v>4667.6894495616007</v>
      </c>
      <c r="AA323" s="195">
        <f t="shared" ca="1" si="64"/>
        <v>52014.587215449603</v>
      </c>
      <c r="AB323" s="195">
        <f t="shared" ca="1" si="65"/>
        <v>52014.587215449603</v>
      </c>
      <c r="AD323" s="196">
        <f>IFERROR($G323/SUMIF($A:$A,$A323,$G:$G)*SUMIF(Summary!$A$166:$A$242,$A323,Summary!$P$166:$P$242),0)</f>
        <v>22169.716128877641</v>
      </c>
      <c r="AE323" s="197">
        <f t="shared" ca="1" si="66"/>
        <v>29844.871086571962</v>
      </c>
      <c r="AF323" s="196">
        <f>IFERROR(G323/SUMIF(A:A,A323,G:G)*SUMIF(Summary!$A$166:$A$242,'Operations Support'!A323,Summary!$Q$166:$Q$242),0)</f>
        <v>22197.504990269001</v>
      </c>
      <c r="AG323" s="196">
        <f t="shared" ca="1" si="67"/>
        <v>29817.082225180602</v>
      </c>
      <c r="AI323" s="196">
        <f>IFERROR($G323/SUMIF($A:$A,$A323,$G:$G)*SUMIF(Summary!$A$247:$A$283,$A323,Summary!$P$247:$P$283),0)</f>
        <v>4043.2029828082268</v>
      </c>
      <c r="AJ323" s="196">
        <f>IFERROR($G323/SUMIF($A:$A,$A323,$G:$G)*(SUMIF(Summary!$A$247:$A$283,$A323,Summary!$L$247:$L$283)+SUMIF(Summary!$A$297:$A$333,$A323,Summary!$L$297:$L$333))-AI323,0)</f>
        <v>7124.2108534125146</v>
      </c>
      <c r="AK323" s="196">
        <f>IFERROR($G323/SUMIF($A:$A,$A323,$G:$G)*SUMIF(Summary!$A$247:$A$283,$A323,Summary!$Q$247:$Q$283),0)</f>
        <v>4048.2709776627039</v>
      </c>
      <c r="AL323" s="196">
        <f>IFERROR($G323/SUMIF($A:$A,$A323,$G:$G)*(SUMIF(Summary!$A$247:$A$283,$A323,Summary!$L$247:$L$283)+SUMIF(Summary!$A$297:$A$333,$A323,Summary!$L$297:$L$333))-AK323,0)</f>
        <v>7119.1428585580379</v>
      </c>
      <c r="AM323" s="198"/>
      <c r="AN323" s="196">
        <f t="shared" ca="1" si="68"/>
        <v>36969.081939984477</v>
      </c>
      <c r="AO323" s="196">
        <f t="shared" ca="1" si="69"/>
        <v>36936.225083738638</v>
      </c>
    </row>
    <row r="324" spans="1:41">
      <c r="A324" s="189">
        <v>3581</v>
      </c>
      <c r="B324" s="190">
        <v>1</v>
      </c>
      <c r="C324" s="191" t="s">
        <v>224</v>
      </c>
      <c r="D324" s="192">
        <f t="shared" si="56"/>
        <v>0</v>
      </c>
      <c r="E324" s="192">
        <f t="shared" si="57"/>
        <v>0</v>
      </c>
      <c r="F324" s="192">
        <f t="shared" si="58"/>
        <v>0</v>
      </c>
      <c r="G324" s="193">
        <f t="shared" si="59"/>
        <v>0</v>
      </c>
      <c r="H324" s="194">
        <v>0</v>
      </c>
      <c r="I324" s="194">
        <v>0</v>
      </c>
      <c r="J324" s="194">
        <v>0</v>
      </c>
      <c r="K324" s="193">
        <f t="shared" si="60"/>
        <v>0</v>
      </c>
      <c r="L324" s="194">
        <v>0</v>
      </c>
      <c r="M324" s="194">
        <v>0</v>
      </c>
      <c r="N324" s="194">
        <v>0</v>
      </c>
      <c r="O324" s="193">
        <f t="shared" si="61"/>
        <v>0</v>
      </c>
      <c r="P324" s="194">
        <v>0</v>
      </c>
      <c r="Q324" s="194">
        <v>0</v>
      </c>
      <c r="R324" s="194">
        <v>0</v>
      </c>
      <c r="S324" s="193">
        <f t="shared" si="62"/>
        <v>0</v>
      </c>
      <c r="T324" s="193">
        <f t="shared" si="63"/>
        <v>0</v>
      </c>
      <c r="U324" s="193">
        <f ca="1">OFFSET('Expenditure Study'!$B$7,'Operations Support'!$C324,'Operations Support'!$B324)*$G324</f>
        <v>0</v>
      </c>
      <c r="V324" s="199">
        <f ca="1">U324*'Expenditure Study'!$B$31</f>
        <v>0</v>
      </c>
      <c r="W324" s="199">
        <f ca="1">IF(A324=10298,1.51,1)*IF($B324&lt;3,$D324*'Expenditure Study'!$B$32*OFFSET('Expenditure Study'!$B$7,'Operations Support'!$C324,'Operations Support'!$B324),0)</f>
        <v>0</v>
      </c>
      <c r="X324" s="200">
        <f ca="1">W324*'Expenditure Study'!$B$31</f>
        <v>0</v>
      </c>
      <c r="Y324" s="199">
        <f ca="1">U324*'Expenditure Study'!$B$31</f>
        <v>0</v>
      </c>
      <c r="Z324" s="200">
        <f ca="1">W324*'Expenditure Study'!$B$31</f>
        <v>0</v>
      </c>
      <c r="AA324" s="195">
        <f t="shared" ca="1" si="64"/>
        <v>0</v>
      </c>
      <c r="AB324" s="195">
        <f t="shared" ca="1" si="65"/>
        <v>0</v>
      </c>
      <c r="AD324" s="196">
        <f>IFERROR($G324/SUMIF($A:$A,$A324,$G:$G)*SUMIF(Summary!$A$166:$A$242,$A324,Summary!$P$166:$P$242),0)</f>
        <v>0</v>
      </c>
      <c r="AE324" s="197">
        <f t="shared" ca="1" si="66"/>
        <v>0</v>
      </c>
      <c r="AF324" s="196">
        <f>IFERROR(G324/SUMIF(A:A,A324,G:G)*SUMIF(Summary!$A$166:$A$242,'Operations Support'!A324,Summary!$Q$166:$Q$242),0)</f>
        <v>0</v>
      </c>
      <c r="AG324" s="196">
        <f t="shared" ca="1" si="67"/>
        <v>0</v>
      </c>
      <c r="AI324" s="196">
        <f>IFERROR($G324/SUMIF($A:$A,$A324,$G:$G)*SUMIF(Summary!$A$247:$A$283,$A324,Summary!$P$247:$P$283),0)</f>
        <v>0</v>
      </c>
      <c r="AJ324" s="196">
        <f>IFERROR($G324/SUMIF($A:$A,$A324,$G:$G)*(SUMIF(Summary!$A$247:$A$283,$A324,Summary!$L$247:$L$283)+SUMIF(Summary!$A$297:$A$333,$A324,Summary!$L$297:$L$333))-AI324,0)</f>
        <v>0</v>
      </c>
      <c r="AK324" s="196">
        <f>IFERROR($G324/SUMIF($A:$A,$A324,$G:$G)*SUMIF(Summary!$A$247:$A$283,$A324,Summary!$Q$247:$Q$283),0)</f>
        <v>0</v>
      </c>
      <c r="AL324" s="196">
        <f>IFERROR($G324/SUMIF($A:$A,$A324,$G:$G)*(SUMIF(Summary!$A$247:$A$283,$A324,Summary!$L$247:$L$283)+SUMIF(Summary!$A$297:$A$333,$A324,Summary!$L$297:$L$333))-AK324,0)</f>
        <v>0</v>
      </c>
      <c r="AM324" s="198"/>
      <c r="AN324" s="196">
        <f t="shared" ca="1" si="68"/>
        <v>0</v>
      </c>
      <c r="AO324" s="196">
        <f t="shared" ca="1" si="69"/>
        <v>0</v>
      </c>
    </row>
    <row r="325" spans="1:41">
      <c r="A325" s="189">
        <v>3581</v>
      </c>
      <c r="B325" s="190">
        <v>1</v>
      </c>
      <c r="C325" s="191" t="s">
        <v>225</v>
      </c>
      <c r="D325" s="192">
        <f t="shared" ref="D325:D388" si="70">H325+L325+P325</f>
        <v>4404.1700000000101</v>
      </c>
      <c r="E325" s="192">
        <f t="shared" ref="E325:E388" si="71">I325+M325+Q325</f>
        <v>2636.8300000000013</v>
      </c>
      <c r="F325" s="192">
        <f t="shared" ref="F325:F388" si="72">J325+N325+R325</f>
        <v>0</v>
      </c>
      <c r="G325" s="193">
        <f t="shared" ref="G325:G388" si="73">(SUM(D325:E325)-F325)*IF(A325=10298,1.51,1)</f>
        <v>7041.0000000000109</v>
      </c>
      <c r="H325" s="194">
        <v>1920</v>
      </c>
      <c r="I325" s="194">
        <v>1449</v>
      </c>
      <c r="J325" s="194">
        <v>0</v>
      </c>
      <c r="K325" s="193">
        <f t="shared" ref="K325:K388" si="74">SUM(H325:I325)-J325</f>
        <v>3369</v>
      </c>
      <c r="L325" s="194">
        <v>2253.1700000000101</v>
      </c>
      <c r="M325" s="194">
        <v>901.83000000000129</v>
      </c>
      <c r="N325" s="194">
        <v>0</v>
      </c>
      <c r="O325" s="193">
        <f t="shared" ref="O325:O388" si="75">SUM(L325:M325)-N325</f>
        <v>3155.0000000000114</v>
      </c>
      <c r="P325" s="194">
        <v>231</v>
      </c>
      <c r="Q325" s="194">
        <v>286</v>
      </c>
      <c r="R325" s="194">
        <v>0</v>
      </c>
      <c r="S325" s="193">
        <f t="shared" ref="S325:S388" si="76">SUM(P325:Q325)-R325</f>
        <v>517</v>
      </c>
      <c r="T325" s="193">
        <f t="shared" ref="T325:T388" si="77">IF(OR(B325=1,B325=2),G325/30,IF(OR(B325=3,B325=5),G325/24,IF(B325=4,G325/18,0)))</f>
        <v>234.70000000000036</v>
      </c>
      <c r="U325" s="193">
        <f ca="1">OFFSET('Expenditure Study'!$B$7,'Operations Support'!$C325,'Operations Support'!$B325)*$G325</f>
        <v>12392.16000000002</v>
      </c>
      <c r="V325" s="199">
        <f ca="1">U325*'Expenditure Study'!$B$31</f>
        <v>732168.22978252918</v>
      </c>
      <c r="W325" s="199">
        <f ca="1">IF(A325=10298,1.51,1)*IF($B325&lt;3,$D325*'Expenditure Study'!$B$32*OFFSET('Expenditure Study'!$B$7,'Operations Support'!$C325,'Operations Support'!$B325),0)</f>
        <v>775.13392000000181</v>
      </c>
      <c r="X325" s="200">
        <f ca="1">W325*'Expenditure Study'!$B$31</f>
        <v>45797.377539572844</v>
      </c>
      <c r="Y325" s="199">
        <f ca="1">U325*'Expenditure Study'!$B$31</f>
        <v>732168.22978252918</v>
      </c>
      <c r="Z325" s="200">
        <f ca="1">W325*'Expenditure Study'!$B$31</f>
        <v>45797.377539572844</v>
      </c>
      <c r="AA325" s="195">
        <f t="shared" ref="AA325:AA388" ca="1" si="78">V325+X325</f>
        <v>777965.60732210206</v>
      </c>
      <c r="AB325" s="195">
        <f t="shared" ref="AB325:AB388" ca="1" si="79">Y325+Z325</f>
        <v>777965.60732210206</v>
      </c>
      <c r="AD325" s="196">
        <f>IFERROR($G325/SUMIF($A:$A,$A325,$G:$G)*SUMIF(Summary!$A$166:$A$242,$A325,Summary!$P$166:$P$242),0)</f>
        <v>245435.4894079052</v>
      </c>
      <c r="AE325" s="197">
        <f t="shared" ca="1" si="66"/>
        <v>532530.1179141968</v>
      </c>
      <c r="AF325" s="196">
        <f>IFERROR(G325/SUMIF(A:A,A325,G:G)*SUMIF(Summary!$A$166:$A$242,'Operations Support'!A325,Summary!$Q$166:$Q$242),0)</f>
        <v>245743.13307623315</v>
      </c>
      <c r="AG325" s="196">
        <f t="shared" ca="1" si="67"/>
        <v>532222.47424586886</v>
      </c>
      <c r="AI325" s="196">
        <f>IFERROR($G325/SUMIF($A:$A,$A325,$G:$G)*SUMIF(Summary!$A$247:$A$283,$A325,Summary!$P$247:$P$283),0)</f>
        <v>44761.308493636432</v>
      </c>
      <c r="AJ325" s="196">
        <f>IFERROR($G325/SUMIF($A:$A,$A325,$G:$G)*(SUMIF(Summary!$A$247:$A$283,$A325,Summary!$L$247:$L$283)+SUMIF(Summary!$A$297:$A$333,$A325,Summary!$L$297:$L$333))-AI325,0)</f>
        <v>78870.390910184884</v>
      </c>
      <c r="AK325" s="196">
        <f>IFERROR($G325/SUMIF($A:$A,$A325,$G:$G)*SUMIF(Summary!$A$247:$A$283,$A325,Summary!$Q$247:$Q$283),0)</f>
        <v>44817.415021577268</v>
      </c>
      <c r="AL325" s="196">
        <f>IFERROR($G325/SUMIF($A:$A,$A325,$G:$G)*(SUMIF(Summary!$A$247:$A$283,$A325,Summary!$L$247:$L$283)+SUMIF(Summary!$A$297:$A$333,$A325,Summary!$L$297:$L$333))-AK325,0)</f>
        <v>78814.284382244048</v>
      </c>
      <c r="AM325" s="198"/>
      <c r="AN325" s="196">
        <f t="shared" ca="1" si="68"/>
        <v>611400.50882438174</v>
      </c>
      <c r="AO325" s="196">
        <f t="shared" ca="1" si="69"/>
        <v>611036.75862811296</v>
      </c>
    </row>
    <row r="326" spans="1:41">
      <c r="A326" s="189">
        <v>3581</v>
      </c>
      <c r="B326" s="190">
        <v>1</v>
      </c>
      <c r="C326" s="191" t="s">
        <v>226</v>
      </c>
      <c r="D326" s="192">
        <f t="shared" si="70"/>
        <v>1476</v>
      </c>
      <c r="E326" s="192">
        <f t="shared" si="71"/>
        <v>2679</v>
      </c>
      <c r="F326" s="192">
        <f t="shared" si="72"/>
        <v>0</v>
      </c>
      <c r="G326" s="193">
        <f t="shared" si="73"/>
        <v>4155</v>
      </c>
      <c r="H326" s="194">
        <v>855</v>
      </c>
      <c r="I326" s="194">
        <v>732</v>
      </c>
      <c r="J326" s="194">
        <v>0</v>
      </c>
      <c r="K326" s="193">
        <f t="shared" si="74"/>
        <v>1587</v>
      </c>
      <c r="L326" s="194">
        <v>468</v>
      </c>
      <c r="M326" s="194">
        <v>1455</v>
      </c>
      <c r="N326" s="194">
        <v>0</v>
      </c>
      <c r="O326" s="193">
        <f t="shared" si="75"/>
        <v>1923</v>
      </c>
      <c r="P326" s="194">
        <v>153</v>
      </c>
      <c r="Q326" s="194">
        <v>492</v>
      </c>
      <c r="R326" s="194">
        <v>0</v>
      </c>
      <c r="S326" s="193">
        <f t="shared" si="76"/>
        <v>645</v>
      </c>
      <c r="T326" s="193">
        <f t="shared" si="77"/>
        <v>138.5</v>
      </c>
      <c r="U326" s="193">
        <f ca="1">OFFSET('Expenditure Study'!$B$7,'Operations Support'!$C326,'Operations Support'!$B326)*$G326</f>
        <v>3947.25</v>
      </c>
      <c r="V326" s="199">
        <f ca="1">U326*'Expenditure Study'!$B$31</f>
        <v>233216.08541279999</v>
      </c>
      <c r="W326" s="199">
        <f ca="1">IF(A326=10298,1.51,1)*IF($B326&lt;3,$D326*'Expenditure Study'!$B$32*OFFSET('Expenditure Study'!$B$7,'Operations Support'!$C326,'Operations Support'!$B326),0)</f>
        <v>140.22</v>
      </c>
      <c r="X326" s="200">
        <f ca="1">W326*'Expenditure Study'!$B$31</f>
        <v>8284.6436117760004</v>
      </c>
      <c r="Y326" s="199">
        <f ca="1">U326*'Expenditure Study'!$B$31</f>
        <v>233216.08541279999</v>
      </c>
      <c r="Z326" s="200">
        <f ca="1">W326*'Expenditure Study'!$B$31</f>
        <v>8284.6436117760004</v>
      </c>
      <c r="AA326" s="195">
        <f t="shared" ca="1" si="78"/>
        <v>241500.72902457599</v>
      </c>
      <c r="AB326" s="195">
        <f t="shared" ca="1" si="79"/>
        <v>241500.72902457599</v>
      </c>
      <c r="AD326" s="196">
        <f>IFERROR($G326/SUMIF($A:$A,$A326,$G:$G)*SUMIF(Summary!$A$166:$A$242,$A326,Summary!$P$166:$P$242),0)</f>
        <v>144835.17376648838</v>
      </c>
      <c r="AE326" s="197">
        <f t="shared" ref="AE326:AE389" ca="1" si="80">V326+X326-AD326</f>
        <v>96665.55525808761</v>
      </c>
      <c r="AF326" s="196">
        <f>IFERROR(G326/SUMIF(A:A,A326,G:G)*SUMIF(Summary!$A$166:$A$242,'Operations Support'!A326,Summary!$Q$166:$Q$242),0)</f>
        <v>145016.71892227625</v>
      </c>
      <c r="AG326" s="196">
        <f t="shared" ref="AG326:AG389" ca="1" si="81">Y326+Z326-AF326</f>
        <v>96484.010102299741</v>
      </c>
      <c r="AI326" s="196">
        <f>IFERROR($G326/SUMIF($A:$A,$A326,$G:$G)*SUMIF(Summary!$A$247:$A$283,$A326,Summary!$P$247:$P$283),0)</f>
        <v>26414.32137353488</v>
      </c>
      <c r="AJ326" s="196">
        <f>IFERROR($G326/SUMIF($A:$A,$A326,$G:$G)*(SUMIF(Summary!$A$247:$A$283,$A326,Summary!$L$247:$L$283)+SUMIF(Summary!$A$297:$A$333,$A326,Summary!$L$297:$L$333))-AI326,0)</f>
        <v>46542.60392441666</v>
      </c>
      <c r="AK326" s="196">
        <f>IFERROR($G326/SUMIF($A:$A,$A326,$G:$G)*SUMIF(Summary!$A$247:$A$283,$A326,Summary!$Q$247:$Q$283),0)</f>
        <v>26447.430679541721</v>
      </c>
      <c r="AL326" s="196">
        <f>IFERROR($G326/SUMIF($A:$A,$A326,$G:$G)*(SUMIF(Summary!$A$247:$A$283,$A326,Summary!$L$247:$L$283)+SUMIF(Summary!$A$297:$A$333,$A326,Summary!$L$297:$L$333))-AK326,0)</f>
        <v>46509.494618409823</v>
      </c>
      <c r="AM326" s="198"/>
      <c r="AN326" s="196">
        <f t="shared" ref="AN326:AN389" ca="1" si="82">AE326+AJ326</f>
        <v>143208.15918250429</v>
      </c>
      <c r="AO326" s="196">
        <f t="shared" ref="AO326:AO389" ca="1" si="83">AG326+AL326</f>
        <v>142993.50472070958</v>
      </c>
    </row>
    <row r="327" spans="1:41">
      <c r="A327" s="189">
        <v>3581</v>
      </c>
      <c r="B327" s="190">
        <v>1</v>
      </c>
      <c r="C327" s="191" t="s">
        <v>227</v>
      </c>
      <c r="D327" s="192">
        <f t="shared" si="70"/>
        <v>0</v>
      </c>
      <c r="E327" s="192">
        <f t="shared" si="71"/>
        <v>0</v>
      </c>
      <c r="F327" s="192">
        <f t="shared" si="72"/>
        <v>0</v>
      </c>
      <c r="G327" s="193">
        <f t="shared" si="73"/>
        <v>0</v>
      </c>
      <c r="H327" s="194">
        <v>0</v>
      </c>
      <c r="I327" s="194">
        <v>0</v>
      </c>
      <c r="J327" s="194">
        <v>0</v>
      </c>
      <c r="K327" s="193">
        <f t="shared" si="74"/>
        <v>0</v>
      </c>
      <c r="L327" s="194">
        <v>0</v>
      </c>
      <c r="M327" s="194">
        <v>0</v>
      </c>
      <c r="N327" s="194">
        <v>0</v>
      </c>
      <c r="O327" s="193">
        <f t="shared" si="75"/>
        <v>0</v>
      </c>
      <c r="P327" s="194">
        <v>0</v>
      </c>
      <c r="Q327" s="194">
        <v>0</v>
      </c>
      <c r="R327" s="194">
        <v>0</v>
      </c>
      <c r="S327" s="193">
        <f t="shared" si="76"/>
        <v>0</v>
      </c>
      <c r="T327" s="193">
        <f t="shared" si="77"/>
        <v>0</v>
      </c>
      <c r="U327" s="193">
        <f ca="1">OFFSET('Expenditure Study'!$B$7,'Operations Support'!$C327,'Operations Support'!$B327)*$G327</f>
        <v>0</v>
      </c>
      <c r="V327" s="199">
        <f ca="1">U327*'Expenditure Study'!$B$31</f>
        <v>0</v>
      </c>
      <c r="W327" s="199">
        <f ca="1">IF(A327=10298,1.51,1)*IF($B327&lt;3,$D327*'Expenditure Study'!$B$32*OFFSET('Expenditure Study'!$B$7,'Operations Support'!$C327,'Operations Support'!$B327),0)</f>
        <v>0</v>
      </c>
      <c r="X327" s="200">
        <f ca="1">W327*'Expenditure Study'!$B$31</f>
        <v>0</v>
      </c>
      <c r="Y327" s="199">
        <f ca="1">U327*'Expenditure Study'!$B$31</f>
        <v>0</v>
      </c>
      <c r="Z327" s="200">
        <f ca="1">W327*'Expenditure Study'!$B$31</f>
        <v>0</v>
      </c>
      <c r="AA327" s="195">
        <f t="shared" ca="1" si="78"/>
        <v>0</v>
      </c>
      <c r="AB327" s="195">
        <f t="shared" ca="1" si="79"/>
        <v>0</v>
      </c>
      <c r="AD327" s="196">
        <f>IFERROR($G327/SUMIF($A:$A,$A327,$G:$G)*SUMIF(Summary!$A$166:$A$242,$A327,Summary!$P$166:$P$242),0)</f>
        <v>0</v>
      </c>
      <c r="AE327" s="197">
        <f t="shared" ca="1" si="80"/>
        <v>0</v>
      </c>
      <c r="AF327" s="196">
        <f>IFERROR(G327/SUMIF(A:A,A327,G:G)*SUMIF(Summary!$A$166:$A$242,'Operations Support'!A327,Summary!$Q$166:$Q$242),0)</f>
        <v>0</v>
      </c>
      <c r="AG327" s="196">
        <f t="shared" ca="1" si="81"/>
        <v>0</v>
      </c>
      <c r="AI327" s="196">
        <f>IFERROR($G327/SUMIF($A:$A,$A327,$G:$G)*SUMIF(Summary!$A$247:$A$283,$A327,Summary!$P$247:$P$283),0)</f>
        <v>0</v>
      </c>
      <c r="AJ327" s="196">
        <f>IFERROR($G327/SUMIF($A:$A,$A327,$G:$G)*(SUMIF(Summary!$A$247:$A$283,$A327,Summary!$L$247:$L$283)+SUMIF(Summary!$A$297:$A$333,$A327,Summary!$L$297:$L$333))-AI327,0)</f>
        <v>0</v>
      </c>
      <c r="AK327" s="196">
        <f>IFERROR($G327/SUMIF($A:$A,$A327,$G:$G)*SUMIF(Summary!$A$247:$A$283,$A327,Summary!$Q$247:$Q$283),0)</f>
        <v>0</v>
      </c>
      <c r="AL327" s="196">
        <f>IFERROR($G327/SUMIF($A:$A,$A327,$G:$G)*(SUMIF(Summary!$A$247:$A$283,$A327,Summary!$L$247:$L$283)+SUMIF(Summary!$A$297:$A$333,$A327,Summary!$L$297:$L$333))-AK327,0)</f>
        <v>0</v>
      </c>
      <c r="AM327" s="198"/>
      <c r="AN327" s="196">
        <f t="shared" ca="1" si="82"/>
        <v>0</v>
      </c>
      <c r="AO327" s="196">
        <f t="shared" ca="1" si="83"/>
        <v>0</v>
      </c>
    </row>
    <row r="328" spans="1:41">
      <c r="A328" s="189">
        <v>3581</v>
      </c>
      <c r="B328" s="190">
        <v>1</v>
      </c>
      <c r="C328" s="191" t="s">
        <v>228</v>
      </c>
      <c r="D328" s="192">
        <f t="shared" si="70"/>
        <v>42</v>
      </c>
      <c r="E328" s="192">
        <f t="shared" si="71"/>
        <v>537</v>
      </c>
      <c r="F328" s="192">
        <f t="shared" si="72"/>
        <v>0</v>
      </c>
      <c r="G328" s="193">
        <f t="shared" si="73"/>
        <v>579</v>
      </c>
      <c r="H328" s="194">
        <v>21</v>
      </c>
      <c r="I328" s="194">
        <v>225</v>
      </c>
      <c r="J328" s="194">
        <v>0</v>
      </c>
      <c r="K328" s="193">
        <f t="shared" si="74"/>
        <v>246</v>
      </c>
      <c r="L328" s="194">
        <v>18</v>
      </c>
      <c r="M328" s="194">
        <v>312</v>
      </c>
      <c r="N328" s="194">
        <v>0</v>
      </c>
      <c r="O328" s="193">
        <f t="shared" si="75"/>
        <v>330</v>
      </c>
      <c r="P328" s="194">
        <v>3</v>
      </c>
      <c r="Q328" s="194">
        <v>0</v>
      </c>
      <c r="R328" s="194">
        <v>0</v>
      </c>
      <c r="S328" s="193">
        <f t="shared" si="76"/>
        <v>3</v>
      </c>
      <c r="T328" s="193">
        <f t="shared" si="77"/>
        <v>19.3</v>
      </c>
      <c r="U328" s="193">
        <f ca="1">OFFSET('Expenditure Study'!$B$7,'Operations Support'!$C328,'Operations Support'!$B328)*$G328</f>
        <v>914.82</v>
      </c>
      <c r="V328" s="199">
        <f ca="1">U328*'Expenditure Study'!$B$31</f>
        <v>54050.475459456007</v>
      </c>
      <c r="W328" s="199">
        <f ca="1">IF(A328=10298,1.51,1)*IF($B328&lt;3,$D328*'Expenditure Study'!$B$32*OFFSET('Expenditure Study'!$B$7,'Operations Support'!$C328,'Operations Support'!$B328),0)</f>
        <v>6.636000000000001</v>
      </c>
      <c r="X328" s="200">
        <f ca="1">W328*'Expenditure Study'!$B$31</f>
        <v>392.07598778880009</v>
      </c>
      <c r="Y328" s="199">
        <f ca="1">U328*'Expenditure Study'!$B$31</f>
        <v>54050.475459456007</v>
      </c>
      <c r="Z328" s="200">
        <f ca="1">W328*'Expenditure Study'!$B$31</f>
        <v>392.07598778880009</v>
      </c>
      <c r="AA328" s="195">
        <f t="shared" ca="1" si="78"/>
        <v>54442.551447244805</v>
      </c>
      <c r="AB328" s="195">
        <f t="shared" ca="1" si="79"/>
        <v>54442.551447244805</v>
      </c>
      <c r="AD328" s="196">
        <f>IFERROR($G328/SUMIF($A:$A,$A328,$G:$G)*SUMIF(Summary!$A$166:$A$242,$A328,Summary!$P$166:$P$242),0)</f>
        <v>20182.807607893326</v>
      </c>
      <c r="AE328" s="197">
        <f t="shared" ca="1" si="80"/>
        <v>34259.743839351475</v>
      </c>
      <c r="AF328" s="196">
        <f>IFERROR(G328/SUMIF(A:A,A328,G:G)*SUMIF(Summary!$A$166:$A$242,'Operations Support'!A328,Summary!$Q$166:$Q$242),0)</f>
        <v>20208.105958122251</v>
      </c>
      <c r="AG328" s="196">
        <f t="shared" ca="1" si="81"/>
        <v>34234.445489122554</v>
      </c>
      <c r="AI328" s="196">
        <f>IFERROR($G328/SUMIF($A:$A,$A328,$G:$G)*SUMIF(Summary!$A$247:$A$283,$A328,Summary!$P$247:$P$283),0)</f>
        <v>3680.8404513301311</v>
      </c>
      <c r="AJ328" s="196">
        <f>IFERROR($G328/SUMIF($A:$A,$A328,$G:$G)*(SUMIF(Summary!$A$247:$A$283,$A328,Summary!$L$247:$L$283)+SUMIF(Summary!$A$297:$A$333,$A328,Summary!$L$297:$L$333))-AI328,0)</f>
        <v>6485.7202580595049</v>
      </c>
      <c r="AK328" s="196">
        <f>IFERROR($G328/SUMIF($A:$A,$A328,$G:$G)*SUMIF(Summary!$A$247:$A$283,$A328,Summary!$Q$247:$Q$283),0)</f>
        <v>3685.4542390985939</v>
      </c>
      <c r="AL328" s="196">
        <f>IFERROR($G328/SUMIF($A:$A,$A328,$G:$G)*(SUMIF(Summary!$A$247:$A$283,$A328,Summary!$L$247:$L$283)+SUMIF(Summary!$A$297:$A$333,$A328,Summary!$L$297:$L$333))-AK328,0)</f>
        <v>6481.1064702910426</v>
      </c>
      <c r="AM328" s="198"/>
      <c r="AN328" s="196">
        <f t="shared" ca="1" si="82"/>
        <v>40745.464097410979</v>
      </c>
      <c r="AO328" s="196">
        <f t="shared" ca="1" si="83"/>
        <v>40715.551959413599</v>
      </c>
    </row>
    <row r="329" spans="1:41">
      <c r="A329" s="189">
        <v>3581</v>
      </c>
      <c r="B329" s="190">
        <v>1</v>
      </c>
      <c r="C329" s="191" t="s">
        <v>229</v>
      </c>
      <c r="D329" s="192">
        <f t="shared" si="70"/>
        <v>27</v>
      </c>
      <c r="E329" s="192">
        <f t="shared" si="71"/>
        <v>236</v>
      </c>
      <c r="F329" s="192">
        <f t="shared" si="72"/>
        <v>0</v>
      </c>
      <c r="G329" s="193">
        <f t="shared" si="73"/>
        <v>263</v>
      </c>
      <c r="H329" s="194">
        <v>0</v>
      </c>
      <c r="I329" s="194">
        <v>51</v>
      </c>
      <c r="J329" s="194">
        <v>0</v>
      </c>
      <c r="K329" s="193">
        <f t="shared" si="74"/>
        <v>51</v>
      </c>
      <c r="L329" s="194">
        <v>27</v>
      </c>
      <c r="M329" s="194">
        <v>101</v>
      </c>
      <c r="N329" s="194">
        <v>0</v>
      </c>
      <c r="O329" s="193">
        <f t="shared" si="75"/>
        <v>128</v>
      </c>
      <c r="P329" s="194">
        <v>0</v>
      </c>
      <c r="Q329" s="194">
        <v>84</v>
      </c>
      <c r="R329" s="194">
        <v>0</v>
      </c>
      <c r="S329" s="193">
        <f t="shared" si="76"/>
        <v>84</v>
      </c>
      <c r="T329" s="193">
        <f t="shared" si="77"/>
        <v>8.7666666666666675</v>
      </c>
      <c r="U329" s="193">
        <f ca="1">OFFSET('Expenditure Study'!$B$7,'Operations Support'!$C329,'Operations Support'!$B329)*$G329</f>
        <v>875.79</v>
      </c>
      <c r="V329" s="199">
        <f ca="1">U329*'Expenditure Study'!$B$31</f>
        <v>51744.458912832</v>
      </c>
      <c r="W329" s="199">
        <f ca="1">IF(A329=10298,1.51,1)*IF($B329&lt;3,$D329*'Expenditure Study'!$B$32*OFFSET('Expenditure Study'!$B$7,'Operations Support'!$C329,'Operations Support'!$B329),0)</f>
        <v>8.9910000000000014</v>
      </c>
      <c r="X329" s="200">
        <f ca="1">W329*'Expenditure Study'!$B$31</f>
        <v>531.21687857280006</v>
      </c>
      <c r="Y329" s="199">
        <f ca="1">U329*'Expenditure Study'!$B$31</f>
        <v>51744.458912832</v>
      </c>
      <c r="Z329" s="200">
        <f ca="1">W329*'Expenditure Study'!$B$31</f>
        <v>531.21687857280006</v>
      </c>
      <c r="AA329" s="195">
        <f t="shared" ca="1" si="78"/>
        <v>52275.675791404799</v>
      </c>
      <c r="AB329" s="195">
        <f t="shared" ca="1" si="79"/>
        <v>52275.675791404799</v>
      </c>
      <c r="AD329" s="196">
        <f>IFERROR($G329/SUMIF($A:$A,$A329,$G:$G)*SUMIF(Summary!$A$166:$A$242,$A329,Summary!$P$166:$P$242),0)</f>
        <v>9167.665631910093</v>
      </c>
      <c r="AE329" s="197">
        <f t="shared" ca="1" si="80"/>
        <v>43108.010159494705</v>
      </c>
      <c r="AF329" s="196">
        <f>IFERROR(G329/SUMIF(A:A,A329,G:G)*SUMIF(Summary!$A$166:$A$242,'Operations Support'!A329,Summary!$Q$166:$Q$242),0)</f>
        <v>9179.1569377999167</v>
      </c>
      <c r="AG329" s="196">
        <f t="shared" ca="1" si="81"/>
        <v>43096.518853604881</v>
      </c>
      <c r="AI329" s="196">
        <f>IFERROR($G329/SUMIF($A:$A,$A329,$G:$G)*SUMIF(Summary!$A$247:$A$283,$A329,Summary!$P$247:$P$283),0)</f>
        <v>1671.9534347147228</v>
      </c>
      <c r="AJ329" s="196">
        <f>IFERROR($G329/SUMIF($A:$A,$A329,$G:$G)*(SUMIF(Summary!$A$247:$A$283,$A329,Summary!$L$247:$L$283)+SUMIF(Summary!$A$297:$A$333,$A329,Summary!$L$297:$L$333))-AI329,0)</f>
        <v>2946.0180101375645</v>
      </c>
      <c r="AK329" s="196">
        <f>IFERROR($G329/SUMIF($A:$A,$A329,$G:$G)*SUMIF(Summary!$A$247:$A$283,$A329,Summary!$Q$247:$Q$283),0)</f>
        <v>1674.049162146684</v>
      </c>
      <c r="AL329" s="196">
        <f>IFERROR($G329/SUMIF($A:$A,$A329,$G:$G)*(SUMIF(Summary!$A$247:$A$283,$A329,Summary!$L$247:$L$283)+SUMIF(Summary!$A$297:$A$333,$A329,Summary!$L$297:$L$333))-AK329,0)</f>
        <v>2943.9222827056033</v>
      </c>
      <c r="AM329" s="198"/>
      <c r="AN329" s="196">
        <f t="shared" ca="1" si="82"/>
        <v>46054.028169632271</v>
      </c>
      <c r="AO329" s="196">
        <f t="shared" ca="1" si="83"/>
        <v>46040.441136310481</v>
      </c>
    </row>
    <row r="330" spans="1:41">
      <c r="A330" s="189">
        <v>3581</v>
      </c>
      <c r="B330" s="190">
        <v>1</v>
      </c>
      <c r="C330" s="191" t="s">
        <v>230</v>
      </c>
      <c r="D330" s="192">
        <f t="shared" si="70"/>
        <v>0</v>
      </c>
      <c r="E330" s="192">
        <f t="shared" si="71"/>
        <v>0</v>
      </c>
      <c r="F330" s="192">
        <f t="shared" si="72"/>
        <v>0</v>
      </c>
      <c r="G330" s="193">
        <f t="shared" si="73"/>
        <v>0</v>
      </c>
      <c r="H330" s="194">
        <v>0</v>
      </c>
      <c r="I330" s="194">
        <v>0</v>
      </c>
      <c r="J330" s="194">
        <v>0</v>
      </c>
      <c r="K330" s="193">
        <f t="shared" si="74"/>
        <v>0</v>
      </c>
      <c r="L330" s="194">
        <v>0</v>
      </c>
      <c r="M330" s="194">
        <v>0</v>
      </c>
      <c r="N330" s="194">
        <v>0</v>
      </c>
      <c r="O330" s="193">
        <f t="shared" si="75"/>
        <v>0</v>
      </c>
      <c r="P330" s="194">
        <v>0</v>
      </c>
      <c r="Q330" s="194">
        <v>0</v>
      </c>
      <c r="R330" s="194">
        <v>0</v>
      </c>
      <c r="S330" s="193">
        <f t="shared" si="76"/>
        <v>0</v>
      </c>
      <c r="T330" s="193">
        <f t="shared" si="77"/>
        <v>0</v>
      </c>
      <c r="U330" s="193">
        <f ca="1">OFFSET('Expenditure Study'!$B$7,'Operations Support'!$C330,'Operations Support'!$B330)*$G330</f>
        <v>0</v>
      </c>
      <c r="V330" s="199">
        <f ca="1">U330*'Expenditure Study'!$B$31</f>
        <v>0</v>
      </c>
      <c r="W330" s="199">
        <f ca="1">IF(A330=10298,1.51,1)*IF($B330&lt;3,$D330*'Expenditure Study'!$B$32*OFFSET('Expenditure Study'!$B$7,'Operations Support'!$C330,'Operations Support'!$B330),0)</f>
        <v>0</v>
      </c>
      <c r="X330" s="200">
        <f ca="1">W330*'Expenditure Study'!$B$31</f>
        <v>0</v>
      </c>
      <c r="Y330" s="199">
        <f ca="1">U330*'Expenditure Study'!$B$31</f>
        <v>0</v>
      </c>
      <c r="Z330" s="200">
        <f ca="1">W330*'Expenditure Study'!$B$31</f>
        <v>0</v>
      </c>
      <c r="AA330" s="195">
        <f t="shared" ca="1" si="78"/>
        <v>0</v>
      </c>
      <c r="AB330" s="195">
        <f t="shared" ca="1" si="79"/>
        <v>0</v>
      </c>
      <c r="AD330" s="196">
        <f>IFERROR($G330/SUMIF($A:$A,$A330,$G:$G)*SUMIF(Summary!$A$166:$A$242,$A330,Summary!$P$166:$P$242),0)</f>
        <v>0</v>
      </c>
      <c r="AE330" s="197">
        <f t="shared" ca="1" si="80"/>
        <v>0</v>
      </c>
      <c r="AF330" s="196">
        <f>IFERROR(G330/SUMIF(A:A,A330,G:G)*SUMIF(Summary!$A$166:$A$242,'Operations Support'!A330,Summary!$Q$166:$Q$242),0)</f>
        <v>0</v>
      </c>
      <c r="AG330" s="196">
        <f t="shared" ca="1" si="81"/>
        <v>0</v>
      </c>
      <c r="AI330" s="196">
        <f>IFERROR($G330/SUMIF($A:$A,$A330,$G:$G)*SUMIF(Summary!$A$247:$A$283,$A330,Summary!$P$247:$P$283),0)</f>
        <v>0</v>
      </c>
      <c r="AJ330" s="196">
        <f>IFERROR($G330/SUMIF($A:$A,$A330,$G:$G)*(SUMIF(Summary!$A$247:$A$283,$A330,Summary!$L$247:$L$283)+SUMIF(Summary!$A$297:$A$333,$A330,Summary!$L$297:$L$333))-AI330,0)</f>
        <v>0</v>
      </c>
      <c r="AK330" s="196">
        <f>IFERROR($G330/SUMIF($A:$A,$A330,$G:$G)*SUMIF(Summary!$A$247:$A$283,$A330,Summary!$Q$247:$Q$283),0)</f>
        <v>0</v>
      </c>
      <c r="AL330" s="196">
        <f>IFERROR($G330/SUMIF($A:$A,$A330,$G:$G)*(SUMIF(Summary!$A$247:$A$283,$A330,Summary!$L$247:$L$283)+SUMIF(Summary!$A$297:$A$333,$A330,Summary!$L$297:$L$333))-AK330,0)</f>
        <v>0</v>
      </c>
      <c r="AM330" s="198"/>
      <c r="AN330" s="196">
        <f t="shared" ca="1" si="82"/>
        <v>0</v>
      </c>
      <c r="AO330" s="196">
        <f t="shared" ca="1" si="83"/>
        <v>0</v>
      </c>
    </row>
    <row r="331" spans="1:41">
      <c r="A331" s="189">
        <v>3581</v>
      </c>
      <c r="B331" s="190">
        <v>1</v>
      </c>
      <c r="C331" s="191" t="s">
        <v>231</v>
      </c>
      <c r="D331" s="192">
        <f t="shared" si="70"/>
        <v>0</v>
      </c>
      <c r="E331" s="192">
        <f t="shared" si="71"/>
        <v>0</v>
      </c>
      <c r="F331" s="192">
        <f t="shared" si="72"/>
        <v>0</v>
      </c>
      <c r="G331" s="193">
        <f t="shared" si="73"/>
        <v>0</v>
      </c>
      <c r="H331" s="194">
        <v>0</v>
      </c>
      <c r="I331" s="194">
        <v>0</v>
      </c>
      <c r="J331" s="194">
        <v>0</v>
      </c>
      <c r="K331" s="193">
        <f t="shared" si="74"/>
        <v>0</v>
      </c>
      <c r="L331" s="194">
        <v>0</v>
      </c>
      <c r="M331" s="194">
        <v>0</v>
      </c>
      <c r="N331" s="194">
        <v>0</v>
      </c>
      <c r="O331" s="193">
        <f t="shared" si="75"/>
        <v>0</v>
      </c>
      <c r="P331" s="194">
        <v>0</v>
      </c>
      <c r="Q331" s="194">
        <v>0</v>
      </c>
      <c r="R331" s="194">
        <v>0</v>
      </c>
      <c r="S331" s="193">
        <f t="shared" si="76"/>
        <v>0</v>
      </c>
      <c r="T331" s="193">
        <f t="shared" si="77"/>
        <v>0</v>
      </c>
      <c r="U331" s="193">
        <f ca="1">OFFSET('Expenditure Study'!$B$7,'Operations Support'!$C331,'Operations Support'!$B331)*$G331</f>
        <v>0</v>
      </c>
      <c r="V331" s="199">
        <f ca="1">U331*'Expenditure Study'!$B$31</f>
        <v>0</v>
      </c>
      <c r="W331" s="199">
        <f ca="1">IF(A331=10298,1.51,1)*IF($B331&lt;3,$D331*'Expenditure Study'!$B$32*OFFSET('Expenditure Study'!$B$7,'Operations Support'!$C331,'Operations Support'!$B331),0)</f>
        <v>0</v>
      </c>
      <c r="X331" s="200">
        <f ca="1">W331*'Expenditure Study'!$B$31</f>
        <v>0</v>
      </c>
      <c r="Y331" s="199">
        <f ca="1">U331*'Expenditure Study'!$B$31</f>
        <v>0</v>
      </c>
      <c r="Z331" s="200">
        <f ca="1">W331*'Expenditure Study'!$B$31</f>
        <v>0</v>
      </c>
      <c r="AA331" s="195">
        <f t="shared" ca="1" si="78"/>
        <v>0</v>
      </c>
      <c r="AB331" s="195">
        <f t="shared" ca="1" si="79"/>
        <v>0</v>
      </c>
      <c r="AD331" s="196">
        <f>IFERROR($G331/SUMIF($A:$A,$A331,$G:$G)*SUMIF(Summary!$A$166:$A$242,$A331,Summary!$P$166:$P$242),0)</f>
        <v>0</v>
      </c>
      <c r="AE331" s="197">
        <f t="shared" ca="1" si="80"/>
        <v>0</v>
      </c>
      <c r="AF331" s="196">
        <f>IFERROR(G331/SUMIF(A:A,A331,G:G)*SUMIF(Summary!$A$166:$A$242,'Operations Support'!A331,Summary!$Q$166:$Q$242),0)</f>
        <v>0</v>
      </c>
      <c r="AG331" s="196">
        <f t="shared" ca="1" si="81"/>
        <v>0</v>
      </c>
      <c r="AI331" s="196">
        <f>IFERROR($G331/SUMIF($A:$A,$A331,$G:$G)*SUMIF(Summary!$A$247:$A$283,$A331,Summary!$P$247:$P$283),0)</f>
        <v>0</v>
      </c>
      <c r="AJ331" s="196">
        <f>IFERROR($G331/SUMIF($A:$A,$A331,$G:$G)*(SUMIF(Summary!$A$247:$A$283,$A331,Summary!$L$247:$L$283)+SUMIF(Summary!$A$297:$A$333,$A331,Summary!$L$297:$L$333))-AI331,0)</f>
        <v>0</v>
      </c>
      <c r="AK331" s="196">
        <f>IFERROR($G331/SUMIF($A:$A,$A331,$G:$G)*SUMIF(Summary!$A$247:$A$283,$A331,Summary!$Q$247:$Q$283),0)</f>
        <v>0</v>
      </c>
      <c r="AL331" s="196">
        <f>IFERROR($G331/SUMIF($A:$A,$A331,$G:$G)*(SUMIF(Summary!$A$247:$A$283,$A331,Summary!$L$247:$L$283)+SUMIF(Summary!$A$297:$A$333,$A331,Summary!$L$297:$L$333))-AK331,0)</f>
        <v>0</v>
      </c>
      <c r="AM331" s="198"/>
      <c r="AN331" s="196">
        <f t="shared" ca="1" si="82"/>
        <v>0</v>
      </c>
      <c r="AO331" s="196">
        <f t="shared" ca="1" si="83"/>
        <v>0</v>
      </c>
    </row>
    <row r="332" spans="1:41">
      <c r="A332" s="189">
        <v>3581</v>
      </c>
      <c r="B332" s="190">
        <v>1</v>
      </c>
      <c r="C332" s="191" t="s">
        <v>232</v>
      </c>
      <c r="D332" s="192">
        <f t="shared" si="70"/>
        <v>0</v>
      </c>
      <c r="E332" s="192">
        <f t="shared" si="71"/>
        <v>0</v>
      </c>
      <c r="F332" s="192">
        <f t="shared" si="72"/>
        <v>0</v>
      </c>
      <c r="G332" s="193">
        <f t="shared" si="73"/>
        <v>0</v>
      </c>
      <c r="H332" s="194">
        <v>0</v>
      </c>
      <c r="I332" s="194">
        <v>0</v>
      </c>
      <c r="J332" s="194">
        <v>0</v>
      </c>
      <c r="K332" s="193">
        <f t="shared" si="74"/>
        <v>0</v>
      </c>
      <c r="L332" s="194">
        <v>0</v>
      </c>
      <c r="M332" s="194">
        <v>0</v>
      </c>
      <c r="N332" s="194">
        <v>0</v>
      </c>
      <c r="O332" s="193">
        <f t="shared" si="75"/>
        <v>0</v>
      </c>
      <c r="P332" s="194">
        <v>0</v>
      </c>
      <c r="Q332" s="194">
        <v>0</v>
      </c>
      <c r="R332" s="194">
        <v>0</v>
      </c>
      <c r="S332" s="193">
        <f t="shared" si="76"/>
        <v>0</v>
      </c>
      <c r="T332" s="193">
        <f t="shared" si="77"/>
        <v>0</v>
      </c>
      <c r="U332" s="193">
        <f ca="1">OFFSET('Expenditure Study'!$B$7,'Operations Support'!$C332,'Operations Support'!$B332)*$G332</f>
        <v>0</v>
      </c>
      <c r="V332" s="199">
        <f ca="1">U332*'Expenditure Study'!$B$31</f>
        <v>0</v>
      </c>
      <c r="W332" s="199">
        <f ca="1">IF(A332=10298,1.51,1)*IF($B332&lt;3,$D332*'Expenditure Study'!$B$32*OFFSET('Expenditure Study'!$B$7,'Operations Support'!$C332,'Operations Support'!$B332),0)</f>
        <v>0</v>
      </c>
      <c r="X332" s="200">
        <f ca="1">W332*'Expenditure Study'!$B$31</f>
        <v>0</v>
      </c>
      <c r="Y332" s="199">
        <f ca="1">U332*'Expenditure Study'!$B$31</f>
        <v>0</v>
      </c>
      <c r="Z332" s="200">
        <f ca="1">W332*'Expenditure Study'!$B$31</f>
        <v>0</v>
      </c>
      <c r="AA332" s="195">
        <f t="shared" ca="1" si="78"/>
        <v>0</v>
      </c>
      <c r="AB332" s="195">
        <f t="shared" ca="1" si="79"/>
        <v>0</v>
      </c>
      <c r="AD332" s="196">
        <f>IFERROR($G332/SUMIF($A:$A,$A332,$G:$G)*SUMIF(Summary!$A$166:$A$242,$A332,Summary!$P$166:$P$242),0)</f>
        <v>0</v>
      </c>
      <c r="AE332" s="197">
        <f t="shared" ca="1" si="80"/>
        <v>0</v>
      </c>
      <c r="AF332" s="196">
        <f>IFERROR(G332/SUMIF(A:A,A332,G:G)*SUMIF(Summary!$A$166:$A$242,'Operations Support'!A332,Summary!$Q$166:$Q$242),0)</f>
        <v>0</v>
      </c>
      <c r="AG332" s="196">
        <f t="shared" ca="1" si="81"/>
        <v>0</v>
      </c>
      <c r="AI332" s="196">
        <f>IFERROR($G332/SUMIF($A:$A,$A332,$G:$G)*SUMIF(Summary!$A$247:$A$283,$A332,Summary!$P$247:$P$283),0)</f>
        <v>0</v>
      </c>
      <c r="AJ332" s="196">
        <f>IFERROR($G332/SUMIF($A:$A,$A332,$G:$G)*(SUMIF(Summary!$A$247:$A$283,$A332,Summary!$L$247:$L$283)+SUMIF(Summary!$A$297:$A$333,$A332,Summary!$L$297:$L$333))-AI332,0)</f>
        <v>0</v>
      </c>
      <c r="AK332" s="196">
        <f>IFERROR($G332/SUMIF($A:$A,$A332,$G:$G)*SUMIF(Summary!$A$247:$A$283,$A332,Summary!$Q$247:$Q$283),0)</f>
        <v>0</v>
      </c>
      <c r="AL332" s="196">
        <f>IFERROR($G332/SUMIF($A:$A,$A332,$G:$G)*(SUMIF(Summary!$A$247:$A$283,$A332,Summary!$L$247:$L$283)+SUMIF(Summary!$A$297:$A$333,$A332,Summary!$L$297:$L$333))-AK332,0)</f>
        <v>0</v>
      </c>
      <c r="AM332" s="198"/>
      <c r="AN332" s="196">
        <f t="shared" ca="1" si="82"/>
        <v>0</v>
      </c>
      <c r="AO332" s="196">
        <f t="shared" ca="1" si="83"/>
        <v>0</v>
      </c>
    </row>
    <row r="333" spans="1:41">
      <c r="A333" s="189">
        <v>3581</v>
      </c>
      <c r="B333" s="190">
        <v>1</v>
      </c>
      <c r="C333" s="191" t="s">
        <v>233</v>
      </c>
      <c r="D333" s="192">
        <f t="shared" si="70"/>
        <v>690</v>
      </c>
      <c r="E333" s="192">
        <f t="shared" si="71"/>
        <v>3024</v>
      </c>
      <c r="F333" s="192">
        <f t="shared" si="72"/>
        <v>0</v>
      </c>
      <c r="G333" s="193">
        <f t="shared" si="73"/>
        <v>3714</v>
      </c>
      <c r="H333" s="194">
        <v>265</v>
      </c>
      <c r="I333" s="194">
        <v>1134</v>
      </c>
      <c r="J333" s="194">
        <v>0</v>
      </c>
      <c r="K333" s="193">
        <f t="shared" si="74"/>
        <v>1399</v>
      </c>
      <c r="L333" s="194">
        <v>341</v>
      </c>
      <c r="M333" s="194">
        <v>1500</v>
      </c>
      <c r="N333" s="194">
        <v>0</v>
      </c>
      <c r="O333" s="193">
        <f t="shared" si="75"/>
        <v>1841</v>
      </c>
      <c r="P333" s="194">
        <v>84</v>
      </c>
      <c r="Q333" s="194">
        <v>390</v>
      </c>
      <c r="R333" s="194">
        <v>0</v>
      </c>
      <c r="S333" s="193">
        <f t="shared" si="76"/>
        <v>474</v>
      </c>
      <c r="T333" s="193">
        <f t="shared" si="77"/>
        <v>123.8</v>
      </c>
      <c r="U333" s="193">
        <f ca="1">OFFSET('Expenditure Study'!$B$7,'Operations Support'!$C333,'Operations Support'!$B333)*$G333</f>
        <v>3565.44</v>
      </c>
      <c r="V333" s="199">
        <f ca="1">U333*'Expenditure Study'!$B$31</f>
        <v>210657.53615155202</v>
      </c>
      <c r="W333" s="199">
        <f ca="1">IF(A333=10298,1.51,1)*IF($B333&lt;3,$D333*'Expenditure Study'!$B$32*OFFSET('Expenditure Study'!$B$7,'Operations Support'!$C333,'Operations Support'!$B333),0)</f>
        <v>66.239999999999995</v>
      </c>
      <c r="X333" s="200">
        <f ca="1">W333*'Expenditure Study'!$B$31</f>
        <v>3913.6698961919997</v>
      </c>
      <c r="Y333" s="199">
        <f ca="1">U333*'Expenditure Study'!$B$31</f>
        <v>210657.53615155202</v>
      </c>
      <c r="Z333" s="200">
        <f ca="1">W333*'Expenditure Study'!$B$31</f>
        <v>3913.6698961919997</v>
      </c>
      <c r="AA333" s="195">
        <f t="shared" ca="1" si="78"/>
        <v>214571.20604774402</v>
      </c>
      <c r="AB333" s="195">
        <f t="shared" ca="1" si="79"/>
        <v>214571.20604774402</v>
      </c>
      <c r="AD333" s="196">
        <f>IFERROR($G333/SUMIF($A:$A,$A333,$G:$G)*SUMIF(Summary!$A$166:$A$242,$A333,Summary!$P$166:$P$242),0)</f>
        <v>129462.77626203076</v>
      </c>
      <c r="AE333" s="197">
        <f t="shared" ca="1" si="80"/>
        <v>85108.429785713262</v>
      </c>
      <c r="AF333" s="196">
        <f>IFERROR(G333/SUMIF(A:A,A333,G:G)*SUMIF(Summary!$A$166:$A$242,'Operations Support'!A333,Summary!$Q$166:$Q$242),0)</f>
        <v>129625.05272619351</v>
      </c>
      <c r="AG333" s="196">
        <f t="shared" ca="1" si="81"/>
        <v>84946.153321550519</v>
      </c>
      <c r="AI333" s="196">
        <f>IFERROR($G333/SUMIF($A:$A,$A333,$G:$G)*SUMIF(Summary!$A$247:$A$283,$A333,Summary!$P$247:$P$283),0)</f>
        <v>23610.779682625402</v>
      </c>
      <c r="AJ333" s="196">
        <f>IFERROR($G333/SUMIF($A:$A,$A333,$G:$G)*(SUMIF(Summary!$A$247:$A$283,$A333,Summary!$L$247:$L$283)+SUMIF(Summary!$A$297:$A$333,$A333,Summary!$L$297:$L$333))-AI333,0)</f>
        <v>41602.703002474955</v>
      </c>
      <c r="AK333" s="196">
        <f>IFERROR($G333/SUMIF($A:$A,$A333,$G:$G)*SUMIF(Summary!$A$247:$A$283,$A333,Summary!$Q$247:$Q$283),0)</f>
        <v>23640.374860124659</v>
      </c>
      <c r="AL333" s="196">
        <f>IFERROR($G333/SUMIF($A:$A,$A333,$G:$G)*(SUMIF(Summary!$A$247:$A$283,$A333,Summary!$L$247:$L$283)+SUMIF(Summary!$A$297:$A$333,$A333,Summary!$L$297:$L$333))-AK333,0)</f>
        <v>41573.107824975697</v>
      </c>
      <c r="AM333" s="198"/>
      <c r="AN333" s="196">
        <f t="shared" ca="1" si="82"/>
        <v>126711.13278818822</v>
      </c>
      <c r="AO333" s="196">
        <f t="shared" ca="1" si="83"/>
        <v>126519.26114652622</v>
      </c>
    </row>
    <row r="334" spans="1:41">
      <c r="A334" s="189">
        <v>3581</v>
      </c>
      <c r="B334" s="190">
        <v>1</v>
      </c>
      <c r="C334" s="191" t="s">
        <v>234</v>
      </c>
      <c r="D334" s="192">
        <f t="shared" si="70"/>
        <v>0</v>
      </c>
      <c r="E334" s="192">
        <f t="shared" si="71"/>
        <v>0</v>
      </c>
      <c r="F334" s="192">
        <f t="shared" si="72"/>
        <v>0</v>
      </c>
      <c r="G334" s="193">
        <f t="shared" si="73"/>
        <v>0</v>
      </c>
      <c r="H334" s="194">
        <v>0</v>
      </c>
      <c r="I334" s="194">
        <v>0</v>
      </c>
      <c r="J334" s="194">
        <v>0</v>
      </c>
      <c r="K334" s="193">
        <f t="shared" si="74"/>
        <v>0</v>
      </c>
      <c r="L334" s="194">
        <v>0</v>
      </c>
      <c r="M334" s="194">
        <v>0</v>
      </c>
      <c r="N334" s="194">
        <v>0</v>
      </c>
      <c r="O334" s="193">
        <f t="shared" si="75"/>
        <v>0</v>
      </c>
      <c r="P334" s="194">
        <v>0</v>
      </c>
      <c r="Q334" s="194">
        <v>0</v>
      </c>
      <c r="R334" s="194">
        <v>0</v>
      </c>
      <c r="S334" s="193">
        <f t="shared" si="76"/>
        <v>0</v>
      </c>
      <c r="T334" s="193">
        <f t="shared" si="77"/>
        <v>0</v>
      </c>
      <c r="U334" s="193">
        <f ca="1">OFFSET('Expenditure Study'!$B$7,'Operations Support'!$C334,'Operations Support'!$B334)*$G334</f>
        <v>0</v>
      </c>
      <c r="V334" s="199">
        <f ca="1">U334*'Expenditure Study'!$B$31</f>
        <v>0</v>
      </c>
      <c r="W334" s="199">
        <f ca="1">IF(A334=10298,1.51,1)*IF($B334&lt;3,$D334*'Expenditure Study'!$B$32*OFFSET('Expenditure Study'!$B$7,'Operations Support'!$C334,'Operations Support'!$B334),0)</f>
        <v>0</v>
      </c>
      <c r="X334" s="200">
        <f ca="1">W334*'Expenditure Study'!$B$31</f>
        <v>0</v>
      </c>
      <c r="Y334" s="199">
        <f ca="1">U334*'Expenditure Study'!$B$31</f>
        <v>0</v>
      </c>
      <c r="Z334" s="200">
        <f ca="1">W334*'Expenditure Study'!$B$31</f>
        <v>0</v>
      </c>
      <c r="AA334" s="195">
        <f t="shared" ca="1" si="78"/>
        <v>0</v>
      </c>
      <c r="AB334" s="195">
        <f t="shared" ca="1" si="79"/>
        <v>0</v>
      </c>
      <c r="AD334" s="196">
        <f>IFERROR($G334/SUMIF($A:$A,$A334,$G:$G)*SUMIF(Summary!$A$166:$A$242,$A334,Summary!$P$166:$P$242),0)</f>
        <v>0</v>
      </c>
      <c r="AE334" s="197">
        <f t="shared" ca="1" si="80"/>
        <v>0</v>
      </c>
      <c r="AF334" s="196">
        <f>IFERROR(G334/SUMIF(A:A,A334,G:G)*SUMIF(Summary!$A$166:$A$242,'Operations Support'!A334,Summary!$Q$166:$Q$242),0)</f>
        <v>0</v>
      </c>
      <c r="AG334" s="196">
        <f t="shared" ca="1" si="81"/>
        <v>0</v>
      </c>
      <c r="AI334" s="196">
        <f>IFERROR($G334/SUMIF($A:$A,$A334,$G:$G)*SUMIF(Summary!$A$247:$A$283,$A334,Summary!$P$247:$P$283),0)</f>
        <v>0</v>
      </c>
      <c r="AJ334" s="196">
        <f>IFERROR($G334/SUMIF($A:$A,$A334,$G:$G)*(SUMIF(Summary!$A$247:$A$283,$A334,Summary!$L$247:$L$283)+SUMIF(Summary!$A$297:$A$333,$A334,Summary!$L$297:$L$333))-AI334,0)</f>
        <v>0</v>
      </c>
      <c r="AK334" s="196">
        <f>IFERROR($G334/SUMIF($A:$A,$A334,$G:$G)*SUMIF(Summary!$A$247:$A$283,$A334,Summary!$Q$247:$Q$283),0)</f>
        <v>0</v>
      </c>
      <c r="AL334" s="196">
        <f>IFERROR($G334/SUMIF($A:$A,$A334,$G:$G)*(SUMIF(Summary!$A$247:$A$283,$A334,Summary!$L$247:$L$283)+SUMIF(Summary!$A$297:$A$333,$A334,Summary!$L$297:$L$333))-AK334,0)</f>
        <v>0</v>
      </c>
      <c r="AM334" s="198"/>
      <c r="AN334" s="196">
        <f t="shared" ca="1" si="82"/>
        <v>0</v>
      </c>
      <c r="AO334" s="196">
        <f t="shared" ca="1" si="83"/>
        <v>0</v>
      </c>
    </row>
    <row r="335" spans="1:41">
      <c r="A335" s="189">
        <v>3581</v>
      </c>
      <c r="B335" s="190">
        <v>1</v>
      </c>
      <c r="C335" s="191" t="s">
        <v>235</v>
      </c>
      <c r="D335" s="192">
        <f t="shared" si="70"/>
        <v>5000.1900000000005</v>
      </c>
      <c r="E335" s="192">
        <f t="shared" si="71"/>
        <v>4596.8099999999995</v>
      </c>
      <c r="F335" s="192">
        <f t="shared" si="72"/>
        <v>0</v>
      </c>
      <c r="G335" s="193">
        <f t="shared" si="73"/>
        <v>9597</v>
      </c>
      <c r="H335" s="194">
        <v>2136</v>
      </c>
      <c r="I335" s="194">
        <v>1845</v>
      </c>
      <c r="J335" s="194">
        <v>0</v>
      </c>
      <c r="K335" s="193">
        <f t="shared" si="74"/>
        <v>3981</v>
      </c>
      <c r="L335" s="194">
        <v>2396.19</v>
      </c>
      <c r="M335" s="194">
        <v>1881.81</v>
      </c>
      <c r="N335" s="194">
        <v>0</v>
      </c>
      <c r="O335" s="193">
        <f t="shared" si="75"/>
        <v>4278</v>
      </c>
      <c r="P335" s="194">
        <v>468</v>
      </c>
      <c r="Q335" s="194">
        <v>870</v>
      </c>
      <c r="R335" s="194">
        <v>0</v>
      </c>
      <c r="S335" s="193">
        <f t="shared" si="76"/>
        <v>1338</v>
      </c>
      <c r="T335" s="193">
        <f t="shared" si="77"/>
        <v>319.89999999999998</v>
      </c>
      <c r="U335" s="193">
        <f ca="1">OFFSET('Expenditure Study'!$B$7,'Operations Support'!$C335,'Operations Support'!$B335)*$G335</f>
        <v>10556.7</v>
      </c>
      <c r="V335" s="199">
        <f ca="1">U335*'Expenditure Study'!$B$31</f>
        <v>623723.41475136008</v>
      </c>
      <c r="W335" s="199">
        <f ca="1">IF(A335=10298,1.51,1)*IF($B335&lt;3,$D335*'Expenditure Study'!$B$32*OFFSET('Expenditure Study'!$B$7,'Operations Support'!$C335,'Operations Support'!$B335),0)</f>
        <v>550.0209000000001</v>
      </c>
      <c r="X335" s="200">
        <f ca="1">W335*'Expenditure Study'!$B$31</f>
        <v>32496.984278478725</v>
      </c>
      <c r="Y335" s="199">
        <f ca="1">U335*'Expenditure Study'!$B$31</f>
        <v>623723.41475136008</v>
      </c>
      <c r="Z335" s="200">
        <f ca="1">W335*'Expenditure Study'!$B$31</f>
        <v>32496.984278478725</v>
      </c>
      <c r="AA335" s="195">
        <f t="shared" ca="1" si="78"/>
        <v>656220.39902983885</v>
      </c>
      <c r="AB335" s="195">
        <f t="shared" ca="1" si="79"/>
        <v>656220.39902983885</v>
      </c>
      <c r="AD335" s="196">
        <f>IFERROR($G335/SUMIF($A:$A,$A335,$G:$G)*SUMIF(Summary!$A$166:$A$242,$A335,Summary!$P$166:$P$242),0)</f>
        <v>334532.65045414894</v>
      </c>
      <c r="AE335" s="197">
        <f t="shared" ca="1" si="80"/>
        <v>321687.74857568991</v>
      </c>
      <c r="AF335" s="196">
        <f>IFERROR(G335/SUMIF(A:A,A335,G:G)*SUMIF(Summary!$A$166:$A$242,'Operations Support'!A335,Summary!$Q$166:$Q$242),0)</f>
        <v>334951.97388618178</v>
      </c>
      <c r="AG335" s="196">
        <f t="shared" ca="1" si="81"/>
        <v>321268.42514365708</v>
      </c>
      <c r="AI335" s="196">
        <f>IFERROR($G335/SUMIF($A:$A,$A335,$G:$G)*SUMIF(Summary!$A$247:$A$283,$A335,Summary!$P$247:$P$283),0)</f>
        <v>61010.4072736015</v>
      </c>
      <c r="AJ335" s="196">
        <f>IFERROR($G335/SUMIF($A:$A,$A335,$G:$G)*(SUMIF(Summary!$A$247:$A$283,$A335,Summary!$L$247:$L$283)+SUMIF(Summary!$A$297:$A$333,$A335,Summary!$L$297:$L$333))-AI335,0)</f>
        <v>107501.65339654073</v>
      </c>
      <c r="AK335" s="196">
        <f>IFERROR($G335/SUMIF($A:$A,$A335,$G:$G)*SUMIF(Summary!$A$247:$A$283,$A335,Summary!$Q$247:$Q$283),0)</f>
        <v>61086.881403504674</v>
      </c>
      <c r="AL335" s="196">
        <f>IFERROR($G335/SUMIF($A:$A,$A335,$G:$G)*(SUMIF(Summary!$A$247:$A$283,$A335,Summary!$L$247:$L$283)+SUMIF(Summary!$A$297:$A$333,$A335,Summary!$L$297:$L$333))-AK335,0)</f>
        <v>107425.17926663757</v>
      </c>
      <c r="AM335" s="198"/>
      <c r="AN335" s="196">
        <f t="shared" ca="1" si="82"/>
        <v>429189.40197223064</v>
      </c>
      <c r="AO335" s="196">
        <f t="shared" ca="1" si="83"/>
        <v>428693.60441029468</v>
      </c>
    </row>
    <row r="336" spans="1:41" s="201" customFormat="1">
      <c r="A336" s="189">
        <v>3581</v>
      </c>
      <c r="B336" s="190">
        <v>1</v>
      </c>
      <c r="C336" s="191" t="s">
        <v>236</v>
      </c>
      <c r="D336" s="192">
        <f t="shared" si="70"/>
        <v>0</v>
      </c>
      <c r="E336" s="192">
        <f t="shared" si="71"/>
        <v>0</v>
      </c>
      <c r="F336" s="192">
        <f t="shared" si="72"/>
        <v>0</v>
      </c>
      <c r="G336" s="193">
        <f t="shared" si="73"/>
        <v>0</v>
      </c>
      <c r="H336" s="194">
        <v>0</v>
      </c>
      <c r="I336" s="194">
        <v>0</v>
      </c>
      <c r="J336" s="194">
        <v>0</v>
      </c>
      <c r="K336" s="193">
        <f t="shared" si="74"/>
        <v>0</v>
      </c>
      <c r="L336" s="194">
        <v>0</v>
      </c>
      <c r="M336" s="194">
        <v>0</v>
      </c>
      <c r="N336" s="194">
        <v>0</v>
      </c>
      <c r="O336" s="193">
        <f t="shared" si="75"/>
        <v>0</v>
      </c>
      <c r="P336" s="194">
        <v>0</v>
      </c>
      <c r="Q336" s="194">
        <v>0</v>
      </c>
      <c r="R336" s="194">
        <v>0</v>
      </c>
      <c r="S336" s="193">
        <f t="shared" si="76"/>
        <v>0</v>
      </c>
      <c r="T336" s="193">
        <f t="shared" si="77"/>
        <v>0</v>
      </c>
      <c r="U336" s="193">
        <f ca="1">OFFSET('Expenditure Study'!$B$7,'Operations Support'!$C336,'Operations Support'!$B336)*$G336</f>
        <v>0</v>
      </c>
      <c r="V336" s="199">
        <f ca="1">U336*'Expenditure Study'!$B$31</f>
        <v>0</v>
      </c>
      <c r="W336" s="199">
        <f ca="1">IF(A336=10298,1.51,1)*IF($B336&lt;3,$D336*'Expenditure Study'!$B$32*OFFSET('Expenditure Study'!$B$7,'Operations Support'!$C336,'Operations Support'!$B336),0)</f>
        <v>0</v>
      </c>
      <c r="X336" s="200">
        <f ca="1">W336*'Expenditure Study'!$B$31</f>
        <v>0</v>
      </c>
      <c r="Y336" s="199">
        <f ca="1">U336*'Expenditure Study'!$B$31</f>
        <v>0</v>
      </c>
      <c r="Z336" s="200">
        <f ca="1">W336*'Expenditure Study'!$B$31</f>
        <v>0</v>
      </c>
      <c r="AA336" s="195">
        <f t="shared" ca="1" si="78"/>
        <v>0</v>
      </c>
      <c r="AB336" s="195">
        <f t="shared" ca="1" si="79"/>
        <v>0</v>
      </c>
      <c r="AD336" s="196">
        <f>IFERROR($G336/SUMIF($A:$A,$A336,$G:$G)*SUMIF(Summary!$A$166:$A$242,$A336,Summary!$P$166:$P$242),0)</f>
        <v>0</v>
      </c>
      <c r="AE336" s="197">
        <f t="shared" ca="1" si="80"/>
        <v>0</v>
      </c>
      <c r="AF336" s="196">
        <f>IFERROR(G336/SUMIF(A:A,A336,G:G)*SUMIF(Summary!$A$166:$A$242,'Operations Support'!A336,Summary!$Q$166:$Q$242),0)</f>
        <v>0</v>
      </c>
      <c r="AG336" s="196">
        <f t="shared" ca="1" si="81"/>
        <v>0</v>
      </c>
      <c r="AH336" s="180"/>
      <c r="AI336" s="196">
        <f>IFERROR($G336/SUMIF($A:$A,$A336,$G:$G)*SUMIF(Summary!$A$247:$A$283,$A336,Summary!$P$247:$P$283),0)</f>
        <v>0</v>
      </c>
      <c r="AJ336" s="196">
        <f>IFERROR($G336/SUMIF($A:$A,$A336,$G:$G)*(SUMIF(Summary!$A$247:$A$283,$A336,Summary!$L$247:$L$283)+SUMIF(Summary!$A$297:$A$333,$A336,Summary!$L$297:$L$333))-AI336,0)</f>
        <v>0</v>
      </c>
      <c r="AK336" s="196">
        <f>IFERROR($G336/SUMIF($A:$A,$A336,$G:$G)*SUMIF(Summary!$A$247:$A$283,$A336,Summary!$Q$247:$Q$283),0)</f>
        <v>0</v>
      </c>
      <c r="AL336" s="196">
        <f>IFERROR($G336/SUMIF($A:$A,$A336,$G:$G)*(SUMIF(Summary!$A$247:$A$283,$A336,Summary!$L$247:$L$283)+SUMIF(Summary!$A$297:$A$333,$A336,Summary!$L$297:$L$333))-AK336,0)</f>
        <v>0</v>
      </c>
      <c r="AM336" s="198"/>
      <c r="AN336" s="196">
        <f t="shared" ca="1" si="82"/>
        <v>0</v>
      </c>
      <c r="AO336" s="196">
        <f t="shared" ca="1" si="83"/>
        <v>0</v>
      </c>
    </row>
    <row r="337" spans="1:41" s="201" customFormat="1">
      <c r="A337" s="189">
        <v>3581</v>
      </c>
      <c r="B337" s="190">
        <v>1</v>
      </c>
      <c r="C337" s="191" t="s">
        <v>237</v>
      </c>
      <c r="D337" s="192">
        <f t="shared" si="70"/>
        <v>0</v>
      </c>
      <c r="E337" s="192">
        <f t="shared" si="71"/>
        <v>0</v>
      </c>
      <c r="F337" s="192">
        <f t="shared" si="72"/>
        <v>0</v>
      </c>
      <c r="G337" s="193">
        <f t="shared" si="73"/>
        <v>0</v>
      </c>
      <c r="H337" s="194">
        <v>0</v>
      </c>
      <c r="I337" s="194">
        <v>0</v>
      </c>
      <c r="J337" s="194">
        <v>0</v>
      </c>
      <c r="K337" s="193">
        <f t="shared" si="74"/>
        <v>0</v>
      </c>
      <c r="L337" s="194">
        <v>0</v>
      </c>
      <c r="M337" s="194">
        <v>0</v>
      </c>
      <c r="N337" s="194">
        <v>0</v>
      </c>
      <c r="O337" s="193">
        <f t="shared" si="75"/>
        <v>0</v>
      </c>
      <c r="P337" s="194">
        <v>0</v>
      </c>
      <c r="Q337" s="194">
        <v>0</v>
      </c>
      <c r="R337" s="194">
        <v>0</v>
      </c>
      <c r="S337" s="193">
        <f t="shared" si="76"/>
        <v>0</v>
      </c>
      <c r="T337" s="193">
        <f t="shared" si="77"/>
        <v>0</v>
      </c>
      <c r="U337" s="193">
        <f ca="1">OFFSET('Expenditure Study'!$B$7,'Operations Support'!$C337,'Operations Support'!$B337)*$G337</f>
        <v>0</v>
      </c>
      <c r="V337" s="199">
        <f ca="1">U337*'Expenditure Study'!$B$31</f>
        <v>0</v>
      </c>
      <c r="W337" s="199">
        <f ca="1">IF(A337=10298,1.51,1)*IF($B337&lt;3,$D337*'Expenditure Study'!$B$32*OFFSET('Expenditure Study'!$B$7,'Operations Support'!$C337,'Operations Support'!$B337),0)</f>
        <v>0</v>
      </c>
      <c r="X337" s="200">
        <f ca="1">W337*'Expenditure Study'!$B$31</f>
        <v>0</v>
      </c>
      <c r="Y337" s="199">
        <f ca="1">U337*'Expenditure Study'!$B$31</f>
        <v>0</v>
      </c>
      <c r="Z337" s="200">
        <f ca="1">W337*'Expenditure Study'!$B$31</f>
        <v>0</v>
      </c>
      <c r="AA337" s="195">
        <f t="shared" ca="1" si="78"/>
        <v>0</v>
      </c>
      <c r="AB337" s="195">
        <f t="shared" ca="1" si="79"/>
        <v>0</v>
      </c>
      <c r="AD337" s="196">
        <f>IFERROR($G337/SUMIF($A:$A,$A337,$G:$G)*SUMIF(Summary!$A$166:$A$242,$A337,Summary!$P$166:$P$242),0)</f>
        <v>0</v>
      </c>
      <c r="AE337" s="197">
        <f t="shared" ca="1" si="80"/>
        <v>0</v>
      </c>
      <c r="AF337" s="196">
        <f>IFERROR(G337/SUMIF(A:A,A337,G:G)*SUMIF(Summary!$A$166:$A$242,'Operations Support'!A337,Summary!$Q$166:$Q$242),0)</f>
        <v>0</v>
      </c>
      <c r="AG337" s="196">
        <f t="shared" ca="1" si="81"/>
        <v>0</v>
      </c>
      <c r="AH337" s="180"/>
      <c r="AI337" s="196">
        <f>IFERROR($G337/SUMIF($A:$A,$A337,$G:$G)*SUMIF(Summary!$A$247:$A$283,$A337,Summary!$P$247:$P$283),0)</f>
        <v>0</v>
      </c>
      <c r="AJ337" s="196">
        <f>IFERROR($G337/SUMIF($A:$A,$A337,$G:$G)*(SUMIF(Summary!$A$247:$A$283,$A337,Summary!$L$247:$L$283)+SUMIF(Summary!$A$297:$A$333,$A337,Summary!$L$297:$L$333))-AI337,0)</f>
        <v>0</v>
      </c>
      <c r="AK337" s="196">
        <f>IFERROR($G337/SUMIF($A:$A,$A337,$G:$G)*SUMIF(Summary!$A$247:$A$283,$A337,Summary!$Q$247:$Q$283),0)</f>
        <v>0</v>
      </c>
      <c r="AL337" s="196">
        <f>IFERROR($G337/SUMIF($A:$A,$A337,$G:$G)*(SUMIF(Summary!$A$247:$A$283,$A337,Summary!$L$247:$L$283)+SUMIF(Summary!$A$297:$A$333,$A337,Summary!$L$297:$L$333))-AK337,0)</f>
        <v>0</v>
      </c>
      <c r="AM337" s="198"/>
      <c r="AN337" s="196">
        <f t="shared" ca="1" si="82"/>
        <v>0</v>
      </c>
      <c r="AO337" s="196">
        <f t="shared" ca="1" si="83"/>
        <v>0</v>
      </c>
    </row>
    <row r="338" spans="1:41">
      <c r="A338" s="189">
        <v>3581</v>
      </c>
      <c r="B338" s="190">
        <v>1</v>
      </c>
      <c r="C338" s="191" t="s">
        <v>238</v>
      </c>
      <c r="D338" s="192">
        <f t="shared" si="70"/>
        <v>17.880000000000003</v>
      </c>
      <c r="E338" s="192">
        <f t="shared" si="71"/>
        <v>36.119999999999997</v>
      </c>
      <c r="F338" s="192">
        <f t="shared" si="72"/>
        <v>0</v>
      </c>
      <c r="G338" s="193">
        <f t="shared" si="73"/>
        <v>54</v>
      </c>
      <c r="H338" s="194">
        <v>3</v>
      </c>
      <c r="I338" s="194">
        <v>3</v>
      </c>
      <c r="J338" s="194">
        <v>0</v>
      </c>
      <c r="K338" s="193">
        <f t="shared" si="74"/>
        <v>6</v>
      </c>
      <c r="L338" s="194">
        <v>14.88</v>
      </c>
      <c r="M338" s="194">
        <v>33.119999999999997</v>
      </c>
      <c r="N338" s="194">
        <v>0</v>
      </c>
      <c r="O338" s="193">
        <f t="shared" si="75"/>
        <v>48</v>
      </c>
      <c r="P338" s="194">
        <v>0</v>
      </c>
      <c r="Q338" s="194">
        <v>0</v>
      </c>
      <c r="R338" s="194">
        <v>0</v>
      </c>
      <c r="S338" s="193">
        <f t="shared" si="76"/>
        <v>0</v>
      </c>
      <c r="T338" s="193">
        <f t="shared" si="77"/>
        <v>1.8</v>
      </c>
      <c r="U338" s="193">
        <f ca="1">OFFSET('Expenditure Study'!$B$7,'Operations Support'!$C338,'Operations Support'!$B338)*$G338</f>
        <v>96.12</v>
      </c>
      <c r="V338" s="199">
        <f ca="1">U338*'Expenditure Study'!$B$31</f>
        <v>5679.0753384960008</v>
      </c>
      <c r="W338" s="199">
        <f ca="1">IF(A338=10298,1.51,1)*IF($B338&lt;3,$D338*'Expenditure Study'!$B$32*OFFSET('Expenditure Study'!$B$7,'Operations Support'!$C338,'Operations Support'!$B338),0)</f>
        <v>3.1826400000000006</v>
      </c>
      <c r="X338" s="200">
        <f ca="1">W338*'Expenditure Study'!$B$31</f>
        <v>188.04049454131203</v>
      </c>
      <c r="Y338" s="199">
        <f ca="1">U338*'Expenditure Study'!$B$31</f>
        <v>5679.0753384960008</v>
      </c>
      <c r="Z338" s="200">
        <f ca="1">W338*'Expenditure Study'!$B$31</f>
        <v>188.04049454131203</v>
      </c>
      <c r="AA338" s="195">
        <f t="shared" ca="1" si="78"/>
        <v>5867.1158330373128</v>
      </c>
      <c r="AB338" s="195">
        <f t="shared" ca="1" si="79"/>
        <v>5867.1158330373128</v>
      </c>
      <c r="AD338" s="196">
        <f>IFERROR($G338/SUMIF($A:$A,$A338,$G:$G)*SUMIF(Summary!$A$166:$A$242,$A338,Summary!$P$166:$P$242),0)</f>
        <v>1882.3343883009318</v>
      </c>
      <c r="AE338" s="197">
        <f t="shared" ca="1" si="80"/>
        <v>3984.7814447363808</v>
      </c>
      <c r="AF338" s="196">
        <f>IFERROR(G338/SUMIF(A:A,A338,G:G)*SUMIF(Summary!$A$166:$A$242,'Operations Support'!A338,Summary!$Q$166:$Q$242),0)</f>
        <v>1884.6938199285</v>
      </c>
      <c r="AG338" s="196">
        <f t="shared" ca="1" si="81"/>
        <v>3982.4220131088127</v>
      </c>
      <c r="AI338" s="196">
        <f>IFERROR($G338/SUMIF($A:$A,$A338,$G:$G)*SUMIF(Summary!$A$247:$A$283,$A338,Summary!$P$247:$P$283),0)</f>
        <v>343.29081929503815</v>
      </c>
      <c r="AJ338" s="196">
        <f>IFERROR($G338/SUMIF($A:$A,$A338,$G:$G)*(SUMIF(Summary!$A$247:$A$283,$A338,Summary!$L$247:$L$283)+SUMIF(Summary!$A$297:$A$333,$A338,Summary!$L$297:$L$333))-AI338,0)</f>
        <v>604.88582717653412</v>
      </c>
      <c r="AK338" s="196">
        <f>IFERROR($G338/SUMIF($A:$A,$A338,$G:$G)*SUMIF(Summary!$A$247:$A$283,$A338,Summary!$Q$247:$Q$283),0)</f>
        <v>343.72112074494657</v>
      </c>
      <c r="AL338" s="196">
        <f>IFERROR($G338/SUMIF($A:$A,$A338,$G:$G)*(SUMIF(Summary!$A$247:$A$283,$A338,Summary!$L$247:$L$283)+SUMIF(Summary!$A$297:$A$333,$A338,Summary!$L$297:$L$333))-AK338,0)</f>
        <v>604.45552572662575</v>
      </c>
      <c r="AM338" s="198"/>
      <c r="AN338" s="196">
        <f t="shared" ca="1" si="82"/>
        <v>4589.6672719129147</v>
      </c>
      <c r="AO338" s="196">
        <f t="shared" ca="1" si="83"/>
        <v>4586.8775388354388</v>
      </c>
    </row>
    <row r="339" spans="1:41">
      <c r="A339" s="189">
        <v>3581</v>
      </c>
      <c r="B339" s="190">
        <v>1</v>
      </c>
      <c r="C339" s="191" t="s">
        <v>239</v>
      </c>
      <c r="D339" s="192">
        <f t="shared" si="70"/>
        <v>256</v>
      </c>
      <c r="E339" s="192">
        <f t="shared" si="71"/>
        <v>1017</v>
      </c>
      <c r="F339" s="192">
        <f t="shared" si="72"/>
        <v>0</v>
      </c>
      <c r="G339" s="193">
        <f t="shared" si="73"/>
        <v>1273</v>
      </c>
      <c r="H339" s="194">
        <v>102</v>
      </c>
      <c r="I339" s="194">
        <v>441</v>
      </c>
      <c r="J339" s="194">
        <v>0</v>
      </c>
      <c r="K339" s="193">
        <f t="shared" si="74"/>
        <v>543</v>
      </c>
      <c r="L339" s="194">
        <v>120</v>
      </c>
      <c r="M339" s="194">
        <v>354</v>
      </c>
      <c r="N339" s="194">
        <v>0</v>
      </c>
      <c r="O339" s="193">
        <f t="shared" si="75"/>
        <v>474</v>
      </c>
      <c r="P339" s="194">
        <v>34</v>
      </c>
      <c r="Q339" s="194">
        <v>222</v>
      </c>
      <c r="R339" s="194">
        <v>0</v>
      </c>
      <c r="S339" s="193">
        <f t="shared" si="76"/>
        <v>256</v>
      </c>
      <c r="T339" s="193">
        <f t="shared" si="77"/>
        <v>42.43333333333333</v>
      </c>
      <c r="U339" s="193">
        <f ca="1">OFFSET('Expenditure Study'!$B$7,'Operations Support'!$C339,'Operations Support'!$B339)*$G339</f>
        <v>1973.15</v>
      </c>
      <c r="V339" s="199">
        <f ca="1">U339*'Expenditure Study'!$B$31</f>
        <v>116579.97819552</v>
      </c>
      <c r="W339" s="199">
        <f ca="1">IF(A339=10298,1.51,1)*IF($B339&lt;3,$D339*'Expenditure Study'!$B$32*OFFSET('Expenditure Study'!$B$7,'Operations Support'!$C339,'Operations Support'!$B339),0)</f>
        <v>39.680000000000007</v>
      </c>
      <c r="X339" s="200">
        <f ca="1">W339*'Expenditure Study'!$B$31</f>
        <v>2344.4206141440004</v>
      </c>
      <c r="Y339" s="199">
        <f ca="1">U339*'Expenditure Study'!$B$31</f>
        <v>116579.97819552</v>
      </c>
      <c r="Z339" s="200">
        <f ca="1">W339*'Expenditure Study'!$B$31</f>
        <v>2344.4206141440004</v>
      </c>
      <c r="AA339" s="195">
        <f t="shared" ca="1" si="78"/>
        <v>118924.398809664</v>
      </c>
      <c r="AB339" s="195">
        <f t="shared" ca="1" si="79"/>
        <v>118924.398809664</v>
      </c>
      <c r="AD339" s="196">
        <f>IFERROR($G339/SUMIF($A:$A,$A339,$G:$G)*SUMIF(Summary!$A$166:$A$242,$A339,Summary!$P$166:$P$242),0)</f>
        <v>44374.290301983077</v>
      </c>
      <c r="AE339" s="197">
        <f t="shared" ca="1" si="80"/>
        <v>74550.10850768091</v>
      </c>
      <c r="AF339" s="196">
        <f>IFERROR(G339/SUMIF(A:A,A339,G:G)*SUMIF(Summary!$A$166:$A$242,'Operations Support'!A339,Summary!$Q$166:$Q$242),0)</f>
        <v>44429.911717944087</v>
      </c>
      <c r="AG339" s="196">
        <f t="shared" ca="1" si="81"/>
        <v>74494.4870917199</v>
      </c>
      <c r="AI339" s="196">
        <f>IFERROR($G339/SUMIF($A:$A,$A339,$G:$G)*SUMIF(Summary!$A$247:$A$283,$A339,Summary!$P$247:$P$283),0)</f>
        <v>8092.763203010807</v>
      </c>
      <c r="AJ339" s="196">
        <f>IFERROR($G339/SUMIF($A:$A,$A339,$G:$G)*(SUMIF(Summary!$A$247:$A$283,$A339,Summary!$L$247:$L$283)+SUMIF(Summary!$A$297:$A$333,$A339,Summary!$L$297:$L$333))-AI339,0)</f>
        <v>14259.623296217185</v>
      </c>
      <c r="AK339" s="196">
        <f>IFERROR($G339/SUMIF($A:$A,$A339,$G:$G)*SUMIF(Summary!$A$247:$A$283,$A339,Summary!$Q$247:$Q$283),0)</f>
        <v>8102.9071612651296</v>
      </c>
      <c r="AL339" s="196">
        <f>IFERROR($G339/SUMIF($A:$A,$A339,$G:$G)*(SUMIF(Summary!$A$247:$A$283,$A339,Summary!$L$247:$L$283)+SUMIF(Summary!$A$297:$A$333,$A339,Summary!$L$297:$L$333))-AK339,0)</f>
        <v>14249.479337962863</v>
      </c>
      <c r="AM339" s="198"/>
      <c r="AN339" s="196">
        <f t="shared" ca="1" si="82"/>
        <v>88809.731803898088</v>
      </c>
      <c r="AO339" s="196">
        <f t="shared" ca="1" si="83"/>
        <v>88743.966429682769</v>
      </c>
    </row>
    <row r="340" spans="1:41">
      <c r="A340" s="189">
        <v>3581</v>
      </c>
      <c r="B340" s="190">
        <v>1</v>
      </c>
      <c r="C340" s="191" t="s">
        <v>240</v>
      </c>
      <c r="D340" s="192">
        <f t="shared" si="70"/>
        <v>0</v>
      </c>
      <c r="E340" s="192">
        <f t="shared" si="71"/>
        <v>691</v>
      </c>
      <c r="F340" s="192">
        <f t="shared" si="72"/>
        <v>0</v>
      </c>
      <c r="G340" s="193">
        <f t="shared" si="73"/>
        <v>691</v>
      </c>
      <c r="H340" s="194">
        <v>0</v>
      </c>
      <c r="I340" s="194">
        <v>136</v>
      </c>
      <c r="J340" s="194">
        <v>0</v>
      </c>
      <c r="K340" s="193">
        <f t="shared" si="74"/>
        <v>136</v>
      </c>
      <c r="L340" s="194">
        <v>0</v>
      </c>
      <c r="M340" s="194">
        <v>555</v>
      </c>
      <c r="N340" s="194">
        <v>0</v>
      </c>
      <c r="O340" s="193">
        <f t="shared" si="75"/>
        <v>555</v>
      </c>
      <c r="P340" s="194">
        <v>0</v>
      </c>
      <c r="Q340" s="194">
        <v>0</v>
      </c>
      <c r="R340" s="194">
        <v>0</v>
      </c>
      <c r="S340" s="193">
        <f t="shared" si="76"/>
        <v>0</v>
      </c>
      <c r="T340" s="193">
        <f t="shared" si="77"/>
        <v>23.033333333333335</v>
      </c>
      <c r="U340" s="193">
        <f ca="1">OFFSET('Expenditure Study'!$B$7,'Operations Support'!$C340,'Operations Support'!$B340)*$G340</f>
        <v>691</v>
      </c>
      <c r="V340" s="199">
        <f ca="1">U340*'Expenditure Study'!$B$31</f>
        <v>40826.4779328</v>
      </c>
      <c r="W340" s="199">
        <f ca="1">IF(A340=10298,1.51,1)*IF($B340&lt;3,$D340*'Expenditure Study'!$B$32*OFFSET('Expenditure Study'!$B$7,'Operations Support'!$C340,'Operations Support'!$B340),0)</f>
        <v>0</v>
      </c>
      <c r="X340" s="200">
        <f ca="1">W340*'Expenditure Study'!$B$31</f>
        <v>0</v>
      </c>
      <c r="Y340" s="199">
        <f ca="1">U340*'Expenditure Study'!$B$31</f>
        <v>40826.4779328</v>
      </c>
      <c r="Z340" s="200">
        <f ca="1">W340*'Expenditure Study'!$B$31</f>
        <v>0</v>
      </c>
      <c r="AA340" s="195">
        <f t="shared" ca="1" si="78"/>
        <v>40826.4779328</v>
      </c>
      <c r="AB340" s="195">
        <f t="shared" ca="1" si="79"/>
        <v>40826.4779328</v>
      </c>
      <c r="AD340" s="196">
        <f>IFERROR($G340/SUMIF($A:$A,$A340,$G:$G)*SUMIF(Summary!$A$166:$A$242,$A340,Summary!$P$166:$P$242),0)</f>
        <v>24086.90856140637</v>
      </c>
      <c r="AE340" s="197">
        <f t="shared" ca="1" si="80"/>
        <v>16739.569371393631</v>
      </c>
      <c r="AF340" s="196">
        <f>IFERROR(G340/SUMIF(A:A,A340,G:G)*SUMIF(Summary!$A$166:$A$242,'Operations Support'!A340,Summary!$Q$166:$Q$242),0)</f>
        <v>24117.100547603586</v>
      </c>
      <c r="AG340" s="196">
        <f t="shared" ca="1" si="81"/>
        <v>16709.377385196414</v>
      </c>
      <c r="AI340" s="196">
        <f>IFERROR($G340/SUMIF($A:$A,$A340,$G:$G)*SUMIF(Summary!$A$247:$A$283,$A340,Summary!$P$247:$P$283),0)</f>
        <v>4392.8510394976174</v>
      </c>
      <c r="AJ340" s="196">
        <f>IFERROR($G340/SUMIF($A:$A,$A340,$G:$G)*(SUMIF(Summary!$A$247:$A$283,$A340,Summary!$L$247:$L$283)+SUMIF(Summary!$A$297:$A$333,$A340,Summary!$L$297:$L$333))-AI340,0)</f>
        <v>7740.2982699812064</v>
      </c>
      <c r="AK340" s="196">
        <f>IFERROR($G340/SUMIF($A:$A,$A340,$G:$G)*SUMIF(Summary!$A$247:$A$283,$A340,Summary!$Q$247:$Q$283),0)</f>
        <v>4398.3573043473716</v>
      </c>
      <c r="AL340" s="196">
        <f>IFERROR($G340/SUMIF($A:$A,$A340,$G:$G)*(SUMIF(Summary!$A$247:$A$283,$A340,Summary!$L$247:$L$283)+SUMIF(Summary!$A$297:$A$333,$A340,Summary!$L$297:$L$333))-AK340,0)</f>
        <v>7734.7920051314522</v>
      </c>
      <c r="AM340" s="198"/>
      <c r="AN340" s="196">
        <f t="shared" ca="1" si="82"/>
        <v>24479.867641374836</v>
      </c>
      <c r="AO340" s="196">
        <f t="shared" ca="1" si="83"/>
        <v>24444.169390327865</v>
      </c>
    </row>
    <row r="341" spans="1:41">
      <c r="A341" s="189">
        <v>3581</v>
      </c>
      <c r="B341" s="190">
        <v>2</v>
      </c>
      <c r="C341" s="191" t="s">
        <v>220</v>
      </c>
      <c r="D341" s="192">
        <f t="shared" si="70"/>
        <v>12964.810000000001</v>
      </c>
      <c r="E341" s="192">
        <f t="shared" si="71"/>
        <v>12094.19</v>
      </c>
      <c r="F341" s="192">
        <f t="shared" si="72"/>
        <v>0</v>
      </c>
      <c r="G341" s="193">
        <f t="shared" si="73"/>
        <v>25059</v>
      </c>
      <c r="H341" s="194">
        <v>4767.8100000000004</v>
      </c>
      <c r="I341" s="194">
        <v>4445.1900000000005</v>
      </c>
      <c r="J341" s="194">
        <v>0</v>
      </c>
      <c r="K341" s="193">
        <f t="shared" si="74"/>
        <v>9213</v>
      </c>
      <c r="L341" s="194">
        <v>4675</v>
      </c>
      <c r="M341" s="194">
        <v>4703</v>
      </c>
      <c r="N341" s="194">
        <v>0</v>
      </c>
      <c r="O341" s="193">
        <f t="shared" si="75"/>
        <v>9378</v>
      </c>
      <c r="P341" s="194">
        <v>3522</v>
      </c>
      <c r="Q341" s="194">
        <v>2946</v>
      </c>
      <c r="R341" s="194">
        <v>0</v>
      </c>
      <c r="S341" s="193">
        <f t="shared" si="76"/>
        <v>6468</v>
      </c>
      <c r="T341" s="193">
        <f t="shared" si="77"/>
        <v>835.3</v>
      </c>
      <c r="U341" s="193">
        <f ca="1">OFFSET('Expenditure Study'!$B$7,'Operations Support'!$C341,'Operations Support'!$B341)*$G341</f>
        <v>46108.560000000005</v>
      </c>
      <c r="V341" s="199">
        <f ca="1">U341*'Expenditure Study'!$B$31</f>
        <v>2724240.3869076483</v>
      </c>
      <c r="W341" s="199">
        <f ca="1">IF(A341=10298,1.51,1)*IF($B341&lt;3,$D341*'Expenditure Study'!$B$32*OFFSET('Expenditure Study'!$B$7,'Operations Support'!$C341,'Operations Support'!$B341),0)</f>
        <v>2385.5250400000004</v>
      </c>
      <c r="X341" s="200">
        <f ca="1">W341*'Expenditure Study'!$B$31</f>
        <v>140944.40724124727</v>
      </c>
      <c r="Y341" s="199">
        <f ca="1">U341*'Expenditure Study'!$B$31</f>
        <v>2724240.3869076483</v>
      </c>
      <c r="Z341" s="200">
        <f ca="1">W341*'Expenditure Study'!$B$31</f>
        <v>140944.40724124727</v>
      </c>
      <c r="AA341" s="195">
        <f t="shared" ca="1" si="78"/>
        <v>2865184.7941488954</v>
      </c>
      <c r="AB341" s="195">
        <f t="shared" ca="1" si="79"/>
        <v>2865184.7941488954</v>
      </c>
      <c r="AD341" s="196">
        <f>IFERROR($G341/SUMIF($A:$A,$A341,$G:$G)*SUMIF(Summary!$A$166:$A$242,$A341,Summary!$P$166:$P$242),0)</f>
        <v>873507.7303043158</v>
      </c>
      <c r="AE341" s="197">
        <f t="shared" ca="1" si="80"/>
        <v>1991677.0638445797</v>
      </c>
      <c r="AF341" s="196">
        <f>IFERROR(G341/SUMIF(A:A,A341,G:G)*SUMIF(Summary!$A$166:$A$242,'Operations Support'!A341,Summary!$Q$166:$Q$242),0)</f>
        <v>874602.63765904226</v>
      </c>
      <c r="AG341" s="196">
        <f t="shared" ca="1" si="81"/>
        <v>1990582.1564898533</v>
      </c>
      <c r="AI341" s="196">
        <f>IFERROR($G341/SUMIF($A:$A,$A341,$G:$G)*SUMIF(Summary!$A$247:$A$283,$A341,Summary!$P$247:$P$283),0)</f>
        <v>159306.01186508077</v>
      </c>
      <c r="AJ341" s="196">
        <f>IFERROR($G341/SUMIF($A:$A,$A341,$G:$G)*(SUMIF(Summary!$A$247:$A$283,$A341,Summary!$L$247:$L$283)+SUMIF(Summary!$A$297:$A$333,$A341,Summary!$L$297:$L$333))-AI341,0)</f>
        <v>280700.62857808836</v>
      </c>
      <c r="AK341" s="196">
        <f>IFERROR($G341/SUMIF($A:$A,$A341,$G:$G)*SUMIF(Summary!$A$247:$A$283,$A341,Summary!$Q$247:$Q$283),0)</f>
        <v>159505.69564347438</v>
      </c>
      <c r="AL341" s="196">
        <f>IFERROR($G341/SUMIF($A:$A,$A341,$G:$G)*(SUMIF(Summary!$A$247:$A$283,$A341,Summary!$L$247:$L$283)+SUMIF(Summary!$A$297:$A$333,$A341,Summary!$L$297:$L$333))-AK341,0)</f>
        <v>280500.9447996947</v>
      </c>
      <c r="AM341" s="198"/>
      <c r="AN341" s="196">
        <f t="shared" ca="1" si="82"/>
        <v>2272377.692422668</v>
      </c>
      <c r="AO341" s="196">
        <f t="shared" ca="1" si="83"/>
        <v>2271083.101289548</v>
      </c>
    </row>
    <row r="342" spans="1:41">
      <c r="A342" s="189">
        <v>3581</v>
      </c>
      <c r="B342" s="190">
        <v>2</v>
      </c>
      <c r="C342" s="191" t="s">
        <v>221</v>
      </c>
      <c r="D342" s="192">
        <f t="shared" si="70"/>
        <v>5165.8600000000006</v>
      </c>
      <c r="E342" s="192">
        <f t="shared" si="71"/>
        <v>1554.14</v>
      </c>
      <c r="F342" s="192">
        <f t="shared" si="72"/>
        <v>0</v>
      </c>
      <c r="G342" s="193">
        <f t="shared" si="73"/>
        <v>6720.0000000000009</v>
      </c>
      <c r="H342" s="194">
        <v>2323.4</v>
      </c>
      <c r="I342" s="194">
        <v>701.6</v>
      </c>
      <c r="J342" s="194">
        <v>0</v>
      </c>
      <c r="K342" s="193">
        <f t="shared" si="74"/>
        <v>3025</v>
      </c>
      <c r="L342" s="194">
        <v>2212.6999999999998</v>
      </c>
      <c r="M342" s="194">
        <v>685.3</v>
      </c>
      <c r="N342" s="194">
        <v>0</v>
      </c>
      <c r="O342" s="193">
        <f t="shared" si="75"/>
        <v>2898</v>
      </c>
      <c r="P342" s="194">
        <v>629.76</v>
      </c>
      <c r="Q342" s="194">
        <v>167.24</v>
      </c>
      <c r="R342" s="194">
        <v>0</v>
      </c>
      <c r="S342" s="193">
        <f t="shared" si="76"/>
        <v>797</v>
      </c>
      <c r="T342" s="193">
        <f t="shared" si="77"/>
        <v>224.00000000000003</v>
      </c>
      <c r="U342" s="193">
        <f ca="1">OFFSET('Expenditure Study'!$B$7,'Operations Support'!$C342,'Operations Support'!$B342)*$G342</f>
        <v>17673.600000000002</v>
      </c>
      <c r="V342" s="199">
        <f ca="1">U342*'Expenditure Study'!$B$31</f>
        <v>1044212.5041868802</v>
      </c>
      <c r="W342" s="199">
        <f ca="1">IF(A342=10298,1.51,1)*IF($B342&lt;3,$D342*'Expenditure Study'!$B$32*OFFSET('Expenditure Study'!$B$7,'Operations Support'!$C342,'Operations Support'!$B342),0)</f>
        <v>1358.6211800000003</v>
      </c>
      <c r="X342" s="200">
        <f ca="1">W342*'Expenditure Study'!$B$31</f>
        <v>80271.660816649368</v>
      </c>
      <c r="Y342" s="199">
        <f ca="1">U342*'Expenditure Study'!$B$31</f>
        <v>1044212.5041868802</v>
      </c>
      <c r="Z342" s="200">
        <f ca="1">W342*'Expenditure Study'!$B$31</f>
        <v>80271.660816649368</v>
      </c>
      <c r="AA342" s="195">
        <f t="shared" ca="1" si="78"/>
        <v>1124484.1650035295</v>
      </c>
      <c r="AB342" s="195">
        <f t="shared" ca="1" si="79"/>
        <v>1124484.1650035295</v>
      </c>
      <c r="AD342" s="196">
        <f>IFERROR($G342/SUMIF($A:$A,$A342,$G:$G)*SUMIF(Summary!$A$166:$A$242,$A342,Summary!$P$166:$P$242),0)</f>
        <v>234246.05721078269</v>
      </c>
      <c r="AE342" s="197">
        <f t="shared" ca="1" si="80"/>
        <v>890238.10779274686</v>
      </c>
      <c r="AF342" s="196">
        <f>IFERROR(G342/SUMIF(A:A,A342,G:G)*SUMIF(Summary!$A$166:$A$242,'Operations Support'!A342,Summary!$Q$166:$Q$242),0)</f>
        <v>234539.67536888007</v>
      </c>
      <c r="AG342" s="196">
        <f t="shared" ca="1" si="81"/>
        <v>889944.48963464948</v>
      </c>
      <c r="AI342" s="196">
        <f>IFERROR($G342/SUMIF($A:$A,$A342,$G:$G)*SUMIF(Summary!$A$247:$A$283,$A342,Summary!$P$247:$P$283),0)</f>
        <v>42720.635290049198</v>
      </c>
      <c r="AJ342" s="196">
        <f>IFERROR($G342/SUMIF($A:$A,$A342,$G:$G)*(SUMIF(Summary!$A$247:$A$283,$A342,Summary!$L$247:$L$283)+SUMIF(Summary!$A$297:$A$333,$A342,Summary!$L$297:$L$333))-AI342,0)</f>
        <v>75274.680715302035</v>
      </c>
      <c r="AK342" s="196">
        <f>IFERROR($G342/SUMIF($A:$A,$A342,$G:$G)*SUMIF(Summary!$A$247:$A$283,$A342,Summary!$Q$247:$Q$283),0)</f>
        <v>42774.183914926689</v>
      </c>
      <c r="AL342" s="196">
        <f>IFERROR($G342/SUMIF($A:$A,$A342,$G:$G)*(SUMIF(Summary!$A$247:$A$283,$A342,Summary!$L$247:$L$283)+SUMIF(Summary!$A$297:$A$333,$A342,Summary!$L$297:$L$333))-AK342,0)</f>
        <v>75221.132090424551</v>
      </c>
      <c r="AM342" s="198"/>
      <c r="AN342" s="196">
        <f t="shared" ca="1" si="82"/>
        <v>965512.78850804886</v>
      </c>
      <c r="AO342" s="196">
        <f t="shared" ca="1" si="83"/>
        <v>965165.62172507402</v>
      </c>
    </row>
    <row r="343" spans="1:41">
      <c r="A343" s="189">
        <v>3581</v>
      </c>
      <c r="B343" s="190">
        <v>2</v>
      </c>
      <c r="C343" s="191" t="s">
        <v>222</v>
      </c>
      <c r="D343" s="192">
        <f t="shared" si="70"/>
        <v>1941.97</v>
      </c>
      <c r="E343" s="192">
        <f t="shared" si="71"/>
        <v>769.03</v>
      </c>
      <c r="F343" s="192">
        <f t="shared" si="72"/>
        <v>0</v>
      </c>
      <c r="G343" s="193">
        <f t="shared" si="73"/>
        <v>2711</v>
      </c>
      <c r="H343" s="194">
        <v>882</v>
      </c>
      <c r="I343" s="194">
        <v>344</v>
      </c>
      <c r="J343" s="194">
        <v>0</v>
      </c>
      <c r="K343" s="193">
        <f t="shared" si="74"/>
        <v>1226</v>
      </c>
      <c r="L343" s="194">
        <v>735.97</v>
      </c>
      <c r="M343" s="194">
        <v>374.03</v>
      </c>
      <c r="N343" s="194">
        <v>0</v>
      </c>
      <c r="O343" s="193">
        <f t="shared" si="75"/>
        <v>1110</v>
      </c>
      <c r="P343" s="194">
        <v>324</v>
      </c>
      <c r="Q343" s="194">
        <v>51</v>
      </c>
      <c r="R343" s="194">
        <v>0</v>
      </c>
      <c r="S343" s="193">
        <f t="shared" si="76"/>
        <v>375</v>
      </c>
      <c r="T343" s="193">
        <f t="shared" si="77"/>
        <v>90.36666666666666</v>
      </c>
      <c r="U343" s="193">
        <f ca="1">OFFSET('Expenditure Study'!$B$7,'Operations Support'!$C343,'Operations Support'!$B343)*$G343</f>
        <v>7211.26</v>
      </c>
      <c r="V343" s="199">
        <f ca="1">U343*'Expenditure Study'!$B$31</f>
        <v>426064.178375808</v>
      </c>
      <c r="W343" s="199">
        <f ca="1">IF(A343=10298,1.51,1)*IF($B343&lt;3,$D343*'Expenditure Study'!$B$32*OFFSET('Expenditure Study'!$B$7,'Operations Support'!$C343,'Operations Support'!$B343),0)</f>
        <v>516.56402000000003</v>
      </c>
      <c r="X343" s="200">
        <f ca="1">W343*'Expenditure Study'!$B$31</f>
        <v>30520.245388434818</v>
      </c>
      <c r="Y343" s="199">
        <f ca="1">U343*'Expenditure Study'!$B$31</f>
        <v>426064.178375808</v>
      </c>
      <c r="Z343" s="200">
        <f ca="1">W343*'Expenditure Study'!$B$31</f>
        <v>30520.245388434818</v>
      </c>
      <c r="AA343" s="195">
        <f t="shared" ca="1" si="78"/>
        <v>456584.42376424279</v>
      </c>
      <c r="AB343" s="195">
        <f t="shared" ca="1" si="79"/>
        <v>456584.42376424279</v>
      </c>
      <c r="AD343" s="196">
        <f>IFERROR($G343/SUMIF($A:$A,$A343,$G:$G)*SUMIF(Summary!$A$166:$A$242,$A343,Summary!$P$166:$P$242),0)</f>
        <v>94500.157901552331</v>
      </c>
      <c r="AE343" s="197">
        <f t="shared" ca="1" si="80"/>
        <v>362084.26586269046</v>
      </c>
      <c r="AF343" s="196">
        <f>IFERROR(G343/SUMIF(A:A,A343,G:G)*SUMIF(Summary!$A$166:$A$242,'Operations Support'!A343,Summary!$Q$166:$Q$242),0)</f>
        <v>94618.610107891916</v>
      </c>
      <c r="AG343" s="196">
        <f t="shared" ca="1" si="81"/>
        <v>361965.81365635089</v>
      </c>
      <c r="AI343" s="196">
        <f>IFERROR($G343/SUMIF($A:$A,$A343,$G:$G)*SUMIF(Summary!$A$247:$A$283,$A343,Summary!$P$247:$P$283),0)</f>
        <v>17234.470576089785</v>
      </c>
      <c r="AJ343" s="196">
        <f>IFERROR($G343/SUMIF($A:$A,$A343,$G:$G)*(SUMIF(Summary!$A$247:$A$283,$A343,Summary!$L$247:$L$283)+SUMIF(Summary!$A$297:$A$333,$A343,Summary!$L$297:$L$333))-AI343,0)</f>
        <v>30367.508842140443</v>
      </c>
      <c r="AK343" s="196">
        <f>IFERROR($G343/SUMIF($A:$A,$A343,$G:$G)*SUMIF(Summary!$A$247:$A$283,$A343,Summary!$Q$247:$Q$283),0)</f>
        <v>17256.07330258426</v>
      </c>
      <c r="AL343" s="196">
        <f>IFERROR($G343/SUMIF($A:$A,$A343,$G:$G)*(SUMIF(Summary!$A$247:$A$283,$A343,Summary!$L$247:$L$283)+SUMIF(Summary!$A$297:$A$333,$A343,Summary!$L$297:$L$333))-AK343,0)</f>
        <v>30345.906115645968</v>
      </c>
      <c r="AM343" s="198"/>
      <c r="AN343" s="196">
        <f t="shared" ca="1" si="82"/>
        <v>392451.7747048309</v>
      </c>
      <c r="AO343" s="196">
        <f t="shared" ca="1" si="83"/>
        <v>392311.71977199684</v>
      </c>
    </row>
    <row r="344" spans="1:41">
      <c r="A344" s="189">
        <v>3581</v>
      </c>
      <c r="B344" s="190">
        <v>2</v>
      </c>
      <c r="C344" s="191" t="s">
        <v>223</v>
      </c>
      <c r="D344" s="192">
        <f t="shared" si="70"/>
        <v>1212</v>
      </c>
      <c r="E344" s="192">
        <f t="shared" si="71"/>
        <v>480</v>
      </c>
      <c r="F344" s="192">
        <f t="shared" si="72"/>
        <v>0</v>
      </c>
      <c r="G344" s="193">
        <f t="shared" si="73"/>
        <v>1692</v>
      </c>
      <c r="H344" s="194">
        <v>489</v>
      </c>
      <c r="I344" s="194">
        <v>198</v>
      </c>
      <c r="J344" s="194">
        <v>0</v>
      </c>
      <c r="K344" s="193">
        <f t="shared" si="74"/>
        <v>687</v>
      </c>
      <c r="L344" s="194">
        <v>549</v>
      </c>
      <c r="M344" s="194">
        <v>282</v>
      </c>
      <c r="N344" s="194">
        <v>0</v>
      </c>
      <c r="O344" s="193">
        <f t="shared" si="75"/>
        <v>831</v>
      </c>
      <c r="P344" s="194">
        <v>174</v>
      </c>
      <c r="Q344" s="194">
        <v>0</v>
      </c>
      <c r="R344" s="194">
        <v>0</v>
      </c>
      <c r="S344" s="193">
        <f t="shared" si="76"/>
        <v>174</v>
      </c>
      <c r="T344" s="193">
        <f t="shared" si="77"/>
        <v>56.4</v>
      </c>
      <c r="U344" s="193">
        <f ca="1">OFFSET('Expenditure Study'!$B$7,'Operations Support'!$C344,'Operations Support'!$B344)*$G344</f>
        <v>3214.7999999999997</v>
      </c>
      <c r="V344" s="199">
        <f ca="1">U344*'Expenditure Study'!$B$31</f>
        <v>189940.60963584</v>
      </c>
      <c r="W344" s="199">
        <f ca="1">IF(A344=10298,1.51,1)*IF($B344&lt;3,$D344*'Expenditure Study'!$B$32*OFFSET('Expenditure Study'!$B$7,'Operations Support'!$C344,'Operations Support'!$B344),0)</f>
        <v>230.28</v>
      </c>
      <c r="X344" s="200">
        <f ca="1">W344*'Expenditure Study'!$B$31</f>
        <v>13605.674874624001</v>
      </c>
      <c r="Y344" s="199">
        <f ca="1">U344*'Expenditure Study'!$B$31</f>
        <v>189940.60963584</v>
      </c>
      <c r="Z344" s="200">
        <f ca="1">W344*'Expenditure Study'!$B$31</f>
        <v>13605.674874624001</v>
      </c>
      <c r="AA344" s="195">
        <f t="shared" ca="1" si="78"/>
        <v>203546.284510464</v>
      </c>
      <c r="AB344" s="195">
        <f t="shared" ca="1" si="79"/>
        <v>203546.284510464</v>
      </c>
      <c r="AD344" s="196">
        <f>IFERROR($G344/SUMIF($A:$A,$A344,$G:$G)*SUMIF(Summary!$A$166:$A$242,$A344,Summary!$P$166:$P$242),0)</f>
        <v>58979.810833429205</v>
      </c>
      <c r="AE344" s="197">
        <f t="shared" ca="1" si="80"/>
        <v>144566.47367703478</v>
      </c>
      <c r="AF344" s="196">
        <f>IFERROR(G344/SUMIF(A:A,A344,G:G)*SUMIF(Summary!$A$166:$A$242,'Operations Support'!A344,Summary!$Q$166:$Q$242),0)</f>
        <v>59053.739691093004</v>
      </c>
      <c r="AG344" s="196">
        <f t="shared" ca="1" si="81"/>
        <v>144492.54481937099</v>
      </c>
      <c r="AI344" s="196">
        <f>IFERROR($G344/SUMIF($A:$A,$A344,$G:$G)*SUMIF(Summary!$A$247:$A$283,$A344,Summary!$P$247:$P$283),0)</f>
        <v>10756.445671244528</v>
      </c>
      <c r="AJ344" s="196">
        <f>IFERROR($G344/SUMIF($A:$A,$A344,$G:$G)*(SUMIF(Summary!$A$247:$A$283,$A344,Summary!$L$247:$L$283)+SUMIF(Summary!$A$297:$A$333,$A344,Summary!$L$297:$L$333))-AI344,0)</f>
        <v>18953.089251531404</v>
      </c>
      <c r="AK344" s="196">
        <f>IFERROR($G344/SUMIF($A:$A,$A344,$G:$G)*SUMIF(Summary!$A$247:$A$283,$A344,Summary!$Q$247:$Q$283),0)</f>
        <v>10769.928450008327</v>
      </c>
      <c r="AL344" s="196">
        <f>IFERROR($G344/SUMIF($A:$A,$A344,$G:$G)*(SUMIF(Summary!$A$247:$A$283,$A344,Summary!$L$247:$L$283)+SUMIF(Summary!$A$297:$A$333,$A344,Summary!$L$297:$L$333))-AK344,0)</f>
        <v>18939.606472767606</v>
      </c>
      <c r="AM344" s="198"/>
      <c r="AN344" s="196">
        <f t="shared" ca="1" si="82"/>
        <v>163519.56292856619</v>
      </c>
      <c r="AO344" s="196">
        <f t="shared" ca="1" si="83"/>
        <v>163432.15129213859</v>
      </c>
    </row>
    <row r="345" spans="1:41">
      <c r="A345" s="189">
        <v>3581</v>
      </c>
      <c r="B345" s="190">
        <v>2</v>
      </c>
      <c r="C345" s="191" t="s">
        <v>224</v>
      </c>
      <c r="D345" s="192">
        <f t="shared" si="70"/>
        <v>0</v>
      </c>
      <c r="E345" s="192">
        <f t="shared" si="71"/>
        <v>0</v>
      </c>
      <c r="F345" s="192">
        <f t="shared" si="72"/>
        <v>0</v>
      </c>
      <c r="G345" s="193">
        <f t="shared" si="73"/>
        <v>0</v>
      </c>
      <c r="H345" s="194">
        <v>0</v>
      </c>
      <c r="I345" s="194">
        <v>0</v>
      </c>
      <c r="J345" s="194">
        <v>0</v>
      </c>
      <c r="K345" s="193">
        <f t="shared" si="74"/>
        <v>0</v>
      </c>
      <c r="L345" s="194">
        <v>0</v>
      </c>
      <c r="M345" s="194">
        <v>0</v>
      </c>
      <c r="N345" s="194">
        <v>0</v>
      </c>
      <c r="O345" s="193">
        <f t="shared" si="75"/>
        <v>0</v>
      </c>
      <c r="P345" s="194">
        <v>0</v>
      </c>
      <c r="Q345" s="194">
        <v>0</v>
      </c>
      <c r="R345" s="194">
        <v>0</v>
      </c>
      <c r="S345" s="193">
        <f t="shared" si="76"/>
        <v>0</v>
      </c>
      <c r="T345" s="193">
        <f t="shared" si="77"/>
        <v>0</v>
      </c>
      <c r="U345" s="193">
        <f ca="1">OFFSET('Expenditure Study'!$B$7,'Operations Support'!$C345,'Operations Support'!$B345)*$G345</f>
        <v>0</v>
      </c>
      <c r="V345" s="199">
        <f ca="1">U345*'Expenditure Study'!$B$31</f>
        <v>0</v>
      </c>
      <c r="W345" s="199">
        <f ca="1">IF(A345=10298,1.51,1)*IF($B345&lt;3,$D345*'Expenditure Study'!$B$32*OFFSET('Expenditure Study'!$B$7,'Operations Support'!$C345,'Operations Support'!$B345),0)</f>
        <v>0</v>
      </c>
      <c r="X345" s="200">
        <f ca="1">W345*'Expenditure Study'!$B$31</f>
        <v>0</v>
      </c>
      <c r="Y345" s="199">
        <f ca="1">U345*'Expenditure Study'!$B$31</f>
        <v>0</v>
      </c>
      <c r="Z345" s="200">
        <f ca="1">W345*'Expenditure Study'!$B$31</f>
        <v>0</v>
      </c>
      <c r="AA345" s="195">
        <f t="shared" ca="1" si="78"/>
        <v>0</v>
      </c>
      <c r="AB345" s="195">
        <f t="shared" ca="1" si="79"/>
        <v>0</v>
      </c>
      <c r="AD345" s="196">
        <f>IFERROR($G345/SUMIF($A:$A,$A345,$G:$G)*SUMIF(Summary!$A$166:$A$242,$A345,Summary!$P$166:$P$242),0)</f>
        <v>0</v>
      </c>
      <c r="AE345" s="197">
        <f t="shared" ca="1" si="80"/>
        <v>0</v>
      </c>
      <c r="AF345" s="196">
        <f>IFERROR(G345/SUMIF(A:A,A345,G:G)*SUMIF(Summary!$A$166:$A$242,'Operations Support'!A345,Summary!$Q$166:$Q$242),0)</f>
        <v>0</v>
      </c>
      <c r="AG345" s="196">
        <f t="shared" ca="1" si="81"/>
        <v>0</v>
      </c>
      <c r="AI345" s="196">
        <f>IFERROR($G345/SUMIF($A:$A,$A345,$G:$G)*SUMIF(Summary!$A$247:$A$283,$A345,Summary!$P$247:$P$283),0)</f>
        <v>0</v>
      </c>
      <c r="AJ345" s="196">
        <f>IFERROR($G345/SUMIF($A:$A,$A345,$G:$G)*(SUMIF(Summary!$A$247:$A$283,$A345,Summary!$L$247:$L$283)+SUMIF(Summary!$A$297:$A$333,$A345,Summary!$L$297:$L$333))-AI345,0)</f>
        <v>0</v>
      </c>
      <c r="AK345" s="196">
        <f>IFERROR($G345/SUMIF($A:$A,$A345,$G:$G)*SUMIF(Summary!$A$247:$A$283,$A345,Summary!$Q$247:$Q$283),0)</f>
        <v>0</v>
      </c>
      <c r="AL345" s="196">
        <f>IFERROR($G345/SUMIF($A:$A,$A345,$G:$G)*(SUMIF(Summary!$A$247:$A$283,$A345,Summary!$L$247:$L$283)+SUMIF(Summary!$A$297:$A$333,$A345,Summary!$L$297:$L$333))-AK345,0)</f>
        <v>0</v>
      </c>
      <c r="AM345" s="198"/>
      <c r="AN345" s="196">
        <f t="shared" ca="1" si="82"/>
        <v>0</v>
      </c>
      <c r="AO345" s="196">
        <f t="shared" ca="1" si="83"/>
        <v>0</v>
      </c>
    </row>
    <row r="346" spans="1:41">
      <c r="A346" s="189">
        <v>3581</v>
      </c>
      <c r="B346" s="190">
        <v>2</v>
      </c>
      <c r="C346" s="191" t="s">
        <v>225</v>
      </c>
      <c r="D346" s="192">
        <f t="shared" si="70"/>
        <v>11615.16999999994</v>
      </c>
      <c r="E346" s="192">
        <f t="shared" si="71"/>
        <v>2072.8300000000004</v>
      </c>
      <c r="F346" s="192">
        <f t="shared" si="72"/>
        <v>0</v>
      </c>
      <c r="G346" s="193">
        <f t="shared" si="73"/>
        <v>13687.99999999994</v>
      </c>
      <c r="H346" s="194">
        <v>5045</v>
      </c>
      <c r="I346" s="194">
        <v>1199</v>
      </c>
      <c r="J346" s="194">
        <v>0</v>
      </c>
      <c r="K346" s="193">
        <f t="shared" si="74"/>
        <v>6244</v>
      </c>
      <c r="L346" s="194">
        <v>5537.0599999999404</v>
      </c>
      <c r="M346" s="194">
        <v>601.94000000000051</v>
      </c>
      <c r="N346" s="194">
        <v>0</v>
      </c>
      <c r="O346" s="193">
        <f t="shared" si="75"/>
        <v>6138.9999999999409</v>
      </c>
      <c r="P346" s="194">
        <v>1033.1099999999999</v>
      </c>
      <c r="Q346" s="194">
        <v>271.89</v>
      </c>
      <c r="R346" s="194">
        <v>0</v>
      </c>
      <c r="S346" s="193">
        <f t="shared" si="76"/>
        <v>1305</v>
      </c>
      <c r="T346" s="193">
        <f t="shared" si="77"/>
        <v>456.26666666666466</v>
      </c>
      <c r="U346" s="193">
        <f ca="1">OFFSET('Expenditure Study'!$B$7,'Operations Support'!$C346,'Operations Support'!$B346)*$G346</f>
        <v>38326.399999999827</v>
      </c>
      <c r="V346" s="199">
        <f ca="1">U346*'Expenditure Study'!$B$31</f>
        <v>2264445.6206131098</v>
      </c>
      <c r="W346" s="199">
        <f ca="1">IF(A346=10298,1.51,1)*IF($B346&lt;3,$D346*'Expenditure Study'!$B$32*OFFSET('Expenditure Study'!$B$7,'Operations Support'!$C346,'Operations Support'!$B346),0)</f>
        <v>3252.2475999999833</v>
      </c>
      <c r="X346" s="200">
        <f ca="1">W346*'Expenditure Study'!$B$31</f>
        <v>192153.1329571651</v>
      </c>
      <c r="Y346" s="199">
        <f ca="1">U346*'Expenditure Study'!$B$31</f>
        <v>2264445.6206131098</v>
      </c>
      <c r="Z346" s="200">
        <f ca="1">W346*'Expenditure Study'!$B$31</f>
        <v>192153.1329571651</v>
      </c>
      <c r="AA346" s="195">
        <f t="shared" ca="1" si="78"/>
        <v>2456598.7535702749</v>
      </c>
      <c r="AB346" s="195">
        <f t="shared" ca="1" si="79"/>
        <v>2456598.7535702749</v>
      </c>
      <c r="AD346" s="196">
        <f>IFERROR($G346/SUMIF($A:$A,$A346,$G:$G)*SUMIF(Summary!$A$166:$A$242,$A346,Summary!$P$166:$P$242),0)</f>
        <v>477136.90939005633</v>
      </c>
      <c r="AE346" s="197">
        <f t="shared" ca="1" si="80"/>
        <v>1979461.8441802186</v>
      </c>
      <c r="AF346" s="196">
        <f>IFERROR(G346/SUMIF(A:A,A346,G:G)*SUMIF(Summary!$A$166:$A$242,'Operations Support'!A346,Summary!$Q$166:$Q$242),0)</f>
        <v>477734.98161446658</v>
      </c>
      <c r="AG346" s="196">
        <f t="shared" ca="1" si="81"/>
        <v>1978863.7719558084</v>
      </c>
      <c r="AI346" s="196">
        <f>IFERROR($G346/SUMIF($A:$A,$A346,$G:$G)*SUMIF(Summary!$A$247:$A$283,$A346,Summary!$P$247:$P$283),0)</f>
        <v>87017.865453897422</v>
      </c>
      <c r="AJ346" s="196">
        <f>IFERROR($G346/SUMIF($A:$A,$A346,$G:$G)*(SUMIF(Summary!$A$247:$A$283,$A346,Summary!$L$247:$L$283)+SUMIF(Summary!$A$297:$A$333,$A346,Summary!$L$297:$L$333))-AI346,0)</f>
        <v>153327.35559985859</v>
      </c>
      <c r="AK346" s="196">
        <f>IFERROR($G346/SUMIF($A:$A,$A346,$G:$G)*SUMIF(Summary!$A$247:$A$283,$A346,Summary!$Q$247:$Q$283),0)</f>
        <v>87126.938902903843</v>
      </c>
      <c r="AL346" s="196">
        <f>IFERROR($G346/SUMIF($A:$A,$A346,$G:$G)*(SUMIF(Summary!$A$247:$A$283,$A346,Summary!$L$247:$L$283)+SUMIF(Summary!$A$297:$A$333,$A346,Summary!$L$297:$L$333))-AK346,0)</f>
        <v>153218.28215085217</v>
      </c>
      <c r="AM346" s="198"/>
      <c r="AN346" s="196">
        <f t="shared" ca="1" si="82"/>
        <v>2132789.1997800772</v>
      </c>
      <c r="AO346" s="196">
        <f t="shared" ca="1" si="83"/>
        <v>2132082.0541066607</v>
      </c>
    </row>
    <row r="347" spans="1:41">
      <c r="A347" s="189">
        <v>3581</v>
      </c>
      <c r="B347" s="190">
        <v>2</v>
      </c>
      <c r="C347" s="191" t="s">
        <v>226</v>
      </c>
      <c r="D347" s="192">
        <f t="shared" si="70"/>
        <v>4794</v>
      </c>
      <c r="E347" s="192">
        <f t="shared" si="71"/>
        <v>1071</v>
      </c>
      <c r="F347" s="192">
        <f t="shared" si="72"/>
        <v>0</v>
      </c>
      <c r="G347" s="193">
        <f t="shared" si="73"/>
        <v>5865</v>
      </c>
      <c r="H347" s="194">
        <v>1770</v>
      </c>
      <c r="I347" s="194">
        <v>180</v>
      </c>
      <c r="J347" s="194">
        <v>0</v>
      </c>
      <c r="K347" s="193">
        <f t="shared" si="74"/>
        <v>1950</v>
      </c>
      <c r="L347" s="194">
        <v>1578</v>
      </c>
      <c r="M347" s="194">
        <v>561</v>
      </c>
      <c r="N347" s="194">
        <v>0</v>
      </c>
      <c r="O347" s="193">
        <f t="shared" si="75"/>
        <v>2139</v>
      </c>
      <c r="P347" s="194">
        <v>1446</v>
      </c>
      <c r="Q347" s="194">
        <v>330</v>
      </c>
      <c r="R347" s="194">
        <v>0</v>
      </c>
      <c r="S347" s="193">
        <f t="shared" si="76"/>
        <v>1776</v>
      </c>
      <c r="T347" s="193">
        <f t="shared" si="77"/>
        <v>195.5</v>
      </c>
      <c r="U347" s="193">
        <f ca="1">OFFSET('Expenditure Study'!$B$7,'Operations Support'!$C347,'Operations Support'!$B347)*$G347</f>
        <v>10557</v>
      </c>
      <c r="V347" s="199">
        <f ca="1">U347*'Expenditure Study'!$B$31</f>
        <v>623741.13970559998</v>
      </c>
      <c r="W347" s="199">
        <f ca="1">IF(A347=10298,1.51,1)*IF($B347&lt;3,$D347*'Expenditure Study'!$B$32*OFFSET('Expenditure Study'!$B$7,'Operations Support'!$C347,'Operations Support'!$B347),0)</f>
        <v>862.92000000000007</v>
      </c>
      <c r="X347" s="200">
        <f ca="1">W347*'Expenditure Study'!$B$31</f>
        <v>50984.058375936002</v>
      </c>
      <c r="Y347" s="199">
        <f ca="1">U347*'Expenditure Study'!$B$31</f>
        <v>623741.13970559998</v>
      </c>
      <c r="Z347" s="200">
        <f ca="1">W347*'Expenditure Study'!$B$31</f>
        <v>50984.058375936002</v>
      </c>
      <c r="AA347" s="195">
        <f t="shared" ca="1" si="78"/>
        <v>674725.19808153599</v>
      </c>
      <c r="AB347" s="195">
        <f t="shared" ca="1" si="79"/>
        <v>674725.19808153599</v>
      </c>
      <c r="AD347" s="196">
        <f>IFERROR($G347/SUMIF($A:$A,$A347,$G:$G)*SUMIF(Summary!$A$166:$A$242,$A347,Summary!$P$166:$P$242),0)</f>
        <v>204442.42939601789</v>
      </c>
      <c r="AE347" s="197">
        <f t="shared" ca="1" si="80"/>
        <v>470282.76868551807</v>
      </c>
      <c r="AF347" s="196">
        <f>IFERROR(G347/SUMIF(A:A,A347,G:G)*SUMIF(Summary!$A$166:$A$242,'Operations Support'!A347,Summary!$Q$166:$Q$242),0)</f>
        <v>204698.68988667877</v>
      </c>
      <c r="AG347" s="196">
        <f t="shared" ca="1" si="81"/>
        <v>470026.50819485722</v>
      </c>
      <c r="AI347" s="196">
        <f>IFERROR($G347/SUMIF($A:$A,$A347,$G:$G)*SUMIF(Summary!$A$247:$A$283,$A347,Summary!$P$247:$P$283),0)</f>
        <v>37285.197317877755</v>
      </c>
      <c r="AJ347" s="196">
        <f>IFERROR($G347/SUMIF($A:$A,$A347,$G:$G)*(SUMIF(Summary!$A$247:$A$283,$A347,Summary!$L$247:$L$283)+SUMIF(Summary!$A$297:$A$333,$A347,Summary!$L$297:$L$333))-AI347,0)</f>
        <v>65697.321785006905</v>
      </c>
      <c r="AK347" s="196">
        <f>IFERROR($G347/SUMIF($A:$A,$A347,$G:$G)*SUMIF(Summary!$A$247:$A$283,$A347,Summary!$Q$247:$Q$283),0)</f>
        <v>37331.932836465028</v>
      </c>
      <c r="AL347" s="196">
        <f>IFERROR($G347/SUMIF($A:$A,$A347,$G:$G)*(SUMIF(Summary!$A$247:$A$283,$A347,Summary!$L$247:$L$283)+SUMIF(Summary!$A$297:$A$333,$A347,Summary!$L$297:$L$333))-AK347,0)</f>
        <v>65650.586266419632</v>
      </c>
      <c r="AM347" s="198"/>
      <c r="AN347" s="196">
        <f t="shared" ca="1" si="82"/>
        <v>535980.09047052497</v>
      </c>
      <c r="AO347" s="196">
        <f t="shared" ca="1" si="83"/>
        <v>535677.09446127689</v>
      </c>
    </row>
    <row r="348" spans="1:41">
      <c r="A348" s="189">
        <v>3581</v>
      </c>
      <c r="B348" s="190">
        <v>2</v>
      </c>
      <c r="C348" s="191" t="s">
        <v>227</v>
      </c>
      <c r="D348" s="192">
        <f t="shared" si="70"/>
        <v>0</v>
      </c>
      <c r="E348" s="192">
        <f t="shared" si="71"/>
        <v>0</v>
      </c>
      <c r="F348" s="192">
        <f t="shared" si="72"/>
        <v>0</v>
      </c>
      <c r="G348" s="193">
        <f t="shared" si="73"/>
        <v>0</v>
      </c>
      <c r="H348" s="194">
        <v>0</v>
      </c>
      <c r="I348" s="194">
        <v>0</v>
      </c>
      <c r="J348" s="194">
        <v>0</v>
      </c>
      <c r="K348" s="193">
        <f t="shared" si="74"/>
        <v>0</v>
      </c>
      <c r="L348" s="194">
        <v>0</v>
      </c>
      <c r="M348" s="194">
        <v>0</v>
      </c>
      <c r="N348" s="194">
        <v>0</v>
      </c>
      <c r="O348" s="193">
        <f t="shared" si="75"/>
        <v>0</v>
      </c>
      <c r="P348" s="194">
        <v>0</v>
      </c>
      <c r="Q348" s="194">
        <v>0</v>
      </c>
      <c r="R348" s="194">
        <v>0</v>
      </c>
      <c r="S348" s="193">
        <f t="shared" si="76"/>
        <v>0</v>
      </c>
      <c r="T348" s="193">
        <f t="shared" si="77"/>
        <v>0</v>
      </c>
      <c r="U348" s="193">
        <f ca="1">OFFSET('Expenditure Study'!$B$7,'Operations Support'!$C348,'Operations Support'!$B348)*$G348</f>
        <v>0</v>
      </c>
      <c r="V348" s="199">
        <f ca="1">U348*'Expenditure Study'!$B$31</f>
        <v>0</v>
      </c>
      <c r="W348" s="199">
        <f ca="1">IF(A348=10298,1.51,1)*IF($B348&lt;3,$D348*'Expenditure Study'!$B$32*OFFSET('Expenditure Study'!$B$7,'Operations Support'!$C348,'Operations Support'!$B348),0)</f>
        <v>0</v>
      </c>
      <c r="X348" s="200">
        <f ca="1">W348*'Expenditure Study'!$B$31</f>
        <v>0</v>
      </c>
      <c r="Y348" s="199">
        <f ca="1">U348*'Expenditure Study'!$B$31</f>
        <v>0</v>
      </c>
      <c r="Z348" s="200">
        <f ca="1">W348*'Expenditure Study'!$B$31</f>
        <v>0</v>
      </c>
      <c r="AA348" s="195">
        <f t="shared" ca="1" si="78"/>
        <v>0</v>
      </c>
      <c r="AB348" s="195">
        <f t="shared" ca="1" si="79"/>
        <v>0</v>
      </c>
      <c r="AD348" s="196">
        <f>IFERROR($G348/SUMIF($A:$A,$A348,$G:$G)*SUMIF(Summary!$A$166:$A$242,$A348,Summary!$P$166:$P$242),0)</f>
        <v>0</v>
      </c>
      <c r="AE348" s="197">
        <f t="shared" ca="1" si="80"/>
        <v>0</v>
      </c>
      <c r="AF348" s="196">
        <f>IFERROR(G348/SUMIF(A:A,A348,G:G)*SUMIF(Summary!$A$166:$A$242,'Operations Support'!A348,Summary!$Q$166:$Q$242),0)</f>
        <v>0</v>
      </c>
      <c r="AG348" s="196">
        <f t="shared" ca="1" si="81"/>
        <v>0</v>
      </c>
      <c r="AI348" s="196">
        <f>IFERROR($G348/SUMIF($A:$A,$A348,$G:$G)*SUMIF(Summary!$A$247:$A$283,$A348,Summary!$P$247:$P$283),0)</f>
        <v>0</v>
      </c>
      <c r="AJ348" s="196">
        <f>IFERROR($G348/SUMIF($A:$A,$A348,$G:$G)*(SUMIF(Summary!$A$247:$A$283,$A348,Summary!$L$247:$L$283)+SUMIF(Summary!$A$297:$A$333,$A348,Summary!$L$297:$L$333))-AI348,0)</f>
        <v>0</v>
      </c>
      <c r="AK348" s="196">
        <f>IFERROR($G348/SUMIF($A:$A,$A348,$G:$G)*SUMIF(Summary!$A$247:$A$283,$A348,Summary!$Q$247:$Q$283),0)</f>
        <v>0</v>
      </c>
      <c r="AL348" s="196">
        <f>IFERROR($G348/SUMIF($A:$A,$A348,$G:$G)*(SUMIF(Summary!$A$247:$A$283,$A348,Summary!$L$247:$L$283)+SUMIF(Summary!$A$297:$A$333,$A348,Summary!$L$297:$L$333))-AK348,0)</f>
        <v>0</v>
      </c>
      <c r="AM348" s="198"/>
      <c r="AN348" s="196">
        <f t="shared" ca="1" si="82"/>
        <v>0</v>
      </c>
      <c r="AO348" s="196">
        <f t="shared" ca="1" si="83"/>
        <v>0</v>
      </c>
    </row>
    <row r="349" spans="1:41">
      <c r="A349" s="189">
        <v>3581</v>
      </c>
      <c r="B349" s="190">
        <v>2</v>
      </c>
      <c r="C349" s="191" t="s">
        <v>228</v>
      </c>
      <c r="D349" s="192">
        <f t="shared" si="70"/>
        <v>1122</v>
      </c>
      <c r="E349" s="192">
        <f t="shared" si="71"/>
        <v>1243</v>
      </c>
      <c r="F349" s="192">
        <f t="shared" si="72"/>
        <v>0</v>
      </c>
      <c r="G349" s="193">
        <f t="shared" si="73"/>
        <v>2365</v>
      </c>
      <c r="H349" s="194">
        <v>417</v>
      </c>
      <c r="I349" s="194">
        <v>459</v>
      </c>
      <c r="J349" s="194">
        <v>0</v>
      </c>
      <c r="K349" s="193">
        <f t="shared" si="74"/>
        <v>876</v>
      </c>
      <c r="L349" s="194">
        <v>402</v>
      </c>
      <c r="M349" s="194">
        <v>612</v>
      </c>
      <c r="N349" s="194">
        <v>0</v>
      </c>
      <c r="O349" s="193">
        <f t="shared" si="75"/>
        <v>1014</v>
      </c>
      <c r="P349" s="194">
        <v>303</v>
      </c>
      <c r="Q349" s="194">
        <v>172</v>
      </c>
      <c r="R349" s="194">
        <v>0</v>
      </c>
      <c r="S349" s="193">
        <f t="shared" si="76"/>
        <v>475</v>
      </c>
      <c r="T349" s="193">
        <f t="shared" si="77"/>
        <v>78.833333333333329</v>
      </c>
      <c r="U349" s="193">
        <f ca="1">OFFSET('Expenditure Study'!$B$7,'Operations Support'!$C349,'Operations Support'!$B349)*$G349</f>
        <v>4517.1499999999996</v>
      </c>
      <c r="V349" s="199">
        <f ca="1">U349*'Expenditure Study'!$B$31</f>
        <v>266887.59015071997</v>
      </c>
      <c r="W349" s="199">
        <f ca="1">IF(A349=10298,1.51,1)*IF($B349&lt;3,$D349*'Expenditure Study'!$B$32*OFFSET('Expenditure Study'!$B$7,'Operations Support'!$C349,'Operations Support'!$B349),0)</f>
        <v>214.30199999999999</v>
      </c>
      <c r="X349" s="200">
        <f ca="1">W349*'Expenditure Study'!$B$31</f>
        <v>12661.643811801599</v>
      </c>
      <c r="Y349" s="199">
        <f ca="1">U349*'Expenditure Study'!$B$31</f>
        <v>266887.59015071997</v>
      </c>
      <c r="Z349" s="200">
        <f ca="1">W349*'Expenditure Study'!$B$31</f>
        <v>12661.643811801599</v>
      </c>
      <c r="AA349" s="195">
        <f t="shared" ca="1" si="78"/>
        <v>279549.2339625216</v>
      </c>
      <c r="AB349" s="195">
        <f t="shared" ca="1" si="79"/>
        <v>279549.2339625216</v>
      </c>
      <c r="AD349" s="196">
        <f>IFERROR($G349/SUMIF($A:$A,$A349,$G:$G)*SUMIF(Summary!$A$166:$A$242,$A349,Summary!$P$166:$P$242),0)</f>
        <v>82439.274598735254</v>
      </c>
      <c r="AE349" s="197">
        <f t="shared" ca="1" si="80"/>
        <v>197109.95936378633</v>
      </c>
      <c r="AF349" s="196">
        <f>IFERROR(G349/SUMIF(A:A,A349,G:G)*SUMIF(Summary!$A$166:$A$242,'Operations Support'!A349,Summary!$Q$166:$Q$242),0)</f>
        <v>82542.608965387088</v>
      </c>
      <c r="AG349" s="196">
        <f t="shared" ca="1" si="81"/>
        <v>197006.6249971345</v>
      </c>
      <c r="AI349" s="196">
        <f>IFERROR($G349/SUMIF($A:$A,$A349,$G:$G)*SUMIF(Summary!$A$247:$A$283,$A349,Summary!$P$247:$P$283),0)</f>
        <v>15034.866437643799</v>
      </c>
      <c r="AJ349" s="196">
        <f>IFERROR($G349/SUMIF($A:$A,$A349,$G:$G)*(SUMIF(Summary!$A$247:$A$283,$A349,Summary!$L$247:$L$283)+SUMIF(Summary!$A$297:$A$333,$A349,Summary!$L$297:$L$333))-AI349,0)</f>
        <v>26491.758912453766</v>
      </c>
      <c r="AK349" s="196">
        <f>IFERROR($G349/SUMIF($A:$A,$A349,$G:$G)*SUMIF(Summary!$A$247:$A$283,$A349,Summary!$Q$247:$Q$283),0)</f>
        <v>15053.712047440715</v>
      </c>
      <c r="AL349" s="196">
        <f>IFERROR($G349/SUMIF($A:$A,$A349,$G:$G)*(SUMIF(Summary!$A$247:$A$283,$A349,Summary!$L$247:$L$283)+SUMIF(Summary!$A$297:$A$333,$A349,Summary!$L$297:$L$333))-AK349,0)</f>
        <v>26472.913302656852</v>
      </c>
      <c r="AM349" s="198"/>
      <c r="AN349" s="196">
        <f t="shared" ca="1" si="82"/>
        <v>223601.71827624011</v>
      </c>
      <c r="AO349" s="196">
        <f t="shared" ca="1" si="83"/>
        <v>223479.53829979134</v>
      </c>
    </row>
    <row r="350" spans="1:41">
      <c r="A350" s="189">
        <v>3581</v>
      </c>
      <c r="B350" s="190">
        <v>2</v>
      </c>
      <c r="C350" s="191" t="s">
        <v>229</v>
      </c>
      <c r="D350" s="192">
        <f t="shared" si="70"/>
        <v>0</v>
      </c>
      <c r="E350" s="192">
        <f t="shared" si="71"/>
        <v>0</v>
      </c>
      <c r="F350" s="192">
        <f t="shared" si="72"/>
        <v>0</v>
      </c>
      <c r="G350" s="193">
        <f t="shared" si="73"/>
        <v>0</v>
      </c>
      <c r="H350" s="194">
        <v>0</v>
      </c>
      <c r="I350" s="194">
        <v>0</v>
      </c>
      <c r="J350" s="194">
        <v>0</v>
      </c>
      <c r="K350" s="193">
        <f t="shared" si="74"/>
        <v>0</v>
      </c>
      <c r="L350" s="194">
        <v>0</v>
      </c>
      <c r="M350" s="194">
        <v>0</v>
      </c>
      <c r="N350" s="194">
        <v>0</v>
      </c>
      <c r="O350" s="193">
        <f t="shared" si="75"/>
        <v>0</v>
      </c>
      <c r="P350" s="194">
        <v>0</v>
      </c>
      <c r="Q350" s="194">
        <v>0</v>
      </c>
      <c r="R350" s="194">
        <v>0</v>
      </c>
      <c r="S350" s="193">
        <f t="shared" si="76"/>
        <v>0</v>
      </c>
      <c r="T350" s="193">
        <f t="shared" si="77"/>
        <v>0</v>
      </c>
      <c r="U350" s="193">
        <f ca="1">OFFSET('Expenditure Study'!$B$7,'Operations Support'!$C350,'Operations Support'!$B350)*$G350</f>
        <v>0</v>
      </c>
      <c r="V350" s="199">
        <f ca="1">U350*'Expenditure Study'!$B$31</f>
        <v>0</v>
      </c>
      <c r="W350" s="199">
        <f ca="1">IF(A350=10298,1.51,1)*IF($B350&lt;3,$D350*'Expenditure Study'!$B$32*OFFSET('Expenditure Study'!$B$7,'Operations Support'!$C350,'Operations Support'!$B350),0)</f>
        <v>0</v>
      </c>
      <c r="X350" s="200">
        <f ca="1">W350*'Expenditure Study'!$B$31</f>
        <v>0</v>
      </c>
      <c r="Y350" s="199">
        <f ca="1">U350*'Expenditure Study'!$B$31</f>
        <v>0</v>
      </c>
      <c r="Z350" s="200">
        <f ca="1">W350*'Expenditure Study'!$B$31</f>
        <v>0</v>
      </c>
      <c r="AA350" s="195">
        <f t="shared" ca="1" si="78"/>
        <v>0</v>
      </c>
      <c r="AB350" s="195">
        <f t="shared" ca="1" si="79"/>
        <v>0</v>
      </c>
      <c r="AD350" s="196">
        <f>IFERROR($G350/SUMIF($A:$A,$A350,$G:$G)*SUMIF(Summary!$A$166:$A$242,$A350,Summary!$P$166:$P$242),0)</f>
        <v>0</v>
      </c>
      <c r="AE350" s="197">
        <f t="shared" ca="1" si="80"/>
        <v>0</v>
      </c>
      <c r="AF350" s="196">
        <f>IFERROR(G350/SUMIF(A:A,A350,G:G)*SUMIF(Summary!$A$166:$A$242,'Operations Support'!A350,Summary!$Q$166:$Q$242),0)</f>
        <v>0</v>
      </c>
      <c r="AG350" s="196">
        <f t="shared" ca="1" si="81"/>
        <v>0</v>
      </c>
      <c r="AI350" s="196">
        <f>IFERROR($G350/SUMIF($A:$A,$A350,$G:$G)*SUMIF(Summary!$A$247:$A$283,$A350,Summary!$P$247:$P$283),0)</f>
        <v>0</v>
      </c>
      <c r="AJ350" s="196">
        <f>IFERROR($G350/SUMIF($A:$A,$A350,$G:$G)*(SUMIF(Summary!$A$247:$A$283,$A350,Summary!$L$247:$L$283)+SUMIF(Summary!$A$297:$A$333,$A350,Summary!$L$297:$L$333))-AI350,0)</f>
        <v>0</v>
      </c>
      <c r="AK350" s="196">
        <f>IFERROR($G350/SUMIF($A:$A,$A350,$G:$G)*SUMIF(Summary!$A$247:$A$283,$A350,Summary!$Q$247:$Q$283),0)</f>
        <v>0</v>
      </c>
      <c r="AL350" s="196">
        <f>IFERROR($G350/SUMIF($A:$A,$A350,$G:$G)*(SUMIF(Summary!$A$247:$A$283,$A350,Summary!$L$247:$L$283)+SUMIF(Summary!$A$297:$A$333,$A350,Summary!$L$297:$L$333))-AK350,0)</f>
        <v>0</v>
      </c>
      <c r="AM350" s="198"/>
      <c r="AN350" s="196">
        <f t="shared" ca="1" si="82"/>
        <v>0</v>
      </c>
      <c r="AO350" s="196">
        <f t="shared" ca="1" si="83"/>
        <v>0</v>
      </c>
    </row>
    <row r="351" spans="1:41">
      <c r="A351" s="189">
        <v>3581</v>
      </c>
      <c r="B351" s="190">
        <v>2</v>
      </c>
      <c r="C351" s="191" t="s">
        <v>230</v>
      </c>
      <c r="D351" s="192">
        <f t="shared" si="70"/>
        <v>0</v>
      </c>
      <c r="E351" s="192">
        <f t="shared" si="71"/>
        <v>0</v>
      </c>
      <c r="F351" s="192">
        <f t="shared" si="72"/>
        <v>0</v>
      </c>
      <c r="G351" s="193">
        <f t="shared" si="73"/>
        <v>0</v>
      </c>
      <c r="H351" s="194">
        <v>0</v>
      </c>
      <c r="I351" s="194">
        <v>0</v>
      </c>
      <c r="J351" s="194">
        <v>0</v>
      </c>
      <c r="K351" s="193">
        <f t="shared" si="74"/>
        <v>0</v>
      </c>
      <c r="L351" s="194">
        <v>0</v>
      </c>
      <c r="M351" s="194">
        <v>0</v>
      </c>
      <c r="N351" s="194">
        <v>0</v>
      </c>
      <c r="O351" s="193">
        <f t="shared" si="75"/>
        <v>0</v>
      </c>
      <c r="P351" s="194">
        <v>0</v>
      </c>
      <c r="Q351" s="194">
        <v>0</v>
      </c>
      <c r="R351" s="194">
        <v>0</v>
      </c>
      <c r="S351" s="193">
        <f t="shared" si="76"/>
        <v>0</v>
      </c>
      <c r="T351" s="193">
        <f t="shared" si="77"/>
        <v>0</v>
      </c>
      <c r="U351" s="193">
        <f ca="1">OFFSET('Expenditure Study'!$B$7,'Operations Support'!$C351,'Operations Support'!$B351)*$G351</f>
        <v>0</v>
      </c>
      <c r="V351" s="199">
        <f ca="1">U351*'Expenditure Study'!$B$31</f>
        <v>0</v>
      </c>
      <c r="W351" s="199">
        <f ca="1">IF(A351=10298,1.51,1)*IF($B351&lt;3,$D351*'Expenditure Study'!$B$32*OFFSET('Expenditure Study'!$B$7,'Operations Support'!$C351,'Operations Support'!$B351),0)</f>
        <v>0</v>
      </c>
      <c r="X351" s="200">
        <f ca="1">W351*'Expenditure Study'!$B$31</f>
        <v>0</v>
      </c>
      <c r="Y351" s="199">
        <f ca="1">U351*'Expenditure Study'!$B$31</f>
        <v>0</v>
      </c>
      <c r="Z351" s="200">
        <f ca="1">W351*'Expenditure Study'!$B$31</f>
        <v>0</v>
      </c>
      <c r="AA351" s="195">
        <f t="shared" ca="1" si="78"/>
        <v>0</v>
      </c>
      <c r="AB351" s="195">
        <f t="shared" ca="1" si="79"/>
        <v>0</v>
      </c>
      <c r="AD351" s="196">
        <f>IFERROR($G351/SUMIF($A:$A,$A351,$G:$G)*SUMIF(Summary!$A$166:$A$242,$A351,Summary!$P$166:$P$242),0)</f>
        <v>0</v>
      </c>
      <c r="AE351" s="197">
        <f t="shared" ca="1" si="80"/>
        <v>0</v>
      </c>
      <c r="AF351" s="196">
        <f>IFERROR(G351/SUMIF(A:A,A351,G:G)*SUMIF(Summary!$A$166:$A$242,'Operations Support'!A351,Summary!$Q$166:$Q$242),0)</f>
        <v>0</v>
      </c>
      <c r="AG351" s="196">
        <f t="shared" ca="1" si="81"/>
        <v>0</v>
      </c>
      <c r="AI351" s="196">
        <f>IFERROR($G351/SUMIF($A:$A,$A351,$G:$G)*SUMIF(Summary!$A$247:$A$283,$A351,Summary!$P$247:$P$283),0)</f>
        <v>0</v>
      </c>
      <c r="AJ351" s="196">
        <f>IFERROR($G351/SUMIF($A:$A,$A351,$G:$G)*(SUMIF(Summary!$A$247:$A$283,$A351,Summary!$L$247:$L$283)+SUMIF(Summary!$A$297:$A$333,$A351,Summary!$L$297:$L$333))-AI351,0)</f>
        <v>0</v>
      </c>
      <c r="AK351" s="196">
        <f>IFERROR($G351/SUMIF($A:$A,$A351,$G:$G)*SUMIF(Summary!$A$247:$A$283,$A351,Summary!$Q$247:$Q$283),0)</f>
        <v>0</v>
      </c>
      <c r="AL351" s="196">
        <f>IFERROR($G351/SUMIF($A:$A,$A351,$G:$G)*(SUMIF(Summary!$A$247:$A$283,$A351,Summary!$L$247:$L$283)+SUMIF(Summary!$A$297:$A$333,$A351,Summary!$L$297:$L$333))-AK351,0)</f>
        <v>0</v>
      </c>
      <c r="AM351" s="198"/>
      <c r="AN351" s="196">
        <f t="shared" ca="1" si="82"/>
        <v>0</v>
      </c>
      <c r="AO351" s="196">
        <f t="shared" ca="1" si="83"/>
        <v>0</v>
      </c>
    </row>
    <row r="352" spans="1:41">
      <c r="A352" s="189">
        <v>3581</v>
      </c>
      <c r="B352" s="190">
        <v>2</v>
      </c>
      <c r="C352" s="191" t="s">
        <v>231</v>
      </c>
      <c r="D352" s="192">
        <f t="shared" si="70"/>
        <v>0</v>
      </c>
      <c r="E352" s="192">
        <f t="shared" si="71"/>
        <v>0</v>
      </c>
      <c r="F352" s="192">
        <f t="shared" si="72"/>
        <v>0</v>
      </c>
      <c r="G352" s="193">
        <f t="shared" si="73"/>
        <v>0</v>
      </c>
      <c r="H352" s="194">
        <v>0</v>
      </c>
      <c r="I352" s="194">
        <v>0</v>
      </c>
      <c r="J352" s="194">
        <v>0</v>
      </c>
      <c r="K352" s="193">
        <f t="shared" si="74"/>
        <v>0</v>
      </c>
      <c r="L352" s="194">
        <v>0</v>
      </c>
      <c r="M352" s="194">
        <v>0</v>
      </c>
      <c r="N352" s="194">
        <v>0</v>
      </c>
      <c r="O352" s="193">
        <f t="shared" si="75"/>
        <v>0</v>
      </c>
      <c r="P352" s="194">
        <v>0</v>
      </c>
      <c r="Q352" s="194">
        <v>0</v>
      </c>
      <c r="R352" s="194">
        <v>0</v>
      </c>
      <c r="S352" s="193">
        <f t="shared" si="76"/>
        <v>0</v>
      </c>
      <c r="T352" s="193">
        <f t="shared" si="77"/>
        <v>0</v>
      </c>
      <c r="U352" s="193">
        <f ca="1">OFFSET('Expenditure Study'!$B$7,'Operations Support'!$C352,'Operations Support'!$B352)*$G352</f>
        <v>0</v>
      </c>
      <c r="V352" s="199">
        <f ca="1">U352*'Expenditure Study'!$B$31</f>
        <v>0</v>
      </c>
      <c r="W352" s="199">
        <f ca="1">IF(A352=10298,1.51,1)*IF($B352&lt;3,$D352*'Expenditure Study'!$B$32*OFFSET('Expenditure Study'!$B$7,'Operations Support'!$C352,'Operations Support'!$B352),0)</f>
        <v>0</v>
      </c>
      <c r="X352" s="200">
        <f ca="1">W352*'Expenditure Study'!$B$31</f>
        <v>0</v>
      </c>
      <c r="Y352" s="199">
        <f ca="1">U352*'Expenditure Study'!$B$31</f>
        <v>0</v>
      </c>
      <c r="Z352" s="200">
        <f ca="1">W352*'Expenditure Study'!$B$31</f>
        <v>0</v>
      </c>
      <c r="AA352" s="195">
        <f t="shared" ca="1" si="78"/>
        <v>0</v>
      </c>
      <c r="AB352" s="195">
        <f t="shared" ca="1" si="79"/>
        <v>0</v>
      </c>
      <c r="AD352" s="196">
        <f>IFERROR($G352/SUMIF($A:$A,$A352,$G:$G)*SUMIF(Summary!$A$166:$A$242,$A352,Summary!$P$166:$P$242),0)</f>
        <v>0</v>
      </c>
      <c r="AE352" s="197">
        <f t="shared" ca="1" si="80"/>
        <v>0</v>
      </c>
      <c r="AF352" s="196">
        <f>IFERROR(G352/SUMIF(A:A,A352,G:G)*SUMIF(Summary!$A$166:$A$242,'Operations Support'!A352,Summary!$Q$166:$Q$242),0)</f>
        <v>0</v>
      </c>
      <c r="AG352" s="196">
        <f t="shared" ca="1" si="81"/>
        <v>0</v>
      </c>
      <c r="AI352" s="196">
        <f>IFERROR($G352/SUMIF($A:$A,$A352,$G:$G)*SUMIF(Summary!$A$247:$A$283,$A352,Summary!$P$247:$P$283),0)</f>
        <v>0</v>
      </c>
      <c r="AJ352" s="196">
        <f>IFERROR($G352/SUMIF($A:$A,$A352,$G:$G)*(SUMIF(Summary!$A$247:$A$283,$A352,Summary!$L$247:$L$283)+SUMIF(Summary!$A$297:$A$333,$A352,Summary!$L$297:$L$333))-AI352,0)</f>
        <v>0</v>
      </c>
      <c r="AK352" s="196">
        <f>IFERROR($G352/SUMIF($A:$A,$A352,$G:$G)*SUMIF(Summary!$A$247:$A$283,$A352,Summary!$Q$247:$Q$283),0)</f>
        <v>0</v>
      </c>
      <c r="AL352" s="196">
        <f>IFERROR($G352/SUMIF($A:$A,$A352,$G:$G)*(SUMIF(Summary!$A$247:$A$283,$A352,Summary!$L$247:$L$283)+SUMIF(Summary!$A$297:$A$333,$A352,Summary!$L$297:$L$333))-AK352,0)</f>
        <v>0</v>
      </c>
      <c r="AM352" s="198"/>
      <c r="AN352" s="196">
        <f t="shared" ca="1" si="82"/>
        <v>0</v>
      </c>
      <c r="AO352" s="196">
        <f t="shared" ca="1" si="83"/>
        <v>0</v>
      </c>
    </row>
    <row r="353" spans="1:41">
      <c r="A353" s="189">
        <v>3581</v>
      </c>
      <c r="B353" s="190">
        <v>2</v>
      </c>
      <c r="C353" s="191" t="s">
        <v>232</v>
      </c>
      <c r="D353" s="192">
        <f t="shared" si="70"/>
        <v>0</v>
      </c>
      <c r="E353" s="192">
        <f t="shared" si="71"/>
        <v>0</v>
      </c>
      <c r="F353" s="192">
        <f t="shared" si="72"/>
        <v>0</v>
      </c>
      <c r="G353" s="193">
        <f t="shared" si="73"/>
        <v>0</v>
      </c>
      <c r="H353" s="194">
        <v>0</v>
      </c>
      <c r="I353" s="194">
        <v>0</v>
      </c>
      <c r="J353" s="194">
        <v>0</v>
      </c>
      <c r="K353" s="193">
        <f t="shared" si="74"/>
        <v>0</v>
      </c>
      <c r="L353" s="194">
        <v>0</v>
      </c>
      <c r="M353" s="194">
        <v>0</v>
      </c>
      <c r="N353" s="194">
        <v>0</v>
      </c>
      <c r="O353" s="193">
        <f t="shared" si="75"/>
        <v>0</v>
      </c>
      <c r="P353" s="194">
        <v>0</v>
      </c>
      <c r="Q353" s="194">
        <v>0</v>
      </c>
      <c r="R353" s="194">
        <v>0</v>
      </c>
      <c r="S353" s="193">
        <f t="shared" si="76"/>
        <v>0</v>
      </c>
      <c r="T353" s="193">
        <f t="shared" si="77"/>
        <v>0</v>
      </c>
      <c r="U353" s="193">
        <f ca="1">OFFSET('Expenditure Study'!$B$7,'Operations Support'!$C353,'Operations Support'!$B353)*$G353</f>
        <v>0</v>
      </c>
      <c r="V353" s="199">
        <f ca="1">U353*'Expenditure Study'!$B$31</f>
        <v>0</v>
      </c>
      <c r="W353" s="199">
        <f ca="1">IF(A353=10298,1.51,1)*IF($B353&lt;3,$D353*'Expenditure Study'!$B$32*OFFSET('Expenditure Study'!$B$7,'Operations Support'!$C353,'Operations Support'!$B353),0)</f>
        <v>0</v>
      </c>
      <c r="X353" s="200">
        <f ca="1">W353*'Expenditure Study'!$B$31</f>
        <v>0</v>
      </c>
      <c r="Y353" s="199">
        <f ca="1">U353*'Expenditure Study'!$B$31</f>
        <v>0</v>
      </c>
      <c r="Z353" s="200">
        <f ca="1">W353*'Expenditure Study'!$B$31</f>
        <v>0</v>
      </c>
      <c r="AA353" s="195">
        <f t="shared" ca="1" si="78"/>
        <v>0</v>
      </c>
      <c r="AB353" s="195">
        <f t="shared" ca="1" si="79"/>
        <v>0</v>
      </c>
      <c r="AD353" s="196">
        <f>IFERROR($G353/SUMIF($A:$A,$A353,$G:$G)*SUMIF(Summary!$A$166:$A$242,$A353,Summary!$P$166:$P$242),0)</f>
        <v>0</v>
      </c>
      <c r="AE353" s="197">
        <f t="shared" ca="1" si="80"/>
        <v>0</v>
      </c>
      <c r="AF353" s="196">
        <f>IFERROR(G353/SUMIF(A:A,A353,G:G)*SUMIF(Summary!$A$166:$A$242,'Operations Support'!A353,Summary!$Q$166:$Q$242),0)</f>
        <v>0</v>
      </c>
      <c r="AG353" s="196">
        <f t="shared" ca="1" si="81"/>
        <v>0</v>
      </c>
      <c r="AI353" s="196">
        <f>IFERROR($G353/SUMIF($A:$A,$A353,$G:$G)*SUMIF(Summary!$A$247:$A$283,$A353,Summary!$P$247:$P$283),0)</f>
        <v>0</v>
      </c>
      <c r="AJ353" s="196">
        <f>IFERROR($G353/SUMIF($A:$A,$A353,$G:$G)*(SUMIF(Summary!$A$247:$A$283,$A353,Summary!$L$247:$L$283)+SUMIF(Summary!$A$297:$A$333,$A353,Summary!$L$297:$L$333))-AI353,0)</f>
        <v>0</v>
      </c>
      <c r="AK353" s="196">
        <f>IFERROR($G353/SUMIF($A:$A,$A353,$G:$G)*SUMIF(Summary!$A$247:$A$283,$A353,Summary!$Q$247:$Q$283),0)</f>
        <v>0</v>
      </c>
      <c r="AL353" s="196">
        <f>IFERROR($G353/SUMIF($A:$A,$A353,$G:$G)*(SUMIF(Summary!$A$247:$A$283,$A353,Summary!$L$247:$L$283)+SUMIF(Summary!$A$297:$A$333,$A353,Summary!$L$297:$L$333))-AK353,0)</f>
        <v>0</v>
      </c>
      <c r="AM353" s="198"/>
      <c r="AN353" s="196">
        <f t="shared" ca="1" si="82"/>
        <v>0</v>
      </c>
      <c r="AO353" s="196">
        <f t="shared" ca="1" si="83"/>
        <v>0</v>
      </c>
    </row>
    <row r="354" spans="1:41">
      <c r="A354" s="189">
        <v>3581</v>
      </c>
      <c r="B354" s="190">
        <v>2</v>
      </c>
      <c r="C354" s="191" t="s">
        <v>233</v>
      </c>
      <c r="D354" s="192">
        <f t="shared" si="70"/>
        <v>2442</v>
      </c>
      <c r="E354" s="192">
        <f t="shared" si="71"/>
        <v>2706</v>
      </c>
      <c r="F354" s="192">
        <f t="shared" si="72"/>
        <v>0</v>
      </c>
      <c r="G354" s="193">
        <f t="shared" si="73"/>
        <v>5148</v>
      </c>
      <c r="H354" s="194">
        <v>931</v>
      </c>
      <c r="I354" s="194">
        <v>1035</v>
      </c>
      <c r="J354" s="194">
        <v>0</v>
      </c>
      <c r="K354" s="193">
        <f t="shared" si="74"/>
        <v>1966</v>
      </c>
      <c r="L354" s="194">
        <v>974</v>
      </c>
      <c r="M354" s="194">
        <v>1332</v>
      </c>
      <c r="N354" s="194">
        <v>0</v>
      </c>
      <c r="O354" s="193">
        <f t="shared" si="75"/>
        <v>2306</v>
      </c>
      <c r="P354" s="194">
        <v>537</v>
      </c>
      <c r="Q354" s="194">
        <v>339</v>
      </c>
      <c r="R354" s="194">
        <v>0</v>
      </c>
      <c r="S354" s="193">
        <f t="shared" si="76"/>
        <v>876</v>
      </c>
      <c r="T354" s="193">
        <f t="shared" si="77"/>
        <v>171.6</v>
      </c>
      <c r="U354" s="193">
        <f ca="1">OFFSET('Expenditure Study'!$B$7,'Operations Support'!$C354,'Operations Support'!$B354)*$G354</f>
        <v>8288.2800000000007</v>
      </c>
      <c r="V354" s="199">
        <f ca="1">U354*'Expenditure Study'!$B$31</f>
        <v>489697.94576102402</v>
      </c>
      <c r="W354" s="199">
        <f ca="1">IF(A354=10298,1.51,1)*IF($B354&lt;3,$D354*'Expenditure Study'!$B$32*OFFSET('Expenditure Study'!$B$7,'Operations Support'!$C354,'Operations Support'!$B354),0)</f>
        <v>393.16200000000003</v>
      </c>
      <c r="X354" s="200">
        <f ca="1">W354*'Expenditure Study'!$B$31</f>
        <v>23229.261529689604</v>
      </c>
      <c r="Y354" s="199">
        <f ca="1">U354*'Expenditure Study'!$B$31</f>
        <v>489697.94576102402</v>
      </c>
      <c r="Z354" s="200">
        <f ca="1">W354*'Expenditure Study'!$B$31</f>
        <v>23229.261529689604</v>
      </c>
      <c r="AA354" s="195">
        <f t="shared" ca="1" si="78"/>
        <v>512927.20729071362</v>
      </c>
      <c r="AB354" s="195">
        <f t="shared" ca="1" si="79"/>
        <v>512927.20729071362</v>
      </c>
      <c r="AD354" s="196">
        <f>IFERROR($G354/SUMIF($A:$A,$A354,$G:$G)*SUMIF(Summary!$A$166:$A$242,$A354,Summary!$P$166:$P$242),0)</f>
        <v>179449.21168468884</v>
      </c>
      <c r="AE354" s="197">
        <f t="shared" ca="1" si="80"/>
        <v>333477.99560602475</v>
      </c>
      <c r="AF354" s="196">
        <f>IFERROR(G354/SUMIF(A:A,A354,G:G)*SUMIF(Summary!$A$166:$A$242,'Operations Support'!A354,Summary!$Q$166:$Q$242),0)</f>
        <v>179674.14416651701</v>
      </c>
      <c r="AG354" s="196">
        <f t="shared" ca="1" si="81"/>
        <v>333253.0631241966</v>
      </c>
      <c r="AI354" s="196">
        <f>IFERROR($G354/SUMIF($A:$A,$A354,$G:$G)*SUMIF(Summary!$A$247:$A$283,$A354,Summary!$P$247:$P$283),0)</f>
        <v>32727.05810612697</v>
      </c>
      <c r="AJ354" s="196">
        <f>IFERROR($G354/SUMIF($A:$A,$A354,$G:$G)*(SUMIF(Summary!$A$247:$A$283,$A354,Summary!$L$247:$L$283)+SUMIF(Summary!$A$297:$A$333,$A354,Summary!$L$297:$L$333))-AI354,0)</f>
        <v>57665.782190829595</v>
      </c>
      <c r="AK354" s="196">
        <f>IFERROR($G354/SUMIF($A:$A,$A354,$G:$G)*SUMIF(Summary!$A$247:$A$283,$A354,Summary!$Q$247:$Q$283),0)</f>
        <v>32768.080177684904</v>
      </c>
      <c r="AL354" s="196">
        <f>IFERROR($G354/SUMIF($A:$A,$A354,$G:$G)*(SUMIF(Summary!$A$247:$A$283,$A354,Summary!$L$247:$L$283)+SUMIF(Summary!$A$297:$A$333,$A354,Summary!$L$297:$L$333))-AK354,0)</f>
        <v>57624.760119271661</v>
      </c>
      <c r="AM354" s="198"/>
      <c r="AN354" s="196">
        <f t="shared" ca="1" si="82"/>
        <v>391143.77779685432</v>
      </c>
      <c r="AO354" s="196">
        <f t="shared" ca="1" si="83"/>
        <v>390877.82324346824</v>
      </c>
    </row>
    <row r="355" spans="1:41">
      <c r="A355" s="189">
        <v>3581</v>
      </c>
      <c r="B355" s="190">
        <v>2</v>
      </c>
      <c r="C355" s="191" t="s">
        <v>234</v>
      </c>
      <c r="D355" s="192">
        <f t="shared" si="70"/>
        <v>0</v>
      </c>
      <c r="E355" s="192">
        <f t="shared" si="71"/>
        <v>0</v>
      </c>
      <c r="F355" s="192">
        <f t="shared" si="72"/>
        <v>0</v>
      </c>
      <c r="G355" s="193">
        <f t="shared" si="73"/>
        <v>0</v>
      </c>
      <c r="H355" s="194">
        <v>0</v>
      </c>
      <c r="I355" s="194">
        <v>0</v>
      </c>
      <c r="J355" s="194">
        <v>0</v>
      </c>
      <c r="K355" s="193">
        <f t="shared" si="74"/>
        <v>0</v>
      </c>
      <c r="L355" s="194">
        <v>0</v>
      </c>
      <c r="M355" s="194">
        <v>0</v>
      </c>
      <c r="N355" s="194">
        <v>0</v>
      </c>
      <c r="O355" s="193">
        <f t="shared" si="75"/>
        <v>0</v>
      </c>
      <c r="P355" s="194">
        <v>0</v>
      </c>
      <c r="Q355" s="194">
        <v>0</v>
      </c>
      <c r="R355" s="194">
        <v>0</v>
      </c>
      <c r="S355" s="193">
        <f t="shared" si="76"/>
        <v>0</v>
      </c>
      <c r="T355" s="193">
        <f t="shared" si="77"/>
        <v>0</v>
      </c>
      <c r="U355" s="193">
        <f ca="1">OFFSET('Expenditure Study'!$B$7,'Operations Support'!$C355,'Operations Support'!$B355)*$G355</f>
        <v>0</v>
      </c>
      <c r="V355" s="199">
        <f ca="1">U355*'Expenditure Study'!$B$31</f>
        <v>0</v>
      </c>
      <c r="W355" s="199">
        <f ca="1">IF(A355=10298,1.51,1)*IF($B355&lt;3,$D355*'Expenditure Study'!$B$32*OFFSET('Expenditure Study'!$B$7,'Operations Support'!$C355,'Operations Support'!$B355),0)</f>
        <v>0</v>
      </c>
      <c r="X355" s="200">
        <f ca="1">W355*'Expenditure Study'!$B$31</f>
        <v>0</v>
      </c>
      <c r="Y355" s="199">
        <f ca="1">U355*'Expenditure Study'!$B$31</f>
        <v>0</v>
      </c>
      <c r="Z355" s="200">
        <f ca="1">W355*'Expenditure Study'!$B$31</f>
        <v>0</v>
      </c>
      <c r="AA355" s="195">
        <f t="shared" ca="1" si="78"/>
        <v>0</v>
      </c>
      <c r="AB355" s="195">
        <f t="shared" ca="1" si="79"/>
        <v>0</v>
      </c>
      <c r="AD355" s="196">
        <f>IFERROR($G355/SUMIF($A:$A,$A355,$G:$G)*SUMIF(Summary!$A$166:$A$242,$A355,Summary!$P$166:$P$242),0)</f>
        <v>0</v>
      </c>
      <c r="AE355" s="197">
        <f t="shared" ca="1" si="80"/>
        <v>0</v>
      </c>
      <c r="AF355" s="196">
        <f>IFERROR(G355/SUMIF(A:A,A355,G:G)*SUMIF(Summary!$A$166:$A$242,'Operations Support'!A355,Summary!$Q$166:$Q$242),0)</f>
        <v>0</v>
      </c>
      <c r="AG355" s="196">
        <f t="shared" ca="1" si="81"/>
        <v>0</v>
      </c>
      <c r="AI355" s="196">
        <f>IFERROR($G355/SUMIF($A:$A,$A355,$G:$G)*SUMIF(Summary!$A$247:$A$283,$A355,Summary!$P$247:$P$283),0)</f>
        <v>0</v>
      </c>
      <c r="AJ355" s="196">
        <f>IFERROR($G355/SUMIF($A:$A,$A355,$G:$G)*(SUMIF(Summary!$A$247:$A$283,$A355,Summary!$L$247:$L$283)+SUMIF(Summary!$A$297:$A$333,$A355,Summary!$L$297:$L$333))-AI355,0)</f>
        <v>0</v>
      </c>
      <c r="AK355" s="196">
        <f>IFERROR($G355/SUMIF($A:$A,$A355,$G:$G)*SUMIF(Summary!$A$247:$A$283,$A355,Summary!$Q$247:$Q$283),0)</f>
        <v>0</v>
      </c>
      <c r="AL355" s="196">
        <f>IFERROR($G355/SUMIF($A:$A,$A355,$G:$G)*(SUMIF(Summary!$A$247:$A$283,$A355,Summary!$L$247:$L$283)+SUMIF(Summary!$A$297:$A$333,$A355,Summary!$L$297:$L$333))-AK355,0)</f>
        <v>0</v>
      </c>
      <c r="AM355" s="198"/>
      <c r="AN355" s="196">
        <f t="shared" ca="1" si="82"/>
        <v>0</v>
      </c>
      <c r="AO355" s="196">
        <f t="shared" ca="1" si="83"/>
        <v>0</v>
      </c>
    </row>
    <row r="356" spans="1:41">
      <c r="A356" s="189">
        <v>3581</v>
      </c>
      <c r="B356" s="190">
        <v>2</v>
      </c>
      <c r="C356" s="191" t="s">
        <v>235</v>
      </c>
      <c r="D356" s="192">
        <f t="shared" si="70"/>
        <v>11439.270000000011</v>
      </c>
      <c r="E356" s="192">
        <f t="shared" si="71"/>
        <v>11438.73</v>
      </c>
      <c r="F356" s="192">
        <f t="shared" si="72"/>
        <v>0</v>
      </c>
      <c r="G356" s="193">
        <f t="shared" si="73"/>
        <v>22878.000000000011</v>
      </c>
      <c r="H356" s="194">
        <v>4351</v>
      </c>
      <c r="I356" s="194">
        <v>4542</v>
      </c>
      <c r="J356" s="194">
        <v>0</v>
      </c>
      <c r="K356" s="193">
        <f t="shared" si="74"/>
        <v>8893</v>
      </c>
      <c r="L356" s="194">
        <v>4495.2700000000104</v>
      </c>
      <c r="M356" s="194">
        <v>3650.73</v>
      </c>
      <c r="N356" s="194">
        <v>0</v>
      </c>
      <c r="O356" s="193">
        <f t="shared" si="75"/>
        <v>8146.0000000000109</v>
      </c>
      <c r="P356" s="194">
        <v>2593</v>
      </c>
      <c r="Q356" s="194">
        <v>3246</v>
      </c>
      <c r="R356" s="194">
        <v>0</v>
      </c>
      <c r="S356" s="193">
        <f t="shared" si="76"/>
        <v>5839</v>
      </c>
      <c r="T356" s="193">
        <f t="shared" si="77"/>
        <v>762.60000000000036</v>
      </c>
      <c r="U356" s="193">
        <f ca="1">OFFSET('Expenditure Study'!$B$7,'Operations Support'!$C356,'Operations Support'!$B356)*$G356</f>
        <v>42781.860000000022</v>
      </c>
      <c r="V356" s="199">
        <f ca="1">U356*'Expenditure Study'!$B$31</f>
        <v>2527688.3693402894</v>
      </c>
      <c r="W356" s="199">
        <f ca="1">IF(A356=10298,1.51,1)*IF($B356&lt;3,$D356*'Expenditure Study'!$B$32*OFFSET('Expenditure Study'!$B$7,'Operations Support'!$C356,'Operations Support'!$B356),0)</f>
        <v>2139.1434900000027</v>
      </c>
      <c r="X356" s="200">
        <f ca="1">W356*'Expenditure Study'!$B$31</f>
        <v>126387.40157681315</v>
      </c>
      <c r="Y356" s="199">
        <f ca="1">U356*'Expenditure Study'!$B$31</f>
        <v>2527688.3693402894</v>
      </c>
      <c r="Z356" s="200">
        <f ca="1">W356*'Expenditure Study'!$B$31</f>
        <v>126387.40157681315</v>
      </c>
      <c r="AA356" s="195">
        <f t="shared" ca="1" si="78"/>
        <v>2654075.7709171027</v>
      </c>
      <c r="AB356" s="195">
        <f t="shared" ca="1" si="79"/>
        <v>2654075.7709171027</v>
      </c>
      <c r="AD356" s="196">
        <f>IFERROR($G356/SUMIF($A:$A,$A356,$G:$G)*SUMIF(Summary!$A$166:$A$242,$A356,Summary!$P$166:$P$242),0)</f>
        <v>797482.33584349521</v>
      </c>
      <c r="AE356" s="197">
        <f t="shared" ca="1" si="80"/>
        <v>1856593.4350736076</v>
      </c>
      <c r="AF356" s="196">
        <f>IFERROR(G356/SUMIF(A:A,A356,G:G)*SUMIF(Summary!$A$166:$A$242,'Operations Support'!A356,Summary!$Q$166:$Q$242),0)</f>
        <v>798481.9483763749</v>
      </c>
      <c r="AG356" s="196">
        <f t="shared" ca="1" si="81"/>
        <v>1855593.8225407279</v>
      </c>
      <c r="AI356" s="196">
        <f>IFERROR($G356/SUMIF($A:$A,$A356,$G:$G)*SUMIF(Summary!$A$247:$A$283,$A356,Summary!$P$247:$P$283),0)</f>
        <v>145440.87710799789</v>
      </c>
      <c r="AJ356" s="196">
        <f>IFERROR($G356/SUMIF($A:$A,$A356,$G:$G)*(SUMIF(Summary!$A$247:$A$283,$A356,Summary!$L$247:$L$283)+SUMIF(Summary!$A$297:$A$333,$A356,Summary!$L$297:$L$333))-AI356,0)</f>
        <v>256269.96211379179</v>
      </c>
      <c r="AK356" s="196">
        <f>IFERROR($G356/SUMIF($A:$A,$A356,$G:$G)*SUMIF(Summary!$A$247:$A$283,$A356,Summary!$Q$247:$Q$283),0)</f>
        <v>145623.18148894241</v>
      </c>
      <c r="AL356" s="196">
        <f>IFERROR($G356/SUMIF($A:$A,$A356,$G:$G)*(SUMIF(Summary!$A$247:$A$283,$A356,Summary!$L$247:$L$283)+SUMIF(Summary!$A$297:$A$333,$A356,Summary!$L$297:$L$333))-AK356,0)</f>
        <v>256087.65773284726</v>
      </c>
      <c r="AM356" s="198"/>
      <c r="AN356" s="196">
        <f t="shared" ca="1" si="82"/>
        <v>2112863.3971873992</v>
      </c>
      <c r="AO356" s="196">
        <f t="shared" ca="1" si="83"/>
        <v>2111681.4802735751</v>
      </c>
    </row>
    <row r="357" spans="1:41">
      <c r="A357" s="189">
        <v>3581</v>
      </c>
      <c r="B357" s="190">
        <v>2</v>
      </c>
      <c r="C357" s="191" t="s">
        <v>236</v>
      </c>
      <c r="D357" s="192">
        <f t="shared" si="70"/>
        <v>0</v>
      </c>
      <c r="E357" s="192">
        <f t="shared" si="71"/>
        <v>0</v>
      </c>
      <c r="F357" s="192">
        <f t="shared" si="72"/>
        <v>0</v>
      </c>
      <c r="G357" s="193">
        <f t="shared" si="73"/>
        <v>0</v>
      </c>
      <c r="H357" s="194">
        <v>0</v>
      </c>
      <c r="I357" s="194">
        <v>0</v>
      </c>
      <c r="J357" s="194">
        <v>0</v>
      </c>
      <c r="K357" s="193">
        <f t="shared" si="74"/>
        <v>0</v>
      </c>
      <c r="L357" s="194">
        <v>0</v>
      </c>
      <c r="M357" s="194">
        <v>0</v>
      </c>
      <c r="N357" s="194">
        <v>0</v>
      </c>
      <c r="O357" s="193">
        <f t="shared" si="75"/>
        <v>0</v>
      </c>
      <c r="P357" s="194">
        <v>0</v>
      </c>
      <c r="Q357" s="194">
        <v>0</v>
      </c>
      <c r="R357" s="194">
        <v>0</v>
      </c>
      <c r="S357" s="193">
        <f t="shared" si="76"/>
        <v>0</v>
      </c>
      <c r="T357" s="193">
        <f t="shared" si="77"/>
        <v>0</v>
      </c>
      <c r="U357" s="193">
        <f ca="1">OFFSET('Expenditure Study'!$B$7,'Operations Support'!$C357,'Operations Support'!$B357)*$G357</f>
        <v>0</v>
      </c>
      <c r="V357" s="199">
        <f ca="1">U357*'Expenditure Study'!$B$31</f>
        <v>0</v>
      </c>
      <c r="W357" s="199">
        <f ca="1">IF(A357=10298,1.51,1)*IF($B357&lt;3,$D357*'Expenditure Study'!$B$32*OFFSET('Expenditure Study'!$B$7,'Operations Support'!$C357,'Operations Support'!$B357),0)</f>
        <v>0</v>
      </c>
      <c r="X357" s="200">
        <f ca="1">W357*'Expenditure Study'!$B$31</f>
        <v>0</v>
      </c>
      <c r="Y357" s="199">
        <f ca="1">U357*'Expenditure Study'!$B$31</f>
        <v>0</v>
      </c>
      <c r="Z357" s="200">
        <f ca="1">W357*'Expenditure Study'!$B$31</f>
        <v>0</v>
      </c>
      <c r="AA357" s="195">
        <f t="shared" ca="1" si="78"/>
        <v>0</v>
      </c>
      <c r="AB357" s="195">
        <f t="shared" ca="1" si="79"/>
        <v>0</v>
      </c>
      <c r="AD357" s="196">
        <f>IFERROR($G357/SUMIF($A:$A,$A357,$G:$G)*SUMIF(Summary!$A$166:$A$242,$A357,Summary!$P$166:$P$242),0)</f>
        <v>0</v>
      </c>
      <c r="AE357" s="197">
        <f t="shared" ca="1" si="80"/>
        <v>0</v>
      </c>
      <c r="AF357" s="196">
        <f>IFERROR(G357/SUMIF(A:A,A357,G:G)*SUMIF(Summary!$A$166:$A$242,'Operations Support'!A357,Summary!$Q$166:$Q$242),0)</f>
        <v>0</v>
      </c>
      <c r="AG357" s="196">
        <f t="shared" ca="1" si="81"/>
        <v>0</v>
      </c>
      <c r="AI357" s="196">
        <f>IFERROR($G357/SUMIF($A:$A,$A357,$G:$G)*SUMIF(Summary!$A$247:$A$283,$A357,Summary!$P$247:$P$283),0)</f>
        <v>0</v>
      </c>
      <c r="AJ357" s="196">
        <f>IFERROR($G357/SUMIF($A:$A,$A357,$G:$G)*(SUMIF(Summary!$A$247:$A$283,$A357,Summary!$L$247:$L$283)+SUMIF(Summary!$A$297:$A$333,$A357,Summary!$L$297:$L$333))-AI357,0)</f>
        <v>0</v>
      </c>
      <c r="AK357" s="196">
        <f>IFERROR($G357/SUMIF($A:$A,$A357,$G:$G)*SUMIF(Summary!$A$247:$A$283,$A357,Summary!$Q$247:$Q$283),0)</f>
        <v>0</v>
      </c>
      <c r="AL357" s="196">
        <f>IFERROR($G357/SUMIF($A:$A,$A357,$G:$G)*(SUMIF(Summary!$A$247:$A$283,$A357,Summary!$L$247:$L$283)+SUMIF(Summary!$A$297:$A$333,$A357,Summary!$L$297:$L$333))-AK357,0)</f>
        <v>0</v>
      </c>
      <c r="AM357" s="198"/>
      <c r="AN357" s="196">
        <f t="shared" ca="1" si="82"/>
        <v>0</v>
      </c>
      <c r="AO357" s="196">
        <f t="shared" ca="1" si="83"/>
        <v>0</v>
      </c>
    </row>
    <row r="358" spans="1:41">
      <c r="A358" s="189">
        <v>3581</v>
      </c>
      <c r="B358" s="190">
        <v>2</v>
      </c>
      <c r="C358" s="191" t="s">
        <v>237</v>
      </c>
      <c r="D358" s="192">
        <f t="shared" si="70"/>
        <v>2.16</v>
      </c>
      <c r="E358" s="192">
        <f t="shared" si="71"/>
        <v>339.84000000000003</v>
      </c>
      <c r="F358" s="192">
        <f t="shared" si="72"/>
        <v>0</v>
      </c>
      <c r="G358" s="193">
        <f t="shared" si="73"/>
        <v>342.00000000000006</v>
      </c>
      <c r="H358" s="194">
        <v>0</v>
      </c>
      <c r="I358" s="194">
        <v>126</v>
      </c>
      <c r="J358" s="194">
        <v>0</v>
      </c>
      <c r="K358" s="193">
        <f t="shared" si="74"/>
        <v>126</v>
      </c>
      <c r="L358" s="194">
        <v>2.16</v>
      </c>
      <c r="M358" s="194">
        <v>213.84</v>
      </c>
      <c r="N358" s="194">
        <v>0</v>
      </c>
      <c r="O358" s="193">
        <f t="shared" si="75"/>
        <v>216</v>
      </c>
      <c r="P358" s="194">
        <v>0</v>
      </c>
      <c r="Q358" s="194">
        <v>0</v>
      </c>
      <c r="R358" s="194">
        <v>0</v>
      </c>
      <c r="S358" s="193">
        <f t="shared" si="76"/>
        <v>0</v>
      </c>
      <c r="T358" s="193">
        <f t="shared" si="77"/>
        <v>11.400000000000002</v>
      </c>
      <c r="U358" s="193">
        <f ca="1">OFFSET('Expenditure Study'!$B$7,'Operations Support'!$C358,'Operations Support'!$B358)*$G358</f>
        <v>800.28000000000009</v>
      </c>
      <c r="V358" s="199">
        <f ca="1">U358*'Expenditure Study'!$B$31</f>
        <v>47283.087930624009</v>
      </c>
      <c r="W358" s="199">
        <f ca="1">IF(A358=10298,1.51,1)*IF($B358&lt;3,$D358*'Expenditure Study'!$B$32*OFFSET('Expenditure Study'!$B$7,'Operations Support'!$C358,'Operations Support'!$B358),0)</f>
        <v>0.50544</v>
      </c>
      <c r="X358" s="200">
        <f ca="1">W358*'Expenditure Study'!$B$31</f>
        <v>29.863002903552001</v>
      </c>
      <c r="Y358" s="199">
        <f ca="1">U358*'Expenditure Study'!$B$31</f>
        <v>47283.087930624009</v>
      </c>
      <c r="Z358" s="200">
        <f ca="1">W358*'Expenditure Study'!$B$31</f>
        <v>29.863002903552001</v>
      </c>
      <c r="AA358" s="195">
        <f t="shared" ca="1" si="78"/>
        <v>47312.950933527558</v>
      </c>
      <c r="AB358" s="195">
        <f t="shared" ca="1" si="79"/>
        <v>47312.950933527558</v>
      </c>
      <c r="AD358" s="196">
        <f>IFERROR($G358/SUMIF($A:$A,$A358,$G:$G)*SUMIF(Summary!$A$166:$A$242,$A358,Summary!$P$166:$P$242),0)</f>
        <v>11921.451125905904</v>
      </c>
      <c r="AE358" s="197">
        <f t="shared" ca="1" si="80"/>
        <v>35391.499807621658</v>
      </c>
      <c r="AF358" s="196">
        <f>IFERROR(G358/SUMIF(A:A,A358,G:G)*SUMIF(Summary!$A$166:$A$242,'Operations Support'!A358,Summary!$Q$166:$Q$242),0)</f>
        <v>11936.394192880503</v>
      </c>
      <c r="AG358" s="196">
        <f t="shared" ca="1" si="81"/>
        <v>35376.556740647051</v>
      </c>
      <c r="AI358" s="196">
        <f>IFERROR($G358/SUMIF($A:$A,$A358,$G:$G)*SUMIF(Summary!$A$247:$A$283,$A358,Summary!$P$247:$P$283),0)</f>
        <v>2174.1751888685753</v>
      </c>
      <c r="AJ358" s="196">
        <f>IFERROR($G358/SUMIF($A:$A,$A358,$G:$G)*(SUMIF(Summary!$A$247:$A$283,$A358,Summary!$L$247:$L$283)+SUMIF(Summary!$A$297:$A$333,$A358,Summary!$L$297:$L$333))-AI358,0)</f>
        <v>3830.9435721180503</v>
      </c>
      <c r="AK358" s="196">
        <f>IFERROR($G358/SUMIF($A:$A,$A358,$G:$G)*SUMIF(Summary!$A$247:$A$283,$A358,Summary!$Q$247:$Q$283),0)</f>
        <v>2176.9004313846617</v>
      </c>
      <c r="AL358" s="196">
        <f>IFERROR($G358/SUMIF($A:$A,$A358,$G:$G)*(SUMIF(Summary!$A$247:$A$283,$A358,Summary!$L$247:$L$283)+SUMIF(Summary!$A$297:$A$333,$A358,Summary!$L$297:$L$333))-AK358,0)</f>
        <v>3828.2183296019639</v>
      </c>
      <c r="AM358" s="198"/>
      <c r="AN358" s="196">
        <f t="shared" ca="1" si="82"/>
        <v>39222.443379739707</v>
      </c>
      <c r="AO358" s="196">
        <f t="shared" ca="1" si="83"/>
        <v>39204.775070249016</v>
      </c>
    </row>
    <row r="359" spans="1:41" s="201" customFormat="1">
      <c r="A359" s="189">
        <v>3581</v>
      </c>
      <c r="B359" s="190">
        <v>2</v>
      </c>
      <c r="C359" s="191" t="s">
        <v>238</v>
      </c>
      <c r="D359" s="192">
        <f t="shared" si="70"/>
        <v>555.29999999999995</v>
      </c>
      <c r="E359" s="192">
        <f t="shared" si="71"/>
        <v>332.7</v>
      </c>
      <c r="F359" s="192">
        <f t="shared" si="72"/>
        <v>0</v>
      </c>
      <c r="G359" s="193">
        <f t="shared" si="73"/>
        <v>888</v>
      </c>
      <c r="H359" s="194">
        <v>201</v>
      </c>
      <c r="I359" s="194">
        <v>144</v>
      </c>
      <c r="J359" s="194">
        <v>0</v>
      </c>
      <c r="K359" s="193">
        <f t="shared" si="74"/>
        <v>345</v>
      </c>
      <c r="L359" s="194">
        <v>297.3</v>
      </c>
      <c r="M359" s="194">
        <v>188.7</v>
      </c>
      <c r="N359" s="194">
        <v>0</v>
      </c>
      <c r="O359" s="193">
        <f t="shared" si="75"/>
        <v>486</v>
      </c>
      <c r="P359" s="194">
        <v>57</v>
      </c>
      <c r="Q359" s="194">
        <v>0</v>
      </c>
      <c r="R359" s="194">
        <v>0</v>
      </c>
      <c r="S359" s="193">
        <f t="shared" si="76"/>
        <v>57</v>
      </c>
      <c r="T359" s="193">
        <f t="shared" si="77"/>
        <v>29.6</v>
      </c>
      <c r="U359" s="193">
        <f ca="1">OFFSET('Expenditure Study'!$B$7,'Operations Support'!$C359,'Operations Support'!$B359)*$G359</f>
        <v>2131.1999999999998</v>
      </c>
      <c r="V359" s="199">
        <f ca="1">U359*'Expenditure Study'!$B$31</f>
        <v>125918.07492095999</v>
      </c>
      <c r="W359" s="199">
        <f ca="1">IF(A359=10298,1.51,1)*IF($B359&lt;3,$D359*'Expenditure Study'!$B$32*OFFSET('Expenditure Study'!$B$7,'Operations Support'!$C359,'Operations Support'!$B359),0)</f>
        <v>133.27199999999999</v>
      </c>
      <c r="X359" s="200">
        <f ca="1">W359*'Expenditure Study'!$B$31</f>
        <v>7874.1336715775997</v>
      </c>
      <c r="Y359" s="199">
        <f ca="1">U359*'Expenditure Study'!$B$31</f>
        <v>125918.07492095999</v>
      </c>
      <c r="Z359" s="200">
        <f ca="1">W359*'Expenditure Study'!$B$31</f>
        <v>7874.1336715775997</v>
      </c>
      <c r="AA359" s="195">
        <f t="shared" ca="1" si="78"/>
        <v>133792.20859253759</v>
      </c>
      <c r="AB359" s="195">
        <f t="shared" ca="1" si="79"/>
        <v>133792.20859253759</v>
      </c>
      <c r="AD359" s="196">
        <f>IFERROR($G359/SUMIF($A:$A,$A359,$G:$G)*SUMIF(Summary!$A$166:$A$242,$A359,Summary!$P$166:$P$242),0)</f>
        <v>30953.943274281988</v>
      </c>
      <c r="AE359" s="197">
        <f t="shared" ca="1" si="80"/>
        <v>102838.2653182556</v>
      </c>
      <c r="AF359" s="196">
        <f>IFERROR(G359/SUMIF(A:A,A359,G:G)*SUMIF(Summary!$A$166:$A$242,'Operations Support'!A359,Summary!$Q$166:$Q$242),0)</f>
        <v>30992.742816602</v>
      </c>
      <c r="AG359" s="196">
        <f t="shared" ca="1" si="81"/>
        <v>102799.46577593559</v>
      </c>
      <c r="AH359" s="180"/>
      <c r="AI359" s="196">
        <f>IFERROR($G359/SUMIF($A:$A,$A359,$G:$G)*SUMIF(Summary!$A$247:$A$283,$A359,Summary!$P$247:$P$283),0)</f>
        <v>5645.2268061850709</v>
      </c>
      <c r="AJ359" s="196">
        <f>IFERROR($G359/SUMIF($A:$A,$A359,$G:$G)*(SUMIF(Summary!$A$247:$A$283,$A359,Summary!$L$247:$L$283)+SUMIF(Summary!$A$297:$A$333,$A359,Summary!$L$297:$L$333))-AI359,0)</f>
        <v>9947.0113802363412</v>
      </c>
      <c r="AK359" s="196">
        <f>IFERROR($G359/SUMIF($A:$A,$A359,$G:$G)*SUMIF(Summary!$A$247:$A$283,$A359,Summary!$Q$247:$Q$283),0)</f>
        <v>5652.3028744724543</v>
      </c>
      <c r="AL359" s="196">
        <f>IFERROR($G359/SUMIF($A:$A,$A359,$G:$G)*(SUMIF(Summary!$A$247:$A$283,$A359,Summary!$L$247:$L$283)+SUMIF(Summary!$A$297:$A$333,$A359,Summary!$L$297:$L$333))-AK359,0)</f>
        <v>9939.935311948957</v>
      </c>
      <c r="AM359" s="198"/>
      <c r="AN359" s="196">
        <f t="shared" ca="1" si="82"/>
        <v>112785.27669849194</v>
      </c>
      <c r="AO359" s="196">
        <f t="shared" ca="1" si="83"/>
        <v>112739.40108788454</v>
      </c>
    </row>
    <row r="360" spans="1:41">
      <c r="A360" s="189">
        <v>3581</v>
      </c>
      <c r="B360" s="190">
        <v>2</v>
      </c>
      <c r="C360" s="191" t="s">
        <v>239</v>
      </c>
      <c r="D360" s="192">
        <f t="shared" si="70"/>
        <v>1990.7199999999993</v>
      </c>
      <c r="E360" s="192">
        <f t="shared" si="71"/>
        <v>6087.2799999999916</v>
      </c>
      <c r="F360" s="192">
        <f t="shared" si="72"/>
        <v>0</v>
      </c>
      <c r="G360" s="193">
        <f t="shared" si="73"/>
        <v>8077.9999999999909</v>
      </c>
      <c r="H360" s="194">
        <v>750.70999999999901</v>
      </c>
      <c r="I360" s="194">
        <v>2513.2899999999809</v>
      </c>
      <c r="J360" s="194">
        <v>0</v>
      </c>
      <c r="K360" s="193">
        <f t="shared" si="74"/>
        <v>3263.99999999998</v>
      </c>
      <c r="L360" s="194">
        <v>662.34000000000106</v>
      </c>
      <c r="M360" s="194">
        <v>2714.6600000000108</v>
      </c>
      <c r="N360" s="194">
        <v>0</v>
      </c>
      <c r="O360" s="193">
        <f t="shared" si="75"/>
        <v>3377.0000000000118</v>
      </c>
      <c r="P360" s="194">
        <v>577.66999999999905</v>
      </c>
      <c r="Q360" s="194">
        <v>859.33</v>
      </c>
      <c r="R360" s="194">
        <v>0</v>
      </c>
      <c r="S360" s="193">
        <f t="shared" si="76"/>
        <v>1436.9999999999991</v>
      </c>
      <c r="T360" s="193">
        <f t="shared" si="77"/>
        <v>269.26666666666637</v>
      </c>
      <c r="U360" s="193">
        <f ca="1">OFFSET('Expenditure Study'!$B$7,'Operations Support'!$C360,'Operations Support'!$B360)*$G360</f>
        <v>16802.239999999983</v>
      </c>
      <c r="V360" s="199">
        <f ca="1">U360*'Expenditure Study'!$B$31</f>
        <v>992729.78376499098</v>
      </c>
      <c r="W360" s="199">
        <f ca="1">IF(A360=10298,1.51,1)*IF($B360&lt;3,$D360*'Expenditure Study'!$B$32*OFFSET('Expenditure Study'!$B$7,'Operations Support'!$C360,'Operations Support'!$B360),0)</f>
        <v>414.06975999999992</v>
      </c>
      <c r="X360" s="200">
        <f ca="1">W360*'Expenditure Study'!$B$31</f>
        <v>24464.558493892604</v>
      </c>
      <c r="Y360" s="199">
        <f ca="1">U360*'Expenditure Study'!$B$31</f>
        <v>992729.78376499098</v>
      </c>
      <c r="Z360" s="200">
        <f ca="1">W360*'Expenditure Study'!$B$31</f>
        <v>24464.558493892604</v>
      </c>
      <c r="AA360" s="195">
        <f t="shared" ca="1" si="78"/>
        <v>1017194.3422588836</v>
      </c>
      <c r="AB360" s="195">
        <f t="shared" ca="1" si="79"/>
        <v>1017194.3422588836</v>
      </c>
      <c r="AD360" s="196">
        <f>IFERROR($G360/SUMIF($A:$A,$A360,$G:$G)*SUMIF(Summary!$A$166:$A$242,$A360,Summary!$P$166:$P$242),0)</f>
        <v>281583.28127212799</v>
      </c>
      <c r="AE360" s="197">
        <f t="shared" ca="1" si="80"/>
        <v>735611.06098675565</v>
      </c>
      <c r="AF360" s="196">
        <f>IFERROR(G360/SUMIF(A:A,A360,G:G)*SUMIF(Summary!$A$166:$A$242,'Operations Support'!A360,Summary!$Q$166:$Q$242),0)</f>
        <v>281936.23476634087</v>
      </c>
      <c r="AG360" s="196">
        <f t="shared" ca="1" si="81"/>
        <v>735258.10749254283</v>
      </c>
      <c r="AI360" s="196">
        <f>IFERROR($G360/SUMIF($A:$A,$A360,$G:$G)*SUMIF(Summary!$A$247:$A$283,$A360,Summary!$P$247:$P$283),0)</f>
        <v>51353.763671579909</v>
      </c>
      <c r="AJ360" s="196">
        <f>IFERROR($G360/SUMIF($A:$A,$A360,$G:$G)*(SUMIF(Summary!$A$247:$A$283,$A360,Summary!$L$247:$L$283)+SUMIF(Summary!$A$297:$A$333,$A360,Summary!$L$297:$L$333))-AI360,0)</f>
        <v>90486.439109852538</v>
      </c>
      <c r="AK360" s="196">
        <f>IFERROR($G360/SUMIF($A:$A,$A360,$G:$G)*SUMIF(Summary!$A$247:$A$283,$A360,Summary!$Q$247:$Q$283),0)</f>
        <v>51418.133581068061</v>
      </c>
      <c r="AL360" s="196">
        <f>IFERROR($G360/SUMIF($A:$A,$A360,$G:$G)*(SUMIF(Summary!$A$247:$A$283,$A360,Summary!$L$247:$L$283)+SUMIF(Summary!$A$297:$A$333,$A360,Summary!$L$297:$L$333))-AK360,0)</f>
        <v>90422.069200364393</v>
      </c>
      <c r="AM360" s="198"/>
      <c r="AN360" s="196">
        <f t="shared" ca="1" si="82"/>
        <v>826097.50009660819</v>
      </c>
      <c r="AO360" s="196">
        <f t="shared" ca="1" si="83"/>
        <v>825680.17669290723</v>
      </c>
    </row>
    <row r="361" spans="1:41">
      <c r="A361" s="189">
        <v>3581</v>
      </c>
      <c r="B361" s="190">
        <v>2</v>
      </c>
      <c r="C361" s="191" t="s">
        <v>240</v>
      </c>
      <c r="D361" s="192">
        <f t="shared" si="70"/>
        <v>0</v>
      </c>
      <c r="E361" s="192">
        <f t="shared" si="71"/>
        <v>0</v>
      </c>
      <c r="F361" s="192">
        <f t="shared" si="72"/>
        <v>0</v>
      </c>
      <c r="G361" s="193">
        <f t="shared" si="73"/>
        <v>0</v>
      </c>
      <c r="H361" s="194">
        <v>0</v>
      </c>
      <c r="I361" s="194">
        <v>0</v>
      </c>
      <c r="J361" s="194">
        <v>0</v>
      </c>
      <c r="K361" s="193">
        <f t="shared" si="74"/>
        <v>0</v>
      </c>
      <c r="L361" s="194">
        <v>0</v>
      </c>
      <c r="M361" s="194">
        <v>0</v>
      </c>
      <c r="N361" s="194">
        <v>0</v>
      </c>
      <c r="O361" s="193">
        <f t="shared" si="75"/>
        <v>0</v>
      </c>
      <c r="P361" s="194">
        <v>0</v>
      </c>
      <c r="Q361" s="194">
        <v>0</v>
      </c>
      <c r="R361" s="194">
        <v>0</v>
      </c>
      <c r="S361" s="193">
        <f t="shared" si="76"/>
        <v>0</v>
      </c>
      <c r="T361" s="193">
        <f t="shared" si="77"/>
        <v>0</v>
      </c>
      <c r="U361" s="193">
        <f ca="1">OFFSET('Expenditure Study'!$B$7,'Operations Support'!$C361,'Operations Support'!$B361)*$G361</f>
        <v>0</v>
      </c>
      <c r="V361" s="199">
        <f ca="1">U361*'Expenditure Study'!$B$31</f>
        <v>0</v>
      </c>
      <c r="W361" s="199">
        <f ca="1">IF(A361=10298,1.51,1)*IF($B361&lt;3,$D361*'Expenditure Study'!$B$32*OFFSET('Expenditure Study'!$B$7,'Operations Support'!$C361,'Operations Support'!$B361),0)</f>
        <v>0</v>
      </c>
      <c r="X361" s="200">
        <f ca="1">W361*'Expenditure Study'!$B$31</f>
        <v>0</v>
      </c>
      <c r="Y361" s="199">
        <f ca="1">U361*'Expenditure Study'!$B$31</f>
        <v>0</v>
      </c>
      <c r="Z361" s="200">
        <f ca="1">W361*'Expenditure Study'!$B$31</f>
        <v>0</v>
      </c>
      <c r="AA361" s="195">
        <f t="shared" ca="1" si="78"/>
        <v>0</v>
      </c>
      <c r="AB361" s="195">
        <f t="shared" ca="1" si="79"/>
        <v>0</v>
      </c>
      <c r="AD361" s="196">
        <f>IFERROR($G361/SUMIF($A:$A,$A361,$G:$G)*SUMIF(Summary!$A$166:$A$242,$A361,Summary!$P$166:$P$242),0)</f>
        <v>0</v>
      </c>
      <c r="AE361" s="197">
        <f t="shared" ca="1" si="80"/>
        <v>0</v>
      </c>
      <c r="AF361" s="196">
        <f>IFERROR(G361/SUMIF(A:A,A361,G:G)*SUMIF(Summary!$A$166:$A$242,'Operations Support'!A361,Summary!$Q$166:$Q$242),0)</f>
        <v>0</v>
      </c>
      <c r="AG361" s="196">
        <f t="shared" ca="1" si="81"/>
        <v>0</v>
      </c>
      <c r="AI361" s="196">
        <f>IFERROR($G361/SUMIF($A:$A,$A361,$G:$G)*SUMIF(Summary!$A$247:$A$283,$A361,Summary!$P$247:$P$283),0)</f>
        <v>0</v>
      </c>
      <c r="AJ361" s="196">
        <f>IFERROR($G361/SUMIF($A:$A,$A361,$G:$G)*(SUMIF(Summary!$A$247:$A$283,$A361,Summary!$L$247:$L$283)+SUMIF(Summary!$A$297:$A$333,$A361,Summary!$L$297:$L$333))-AI361,0)</f>
        <v>0</v>
      </c>
      <c r="AK361" s="196">
        <f>IFERROR($G361/SUMIF($A:$A,$A361,$G:$G)*SUMIF(Summary!$A$247:$A$283,$A361,Summary!$Q$247:$Q$283),0)</f>
        <v>0</v>
      </c>
      <c r="AL361" s="196">
        <f>IFERROR($G361/SUMIF($A:$A,$A361,$G:$G)*(SUMIF(Summary!$A$247:$A$283,$A361,Summary!$L$247:$L$283)+SUMIF(Summary!$A$297:$A$333,$A361,Summary!$L$297:$L$333))-AK361,0)</f>
        <v>0</v>
      </c>
      <c r="AM361" s="198"/>
      <c r="AN361" s="196">
        <f t="shared" ca="1" si="82"/>
        <v>0</v>
      </c>
      <c r="AO361" s="196">
        <f t="shared" ca="1" si="83"/>
        <v>0</v>
      </c>
    </row>
    <row r="362" spans="1:41">
      <c r="A362" s="189">
        <v>3581</v>
      </c>
      <c r="B362" s="190">
        <v>3</v>
      </c>
      <c r="C362" s="191" t="s">
        <v>220</v>
      </c>
      <c r="D362" s="192">
        <f t="shared" si="70"/>
        <v>9051.2999999999993</v>
      </c>
      <c r="E362" s="192">
        <f t="shared" si="71"/>
        <v>6938.7</v>
      </c>
      <c r="F362" s="192">
        <f t="shared" si="72"/>
        <v>0</v>
      </c>
      <c r="G362" s="193">
        <f t="shared" si="73"/>
        <v>15990</v>
      </c>
      <c r="H362" s="194">
        <v>3570</v>
      </c>
      <c r="I362" s="194">
        <v>2262</v>
      </c>
      <c r="J362" s="194">
        <v>0</v>
      </c>
      <c r="K362" s="193">
        <f t="shared" si="74"/>
        <v>5832</v>
      </c>
      <c r="L362" s="194">
        <v>3087.3</v>
      </c>
      <c r="M362" s="194">
        <v>2021.7</v>
      </c>
      <c r="N362" s="194">
        <v>0</v>
      </c>
      <c r="O362" s="193">
        <f t="shared" si="75"/>
        <v>5109</v>
      </c>
      <c r="P362" s="194">
        <v>2394</v>
      </c>
      <c r="Q362" s="194">
        <v>2655</v>
      </c>
      <c r="R362" s="194">
        <v>0</v>
      </c>
      <c r="S362" s="193">
        <f t="shared" si="76"/>
        <v>5049</v>
      </c>
      <c r="T362" s="193">
        <f t="shared" si="77"/>
        <v>666.25</v>
      </c>
      <c r="U362" s="193">
        <f ca="1">OFFSET('Expenditure Study'!$B$7,'Operations Support'!$C362,'Operations Support'!$B362)*$G362</f>
        <v>71315.399999999994</v>
      </c>
      <c r="V362" s="199">
        <f ca="1">U362*'Expenditure Study'!$B$31</f>
        <v>4213540.6720243199</v>
      </c>
      <c r="W362" s="199">
        <f ca="1">IF(A362=10298,1.51,1)*IF($B362&lt;3,$D362*'Expenditure Study'!$B$32*OFFSET('Expenditure Study'!$B$7,'Operations Support'!$C362,'Operations Support'!$B362),0)</f>
        <v>0</v>
      </c>
      <c r="X362" s="200">
        <f ca="1">W362*'Expenditure Study'!$B$31</f>
        <v>0</v>
      </c>
      <c r="Y362" s="199">
        <f ca="1">U362*'Expenditure Study'!$B$31</f>
        <v>4213540.6720243199</v>
      </c>
      <c r="Z362" s="200">
        <f ca="1">W362*'Expenditure Study'!$B$31</f>
        <v>0</v>
      </c>
      <c r="AA362" s="195">
        <f t="shared" ca="1" si="78"/>
        <v>4213540.6720243199</v>
      </c>
      <c r="AB362" s="195">
        <f t="shared" ca="1" si="79"/>
        <v>4213540.6720243199</v>
      </c>
      <c r="AD362" s="196">
        <f>IFERROR($G362/SUMIF($A:$A,$A362,$G:$G)*SUMIF(Summary!$A$166:$A$242,$A362,Summary!$P$166:$P$242),0)</f>
        <v>557380.12720244261</v>
      </c>
      <c r="AE362" s="197">
        <f t="shared" ca="1" si="80"/>
        <v>3656160.544821877</v>
      </c>
      <c r="AF362" s="196">
        <f>IFERROR(G362/SUMIF(A:A,A362,G:G)*SUMIF(Summary!$A$166:$A$242,'Operations Support'!A362,Summary!$Q$166:$Q$242),0)</f>
        <v>558078.78112327249</v>
      </c>
      <c r="AG362" s="196">
        <f t="shared" ca="1" si="81"/>
        <v>3655461.8909010473</v>
      </c>
      <c r="AI362" s="196">
        <f>IFERROR($G362/SUMIF($A:$A,$A362,$G:$G)*SUMIF(Summary!$A$247:$A$283,$A362,Summary!$P$247:$P$283),0)</f>
        <v>101652.22593569741</v>
      </c>
      <c r="AJ362" s="196">
        <f>IFERROR($G362/SUMIF($A:$A,$A362,$G:$G)*(SUMIF(Summary!$A$247:$A$283,$A362,Summary!$L$247:$L$283)+SUMIF(Summary!$A$297:$A$333,$A362,Summary!$L$297:$L$333))-AI362,0)</f>
        <v>179113.41438060705</v>
      </c>
      <c r="AK362" s="196">
        <f>IFERROR($G362/SUMIF($A:$A,$A362,$G:$G)*SUMIF(Summary!$A$247:$A$283,$A362,Summary!$Q$247:$Q$283),0)</f>
        <v>101779.64297614251</v>
      </c>
      <c r="AL362" s="196">
        <f>IFERROR($G362/SUMIF($A:$A,$A362,$G:$G)*(SUMIF(Summary!$A$247:$A$283,$A362,Summary!$L$247:$L$283)+SUMIF(Summary!$A$297:$A$333,$A362,Summary!$L$297:$L$333))-AK362,0)</f>
        <v>178985.99734016194</v>
      </c>
      <c r="AM362" s="198"/>
      <c r="AN362" s="196">
        <f t="shared" ca="1" si="82"/>
        <v>3835273.9592024842</v>
      </c>
      <c r="AO362" s="196">
        <f t="shared" ca="1" si="83"/>
        <v>3834447.8882412091</v>
      </c>
    </row>
    <row r="363" spans="1:41">
      <c r="A363" s="189">
        <v>3581</v>
      </c>
      <c r="B363" s="190">
        <v>3</v>
      </c>
      <c r="C363" s="191" t="s">
        <v>221</v>
      </c>
      <c r="D363" s="192">
        <f t="shared" si="70"/>
        <v>8263</v>
      </c>
      <c r="E363" s="192">
        <f t="shared" si="71"/>
        <v>4167</v>
      </c>
      <c r="F363" s="192">
        <f t="shared" si="72"/>
        <v>0</v>
      </c>
      <c r="G363" s="193">
        <f t="shared" si="73"/>
        <v>12430</v>
      </c>
      <c r="H363" s="194">
        <v>3032</v>
      </c>
      <c r="I363" s="194">
        <v>2094</v>
      </c>
      <c r="J363" s="194">
        <v>0</v>
      </c>
      <c r="K363" s="193">
        <f t="shared" si="74"/>
        <v>5126</v>
      </c>
      <c r="L363" s="194">
        <v>3210</v>
      </c>
      <c r="M363" s="194">
        <v>1245</v>
      </c>
      <c r="N363" s="194">
        <v>0</v>
      </c>
      <c r="O363" s="193">
        <f t="shared" si="75"/>
        <v>4455</v>
      </c>
      <c r="P363" s="194">
        <v>2021</v>
      </c>
      <c r="Q363" s="194">
        <v>828</v>
      </c>
      <c r="R363" s="194">
        <v>0</v>
      </c>
      <c r="S363" s="193">
        <f t="shared" si="76"/>
        <v>2849</v>
      </c>
      <c r="T363" s="193">
        <f t="shared" si="77"/>
        <v>517.91666666666663</v>
      </c>
      <c r="U363" s="193">
        <f ca="1">OFFSET('Expenditure Study'!$B$7,'Operations Support'!$C363,'Operations Support'!$B363)*$G363</f>
        <v>87010</v>
      </c>
      <c r="V363" s="199">
        <f ca="1">U363*'Expenditure Study'!$B$31</f>
        <v>5140827.5614080001</v>
      </c>
      <c r="W363" s="199">
        <f ca="1">IF(A363=10298,1.51,1)*IF($B363&lt;3,$D363*'Expenditure Study'!$B$32*OFFSET('Expenditure Study'!$B$7,'Operations Support'!$C363,'Operations Support'!$B363),0)</f>
        <v>0</v>
      </c>
      <c r="X363" s="200">
        <f ca="1">W363*'Expenditure Study'!$B$31</f>
        <v>0</v>
      </c>
      <c r="Y363" s="199">
        <f ca="1">U363*'Expenditure Study'!$B$31</f>
        <v>5140827.5614080001</v>
      </c>
      <c r="Z363" s="200">
        <f ca="1">W363*'Expenditure Study'!$B$31</f>
        <v>0</v>
      </c>
      <c r="AA363" s="195">
        <f t="shared" ca="1" si="78"/>
        <v>5140827.5614080001</v>
      </c>
      <c r="AB363" s="195">
        <f t="shared" ca="1" si="79"/>
        <v>5140827.5614080001</v>
      </c>
      <c r="AD363" s="196">
        <f>IFERROR($G363/SUMIF($A:$A,$A363,$G:$G)*SUMIF(Summary!$A$166:$A$242,$A363,Summary!$P$166:$P$242),0)</f>
        <v>433285.48975149234</v>
      </c>
      <c r="AE363" s="197">
        <f t="shared" ca="1" si="80"/>
        <v>4707542.0716565074</v>
      </c>
      <c r="AF363" s="196">
        <f>IFERROR(G363/SUMIF(A:A,A363,G:G)*SUMIF(Summary!$A$166:$A$242,'Operations Support'!A363,Summary!$Q$166:$Q$242),0)</f>
        <v>433828.59595761588</v>
      </c>
      <c r="AG363" s="196">
        <f t="shared" ca="1" si="81"/>
        <v>4706998.9654503837</v>
      </c>
      <c r="AI363" s="196">
        <f>IFERROR($G363/SUMIF($A:$A,$A363,$G:$G)*SUMIF(Summary!$A$247:$A$283,$A363,Summary!$P$247:$P$283),0)</f>
        <v>79020.460811802302</v>
      </c>
      <c r="AJ363" s="196">
        <f>IFERROR($G363/SUMIF($A:$A,$A363,$G:$G)*(SUMIF(Summary!$A$247:$A$283,$A363,Summary!$L$247:$L$283)+SUMIF(Summary!$A$297:$A$333,$A363,Summary!$L$297:$L$333))-AI363,0)</f>
        <v>139235.75614452446</v>
      </c>
      <c r="AK363" s="196">
        <f>IFERROR($G363/SUMIF($A:$A,$A363,$G:$G)*SUMIF(Summary!$A$247:$A$283,$A363,Summary!$Q$247:$Q$283),0)</f>
        <v>79119.509830734925</v>
      </c>
      <c r="AL363" s="196">
        <f>IFERROR($G363/SUMIF($A:$A,$A363,$G:$G)*(SUMIF(Summary!$A$247:$A$283,$A363,Summary!$L$247:$L$283)+SUMIF(Summary!$A$297:$A$333,$A363,Summary!$L$297:$L$333))-AK363,0)</f>
        <v>139136.70712559184</v>
      </c>
      <c r="AM363" s="198"/>
      <c r="AN363" s="196">
        <f t="shared" ca="1" si="82"/>
        <v>4846777.827801032</v>
      </c>
      <c r="AO363" s="196">
        <f t="shared" ca="1" si="83"/>
        <v>4846135.6725759758</v>
      </c>
    </row>
    <row r="364" spans="1:41">
      <c r="A364" s="189">
        <v>3581</v>
      </c>
      <c r="B364" s="190">
        <v>3</v>
      </c>
      <c r="C364" s="191" t="s">
        <v>222</v>
      </c>
      <c r="D364" s="192">
        <f t="shared" si="70"/>
        <v>328</v>
      </c>
      <c r="E364" s="192">
        <f t="shared" si="71"/>
        <v>8</v>
      </c>
      <c r="F364" s="192">
        <f t="shared" si="72"/>
        <v>0</v>
      </c>
      <c r="G364" s="193">
        <f t="shared" si="73"/>
        <v>336</v>
      </c>
      <c r="H364" s="194">
        <v>157</v>
      </c>
      <c r="I364" s="194">
        <v>4</v>
      </c>
      <c r="J364" s="194">
        <v>0</v>
      </c>
      <c r="K364" s="193">
        <f t="shared" si="74"/>
        <v>161</v>
      </c>
      <c r="L364" s="194">
        <v>138</v>
      </c>
      <c r="M364" s="194">
        <v>4</v>
      </c>
      <c r="N364" s="194">
        <v>0</v>
      </c>
      <c r="O364" s="193">
        <f t="shared" si="75"/>
        <v>142</v>
      </c>
      <c r="P364" s="194">
        <v>33</v>
      </c>
      <c r="Q364" s="194">
        <v>0</v>
      </c>
      <c r="R364" s="194">
        <v>0</v>
      </c>
      <c r="S364" s="193">
        <f t="shared" si="76"/>
        <v>33</v>
      </c>
      <c r="T364" s="193">
        <f t="shared" si="77"/>
        <v>14</v>
      </c>
      <c r="U364" s="193">
        <f ca="1">OFFSET('Expenditure Study'!$B$7,'Operations Support'!$C364,'Operations Support'!$B364)*$G364</f>
        <v>2523.36</v>
      </c>
      <c r="V364" s="199">
        <f ca="1">U364*'Expenditure Study'!$B$31</f>
        <v>149088.13510348802</v>
      </c>
      <c r="W364" s="199">
        <f ca="1">IF(A364=10298,1.51,1)*IF($B364&lt;3,$D364*'Expenditure Study'!$B$32*OFFSET('Expenditure Study'!$B$7,'Operations Support'!$C364,'Operations Support'!$B364),0)</f>
        <v>0</v>
      </c>
      <c r="X364" s="200">
        <f ca="1">W364*'Expenditure Study'!$B$31</f>
        <v>0</v>
      </c>
      <c r="Y364" s="199">
        <f ca="1">U364*'Expenditure Study'!$B$31</f>
        <v>149088.13510348802</v>
      </c>
      <c r="Z364" s="200">
        <f ca="1">W364*'Expenditure Study'!$B$31</f>
        <v>0</v>
      </c>
      <c r="AA364" s="195">
        <f t="shared" ca="1" si="78"/>
        <v>149088.13510348802</v>
      </c>
      <c r="AB364" s="195">
        <f t="shared" ca="1" si="79"/>
        <v>149088.13510348802</v>
      </c>
      <c r="AD364" s="196">
        <f>IFERROR($G364/SUMIF($A:$A,$A364,$G:$G)*SUMIF(Summary!$A$166:$A$242,$A364,Summary!$P$166:$P$242),0)</f>
        <v>11712.30286053913</v>
      </c>
      <c r="AE364" s="197">
        <f t="shared" ca="1" si="80"/>
        <v>137375.83224294888</v>
      </c>
      <c r="AF364" s="196">
        <f>IFERROR(G364/SUMIF(A:A,A364,G:G)*SUMIF(Summary!$A$166:$A$242,'Operations Support'!A364,Summary!$Q$166:$Q$242),0)</f>
        <v>11726.983768443999</v>
      </c>
      <c r="AG364" s="196">
        <f t="shared" ca="1" si="81"/>
        <v>137361.15133504401</v>
      </c>
      <c r="AI364" s="196">
        <f>IFERROR($G364/SUMIF($A:$A,$A364,$G:$G)*SUMIF(Summary!$A$247:$A$283,$A364,Summary!$P$247:$P$283),0)</f>
        <v>2136.0317645024593</v>
      </c>
      <c r="AJ364" s="196">
        <f>IFERROR($G364/SUMIF($A:$A,$A364,$G:$G)*(SUMIF(Summary!$A$247:$A$283,$A364,Summary!$L$247:$L$283)+SUMIF(Summary!$A$297:$A$333,$A364,Summary!$L$297:$L$333))-AI364,0)</f>
        <v>3763.7340357651015</v>
      </c>
      <c r="AK364" s="196">
        <f>IFERROR($G364/SUMIF($A:$A,$A364,$G:$G)*SUMIF(Summary!$A$247:$A$283,$A364,Summary!$Q$247:$Q$283),0)</f>
        <v>2138.709195746334</v>
      </c>
      <c r="AL364" s="196">
        <f>IFERROR($G364/SUMIF($A:$A,$A364,$G:$G)*(SUMIF(Summary!$A$247:$A$283,$A364,Summary!$L$247:$L$283)+SUMIF(Summary!$A$297:$A$333,$A364,Summary!$L$297:$L$333))-AK364,0)</f>
        <v>3761.0566045212267</v>
      </c>
      <c r="AM364" s="198"/>
      <c r="AN364" s="196">
        <f t="shared" ca="1" si="82"/>
        <v>141139.56627871399</v>
      </c>
      <c r="AO364" s="196">
        <f t="shared" ca="1" si="83"/>
        <v>141122.20793956524</v>
      </c>
    </row>
    <row r="365" spans="1:41">
      <c r="A365" s="189">
        <v>3581</v>
      </c>
      <c r="B365" s="190">
        <v>3</v>
      </c>
      <c r="C365" s="191" t="s">
        <v>223</v>
      </c>
      <c r="D365" s="192">
        <f t="shared" si="70"/>
        <v>22326</v>
      </c>
      <c r="E365" s="192">
        <f t="shared" si="71"/>
        <v>44400</v>
      </c>
      <c r="F365" s="192">
        <f t="shared" si="72"/>
        <v>0</v>
      </c>
      <c r="G365" s="193">
        <f t="shared" si="73"/>
        <v>66726</v>
      </c>
      <c r="H365" s="194">
        <v>7423</v>
      </c>
      <c r="I365" s="194">
        <v>17340</v>
      </c>
      <c r="J365" s="194">
        <v>0</v>
      </c>
      <c r="K365" s="193">
        <f t="shared" si="74"/>
        <v>24763</v>
      </c>
      <c r="L365" s="194">
        <v>7268</v>
      </c>
      <c r="M365" s="194">
        <v>14439</v>
      </c>
      <c r="N365" s="194">
        <v>0</v>
      </c>
      <c r="O365" s="193">
        <f t="shared" si="75"/>
        <v>21707</v>
      </c>
      <c r="P365" s="194">
        <v>7635</v>
      </c>
      <c r="Q365" s="194">
        <v>12621</v>
      </c>
      <c r="R365" s="194">
        <v>0</v>
      </c>
      <c r="S365" s="193">
        <f t="shared" si="76"/>
        <v>20256</v>
      </c>
      <c r="T365" s="193">
        <f t="shared" si="77"/>
        <v>2780.25</v>
      </c>
      <c r="U365" s="193">
        <f ca="1">OFFSET('Expenditure Study'!$B$7,'Operations Support'!$C365,'Operations Support'!$B365)*$G365</f>
        <v>149466.24000000002</v>
      </c>
      <c r="V365" s="199">
        <f ca="1">U365*'Expenditure Study'!$B$31</f>
        <v>8830940.8814161941</v>
      </c>
      <c r="W365" s="199">
        <f ca="1">IF(A365=10298,1.51,1)*IF($B365&lt;3,$D365*'Expenditure Study'!$B$32*OFFSET('Expenditure Study'!$B$7,'Operations Support'!$C365,'Operations Support'!$B365),0)</f>
        <v>0</v>
      </c>
      <c r="X365" s="200">
        <f ca="1">W365*'Expenditure Study'!$B$31</f>
        <v>0</v>
      </c>
      <c r="Y365" s="199">
        <f ca="1">U365*'Expenditure Study'!$B$31</f>
        <v>8830940.8814161941</v>
      </c>
      <c r="Z365" s="200">
        <f ca="1">W365*'Expenditure Study'!$B$31</f>
        <v>0</v>
      </c>
      <c r="AA365" s="195">
        <f t="shared" ca="1" si="78"/>
        <v>8830940.8814161941</v>
      </c>
      <c r="AB365" s="195">
        <f t="shared" ca="1" si="79"/>
        <v>8830940.8814161941</v>
      </c>
      <c r="AD365" s="196">
        <f>IFERROR($G365/SUMIF($A:$A,$A365,$G:$G)*SUMIF(Summary!$A$166:$A$242,$A365,Summary!$P$166:$P$242),0)</f>
        <v>2325937.8591438518</v>
      </c>
      <c r="AE365" s="197">
        <f t="shared" ca="1" si="80"/>
        <v>6505003.0222723428</v>
      </c>
      <c r="AF365" s="196">
        <f>IFERROR(G365/SUMIF(A:A,A365,G:G)*SUMIF(Summary!$A$166:$A$242,'Operations Support'!A365,Summary!$Q$166:$Q$242),0)</f>
        <v>2328853.3301583165</v>
      </c>
      <c r="AG365" s="196">
        <f t="shared" ca="1" si="81"/>
        <v>6502087.5512578776</v>
      </c>
      <c r="AI365" s="196">
        <f>IFERROR($G365/SUMIF($A:$A,$A365,$G:$G)*SUMIF(Summary!$A$247:$A$283,$A365,Summary!$P$247:$P$283),0)</f>
        <v>424193.02237556881</v>
      </c>
      <c r="AJ365" s="196">
        <f>IFERROR($G365/SUMIF($A:$A,$A365,$G:$G)*(SUMIF(Summary!$A$247:$A$283,$A365,Summary!$L$247:$L$283)+SUMIF(Summary!$A$297:$A$333,$A365,Summary!$L$297:$L$333))-AI365,0)</f>
        <v>747437.25378113752</v>
      </c>
      <c r="AK365" s="196">
        <f>IFERROR($G365/SUMIF($A:$A,$A365,$G:$G)*SUMIF(Summary!$A$247:$A$283,$A365,Summary!$Q$247:$Q$283),0)</f>
        <v>424724.73153383902</v>
      </c>
      <c r="AL365" s="196">
        <f>IFERROR($G365/SUMIF($A:$A,$A365,$G:$G)*(SUMIF(Summary!$A$247:$A$283,$A365,Summary!$L$247:$L$283)+SUMIF(Summary!$A$297:$A$333,$A365,Summary!$L$297:$L$333))-AK365,0)</f>
        <v>746905.54462286725</v>
      </c>
      <c r="AM365" s="198"/>
      <c r="AN365" s="196">
        <f t="shared" ca="1" si="82"/>
        <v>7252440.2760534808</v>
      </c>
      <c r="AO365" s="196">
        <f t="shared" ca="1" si="83"/>
        <v>7248993.095880745</v>
      </c>
    </row>
    <row r="366" spans="1:41">
      <c r="A366" s="189">
        <v>3581</v>
      </c>
      <c r="B366" s="190">
        <v>3</v>
      </c>
      <c r="C366" s="191" t="s">
        <v>224</v>
      </c>
      <c r="D366" s="192">
        <f t="shared" si="70"/>
        <v>0</v>
      </c>
      <c r="E366" s="192">
        <f t="shared" si="71"/>
        <v>0</v>
      </c>
      <c r="F366" s="192">
        <f t="shared" si="72"/>
        <v>0</v>
      </c>
      <c r="G366" s="193">
        <f t="shared" si="73"/>
        <v>0</v>
      </c>
      <c r="H366" s="194">
        <v>0</v>
      </c>
      <c r="I366" s="194">
        <v>0</v>
      </c>
      <c r="J366" s="194">
        <v>0</v>
      </c>
      <c r="K366" s="193">
        <f t="shared" si="74"/>
        <v>0</v>
      </c>
      <c r="L366" s="194">
        <v>0</v>
      </c>
      <c r="M366" s="194">
        <v>0</v>
      </c>
      <c r="N366" s="194">
        <v>0</v>
      </c>
      <c r="O366" s="193">
        <f t="shared" si="75"/>
        <v>0</v>
      </c>
      <c r="P366" s="194">
        <v>0</v>
      </c>
      <c r="Q366" s="194">
        <v>0</v>
      </c>
      <c r="R366" s="194">
        <v>0</v>
      </c>
      <c r="S366" s="193">
        <f t="shared" si="76"/>
        <v>0</v>
      </c>
      <c r="T366" s="193">
        <f t="shared" si="77"/>
        <v>0</v>
      </c>
      <c r="U366" s="193">
        <f ca="1">OFFSET('Expenditure Study'!$B$7,'Operations Support'!$C366,'Operations Support'!$B366)*$G366</f>
        <v>0</v>
      </c>
      <c r="V366" s="199">
        <f ca="1">U366*'Expenditure Study'!$B$31</f>
        <v>0</v>
      </c>
      <c r="W366" s="199">
        <f ca="1">IF(A366=10298,1.51,1)*IF($B366&lt;3,$D366*'Expenditure Study'!$B$32*OFFSET('Expenditure Study'!$B$7,'Operations Support'!$C366,'Operations Support'!$B366),0)</f>
        <v>0</v>
      </c>
      <c r="X366" s="200">
        <f ca="1">W366*'Expenditure Study'!$B$31</f>
        <v>0</v>
      </c>
      <c r="Y366" s="199">
        <f ca="1">U366*'Expenditure Study'!$B$31</f>
        <v>0</v>
      </c>
      <c r="Z366" s="200">
        <f ca="1">W366*'Expenditure Study'!$B$31</f>
        <v>0</v>
      </c>
      <c r="AA366" s="195">
        <f t="shared" ca="1" si="78"/>
        <v>0</v>
      </c>
      <c r="AB366" s="195">
        <f t="shared" ca="1" si="79"/>
        <v>0</v>
      </c>
      <c r="AD366" s="196">
        <f>IFERROR($G366/SUMIF($A:$A,$A366,$G:$G)*SUMIF(Summary!$A$166:$A$242,$A366,Summary!$P$166:$P$242),0)</f>
        <v>0</v>
      </c>
      <c r="AE366" s="197">
        <f t="shared" ca="1" si="80"/>
        <v>0</v>
      </c>
      <c r="AF366" s="196">
        <f>IFERROR(G366/SUMIF(A:A,A366,G:G)*SUMIF(Summary!$A$166:$A$242,'Operations Support'!A366,Summary!$Q$166:$Q$242),0)</f>
        <v>0</v>
      </c>
      <c r="AG366" s="196">
        <f t="shared" ca="1" si="81"/>
        <v>0</v>
      </c>
      <c r="AI366" s="196">
        <f>IFERROR($G366/SUMIF($A:$A,$A366,$G:$G)*SUMIF(Summary!$A$247:$A$283,$A366,Summary!$P$247:$P$283),0)</f>
        <v>0</v>
      </c>
      <c r="AJ366" s="196">
        <f>IFERROR($G366/SUMIF($A:$A,$A366,$G:$G)*(SUMIF(Summary!$A$247:$A$283,$A366,Summary!$L$247:$L$283)+SUMIF(Summary!$A$297:$A$333,$A366,Summary!$L$297:$L$333))-AI366,0)</f>
        <v>0</v>
      </c>
      <c r="AK366" s="196">
        <f>IFERROR($G366/SUMIF($A:$A,$A366,$G:$G)*SUMIF(Summary!$A$247:$A$283,$A366,Summary!$Q$247:$Q$283),0)</f>
        <v>0</v>
      </c>
      <c r="AL366" s="196">
        <f>IFERROR($G366/SUMIF($A:$A,$A366,$G:$G)*(SUMIF(Summary!$A$247:$A$283,$A366,Summary!$L$247:$L$283)+SUMIF(Summary!$A$297:$A$333,$A366,Summary!$L$297:$L$333))-AK366,0)</f>
        <v>0</v>
      </c>
      <c r="AM366" s="198"/>
      <c r="AN366" s="196">
        <f t="shared" ca="1" si="82"/>
        <v>0</v>
      </c>
      <c r="AO366" s="196">
        <f t="shared" ca="1" si="83"/>
        <v>0</v>
      </c>
    </row>
    <row r="367" spans="1:41">
      <c r="A367" s="189">
        <v>3581</v>
      </c>
      <c r="B367" s="190">
        <v>3</v>
      </c>
      <c r="C367" s="191" t="s">
        <v>225</v>
      </c>
      <c r="D367" s="192">
        <f t="shared" si="70"/>
        <v>13921.369999999959</v>
      </c>
      <c r="E367" s="192">
        <f t="shared" si="71"/>
        <v>351.63</v>
      </c>
      <c r="F367" s="192">
        <f t="shared" si="72"/>
        <v>0</v>
      </c>
      <c r="G367" s="193">
        <f t="shared" si="73"/>
        <v>14272.999999999958</v>
      </c>
      <c r="H367" s="194">
        <v>5644</v>
      </c>
      <c r="I367" s="194">
        <v>135</v>
      </c>
      <c r="J367" s="194">
        <v>0</v>
      </c>
      <c r="K367" s="193">
        <f t="shared" si="74"/>
        <v>5779</v>
      </c>
      <c r="L367" s="194">
        <v>5112.3699999999599</v>
      </c>
      <c r="M367" s="194">
        <v>159.63</v>
      </c>
      <c r="N367" s="194">
        <v>0</v>
      </c>
      <c r="O367" s="193">
        <f t="shared" si="75"/>
        <v>5271.99999999996</v>
      </c>
      <c r="P367" s="194">
        <v>3165</v>
      </c>
      <c r="Q367" s="194">
        <v>57</v>
      </c>
      <c r="R367" s="194">
        <v>0</v>
      </c>
      <c r="S367" s="193">
        <f t="shared" si="76"/>
        <v>3222</v>
      </c>
      <c r="T367" s="193">
        <f t="shared" si="77"/>
        <v>594.70833333333155</v>
      </c>
      <c r="U367" s="193">
        <f ca="1">OFFSET('Expenditure Study'!$B$7,'Operations Support'!$C367,'Operations Support'!$B367)*$G367</f>
        <v>98626.429999999717</v>
      </c>
      <c r="V367" s="199">
        <f ca="1">U367*'Expenditure Study'!$B$31</f>
        <v>5827163.1953485273</v>
      </c>
      <c r="W367" s="199">
        <f ca="1">IF(A367=10298,1.51,1)*IF($B367&lt;3,$D367*'Expenditure Study'!$B$32*OFFSET('Expenditure Study'!$B$7,'Operations Support'!$C367,'Operations Support'!$B367),0)</f>
        <v>0</v>
      </c>
      <c r="X367" s="200">
        <f ca="1">W367*'Expenditure Study'!$B$31</f>
        <v>0</v>
      </c>
      <c r="Y367" s="199">
        <f ca="1">U367*'Expenditure Study'!$B$31</f>
        <v>5827163.1953485273</v>
      </c>
      <c r="Z367" s="200">
        <f ca="1">W367*'Expenditure Study'!$B$31</f>
        <v>0</v>
      </c>
      <c r="AA367" s="195">
        <f t="shared" ca="1" si="78"/>
        <v>5827163.1953485273</v>
      </c>
      <c r="AB367" s="195">
        <f t="shared" ca="1" si="79"/>
        <v>5827163.1953485273</v>
      </c>
      <c r="AD367" s="196">
        <f>IFERROR($G367/SUMIF($A:$A,$A367,$G:$G)*SUMIF(Summary!$A$166:$A$242,$A367,Summary!$P$166:$P$242),0)</f>
        <v>497528.86526331707</v>
      </c>
      <c r="AE367" s="197">
        <f t="shared" ca="1" si="80"/>
        <v>5329634.3300852105</v>
      </c>
      <c r="AF367" s="196">
        <f>IFERROR(G367/SUMIF(A:A,A367,G:G)*SUMIF(Summary!$A$166:$A$242,'Operations Support'!A367,Summary!$Q$166:$Q$242),0)</f>
        <v>498152.49799702602</v>
      </c>
      <c r="AG367" s="196">
        <f t="shared" ca="1" si="81"/>
        <v>5329010.6973515013</v>
      </c>
      <c r="AI367" s="196">
        <f>IFERROR($G367/SUMIF($A:$A,$A367,$G:$G)*SUMIF(Summary!$A$247:$A$283,$A367,Summary!$P$247:$P$283),0)</f>
        <v>90736.849329593795</v>
      </c>
      <c r="AJ367" s="196">
        <f>IFERROR($G367/SUMIF($A:$A,$A367,$G:$G)*(SUMIF(Summary!$A$247:$A$283,$A367,Summary!$L$247:$L$283)+SUMIF(Summary!$A$297:$A$333,$A367,Summary!$L$297:$L$333))-AI367,0)</f>
        <v>159880.28539427125</v>
      </c>
      <c r="AK367" s="196">
        <f>IFERROR($G367/SUMIF($A:$A,$A367,$G:$G)*SUMIF(Summary!$A$247:$A$283,$A367,Summary!$Q$247:$Q$283),0)</f>
        <v>90850.584377640887</v>
      </c>
      <c r="AL367" s="196">
        <f>IFERROR($G367/SUMIF($A:$A,$A367,$G:$G)*(SUMIF(Summary!$A$247:$A$283,$A367,Summary!$L$247:$L$283)+SUMIF(Summary!$A$297:$A$333,$A367,Summary!$L$297:$L$333))-AK367,0)</f>
        <v>159766.55034622416</v>
      </c>
      <c r="AM367" s="198"/>
      <c r="AN367" s="196">
        <f t="shared" ca="1" si="82"/>
        <v>5489514.6154794814</v>
      </c>
      <c r="AO367" s="196">
        <f t="shared" ca="1" si="83"/>
        <v>5488777.2476977259</v>
      </c>
    </row>
    <row r="368" spans="1:41">
      <c r="A368" s="189">
        <v>3581</v>
      </c>
      <c r="B368" s="190">
        <v>3</v>
      </c>
      <c r="C368" s="191" t="s">
        <v>226</v>
      </c>
      <c r="D368" s="192">
        <f t="shared" si="70"/>
        <v>3162</v>
      </c>
      <c r="E368" s="192">
        <f t="shared" si="71"/>
        <v>369</v>
      </c>
      <c r="F368" s="192">
        <f t="shared" si="72"/>
        <v>0</v>
      </c>
      <c r="G368" s="193">
        <f t="shared" si="73"/>
        <v>3531</v>
      </c>
      <c r="H368" s="194">
        <v>933</v>
      </c>
      <c r="I368" s="194">
        <v>0</v>
      </c>
      <c r="J368" s="194">
        <v>0</v>
      </c>
      <c r="K368" s="193">
        <f t="shared" si="74"/>
        <v>933</v>
      </c>
      <c r="L368" s="194">
        <v>927</v>
      </c>
      <c r="M368" s="194">
        <v>246</v>
      </c>
      <c r="N368" s="194">
        <v>0</v>
      </c>
      <c r="O368" s="193">
        <f t="shared" si="75"/>
        <v>1173</v>
      </c>
      <c r="P368" s="194">
        <v>1302</v>
      </c>
      <c r="Q368" s="194">
        <v>123</v>
      </c>
      <c r="R368" s="194">
        <v>0</v>
      </c>
      <c r="S368" s="193">
        <f t="shared" si="76"/>
        <v>1425</v>
      </c>
      <c r="T368" s="193">
        <f t="shared" si="77"/>
        <v>147.125</v>
      </c>
      <c r="U368" s="193">
        <f ca="1">OFFSET('Expenditure Study'!$B$7,'Operations Support'!$C368,'Operations Support'!$B368)*$G368</f>
        <v>12181.95</v>
      </c>
      <c r="V368" s="199">
        <f ca="1">U368*'Expenditure Study'!$B$31</f>
        <v>719748.35434656008</v>
      </c>
      <c r="W368" s="199">
        <f ca="1">IF(A368=10298,1.51,1)*IF($B368&lt;3,$D368*'Expenditure Study'!$B$32*OFFSET('Expenditure Study'!$B$7,'Operations Support'!$C368,'Operations Support'!$B368),0)</f>
        <v>0</v>
      </c>
      <c r="X368" s="200">
        <f ca="1">W368*'Expenditure Study'!$B$31</f>
        <v>0</v>
      </c>
      <c r="Y368" s="199">
        <f ca="1">U368*'Expenditure Study'!$B$31</f>
        <v>719748.35434656008</v>
      </c>
      <c r="Z368" s="200">
        <f ca="1">W368*'Expenditure Study'!$B$31</f>
        <v>0</v>
      </c>
      <c r="AA368" s="195">
        <f t="shared" ca="1" si="78"/>
        <v>719748.35434656008</v>
      </c>
      <c r="AB368" s="195">
        <f t="shared" ca="1" si="79"/>
        <v>719748.35434656008</v>
      </c>
      <c r="AD368" s="196">
        <f>IFERROR($G368/SUMIF($A:$A,$A368,$G:$G)*SUMIF(Summary!$A$166:$A$242,$A368,Summary!$P$166:$P$242),0)</f>
        <v>123083.75416834425</v>
      </c>
      <c r="AE368" s="197">
        <f t="shared" ca="1" si="80"/>
        <v>596664.60017821589</v>
      </c>
      <c r="AF368" s="196">
        <f>IFERROR(G368/SUMIF(A:A,A368,G:G)*SUMIF(Summary!$A$166:$A$242,'Operations Support'!A368,Summary!$Q$166:$Q$242),0)</f>
        <v>123238.03478088025</v>
      </c>
      <c r="AG368" s="196">
        <f t="shared" ca="1" si="81"/>
        <v>596510.31956567988</v>
      </c>
      <c r="AI368" s="196">
        <f>IFERROR($G368/SUMIF($A:$A,$A368,$G:$G)*SUMIF(Summary!$A$247:$A$283,$A368,Summary!$P$247:$P$283),0)</f>
        <v>22447.40523945888</v>
      </c>
      <c r="AJ368" s="196">
        <f>IFERROR($G368/SUMIF($A:$A,$A368,$G:$G)*(SUMIF(Summary!$A$247:$A$283,$A368,Summary!$L$247:$L$283)+SUMIF(Summary!$A$297:$A$333,$A368,Summary!$L$297:$L$333))-AI368,0)</f>
        <v>39552.812143710042</v>
      </c>
      <c r="AK368" s="196">
        <f>IFERROR($G368/SUMIF($A:$A,$A368,$G:$G)*SUMIF(Summary!$A$247:$A$283,$A368,Summary!$Q$247:$Q$283),0)</f>
        <v>22475.542173155671</v>
      </c>
      <c r="AL368" s="196">
        <f>IFERROR($G368/SUMIF($A:$A,$A368,$G:$G)*(SUMIF(Summary!$A$247:$A$283,$A368,Summary!$L$247:$L$283)+SUMIF(Summary!$A$297:$A$333,$A368,Summary!$L$297:$L$333))-AK368,0)</f>
        <v>39524.675210013251</v>
      </c>
      <c r="AM368" s="198"/>
      <c r="AN368" s="196">
        <f t="shared" ca="1" si="82"/>
        <v>636217.41232192598</v>
      </c>
      <c r="AO368" s="196">
        <f t="shared" ca="1" si="83"/>
        <v>636034.99477569317</v>
      </c>
    </row>
    <row r="369" spans="1:41">
      <c r="A369" s="189">
        <v>3581</v>
      </c>
      <c r="B369" s="190">
        <v>3</v>
      </c>
      <c r="C369" s="191" t="s">
        <v>227</v>
      </c>
      <c r="D369" s="192">
        <f t="shared" si="70"/>
        <v>0</v>
      </c>
      <c r="E369" s="192">
        <f t="shared" si="71"/>
        <v>0</v>
      </c>
      <c r="F369" s="192">
        <f t="shared" si="72"/>
        <v>0</v>
      </c>
      <c r="G369" s="193">
        <f t="shared" si="73"/>
        <v>0</v>
      </c>
      <c r="H369" s="194">
        <v>0</v>
      </c>
      <c r="I369" s="194">
        <v>0</v>
      </c>
      <c r="J369" s="194">
        <v>0</v>
      </c>
      <c r="K369" s="193">
        <f t="shared" si="74"/>
        <v>0</v>
      </c>
      <c r="L369" s="194">
        <v>0</v>
      </c>
      <c r="M369" s="194">
        <v>0</v>
      </c>
      <c r="N369" s="194">
        <v>0</v>
      </c>
      <c r="O369" s="193">
        <f t="shared" si="75"/>
        <v>0</v>
      </c>
      <c r="P369" s="194">
        <v>0</v>
      </c>
      <c r="Q369" s="194">
        <v>0</v>
      </c>
      <c r="R369" s="194">
        <v>0</v>
      </c>
      <c r="S369" s="193">
        <f t="shared" si="76"/>
        <v>0</v>
      </c>
      <c r="T369" s="193">
        <f t="shared" si="77"/>
        <v>0</v>
      </c>
      <c r="U369" s="193">
        <f ca="1">OFFSET('Expenditure Study'!$B$7,'Operations Support'!$C369,'Operations Support'!$B369)*$G369</f>
        <v>0</v>
      </c>
      <c r="V369" s="199">
        <f ca="1">U369*'Expenditure Study'!$B$31</f>
        <v>0</v>
      </c>
      <c r="W369" s="199">
        <f ca="1">IF(A369=10298,1.51,1)*IF($B369&lt;3,$D369*'Expenditure Study'!$B$32*OFFSET('Expenditure Study'!$B$7,'Operations Support'!$C369,'Operations Support'!$B369),0)</f>
        <v>0</v>
      </c>
      <c r="X369" s="200">
        <f ca="1">W369*'Expenditure Study'!$B$31</f>
        <v>0</v>
      </c>
      <c r="Y369" s="199">
        <f ca="1">U369*'Expenditure Study'!$B$31</f>
        <v>0</v>
      </c>
      <c r="Z369" s="200">
        <f ca="1">W369*'Expenditure Study'!$B$31</f>
        <v>0</v>
      </c>
      <c r="AA369" s="195">
        <f t="shared" ca="1" si="78"/>
        <v>0</v>
      </c>
      <c r="AB369" s="195">
        <f t="shared" ca="1" si="79"/>
        <v>0</v>
      </c>
      <c r="AD369" s="196">
        <f>IFERROR($G369/SUMIF($A:$A,$A369,$G:$G)*SUMIF(Summary!$A$166:$A$242,$A369,Summary!$P$166:$P$242),0)</f>
        <v>0</v>
      </c>
      <c r="AE369" s="197">
        <f t="shared" ca="1" si="80"/>
        <v>0</v>
      </c>
      <c r="AF369" s="196">
        <f>IFERROR(G369/SUMIF(A:A,A369,G:G)*SUMIF(Summary!$A$166:$A$242,'Operations Support'!A369,Summary!$Q$166:$Q$242),0)</f>
        <v>0</v>
      </c>
      <c r="AG369" s="196">
        <f t="shared" ca="1" si="81"/>
        <v>0</v>
      </c>
      <c r="AI369" s="196">
        <f>IFERROR($G369/SUMIF($A:$A,$A369,$G:$G)*SUMIF(Summary!$A$247:$A$283,$A369,Summary!$P$247:$P$283),0)</f>
        <v>0</v>
      </c>
      <c r="AJ369" s="196">
        <f>IFERROR($G369/SUMIF($A:$A,$A369,$G:$G)*(SUMIF(Summary!$A$247:$A$283,$A369,Summary!$L$247:$L$283)+SUMIF(Summary!$A$297:$A$333,$A369,Summary!$L$297:$L$333))-AI369,0)</f>
        <v>0</v>
      </c>
      <c r="AK369" s="196">
        <f>IFERROR($G369/SUMIF($A:$A,$A369,$G:$G)*SUMIF(Summary!$A$247:$A$283,$A369,Summary!$Q$247:$Q$283),0)</f>
        <v>0</v>
      </c>
      <c r="AL369" s="196">
        <f>IFERROR($G369/SUMIF($A:$A,$A369,$G:$G)*(SUMIF(Summary!$A$247:$A$283,$A369,Summary!$L$247:$L$283)+SUMIF(Summary!$A$297:$A$333,$A369,Summary!$L$297:$L$333))-AK369,0)</f>
        <v>0</v>
      </c>
      <c r="AM369" s="198"/>
      <c r="AN369" s="196">
        <f t="shared" ca="1" si="82"/>
        <v>0</v>
      </c>
      <c r="AO369" s="196">
        <f t="shared" ca="1" si="83"/>
        <v>0</v>
      </c>
    </row>
    <row r="370" spans="1:41">
      <c r="A370" s="189">
        <v>3581</v>
      </c>
      <c r="B370" s="190">
        <v>3</v>
      </c>
      <c r="C370" s="191" t="s">
        <v>228</v>
      </c>
      <c r="D370" s="192">
        <f t="shared" si="70"/>
        <v>0</v>
      </c>
      <c r="E370" s="192">
        <f t="shared" si="71"/>
        <v>0</v>
      </c>
      <c r="F370" s="192">
        <f t="shared" si="72"/>
        <v>0</v>
      </c>
      <c r="G370" s="193">
        <f t="shared" si="73"/>
        <v>0</v>
      </c>
      <c r="H370" s="194">
        <v>0</v>
      </c>
      <c r="I370" s="194">
        <v>0</v>
      </c>
      <c r="J370" s="194">
        <v>0</v>
      </c>
      <c r="K370" s="193">
        <f t="shared" si="74"/>
        <v>0</v>
      </c>
      <c r="L370" s="194">
        <v>0</v>
      </c>
      <c r="M370" s="194">
        <v>0</v>
      </c>
      <c r="N370" s="194">
        <v>0</v>
      </c>
      <c r="O370" s="193">
        <f t="shared" si="75"/>
        <v>0</v>
      </c>
      <c r="P370" s="194">
        <v>0</v>
      </c>
      <c r="Q370" s="194">
        <v>0</v>
      </c>
      <c r="R370" s="194">
        <v>0</v>
      </c>
      <c r="S370" s="193">
        <f t="shared" si="76"/>
        <v>0</v>
      </c>
      <c r="T370" s="193">
        <f t="shared" si="77"/>
        <v>0</v>
      </c>
      <c r="U370" s="193">
        <f ca="1">OFFSET('Expenditure Study'!$B$7,'Operations Support'!$C370,'Operations Support'!$B370)*$G370</f>
        <v>0</v>
      </c>
      <c r="V370" s="199">
        <f ca="1">U370*'Expenditure Study'!$B$31</f>
        <v>0</v>
      </c>
      <c r="W370" s="199">
        <f ca="1">IF(A370=10298,1.51,1)*IF($B370&lt;3,$D370*'Expenditure Study'!$B$32*OFFSET('Expenditure Study'!$B$7,'Operations Support'!$C370,'Operations Support'!$B370),0)</f>
        <v>0</v>
      </c>
      <c r="X370" s="200">
        <f ca="1">W370*'Expenditure Study'!$B$31</f>
        <v>0</v>
      </c>
      <c r="Y370" s="199">
        <f ca="1">U370*'Expenditure Study'!$B$31</f>
        <v>0</v>
      </c>
      <c r="Z370" s="200">
        <f ca="1">W370*'Expenditure Study'!$B$31</f>
        <v>0</v>
      </c>
      <c r="AA370" s="195">
        <f t="shared" ca="1" si="78"/>
        <v>0</v>
      </c>
      <c r="AB370" s="195">
        <f t="shared" ca="1" si="79"/>
        <v>0</v>
      </c>
      <c r="AD370" s="196">
        <f>IFERROR($G370/SUMIF($A:$A,$A370,$G:$G)*SUMIF(Summary!$A$166:$A$242,$A370,Summary!$P$166:$P$242),0)</f>
        <v>0</v>
      </c>
      <c r="AE370" s="197">
        <f t="shared" ca="1" si="80"/>
        <v>0</v>
      </c>
      <c r="AF370" s="196">
        <f>IFERROR(G370/SUMIF(A:A,A370,G:G)*SUMIF(Summary!$A$166:$A$242,'Operations Support'!A370,Summary!$Q$166:$Q$242),0)</f>
        <v>0</v>
      </c>
      <c r="AG370" s="196">
        <f t="shared" ca="1" si="81"/>
        <v>0</v>
      </c>
      <c r="AI370" s="196">
        <f>IFERROR($G370/SUMIF($A:$A,$A370,$G:$G)*SUMIF(Summary!$A$247:$A$283,$A370,Summary!$P$247:$P$283),0)</f>
        <v>0</v>
      </c>
      <c r="AJ370" s="196">
        <f>IFERROR($G370/SUMIF($A:$A,$A370,$G:$G)*(SUMIF(Summary!$A$247:$A$283,$A370,Summary!$L$247:$L$283)+SUMIF(Summary!$A$297:$A$333,$A370,Summary!$L$297:$L$333))-AI370,0)</f>
        <v>0</v>
      </c>
      <c r="AK370" s="196">
        <f>IFERROR($G370/SUMIF($A:$A,$A370,$G:$G)*SUMIF(Summary!$A$247:$A$283,$A370,Summary!$Q$247:$Q$283),0)</f>
        <v>0</v>
      </c>
      <c r="AL370" s="196">
        <f>IFERROR($G370/SUMIF($A:$A,$A370,$G:$G)*(SUMIF(Summary!$A$247:$A$283,$A370,Summary!$L$247:$L$283)+SUMIF(Summary!$A$297:$A$333,$A370,Summary!$L$297:$L$333))-AK370,0)</f>
        <v>0</v>
      </c>
      <c r="AM370" s="198"/>
      <c r="AN370" s="196">
        <f t="shared" ca="1" si="82"/>
        <v>0</v>
      </c>
      <c r="AO370" s="196">
        <f t="shared" ca="1" si="83"/>
        <v>0</v>
      </c>
    </row>
    <row r="371" spans="1:41">
      <c r="A371" s="189">
        <v>3581</v>
      </c>
      <c r="B371" s="190">
        <v>3</v>
      </c>
      <c r="C371" s="191" t="s">
        <v>229</v>
      </c>
      <c r="D371" s="192">
        <f t="shared" si="70"/>
        <v>0</v>
      </c>
      <c r="E371" s="192">
        <f t="shared" si="71"/>
        <v>0</v>
      </c>
      <c r="F371" s="192">
        <f t="shared" si="72"/>
        <v>0</v>
      </c>
      <c r="G371" s="193">
        <f t="shared" si="73"/>
        <v>0</v>
      </c>
      <c r="H371" s="194">
        <v>0</v>
      </c>
      <c r="I371" s="194">
        <v>0</v>
      </c>
      <c r="J371" s="194">
        <v>0</v>
      </c>
      <c r="K371" s="193">
        <f t="shared" si="74"/>
        <v>0</v>
      </c>
      <c r="L371" s="194">
        <v>0</v>
      </c>
      <c r="M371" s="194">
        <v>0</v>
      </c>
      <c r="N371" s="194">
        <v>0</v>
      </c>
      <c r="O371" s="193">
        <f t="shared" si="75"/>
        <v>0</v>
      </c>
      <c r="P371" s="194">
        <v>0</v>
      </c>
      <c r="Q371" s="194">
        <v>0</v>
      </c>
      <c r="R371" s="194">
        <v>0</v>
      </c>
      <c r="S371" s="193">
        <f t="shared" si="76"/>
        <v>0</v>
      </c>
      <c r="T371" s="193">
        <f t="shared" si="77"/>
        <v>0</v>
      </c>
      <c r="U371" s="193">
        <f ca="1">OFFSET('Expenditure Study'!$B$7,'Operations Support'!$C371,'Operations Support'!$B371)*$G371</f>
        <v>0</v>
      </c>
      <c r="V371" s="199">
        <f ca="1">U371*'Expenditure Study'!$B$31</f>
        <v>0</v>
      </c>
      <c r="W371" s="199">
        <f ca="1">IF(A371=10298,1.51,1)*IF($B371&lt;3,$D371*'Expenditure Study'!$B$32*OFFSET('Expenditure Study'!$B$7,'Operations Support'!$C371,'Operations Support'!$B371),0)</f>
        <v>0</v>
      </c>
      <c r="X371" s="200">
        <f ca="1">W371*'Expenditure Study'!$B$31</f>
        <v>0</v>
      </c>
      <c r="Y371" s="199">
        <f ca="1">U371*'Expenditure Study'!$B$31</f>
        <v>0</v>
      </c>
      <c r="Z371" s="200">
        <f ca="1">W371*'Expenditure Study'!$B$31</f>
        <v>0</v>
      </c>
      <c r="AA371" s="195">
        <f t="shared" ca="1" si="78"/>
        <v>0</v>
      </c>
      <c r="AB371" s="195">
        <f t="shared" ca="1" si="79"/>
        <v>0</v>
      </c>
      <c r="AD371" s="196">
        <f>IFERROR($G371/SUMIF($A:$A,$A371,$G:$G)*SUMIF(Summary!$A$166:$A$242,$A371,Summary!$P$166:$P$242),0)</f>
        <v>0</v>
      </c>
      <c r="AE371" s="197">
        <f t="shared" ca="1" si="80"/>
        <v>0</v>
      </c>
      <c r="AF371" s="196">
        <f>IFERROR(G371/SUMIF(A:A,A371,G:G)*SUMIF(Summary!$A$166:$A$242,'Operations Support'!A371,Summary!$Q$166:$Q$242),0)</f>
        <v>0</v>
      </c>
      <c r="AG371" s="196">
        <f t="shared" ca="1" si="81"/>
        <v>0</v>
      </c>
      <c r="AI371" s="196">
        <f>IFERROR($G371/SUMIF($A:$A,$A371,$G:$G)*SUMIF(Summary!$A$247:$A$283,$A371,Summary!$P$247:$P$283),0)</f>
        <v>0</v>
      </c>
      <c r="AJ371" s="196">
        <f>IFERROR($G371/SUMIF($A:$A,$A371,$G:$G)*(SUMIF(Summary!$A$247:$A$283,$A371,Summary!$L$247:$L$283)+SUMIF(Summary!$A$297:$A$333,$A371,Summary!$L$297:$L$333))-AI371,0)</f>
        <v>0</v>
      </c>
      <c r="AK371" s="196">
        <f>IFERROR($G371/SUMIF($A:$A,$A371,$G:$G)*SUMIF(Summary!$A$247:$A$283,$A371,Summary!$Q$247:$Q$283),0)</f>
        <v>0</v>
      </c>
      <c r="AL371" s="196">
        <f>IFERROR($G371/SUMIF($A:$A,$A371,$G:$G)*(SUMIF(Summary!$A$247:$A$283,$A371,Summary!$L$247:$L$283)+SUMIF(Summary!$A$297:$A$333,$A371,Summary!$L$297:$L$333))-AK371,0)</f>
        <v>0</v>
      </c>
      <c r="AM371" s="198"/>
      <c r="AN371" s="196">
        <f t="shared" ca="1" si="82"/>
        <v>0</v>
      </c>
      <c r="AO371" s="196">
        <f t="shared" ca="1" si="83"/>
        <v>0</v>
      </c>
    </row>
    <row r="372" spans="1:41">
      <c r="A372" s="189">
        <v>3581</v>
      </c>
      <c r="B372" s="190">
        <v>3</v>
      </c>
      <c r="C372" s="191" t="s">
        <v>230</v>
      </c>
      <c r="D372" s="192">
        <f t="shared" si="70"/>
        <v>0</v>
      </c>
      <c r="E372" s="192">
        <f t="shared" si="71"/>
        <v>0</v>
      </c>
      <c r="F372" s="192">
        <f t="shared" si="72"/>
        <v>0</v>
      </c>
      <c r="G372" s="193">
        <f t="shared" si="73"/>
        <v>0</v>
      </c>
      <c r="H372" s="194">
        <v>0</v>
      </c>
      <c r="I372" s="194">
        <v>0</v>
      </c>
      <c r="J372" s="194">
        <v>0</v>
      </c>
      <c r="K372" s="193">
        <f t="shared" si="74"/>
        <v>0</v>
      </c>
      <c r="L372" s="194">
        <v>0</v>
      </c>
      <c r="M372" s="194">
        <v>0</v>
      </c>
      <c r="N372" s="194">
        <v>0</v>
      </c>
      <c r="O372" s="193">
        <f t="shared" si="75"/>
        <v>0</v>
      </c>
      <c r="P372" s="194">
        <v>0</v>
      </c>
      <c r="Q372" s="194">
        <v>0</v>
      </c>
      <c r="R372" s="194">
        <v>0</v>
      </c>
      <c r="S372" s="193">
        <f t="shared" si="76"/>
        <v>0</v>
      </c>
      <c r="T372" s="193">
        <f t="shared" si="77"/>
        <v>0</v>
      </c>
      <c r="U372" s="193">
        <f ca="1">OFFSET('Expenditure Study'!$B$7,'Operations Support'!$C372,'Operations Support'!$B372)*$G372</f>
        <v>0</v>
      </c>
      <c r="V372" s="199">
        <f ca="1">U372*'Expenditure Study'!$B$31</f>
        <v>0</v>
      </c>
      <c r="W372" s="199">
        <f ca="1">IF(A372=10298,1.51,1)*IF($B372&lt;3,$D372*'Expenditure Study'!$B$32*OFFSET('Expenditure Study'!$B$7,'Operations Support'!$C372,'Operations Support'!$B372),0)</f>
        <v>0</v>
      </c>
      <c r="X372" s="200">
        <f ca="1">W372*'Expenditure Study'!$B$31</f>
        <v>0</v>
      </c>
      <c r="Y372" s="199">
        <f ca="1">U372*'Expenditure Study'!$B$31</f>
        <v>0</v>
      </c>
      <c r="Z372" s="200">
        <f ca="1">W372*'Expenditure Study'!$B$31</f>
        <v>0</v>
      </c>
      <c r="AA372" s="195">
        <f t="shared" ca="1" si="78"/>
        <v>0</v>
      </c>
      <c r="AB372" s="195">
        <f t="shared" ca="1" si="79"/>
        <v>0</v>
      </c>
      <c r="AD372" s="196">
        <f>IFERROR($G372/SUMIF($A:$A,$A372,$G:$G)*SUMIF(Summary!$A$166:$A$242,$A372,Summary!$P$166:$P$242),0)</f>
        <v>0</v>
      </c>
      <c r="AE372" s="197">
        <f t="shared" ca="1" si="80"/>
        <v>0</v>
      </c>
      <c r="AF372" s="196">
        <f>IFERROR(G372/SUMIF(A:A,A372,G:G)*SUMIF(Summary!$A$166:$A$242,'Operations Support'!A372,Summary!$Q$166:$Q$242),0)</f>
        <v>0</v>
      </c>
      <c r="AG372" s="196">
        <f t="shared" ca="1" si="81"/>
        <v>0</v>
      </c>
      <c r="AI372" s="196">
        <f>IFERROR($G372/SUMIF($A:$A,$A372,$G:$G)*SUMIF(Summary!$A$247:$A$283,$A372,Summary!$P$247:$P$283),0)</f>
        <v>0</v>
      </c>
      <c r="AJ372" s="196">
        <f>IFERROR($G372/SUMIF($A:$A,$A372,$G:$G)*(SUMIF(Summary!$A$247:$A$283,$A372,Summary!$L$247:$L$283)+SUMIF(Summary!$A$297:$A$333,$A372,Summary!$L$297:$L$333))-AI372,0)</f>
        <v>0</v>
      </c>
      <c r="AK372" s="196">
        <f>IFERROR($G372/SUMIF($A:$A,$A372,$G:$G)*SUMIF(Summary!$A$247:$A$283,$A372,Summary!$Q$247:$Q$283),0)</f>
        <v>0</v>
      </c>
      <c r="AL372" s="196">
        <f>IFERROR($G372/SUMIF($A:$A,$A372,$G:$G)*(SUMIF(Summary!$A$247:$A$283,$A372,Summary!$L$247:$L$283)+SUMIF(Summary!$A$297:$A$333,$A372,Summary!$L$297:$L$333))-AK372,0)</f>
        <v>0</v>
      </c>
      <c r="AM372" s="198"/>
      <c r="AN372" s="196">
        <f t="shared" ca="1" si="82"/>
        <v>0</v>
      </c>
      <c r="AO372" s="196">
        <f t="shared" ca="1" si="83"/>
        <v>0</v>
      </c>
    </row>
    <row r="373" spans="1:41">
      <c r="A373" s="189">
        <v>3581</v>
      </c>
      <c r="B373" s="190">
        <v>3</v>
      </c>
      <c r="C373" s="191" t="s">
        <v>231</v>
      </c>
      <c r="D373" s="192">
        <f t="shared" si="70"/>
        <v>0</v>
      </c>
      <c r="E373" s="192">
        <f t="shared" si="71"/>
        <v>0</v>
      </c>
      <c r="F373" s="192">
        <f t="shared" si="72"/>
        <v>0</v>
      </c>
      <c r="G373" s="193">
        <f t="shared" si="73"/>
        <v>0</v>
      </c>
      <c r="H373" s="194">
        <v>0</v>
      </c>
      <c r="I373" s="194">
        <v>0</v>
      </c>
      <c r="J373" s="194">
        <v>0</v>
      </c>
      <c r="K373" s="193">
        <f t="shared" si="74"/>
        <v>0</v>
      </c>
      <c r="L373" s="194">
        <v>0</v>
      </c>
      <c r="M373" s="194">
        <v>0</v>
      </c>
      <c r="N373" s="194">
        <v>0</v>
      </c>
      <c r="O373" s="193">
        <f t="shared" si="75"/>
        <v>0</v>
      </c>
      <c r="P373" s="194">
        <v>0</v>
      </c>
      <c r="Q373" s="194">
        <v>0</v>
      </c>
      <c r="R373" s="194">
        <v>0</v>
      </c>
      <c r="S373" s="193">
        <f t="shared" si="76"/>
        <v>0</v>
      </c>
      <c r="T373" s="193">
        <f t="shared" si="77"/>
        <v>0</v>
      </c>
      <c r="U373" s="193">
        <f ca="1">OFFSET('Expenditure Study'!$B$7,'Operations Support'!$C373,'Operations Support'!$B373)*$G373</f>
        <v>0</v>
      </c>
      <c r="V373" s="199">
        <f ca="1">U373*'Expenditure Study'!$B$31</f>
        <v>0</v>
      </c>
      <c r="W373" s="199">
        <f ca="1">IF(A373=10298,1.51,1)*IF($B373&lt;3,$D373*'Expenditure Study'!$B$32*OFFSET('Expenditure Study'!$B$7,'Operations Support'!$C373,'Operations Support'!$B373),0)</f>
        <v>0</v>
      </c>
      <c r="X373" s="200">
        <f ca="1">W373*'Expenditure Study'!$B$31</f>
        <v>0</v>
      </c>
      <c r="Y373" s="199">
        <f ca="1">U373*'Expenditure Study'!$B$31</f>
        <v>0</v>
      </c>
      <c r="Z373" s="200">
        <f ca="1">W373*'Expenditure Study'!$B$31</f>
        <v>0</v>
      </c>
      <c r="AA373" s="195">
        <f t="shared" ca="1" si="78"/>
        <v>0</v>
      </c>
      <c r="AB373" s="195">
        <f t="shared" ca="1" si="79"/>
        <v>0</v>
      </c>
      <c r="AD373" s="196">
        <f>IFERROR($G373/SUMIF($A:$A,$A373,$G:$G)*SUMIF(Summary!$A$166:$A$242,$A373,Summary!$P$166:$P$242),0)</f>
        <v>0</v>
      </c>
      <c r="AE373" s="197">
        <f t="shared" ca="1" si="80"/>
        <v>0</v>
      </c>
      <c r="AF373" s="196">
        <f>IFERROR(G373/SUMIF(A:A,A373,G:G)*SUMIF(Summary!$A$166:$A$242,'Operations Support'!A373,Summary!$Q$166:$Q$242),0)</f>
        <v>0</v>
      </c>
      <c r="AG373" s="196">
        <f t="shared" ca="1" si="81"/>
        <v>0</v>
      </c>
      <c r="AI373" s="196">
        <f>IFERROR($G373/SUMIF($A:$A,$A373,$G:$G)*SUMIF(Summary!$A$247:$A$283,$A373,Summary!$P$247:$P$283),0)</f>
        <v>0</v>
      </c>
      <c r="AJ373" s="196">
        <f>IFERROR($G373/SUMIF($A:$A,$A373,$G:$G)*(SUMIF(Summary!$A$247:$A$283,$A373,Summary!$L$247:$L$283)+SUMIF(Summary!$A$297:$A$333,$A373,Summary!$L$297:$L$333))-AI373,0)</f>
        <v>0</v>
      </c>
      <c r="AK373" s="196">
        <f>IFERROR($G373/SUMIF($A:$A,$A373,$G:$G)*SUMIF(Summary!$A$247:$A$283,$A373,Summary!$Q$247:$Q$283),0)</f>
        <v>0</v>
      </c>
      <c r="AL373" s="196">
        <f>IFERROR($G373/SUMIF($A:$A,$A373,$G:$G)*(SUMIF(Summary!$A$247:$A$283,$A373,Summary!$L$247:$L$283)+SUMIF(Summary!$A$297:$A$333,$A373,Summary!$L$297:$L$333))-AK373,0)</f>
        <v>0</v>
      </c>
      <c r="AM373" s="198"/>
      <c r="AN373" s="196">
        <f t="shared" ca="1" si="82"/>
        <v>0</v>
      </c>
      <c r="AO373" s="196">
        <f t="shared" ca="1" si="83"/>
        <v>0</v>
      </c>
    </row>
    <row r="374" spans="1:41">
      <c r="A374" s="189">
        <v>3581</v>
      </c>
      <c r="B374" s="190">
        <v>3</v>
      </c>
      <c r="C374" s="191" t="s">
        <v>232</v>
      </c>
      <c r="D374" s="192">
        <f t="shared" si="70"/>
        <v>0</v>
      </c>
      <c r="E374" s="192">
        <f t="shared" si="71"/>
        <v>0</v>
      </c>
      <c r="F374" s="192">
        <f t="shared" si="72"/>
        <v>0</v>
      </c>
      <c r="G374" s="193">
        <f t="shared" si="73"/>
        <v>0</v>
      </c>
      <c r="H374" s="194">
        <v>0</v>
      </c>
      <c r="I374" s="194">
        <v>0</v>
      </c>
      <c r="J374" s="194">
        <v>0</v>
      </c>
      <c r="K374" s="193">
        <f t="shared" si="74"/>
        <v>0</v>
      </c>
      <c r="L374" s="194">
        <v>0</v>
      </c>
      <c r="M374" s="194">
        <v>0</v>
      </c>
      <c r="N374" s="194">
        <v>0</v>
      </c>
      <c r="O374" s="193">
        <f t="shared" si="75"/>
        <v>0</v>
      </c>
      <c r="P374" s="194">
        <v>0</v>
      </c>
      <c r="Q374" s="194">
        <v>0</v>
      </c>
      <c r="R374" s="194">
        <v>0</v>
      </c>
      <c r="S374" s="193">
        <f t="shared" si="76"/>
        <v>0</v>
      </c>
      <c r="T374" s="193">
        <f t="shared" si="77"/>
        <v>0</v>
      </c>
      <c r="U374" s="193">
        <f ca="1">OFFSET('Expenditure Study'!$B$7,'Operations Support'!$C374,'Operations Support'!$B374)*$G374</f>
        <v>0</v>
      </c>
      <c r="V374" s="199">
        <f ca="1">U374*'Expenditure Study'!$B$31</f>
        <v>0</v>
      </c>
      <c r="W374" s="199">
        <f ca="1">IF(A374=10298,1.51,1)*IF($B374&lt;3,$D374*'Expenditure Study'!$B$32*OFFSET('Expenditure Study'!$B$7,'Operations Support'!$C374,'Operations Support'!$B374),0)</f>
        <v>0</v>
      </c>
      <c r="X374" s="200">
        <f ca="1">W374*'Expenditure Study'!$B$31</f>
        <v>0</v>
      </c>
      <c r="Y374" s="199">
        <f ca="1">U374*'Expenditure Study'!$B$31</f>
        <v>0</v>
      </c>
      <c r="Z374" s="200">
        <f ca="1">W374*'Expenditure Study'!$B$31</f>
        <v>0</v>
      </c>
      <c r="AA374" s="195">
        <f t="shared" ca="1" si="78"/>
        <v>0</v>
      </c>
      <c r="AB374" s="195">
        <f t="shared" ca="1" si="79"/>
        <v>0</v>
      </c>
      <c r="AD374" s="196">
        <f>IFERROR($G374/SUMIF($A:$A,$A374,$G:$G)*SUMIF(Summary!$A$166:$A$242,$A374,Summary!$P$166:$P$242),0)</f>
        <v>0</v>
      </c>
      <c r="AE374" s="197">
        <f t="shared" ca="1" si="80"/>
        <v>0</v>
      </c>
      <c r="AF374" s="196">
        <f>IFERROR(G374/SUMIF(A:A,A374,G:G)*SUMIF(Summary!$A$166:$A$242,'Operations Support'!A374,Summary!$Q$166:$Q$242),0)</f>
        <v>0</v>
      </c>
      <c r="AG374" s="196">
        <f t="shared" ca="1" si="81"/>
        <v>0</v>
      </c>
      <c r="AI374" s="196">
        <f>IFERROR($G374/SUMIF($A:$A,$A374,$G:$G)*SUMIF(Summary!$A$247:$A$283,$A374,Summary!$P$247:$P$283),0)</f>
        <v>0</v>
      </c>
      <c r="AJ374" s="196">
        <f>IFERROR($G374/SUMIF($A:$A,$A374,$G:$G)*(SUMIF(Summary!$A$247:$A$283,$A374,Summary!$L$247:$L$283)+SUMIF(Summary!$A$297:$A$333,$A374,Summary!$L$297:$L$333))-AI374,0)</f>
        <v>0</v>
      </c>
      <c r="AK374" s="196">
        <f>IFERROR($G374/SUMIF($A:$A,$A374,$G:$G)*SUMIF(Summary!$A$247:$A$283,$A374,Summary!$Q$247:$Q$283),0)</f>
        <v>0</v>
      </c>
      <c r="AL374" s="196">
        <f>IFERROR($G374/SUMIF($A:$A,$A374,$G:$G)*(SUMIF(Summary!$A$247:$A$283,$A374,Summary!$L$247:$L$283)+SUMIF(Summary!$A$297:$A$333,$A374,Summary!$L$297:$L$333))-AK374,0)</f>
        <v>0</v>
      </c>
      <c r="AM374" s="198"/>
      <c r="AN374" s="196">
        <f t="shared" ca="1" si="82"/>
        <v>0</v>
      </c>
      <c r="AO374" s="196">
        <f t="shared" ca="1" si="83"/>
        <v>0</v>
      </c>
    </row>
    <row r="375" spans="1:41">
      <c r="A375" s="189">
        <v>3581</v>
      </c>
      <c r="B375" s="190">
        <v>3</v>
      </c>
      <c r="C375" s="191" t="s">
        <v>233</v>
      </c>
      <c r="D375" s="192">
        <f t="shared" si="70"/>
        <v>12117</v>
      </c>
      <c r="E375" s="192">
        <f t="shared" si="71"/>
        <v>13097</v>
      </c>
      <c r="F375" s="192">
        <f t="shared" si="72"/>
        <v>0</v>
      </c>
      <c r="G375" s="193">
        <f t="shared" si="73"/>
        <v>25214</v>
      </c>
      <c r="H375" s="194">
        <v>4519</v>
      </c>
      <c r="I375" s="194">
        <v>4049</v>
      </c>
      <c r="J375" s="194">
        <v>0</v>
      </c>
      <c r="K375" s="193">
        <f t="shared" si="74"/>
        <v>8568</v>
      </c>
      <c r="L375" s="194">
        <v>2328</v>
      </c>
      <c r="M375" s="194">
        <v>3708</v>
      </c>
      <c r="N375" s="194">
        <v>0</v>
      </c>
      <c r="O375" s="193">
        <f t="shared" si="75"/>
        <v>6036</v>
      </c>
      <c r="P375" s="194">
        <v>5270</v>
      </c>
      <c r="Q375" s="194">
        <v>5340</v>
      </c>
      <c r="R375" s="194">
        <v>0</v>
      </c>
      <c r="S375" s="193">
        <f t="shared" si="76"/>
        <v>10610</v>
      </c>
      <c r="T375" s="193">
        <f t="shared" si="77"/>
        <v>1050.5833333333333</v>
      </c>
      <c r="U375" s="193">
        <f ca="1">OFFSET('Expenditure Study'!$B$7,'Operations Support'!$C375,'Operations Support'!$B375)*$G375</f>
        <v>66060.680000000008</v>
      </c>
      <c r="V375" s="199">
        <f ca="1">U375*'Expenditure Study'!$B$31</f>
        <v>3903075.1002109447</v>
      </c>
      <c r="W375" s="199">
        <f ca="1">IF(A375=10298,1.51,1)*IF($B375&lt;3,$D375*'Expenditure Study'!$B$32*OFFSET('Expenditure Study'!$B$7,'Operations Support'!$C375,'Operations Support'!$B375),0)</f>
        <v>0</v>
      </c>
      <c r="X375" s="200">
        <f ca="1">W375*'Expenditure Study'!$B$31</f>
        <v>0</v>
      </c>
      <c r="Y375" s="199">
        <f ca="1">U375*'Expenditure Study'!$B$31</f>
        <v>3903075.1002109447</v>
      </c>
      <c r="Z375" s="200">
        <f ca="1">W375*'Expenditure Study'!$B$31</f>
        <v>0</v>
      </c>
      <c r="AA375" s="195">
        <f t="shared" ca="1" si="78"/>
        <v>3903075.1002109447</v>
      </c>
      <c r="AB375" s="195">
        <f t="shared" ca="1" si="79"/>
        <v>3903075.1002109447</v>
      </c>
      <c r="AD375" s="196">
        <f>IFERROR($G375/SUMIF($A:$A,$A375,$G:$G)*SUMIF(Summary!$A$166:$A$242,$A375,Summary!$P$166:$P$242),0)</f>
        <v>878910.72715962387</v>
      </c>
      <c r="AE375" s="197">
        <f t="shared" ca="1" si="80"/>
        <v>3024164.3730513207</v>
      </c>
      <c r="AF375" s="196">
        <f>IFERROR(G375/SUMIF(A:A,A375,G:G)*SUMIF(Summary!$A$166:$A$242,'Operations Support'!A375,Summary!$Q$166:$Q$242),0)</f>
        <v>880012.40695698513</v>
      </c>
      <c r="AG375" s="196">
        <f t="shared" ca="1" si="81"/>
        <v>3023062.6932539595</v>
      </c>
      <c r="AI375" s="196">
        <f>IFERROR($G375/SUMIF($A:$A,$A375,$G:$G)*SUMIF(Summary!$A$247:$A$283,$A375,Summary!$P$247:$P$283),0)</f>
        <v>160291.38366120539</v>
      </c>
      <c r="AJ375" s="196">
        <f>IFERROR($G375/SUMIF($A:$A,$A375,$G:$G)*(SUMIF(Summary!$A$247:$A$283,$A375,Summary!$L$247:$L$283)+SUMIF(Summary!$A$297:$A$333,$A375,Summary!$L$297:$L$333))-AI375,0)</f>
        <v>282436.87493387284</v>
      </c>
      <c r="AK375" s="196">
        <f>IFERROR($G375/SUMIF($A:$A,$A375,$G:$G)*SUMIF(Summary!$A$247:$A$283,$A375,Summary!$Q$247:$Q$283),0)</f>
        <v>160492.30256413115</v>
      </c>
      <c r="AL375" s="196">
        <f>IFERROR($G375/SUMIF($A:$A,$A375,$G:$G)*(SUMIF(Summary!$A$247:$A$283,$A375,Summary!$L$247:$L$283)+SUMIF(Summary!$A$297:$A$333,$A375,Summary!$L$297:$L$333))-AK375,0)</f>
        <v>282235.95603094704</v>
      </c>
      <c r="AM375" s="198"/>
      <c r="AN375" s="196">
        <f t="shared" ca="1" si="82"/>
        <v>3306601.2479851935</v>
      </c>
      <c r="AO375" s="196">
        <f t="shared" ca="1" si="83"/>
        <v>3305298.6492849067</v>
      </c>
    </row>
    <row r="376" spans="1:41">
      <c r="A376" s="189">
        <v>3581</v>
      </c>
      <c r="B376" s="190">
        <v>3</v>
      </c>
      <c r="C376" s="191" t="s">
        <v>234</v>
      </c>
      <c r="D376" s="192">
        <f t="shared" si="70"/>
        <v>0</v>
      </c>
      <c r="E376" s="192">
        <f t="shared" si="71"/>
        <v>0</v>
      </c>
      <c r="F376" s="192">
        <f t="shared" si="72"/>
        <v>0</v>
      </c>
      <c r="G376" s="193">
        <f t="shared" si="73"/>
        <v>0</v>
      </c>
      <c r="H376" s="194">
        <v>0</v>
      </c>
      <c r="I376" s="194">
        <v>0</v>
      </c>
      <c r="J376" s="194">
        <v>0</v>
      </c>
      <c r="K376" s="193">
        <f t="shared" si="74"/>
        <v>0</v>
      </c>
      <c r="L376" s="194">
        <v>0</v>
      </c>
      <c r="M376" s="194">
        <v>0</v>
      </c>
      <c r="N376" s="194">
        <v>0</v>
      </c>
      <c r="O376" s="193">
        <f t="shared" si="75"/>
        <v>0</v>
      </c>
      <c r="P376" s="194">
        <v>0</v>
      </c>
      <c r="Q376" s="194">
        <v>0</v>
      </c>
      <c r="R376" s="194">
        <v>0</v>
      </c>
      <c r="S376" s="193">
        <f t="shared" si="76"/>
        <v>0</v>
      </c>
      <c r="T376" s="193">
        <f t="shared" si="77"/>
        <v>0</v>
      </c>
      <c r="U376" s="193">
        <f ca="1">OFFSET('Expenditure Study'!$B$7,'Operations Support'!$C376,'Operations Support'!$B376)*$G376</f>
        <v>0</v>
      </c>
      <c r="V376" s="199">
        <f ca="1">U376*'Expenditure Study'!$B$31</f>
        <v>0</v>
      </c>
      <c r="W376" s="199">
        <f ca="1">IF(A376=10298,1.51,1)*IF($B376&lt;3,$D376*'Expenditure Study'!$B$32*OFFSET('Expenditure Study'!$B$7,'Operations Support'!$C376,'Operations Support'!$B376),0)</f>
        <v>0</v>
      </c>
      <c r="X376" s="200">
        <f ca="1">W376*'Expenditure Study'!$B$31</f>
        <v>0</v>
      </c>
      <c r="Y376" s="199">
        <f ca="1">U376*'Expenditure Study'!$B$31</f>
        <v>0</v>
      </c>
      <c r="Z376" s="200">
        <f ca="1">W376*'Expenditure Study'!$B$31</f>
        <v>0</v>
      </c>
      <c r="AA376" s="195">
        <f t="shared" ca="1" si="78"/>
        <v>0</v>
      </c>
      <c r="AB376" s="195">
        <f t="shared" ca="1" si="79"/>
        <v>0</v>
      </c>
      <c r="AD376" s="196">
        <f>IFERROR($G376/SUMIF($A:$A,$A376,$G:$G)*SUMIF(Summary!$A$166:$A$242,$A376,Summary!$P$166:$P$242),0)</f>
        <v>0</v>
      </c>
      <c r="AE376" s="197">
        <f t="shared" ca="1" si="80"/>
        <v>0</v>
      </c>
      <c r="AF376" s="196">
        <f>IFERROR(G376/SUMIF(A:A,A376,G:G)*SUMIF(Summary!$A$166:$A$242,'Operations Support'!A376,Summary!$Q$166:$Q$242),0)</f>
        <v>0</v>
      </c>
      <c r="AG376" s="196">
        <f t="shared" ca="1" si="81"/>
        <v>0</v>
      </c>
      <c r="AI376" s="196">
        <f>IFERROR($G376/SUMIF($A:$A,$A376,$G:$G)*SUMIF(Summary!$A$247:$A$283,$A376,Summary!$P$247:$P$283),0)</f>
        <v>0</v>
      </c>
      <c r="AJ376" s="196">
        <f>IFERROR($G376/SUMIF($A:$A,$A376,$G:$G)*(SUMIF(Summary!$A$247:$A$283,$A376,Summary!$L$247:$L$283)+SUMIF(Summary!$A$297:$A$333,$A376,Summary!$L$297:$L$333))-AI376,0)</f>
        <v>0</v>
      </c>
      <c r="AK376" s="196">
        <f>IFERROR($G376/SUMIF($A:$A,$A376,$G:$G)*SUMIF(Summary!$A$247:$A$283,$A376,Summary!$Q$247:$Q$283),0)</f>
        <v>0</v>
      </c>
      <c r="AL376" s="196">
        <f>IFERROR($G376/SUMIF($A:$A,$A376,$G:$G)*(SUMIF(Summary!$A$247:$A$283,$A376,Summary!$L$247:$L$283)+SUMIF(Summary!$A$297:$A$333,$A376,Summary!$L$297:$L$333))-AK376,0)</f>
        <v>0</v>
      </c>
      <c r="AM376" s="198"/>
      <c r="AN376" s="196">
        <f t="shared" ca="1" si="82"/>
        <v>0</v>
      </c>
      <c r="AO376" s="196">
        <f t="shared" ca="1" si="83"/>
        <v>0</v>
      </c>
    </row>
    <row r="377" spans="1:41">
      <c r="A377" s="189">
        <v>3581</v>
      </c>
      <c r="B377" s="190">
        <v>3</v>
      </c>
      <c r="C377" s="191" t="s">
        <v>235</v>
      </c>
      <c r="D377" s="192">
        <f t="shared" si="70"/>
        <v>16515</v>
      </c>
      <c r="E377" s="192">
        <f t="shared" si="71"/>
        <v>6825</v>
      </c>
      <c r="F377" s="192">
        <f t="shared" si="72"/>
        <v>0</v>
      </c>
      <c r="G377" s="193">
        <f t="shared" si="73"/>
        <v>23340</v>
      </c>
      <c r="H377" s="194">
        <v>6688</v>
      </c>
      <c r="I377" s="194">
        <v>2757</v>
      </c>
      <c r="J377" s="194">
        <v>0</v>
      </c>
      <c r="K377" s="193">
        <f t="shared" si="74"/>
        <v>9445</v>
      </c>
      <c r="L377" s="194">
        <v>5021</v>
      </c>
      <c r="M377" s="194">
        <v>1761</v>
      </c>
      <c r="N377" s="194">
        <v>0</v>
      </c>
      <c r="O377" s="193">
        <f t="shared" si="75"/>
        <v>6782</v>
      </c>
      <c r="P377" s="194">
        <v>4806</v>
      </c>
      <c r="Q377" s="194">
        <v>2307</v>
      </c>
      <c r="R377" s="194">
        <v>0</v>
      </c>
      <c r="S377" s="193">
        <f t="shared" si="76"/>
        <v>7113</v>
      </c>
      <c r="T377" s="193">
        <f t="shared" si="77"/>
        <v>972.5</v>
      </c>
      <c r="U377" s="193">
        <f ca="1">OFFSET('Expenditure Study'!$B$7,'Operations Support'!$C377,'Operations Support'!$B377)*$G377</f>
        <v>73754.400000000009</v>
      </c>
      <c r="V377" s="199">
        <f ca="1">U377*'Expenditure Study'!$B$31</f>
        <v>4357644.5499955202</v>
      </c>
      <c r="W377" s="199">
        <f ca="1">IF(A377=10298,1.51,1)*IF($B377&lt;3,$D377*'Expenditure Study'!$B$32*OFFSET('Expenditure Study'!$B$7,'Operations Support'!$C377,'Operations Support'!$B377),0)</f>
        <v>0</v>
      </c>
      <c r="X377" s="200">
        <f ca="1">W377*'Expenditure Study'!$B$31</f>
        <v>0</v>
      </c>
      <c r="Y377" s="199">
        <f ca="1">U377*'Expenditure Study'!$B$31</f>
        <v>4357644.5499955202</v>
      </c>
      <c r="Z377" s="200">
        <f ca="1">W377*'Expenditure Study'!$B$31</f>
        <v>0</v>
      </c>
      <c r="AA377" s="195">
        <f t="shared" ca="1" si="78"/>
        <v>4357644.5499955202</v>
      </c>
      <c r="AB377" s="195">
        <f t="shared" ca="1" si="79"/>
        <v>4357644.5499955202</v>
      </c>
      <c r="AD377" s="196">
        <f>IFERROR($G377/SUMIF($A:$A,$A377,$G:$G)*SUMIF(Summary!$A$166:$A$242,$A377,Summary!$P$166:$P$242),0)</f>
        <v>813586.75227673608</v>
      </c>
      <c r="AE377" s="197">
        <f t="shared" ca="1" si="80"/>
        <v>3544057.7977187838</v>
      </c>
      <c r="AF377" s="196">
        <f>IFERROR(G377/SUMIF(A:A,A377,G:G)*SUMIF(Summary!$A$166:$A$242,'Operations Support'!A377,Summary!$Q$166:$Q$242),0)</f>
        <v>814606.55105798505</v>
      </c>
      <c r="AG377" s="196">
        <f t="shared" ca="1" si="81"/>
        <v>3543037.9989375351</v>
      </c>
      <c r="AI377" s="196">
        <f>IFERROR($G377/SUMIF($A:$A,$A377,$G:$G)*SUMIF(Summary!$A$247:$A$283,$A377,Summary!$P$247:$P$283),0)</f>
        <v>148377.9207841887</v>
      </c>
      <c r="AJ377" s="196">
        <f>IFERROR($G377/SUMIF($A:$A,$A377,$G:$G)*(SUMIF(Summary!$A$247:$A$283,$A377,Summary!$L$247:$L$283)+SUMIF(Summary!$A$297:$A$333,$A377,Summary!$L$297:$L$333))-AI377,0)</f>
        <v>261445.09641296868</v>
      </c>
      <c r="AK377" s="196">
        <f>IFERROR($G377/SUMIF($A:$A,$A377,$G:$G)*SUMIF(Summary!$A$247:$A$283,$A377,Summary!$Q$247:$Q$283),0)</f>
        <v>148563.90663309357</v>
      </c>
      <c r="AL377" s="196">
        <f>IFERROR($G377/SUMIF($A:$A,$A377,$G:$G)*(SUMIF(Summary!$A$247:$A$283,$A377,Summary!$L$247:$L$283)+SUMIF(Summary!$A$297:$A$333,$A377,Summary!$L$297:$L$333))-AK377,0)</f>
        <v>261259.1105640638</v>
      </c>
      <c r="AM377" s="198"/>
      <c r="AN377" s="196">
        <f t="shared" ca="1" si="82"/>
        <v>3805502.8941317527</v>
      </c>
      <c r="AO377" s="196">
        <f t="shared" ca="1" si="83"/>
        <v>3804297.1095015989</v>
      </c>
    </row>
    <row r="378" spans="1:41">
      <c r="A378" s="189">
        <v>3581</v>
      </c>
      <c r="B378" s="190">
        <v>3</v>
      </c>
      <c r="C378" s="191" t="s">
        <v>236</v>
      </c>
      <c r="D378" s="192">
        <f t="shared" si="70"/>
        <v>0</v>
      </c>
      <c r="E378" s="192">
        <f t="shared" si="71"/>
        <v>0</v>
      </c>
      <c r="F378" s="192">
        <f t="shared" si="72"/>
        <v>0</v>
      </c>
      <c r="G378" s="193">
        <f t="shared" si="73"/>
        <v>0</v>
      </c>
      <c r="H378" s="194">
        <v>0</v>
      </c>
      <c r="I378" s="194">
        <v>0</v>
      </c>
      <c r="J378" s="194">
        <v>0</v>
      </c>
      <c r="K378" s="193">
        <f t="shared" si="74"/>
        <v>0</v>
      </c>
      <c r="L378" s="194">
        <v>0</v>
      </c>
      <c r="M378" s="194">
        <v>0</v>
      </c>
      <c r="N378" s="194">
        <v>0</v>
      </c>
      <c r="O378" s="193">
        <f t="shared" si="75"/>
        <v>0</v>
      </c>
      <c r="P378" s="194">
        <v>0</v>
      </c>
      <c r="Q378" s="194">
        <v>0</v>
      </c>
      <c r="R378" s="194">
        <v>0</v>
      </c>
      <c r="S378" s="193">
        <f t="shared" si="76"/>
        <v>0</v>
      </c>
      <c r="T378" s="193">
        <f t="shared" si="77"/>
        <v>0</v>
      </c>
      <c r="U378" s="193">
        <f ca="1">OFFSET('Expenditure Study'!$B$7,'Operations Support'!$C378,'Operations Support'!$B378)*$G378</f>
        <v>0</v>
      </c>
      <c r="V378" s="199">
        <f ca="1">U378*'Expenditure Study'!$B$31</f>
        <v>0</v>
      </c>
      <c r="W378" s="199">
        <f ca="1">IF(A378=10298,1.51,1)*IF($B378&lt;3,$D378*'Expenditure Study'!$B$32*OFFSET('Expenditure Study'!$B$7,'Operations Support'!$C378,'Operations Support'!$B378),0)</f>
        <v>0</v>
      </c>
      <c r="X378" s="200">
        <f ca="1">W378*'Expenditure Study'!$B$31</f>
        <v>0</v>
      </c>
      <c r="Y378" s="199">
        <f ca="1">U378*'Expenditure Study'!$B$31</f>
        <v>0</v>
      </c>
      <c r="Z378" s="200">
        <f ca="1">W378*'Expenditure Study'!$B$31</f>
        <v>0</v>
      </c>
      <c r="AA378" s="195">
        <f t="shared" ca="1" si="78"/>
        <v>0</v>
      </c>
      <c r="AB378" s="195">
        <f t="shared" ca="1" si="79"/>
        <v>0</v>
      </c>
      <c r="AD378" s="196">
        <f>IFERROR($G378/SUMIF($A:$A,$A378,$G:$G)*SUMIF(Summary!$A$166:$A$242,$A378,Summary!$P$166:$P$242),0)</f>
        <v>0</v>
      </c>
      <c r="AE378" s="197">
        <f t="shared" ca="1" si="80"/>
        <v>0</v>
      </c>
      <c r="AF378" s="196">
        <f>IFERROR(G378/SUMIF(A:A,A378,G:G)*SUMIF(Summary!$A$166:$A$242,'Operations Support'!A378,Summary!$Q$166:$Q$242),0)</f>
        <v>0</v>
      </c>
      <c r="AG378" s="196">
        <f t="shared" ca="1" si="81"/>
        <v>0</v>
      </c>
      <c r="AI378" s="196">
        <f>IFERROR($G378/SUMIF($A:$A,$A378,$G:$G)*SUMIF(Summary!$A$247:$A$283,$A378,Summary!$P$247:$P$283),0)</f>
        <v>0</v>
      </c>
      <c r="AJ378" s="196">
        <f>IFERROR($G378/SUMIF($A:$A,$A378,$G:$G)*(SUMIF(Summary!$A$247:$A$283,$A378,Summary!$L$247:$L$283)+SUMIF(Summary!$A$297:$A$333,$A378,Summary!$L$297:$L$333))-AI378,0)</f>
        <v>0</v>
      </c>
      <c r="AK378" s="196">
        <f>IFERROR($G378/SUMIF($A:$A,$A378,$G:$G)*SUMIF(Summary!$A$247:$A$283,$A378,Summary!$Q$247:$Q$283),0)</f>
        <v>0</v>
      </c>
      <c r="AL378" s="196">
        <f>IFERROR($G378/SUMIF($A:$A,$A378,$G:$G)*(SUMIF(Summary!$A$247:$A$283,$A378,Summary!$L$247:$L$283)+SUMIF(Summary!$A$297:$A$333,$A378,Summary!$L$297:$L$333))-AK378,0)</f>
        <v>0</v>
      </c>
      <c r="AM378" s="198"/>
      <c r="AN378" s="196">
        <f t="shared" ca="1" si="82"/>
        <v>0</v>
      </c>
      <c r="AO378" s="196">
        <f t="shared" ca="1" si="83"/>
        <v>0</v>
      </c>
    </row>
    <row r="379" spans="1:41">
      <c r="A379" s="189">
        <v>3581</v>
      </c>
      <c r="B379" s="190">
        <v>3</v>
      </c>
      <c r="C379" s="191" t="s">
        <v>237</v>
      </c>
      <c r="D379" s="192">
        <f t="shared" si="70"/>
        <v>0</v>
      </c>
      <c r="E379" s="192">
        <f t="shared" si="71"/>
        <v>0</v>
      </c>
      <c r="F379" s="192">
        <f t="shared" si="72"/>
        <v>0</v>
      </c>
      <c r="G379" s="193">
        <f t="shared" si="73"/>
        <v>0</v>
      </c>
      <c r="H379" s="194">
        <v>0</v>
      </c>
      <c r="I379" s="194">
        <v>0</v>
      </c>
      <c r="J379" s="194">
        <v>0</v>
      </c>
      <c r="K379" s="193">
        <f t="shared" si="74"/>
        <v>0</v>
      </c>
      <c r="L379" s="194">
        <v>0</v>
      </c>
      <c r="M379" s="194">
        <v>0</v>
      </c>
      <c r="N379" s="194">
        <v>0</v>
      </c>
      <c r="O379" s="193">
        <f t="shared" si="75"/>
        <v>0</v>
      </c>
      <c r="P379" s="194">
        <v>0</v>
      </c>
      <c r="Q379" s="194">
        <v>0</v>
      </c>
      <c r="R379" s="194">
        <v>0</v>
      </c>
      <c r="S379" s="193">
        <f t="shared" si="76"/>
        <v>0</v>
      </c>
      <c r="T379" s="193">
        <f t="shared" si="77"/>
        <v>0</v>
      </c>
      <c r="U379" s="193">
        <f ca="1">OFFSET('Expenditure Study'!$B$7,'Operations Support'!$C379,'Operations Support'!$B379)*$G379</f>
        <v>0</v>
      </c>
      <c r="V379" s="199">
        <f ca="1">U379*'Expenditure Study'!$B$31</f>
        <v>0</v>
      </c>
      <c r="W379" s="199">
        <f ca="1">IF(A379=10298,1.51,1)*IF($B379&lt;3,$D379*'Expenditure Study'!$B$32*OFFSET('Expenditure Study'!$B$7,'Operations Support'!$C379,'Operations Support'!$B379),0)</f>
        <v>0</v>
      </c>
      <c r="X379" s="200">
        <f ca="1">W379*'Expenditure Study'!$B$31</f>
        <v>0</v>
      </c>
      <c r="Y379" s="199">
        <f ca="1">U379*'Expenditure Study'!$B$31</f>
        <v>0</v>
      </c>
      <c r="Z379" s="200">
        <f ca="1">W379*'Expenditure Study'!$B$31</f>
        <v>0</v>
      </c>
      <c r="AA379" s="195">
        <f t="shared" ca="1" si="78"/>
        <v>0</v>
      </c>
      <c r="AB379" s="195">
        <f t="shared" ca="1" si="79"/>
        <v>0</v>
      </c>
      <c r="AD379" s="196">
        <f>IFERROR($G379/SUMIF($A:$A,$A379,$G:$G)*SUMIF(Summary!$A$166:$A$242,$A379,Summary!$P$166:$P$242),0)</f>
        <v>0</v>
      </c>
      <c r="AE379" s="197">
        <f t="shared" ca="1" si="80"/>
        <v>0</v>
      </c>
      <c r="AF379" s="196">
        <f>IFERROR(G379/SUMIF(A:A,A379,G:G)*SUMIF(Summary!$A$166:$A$242,'Operations Support'!A379,Summary!$Q$166:$Q$242),0)</f>
        <v>0</v>
      </c>
      <c r="AG379" s="196">
        <f t="shared" ca="1" si="81"/>
        <v>0</v>
      </c>
      <c r="AI379" s="196">
        <f>IFERROR($G379/SUMIF($A:$A,$A379,$G:$G)*SUMIF(Summary!$A$247:$A$283,$A379,Summary!$P$247:$P$283),0)</f>
        <v>0</v>
      </c>
      <c r="AJ379" s="196">
        <f>IFERROR($G379/SUMIF($A:$A,$A379,$G:$G)*(SUMIF(Summary!$A$247:$A$283,$A379,Summary!$L$247:$L$283)+SUMIF(Summary!$A$297:$A$333,$A379,Summary!$L$297:$L$333))-AI379,0)</f>
        <v>0</v>
      </c>
      <c r="AK379" s="196">
        <f>IFERROR($G379/SUMIF($A:$A,$A379,$G:$G)*SUMIF(Summary!$A$247:$A$283,$A379,Summary!$Q$247:$Q$283),0)</f>
        <v>0</v>
      </c>
      <c r="AL379" s="196">
        <f>IFERROR($G379/SUMIF($A:$A,$A379,$G:$G)*(SUMIF(Summary!$A$247:$A$283,$A379,Summary!$L$247:$L$283)+SUMIF(Summary!$A$297:$A$333,$A379,Summary!$L$297:$L$333))-AK379,0)</f>
        <v>0</v>
      </c>
      <c r="AM379" s="198"/>
      <c r="AN379" s="196">
        <f t="shared" ca="1" si="82"/>
        <v>0</v>
      </c>
      <c r="AO379" s="196">
        <f t="shared" ca="1" si="83"/>
        <v>0</v>
      </c>
    </row>
    <row r="380" spans="1:41">
      <c r="A380" s="189">
        <v>3581</v>
      </c>
      <c r="B380" s="190">
        <v>3</v>
      </c>
      <c r="C380" s="191" t="s">
        <v>238</v>
      </c>
      <c r="D380" s="192">
        <f t="shared" si="70"/>
        <v>171</v>
      </c>
      <c r="E380" s="192">
        <f t="shared" si="71"/>
        <v>0</v>
      </c>
      <c r="F380" s="192">
        <f t="shared" si="72"/>
        <v>0</v>
      </c>
      <c r="G380" s="193">
        <f t="shared" si="73"/>
        <v>171</v>
      </c>
      <c r="H380" s="194">
        <v>171</v>
      </c>
      <c r="I380" s="194">
        <v>0</v>
      </c>
      <c r="J380" s="194">
        <v>0</v>
      </c>
      <c r="K380" s="193">
        <f t="shared" si="74"/>
        <v>171</v>
      </c>
      <c r="L380" s="194">
        <v>0</v>
      </c>
      <c r="M380" s="194">
        <v>0</v>
      </c>
      <c r="N380" s="194">
        <v>0</v>
      </c>
      <c r="O380" s="193">
        <f t="shared" si="75"/>
        <v>0</v>
      </c>
      <c r="P380" s="194">
        <v>0</v>
      </c>
      <c r="Q380" s="194">
        <v>0</v>
      </c>
      <c r="R380" s="194">
        <v>0</v>
      </c>
      <c r="S380" s="193">
        <f t="shared" si="76"/>
        <v>0</v>
      </c>
      <c r="T380" s="193">
        <f t="shared" si="77"/>
        <v>7.125</v>
      </c>
      <c r="U380" s="193">
        <f ca="1">OFFSET('Expenditure Study'!$B$7,'Operations Support'!$C380,'Operations Support'!$B380)*$G380</f>
        <v>998.64</v>
      </c>
      <c r="V380" s="199">
        <f ca="1">U380*'Expenditure Study'!$B$31</f>
        <v>59002.827674111999</v>
      </c>
      <c r="W380" s="199">
        <f ca="1">IF(A380=10298,1.51,1)*IF($B380&lt;3,$D380*'Expenditure Study'!$B$32*OFFSET('Expenditure Study'!$B$7,'Operations Support'!$C380,'Operations Support'!$B380),0)</f>
        <v>0</v>
      </c>
      <c r="X380" s="200">
        <f ca="1">W380*'Expenditure Study'!$B$31</f>
        <v>0</v>
      </c>
      <c r="Y380" s="199">
        <f ca="1">U380*'Expenditure Study'!$B$31</f>
        <v>59002.827674111999</v>
      </c>
      <c r="Z380" s="200">
        <f ca="1">W380*'Expenditure Study'!$B$31</f>
        <v>0</v>
      </c>
      <c r="AA380" s="195">
        <f t="shared" ca="1" si="78"/>
        <v>59002.827674111999</v>
      </c>
      <c r="AB380" s="195">
        <f t="shared" ca="1" si="79"/>
        <v>59002.827674111999</v>
      </c>
      <c r="AD380" s="196">
        <f>IFERROR($G380/SUMIF($A:$A,$A380,$G:$G)*SUMIF(Summary!$A$166:$A$242,$A380,Summary!$P$166:$P$242),0)</f>
        <v>5960.7255629529509</v>
      </c>
      <c r="AE380" s="197">
        <f t="shared" ca="1" si="80"/>
        <v>53042.102111159045</v>
      </c>
      <c r="AF380" s="196">
        <f>IFERROR(G380/SUMIF(A:A,A380,G:G)*SUMIF(Summary!$A$166:$A$242,'Operations Support'!A380,Summary!$Q$166:$Q$242),0)</f>
        <v>5968.1970964402508</v>
      </c>
      <c r="AG380" s="196">
        <f t="shared" ca="1" si="81"/>
        <v>53034.630577671749</v>
      </c>
      <c r="AI380" s="196">
        <f>IFERROR($G380/SUMIF($A:$A,$A380,$G:$G)*SUMIF(Summary!$A$247:$A$283,$A380,Summary!$P$247:$P$283),0)</f>
        <v>1087.0875944342874</v>
      </c>
      <c r="AJ380" s="196">
        <f>IFERROR($G380/SUMIF($A:$A,$A380,$G:$G)*(SUMIF(Summary!$A$247:$A$283,$A380,Summary!$L$247:$L$283)+SUMIF(Summary!$A$297:$A$333,$A380,Summary!$L$297:$L$333))-AI380,0)</f>
        <v>1915.4717860590249</v>
      </c>
      <c r="AK380" s="196">
        <f>IFERROR($G380/SUMIF($A:$A,$A380,$G:$G)*SUMIF(Summary!$A$247:$A$283,$A380,Summary!$Q$247:$Q$283),0)</f>
        <v>1088.4502156923309</v>
      </c>
      <c r="AL380" s="196">
        <f>IFERROR($G380/SUMIF($A:$A,$A380,$G:$G)*(SUMIF(Summary!$A$247:$A$283,$A380,Summary!$L$247:$L$283)+SUMIF(Summary!$A$297:$A$333,$A380,Summary!$L$297:$L$333))-AK380,0)</f>
        <v>1914.1091648009815</v>
      </c>
      <c r="AM380" s="198"/>
      <c r="AN380" s="196">
        <f t="shared" ca="1" si="82"/>
        <v>54957.57389721807</v>
      </c>
      <c r="AO380" s="196">
        <f t="shared" ca="1" si="83"/>
        <v>54948.739742472731</v>
      </c>
    </row>
    <row r="381" spans="1:41" s="201" customFormat="1">
      <c r="A381" s="189">
        <v>3581</v>
      </c>
      <c r="B381" s="190">
        <v>3</v>
      </c>
      <c r="C381" s="191" t="s">
        <v>239</v>
      </c>
      <c r="D381" s="192">
        <f t="shared" si="70"/>
        <v>763</v>
      </c>
      <c r="E381" s="192">
        <f t="shared" si="71"/>
        <v>6</v>
      </c>
      <c r="F381" s="192">
        <f t="shared" si="72"/>
        <v>0</v>
      </c>
      <c r="G381" s="193">
        <f t="shared" si="73"/>
        <v>769</v>
      </c>
      <c r="H381" s="194">
        <v>354</v>
      </c>
      <c r="I381" s="194">
        <v>0</v>
      </c>
      <c r="J381" s="194">
        <v>0</v>
      </c>
      <c r="K381" s="193">
        <f t="shared" si="74"/>
        <v>354</v>
      </c>
      <c r="L381" s="194">
        <v>340</v>
      </c>
      <c r="M381" s="194">
        <v>6</v>
      </c>
      <c r="N381" s="194">
        <v>0</v>
      </c>
      <c r="O381" s="193">
        <f t="shared" si="75"/>
        <v>346</v>
      </c>
      <c r="P381" s="194">
        <v>69</v>
      </c>
      <c r="Q381" s="194">
        <v>0</v>
      </c>
      <c r="R381" s="194">
        <v>0</v>
      </c>
      <c r="S381" s="193">
        <f t="shared" si="76"/>
        <v>69</v>
      </c>
      <c r="T381" s="193">
        <f t="shared" si="77"/>
        <v>32.041666666666664</v>
      </c>
      <c r="U381" s="193">
        <f ca="1">OFFSET('Expenditure Study'!$B$7,'Operations Support'!$C381,'Operations Support'!$B381)*$G381</f>
        <v>2091.6800000000003</v>
      </c>
      <c r="V381" s="199">
        <f ca="1">U381*'Expenditure Study'!$B$31</f>
        <v>123583.10761574403</v>
      </c>
      <c r="W381" s="199">
        <f ca="1">IF(A381=10298,1.51,1)*IF($B381&lt;3,$D381*'Expenditure Study'!$B$32*OFFSET('Expenditure Study'!$B$7,'Operations Support'!$C381,'Operations Support'!$B381),0)</f>
        <v>0</v>
      </c>
      <c r="X381" s="200">
        <f ca="1">W381*'Expenditure Study'!$B$31</f>
        <v>0</v>
      </c>
      <c r="Y381" s="199">
        <f ca="1">U381*'Expenditure Study'!$B$31</f>
        <v>123583.10761574403</v>
      </c>
      <c r="Z381" s="200">
        <f ca="1">W381*'Expenditure Study'!$B$31</f>
        <v>0</v>
      </c>
      <c r="AA381" s="195">
        <f t="shared" ca="1" si="78"/>
        <v>123583.10761574403</v>
      </c>
      <c r="AB381" s="195">
        <f t="shared" ca="1" si="79"/>
        <v>123583.10761574403</v>
      </c>
      <c r="AD381" s="196">
        <f>IFERROR($G381/SUMIF($A:$A,$A381,$G:$G)*SUMIF(Summary!$A$166:$A$242,$A381,Summary!$P$166:$P$242),0)</f>
        <v>26805.836011174379</v>
      </c>
      <c r="AE381" s="197">
        <f t="shared" ca="1" si="80"/>
        <v>96777.271604569643</v>
      </c>
      <c r="AF381" s="196">
        <f>IFERROR(G381/SUMIF(A:A,A381,G:G)*SUMIF(Summary!$A$166:$A$242,'Operations Support'!A381,Summary!$Q$166:$Q$242),0)</f>
        <v>26839.436065278085</v>
      </c>
      <c r="AG381" s="196">
        <f t="shared" ca="1" si="81"/>
        <v>96743.671550465937</v>
      </c>
      <c r="AH381" s="180"/>
      <c r="AI381" s="196">
        <f>IFERROR($G381/SUMIF($A:$A,$A381,$G:$G)*SUMIF(Summary!$A$247:$A$283,$A381,Summary!$P$247:$P$283),0)</f>
        <v>4888.715556257117</v>
      </c>
      <c r="AJ381" s="196">
        <f>IFERROR($G381/SUMIF($A:$A,$A381,$G:$G)*(SUMIF(Summary!$A$247:$A$283,$A381,Summary!$L$247:$L$283)+SUMIF(Summary!$A$297:$A$333,$A381,Summary!$L$297:$L$333))-AI381,0)</f>
        <v>8614.022242569532</v>
      </c>
      <c r="AK381" s="196">
        <f>IFERROR($G381/SUMIF($A:$A,$A381,$G:$G)*SUMIF(Summary!$A$247:$A$283,$A381,Summary!$Q$247:$Q$283),0)</f>
        <v>4894.8433676456279</v>
      </c>
      <c r="AL381" s="196">
        <f>IFERROR($G381/SUMIF($A:$A,$A381,$G:$G)*(SUMIF(Summary!$A$247:$A$283,$A381,Summary!$L$247:$L$283)+SUMIF(Summary!$A$297:$A$333,$A381,Summary!$L$297:$L$333))-AK381,0)</f>
        <v>8607.894431181021</v>
      </c>
      <c r="AM381" s="198"/>
      <c r="AN381" s="196">
        <f t="shared" ca="1" si="82"/>
        <v>105391.29384713917</v>
      </c>
      <c r="AO381" s="196">
        <f t="shared" ca="1" si="83"/>
        <v>105351.56598164696</v>
      </c>
    </row>
    <row r="382" spans="1:41">
      <c r="A382" s="189">
        <v>3581</v>
      </c>
      <c r="B382" s="190">
        <v>3</v>
      </c>
      <c r="C382" s="191" t="s">
        <v>240</v>
      </c>
      <c r="D382" s="192">
        <f t="shared" si="70"/>
        <v>0</v>
      </c>
      <c r="E382" s="192">
        <f t="shared" si="71"/>
        <v>0</v>
      </c>
      <c r="F382" s="192">
        <f t="shared" si="72"/>
        <v>0</v>
      </c>
      <c r="G382" s="193">
        <f t="shared" si="73"/>
        <v>0</v>
      </c>
      <c r="H382" s="194">
        <v>0</v>
      </c>
      <c r="I382" s="194">
        <v>0</v>
      </c>
      <c r="J382" s="194">
        <v>0</v>
      </c>
      <c r="K382" s="193">
        <f t="shared" si="74"/>
        <v>0</v>
      </c>
      <c r="L382" s="194">
        <v>0</v>
      </c>
      <c r="M382" s="194">
        <v>0</v>
      </c>
      <c r="N382" s="194">
        <v>0</v>
      </c>
      <c r="O382" s="193">
        <f t="shared" si="75"/>
        <v>0</v>
      </c>
      <c r="P382" s="194">
        <v>0</v>
      </c>
      <c r="Q382" s="194">
        <v>0</v>
      </c>
      <c r="R382" s="194">
        <v>0</v>
      </c>
      <c r="S382" s="193">
        <f t="shared" si="76"/>
        <v>0</v>
      </c>
      <c r="T382" s="193">
        <f t="shared" si="77"/>
        <v>0</v>
      </c>
      <c r="U382" s="193">
        <f ca="1">OFFSET('Expenditure Study'!$B$7,'Operations Support'!$C382,'Operations Support'!$B382)*$G382</f>
        <v>0</v>
      </c>
      <c r="V382" s="199">
        <f ca="1">U382*'Expenditure Study'!$B$31</f>
        <v>0</v>
      </c>
      <c r="W382" s="199">
        <f ca="1">IF(A382=10298,1.51,1)*IF($B382&lt;3,$D382*'Expenditure Study'!$B$32*OFFSET('Expenditure Study'!$B$7,'Operations Support'!$C382,'Operations Support'!$B382),0)</f>
        <v>0</v>
      </c>
      <c r="X382" s="200">
        <f ca="1">W382*'Expenditure Study'!$B$31</f>
        <v>0</v>
      </c>
      <c r="Y382" s="199">
        <f ca="1">U382*'Expenditure Study'!$B$31</f>
        <v>0</v>
      </c>
      <c r="Z382" s="200">
        <f ca="1">W382*'Expenditure Study'!$B$31</f>
        <v>0</v>
      </c>
      <c r="AA382" s="195">
        <f t="shared" ca="1" si="78"/>
        <v>0</v>
      </c>
      <c r="AB382" s="195">
        <f t="shared" ca="1" si="79"/>
        <v>0</v>
      </c>
      <c r="AD382" s="196">
        <f>IFERROR($G382/SUMIF($A:$A,$A382,$G:$G)*SUMIF(Summary!$A$166:$A$242,$A382,Summary!$P$166:$P$242),0)</f>
        <v>0</v>
      </c>
      <c r="AE382" s="197">
        <f t="shared" ca="1" si="80"/>
        <v>0</v>
      </c>
      <c r="AF382" s="196">
        <f>IFERROR(G382/SUMIF(A:A,A382,G:G)*SUMIF(Summary!$A$166:$A$242,'Operations Support'!A382,Summary!$Q$166:$Q$242),0)</f>
        <v>0</v>
      </c>
      <c r="AG382" s="196">
        <f t="shared" ca="1" si="81"/>
        <v>0</v>
      </c>
      <c r="AI382" s="196">
        <f>IFERROR($G382/SUMIF($A:$A,$A382,$G:$G)*SUMIF(Summary!$A$247:$A$283,$A382,Summary!$P$247:$P$283),0)</f>
        <v>0</v>
      </c>
      <c r="AJ382" s="196">
        <f>IFERROR($G382/SUMIF($A:$A,$A382,$G:$G)*(SUMIF(Summary!$A$247:$A$283,$A382,Summary!$L$247:$L$283)+SUMIF(Summary!$A$297:$A$333,$A382,Summary!$L$297:$L$333))-AI382,0)</f>
        <v>0</v>
      </c>
      <c r="AK382" s="196">
        <f>IFERROR($G382/SUMIF($A:$A,$A382,$G:$G)*SUMIF(Summary!$A$247:$A$283,$A382,Summary!$Q$247:$Q$283),0)</f>
        <v>0</v>
      </c>
      <c r="AL382" s="196">
        <f>IFERROR($G382/SUMIF($A:$A,$A382,$G:$G)*(SUMIF(Summary!$A$247:$A$283,$A382,Summary!$L$247:$L$283)+SUMIF(Summary!$A$297:$A$333,$A382,Summary!$L$297:$L$333))-AK382,0)</f>
        <v>0</v>
      </c>
      <c r="AM382" s="198"/>
      <c r="AN382" s="196">
        <f t="shared" ca="1" si="82"/>
        <v>0</v>
      </c>
      <c r="AO382" s="196">
        <f t="shared" ca="1" si="83"/>
        <v>0</v>
      </c>
    </row>
    <row r="383" spans="1:41">
      <c r="A383" s="189">
        <v>3581</v>
      </c>
      <c r="B383" s="190">
        <v>4</v>
      </c>
      <c r="C383" s="191" t="s">
        <v>220</v>
      </c>
      <c r="D383" s="192">
        <f t="shared" si="70"/>
        <v>54</v>
      </c>
      <c r="E383" s="192">
        <f t="shared" si="71"/>
        <v>0</v>
      </c>
      <c r="F383" s="192">
        <f t="shared" si="72"/>
        <v>0</v>
      </c>
      <c r="G383" s="193">
        <f t="shared" si="73"/>
        <v>54</v>
      </c>
      <c r="H383" s="194">
        <v>6</v>
      </c>
      <c r="I383" s="194">
        <v>0</v>
      </c>
      <c r="J383" s="194">
        <v>0</v>
      </c>
      <c r="K383" s="193">
        <f t="shared" si="74"/>
        <v>6</v>
      </c>
      <c r="L383" s="194">
        <v>24</v>
      </c>
      <c r="M383" s="194">
        <v>0</v>
      </c>
      <c r="N383" s="194">
        <v>0</v>
      </c>
      <c r="O383" s="193">
        <f t="shared" si="75"/>
        <v>24</v>
      </c>
      <c r="P383" s="194">
        <v>24</v>
      </c>
      <c r="Q383" s="194">
        <v>0</v>
      </c>
      <c r="R383" s="194">
        <v>0</v>
      </c>
      <c r="S383" s="193">
        <f t="shared" si="76"/>
        <v>24</v>
      </c>
      <c r="T383" s="193">
        <f t="shared" si="77"/>
        <v>3</v>
      </c>
      <c r="U383" s="193">
        <f ca="1">OFFSET('Expenditure Study'!$B$7,'Operations Support'!$C383,'Operations Support'!$B383)*$G383</f>
        <v>795.42000000000007</v>
      </c>
      <c r="V383" s="199">
        <f ca="1">U383*'Expenditure Study'!$B$31</f>
        <v>46995.943671936002</v>
      </c>
      <c r="W383" s="199">
        <f ca="1">IF(A383=10298,1.51,1)*IF($B383&lt;3,$D383*'Expenditure Study'!$B$32*OFFSET('Expenditure Study'!$B$7,'Operations Support'!$C383,'Operations Support'!$B383),0)</f>
        <v>0</v>
      </c>
      <c r="X383" s="200">
        <f ca="1">W383*'Expenditure Study'!$B$31</f>
        <v>0</v>
      </c>
      <c r="Y383" s="199">
        <f ca="1">U383*'Expenditure Study'!$B$31</f>
        <v>46995.943671936002</v>
      </c>
      <c r="Z383" s="200">
        <f ca="1">W383*'Expenditure Study'!$B$31</f>
        <v>0</v>
      </c>
      <c r="AA383" s="195">
        <f t="shared" ca="1" si="78"/>
        <v>46995.943671936002</v>
      </c>
      <c r="AB383" s="195">
        <f t="shared" ca="1" si="79"/>
        <v>46995.943671936002</v>
      </c>
      <c r="AD383" s="196">
        <f>IFERROR($G383/SUMIF($A:$A,$A383,$G:$G)*SUMIF(Summary!$A$166:$A$242,$A383,Summary!$P$166:$P$242),0)</f>
        <v>1882.3343883009318</v>
      </c>
      <c r="AE383" s="197">
        <f t="shared" ca="1" si="80"/>
        <v>45113.609283635073</v>
      </c>
      <c r="AF383" s="196">
        <f>IFERROR(G383/SUMIF(A:A,A383,G:G)*SUMIF(Summary!$A$166:$A$242,'Operations Support'!A383,Summary!$Q$166:$Q$242),0)</f>
        <v>1884.6938199285</v>
      </c>
      <c r="AG383" s="196">
        <f t="shared" ca="1" si="81"/>
        <v>45111.249852007502</v>
      </c>
      <c r="AI383" s="196">
        <f>IFERROR($G383/SUMIF($A:$A,$A383,$G:$G)*SUMIF(Summary!$A$247:$A$283,$A383,Summary!$P$247:$P$283),0)</f>
        <v>343.29081929503815</v>
      </c>
      <c r="AJ383" s="196">
        <f>IFERROR($G383/SUMIF($A:$A,$A383,$G:$G)*(SUMIF(Summary!$A$247:$A$283,$A383,Summary!$L$247:$L$283)+SUMIF(Summary!$A$297:$A$333,$A383,Summary!$L$297:$L$333))-AI383,0)</f>
        <v>604.88582717653412</v>
      </c>
      <c r="AK383" s="196">
        <f>IFERROR($G383/SUMIF($A:$A,$A383,$G:$G)*SUMIF(Summary!$A$247:$A$283,$A383,Summary!$Q$247:$Q$283),0)</f>
        <v>343.72112074494657</v>
      </c>
      <c r="AL383" s="196">
        <f>IFERROR($G383/SUMIF($A:$A,$A383,$G:$G)*(SUMIF(Summary!$A$247:$A$283,$A383,Summary!$L$247:$L$283)+SUMIF(Summary!$A$297:$A$333,$A383,Summary!$L$297:$L$333))-AK383,0)</f>
        <v>604.45552572662575</v>
      </c>
      <c r="AM383" s="198"/>
      <c r="AN383" s="196">
        <f t="shared" ca="1" si="82"/>
        <v>45718.495110811607</v>
      </c>
      <c r="AO383" s="196">
        <f t="shared" ca="1" si="83"/>
        <v>45715.705377734128</v>
      </c>
    </row>
    <row r="384" spans="1:41">
      <c r="A384" s="189">
        <v>3581</v>
      </c>
      <c r="B384" s="190">
        <v>4</v>
      </c>
      <c r="C384" s="191" t="s">
        <v>221</v>
      </c>
      <c r="D384" s="192">
        <f t="shared" si="70"/>
        <v>0</v>
      </c>
      <c r="E384" s="192">
        <f t="shared" si="71"/>
        <v>0</v>
      </c>
      <c r="F384" s="192">
        <f t="shared" si="72"/>
        <v>0</v>
      </c>
      <c r="G384" s="193">
        <f t="shared" si="73"/>
        <v>0</v>
      </c>
      <c r="H384" s="194">
        <v>0</v>
      </c>
      <c r="I384" s="194">
        <v>0</v>
      </c>
      <c r="J384" s="194">
        <v>0</v>
      </c>
      <c r="K384" s="193">
        <f t="shared" si="74"/>
        <v>0</v>
      </c>
      <c r="L384" s="194">
        <v>0</v>
      </c>
      <c r="M384" s="194">
        <v>0</v>
      </c>
      <c r="N384" s="194">
        <v>0</v>
      </c>
      <c r="O384" s="193">
        <f t="shared" si="75"/>
        <v>0</v>
      </c>
      <c r="P384" s="194">
        <v>0</v>
      </c>
      <c r="Q384" s="194">
        <v>0</v>
      </c>
      <c r="R384" s="194">
        <v>0</v>
      </c>
      <c r="S384" s="193">
        <f t="shared" si="76"/>
        <v>0</v>
      </c>
      <c r="T384" s="193">
        <f t="shared" si="77"/>
        <v>0</v>
      </c>
      <c r="U384" s="193">
        <f ca="1">OFFSET('Expenditure Study'!$B$7,'Operations Support'!$C384,'Operations Support'!$B384)*$G384</f>
        <v>0</v>
      </c>
      <c r="V384" s="199">
        <f ca="1">U384*'Expenditure Study'!$B$31</f>
        <v>0</v>
      </c>
      <c r="W384" s="199">
        <f ca="1">IF(A384=10298,1.51,1)*IF($B384&lt;3,$D384*'Expenditure Study'!$B$32*OFFSET('Expenditure Study'!$B$7,'Operations Support'!$C384,'Operations Support'!$B384),0)</f>
        <v>0</v>
      </c>
      <c r="X384" s="200">
        <f ca="1">W384*'Expenditure Study'!$B$31</f>
        <v>0</v>
      </c>
      <c r="Y384" s="199">
        <f ca="1">U384*'Expenditure Study'!$B$31</f>
        <v>0</v>
      </c>
      <c r="Z384" s="200">
        <f ca="1">W384*'Expenditure Study'!$B$31</f>
        <v>0</v>
      </c>
      <c r="AA384" s="195">
        <f t="shared" ca="1" si="78"/>
        <v>0</v>
      </c>
      <c r="AB384" s="195">
        <f t="shared" ca="1" si="79"/>
        <v>0</v>
      </c>
      <c r="AD384" s="196">
        <f>IFERROR($G384/SUMIF($A:$A,$A384,$G:$G)*SUMIF(Summary!$A$166:$A$242,$A384,Summary!$P$166:$P$242),0)</f>
        <v>0</v>
      </c>
      <c r="AE384" s="197">
        <f t="shared" ca="1" si="80"/>
        <v>0</v>
      </c>
      <c r="AF384" s="196">
        <f>IFERROR(G384/SUMIF(A:A,A384,G:G)*SUMIF(Summary!$A$166:$A$242,'Operations Support'!A384,Summary!$Q$166:$Q$242),0)</f>
        <v>0</v>
      </c>
      <c r="AG384" s="196">
        <f t="shared" ca="1" si="81"/>
        <v>0</v>
      </c>
      <c r="AI384" s="196">
        <f>IFERROR($G384/SUMIF($A:$A,$A384,$G:$G)*SUMIF(Summary!$A$247:$A$283,$A384,Summary!$P$247:$P$283),0)</f>
        <v>0</v>
      </c>
      <c r="AJ384" s="196">
        <f>IFERROR($G384/SUMIF($A:$A,$A384,$G:$G)*(SUMIF(Summary!$A$247:$A$283,$A384,Summary!$L$247:$L$283)+SUMIF(Summary!$A$297:$A$333,$A384,Summary!$L$297:$L$333))-AI384,0)</f>
        <v>0</v>
      </c>
      <c r="AK384" s="196">
        <f>IFERROR($G384/SUMIF($A:$A,$A384,$G:$G)*SUMIF(Summary!$A$247:$A$283,$A384,Summary!$Q$247:$Q$283),0)</f>
        <v>0</v>
      </c>
      <c r="AL384" s="196">
        <f>IFERROR($G384/SUMIF($A:$A,$A384,$G:$G)*(SUMIF(Summary!$A$247:$A$283,$A384,Summary!$L$247:$L$283)+SUMIF(Summary!$A$297:$A$333,$A384,Summary!$L$297:$L$333))-AK384,0)</f>
        <v>0</v>
      </c>
      <c r="AM384" s="198"/>
      <c r="AN384" s="196">
        <f t="shared" ca="1" si="82"/>
        <v>0</v>
      </c>
      <c r="AO384" s="196">
        <f t="shared" ca="1" si="83"/>
        <v>0</v>
      </c>
    </row>
    <row r="385" spans="1:41">
      <c r="A385" s="189">
        <v>3581</v>
      </c>
      <c r="B385" s="190">
        <v>4</v>
      </c>
      <c r="C385" s="191" t="s">
        <v>222</v>
      </c>
      <c r="D385" s="192">
        <f t="shared" si="70"/>
        <v>0</v>
      </c>
      <c r="E385" s="192">
        <f t="shared" si="71"/>
        <v>0</v>
      </c>
      <c r="F385" s="192">
        <f t="shared" si="72"/>
        <v>0</v>
      </c>
      <c r="G385" s="193">
        <f t="shared" si="73"/>
        <v>0</v>
      </c>
      <c r="H385" s="194">
        <v>0</v>
      </c>
      <c r="I385" s="194">
        <v>0</v>
      </c>
      <c r="J385" s="194">
        <v>0</v>
      </c>
      <c r="K385" s="193">
        <f t="shared" si="74"/>
        <v>0</v>
      </c>
      <c r="L385" s="194">
        <v>0</v>
      </c>
      <c r="M385" s="194">
        <v>0</v>
      </c>
      <c r="N385" s="194">
        <v>0</v>
      </c>
      <c r="O385" s="193">
        <f t="shared" si="75"/>
        <v>0</v>
      </c>
      <c r="P385" s="194">
        <v>0</v>
      </c>
      <c r="Q385" s="194">
        <v>0</v>
      </c>
      <c r="R385" s="194">
        <v>0</v>
      </c>
      <c r="S385" s="193">
        <f t="shared" si="76"/>
        <v>0</v>
      </c>
      <c r="T385" s="193">
        <f t="shared" si="77"/>
        <v>0</v>
      </c>
      <c r="U385" s="193">
        <f ca="1">OFFSET('Expenditure Study'!$B$7,'Operations Support'!$C385,'Operations Support'!$B385)*$G385</f>
        <v>0</v>
      </c>
      <c r="V385" s="199">
        <f ca="1">U385*'Expenditure Study'!$B$31</f>
        <v>0</v>
      </c>
      <c r="W385" s="199">
        <f ca="1">IF(A385=10298,1.51,1)*IF($B385&lt;3,$D385*'Expenditure Study'!$B$32*OFFSET('Expenditure Study'!$B$7,'Operations Support'!$C385,'Operations Support'!$B385),0)</f>
        <v>0</v>
      </c>
      <c r="X385" s="200">
        <f ca="1">W385*'Expenditure Study'!$B$31</f>
        <v>0</v>
      </c>
      <c r="Y385" s="199">
        <f ca="1">U385*'Expenditure Study'!$B$31</f>
        <v>0</v>
      </c>
      <c r="Z385" s="200">
        <f ca="1">W385*'Expenditure Study'!$B$31</f>
        <v>0</v>
      </c>
      <c r="AA385" s="195">
        <f t="shared" ca="1" si="78"/>
        <v>0</v>
      </c>
      <c r="AB385" s="195">
        <f t="shared" ca="1" si="79"/>
        <v>0</v>
      </c>
      <c r="AD385" s="196">
        <f>IFERROR($G385/SUMIF($A:$A,$A385,$G:$G)*SUMIF(Summary!$A$166:$A$242,$A385,Summary!$P$166:$P$242),0)</f>
        <v>0</v>
      </c>
      <c r="AE385" s="197">
        <f t="shared" ca="1" si="80"/>
        <v>0</v>
      </c>
      <c r="AF385" s="196">
        <f>IFERROR(G385/SUMIF(A:A,A385,G:G)*SUMIF(Summary!$A$166:$A$242,'Operations Support'!A385,Summary!$Q$166:$Q$242),0)</f>
        <v>0</v>
      </c>
      <c r="AG385" s="196">
        <f t="shared" ca="1" si="81"/>
        <v>0</v>
      </c>
      <c r="AI385" s="196">
        <f>IFERROR($G385/SUMIF($A:$A,$A385,$G:$G)*SUMIF(Summary!$A$247:$A$283,$A385,Summary!$P$247:$P$283),0)</f>
        <v>0</v>
      </c>
      <c r="AJ385" s="196">
        <f>IFERROR($G385/SUMIF($A:$A,$A385,$G:$G)*(SUMIF(Summary!$A$247:$A$283,$A385,Summary!$L$247:$L$283)+SUMIF(Summary!$A$297:$A$333,$A385,Summary!$L$297:$L$333))-AI385,0)</f>
        <v>0</v>
      </c>
      <c r="AK385" s="196">
        <f>IFERROR($G385/SUMIF($A:$A,$A385,$G:$G)*SUMIF(Summary!$A$247:$A$283,$A385,Summary!$Q$247:$Q$283),0)</f>
        <v>0</v>
      </c>
      <c r="AL385" s="196">
        <f>IFERROR($G385/SUMIF($A:$A,$A385,$G:$G)*(SUMIF(Summary!$A$247:$A$283,$A385,Summary!$L$247:$L$283)+SUMIF(Summary!$A$297:$A$333,$A385,Summary!$L$297:$L$333))-AK385,0)</f>
        <v>0</v>
      </c>
      <c r="AM385" s="198"/>
      <c r="AN385" s="196">
        <f t="shared" ca="1" si="82"/>
        <v>0</v>
      </c>
      <c r="AO385" s="196">
        <f t="shared" ca="1" si="83"/>
        <v>0</v>
      </c>
    </row>
    <row r="386" spans="1:41">
      <c r="A386" s="189">
        <v>3581</v>
      </c>
      <c r="B386" s="190">
        <v>4</v>
      </c>
      <c r="C386" s="191" t="s">
        <v>223</v>
      </c>
      <c r="D386" s="192">
        <f t="shared" si="70"/>
        <v>2724</v>
      </c>
      <c r="E386" s="192">
        <f t="shared" si="71"/>
        <v>1830</v>
      </c>
      <c r="F386" s="192">
        <f t="shared" si="72"/>
        <v>42</v>
      </c>
      <c r="G386" s="193">
        <f t="shared" si="73"/>
        <v>4512</v>
      </c>
      <c r="H386" s="194">
        <v>891</v>
      </c>
      <c r="I386" s="194">
        <v>585</v>
      </c>
      <c r="J386" s="194">
        <v>15</v>
      </c>
      <c r="K386" s="193">
        <f t="shared" si="74"/>
        <v>1461</v>
      </c>
      <c r="L386" s="194">
        <v>864</v>
      </c>
      <c r="M386" s="194">
        <v>726</v>
      </c>
      <c r="N386" s="194">
        <v>18</v>
      </c>
      <c r="O386" s="193">
        <f t="shared" si="75"/>
        <v>1572</v>
      </c>
      <c r="P386" s="194">
        <v>969</v>
      </c>
      <c r="Q386" s="194">
        <v>519</v>
      </c>
      <c r="R386" s="194">
        <v>9</v>
      </c>
      <c r="S386" s="193">
        <f t="shared" si="76"/>
        <v>1479</v>
      </c>
      <c r="T386" s="193">
        <f t="shared" si="77"/>
        <v>250.66666666666666</v>
      </c>
      <c r="U386" s="193">
        <f ca="1">OFFSET('Expenditure Study'!$B$7,'Operations Support'!$C386,'Operations Support'!$B386)*$G386</f>
        <v>35283.840000000004</v>
      </c>
      <c r="V386" s="199">
        <f ca="1">U386*'Expenditure Study'!$B$31</f>
        <v>2084681.4980382721</v>
      </c>
      <c r="W386" s="199">
        <f ca="1">IF(A386=10298,1.51,1)*IF($B386&lt;3,$D386*'Expenditure Study'!$B$32*OFFSET('Expenditure Study'!$B$7,'Operations Support'!$C386,'Operations Support'!$B386),0)</f>
        <v>0</v>
      </c>
      <c r="X386" s="200">
        <f ca="1">W386*'Expenditure Study'!$B$31</f>
        <v>0</v>
      </c>
      <c r="Y386" s="199">
        <f ca="1">U386*'Expenditure Study'!$B$31</f>
        <v>2084681.4980382721</v>
      </c>
      <c r="Z386" s="200">
        <f ca="1">W386*'Expenditure Study'!$B$31</f>
        <v>0</v>
      </c>
      <c r="AA386" s="195">
        <f t="shared" ca="1" si="78"/>
        <v>2084681.4980382721</v>
      </c>
      <c r="AB386" s="195">
        <f t="shared" ca="1" si="79"/>
        <v>2084681.4980382721</v>
      </c>
      <c r="AD386" s="196">
        <f>IFERROR($G386/SUMIF($A:$A,$A386,$G:$G)*SUMIF(Summary!$A$166:$A$242,$A386,Summary!$P$166:$P$242),0)</f>
        <v>157279.49555581118</v>
      </c>
      <c r="AE386" s="197">
        <f t="shared" ca="1" si="80"/>
        <v>1927402.002482461</v>
      </c>
      <c r="AF386" s="196">
        <f>IFERROR(G386/SUMIF(A:A,A386,G:G)*SUMIF(Summary!$A$166:$A$242,'Operations Support'!A386,Summary!$Q$166:$Q$242),0)</f>
        <v>157476.63917624802</v>
      </c>
      <c r="AG386" s="196">
        <f t="shared" ca="1" si="81"/>
        <v>1927204.858862024</v>
      </c>
      <c r="AI386" s="196">
        <f>IFERROR($G386/SUMIF($A:$A,$A386,$G:$G)*SUMIF(Summary!$A$247:$A$283,$A386,Summary!$P$247:$P$283),0)</f>
        <v>28683.855123318743</v>
      </c>
      <c r="AJ386" s="196">
        <f>IFERROR($G386/SUMIF($A:$A,$A386,$G:$G)*(SUMIF(Summary!$A$247:$A$283,$A386,Summary!$L$247:$L$283)+SUMIF(Summary!$A$297:$A$333,$A386,Summary!$L$297:$L$333))-AI386,0)</f>
        <v>50541.571337417074</v>
      </c>
      <c r="AK386" s="196">
        <f>IFERROR($G386/SUMIF($A:$A,$A386,$G:$G)*SUMIF(Summary!$A$247:$A$283,$A386,Summary!$Q$247:$Q$283),0)</f>
        <v>28719.809200022202</v>
      </c>
      <c r="AL386" s="196">
        <f>IFERROR($G386/SUMIF($A:$A,$A386,$G:$G)*(SUMIF(Summary!$A$247:$A$283,$A386,Summary!$L$247:$L$283)+SUMIF(Summary!$A$297:$A$333,$A386,Summary!$L$297:$L$333))-AK386,0)</f>
        <v>50505.617260713618</v>
      </c>
      <c r="AM386" s="198"/>
      <c r="AN386" s="196">
        <f t="shared" ca="1" si="82"/>
        <v>1977943.573819878</v>
      </c>
      <c r="AO386" s="196">
        <f t="shared" ca="1" si="83"/>
        <v>1977710.4761227376</v>
      </c>
    </row>
    <row r="387" spans="1:41">
      <c r="A387" s="189">
        <v>3581</v>
      </c>
      <c r="B387" s="190">
        <v>4</v>
      </c>
      <c r="C387" s="191" t="s">
        <v>224</v>
      </c>
      <c r="D387" s="192">
        <f t="shared" si="70"/>
        <v>0</v>
      </c>
      <c r="E387" s="192">
        <f t="shared" si="71"/>
        <v>0</v>
      </c>
      <c r="F387" s="192">
        <f t="shared" si="72"/>
        <v>0</v>
      </c>
      <c r="G387" s="193">
        <f t="shared" si="73"/>
        <v>0</v>
      </c>
      <c r="H387" s="194">
        <v>0</v>
      </c>
      <c r="I387" s="194">
        <v>0</v>
      </c>
      <c r="J387" s="194">
        <v>0</v>
      </c>
      <c r="K387" s="193">
        <f t="shared" si="74"/>
        <v>0</v>
      </c>
      <c r="L387" s="194">
        <v>0</v>
      </c>
      <c r="M387" s="194">
        <v>0</v>
      </c>
      <c r="N387" s="194">
        <v>0</v>
      </c>
      <c r="O387" s="193">
        <f t="shared" si="75"/>
        <v>0</v>
      </c>
      <c r="P387" s="194">
        <v>0</v>
      </c>
      <c r="Q387" s="194">
        <v>0</v>
      </c>
      <c r="R387" s="194">
        <v>0</v>
      </c>
      <c r="S387" s="193">
        <f t="shared" si="76"/>
        <v>0</v>
      </c>
      <c r="T387" s="193">
        <f t="shared" si="77"/>
        <v>0</v>
      </c>
      <c r="U387" s="193">
        <f ca="1">OFFSET('Expenditure Study'!$B$7,'Operations Support'!$C387,'Operations Support'!$B387)*$G387</f>
        <v>0</v>
      </c>
      <c r="V387" s="199">
        <f ca="1">U387*'Expenditure Study'!$B$31</f>
        <v>0</v>
      </c>
      <c r="W387" s="199">
        <f ca="1">IF(A387=10298,1.51,1)*IF($B387&lt;3,$D387*'Expenditure Study'!$B$32*OFFSET('Expenditure Study'!$B$7,'Operations Support'!$C387,'Operations Support'!$B387),0)</f>
        <v>0</v>
      </c>
      <c r="X387" s="200">
        <f ca="1">W387*'Expenditure Study'!$B$31</f>
        <v>0</v>
      </c>
      <c r="Y387" s="199">
        <f ca="1">U387*'Expenditure Study'!$B$31</f>
        <v>0</v>
      </c>
      <c r="Z387" s="200">
        <f ca="1">W387*'Expenditure Study'!$B$31</f>
        <v>0</v>
      </c>
      <c r="AA387" s="195">
        <f t="shared" ca="1" si="78"/>
        <v>0</v>
      </c>
      <c r="AB387" s="195">
        <f t="shared" ca="1" si="79"/>
        <v>0</v>
      </c>
      <c r="AD387" s="196">
        <f>IFERROR($G387/SUMIF($A:$A,$A387,$G:$G)*SUMIF(Summary!$A$166:$A$242,$A387,Summary!$P$166:$P$242),0)</f>
        <v>0</v>
      </c>
      <c r="AE387" s="197">
        <f t="shared" ca="1" si="80"/>
        <v>0</v>
      </c>
      <c r="AF387" s="196">
        <f>IFERROR(G387/SUMIF(A:A,A387,G:G)*SUMIF(Summary!$A$166:$A$242,'Operations Support'!A387,Summary!$Q$166:$Q$242),0)</f>
        <v>0</v>
      </c>
      <c r="AG387" s="196">
        <f t="shared" ca="1" si="81"/>
        <v>0</v>
      </c>
      <c r="AI387" s="196">
        <f>IFERROR($G387/SUMIF($A:$A,$A387,$G:$G)*SUMIF(Summary!$A$247:$A$283,$A387,Summary!$P$247:$P$283),0)</f>
        <v>0</v>
      </c>
      <c r="AJ387" s="196">
        <f>IFERROR($G387/SUMIF($A:$A,$A387,$G:$G)*(SUMIF(Summary!$A$247:$A$283,$A387,Summary!$L$247:$L$283)+SUMIF(Summary!$A$297:$A$333,$A387,Summary!$L$297:$L$333))-AI387,0)</f>
        <v>0</v>
      </c>
      <c r="AK387" s="196">
        <f>IFERROR($G387/SUMIF($A:$A,$A387,$G:$G)*SUMIF(Summary!$A$247:$A$283,$A387,Summary!$Q$247:$Q$283),0)</f>
        <v>0</v>
      </c>
      <c r="AL387" s="196">
        <f>IFERROR($G387/SUMIF($A:$A,$A387,$G:$G)*(SUMIF(Summary!$A$247:$A$283,$A387,Summary!$L$247:$L$283)+SUMIF(Summary!$A$297:$A$333,$A387,Summary!$L$297:$L$333))-AK387,0)</f>
        <v>0</v>
      </c>
      <c r="AM387" s="198"/>
      <c r="AN387" s="196">
        <f t="shared" ca="1" si="82"/>
        <v>0</v>
      </c>
      <c r="AO387" s="196">
        <f t="shared" ca="1" si="83"/>
        <v>0</v>
      </c>
    </row>
    <row r="388" spans="1:41">
      <c r="A388" s="189">
        <v>3581</v>
      </c>
      <c r="B388" s="190">
        <v>4</v>
      </c>
      <c r="C388" s="191" t="s">
        <v>225</v>
      </c>
      <c r="D388" s="192">
        <f t="shared" si="70"/>
        <v>869</v>
      </c>
      <c r="E388" s="192">
        <f t="shared" si="71"/>
        <v>9</v>
      </c>
      <c r="F388" s="192">
        <f t="shared" si="72"/>
        <v>0</v>
      </c>
      <c r="G388" s="193">
        <f t="shared" si="73"/>
        <v>878</v>
      </c>
      <c r="H388" s="194">
        <v>342</v>
      </c>
      <c r="I388" s="194">
        <v>0</v>
      </c>
      <c r="J388" s="194">
        <v>0</v>
      </c>
      <c r="K388" s="193">
        <f t="shared" si="74"/>
        <v>342</v>
      </c>
      <c r="L388" s="194">
        <v>362</v>
      </c>
      <c r="M388" s="194">
        <v>9</v>
      </c>
      <c r="N388" s="194">
        <v>0</v>
      </c>
      <c r="O388" s="193">
        <f t="shared" si="75"/>
        <v>371</v>
      </c>
      <c r="P388" s="194">
        <v>165</v>
      </c>
      <c r="Q388" s="194">
        <v>0</v>
      </c>
      <c r="R388" s="194">
        <v>0</v>
      </c>
      <c r="S388" s="193">
        <f t="shared" si="76"/>
        <v>165</v>
      </c>
      <c r="T388" s="193">
        <f t="shared" si="77"/>
        <v>48.777777777777779</v>
      </c>
      <c r="U388" s="193">
        <f ca="1">OFFSET('Expenditure Study'!$B$7,'Operations Support'!$C388,'Operations Support'!$B388)*$G388</f>
        <v>16497.62</v>
      </c>
      <c r="V388" s="199">
        <f ca="1">U388*'Expenditure Study'!$B$31</f>
        <v>974731.86522969592</v>
      </c>
      <c r="W388" s="199">
        <f ca="1">IF(A388=10298,1.51,1)*IF($B388&lt;3,$D388*'Expenditure Study'!$B$32*OFFSET('Expenditure Study'!$B$7,'Operations Support'!$C388,'Operations Support'!$B388),0)</f>
        <v>0</v>
      </c>
      <c r="X388" s="200">
        <f ca="1">W388*'Expenditure Study'!$B$31</f>
        <v>0</v>
      </c>
      <c r="Y388" s="199">
        <f ca="1">U388*'Expenditure Study'!$B$31</f>
        <v>974731.86522969592</v>
      </c>
      <c r="Z388" s="200">
        <f ca="1">W388*'Expenditure Study'!$B$31</f>
        <v>0</v>
      </c>
      <c r="AA388" s="195">
        <f t="shared" ca="1" si="78"/>
        <v>974731.86522969592</v>
      </c>
      <c r="AB388" s="195">
        <f t="shared" ca="1" si="79"/>
        <v>974731.86522969592</v>
      </c>
      <c r="AD388" s="196">
        <f>IFERROR($G388/SUMIF($A:$A,$A388,$G:$G)*SUMIF(Summary!$A$166:$A$242,$A388,Summary!$P$166:$P$242),0)</f>
        <v>30605.362832004037</v>
      </c>
      <c r="AE388" s="197">
        <f t="shared" ca="1" si="80"/>
        <v>944126.50239769183</v>
      </c>
      <c r="AF388" s="196">
        <f>IFERROR(G388/SUMIF(A:A,A388,G:G)*SUMIF(Summary!$A$166:$A$242,'Operations Support'!A388,Summary!$Q$166:$Q$242),0)</f>
        <v>30643.725442541167</v>
      </c>
      <c r="AG388" s="196">
        <f t="shared" ca="1" si="81"/>
        <v>944088.13978715474</v>
      </c>
      <c r="AI388" s="196">
        <f>IFERROR($G388/SUMIF($A:$A,$A388,$G:$G)*SUMIF(Summary!$A$247:$A$283,$A388,Summary!$P$247:$P$283),0)</f>
        <v>5581.6544322415457</v>
      </c>
      <c r="AJ388" s="196">
        <f>IFERROR($G388/SUMIF($A:$A,$A388,$G:$G)*(SUMIF(Summary!$A$247:$A$283,$A388,Summary!$L$247:$L$283)+SUMIF(Summary!$A$297:$A$333,$A388,Summary!$L$297:$L$333))-AI388,0)</f>
        <v>9834.9954863147577</v>
      </c>
      <c r="AK388" s="196">
        <f>IFERROR($G388/SUMIF($A:$A,$A388,$G:$G)*SUMIF(Summary!$A$247:$A$283,$A388,Summary!$Q$247:$Q$283),0)</f>
        <v>5588.6508150752416</v>
      </c>
      <c r="AL388" s="196">
        <f>IFERROR($G388/SUMIF($A:$A,$A388,$G:$G)*(SUMIF(Summary!$A$247:$A$283,$A388,Summary!$L$247:$L$283)+SUMIF(Summary!$A$297:$A$333,$A388,Summary!$L$297:$L$333))-AK388,0)</f>
        <v>9827.9991034810628</v>
      </c>
      <c r="AM388" s="198"/>
      <c r="AN388" s="196">
        <f t="shared" ca="1" si="82"/>
        <v>953961.49788400659</v>
      </c>
      <c r="AO388" s="196">
        <f t="shared" ca="1" si="83"/>
        <v>953916.1388906358</v>
      </c>
    </row>
    <row r="389" spans="1:41">
      <c r="A389" s="189">
        <v>3581</v>
      </c>
      <c r="B389" s="190">
        <v>4</v>
      </c>
      <c r="C389" s="191" t="s">
        <v>226</v>
      </c>
      <c r="D389" s="192">
        <f t="shared" ref="D389:D452" si="84">H389+L389+P389</f>
        <v>0</v>
      </c>
      <c r="E389" s="192">
        <f t="shared" ref="E389:E452" si="85">I389+M389+Q389</f>
        <v>0</v>
      </c>
      <c r="F389" s="192">
        <f t="shared" ref="F389:F452" si="86">J389+N389+R389</f>
        <v>0</v>
      </c>
      <c r="G389" s="193">
        <f t="shared" ref="G389:G452" si="87">(SUM(D389:E389)-F389)*IF(A389=10298,1.51,1)</f>
        <v>0</v>
      </c>
      <c r="H389" s="194">
        <v>0</v>
      </c>
      <c r="I389" s="194">
        <v>0</v>
      </c>
      <c r="J389" s="194">
        <v>0</v>
      </c>
      <c r="K389" s="193">
        <f t="shared" ref="K389:K452" si="88">SUM(H389:I389)-J389</f>
        <v>0</v>
      </c>
      <c r="L389" s="194">
        <v>0</v>
      </c>
      <c r="M389" s="194">
        <v>0</v>
      </c>
      <c r="N389" s="194">
        <v>0</v>
      </c>
      <c r="O389" s="193">
        <f t="shared" ref="O389:O452" si="89">SUM(L389:M389)-N389</f>
        <v>0</v>
      </c>
      <c r="P389" s="194">
        <v>0</v>
      </c>
      <c r="Q389" s="194">
        <v>0</v>
      </c>
      <c r="R389" s="194">
        <v>0</v>
      </c>
      <c r="S389" s="193">
        <f t="shared" ref="S389:S452" si="90">SUM(P389:Q389)-R389</f>
        <v>0</v>
      </c>
      <c r="T389" s="193">
        <f t="shared" ref="T389:T452" si="91">IF(OR(B389=1,B389=2),G389/30,IF(OR(B389=3,B389=5),G389/24,IF(B389=4,G389/18,0)))</f>
        <v>0</v>
      </c>
      <c r="U389" s="193">
        <f ca="1">OFFSET('Expenditure Study'!$B$7,'Operations Support'!$C389,'Operations Support'!$B389)*$G389</f>
        <v>0</v>
      </c>
      <c r="V389" s="199">
        <f ca="1">U389*'Expenditure Study'!$B$31</f>
        <v>0</v>
      </c>
      <c r="W389" s="199">
        <f ca="1">IF(A389=10298,1.51,1)*IF($B389&lt;3,$D389*'Expenditure Study'!$B$32*OFFSET('Expenditure Study'!$B$7,'Operations Support'!$C389,'Operations Support'!$B389),0)</f>
        <v>0</v>
      </c>
      <c r="X389" s="200">
        <f ca="1">W389*'Expenditure Study'!$B$31</f>
        <v>0</v>
      </c>
      <c r="Y389" s="199">
        <f ca="1">U389*'Expenditure Study'!$B$31</f>
        <v>0</v>
      </c>
      <c r="Z389" s="200">
        <f ca="1">W389*'Expenditure Study'!$B$31</f>
        <v>0</v>
      </c>
      <c r="AA389" s="195">
        <f t="shared" ref="AA389:AA452" ca="1" si="92">V389+X389</f>
        <v>0</v>
      </c>
      <c r="AB389" s="195">
        <f t="shared" ref="AB389:AB452" ca="1" si="93">Y389+Z389</f>
        <v>0</v>
      </c>
      <c r="AD389" s="196">
        <f>IFERROR($G389/SUMIF($A:$A,$A389,$G:$G)*SUMIF(Summary!$A$166:$A$242,$A389,Summary!$P$166:$P$242),0)</f>
        <v>0</v>
      </c>
      <c r="AE389" s="197">
        <f t="shared" ca="1" si="80"/>
        <v>0</v>
      </c>
      <c r="AF389" s="196">
        <f>IFERROR(G389/SUMIF(A:A,A389,G:G)*SUMIF(Summary!$A$166:$A$242,'Operations Support'!A389,Summary!$Q$166:$Q$242),0)</f>
        <v>0</v>
      </c>
      <c r="AG389" s="196">
        <f t="shared" ca="1" si="81"/>
        <v>0</v>
      </c>
      <c r="AI389" s="196">
        <f>IFERROR($G389/SUMIF($A:$A,$A389,$G:$G)*SUMIF(Summary!$A$247:$A$283,$A389,Summary!$P$247:$P$283),0)</f>
        <v>0</v>
      </c>
      <c r="AJ389" s="196">
        <f>IFERROR($G389/SUMIF($A:$A,$A389,$G:$G)*(SUMIF(Summary!$A$247:$A$283,$A389,Summary!$L$247:$L$283)+SUMIF(Summary!$A$297:$A$333,$A389,Summary!$L$297:$L$333))-AI389,0)</f>
        <v>0</v>
      </c>
      <c r="AK389" s="196">
        <f>IFERROR($G389/SUMIF($A:$A,$A389,$G:$G)*SUMIF(Summary!$A$247:$A$283,$A389,Summary!$Q$247:$Q$283),0)</f>
        <v>0</v>
      </c>
      <c r="AL389" s="196">
        <f>IFERROR($G389/SUMIF($A:$A,$A389,$G:$G)*(SUMIF(Summary!$A$247:$A$283,$A389,Summary!$L$247:$L$283)+SUMIF(Summary!$A$297:$A$333,$A389,Summary!$L$297:$L$333))-AK389,0)</f>
        <v>0</v>
      </c>
      <c r="AM389" s="198"/>
      <c r="AN389" s="196">
        <f t="shared" ca="1" si="82"/>
        <v>0</v>
      </c>
      <c r="AO389" s="196">
        <f t="shared" ca="1" si="83"/>
        <v>0</v>
      </c>
    </row>
    <row r="390" spans="1:41">
      <c r="A390" s="189">
        <v>3581</v>
      </c>
      <c r="B390" s="190">
        <v>4</v>
      </c>
      <c r="C390" s="191" t="s">
        <v>227</v>
      </c>
      <c r="D390" s="192">
        <f t="shared" si="84"/>
        <v>0</v>
      </c>
      <c r="E390" s="192">
        <f t="shared" si="85"/>
        <v>0</v>
      </c>
      <c r="F390" s="192">
        <f t="shared" si="86"/>
        <v>0</v>
      </c>
      <c r="G390" s="193">
        <f t="shared" si="87"/>
        <v>0</v>
      </c>
      <c r="H390" s="194">
        <v>0</v>
      </c>
      <c r="I390" s="194">
        <v>0</v>
      </c>
      <c r="J390" s="194">
        <v>0</v>
      </c>
      <c r="K390" s="193">
        <f t="shared" si="88"/>
        <v>0</v>
      </c>
      <c r="L390" s="194">
        <v>0</v>
      </c>
      <c r="M390" s="194">
        <v>0</v>
      </c>
      <c r="N390" s="194">
        <v>0</v>
      </c>
      <c r="O390" s="193">
        <f t="shared" si="89"/>
        <v>0</v>
      </c>
      <c r="P390" s="194">
        <v>0</v>
      </c>
      <c r="Q390" s="194">
        <v>0</v>
      </c>
      <c r="R390" s="194">
        <v>0</v>
      </c>
      <c r="S390" s="193">
        <f t="shared" si="90"/>
        <v>0</v>
      </c>
      <c r="T390" s="193">
        <f t="shared" si="91"/>
        <v>0</v>
      </c>
      <c r="U390" s="193">
        <f ca="1">OFFSET('Expenditure Study'!$B$7,'Operations Support'!$C390,'Operations Support'!$B390)*$G390</f>
        <v>0</v>
      </c>
      <c r="V390" s="199">
        <f ca="1">U390*'Expenditure Study'!$B$31</f>
        <v>0</v>
      </c>
      <c r="W390" s="199">
        <f ca="1">IF(A390=10298,1.51,1)*IF($B390&lt;3,$D390*'Expenditure Study'!$B$32*OFFSET('Expenditure Study'!$B$7,'Operations Support'!$C390,'Operations Support'!$B390),0)</f>
        <v>0</v>
      </c>
      <c r="X390" s="200">
        <f ca="1">W390*'Expenditure Study'!$B$31</f>
        <v>0</v>
      </c>
      <c r="Y390" s="199">
        <f ca="1">U390*'Expenditure Study'!$B$31</f>
        <v>0</v>
      </c>
      <c r="Z390" s="200">
        <f ca="1">W390*'Expenditure Study'!$B$31</f>
        <v>0</v>
      </c>
      <c r="AA390" s="195">
        <f t="shared" ca="1" si="92"/>
        <v>0</v>
      </c>
      <c r="AB390" s="195">
        <f t="shared" ca="1" si="93"/>
        <v>0</v>
      </c>
      <c r="AD390" s="196">
        <f>IFERROR($G390/SUMIF($A:$A,$A390,$G:$G)*SUMIF(Summary!$A$166:$A$242,$A390,Summary!$P$166:$P$242),0)</f>
        <v>0</v>
      </c>
      <c r="AE390" s="197">
        <f t="shared" ref="AE390:AE453" ca="1" si="94">V390+X390-AD390</f>
        <v>0</v>
      </c>
      <c r="AF390" s="196">
        <f>IFERROR(G390/SUMIF(A:A,A390,G:G)*SUMIF(Summary!$A$166:$A$242,'Operations Support'!A390,Summary!$Q$166:$Q$242),0)</f>
        <v>0</v>
      </c>
      <c r="AG390" s="196">
        <f t="shared" ref="AG390:AG453" ca="1" si="95">Y390+Z390-AF390</f>
        <v>0</v>
      </c>
      <c r="AI390" s="196">
        <f>IFERROR($G390/SUMIF($A:$A,$A390,$G:$G)*SUMIF(Summary!$A$247:$A$283,$A390,Summary!$P$247:$P$283),0)</f>
        <v>0</v>
      </c>
      <c r="AJ390" s="196">
        <f>IFERROR($G390/SUMIF($A:$A,$A390,$G:$G)*(SUMIF(Summary!$A$247:$A$283,$A390,Summary!$L$247:$L$283)+SUMIF(Summary!$A$297:$A$333,$A390,Summary!$L$297:$L$333))-AI390,0)</f>
        <v>0</v>
      </c>
      <c r="AK390" s="196">
        <f>IFERROR($G390/SUMIF($A:$A,$A390,$G:$G)*SUMIF(Summary!$A$247:$A$283,$A390,Summary!$Q$247:$Q$283),0)</f>
        <v>0</v>
      </c>
      <c r="AL390" s="196">
        <f>IFERROR($G390/SUMIF($A:$A,$A390,$G:$G)*(SUMIF(Summary!$A$247:$A$283,$A390,Summary!$L$247:$L$283)+SUMIF(Summary!$A$297:$A$333,$A390,Summary!$L$297:$L$333))-AK390,0)</f>
        <v>0</v>
      </c>
      <c r="AM390" s="198"/>
      <c r="AN390" s="196">
        <f t="shared" ref="AN390:AN453" ca="1" si="96">AE390+AJ390</f>
        <v>0</v>
      </c>
      <c r="AO390" s="196">
        <f t="shared" ref="AO390:AO453" ca="1" si="97">AG390+AL390</f>
        <v>0</v>
      </c>
    </row>
    <row r="391" spans="1:41">
      <c r="A391" s="189">
        <v>3581</v>
      </c>
      <c r="B391" s="190">
        <v>4</v>
      </c>
      <c r="C391" s="191" t="s">
        <v>228</v>
      </c>
      <c r="D391" s="192">
        <f t="shared" si="84"/>
        <v>0</v>
      </c>
      <c r="E391" s="192">
        <f t="shared" si="85"/>
        <v>0</v>
      </c>
      <c r="F391" s="192">
        <f t="shared" si="86"/>
        <v>0</v>
      </c>
      <c r="G391" s="193">
        <f t="shared" si="87"/>
        <v>0</v>
      </c>
      <c r="H391" s="194">
        <v>0</v>
      </c>
      <c r="I391" s="194">
        <v>0</v>
      </c>
      <c r="J391" s="194">
        <v>0</v>
      </c>
      <c r="K391" s="193">
        <f t="shared" si="88"/>
        <v>0</v>
      </c>
      <c r="L391" s="194">
        <v>0</v>
      </c>
      <c r="M391" s="194">
        <v>0</v>
      </c>
      <c r="N391" s="194">
        <v>0</v>
      </c>
      <c r="O391" s="193">
        <f t="shared" si="89"/>
        <v>0</v>
      </c>
      <c r="P391" s="194">
        <v>0</v>
      </c>
      <c r="Q391" s="194">
        <v>0</v>
      </c>
      <c r="R391" s="194">
        <v>0</v>
      </c>
      <c r="S391" s="193">
        <f t="shared" si="90"/>
        <v>0</v>
      </c>
      <c r="T391" s="193">
        <f t="shared" si="91"/>
        <v>0</v>
      </c>
      <c r="U391" s="193">
        <f ca="1">OFFSET('Expenditure Study'!$B$7,'Operations Support'!$C391,'Operations Support'!$B391)*$G391</f>
        <v>0</v>
      </c>
      <c r="V391" s="199">
        <f ca="1">U391*'Expenditure Study'!$B$31</f>
        <v>0</v>
      </c>
      <c r="W391" s="199">
        <f ca="1">IF(A391=10298,1.51,1)*IF($B391&lt;3,$D391*'Expenditure Study'!$B$32*OFFSET('Expenditure Study'!$B$7,'Operations Support'!$C391,'Operations Support'!$B391),0)</f>
        <v>0</v>
      </c>
      <c r="X391" s="200">
        <f ca="1">W391*'Expenditure Study'!$B$31</f>
        <v>0</v>
      </c>
      <c r="Y391" s="199">
        <f ca="1">U391*'Expenditure Study'!$B$31</f>
        <v>0</v>
      </c>
      <c r="Z391" s="200">
        <f ca="1">W391*'Expenditure Study'!$B$31</f>
        <v>0</v>
      </c>
      <c r="AA391" s="195">
        <f t="shared" ca="1" si="92"/>
        <v>0</v>
      </c>
      <c r="AB391" s="195">
        <f t="shared" ca="1" si="93"/>
        <v>0</v>
      </c>
      <c r="AD391" s="196">
        <f>IFERROR($G391/SUMIF($A:$A,$A391,$G:$G)*SUMIF(Summary!$A$166:$A$242,$A391,Summary!$P$166:$P$242),0)</f>
        <v>0</v>
      </c>
      <c r="AE391" s="197">
        <f t="shared" ca="1" si="94"/>
        <v>0</v>
      </c>
      <c r="AF391" s="196">
        <f>IFERROR(G391/SUMIF(A:A,A391,G:G)*SUMIF(Summary!$A$166:$A$242,'Operations Support'!A391,Summary!$Q$166:$Q$242),0)</f>
        <v>0</v>
      </c>
      <c r="AG391" s="196">
        <f t="shared" ca="1" si="95"/>
        <v>0</v>
      </c>
      <c r="AI391" s="196">
        <f>IFERROR($G391/SUMIF($A:$A,$A391,$G:$G)*SUMIF(Summary!$A$247:$A$283,$A391,Summary!$P$247:$P$283),0)</f>
        <v>0</v>
      </c>
      <c r="AJ391" s="196">
        <f>IFERROR($G391/SUMIF($A:$A,$A391,$G:$G)*(SUMIF(Summary!$A$247:$A$283,$A391,Summary!$L$247:$L$283)+SUMIF(Summary!$A$297:$A$333,$A391,Summary!$L$297:$L$333))-AI391,0)</f>
        <v>0</v>
      </c>
      <c r="AK391" s="196">
        <f>IFERROR($G391/SUMIF($A:$A,$A391,$G:$G)*SUMIF(Summary!$A$247:$A$283,$A391,Summary!$Q$247:$Q$283),0)</f>
        <v>0</v>
      </c>
      <c r="AL391" s="196">
        <f>IFERROR($G391/SUMIF($A:$A,$A391,$G:$G)*(SUMIF(Summary!$A$247:$A$283,$A391,Summary!$L$247:$L$283)+SUMIF(Summary!$A$297:$A$333,$A391,Summary!$L$297:$L$333))-AK391,0)</f>
        <v>0</v>
      </c>
      <c r="AM391" s="198"/>
      <c r="AN391" s="196">
        <f t="shared" ca="1" si="96"/>
        <v>0</v>
      </c>
      <c r="AO391" s="196">
        <f t="shared" ca="1" si="97"/>
        <v>0</v>
      </c>
    </row>
    <row r="392" spans="1:41">
      <c r="A392" s="189">
        <v>3581</v>
      </c>
      <c r="B392" s="190">
        <v>4</v>
      </c>
      <c r="C392" s="191" t="s">
        <v>229</v>
      </c>
      <c r="D392" s="192">
        <f t="shared" si="84"/>
        <v>0</v>
      </c>
      <c r="E392" s="192">
        <f t="shared" si="85"/>
        <v>0</v>
      </c>
      <c r="F392" s="192">
        <f t="shared" si="86"/>
        <v>0</v>
      </c>
      <c r="G392" s="193">
        <f t="shared" si="87"/>
        <v>0</v>
      </c>
      <c r="H392" s="194">
        <v>0</v>
      </c>
      <c r="I392" s="194">
        <v>0</v>
      </c>
      <c r="J392" s="194">
        <v>0</v>
      </c>
      <c r="K392" s="193">
        <f t="shared" si="88"/>
        <v>0</v>
      </c>
      <c r="L392" s="194">
        <v>0</v>
      </c>
      <c r="M392" s="194">
        <v>0</v>
      </c>
      <c r="N392" s="194">
        <v>0</v>
      </c>
      <c r="O392" s="193">
        <f t="shared" si="89"/>
        <v>0</v>
      </c>
      <c r="P392" s="194">
        <v>0</v>
      </c>
      <c r="Q392" s="194">
        <v>0</v>
      </c>
      <c r="R392" s="194">
        <v>0</v>
      </c>
      <c r="S392" s="193">
        <f t="shared" si="90"/>
        <v>0</v>
      </c>
      <c r="T392" s="193">
        <f t="shared" si="91"/>
        <v>0</v>
      </c>
      <c r="U392" s="193">
        <f ca="1">OFFSET('Expenditure Study'!$B$7,'Operations Support'!$C392,'Operations Support'!$B392)*$G392</f>
        <v>0</v>
      </c>
      <c r="V392" s="199">
        <f ca="1">U392*'Expenditure Study'!$B$31</f>
        <v>0</v>
      </c>
      <c r="W392" s="199">
        <f ca="1">IF(A392=10298,1.51,1)*IF($B392&lt;3,$D392*'Expenditure Study'!$B$32*OFFSET('Expenditure Study'!$B$7,'Operations Support'!$C392,'Operations Support'!$B392),0)</f>
        <v>0</v>
      </c>
      <c r="X392" s="200">
        <f ca="1">W392*'Expenditure Study'!$B$31</f>
        <v>0</v>
      </c>
      <c r="Y392" s="199">
        <f ca="1">U392*'Expenditure Study'!$B$31</f>
        <v>0</v>
      </c>
      <c r="Z392" s="200">
        <f ca="1">W392*'Expenditure Study'!$B$31</f>
        <v>0</v>
      </c>
      <c r="AA392" s="195">
        <f t="shared" ca="1" si="92"/>
        <v>0</v>
      </c>
      <c r="AB392" s="195">
        <f t="shared" ca="1" si="93"/>
        <v>0</v>
      </c>
      <c r="AD392" s="196">
        <f>IFERROR($G392/SUMIF($A:$A,$A392,$G:$G)*SUMIF(Summary!$A$166:$A$242,$A392,Summary!$P$166:$P$242),0)</f>
        <v>0</v>
      </c>
      <c r="AE392" s="197">
        <f t="shared" ca="1" si="94"/>
        <v>0</v>
      </c>
      <c r="AF392" s="196">
        <f>IFERROR(G392/SUMIF(A:A,A392,G:G)*SUMIF(Summary!$A$166:$A$242,'Operations Support'!A392,Summary!$Q$166:$Q$242),0)</f>
        <v>0</v>
      </c>
      <c r="AG392" s="196">
        <f t="shared" ca="1" si="95"/>
        <v>0</v>
      </c>
      <c r="AI392" s="196">
        <f>IFERROR($G392/SUMIF($A:$A,$A392,$G:$G)*SUMIF(Summary!$A$247:$A$283,$A392,Summary!$P$247:$P$283),0)</f>
        <v>0</v>
      </c>
      <c r="AJ392" s="196">
        <f>IFERROR($G392/SUMIF($A:$A,$A392,$G:$G)*(SUMIF(Summary!$A$247:$A$283,$A392,Summary!$L$247:$L$283)+SUMIF(Summary!$A$297:$A$333,$A392,Summary!$L$297:$L$333))-AI392,0)</f>
        <v>0</v>
      </c>
      <c r="AK392" s="196">
        <f>IFERROR($G392/SUMIF($A:$A,$A392,$G:$G)*SUMIF(Summary!$A$247:$A$283,$A392,Summary!$Q$247:$Q$283),0)</f>
        <v>0</v>
      </c>
      <c r="AL392" s="196">
        <f>IFERROR($G392/SUMIF($A:$A,$A392,$G:$G)*(SUMIF(Summary!$A$247:$A$283,$A392,Summary!$L$247:$L$283)+SUMIF(Summary!$A$297:$A$333,$A392,Summary!$L$297:$L$333))-AK392,0)</f>
        <v>0</v>
      </c>
      <c r="AM392" s="198"/>
      <c r="AN392" s="196">
        <f t="shared" ca="1" si="96"/>
        <v>0</v>
      </c>
      <c r="AO392" s="196">
        <f t="shared" ca="1" si="97"/>
        <v>0</v>
      </c>
    </row>
    <row r="393" spans="1:41">
      <c r="A393" s="189">
        <v>3581</v>
      </c>
      <c r="B393" s="190">
        <v>4</v>
      </c>
      <c r="C393" s="191" t="s">
        <v>230</v>
      </c>
      <c r="D393" s="192">
        <f t="shared" si="84"/>
        <v>0</v>
      </c>
      <c r="E393" s="192">
        <f t="shared" si="85"/>
        <v>0</v>
      </c>
      <c r="F393" s="192">
        <f t="shared" si="86"/>
        <v>0</v>
      </c>
      <c r="G393" s="193">
        <f t="shared" si="87"/>
        <v>0</v>
      </c>
      <c r="H393" s="194">
        <v>0</v>
      </c>
      <c r="I393" s="194">
        <v>0</v>
      </c>
      <c r="J393" s="194">
        <v>0</v>
      </c>
      <c r="K393" s="193">
        <f t="shared" si="88"/>
        <v>0</v>
      </c>
      <c r="L393" s="194">
        <v>0</v>
      </c>
      <c r="M393" s="194">
        <v>0</v>
      </c>
      <c r="N393" s="194">
        <v>0</v>
      </c>
      <c r="O393" s="193">
        <f t="shared" si="89"/>
        <v>0</v>
      </c>
      <c r="P393" s="194">
        <v>0</v>
      </c>
      <c r="Q393" s="194">
        <v>0</v>
      </c>
      <c r="R393" s="194">
        <v>0</v>
      </c>
      <c r="S393" s="193">
        <f t="shared" si="90"/>
        <v>0</v>
      </c>
      <c r="T393" s="193">
        <f t="shared" si="91"/>
        <v>0</v>
      </c>
      <c r="U393" s="193">
        <f ca="1">OFFSET('Expenditure Study'!$B$7,'Operations Support'!$C393,'Operations Support'!$B393)*$G393</f>
        <v>0</v>
      </c>
      <c r="V393" s="199">
        <f ca="1">U393*'Expenditure Study'!$B$31</f>
        <v>0</v>
      </c>
      <c r="W393" s="199">
        <f ca="1">IF(A393=10298,1.51,1)*IF($B393&lt;3,$D393*'Expenditure Study'!$B$32*OFFSET('Expenditure Study'!$B$7,'Operations Support'!$C393,'Operations Support'!$B393),0)</f>
        <v>0</v>
      </c>
      <c r="X393" s="200">
        <f ca="1">W393*'Expenditure Study'!$B$31</f>
        <v>0</v>
      </c>
      <c r="Y393" s="199">
        <f ca="1">U393*'Expenditure Study'!$B$31</f>
        <v>0</v>
      </c>
      <c r="Z393" s="200">
        <f ca="1">W393*'Expenditure Study'!$B$31</f>
        <v>0</v>
      </c>
      <c r="AA393" s="195">
        <f t="shared" ca="1" si="92"/>
        <v>0</v>
      </c>
      <c r="AB393" s="195">
        <f t="shared" ca="1" si="93"/>
        <v>0</v>
      </c>
      <c r="AD393" s="196">
        <f>IFERROR($G393/SUMIF($A:$A,$A393,$G:$G)*SUMIF(Summary!$A$166:$A$242,$A393,Summary!$P$166:$P$242),0)</f>
        <v>0</v>
      </c>
      <c r="AE393" s="197">
        <f t="shared" ca="1" si="94"/>
        <v>0</v>
      </c>
      <c r="AF393" s="196">
        <f>IFERROR(G393/SUMIF(A:A,A393,G:G)*SUMIF(Summary!$A$166:$A$242,'Operations Support'!A393,Summary!$Q$166:$Q$242),0)</f>
        <v>0</v>
      </c>
      <c r="AG393" s="196">
        <f t="shared" ca="1" si="95"/>
        <v>0</v>
      </c>
      <c r="AI393" s="196">
        <f>IFERROR($G393/SUMIF($A:$A,$A393,$G:$G)*SUMIF(Summary!$A$247:$A$283,$A393,Summary!$P$247:$P$283),0)</f>
        <v>0</v>
      </c>
      <c r="AJ393" s="196">
        <f>IFERROR($G393/SUMIF($A:$A,$A393,$G:$G)*(SUMIF(Summary!$A$247:$A$283,$A393,Summary!$L$247:$L$283)+SUMIF(Summary!$A$297:$A$333,$A393,Summary!$L$297:$L$333))-AI393,0)</f>
        <v>0</v>
      </c>
      <c r="AK393" s="196">
        <f>IFERROR($G393/SUMIF($A:$A,$A393,$G:$G)*SUMIF(Summary!$A$247:$A$283,$A393,Summary!$Q$247:$Q$283),0)</f>
        <v>0</v>
      </c>
      <c r="AL393" s="196">
        <f>IFERROR($G393/SUMIF($A:$A,$A393,$G:$G)*(SUMIF(Summary!$A$247:$A$283,$A393,Summary!$L$247:$L$283)+SUMIF(Summary!$A$297:$A$333,$A393,Summary!$L$297:$L$333))-AK393,0)</f>
        <v>0</v>
      </c>
      <c r="AM393" s="198"/>
      <c r="AN393" s="196">
        <f t="shared" ca="1" si="96"/>
        <v>0</v>
      </c>
      <c r="AO393" s="196">
        <f t="shared" ca="1" si="97"/>
        <v>0</v>
      </c>
    </row>
    <row r="394" spans="1:41">
      <c r="A394" s="189">
        <v>3581</v>
      </c>
      <c r="B394" s="190">
        <v>4</v>
      </c>
      <c r="C394" s="191" t="s">
        <v>231</v>
      </c>
      <c r="D394" s="192">
        <f t="shared" si="84"/>
        <v>0</v>
      </c>
      <c r="E394" s="192">
        <f t="shared" si="85"/>
        <v>0</v>
      </c>
      <c r="F394" s="192">
        <f t="shared" si="86"/>
        <v>0</v>
      </c>
      <c r="G394" s="193">
        <f t="shared" si="87"/>
        <v>0</v>
      </c>
      <c r="H394" s="194">
        <v>0</v>
      </c>
      <c r="I394" s="194">
        <v>0</v>
      </c>
      <c r="J394" s="194">
        <v>0</v>
      </c>
      <c r="K394" s="193">
        <f t="shared" si="88"/>
        <v>0</v>
      </c>
      <c r="L394" s="194">
        <v>0</v>
      </c>
      <c r="M394" s="194">
        <v>0</v>
      </c>
      <c r="N394" s="194">
        <v>0</v>
      </c>
      <c r="O394" s="193">
        <f t="shared" si="89"/>
        <v>0</v>
      </c>
      <c r="P394" s="194">
        <v>0</v>
      </c>
      <c r="Q394" s="194">
        <v>0</v>
      </c>
      <c r="R394" s="194">
        <v>0</v>
      </c>
      <c r="S394" s="193">
        <f t="shared" si="90"/>
        <v>0</v>
      </c>
      <c r="T394" s="193">
        <f t="shared" si="91"/>
        <v>0</v>
      </c>
      <c r="U394" s="193">
        <f ca="1">OFFSET('Expenditure Study'!$B$7,'Operations Support'!$C394,'Operations Support'!$B394)*$G394</f>
        <v>0</v>
      </c>
      <c r="V394" s="199">
        <f ca="1">U394*'Expenditure Study'!$B$31</f>
        <v>0</v>
      </c>
      <c r="W394" s="199">
        <f ca="1">IF(A394=10298,1.51,1)*IF($B394&lt;3,$D394*'Expenditure Study'!$B$32*OFFSET('Expenditure Study'!$B$7,'Operations Support'!$C394,'Operations Support'!$B394),0)</f>
        <v>0</v>
      </c>
      <c r="X394" s="200">
        <f ca="1">W394*'Expenditure Study'!$B$31</f>
        <v>0</v>
      </c>
      <c r="Y394" s="199">
        <f ca="1">U394*'Expenditure Study'!$B$31</f>
        <v>0</v>
      </c>
      <c r="Z394" s="200">
        <f ca="1">W394*'Expenditure Study'!$B$31</f>
        <v>0</v>
      </c>
      <c r="AA394" s="195">
        <f t="shared" ca="1" si="92"/>
        <v>0</v>
      </c>
      <c r="AB394" s="195">
        <f t="shared" ca="1" si="93"/>
        <v>0</v>
      </c>
      <c r="AD394" s="196">
        <f>IFERROR($G394/SUMIF($A:$A,$A394,$G:$G)*SUMIF(Summary!$A$166:$A$242,$A394,Summary!$P$166:$P$242),0)</f>
        <v>0</v>
      </c>
      <c r="AE394" s="197">
        <f t="shared" ca="1" si="94"/>
        <v>0</v>
      </c>
      <c r="AF394" s="196">
        <f>IFERROR(G394/SUMIF(A:A,A394,G:G)*SUMIF(Summary!$A$166:$A$242,'Operations Support'!A394,Summary!$Q$166:$Q$242),0)</f>
        <v>0</v>
      </c>
      <c r="AG394" s="196">
        <f t="shared" ca="1" si="95"/>
        <v>0</v>
      </c>
      <c r="AI394" s="196">
        <f>IFERROR($G394/SUMIF($A:$A,$A394,$G:$G)*SUMIF(Summary!$A$247:$A$283,$A394,Summary!$P$247:$P$283),0)</f>
        <v>0</v>
      </c>
      <c r="AJ394" s="196">
        <f>IFERROR($G394/SUMIF($A:$A,$A394,$G:$G)*(SUMIF(Summary!$A$247:$A$283,$A394,Summary!$L$247:$L$283)+SUMIF(Summary!$A$297:$A$333,$A394,Summary!$L$297:$L$333))-AI394,0)</f>
        <v>0</v>
      </c>
      <c r="AK394" s="196">
        <f>IFERROR($G394/SUMIF($A:$A,$A394,$G:$G)*SUMIF(Summary!$A$247:$A$283,$A394,Summary!$Q$247:$Q$283),0)</f>
        <v>0</v>
      </c>
      <c r="AL394" s="196">
        <f>IFERROR($G394/SUMIF($A:$A,$A394,$G:$G)*(SUMIF(Summary!$A$247:$A$283,$A394,Summary!$L$247:$L$283)+SUMIF(Summary!$A$297:$A$333,$A394,Summary!$L$297:$L$333))-AK394,0)</f>
        <v>0</v>
      </c>
      <c r="AM394" s="198"/>
      <c r="AN394" s="196">
        <f t="shared" ca="1" si="96"/>
        <v>0</v>
      </c>
      <c r="AO394" s="196">
        <f t="shared" ca="1" si="97"/>
        <v>0</v>
      </c>
    </row>
    <row r="395" spans="1:41">
      <c r="A395" s="189">
        <v>3581</v>
      </c>
      <c r="B395" s="190">
        <v>4</v>
      </c>
      <c r="C395" s="191" t="s">
        <v>232</v>
      </c>
      <c r="D395" s="192">
        <f t="shared" si="84"/>
        <v>0</v>
      </c>
      <c r="E395" s="192">
        <f t="shared" si="85"/>
        <v>0</v>
      </c>
      <c r="F395" s="192">
        <f t="shared" si="86"/>
        <v>0</v>
      </c>
      <c r="G395" s="193">
        <f t="shared" si="87"/>
        <v>0</v>
      </c>
      <c r="H395" s="194">
        <v>0</v>
      </c>
      <c r="I395" s="194">
        <v>0</v>
      </c>
      <c r="J395" s="194">
        <v>0</v>
      </c>
      <c r="K395" s="193">
        <f t="shared" si="88"/>
        <v>0</v>
      </c>
      <c r="L395" s="194">
        <v>0</v>
      </c>
      <c r="M395" s="194">
        <v>0</v>
      </c>
      <c r="N395" s="194">
        <v>0</v>
      </c>
      <c r="O395" s="193">
        <f t="shared" si="89"/>
        <v>0</v>
      </c>
      <c r="P395" s="194">
        <v>0</v>
      </c>
      <c r="Q395" s="194">
        <v>0</v>
      </c>
      <c r="R395" s="194">
        <v>0</v>
      </c>
      <c r="S395" s="193">
        <f t="shared" si="90"/>
        <v>0</v>
      </c>
      <c r="T395" s="193">
        <f t="shared" si="91"/>
        <v>0</v>
      </c>
      <c r="U395" s="193">
        <f ca="1">OFFSET('Expenditure Study'!$B$7,'Operations Support'!$C395,'Operations Support'!$B395)*$G395</f>
        <v>0</v>
      </c>
      <c r="V395" s="199">
        <f ca="1">U395*'Expenditure Study'!$B$31</f>
        <v>0</v>
      </c>
      <c r="W395" s="199">
        <f ca="1">IF(A395=10298,1.51,1)*IF($B395&lt;3,$D395*'Expenditure Study'!$B$32*OFFSET('Expenditure Study'!$B$7,'Operations Support'!$C395,'Operations Support'!$B395),0)</f>
        <v>0</v>
      </c>
      <c r="X395" s="200">
        <f ca="1">W395*'Expenditure Study'!$B$31</f>
        <v>0</v>
      </c>
      <c r="Y395" s="199">
        <f ca="1">U395*'Expenditure Study'!$B$31</f>
        <v>0</v>
      </c>
      <c r="Z395" s="200">
        <f ca="1">W395*'Expenditure Study'!$B$31</f>
        <v>0</v>
      </c>
      <c r="AA395" s="195">
        <f t="shared" ca="1" si="92"/>
        <v>0</v>
      </c>
      <c r="AB395" s="195">
        <f t="shared" ca="1" si="93"/>
        <v>0</v>
      </c>
      <c r="AD395" s="196">
        <f>IFERROR($G395/SUMIF($A:$A,$A395,$G:$G)*SUMIF(Summary!$A$166:$A$242,$A395,Summary!$P$166:$P$242),0)</f>
        <v>0</v>
      </c>
      <c r="AE395" s="197">
        <f t="shared" ca="1" si="94"/>
        <v>0</v>
      </c>
      <c r="AF395" s="196">
        <f>IFERROR(G395/SUMIF(A:A,A395,G:G)*SUMIF(Summary!$A$166:$A$242,'Operations Support'!A395,Summary!$Q$166:$Q$242),0)</f>
        <v>0</v>
      </c>
      <c r="AG395" s="196">
        <f t="shared" ca="1" si="95"/>
        <v>0</v>
      </c>
      <c r="AI395" s="196">
        <f>IFERROR($G395/SUMIF($A:$A,$A395,$G:$G)*SUMIF(Summary!$A$247:$A$283,$A395,Summary!$P$247:$P$283),0)</f>
        <v>0</v>
      </c>
      <c r="AJ395" s="196">
        <f>IFERROR($G395/SUMIF($A:$A,$A395,$G:$G)*(SUMIF(Summary!$A$247:$A$283,$A395,Summary!$L$247:$L$283)+SUMIF(Summary!$A$297:$A$333,$A395,Summary!$L$297:$L$333))-AI395,0)</f>
        <v>0</v>
      </c>
      <c r="AK395" s="196">
        <f>IFERROR($G395/SUMIF($A:$A,$A395,$G:$G)*SUMIF(Summary!$A$247:$A$283,$A395,Summary!$Q$247:$Q$283),0)</f>
        <v>0</v>
      </c>
      <c r="AL395" s="196">
        <f>IFERROR($G395/SUMIF($A:$A,$A395,$G:$G)*(SUMIF(Summary!$A$247:$A$283,$A395,Summary!$L$247:$L$283)+SUMIF(Summary!$A$297:$A$333,$A395,Summary!$L$297:$L$333))-AK395,0)</f>
        <v>0</v>
      </c>
      <c r="AM395" s="198"/>
      <c r="AN395" s="196">
        <f t="shared" ca="1" si="96"/>
        <v>0</v>
      </c>
      <c r="AO395" s="196">
        <f t="shared" ca="1" si="97"/>
        <v>0</v>
      </c>
    </row>
    <row r="396" spans="1:41">
      <c r="A396" s="189">
        <v>3581</v>
      </c>
      <c r="B396" s="190">
        <v>4</v>
      </c>
      <c r="C396" s="191" t="s">
        <v>233</v>
      </c>
      <c r="D396" s="192">
        <f t="shared" si="84"/>
        <v>9</v>
      </c>
      <c r="E396" s="192">
        <f t="shared" si="85"/>
        <v>0</v>
      </c>
      <c r="F396" s="192">
        <f t="shared" si="86"/>
        <v>0</v>
      </c>
      <c r="G396" s="193">
        <f t="shared" si="87"/>
        <v>9</v>
      </c>
      <c r="H396" s="194">
        <v>0</v>
      </c>
      <c r="I396" s="194">
        <v>0</v>
      </c>
      <c r="J396" s="194">
        <v>0</v>
      </c>
      <c r="K396" s="193">
        <f t="shared" si="88"/>
        <v>0</v>
      </c>
      <c r="L396" s="194">
        <v>9</v>
      </c>
      <c r="M396" s="194">
        <v>0</v>
      </c>
      <c r="N396" s="194">
        <v>0</v>
      </c>
      <c r="O396" s="193">
        <f t="shared" si="89"/>
        <v>9</v>
      </c>
      <c r="P396" s="194">
        <v>0</v>
      </c>
      <c r="Q396" s="194">
        <v>0</v>
      </c>
      <c r="R396" s="194">
        <v>0</v>
      </c>
      <c r="S396" s="193">
        <f t="shared" si="90"/>
        <v>0</v>
      </c>
      <c r="T396" s="193">
        <f t="shared" si="91"/>
        <v>0.5</v>
      </c>
      <c r="U396" s="193">
        <f ca="1">OFFSET('Expenditure Study'!$B$7,'Operations Support'!$C396,'Operations Support'!$B396)*$G396</f>
        <v>82.8</v>
      </c>
      <c r="V396" s="199">
        <f ca="1">U396*'Expenditure Study'!$B$31</f>
        <v>4892.0873702399995</v>
      </c>
      <c r="W396" s="199">
        <f ca="1">IF(A396=10298,1.51,1)*IF($B396&lt;3,$D396*'Expenditure Study'!$B$32*OFFSET('Expenditure Study'!$B$7,'Operations Support'!$C396,'Operations Support'!$B396),0)</f>
        <v>0</v>
      </c>
      <c r="X396" s="200">
        <f ca="1">W396*'Expenditure Study'!$B$31</f>
        <v>0</v>
      </c>
      <c r="Y396" s="199">
        <f ca="1">U396*'Expenditure Study'!$B$31</f>
        <v>4892.0873702399995</v>
      </c>
      <c r="Z396" s="200">
        <f ca="1">W396*'Expenditure Study'!$B$31</f>
        <v>0</v>
      </c>
      <c r="AA396" s="195">
        <f t="shared" ca="1" si="92"/>
        <v>4892.0873702399995</v>
      </c>
      <c r="AB396" s="195">
        <f t="shared" ca="1" si="93"/>
        <v>4892.0873702399995</v>
      </c>
      <c r="AD396" s="196">
        <f>IFERROR($G396/SUMIF($A:$A,$A396,$G:$G)*SUMIF(Summary!$A$166:$A$242,$A396,Summary!$P$166:$P$242),0)</f>
        <v>313.72239805015528</v>
      </c>
      <c r="AE396" s="197">
        <f t="shared" ca="1" si="94"/>
        <v>4578.3649721898446</v>
      </c>
      <c r="AF396" s="196">
        <f>IFERROR(G396/SUMIF(A:A,A396,G:G)*SUMIF(Summary!$A$166:$A$242,'Operations Support'!A396,Summary!$Q$166:$Q$242),0)</f>
        <v>314.11563665475001</v>
      </c>
      <c r="AG396" s="196">
        <f t="shared" ca="1" si="95"/>
        <v>4577.9717335852492</v>
      </c>
      <c r="AI396" s="196">
        <f>IFERROR($G396/SUMIF($A:$A,$A396,$G:$G)*SUMIF(Summary!$A$247:$A$283,$A396,Summary!$P$247:$P$283),0)</f>
        <v>57.215136549173025</v>
      </c>
      <c r="AJ396" s="196">
        <f>IFERROR($G396/SUMIF($A:$A,$A396,$G:$G)*(SUMIF(Summary!$A$247:$A$283,$A396,Summary!$L$247:$L$283)+SUMIF(Summary!$A$297:$A$333,$A396,Summary!$L$297:$L$333))-AI396,0)</f>
        <v>100.81430452942237</v>
      </c>
      <c r="AK396" s="196">
        <f>IFERROR($G396/SUMIF($A:$A,$A396,$G:$G)*SUMIF(Summary!$A$247:$A$283,$A396,Summary!$Q$247:$Q$283),0)</f>
        <v>57.286853457491091</v>
      </c>
      <c r="AL396" s="196">
        <f>IFERROR($G396/SUMIF($A:$A,$A396,$G:$G)*(SUMIF(Summary!$A$247:$A$283,$A396,Summary!$L$247:$L$283)+SUMIF(Summary!$A$297:$A$333,$A396,Summary!$L$297:$L$333))-AK396,0)</f>
        <v>100.74258762110431</v>
      </c>
      <c r="AM396" s="198"/>
      <c r="AN396" s="196">
        <f t="shared" ca="1" si="96"/>
        <v>4679.1792767192674</v>
      </c>
      <c r="AO396" s="196">
        <f t="shared" ca="1" si="97"/>
        <v>4678.7143212063538</v>
      </c>
    </row>
    <row r="397" spans="1:41">
      <c r="A397" s="189">
        <v>3581</v>
      </c>
      <c r="B397" s="190">
        <v>4</v>
      </c>
      <c r="C397" s="191" t="s">
        <v>234</v>
      </c>
      <c r="D397" s="192">
        <f t="shared" si="84"/>
        <v>0</v>
      </c>
      <c r="E397" s="192">
        <f t="shared" si="85"/>
        <v>0</v>
      </c>
      <c r="F397" s="192">
        <f t="shared" si="86"/>
        <v>0</v>
      </c>
      <c r="G397" s="193">
        <f t="shared" si="87"/>
        <v>0</v>
      </c>
      <c r="H397" s="194">
        <v>0</v>
      </c>
      <c r="I397" s="194">
        <v>0</v>
      </c>
      <c r="J397" s="194">
        <v>0</v>
      </c>
      <c r="K397" s="193">
        <f t="shared" si="88"/>
        <v>0</v>
      </c>
      <c r="L397" s="194">
        <v>0</v>
      </c>
      <c r="M397" s="194">
        <v>0</v>
      </c>
      <c r="N397" s="194">
        <v>0</v>
      </c>
      <c r="O397" s="193">
        <f t="shared" si="89"/>
        <v>0</v>
      </c>
      <c r="P397" s="194">
        <v>0</v>
      </c>
      <c r="Q397" s="194">
        <v>0</v>
      </c>
      <c r="R397" s="194">
        <v>0</v>
      </c>
      <c r="S397" s="193">
        <f t="shared" si="90"/>
        <v>0</v>
      </c>
      <c r="T397" s="193">
        <f t="shared" si="91"/>
        <v>0</v>
      </c>
      <c r="U397" s="193">
        <f ca="1">OFFSET('Expenditure Study'!$B$7,'Operations Support'!$C397,'Operations Support'!$B397)*$G397</f>
        <v>0</v>
      </c>
      <c r="V397" s="199">
        <f ca="1">U397*'Expenditure Study'!$B$31</f>
        <v>0</v>
      </c>
      <c r="W397" s="199">
        <f ca="1">IF(A397=10298,1.51,1)*IF($B397&lt;3,$D397*'Expenditure Study'!$B$32*OFFSET('Expenditure Study'!$B$7,'Operations Support'!$C397,'Operations Support'!$B397),0)</f>
        <v>0</v>
      </c>
      <c r="X397" s="200">
        <f ca="1">W397*'Expenditure Study'!$B$31</f>
        <v>0</v>
      </c>
      <c r="Y397" s="199">
        <f ca="1">U397*'Expenditure Study'!$B$31</f>
        <v>0</v>
      </c>
      <c r="Z397" s="200">
        <f ca="1">W397*'Expenditure Study'!$B$31</f>
        <v>0</v>
      </c>
      <c r="AA397" s="195">
        <f t="shared" ca="1" si="92"/>
        <v>0</v>
      </c>
      <c r="AB397" s="195">
        <f t="shared" ca="1" si="93"/>
        <v>0</v>
      </c>
      <c r="AD397" s="196">
        <f>IFERROR($G397/SUMIF($A:$A,$A397,$G:$G)*SUMIF(Summary!$A$166:$A$242,$A397,Summary!$P$166:$P$242),0)</f>
        <v>0</v>
      </c>
      <c r="AE397" s="197">
        <f t="shared" ca="1" si="94"/>
        <v>0</v>
      </c>
      <c r="AF397" s="196">
        <f>IFERROR(G397/SUMIF(A:A,A397,G:G)*SUMIF(Summary!$A$166:$A$242,'Operations Support'!A397,Summary!$Q$166:$Q$242),0)</f>
        <v>0</v>
      </c>
      <c r="AG397" s="196">
        <f t="shared" ca="1" si="95"/>
        <v>0</v>
      </c>
      <c r="AI397" s="196">
        <f>IFERROR($G397/SUMIF($A:$A,$A397,$G:$G)*SUMIF(Summary!$A$247:$A$283,$A397,Summary!$P$247:$P$283),0)</f>
        <v>0</v>
      </c>
      <c r="AJ397" s="196">
        <f>IFERROR($G397/SUMIF($A:$A,$A397,$G:$G)*(SUMIF(Summary!$A$247:$A$283,$A397,Summary!$L$247:$L$283)+SUMIF(Summary!$A$297:$A$333,$A397,Summary!$L$297:$L$333))-AI397,0)</f>
        <v>0</v>
      </c>
      <c r="AK397" s="196">
        <f>IFERROR($G397/SUMIF($A:$A,$A397,$G:$G)*SUMIF(Summary!$A$247:$A$283,$A397,Summary!$Q$247:$Q$283),0)</f>
        <v>0</v>
      </c>
      <c r="AL397" s="196">
        <f>IFERROR($G397/SUMIF($A:$A,$A397,$G:$G)*(SUMIF(Summary!$A$247:$A$283,$A397,Summary!$L$247:$L$283)+SUMIF(Summary!$A$297:$A$333,$A397,Summary!$L$297:$L$333))-AK397,0)</f>
        <v>0</v>
      </c>
      <c r="AM397" s="198"/>
      <c r="AN397" s="196">
        <f t="shared" ca="1" si="96"/>
        <v>0</v>
      </c>
      <c r="AO397" s="196">
        <f t="shared" ca="1" si="97"/>
        <v>0</v>
      </c>
    </row>
    <row r="398" spans="1:41">
      <c r="A398" s="189">
        <v>3581</v>
      </c>
      <c r="B398" s="190">
        <v>4</v>
      </c>
      <c r="C398" s="191" t="s">
        <v>235</v>
      </c>
      <c r="D398" s="192">
        <f t="shared" si="84"/>
        <v>3</v>
      </c>
      <c r="E398" s="192">
        <f t="shared" si="85"/>
        <v>0</v>
      </c>
      <c r="F398" s="192">
        <f t="shared" si="86"/>
        <v>0</v>
      </c>
      <c r="G398" s="193">
        <f t="shared" si="87"/>
        <v>3</v>
      </c>
      <c r="H398" s="194">
        <v>3</v>
      </c>
      <c r="I398" s="194">
        <v>0</v>
      </c>
      <c r="J398" s="194">
        <v>0</v>
      </c>
      <c r="K398" s="193">
        <f t="shared" si="88"/>
        <v>3</v>
      </c>
      <c r="L398" s="194">
        <v>0</v>
      </c>
      <c r="M398" s="194">
        <v>0</v>
      </c>
      <c r="N398" s="194">
        <v>0</v>
      </c>
      <c r="O398" s="193">
        <f t="shared" si="89"/>
        <v>0</v>
      </c>
      <c r="P398" s="194">
        <v>0</v>
      </c>
      <c r="Q398" s="194">
        <v>0</v>
      </c>
      <c r="R398" s="194">
        <v>0</v>
      </c>
      <c r="S398" s="193">
        <f t="shared" si="90"/>
        <v>0</v>
      </c>
      <c r="T398" s="193">
        <f t="shared" si="91"/>
        <v>0.16666666666666666</v>
      </c>
      <c r="U398" s="193">
        <f ca="1">OFFSET('Expenditure Study'!$B$7,'Operations Support'!$C398,'Operations Support'!$B398)*$G398</f>
        <v>114.18</v>
      </c>
      <c r="V398" s="199">
        <f ca="1">U398*'Expenditure Study'!$B$31</f>
        <v>6746.1175837440005</v>
      </c>
      <c r="W398" s="199">
        <f ca="1">IF(A398=10298,1.51,1)*IF($B398&lt;3,$D398*'Expenditure Study'!$B$32*OFFSET('Expenditure Study'!$B$7,'Operations Support'!$C398,'Operations Support'!$B398),0)</f>
        <v>0</v>
      </c>
      <c r="X398" s="200">
        <f ca="1">W398*'Expenditure Study'!$B$31</f>
        <v>0</v>
      </c>
      <c r="Y398" s="199">
        <f ca="1">U398*'Expenditure Study'!$B$31</f>
        <v>6746.1175837440005</v>
      </c>
      <c r="Z398" s="200">
        <f ca="1">W398*'Expenditure Study'!$B$31</f>
        <v>0</v>
      </c>
      <c r="AA398" s="195">
        <f t="shared" ca="1" si="92"/>
        <v>6746.1175837440005</v>
      </c>
      <c r="AB398" s="195">
        <f t="shared" ca="1" si="93"/>
        <v>6746.1175837440005</v>
      </c>
      <c r="AD398" s="196">
        <f>IFERROR($G398/SUMIF($A:$A,$A398,$G:$G)*SUMIF(Summary!$A$166:$A$242,$A398,Summary!$P$166:$P$242),0)</f>
        <v>104.57413268338509</v>
      </c>
      <c r="AE398" s="197">
        <f t="shared" ca="1" si="94"/>
        <v>6641.5434510606156</v>
      </c>
      <c r="AF398" s="196">
        <f>IFERROR(G398/SUMIF(A:A,A398,G:G)*SUMIF(Summary!$A$166:$A$242,'Operations Support'!A398,Summary!$Q$166:$Q$242),0)</f>
        <v>104.70521221825</v>
      </c>
      <c r="AG398" s="196">
        <f t="shared" ca="1" si="95"/>
        <v>6641.4123715257501</v>
      </c>
      <c r="AI398" s="196">
        <f>IFERROR($G398/SUMIF($A:$A,$A398,$G:$G)*SUMIF(Summary!$A$247:$A$283,$A398,Summary!$P$247:$P$283),0)</f>
        <v>19.071712183057674</v>
      </c>
      <c r="AJ398" s="196">
        <f>IFERROR($G398/SUMIF($A:$A,$A398,$G:$G)*(SUMIF(Summary!$A$247:$A$283,$A398,Summary!$L$247:$L$283)+SUMIF(Summary!$A$297:$A$333,$A398,Summary!$L$297:$L$333))-AI398,0)</f>
        <v>33.60476817647411</v>
      </c>
      <c r="AK398" s="196">
        <f>IFERROR($G398/SUMIF($A:$A,$A398,$G:$G)*SUMIF(Summary!$A$247:$A$283,$A398,Summary!$Q$247:$Q$283),0)</f>
        <v>19.095617819163696</v>
      </c>
      <c r="AL398" s="196">
        <f>IFERROR($G398/SUMIF($A:$A,$A398,$G:$G)*(SUMIF(Summary!$A$247:$A$283,$A398,Summary!$L$247:$L$283)+SUMIF(Summary!$A$297:$A$333,$A398,Summary!$L$297:$L$333))-AK398,0)</f>
        <v>33.580862540368088</v>
      </c>
      <c r="AM398" s="198"/>
      <c r="AN398" s="196">
        <f t="shared" ca="1" si="96"/>
        <v>6675.1482192370895</v>
      </c>
      <c r="AO398" s="196">
        <f t="shared" ca="1" si="97"/>
        <v>6674.993234066118</v>
      </c>
    </row>
    <row r="399" spans="1:41">
      <c r="A399" s="189">
        <v>3581</v>
      </c>
      <c r="B399" s="190">
        <v>4</v>
      </c>
      <c r="C399" s="191" t="s">
        <v>236</v>
      </c>
      <c r="D399" s="192">
        <f t="shared" si="84"/>
        <v>0</v>
      </c>
      <c r="E399" s="192">
        <f t="shared" si="85"/>
        <v>0</v>
      </c>
      <c r="F399" s="192">
        <f t="shared" si="86"/>
        <v>0</v>
      </c>
      <c r="G399" s="193">
        <f t="shared" si="87"/>
        <v>0</v>
      </c>
      <c r="H399" s="194">
        <v>0</v>
      </c>
      <c r="I399" s="194">
        <v>0</v>
      </c>
      <c r="J399" s="194">
        <v>0</v>
      </c>
      <c r="K399" s="193">
        <f t="shared" si="88"/>
        <v>0</v>
      </c>
      <c r="L399" s="194">
        <v>0</v>
      </c>
      <c r="M399" s="194">
        <v>0</v>
      </c>
      <c r="N399" s="194">
        <v>0</v>
      </c>
      <c r="O399" s="193">
        <f t="shared" si="89"/>
        <v>0</v>
      </c>
      <c r="P399" s="194">
        <v>0</v>
      </c>
      <c r="Q399" s="194">
        <v>0</v>
      </c>
      <c r="R399" s="194">
        <v>0</v>
      </c>
      <c r="S399" s="193">
        <f t="shared" si="90"/>
        <v>0</v>
      </c>
      <c r="T399" s="193">
        <f t="shared" si="91"/>
        <v>0</v>
      </c>
      <c r="U399" s="193">
        <f ca="1">OFFSET('Expenditure Study'!$B$7,'Operations Support'!$C399,'Operations Support'!$B399)*$G399</f>
        <v>0</v>
      </c>
      <c r="V399" s="199">
        <f ca="1">U399*'Expenditure Study'!$B$31</f>
        <v>0</v>
      </c>
      <c r="W399" s="199">
        <f ca="1">IF(A399=10298,1.51,1)*IF($B399&lt;3,$D399*'Expenditure Study'!$B$32*OFFSET('Expenditure Study'!$B$7,'Operations Support'!$C399,'Operations Support'!$B399),0)</f>
        <v>0</v>
      </c>
      <c r="X399" s="200">
        <f ca="1">W399*'Expenditure Study'!$B$31</f>
        <v>0</v>
      </c>
      <c r="Y399" s="199">
        <f ca="1">U399*'Expenditure Study'!$B$31</f>
        <v>0</v>
      </c>
      <c r="Z399" s="200">
        <f ca="1">W399*'Expenditure Study'!$B$31</f>
        <v>0</v>
      </c>
      <c r="AA399" s="195">
        <f t="shared" ca="1" si="92"/>
        <v>0</v>
      </c>
      <c r="AB399" s="195">
        <f t="shared" ca="1" si="93"/>
        <v>0</v>
      </c>
      <c r="AD399" s="196">
        <f>IFERROR($G399/SUMIF($A:$A,$A399,$G:$G)*SUMIF(Summary!$A$166:$A$242,$A399,Summary!$P$166:$P$242),0)</f>
        <v>0</v>
      </c>
      <c r="AE399" s="197">
        <f t="shared" ca="1" si="94"/>
        <v>0</v>
      </c>
      <c r="AF399" s="196">
        <f>IFERROR(G399/SUMIF(A:A,A399,G:G)*SUMIF(Summary!$A$166:$A$242,'Operations Support'!A399,Summary!$Q$166:$Q$242),0)</f>
        <v>0</v>
      </c>
      <c r="AG399" s="196">
        <f t="shared" ca="1" si="95"/>
        <v>0</v>
      </c>
      <c r="AI399" s="196">
        <f>IFERROR($G399/SUMIF($A:$A,$A399,$G:$G)*SUMIF(Summary!$A$247:$A$283,$A399,Summary!$P$247:$P$283),0)</f>
        <v>0</v>
      </c>
      <c r="AJ399" s="196">
        <f>IFERROR($G399/SUMIF($A:$A,$A399,$G:$G)*(SUMIF(Summary!$A$247:$A$283,$A399,Summary!$L$247:$L$283)+SUMIF(Summary!$A$297:$A$333,$A399,Summary!$L$297:$L$333))-AI399,0)</f>
        <v>0</v>
      </c>
      <c r="AK399" s="196">
        <f>IFERROR($G399/SUMIF($A:$A,$A399,$G:$G)*SUMIF(Summary!$A$247:$A$283,$A399,Summary!$Q$247:$Q$283),0)</f>
        <v>0</v>
      </c>
      <c r="AL399" s="196">
        <f>IFERROR($G399/SUMIF($A:$A,$A399,$G:$G)*(SUMIF(Summary!$A$247:$A$283,$A399,Summary!$L$247:$L$283)+SUMIF(Summary!$A$297:$A$333,$A399,Summary!$L$297:$L$333))-AK399,0)</f>
        <v>0</v>
      </c>
      <c r="AM399" s="198"/>
      <c r="AN399" s="196">
        <f t="shared" ca="1" si="96"/>
        <v>0</v>
      </c>
      <c r="AO399" s="196">
        <f t="shared" ca="1" si="97"/>
        <v>0</v>
      </c>
    </row>
    <row r="400" spans="1:41">
      <c r="A400" s="189">
        <v>3581</v>
      </c>
      <c r="B400" s="190">
        <v>4</v>
      </c>
      <c r="C400" s="191" t="s">
        <v>237</v>
      </c>
      <c r="D400" s="192">
        <f t="shared" si="84"/>
        <v>0</v>
      </c>
      <c r="E400" s="192">
        <f t="shared" si="85"/>
        <v>0</v>
      </c>
      <c r="F400" s="192">
        <f t="shared" si="86"/>
        <v>0</v>
      </c>
      <c r="G400" s="193">
        <f t="shared" si="87"/>
        <v>0</v>
      </c>
      <c r="H400" s="194">
        <v>0</v>
      </c>
      <c r="I400" s="194">
        <v>0</v>
      </c>
      <c r="J400" s="194">
        <v>0</v>
      </c>
      <c r="K400" s="193">
        <f t="shared" si="88"/>
        <v>0</v>
      </c>
      <c r="L400" s="194">
        <v>0</v>
      </c>
      <c r="M400" s="194">
        <v>0</v>
      </c>
      <c r="N400" s="194">
        <v>0</v>
      </c>
      <c r="O400" s="193">
        <f t="shared" si="89"/>
        <v>0</v>
      </c>
      <c r="P400" s="194">
        <v>0</v>
      </c>
      <c r="Q400" s="194">
        <v>0</v>
      </c>
      <c r="R400" s="194">
        <v>0</v>
      </c>
      <c r="S400" s="193">
        <f t="shared" si="90"/>
        <v>0</v>
      </c>
      <c r="T400" s="193">
        <f t="shared" si="91"/>
        <v>0</v>
      </c>
      <c r="U400" s="193">
        <f ca="1">OFFSET('Expenditure Study'!$B$7,'Operations Support'!$C400,'Operations Support'!$B400)*$G400</f>
        <v>0</v>
      </c>
      <c r="V400" s="199">
        <f ca="1">U400*'Expenditure Study'!$B$31</f>
        <v>0</v>
      </c>
      <c r="W400" s="199">
        <f ca="1">IF(A400=10298,1.51,1)*IF($B400&lt;3,$D400*'Expenditure Study'!$B$32*OFFSET('Expenditure Study'!$B$7,'Operations Support'!$C400,'Operations Support'!$B400),0)</f>
        <v>0</v>
      </c>
      <c r="X400" s="200">
        <f ca="1">W400*'Expenditure Study'!$B$31</f>
        <v>0</v>
      </c>
      <c r="Y400" s="199">
        <f ca="1">U400*'Expenditure Study'!$B$31</f>
        <v>0</v>
      </c>
      <c r="Z400" s="200">
        <f ca="1">W400*'Expenditure Study'!$B$31</f>
        <v>0</v>
      </c>
      <c r="AA400" s="195">
        <f t="shared" ca="1" si="92"/>
        <v>0</v>
      </c>
      <c r="AB400" s="195">
        <f t="shared" ca="1" si="93"/>
        <v>0</v>
      </c>
      <c r="AD400" s="196">
        <f>IFERROR($G400/SUMIF($A:$A,$A400,$G:$G)*SUMIF(Summary!$A$166:$A$242,$A400,Summary!$P$166:$P$242),0)</f>
        <v>0</v>
      </c>
      <c r="AE400" s="197">
        <f t="shared" ca="1" si="94"/>
        <v>0</v>
      </c>
      <c r="AF400" s="196">
        <f>IFERROR(G400/SUMIF(A:A,A400,G:G)*SUMIF(Summary!$A$166:$A$242,'Operations Support'!A400,Summary!$Q$166:$Q$242),0)</f>
        <v>0</v>
      </c>
      <c r="AG400" s="196">
        <f t="shared" ca="1" si="95"/>
        <v>0</v>
      </c>
      <c r="AI400" s="196">
        <f>IFERROR($G400/SUMIF($A:$A,$A400,$G:$G)*SUMIF(Summary!$A$247:$A$283,$A400,Summary!$P$247:$P$283),0)</f>
        <v>0</v>
      </c>
      <c r="AJ400" s="196">
        <f>IFERROR($G400/SUMIF($A:$A,$A400,$G:$G)*(SUMIF(Summary!$A$247:$A$283,$A400,Summary!$L$247:$L$283)+SUMIF(Summary!$A$297:$A$333,$A400,Summary!$L$297:$L$333))-AI400,0)</f>
        <v>0</v>
      </c>
      <c r="AK400" s="196">
        <f>IFERROR($G400/SUMIF($A:$A,$A400,$G:$G)*SUMIF(Summary!$A$247:$A$283,$A400,Summary!$Q$247:$Q$283),0)</f>
        <v>0</v>
      </c>
      <c r="AL400" s="196">
        <f>IFERROR($G400/SUMIF($A:$A,$A400,$G:$G)*(SUMIF(Summary!$A$247:$A$283,$A400,Summary!$L$247:$L$283)+SUMIF(Summary!$A$297:$A$333,$A400,Summary!$L$297:$L$333))-AK400,0)</f>
        <v>0</v>
      </c>
      <c r="AM400" s="198"/>
      <c r="AN400" s="196">
        <f t="shared" ca="1" si="96"/>
        <v>0</v>
      </c>
      <c r="AO400" s="196">
        <f t="shared" ca="1" si="97"/>
        <v>0</v>
      </c>
    </row>
    <row r="401" spans="1:41">
      <c r="A401" s="189">
        <v>3581</v>
      </c>
      <c r="B401" s="190">
        <v>4</v>
      </c>
      <c r="C401" s="191" t="s">
        <v>238</v>
      </c>
      <c r="D401" s="192">
        <f t="shared" si="84"/>
        <v>0</v>
      </c>
      <c r="E401" s="192">
        <f t="shared" si="85"/>
        <v>0</v>
      </c>
      <c r="F401" s="192">
        <f t="shared" si="86"/>
        <v>0</v>
      </c>
      <c r="G401" s="193">
        <f t="shared" si="87"/>
        <v>0</v>
      </c>
      <c r="H401" s="194">
        <v>0</v>
      </c>
      <c r="I401" s="194">
        <v>0</v>
      </c>
      <c r="J401" s="194">
        <v>0</v>
      </c>
      <c r="K401" s="193">
        <f t="shared" si="88"/>
        <v>0</v>
      </c>
      <c r="L401" s="194">
        <v>0</v>
      </c>
      <c r="M401" s="194">
        <v>0</v>
      </c>
      <c r="N401" s="194">
        <v>0</v>
      </c>
      <c r="O401" s="193">
        <f t="shared" si="89"/>
        <v>0</v>
      </c>
      <c r="P401" s="194">
        <v>0</v>
      </c>
      <c r="Q401" s="194">
        <v>0</v>
      </c>
      <c r="R401" s="194">
        <v>0</v>
      </c>
      <c r="S401" s="193">
        <f t="shared" si="90"/>
        <v>0</v>
      </c>
      <c r="T401" s="193">
        <f t="shared" si="91"/>
        <v>0</v>
      </c>
      <c r="U401" s="193">
        <f ca="1">OFFSET('Expenditure Study'!$B$7,'Operations Support'!$C401,'Operations Support'!$B401)*$G401</f>
        <v>0</v>
      </c>
      <c r="V401" s="199">
        <f ca="1">U401*'Expenditure Study'!$B$31</f>
        <v>0</v>
      </c>
      <c r="W401" s="199">
        <f ca="1">IF(A401=10298,1.51,1)*IF($B401&lt;3,$D401*'Expenditure Study'!$B$32*OFFSET('Expenditure Study'!$B$7,'Operations Support'!$C401,'Operations Support'!$B401),0)</f>
        <v>0</v>
      </c>
      <c r="X401" s="200">
        <f ca="1">W401*'Expenditure Study'!$B$31</f>
        <v>0</v>
      </c>
      <c r="Y401" s="199">
        <f ca="1">U401*'Expenditure Study'!$B$31</f>
        <v>0</v>
      </c>
      <c r="Z401" s="200">
        <f ca="1">W401*'Expenditure Study'!$B$31</f>
        <v>0</v>
      </c>
      <c r="AA401" s="195">
        <f t="shared" ca="1" si="92"/>
        <v>0</v>
      </c>
      <c r="AB401" s="195">
        <f t="shared" ca="1" si="93"/>
        <v>0</v>
      </c>
      <c r="AD401" s="196">
        <f>IFERROR($G401/SUMIF($A:$A,$A401,$G:$G)*SUMIF(Summary!$A$166:$A$242,$A401,Summary!$P$166:$P$242),0)</f>
        <v>0</v>
      </c>
      <c r="AE401" s="197">
        <f t="shared" ca="1" si="94"/>
        <v>0</v>
      </c>
      <c r="AF401" s="196">
        <f>IFERROR(G401/SUMIF(A:A,A401,G:G)*SUMIF(Summary!$A$166:$A$242,'Operations Support'!A401,Summary!$Q$166:$Q$242),0)</f>
        <v>0</v>
      </c>
      <c r="AG401" s="196">
        <f t="shared" ca="1" si="95"/>
        <v>0</v>
      </c>
      <c r="AI401" s="196">
        <f>IFERROR($G401/SUMIF($A:$A,$A401,$G:$G)*SUMIF(Summary!$A$247:$A$283,$A401,Summary!$P$247:$P$283),0)</f>
        <v>0</v>
      </c>
      <c r="AJ401" s="196">
        <f>IFERROR($G401/SUMIF($A:$A,$A401,$G:$G)*(SUMIF(Summary!$A$247:$A$283,$A401,Summary!$L$247:$L$283)+SUMIF(Summary!$A$297:$A$333,$A401,Summary!$L$297:$L$333))-AI401,0)</f>
        <v>0</v>
      </c>
      <c r="AK401" s="196">
        <f>IFERROR($G401/SUMIF($A:$A,$A401,$G:$G)*SUMIF(Summary!$A$247:$A$283,$A401,Summary!$Q$247:$Q$283),0)</f>
        <v>0</v>
      </c>
      <c r="AL401" s="196">
        <f>IFERROR($G401/SUMIF($A:$A,$A401,$G:$G)*(SUMIF(Summary!$A$247:$A$283,$A401,Summary!$L$247:$L$283)+SUMIF(Summary!$A$297:$A$333,$A401,Summary!$L$297:$L$333))-AK401,0)</f>
        <v>0</v>
      </c>
      <c r="AM401" s="198"/>
      <c r="AN401" s="196">
        <f t="shared" ca="1" si="96"/>
        <v>0</v>
      </c>
      <c r="AO401" s="196">
        <f t="shared" ca="1" si="97"/>
        <v>0</v>
      </c>
    </row>
    <row r="402" spans="1:41">
      <c r="A402" s="189">
        <v>3581</v>
      </c>
      <c r="B402" s="190">
        <v>4</v>
      </c>
      <c r="C402" s="191" t="s">
        <v>239</v>
      </c>
      <c r="D402" s="192">
        <f t="shared" si="84"/>
        <v>0</v>
      </c>
      <c r="E402" s="192">
        <f t="shared" si="85"/>
        <v>0</v>
      </c>
      <c r="F402" s="192">
        <f t="shared" si="86"/>
        <v>0</v>
      </c>
      <c r="G402" s="193">
        <f t="shared" si="87"/>
        <v>0</v>
      </c>
      <c r="H402" s="194">
        <v>0</v>
      </c>
      <c r="I402" s="194">
        <v>0</v>
      </c>
      <c r="J402" s="194">
        <v>0</v>
      </c>
      <c r="K402" s="193">
        <f t="shared" si="88"/>
        <v>0</v>
      </c>
      <c r="L402" s="194">
        <v>0</v>
      </c>
      <c r="M402" s="194">
        <v>0</v>
      </c>
      <c r="N402" s="194">
        <v>0</v>
      </c>
      <c r="O402" s="193">
        <f t="shared" si="89"/>
        <v>0</v>
      </c>
      <c r="P402" s="194">
        <v>0</v>
      </c>
      <c r="Q402" s="194">
        <v>0</v>
      </c>
      <c r="R402" s="194">
        <v>0</v>
      </c>
      <c r="S402" s="193">
        <f t="shared" si="90"/>
        <v>0</v>
      </c>
      <c r="T402" s="193">
        <f t="shared" si="91"/>
        <v>0</v>
      </c>
      <c r="U402" s="193">
        <f ca="1">OFFSET('Expenditure Study'!$B$7,'Operations Support'!$C402,'Operations Support'!$B402)*$G402</f>
        <v>0</v>
      </c>
      <c r="V402" s="199">
        <f ca="1">U402*'Expenditure Study'!$B$31</f>
        <v>0</v>
      </c>
      <c r="W402" s="199">
        <f ca="1">IF(A402=10298,1.51,1)*IF($B402&lt;3,$D402*'Expenditure Study'!$B$32*OFFSET('Expenditure Study'!$B$7,'Operations Support'!$C402,'Operations Support'!$B402),0)</f>
        <v>0</v>
      </c>
      <c r="X402" s="200">
        <f ca="1">W402*'Expenditure Study'!$B$31</f>
        <v>0</v>
      </c>
      <c r="Y402" s="199">
        <f ca="1">U402*'Expenditure Study'!$B$31</f>
        <v>0</v>
      </c>
      <c r="Z402" s="200">
        <f ca="1">W402*'Expenditure Study'!$B$31</f>
        <v>0</v>
      </c>
      <c r="AA402" s="195">
        <f t="shared" ca="1" si="92"/>
        <v>0</v>
      </c>
      <c r="AB402" s="195">
        <f t="shared" ca="1" si="93"/>
        <v>0</v>
      </c>
      <c r="AD402" s="196">
        <f>IFERROR($G402/SUMIF($A:$A,$A402,$G:$G)*SUMIF(Summary!$A$166:$A$242,$A402,Summary!$P$166:$P$242),0)</f>
        <v>0</v>
      </c>
      <c r="AE402" s="197">
        <f t="shared" ca="1" si="94"/>
        <v>0</v>
      </c>
      <c r="AF402" s="196">
        <f>IFERROR(G402/SUMIF(A:A,A402,G:G)*SUMIF(Summary!$A$166:$A$242,'Operations Support'!A402,Summary!$Q$166:$Q$242),0)</f>
        <v>0</v>
      </c>
      <c r="AG402" s="196">
        <f t="shared" ca="1" si="95"/>
        <v>0</v>
      </c>
      <c r="AI402" s="196">
        <f>IFERROR($G402/SUMIF($A:$A,$A402,$G:$G)*SUMIF(Summary!$A$247:$A$283,$A402,Summary!$P$247:$P$283),0)</f>
        <v>0</v>
      </c>
      <c r="AJ402" s="196">
        <f>IFERROR($G402/SUMIF($A:$A,$A402,$G:$G)*(SUMIF(Summary!$A$247:$A$283,$A402,Summary!$L$247:$L$283)+SUMIF(Summary!$A$297:$A$333,$A402,Summary!$L$297:$L$333))-AI402,0)</f>
        <v>0</v>
      </c>
      <c r="AK402" s="196">
        <f>IFERROR($G402/SUMIF($A:$A,$A402,$G:$G)*SUMIF(Summary!$A$247:$A$283,$A402,Summary!$Q$247:$Q$283),0)</f>
        <v>0</v>
      </c>
      <c r="AL402" s="196">
        <f>IFERROR($G402/SUMIF($A:$A,$A402,$G:$G)*(SUMIF(Summary!$A$247:$A$283,$A402,Summary!$L$247:$L$283)+SUMIF(Summary!$A$297:$A$333,$A402,Summary!$L$297:$L$333))-AK402,0)</f>
        <v>0</v>
      </c>
      <c r="AM402" s="198"/>
      <c r="AN402" s="196">
        <f t="shared" ca="1" si="96"/>
        <v>0</v>
      </c>
      <c r="AO402" s="196">
        <f t="shared" ca="1" si="97"/>
        <v>0</v>
      </c>
    </row>
    <row r="403" spans="1:41" s="201" customFormat="1">
      <c r="A403" s="189">
        <v>3581</v>
      </c>
      <c r="B403" s="190">
        <v>4</v>
      </c>
      <c r="C403" s="191" t="s">
        <v>240</v>
      </c>
      <c r="D403" s="192">
        <f t="shared" si="84"/>
        <v>0</v>
      </c>
      <c r="E403" s="192">
        <f t="shared" si="85"/>
        <v>0</v>
      </c>
      <c r="F403" s="192">
        <f t="shared" si="86"/>
        <v>0</v>
      </c>
      <c r="G403" s="193">
        <f t="shared" si="87"/>
        <v>0</v>
      </c>
      <c r="H403" s="194">
        <v>0</v>
      </c>
      <c r="I403" s="194">
        <v>0</v>
      </c>
      <c r="J403" s="194">
        <v>0</v>
      </c>
      <c r="K403" s="193">
        <f t="shared" si="88"/>
        <v>0</v>
      </c>
      <c r="L403" s="194">
        <v>0</v>
      </c>
      <c r="M403" s="194">
        <v>0</v>
      </c>
      <c r="N403" s="194">
        <v>0</v>
      </c>
      <c r="O403" s="193">
        <f t="shared" si="89"/>
        <v>0</v>
      </c>
      <c r="P403" s="194">
        <v>0</v>
      </c>
      <c r="Q403" s="194">
        <v>0</v>
      </c>
      <c r="R403" s="194">
        <v>0</v>
      </c>
      <c r="S403" s="193">
        <f t="shared" si="90"/>
        <v>0</v>
      </c>
      <c r="T403" s="193">
        <f t="shared" si="91"/>
        <v>0</v>
      </c>
      <c r="U403" s="193">
        <f ca="1">OFFSET('Expenditure Study'!$B$7,'Operations Support'!$C403,'Operations Support'!$B403)*$G403</f>
        <v>0</v>
      </c>
      <c r="V403" s="199">
        <f ca="1">U403*'Expenditure Study'!$B$31</f>
        <v>0</v>
      </c>
      <c r="W403" s="199">
        <f ca="1">IF(A403=10298,1.51,1)*IF($B403&lt;3,$D403*'Expenditure Study'!$B$32*OFFSET('Expenditure Study'!$B$7,'Operations Support'!$C403,'Operations Support'!$B403),0)</f>
        <v>0</v>
      </c>
      <c r="X403" s="200">
        <f ca="1">W403*'Expenditure Study'!$B$31</f>
        <v>0</v>
      </c>
      <c r="Y403" s="199">
        <f ca="1">U403*'Expenditure Study'!$B$31</f>
        <v>0</v>
      </c>
      <c r="Z403" s="200">
        <f ca="1">W403*'Expenditure Study'!$B$31</f>
        <v>0</v>
      </c>
      <c r="AA403" s="195">
        <f t="shared" ca="1" si="92"/>
        <v>0</v>
      </c>
      <c r="AB403" s="195">
        <f t="shared" ca="1" si="93"/>
        <v>0</v>
      </c>
      <c r="AD403" s="196">
        <f>IFERROR($G403/SUMIF($A:$A,$A403,$G:$G)*SUMIF(Summary!$A$166:$A$242,$A403,Summary!$P$166:$P$242),0)</f>
        <v>0</v>
      </c>
      <c r="AE403" s="197">
        <f t="shared" ca="1" si="94"/>
        <v>0</v>
      </c>
      <c r="AF403" s="196">
        <f>IFERROR(G403/SUMIF(A:A,A403,G:G)*SUMIF(Summary!$A$166:$A$242,'Operations Support'!A403,Summary!$Q$166:$Q$242),0)</f>
        <v>0</v>
      </c>
      <c r="AG403" s="196">
        <f t="shared" ca="1" si="95"/>
        <v>0</v>
      </c>
      <c r="AH403" s="180"/>
      <c r="AI403" s="196">
        <f>IFERROR($G403/SUMIF($A:$A,$A403,$G:$G)*SUMIF(Summary!$A$247:$A$283,$A403,Summary!$P$247:$P$283),0)</f>
        <v>0</v>
      </c>
      <c r="AJ403" s="196">
        <f>IFERROR($G403/SUMIF($A:$A,$A403,$G:$G)*(SUMIF(Summary!$A$247:$A$283,$A403,Summary!$L$247:$L$283)+SUMIF(Summary!$A$297:$A$333,$A403,Summary!$L$297:$L$333))-AI403,0)</f>
        <v>0</v>
      </c>
      <c r="AK403" s="196">
        <f>IFERROR($G403/SUMIF($A:$A,$A403,$G:$G)*SUMIF(Summary!$A$247:$A$283,$A403,Summary!$Q$247:$Q$283),0)</f>
        <v>0</v>
      </c>
      <c r="AL403" s="196">
        <f>IFERROR($G403/SUMIF($A:$A,$A403,$G:$G)*(SUMIF(Summary!$A$247:$A$283,$A403,Summary!$L$247:$L$283)+SUMIF(Summary!$A$297:$A$333,$A403,Summary!$L$297:$L$333))-AK403,0)</f>
        <v>0</v>
      </c>
      <c r="AM403" s="198"/>
      <c r="AN403" s="196">
        <f t="shared" ca="1" si="96"/>
        <v>0</v>
      </c>
      <c r="AO403" s="196">
        <f t="shared" ca="1" si="97"/>
        <v>0</v>
      </c>
    </row>
    <row r="404" spans="1:41">
      <c r="A404" s="189">
        <v>3581</v>
      </c>
      <c r="B404" s="190">
        <v>5</v>
      </c>
      <c r="C404" s="191" t="s">
        <v>220</v>
      </c>
      <c r="D404" s="192">
        <f t="shared" si="84"/>
        <v>0</v>
      </c>
      <c r="E404" s="192">
        <f t="shared" si="85"/>
        <v>0</v>
      </c>
      <c r="F404" s="192">
        <f t="shared" si="86"/>
        <v>0</v>
      </c>
      <c r="G404" s="193">
        <f t="shared" si="87"/>
        <v>0</v>
      </c>
      <c r="H404" s="194">
        <v>0</v>
      </c>
      <c r="I404" s="194">
        <v>0</v>
      </c>
      <c r="J404" s="194">
        <v>0</v>
      </c>
      <c r="K404" s="193">
        <f t="shared" si="88"/>
        <v>0</v>
      </c>
      <c r="L404" s="194">
        <v>0</v>
      </c>
      <c r="M404" s="194">
        <v>0</v>
      </c>
      <c r="N404" s="194">
        <v>0</v>
      </c>
      <c r="O404" s="193">
        <f t="shared" si="89"/>
        <v>0</v>
      </c>
      <c r="P404" s="194">
        <v>0</v>
      </c>
      <c r="Q404" s="194">
        <v>0</v>
      </c>
      <c r="R404" s="194">
        <v>0</v>
      </c>
      <c r="S404" s="193">
        <f t="shared" si="90"/>
        <v>0</v>
      </c>
      <c r="T404" s="193">
        <f t="shared" si="91"/>
        <v>0</v>
      </c>
      <c r="U404" s="193">
        <f ca="1">OFFSET('Expenditure Study'!$B$7,'Operations Support'!$C404,'Operations Support'!$B404)*$G404</f>
        <v>0</v>
      </c>
      <c r="V404" s="199">
        <f ca="1">U404*'Expenditure Study'!$B$31</f>
        <v>0</v>
      </c>
      <c r="W404" s="199">
        <f ca="1">IF(A404=10298,1.51,1)*IF($B404&lt;3,$D404*'Expenditure Study'!$B$32*OFFSET('Expenditure Study'!$B$7,'Operations Support'!$C404,'Operations Support'!$B404),0)</f>
        <v>0</v>
      </c>
      <c r="X404" s="200">
        <f ca="1">W404*'Expenditure Study'!$B$31</f>
        <v>0</v>
      </c>
      <c r="Y404" s="199">
        <f ca="1">U404*'Expenditure Study'!$B$31</f>
        <v>0</v>
      </c>
      <c r="Z404" s="200">
        <f ca="1">W404*'Expenditure Study'!$B$31</f>
        <v>0</v>
      </c>
      <c r="AA404" s="195">
        <f t="shared" ca="1" si="92"/>
        <v>0</v>
      </c>
      <c r="AB404" s="195">
        <f t="shared" ca="1" si="93"/>
        <v>0</v>
      </c>
      <c r="AD404" s="196">
        <f>IFERROR($G404/SUMIF($A:$A,$A404,$G:$G)*SUMIF(Summary!$A$166:$A$242,$A404,Summary!$P$166:$P$242),0)</f>
        <v>0</v>
      </c>
      <c r="AE404" s="197">
        <f t="shared" ca="1" si="94"/>
        <v>0</v>
      </c>
      <c r="AF404" s="196">
        <f>IFERROR(G404/SUMIF(A:A,A404,G:G)*SUMIF(Summary!$A$166:$A$242,'Operations Support'!A404,Summary!$Q$166:$Q$242),0)</f>
        <v>0</v>
      </c>
      <c r="AG404" s="196">
        <f t="shared" ca="1" si="95"/>
        <v>0</v>
      </c>
      <c r="AI404" s="196">
        <f>IFERROR($G404/SUMIF($A:$A,$A404,$G:$G)*SUMIF(Summary!$A$247:$A$283,$A404,Summary!$P$247:$P$283),0)</f>
        <v>0</v>
      </c>
      <c r="AJ404" s="196">
        <f>IFERROR($G404/SUMIF($A:$A,$A404,$G:$G)*(SUMIF(Summary!$A$247:$A$283,$A404,Summary!$L$247:$L$283)+SUMIF(Summary!$A$297:$A$333,$A404,Summary!$L$297:$L$333))-AI404,0)</f>
        <v>0</v>
      </c>
      <c r="AK404" s="196">
        <f>IFERROR($G404/SUMIF($A:$A,$A404,$G:$G)*SUMIF(Summary!$A$247:$A$283,$A404,Summary!$Q$247:$Q$283),0)</f>
        <v>0</v>
      </c>
      <c r="AL404" s="196">
        <f>IFERROR($G404/SUMIF($A:$A,$A404,$G:$G)*(SUMIF(Summary!$A$247:$A$283,$A404,Summary!$L$247:$L$283)+SUMIF(Summary!$A$297:$A$333,$A404,Summary!$L$297:$L$333))-AK404,0)</f>
        <v>0</v>
      </c>
      <c r="AM404" s="198"/>
      <c r="AN404" s="196">
        <f t="shared" ca="1" si="96"/>
        <v>0</v>
      </c>
      <c r="AO404" s="196">
        <f t="shared" ca="1" si="97"/>
        <v>0</v>
      </c>
    </row>
    <row r="405" spans="1:41">
      <c r="A405" s="189">
        <v>3581</v>
      </c>
      <c r="B405" s="190">
        <v>5</v>
      </c>
      <c r="C405" s="191" t="s">
        <v>221</v>
      </c>
      <c r="D405" s="192">
        <f t="shared" si="84"/>
        <v>0</v>
      </c>
      <c r="E405" s="192">
        <f t="shared" si="85"/>
        <v>0</v>
      </c>
      <c r="F405" s="192">
        <f t="shared" si="86"/>
        <v>0</v>
      </c>
      <c r="G405" s="193">
        <f t="shared" si="87"/>
        <v>0</v>
      </c>
      <c r="H405" s="194">
        <v>0</v>
      </c>
      <c r="I405" s="194">
        <v>0</v>
      </c>
      <c r="J405" s="194">
        <v>0</v>
      </c>
      <c r="K405" s="193">
        <f t="shared" si="88"/>
        <v>0</v>
      </c>
      <c r="L405" s="194">
        <v>0</v>
      </c>
      <c r="M405" s="194">
        <v>0</v>
      </c>
      <c r="N405" s="194">
        <v>0</v>
      </c>
      <c r="O405" s="193">
        <f t="shared" si="89"/>
        <v>0</v>
      </c>
      <c r="P405" s="194">
        <v>0</v>
      </c>
      <c r="Q405" s="194">
        <v>0</v>
      </c>
      <c r="R405" s="194">
        <v>0</v>
      </c>
      <c r="S405" s="193">
        <f t="shared" si="90"/>
        <v>0</v>
      </c>
      <c r="T405" s="193">
        <f t="shared" si="91"/>
        <v>0</v>
      </c>
      <c r="U405" s="193">
        <f ca="1">OFFSET('Expenditure Study'!$B$7,'Operations Support'!$C405,'Operations Support'!$B405)*$G405</f>
        <v>0</v>
      </c>
      <c r="V405" s="199">
        <f ca="1">U405*'Expenditure Study'!$B$31</f>
        <v>0</v>
      </c>
      <c r="W405" s="199">
        <f ca="1">IF(A405=10298,1.51,1)*IF($B405&lt;3,$D405*'Expenditure Study'!$B$32*OFFSET('Expenditure Study'!$B$7,'Operations Support'!$C405,'Operations Support'!$B405),0)</f>
        <v>0</v>
      </c>
      <c r="X405" s="200">
        <f ca="1">W405*'Expenditure Study'!$B$31</f>
        <v>0</v>
      </c>
      <c r="Y405" s="199">
        <f ca="1">U405*'Expenditure Study'!$B$31</f>
        <v>0</v>
      </c>
      <c r="Z405" s="200">
        <f ca="1">W405*'Expenditure Study'!$B$31</f>
        <v>0</v>
      </c>
      <c r="AA405" s="195">
        <f t="shared" ca="1" si="92"/>
        <v>0</v>
      </c>
      <c r="AB405" s="195">
        <f t="shared" ca="1" si="93"/>
        <v>0</v>
      </c>
      <c r="AD405" s="196">
        <f>IFERROR($G405/SUMIF($A:$A,$A405,$G:$G)*SUMIF(Summary!$A$166:$A$242,$A405,Summary!$P$166:$P$242),0)</f>
        <v>0</v>
      </c>
      <c r="AE405" s="197">
        <f t="shared" ca="1" si="94"/>
        <v>0</v>
      </c>
      <c r="AF405" s="196">
        <f>IFERROR(G405/SUMIF(A:A,A405,G:G)*SUMIF(Summary!$A$166:$A$242,'Operations Support'!A405,Summary!$Q$166:$Q$242),0)</f>
        <v>0</v>
      </c>
      <c r="AG405" s="196">
        <f t="shared" ca="1" si="95"/>
        <v>0</v>
      </c>
      <c r="AI405" s="196">
        <f>IFERROR($G405/SUMIF($A:$A,$A405,$G:$G)*SUMIF(Summary!$A$247:$A$283,$A405,Summary!$P$247:$P$283),0)</f>
        <v>0</v>
      </c>
      <c r="AJ405" s="196">
        <f>IFERROR($G405/SUMIF($A:$A,$A405,$G:$G)*(SUMIF(Summary!$A$247:$A$283,$A405,Summary!$L$247:$L$283)+SUMIF(Summary!$A$297:$A$333,$A405,Summary!$L$297:$L$333))-AI405,0)</f>
        <v>0</v>
      </c>
      <c r="AK405" s="196">
        <f>IFERROR($G405/SUMIF($A:$A,$A405,$G:$G)*SUMIF(Summary!$A$247:$A$283,$A405,Summary!$Q$247:$Q$283),0)</f>
        <v>0</v>
      </c>
      <c r="AL405" s="196">
        <f>IFERROR($G405/SUMIF($A:$A,$A405,$G:$G)*(SUMIF(Summary!$A$247:$A$283,$A405,Summary!$L$247:$L$283)+SUMIF(Summary!$A$297:$A$333,$A405,Summary!$L$297:$L$333))-AK405,0)</f>
        <v>0</v>
      </c>
      <c r="AM405" s="198"/>
      <c r="AN405" s="196">
        <f t="shared" ca="1" si="96"/>
        <v>0</v>
      </c>
      <c r="AO405" s="196">
        <f t="shared" ca="1" si="97"/>
        <v>0</v>
      </c>
    </row>
    <row r="406" spans="1:41">
      <c r="A406" s="189">
        <v>3581</v>
      </c>
      <c r="B406" s="190">
        <v>5</v>
      </c>
      <c r="C406" s="191" t="s">
        <v>222</v>
      </c>
      <c r="D406" s="192">
        <f t="shared" si="84"/>
        <v>0</v>
      </c>
      <c r="E406" s="192">
        <f t="shared" si="85"/>
        <v>0</v>
      </c>
      <c r="F406" s="192">
        <f t="shared" si="86"/>
        <v>0</v>
      </c>
      <c r="G406" s="193">
        <f t="shared" si="87"/>
        <v>0</v>
      </c>
      <c r="H406" s="194">
        <v>0</v>
      </c>
      <c r="I406" s="194">
        <v>0</v>
      </c>
      <c r="J406" s="194">
        <v>0</v>
      </c>
      <c r="K406" s="193">
        <f t="shared" si="88"/>
        <v>0</v>
      </c>
      <c r="L406" s="194">
        <v>0</v>
      </c>
      <c r="M406" s="194">
        <v>0</v>
      </c>
      <c r="N406" s="194">
        <v>0</v>
      </c>
      <c r="O406" s="193">
        <f t="shared" si="89"/>
        <v>0</v>
      </c>
      <c r="P406" s="194">
        <v>0</v>
      </c>
      <c r="Q406" s="194">
        <v>0</v>
      </c>
      <c r="R406" s="194">
        <v>0</v>
      </c>
      <c r="S406" s="193">
        <f t="shared" si="90"/>
        <v>0</v>
      </c>
      <c r="T406" s="193">
        <f t="shared" si="91"/>
        <v>0</v>
      </c>
      <c r="U406" s="193">
        <f ca="1">OFFSET('Expenditure Study'!$B$7,'Operations Support'!$C406,'Operations Support'!$B406)*$G406</f>
        <v>0</v>
      </c>
      <c r="V406" s="199">
        <f ca="1">U406*'Expenditure Study'!$B$31</f>
        <v>0</v>
      </c>
      <c r="W406" s="199">
        <f ca="1">IF(A406=10298,1.51,1)*IF($B406&lt;3,$D406*'Expenditure Study'!$B$32*OFFSET('Expenditure Study'!$B$7,'Operations Support'!$C406,'Operations Support'!$B406),0)</f>
        <v>0</v>
      </c>
      <c r="X406" s="200">
        <f ca="1">W406*'Expenditure Study'!$B$31</f>
        <v>0</v>
      </c>
      <c r="Y406" s="199">
        <f ca="1">U406*'Expenditure Study'!$B$31</f>
        <v>0</v>
      </c>
      <c r="Z406" s="200">
        <f ca="1">W406*'Expenditure Study'!$B$31</f>
        <v>0</v>
      </c>
      <c r="AA406" s="195">
        <f t="shared" ca="1" si="92"/>
        <v>0</v>
      </c>
      <c r="AB406" s="195">
        <f t="shared" ca="1" si="93"/>
        <v>0</v>
      </c>
      <c r="AD406" s="196">
        <f>IFERROR($G406/SUMIF($A:$A,$A406,$G:$G)*SUMIF(Summary!$A$166:$A$242,$A406,Summary!$P$166:$P$242),0)</f>
        <v>0</v>
      </c>
      <c r="AE406" s="197">
        <f t="shared" ca="1" si="94"/>
        <v>0</v>
      </c>
      <c r="AF406" s="196">
        <f>IFERROR(G406/SUMIF(A:A,A406,G:G)*SUMIF(Summary!$A$166:$A$242,'Operations Support'!A406,Summary!$Q$166:$Q$242),0)</f>
        <v>0</v>
      </c>
      <c r="AG406" s="196">
        <f t="shared" ca="1" si="95"/>
        <v>0</v>
      </c>
      <c r="AI406" s="196">
        <f>IFERROR($G406/SUMIF($A:$A,$A406,$G:$G)*SUMIF(Summary!$A$247:$A$283,$A406,Summary!$P$247:$P$283),0)</f>
        <v>0</v>
      </c>
      <c r="AJ406" s="196">
        <f>IFERROR($G406/SUMIF($A:$A,$A406,$G:$G)*(SUMIF(Summary!$A$247:$A$283,$A406,Summary!$L$247:$L$283)+SUMIF(Summary!$A$297:$A$333,$A406,Summary!$L$297:$L$333))-AI406,0)</f>
        <v>0</v>
      </c>
      <c r="AK406" s="196">
        <f>IFERROR($G406/SUMIF($A:$A,$A406,$G:$G)*SUMIF(Summary!$A$247:$A$283,$A406,Summary!$Q$247:$Q$283),0)</f>
        <v>0</v>
      </c>
      <c r="AL406" s="196">
        <f>IFERROR($G406/SUMIF($A:$A,$A406,$G:$G)*(SUMIF(Summary!$A$247:$A$283,$A406,Summary!$L$247:$L$283)+SUMIF(Summary!$A$297:$A$333,$A406,Summary!$L$297:$L$333))-AK406,0)</f>
        <v>0</v>
      </c>
      <c r="AM406" s="198"/>
      <c r="AN406" s="196">
        <f t="shared" ca="1" si="96"/>
        <v>0</v>
      </c>
      <c r="AO406" s="196">
        <f t="shared" ca="1" si="97"/>
        <v>0</v>
      </c>
    </row>
    <row r="407" spans="1:41">
      <c r="A407" s="189">
        <v>3581</v>
      </c>
      <c r="B407" s="190">
        <v>5</v>
      </c>
      <c r="C407" s="191" t="s">
        <v>223</v>
      </c>
      <c r="D407" s="192">
        <f t="shared" si="84"/>
        <v>0</v>
      </c>
      <c r="E407" s="192">
        <f t="shared" si="85"/>
        <v>0</v>
      </c>
      <c r="F407" s="192">
        <f t="shared" si="86"/>
        <v>0</v>
      </c>
      <c r="G407" s="193">
        <f t="shared" si="87"/>
        <v>0</v>
      </c>
      <c r="H407" s="194">
        <v>0</v>
      </c>
      <c r="I407" s="194">
        <v>0</v>
      </c>
      <c r="J407" s="194">
        <v>0</v>
      </c>
      <c r="K407" s="193">
        <f t="shared" si="88"/>
        <v>0</v>
      </c>
      <c r="L407" s="194">
        <v>0</v>
      </c>
      <c r="M407" s="194">
        <v>0</v>
      </c>
      <c r="N407" s="194">
        <v>0</v>
      </c>
      <c r="O407" s="193">
        <f t="shared" si="89"/>
        <v>0</v>
      </c>
      <c r="P407" s="194">
        <v>0</v>
      </c>
      <c r="Q407" s="194">
        <v>0</v>
      </c>
      <c r="R407" s="194">
        <v>0</v>
      </c>
      <c r="S407" s="193">
        <f t="shared" si="90"/>
        <v>0</v>
      </c>
      <c r="T407" s="193">
        <f t="shared" si="91"/>
        <v>0</v>
      </c>
      <c r="U407" s="193">
        <f ca="1">OFFSET('Expenditure Study'!$B$7,'Operations Support'!$C407,'Operations Support'!$B407)*$G407</f>
        <v>0</v>
      </c>
      <c r="V407" s="199">
        <f ca="1">U407*'Expenditure Study'!$B$31</f>
        <v>0</v>
      </c>
      <c r="W407" s="199">
        <f ca="1">IF(A407=10298,1.51,1)*IF($B407&lt;3,$D407*'Expenditure Study'!$B$32*OFFSET('Expenditure Study'!$B$7,'Operations Support'!$C407,'Operations Support'!$B407),0)</f>
        <v>0</v>
      </c>
      <c r="X407" s="200">
        <f ca="1">W407*'Expenditure Study'!$B$31</f>
        <v>0</v>
      </c>
      <c r="Y407" s="199">
        <f ca="1">U407*'Expenditure Study'!$B$31</f>
        <v>0</v>
      </c>
      <c r="Z407" s="200">
        <f ca="1">W407*'Expenditure Study'!$B$31</f>
        <v>0</v>
      </c>
      <c r="AA407" s="195">
        <f t="shared" ca="1" si="92"/>
        <v>0</v>
      </c>
      <c r="AB407" s="195">
        <f t="shared" ca="1" si="93"/>
        <v>0</v>
      </c>
      <c r="AD407" s="196">
        <f>IFERROR($G407/SUMIF($A:$A,$A407,$G:$G)*SUMIF(Summary!$A$166:$A$242,$A407,Summary!$P$166:$P$242),0)</f>
        <v>0</v>
      </c>
      <c r="AE407" s="197">
        <f t="shared" ca="1" si="94"/>
        <v>0</v>
      </c>
      <c r="AF407" s="196">
        <f>IFERROR(G407/SUMIF(A:A,A407,G:G)*SUMIF(Summary!$A$166:$A$242,'Operations Support'!A407,Summary!$Q$166:$Q$242),0)</f>
        <v>0</v>
      </c>
      <c r="AG407" s="196">
        <f t="shared" ca="1" si="95"/>
        <v>0</v>
      </c>
      <c r="AI407" s="196">
        <f>IFERROR($G407/SUMIF($A:$A,$A407,$G:$G)*SUMIF(Summary!$A$247:$A$283,$A407,Summary!$P$247:$P$283),0)</f>
        <v>0</v>
      </c>
      <c r="AJ407" s="196">
        <f>IFERROR($G407/SUMIF($A:$A,$A407,$G:$G)*(SUMIF(Summary!$A$247:$A$283,$A407,Summary!$L$247:$L$283)+SUMIF(Summary!$A$297:$A$333,$A407,Summary!$L$297:$L$333))-AI407,0)</f>
        <v>0</v>
      </c>
      <c r="AK407" s="196">
        <f>IFERROR($G407/SUMIF($A:$A,$A407,$G:$G)*SUMIF(Summary!$A$247:$A$283,$A407,Summary!$Q$247:$Q$283),0)</f>
        <v>0</v>
      </c>
      <c r="AL407" s="196">
        <f>IFERROR($G407/SUMIF($A:$A,$A407,$G:$G)*(SUMIF(Summary!$A$247:$A$283,$A407,Summary!$L$247:$L$283)+SUMIF(Summary!$A$297:$A$333,$A407,Summary!$L$297:$L$333))-AK407,0)</f>
        <v>0</v>
      </c>
      <c r="AM407" s="198"/>
      <c r="AN407" s="196">
        <f t="shared" ca="1" si="96"/>
        <v>0</v>
      </c>
      <c r="AO407" s="196">
        <f t="shared" ca="1" si="97"/>
        <v>0</v>
      </c>
    </row>
    <row r="408" spans="1:41">
      <c r="A408" s="189">
        <v>3581</v>
      </c>
      <c r="B408" s="190">
        <v>5</v>
      </c>
      <c r="C408" s="191" t="s">
        <v>224</v>
      </c>
      <c r="D408" s="192">
        <f t="shared" si="84"/>
        <v>0</v>
      </c>
      <c r="E408" s="192">
        <f t="shared" si="85"/>
        <v>0</v>
      </c>
      <c r="F408" s="192">
        <f t="shared" si="86"/>
        <v>0</v>
      </c>
      <c r="G408" s="193">
        <f t="shared" si="87"/>
        <v>0</v>
      </c>
      <c r="H408" s="194">
        <v>0</v>
      </c>
      <c r="I408" s="194">
        <v>0</v>
      </c>
      <c r="J408" s="194">
        <v>0</v>
      </c>
      <c r="K408" s="193">
        <f t="shared" si="88"/>
        <v>0</v>
      </c>
      <c r="L408" s="194">
        <v>0</v>
      </c>
      <c r="M408" s="194">
        <v>0</v>
      </c>
      <c r="N408" s="194">
        <v>0</v>
      </c>
      <c r="O408" s="193">
        <f t="shared" si="89"/>
        <v>0</v>
      </c>
      <c r="P408" s="194">
        <v>0</v>
      </c>
      <c r="Q408" s="194">
        <v>0</v>
      </c>
      <c r="R408" s="194">
        <v>0</v>
      </c>
      <c r="S408" s="193">
        <f t="shared" si="90"/>
        <v>0</v>
      </c>
      <c r="T408" s="193">
        <f t="shared" si="91"/>
        <v>0</v>
      </c>
      <c r="U408" s="193">
        <f ca="1">OFFSET('Expenditure Study'!$B$7,'Operations Support'!$C408,'Operations Support'!$B408)*$G408</f>
        <v>0</v>
      </c>
      <c r="V408" s="199">
        <f ca="1">U408*'Expenditure Study'!$B$31</f>
        <v>0</v>
      </c>
      <c r="W408" s="199">
        <f ca="1">IF(A408=10298,1.51,1)*IF($B408&lt;3,$D408*'Expenditure Study'!$B$32*OFFSET('Expenditure Study'!$B$7,'Operations Support'!$C408,'Operations Support'!$B408),0)</f>
        <v>0</v>
      </c>
      <c r="X408" s="200">
        <f ca="1">W408*'Expenditure Study'!$B$31</f>
        <v>0</v>
      </c>
      <c r="Y408" s="199">
        <f ca="1">U408*'Expenditure Study'!$B$31</f>
        <v>0</v>
      </c>
      <c r="Z408" s="200">
        <f ca="1">W408*'Expenditure Study'!$B$31</f>
        <v>0</v>
      </c>
      <c r="AA408" s="195">
        <f t="shared" ca="1" si="92"/>
        <v>0</v>
      </c>
      <c r="AB408" s="195">
        <f t="shared" ca="1" si="93"/>
        <v>0</v>
      </c>
      <c r="AD408" s="196">
        <f>IFERROR($G408/SUMIF($A:$A,$A408,$G:$G)*SUMIF(Summary!$A$166:$A$242,$A408,Summary!$P$166:$P$242),0)</f>
        <v>0</v>
      </c>
      <c r="AE408" s="197">
        <f t="shared" ca="1" si="94"/>
        <v>0</v>
      </c>
      <c r="AF408" s="196">
        <f>IFERROR(G408/SUMIF(A:A,A408,G:G)*SUMIF(Summary!$A$166:$A$242,'Operations Support'!A408,Summary!$Q$166:$Q$242),0)</f>
        <v>0</v>
      </c>
      <c r="AG408" s="196">
        <f t="shared" ca="1" si="95"/>
        <v>0</v>
      </c>
      <c r="AI408" s="196">
        <f>IFERROR($G408/SUMIF($A:$A,$A408,$G:$G)*SUMIF(Summary!$A$247:$A$283,$A408,Summary!$P$247:$P$283),0)</f>
        <v>0</v>
      </c>
      <c r="AJ408" s="196">
        <f>IFERROR($G408/SUMIF($A:$A,$A408,$G:$G)*(SUMIF(Summary!$A$247:$A$283,$A408,Summary!$L$247:$L$283)+SUMIF(Summary!$A$297:$A$333,$A408,Summary!$L$297:$L$333))-AI408,0)</f>
        <v>0</v>
      </c>
      <c r="AK408" s="196">
        <f>IFERROR($G408/SUMIF($A:$A,$A408,$G:$G)*SUMIF(Summary!$A$247:$A$283,$A408,Summary!$Q$247:$Q$283),0)</f>
        <v>0</v>
      </c>
      <c r="AL408" s="196">
        <f>IFERROR($G408/SUMIF($A:$A,$A408,$G:$G)*(SUMIF(Summary!$A$247:$A$283,$A408,Summary!$L$247:$L$283)+SUMIF(Summary!$A$297:$A$333,$A408,Summary!$L$297:$L$333))-AK408,0)</f>
        <v>0</v>
      </c>
      <c r="AM408" s="198"/>
      <c r="AN408" s="196">
        <f t="shared" ca="1" si="96"/>
        <v>0</v>
      </c>
      <c r="AO408" s="196">
        <f t="shared" ca="1" si="97"/>
        <v>0</v>
      </c>
    </row>
    <row r="409" spans="1:41">
      <c r="A409" s="189">
        <v>3581</v>
      </c>
      <c r="B409" s="190">
        <v>5</v>
      </c>
      <c r="C409" s="191" t="s">
        <v>225</v>
      </c>
      <c r="D409" s="192">
        <f t="shared" si="84"/>
        <v>0</v>
      </c>
      <c r="E409" s="192">
        <f t="shared" si="85"/>
        <v>0</v>
      </c>
      <c r="F409" s="192">
        <f t="shared" si="86"/>
        <v>0</v>
      </c>
      <c r="G409" s="193">
        <f t="shared" si="87"/>
        <v>0</v>
      </c>
      <c r="H409" s="194">
        <v>0</v>
      </c>
      <c r="I409" s="194">
        <v>0</v>
      </c>
      <c r="J409" s="194">
        <v>0</v>
      </c>
      <c r="K409" s="193">
        <f t="shared" si="88"/>
        <v>0</v>
      </c>
      <c r="L409" s="194">
        <v>0</v>
      </c>
      <c r="M409" s="194">
        <v>0</v>
      </c>
      <c r="N409" s="194">
        <v>0</v>
      </c>
      <c r="O409" s="193">
        <f t="shared" si="89"/>
        <v>0</v>
      </c>
      <c r="P409" s="194">
        <v>0</v>
      </c>
      <c r="Q409" s="194">
        <v>0</v>
      </c>
      <c r="R409" s="194">
        <v>0</v>
      </c>
      <c r="S409" s="193">
        <f t="shared" si="90"/>
        <v>0</v>
      </c>
      <c r="T409" s="193">
        <f t="shared" si="91"/>
        <v>0</v>
      </c>
      <c r="U409" s="193">
        <f ca="1">OFFSET('Expenditure Study'!$B$7,'Operations Support'!$C409,'Operations Support'!$B409)*$G409</f>
        <v>0</v>
      </c>
      <c r="V409" s="199">
        <f ca="1">U409*'Expenditure Study'!$B$31</f>
        <v>0</v>
      </c>
      <c r="W409" s="199">
        <f ca="1">IF(A409=10298,1.51,1)*IF($B409&lt;3,$D409*'Expenditure Study'!$B$32*OFFSET('Expenditure Study'!$B$7,'Operations Support'!$C409,'Operations Support'!$B409),0)</f>
        <v>0</v>
      </c>
      <c r="X409" s="200">
        <f ca="1">W409*'Expenditure Study'!$B$31</f>
        <v>0</v>
      </c>
      <c r="Y409" s="199">
        <f ca="1">U409*'Expenditure Study'!$B$31</f>
        <v>0</v>
      </c>
      <c r="Z409" s="200">
        <f ca="1">W409*'Expenditure Study'!$B$31</f>
        <v>0</v>
      </c>
      <c r="AA409" s="195">
        <f t="shared" ca="1" si="92"/>
        <v>0</v>
      </c>
      <c r="AB409" s="195">
        <f t="shared" ca="1" si="93"/>
        <v>0</v>
      </c>
      <c r="AD409" s="196">
        <f>IFERROR($G409/SUMIF($A:$A,$A409,$G:$G)*SUMIF(Summary!$A$166:$A$242,$A409,Summary!$P$166:$P$242),0)</f>
        <v>0</v>
      </c>
      <c r="AE409" s="197">
        <f t="shared" ca="1" si="94"/>
        <v>0</v>
      </c>
      <c r="AF409" s="196">
        <f>IFERROR(G409/SUMIF(A:A,A409,G:G)*SUMIF(Summary!$A$166:$A$242,'Operations Support'!A409,Summary!$Q$166:$Q$242),0)</f>
        <v>0</v>
      </c>
      <c r="AG409" s="196">
        <f t="shared" ca="1" si="95"/>
        <v>0</v>
      </c>
      <c r="AI409" s="196">
        <f>IFERROR($G409/SUMIF($A:$A,$A409,$G:$G)*SUMIF(Summary!$A$247:$A$283,$A409,Summary!$P$247:$P$283),0)</f>
        <v>0</v>
      </c>
      <c r="AJ409" s="196">
        <f>IFERROR($G409/SUMIF($A:$A,$A409,$G:$G)*(SUMIF(Summary!$A$247:$A$283,$A409,Summary!$L$247:$L$283)+SUMIF(Summary!$A$297:$A$333,$A409,Summary!$L$297:$L$333))-AI409,0)</f>
        <v>0</v>
      </c>
      <c r="AK409" s="196">
        <f>IFERROR($G409/SUMIF($A:$A,$A409,$G:$G)*SUMIF(Summary!$A$247:$A$283,$A409,Summary!$Q$247:$Q$283),0)</f>
        <v>0</v>
      </c>
      <c r="AL409" s="196">
        <f>IFERROR($G409/SUMIF($A:$A,$A409,$G:$G)*(SUMIF(Summary!$A$247:$A$283,$A409,Summary!$L$247:$L$283)+SUMIF(Summary!$A$297:$A$333,$A409,Summary!$L$297:$L$333))-AK409,0)</f>
        <v>0</v>
      </c>
      <c r="AM409" s="198"/>
      <c r="AN409" s="196">
        <f t="shared" ca="1" si="96"/>
        <v>0</v>
      </c>
      <c r="AO409" s="196">
        <f t="shared" ca="1" si="97"/>
        <v>0</v>
      </c>
    </row>
    <row r="410" spans="1:41">
      <c r="A410" s="189">
        <v>3581</v>
      </c>
      <c r="B410" s="190">
        <v>5</v>
      </c>
      <c r="C410" s="191" t="s">
        <v>226</v>
      </c>
      <c r="D410" s="192">
        <f t="shared" si="84"/>
        <v>0</v>
      </c>
      <c r="E410" s="192">
        <f t="shared" si="85"/>
        <v>0</v>
      </c>
      <c r="F410" s="192">
        <f t="shared" si="86"/>
        <v>0</v>
      </c>
      <c r="G410" s="193">
        <f t="shared" si="87"/>
        <v>0</v>
      </c>
      <c r="H410" s="194">
        <v>0</v>
      </c>
      <c r="I410" s="194">
        <v>0</v>
      </c>
      <c r="J410" s="194">
        <v>0</v>
      </c>
      <c r="K410" s="193">
        <f t="shared" si="88"/>
        <v>0</v>
      </c>
      <c r="L410" s="194">
        <v>0</v>
      </c>
      <c r="M410" s="194">
        <v>0</v>
      </c>
      <c r="N410" s="194">
        <v>0</v>
      </c>
      <c r="O410" s="193">
        <f t="shared" si="89"/>
        <v>0</v>
      </c>
      <c r="P410" s="194">
        <v>0</v>
      </c>
      <c r="Q410" s="194">
        <v>0</v>
      </c>
      <c r="R410" s="194">
        <v>0</v>
      </c>
      <c r="S410" s="193">
        <f t="shared" si="90"/>
        <v>0</v>
      </c>
      <c r="T410" s="193">
        <f t="shared" si="91"/>
        <v>0</v>
      </c>
      <c r="U410" s="193">
        <f ca="1">OFFSET('Expenditure Study'!$B$7,'Operations Support'!$C410,'Operations Support'!$B410)*$G410</f>
        <v>0</v>
      </c>
      <c r="V410" s="199">
        <f ca="1">U410*'Expenditure Study'!$B$31</f>
        <v>0</v>
      </c>
      <c r="W410" s="199">
        <f ca="1">IF(A410=10298,1.51,1)*IF($B410&lt;3,$D410*'Expenditure Study'!$B$32*OFFSET('Expenditure Study'!$B$7,'Operations Support'!$C410,'Operations Support'!$B410),0)</f>
        <v>0</v>
      </c>
      <c r="X410" s="200">
        <f ca="1">W410*'Expenditure Study'!$B$31</f>
        <v>0</v>
      </c>
      <c r="Y410" s="199">
        <f ca="1">U410*'Expenditure Study'!$B$31</f>
        <v>0</v>
      </c>
      <c r="Z410" s="200">
        <f ca="1">W410*'Expenditure Study'!$B$31</f>
        <v>0</v>
      </c>
      <c r="AA410" s="195">
        <f t="shared" ca="1" si="92"/>
        <v>0</v>
      </c>
      <c r="AB410" s="195">
        <f t="shared" ca="1" si="93"/>
        <v>0</v>
      </c>
      <c r="AD410" s="196">
        <f>IFERROR($G410/SUMIF($A:$A,$A410,$G:$G)*SUMIF(Summary!$A$166:$A$242,$A410,Summary!$P$166:$P$242),0)</f>
        <v>0</v>
      </c>
      <c r="AE410" s="197">
        <f t="shared" ca="1" si="94"/>
        <v>0</v>
      </c>
      <c r="AF410" s="196">
        <f>IFERROR(G410/SUMIF(A:A,A410,G:G)*SUMIF(Summary!$A$166:$A$242,'Operations Support'!A410,Summary!$Q$166:$Q$242),0)</f>
        <v>0</v>
      </c>
      <c r="AG410" s="196">
        <f t="shared" ca="1" si="95"/>
        <v>0</v>
      </c>
      <c r="AI410" s="196">
        <f>IFERROR($G410/SUMIF($A:$A,$A410,$G:$G)*SUMIF(Summary!$A$247:$A$283,$A410,Summary!$P$247:$P$283),0)</f>
        <v>0</v>
      </c>
      <c r="AJ410" s="196">
        <f>IFERROR($G410/SUMIF($A:$A,$A410,$G:$G)*(SUMIF(Summary!$A$247:$A$283,$A410,Summary!$L$247:$L$283)+SUMIF(Summary!$A$297:$A$333,$A410,Summary!$L$297:$L$333))-AI410,0)</f>
        <v>0</v>
      </c>
      <c r="AK410" s="196">
        <f>IFERROR($G410/SUMIF($A:$A,$A410,$G:$G)*SUMIF(Summary!$A$247:$A$283,$A410,Summary!$Q$247:$Q$283),0)</f>
        <v>0</v>
      </c>
      <c r="AL410" s="196">
        <f>IFERROR($G410/SUMIF($A:$A,$A410,$G:$G)*(SUMIF(Summary!$A$247:$A$283,$A410,Summary!$L$247:$L$283)+SUMIF(Summary!$A$297:$A$333,$A410,Summary!$L$297:$L$333))-AK410,0)</f>
        <v>0</v>
      </c>
      <c r="AM410" s="198"/>
      <c r="AN410" s="196">
        <f t="shared" ca="1" si="96"/>
        <v>0</v>
      </c>
      <c r="AO410" s="196">
        <f t="shared" ca="1" si="97"/>
        <v>0</v>
      </c>
    </row>
    <row r="411" spans="1:41">
      <c r="A411" s="189">
        <v>3581</v>
      </c>
      <c r="B411" s="190">
        <v>5</v>
      </c>
      <c r="C411" s="191" t="s">
        <v>227</v>
      </c>
      <c r="D411" s="192">
        <f t="shared" si="84"/>
        <v>0</v>
      </c>
      <c r="E411" s="192">
        <f t="shared" si="85"/>
        <v>0</v>
      </c>
      <c r="F411" s="192">
        <f t="shared" si="86"/>
        <v>0</v>
      </c>
      <c r="G411" s="193">
        <f t="shared" si="87"/>
        <v>0</v>
      </c>
      <c r="H411" s="194">
        <v>0</v>
      </c>
      <c r="I411" s="194">
        <v>0</v>
      </c>
      <c r="J411" s="194">
        <v>0</v>
      </c>
      <c r="K411" s="193">
        <f t="shared" si="88"/>
        <v>0</v>
      </c>
      <c r="L411" s="194">
        <v>0</v>
      </c>
      <c r="M411" s="194">
        <v>0</v>
      </c>
      <c r="N411" s="194">
        <v>0</v>
      </c>
      <c r="O411" s="193">
        <f t="shared" si="89"/>
        <v>0</v>
      </c>
      <c r="P411" s="194">
        <v>0</v>
      </c>
      <c r="Q411" s="194">
        <v>0</v>
      </c>
      <c r="R411" s="194">
        <v>0</v>
      </c>
      <c r="S411" s="193">
        <f t="shared" si="90"/>
        <v>0</v>
      </c>
      <c r="T411" s="193">
        <f t="shared" si="91"/>
        <v>0</v>
      </c>
      <c r="U411" s="193">
        <f ca="1">OFFSET('Expenditure Study'!$B$7,'Operations Support'!$C411,'Operations Support'!$B411)*$G411</f>
        <v>0</v>
      </c>
      <c r="V411" s="199">
        <f ca="1">U411*'Expenditure Study'!$B$31</f>
        <v>0</v>
      </c>
      <c r="W411" s="199">
        <f ca="1">IF(A411=10298,1.51,1)*IF($B411&lt;3,$D411*'Expenditure Study'!$B$32*OFFSET('Expenditure Study'!$B$7,'Operations Support'!$C411,'Operations Support'!$B411),0)</f>
        <v>0</v>
      </c>
      <c r="X411" s="200">
        <f ca="1">W411*'Expenditure Study'!$B$31</f>
        <v>0</v>
      </c>
      <c r="Y411" s="199">
        <f ca="1">U411*'Expenditure Study'!$B$31</f>
        <v>0</v>
      </c>
      <c r="Z411" s="200">
        <f ca="1">W411*'Expenditure Study'!$B$31</f>
        <v>0</v>
      </c>
      <c r="AA411" s="195">
        <f t="shared" ca="1" si="92"/>
        <v>0</v>
      </c>
      <c r="AB411" s="195">
        <f t="shared" ca="1" si="93"/>
        <v>0</v>
      </c>
      <c r="AD411" s="196">
        <f>IFERROR($G411/SUMIF($A:$A,$A411,$G:$G)*SUMIF(Summary!$A$166:$A$242,$A411,Summary!$P$166:$P$242),0)</f>
        <v>0</v>
      </c>
      <c r="AE411" s="197">
        <f t="shared" ca="1" si="94"/>
        <v>0</v>
      </c>
      <c r="AF411" s="196">
        <f>IFERROR(G411/SUMIF(A:A,A411,G:G)*SUMIF(Summary!$A$166:$A$242,'Operations Support'!A411,Summary!$Q$166:$Q$242),0)</f>
        <v>0</v>
      </c>
      <c r="AG411" s="196">
        <f t="shared" ca="1" si="95"/>
        <v>0</v>
      </c>
      <c r="AI411" s="196">
        <f>IFERROR($G411/SUMIF($A:$A,$A411,$G:$G)*SUMIF(Summary!$A$247:$A$283,$A411,Summary!$P$247:$P$283),0)</f>
        <v>0</v>
      </c>
      <c r="AJ411" s="196">
        <f>IFERROR($G411/SUMIF($A:$A,$A411,$G:$G)*(SUMIF(Summary!$A$247:$A$283,$A411,Summary!$L$247:$L$283)+SUMIF(Summary!$A$297:$A$333,$A411,Summary!$L$297:$L$333))-AI411,0)</f>
        <v>0</v>
      </c>
      <c r="AK411" s="196">
        <f>IFERROR($G411/SUMIF($A:$A,$A411,$G:$G)*SUMIF(Summary!$A$247:$A$283,$A411,Summary!$Q$247:$Q$283),0)</f>
        <v>0</v>
      </c>
      <c r="AL411" s="196">
        <f>IFERROR($G411/SUMIF($A:$A,$A411,$G:$G)*(SUMIF(Summary!$A$247:$A$283,$A411,Summary!$L$247:$L$283)+SUMIF(Summary!$A$297:$A$333,$A411,Summary!$L$297:$L$333))-AK411,0)</f>
        <v>0</v>
      </c>
      <c r="AM411" s="198"/>
      <c r="AN411" s="196">
        <f t="shared" ca="1" si="96"/>
        <v>0</v>
      </c>
      <c r="AO411" s="196">
        <f t="shared" ca="1" si="97"/>
        <v>0</v>
      </c>
    </row>
    <row r="412" spans="1:41">
      <c r="A412" s="189">
        <v>3581</v>
      </c>
      <c r="B412" s="190">
        <v>5</v>
      </c>
      <c r="C412" s="191" t="s">
        <v>228</v>
      </c>
      <c r="D412" s="192">
        <f t="shared" si="84"/>
        <v>0</v>
      </c>
      <c r="E412" s="192">
        <f t="shared" si="85"/>
        <v>0</v>
      </c>
      <c r="F412" s="192">
        <f t="shared" si="86"/>
        <v>0</v>
      </c>
      <c r="G412" s="193">
        <f t="shared" si="87"/>
        <v>0</v>
      </c>
      <c r="H412" s="194">
        <v>0</v>
      </c>
      <c r="I412" s="194">
        <v>0</v>
      </c>
      <c r="J412" s="194">
        <v>0</v>
      </c>
      <c r="K412" s="193">
        <f t="shared" si="88"/>
        <v>0</v>
      </c>
      <c r="L412" s="194">
        <v>0</v>
      </c>
      <c r="M412" s="194">
        <v>0</v>
      </c>
      <c r="N412" s="194">
        <v>0</v>
      </c>
      <c r="O412" s="193">
        <f t="shared" si="89"/>
        <v>0</v>
      </c>
      <c r="P412" s="194">
        <v>0</v>
      </c>
      <c r="Q412" s="194">
        <v>0</v>
      </c>
      <c r="R412" s="194">
        <v>0</v>
      </c>
      <c r="S412" s="193">
        <f t="shared" si="90"/>
        <v>0</v>
      </c>
      <c r="T412" s="193">
        <f t="shared" si="91"/>
        <v>0</v>
      </c>
      <c r="U412" s="193">
        <f ca="1">OFFSET('Expenditure Study'!$B$7,'Operations Support'!$C412,'Operations Support'!$B412)*$G412</f>
        <v>0</v>
      </c>
      <c r="V412" s="199">
        <f ca="1">U412*'Expenditure Study'!$B$31</f>
        <v>0</v>
      </c>
      <c r="W412" s="199">
        <f ca="1">IF(A412=10298,1.51,1)*IF($B412&lt;3,$D412*'Expenditure Study'!$B$32*OFFSET('Expenditure Study'!$B$7,'Operations Support'!$C412,'Operations Support'!$B412),0)</f>
        <v>0</v>
      </c>
      <c r="X412" s="200">
        <f ca="1">W412*'Expenditure Study'!$B$31</f>
        <v>0</v>
      </c>
      <c r="Y412" s="199">
        <f ca="1">U412*'Expenditure Study'!$B$31</f>
        <v>0</v>
      </c>
      <c r="Z412" s="200">
        <f ca="1">W412*'Expenditure Study'!$B$31</f>
        <v>0</v>
      </c>
      <c r="AA412" s="195">
        <f t="shared" ca="1" si="92"/>
        <v>0</v>
      </c>
      <c r="AB412" s="195">
        <f t="shared" ca="1" si="93"/>
        <v>0</v>
      </c>
      <c r="AD412" s="196">
        <f>IFERROR($G412/SUMIF($A:$A,$A412,$G:$G)*SUMIF(Summary!$A$166:$A$242,$A412,Summary!$P$166:$P$242),0)</f>
        <v>0</v>
      </c>
      <c r="AE412" s="197">
        <f t="shared" ca="1" si="94"/>
        <v>0</v>
      </c>
      <c r="AF412" s="196">
        <f>IFERROR(G412/SUMIF(A:A,A412,G:G)*SUMIF(Summary!$A$166:$A$242,'Operations Support'!A412,Summary!$Q$166:$Q$242),0)</f>
        <v>0</v>
      </c>
      <c r="AG412" s="196">
        <f t="shared" ca="1" si="95"/>
        <v>0</v>
      </c>
      <c r="AI412" s="196">
        <f>IFERROR($G412/SUMIF($A:$A,$A412,$G:$G)*SUMIF(Summary!$A$247:$A$283,$A412,Summary!$P$247:$P$283),0)</f>
        <v>0</v>
      </c>
      <c r="AJ412" s="196">
        <f>IFERROR($G412/SUMIF($A:$A,$A412,$G:$G)*(SUMIF(Summary!$A$247:$A$283,$A412,Summary!$L$247:$L$283)+SUMIF(Summary!$A$297:$A$333,$A412,Summary!$L$297:$L$333))-AI412,0)</f>
        <v>0</v>
      </c>
      <c r="AK412" s="196">
        <f>IFERROR($G412/SUMIF($A:$A,$A412,$G:$G)*SUMIF(Summary!$A$247:$A$283,$A412,Summary!$Q$247:$Q$283),0)</f>
        <v>0</v>
      </c>
      <c r="AL412" s="196">
        <f>IFERROR($G412/SUMIF($A:$A,$A412,$G:$G)*(SUMIF(Summary!$A$247:$A$283,$A412,Summary!$L$247:$L$283)+SUMIF(Summary!$A$297:$A$333,$A412,Summary!$L$297:$L$333))-AK412,0)</f>
        <v>0</v>
      </c>
      <c r="AM412" s="198"/>
      <c r="AN412" s="196">
        <f t="shared" ca="1" si="96"/>
        <v>0</v>
      </c>
      <c r="AO412" s="196">
        <f t="shared" ca="1" si="97"/>
        <v>0</v>
      </c>
    </row>
    <row r="413" spans="1:41">
      <c r="A413" s="189">
        <v>3581</v>
      </c>
      <c r="B413" s="190">
        <v>5</v>
      </c>
      <c r="C413" s="191" t="s">
        <v>229</v>
      </c>
      <c r="D413" s="192">
        <f t="shared" si="84"/>
        <v>0</v>
      </c>
      <c r="E413" s="192">
        <f t="shared" si="85"/>
        <v>0</v>
      </c>
      <c r="F413" s="192">
        <f t="shared" si="86"/>
        <v>0</v>
      </c>
      <c r="G413" s="193">
        <f t="shared" si="87"/>
        <v>0</v>
      </c>
      <c r="H413" s="194">
        <v>0</v>
      </c>
      <c r="I413" s="194">
        <v>0</v>
      </c>
      <c r="J413" s="194">
        <v>0</v>
      </c>
      <c r="K413" s="193">
        <f t="shared" si="88"/>
        <v>0</v>
      </c>
      <c r="L413" s="194">
        <v>0</v>
      </c>
      <c r="M413" s="194">
        <v>0</v>
      </c>
      <c r="N413" s="194">
        <v>0</v>
      </c>
      <c r="O413" s="193">
        <f t="shared" si="89"/>
        <v>0</v>
      </c>
      <c r="P413" s="194">
        <v>0</v>
      </c>
      <c r="Q413" s="194">
        <v>0</v>
      </c>
      <c r="R413" s="194">
        <v>0</v>
      </c>
      <c r="S413" s="193">
        <f t="shared" si="90"/>
        <v>0</v>
      </c>
      <c r="T413" s="193">
        <f t="shared" si="91"/>
        <v>0</v>
      </c>
      <c r="U413" s="193">
        <f ca="1">OFFSET('Expenditure Study'!$B$7,'Operations Support'!$C413,'Operations Support'!$B413)*$G413</f>
        <v>0</v>
      </c>
      <c r="V413" s="199">
        <f ca="1">U413*'Expenditure Study'!$B$31</f>
        <v>0</v>
      </c>
      <c r="W413" s="199">
        <f ca="1">IF(A413=10298,1.51,1)*IF($B413&lt;3,$D413*'Expenditure Study'!$B$32*OFFSET('Expenditure Study'!$B$7,'Operations Support'!$C413,'Operations Support'!$B413),0)</f>
        <v>0</v>
      </c>
      <c r="X413" s="200">
        <f ca="1">W413*'Expenditure Study'!$B$31</f>
        <v>0</v>
      </c>
      <c r="Y413" s="199">
        <f ca="1">U413*'Expenditure Study'!$B$31</f>
        <v>0</v>
      </c>
      <c r="Z413" s="200">
        <f ca="1">W413*'Expenditure Study'!$B$31</f>
        <v>0</v>
      </c>
      <c r="AA413" s="195">
        <f t="shared" ca="1" si="92"/>
        <v>0</v>
      </c>
      <c r="AB413" s="195">
        <f t="shared" ca="1" si="93"/>
        <v>0</v>
      </c>
      <c r="AD413" s="196">
        <f>IFERROR($G413/SUMIF($A:$A,$A413,$G:$G)*SUMIF(Summary!$A$166:$A$242,$A413,Summary!$P$166:$P$242),0)</f>
        <v>0</v>
      </c>
      <c r="AE413" s="197">
        <f t="shared" ca="1" si="94"/>
        <v>0</v>
      </c>
      <c r="AF413" s="196">
        <f>IFERROR(G413/SUMIF(A:A,A413,G:G)*SUMIF(Summary!$A$166:$A$242,'Operations Support'!A413,Summary!$Q$166:$Q$242),0)</f>
        <v>0</v>
      </c>
      <c r="AG413" s="196">
        <f t="shared" ca="1" si="95"/>
        <v>0</v>
      </c>
      <c r="AI413" s="196">
        <f>IFERROR($G413/SUMIF($A:$A,$A413,$G:$G)*SUMIF(Summary!$A$247:$A$283,$A413,Summary!$P$247:$P$283),0)</f>
        <v>0</v>
      </c>
      <c r="AJ413" s="196">
        <f>IFERROR($G413/SUMIF($A:$A,$A413,$G:$G)*(SUMIF(Summary!$A$247:$A$283,$A413,Summary!$L$247:$L$283)+SUMIF(Summary!$A$297:$A$333,$A413,Summary!$L$297:$L$333))-AI413,0)</f>
        <v>0</v>
      </c>
      <c r="AK413" s="196">
        <f>IFERROR($G413/SUMIF($A:$A,$A413,$G:$G)*SUMIF(Summary!$A$247:$A$283,$A413,Summary!$Q$247:$Q$283),0)</f>
        <v>0</v>
      </c>
      <c r="AL413" s="196">
        <f>IFERROR($G413/SUMIF($A:$A,$A413,$G:$G)*(SUMIF(Summary!$A$247:$A$283,$A413,Summary!$L$247:$L$283)+SUMIF(Summary!$A$297:$A$333,$A413,Summary!$L$297:$L$333))-AK413,0)</f>
        <v>0</v>
      </c>
      <c r="AM413" s="198"/>
      <c r="AN413" s="196">
        <f t="shared" ca="1" si="96"/>
        <v>0</v>
      </c>
      <c r="AO413" s="196">
        <f t="shared" ca="1" si="97"/>
        <v>0</v>
      </c>
    </row>
    <row r="414" spans="1:41">
      <c r="A414" s="189">
        <v>3581</v>
      </c>
      <c r="B414" s="190">
        <v>5</v>
      </c>
      <c r="C414" s="191" t="s">
        <v>230</v>
      </c>
      <c r="D414" s="192">
        <f t="shared" si="84"/>
        <v>0</v>
      </c>
      <c r="E414" s="192">
        <f t="shared" si="85"/>
        <v>0</v>
      </c>
      <c r="F414" s="192">
        <f t="shared" si="86"/>
        <v>0</v>
      </c>
      <c r="G414" s="193">
        <f t="shared" si="87"/>
        <v>0</v>
      </c>
      <c r="H414" s="194">
        <v>0</v>
      </c>
      <c r="I414" s="194">
        <v>0</v>
      </c>
      <c r="J414" s="194">
        <v>0</v>
      </c>
      <c r="K414" s="193">
        <f t="shared" si="88"/>
        <v>0</v>
      </c>
      <c r="L414" s="194">
        <v>0</v>
      </c>
      <c r="M414" s="194">
        <v>0</v>
      </c>
      <c r="N414" s="194">
        <v>0</v>
      </c>
      <c r="O414" s="193">
        <f t="shared" si="89"/>
        <v>0</v>
      </c>
      <c r="P414" s="194">
        <v>0</v>
      </c>
      <c r="Q414" s="194">
        <v>0</v>
      </c>
      <c r="R414" s="194">
        <v>0</v>
      </c>
      <c r="S414" s="193">
        <f t="shared" si="90"/>
        <v>0</v>
      </c>
      <c r="T414" s="193">
        <f t="shared" si="91"/>
        <v>0</v>
      </c>
      <c r="U414" s="193">
        <f ca="1">OFFSET('Expenditure Study'!$B$7,'Operations Support'!$C414,'Operations Support'!$B414)*$G414</f>
        <v>0</v>
      </c>
      <c r="V414" s="199">
        <f ca="1">U414*'Expenditure Study'!$B$31</f>
        <v>0</v>
      </c>
      <c r="W414" s="199">
        <f ca="1">IF(A414=10298,1.51,1)*IF($B414&lt;3,$D414*'Expenditure Study'!$B$32*OFFSET('Expenditure Study'!$B$7,'Operations Support'!$C414,'Operations Support'!$B414),0)</f>
        <v>0</v>
      </c>
      <c r="X414" s="200">
        <f ca="1">W414*'Expenditure Study'!$B$31</f>
        <v>0</v>
      </c>
      <c r="Y414" s="199">
        <f ca="1">U414*'Expenditure Study'!$B$31</f>
        <v>0</v>
      </c>
      <c r="Z414" s="200">
        <f ca="1">W414*'Expenditure Study'!$B$31</f>
        <v>0</v>
      </c>
      <c r="AA414" s="195">
        <f t="shared" ca="1" si="92"/>
        <v>0</v>
      </c>
      <c r="AB414" s="195">
        <f t="shared" ca="1" si="93"/>
        <v>0</v>
      </c>
      <c r="AD414" s="196">
        <f>IFERROR($G414/SUMIF($A:$A,$A414,$G:$G)*SUMIF(Summary!$A$166:$A$242,$A414,Summary!$P$166:$P$242),0)</f>
        <v>0</v>
      </c>
      <c r="AE414" s="197">
        <f t="shared" ca="1" si="94"/>
        <v>0</v>
      </c>
      <c r="AF414" s="196">
        <f>IFERROR(G414/SUMIF(A:A,A414,G:G)*SUMIF(Summary!$A$166:$A$242,'Operations Support'!A414,Summary!$Q$166:$Q$242),0)</f>
        <v>0</v>
      </c>
      <c r="AG414" s="196">
        <f t="shared" ca="1" si="95"/>
        <v>0</v>
      </c>
      <c r="AI414" s="196">
        <f>IFERROR($G414/SUMIF($A:$A,$A414,$G:$G)*SUMIF(Summary!$A$247:$A$283,$A414,Summary!$P$247:$P$283),0)</f>
        <v>0</v>
      </c>
      <c r="AJ414" s="196">
        <f>IFERROR($G414/SUMIF($A:$A,$A414,$G:$G)*(SUMIF(Summary!$A$247:$A$283,$A414,Summary!$L$247:$L$283)+SUMIF(Summary!$A$297:$A$333,$A414,Summary!$L$297:$L$333))-AI414,0)</f>
        <v>0</v>
      </c>
      <c r="AK414" s="196">
        <f>IFERROR($G414/SUMIF($A:$A,$A414,$G:$G)*SUMIF(Summary!$A$247:$A$283,$A414,Summary!$Q$247:$Q$283),0)</f>
        <v>0</v>
      </c>
      <c r="AL414" s="196">
        <f>IFERROR($G414/SUMIF($A:$A,$A414,$G:$G)*(SUMIF(Summary!$A$247:$A$283,$A414,Summary!$L$247:$L$283)+SUMIF(Summary!$A$297:$A$333,$A414,Summary!$L$297:$L$333))-AK414,0)</f>
        <v>0</v>
      </c>
      <c r="AM414" s="198"/>
      <c r="AN414" s="196">
        <f t="shared" ca="1" si="96"/>
        <v>0</v>
      </c>
      <c r="AO414" s="196">
        <f t="shared" ca="1" si="97"/>
        <v>0</v>
      </c>
    </row>
    <row r="415" spans="1:41">
      <c r="A415" s="189">
        <v>3581</v>
      </c>
      <c r="B415" s="190">
        <v>5</v>
      </c>
      <c r="C415" s="191" t="s">
        <v>231</v>
      </c>
      <c r="D415" s="192">
        <f t="shared" si="84"/>
        <v>0</v>
      </c>
      <c r="E415" s="192">
        <f t="shared" si="85"/>
        <v>0</v>
      </c>
      <c r="F415" s="192">
        <f t="shared" si="86"/>
        <v>0</v>
      </c>
      <c r="G415" s="193">
        <f t="shared" si="87"/>
        <v>0</v>
      </c>
      <c r="H415" s="194">
        <v>0</v>
      </c>
      <c r="I415" s="194">
        <v>0</v>
      </c>
      <c r="J415" s="194">
        <v>0</v>
      </c>
      <c r="K415" s="193">
        <f t="shared" si="88"/>
        <v>0</v>
      </c>
      <c r="L415" s="194">
        <v>0</v>
      </c>
      <c r="M415" s="194">
        <v>0</v>
      </c>
      <c r="N415" s="194">
        <v>0</v>
      </c>
      <c r="O415" s="193">
        <f t="shared" si="89"/>
        <v>0</v>
      </c>
      <c r="P415" s="194">
        <v>0</v>
      </c>
      <c r="Q415" s="194">
        <v>0</v>
      </c>
      <c r="R415" s="194">
        <v>0</v>
      </c>
      <c r="S415" s="193">
        <f t="shared" si="90"/>
        <v>0</v>
      </c>
      <c r="T415" s="193">
        <f t="shared" si="91"/>
        <v>0</v>
      </c>
      <c r="U415" s="193">
        <f ca="1">OFFSET('Expenditure Study'!$B$7,'Operations Support'!$C415,'Operations Support'!$B415)*$G415</f>
        <v>0</v>
      </c>
      <c r="V415" s="199">
        <f ca="1">U415*'Expenditure Study'!$B$31</f>
        <v>0</v>
      </c>
      <c r="W415" s="199">
        <f ca="1">IF(A415=10298,1.51,1)*IF($B415&lt;3,$D415*'Expenditure Study'!$B$32*OFFSET('Expenditure Study'!$B$7,'Operations Support'!$C415,'Operations Support'!$B415),0)</f>
        <v>0</v>
      </c>
      <c r="X415" s="200">
        <f ca="1">W415*'Expenditure Study'!$B$31</f>
        <v>0</v>
      </c>
      <c r="Y415" s="199">
        <f ca="1">U415*'Expenditure Study'!$B$31</f>
        <v>0</v>
      </c>
      <c r="Z415" s="200">
        <f ca="1">W415*'Expenditure Study'!$B$31</f>
        <v>0</v>
      </c>
      <c r="AA415" s="195">
        <f t="shared" ca="1" si="92"/>
        <v>0</v>
      </c>
      <c r="AB415" s="195">
        <f t="shared" ca="1" si="93"/>
        <v>0</v>
      </c>
      <c r="AD415" s="196">
        <f>IFERROR($G415/SUMIF($A:$A,$A415,$G:$G)*SUMIF(Summary!$A$166:$A$242,$A415,Summary!$P$166:$P$242),0)</f>
        <v>0</v>
      </c>
      <c r="AE415" s="197">
        <f t="shared" ca="1" si="94"/>
        <v>0</v>
      </c>
      <c r="AF415" s="196">
        <f>IFERROR(G415/SUMIF(A:A,A415,G:G)*SUMIF(Summary!$A$166:$A$242,'Operations Support'!A415,Summary!$Q$166:$Q$242),0)</f>
        <v>0</v>
      </c>
      <c r="AG415" s="196">
        <f t="shared" ca="1" si="95"/>
        <v>0</v>
      </c>
      <c r="AI415" s="196">
        <f>IFERROR($G415/SUMIF($A:$A,$A415,$G:$G)*SUMIF(Summary!$A$247:$A$283,$A415,Summary!$P$247:$P$283),0)</f>
        <v>0</v>
      </c>
      <c r="AJ415" s="196">
        <f>IFERROR($G415/SUMIF($A:$A,$A415,$G:$G)*(SUMIF(Summary!$A$247:$A$283,$A415,Summary!$L$247:$L$283)+SUMIF(Summary!$A$297:$A$333,$A415,Summary!$L$297:$L$333))-AI415,0)</f>
        <v>0</v>
      </c>
      <c r="AK415" s="196">
        <f>IFERROR($G415/SUMIF($A:$A,$A415,$G:$G)*SUMIF(Summary!$A$247:$A$283,$A415,Summary!$Q$247:$Q$283),0)</f>
        <v>0</v>
      </c>
      <c r="AL415" s="196">
        <f>IFERROR($G415/SUMIF($A:$A,$A415,$G:$G)*(SUMIF(Summary!$A$247:$A$283,$A415,Summary!$L$247:$L$283)+SUMIF(Summary!$A$297:$A$333,$A415,Summary!$L$297:$L$333))-AK415,0)</f>
        <v>0</v>
      </c>
      <c r="AM415" s="198"/>
      <c r="AN415" s="196">
        <f t="shared" ca="1" si="96"/>
        <v>0</v>
      </c>
      <c r="AO415" s="196">
        <f t="shared" ca="1" si="97"/>
        <v>0</v>
      </c>
    </row>
    <row r="416" spans="1:41">
      <c r="A416" s="189">
        <v>3581</v>
      </c>
      <c r="B416" s="190">
        <v>5</v>
      </c>
      <c r="C416" s="191" t="s">
        <v>232</v>
      </c>
      <c r="D416" s="192">
        <f t="shared" si="84"/>
        <v>0</v>
      </c>
      <c r="E416" s="192">
        <f t="shared" si="85"/>
        <v>0</v>
      </c>
      <c r="F416" s="192">
        <f t="shared" si="86"/>
        <v>0</v>
      </c>
      <c r="G416" s="193">
        <f t="shared" si="87"/>
        <v>0</v>
      </c>
      <c r="H416" s="194">
        <v>0</v>
      </c>
      <c r="I416" s="194">
        <v>0</v>
      </c>
      <c r="J416" s="194">
        <v>0</v>
      </c>
      <c r="K416" s="193">
        <f t="shared" si="88"/>
        <v>0</v>
      </c>
      <c r="L416" s="194">
        <v>0</v>
      </c>
      <c r="M416" s="194">
        <v>0</v>
      </c>
      <c r="N416" s="194">
        <v>0</v>
      </c>
      <c r="O416" s="193">
        <f t="shared" si="89"/>
        <v>0</v>
      </c>
      <c r="P416" s="194">
        <v>0</v>
      </c>
      <c r="Q416" s="194">
        <v>0</v>
      </c>
      <c r="R416" s="194">
        <v>0</v>
      </c>
      <c r="S416" s="193">
        <f t="shared" si="90"/>
        <v>0</v>
      </c>
      <c r="T416" s="193">
        <f t="shared" si="91"/>
        <v>0</v>
      </c>
      <c r="U416" s="193">
        <f ca="1">OFFSET('Expenditure Study'!$B$7,'Operations Support'!$C416,'Operations Support'!$B416)*$G416</f>
        <v>0</v>
      </c>
      <c r="V416" s="199">
        <f ca="1">U416*'Expenditure Study'!$B$31</f>
        <v>0</v>
      </c>
      <c r="W416" s="199">
        <f ca="1">IF(A416=10298,1.51,1)*IF($B416&lt;3,$D416*'Expenditure Study'!$B$32*OFFSET('Expenditure Study'!$B$7,'Operations Support'!$C416,'Operations Support'!$B416),0)</f>
        <v>0</v>
      </c>
      <c r="X416" s="200">
        <f ca="1">W416*'Expenditure Study'!$B$31</f>
        <v>0</v>
      </c>
      <c r="Y416" s="199">
        <f ca="1">U416*'Expenditure Study'!$B$31</f>
        <v>0</v>
      </c>
      <c r="Z416" s="200">
        <f ca="1">W416*'Expenditure Study'!$B$31</f>
        <v>0</v>
      </c>
      <c r="AA416" s="195">
        <f t="shared" ca="1" si="92"/>
        <v>0</v>
      </c>
      <c r="AB416" s="195">
        <f t="shared" ca="1" si="93"/>
        <v>0</v>
      </c>
      <c r="AD416" s="196">
        <f>IFERROR($G416/SUMIF($A:$A,$A416,$G:$G)*SUMIF(Summary!$A$166:$A$242,$A416,Summary!$P$166:$P$242),0)</f>
        <v>0</v>
      </c>
      <c r="AE416" s="197">
        <f t="shared" ca="1" si="94"/>
        <v>0</v>
      </c>
      <c r="AF416" s="196">
        <f>IFERROR(G416/SUMIF(A:A,A416,G:G)*SUMIF(Summary!$A$166:$A$242,'Operations Support'!A416,Summary!$Q$166:$Q$242),0)</f>
        <v>0</v>
      </c>
      <c r="AG416" s="196">
        <f t="shared" ca="1" si="95"/>
        <v>0</v>
      </c>
      <c r="AI416" s="196">
        <f>IFERROR($G416/SUMIF($A:$A,$A416,$G:$G)*SUMIF(Summary!$A$247:$A$283,$A416,Summary!$P$247:$P$283),0)</f>
        <v>0</v>
      </c>
      <c r="AJ416" s="196">
        <f>IFERROR($G416/SUMIF($A:$A,$A416,$G:$G)*(SUMIF(Summary!$A$247:$A$283,$A416,Summary!$L$247:$L$283)+SUMIF(Summary!$A$297:$A$333,$A416,Summary!$L$297:$L$333))-AI416,0)</f>
        <v>0</v>
      </c>
      <c r="AK416" s="196">
        <f>IFERROR($G416/SUMIF($A:$A,$A416,$G:$G)*SUMIF(Summary!$A$247:$A$283,$A416,Summary!$Q$247:$Q$283),0)</f>
        <v>0</v>
      </c>
      <c r="AL416" s="196">
        <f>IFERROR($G416/SUMIF($A:$A,$A416,$G:$G)*(SUMIF(Summary!$A$247:$A$283,$A416,Summary!$L$247:$L$283)+SUMIF(Summary!$A$297:$A$333,$A416,Summary!$L$297:$L$333))-AK416,0)</f>
        <v>0</v>
      </c>
      <c r="AM416" s="198"/>
      <c r="AN416" s="196">
        <f t="shared" ca="1" si="96"/>
        <v>0</v>
      </c>
      <c r="AO416" s="196">
        <f t="shared" ca="1" si="97"/>
        <v>0</v>
      </c>
    </row>
    <row r="417" spans="1:41">
      <c r="A417" s="189">
        <v>3581</v>
      </c>
      <c r="B417" s="190">
        <v>5</v>
      </c>
      <c r="C417" s="191" t="s">
        <v>233</v>
      </c>
      <c r="D417" s="192">
        <f t="shared" si="84"/>
        <v>651.6</v>
      </c>
      <c r="E417" s="192">
        <f t="shared" si="85"/>
        <v>200.4</v>
      </c>
      <c r="F417" s="192">
        <f t="shared" si="86"/>
        <v>0</v>
      </c>
      <c r="G417" s="193">
        <f t="shared" si="87"/>
        <v>852</v>
      </c>
      <c r="H417" s="194">
        <v>246</v>
      </c>
      <c r="I417" s="194">
        <v>84</v>
      </c>
      <c r="J417" s="194">
        <v>0</v>
      </c>
      <c r="K417" s="193">
        <f t="shared" si="88"/>
        <v>330</v>
      </c>
      <c r="L417" s="194">
        <v>297.60000000000002</v>
      </c>
      <c r="M417" s="194">
        <v>68.400000000000006</v>
      </c>
      <c r="N417" s="194">
        <v>0</v>
      </c>
      <c r="O417" s="193">
        <f t="shared" si="89"/>
        <v>366</v>
      </c>
      <c r="P417" s="194">
        <v>108</v>
      </c>
      <c r="Q417" s="194">
        <v>48</v>
      </c>
      <c r="R417" s="194">
        <v>0</v>
      </c>
      <c r="S417" s="193">
        <f t="shared" si="90"/>
        <v>156</v>
      </c>
      <c r="T417" s="193">
        <f t="shared" si="91"/>
        <v>35.5</v>
      </c>
      <c r="U417" s="193">
        <f ca="1">OFFSET('Expenditure Study'!$B$7,'Operations Support'!$C417,'Operations Support'!$B417)*$G417</f>
        <v>2794.56</v>
      </c>
      <c r="V417" s="199">
        <f ca="1">U417*'Expenditure Study'!$B$31</f>
        <v>165111.493736448</v>
      </c>
      <c r="W417" s="199">
        <f ca="1">IF(A417=10298,1.51,1)*IF($B417&lt;3,$D417*'Expenditure Study'!$B$32*OFFSET('Expenditure Study'!$B$7,'Operations Support'!$C417,'Operations Support'!$B417),0)</f>
        <v>0</v>
      </c>
      <c r="X417" s="200">
        <f ca="1">W417*'Expenditure Study'!$B$31</f>
        <v>0</v>
      </c>
      <c r="Y417" s="199">
        <f ca="1">U417*'Expenditure Study'!$B$31</f>
        <v>165111.493736448</v>
      </c>
      <c r="Z417" s="200">
        <f ca="1">W417*'Expenditure Study'!$B$31</f>
        <v>0</v>
      </c>
      <c r="AA417" s="195">
        <f t="shared" ca="1" si="92"/>
        <v>165111.493736448</v>
      </c>
      <c r="AB417" s="195">
        <f t="shared" ca="1" si="93"/>
        <v>165111.493736448</v>
      </c>
      <c r="AD417" s="196">
        <f>IFERROR($G417/SUMIF($A:$A,$A417,$G:$G)*SUMIF(Summary!$A$166:$A$242,$A417,Summary!$P$166:$P$242),0)</f>
        <v>29699.053682081365</v>
      </c>
      <c r="AE417" s="197">
        <f t="shared" ca="1" si="94"/>
        <v>135412.44005436663</v>
      </c>
      <c r="AF417" s="196">
        <f>IFERROR(G417/SUMIF(A:A,A417,G:G)*SUMIF(Summary!$A$166:$A$242,'Operations Support'!A417,Summary!$Q$166:$Q$242),0)</f>
        <v>29736.280269982999</v>
      </c>
      <c r="AG417" s="196">
        <f t="shared" ca="1" si="95"/>
        <v>135375.21346646501</v>
      </c>
      <c r="AI417" s="196">
        <f>IFERROR($G417/SUMIF($A:$A,$A417,$G:$G)*SUMIF(Summary!$A$247:$A$283,$A417,Summary!$P$247:$P$283),0)</f>
        <v>5416.3662599883792</v>
      </c>
      <c r="AJ417" s="196">
        <f>IFERROR($G417/SUMIF($A:$A,$A417,$G:$G)*(SUMIF(Summary!$A$247:$A$283,$A417,Summary!$L$247:$L$283)+SUMIF(Summary!$A$297:$A$333,$A417,Summary!$L$297:$L$333))-AI417,0)</f>
        <v>9543.7541621186501</v>
      </c>
      <c r="AK417" s="196">
        <f>IFERROR($G417/SUMIF($A:$A,$A417,$G:$G)*SUMIF(Summary!$A$247:$A$283,$A417,Summary!$Q$247:$Q$283),0)</f>
        <v>5423.1554606424897</v>
      </c>
      <c r="AL417" s="196">
        <f>IFERROR($G417/SUMIF($A:$A,$A417,$G:$G)*(SUMIF(Summary!$A$247:$A$283,$A417,Summary!$L$247:$L$283)+SUMIF(Summary!$A$297:$A$333,$A417,Summary!$L$297:$L$333))-AK417,0)</f>
        <v>9536.9649614645386</v>
      </c>
      <c r="AM417" s="198"/>
      <c r="AN417" s="196">
        <f t="shared" ca="1" si="96"/>
        <v>144956.19421648528</v>
      </c>
      <c r="AO417" s="196">
        <f t="shared" ca="1" si="97"/>
        <v>144912.17842792955</v>
      </c>
    </row>
    <row r="418" spans="1:41">
      <c r="A418" s="189">
        <v>3581</v>
      </c>
      <c r="B418" s="190">
        <v>5</v>
      </c>
      <c r="C418" s="191" t="s">
        <v>234</v>
      </c>
      <c r="D418" s="192">
        <f t="shared" si="84"/>
        <v>0</v>
      </c>
      <c r="E418" s="192">
        <f t="shared" si="85"/>
        <v>0</v>
      </c>
      <c r="F418" s="192">
        <f t="shared" si="86"/>
        <v>0</v>
      </c>
      <c r="G418" s="193">
        <f t="shared" si="87"/>
        <v>0</v>
      </c>
      <c r="H418" s="194">
        <v>0</v>
      </c>
      <c r="I418" s="194">
        <v>0</v>
      </c>
      <c r="J418" s="194">
        <v>0</v>
      </c>
      <c r="K418" s="193">
        <f t="shared" si="88"/>
        <v>0</v>
      </c>
      <c r="L418" s="194">
        <v>0</v>
      </c>
      <c r="M418" s="194">
        <v>0</v>
      </c>
      <c r="N418" s="194">
        <v>0</v>
      </c>
      <c r="O418" s="193">
        <f t="shared" si="89"/>
        <v>0</v>
      </c>
      <c r="P418" s="194">
        <v>0</v>
      </c>
      <c r="Q418" s="194">
        <v>0</v>
      </c>
      <c r="R418" s="194">
        <v>0</v>
      </c>
      <c r="S418" s="193">
        <f t="shared" si="90"/>
        <v>0</v>
      </c>
      <c r="T418" s="193">
        <f t="shared" si="91"/>
        <v>0</v>
      </c>
      <c r="U418" s="193">
        <f ca="1">OFFSET('Expenditure Study'!$B$7,'Operations Support'!$C418,'Operations Support'!$B418)*$G418</f>
        <v>0</v>
      </c>
      <c r="V418" s="199">
        <f ca="1">U418*'Expenditure Study'!$B$31</f>
        <v>0</v>
      </c>
      <c r="W418" s="199">
        <f ca="1">IF(A418=10298,1.51,1)*IF($B418&lt;3,$D418*'Expenditure Study'!$B$32*OFFSET('Expenditure Study'!$B$7,'Operations Support'!$C418,'Operations Support'!$B418),0)</f>
        <v>0</v>
      </c>
      <c r="X418" s="200">
        <f ca="1">W418*'Expenditure Study'!$B$31</f>
        <v>0</v>
      </c>
      <c r="Y418" s="199">
        <f ca="1">U418*'Expenditure Study'!$B$31</f>
        <v>0</v>
      </c>
      <c r="Z418" s="200">
        <f ca="1">W418*'Expenditure Study'!$B$31</f>
        <v>0</v>
      </c>
      <c r="AA418" s="195">
        <f t="shared" ca="1" si="92"/>
        <v>0</v>
      </c>
      <c r="AB418" s="195">
        <f t="shared" ca="1" si="93"/>
        <v>0</v>
      </c>
      <c r="AD418" s="196">
        <f>IFERROR($G418/SUMIF($A:$A,$A418,$G:$G)*SUMIF(Summary!$A$166:$A$242,$A418,Summary!$P$166:$P$242),0)</f>
        <v>0</v>
      </c>
      <c r="AE418" s="197">
        <f t="shared" ca="1" si="94"/>
        <v>0</v>
      </c>
      <c r="AF418" s="196">
        <f>IFERROR(G418/SUMIF(A:A,A418,G:G)*SUMIF(Summary!$A$166:$A$242,'Operations Support'!A418,Summary!$Q$166:$Q$242),0)</f>
        <v>0</v>
      </c>
      <c r="AG418" s="196">
        <f t="shared" ca="1" si="95"/>
        <v>0</v>
      </c>
      <c r="AI418" s="196">
        <f>IFERROR($G418/SUMIF($A:$A,$A418,$G:$G)*SUMIF(Summary!$A$247:$A$283,$A418,Summary!$P$247:$P$283),0)</f>
        <v>0</v>
      </c>
      <c r="AJ418" s="196">
        <f>IFERROR($G418/SUMIF($A:$A,$A418,$G:$G)*(SUMIF(Summary!$A$247:$A$283,$A418,Summary!$L$247:$L$283)+SUMIF(Summary!$A$297:$A$333,$A418,Summary!$L$297:$L$333))-AI418,0)</f>
        <v>0</v>
      </c>
      <c r="AK418" s="196">
        <f>IFERROR($G418/SUMIF($A:$A,$A418,$G:$G)*SUMIF(Summary!$A$247:$A$283,$A418,Summary!$Q$247:$Q$283),0)</f>
        <v>0</v>
      </c>
      <c r="AL418" s="196">
        <f>IFERROR($G418/SUMIF($A:$A,$A418,$G:$G)*(SUMIF(Summary!$A$247:$A$283,$A418,Summary!$L$247:$L$283)+SUMIF(Summary!$A$297:$A$333,$A418,Summary!$L$297:$L$333))-AK418,0)</f>
        <v>0</v>
      </c>
      <c r="AM418" s="198"/>
      <c r="AN418" s="196">
        <f t="shared" ca="1" si="96"/>
        <v>0</v>
      </c>
      <c r="AO418" s="196">
        <f t="shared" ca="1" si="97"/>
        <v>0</v>
      </c>
    </row>
    <row r="419" spans="1:41">
      <c r="A419" s="189">
        <v>3581</v>
      </c>
      <c r="B419" s="190">
        <v>5</v>
      </c>
      <c r="C419" s="191" t="s">
        <v>235</v>
      </c>
      <c r="D419" s="192">
        <f t="shared" si="84"/>
        <v>0</v>
      </c>
      <c r="E419" s="192">
        <f t="shared" si="85"/>
        <v>0</v>
      </c>
      <c r="F419" s="192">
        <f t="shared" si="86"/>
        <v>0</v>
      </c>
      <c r="G419" s="193">
        <f t="shared" si="87"/>
        <v>0</v>
      </c>
      <c r="H419" s="194">
        <v>0</v>
      </c>
      <c r="I419" s="194">
        <v>0</v>
      </c>
      <c r="J419" s="194">
        <v>0</v>
      </c>
      <c r="K419" s="193">
        <f t="shared" si="88"/>
        <v>0</v>
      </c>
      <c r="L419" s="194">
        <v>0</v>
      </c>
      <c r="M419" s="194">
        <v>0</v>
      </c>
      <c r="N419" s="194">
        <v>0</v>
      </c>
      <c r="O419" s="193">
        <f t="shared" si="89"/>
        <v>0</v>
      </c>
      <c r="P419" s="194">
        <v>0</v>
      </c>
      <c r="Q419" s="194">
        <v>0</v>
      </c>
      <c r="R419" s="194">
        <v>0</v>
      </c>
      <c r="S419" s="193">
        <f t="shared" si="90"/>
        <v>0</v>
      </c>
      <c r="T419" s="193">
        <f t="shared" si="91"/>
        <v>0</v>
      </c>
      <c r="U419" s="193">
        <f ca="1">OFFSET('Expenditure Study'!$B$7,'Operations Support'!$C419,'Operations Support'!$B419)*$G419</f>
        <v>0</v>
      </c>
      <c r="V419" s="199">
        <f ca="1">U419*'Expenditure Study'!$B$31</f>
        <v>0</v>
      </c>
      <c r="W419" s="199">
        <f ca="1">IF(A419=10298,1.51,1)*IF($B419&lt;3,$D419*'Expenditure Study'!$B$32*OFFSET('Expenditure Study'!$B$7,'Operations Support'!$C419,'Operations Support'!$B419),0)</f>
        <v>0</v>
      </c>
      <c r="X419" s="200">
        <f ca="1">W419*'Expenditure Study'!$B$31</f>
        <v>0</v>
      </c>
      <c r="Y419" s="199">
        <f ca="1">U419*'Expenditure Study'!$B$31</f>
        <v>0</v>
      </c>
      <c r="Z419" s="200">
        <f ca="1">W419*'Expenditure Study'!$B$31</f>
        <v>0</v>
      </c>
      <c r="AA419" s="195">
        <f t="shared" ca="1" si="92"/>
        <v>0</v>
      </c>
      <c r="AB419" s="195">
        <f t="shared" ca="1" si="93"/>
        <v>0</v>
      </c>
      <c r="AD419" s="196">
        <f>IFERROR($G419/SUMIF($A:$A,$A419,$G:$G)*SUMIF(Summary!$A$166:$A$242,$A419,Summary!$P$166:$P$242),0)</f>
        <v>0</v>
      </c>
      <c r="AE419" s="197">
        <f t="shared" ca="1" si="94"/>
        <v>0</v>
      </c>
      <c r="AF419" s="196">
        <f>IFERROR(G419/SUMIF(A:A,A419,G:G)*SUMIF(Summary!$A$166:$A$242,'Operations Support'!A419,Summary!$Q$166:$Q$242),0)</f>
        <v>0</v>
      </c>
      <c r="AG419" s="196">
        <f t="shared" ca="1" si="95"/>
        <v>0</v>
      </c>
      <c r="AI419" s="196">
        <f>IFERROR($G419/SUMIF($A:$A,$A419,$G:$G)*SUMIF(Summary!$A$247:$A$283,$A419,Summary!$P$247:$P$283),0)</f>
        <v>0</v>
      </c>
      <c r="AJ419" s="196">
        <f>IFERROR($G419/SUMIF($A:$A,$A419,$G:$G)*(SUMIF(Summary!$A$247:$A$283,$A419,Summary!$L$247:$L$283)+SUMIF(Summary!$A$297:$A$333,$A419,Summary!$L$297:$L$333))-AI419,0)</f>
        <v>0</v>
      </c>
      <c r="AK419" s="196">
        <f>IFERROR($G419/SUMIF($A:$A,$A419,$G:$G)*SUMIF(Summary!$A$247:$A$283,$A419,Summary!$Q$247:$Q$283),0)</f>
        <v>0</v>
      </c>
      <c r="AL419" s="196">
        <f>IFERROR($G419/SUMIF($A:$A,$A419,$G:$G)*(SUMIF(Summary!$A$247:$A$283,$A419,Summary!$L$247:$L$283)+SUMIF(Summary!$A$297:$A$333,$A419,Summary!$L$297:$L$333))-AK419,0)</f>
        <v>0</v>
      </c>
      <c r="AM419" s="198"/>
      <c r="AN419" s="196">
        <f t="shared" ca="1" si="96"/>
        <v>0</v>
      </c>
      <c r="AO419" s="196">
        <f t="shared" ca="1" si="97"/>
        <v>0</v>
      </c>
    </row>
    <row r="420" spans="1:41">
      <c r="A420" s="189">
        <v>3581</v>
      </c>
      <c r="B420" s="190">
        <v>5</v>
      </c>
      <c r="C420" s="191" t="s">
        <v>236</v>
      </c>
      <c r="D420" s="192">
        <f t="shared" si="84"/>
        <v>0</v>
      </c>
      <c r="E420" s="192">
        <f t="shared" si="85"/>
        <v>0</v>
      </c>
      <c r="F420" s="192">
        <f t="shared" si="86"/>
        <v>0</v>
      </c>
      <c r="G420" s="193">
        <f t="shared" si="87"/>
        <v>0</v>
      </c>
      <c r="H420" s="194">
        <v>0</v>
      </c>
      <c r="I420" s="194">
        <v>0</v>
      </c>
      <c r="J420" s="194">
        <v>0</v>
      </c>
      <c r="K420" s="193">
        <f t="shared" si="88"/>
        <v>0</v>
      </c>
      <c r="L420" s="194">
        <v>0</v>
      </c>
      <c r="M420" s="194">
        <v>0</v>
      </c>
      <c r="N420" s="194">
        <v>0</v>
      </c>
      <c r="O420" s="193">
        <f t="shared" si="89"/>
        <v>0</v>
      </c>
      <c r="P420" s="194">
        <v>0</v>
      </c>
      <c r="Q420" s="194">
        <v>0</v>
      </c>
      <c r="R420" s="194">
        <v>0</v>
      </c>
      <c r="S420" s="193">
        <f t="shared" si="90"/>
        <v>0</v>
      </c>
      <c r="T420" s="193">
        <f t="shared" si="91"/>
        <v>0</v>
      </c>
      <c r="U420" s="193">
        <f ca="1">OFFSET('Expenditure Study'!$B$7,'Operations Support'!$C420,'Operations Support'!$B420)*$G420</f>
        <v>0</v>
      </c>
      <c r="V420" s="199">
        <f ca="1">U420*'Expenditure Study'!$B$31</f>
        <v>0</v>
      </c>
      <c r="W420" s="199">
        <f ca="1">IF(A420=10298,1.51,1)*IF($B420&lt;3,$D420*'Expenditure Study'!$B$32*OFFSET('Expenditure Study'!$B$7,'Operations Support'!$C420,'Operations Support'!$B420),0)</f>
        <v>0</v>
      </c>
      <c r="X420" s="200">
        <f ca="1">W420*'Expenditure Study'!$B$31</f>
        <v>0</v>
      </c>
      <c r="Y420" s="199">
        <f ca="1">U420*'Expenditure Study'!$B$31</f>
        <v>0</v>
      </c>
      <c r="Z420" s="200">
        <f ca="1">W420*'Expenditure Study'!$B$31</f>
        <v>0</v>
      </c>
      <c r="AA420" s="195">
        <f t="shared" ca="1" si="92"/>
        <v>0</v>
      </c>
      <c r="AB420" s="195">
        <f t="shared" ca="1" si="93"/>
        <v>0</v>
      </c>
      <c r="AD420" s="196">
        <f>IFERROR($G420/SUMIF($A:$A,$A420,$G:$G)*SUMIF(Summary!$A$166:$A$242,$A420,Summary!$P$166:$P$242),0)</f>
        <v>0</v>
      </c>
      <c r="AE420" s="197">
        <f t="shared" ca="1" si="94"/>
        <v>0</v>
      </c>
      <c r="AF420" s="196">
        <f>IFERROR(G420/SUMIF(A:A,A420,G:G)*SUMIF(Summary!$A$166:$A$242,'Operations Support'!A420,Summary!$Q$166:$Q$242),0)</f>
        <v>0</v>
      </c>
      <c r="AG420" s="196">
        <f t="shared" ca="1" si="95"/>
        <v>0</v>
      </c>
      <c r="AI420" s="196">
        <f>IFERROR($G420/SUMIF($A:$A,$A420,$G:$G)*SUMIF(Summary!$A$247:$A$283,$A420,Summary!$P$247:$P$283),0)</f>
        <v>0</v>
      </c>
      <c r="AJ420" s="196">
        <f>IFERROR($G420/SUMIF($A:$A,$A420,$G:$G)*(SUMIF(Summary!$A$247:$A$283,$A420,Summary!$L$247:$L$283)+SUMIF(Summary!$A$297:$A$333,$A420,Summary!$L$297:$L$333))-AI420,0)</f>
        <v>0</v>
      </c>
      <c r="AK420" s="196">
        <f>IFERROR($G420/SUMIF($A:$A,$A420,$G:$G)*SUMIF(Summary!$A$247:$A$283,$A420,Summary!$Q$247:$Q$283),0)</f>
        <v>0</v>
      </c>
      <c r="AL420" s="196">
        <f>IFERROR($G420/SUMIF($A:$A,$A420,$G:$G)*(SUMIF(Summary!$A$247:$A$283,$A420,Summary!$L$247:$L$283)+SUMIF(Summary!$A$297:$A$333,$A420,Summary!$L$297:$L$333))-AK420,0)</f>
        <v>0</v>
      </c>
      <c r="AM420" s="198"/>
      <c r="AN420" s="196">
        <f t="shared" ca="1" si="96"/>
        <v>0</v>
      </c>
      <c r="AO420" s="196">
        <f t="shared" ca="1" si="97"/>
        <v>0</v>
      </c>
    </row>
    <row r="421" spans="1:41">
      <c r="A421" s="189">
        <v>3581</v>
      </c>
      <c r="B421" s="190">
        <v>5</v>
      </c>
      <c r="C421" s="191" t="s">
        <v>237</v>
      </c>
      <c r="D421" s="192">
        <f t="shared" si="84"/>
        <v>0</v>
      </c>
      <c r="E421" s="192">
        <f t="shared" si="85"/>
        <v>0</v>
      </c>
      <c r="F421" s="192">
        <f t="shared" si="86"/>
        <v>0</v>
      </c>
      <c r="G421" s="193">
        <f t="shared" si="87"/>
        <v>0</v>
      </c>
      <c r="H421" s="194">
        <v>0</v>
      </c>
      <c r="I421" s="194">
        <v>0</v>
      </c>
      <c r="J421" s="194">
        <v>0</v>
      </c>
      <c r="K421" s="193">
        <f t="shared" si="88"/>
        <v>0</v>
      </c>
      <c r="L421" s="194">
        <v>0</v>
      </c>
      <c r="M421" s="194">
        <v>0</v>
      </c>
      <c r="N421" s="194">
        <v>0</v>
      </c>
      <c r="O421" s="193">
        <f t="shared" si="89"/>
        <v>0</v>
      </c>
      <c r="P421" s="194">
        <v>0</v>
      </c>
      <c r="Q421" s="194">
        <v>0</v>
      </c>
      <c r="R421" s="194">
        <v>0</v>
      </c>
      <c r="S421" s="193">
        <f t="shared" si="90"/>
        <v>0</v>
      </c>
      <c r="T421" s="193">
        <f t="shared" si="91"/>
        <v>0</v>
      </c>
      <c r="U421" s="193">
        <f ca="1">OFFSET('Expenditure Study'!$B$7,'Operations Support'!$C421,'Operations Support'!$B421)*$G421</f>
        <v>0</v>
      </c>
      <c r="V421" s="199">
        <f ca="1">U421*'Expenditure Study'!$B$31</f>
        <v>0</v>
      </c>
      <c r="W421" s="199">
        <f ca="1">IF(A421=10298,1.51,1)*IF($B421&lt;3,$D421*'Expenditure Study'!$B$32*OFFSET('Expenditure Study'!$B$7,'Operations Support'!$C421,'Operations Support'!$B421),0)</f>
        <v>0</v>
      </c>
      <c r="X421" s="200">
        <f ca="1">W421*'Expenditure Study'!$B$31</f>
        <v>0</v>
      </c>
      <c r="Y421" s="199">
        <f ca="1">U421*'Expenditure Study'!$B$31</f>
        <v>0</v>
      </c>
      <c r="Z421" s="200">
        <f ca="1">W421*'Expenditure Study'!$B$31</f>
        <v>0</v>
      </c>
      <c r="AA421" s="195">
        <f t="shared" ca="1" si="92"/>
        <v>0</v>
      </c>
      <c r="AB421" s="195">
        <f t="shared" ca="1" si="93"/>
        <v>0</v>
      </c>
      <c r="AD421" s="196">
        <f>IFERROR($G421/SUMIF($A:$A,$A421,$G:$G)*SUMIF(Summary!$A$166:$A$242,$A421,Summary!$P$166:$P$242),0)</f>
        <v>0</v>
      </c>
      <c r="AE421" s="197">
        <f t="shared" ca="1" si="94"/>
        <v>0</v>
      </c>
      <c r="AF421" s="196">
        <f>IFERROR(G421/SUMIF(A:A,A421,G:G)*SUMIF(Summary!$A$166:$A$242,'Operations Support'!A421,Summary!$Q$166:$Q$242),0)</f>
        <v>0</v>
      </c>
      <c r="AG421" s="196">
        <f t="shared" ca="1" si="95"/>
        <v>0</v>
      </c>
      <c r="AI421" s="196">
        <f>IFERROR($G421/SUMIF($A:$A,$A421,$G:$G)*SUMIF(Summary!$A$247:$A$283,$A421,Summary!$P$247:$P$283),0)</f>
        <v>0</v>
      </c>
      <c r="AJ421" s="196">
        <f>IFERROR($G421/SUMIF($A:$A,$A421,$G:$G)*(SUMIF(Summary!$A$247:$A$283,$A421,Summary!$L$247:$L$283)+SUMIF(Summary!$A$297:$A$333,$A421,Summary!$L$297:$L$333))-AI421,0)</f>
        <v>0</v>
      </c>
      <c r="AK421" s="196">
        <f>IFERROR($G421/SUMIF($A:$A,$A421,$G:$G)*SUMIF(Summary!$A$247:$A$283,$A421,Summary!$Q$247:$Q$283),0)</f>
        <v>0</v>
      </c>
      <c r="AL421" s="196">
        <f>IFERROR($G421/SUMIF($A:$A,$A421,$G:$G)*(SUMIF(Summary!$A$247:$A$283,$A421,Summary!$L$247:$L$283)+SUMIF(Summary!$A$297:$A$333,$A421,Summary!$L$297:$L$333))-AK421,0)</f>
        <v>0</v>
      </c>
      <c r="AM421" s="198"/>
      <c r="AN421" s="196">
        <f t="shared" ca="1" si="96"/>
        <v>0</v>
      </c>
      <c r="AO421" s="196">
        <f t="shared" ca="1" si="97"/>
        <v>0</v>
      </c>
    </row>
    <row r="422" spans="1:41">
      <c r="A422" s="189">
        <v>3581</v>
      </c>
      <c r="B422" s="190">
        <v>5</v>
      </c>
      <c r="C422" s="191" t="s">
        <v>238</v>
      </c>
      <c r="D422" s="192">
        <f t="shared" si="84"/>
        <v>0</v>
      </c>
      <c r="E422" s="192">
        <f t="shared" si="85"/>
        <v>0</v>
      </c>
      <c r="F422" s="192">
        <f t="shared" si="86"/>
        <v>0</v>
      </c>
      <c r="G422" s="193">
        <f t="shared" si="87"/>
        <v>0</v>
      </c>
      <c r="H422" s="194">
        <v>0</v>
      </c>
      <c r="I422" s="194">
        <v>0</v>
      </c>
      <c r="J422" s="194">
        <v>0</v>
      </c>
      <c r="K422" s="193">
        <f t="shared" si="88"/>
        <v>0</v>
      </c>
      <c r="L422" s="194">
        <v>0</v>
      </c>
      <c r="M422" s="194">
        <v>0</v>
      </c>
      <c r="N422" s="194">
        <v>0</v>
      </c>
      <c r="O422" s="193">
        <f t="shared" si="89"/>
        <v>0</v>
      </c>
      <c r="P422" s="194">
        <v>0</v>
      </c>
      <c r="Q422" s="194">
        <v>0</v>
      </c>
      <c r="R422" s="194">
        <v>0</v>
      </c>
      <c r="S422" s="193">
        <f t="shared" si="90"/>
        <v>0</v>
      </c>
      <c r="T422" s="193">
        <f t="shared" si="91"/>
        <v>0</v>
      </c>
      <c r="U422" s="193">
        <f ca="1">OFFSET('Expenditure Study'!$B$7,'Operations Support'!$C422,'Operations Support'!$B422)*$G422</f>
        <v>0</v>
      </c>
      <c r="V422" s="199">
        <f ca="1">U422*'Expenditure Study'!$B$31</f>
        <v>0</v>
      </c>
      <c r="W422" s="199">
        <f ca="1">IF(A422=10298,1.51,1)*IF($B422&lt;3,$D422*'Expenditure Study'!$B$32*OFFSET('Expenditure Study'!$B$7,'Operations Support'!$C422,'Operations Support'!$B422),0)</f>
        <v>0</v>
      </c>
      <c r="X422" s="200">
        <f ca="1">W422*'Expenditure Study'!$B$31</f>
        <v>0</v>
      </c>
      <c r="Y422" s="199">
        <f ca="1">U422*'Expenditure Study'!$B$31</f>
        <v>0</v>
      </c>
      <c r="Z422" s="200">
        <f ca="1">W422*'Expenditure Study'!$B$31</f>
        <v>0</v>
      </c>
      <c r="AA422" s="195">
        <f t="shared" ca="1" si="92"/>
        <v>0</v>
      </c>
      <c r="AB422" s="195">
        <f t="shared" ca="1" si="93"/>
        <v>0</v>
      </c>
      <c r="AD422" s="196">
        <f>IFERROR($G422/SUMIF($A:$A,$A422,$G:$G)*SUMIF(Summary!$A$166:$A$242,$A422,Summary!$P$166:$P$242),0)</f>
        <v>0</v>
      </c>
      <c r="AE422" s="197">
        <f t="shared" ca="1" si="94"/>
        <v>0</v>
      </c>
      <c r="AF422" s="196">
        <f>IFERROR(G422/SUMIF(A:A,A422,G:G)*SUMIF(Summary!$A$166:$A$242,'Operations Support'!A422,Summary!$Q$166:$Q$242),0)</f>
        <v>0</v>
      </c>
      <c r="AG422" s="196">
        <f t="shared" ca="1" si="95"/>
        <v>0</v>
      </c>
      <c r="AI422" s="196">
        <f>IFERROR($G422/SUMIF($A:$A,$A422,$G:$G)*SUMIF(Summary!$A$247:$A$283,$A422,Summary!$P$247:$P$283),0)</f>
        <v>0</v>
      </c>
      <c r="AJ422" s="196">
        <f>IFERROR($G422/SUMIF($A:$A,$A422,$G:$G)*(SUMIF(Summary!$A$247:$A$283,$A422,Summary!$L$247:$L$283)+SUMIF(Summary!$A$297:$A$333,$A422,Summary!$L$297:$L$333))-AI422,0)</f>
        <v>0</v>
      </c>
      <c r="AK422" s="196">
        <f>IFERROR($G422/SUMIF($A:$A,$A422,$G:$G)*SUMIF(Summary!$A$247:$A$283,$A422,Summary!$Q$247:$Q$283),0)</f>
        <v>0</v>
      </c>
      <c r="AL422" s="196">
        <f>IFERROR($G422/SUMIF($A:$A,$A422,$G:$G)*(SUMIF(Summary!$A$247:$A$283,$A422,Summary!$L$247:$L$283)+SUMIF(Summary!$A$297:$A$333,$A422,Summary!$L$297:$L$333))-AK422,0)</f>
        <v>0</v>
      </c>
      <c r="AM422" s="198"/>
      <c r="AN422" s="196">
        <f t="shared" ca="1" si="96"/>
        <v>0</v>
      </c>
      <c r="AO422" s="196">
        <f t="shared" ca="1" si="97"/>
        <v>0</v>
      </c>
    </row>
    <row r="423" spans="1:41">
      <c r="A423" s="189">
        <v>3581</v>
      </c>
      <c r="B423" s="190">
        <v>5</v>
      </c>
      <c r="C423" s="191" t="s">
        <v>239</v>
      </c>
      <c r="D423" s="192">
        <f t="shared" si="84"/>
        <v>0</v>
      </c>
      <c r="E423" s="192">
        <f t="shared" si="85"/>
        <v>0</v>
      </c>
      <c r="F423" s="192">
        <f t="shared" si="86"/>
        <v>0</v>
      </c>
      <c r="G423" s="193">
        <f t="shared" si="87"/>
        <v>0</v>
      </c>
      <c r="H423" s="194">
        <v>0</v>
      </c>
      <c r="I423" s="194">
        <v>0</v>
      </c>
      <c r="J423" s="194">
        <v>0</v>
      </c>
      <c r="K423" s="193">
        <f t="shared" si="88"/>
        <v>0</v>
      </c>
      <c r="L423" s="194">
        <v>0</v>
      </c>
      <c r="M423" s="194">
        <v>0</v>
      </c>
      <c r="N423" s="194">
        <v>0</v>
      </c>
      <c r="O423" s="193">
        <f t="shared" si="89"/>
        <v>0</v>
      </c>
      <c r="P423" s="194">
        <v>0</v>
      </c>
      <c r="Q423" s="194">
        <v>0</v>
      </c>
      <c r="R423" s="194">
        <v>0</v>
      </c>
      <c r="S423" s="193">
        <f t="shared" si="90"/>
        <v>0</v>
      </c>
      <c r="T423" s="193">
        <f t="shared" si="91"/>
        <v>0</v>
      </c>
      <c r="U423" s="193">
        <f ca="1">OFFSET('Expenditure Study'!$B$7,'Operations Support'!$C423,'Operations Support'!$B423)*$G423</f>
        <v>0</v>
      </c>
      <c r="V423" s="199">
        <f ca="1">U423*'Expenditure Study'!$B$31</f>
        <v>0</v>
      </c>
      <c r="W423" s="199">
        <f ca="1">IF(A423=10298,1.51,1)*IF($B423&lt;3,$D423*'Expenditure Study'!$B$32*OFFSET('Expenditure Study'!$B$7,'Operations Support'!$C423,'Operations Support'!$B423),0)</f>
        <v>0</v>
      </c>
      <c r="X423" s="200">
        <f ca="1">W423*'Expenditure Study'!$B$31</f>
        <v>0</v>
      </c>
      <c r="Y423" s="199">
        <f ca="1">U423*'Expenditure Study'!$B$31</f>
        <v>0</v>
      </c>
      <c r="Z423" s="200">
        <f ca="1">W423*'Expenditure Study'!$B$31</f>
        <v>0</v>
      </c>
      <c r="AA423" s="195">
        <f t="shared" ca="1" si="92"/>
        <v>0</v>
      </c>
      <c r="AB423" s="195">
        <f t="shared" ca="1" si="93"/>
        <v>0</v>
      </c>
      <c r="AD423" s="196">
        <f>IFERROR($G423/SUMIF($A:$A,$A423,$G:$G)*SUMIF(Summary!$A$166:$A$242,$A423,Summary!$P$166:$P$242),0)</f>
        <v>0</v>
      </c>
      <c r="AE423" s="197">
        <f t="shared" ca="1" si="94"/>
        <v>0</v>
      </c>
      <c r="AF423" s="196">
        <f>IFERROR(G423/SUMIF(A:A,A423,G:G)*SUMIF(Summary!$A$166:$A$242,'Operations Support'!A423,Summary!$Q$166:$Q$242),0)</f>
        <v>0</v>
      </c>
      <c r="AG423" s="196">
        <f t="shared" ca="1" si="95"/>
        <v>0</v>
      </c>
      <c r="AI423" s="196">
        <f>IFERROR($G423/SUMIF($A:$A,$A423,$G:$G)*SUMIF(Summary!$A$247:$A$283,$A423,Summary!$P$247:$P$283),0)</f>
        <v>0</v>
      </c>
      <c r="AJ423" s="196">
        <f>IFERROR($G423/SUMIF($A:$A,$A423,$G:$G)*(SUMIF(Summary!$A$247:$A$283,$A423,Summary!$L$247:$L$283)+SUMIF(Summary!$A$297:$A$333,$A423,Summary!$L$297:$L$333))-AI423,0)</f>
        <v>0</v>
      </c>
      <c r="AK423" s="196">
        <f>IFERROR($G423/SUMIF($A:$A,$A423,$G:$G)*SUMIF(Summary!$A$247:$A$283,$A423,Summary!$Q$247:$Q$283),0)</f>
        <v>0</v>
      </c>
      <c r="AL423" s="196">
        <f>IFERROR($G423/SUMIF($A:$A,$A423,$G:$G)*(SUMIF(Summary!$A$247:$A$283,$A423,Summary!$L$247:$L$283)+SUMIF(Summary!$A$297:$A$333,$A423,Summary!$L$297:$L$333))-AK423,0)</f>
        <v>0</v>
      </c>
      <c r="AM423" s="198"/>
      <c r="AN423" s="196">
        <f t="shared" ca="1" si="96"/>
        <v>0</v>
      </c>
      <c r="AO423" s="196">
        <f t="shared" ca="1" si="97"/>
        <v>0</v>
      </c>
    </row>
    <row r="424" spans="1:41">
      <c r="A424" s="189">
        <v>3581</v>
      </c>
      <c r="B424" s="190">
        <v>5</v>
      </c>
      <c r="C424" s="191" t="s">
        <v>240</v>
      </c>
      <c r="D424" s="192">
        <f t="shared" si="84"/>
        <v>0</v>
      </c>
      <c r="E424" s="192">
        <f t="shared" si="85"/>
        <v>0</v>
      </c>
      <c r="F424" s="192">
        <f t="shared" si="86"/>
        <v>0</v>
      </c>
      <c r="G424" s="193">
        <f t="shared" si="87"/>
        <v>0</v>
      </c>
      <c r="H424" s="194">
        <v>0</v>
      </c>
      <c r="I424" s="194">
        <v>0</v>
      </c>
      <c r="J424" s="194">
        <v>0</v>
      </c>
      <c r="K424" s="193">
        <f t="shared" si="88"/>
        <v>0</v>
      </c>
      <c r="L424" s="194">
        <v>0</v>
      </c>
      <c r="M424" s="194">
        <v>0</v>
      </c>
      <c r="N424" s="194">
        <v>0</v>
      </c>
      <c r="O424" s="193">
        <f t="shared" si="89"/>
        <v>0</v>
      </c>
      <c r="P424" s="194">
        <v>0</v>
      </c>
      <c r="Q424" s="194">
        <v>0</v>
      </c>
      <c r="R424" s="194">
        <v>0</v>
      </c>
      <c r="S424" s="193">
        <f t="shared" si="90"/>
        <v>0</v>
      </c>
      <c r="T424" s="193">
        <f t="shared" si="91"/>
        <v>0</v>
      </c>
      <c r="U424" s="193">
        <f ca="1">OFFSET('Expenditure Study'!$B$7,'Operations Support'!$C424,'Operations Support'!$B424)*$G424</f>
        <v>0</v>
      </c>
      <c r="V424" s="199">
        <f ca="1">U424*'Expenditure Study'!$B$31</f>
        <v>0</v>
      </c>
      <c r="W424" s="199">
        <f ca="1">IF(A424=10298,1.51,1)*IF($B424&lt;3,$D424*'Expenditure Study'!$B$32*OFFSET('Expenditure Study'!$B$7,'Operations Support'!$C424,'Operations Support'!$B424),0)</f>
        <v>0</v>
      </c>
      <c r="X424" s="200">
        <f ca="1">W424*'Expenditure Study'!$B$31</f>
        <v>0</v>
      </c>
      <c r="Y424" s="199">
        <f ca="1">U424*'Expenditure Study'!$B$31</f>
        <v>0</v>
      </c>
      <c r="Z424" s="200">
        <f ca="1">W424*'Expenditure Study'!$B$31</f>
        <v>0</v>
      </c>
      <c r="AA424" s="195">
        <f t="shared" ca="1" si="92"/>
        <v>0</v>
      </c>
      <c r="AB424" s="195">
        <f t="shared" ca="1" si="93"/>
        <v>0</v>
      </c>
      <c r="AD424" s="196">
        <f>IFERROR($G424/SUMIF($A:$A,$A424,$G:$G)*SUMIF(Summary!$A$166:$A$242,$A424,Summary!$P$166:$P$242),0)</f>
        <v>0</v>
      </c>
      <c r="AE424" s="197">
        <f t="shared" ca="1" si="94"/>
        <v>0</v>
      </c>
      <c r="AF424" s="196">
        <f>IFERROR(G424/SUMIF(A:A,A424,G:G)*SUMIF(Summary!$A$166:$A$242,'Operations Support'!A424,Summary!$Q$166:$Q$242),0)</f>
        <v>0</v>
      </c>
      <c r="AG424" s="196">
        <f t="shared" ca="1" si="95"/>
        <v>0</v>
      </c>
      <c r="AI424" s="196">
        <f>IFERROR($G424/SUMIF($A:$A,$A424,$G:$G)*SUMIF(Summary!$A$247:$A$283,$A424,Summary!$P$247:$P$283),0)</f>
        <v>0</v>
      </c>
      <c r="AJ424" s="196">
        <f>IFERROR($G424/SUMIF($A:$A,$A424,$G:$G)*(SUMIF(Summary!$A$247:$A$283,$A424,Summary!$L$247:$L$283)+SUMIF(Summary!$A$297:$A$333,$A424,Summary!$L$297:$L$333))-AI424,0)</f>
        <v>0</v>
      </c>
      <c r="AK424" s="196">
        <f>IFERROR($G424/SUMIF($A:$A,$A424,$G:$G)*SUMIF(Summary!$A$247:$A$283,$A424,Summary!$Q$247:$Q$283),0)</f>
        <v>0</v>
      </c>
      <c r="AL424" s="196">
        <f>IFERROR($G424/SUMIF($A:$A,$A424,$G:$G)*(SUMIF(Summary!$A$247:$A$283,$A424,Summary!$L$247:$L$283)+SUMIF(Summary!$A$297:$A$333,$A424,Summary!$L$297:$L$333))-AK424,0)</f>
        <v>0</v>
      </c>
      <c r="AM424" s="198"/>
      <c r="AN424" s="196">
        <f t="shared" ca="1" si="96"/>
        <v>0</v>
      </c>
      <c r="AO424" s="196">
        <f t="shared" ca="1" si="97"/>
        <v>0</v>
      </c>
    </row>
    <row r="425" spans="1:41" s="201" customFormat="1">
      <c r="A425" s="189">
        <v>3592</v>
      </c>
      <c r="B425" s="190">
        <v>1</v>
      </c>
      <c r="C425" s="191" t="s">
        <v>220</v>
      </c>
      <c r="D425" s="192">
        <f t="shared" si="84"/>
        <v>17748</v>
      </c>
      <c r="E425" s="192">
        <f t="shared" si="85"/>
        <v>14974</v>
      </c>
      <c r="F425" s="192">
        <f t="shared" si="86"/>
        <v>0</v>
      </c>
      <c r="G425" s="193">
        <f t="shared" si="87"/>
        <v>32722</v>
      </c>
      <c r="H425" s="194">
        <v>7509</v>
      </c>
      <c r="I425" s="194">
        <v>6580</v>
      </c>
      <c r="J425" s="194">
        <v>0</v>
      </c>
      <c r="K425" s="193">
        <f t="shared" si="88"/>
        <v>14089</v>
      </c>
      <c r="L425" s="194">
        <v>8375</v>
      </c>
      <c r="M425" s="194">
        <v>7707</v>
      </c>
      <c r="N425" s="194">
        <v>0</v>
      </c>
      <c r="O425" s="193">
        <f t="shared" si="89"/>
        <v>16082</v>
      </c>
      <c r="P425" s="194">
        <v>1864</v>
      </c>
      <c r="Q425" s="194">
        <v>687</v>
      </c>
      <c r="R425" s="194">
        <v>0</v>
      </c>
      <c r="S425" s="193">
        <f t="shared" si="90"/>
        <v>2551</v>
      </c>
      <c r="T425" s="193">
        <f t="shared" si="91"/>
        <v>1090.7333333333333</v>
      </c>
      <c r="U425" s="193">
        <f ca="1">OFFSET('Expenditure Study'!$B$7,'Operations Support'!$C425,'Operations Support'!$B425)*$G425</f>
        <v>32722</v>
      </c>
      <c r="V425" s="199">
        <f ca="1">U425*'Expenditure Study'!$B$31</f>
        <v>1933319.8421376001</v>
      </c>
      <c r="W425" s="199">
        <f ca="1">IF(A425=10298,1.51,1)*IF($B425&lt;3,$D425*'Expenditure Study'!$B$32*OFFSET('Expenditure Study'!$B$7,'Operations Support'!$C425,'Operations Support'!$B425),0)</f>
        <v>1774.8000000000002</v>
      </c>
      <c r="X425" s="200">
        <f ca="1">W425*'Expenditure Study'!$B$31</f>
        <v>104860.82928384001</v>
      </c>
      <c r="Y425" s="199">
        <f ca="1">U425*'Expenditure Study'!$B$31</f>
        <v>1933319.8421376001</v>
      </c>
      <c r="Z425" s="200">
        <f ca="1">W425*'Expenditure Study'!$B$31</f>
        <v>104860.82928384001</v>
      </c>
      <c r="AA425" s="195">
        <f t="shared" ca="1" si="92"/>
        <v>2038180.6714214401</v>
      </c>
      <c r="AB425" s="195">
        <f t="shared" ca="1" si="93"/>
        <v>2038180.6714214401</v>
      </c>
      <c r="AD425" s="196">
        <f>IFERROR($G425/SUMIF($A:$A,$A425,$G:$G)*SUMIF(Summary!$A$166:$A$242,$A425,Summary!$P$166:$P$242),0)</f>
        <v>739597.83110186865</v>
      </c>
      <c r="AE425" s="197">
        <f t="shared" ca="1" si="94"/>
        <v>1298582.8403195716</v>
      </c>
      <c r="AF425" s="196">
        <f>IFERROR(G425/SUMIF(A:A,A425,G:G)*SUMIF(Summary!$A$166:$A$242,'Operations Support'!A425,Summary!$Q$166:$Q$242),0)</f>
        <v>740850.62823164626</v>
      </c>
      <c r="AG425" s="196">
        <f t="shared" ca="1" si="95"/>
        <v>1297330.0431897938</v>
      </c>
      <c r="AH425" s="180"/>
      <c r="AI425" s="196">
        <f>IFERROR($G425/SUMIF($A:$A,$A425,$G:$G)*SUMIF(Summary!$A$247:$A$283,$A425,Summary!$P$247:$P$283),0)</f>
        <v>134884.18793483931</v>
      </c>
      <c r="AJ425" s="196">
        <f>IFERROR($G425/SUMIF($A:$A,$A425,$G:$G)*(SUMIF(Summary!$A$247:$A$283,$A425,Summary!$L$247:$L$283)+SUMIF(Summary!$A$297:$A$333,$A425,Summary!$L$297:$L$333))-AI425,0)</f>
        <v>907412.88647678948</v>
      </c>
      <c r="AK425" s="196">
        <f>IFERROR($G425/SUMIF($A:$A,$A425,$G:$G)*SUMIF(Summary!$A$247:$A$283,$A425,Summary!$Q$247:$Q$283),0)</f>
        <v>135112.66686810687</v>
      </c>
      <c r="AL425" s="196">
        <f>IFERROR($G425/SUMIF($A:$A,$A425,$G:$G)*(SUMIF(Summary!$A$247:$A$283,$A425,Summary!$L$247:$L$283)+SUMIF(Summary!$A$297:$A$333,$A425,Summary!$L$297:$L$333))-AK425,0)</f>
        <v>907184.40754352184</v>
      </c>
      <c r="AM425" s="198"/>
      <c r="AN425" s="196">
        <f t="shared" ca="1" si="96"/>
        <v>2205995.7267963612</v>
      </c>
      <c r="AO425" s="196">
        <f t="shared" ca="1" si="97"/>
        <v>2204514.4507333157</v>
      </c>
    </row>
    <row r="426" spans="1:41">
      <c r="A426" s="189">
        <v>3592</v>
      </c>
      <c r="B426" s="190">
        <v>1</v>
      </c>
      <c r="C426" s="191" t="s">
        <v>221</v>
      </c>
      <c r="D426" s="192">
        <f t="shared" si="84"/>
        <v>5641</v>
      </c>
      <c r="E426" s="192">
        <f t="shared" si="85"/>
        <v>5207</v>
      </c>
      <c r="F426" s="192">
        <f t="shared" si="86"/>
        <v>0</v>
      </c>
      <c r="G426" s="193">
        <f t="shared" si="87"/>
        <v>10848</v>
      </c>
      <c r="H426" s="194">
        <v>2255</v>
      </c>
      <c r="I426" s="194">
        <v>2586</v>
      </c>
      <c r="J426" s="194">
        <v>0</v>
      </c>
      <c r="K426" s="193">
        <f t="shared" si="88"/>
        <v>4841</v>
      </c>
      <c r="L426" s="194">
        <v>2820</v>
      </c>
      <c r="M426" s="194">
        <v>2297</v>
      </c>
      <c r="N426" s="194">
        <v>0</v>
      </c>
      <c r="O426" s="193">
        <f t="shared" si="89"/>
        <v>5117</v>
      </c>
      <c r="P426" s="194">
        <v>566</v>
      </c>
      <c r="Q426" s="194">
        <v>324</v>
      </c>
      <c r="R426" s="194">
        <v>0</v>
      </c>
      <c r="S426" s="193">
        <f t="shared" si="90"/>
        <v>890</v>
      </c>
      <c r="T426" s="193">
        <f t="shared" si="91"/>
        <v>361.6</v>
      </c>
      <c r="U426" s="193">
        <f ca="1">OFFSET('Expenditure Study'!$B$7,'Operations Support'!$C426,'Operations Support'!$B426)*$G426</f>
        <v>14536.320000000002</v>
      </c>
      <c r="V426" s="199">
        <f ca="1">U426*'Expenditure Study'!$B$31</f>
        <v>858852.02272665605</v>
      </c>
      <c r="W426" s="199">
        <f ca="1">IF(A426=10298,1.51,1)*IF($B426&lt;3,$D426*'Expenditure Study'!$B$32*OFFSET('Expenditure Study'!$B$7,'Operations Support'!$C426,'Operations Support'!$B426),0)</f>
        <v>755.89400000000012</v>
      </c>
      <c r="X426" s="200">
        <f ca="1">W426*'Expenditure Study'!$B$31</f>
        <v>44660.621867635207</v>
      </c>
      <c r="Y426" s="199">
        <f ca="1">U426*'Expenditure Study'!$B$31</f>
        <v>858852.02272665605</v>
      </c>
      <c r="Z426" s="200">
        <f ca="1">W426*'Expenditure Study'!$B$31</f>
        <v>44660.621867635207</v>
      </c>
      <c r="AA426" s="195">
        <f t="shared" ca="1" si="92"/>
        <v>903512.64459429123</v>
      </c>
      <c r="AB426" s="195">
        <f t="shared" ca="1" si="93"/>
        <v>903512.64459429123</v>
      </c>
      <c r="AD426" s="196">
        <f>IFERROR($G426/SUMIF($A:$A,$A426,$G:$G)*SUMIF(Summary!$A$166:$A$242,$A426,Summary!$P$166:$P$242),0)</f>
        <v>245191.53082919965</v>
      </c>
      <c r="AE426" s="197">
        <f t="shared" ca="1" si="94"/>
        <v>658321.11376509164</v>
      </c>
      <c r="AF426" s="196">
        <f>IFERROR(G426/SUMIF(A:A,A426,G:G)*SUMIF(Summary!$A$166:$A$242,'Operations Support'!A426,Summary!$Q$166:$Q$242),0)</f>
        <v>245606.8582316759</v>
      </c>
      <c r="AG426" s="196">
        <f t="shared" ca="1" si="95"/>
        <v>657905.7863626153</v>
      </c>
      <c r="AI426" s="196">
        <f>IFERROR($G426/SUMIF($A:$A,$A426,$G:$G)*SUMIF(Summary!$A$247:$A$283,$A426,Summary!$P$247:$P$283),0)</f>
        <v>44716.816536799</v>
      </c>
      <c r="AJ426" s="196">
        <f>IFERROR($G426/SUMIF($A:$A,$A426,$G:$G)*(SUMIF(Summary!$A$247:$A$283,$A426,Summary!$L$247:$L$283)+SUMIF(Summary!$A$297:$A$333,$A426,Summary!$L$297:$L$333))-AI426,0)</f>
        <v>300825.59111607517</v>
      </c>
      <c r="AK426" s="196">
        <f>IFERROR($G426/SUMIF($A:$A,$A426,$G:$G)*SUMIF(Summary!$A$247:$A$283,$A426,Summary!$Q$247:$Q$283),0)</f>
        <v>44792.561890630866</v>
      </c>
      <c r="AL426" s="196">
        <f>IFERROR($G426/SUMIF($A:$A,$A426,$G:$G)*(SUMIF(Summary!$A$247:$A$283,$A426,Summary!$L$247:$L$283)+SUMIF(Summary!$A$297:$A$333,$A426,Summary!$L$297:$L$333))-AK426,0)</f>
        <v>300749.84576224332</v>
      </c>
      <c r="AM426" s="198"/>
      <c r="AN426" s="196">
        <f t="shared" ca="1" si="96"/>
        <v>959146.70488116681</v>
      </c>
      <c r="AO426" s="196">
        <f t="shared" ca="1" si="97"/>
        <v>958655.63212485868</v>
      </c>
    </row>
    <row r="427" spans="1:41">
      <c r="A427" s="189">
        <v>3592</v>
      </c>
      <c r="B427" s="190">
        <v>1</v>
      </c>
      <c r="C427" s="191" t="s">
        <v>222</v>
      </c>
      <c r="D427" s="192">
        <f t="shared" si="84"/>
        <v>2999</v>
      </c>
      <c r="E427" s="192">
        <f t="shared" si="85"/>
        <v>1518</v>
      </c>
      <c r="F427" s="192">
        <f t="shared" si="86"/>
        <v>0</v>
      </c>
      <c r="G427" s="193">
        <f t="shared" si="87"/>
        <v>4517</v>
      </c>
      <c r="H427" s="194">
        <v>1332</v>
      </c>
      <c r="I427" s="194">
        <v>618</v>
      </c>
      <c r="J427" s="194">
        <v>0</v>
      </c>
      <c r="K427" s="193">
        <f t="shared" si="88"/>
        <v>1950</v>
      </c>
      <c r="L427" s="194">
        <v>1595</v>
      </c>
      <c r="M427" s="194">
        <v>819</v>
      </c>
      <c r="N427" s="194">
        <v>0</v>
      </c>
      <c r="O427" s="193">
        <f t="shared" si="89"/>
        <v>2414</v>
      </c>
      <c r="P427" s="194">
        <v>72</v>
      </c>
      <c r="Q427" s="194">
        <v>81</v>
      </c>
      <c r="R427" s="194">
        <v>0</v>
      </c>
      <c r="S427" s="193">
        <f t="shared" si="90"/>
        <v>153</v>
      </c>
      <c r="T427" s="193">
        <f t="shared" si="91"/>
        <v>150.56666666666666</v>
      </c>
      <c r="U427" s="193">
        <f ca="1">OFFSET('Expenditure Study'!$B$7,'Operations Support'!$C427,'Operations Support'!$B427)*$G427</f>
        <v>6188.2900000000009</v>
      </c>
      <c r="V427" s="199">
        <f ca="1">U427*'Expenditure Study'!$B$31</f>
        <v>365623.85691283207</v>
      </c>
      <c r="W427" s="199">
        <f ca="1">IF(A427=10298,1.51,1)*IF($B427&lt;3,$D427*'Expenditure Study'!$B$32*OFFSET('Expenditure Study'!$B$7,'Operations Support'!$C427,'Operations Support'!$B427),0)</f>
        <v>410.86300000000006</v>
      </c>
      <c r="X427" s="200">
        <f ca="1">W427*'Expenditure Study'!$B$31</f>
        <v>24275.092913030403</v>
      </c>
      <c r="Y427" s="199">
        <f ca="1">U427*'Expenditure Study'!$B$31</f>
        <v>365623.85691283207</v>
      </c>
      <c r="Z427" s="200">
        <f ca="1">W427*'Expenditure Study'!$B$31</f>
        <v>24275.092913030403</v>
      </c>
      <c r="AA427" s="195">
        <f t="shared" ca="1" si="92"/>
        <v>389898.94982586248</v>
      </c>
      <c r="AB427" s="195">
        <f t="shared" ca="1" si="93"/>
        <v>389898.94982586248</v>
      </c>
      <c r="AD427" s="196">
        <f>IFERROR($G427/SUMIF($A:$A,$A427,$G:$G)*SUMIF(Summary!$A$166:$A$242,$A427,Summary!$P$166:$P$242),0)</f>
        <v>102095.33045312451</v>
      </c>
      <c r="AE427" s="197">
        <f t="shared" ca="1" si="94"/>
        <v>287803.61937273794</v>
      </c>
      <c r="AF427" s="196">
        <f>IFERROR(G427/SUMIF(A:A,A427,G:G)*SUMIF(Summary!$A$166:$A$242,'Operations Support'!A427,Summary!$Q$166:$Q$242),0)</f>
        <v>102268.26867924779</v>
      </c>
      <c r="AG427" s="196">
        <f t="shared" ca="1" si="95"/>
        <v>287630.68114661472</v>
      </c>
      <c r="AI427" s="196">
        <f>IFERROR($G427/SUMIF($A:$A,$A427,$G:$G)*SUMIF(Summary!$A$247:$A$283,$A427,Summary!$P$247:$P$283),0)</f>
        <v>18619.64051407827</v>
      </c>
      <c r="AJ427" s="196">
        <f>IFERROR($G427/SUMIF($A:$A,$A427,$G:$G)*(SUMIF(Summary!$A$247:$A$283,$A427,Summary!$L$247:$L$283)+SUMIF(Summary!$A$297:$A$333,$A427,Summary!$L$297:$L$333))-AI427,0)</f>
        <v>125260.80338046751</v>
      </c>
      <c r="AK427" s="196">
        <f>IFERROR($G427/SUMIF($A:$A,$A427,$G:$G)*SUMIF(Summary!$A$247:$A$283,$A427,Summary!$Q$247:$Q$283),0)</f>
        <v>18651.180130897825</v>
      </c>
      <c r="AL427" s="196">
        <f>IFERROR($G427/SUMIF($A:$A,$A427,$G:$G)*(SUMIF(Summary!$A$247:$A$283,$A427,Summary!$L$247:$L$283)+SUMIF(Summary!$A$297:$A$333,$A427,Summary!$L$297:$L$333))-AK427,0)</f>
        <v>125229.26376364796</v>
      </c>
      <c r="AM427" s="198"/>
      <c r="AN427" s="196">
        <f t="shared" ca="1" si="96"/>
        <v>413064.42275320546</v>
      </c>
      <c r="AO427" s="196">
        <f t="shared" ca="1" si="97"/>
        <v>412859.94491026271</v>
      </c>
    </row>
    <row r="428" spans="1:41">
      <c r="A428" s="189">
        <v>3592</v>
      </c>
      <c r="B428" s="190">
        <v>1</v>
      </c>
      <c r="C428" s="191" t="s">
        <v>223</v>
      </c>
      <c r="D428" s="192">
        <f t="shared" si="84"/>
        <v>447</v>
      </c>
      <c r="E428" s="192">
        <f t="shared" si="85"/>
        <v>960</v>
      </c>
      <c r="F428" s="192">
        <f t="shared" si="86"/>
        <v>0</v>
      </c>
      <c r="G428" s="193">
        <f t="shared" si="87"/>
        <v>1407</v>
      </c>
      <c r="H428" s="194">
        <v>60</v>
      </c>
      <c r="I428" s="194">
        <v>495</v>
      </c>
      <c r="J428" s="194">
        <v>0</v>
      </c>
      <c r="K428" s="193">
        <f t="shared" si="88"/>
        <v>555</v>
      </c>
      <c r="L428" s="194">
        <v>255</v>
      </c>
      <c r="M428" s="194">
        <v>462</v>
      </c>
      <c r="N428" s="194">
        <v>0</v>
      </c>
      <c r="O428" s="193">
        <f t="shared" si="89"/>
        <v>717</v>
      </c>
      <c r="P428" s="194">
        <v>132</v>
      </c>
      <c r="Q428" s="194">
        <v>3</v>
      </c>
      <c r="R428" s="194">
        <v>0</v>
      </c>
      <c r="S428" s="193">
        <f t="shared" si="90"/>
        <v>135</v>
      </c>
      <c r="T428" s="193">
        <f t="shared" si="91"/>
        <v>46.9</v>
      </c>
      <c r="U428" s="193">
        <f ca="1">OFFSET('Expenditure Study'!$B$7,'Operations Support'!$C428,'Operations Support'!$B428)*$G428</f>
        <v>1772.82</v>
      </c>
      <c r="V428" s="199">
        <f ca="1">U428*'Expenditure Study'!$B$31</f>
        <v>104743.844585856</v>
      </c>
      <c r="W428" s="199">
        <f ca="1">IF(A428=10298,1.51,1)*IF($B428&lt;3,$D428*'Expenditure Study'!$B$32*OFFSET('Expenditure Study'!$B$7,'Operations Support'!$C428,'Operations Support'!$B428),0)</f>
        <v>56.322000000000003</v>
      </c>
      <c r="X428" s="200">
        <f ca="1">W428*'Expenditure Study'!$B$31</f>
        <v>3327.6829090176002</v>
      </c>
      <c r="Y428" s="199">
        <f ca="1">U428*'Expenditure Study'!$B$31</f>
        <v>104743.844585856</v>
      </c>
      <c r="Z428" s="200">
        <f ca="1">W428*'Expenditure Study'!$B$31</f>
        <v>3327.6829090176002</v>
      </c>
      <c r="AA428" s="195">
        <f t="shared" ca="1" si="92"/>
        <v>108071.5274948736</v>
      </c>
      <c r="AB428" s="195">
        <f t="shared" ca="1" si="93"/>
        <v>108071.5274948736</v>
      </c>
      <c r="AD428" s="196">
        <f>IFERROR($G428/SUMIF($A:$A,$A428,$G:$G)*SUMIF(Summary!$A$166:$A$242,$A428,Summary!$P$166:$P$242),0)</f>
        <v>31801.667024030598</v>
      </c>
      <c r="AE428" s="197">
        <f t="shared" ca="1" si="94"/>
        <v>76269.860470843007</v>
      </c>
      <c r="AF428" s="196">
        <f>IFERROR(G428/SUMIF(A:A,A428,G:G)*SUMIF(Summary!$A$166:$A$242,'Operations Support'!A428,Summary!$Q$166:$Q$242),0)</f>
        <v>31855.535539451328</v>
      </c>
      <c r="AG428" s="196">
        <f t="shared" ca="1" si="95"/>
        <v>76215.991955422272</v>
      </c>
      <c r="AI428" s="196">
        <f>IFERROR($G428/SUMIF($A:$A,$A428,$G:$G)*SUMIF(Summary!$A$247:$A$283,$A428,Summary!$P$247:$P$283),0)</f>
        <v>5799.8304634288525</v>
      </c>
      <c r="AJ428" s="196">
        <f>IFERROR($G428/SUMIF($A:$A,$A428,$G:$G)*(SUMIF(Summary!$A$247:$A$283,$A428,Summary!$L$247:$L$283)+SUMIF(Summary!$A$297:$A$333,$A428,Summary!$L$297:$L$333))-AI428,0)</f>
        <v>39017.478493760864</v>
      </c>
      <c r="AK428" s="196">
        <f>IFERROR($G428/SUMIF($A:$A,$A428,$G:$G)*SUMIF(Summary!$A$247:$A$283,$A428,Summary!$Q$247:$Q$283),0)</f>
        <v>5809.6547363677755</v>
      </c>
      <c r="AL428" s="196">
        <f>IFERROR($G428/SUMIF($A:$A,$A428,$G:$G)*(SUMIF(Summary!$A$247:$A$283,$A428,Summary!$L$247:$L$283)+SUMIF(Summary!$A$297:$A$333,$A428,Summary!$L$297:$L$333))-AK428,0)</f>
        <v>39007.65422082194</v>
      </c>
      <c r="AM428" s="198"/>
      <c r="AN428" s="196">
        <f t="shared" ca="1" si="96"/>
        <v>115287.33896460387</v>
      </c>
      <c r="AO428" s="196">
        <f t="shared" ca="1" si="97"/>
        <v>115223.64617624422</v>
      </c>
    </row>
    <row r="429" spans="1:41">
      <c r="A429" s="189">
        <v>3592</v>
      </c>
      <c r="B429" s="190">
        <v>1</v>
      </c>
      <c r="C429" s="191" t="s">
        <v>224</v>
      </c>
      <c r="D429" s="192">
        <f t="shared" si="84"/>
        <v>0</v>
      </c>
      <c r="E429" s="192">
        <f t="shared" si="85"/>
        <v>0</v>
      </c>
      <c r="F429" s="192">
        <f t="shared" si="86"/>
        <v>0</v>
      </c>
      <c r="G429" s="193">
        <f t="shared" si="87"/>
        <v>0</v>
      </c>
      <c r="H429" s="194">
        <v>0</v>
      </c>
      <c r="I429" s="194">
        <v>0</v>
      </c>
      <c r="J429" s="194">
        <v>0</v>
      </c>
      <c r="K429" s="193">
        <f t="shared" si="88"/>
        <v>0</v>
      </c>
      <c r="L429" s="194">
        <v>0</v>
      </c>
      <c r="M429" s="194">
        <v>0</v>
      </c>
      <c r="N429" s="194">
        <v>0</v>
      </c>
      <c r="O429" s="193">
        <f t="shared" si="89"/>
        <v>0</v>
      </c>
      <c r="P429" s="194">
        <v>0</v>
      </c>
      <c r="Q429" s="194">
        <v>0</v>
      </c>
      <c r="R429" s="194">
        <v>0</v>
      </c>
      <c r="S429" s="193">
        <f t="shared" si="90"/>
        <v>0</v>
      </c>
      <c r="T429" s="193">
        <f t="shared" si="91"/>
        <v>0</v>
      </c>
      <c r="U429" s="193">
        <f ca="1">OFFSET('Expenditure Study'!$B$7,'Operations Support'!$C429,'Operations Support'!$B429)*$G429</f>
        <v>0</v>
      </c>
      <c r="V429" s="199">
        <f ca="1">U429*'Expenditure Study'!$B$31</f>
        <v>0</v>
      </c>
      <c r="W429" s="199">
        <f ca="1">IF(A429=10298,1.51,1)*IF($B429&lt;3,$D429*'Expenditure Study'!$B$32*OFFSET('Expenditure Study'!$B$7,'Operations Support'!$C429,'Operations Support'!$B429),0)</f>
        <v>0</v>
      </c>
      <c r="X429" s="200">
        <f ca="1">W429*'Expenditure Study'!$B$31</f>
        <v>0</v>
      </c>
      <c r="Y429" s="199">
        <f ca="1">U429*'Expenditure Study'!$B$31</f>
        <v>0</v>
      </c>
      <c r="Z429" s="200">
        <f ca="1">W429*'Expenditure Study'!$B$31</f>
        <v>0</v>
      </c>
      <c r="AA429" s="195">
        <f t="shared" ca="1" si="92"/>
        <v>0</v>
      </c>
      <c r="AB429" s="195">
        <f t="shared" ca="1" si="93"/>
        <v>0</v>
      </c>
      <c r="AD429" s="196">
        <f>IFERROR($G429/SUMIF($A:$A,$A429,$G:$G)*SUMIF(Summary!$A$166:$A$242,$A429,Summary!$P$166:$P$242),0)</f>
        <v>0</v>
      </c>
      <c r="AE429" s="197">
        <f t="shared" ca="1" si="94"/>
        <v>0</v>
      </c>
      <c r="AF429" s="196">
        <f>IFERROR(G429/SUMIF(A:A,A429,G:G)*SUMIF(Summary!$A$166:$A$242,'Operations Support'!A429,Summary!$Q$166:$Q$242),0)</f>
        <v>0</v>
      </c>
      <c r="AG429" s="196">
        <f t="shared" ca="1" si="95"/>
        <v>0</v>
      </c>
      <c r="AI429" s="196">
        <f>IFERROR($G429/SUMIF($A:$A,$A429,$G:$G)*SUMIF(Summary!$A$247:$A$283,$A429,Summary!$P$247:$P$283),0)</f>
        <v>0</v>
      </c>
      <c r="AJ429" s="196">
        <f>IFERROR($G429/SUMIF($A:$A,$A429,$G:$G)*(SUMIF(Summary!$A$247:$A$283,$A429,Summary!$L$247:$L$283)+SUMIF(Summary!$A$297:$A$333,$A429,Summary!$L$297:$L$333))-AI429,0)</f>
        <v>0</v>
      </c>
      <c r="AK429" s="196">
        <f>IFERROR($G429/SUMIF($A:$A,$A429,$G:$G)*SUMIF(Summary!$A$247:$A$283,$A429,Summary!$Q$247:$Q$283),0)</f>
        <v>0</v>
      </c>
      <c r="AL429" s="196">
        <f>IFERROR($G429/SUMIF($A:$A,$A429,$G:$G)*(SUMIF(Summary!$A$247:$A$283,$A429,Summary!$L$247:$L$283)+SUMIF(Summary!$A$297:$A$333,$A429,Summary!$L$297:$L$333))-AK429,0)</f>
        <v>0</v>
      </c>
      <c r="AM429" s="198"/>
      <c r="AN429" s="196">
        <f t="shared" ca="1" si="96"/>
        <v>0</v>
      </c>
      <c r="AO429" s="196">
        <f t="shared" ca="1" si="97"/>
        <v>0</v>
      </c>
    </row>
    <row r="430" spans="1:41">
      <c r="A430" s="189">
        <v>3592</v>
      </c>
      <c r="B430" s="190">
        <v>1</v>
      </c>
      <c r="C430" s="191" t="s">
        <v>225</v>
      </c>
      <c r="D430" s="192">
        <f t="shared" si="84"/>
        <v>1815.4</v>
      </c>
      <c r="E430" s="192">
        <f t="shared" si="85"/>
        <v>498.6</v>
      </c>
      <c r="F430" s="192">
        <f t="shared" si="86"/>
        <v>0</v>
      </c>
      <c r="G430" s="193">
        <f t="shared" si="87"/>
        <v>2314</v>
      </c>
      <c r="H430" s="194">
        <v>932</v>
      </c>
      <c r="I430" s="194">
        <v>210</v>
      </c>
      <c r="J430" s="194">
        <v>0</v>
      </c>
      <c r="K430" s="193">
        <f t="shared" si="88"/>
        <v>1142</v>
      </c>
      <c r="L430" s="194">
        <v>821</v>
      </c>
      <c r="M430" s="194">
        <v>267</v>
      </c>
      <c r="N430" s="194">
        <v>0</v>
      </c>
      <c r="O430" s="193">
        <f t="shared" si="89"/>
        <v>1088</v>
      </c>
      <c r="P430" s="194">
        <v>62.4</v>
      </c>
      <c r="Q430" s="194">
        <v>21.6</v>
      </c>
      <c r="R430" s="194">
        <v>0</v>
      </c>
      <c r="S430" s="193">
        <f t="shared" si="90"/>
        <v>84</v>
      </c>
      <c r="T430" s="193">
        <f t="shared" si="91"/>
        <v>77.13333333333334</v>
      </c>
      <c r="U430" s="193">
        <f ca="1">OFFSET('Expenditure Study'!$B$7,'Operations Support'!$C430,'Operations Support'!$B430)*$G430</f>
        <v>4072.64</v>
      </c>
      <c r="V430" s="199">
        <f ca="1">U430*'Expenditure Study'!$B$31</f>
        <v>240624.525453312</v>
      </c>
      <c r="W430" s="199">
        <f ca="1">IF(A430=10298,1.51,1)*IF($B430&lt;3,$D430*'Expenditure Study'!$B$32*OFFSET('Expenditure Study'!$B$7,'Operations Support'!$C430,'Operations Support'!$B430),0)</f>
        <v>319.51040000000006</v>
      </c>
      <c r="X430" s="200">
        <f ca="1">W430*'Expenditure Study'!$B$31</f>
        <v>18877.690730680322</v>
      </c>
      <c r="Y430" s="199">
        <f ca="1">U430*'Expenditure Study'!$B$31</f>
        <v>240624.525453312</v>
      </c>
      <c r="Z430" s="200">
        <f ca="1">W430*'Expenditure Study'!$B$31</f>
        <v>18877.690730680322</v>
      </c>
      <c r="AA430" s="195">
        <f t="shared" ca="1" si="92"/>
        <v>259502.21618399234</v>
      </c>
      <c r="AB430" s="195">
        <f t="shared" ca="1" si="93"/>
        <v>259502.21618399234</v>
      </c>
      <c r="AD430" s="196">
        <f>IFERROR($G430/SUMIF($A:$A,$A430,$G:$G)*SUMIF(Summary!$A$166:$A$242,$A430,Summary!$P$166:$P$242),0)</f>
        <v>52302.101985505891</v>
      </c>
      <c r="AE430" s="197">
        <f t="shared" ca="1" si="94"/>
        <v>207200.11419848644</v>
      </c>
      <c r="AF430" s="196">
        <f>IFERROR(G430/SUMIF(A:A,A430,G:G)*SUMIF(Summary!$A$166:$A$242,'Operations Support'!A430,Summary!$Q$166:$Q$242),0)</f>
        <v>52390.695976041483</v>
      </c>
      <c r="AG430" s="196">
        <f t="shared" ca="1" si="95"/>
        <v>207111.52020795085</v>
      </c>
      <c r="AI430" s="196">
        <f>IFERROR($G430/SUMIF($A:$A,$A430,$G:$G)*SUMIF(Summary!$A$247:$A$283,$A430,Summary!$P$247:$P$283),0)</f>
        <v>9538.5982177500809</v>
      </c>
      <c r="AJ430" s="196">
        <f>IFERROR($G430/SUMIF($A:$A,$A430,$G:$G)*(SUMIF(Summary!$A$247:$A$283,$A430,Summary!$L$247:$L$283)+SUMIF(Summary!$A$297:$A$333,$A430,Summary!$L$297:$L$333))-AI430,0)</f>
        <v>64169.470671330928</v>
      </c>
      <c r="AK430" s="196">
        <f>IFERROR($G430/SUMIF($A:$A,$A430,$G:$G)*SUMIF(Summary!$A$247:$A$283,$A430,Summary!$Q$247:$Q$283),0)</f>
        <v>9554.7555507853813</v>
      </c>
      <c r="AL430" s="196">
        <f>IFERROR($G430/SUMIF($A:$A,$A430,$G:$G)*(SUMIF(Summary!$A$247:$A$283,$A430,Summary!$L$247:$L$283)+SUMIF(Summary!$A$297:$A$333,$A430,Summary!$L$297:$L$333))-AK430,0)</f>
        <v>64153.313338295629</v>
      </c>
      <c r="AM430" s="198"/>
      <c r="AN430" s="196">
        <f t="shared" ca="1" si="96"/>
        <v>271369.58486981736</v>
      </c>
      <c r="AO430" s="196">
        <f t="shared" ca="1" si="97"/>
        <v>271264.83354624646</v>
      </c>
    </row>
    <row r="431" spans="1:41">
      <c r="A431" s="189">
        <v>3592</v>
      </c>
      <c r="B431" s="190">
        <v>1</v>
      </c>
      <c r="C431" s="191" t="s">
        <v>226</v>
      </c>
      <c r="D431" s="192">
        <f t="shared" si="84"/>
        <v>423</v>
      </c>
      <c r="E431" s="192">
        <f t="shared" si="85"/>
        <v>84</v>
      </c>
      <c r="F431" s="192">
        <f t="shared" si="86"/>
        <v>0</v>
      </c>
      <c r="G431" s="193">
        <f t="shared" si="87"/>
        <v>507</v>
      </c>
      <c r="H431" s="194">
        <v>117</v>
      </c>
      <c r="I431" s="194">
        <v>84</v>
      </c>
      <c r="J431" s="194">
        <v>0</v>
      </c>
      <c r="K431" s="193">
        <f t="shared" si="88"/>
        <v>201</v>
      </c>
      <c r="L431" s="194">
        <v>207</v>
      </c>
      <c r="M431" s="194">
        <v>0</v>
      </c>
      <c r="N431" s="194">
        <v>0</v>
      </c>
      <c r="O431" s="193">
        <f t="shared" si="89"/>
        <v>207</v>
      </c>
      <c r="P431" s="194">
        <v>99</v>
      </c>
      <c r="Q431" s="194">
        <v>0</v>
      </c>
      <c r="R431" s="194">
        <v>0</v>
      </c>
      <c r="S431" s="193">
        <f t="shared" si="90"/>
        <v>99</v>
      </c>
      <c r="T431" s="193">
        <f t="shared" si="91"/>
        <v>16.899999999999999</v>
      </c>
      <c r="U431" s="193">
        <f ca="1">OFFSET('Expenditure Study'!$B$7,'Operations Support'!$C431,'Operations Support'!$B431)*$G431</f>
        <v>481.65</v>
      </c>
      <c r="V431" s="199">
        <f ca="1">U431*'Expenditure Study'!$B$31</f>
        <v>28457.414032320001</v>
      </c>
      <c r="W431" s="199">
        <f ca="1">IF(A431=10298,1.51,1)*IF($B431&lt;3,$D431*'Expenditure Study'!$B$32*OFFSET('Expenditure Study'!$B$7,'Operations Support'!$C431,'Operations Support'!$B431),0)</f>
        <v>40.185000000000002</v>
      </c>
      <c r="X431" s="200">
        <f ca="1">W431*'Expenditure Study'!$B$31</f>
        <v>2374.2576204480001</v>
      </c>
      <c r="Y431" s="199">
        <f ca="1">U431*'Expenditure Study'!$B$31</f>
        <v>28457.414032320001</v>
      </c>
      <c r="Z431" s="200">
        <f ca="1">W431*'Expenditure Study'!$B$31</f>
        <v>2374.2576204480001</v>
      </c>
      <c r="AA431" s="195">
        <f t="shared" ca="1" si="92"/>
        <v>30831.671652768</v>
      </c>
      <c r="AB431" s="195">
        <f t="shared" ca="1" si="93"/>
        <v>30831.671652768</v>
      </c>
      <c r="AD431" s="196">
        <f>IFERROR($G431/SUMIF($A:$A,$A431,$G:$G)*SUMIF(Summary!$A$166:$A$242,$A431,Summary!$P$166:$P$242),0)</f>
        <v>11459.449311431066</v>
      </c>
      <c r="AE431" s="197">
        <f t="shared" ca="1" si="94"/>
        <v>19372.222341336936</v>
      </c>
      <c r="AF431" s="196">
        <f>IFERROR(G431/SUMIF(A:A,A431,G:G)*SUMIF(Summary!$A$166:$A$242,'Operations Support'!A431,Summary!$Q$166:$Q$242),0)</f>
        <v>11478.860354301223</v>
      </c>
      <c r="AG431" s="196">
        <f t="shared" ca="1" si="95"/>
        <v>19352.811298466775</v>
      </c>
      <c r="AI431" s="196">
        <f>IFERROR($G431/SUMIF($A:$A,$A431,$G:$G)*SUMIF(Summary!$A$247:$A$283,$A431,Summary!$P$247:$P$283),0)</f>
        <v>2089.9175870351301</v>
      </c>
      <c r="AJ431" s="196">
        <f>IFERROR($G431/SUMIF($A:$A,$A431,$G:$G)*(SUMIF(Summary!$A$247:$A$283,$A431,Summary!$L$247:$L$283)+SUMIF(Summary!$A$297:$A$333,$A431,Summary!$L$297:$L$333))-AI431,0)</f>
        <v>14059.603124617452</v>
      </c>
      <c r="AK431" s="196">
        <f>IFERROR($G431/SUMIF($A:$A,$A431,$G:$G)*SUMIF(Summary!$A$247:$A$283,$A431,Summary!$Q$247:$Q$283),0)</f>
        <v>2093.4576768574711</v>
      </c>
      <c r="AL431" s="196">
        <f>IFERROR($G431/SUMIF($A:$A,$A431,$G:$G)*(SUMIF(Summary!$A$247:$A$283,$A431,Summary!$L$247:$L$283)+SUMIF(Summary!$A$297:$A$333,$A431,Summary!$L$297:$L$333))-AK431,0)</f>
        <v>14056.06303479511</v>
      </c>
      <c r="AM431" s="198"/>
      <c r="AN431" s="196">
        <f t="shared" ca="1" si="96"/>
        <v>33431.825465954389</v>
      </c>
      <c r="AO431" s="196">
        <f t="shared" ca="1" si="97"/>
        <v>33408.874333261883</v>
      </c>
    </row>
    <row r="432" spans="1:41">
      <c r="A432" s="189">
        <v>3592</v>
      </c>
      <c r="B432" s="190">
        <v>1</v>
      </c>
      <c r="C432" s="191" t="s">
        <v>227</v>
      </c>
      <c r="D432" s="192">
        <f t="shared" si="84"/>
        <v>0</v>
      </c>
      <c r="E432" s="192">
        <f t="shared" si="85"/>
        <v>0</v>
      </c>
      <c r="F432" s="192">
        <f t="shared" si="86"/>
        <v>0</v>
      </c>
      <c r="G432" s="193">
        <f t="shared" si="87"/>
        <v>0</v>
      </c>
      <c r="H432" s="194">
        <v>0</v>
      </c>
      <c r="I432" s="194">
        <v>0</v>
      </c>
      <c r="J432" s="194">
        <v>0</v>
      </c>
      <c r="K432" s="193">
        <f t="shared" si="88"/>
        <v>0</v>
      </c>
      <c r="L432" s="194">
        <v>0</v>
      </c>
      <c r="M432" s="194">
        <v>0</v>
      </c>
      <c r="N432" s="194">
        <v>0</v>
      </c>
      <c r="O432" s="193">
        <f t="shared" si="89"/>
        <v>0</v>
      </c>
      <c r="P432" s="194">
        <v>0</v>
      </c>
      <c r="Q432" s="194">
        <v>0</v>
      </c>
      <c r="R432" s="194">
        <v>0</v>
      </c>
      <c r="S432" s="193">
        <f t="shared" si="90"/>
        <v>0</v>
      </c>
      <c r="T432" s="193">
        <f t="shared" si="91"/>
        <v>0</v>
      </c>
      <c r="U432" s="193">
        <f ca="1">OFFSET('Expenditure Study'!$B$7,'Operations Support'!$C432,'Operations Support'!$B432)*$G432</f>
        <v>0</v>
      </c>
      <c r="V432" s="199">
        <f ca="1">U432*'Expenditure Study'!$B$31</f>
        <v>0</v>
      </c>
      <c r="W432" s="199">
        <f ca="1">IF(A432=10298,1.51,1)*IF($B432&lt;3,$D432*'Expenditure Study'!$B$32*OFFSET('Expenditure Study'!$B$7,'Operations Support'!$C432,'Operations Support'!$B432),0)</f>
        <v>0</v>
      </c>
      <c r="X432" s="200">
        <f ca="1">W432*'Expenditure Study'!$B$31</f>
        <v>0</v>
      </c>
      <c r="Y432" s="199">
        <f ca="1">U432*'Expenditure Study'!$B$31</f>
        <v>0</v>
      </c>
      <c r="Z432" s="200">
        <f ca="1">W432*'Expenditure Study'!$B$31</f>
        <v>0</v>
      </c>
      <c r="AA432" s="195">
        <f t="shared" ca="1" si="92"/>
        <v>0</v>
      </c>
      <c r="AB432" s="195">
        <f t="shared" ca="1" si="93"/>
        <v>0</v>
      </c>
      <c r="AD432" s="196">
        <f>IFERROR($G432/SUMIF($A:$A,$A432,$G:$G)*SUMIF(Summary!$A$166:$A$242,$A432,Summary!$P$166:$P$242),0)</f>
        <v>0</v>
      </c>
      <c r="AE432" s="197">
        <f t="shared" ca="1" si="94"/>
        <v>0</v>
      </c>
      <c r="AF432" s="196">
        <f>IFERROR(G432/SUMIF(A:A,A432,G:G)*SUMIF(Summary!$A$166:$A$242,'Operations Support'!A432,Summary!$Q$166:$Q$242),0)</f>
        <v>0</v>
      </c>
      <c r="AG432" s="196">
        <f t="shared" ca="1" si="95"/>
        <v>0</v>
      </c>
      <c r="AI432" s="196">
        <f>IFERROR($G432/SUMIF($A:$A,$A432,$G:$G)*SUMIF(Summary!$A$247:$A$283,$A432,Summary!$P$247:$P$283),0)</f>
        <v>0</v>
      </c>
      <c r="AJ432" s="196">
        <f>IFERROR($G432/SUMIF($A:$A,$A432,$G:$G)*(SUMIF(Summary!$A$247:$A$283,$A432,Summary!$L$247:$L$283)+SUMIF(Summary!$A$297:$A$333,$A432,Summary!$L$297:$L$333))-AI432,0)</f>
        <v>0</v>
      </c>
      <c r="AK432" s="196">
        <f>IFERROR($G432/SUMIF($A:$A,$A432,$G:$G)*SUMIF(Summary!$A$247:$A$283,$A432,Summary!$Q$247:$Q$283),0)</f>
        <v>0</v>
      </c>
      <c r="AL432" s="196">
        <f>IFERROR($G432/SUMIF($A:$A,$A432,$G:$G)*(SUMIF(Summary!$A$247:$A$283,$A432,Summary!$L$247:$L$283)+SUMIF(Summary!$A$297:$A$333,$A432,Summary!$L$297:$L$333))-AK432,0)</f>
        <v>0</v>
      </c>
      <c r="AM432" s="198"/>
      <c r="AN432" s="196">
        <f t="shared" ca="1" si="96"/>
        <v>0</v>
      </c>
      <c r="AO432" s="196">
        <f t="shared" ca="1" si="97"/>
        <v>0</v>
      </c>
    </row>
    <row r="433" spans="1:41">
      <c r="A433" s="189">
        <v>3592</v>
      </c>
      <c r="B433" s="190">
        <v>1</v>
      </c>
      <c r="C433" s="191" t="s">
        <v>228</v>
      </c>
      <c r="D433" s="192">
        <f t="shared" si="84"/>
        <v>16</v>
      </c>
      <c r="E433" s="192">
        <f t="shared" si="85"/>
        <v>78</v>
      </c>
      <c r="F433" s="192">
        <f t="shared" si="86"/>
        <v>0</v>
      </c>
      <c r="G433" s="193">
        <f t="shared" si="87"/>
        <v>94</v>
      </c>
      <c r="H433" s="194">
        <v>9</v>
      </c>
      <c r="I433" s="194">
        <v>33</v>
      </c>
      <c r="J433" s="194">
        <v>0</v>
      </c>
      <c r="K433" s="193">
        <f t="shared" si="88"/>
        <v>42</v>
      </c>
      <c r="L433" s="194">
        <v>7</v>
      </c>
      <c r="M433" s="194">
        <v>45</v>
      </c>
      <c r="N433" s="194">
        <v>0</v>
      </c>
      <c r="O433" s="193">
        <f t="shared" si="89"/>
        <v>52</v>
      </c>
      <c r="P433" s="194">
        <v>0</v>
      </c>
      <c r="Q433" s="194">
        <v>0</v>
      </c>
      <c r="R433" s="194">
        <v>0</v>
      </c>
      <c r="S433" s="193">
        <f t="shared" si="90"/>
        <v>0</v>
      </c>
      <c r="T433" s="193">
        <f t="shared" si="91"/>
        <v>3.1333333333333333</v>
      </c>
      <c r="U433" s="193">
        <f ca="1">OFFSET('Expenditure Study'!$B$7,'Operations Support'!$C433,'Operations Support'!$B433)*$G433</f>
        <v>148.52000000000001</v>
      </c>
      <c r="V433" s="199">
        <f ca="1">U433*'Expenditure Study'!$B$31</f>
        <v>8775.0340124160011</v>
      </c>
      <c r="W433" s="199">
        <f ca="1">IF(A433=10298,1.51,1)*IF($B433&lt;3,$D433*'Expenditure Study'!$B$32*OFFSET('Expenditure Study'!$B$7,'Operations Support'!$C433,'Operations Support'!$B433),0)</f>
        <v>2.5280000000000005</v>
      </c>
      <c r="X433" s="200">
        <f ca="1">W433*'Expenditure Study'!$B$31</f>
        <v>149.36228106240003</v>
      </c>
      <c r="Y433" s="199">
        <f ca="1">U433*'Expenditure Study'!$B$31</f>
        <v>8775.0340124160011</v>
      </c>
      <c r="Z433" s="200">
        <f ca="1">W433*'Expenditure Study'!$B$31</f>
        <v>149.36228106240003</v>
      </c>
      <c r="AA433" s="195">
        <f t="shared" ca="1" si="92"/>
        <v>8924.3962934784013</v>
      </c>
      <c r="AB433" s="195">
        <f t="shared" ca="1" si="93"/>
        <v>8924.3962934784013</v>
      </c>
      <c r="AD433" s="196">
        <f>IFERROR($G433/SUMIF($A:$A,$A433,$G:$G)*SUMIF(Summary!$A$166:$A$242,$A433,Summary!$P$166:$P$242),0)</f>
        <v>2124.6316277603951</v>
      </c>
      <c r="AE433" s="197">
        <f t="shared" ca="1" si="94"/>
        <v>6799.7646657180067</v>
      </c>
      <c r="AF433" s="196">
        <f>IFERROR(G433/SUMIF(A:A,A433,G:G)*SUMIF(Summary!$A$166:$A$242,'Operations Support'!A433,Summary!$Q$166:$Q$242),0)</f>
        <v>2128.2305193378998</v>
      </c>
      <c r="AG433" s="196">
        <f t="shared" ca="1" si="95"/>
        <v>6796.1657741405015</v>
      </c>
      <c r="AI433" s="196">
        <f>IFERROR($G433/SUMIF($A:$A,$A433,$G:$G)*SUMIF(Summary!$A$247:$A$283,$A433,Summary!$P$247:$P$283),0)</f>
        <v>387.47978931223321</v>
      </c>
      <c r="AJ433" s="196">
        <f>IFERROR($G433/SUMIF($A:$A,$A433,$G:$G)*(SUMIF(Summary!$A$247:$A$283,$A433,Summary!$L$247:$L$283)+SUMIF(Summary!$A$297:$A$333,$A433,Summary!$L$297:$L$333))-AI433,0)</f>
        <v>2606.7114274438668</v>
      </c>
      <c r="AK433" s="196">
        <f>IFERROR($G433/SUMIF($A:$A,$A433,$G:$G)*SUMIF(Summary!$A$247:$A$283,$A433,Summary!$Q$247:$Q$283),0)</f>
        <v>388.1361373266318</v>
      </c>
      <c r="AL433" s="196">
        <f>IFERROR($G433/SUMIF($A:$A,$A433,$G:$G)*(SUMIF(Summary!$A$247:$A$283,$A433,Summary!$L$247:$L$283)+SUMIF(Summary!$A$297:$A$333,$A433,Summary!$L$297:$L$333))-AK433,0)</f>
        <v>2606.0550794294682</v>
      </c>
      <c r="AM433" s="198"/>
      <c r="AN433" s="196">
        <f t="shared" ca="1" si="96"/>
        <v>9406.476093161873</v>
      </c>
      <c r="AO433" s="196">
        <f t="shared" ca="1" si="97"/>
        <v>9402.2208535699701</v>
      </c>
    </row>
    <row r="434" spans="1:41">
      <c r="A434" s="189">
        <v>3592</v>
      </c>
      <c r="B434" s="190">
        <v>1</v>
      </c>
      <c r="C434" s="191" t="s">
        <v>229</v>
      </c>
      <c r="D434" s="192">
        <f t="shared" si="84"/>
        <v>0</v>
      </c>
      <c r="E434" s="192">
        <f t="shared" si="85"/>
        <v>0</v>
      </c>
      <c r="F434" s="192">
        <f t="shared" si="86"/>
        <v>0</v>
      </c>
      <c r="G434" s="193">
        <f t="shared" si="87"/>
        <v>0</v>
      </c>
      <c r="H434" s="194">
        <v>0</v>
      </c>
      <c r="I434" s="194">
        <v>0</v>
      </c>
      <c r="J434" s="194">
        <v>0</v>
      </c>
      <c r="K434" s="193">
        <f t="shared" si="88"/>
        <v>0</v>
      </c>
      <c r="L434" s="194">
        <v>0</v>
      </c>
      <c r="M434" s="194">
        <v>0</v>
      </c>
      <c r="N434" s="194">
        <v>0</v>
      </c>
      <c r="O434" s="193">
        <f t="shared" si="89"/>
        <v>0</v>
      </c>
      <c r="P434" s="194">
        <v>0</v>
      </c>
      <c r="Q434" s="194">
        <v>0</v>
      </c>
      <c r="R434" s="194">
        <v>0</v>
      </c>
      <c r="S434" s="193">
        <f t="shared" si="90"/>
        <v>0</v>
      </c>
      <c r="T434" s="193">
        <f t="shared" si="91"/>
        <v>0</v>
      </c>
      <c r="U434" s="193">
        <f ca="1">OFFSET('Expenditure Study'!$B$7,'Operations Support'!$C434,'Operations Support'!$B434)*$G434</f>
        <v>0</v>
      </c>
      <c r="V434" s="199">
        <f ca="1">U434*'Expenditure Study'!$B$31</f>
        <v>0</v>
      </c>
      <c r="W434" s="199">
        <f ca="1">IF(A434=10298,1.51,1)*IF($B434&lt;3,$D434*'Expenditure Study'!$B$32*OFFSET('Expenditure Study'!$B$7,'Operations Support'!$C434,'Operations Support'!$B434),0)</f>
        <v>0</v>
      </c>
      <c r="X434" s="200">
        <f ca="1">W434*'Expenditure Study'!$B$31</f>
        <v>0</v>
      </c>
      <c r="Y434" s="199">
        <f ca="1">U434*'Expenditure Study'!$B$31</f>
        <v>0</v>
      </c>
      <c r="Z434" s="200">
        <f ca="1">W434*'Expenditure Study'!$B$31</f>
        <v>0</v>
      </c>
      <c r="AA434" s="195">
        <f t="shared" ca="1" si="92"/>
        <v>0</v>
      </c>
      <c r="AB434" s="195">
        <f t="shared" ca="1" si="93"/>
        <v>0</v>
      </c>
      <c r="AD434" s="196">
        <f>IFERROR($G434/SUMIF($A:$A,$A434,$G:$G)*SUMIF(Summary!$A$166:$A$242,$A434,Summary!$P$166:$P$242),0)</f>
        <v>0</v>
      </c>
      <c r="AE434" s="197">
        <f t="shared" ca="1" si="94"/>
        <v>0</v>
      </c>
      <c r="AF434" s="196">
        <f>IFERROR(G434/SUMIF(A:A,A434,G:G)*SUMIF(Summary!$A$166:$A$242,'Operations Support'!A434,Summary!$Q$166:$Q$242),0)</f>
        <v>0</v>
      </c>
      <c r="AG434" s="196">
        <f t="shared" ca="1" si="95"/>
        <v>0</v>
      </c>
      <c r="AI434" s="196">
        <f>IFERROR($G434/SUMIF($A:$A,$A434,$G:$G)*SUMIF(Summary!$A$247:$A$283,$A434,Summary!$P$247:$P$283),0)</f>
        <v>0</v>
      </c>
      <c r="AJ434" s="196">
        <f>IFERROR($G434/SUMIF($A:$A,$A434,$G:$G)*(SUMIF(Summary!$A$247:$A$283,$A434,Summary!$L$247:$L$283)+SUMIF(Summary!$A$297:$A$333,$A434,Summary!$L$297:$L$333))-AI434,0)</f>
        <v>0</v>
      </c>
      <c r="AK434" s="196">
        <f>IFERROR($G434/SUMIF($A:$A,$A434,$G:$G)*SUMIF(Summary!$A$247:$A$283,$A434,Summary!$Q$247:$Q$283),0)</f>
        <v>0</v>
      </c>
      <c r="AL434" s="196">
        <f>IFERROR($G434/SUMIF($A:$A,$A434,$G:$G)*(SUMIF(Summary!$A$247:$A$283,$A434,Summary!$L$247:$L$283)+SUMIF(Summary!$A$297:$A$333,$A434,Summary!$L$297:$L$333))-AK434,0)</f>
        <v>0</v>
      </c>
      <c r="AM434" s="198"/>
      <c r="AN434" s="196">
        <f t="shared" ca="1" si="96"/>
        <v>0</v>
      </c>
      <c r="AO434" s="196">
        <f t="shared" ca="1" si="97"/>
        <v>0</v>
      </c>
    </row>
    <row r="435" spans="1:41">
      <c r="A435" s="189">
        <v>3592</v>
      </c>
      <c r="B435" s="190">
        <v>1</v>
      </c>
      <c r="C435" s="191" t="s">
        <v>230</v>
      </c>
      <c r="D435" s="192">
        <f t="shared" si="84"/>
        <v>0</v>
      </c>
      <c r="E435" s="192">
        <f t="shared" si="85"/>
        <v>0</v>
      </c>
      <c r="F435" s="192">
        <f t="shared" si="86"/>
        <v>0</v>
      </c>
      <c r="G435" s="193">
        <f t="shared" si="87"/>
        <v>0</v>
      </c>
      <c r="H435" s="194">
        <v>0</v>
      </c>
      <c r="I435" s="194">
        <v>0</v>
      </c>
      <c r="J435" s="194">
        <v>0</v>
      </c>
      <c r="K435" s="193">
        <f t="shared" si="88"/>
        <v>0</v>
      </c>
      <c r="L435" s="194">
        <v>0</v>
      </c>
      <c r="M435" s="194">
        <v>0</v>
      </c>
      <c r="N435" s="194">
        <v>0</v>
      </c>
      <c r="O435" s="193">
        <f t="shared" si="89"/>
        <v>0</v>
      </c>
      <c r="P435" s="194">
        <v>0</v>
      </c>
      <c r="Q435" s="194">
        <v>0</v>
      </c>
      <c r="R435" s="194">
        <v>0</v>
      </c>
      <c r="S435" s="193">
        <f t="shared" si="90"/>
        <v>0</v>
      </c>
      <c r="T435" s="193">
        <f t="shared" si="91"/>
        <v>0</v>
      </c>
      <c r="U435" s="193">
        <f ca="1">OFFSET('Expenditure Study'!$B$7,'Operations Support'!$C435,'Operations Support'!$B435)*$G435</f>
        <v>0</v>
      </c>
      <c r="V435" s="199">
        <f ca="1">U435*'Expenditure Study'!$B$31</f>
        <v>0</v>
      </c>
      <c r="W435" s="199">
        <f ca="1">IF(A435=10298,1.51,1)*IF($B435&lt;3,$D435*'Expenditure Study'!$B$32*OFFSET('Expenditure Study'!$B$7,'Operations Support'!$C435,'Operations Support'!$B435),0)</f>
        <v>0</v>
      </c>
      <c r="X435" s="200">
        <f ca="1">W435*'Expenditure Study'!$B$31</f>
        <v>0</v>
      </c>
      <c r="Y435" s="199">
        <f ca="1">U435*'Expenditure Study'!$B$31</f>
        <v>0</v>
      </c>
      <c r="Z435" s="200">
        <f ca="1">W435*'Expenditure Study'!$B$31</f>
        <v>0</v>
      </c>
      <c r="AA435" s="195">
        <f t="shared" ca="1" si="92"/>
        <v>0</v>
      </c>
      <c r="AB435" s="195">
        <f t="shared" ca="1" si="93"/>
        <v>0</v>
      </c>
      <c r="AD435" s="196">
        <f>IFERROR($G435/SUMIF($A:$A,$A435,$G:$G)*SUMIF(Summary!$A$166:$A$242,$A435,Summary!$P$166:$P$242),0)</f>
        <v>0</v>
      </c>
      <c r="AE435" s="197">
        <f t="shared" ca="1" si="94"/>
        <v>0</v>
      </c>
      <c r="AF435" s="196">
        <f>IFERROR(G435/SUMIF(A:A,A435,G:G)*SUMIF(Summary!$A$166:$A$242,'Operations Support'!A435,Summary!$Q$166:$Q$242),0)</f>
        <v>0</v>
      </c>
      <c r="AG435" s="196">
        <f t="shared" ca="1" si="95"/>
        <v>0</v>
      </c>
      <c r="AI435" s="196">
        <f>IFERROR($G435/SUMIF($A:$A,$A435,$G:$G)*SUMIF(Summary!$A$247:$A$283,$A435,Summary!$P$247:$P$283),0)</f>
        <v>0</v>
      </c>
      <c r="AJ435" s="196">
        <f>IFERROR($G435/SUMIF($A:$A,$A435,$G:$G)*(SUMIF(Summary!$A$247:$A$283,$A435,Summary!$L$247:$L$283)+SUMIF(Summary!$A$297:$A$333,$A435,Summary!$L$297:$L$333))-AI435,0)</f>
        <v>0</v>
      </c>
      <c r="AK435" s="196">
        <f>IFERROR($G435/SUMIF($A:$A,$A435,$G:$G)*SUMIF(Summary!$A$247:$A$283,$A435,Summary!$Q$247:$Q$283),0)</f>
        <v>0</v>
      </c>
      <c r="AL435" s="196">
        <f>IFERROR($G435/SUMIF($A:$A,$A435,$G:$G)*(SUMIF(Summary!$A$247:$A$283,$A435,Summary!$L$247:$L$283)+SUMIF(Summary!$A$297:$A$333,$A435,Summary!$L$297:$L$333))-AK435,0)</f>
        <v>0</v>
      </c>
      <c r="AM435" s="198"/>
      <c r="AN435" s="196">
        <f t="shared" ca="1" si="96"/>
        <v>0</v>
      </c>
      <c r="AO435" s="196">
        <f t="shared" ca="1" si="97"/>
        <v>0</v>
      </c>
    </row>
    <row r="436" spans="1:41">
      <c r="A436" s="189">
        <v>3592</v>
      </c>
      <c r="B436" s="190">
        <v>1</v>
      </c>
      <c r="C436" s="191" t="s">
        <v>231</v>
      </c>
      <c r="D436" s="192">
        <f t="shared" si="84"/>
        <v>0</v>
      </c>
      <c r="E436" s="192">
        <f t="shared" si="85"/>
        <v>132</v>
      </c>
      <c r="F436" s="192">
        <f t="shared" si="86"/>
        <v>0</v>
      </c>
      <c r="G436" s="193">
        <f t="shared" si="87"/>
        <v>132</v>
      </c>
      <c r="H436" s="194">
        <v>0</v>
      </c>
      <c r="I436" s="194">
        <v>54</v>
      </c>
      <c r="J436" s="194">
        <v>0</v>
      </c>
      <c r="K436" s="193">
        <f t="shared" si="88"/>
        <v>54</v>
      </c>
      <c r="L436" s="194">
        <v>0</v>
      </c>
      <c r="M436" s="194">
        <v>78</v>
      </c>
      <c r="N436" s="194">
        <v>0</v>
      </c>
      <c r="O436" s="193">
        <f t="shared" si="89"/>
        <v>78</v>
      </c>
      <c r="P436" s="194">
        <v>0</v>
      </c>
      <c r="Q436" s="194">
        <v>0</v>
      </c>
      <c r="R436" s="194">
        <v>0</v>
      </c>
      <c r="S436" s="193">
        <f t="shared" si="90"/>
        <v>0</v>
      </c>
      <c r="T436" s="193">
        <f t="shared" si="91"/>
        <v>4.4000000000000004</v>
      </c>
      <c r="U436" s="193">
        <f ca="1">OFFSET('Expenditure Study'!$B$7,'Operations Support'!$C436,'Operations Support'!$B436)*$G436</f>
        <v>200.64000000000001</v>
      </c>
      <c r="V436" s="199">
        <f ca="1">U436*'Expenditure Study'!$B$31</f>
        <v>11854.449395712001</v>
      </c>
      <c r="W436" s="199">
        <f ca="1">IF(A436=10298,1.51,1)*IF($B436&lt;3,$D436*'Expenditure Study'!$B$32*OFFSET('Expenditure Study'!$B$7,'Operations Support'!$C436,'Operations Support'!$B436),0)</f>
        <v>0</v>
      </c>
      <c r="X436" s="200">
        <f ca="1">W436*'Expenditure Study'!$B$31</f>
        <v>0</v>
      </c>
      <c r="Y436" s="199">
        <f ca="1">U436*'Expenditure Study'!$B$31</f>
        <v>11854.449395712001</v>
      </c>
      <c r="Z436" s="200">
        <f ca="1">W436*'Expenditure Study'!$B$31</f>
        <v>0</v>
      </c>
      <c r="AA436" s="195">
        <f t="shared" ca="1" si="92"/>
        <v>11854.449395712001</v>
      </c>
      <c r="AB436" s="195">
        <f t="shared" ca="1" si="93"/>
        <v>11854.449395712001</v>
      </c>
      <c r="AD436" s="196">
        <f>IFERROR($G436/SUMIF($A:$A,$A436,$G:$G)*SUMIF(Summary!$A$166:$A$242,$A436,Summary!$P$166:$P$242),0)</f>
        <v>2983.5252645145974</v>
      </c>
      <c r="AE436" s="197">
        <f t="shared" ca="1" si="94"/>
        <v>8870.9241311974038</v>
      </c>
      <c r="AF436" s="196">
        <f>IFERROR(G436/SUMIF(A:A,A436,G:G)*SUMIF(Summary!$A$166:$A$242,'Operations Support'!A436,Summary!$Q$166:$Q$242),0)</f>
        <v>2988.5790271553487</v>
      </c>
      <c r="AG436" s="196">
        <f t="shared" ca="1" si="95"/>
        <v>8865.8703685566525</v>
      </c>
      <c r="AI436" s="196">
        <f>IFERROR($G436/SUMIF($A:$A,$A436,$G:$G)*SUMIF(Summary!$A$247:$A$283,$A436,Summary!$P$247:$P$283),0)</f>
        <v>544.12055520441265</v>
      </c>
      <c r="AJ436" s="196">
        <f>IFERROR($G436/SUMIF($A:$A,$A436,$G:$G)*(SUMIF(Summary!$A$247:$A$283,$A436,Summary!$L$247:$L$283)+SUMIF(Summary!$A$297:$A$333,$A436,Summary!$L$297:$L$333))-AI436,0)</f>
        <v>3660.4883874743668</v>
      </c>
      <c r="AK436" s="196">
        <f>IFERROR($G436/SUMIF($A:$A,$A436,$G:$G)*SUMIF(Summary!$A$247:$A$283,$A436,Summary!$Q$247:$Q$283),0)</f>
        <v>545.04223539484462</v>
      </c>
      <c r="AL436" s="196">
        <f>IFERROR($G436/SUMIF($A:$A,$A436,$G:$G)*(SUMIF(Summary!$A$247:$A$283,$A436,Summary!$L$247:$L$283)+SUMIF(Summary!$A$297:$A$333,$A436,Summary!$L$297:$L$333))-AK436,0)</f>
        <v>3659.5667072839346</v>
      </c>
      <c r="AM436" s="198"/>
      <c r="AN436" s="196">
        <f t="shared" ca="1" si="96"/>
        <v>12531.41251867177</v>
      </c>
      <c r="AO436" s="196">
        <f t="shared" ca="1" si="97"/>
        <v>12525.437075840588</v>
      </c>
    </row>
    <row r="437" spans="1:41">
      <c r="A437" s="189">
        <v>3592</v>
      </c>
      <c r="B437" s="190">
        <v>1</v>
      </c>
      <c r="C437" s="191" t="s">
        <v>232</v>
      </c>
      <c r="D437" s="192">
        <f t="shared" si="84"/>
        <v>0</v>
      </c>
      <c r="E437" s="192">
        <f t="shared" si="85"/>
        <v>0</v>
      </c>
      <c r="F437" s="192">
        <f t="shared" si="86"/>
        <v>0</v>
      </c>
      <c r="G437" s="193">
        <f t="shared" si="87"/>
        <v>0</v>
      </c>
      <c r="H437" s="194">
        <v>0</v>
      </c>
      <c r="I437" s="194">
        <v>0</v>
      </c>
      <c r="J437" s="194">
        <v>0</v>
      </c>
      <c r="K437" s="193">
        <f t="shared" si="88"/>
        <v>0</v>
      </c>
      <c r="L437" s="194">
        <v>0</v>
      </c>
      <c r="M437" s="194">
        <v>0</v>
      </c>
      <c r="N437" s="194">
        <v>0</v>
      </c>
      <c r="O437" s="193">
        <f t="shared" si="89"/>
        <v>0</v>
      </c>
      <c r="P437" s="194">
        <v>0</v>
      </c>
      <c r="Q437" s="194">
        <v>0</v>
      </c>
      <c r="R437" s="194">
        <v>0</v>
      </c>
      <c r="S437" s="193">
        <f t="shared" si="90"/>
        <v>0</v>
      </c>
      <c r="T437" s="193">
        <f t="shared" si="91"/>
        <v>0</v>
      </c>
      <c r="U437" s="193">
        <f ca="1">OFFSET('Expenditure Study'!$B$7,'Operations Support'!$C437,'Operations Support'!$B437)*$G437</f>
        <v>0</v>
      </c>
      <c r="V437" s="199">
        <f ca="1">U437*'Expenditure Study'!$B$31</f>
        <v>0</v>
      </c>
      <c r="W437" s="199">
        <f ca="1">IF(A437=10298,1.51,1)*IF($B437&lt;3,$D437*'Expenditure Study'!$B$32*OFFSET('Expenditure Study'!$B$7,'Operations Support'!$C437,'Operations Support'!$B437),0)</f>
        <v>0</v>
      </c>
      <c r="X437" s="200">
        <f ca="1">W437*'Expenditure Study'!$B$31</f>
        <v>0</v>
      </c>
      <c r="Y437" s="199">
        <f ca="1">U437*'Expenditure Study'!$B$31</f>
        <v>0</v>
      </c>
      <c r="Z437" s="200">
        <f ca="1">W437*'Expenditure Study'!$B$31</f>
        <v>0</v>
      </c>
      <c r="AA437" s="195">
        <f t="shared" ca="1" si="92"/>
        <v>0</v>
      </c>
      <c r="AB437" s="195">
        <f t="shared" ca="1" si="93"/>
        <v>0</v>
      </c>
      <c r="AD437" s="196">
        <f>IFERROR($G437/SUMIF($A:$A,$A437,$G:$G)*SUMIF(Summary!$A$166:$A$242,$A437,Summary!$P$166:$P$242),0)</f>
        <v>0</v>
      </c>
      <c r="AE437" s="197">
        <f t="shared" ca="1" si="94"/>
        <v>0</v>
      </c>
      <c r="AF437" s="196">
        <f>IFERROR(G437/SUMIF(A:A,A437,G:G)*SUMIF(Summary!$A$166:$A$242,'Operations Support'!A437,Summary!$Q$166:$Q$242),0)</f>
        <v>0</v>
      </c>
      <c r="AG437" s="196">
        <f t="shared" ca="1" si="95"/>
        <v>0</v>
      </c>
      <c r="AI437" s="196">
        <f>IFERROR($G437/SUMIF($A:$A,$A437,$G:$G)*SUMIF(Summary!$A$247:$A$283,$A437,Summary!$P$247:$P$283),0)</f>
        <v>0</v>
      </c>
      <c r="AJ437" s="196">
        <f>IFERROR($G437/SUMIF($A:$A,$A437,$G:$G)*(SUMIF(Summary!$A$247:$A$283,$A437,Summary!$L$247:$L$283)+SUMIF(Summary!$A$297:$A$333,$A437,Summary!$L$297:$L$333))-AI437,0)</f>
        <v>0</v>
      </c>
      <c r="AK437" s="196">
        <f>IFERROR($G437/SUMIF($A:$A,$A437,$G:$G)*SUMIF(Summary!$A$247:$A$283,$A437,Summary!$Q$247:$Q$283),0)</f>
        <v>0</v>
      </c>
      <c r="AL437" s="196">
        <f>IFERROR($G437/SUMIF($A:$A,$A437,$G:$G)*(SUMIF(Summary!$A$247:$A$283,$A437,Summary!$L$247:$L$283)+SUMIF(Summary!$A$297:$A$333,$A437,Summary!$L$297:$L$333))-AK437,0)</f>
        <v>0</v>
      </c>
      <c r="AM437" s="198"/>
      <c r="AN437" s="196">
        <f t="shared" ca="1" si="96"/>
        <v>0</v>
      </c>
      <c r="AO437" s="196">
        <f t="shared" ca="1" si="97"/>
        <v>0</v>
      </c>
    </row>
    <row r="438" spans="1:41">
      <c r="A438" s="189">
        <v>3592</v>
      </c>
      <c r="B438" s="190">
        <v>1</v>
      </c>
      <c r="C438" s="191" t="s">
        <v>233</v>
      </c>
      <c r="D438" s="192">
        <f t="shared" si="84"/>
        <v>1407</v>
      </c>
      <c r="E438" s="192">
        <f t="shared" si="85"/>
        <v>1590</v>
      </c>
      <c r="F438" s="192">
        <f t="shared" si="86"/>
        <v>0</v>
      </c>
      <c r="G438" s="193">
        <f t="shared" si="87"/>
        <v>2997</v>
      </c>
      <c r="H438" s="194">
        <v>744</v>
      </c>
      <c r="I438" s="194">
        <v>726</v>
      </c>
      <c r="J438" s="194">
        <v>0</v>
      </c>
      <c r="K438" s="193">
        <f t="shared" si="88"/>
        <v>1470</v>
      </c>
      <c r="L438" s="194">
        <v>453</v>
      </c>
      <c r="M438" s="194">
        <v>639</v>
      </c>
      <c r="N438" s="194">
        <v>0</v>
      </c>
      <c r="O438" s="193">
        <f t="shared" si="89"/>
        <v>1092</v>
      </c>
      <c r="P438" s="194">
        <v>210</v>
      </c>
      <c r="Q438" s="194">
        <v>225</v>
      </c>
      <c r="R438" s="194">
        <v>0</v>
      </c>
      <c r="S438" s="193">
        <f t="shared" si="90"/>
        <v>435</v>
      </c>
      <c r="T438" s="193">
        <f t="shared" si="91"/>
        <v>99.9</v>
      </c>
      <c r="U438" s="193">
        <f ca="1">OFFSET('Expenditure Study'!$B$7,'Operations Support'!$C438,'Operations Support'!$B438)*$G438</f>
        <v>2877.12</v>
      </c>
      <c r="V438" s="199">
        <f ca="1">U438*'Expenditure Study'!$B$31</f>
        <v>169989.40114329601</v>
      </c>
      <c r="W438" s="199">
        <f ca="1">IF(A438=10298,1.51,1)*IF($B438&lt;3,$D438*'Expenditure Study'!$B$32*OFFSET('Expenditure Study'!$B$7,'Operations Support'!$C438,'Operations Support'!$B438),0)</f>
        <v>135.072</v>
      </c>
      <c r="X438" s="200">
        <f ca="1">W438*'Expenditure Study'!$B$31</f>
        <v>7980.4833970176005</v>
      </c>
      <c r="Y438" s="199">
        <f ca="1">U438*'Expenditure Study'!$B$31</f>
        <v>169989.40114329601</v>
      </c>
      <c r="Z438" s="200">
        <f ca="1">W438*'Expenditure Study'!$B$31</f>
        <v>7980.4833970176005</v>
      </c>
      <c r="AA438" s="195">
        <f t="shared" ca="1" si="92"/>
        <v>177969.88454031362</v>
      </c>
      <c r="AB438" s="195">
        <f t="shared" ca="1" si="93"/>
        <v>177969.88454031362</v>
      </c>
      <c r="AD438" s="196">
        <f>IFERROR($G438/SUMIF($A:$A,$A438,$G:$G)*SUMIF(Summary!$A$166:$A$242,$A438,Summary!$P$166:$P$242),0)</f>
        <v>67739.584982956425</v>
      </c>
      <c r="AE438" s="197">
        <f t="shared" ca="1" si="94"/>
        <v>110230.2995573572</v>
      </c>
      <c r="AF438" s="196">
        <f>IFERROR(G438/SUMIF(A:A,A438,G:G)*SUMIF(Summary!$A$166:$A$242,'Operations Support'!A438,Summary!$Q$166:$Q$242),0)</f>
        <v>67854.328366549846</v>
      </c>
      <c r="AG438" s="196">
        <f t="shared" ca="1" si="95"/>
        <v>110115.55617376378</v>
      </c>
      <c r="AI438" s="196">
        <f>IFERROR($G438/SUMIF($A:$A,$A438,$G:$G)*SUMIF(Summary!$A$247:$A$283,$A438,Summary!$P$247:$P$283),0)</f>
        <v>12354.009878391096</v>
      </c>
      <c r="AJ438" s="196">
        <f>IFERROR($G438/SUMIF($A:$A,$A438,$G:$G)*(SUMIF(Summary!$A$247:$A$283,$A438,Summary!$L$247:$L$283)+SUMIF(Summary!$A$297:$A$333,$A438,Summary!$L$297:$L$333))-AI438,0)</f>
        <v>83109.724979247549</v>
      </c>
      <c r="AK438" s="196">
        <f>IFERROR($G438/SUMIF($A:$A,$A438,$G:$G)*SUMIF(Summary!$A$247:$A$283,$A438,Summary!$Q$247:$Q$283),0)</f>
        <v>12374.936208169314</v>
      </c>
      <c r="AL438" s="196">
        <f>IFERROR($G438/SUMIF($A:$A,$A438,$G:$G)*(SUMIF(Summary!$A$247:$A$283,$A438,Summary!$L$247:$L$283)+SUMIF(Summary!$A$297:$A$333,$A438,Summary!$L$297:$L$333))-AK438,0)</f>
        <v>83088.798649469332</v>
      </c>
      <c r="AM438" s="198"/>
      <c r="AN438" s="196">
        <f t="shared" ca="1" si="96"/>
        <v>193340.02453660476</v>
      </c>
      <c r="AO438" s="196">
        <f t="shared" ca="1" si="97"/>
        <v>193204.35482323309</v>
      </c>
    </row>
    <row r="439" spans="1:41">
      <c r="A439" s="189">
        <v>3592</v>
      </c>
      <c r="B439" s="190">
        <v>1</v>
      </c>
      <c r="C439" s="191" t="s">
        <v>234</v>
      </c>
      <c r="D439" s="192">
        <f t="shared" si="84"/>
        <v>0</v>
      </c>
      <c r="E439" s="192">
        <f t="shared" si="85"/>
        <v>0</v>
      </c>
      <c r="F439" s="192">
        <f t="shared" si="86"/>
        <v>0</v>
      </c>
      <c r="G439" s="193">
        <f t="shared" si="87"/>
        <v>0</v>
      </c>
      <c r="H439" s="194">
        <v>0</v>
      </c>
      <c r="I439" s="194">
        <v>0</v>
      </c>
      <c r="J439" s="194">
        <v>0</v>
      </c>
      <c r="K439" s="193">
        <f t="shared" si="88"/>
        <v>0</v>
      </c>
      <c r="L439" s="194">
        <v>0</v>
      </c>
      <c r="M439" s="194">
        <v>0</v>
      </c>
      <c r="N439" s="194">
        <v>0</v>
      </c>
      <c r="O439" s="193">
        <f t="shared" si="89"/>
        <v>0</v>
      </c>
      <c r="P439" s="194">
        <v>0</v>
      </c>
      <c r="Q439" s="194">
        <v>0</v>
      </c>
      <c r="R439" s="194">
        <v>0</v>
      </c>
      <c r="S439" s="193">
        <f t="shared" si="90"/>
        <v>0</v>
      </c>
      <c r="T439" s="193">
        <f t="shared" si="91"/>
        <v>0</v>
      </c>
      <c r="U439" s="193">
        <f ca="1">OFFSET('Expenditure Study'!$B$7,'Operations Support'!$C439,'Operations Support'!$B439)*$G439</f>
        <v>0</v>
      </c>
      <c r="V439" s="199">
        <f ca="1">U439*'Expenditure Study'!$B$31</f>
        <v>0</v>
      </c>
      <c r="W439" s="199">
        <f ca="1">IF(A439=10298,1.51,1)*IF($B439&lt;3,$D439*'Expenditure Study'!$B$32*OFFSET('Expenditure Study'!$B$7,'Operations Support'!$C439,'Operations Support'!$B439),0)</f>
        <v>0</v>
      </c>
      <c r="X439" s="200">
        <f ca="1">W439*'Expenditure Study'!$B$31</f>
        <v>0</v>
      </c>
      <c r="Y439" s="199">
        <f ca="1">U439*'Expenditure Study'!$B$31</f>
        <v>0</v>
      </c>
      <c r="Z439" s="200">
        <f ca="1">W439*'Expenditure Study'!$B$31</f>
        <v>0</v>
      </c>
      <c r="AA439" s="195">
        <f t="shared" ca="1" si="92"/>
        <v>0</v>
      </c>
      <c r="AB439" s="195">
        <f t="shared" ca="1" si="93"/>
        <v>0</v>
      </c>
      <c r="AD439" s="196">
        <f>IFERROR($G439/SUMIF($A:$A,$A439,$G:$G)*SUMIF(Summary!$A$166:$A$242,$A439,Summary!$P$166:$P$242),0)</f>
        <v>0</v>
      </c>
      <c r="AE439" s="197">
        <f t="shared" ca="1" si="94"/>
        <v>0</v>
      </c>
      <c r="AF439" s="196">
        <f>IFERROR(G439/SUMIF(A:A,A439,G:G)*SUMIF(Summary!$A$166:$A$242,'Operations Support'!A439,Summary!$Q$166:$Q$242),0)</f>
        <v>0</v>
      </c>
      <c r="AG439" s="196">
        <f t="shared" ca="1" si="95"/>
        <v>0</v>
      </c>
      <c r="AI439" s="196">
        <f>IFERROR($G439/SUMIF($A:$A,$A439,$G:$G)*SUMIF(Summary!$A$247:$A$283,$A439,Summary!$P$247:$P$283),0)</f>
        <v>0</v>
      </c>
      <c r="AJ439" s="196">
        <f>IFERROR($G439/SUMIF($A:$A,$A439,$G:$G)*(SUMIF(Summary!$A$247:$A$283,$A439,Summary!$L$247:$L$283)+SUMIF(Summary!$A$297:$A$333,$A439,Summary!$L$297:$L$333))-AI439,0)</f>
        <v>0</v>
      </c>
      <c r="AK439" s="196">
        <f>IFERROR($G439/SUMIF($A:$A,$A439,$G:$G)*SUMIF(Summary!$A$247:$A$283,$A439,Summary!$Q$247:$Q$283),0)</f>
        <v>0</v>
      </c>
      <c r="AL439" s="196">
        <f>IFERROR($G439/SUMIF($A:$A,$A439,$G:$G)*(SUMIF(Summary!$A$247:$A$283,$A439,Summary!$L$247:$L$283)+SUMIF(Summary!$A$297:$A$333,$A439,Summary!$L$297:$L$333))-AK439,0)</f>
        <v>0</v>
      </c>
      <c r="AM439" s="198"/>
      <c r="AN439" s="196">
        <f t="shared" ca="1" si="96"/>
        <v>0</v>
      </c>
      <c r="AO439" s="196">
        <f t="shared" ca="1" si="97"/>
        <v>0</v>
      </c>
    </row>
    <row r="440" spans="1:41">
      <c r="A440" s="189">
        <v>3592</v>
      </c>
      <c r="B440" s="190">
        <v>1</v>
      </c>
      <c r="C440" s="191" t="s">
        <v>235</v>
      </c>
      <c r="D440" s="192">
        <f t="shared" si="84"/>
        <v>1431</v>
      </c>
      <c r="E440" s="192">
        <f t="shared" si="85"/>
        <v>1488</v>
      </c>
      <c r="F440" s="192">
        <f t="shared" si="86"/>
        <v>0</v>
      </c>
      <c r="G440" s="193">
        <f t="shared" si="87"/>
        <v>2919</v>
      </c>
      <c r="H440" s="194">
        <v>582</v>
      </c>
      <c r="I440" s="194">
        <v>606</v>
      </c>
      <c r="J440" s="194">
        <v>0</v>
      </c>
      <c r="K440" s="193">
        <f t="shared" si="88"/>
        <v>1188</v>
      </c>
      <c r="L440" s="194">
        <v>699</v>
      </c>
      <c r="M440" s="194">
        <v>879</v>
      </c>
      <c r="N440" s="194">
        <v>0</v>
      </c>
      <c r="O440" s="193">
        <f t="shared" si="89"/>
        <v>1578</v>
      </c>
      <c r="P440" s="194">
        <v>150</v>
      </c>
      <c r="Q440" s="194">
        <v>3</v>
      </c>
      <c r="R440" s="194">
        <v>0</v>
      </c>
      <c r="S440" s="193">
        <f t="shared" si="90"/>
        <v>153</v>
      </c>
      <c r="T440" s="193">
        <f t="shared" si="91"/>
        <v>97.3</v>
      </c>
      <c r="U440" s="193">
        <f ca="1">OFFSET('Expenditure Study'!$B$7,'Operations Support'!$C440,'Operations Support'!$B440)*$G440</f>
        <v>3210.9</v>
      </c>
      <c r="V440" s="199">
        <f ca="1">U440*'Expenditure Study'!$B$31</f>
        <v>189710.18523072</v>
      </c>
      <c r="W440" s="199">
        <f ca="1">IF(A440=10298,1.51,1)*IF($B440&lt;3,$D440*'Expenditure Study'!$B$32*OFFSET('Expenditure Study'!$B$7,'Operations Support'!$C440,'Operations Support'!$B440),0)</f>
        <v>157.41</v>
      </c>
      <c r="X440" s="200">
        <f ca="1">W440*'Expenditure Study'!$B$31</f>
        <v>9300.283489727999</v>
      </c>
      <c r="Y440" s="199">
        <f ca="1">U440*'Expenditure Study'!$B$31</f>
        <v>189710.18523072</v>
      </c>
      <c r="Z440" s="200">
        <f ca="1">W440*'Expenditure Study'!$B$31</f>
        <v>9300.283489727999</v>
      </c>
      <c r="AA440" s="195">
        <f t="shared" ca="1" si="92"/>
        <v>199010.468720448</v>
      </c>
      <c r="AB440" s="195">
        <f t="shared" ca="1" si="93"/>
        <v>199010.468720448</v>
      </c>
      <c r="AD440" s="196">
        <f>IFERROR($G440/SUMIF($A:$A,$A440,$G:$G)*SUMIF(Summary!$A$166:$A$242,$A440,Summary!$P$166:$P$242),0)</f>
        <v>65976.592781197804</v>
      </c>
      <c r="AE440" s="197">
        <f t="shared" ca="1" si="94"/>
        <v>133033.8759392502</v>
      </c>
      <c r="AF440" s="196">
        <f>IFERROR(G440/SUMIF(A:A,A440,G:G)*SUMIF(Summary!$A$166:$A$242,'Operations Support'!A440,Summary!$Q$166:$Q$242),0)</f>
        <v>66088.349850503495</v>
      </c>
      <c r="AG440" s="196">
        <f t="shared" ca="1" si="95"/>
        <v>132922.1188699445</v>
      </c>
      <c r="AI440" s="196">
        <f>IFERROR($G440/SUMIF($A:$A,$A440,$G:$G)*SUMIF(Summary!$A$247:$A$283,$A440,Summary!$P$247:$P$283),0)</f>
        <v>12032.484095770305</v>
      </c>
      <c r="AJ440" s="196">
        <f>IFERROR($G440/SUMIF($A:$A,$A440,$G:$G)*(SUMIF(Summary!$A$247:$A$283,$A440,Summary!$L$247:$L$283)+SUMIF(Summary!$A$297:$A$333,$A440,Summary!$L$297:$L$333))-AI440,0)</f>
        <v>80946.709113921766</v>
      </c>
      <c r="AK440" s="196">
        <f>IFERROR($G440/SUMIF($A:$A,$A440,$G:$G)*SUMIF(Summary!$A$247:$A$283,$A440,Summary!$Q$247:$Q$283),0)</f>
        <v>12052.865796345086</v>
      </c>
      <c r="AL440" s="196">
        <f>IFERROR($G440/SUMIF($A:$A,$A440,$G:$G)*(SUMIF(Summary!$A$247:$A$283,$A440,Summary!$L$247:$L$283)+SUMIF(Summary!$A$297:$A$333,$A440,Summary!$L$297:$L$333))-AK440,0)</f>
        <v>80926.327413346997</v>
      </c>
      <c r="AM440" s="198"/>
      <c r="AN440" s="196">
        <f t="shared" ca="1" si="96"/>
        <v>213980.58505317196</v>
      </c>
      <c r="AO440" s="196">
        <f t="shared" ca="1" si="97"/>
        <v>213848.4462832915</v>
      </c>
    </row>
    <row r="441" spans="1:41">
      <c r="A441" s="189">
        <v>3592</v>
      </c>
      <c r="B441" s="190">
        <v>1</v>
      </c>
      <c r="C441" s="191" t="s">
        <v>236</v>
      </c>
      <c r="D441" s="192">
        <f t="shared" si="84"/>
        <v>0</v>
      </c>
      <c r="E441" s="192">
        <f t="shared" si="85"/>
        <v>0</v>
      </c>
      <c r="F441" s="192">
        <f t="shared" si="86"/>
        <v>0</v>
      </c>
      <c r="G441" s="193">
        <f t="shared" si="87"/>
        <v>0</v>
      </c>
      <c r="H441" s="194">
        <v>0</v>
      </c>
      <c r="I441" s="194">
        <v>0</v>
      </c>
      <c r="J441" s="194">
        <v>0</v>
      </c>
      <c r="K441" s="193">
        <f t="shared" si="88"/>
        <v>0</v>
      </c>
      <c r="L441" s="194">
        <v>0</v>
      </c>
      <c r="M441" s="194">
        <v>0</v>
      </c>
      <c r="N441" s="194">
        <v>0</v>
      </c>
      <c r="O441" s="193">
        <f t="shared" si="89"/>
        <v>0</v>
      </c>
      <c r="P441" s="194">
        <v>0</v>
      </c>
      <c r="Q441" s="194">
        <v>0</v>
      </c>
      <c r="R441" s="194">
        <v>0</v>
      </c>
      <c r="S441" s="193">
        <f t="shared" si="90"/>
        <v>0</v>
      </c>
      <c r="T441" s="193">
        <f t="shared" si="91"/>
        <v>0</v>
      </c>
      <c r="U441" s="193">
        <f ca="1">OFFSET('Expenditure Study'!$B$7,'Operations Support'!$C441,'Operations Support'!$B441)*$G441</f>
        <v>0</v>
      </c>
      <c r="V441" s="199">
        <f ca="1">U441*'Expenditure Study'!$B$31</f>
        <v>0</v>
      </c>
      <c r="W441" s="199">
        <f ca="1">IF(A441=10298,1.51,1)*IF($B441&lt;3,$D441*'Expenditure Study'!$B$32*OFFSET('Expenditure Study'!$B$7,'Operations Support'!$C441,'Operations Support'!$B441),0)</f>
        <v>0</v>
      </c>
      <c r="X441" s="200">
        <f ca="1">W441*'Expenditure Study'!$B$31</f>
        <v>0</v>
      </c>
      <c r="Y441" s="199">
        <f ca="1">U441*'Expenditure Study'!$B$31</f>
        <v>0</v>
      </c>
      <c r="Z441" s="200">
        <f ca="1">W441*'Expenditure Study'!$B$31</f>
        <v>0</v>
      </c>
      <c r="AA441" s="195">
        <f t="shared" ca="1" si="92"/>
        <v>0</v>
      </c>
      <c r="AB441" s="195">
        <f t="shared" ca="1" si="93"/>
        <v>0</v>
      </c>
      <c r="AD441" s="196">
        <f>IFERROR($G441/SUMIF($A:$A,$A441,$G:$G)*SUMIF(Summary!$A$166:$A$242,$A441,Summary!$P$166:$P$242),0)</f>
        <v>0</v>
      </c>
      <c r="AE441" s="197">
        <f t="shared" ca="1" si="94"/>
        <v>0</v>
      </c>
      <c r="AF441" s="196">
        <f>IFERROR(G441/SUMIF(A:A,A441,G:G)*SUMIF(Summary!$A$166:$A$242,'Operations Support'!A441,Summary!$Q$166:$Q$242),0)</f>
        <v>0</v>
      </c>
      <c r="AG441" s="196">
        <f t="shared" ca="1" si="95"/>
        <v>0</v>
      </c>
      <c r="AI441" s="196">
        <f>IFERROR($G441/SUMIF($A:$A,$A441,$G:$G)*SUMIF(Summary!$A$247:$A$283,$A441,Summary!$P$247:$P$283),0)</f>
        <v>0</v>
      </c>
      <c r="AJ441" s="196">
        <f>IFERROR($G441/SUMIF($A:$A,$A441,$G:$G)*(SUMIF(Summary!$A$247:$A$283,$A441,Summary!$L$247:$L$283)+SUMIF(Summary!$A$297:$A$333,$A441,Summary!$L$297:$L$333))-AI441,0)</f>
        <v>0</v>
      </c>
      <c r="AK441" s="196">
        <f>IFERROR($G441/SUMIF($A:$A,$A441,$G:$G)*SUMIF(Summary!$A$247:$A$283,$A441,Summary!$Q$247:$Q$283),0)</f>
        <v>0</v>
      </c>
      <c r="AL441" s="196">
        <f>IFERROR($G441/SUMIF($A:$A,$A441,$G:$G)*(SUMIF(Summary!$A$247:$A$283,$A441,Summary!$L$247:$L$283)+SUMIF(Summary!$A$297:$A$333,$A441,Summary!$L$297:$L$333))-AK441,0)</f>
        <v>0</v>
      </c>
      <c r="AM441" s="198"/>
      <c r="AN441" s="196">
        <f t="shared" ca="1" si="96"/>
        <v>0</v>
      </c>
      <c r="AO441" s="196">
        <f t="shared" ca="1" si="97"/>
        <v>0</v>
      </c>
    </row>
    <row r="442" spans="1:41">
      <c r="A442" s="189">
        <v>3592</v>
      </c>
      <c r="B442" s="190">
        <v>1</v>
      </c>
      <c r="C442" s="191" t="s">
        <v>237</v>
      </c>
      <c r="D442" s="192">
        <f t="shared" si="84"/>
        <v>0</v>
      </c>
      <c r="E442" s="192">
        <f t="shared" si="85"/>
        <v>0</v>
      </c>
      <c r="F442" s="192">
        <f t="shared" si="86"/>
        <v>0</v>
      </c>
      <c r="G442" s="193">
        <f t="shared" si="87"/>
        <v>0</v>
      </c>
      <c r="H442" s="194">
        <v>0</v>
      </c>
      <c r="I442" s="194">
        <v>0</v>
      </c>
      <c r="J442" s="194">
        <v>0</v>
      </c>
      <c r="K442" s="193">
        <f t="shared" si="88"/>
        <v>0</v>
      </c>
      <c r="L442" s="194">
        <v>0</v>
      </c>
      <c r="M442" s="194">
        <v>0</v>
      </c>
      <c r="N442" s="194">
        <v>0</v>
      </c>
      <c r="O442" s="193">
        <f t="shared" si="89"/>
        <v>0</v>
      </c>
      <c r="P442" s="194">
        <v>0</v>
      </c>
      <c r="Q442" s="194">
        <v>0</v>
      </c>
      <c r="R442" s="194">
        <v>0</v>
      </c>
      <c r="S442" s="193">
        <f t="shared" si="90"/>
        <v>0</v>
      </c>
      <c r="T442" s="193">
        <f t="shared" si="91"/>
        <v>0</v>
      </c>
      <c r="U442" s="193">
        <f ca="1">OFFSET('Expenditure Study'!$B$7,'Operations Support'!$C442,'Operations Support'!$B442)*$G442</f>
        <v>0</v>
      </c>
      <c r="V442" s="199">
        <f ca="1">U442*'Expenditure Study'!$B$31</f>
        <v>0</v>
      </c>
      <c r="W442" s="199">
        <f ca="1">IF(A442=10298,1.51,1)*IF($B442&lt;3,$D442*'Expenditure Study'!$B$32*OFFSET('Expenditure Study'!$B$7,'Operations Support'!$C442,'Operations Support'!$B442),0)</f>
        <v>0</v>
      </c>
      <c r="X442" s="200">
        <f ca="1">W442*'Expenditure Study'!$B$31</f>
        <v>0</v>
      </c>
      <c r="Y442" s="199">
        <f ca="1">U442*'Expenditure Study'!$B$31</f>
        <v>0</v>
      </c>
      <c r="Z442" s="200">
        <f ca="1">W442*'Expenditure Study'!$B$31</f>
        <v>0</v>
      </c>
      <c r="AA442" s="195">
        <f t="shared" ca="1" si="92"/>
        <v>0</v>
      </c>
      <c r="AB442" s="195">
        <f t="shared" ca="1" si="93"/>
        <v>0</v>
      </c>
      <c r="AD442" s="196">
        <f>IFERROR($G442/SUMIF($A:$A,$A442,$G:$G)*SUMIF(Summary!$A$166:$A$242,$A442,Summary!$P$166:$P$242),0)</f>
        <v>0</v>
      </c>
      <c r="AE442" s="197">
        <f t="shared" ca="1" si="94"/>
        <v>0</v>
      </c>
      <c r="AF442" s="196">
        <f>IFERROR(G442/SUMIF(A:A,A442,G:G)*SUMIF(Summary!$A$166:$A$242,'Operations Support'!A442,Summary!$Q$166:$Q$242),0)</f>
        <v>0</v>
      </c>
      <c r="AG442" s="196">
        <f t="shared" ca="1" si="95"/>
        <v>0</v>
      </c>
      <c r="AI442" s="196">
        <f>IFERROR($G442/SUMIF($A:$A,$A442,$G:$G)*SUMIF(Summary!$A$247:$A$283,$A442,Summary!$P$247:$P$283),0)</f>
        <v>0</v>
      </c>
      <c r="AJ442" s="196">
        <f>IFERROR($G442/SUMIF($A:$A,$A442,$G:$G)*(SUMIF(Summary!$A$247:$A$283,$A442,Summary!$L$247:$L$283)+SUMIF(Summary!$A$297:$A$333,$A442,Summary!$L$297:$L$333))-AI442,0)</f>
        <v>0</v>
      </c>
      <c r="AK442" s="196">
        <f>IFERROR($G442/SUMIF($A:$A,$A442,$G:$G)*SUMIF(Summary!$A$247:$A$283,$A442,Summary!$Q$247:$Q$283),0)</f>
        <v>0</v>
      </c>
      <c r="AL442" s="196">
        <f>IFERROR($G442/SUMIF($A:$A,$A442,$G:$G)*(SUMIF(Summary!$A$247:$A$283,$A442,Summary!$L$247:$L$283)+SUMIF(Summary!$A$297:$A$333,$A442,Summary!$L$297:$L$333))-AK442,0)</f>
        <v>0</v>
      </c>
      <c r="AM442" s="198"/>
      <c r="AN442" s="196">
        <f t="shared" ca="1" si="96"/>
        <v>0</v>
      </c>
      <c r="AO442" s="196">
        <f t="shared" ca="1" si="97"/>
        <v>0</v>
      </c>
    </row>
    <row r="443" spans="1:41">
      <c r="A443" s="189">
        <v>3592</v>
      </c>
      <c r="B443" s="190">
        <v>1</v>
      </c>
      <c r="C443" s="191" t="s">
        <v>238</v>
      </c>
      <c r="D443" s="192">
        <f t="shared" si="84"/>
        <v>337</v>
      </c>
      <c r="E443" s="192">
        <f t="shared" si="85"/>
        <v>30</v>
      </c>
      <c r="F443" s="192">
        <f t="shared" si="86"/>
        <v>0</v>
      </c>
      <c r="G443" s="193">
        <f t="shared" si="87"/>
        <v>367</v>
      </c>
      <c r="H443" s="194">
        <v>122</v>
      </c>
      <c r="I443" s="194">
        <v>24</v>
      </c>
      <c r="J443" s="194">
        <v>0</v>
      </c>
      <c r="K443" s="193">
        <f t="shared" si="88"/>
        <v>146</v>
      </c>
      <c r="L443" s="194">
        <v>212</v>
      </c>
      <c r="M443" s="194">
        <v>3</v>
      </c>
      <c r="N443" s="194">
        <v>0</v>
      </c>
      <c r="O443" s="193">
        <f t="shared" si="89"/>
        <v>215</v>
      </c>
      <c r="P443" s="194">
        <v>3</v>
      </c>
      <c r="Q443" s="194">
        <v>3</v>
      </c>
      <c r="R443" s="194">
        <v>0</v>
      </c>
      <c r="S443" s="193">
        <f t="shared" si="90"/>
        <v>6</v>
      </c>
      <c r="T443" s="193">
        <f t="shared" si="91"/>
        <v>12.233333333333333</v>
      </c>
      <c r="U443" s="193">
        <f ca="1">OFFSET('Expenditure Study'!$B$7,'Operations Support'!$C443,'Operations Support'!$B443)*$G443</f>
        <v>653.26</v>
      </c>
      <c r="V443" s="199">
        <f ca="1">U443*'Expenditure Study'!$B$31</f>
        <v>38596.678689408</v>
      </c>
      <c r="W443" s="199">
        <f ca="1">IF(A443=10298,1.51,1)*IF($B443&lt;3,$D443*'Expenditure Study'!$B$32*OFFSET('Expenditure Study'!$B$7,'Operations Support'!$C443,'Operations Support'!$B443),0)</f>
        <v>59.986000000000004</v>
      </c>
      <c r="X443" s="200">
        <f ca="1">W443*'Expenditure Study'!$B$31</f>
        <v>3544.1636834688002</v>
      </c>
      <c r="Y443" s="199">
        <f ca="1">U443*'Expenditure Study'!$B$31</f>
        <v>38596.678689408</v>
      </c>
      <c r="Z443" s="200">
        <f ca="1">W443*'Expenditure Study'!$B$31</f>
        <v>3544.1636834688002</v>
      </c>
      <c r="AA443" s="195">
        <f t="shared" ca="1" si="92"/>
        <v>42140.842372876803</v>
      </c>
      <c r="AB443" s="195">
        <f t="shared" ca="1" si="93"/>
        <v>42140.842372876803</v>
      </c>
      <c r="AD443" s="196">
        <f>IFERROR($G443/SUMIF($A:$A,$A443,$G:$G)*SUMIF(Summary!$A$166:$A$242,$A443,Summary!$P$166:$P$242),0)</f>
        <v>8295.1043339155858</v>
      </c>
      <c r="AE443" s="197">
        <f t="shared" ca="1" si="94"/>
        <v>33845.738038961215</v>
      </c>
      <c r="AF443" s="196">
        <f>IFERROR(G443/SUMIF(A:A,A443,G:G)*SUMIF(Summary!$A$166:$A$242,'Operations Support'!A443,Summary!$Q$166:$Q$242),0)</f>
        <v>8309.1553255000981</v>
      </c>
      <c r="AG443" s="196">
        <f t="shared" ca="1" si="95"/>
        <v>33831.687047376705</v>
      </c>
      <c r="AI443" s="196">
        <f>IFERROR($G443/SUMIF($A:$A,$A443,$G:$G)*SUMIF(Summary!$A$247:$A$283,$A443,Summary!$P$247:$P$283),0)</f>
        <v>1512.8200284849956</v>
      </c>
      <c r="AJ443" s="196">
        <f>IFERROR($G443/SUMIF($A:$A,$A443,$G:$G)*(SUMIF(Summary!$A$247:$A$283,$A443,Summary!$L$247:$L$283)+SUMIF(Summary!$A$297:$A$333,$A443,Summary!$L$297:$L$333))-AI443,0)</f>
        <v>10177.266956084033</v>
      </c>
      <c r="AK443" s="196">
        <f>IFERROR($G443/SUMIF($A:$A,$A443,$G:$G)*SUMIF(Summary!$A$247:$A$283,$A443,Summary!$Q$247:$Q$283),0)</f>
        <v>1515.382578711424</v>
      </c>
      <c r="AL443" s="196">
        <f>IFERROR($G443/SUMIF($A:$A,$A443,$G:$G)*(SUMIF(Summary!$A$247:$A$283,$A443,Summary!$L$247:$L$283)+SUMIF(Summary!$A$297:$A$333,$A443,Summary!$L$297:$L$333))-AK443,0)</f>
        <v>10174.704405857605</v>
      </c>
      <c r="AM443" s="198"/>
      <c r="AN443" s="196">
        <f t="shared" ca="1" si="96"/>
        <v>44023.004995045252</v>
      </c>
      <c r="AO443" s="196">
        <f t="shared" ca="1" si="97"/>
        <v>44006.391453234311</v>
      </c>
    </row>
    <row r="444" spans="1:41">
      <c r="A444" s="189">
        <v>3592</v>
      </c>
      <c r="B444" s="190">
        <v>1</v>
      </c>
      <c r="C444" s="191" t="s">
        <v>239</v>
      </c>
      <c r="D444" s="192">
        <f t="shared" si="84"/>
        <v>7.5</v>
      </c>
      <c r="E444" s="192">
        <f t="shared" si="85"/>
        <v>473.5</v>
      </c>
      <c r="F444" s="192">
        <f t="shared" si="86"/>
        <v>0</v>
      </c>
      <c r="G444" s="193">
        <f t="shared" si="87"/>
        <v>481</v>
      </c>
      <c r="H444" s="194">
        <v>7.5</v>
      </c>
      <c r="I444" s="194">
        <v>164.5</v>
      </c>
      <c r="J444" s="194">
        <v>0</v>
      </c>
      <c r="K444" s="193">
        <f t="shared" si="88"/>
        <v>172</v>
      </c>
      <c r="L444" s="194">
        <v>0</v>
      </c>
      <c r="M444" s="194">
        <v>263</v>
      </c>
      <c r="N444" s="194">
        <v>0</v>
      </c>
      <c r="O444" s="193">
        <f t="shared" si="89"/>
        <v>263</v>
      </c>
      <c r="P444" s="194">
        <v>0</v>
      </c>
      <c r="Q444" s="194">
        <v>46</v>
      </c>
      <c r="R444" s="194">
        <v>0</v>
      </c>
      <c r="S444" s="193">
        <f t="shared" si="90"/>
        <v>46</v>
      </c>
      <c r="T444" s="193">
        <f t="shared" si="91"/>
        <v>16.033333333333335</v>
      </c>
      <c r="U444" s="193">
        <f ca="1">OFFSET('Expenditure Study'!$B$7,'Operations Support'!$C444,'Operations Support'!$B444)*$G444</f>
        <v>745.55000000000007</v>
      </c>
      <c r="V444" s="199">
        <f ca="1">U444*'Expenditure Study'!$B$31</f>
        <v>44049.465445440008</v>
      </c>
      <c r="W444" s="199">
        <f ca="1">IF(A444=10298,1.51,1)*IF($B444&lt;3,$D444*'Expenditure Study'!$B$32*OFFSET('Expenditure Study'!$B$7,'Operations Support'!$C444,'Operations Support'!$B444),0)</f>
        <v>1.1625000000000001</v>
      </c>
      <c r="X444" s="200">
        <f ca="1">W444*'Expenditure Study'!$B$31</f>
        <v>68.684197680000011</v>
      </c>
      <c r="Y444" s="199">
        <f ca="1">U444*'Expenditure Study'!$B$31</f>
        <v>44049.465445440008</v>
      </c>
      <c r="Z444" s="200">
        <f ca="1">W444*'Expenditure Study'!$B$31</f>
        <v>68.684197680000011</v>
      </c>
      <c r="AA444" s="195">
        <f t="shared" ca="1" si="92"/>
        <v>44118.149643120007</v>
      </c>
      <c r="AB444" s="195">
        <f t="shared" ca="1" si="93"/>
        <v>44118.149643120007</v>
      </c>
      <c r="AD444" s="196">
        <f>IFERROR($G444/SUMIF($A:$A,$A444,$G:$G)*SUMIF(Summary!$A$166:$A$242,$A444,Summary!$P$166:$P$242),0)</f>
        <v>10871.785244178192</v>
      </c>
      <c r="AE444" s="197">
        <f t="shared" ca="1" si="94"/>
        <v>33246.364398941812</v>
      </c>
      <c r="AF444" s="196">
        <f>IFERROR(G444/SUMIF(A:A,A444,G:G)*SUMIF(Summary!$A$166:$A$242,'Operations Support'!A444,Summary!$Q$166:$Q$242),0)</f>
        <v>10890.200848952443</v>
      </c>
      <c r="AG444" s="196">
        <f t="shared" ca="1" si="95"/>
        <v>33227.948794167562</v>
      </c>
      <c r="AI444" s="196">
        <f>IFERROR($G444/SUMIF($A:$A,$A444,$G:$G)*SUMIF(Summary!$A$247:$A$283,$A444,Summary!$P$247:$P$283),0)</f>
        <v>1982.7423261615338</v>
      </c>
      <c r="AJ444" s="196">
        <f>IFERROR($G444/SUMIF($A:$A,$A444,$G:$G)*(SUMIF(Summary!$A$247:$A$283,$A444,Summary!$L$247:$L$283)+SUMIF(Summary!$A$297:$A$333,$A444,Summary!$L$297:$L$333))-AI444,0)</f>
        <v>13338.597836175533</v>
      </c>
      <c r="AK444" s="196">
        <f>IFERROR($G444/SUMIF($A:$A,$A444,$G:$G)*SUMIF(Summary!$A$247:$A$283,$A444,Summary!$Q$247:$Q$283),0)</f>
        <v>1986.1008729160626</v>
      </c>
      <c r="AL444" s="196">
        <f>IFERROR($G444/SUMIF($A:$A,$A444,$G:$G)*(SUMIF(Summary!$A$247:$A$283,$A444,Summary!$L$247:$L$283)+SUMIF(Summary!$A$297:$A$333,$A444,Summary!$L$297:$L$333))-AK444,0)</f>
        <v>13335.239289421004</v>
      </c>
      <c r="AM444" s="198"/>
      <c r="AN444" s="196">
        <f t="shared" ca="1" si="96"/>
        <v>46584.962235117346</v>
      </c>
      <c r="AO444" s="196">
        <f t="shared" ca="1" si="97"/>
        <v>46563.188083588568</v>
      </c>
    </row>
    <row r="445" spans="1:41">
      <c r="A445" s="189">
        <v>3592</v>
      </c>
      <c r="B445" s="190">
        <v>1</v>
      </c>
      <c r="C445" s="191" t="s">
        <v>240</v>
      </c>
      <c r="D445" s="192">
        <f t="shared" si="84"/>
        <v>153</v>
      </c>
      <c r="E445" s="192">
        <f t="shared" si="85"/>
        <v>1941</v>
      </c>
      <c r="F445" s="192">
        <f t="shared" si="86"/>
        <v>0</v>
      </c>
      <c r="G445" s="193">
        <f t="shared" si="87"/>
        <v>2094</v>
      </c>
      <c r="H445" s="194">
        <v>78</v>
      </c>
      <c r="I445" s="194">
        <v>600</v>
      </c>
      <c r="J445" s="194">
        <v>0</v>
      </c>
      <c r="K445" s="193">
        <f t="shared" si="88"/>
        <v>678</v>
      </c>
      <c r="L445" s="194">
        <v>75</v>
      </c>
      <c r="M445" s="194">
        <v>1341</v>
      </c>
      <c r="N445" s="194">
        <v>0</v>
      </c>
      <c r="O445" s="193">
        <f t="shared" si="89"/>
        <v>1416</v>
      </c>
      <c r="P445" s="194">
        <v>0</v>
      </c>
      <c r="Q445" s="194">
        <v>0</v>
      </c>
      <c r="R445" s="194">
        <v>0</v>
      </c>
      <c r="S445" s="193">
        <f t="shared" si="90"/>
        <v>0</v>
      </c>
      <c r="T445" s="193">
        <f t="shared" si="91"/>
        <v>69.8</v>
      </c>
      <c r="U445" s="193">
        <f ca="1">OFFSET('Expenditure Study'!$B$7,'Operations Support'!$C445,'Operations Support'!$B445)*$G445</f>
        <v>2094</v>
      </c>
      <c r="V445" s="199">
        <f ca="1">U445*'Expenditure Study'!$B$31</f>
        <v>123720.1805952</v>
      </c>
      <c r="W445" s="199">
        <f ca="1">IF(A445=10298,1.51,1)*IF($B445&lt;3,$D445*'Expenditure Study'!$B$32*OFFSET('Expenditure Study'!$B$7,'Operations Support'!$C445,'Operations Support'!$B445),0)</f>
        <v>15.3</v>
      </c>
      <c r="X445" s="200">
        <f ca="1">W445*'Expenditure Study'!$B$31</f>
        <v>903.97266624000008</v>
      </c>
      <c r="Y445" s="199">
        <f ca="1">U445*'Expenditure Study'!$B$31</f>
        <v>123720.1805952</v>
      </c>
      <c r="Z445" s="200">
        <f ca="1">W445*'Expenditure Study'!$B$31</f>
        <v>903.97266624000008</v>
      </c>
      <c r="AA445" s="195">
        <f t="shared" ca="1" si="92"/>
        <v>124624.15326144001</v>
      </c>
      <c r="AB445" s="195">
        <f t="shared" ca="1" si="93"/>
        <v>124624.15326144001</v>
      </c>
      <c r="AD445" s="196">
        <f>IFERROR($G445/SUMIF($A:$A,$A445,$G:$G)*SUMIF(Summary!$A$166:$A$242,$A445,Summary!$P$166:$P$242),0)</f>
        <v>47329.55987798157</v>
      </c>
      <c r="AE445" s="197">
        <f t="shared" ca="1" si="94"/>
        <v>77294.593383458443</v>
      </c>
      <c r="AF445" s="196">
        <f>IFERROR(G445/SUMIF(A:A,A445,G:G)*SUMIF(Summary!$A$166:$A$242,'Operations Support'!A445,Summary!$Q$166:$Q$242),0)</f>
        <v>47409.730930782571</v>
      </c>
      <c r="AG445" s="196">
        <f t="shared" ca="1" si="95"/>
        <v>77214.422330657428</v>
      </c>
      <c r="AI445" s="196">
        <f>IFERROR($G445/SUMIF($A:$A,$A445,$G:$G)*SUMIF(Summary!$A$247:$A$283,$A445,Summary!$P$247:$P$283),0)</f>
        <v>8631.7306257427263</v>
      </c>
      <c r="AJ445" s="196">
        <f>IFERROR($G445/SUMIF($A:$A,$A445,$G:$G)*(SUMIF(Summary!$A$247:$A$283,$A445,Summary!$L$247:$L$283)+SUMIF(Summary!$A$297:$A$333,$A445,Summary!$L$297:$L$333))-AI445,0)</f>
        <v>58068.656692206991</v>
      </c>
      <c r="AK445" s="196">
        <f>IFERROR($G445/SUMIF($A:$A,$A445,$G:$G)*SUMIF(Summary!$A$247:$A$283,$A445,Summary!$Q$247:$Q$283),0)</f>
        <v>8646.3518251273072</v>
      </c>
      <c r="AL445" s="196">
        <f>IFERROR($G445/SUMIF($A:$A,$A445,$G:$G)*(SUMIF(Summary!$A$247:$A$283,$A445,Summary!$L$247:$L$283)+SUMIF(Summary!$A$297:$A$333,$A445,Summary!$L$297:$L$333))-AK445,0)</f>
        <v>58054.035492822411</v>
      </c>
      <c r="AM445" s="198"/>
      <c r="AN445" s="196">
        <f t="shared" ca="1" si="96"/>
        <v>135363.25007566542</v>
      </c>
      <c r="AO445" s="196">
        <f t="shared" ca="1" si="97"/>
        <v>135268.45782347984</v>
      </c>
    </row>
    <row r="446" spans="1:41">
      <c r="A446" s="189">
        <v>3592</v>
      </c>
      <c r="B446" s="190">
        <v>2</v>
      </c>
      <c r="C446" s="191" t="s">
        <v>220</v>
      </c>
      <c r="D446" s="192">
        <f t="shared" si="84"/>
        <v>6434</v>
      </c>
      <c r="E446" s="192">
        <f t="shared" si="85"/>
        <v>2139</v>
      </c>
      <c r="F446" s="192">
        <f t="shared" si="86"/>
        <v>0</v>
      </c>
      <c r="G446" s="193">
        <f t="shared" si="87"/>
        <v>8573</v>
      </c>
      <c r="H446" s="194">
        <v>2816</v>
      </c>
      <c r="I446" s="194">
        <v>912</v>
      </c>
      <c r="J446" s="194">
        <v>0</v>
      </c>
      <c r="K446" s="193">
        <f t="shared" si="88"/>
        <v>3728</v>
      </c>
      <c r="L446" s="194">
        <v>2705</v>
      </c>
      <c r="M446" s="194">
        <v>756</v>
      </c>
      <c r="N446" s="194">
        <v>0</v>
      </c>
      <c r="O446" s="193">
        <f t="shared" si="89"/>
        <v>3461</v>
      </c>
      <c r="P446" s="194">
        <v>913</v>
      </c>
      <c r="Q446" s="194">
        <v>471</v>
      </c>
      <c r="R446" s="194">
        <v>0</v>
      </c>
      <c r="S446" s="193">
        <f t="shared" si="90"/>
        <v>1384</v>
      </c>
      <c r="T446" s="193">
        <f t="shared" si="91"/>
        <v>285.76666666666665</v>
      </c>
      <c r="U446" s="193">
        <f ca="1">OFFSET('Expenditure Study'!$B$7,'Operations Support'!$C446,'Operations Support'!$B446)*$G446</f>
        <v>15774.320000000002</v>
      </c>
      <c r="V446" s="199">
        <f ca="1">U446*'Expenditure Study'!$B$31</f>
        <v>931997.00055705616</v>
      </c>
      <c r="W446" s="199">
        <f ca="1">IF(A446=10298,1.51,1)*IF($B446&lt;3,$D446*'Expenditure Study'!$B$32*OFFSET('Expenditure Study'!$B$7,'Operations Support'!$C446,'Operations Support'!$B446),0)</f>
        <v>1183.8560000000002</v>
      </c>
      <c r="X446" s="200">
        <f ca="1">W446*'Expenditure Study'!$B$31</f>
        <v>69945.978089164812</v>
      </c>
      <c r="Y446" s="199">
        <f ca="1">U446*'Expenditure Study'!$B$31</f>
        <v>931997.00055705616</v>
      </c>
      <c r="Z446" s="200">
        <f ca="1">W446*'Expenditure Study'!$B$31</f>
        <v>69945.978089164812</v>
      </c>
      <c r="AA446" s="195">
        <f t="shared" ca="1" si="92"/>
        <v>1001942.978646221</v>
      </c>
      <c r="AB446" s="195">
        <f t="shared" ca="1" si="93"/>
        <v>1001942.978646221</v>
      </c>
      <c r="AD446" s="196">
        <f>IFERROR($G446/SUMIF($A:$A,$A446,$G:$G)*SUMIF(Summary!$A$166:$A$242,$A446,Summary!$P$166:$P$242),0)</f>
        <v>193770.92494457305</v>
      </c>
      <c r="AE446" s="197">
        <f t="shared" ca="1" si="94"/>
        <v>808172.05370164791</v>
      </c>
      <c r="AF446" s="196">
        <f>IFERROR(G446/SUMIF(A:A,A446,G:G)*SUMIF(Summary!$A$166:$A$242,'Operations Support'!A446,Summary!$Q$166:$Q$242),0)</f>
        <v>194099.15151365759</v>
      </c>
      <c r="AG446" s="196">
        <f t="shared" ca="1" si="95"/>
        <v>807843.82713256334</v>
      </c>
      <c r="AI446" s="196">
        <f>IFERROR($G446/SUMIF($A:$A,$A446,$G:$G)*SUMIF(Summary!$A$247:$A$283,$A446,Summary!$P$247:$P$283),0)</f>
        <v>35338.981210359314</v>
      </c>
      <c r="AJ446" s="196">
        <f>IFERROR($G446/SUMIF($A:$A,$A446,$G:$G)*(SUMIF(Summary!$A$247:$A$283,$A446,Summary!$L$247:$L$283)+SUMIF(Summary!$A$297:$A$333,$A446,Summary!$L$297:$L$333))-AI446,0)</f>
        <v>237737.62837740715</v>
      </c>
      <c r="AK446" s="196">
        <f>IFERROR($G446/SUMIF($A:$A,$A446,$G:$G)*SUMIF(Summary!$A$247:$A$283,$A446,Summary!$Q$247:$Q$283),0)</f>
        <v>35398.841545757597</v>
      </c>
      <c r="AL446" s="196">
        <f>IFERROR($G446/SUMIF($A:$A,$A446,$G:$G)*(SUMIF(Summary!$A$247:$A$283,$A446,Summary!$L$247:$L$283)+SUMIF(Summary!$A$297:$A$333,$A446,Summary!$L$297:$L$333))-AK446,0)</f>
        <v>237677.76804200886</v>
      </c>
      <c r="AM446" s="198"/>
      <c r="AN446" s="196">
        <f t="shared" ca="1" si="96"/>
        <v>1045909.6820790551</v>
      </c>
      <c r="AO446" s="196">
        <f t="shared" ca="1" si="97"/>
        <v>1045521.5951745722</v>
      </c>
    </row>
    <row r="447" spans="1:41" s="201" customFormat="1">
      <c r="A447" s="189">
        <v>3592</v>
      </c>
      <c r="B447" s="190">
        <v>2</v>
      </c>
      <c r="C447" s="191" t="s">
        <v>221</v>
      </c>
      <c r="D447" s="192">
        <f t="shared" si="84"/>
        <v>3371</v>
      </c>
      <c r="E447" s="192">
        <f t="shared" si="85"/>
        <v>692</v>
      </c>
      <c r="F447" s="192">
        <f t="shared" si="86"/>
        <v>0</v>
      </c>
      <c r="G447" s="193">
        <f t="shared" si="87"/>
        <v>4063</v>
      </c>
      <c r="H447" s="194">
        <v>1399</v>
      </c>
      <c r="I447" s="194">
        <v>409</v>
      </c>
      <c r="J447" s="194">
        <v>0</v>
      </c>
      <c r="K447" s="193">
        <f t="shared" si="88"/>
        <v>1808</v>
      </c>
      <c r="L447" s="194">
        <v>1831</v>
      </c>
      <c r="M447" s="194">
        <v>277</v>
      </c>
      <c r="N447" s="194">
        <v>0</v>
      </c>
      <c r="O447" s="193">
        <f t="shared" si="89"/>
        <v>2108</v>
      </c>
      <c r="P447" s="194">
        <v>141</v>
      </c>
      <c r="Q447" s="194">
        <v>6</v>
      </c>
      <c r="R447" s="194">
        <v>0</v>
      </c>
      <c r="S447" s="193">
        <f t="shared" si="90"/>
        <v>147</v>
      </c>
      <c r="T447" s="193">
        <f t="shared" si="91"/>
        <v>135.43333333333334</v>
      </c>
      <c r="U447" s="193">
        <f ca="1">OFFSET('Expenditure Study'!$B$7,'Operations Support'!$C447,'Operations Support'!$B447)*$G447</f>
        <v>10685.689999999999</v>
      </c>
      <c r="V447" s="199">
        <f ca="1">U447*'Expenditure Study'!$B$31</f>
        <v>631344.55424275191</v>
      </c>
      <c r="W447" s="199">
        <f ca="1">IF(A447=10298,1.51,1)*IF($B447&lt;3,$D447*'Expenditure Study'!$B$32*OFFSET('Expenditure Study'!$B$7,'Operations Support'!$C447,'Operations Support'!$B447),0)</f>
        <v>886.57299999999998</v>
      </c>
      <c r="X447" s="200">
        <f ca="1">W447*'Expenditure Study'!$B$31</f>
        <v>52381.552851398403</v>
      </c>
      <c r="Y447" s="199">
        <f ca="1">U447*'Expenditure Study'!$B$31</f>
        <v>631344.55424275191</v>
      </c>
      <c r="Z447" s="200">
        <f ca="1">W447*'Expenditure Study'!$B$31</f>
        <v>52381.552851398403</v>
      </c>
      <c r="AA447" s="195">
        <f t="shared" ca="1" si="92"/>
        <v>683726.10709415027</v>
      </c>
      <c r="AB447" s="195">
        <f t="shared" ca="1" si="93"/>
        <v>683726.10709415027</v>
      </c>
      <c r="AD447" s="196">
        <f>IFERROR($G447/SUMIF($A:$A,$A447,$G:$G)*SUMIF(Summary!$A$166:$A$242,$A447,Summary!$P$166:$P$242),0)</f>
        <v>91833.811740324309</v>
      </c>
      <c r="AE447" s="197">
        <f t="shared" ca="1" si="94"/>
        <v>591892.2953538259</v>
      </c>
      <c r="AF447" s="196">
        <f>IFERROR(G447/SUMIF(A:A,A447,G:G)*SUMIF(Summary!$A$166:$A$242,'Operations Support'!A447,Summary!$Q$166:$Q$242),0)</f>
        <v>91989.368085849856</v>
      </c>
      <c r="AG447" s="196">
        <f t="shared" ca="1" si="95"/>
        <v>591736.73900830047</v>
      </c>
      <c r="AH447" s="180"/>
      <c r="AI447" s="196">
        <f>IFERROR($G447/SUMIF($A:$A,$A447,$G:$G)*SUMIF(Summary!$A$247:$A$283,$A447,Summary!$P$247:$P$283),0)</f>
        <v>16748.195574208548</v>
      </c>
      <c r="AJ447" s="196">
        <f>IFERROR($G447/SUMIF($A:$A,$A447,$G:$G)*(SUMIF(Summary!$A$247:$A$283,$A447,Summary!$L$247:$L$283)+SUMIF(Summary!$A$297:$A$333,$A447,Summary!$L$297:$L$333))-AI447,0)</f>
        <v>112670.94180536628</v>
      </c>
      <c r="AK447" s="196">
        <f>IFERROR($G447/SUMIF($A:$A,$A447,$G:$G)*SUMIF(Summary!$A$247:$A$283,$A447,Summary!$Q$247:$Q$283),0)</f>
        <v>16776.565169767073</v>
      </c>
      <c r="AL447" s="196">
        <f>IFERROR($G447/SUMIF($A:$A,$A447,$G:$G)*(SUMIF(Summary!$A$247:$A$283,$A447,Summary!$L$247:$L$283)+SUMIF(Summary!$A$297:$A$333,$A447,Summary!$L$297:$L$333))-AK447,0)</f>
        <v>112642.57220980777</v>
      </c>
      <c r="AM447" s="198"/>
      <c r="AN447" s="196">
        <f t="shared" ca="1" si="96"/>
        <v>704563.23715919221</v>
      </c>
      <c r="AO447" s="196">
        <f t="shared" ca="1" si="97"/>
        <v>704379.31121810828</v>
      </c>
    </row>
    <row r="448" spans="1:41" s="201" customFormat="1">
      <c r="A448" s="189">
        <v>3592</v>
      </c>
      <c r="B448" s="190">
        <v>2</v>
      </c>
      <c r="C448" s="191" t="s">
        <v>222</v>
      </c>
      <c r="D448" s="192">
        <f t="shared" si="84"/>
        <v>1129</v>
      </c>
      <c r="E448" s="192">
        <f t="shared" si="85"/>
        <v>127</v>
      </c>
      <c r="F448" s="192">
        <f t="shared" si="86"/>
        <v>0</v>
      </c>
      <c r="G448" s="193">
        <f t="shared" si="87"/>
        <v>1256</v>
      </c>
      <c r="H448" s="194">
        <v>511</v>
      </c>
      <c r="I448" s="194">
        <v>59</v>
      </c>
      <c r="J448" s="194">
        <v>0</v>
      </c>
      <c r="K448" s="193">
        <f t="shared" si="88"/>
        <v>570</v>
      </c>
      <c r="L448" s="194">
        <v>540</v>
      </c>
      <c r="M448" s="194">
        <v>68</v>
      </c>
      <c r="N448" s="194">
        <v>0</v>
      </c>
      <c r="O448" s="193">
        <f t="shared" si="89"/>
        <v>608</v>
      </c>
      <c r="P448" s="194">
        <v>78</v>
      </c>
      <c r="Q448" s="194">
        <v>0</v>
      </c>
      <c r="R448" s="194">
        <v>0</v>
      </c>
      <c r="S448" s="193">
        <f t="shared" si="90"/>
        <v>78</v>
      </c>
      <c r="T448" s="193">
        <f t="shared" si="91"/>
        <v>41.866666666666667</v>
      </c>
      <c r="U448" s="193">
        <f ca="1">OFFSET('Expenditure Study'!$B$7,'Operations Support'!$C448,'Operations Support'!$B448)*$G448</f>
        <v>3340.96</v>
      </c>
      <c r="V448" s="199">
        <f ca="1">U448*'Expenditure Study'!$B$31</f>
        <v>197394.54372556802</v>
      </c>
      <c r="W448" s="199">
        <f ca="1">IF(A448=10298,1.51,1)*IF($B448&lt;3,$D448*'Expenditure Study'!$B$32*OFFSET('Expenditure Study'!$B$7,'Operations Support'!$C448,'Operations Support'!$B448),0)</f>
        <v>300.31400000000002</v>
      </c>
      <c r="X448" s="200">
        <f ca="1">W448*'Expenditure Study'!$B$31</f>
        <v>17743.506358771203</v>
      </c>
      <c r="Y448" s="199">
        <f ca="1">U448*'Expenditure Study'!$B$31</f>
        <v>197394.54372556802</v>
      </c>
      <c r="Z448" s="200">
        <f ca="1">W448*'Expenditure Study'!$B$31</f>
        <v>17743.506358771203</v>
      </c>
      <c r="AA448" s="195">
        <f t="shared" ca="1" si="92"/>
        <v>215138.05008433922</v>
      </c>
      <c r="AB448" s="195">
        <f t="shared" ca="1" si="93"/>
        <v>215138.05008433922</v>
      </c>
      <c r="AD448" s="196">
        <f>IFERROR($G448/SUMIF($A:$A,$A448,$G:$G)*SUMIF(Summary!$A$166:$A$242,$A448,Summary!$P$166:$P$242),0)</f>
        <v>28388.694941138896</v>
      </c>
      <c r="AE448" s="197">
        <f t="shared" ca="1" si="94"/>
        <v>186749.35514320032</v>
      </c>
      <c r="AF448" s="196">
        <f>IFERROR(G448/SUMIF(A:A,A448,G:G)*SUMIF(Summary!$A$166:$A$242,'Operations Support'!A448,Summary!$Q$166:$Q$242),0)</f>
        <v>28436.782258387255</v>
      </c>
      <c r="AG448" s="196">
        <f t="shared" ca="1" si="95"/>
        <v>186701.26782595197</v>
      </c>
      <c r="AH448" s="180"/>
      <c r="AI448" s="196">
        <f>IFERROR($G448/SUMIF($A:$A,$A448,$G:$G)*SUMIF(Summary!$A$247:$A$283,$A448,Summary!$P$247:$P$283),0)</f>
        <v>5177.3895252783504</v>
      </c>
      <c r="AJ448" s="196">
        <f>IFERROR($G448/SUMIF($A:$A,$A448,$G:$G)*(SUMIF(Summary!$A$247:$A$283,$A448,Summary!$L$247:$L$283)+SUMIF(Summary!$A$297:$A$333,$A448,Summary!$L$297:$L$333))-AI448,0)</f>
        <v>34830.101626271244</v>
      </c>
      <c r="AK448" s="196">
        <f>IFERROR($G448/SUMIF($A:$A,$A448,$G:$G)*SUMIF(Summary!$A$247:$A$283,$A448,Summary!$Q$247:$Q$283),0)</f>
        <v>5186.1594519388245</v>
      </c>
      <c r="AL448" s="196">
        <f>IFERROR($G448/SUMIF($A:$A,$A448,$G:$G)*(SUMIF(Summary!$A$247:$A$283,$A448,Summary!$L$247:$L$283)+SUMIF(Summary!$A$297:$A$333,$A448,Summary!$L$297:$L$333))-AK448,0)</f>
        <v>34821.331699610768</v>
      </c>
      <c r="AM448" s="198"/>
      <c r="AN448" s="196">
        <f t="shared" ca="1" si="96"/>
        <v>221579.45676947155</v>
      </c>
      <c r="AO448" s="196">
        <f t="shared" ca="1" si="97"/>
        <v>221522.59952556275</v>
      </c>
    </row>
    <row r="449" spans="1:41">
      <c r="A449" s="189">
        <v>3592</v>
      </c>
      <c r="B449" s="190">
        <v>2</v>
      </c>
      <c r="C449" s="191" t="s">
        <v>223</v>
      </c>
      <c r="D449" s="192">
        <f t="shared" si="84"/>
        <v>1920</v>
      </c>
      <c r="E449" s="192">
        <f t="shared" si="85"/>
        <v>1398</v>
      </c>
      <c r="F449" s="192">
        <f t="shared" si="86"/>
        <v>0</v>
      </c>
      <c r="G449" s="193">
        <f t="shared" si="87"/>
        <v>3318</v>
      </c>
      <c r="H449" s="194">
        <v>906</v>
      </c>
      <c r="I449" s="194">
        <v>678</v>
      </c>
      <c r="J449" s="194">
        <v>0</v>
      </c>
      <c r="K449" s="193">
        <f t="shared" si="88"/>
        <v>1584</v>
      </c>
      <c r="L449" s="194">
        <v>783</v>
      </c>
      <c r="M449" s="194">
        <v>507</v>
      </c>
      <c r="N449" s="194">
        <v>0</v>
      </c>
      <c r="O449" s="193">
        <f t="shared" si="89"/>
        <v>1290</v>
      </c>
      <c r="P449" s="194">
        <v>231</v>
      </c>
      <c r="Q449" s="194">
        <v>213</v>
      </c>
      <c r="R449" s="194">
        <v>0</v>
      </c>
      <c r="S449" s="193">
        <f t="shared" si="90"/>
        <v>444</v>
      </c>
      <c r="T449" s="193">
        <f t="shared" si="91"/>
        <v>110.6</v>
      </c>
      <c r="U449" s="193">
        <f ca="1">OFFSET('Expenditure Study'!$B$7,'Operations Support'!$C449,'Operations Support'!$B449)*$G449</f>
        <v>6304.2</v>
      </c>
      <c r="V449" s="199">
        <f ca="1">U449*'Expenditure Study'!$B$31</f>
        <v>372472.18839935999</v>
      </c>
      <c r="W449" s="199">
        <f ca="1">IF(A449=10298,1.51,1)*IF($B449&lt;3,$D449*'Expenditure Study'!$B$32*OFFSET('Expenditure Study'!$B$7,'Operations Support'!$C449,'Operations Support'!$B449),0)</f>
        <v>364.79999999999995</v>
      </c>
      <c r="X449" s="200">
        <f ca="1">W449*'Expenditure Study'!$B$31</f>
        <v>21553.544355839997</v>
      </c>
      <c r="Y449" s="199">
        <f ca="1">U449*'Expenditure Study'!$B$31</f>
        <v>372472.18839935999</v>
      </c>
      <c r="Z449" s="200">
        <f ca="1">W449*'Expenditure Study'!$B$31</f>
        <v>21553.544355839997</v>
      </c>
      <c r="AA449" s="195">
        <f t="shared" ca="1" si="92"/>
        <v>394025.73275520001</v>
      </c>
      <c r="AB449" s="195">
        <f t="shared" ca="1" si="93"/>
        <v>394025.73275520001</v>
      </c>
      <c r="AD449" s="196">
        <f>IFERROR($G449/SUMIF($A:$A,$A449,$G:$G)*SUMIF(Summary!$A$166:$A$242,$A449,Summary!$P$166:$P$242),0)</f>
        <v>74994.97596711693</v>
      </c>
      <c r="AE449" s="197">
        <f t="shared" ca="1" si="94"/>
        <v>319030.75678808306</v>
      </c>
      <c r="AF449" s="196">
        <f>IFERROR(G449/SUMIF(A:A,A449,G:G)*SUMIF(Summary!$A$166:$A$242,'Operations Support'!A449,Summary!$Q$166:$Q$242),0)</f>
        <v>75122.009182586713</v>
      </c>
      <c r="AG449" s="196">
        <f t="shared" ca="1" si="95"/>
        <v>318903.72357261332</v>
      </c>
      <c r="AI449" s="196">
        <f>IFERROR($G449/SUMIF($A:$A,$A449,$G:$G)*SUMIF(Summary!$A$247:$A$283,$A449,Summary!$P$247:$P$283),0)</f>
        <v>13677.212137638189</v>
      </c>
      <c r="AJ449" s="196">
        <f>IFERROR($G449/SUMIF($A:$A,$A449,$G:$G)*(SUMIF(Summary!$A$247:$A$283,$A449,Summary!$L$247:$L$283)+SUMIF(Summary!$A$297:$A$333,$A449,Summary!$L$297:$L$333))-AI449,0)</f>
        <v>92011.367194242033</v>
      </c>
      <c r="AK449" s="196">
        <f>IFERROR($G449/SUMIF($A:$A,$A449,$G:$G)*SUMIF(Summary!$A$247:$A$283,$A449,Summary!$Q$247:$Q$283),0)</f>
        <v>13700.37982606132</v>
      </c>
      <c r="AL449" s="196">
        <f>IFERROR($G449/SUMIF($A:$A,$A449,$G:$G)*(SUMIF(Summary!$A$247:$A$283,$A449,Summary!$L$247:$L$283)+SUMIF(Summary!$A$297:$A$333,$A449,Summary!$L$297:$L$333))-AK449,0)</f>
        <v>91988.199505818891</v>
      </c>
      <c r="AM449" s="198"/>
      <c r="AN449" s="196">
        <f t="shared" ca="1" si="96"/>
        <v>411042.12398232508</v>
      </c>
      <c r="AO449" s="196">
        <f t="shared" ca="1" si="97"/>
        <v>410891.92307843221</v>
      </c>
    </row>
    <row r="450" spans="1:41">
      <c r="A450" s="189">
        <v>3592</v>
      </c>
      <c r="B450" s="190">
        <v>2</v>
      </c>
      <c r="C450" s="191" t="s">
        <v>224</v>
      </c>
      <c r="D450" s="192">
        <f t="shared" si="84"/>
        <v>69</v>
      </c>
      <c r="E450" s="192">
        <f t="shared" si="85"/>
        <v>63</v>
      </c>
      <c r="F450" s="192">
        <f t="shared" si="86"/>
        <v>0</v>
      </c>
      <c r="G450" s="193">
        <f t="shared" si="87"/>
        <v>132</v>
      </c>
      <c r="H450" s="194">
        <v>0</v>
      </c>
      <c r="I450" s="194">
        <v>12</v>
      </c>
      <c r="J450" s="194">
        <v>0</v>
      </c>
      <c r="K450" s="193">
        <f t="shared" si="88"/>
        <v>12</v>
      </c>
      <c r="L450" s="194">
        <v>12</v>
      </c>
      <c r="M450" s="194">
        <v>51</v>
      </c>
      <c r="N450" s="194">
        <v>0</v>
      </c>
      <c r="O450" s="193">
        <f t="shared" si="89"/>
        <v>63</v>
      </c>
      <c r="P450" s="194">
        <v>57</v>
      </c>
      <c r="Q450" s="194">
        <v>0</v>
      </c>
      <c r="R450" s="194">
        <v>0</v>
      </c>
      <c r="S450" s="193">
        <f t="shared" si="90"/>
        <v>57</v>
      </c>
      <c r="T450" s="193">
        <f t="shared" si="91"/>
        <v>4.4000000000000004</v>
      </c>
      <c r="U450" s="193">
        <f ca="1">OFFSET('Expenditure Study'!$B$7,'Operations Support'!$C450,'Operations Support'!$B450)*$G450</f>
        <v>299.64</v>
      </c>
      <c r="V450" s="199">
        <f ca="1">U450*'Expenditure Study'!$B$31</f>
        <v>17703.684294912</v>
      </c>
      <c r="W450" s="199">
        <f ca="1">IF(A450=10298,1.51,1)*IF($B450&lt;3,$D450*'Expenditure Study'!$B$32*OFFSET('Expenditure Study'!$B$7,'Operations Support'!$C450,'Operations Support'!$B450),0)</f>
        <v>15.663</v>
      </c>
      <c r="X450" s="200">
        <f ca="1">W450*'Expenditure Study'!$B$31</f>
        <v>925.41986087040004</v>
      </c>
      <c r="Y450" s="199">
        <f ca="1">U450*'Expenditure Study'!$B$31</f>
        <v>17703.684294912</v>
      </c>
      <c r="Z450" s="200">
        <f ca="1">W450*'Expenditure Study'!$B$31</f>
        <v>925.41986087040004</v>
      </c>
      <c r="AA450" s="195">
        <f t="shared" ca="1" si="92"/>
        <v>18629.104155782399</v>
      </c>
      <c r="AB450" s="195">
        <f t="shared" ca="1" si="93"/>
        <v>18629.104155782399</v>
      </c>
      <c r="AD450" s="196">
        <f>IFERROR($G450/SUMIF($A:$A,$A450,$G:$G)*SUMIF(Summary!$A$166:$A$242,$A450,Summary!$P$166:$P$242),0)</f>
        <v>2983.5252645145974</v>
      </c>
      <c r="AE450" s="197">
        <f t="shared" ca="1" si="94"/>
        <v>15645.578891267802</v>
      </c>
      <c r="AF450" s="196">
        <f>IFERROR(G450/SUMIF(A:A,A450,G:G)*SUMIF(Summary!$A$166:$A$242,'Operations Support'!A450,Summary!$Q$166:$Q$242),0)</f>
        <v>2988.5790271553487</v>
      </c>
      <c r="AG450" s="196">
        <f t="shared" ca="1" si="95"/>
        <v>15640.52512862705</v>
      </c>
      <c r="AI450" s="196">
        <f>IFERROR($G450/SUMIF($A:$A,$A450,$G:$G)*SUMIF(Summary!$A$247:$A$283,$A450,Summary!$P$247:$P$283),0)</f>
        <v>544.12055520441265</v>
      </c>
      <c r="AJ450" s="196">
        <f>IFERROR($G450/SUMIF($A:$A,$A450,$G:$G)*(SUMIF(Summary!$A$247:$A$283,$A450,Summary!$L$247:$L$283)+SUMIF(Summary!$A$297:$A$333,$A450,Summary!$L$297:$L$333))-AI450,0)</f>
        <v>3660.4883874743668</v>
      </c>
      <c r="AK450" s="196">
        <f>IFERROR($G450/SUMIF($A:$A,$A450,$G:$G)*SUMIF(Summary!$A$247:$A$283,$A450,Summary!$Q$247:$Q$283),0)</f>
        <v>545.04223539484462</v>
      </c>
      <c r="AL450" s="196">
        <f>IFERROR($G450/SUMIF($A:$A,$A450,$G:$G)*(SUMIF(Summary!$A$247:$A$283,$A450,Summary!$L$247:$L$283)+SUMIF(Summary!$A$297:$A$333,$A450,Summary!$L$297:$L$333))-AK450,0)</f>
        <v>3659.5667072839346</v>
      </c>
      <c r="AM450" s="198"/>
      <c r="AN450" s="196">
        <f t="shared" ca="1" si="96"/>
        <v>19306.067278742168</v>
      </c>
      <c r="AO450" s="196">
        <f t="shared" ca="1" si="97"/>
        <v>19300.091835910986</v>
      </c>
    </row>
    <row r="451" spans="1:41">
      <c r="A451" s="189">
        <v>3592</v>
      </c>
      <c r="B451" s="190">
        <v>2</v>
      </c>
      <c r="C451" s="191" t="s">
        <v>225</v>
      </c>
      <c r="D451" s="192">
        <f t="shared" si="84"/>
        <v>1747</v>
      </c>
      <c r="E451" s="192">
        <f t="shared" si="85"/>
        <v>60</v>
      </c>
      <c r="F451" s="192">
        <f t="shared" si="86"/>
        <v>0</v>
      </c>
      <c r="G451" s="193">
        <f t="shared" si="87"/>
        <v>1807</v>
      </c>
      <c r="H451" s="194">
        <v>983</v>
      </c>
      <c r="I451" s="194">
        <v>60</v>
      </c>
      <c r="J451" s="194">
        <v>0</v>
      </c>
      <c r="K451" s="193">
        <f t="shared" si="88"/>
        <v>1043</v>
      </c>
      <c r="L451" s="194">
        <v>653</v>
      </c>
      <c r="M451" s="194">
        <v>0</v>
      </c>
      <c r="N451" s="194">
        <v>0</v>
      </c>
      <c r="O451" s="193">
        <f t="shared" si="89"/>
        <v>653</v>
      </c>
      <c r="P451" s="194">
        <v>111</v>
      </c>
      <c r="Q451" s="194">
        <v>0</v>
      </c>
      <c r="R451" s="194">
        <v>0</v>
      </c>
      <c r="S451" s="193">
        <f t="shared" si="90"/>
        <v>111</v>
      </c>
      <c r="T451" s="193">
        <f t="shared" si="91"/>
        <v>60.233333333333334</v>
      </c>
      <c r="U451" s="193">
        <f ca="1">OFFSET('Expenditure Study'!$B$7,'Operations Support'!$C451,'Operations Support'!$B451)*$G451</f>
        <v>5059.5999999999995</v>
      </c>
      <c r="V451" s="199">
        <f ca="1">U451*'Expenditure Study'!$B$31</f>
        <v>298937.26157567999</v>
      </c>
      <c r="W451" s="199">
        <f ca="1">IF(A451=10298,1.51,1)*IF($B451&lt;3,$D451*'Expenditure Study'!$B$32*OFFSET('Expenditure Study'!$B$7,'Operations Support'!$C451,'Operations Support'!$B451),0)</f>
        <v>489.16</v>
      </c>
      <c r="X451" s="200">
        <f ca="1">W451*'Expenditure Study'!$B$31</f>
        <v>28901.128720128003</v>
      </c>
      <c r="Y451" s="199">
        <f ca="1">U451*'Expenditure Study'!$B$31</f>
        <v>298937.26157567999</v>
      </c>
      <c r="Z451" s="200">
        <f ca="1">W451*'Expenditure Study'!$B$31</f>
        <v>28901.128720128003</v>
      </c>
      <c r="AA451" s="195">
        <f t="shared" ca="1" si="92"/>
        <v>327838.39029580797</v>
      </c>
      <c r="AB451" s="195">
        <f t="shared" ca="1" si="93"/>
        <v>327838.39029580797</v>
      </c>
      <c r="AD451" s="196">
        <f>IFERROR($G451/SUMIF($A:$A,$A451,$G:$G)*SUMIF(Summary!$A$166:$A$242,$A451,Summary!$P$166:$P$242),0)</f>
        <v>40842.65267407483</v>
      </c>
      <c r="AE451" s="197">
        <f t="shared" ca="1" si="94"/>
        <v>286995.73762173316</v>
      </c>
      <c r="AF451" s="196">
        <f>IFERROR(G451/SUMIF(A:A,A451,G:G)*SUMIF(Summary!$A$166:$A$242,'Operations Support'!A451,Summary!$Q$166:$Q$242),0)</f>
        <v>40911.835621740262</v>
      </c>
      <c r="AG451" s="196">
        <f t="shared" ca="1" si="95"/>
        <v>286926.55467406771</v>
      </c>
      <c r="AI451" s="196">
        <f>IFERROR($G451/SUMIF($A:$A,$A451,$G:$G)*SUMIF(Summary!$A$247:$A$283,$A451,Summary!$P$247:$P$283),0)</f>
        <v>7448.6806307149509</v>
      </c>
      <c r="AJ451" s="196">
        <f>IFERROR($G451/SUMIF($A:$A,$A451,$G:$G)*(SUMIF(Summary!$A$247:$A$283,$A451,Summary!$L$247:$L$283)+SUMIF(Summary!$A$297:$A$333,$A451,Summary!$L$297:$L$333))-AI451,0)</f>
        <v>50109.867546713482</v>
      </c>
      <c r="AK451" s="196">
        <f>IFERROR($G451/SUMIF($A:$A,$A451,$G:$G)*SUMIF(Summary!$A$247:$A$283,$A451,Summary!$Q$247:$Q$283),0)</f>
        <v>7461.2978739279106</v>
      </c>
      <c r="AL451" s="196">
        <f>IFERROR($G451/SUMIF($A:$A,$A451,$G:$G)*(SUMIF(Summary!$A$247:$A$283,$A451,Summary!$L$247:$L$283)+SUMIF(Summary!$A$297:$A$333,$A451,Summary!$L$297:$L$333))-AK451,0)</f>
        <v>50097.250303500521</v>
      </c>
      <c r="AM451" s="198"/>
      <c r="AN451" s="196">
        <f t="shared" ca="1" si="96"/>
        <v>337105.60516844667</v>
      </c>
      <c r="AO451" s="196">
        <f t="shared" ca="1" si="97"/>
        <v>337023.80497756822</v>
      </c>
    </row>
    <row r="452" spans="1:41">
      <c r="A452" s="189">
        <v>3592</v>
      </c>
      <c r="B452" s="190">
        <v>2</v>
      </c>
      <c r="C452" s="191" t="s">
        <v>226</v>
      </c>
      <c r="D452" s="192">
        <f t="shared" si="84"/>
        <v>276</v>
      </c>
      <c r="E452" s="192">
        <f t="shared" si="85"/>
        <v>42</v>
      </c>
      <c r="F452" s="192">
        <f t="shared" si="86"/>
        <v>0</v>
      </c>
      <c r="G452" s="193">
        <f t="shared" si="87"/>
        <v>318</v>
      </c>
      <c r="H452" s="194">
        <v>45</v>
      </c>
      <c r="I452" s="194">
        <v>0</v>
      </c>
      <c r="J452" s="194">
        <v>0</v>
      </c>
      <c r="K452" s="193">
        <f t="shared" si="88"/>
        <v>45</v>
      </c>
      <c r="L452" s="194">
        <v>120</v>
      </c>
      <c r="M452" s="194">
        <v>42</v>
      </c>
      <c r="N452" s="194">
        <v>0</v>
      </c>
      <c r="O452" s="193">
        <f t="shared" si="89"/>
        <v>162</v>
      </c>
      <c r="P452" s="194">
        <v>111</v>
      </c>
      <c r="Q452" s="194">
        <v>0</v>
      </c>
      <c r="R452" s="194">
        <v>0</v>
      </c>
      <c r="S452" s="193">
        <f t="shared" si="90"/>
        <v>111</v>
      </c>
      <c r="T452" s="193">
        <f t="shared" si="91"/>
        <v>10.6</v>
      </c>
      <c r="U452" s="193">
        <f ca="1">OFFSET('Expenditure Study'!$B$7,'Operations Support'!$C452,'Operations Support'!$B452)*$G452</f>
        <v>572.4</v>
      </c>
      <c r="V452" s="199">
        <f ca="1">U452*'Expenditure Study'!$B$31</f>
        <v>33819.212689920001</v>
      </c>
      <c r="W452" s="199">
        <f ca="1">IF(A452=10298,1.51,1)*IF($B452&lt;3,$D452*'Expenditure Study'!$B$32*OFFSET('Expenditure Study'!$B$7,'Operations Support'!$C452,'Operations Support'!$B452),0)</f>
        <v>49.680000000000007</v>
      </c>
      <c r="X452" s="200">
        <f ca="1">W452*'Expenditure Study'!$B$31</f>
        <v>2935.2524221440003</v>
      </c>
      <c r="Y452" s="199">
        <f ca="1">U452*'Expenditure Study'!$B$31</f>
        <v>33819.212689920001</v>
      </c>
      <c r="Z452" s="200">
        <f ca="1">W452*'Expenditure Study'!$B$31</f>
        <v>2935.2524221440003</v>
      </c>
      <c r="AA452" s="195">
        <f t="shared" ca="1" si="92"/>
        <v>36754.465112064005</v>
      </c>
      <c r="AB452" s="195">
        <f t="shared" ca="1" si="93"/>
        <v>36754.465112064005</v>
      </c>
      <c r="AD452" s="196">
        <f>IFERROR($G452/SUMIF($A:$A,$A452,$G:$G)*SUMIF(Summary!$A$166:$A$242,$A452,Summary!$P$166:$P$242),0)</f>
        <v>7187.5835917851664</v>
      </c>
      <c r="AE452" s="197">
        <f t="shared" ca="1" si="94"/>
        <v>29566.881520278839</v>
      </c>
      <c r="AF452" s="196">
        <f>IFERROR(G452/SUMIF(A:A,A452,G:G)*SUMIF(Summary!$A$166:$A$242,'Operations Support'!A452,Summary!$Q$166:$Q$242),0)</f>
        <v>7199.7585654197028</v>
      </c>
      <c r="AG452" s="196">
        <f t="shared" ca="1" si="95"/>
        <v>29554.706546644302</v>
      </c>
      <c r="AI452" s="196">
        <f>IFERROR($G452/SUMIF($A:$A,$A452,$G:$G)*SUMIF(Summary!$A$247:$A$283,$A452,Summary!$P$247:$P$283),0)</f>
        <v>1310.8358829924484</v>
      </c>
      <c r="AJ452" s="196">
        <f>IFERROR($G452/SUMIF($A:$A,$A452,$G:$G)*(SUMIF(Summary!$A$247:$A$283,$A452,Summary!$L$247:$L$283)+SUMIF(Summary!$A$297:$A$333,$A452,Summary!$L$297:$L$333))-AI452,0)</f>
        <v>8818.4492970973351</v>
      </c>
      <c r="AK452" s="196">
        <f>IFERROR($G452/SUMIF($A:$A,$A452,$G:$G)*SUMIF(Summary!$A$247:$A$283,$A452,Summary!$Q$247:$Q$283),0)</f>
        <v>1313.0562943603074</v>
      </c>
      <c r="AL452" s="196">
        <f>IFERROR($G452/SUMIF($A:$A,$A452,$G:$G)*(SUMIF(Summary!$A$247:$A$283,$A452,Summary!$L$247:$L$283)+SUMIF(Summary!$A$297:$A$333,$A452,Summary!$L$297:$L$333))-AK452,0)</f>
        <v>8816.228885729477</v>
      </c>
      <c r="AM452" s="198"/>
      <c r="AN452" s="196">
        <f t="shared" ca="1" si="96"/>
        <v>38385.330817376176</v>
      </c>
      <c r="AO452" s="196">
        <f t="shared" ca="1" si="97"/>
        <v>38370.935432373779</v>
      </c>
    </row>
    <row r="453" spans="1:41">
      <c r="A453" s="189">
        <v>3592</v>
      </c>
      <c r="B453" s="190">
        <v>2</v>
      </c>
      <c r="C453" s="191" t="s">
        <v>227</v>
      </c>
      <c r="D453" s="192">
        <f t="shared" ref="D453:D516" si="98">H453+L453+P453</f>
        <v>0</v>
      </c>
      <c r="E453" s="192">
        <f t="shared" ref="E453:E516" si="99">I453+M453+Q453</f>
        <v>0</v>
      </c>
      <c r="F453" s="192">
        <f t="shared" ref="F453:F516" si="100">J453+N453+R453</f>
        <v>0</v>
      </c>
      <c r="G453" s="193">
        <f t="shared" ref="G453:G516" si="101">(SUM(D453:E453)-F453)*IF(A453=10298,1.51,1)</f>
        <v>0</v>
      </c>
      <c r="H453" s="194">
        <v>0</v>
      </c>
      <c r="I453" s="194">
        <v>0</v>
      </c>
      <c r="J453" s="194">
        <v>0</v>
      </c>
      <c r="K453" s="193">
        <f t="shared" ref="K453:K516" si="102">SUM(H453:I453)-J453</f>
        <v>0</v>
      </c>
      <c r="L453" s="194">
        <v>0</v>
      </c>
      <c r="M453" s="194">
        <v>0</v>
      </c>
      <c r="N453" s="194">
        <v>0</v>
      </c>
      <c r="O453" s="193">
        <f t="shared" ref="O453:O516" si="103">SUM(L453:M453)-N453</f>
        <v>0</v>
      </c>
      <c r="P453" s="194">
        <v>0</v>
      </c>
      <c r="Q453" s="194">
        <v>0</v>
      </c>
      <c r="R453" s="194">
        <v>0</v>
      </c>
      <c r="S453" s="193">
        <f t="shared" ref="S453:S516" si="104">SUM(P453:Q453)-R453</f>
        <v>0</v>
      </c>
      <c r="T453" s="193">
        <f t="shared" ref="T453:T516" si="105">IF(OR(B453=1,B453=2),G453/30,IF(OR(B453=3,B453=5),G453/24,IF(B453=4,G453/18,0)))</f>
        <v>0</v>
      </c>
      <c r="U453" s="193">
        <f ca="1">OFFSET('Expenditure Study'!$B$7,'Operations Support'!$C453,'Operations Support'!$B453)*$G453</f>
        <v>0</v>
      </c>
      <c r="V453" s="199">
        <f ca="1">U453*'Expenditure Study'!$B$31</f>
        <v>0</v>
      </c>
      <c r="W453" s="199">
        <f ca="1">IF(A453=10298,1.51,1)*IF($B453&lt;3,$D453*'Expenditure Study'!$B$32*OFFSET('Expenditure Study'!$B$7,'Operations Support'!$C453,'Operations Support'!$B453),0)</f>
        <v>0</v>
      </c>
      <c r="X453" s="200">
        <f ca="1">W453*'Expenditure Study'!$B$31</f>
        <v>0</v>
      </c>
      <c r="Y453" s="199">
        <f ca="1">U453*'Expenditure Study'!$B$31</f>
        <v>0</v>
      </c>
      <c r="Z453" s="200">
        <f ca="1">W453*'Expenditure Study'!$B$31</f>
        <v>0</v>
      </c>
      <c r="AA453" s="195">
        <f t="shared" ref="AA453:AA516" ca="1" si="106">V453+X453</f>
        <v>0</v>
      </c>
      <c r="AB453" s="195">
        <f t="shared" ref="AB453:AB516" ca="1" si="107">Y453+Z453</f>
        <v>0</v>
      </c>
      <c r="AD453" s="196">
        <f>IFERROR($G453/SUMIF($A:$A,$A453,$G:$G)*SUMIF(Summary!$A$166:$A$242,$A453,Summary!$P$166:$P$242),0)</f>
        <v>0</v>
      </c>
      <c r="AE453" s="197">
        <f t="shared" ca="1" si="94"/>
        <v>0</v>
      </c>
      <c r="AF453" s="196">
        <f>IFERROR(G453/SUMIF(A:A,A453,G:G)*SUMIF(Summary!$A$166:$A$242,'Operations Support'!A453,Summary!$Q$166:$Q$242),0)</f>
        <v>0</v>
      </c>
      <c r="AG453" s="196">
        <f t="shared" ca="1" si="95"/>
        <v>0</v>
      </c>
      <c r="AI453" s="196">
        <f>IFERROR($G453/SUMIF($A:$A,$A453,$G:$G)*SUMIF(Summary!$A$247:$A$283,$A453,Summary!$P$247:$P$283),0)</f>
        <v>0</v>
      </c>
      <c r="AJ453" s="196">
        <f>IFERROR($G453/SUMIF($A:$A,$A453,$G:$G)*(SUMIF(Summary!$A$247:$A$283,$A453,Summary!$L$247:$L$283)+SUMIF(Summary!$A$297:$A$333,$A453,Summary!$L$297:$L$333))-AI453,0)</f>
        <v>0</v>
      </c>
      <c r="AK453" s="196">
        <f>IFERROR($G453/SUMIF($A:$A,$A453,$G:$G)*SUMIF(Summary!$A$247:$A$283,$A453,Summary!$Q$247:$Q$283),0)</f>
        <v>0</v>
      </c>
      <c r="AL453" s="196">
        <f>IFERROR($G453/SUMIF($A:$A,$A453,$G:$G)*(SUMIF(Summary!$A$247:$A$283,$A453,Summary!$L$247:$L$283)+SUMIF(Summary!$A$297:$A$333,$A453,Summary!$L$297:$L$333))-AK453,0)</f>
        <v>0</v>
      </c>
      <c r="AM453" s="198"/>
      <c r="AN453" s="196">
        <f t="shared" ca="1" si="96"/>
        <v>0</v>
      </c>
      <c r="AO453" s="196">
        <f t="shared" ca="1" si="97"/>
        <v>0</v>
      </c>
    </row>
    <row r="454" spans="1:41">
      <c r="A454" s="189">
        <v>3592</v>
      </c>
      <c r="B454" s="190">
        <v>2</v>
      </c>
      <c r="C454" s="191" t="s">
        <v>228</v>
      </c>
      <c r="D454" s="192">
        <f t="shared" si="98"/>
        <v>586</v>
      </c>
      <c r="E454" s="192">
        <f t="shared" si="99"/>
        <v>729</v>
      </c>
      <c r="F454" s="192">
        <f t="shared" si="100"/>
        <v>0</v>
      </c>
      <c r="G454" s="193">
        <f t="shared" si="101"/>
        <v>1315</v>
      </c>
      <c r="H454" s="194">
        <v>198</v>
      </c>
      <c r="I454" s="194">
        <v>450</v>
      </c>
      <c r="J454" s="194">
        <v>0</v>
      </c>
      <c r="K454" s="193">
        <f t="shared" si="102"/>
        <v>648</v>
      </c>
      <c r="L454" s="194">
        <v>328</v>
      </c>
      <c r="M454" s="194">
        <v>219</v>
      </c>
      <c r="N454" s="194">
        <v>0</v>
      </c>
      <c r="O454" s="193">
        <f t="shared" si="103"/>
        <v>547</v>
      </c>
      <c r="P454" s="194">
        <v>60</v>
      </c>
      <c r="Q454" s="194">
        <v>60</v>
      </c>
      <c r="R454" s="194">
        <v>0</v>
      </c>
      <c r="S454" s="193">
        <f t="shared" si="104"/>
        <v>120</v>
      </c>
      <c r="T454" s="193">
        <f t="shared" si="105"/>
        <v>43.833333333333336</v>
      </c>
      <c r="U454" s="193">
        <f ca="1">OFFSET('Expenditure Study'!$B$7,'Operations Support'!$C454,'Operations Support'!$B454)*$G454</f>
        <v>2511.65</v>
      </c>
      <c r="V454" s="199">
        <f ca="1">U454*'Expenditure Study'!$B$31</f>
        <v>148396.27105631999</v>
      </c>
      <c r="W454" s="199">
        <f ca="1">IF(A454=10298,1.51,1)*IF($B454&lt;3,$D454*'Expenditure Study'!$B$32*OFFSET('Expenditure Study'!$B$7,'Operations Support'!$C454,'Operations Support'!$B454),0)</f>
        <v>111.926</v>
      </c>
      <c r="X454" s="200">
        <f ca="1">W454*'Expenditure Study'!$B$31</f>
        <v>6612.9440942208003</v>
      </c>
      <c r="Y454" s="199">
        <f ca="1">U454*'Expenditure Study'!$B$31</f>
        <v>148396.27105631999</v>
      </c>
      <c r="Z454" s="200">
        <f ca="1">W454*'Expenditure Study'!$B$31</f>
        <v>6612.9440942208003</v>
      </c>
      <c r="AA454" s="195">
        <f t="shared" ca="1" si="106"/>
        <v>155009.21515054078</v>
      </c>
      <c r="AB454" s="195">
        <f t="shared" ca="1" si="107"/>
        <v>155009.21515054078</v>
      </c>
      <c r="AD454" s="196">
        <f>IFERROR($G454/SUMIF($A:$A,$A454,$G:$G)*SUMIF(Summary!$A$166:$A$242,$A454,Summary!$P$166:$P$242),0)</f>
        <v>29722.240324520422</v>
      </c>
      <c r="AE454" s="197">
        <f t="shared" ref="AE454:AE517" ca="1" si="108">V454+X454-AD454</f>
        <v>125286.97482602036</v>
      </c>
      <c r="AF454" s="196">
        <f>IFERROR(G454/SUMIF(A:A,A454,G:G)*SUMIF(Summary!$A$166:$A$242,'Operations Support'!A454,Summary!$Q$166:$Q$242),0)</f>
        <v>29772.586520524874</v>
      </c>
      <c r="AG454" s="196">
        <f t="shared" ref="AG454:AG517" ca="1" si="109">Y454+Z454-AF454</f>
        <v>125236.62863001591</v>
      </c>
      <c r="AI454" s="196">
        <f>IFERROR($G454/SUMIF($A:$A,$A454,$G:$G)*SUMIF(Summary!$A$247:$A$283,$A454,Summary!$P$247:$P$283),0)</f>
        <v>5420.5949249530504</v>
      </c>
      <c r="AJ454" s="196">
        <f>IFERROR($G454/SUMIF($A:$A,$A454,$G:$G)*(SUMIF(Summary!$A$247:$A$283,$A454,Summary!$L$247:$L$283)+SUMIF(Summary!$A$297:$A$333,$A454,Summary!$L$297:$L$333))-AI454,0)</f>
        <v>36466.229011581752</v>
      </c>
      <c r="AK454" s="196">
        <f>IFERROR($G454/SUMIF($A:$A,$A454,$G:$G)*SUMIF(Summary!$A$247:$A$283,$A454,Summary!$Q$247:$Q$283),0)</f>
        <v>5429.7768147289444</v>
      </c>
      <c r="AL454" s="196">
        <f>IFERROR($G454/SUMIF($A:$A,$A454,$G:$G)*(SUMIF(Summary!$A$247:$A$283,$A454,Summary!$L$247:$L$283)+SUMIF(Summary!$A$297:$A$333,$A454,Summary!$L$297:$L$333))-AK454,0)</f>
        <v>36457.047121805859</v>
      </c>
      <c r="AM454" s="198"/>
      <c r="AN454" s="196">
        <f t="shared" ref="AN454:AN517" ca="1" si="110">AE454+AJ454</f>
        <v>161753.20383760211</v>
      </c>
      <c r="AO454" s="196">
        <f t="shared" ref="AO454:AO517" ca="1" si="111">AG454+AL454</f>
        <v>161693.67575182178</v>
      </c>
    </row>
    <row r="455" spans="1:41">
      <c r="A455" s="189">
        <v>3592</v>
      </c>
      <c r="B455" s="190">
        <v>2</v>
      </c>
      <c r="C455" s="191" t="s">
        <v>229</v>
      </c>
      <c r="D455" s="192">
        <f t="shared" si="98"/>
        <v>0</v>
      </c>
      <c r="E455" s="192">
        <f t="shared" si="99"/>
        <v>0</v>
      </c>
      <c r="F455" s="192">
        <f t="shared" si="100"/>
        <v>0</v>
      </c>
      <c r="G455" s="193">
        <f t="shared" si="101"/>
        <v>0</v>
      </c>
      <c r="H455" s="194">
        <v>0</v>
      </c>
      <c r="I455" s="194">
        <v>0</v>
      </c>
      <c r="J455" s="194">
        <v>0</v>
      </c>
      <c r="K455" s="193">
        <f t="shared" si="102"/>
        <v>0</v>
      </c>
      <c r="L455" s="194">
        <v>0</v>
      </c>
      <c r="M455" s="194">
        <v>0</v>
      </c>
      <c r="N455" s="194">
        <v>0</v>
      </c>
      <c r="O455" s="193">
        <f t="shared" si="103"/>
        <v>0</v>
      </c>
      <c r="P455" s="194">
        <v>0</v>
      </c>
      <c r="Q455" s="194">
        <v>0</v>
      </c>
      <c r="R455" s="194">
        <v>0</v>
      </c>
      <c r="S455" s="193">
        <f t="shared" si="104"/>
        <v>0</v>
      </c>
      <c r="T455" s="193">
        <f t="shared" si="105"/>
        <v>0</v>
      </c>
      <c r="U455" s="193">
        <f ca="1">OFFSET('Expenditure Study'!$B$7,'Operations Support'!$C455,'Operations Support'!$B455)*$G455</f>
        <v>0</v>
      </c>
      <c r="V455" s="199">
        <f ca="1">U455*'Expenditure Study'!$B$31</f>
        <v>0</v>
      </c>
      <c r="W455" s="199">
        <f ca="1">IF(A455=10298,1.51,1)*IF($B455&lt;3,$D455*'Expenditure Study'!$B$32*OFFSET('Expenditure Study'!$B$7,'Operations Support'!$C455,'Operations Support'!$B455),0)</f>
        <v>0</v>
      </c>
      <c r="X455" s="200">
        <f ca="1">W455*'Expenditure Study'!$B$31</f>
        <v>0</v>
      </c>
      <c r="Y455" s="199">
        <f ca="1">U455*'Expenditure Study'!$B$31</f>
        <v>0</v>
      </c>
      <c r="Z455" s="200">
        <f ca="1">W455*'Expenditure Study'!$B$31</f>
        <v>0</v>
      </c>
      <c r="AA455" s="195">
        <f t="shared" ca="1" si="106"/>
        <v>0</v>
      </c>
      <c r="AB455" s="195">
        <f t="shared" ca="1" si="107"/>
        <v>0</v>
      </c>
      <c r="AD455" s="196">
        <f>IFERROR($G455/SUMIF($A:$A,$A455,$G:$G)*SUMIF(Summary!$A$166:$A$242,$A455,Summary!$P$166:$P$242),0)</f>
        <v>0</v>
      </c>
      <c r="AE455" s="197">
        <f t="shared" ca="1" si="108"/>
        <v>0</v>
      </c>
      <c r="AF455" s="196">
        <f>IFERROR(G455/SUMIF(A:A,A455,G:G)*SUMIF(Summary!$A$166:$A$242,'Operations Support'!A455,Summary!$Q$166:$Q$242),0)</f>
        <v>0</v>
      </c>
      <c r="AG455" s="196">
        <f t="shared" ca="1" si="109"/>
        <v>0</v>
      </c>
      <c r="AI455" s="196">
        <f>IFERROR($G455/SUMIF($A:$A,$A455,$G:$G)*SUMIF(Summary!$A$247:$A$283,$A455,Summary!$P$247:$P$283),0)</f>
        <v>0</v>
      </c>
      <c r="AJ455" s="196">
        <f>IFERROR($G455/SUMIF($A:$A,$A455,$G:$G)*(SUMIF(Summary!$A$247:$A$283,$A455,Summary!$L$247:$L$283)+SUMIF(Summary!$A$297:$A$333,$A455,Summary!$L$297:$L$333))-AI455,0)</f>
        <v>0</v>
      </c>
      <c r="AK455" s="196">
        <f>IFERROR($G455/SUMIF($A:$A,$A455,$G:$G)*SUMIF(Summary!$A$247:$A$283,$A455,Summary!$Q$247:$Q$283),0)</f>
        <v>0</v>
      </c>
      <c r="AL455" s="196">
        <f>IFERROR($G455/SUMIF($A:$A,$A455,$G:$G)*(SUMIF(Summary!$A$247:$A$283,$A455,Summary!$L$247:$L$283)+SUMIF(Summary!$A$297:$A$333,$A455,Summary!$L$297:$L$333))-AK455,0)</f>
        <v>0</v>
      </c>
      <c r="AM455" s="198"/>
      <c r="AN455" s="196">
        <f t="shared" ca="1" si="110"/>
        <v>0</v>
      </c>
      <c r="AO455" s="196">
        <f t="shared" ca="1" si="111"/>
        <v>0</v>
      </c>
    </row>
    <row r="456" spans="1:41">
      <c r="A456" s="189">
        <v>3592</v>
      </c>
      <c r="B456" s="190">
        <v>2</v>
      </c>
      <c r="C456" s="191" t="s">
        <v>230</v>
      </c>
      <c r="D456" s="192">
        <f t="shared" si="98"/>
        <v>0</v>
      </c>
      <c r="E456" s="192">
        <f t="shared" si="99"/>
        <v>0</v>
      </c>
      <c r="F456" s="192">
        <f t="shared" si="100"/>
        <v>0</v>
      </c>
      <c r="G456" s="193">
        <f t="shared" si="101"/>
        <v>0</v>
      </c>
      <c r="H456" s="194">
        <v>0</v>
      </c>
      <c r="I456" s="194">
        <v>0</v>
      </c>
      <c r="J456" s="194">
        <v>0</v>
      </c>
      <c r="K456" s="193">
        <f t="shared" si="102"/>
        <v>0</v>
      </c>
      <c r="L456" s="194">
        <v>0</v>
      </c>
      <c r="M456" s="194">
        <v>0</v>
      </c>
      <c r="N456" s="194">
        <v>0</v>
      </c>
      <c r="O456" s="193">
        <f t="shared" si="103"/>
        <v>0</v>
      </c>
      <c r="P456" s="194">
        <v>0</v>
      </c>
      <c r="Q456" s="194">
        <v>0</v>
      </c>
      <c r="R456" s="194">
        <v>0</v>
      </c>
      <c r="S456" s="193">
        <f t="shared" si="104"/>
        <v>0</v>
      </c>
      <c r="T456" s="193">
        <f t="shared" si="105"/>
        <v>0</v>
      </c>
      <c r="U456" s="193">
        <f ca="1">OFFSET('Expenditure Study'!$B$7,'Operations Support'!$C456,'Operations Support'!$B456)*$G456</f>
        <v>0</v>
      </c>
      <c r="V456" s="199">
        <f ca="1">U456*'Expenditure Study'!$B$31</f>
        <v>0</v>
      </c>
      <c r="W456" s="199">
        <f ca="1">IF(A456=10298,1.51,1)*IF($B456&lt;3,$D456*'Expenditure Study'!$B$32*OFFSET('Expenditure Study'!$B$7,'Operations Support'!$C456,'Operations Support'!$B456),0)</f>
        <v>0</v>
      </c>
      <c r="X456" s="200">
        <f ca="1">W456*'Expenditure Study'!$B$31</f>
        <v>0</v>
      </c>
      <c r="Y456" s="199">
        <f ca="1">U456*'Expenditure Study'!$B$31</f>
        <v>0</v>
      </c>
      <c r="Z456" s="200">
        <f ca="1">W456*'Expenditure Study'!$B$31</f>
        <v>0</v>
      </c>
      <c r="AA456" s="195">
        <f t="shared" ca="1" si="106"/>
        <v>0</v>
      </c>
      <c r="AB456" s="195">
        <f t="shared" ca="1" si="107"/>
        <v>0</v>
      </c>
      <c r="AD456" s="196">
        <f>IFERROR($G456/SUMIF($A:$A,$A456,$G:$G)*SUMIF(Summary!$A$166:$A$242,$A456,Summary!$P$166:$P$242),0)</f>
        <v>0</v>
      </c>
      <c r="AE456" s="197">
        <f t="shared" ca="1" si="108"/>
        <v>0</v>
      </c>
      <c r="AF456" s="196">
        <f>IFERROR(G456/SUMIF(A:A,A456,G:G)*SUMIF(Summary!$A$166:$A$242,'Operations Support'!A456,Summary!$Q$166:$Q$242),0)</f>
        <v>0</v>
      </c>
      <c r="AG456" s="196">
        <f t="shared" ca="1" si="109"/>
        <v>0</v>
      </c>
      <c r="AI456" s="196">
        <f>IFERROR($G456/SUMIF($A:$A,$A456,$G:$G)*SUMIF(Summary!$A$247:$A$283,$A456,Summary!$P$247:$P$283),0)</f>
        <v>0</v>
      </c>
      <c r="AJ456" s="196">
        <f>IFERROR($G456/SUMIF($A:$A,$A456,$G:$G)*(SUMIF(Summary!$A$247:$A$283,$A456,Summary!$L$247:$L$283)+SUMIF(Summary!$A$297:$A$333,$A456,Summary!$L$297:$L$333))-AI456,0)</f>
        <v>0</v>
      </c>
      <c r="AK456" s="196">
        <f>IFERROR($G456/SUMIF($A:$A,$A456,$G:$G)*SUMIF(Summary!$A$247:$A$283,$A456,Summary!$Q$247:$Q$283),0)</f>
        <v>0</v>
      </c>
      <c r="AL456" s="196">
        <f>IFERROR($G456/SUMIF($A:$A,$A456,$G:$G)*(SUMIF(Summary!$A$247:$A$283,$A456,Summary!$L$247:$L$283)+SUMIF(Summary!$A$297:$A$333,$A456,Summary!$L$297:$L$333))-AK456,0)</f>
        <v>0</v>
      </c>
      <c r="AM456" s="198"/>
      <c r="AN456" s="196">
        <f t="shared" ca="1" si="110"/>
        <v>0</v>
      </c>
      <c r="AO456" s="196">
        <f t="shared" ca="1" si="111"/>
        <v>0</v>
      </c>
    </row>
    <row r="457" spans="1:41">
      <c r="A457" s="189">
        <v>3592</v>
      </c>
      <c r="B457" s="190">
        <v>2</v>
      </c>
      <c r="C457" s="191" t="s">
        <v>231</v>
      </c>
      <c r="D457" s="192">
        <f t="shared" si="98"/>
        <v>0</v>
      </c>
      <c r="E457" s="192">
        <f t="shared" si="99"/>
        <v>0</v>
      </c>
      <c r="F457" s="192">
        <f t="shared" si="100"/>
        <v>0</v>
      </c>
      <c r="G457" s="193">
        <f t="shared" si="101"/>
        <v>0</v>
      </c>
      <c r="H457" s="194">
        <v>0</v>
      </c>
      <c r="I457" s="194">
        <v>0</v>
      </c>
      <c r="J457" s="194">
        <v>0</v>
      </c>
      <c r="K457" s="193">
        <f t="shared" si="102"/>
        <v>0</v>
      </c>
      <c r="L457" s="194">
        <v>0</v>
      </c>
      <c r="M457" s="194">
        <v>0</v>
      </c>
      <c r="N457" s="194">
        <v>0</v>
      </c>
      <c r="O457" s="193">
        <f t="shared" si="103"/>
        <v>0</v>
      </c>
      <c r="P457" s="194">
        <v>0</v>
      </c>
      <c r="Q457" s="194">
        <v>0</v>
      </c>
      <c r="R457" s="194">
        <v>0</v>
      </c>
      <c r="S457" s="193">
        <f t="shared" si="104"/>
        <v>0</v>
      </c>
      <c r="T457" s="193">
        <f t="shared" si="105"/>
        <v>0</v>
      </c>
      <c r="U457" s="193">
        <f ca="1">OFFSET('Expenditure Study'!$B$7,'Operations Support'!$C457,'Operations Support'!$B457)*$G457</f>
        <v>0</v>
      </c>
      <c r="V457" s="199">
        <f ca="1">U457*'Expenditure Study'!$B$31</f>
        <v>0</v>
      </c>
      <c r="W457" s="199">
        <f ca="1">IF(A457=10298,1.51,1)*IF($B457&lt;3,$D457*'Expenditure Study'!$B$32*OFFSET('Expenditure Study'!$B$7,'Operations Support'!$C457,'Operations Support'!$B457),0)</f>
        <v>0</v>
      </c>
      <c r="X457" s="200">
        <f ca="1">W457*'Expenditure Study'!$B$31</f>
        <v>0</v>
      </c>
      <c r="Y457" s="199">
        <f ca="1">U457*'Expenditure Study'!$B$31</f>
        <v>0</v>
      </c>
      <c r="Z457" s="200">
        <f ca="1">W457*'Expenditure Study'!$B$31</f>
        <v>0</v>
      </c>
      <c r="AA457" s="195">
        <f t="shared" ca="1" si="106"/>
        <v>0</v>
      </c>
      <c r="AB457" s="195">
        <f t="shared" ca="1" si="107"/>
        <v>0</v>
      </c>
      <c r="AD457" s="196">
        <f>IFERROR($G457/SUMIF($A:$A,$A457,$G:$G)*SUMIF(Summary!$A$166:$A$242,$A457,Summary!$P$166:$P$242),0)</f>
        <v>0</v>
      </c>
      <c r="AE457" s="197">
        <f t="shared" ca="1" si="108"/>
        <v>0</v>
      </c>
      <c r="AF457" s="196">
        <f>IFERROR(G457/SUMIF(A:A,A457,G:G)*SUMIF(Summary!$A$166:$A$242,'Operations Support'!A457,Summary!$Q$166:$Q$242),0)</f>
        <v>0</v>
      </c>
      <c r="AG457" s="196">
        <f t="shared" ca="1" si="109"/>
        <v>0</v>
      </c>
      <c r="AI457" s="196">
        <f>IFERROR($G457/SUMIF($A:$A,$A457,$G:$G)*SUMIF(Summary!$A$247:$A$283,$A457,Summary!$P$247:$P$283),0)</f>
        <v>0</v>
      </c>
      <c r="AJ457" s="196">
        <f>IFERROR($G457/SUMIF($A:$A,$A457,$G:$G)*(SUMIF(Summary!$A$247:$A$283,$A457,Summary!$L$247:$L$283)+SUMIF(Summary!$A$297:$A$333,$A457,Summary!$L$297:$L$333))-AI457,0)</f>
        <v>0</v>
      </c>
      <c r="AK457" s="196">
        <f>IFERROR($G457/SUMIF($A:$A,$A457,$G:$G)*SUMIF(Summary!$A$247:$A$283,$A457,Summary!$Q$247:$Q$283),0)</f>
        <v>0</v>
      </c>
      <c r="AL457" s="196">
        <f>IFERROR($G457/SUMIF($A:$A,$A457,$G:$G)*(SUMIF(Summary!$A$247:$A$283,$A457,Summary!$L$247:$L$283)+SUMIF(Summary!$A$297:$A$333,$A457,Summary!$L$297:$L$333))-AK457,0)</f>
        <v>0</v>
      </c>
      <c r="AM457" s="198"/>
      <c r="AN457" s="196">
        <f t="shared" ca="1" si="110"/>
        <v>0</v>
      </c>
      <c r="AO457" s="196">
        <f t="shared" ca="1" si="111"/>
        <v>0</v>
      </c>
    </row>
    <row r="458" spans="1:41">
      <c r="A458" s="189">
        <v>3592</v>
      </c>
      <c r="B458" s="190">
        <v>2</v>
      </c>
      <c r="C458" s="191" t="s">
        <v>232</v>
      </c>
      <c r="D458" s="192">
        <f t="shared" si="98"/>
        <v>0</v>
      </c>
      <c r="E458" s="192">
        <f t="shared" si="99"/>
        <v>0</v>
      </c>
      <c r="F458" s="192">
        <f t="shared" si="100"/>
        <v>0</v>
      </c>
      <c r="G458" s="193">
        <f t="shared" si="101"/>
        <v>0</v>
      </c>
      <c r="H458" s="194">
        <v>0</v>
      </c>
      <c r="I458" s="194">
        <v>0</v>
      </c>
      <c r="J458" s="194">
        <v>0</v>
      </c>
      <c r="K458" s="193">
        <f t="shared" si="102"/>
        <v>0</v>
      </c>
      <c r="L458" s="194">
        <v>0</v>
      </c>
      <c r="M458" s="194">
        <v>0</v>
      </c>
      <c r="N458" s="194">
        <v>0</v>
      </c>
      <c r="O458" s="193">
        <f t="shared" si="103"/>
        <v>0</v>
      </c>
      <c r="P458" s="194">
        <v>0</v>
      </c>
      <c r="Q458" s="194">
        <v>0</v>
      </c>
      <c r="R458" s="194">
        <v>0</v>
      </c>
      <c r="S458" s="193">
        <f t="shared" si="104"/>
        <v>0</v>
      </c>
      <c r="T458" s="193">
        <f t="shared" si="105"/>
        <v>0</v>
      </c>
      <c r="U458" s="193">
        <f ca="1">OFFSET('Expenditure Study'!$B$7,'Operations Support'!$C458,'Operations Support'!$B458)*$G458</f>
        <v>0</v>
      </c>
      <c r="V458" s="199">
        <f ca="1">U458*'Expenditure Study'!$B$31</f>
        <v>0</v>
      </c>
      <c r="W458" s="199">
        <f ca="1">IF(A458=10298,1.51,1)*IF($B458&lt;3,$D458*'Expenditure Study'!$B$32*OFFSET('Expenditure Study'!$B$7,'Operations Support'!$C458,'Operations Support'!$B458),0)</f>
        <v>0</v>
      </c>
      <c r="X458" s="200">
        <f ca="1">W458*'Expenditure Study'!$B$31</f>
        <v>0</v>
      </c>
      <c r="Y458" s="199">
        <f ca="1">U458*'Expenditure Study'!$B$31</f>
        <v>0</v>
      </c>
      <c r="Z458" s="200">
        <f ca="1">W458*'Expenditure Study'!$B$31</f>
        <v>0</v>
      </c>
      <c r="AA458" s="195">
        <f t="shared" ca="1" si="106"/>
        <v>0</v>
      </c>
      <c r="AB458" s="195">
        <f t="shared" ca="1" si="107"/>
        <v>0</v>
      </c>
      <c r="AD458" s="196">
        <f>IFERROR($G458/SUMIF($A:$A,$A458,$G:$G)*SUMIF(Summary!$A$166:$A$242,$A458,Summary!$P$166:$P$242),0)</f>
        <v>0</v>
      </c>
      <c r="AE458" s="197">
        <f t="shared" ca="1" si="108"/>
        <v>0</v>
      </c>
      <c r="AF458" s="196">
        <f>IFERROR(G458/SUMIF(A:A,A458,G:G)*SUMIF(Summary!$A$166:$A$242,'Operations Support'!A458,Summary!$Q$166:$Q$242),0)</f>
        <v>0</v>
      </c>
      <c r="AG458" s="196">
        <f t="shared" ca="1" si="109"/>
        <v>0</v>
      </c>
      <c r="AI458" s="196">
        <f>IFERROR($G458/SUMIF($A:$A,$A458,$G:$G)*SUMIF(Summary!$A$247:$A$283,$A458,Summary!$P$247:$P$283),0)</f>
        <v>0</v>
      </c>
      <c r="AJ458" s="196">
        <f>IFERROR($G458/SUMIF($A:$A,$A458,$G:$G)*(SUMIF(Summary!$A$247:$A$283,$A458,Summary!$L$247:$L$283)+SUMIF(Summary!$A$297:$A$333,$A458,Summary!$L$297:$L$333))-AI458,0)</f>
        <v>0</v>
      </c>
      <c r="AK458" s="196">
        <f>IFERROR($G458/SUMIF($A:$A,$A458,$G:$G)*SUMIF(Summary!$A$247:$A$283,$A458,Summary!$Q$247:$Q$283),0)</f>
        <v>0</v>
      </c>
      <c r="AL458" s="196">
        <f>IFERROR($G458/SUMIF($A:$A,$A458,$G:$G)*(SUMIF(Summary!$A$247:$A$283,$A458,Summary!$L$247:$L$283)+SUMIF(Summary!$A$297:$A$333,$A458,Summary!$L$297:$L$333))-AK458,0)</f>
        <v>0</v>
      </c>
      <c r="AM458" s="198"/>
      <c r="AN458" s="196">
        <f t="shared" ca="1" si="110"/>
        <v>0</v>
      </c>
      <c r="AO458" s="196">
        <f t="shared" ca="1" si="111"/>
        <v>0</v>
      </c>
    </row>
    <row r="459" spans="1:41">
      <c r="A459" s="189">
        <v>3592</v>
      </c>
      <c r="B459" s="190">
        <v>2</v>
      </c>
      <c r="C459" s="191" t="s">
        <v>233</v>
      </c>
      <c r="D459" s="192">
        <f t="shared" si="98"/>
        <v>3500.5</v>
      </c>
      <c r="E459" s="192">
        <f t="shared" si="99"/>
        <v>5461.5</v>
      </c>
      <c r="F459" s="192">
        <f t="shared" si="100"/>
        <v>0</v>
      </c>
      <c r="G459" s="193">
        <f t="shared" si="101"/>
        <v>8962</v>
      </c>
      <c r="H459" s="194">
        <v>1454</v>
      </c>
      <c r="I459" s="194">
        <v>2311</v>
      </c>
      <c r="J459" s="194">
        <v>0</v>
      </c>
      <c r="K459" s="193">
        <f t="shared" si="102"/>
        <v>3765</v>
      </c>
      <c r="L459" s="194">
        <v>1420</v>
      </c>
      <c r="M459" s="194">
        <v>2350</v>
      </c>
      <c r="N459" s="194">
        <v>0</v>
      </c>
      <c r="O459" s="193">
        <f t="shared" si="103"/>
        <v>3770</v>
      </c>
      <c r="P459" s="194">
        <v>626.5</v>
      </c>
      <c r="Q459" s="194">
        <v>800.5</v>
      </c>
      <c r="R459" s="194">
        <v>0</v>
      </c>
      <c r="S459" s="193">
        <f t="shared" si="104"/>
        <v>1427</v>
      </c>
      <c r="T459" s="193">
        <f t="shared" si="105"/>
        <v>298.73333333333335</v>
      </c>
      <c r="U459" s="193">
        <f ca="1">OFFSET('Expenditure Study'!$B$7,'Operations Support'!$C459,'Operations Support'!$B459)*$G459</f>
        <v>14428.820000000002</v>
      </c>
      <c r="V459" s="199">
        <f ca="1">U459*'Expenditure Study'!$B$31</f>
        <v>852500.58079065615</v>
      </c>
      <c r="W459" s="199">
        <f ca="1">IF(A459=10298,1.51,1)*IF($B459&lt;3,$D459*'Expenditure Study'!$B$32*OFFSET('Expenditure Study'!$B$7,'Operations Support'!$C459,'Operations Support'!$B459),0)</f>
        <v>563.58050000000003</v>
      </c>
      <c r="X459" s="200">
        <f ca="1">W459*'Expenditure Study'!$B$31</f>
        <v>33298.128576854404</v>
      </c>
      <c r="Y459" s="199">
        <f ca="1">U459*'Expenditure Study'!$B$31</f>
        <v>852500.58079065615</v>
      </c>
      <c r="Z459" s="200">
        <f ca="1">W459*'Expenditure Study'!$B$31</f>
        <v>33298.128576854404</v>
      </c>
      <c r="AA459" s="195">
        <f t="shared" ca="1" si="106"/>
        <v>885798.70936751051</v>
      </c>
      <c r="AB459" s="195">
        <f t="shared" ca="1" si="107"/>
        <v>885798.70936751051</v>
      </c>
      <c r="AD459" s="196">
        <f>IFERROR($G459/SUMIF($A:$A,$A459,$G:$G)*SUMIF(Summary!$A$166:$A$242,$A459,Summary!$P$166:$P$242),0)</f>
        <v>202563.28348924109</v>
      </c>
      <c r="AE459" s="197">
        <f t="shared" ca="1" si="108"/>
        <v>683235.42587826937</v>
      </c>
      <c r="AF459" s="196">
        <f>IFERROR(G459/SUMIF(A:A,A459,G:G)*SUMIF(Summary!$A$166:$A$242,'Operations Support'!A459,Summary!$Q$166:$Q$242),0)</f>
        <v>202906.40334368357</v>
      </c>
      <c r="AG459" s="196">
        <f t="shared" ca="1" si="109"/>
        <v>682892.30602382694</v>
      </c>
      <c r="AI459" s="196">
        <f>IFERROR($G459/SUMIF($A:$A,$A459,$G:$G)*SUMIF(Summary!$A$247:$A$283,$A459,Summary!$P$247:$P$283),0)</f>
        <v>36942.487998045042</v>
      </c>
      <c r="AJ459" s="196">
        <f>IFERROR($G459/SUMIF($A:$A,$A459,$G:$G)*(SUMIF(Summary!$A$247:$A$283,$A459,Summary!$L$247:$L$283)+SUMIF(Summary!$A$297:$A$333,$A459,Summary!$L$297:$L$333))-AI459,0)</f>
        <v>248524.97673140356</v>
      </c>
      <c r="AK459" s="196">
        <f>IFERROR($G459/SUMIF($A:$A,$A459,$G:$G)*SUMIF(Summary!$A$247:$A$283,$A459,Summary!$Q$247:$Q$283),0)</f>
        <v>37005.064497034829</v>
      </c>
      <c r="AL459" s="196">
        <f>IFERROR($G459/SUMIF($A:$A,$A459,$G:$G)*(SUMIF(Summary!$A$247:$A$283,$A459,Summary!$L$247:$L$283)+SUMIF(Summary!$A$297:$A$333,$A459,Summary!$L$297:$L$333))-AK459,0)</f>
        <v>248462.40023241378</v>
      </c>
      <c r="AM459" s="198"/>
      <c r="AN459" s="196">
        <f t="shared" ca="1" si="110"/>
        <v>931760.40260967286</v>
      </c>
      <c r="AO459" s="196">
        <f t="shared" ca="1" si="111"/>
        <v>931354.70625624072</v>
      </c>
    </row>
    <row r="460" spans="1:41">
      <c r="A460" s="189">
        <v>3592</v>
      </c>
      <c r="B460" s="190">
        <v>2</v>
      </c>
      <c r="C460" s="191" t="s">
        <v>234</v>
      </c>
      <c r="D460" s="192">
        <f t="shared" si="98"/>
        <v>0</v>
      </c>
      <c r="E460" s="192">
        <f t="shared" si="99"/>
        <v>0</v>
      </c>
      <c r="F460" s="192">
        <f t="shared" si="100"/>
        <v>0</v>
      </c>
      <c r="G460" s="193">
        <f t="shared" si="101"/>
        <v>0</v>
      </c>
      <c r="H460" s="194">
        <v>0</v>
      </c>
      <c r="I460" s="194">
        <v>0</v>
      </c>
      <c r="J460" s="194">
        <v>0</v>
      </c>
      <c r="K460" s="193">
        <f t="shared" si="102"/>
        <v>0</v>
      </c>
      <c r="L460" s="194">
        <v>0</v>
      </c>
      <c r="M460" s="194">
        <v>0</v>
      </c>
      <c r="N460" s="194">
        <v>0</v>
      </c>
      <c r="O460" s="193">
        <f t="shared" si="103"/>
        <v>0</v>
      </c>
      <c r="P460" s="194">
        <v>0</v>
      </c>
      <c r="Q460" s="194">
        <v>0</v>
      </c>
      <c r="R460" s="194">
        <v>0</v>
      </c>
      <c r="S460" s="193">
        <f t="shared" si="104"/>
        <v>0</v>
      </c>
      <c r="T460" s="193">
        <f t="shared" si="105"/>
        <v>0</v>
      </c>
      <c r="U460" s="193">
        <f ca="1">OFFSET('Expenditure Study'!$B$7,'Operations Support'!$C460,'Operations Support'!$B460)*$G460</f>
        <v>0</v>
      </c>
      <c r="V460" s="199">
        <f ca="1">U460*'Expenditure Study'!$B$31</f>
        <v>0</v>
      </c>
      <c r="W460" s="199">
        <f ca="1">IF(A460=10298,1.51,1)*IF($B460&lt;3,$D460*'Expenditure Study'!$B$32*OFFSET('Expenditure Study'!$B$7,'Operations Support'!$C460,'Operations Support'!$B460),0)</f>
        <v>0</v>
      </c>
      <c r="X460" s="200">
        <f ca="1">W460*'Expenditure Study'!$B$31</f>
        <v>0</v>
      </c>
      <c r="Y460" s="199">
        <f ca="1">U460*'Expenditure Study'!$B$31</f>
        <v>0</v>
      </c>
      <c r="Z460" s="200">
        <f ca="1">W460*'Expenditure Study'!$B$31</f>
        <v>0</v>
      </c>
      <c r="AA460" s="195">
        <f t="shared" ca="1" si="106"/>
        <v>0</v>
      </c>
      <c r="AB460" s="195">
        <f t="shared" ca="1" si="107"/>
        <v>0</v>
      </c>
      <c r="AD460" s="196">
        <f>IFERROR($G460/SUMIF($A:$A,$A460,$G:$G)*SUMIF(Summary!$A$166:$A$242,$A460,Summary!$P$166:$P$242),0)</f>
        <v>0</v>
      </c>
      <c r="AE460" s="197">
        <f t="shared" ca="1" si="108"/>
        <v>0</v>
      </c>
      <c r="AF460" s="196">
        <f>IFERROR(G460/SUMIF(A:A,A460,G:G)*SUMIF(Summary!$A$166:$A$242,'Operations Support'!A460,Summary!$Q$166:$Q$242),0)</f>
        <v>0</v>
      </c>
      <c r="AG460" s="196">
        <f t="shared" ca="1" si="109"/>
        <v>0</v>
      </c>
      <c r="AI460" s="196">
        <f>IFERROR($G460/SUMIF($A:$A,$A460,$G:$G)*SUMIF(Summary!$A$247:$A$283,$A460,Summary!$P$247:$P$283),0)</f>
        <v>0</v>
      </c>
      <c r="AJ460" s="196">
        <f>IFERROR($G460/SUMIF($A:$A,$A460,$G:$G)*(SUMIF(Summary!$A$247:$A$283,$A460,Summary!$L$247:$L$283)+SUMIF(Summary!$A$297:$A$333,$A460,Summary!$L$297:$L$333))-AI460,0)</f>
        <v>0</v>
      </c>
      <c r="AK460" s="196">
        <f>IFERROR($G460/SUMIF($A:$A,$A460,$G:$G)*SUMIF(Summary!$A$247:$A$283,$A460,Summary!$Q$247:$Q$283),0)</f>
        <v>0</v>
      </c>
      <c r="AL460" s="196">
        <f>IFERROR($G460/SUMIF($A:$A,$A460,$G:$G)*(SUMIF(Summary!$A$247:$A$283,$A460,Summary!$L$247:$L$283)+SUMIF(Summary!$A$297:$A$333,$A460,Summary!$L$297:$L$333))-AK460,0)</f>
        <v>0</v>
      </c>
      <c r="AM460" s="198"/>
      <c r="AN460" s="196">
        <f t="shared" ca="1" si="110"/>
        <v>0</v>
      </c>
      <c r="AO460" s="196">
        <f t="shared" ca="1" si="111"/>
        <v>0</v>
      </c>
    </row>
    <row r="461" spans="1:41">
      <c r="A461" s="189">
        <v>3592</v>
      </c>
      <c r="B461" s="190">
        <v>2</v>
      </c>
      <c r="C461" s="191" t="s">
        <v>235</v>
      </c>
      <c r="D461" s="192">
        <f t="shared" si="98"/>
        <v>5774</v>
      </c>
      <c r="E461" s="192">
        <f t="shared" si="99"/>
        <v>1077</v>
      </c>
      <c r="F461" s="192">
        <f t="shared" si="100"/>
        <v>0</v>
      </c>
      <c r="G461" s="193">
        <f t="shared" si="101"/>
        <v>6851</v>
      </c>
      <c r="H461" s="194">
        <v>2661</v>
      </c>
      <c r="I461" s="194">
        <v>450</v>
      </c>
      <c r="J461" s="194">
        <v>0</v>
      </c>
      <c r="K461" s="193">
        <f t="shared" si="102"/>
        <v>3111</v>
      </c>
      <c r="L461" s="194">
        <v>2337</v>
      </c>
      <c r="M461" s="194">
        <v>501</v>
      </c>
      <c r="N461" s="194">
        <v>0</v>
      </c>
      <c r="O461" s="193">
        <f t="shared" si="103"/>
        <v>2838</v>
      </c>
      <c r="P461" s="194">
        <v>776</v>
      </c>
      <c r="Q461" s="194">
        <v>126</v>
      </c>
      <c r="R461" s="194">
        <v>0</v>
      </c>
      <c r="S461" s="193">
        <f t="shared" si="104"/>
        <v>902</v>
      </c>
      <c r="T461" s="193">
        <f t="shared" si="105"/>
        <v>228.36666666666667</v>
      </c>
      <c r="U461" s="193">
        <f ca="1">OFFSET('Expenditure Study'!$B$7,'Operations Support'!$C461,'Operations Support'!$B461)*$G461</f>
        <v>12811.37</v>
      </c>
      <c r="V461" s="199">
        <f ca="1">U461*'Expenditure Study'!$B$31</f>
        <v>756936.49000569608</v>
      </c>
      <c r="W461" s="199">
        <f ca="1">IF(A461=10298,1.51,1)*IF($B461&lt;3,$D461*'Expenditure Study'!$B$32*OFFSET('Expenditure Study'!$B$7,'Operations Support'!$C461,'Operations Support'!$B461),0)</f>
        <v>1079.7380000000001</v>
      </c>
      <c r="X461" s="200">
        <f ca="1">W461*'Expenditure Study'!$B$31</f>
        <v>63794.355470630406</v>
      </c>
      <c r="Y461" s="199">
        <f ca="1">U461*'Expenditure Study'!$B$31</f>
        <v>756936.49000569608</v>
      </c>
      <c r="Z461" s="200">
        <f ca="1">W461*'Expenditure Study'!$B$31</f>
        <v>63794.355470630406</v>
      </c>
      <c r="AA461" s="195">
        <f t="shared" ca="1" si="106"/>
        <v>820730.84547632653</v>
      </c>
      <c r="AB461" s="195">
        <f t="shared" ca="1" si="107"/>
        <v>820730.84547632653</v>
      </c>
      <c r="AD461" s="196">
        <f>IFERROR($G461/SUMIF($A:$A,$A461,$G:$G)*SUMIF(Summary!$A$166:$A$242,$A461,Summary!$P$166:$P$242),0)</f>
        <v>154849.48172113264</v>
      </c>
      <c r="AE461" s="197">
        <f t="shared" ca="1" si="108"/>
        <v>665881.36375519389</v>
      </c>
      <c r="AF461" s="196">
        <f>IFERROR(G461/SUMIF(A:A,A461,G:G)*SUMIF(Summary!$A$166:$A$242,'Operations Support'!A461,Summary!$Q$166:$Q$242),0)</f>
        <v>155111.77965940372</v>
      </c>
      <c r="AG461" s="196">
        <f t="shared" ca="1" si="109"/>
        <v>665619.06581692281</v>
      </c>
      <c r="AI461" s="196">
        <f>IFERROR($G461/SUMIF($A:$A,$A461,$G:$G)*SUMIF(Summary!$A$247:$A$283,$A461,Summary!$P$247:$P$283),0)</f>
        <v>28240.681240192658</v>
      </c>
      <c r="AJ461" s="196">
        <f>IFERROR($G461/SUMIF($A:$A,$A461,$G:$G)*(SUMIF(Summary!$A$247:$A$283,$A461,Summary!$L$247:$L$283)+SUMIF(Summary!$A$297:$A$333,$A461,Summary!$L$297:$L$333))-AI461,0)</f>
        <v>189984.89350444608</v>
      </c>
      <c r="AK461" s="196">
        <f>IFERROR($G461/SUMIF($A:$A,$A461,$G:$G)*SUMIF(Summary!$A$247:$A$283,$A461,Summary!$Q$247:$Q$283),0)</f>
        <v>28288.517838561216</v>
      </c>
      <c r="AL461" s="196">
        <f>IFERROR($G461/SUMIF($A:$A,$A461,$G:$G)*(SUMIF(Summary!$A$247:$A$283,$A461,Summary!$L$247:$L$283)+SUMIF(Summary!$A$297:$A$333,$A461,Summary!$L$297:$L$333))-AK461,0)</f>
        <v>189937.05690607755</v>
      </c>
      <c r="AM461" s="198"/>
      <c r="AN461" s="196">
        <f t="shared" ca="1" si="110"/>
        <v>855866.25725963991</v>
      </c>
      <c r="AO461" s="196">
        <f t="shared" ca="1" si="111"/>
        <v>855556.12272300036</v>
      </c>
    </row>
    <row r="462" spans="1:41">
      <c r="A462" s="189">
        <v>3592</v>
      </c>
      <c r="B462" s="190">
        <v>2</v>
      </c>
      <c r="C462" s="191" t="s">
        <v>236</v>
      </c>
      <c r="D462" s="192">
        <f t="shared" si="98"/>
        <v>0</v>
      </c>
      <c r="E462" s="192">
        <f t="shared" si="99"/>
        <v>0</v>
      </c>
      <c r="F462" s="192">
        <f t="shared" si="100"/>
        <v>0</v>
      </c>
      <c r="G462" s="193">
        <f t="shared" si="101"/>
        <v>0</v>
      </c>
      <c r="H462" s="194">
        <v>0</v>
      </c>
      <c r="I462" s="194">
        <v>0</v>
      </c>
      <c r="J462" s="194">
        <v>0</v>
      </c>
      <c r="K462" s="193">
        <f t="shared" si="102"/>
        <v>0</v>
      </c>
      <c r="L462" s="194">
        <v>0</v>
      </c>
      <c r="M462" s="194">
        <v>0</v>
      </c>
      <c r="N462" s="194">
        <v>0</v>
      </c>
      <c r="O462" s="193">
        <f t="shared" si="103"/>
        <v>0</v>
      </c>
      <c r="P462" s="194">
        <v>0</v>
      </c>
      <c r="Q462" s="194">
        <v>0</v>
      </c>
      <c r="R462" s="194">
        <v>0</v>
      </c>
      <c r="S462" s="193">
        <f t="shared" si="104"/>
        <v>0</v>
      </c>
      <c r="T462" s="193">
        <f t="shared" si="105"/>
        <v>0</v>
      </c>
      <c r="U462" s="193">
        <f ca="1">OFFSET('Expenditure Study'!$B$7,'Operations Support'!$C462,'Operations Support'!$B462)*$G462</f>
        <v>0</v>
      </c>
      <c r="V462" s="199">
        <f ca="1">U462*'Expenditure Study'!$B$31</f>
        <v>0</v>
      </c>
      <c r="W462" s="199">
        <f ca="1">IF(A462=10298,1.51,1)*IF($B462&lt;3,$D462*'Expenditure Study'!$B$32*OFFSET('Expenditure Study'!$B$7,'Operations Support'!$C462,'Operations Support'!$B462),0)</f>
        <v>0</v>
      </c>
      <c r="X462" s="200">
        <f ca="1">W462*'Expenditure Study'!$B$31</f>
        <v>0</v>
      </c>
      <c r="Y462" s="199">
        <f ca="1">U462*'Expenditure Study'!$B$31</f>
        <v>0</v>
      </c>
      <c r="Z462" s="200">
        <f ca="1">W462*'Expenditure Study'!$B$31</f>
        <v>0</v>
      </c>
      <c r="AA462" s="195">
        <f t="shared" ca="1" si="106"/>
        <v>0</v>
      </c>
      <c r="AB462" s="195">
        <f t="shared" ca="1" si="107"/>
        <v>0</v>
      </c>
      <c r="AD462" s="196">
        <f>IFERROR($G462/SUMIF($A:$A,$A462,$G:$G)*SUMIF(Summary!$A$166:$A$242,$A462,Summary!$P$166:$P$242),0)</f>
        <v>0</v>
      </c>
      <c r="AE462" s="197">
        <f t="shared" ca="1" si="108"/>
        <v>0</v>
      </c>
      <c r="AF462" s="196">
        <f>IFERROR(G462/SUMIF(A:A,A462,G:G)*SUMIF(Summary!$A$166:$A$242,'Operations Support'!A462,Summary!$Q$166:$Q$242),0)</f>
        <v>0</v>
      </c>
      <c r="AG462" s="196">
        <f t="shared" ca="1" si="109"/>
        <v>0</v>
      </c>
      <c r="AI462" s="196">
        <f>IFERROR($G462/SUMIF($A:$A,$A462,$G:$G)*SUMIF(Summary!$A$247:$A$283,$A462,Summary!$P$247:$P$283),0)</f>
        <v>0</v>
      </c>
      <c r="AJ462" s="196">
        <f>IFERROR($G462/SUMIF($A:$A,$A462,$G:$G)*(SUMIF(Summary!$A$247:$A$283,$A462,Summary!$L$247:$L$283)+SUMIF(Summary!$A$297:$A$333,$A462,Summary!$L$297:$L$333))-AI462,0)</f>
        <v>0</v>
      </c>
      <c r="AK462" s="196">
        <f>IFERROR($G462/SUMIF($A:$A,$A462,$G:$G)*SUMIF(Summary!$A$247:$A$283,$A462,Summary!$Q$247:$Q$283),0)</f>
        <v>0</v>
      </c>
      <c r="AL462" s="196">
        <f>IFERROR($G462/SUMIF($A:$A,$A462,$G:$G)*(SUMIF(Summary!$A$247:$A$283,$A462,Summary!$L$247:$L$283)+SUMIF(Summary!$A$297:$A$333,$A462,Summary!$L$297:$L$333))-AK462,0)</f>
        <v>0</v>
      </c>
      <c r="AM462" s="198"/>
      <c r="AN462" s="196">
        <f t="shared" ca="1" si="110"/>
        <v>0</v>
      </c>
      <c r="AO462" s="196">
        <f t="shared" ca="1" si="111"/>
        <v>0</v>
      </c>
    </row>
    <row r="463" spans="1:41">
      <c r="A463" s="189">
        <v>3592</v>
      </c>
      <c r="B463" s="190">
        <v>2</v>
      </c>
      <c r="C463" s="191" t="s">
        <v>237</v>
      </c>
      <c r="D463" s="192">
        <f t="shared" si="98"/>
        <v>138</v>
      </c>
      <c r="E463" s="192">
        <f t="shared" si="99"/>
        <v>300</v>
      </c>
      <c r="F463" s="192">
        <f t="shared" si="100"/>
        <v>0</v>
      </c>
      <c r="G463" s="193">
        <f t="shared" si="101"/>
        <v>438</v>
      </c>
      <c r="H463" s="194">
        <v>90</v>
      </c>
      <c r="I463" s="194">
        <v>144</v>
      </c>
      <c r="J463" s="194">
        <v>0</v>
      </c>
      <c r="K463" s="193">
        <f t="shared" si="102"/>
        <v>234</v>
      </c>
      <c r="L463" s="194">
        <v>48</v>
      </c>
      <c r="M463" s="194">
        <v>156</v>
      </c>
      <c r="N463" s="194">
        <v>0</v>
      </c>
      <c r="O463" s="193">
        <f t="shared" si="103"/>
        <v>204</v>
      </c>
      <c r="P463" s="194">
        <v>0</v>
      </c>
      <c r="Q463" s="194">
        <v>0</v>
      </c>
      <c r="R463" s="194">
        <v>0</v>
      </c>
      <c r="S463" s="193">
        <f t="shared" si="104"/>
        <v>0</v>
      </c>
      <c r="T463" s="193">
        <f t="shared" si="105"/>
        <v>14.6</v>
      </c>
      <c r="U463" s="193">
        <f ca="1">OFFSET('Expenditure Study'!$B$7,'Operations Support'!$C463,'Operations Support'!$B463)*$G463</f>
        <v>1024.9199999999998</v>
      </c>
      <c r="V463" s="199">
        <f ca="1">U463*'Expenditure Study'!$B$31</f>
        <v>60555.533665535993</v>
      </c>
      <c r="W463" s="199">
        <f ca="1">IF(A463=10298,1.51,1)*IF($B463&lt;3,$D463*'Expenditure Study'!$B$32*OFFSET('Expenditure Study'!$B$7,'Operations Support'!$C463,'Operations Support'!$B463),0)</f>
        <v>32.292000000000002</v>
      </c>
      <c r="X463" s="200">
        <f ca="1">W463*'Expenditure Study'!$B$31</f>
        <v>1907.9140743936002</v>
      </c>
      <c r="Y463" s="199">
        <f ca="1">U463*'Expenditure Study'!$B$31</f>
        <v>60555.533665535993</v>
      </c>
      <c r="Z463" s="200">
        <f ca="1">W463*'Expenditure Study'!$B$31</f>
        <v>1907.9140743936002</v>
      </c>
      <c r="AA463" s="195">
        <f t="shared" ca="1" si="106"/>
        <v>62463.447739929594</v>
      </c>
      <c r="AB463" s="195">
        <f t="shared" ca="1" si="107"/>
        <v>62463.447739929594</v>
      </c>
      <c r="AD463" s="196">
        <f>IFERROR($G463/SUMIF($A:$A,$A463,$G:$G)*SUMIF(Summary!$A$166:$A$242,$A463,Summary!$P$166:$P$242),0)</f>
        <v>9899.8792867984357</v>
      </c>
      <c r="AE463" s="197">
        <f t="shared" ca="1" si="108"/>
        <v>52563.568453131156</v>
      </c>
      <c r="AF463" s="196">
        <f>IFERROR(G463/SUMIF(A:A,A463,G:G)*SUMIF(Summary!$A$166:$A$242,'Operations Support'!A463,Summary!$Q$166:$Q$242),0)</f>
        <v>9916.6485901063825</v>
      </c>
      <c r="AG463" s="196">
        <f t="shared" ca="1" si="109"/>
        <v>52546.799149823215</v>
      </c>
      <c r="AI463" s="196">
        <f>IFERROR($G463/SUMIF($A:$A,$A463,$G:$G)*SUMIF(Summary!$A$247:$A$283,$A463,Summary!$P$247:$P$283),0)</f>
        <v>1805.4909331782781</v>
      </c>
      <c r="AJ463" s="196">
        <f>IFERROR($G463/SUMIF($A:$A,$A463,$G:$G)*(SUMIF(Summary!$A$247:$A$283,$A463,Summary!$L$247:$L$283)+SUMIF(Summary!$A$297:$A$333,$A463,Summary!$L$297:$L$333))-AI463,0)</f>
        <v>12146.166012983123</v>
      </c>
      <c r="AK463" s="196">
        <f>IFERROR($G463/SUMIF($A:$A,$A463,$G:$G)*SUMIF(Summary!$A$247:$A$283,$A463,Summary!$Q$247:$Q$283),0)</f>
        <v>1808.549235628348</v>
      </c>
      <c r="AL463" s="196">
        <f>IFERROR($G463/SUMIF($A:$A,$A463,$G:$G)*(SUMIF(Summary!$A$247:$A$283,$A463,Summary!$L$247:$L$283)+SUMIF(Summary!$A$297:$A$333,$A463,Summary!$L$297:$L$333))-AK463,0)</f>
        <v>12143.107710533053</v>
      </c>
      <c r="AM463" s="198"/>
      <c r="AN463" s="196">
        <f t="shared" ca="1" si="110"/>
        <v>64709.734466114278</v>
      </c>
      <c r="AO463" s="196">
        <f t="shared" ca="1" si="111"/>
        <v>64689.90686035627</v>
      </c>
    </row>
    <row r="464" spans="1:41">
      <c r="A464" s="189">
        <v>3592</v>
      </c>
      <c r="B464" s="190">
        <v>2</v>
      </c>
      <c r="C464" s="191" t="s">
        <v>238</v>
      </c>
      <c r="D464" s="192">
        <f t="shared" si="98"/>
        <v>622</v>
      </c>
      <c r="E464" s="192">
        <f t="shared" si="99"/>
        <v>342</v>
      </c>
      <c r="F464" s="192">
        <f t="shared" si="100"/>
        <v>0</v>
      </c>
      <c r="G464" s="193">
        <f t="shared" si="101"/>
        <v>964</v>
      </c>
      <c r="H464" s="194">
        <v>243</v>
      </c>
      <c r="I464" s="194">
        <v>150</v>
      </c>
      <c r="J464" s="194">
        <v>0</v>
      </c>
      <c r="K464" s="193">
        <f t="shared" si="102"/>
        <v>393</v>
      </c>
      <c r="L464" s="194">
        <v>316</v>
      </c>
      <c r="M464" s="194">
        <v>111</v>
      </c>
      <c r="N464" s="194">
        <v>0</v>
      </c>
      <c r="O464" s="193">
        <f t="shared" si="103"/>
        <v>427</v>
      </c>
      <c r="P464" s="194">
        <v>63</v>
      </c>
      <c r="Q464" s="194">
        <v>81</v>
      </c>
      <c r="R464" s="194">
        <v>0</v>
      </c>
      <c r="S464" s="193">
        <f t="shared" si="104"/>
        <v>144</v>
      </c>
      <c r="T464" s="193">
        <f t="shared" si="105"/>
        <v>32.133333333333333</v>
      </c>
      <c r="U464" s="193">
        <f ca="1">OFFSET('Expenditure Study'!$B$7,'Operations Support'!$C464,'Operations Support'!$B464)*$G464</f>
        <v>2313.6</v>
      </c>
      <c r="V464" s="199">
        <f ca="1">U464*'Expenditure Study'!$B$31</f>
        <v>136694.84709888001</v>
      </c>
      <c r="W464" s="199">
        <f ca="1">IF(A464=10298,1.51,1)*IF($B464&lt;3,$D464*'Expenditure Study'!$B$32*OFFSET('Expenditure Study'!$B$7,'Operations Support'!$C464,'Operations Support'!$B464),0)</f>
        <v>149.28</v>
      </c>
      <c r="X464" s="200">
        <f ca="1">W464*'Expenditure Study'!$B$31</f>
        <v>8819.9372298239996</v>
      </c>
      <c r="Y464" s="199">
        <f ca="1">U464*'Expenditure Study'!$B$31</f>
        <v>136694.84709888001</v>
      </c>
      <c r="Z464" s="200">
        <f ca="1">W464*'Expenditure Study'!$B$31</f>
        <v>8819.9372298239996</v>
      </c>
      <c r="AA464" s="195">
        <f t="shared" ca="1" si="106"/>
        <v>145514.784328704</v>
      </c>
      <c r="AB464" s="195">
        <f t="shared" ca="1" si="107"/>
        <v>145514.784328704</v>
      </c>
      <c r="AD464" s="196">
        <f>IFERROR($G464/SUMIF($A:$A,$A464,$G:$G)*SUMIF(Summary!$A$166:$A$242,$A464,Summary!$P$166:$P$242),0)</f>
        <v>21788.775416606604</v>
      </c>
      <c r="AE464" s="197">
        <f t="shared" ca="1" si="108"/>
        <v>123726.0089120974</v>
      </c>
      <c r="AF464" s="196">
        <f>IFERROR(G464/SUMIF(A:A,A464,G:G)*SUMIF(Summary!$A$166:$A$242,'Operations Support'!A464,Summary!$Q$166:$Q$242),0)</f>
        <v>21825.683198316332</v>
      </c>
      <c r="AG464" s="196">
        <f t="shared" ca="1" si="109"/>
        <v>123689.10113038767</v>
      </c>
      <c r="AI464" s="196">
        <f>IFERROR($G464/SUMIF($A:$A,$A464,$G:$G)*SUMIF(Summary!$A$247:$A$283,$A464,Summary!$P$247:$P$283),0)</f>
        <v>3973.7289031594978</v>
      </c>
      <c r="AJ464" s="196">
        <f>IFERROR($G464/SUMIF($A:$A,$A464,$G:$G)*(SUMIF(Summary!$A$247:$A$283,$A464,Summary!$L$247:$L$283)+SUMIF(Summary!$A$297:$A$333,$A464,Summary!$L$297:$L$333))-AI464,0)</f>
        <v>26732.657617615823</v>
      </c>
      <c r="AK464" s="196">
        <f>IFERROR($G464/SUMIF($A:$A,$A464,$G:$G)*SUMIF(Summary!$A$247:$A$283,$A464,Summary!$Q$247:$Q$283),0)</f>
        <v>3980.4599615199254</v>
      </c>
      <c r="AL464" s="196">
        <f>IFERROR($G464/SUMIF($A:$A,$A464,$G:$G)*(SUMIF(Summary!$A$247:$A$283,$A464,Summary!$L$247:$L$283)+SUMIF(Summary!$A$297:$A$333,$A464,Summary!$L$297:$L$333))-AK464,0)</f>
        <v>26725.926559255397</v>
      </c>
      <c r="AM464" s="198"/>
      <c r="AN464" s="196">
        <f t="shared" ca="1" si="110"/>
        <v>150458.66652971323</v>
      </c>
      <c r="AO464" s="196">
        <f t="shared" ca="1" si="111"/>
        <v>150415.02768964306</v>
      </c>
    </row>
    <row r="465" spans="1:41">
      <c r="A465" s="189">
        <v>3592</v>
      </c>
      <c r="B465" s="190">
        <v>2</v>
      </c>
      <c r="C465" s="191" t="s">
        <v>239</v>
      </c>
      <c r="D465" s="192">
        <f t="shared" si="98"/>
        <v>1410.5</v>
      </c>
      <c r="E465" s="192">
        <f t="shared" si="99"/>
        <v>7366.5</v>
      </c>
      <c r="F465" s="192">
        <f t="shared" si="100"/>
        <v>0</v>
      </c>
      <c r="G465" s="193">
        <f t="shared" si="101"/>
        <v>8777</v>
      </c>
      <c r="H465" s="194">
        <v>707</v>
      </c>
      <c r="I465" s="194">
        <v>2863</v>
      </c>
      <c r="J465" s="194">
        <v>0</v>
      </c>
      <c r="K465" s="193">
        <f t="shared" si="102"/>
        <v>3570</v>
      </c>
      <c r="L465" s="194">
        <v>532</v>
      </c>
      <c r="M465" s="194">
        <v>2825</v>
      </c>
      <c r="N465" s="194">
        <v>0</v>
      </c>
      <c r="O465" s="193">
        <f t="shared" si="103"/>
        <v>3357</v>
      </c>
      <c r="P465" s="194">
        <v>171.5</v>
      </c>
      <c r="Q465" s="194">
        <v>1678.5</v>
      </c>
      <c r="R465" s="194">
        <v>0</v>
      </c>
      <c r="S465" s="193">
        <f t="shared" si="104"/>
        <v>1850</v>
      </c>
      <c r="T465" s="193">
        <f t="shared" si="105"/>
        <v>292.56666666666666</v>
      </c>
      <c r="U465" s="193">
        <f ca="1">OFFSET('Expenditure Study'!$B$7,'Operations Support'!$C465,'Operations Support'!$B465)*$G465</f>
        <v>18256.16</v>
      </c>
      <c r="V465" s="199">
        <f ca="1">U465*'Expenditure Study'!$B$31</f>
        <v>1078632.0019937281</v>
      </c>
      <c r="W465" s="199">
        <f ca="1">IF(A465=10298,1.51,1)*IF($B465&lt;3,$D465*'Expenditure Study'!$B$32*OFFSET('Expenditure Study'!$B$7,'Operations Support'!$C465,'Operations Support'!$B465),0)</f>
        <v>293.38400000000001</v>
      </c>
      <c r="X465" s="200">
        <f ca="1">W465*'Expenditure Study'!$B$31</f>
        <v>17334.059915827202</v>
      </c>
      <c r="Y465" s="199">
        <f ca="1">U465*'Expenditure Study'!$B$31</f>
        <v>1078632.0019937281</v>
      </c>
      <c r="Z465" s="200">
        <f ca="1">W465*'Expenditure Study'!$B$31</f>
        <v>17334.059915827202</v>
      </c>
      <c r="AA465" s="195">
        <f t="shared" ca="1" si="106"/>
        <v>1095966.0619095552</v>
      </c>
      <c r="AB465" s="195">
        <f t="shared" ca="1" si="107"/>
        <v>1095966.0619095552</v>
      </c>
      <c r="AD465" s="196">
        <f>IFERROR($G465/SUMIF($A:$A,$A465,$G:$G)*SUMIF(Summary!$A$166:$A$242,$A465,Summary!$P$166:$P$242),0)</f>
        <v>198381.82762609562</v>
      </c>
      <c r="AE465" s="197">
        <f t="shared" ca="1" si="108"/>
        <v>897584.23428345961</v>
      </c>
      <c r="AF465" s="196">
        <f>IFERROR(G465/SUMIF(A:A,A465,G:G)*SUMIF(Summary!$A$166:$A$242,'Operations Support'!A465,Summary!$Q$166:$Q$242),0)</f>
        <v>198717.86455562495</v>
      </c>
      <c r="AG465" s="196">
        <f t="shared" ca="1" si="109"/>
        <v>897248.19735393021</v>
      </c>
      <c r="AI465" s="196">
        <f>IFERROR($G465/SUMIF($A:$A,$A465,$G:$G)*SUMIF(Summary!$A$247:$A$283,$A465,Summary!$P$247:$P$283),0)</f>
        <v>36179.894795675224</v>
      </c>
      <c r="AJ465" s="196">
        <f>IFERROR($G465/SUMIF($A:$A,$A465,$G:$G)*(SUMIF(Summary!$A$247:$A$283,$A465,Summary!$L$247:$L$283)+SUMIF(Summary!$A$297:$A$333,$A465,Summary!$L$297:$L$333))-AI465,0)</f>
        <v>243394.74679441296</v>
      </c>
      <c r="AK465" s="196">
        <f>IFERROR($G465/SUMIF($A:$A,$A465,$G:$G)*SUMIF(Summary!$A$247:$A$283,$A465,Summary!$Q$247:$Q$283),0)</f>
        <v>36241.17954591327</v>
      </c>
      <c r="AL465" s="196">
        <f>IFERROR($G465/SUMIF($A:$A,$A465,$G:$G)*(SUMIF(Summary!$A$247:$A$283,$A465,Summary!$L$247:$L$283)+SUMIF(Summary!$A$297:$A$333,$A465,Summary!$L$297:$L$333))-AK465,0)</f>
        <v>243333.46204417493</v>
      </c>
      <c r="AM465" s="198"/>
      <c r="AN465" s="196">
        <f t="shared" ca="1" si="110"/>
        <v>1140978.9810778727</v>
      </c>
      <c r="AO465" s="196">
        <f t="shared" ca="1" si="111"/>
        <v>1140581.6593981052</v>
      </c>
    </row>
    <row r="466" spans="1:41">
      <c r="A466" s="189">
        <v>3592</v>
      </c>
      <c r="B466" s="190">
        <v>2</v>
      </c>
      <c r="C466" s="191" t="s">
        <v>240</v>
      </c>
      <c r="D466" s="192">
        <f t="shared" si="98"/>
        <v>0</v>
      </c>
      <c r="E466" s="192">
        <f t="shared" si="99"/>
        <v>0</v>
      </c>
      <c r="F466" s="192">
        <f t="shared" si="100"/>
        <v>0</v>
      </c>
      <c r="G466" s="193">
        <f t="shared" si="101"/>
        <v>0</v>
      </c>
      <c r="H466" s="194">
        <v>0</v>
      </c>
      <c r="I466" s="194">
        <v>0</v>
      </c>
      <c r="J466" s="194">
        <v>0</v>
      </c>
      <c r="K466" s="193">
        <f t="shared" si="102"/>
        <v>0</v>
      </c>
      <c r="L466" s="194">
        <v>0</v>
      </c>
      <c r="M466" s="194">
        <v>0</v>
      </c>
      <c r="N466" s="194">
        <v>0</v>
      </c>
      <c r="O466" s="193">
        <f t="shared" si="103"/>
        <v>0</v>
      </c>
      <c r="P466" s="194">
        <v>0</v>
      </c>
      <c r="Q466" s="194">
        <v>0</v>
      </c>
      <c r="R466" s="194">
        <v>0</v>
      </c>
      <c r="S466" s="193">
        <f t="shared" si="104"/>
        <v>0</v>
      </c>
      <c r="T466" s="193">
        <f t="shared" si="105"/>
        <v>0</v>
      </c>
      <c r="U466" s="193">
        <f ca="1">OFFSET('Expenditure Study'!$B$7,'Operations Support'!$C466,'Operations Support'!$B466)*$G466</f>
        <v>0</v>
      </c>
      <c r="V466" s="199">
        <f ca="1">U466*'Expenditure Study'!$B$31</f>
        <v>0</v>
      </c>
      <c r="W466" s="199">
        <f ca="1">IF(A466=10298,1.51,1)*IF($B466&lt;3,$D466*'Expenditure Study'!$B$32*OFFSET('Expenditure Study'!$B$7,'Operations Support'!$C466,'Operations Support'!$B466),0)</f>
        <v>0</v>
      </c>
      <c r="X466" s="200">
        <f ca="1">W466*'Expenditure Study'!$B$31</f>
        <v>0</v>
      </c>
      <c r="Y466" s="199">
        <f ca="1">U466*'Expenditure Study'!$B$31</f>
        <v>0</v>
      </c>
      <c r="Z466" s="200">
        <f ca="1">W466*'Expenditure Study'!$B$31</f>
        <v>0</v>
      </c>
      <c r="AA466" s="195">
        <f t="shared" ca="1" si="106"/>
        <v>0</v>
      </c>
      <c r="AB466" s="195">
        <f t="shared" ca="1" si="107"/>
        <v>0</v>
      </c>
      <c r="AD466" s="196">
        <f>IFERROR($G466/SUMIF($A:$A,$A466,$G:$G)*SUMIF(Summary!$A$166:$A$242,$A466,Summary!$P$166:$P$242),0)</f>
        <v>0</v>
      </c>
      <c r="AE466" s="197">
        <f t="shared" ca="1" si="108"/>
        <v>0</v>
      </c>
      <c r="AF466" s="196">
        <f>IFERROR(G466/SUMIF(A:A,A466,G:G)*SUMIF(Summary!$A$166:$A$242,'Operations Support'!A466,Summary!$Q$166:$Q$242),0)</f>
        <v>0</v>
      </c>
      <c r="AG466" s="196">
        <f t="shared" ca="1" si="109"/>
        <v>0</v>
      </c>
      <c r="AI466" s="196">
        <f>IFERROR($G466/SUMIF($A:$A,$A466,$G:$G)*SUMIF(Summary!$A$247:$A$283,$A466,Summary!$P$247:$P$283),0)</f>
        <v>0</v>
      </c>
      <c r="AJ466" s="196">
        <f>IFERROR($G466/SUMIF($A:$A,$A466,$G:$G)*(SUMIF(Summary!$A$247:$A$283,$A466,Summary!$L$247:$L$283)+SUMIF(Summary!$A$297:$A$333,$A466,Summary!$L$297:$L$333))-AI466,0)</f>
        <v>0</v>
      </c>
      <c r="AK466" s="196">
        <f>IFERROR($G466/SUMIF($A:$A,$A466,$G:$G)*SUMIF(Summary!$A$247:$A$283,$A466,Summary!$Q$247:$Q$283),0)</f>
        <v>0</v>
      </c>
      <c r="AL466" s="196">
        <f>IFERROR($G466/SUMIF($A:$A,$A466,$G:$G)*(SUMIF(Summary!$A$247:$A$283,$A466,Summary!$L$247:$L$283)+SUMIF(Summary!$A$297:$A$333,$A466,Summary!$L$297:$L$333))-AK466,0)</f>
        <v>0</v>
      </c>
      <c r="AM466" s="198"/>
      <c r="AN466" s="196">
        <f t="shared" ca="1" si="110"/>
        <v>0</v>
      </c>
      <c r="AO466" s="196">
        <f t="shared" ca="1" si="111"/>
        <v>0</v>
      </c>
    </row>
    <row r="467" spans="1:41">
      <c r="A467" s="189">
        <v>3592</v>
      </c>
      <c r="B467" s="190">
        <v>3</v>
      </c>
      <c r="C467" s="191" t="s">
        <v>220</v>
      </c>
      <c r="D467" s="192">
        <f t="shared" si="98"/>
        <v>2199</v>
      </c>
      <c r="E467" s="192">
        <f t="shared" si="99"/>
        <v>1002</v>
      </c>
      <c r="F467" s="192">
        <f t="shared" si="100"/>
        <v>0</v>
      </c>
      <c r="G467" s="193">
        <f t="shared" si="101"/>
        <v>3201</v>
      </c>
      <c r="H467" s="194">
        <v>1071</v>
      </c>
      <c r="I467" s="194">
        <v>507</v>
      </c>
      <c r="J467" s="194">
        <v>0</v>
      </c>
      <c r="K467" s="193">
        <f t="shared" si="102"/>
        <v>1578</v>
      </c>
      <c r="L467" s="194">
        <v>684</v>
      </c>
      <c r="M467" s="194">
        <v>393</v>
      </c>
      <c r="N467" s="194">
        <v>0</v>
      </c>
      <c r="O467" s="193">
        <f t="shared" si="103"/>
        <v>1077</v>
      </c>
      <c r="P467" s="194">
        <v>444</v>
      </c>
      <c r="Q467" s="194">
        <v>102</v>
      </c>
      <c r="R467" s="194">
        <v>0</v>
      </c>
      <c r="S467" s="193">
        <f t="shared" si="104"/>
        <v>546</v>
      </c>
      <c r="T467" s="193">
        <f t="shared" si="105"/>
        <v>133.375</v>
      </c>
      <c r="U467" s="193">
        <f ca="1">OFFSET('Expenditure Study'!$B$7,'Operations Support'!$C467,'Operations Support'!$B467)*$G467</f>
        <v>14276.46</v>
      </c>
      <c r="V467" s="199">
        <f ca="1">U467*'Expenditure Study'!$B$31</f>
        <v>843498.66736396798</v>
      </c>
      <c r="W467" s="199">
        <f ca="1">IF(A467=10298,1.51,1)*IF($B467&lt;3,$D467*'Expenditure Study'!$B$32*OFFSET('Expenditure Study'!$B$7,'Operations Support'!$C467,'Operations Support'!$B467),0)</f>
        <v>0</v>
      </c>
      <c r="X467" s="200">
        <f ca="1">W467*'Expenditure Study'!$B$31</f>
        <v>0</v>
      </c>
      <c r="Y467" s="199">
        <f ca="1">U467*'Expenditure Study'!$B$31</f>
        <v>843498.66736396798</v>
      </c>
      <c r="Z467" s="200">
        <f ca="1">W467*'Expenditure Study'!$B$31</f>
        <v>0</v>
      </c>
      <c r="AA467" s="195">
        <f t="shared" ca="1" si="106"/>
        <v>843498.66736396798</v>
      </c>
      <c r="AB467" s="195">
        <f t="shared" ca="1" si="107"/>
        <v>843498.66736396798</v>
      </c>
      <c r="AD467" s="196">
        <f>IFERROR($G467/SUMIF($A:$A,$A467,$G:$G)*SUMIF(Summary!$A$166:$A$242,$A467,Summary!$P$166:$P$242),0)</f>
        <v>72350.487664478977</v>
      </c>
      <c r="AE467" s="197">
        <f t="shared" ca="1" si="108"/>
        <v>771148.17969948903</v>
      </c>
      <c r="AF467" s="196">
        <f>IFERROR(G467/SUMIF(A:A,A467,G:G)*SUMIF(Summary!$A$166:$A$242,'Operations Support'!A467,Summary!$Q$166:$Q$242),0)</f>
        <v>72473.041408517194</v>
      </c>
      <c r="AG467" s="196">
        <f t="shared" ca="1" si="109"/>
        <v>771025.62595545081</v>
      </c>
      <c r="AI467" s="196">
        <f>IFERROR($G467/SUMIF($A:$A,$A467,$G:$G)*SUMIF(Summary!$A$247:$A$283,$A467,Summary!$P$247:$P$283),0)</f>
        <v>13194.923463707006</v>
      </c>
      <c r="AJ467" s="196">
        <f>IFERROR($G467/SUMIF($A:$A,$A467,$G:$G)*(SUMIF(Summary!$A$247:$A$283,$A467,Summary!$L$247:$L$283)+SUMIF(Summary!$A$297:$A$333,$A467,Summary!$L$297:$L$333))-AI467,0)</f>
        <v>88766.843396253375</v>
      </c>
      <c r="AK467" s="196">
        <f>IFERROR($G467/SUMIF($A:$A,$A467,$G:$G)*SUMIF(Summary!$A$247:$A$283,$A467,Summary!$Q$247:$Q$283),0)</f>
        <v>13217.274208324981</v>
      </c>
      <c r="AL467" s="196">
        <f>IFERROR($G467/SUMIF($A:$A,$A467,$G:$G)*(SUMIF(Summary!$A$247:$A$283,$A467,Summary!$L$247:$L$283)+SUMIF(Summary!$A$297:$A$333,$A467,Summary!$L$297:$L$333))-AK467,0)</f>
        <v>88744.492651635403</v>
      </c>
      <c r="AM467" s="198"/>
      <c r="AN467" s="196">
        <f t="shared" ca="1" si="110"/>
        <v>859915.02309574245</v>
      </c>
      <c r="AO467" s="196">
        <f t="shared" ca="1" si="111"/>
        <v>859770.11860708625</v>
      </c>
    </row>
    <row r="468" spans="1:41">
      <c r="A468" s="189">
        <v>3592</v>
      </c>
      <c r="B468" s="190">
        <v>3</v>
      </c>
      <c r="C468" s="191" t="s">
        <v>221</v>
      </c>
      <c r="D468" s="192">
        <f t="shared" si="98"/>
        <v>1053</v>
      </c>
      <c r="E468" s="192">
        <f t="shared" si="99"/>
        <v>15</v>
      </c>
      <c r="F468" s="192">
        <f t="shared" si="100"/>
        <v>0</v>
      </c>
      <c r="G468" s="193">
        <f t="shared" si="101"/>
        <v>1068</v>
      </c>
      <c r="H468" s="194">
        <v>888</v>
      </c>
      <c r="I468" s="194">
        <v>3</v>
      </c>
      <c r="J468" s="194">
        <v>0</v>
      </c>
      <c r="K468" s="193">
        <f t="shared" si="102"/>
        <v>891</v>
      </c>
      <c r="L468" s="194">
        <v>156</v>
      </c>
      <c r="M468" s="194">
        <v>12</v>
      </c>
      <c r="N468" s="194">
        <v>0</v>
      </c>
      <c r="O468" s="193">
        <f t="shared" si="103"/>
        <v>168</v>
      </c>
      <c r="P468" s="194">
        <v>9</v>
      </c>
      <c r="Q468" s="194">
        <v>0</v>
      </c>
      <c r="R468" s="194">
        <v>0</v>
      </c>
      <c r="S468" s="193">
        <f t="shared" si="104"/>
        <v>9</v>
      </c>
      <c r="T468" s="193">
        <f t="shared" si="105"/>
        <v>44.5</v>
      </c>
      <c r="U468" s="193">
        <f ca="1">OFFSET('Expenditure Study'!$B$7,'Operations Support'!$C468,'Operations Support'!$B468)*$G468</f>
        <v>7476</v>
      </c>
      <c r="V468" s="199">
        <f ca="1">U468*'Expenditure Study'!$B$31</f>
        <v>441705.85966080002</v>
      </c>
      <c r="W468" s="199">
        <f ca="1">IF(A468=10298,1.51,1)*IF($B468&lt;3,$D468*'Expenditure Study'!$B$32*OFFSET('Expenditure Study'!$B$7,'Operations Support'!$C468,'Operations Support'!$B468),0)</f>
        <v>0</v>
      </c>
      <c r="X468" s="200">
        <f ca="1">W468*'Expenditure Study'!$B$31</f>
        <v>0</v>
      </c>
      <c r="Y468" s="199">
        <f ca="1">U468*'Expenditure Study'!$B$31</f>
        <v>441705.85966080002</v>
      </c>
      <c r="Z468" s="200">
        <f ca="1">W468*'Expenditure Study'!$B$31</f>
        <v>0</v>
      </c>
      <c r="AA468" s="195">
        <f t="shared" ca="1" si="106"/>
        <v>441705.85966080002</v>
      </c>
      <c r="AB468" s="195">
        <f t="shared" ca="1" si="107"/>
        <v>441705.85966080002</v>
      </c>
      <c r="AD468" s="196">
        <f>IFERROR($G468/SUMIF($A:$A,$A468,$G:$G)*SUMIF(Summary!$A$166:$A$242,$A468,Summary!$P$166:$P$242),0)</f>
        <v>24139.431685618107</v>
      </c>
      <c r="AE468" s="197">
        <f t="shared" ca="1" si="108"/>
        <v>417566.4279751819</v>
      </c>
      <c r="AF468" s="196">
        <f>IFERROR(G468/SUMIF(A:A,A468,G:G)*SUMIF(Summary!$A$166:$A$242,'Operations Support'!A468,Summary!$Q$166:$Q$242),0)</f>
        <v>24180.321219711455</v>
      </c>
      <c r="AG468" s="196">
        <f t="shared" ca="1" si="109"/>
        <v>417525.53844108857</v>
      </c>
      <c r="AI468" s="196">
        <f>IFERROR($G468/SUMIF($A:$A,$A468,$G:$G)*SUMIF(Summary!$A$247:$A$283,$A468,Summary!$P$247:$P$283),0)</f>
        <v>4402.4299466538841</v>
      </c>
      <c r="AJ468" s="196">
        <f>IFERROR($G468/SUMIF($A:$A,$A468,$G:$G)*(SUMIF(Summary!$A$247:$A$283,$A468,Summary!$L$247:$L$283)+SUMIF(Summary!$A$297:$A$333,$A468,Summary!$L$297:$L$333))-AI468,0)</f>
        <v>29616.678771383511</v>
      </c>
      <c r="AK468" s="196">
        <f>IFERROR($G468/SUMIF($A:$A,$A468,$G:$G)*SUMIF(Summary!$A$247:$A$283,$A468,Summary!$Q$247:$Q$283),0)</f>
        <v>4409.8871772855609</v>
      </c>
      <c r="AL468" s="196">
        <f>IFERROR($G468/SUMIF($A:$A,$A468,$G:$G)*(SUMIF(Summary!$A$247:$A$283,$A468,Summary!$L$247:$L$283)+SUMIF(Summary!$A$297:$A$333,$A468,Summary!$L$297:$L$333))-AK468,0)</f>
        <v>29609.221540751834</v>
      </c>
      <c r="AM468" s="198"/>
      <c r="AN468" s="196">
        <f t="shared" ca="1" si="110"/>
        <v>447183.10674656543</v>
      </c>
      <c r="AO468" s="196">
        <f t="shared" ca="1" si="111"/>
        <v>447134.75998184038</v>
      </c>
    </row>
    <row r="469" spans="1:41">
      <c r="A469" s="189">
        <v>3592</v>
      </c>
      <c r="B469" s="190">
        <v>3</v>
      </c>
      <c r="C469" s="191" t="s">
        <v>222</v>
      </c>
      <c r="D469" s="192">
        <f t="shared" si="98"/>
        <v>9</v>
      </c>
      <c r="E469" s="192">
        <f t="shared" si="99"/>
        <v>0</v>
      </c>
      <c r="F469" s="192">
        <f t="shared" si="100"/>
        <v>0</v>
      </c>
      <c r="G469" s="193">
        <f t="shared" si="101"/>
        <v>9</v>
      </c>
      <c r="H469" s="194">
        <v>0</v>
      </c>
      <c r="I469" s="194">
        <v>0</v>
      </c>
      <c r="J469" s="194">
        <v>0</v>
      </c>
      <c r="K469" s="193">
        <f t="shared" si="102"/>
        <v>0</v>
      </c>
      <c r="L469" s="194">
        <v>0</v>
      </c>
      <c r="M469" s="194">
        <v>0</v>
      </c>
      <c r="N469" s="194">
        <v>0</v>
      </c>
      <c r="O469" s="193">
        <f t="shared" si="103"/>
        <v>0</v>
      </c>
      <c r="P469" s="194">
        <v>9</v>
      </c>
      <c r="Q469" s="194">
        <v>0</v>
      </c>
      <c r="R469" s="194">
        <v>0</v>
      </c>
      <c r="S469" s="193">
        <f t="shared" si="104"/>
        <v>9</v>
      </c>
      <c r="T469" s="193">
        <f t="shared" si="105"/>
        <v>0.375</v>
      </c>
      <c r="U469" s="193">
        <f ca="1">OFFSET('Expenditure Study'!$B$7,'Operations Support'!$C469,'Operations Support'!$B469)*$G469</f>
        <v>67.59</v>
      </c>
      <c r="V469" s="199">
        <f ca="1">U469*'Expenditure Study'!$B$31</f>
        <v>3993.4321902720003</v>
      </c>
      <c r="W469" s="199">
        <f ca="1">IF(A469=10298,1.51,1)*IF($B469&lt;3,$D469*'Expenditure Study'!$B$32*OFFSET('Expenditure Study'!$B$7,'Operations Support'!$C469,'Operations Support'!$B469),0)</f>
        <v>0</v>
      </c>
      <c r="X469" s="200">
        <f ca="1">W469*'Expenditure Study'!$B$31</f>
        <v>0</v>
      </c>
      <c r="Y469" s="199">
        <f ca="1">U469*'Expenditure Study'!$B$31</f>
        <v>3993.4321902720003</v>
      </c>
      <c r="Z469" s="200">
        <f ca="1">W469*'Expenditure Study'!$B$31</f>
        <v>0</v>
      </c>
      <c r="AA469" s="195">
        <f t="shared" ca="1" si="106"/>
        <v>3993.4321902720003</v>
      </c>
      <c r="AB469" s="195">
        <f t="shared" ca="1" si="107"/>
        <v>3993.4321902720003</v>
      </c>
      <c r="AD469" s="196">
        <f>IFERROR($G469/SUMIF($A:$A,$A469,$G:$G)*SUMIF(Summary!$A$166:$A$242,$A469,Summary!$P$166:$P$242),0)</f>
        <v>203.42217712599529</v>
      </c>
      <c r="AE469" s="197">
        <f t="shared" ca="1" si="108"/>
        <v>3790.0100131460049</v>
      </c>
      <c r="AF469" s="196">
        <f>IFERROR(G469/SUMIF(A:A,A469,G:G)*SUMIF(Summary!$A$166:$A$242,'Operations Support'!A469,Summary!$Q$166:$Q$242),0)</f>
        <v>203.76675185150103</v>
      </c>
      <c r="AG469" s="196">
        <f t="shared" ca="1" si="109"/>
        <v>3789.6654384204994</v>
      </c>
      <c r="AI469" s="196">
        <f>IFERROR($G469/SUMIF($A:$A,$A469,$G:$G)*SUMIF(Summary!$A$247:$A$283,$A469,Summary!$P$247:$P$283),0)</f>
        <v>37.099128763937223</v>
      </c>
      <c r="AJ469" s="196">
        <f>IFERROR($G469/SUMIF($A:$A,$A469,$G:$G)*(SUMIF(Summary!$A$247:$A$283,$A469,Summary!$L$247:$L$283)+SUMIF(Summary!$A$297:$A$333,$A469,Summary!$L$297:$L$333))-AI469,0)</f>
        <v>249.57875369143406</v>
      </c>
      <c r="AK469" s="196">
        <f>IFERROR($G469/SUMIF($A:$A,$A469,$G:$G)*SUMIF(Summary!$A$247:$A$283,$A469,Summary!$Q$247:$Q$283),0)</f>
        <v>37.161970595103043</v>
      </c>
      <c r="AL469" s="196">
        <f>IFERROR($G469/SUMIF($A:$A,$A469,$G:$G)*(SUMIF(Summary!$A$247:$A$283,$A469,Summary!$L$247:$L$283)+SUMIF(Summary!$A$297:$A$333,$A469,Summary!$L$297:$L$333))-AK469,0)</f>
        <v>249.51591186026823</v>
      </c>
      <c r="AM469" s="198"/>
      <c r="AN469" s="196">
        <f t="shared" ca="1" si="110"/>
        <v>4039.5887668374389</v>
      </c>
      <c r="AO469" s="196">
        <f t="shared" ca="1" si="111"/>
        <v>4039.1813502807677</v>
      </c>
    </row>
    <row r="470" spans="1:41" s="201" customFormat="1">
      <c r="A470" s="189">
        <v>3592</v>
      </c>
      <c r="B470" s="190">
        <v>3</v>
      </c>
      <c r="C470" s="191" t="s">
        <v>223</v>
      </c>
      <c r="D470" s="192">
        <f t="shared" si="98"/>
        <v>2171</v>
      </c>
      <c r="E470" s="192">
        <f t="shared" si="99"/>
        <v>1371</v>
      </c>
      <c r="F470" s="192">
        <f t="shared" si="100"/>
        <v>0</v>
      </c>
      <c r="G470" s="193">
        <f t="shared" si="101"/>
        <v>3542</v>
      </c>
      <c r="H470" s="194">
        <v>953</v>
      </c>
      <c r="I470" s="194">
        <v>519</v>
      </c>
      <c r="J470" s="194">
        <v>0</v>
      </c>
      <c r="K470" s="193">
        <f t="shared" si="102"/>
        <v>1472</v>
      </c>
      <c r="L470" s="194">
        <v>549</v>
      </c>
      <c r="M470" s="194">
        <v>552</v>
      </c>
      <c r="N470" s="194">
        <v>0</v>
      </c>
      <c r="O470" s="193">
        <f t="shared" si="103"/>
        <v>1101</v>
      </c>
      <c r="P470" s="194">
        <v>669</v>
      </c>
      <c r="Q470" s="194">
        <v>300</v>
      </c>
      <c r="R470" s="194">
        <v>0</v>
      </c>
      <c r="S470" s="193">
        <f t="shared" si="104"/>
        <v>969</v>
      </c>
      <c r="T470" s="193">
        <f t="shared" si="105"/>
        <v>147.58333333333334</v>
      </c>
      <c r="U470" s="193">
        <f ca="1">OFFSET('Expenditure Study'!$B$7,'Operations Support'!$C470,'Operations Support'!$B470)*$G470</f>
        <v>7934.0800000000008</v>
      </c>
      <c r="V470" s="199">
        <f ca="1">U470*'Expenditure Study'!$B$31</f>
        <v>468770.68312166404</v>
      </c>
      <c r="W470" s="199">
        <f ca="1">IF(A470=10298,1.51,1)*IF($B470&lt;3,$D470*'Expenditure Study'!$B$32*OFFSET('Expenditure Study'!$B$7,'Operations Support'!$C470,'Operations Support'!$B470),0)</f>
        <v>0</v>
      </c>
      <c r="X470" s="200">
        <f ca="1">W470*'Expenditure Study'!$B$31</f>
        <v>0</v>
      </c>
      <c r="Y470" s="199">
        <f ca="1">U470*'Expenditure Study'!$B$31</f>
        <v>468770.68312166404</v>
      </c>
      <c r="Z470" s="200">
        <f ca="1">W470*'Expenditure Study'!$B$31</f>
        <v>0</v>
      </c>
      <c r="AA470" s="195">
        <f t="shared" ca="1" si="106"/>
        <v>468770.68312166404</v>
      </c>
      <c r="AB470" s="195">
        <f t="shared" ca="1" si="107"/>
        <v>468770.68312166404</v>
      </c>
      <c r="AD470" s="196">
        <f>IFERROR($G470/SUMIF($A:$A,$A470,$G:$G)*SUMIF(Summary!$A$166:$A$242,$A470,Summary!$P$166:$P$242),0)</f>
        <v>80057.92793114169</v>
      </c>
      <c r="AE470" s="197">
        <f t="shared" ca="1" si="108"/>
        <v>388712.75519052235</v>
      </c>
      <c r="AF470" s="196">
        <f>IFERROR(G470/SUMIF(A:A,A470,G:G)*SUMIF(Summary!$A$166:$A$242,'Operations Support'!A470,Summary!$Q$166:$Q$242),0)</f>
        <v>80193.537228668516</v>
      </c>
      <c r="AG470" s="196">
        <f t="shared" ca="1" si="109"/>
        <v>388577.14589299553</v>
      </c>
      <c r="AH470" s="180"/>
      <c r="AI470" s="196">
        <f>IFERROR($G470/SUMIF($A:$A,$A470,$G:$G)*SUMIF(Summary!$A$247:$A$283,$A470,Summary!$P$247:$P$283),0)</f>
        <v>14600.568231318404</v>
      </c>
      <c r="AJ470" s="196">
        <f>IFERROR($G470/SUMIF($A:$A,$A470,$G:$G)*(SUMIF(Summary!$A$247:$A$283,$A470,Summary!$L$247:$L$283)+SUMIF(Summary!$A$297:$A$333,$A470,Summary!$L$297:$L$333))-AI470,0)</f>
        <v>98223.105063895491</v>
      </c>
      <c r="AK470" s="196">
        <f>IFERROR($G470/SUMIF($A:$A,$A470,$G:$G)*SUMIF(Summary!$A$247:$A$283,$A470,Summary!$Q$247:$Q$283),0)</f>
        <v>14625.299983094996</v>
      </c>
      <c r="AL470" s="196">
        <f>IFERROR($G470/SUMIF($A:$A,$A470,$G:$G)*(SUMIF(Summary!$A$247:$A$283,$A470,Summary!$L$247:$L$283)+SUMIF(Summary!$A$297:$A$333,$A470,Summary!$L$297:$L$333))-AK470,0)</f>
        <v>98198.3733121189</v>
      </c>
      <c r="AM470" s="198"/>
      <c r="AN470" s="196">
        <f t="shared" ca="1" si="110"/>
        <v>486935.86025441787</v>
      </c>
      <c r="AO470" s="196">
        <f t="shared" ca="1" si="111"/>
        <v>486775.51920511445</v>
      </c>
    </row>
    <row r="471" spans="1:41">
      <c r="A471" s="189">
        <v>3592</v>
      </c>
      <c r="B471" s="190">
        <v>3</v>
      </c>
      <c r="C471" s="191" t="s">
        <v>224</v>
      </c>
      <c r="D471" s="192">
        <f t="shared" si="98"/>
        <v>0</v>
      </c>
      <c r="E471" s="192">
        <f t="shared" si="99"/>
        <v>0</v>
      </c>
      <c r="F471" s="192">
        <f t="shared" si="100"/>
        <v>0</v>
      </c>
      <c r="G471" s="193">
        <f t="shared" si="101"/>
        <v>0</v>
      </c>
      <c r="H471" s="194">
        <v>0</v>
      </c>
      <c r="I471" s="194">
        <v>0</v>
      </c>
      <c r="J471" s="194">
        <v>0</v>
      </c>
      <c r="K471" s="193">
        <f t="shared" si="102"/>
        <v>0</v>
      </c>
      <c r="L471" s="194">
        <v>0</v>
      </c>
      <c r="M471" s="194">
        <v>0</v>
      </c>
      <c r="N471" s="194">
        <v>0</v>
      </c>
      <c r="O471" s="193">
        <f t="shared" si="103"/>
        <v>0</v>
      </c>
      <c r="P471" s="194">
        <v>0</v>
      </c>
      <c r="Q471" s="194">
        <v>0</v>
      </c>
      <c r="R471" s="194">
        <v>0</v>
      </c>
      <c r="S471" s="193">
        <f t="shared" si="104"/>
        <v>0</v>
      </c>
      <c r="T471" s="193">
        <f t="shared" si="105"/>
        <v>0</v>
      </c>
      <c r="U471" s="193">
        <f ca="1">OFFSET('Expenditure Study'!$B$7,'Operations Support'!$C471,'Operations Support'!$B471)*$G471</f>
        <v>0</v>
      </c>
      <c r="V471" s="199">
        <f ca="1">U471*'Expenditure Study'!$B$31</f>
        <v>0</v>
      </c>
      <c r="W471" s="199">
        <f ca="1">IF(A471=10298,1.51,1)*IF($B471&lt;3,$D471*'Expenditure Study'!$B$32*OFFSET('Expenditure Study'!$B$7,'Operations Support'!$C471,'Operations Support'!$B471),0)</f>
        <v>0</v>
      </c>
      <c r="X471" s="200">
        <f ca="1">W471*'Expenditure Study'!$B$31</f>
        <v>0</v>
      </c>
      <c r="Y471" s="199">
        <f ca="1">U471*'Expenditure Study'!$B$31</f>
        <v>0</v>
      </c>
      <c r="Z471" s="200">
        <f ca="1">W471*'Expenditure Study'!$B$31</f>
        <v>0</v>
      </c>
      <c r="AA471" s="195">
        <f t="shared" ca="1" si="106"/>
        <v>0</v>
      </c>
      <c r="AB471" s="195">
        <f t="shared" ca="1" si="107"/>
        <v>0</v>
      </c>
      <c r="AD471" s="196">
        <f>IFERROR($G471/SUMIF($A:$A,$A471,$G:$G)*SUMIF(Summary!$A$166:$A$242,$A471,Summary!$P$166:$P$242),0)</f>
        <v>0</v>
      </c>
      <c r="AE471" s="197">
        <f t="shared" ca="1" si="108"/>
        <v>0</v>
      </c>
      <c r="AF471" s="196">
        <f>IFERROR(G471/SUMIF(A:A,A471,G:G)*SUMIF(Summary!$A$166:$A$242,'Operations Support'!A471,Summary!$Q$166:$Q$242),0)</f>
        <v>0</v>
      </c>
      <c r="AG471" s="196">
        <f t="shared" ca="1" si="109"/>
        <v>0</v>
      </c>
      <c r="AI471" s="196">
        <f>IFERROR($G471/SUMIF($A:$A,$A471,$G:$G)*SUMIF(Summary!$A$247:$A$283,$A471,Summary!$P$247:$P$283),0)</f>
        <v>0</v>
      </c>
      <c r="AJ471" s="196">
        <f>IFERROR($G471/SUMIF($A:$A,$A471,$G:$G)*(SUMIF(Summary!$A$247:$A$283,$A471,Summary!$L$247:$L$283)+SUMIF(Summary!$A$297:$A$333,$A471,Summary!$L$297:$L$333))-AI471,0)</f>
        <v>0</v>
      </c>
      <c r="AK471" s="196">
        <f>IFERROR($G471/SUMIF($A:$A,$A471,$G:$G)*SUMIF(Summary!$A$247:$A$283,$A471,Summary!$Q$247:$Q$283),0)</f>
        <v>0</v>
      </c>
      <c r="AL471" s="196">
        <f>IFERROR($G471/SUMIF($A:$A,$A471,$G:$G)*(SUMIF(Summary!$A$247:$A$283,$A471,Summary!$L$247:$L$283)+SUMIF(Summary!$A$297:$A$333,$A471,Summary!$L$297:$L$333))-AK471,0)</f>
        <v>0</v>
      </c>
      <c r="AM471" s="198"/>
      <c r="AN471" s="196">
        <f t="shared" ca="1" si="110"/>
        <v>0</v>
      </c>
      <c r="AO471" s="196">
        <f t="shared" ca="1" si="111"/>
        <v>0</v>
      </c>
    </row>
    <row r="472" spans="1:41">
      <c r="A472" s="189">
        <v>3592</v>
      </c>
      <c r="B472" s="190">
        <v>3</v>
      </c>
      <c r="C472" s="191" t="s">
        <v>225</v>
      </c>
      <c r="D472" s="192">
        <f t="shared" si="98"/>
        <v>678</v>
      </c>
      <c r="E472" s="192">
        <f t="shared" si="99"/>
        <v>0</v>
      </c>
      <c r="F472" s="192">
        <f t="shared" si="100"/>
        <v>0</v>
      </c>
      <c r="G472" s="193">
        <f t="shared" si="101"/>
        <v>678</v>
      </c>
      <c r="H472" s="194">
        <v>439</v>
      </c>
      <c r="I472" s="194">
        <v>0</v>
      </c>
      <c r="J472" s="194">
        <v>0</v>
      </c>
      <c r="K472" s="193">
        <f t="shared" si="102"/>
        <v>439</v>
      </c>
      <c r="L472" s="194">
        <v>175</v>
      </c>
      <c r="M472" s="194">
        <v>0</v>
      </c>
      <c r="N472" s="194">
        <v>0</v>
      </c>
      <c r="O472" s="193">
        <f t="shared" si="103"/>
        <v>175</v>
      </c>
      <c r="P472" s="194">
        <v>64</v>
      </c>
      <c r="Q472" s="194">
        <v>0</v>
      </c>
      <c r="R472" s="194">
        <v>0</v>
      </c>
      <c r="S472" s="193">
        <f t="shared" si="104"/>
        <v>64</v>
      </c>
      <c r="T472" s="193">
        <f t="shared" si="105"/>
        <v>28.25</v>
      </c>
      <c r="U472" s="193">
        <f ca="1">OFFSET('Expenditure Study'!$B$7,'Operations Support'!$C472,'Operations Support'!$B472)*$G472</f>
        <v>4684.9800000000005</v>
      </c>
      <c r="V472" s="199">
        <f ca="1">U472*'Expenditure Study'!$B$31</f>
        <v>276803.52038438403</v>
      </c>
      <c r="W472" s="199">
        <f ca="1">IF(A472=10298,1.51,1)*IF($B472&lt;3,$D472*'Expenditure Study'!$B$32*OFFSET('Expenditure Study'!$B$7,'Operations Support'!$C472,'Operations Support'!$B472),0)</f>
        <v>0</v>
      </c>
      <c r="X472" s="200">
        <f ca="1">W472*'Expenditure Study'!$B$31</f>
        <v>0</v>
      </c>
      <c r="Y472" s="199">
        <f ca="1">U472*'Expenditure Study'!$B$31</f>
        <v>276803.52038438403</v>
      </c>
      <c r="Z472" s="200">
        <f ca="1">W472*'Expenditure Study'!$B$31</f>
        <v>0</v>
      </c>
      <c r="AA472" s="195">
        <f t="shared" ca="1" si="106"/>
        <v>276803.52038438403</v>
      </c>
      <c r="AB472" s="195">
        <f t="shared" ca="1" si="107"/>
        <v>276803.52038438403</v>
      </c>
      <c r="AD472" s="196">
        <f>IFERROR($G472/SUMIF($A:$A,$A472,$G:$G)*SUMIF(Summary!$A$166:$A$242,$A472,Summary!$P$166:$P$242),0)</f>
        <v>15324.470676824978</v>
      </c>
      <c r="AE472" s="197">
        <f t="shared" ca="1" si="108"/>
        <v>261479.04970755905</v>
      </c>
      <c r="AF472" s="196">
        <f>IFERROR(G472/SUMIF(A:A,A472,G:G)*SUMIF(Summary!$A$166:$A$242,'Operations Support'!A472,Summary!$Q$166:$Q$242),0)</f>
        <v>15350.428639479744</v>
      </c>
      <c r="AG472" s="196">
        <f t="shared" ca="1" si="109"/>
        <v>261453.09174490429</v>
      </c>
      <c r="AI472" s="196">
        <f>IFERROR($G472/SUMIF($A:$A,$A472,$G:$G)*SUMIF(Summary!$A$247:$A$283,$A472,Summary!$P$247:$P$283),0)</f>
        <v>2794.8010335499375</v>
      </c>
      <c r="AJ472" s="196">
        <f>IFERROR($G472/SUMIF($A:$A,$A472,$G:$G)*(SUMIF(Summary!$A$247:$A$283,$A472,Summary!$L$247:$L$283)+SUMIF(Summary!$A$297:$A$333,$A472,Summary!$L$297:$L$333))-AI472,0)</f>
        <v>18801.599444754698</v>
      </c>
      <c r="AK472" s="196">
        <f>IFERROR($G472/SUMIF($A:$A,$A472,$G:$G)*SUMIF(Summary!$A$247:$A$283,$A472,Summary!$Q$247:$Q$283),0)</f>
        <v>2799.5351181644292</v>
      </c>
      <c r="AL472" s="196">
        <f>IFERROR($G472/SUMIF($A:$A,$A472,$G:$G)*(SUMIF(Summary!$A$247:$A$283,$A472,Summary!$L$247:$L$283)+SUMIF(Summary!$A$297:$A$333,$A472,Summary!$L$297:$L$333))-AK472,0)</f>
        <v>18796.865360140207</v>
      </c>
      <c r="AM472" s="198"/>
      <c r="AN472" s="196">
        <f t="shared" ca="1" si="110"/>
        <v>280280.64915231377</v>
      </c>
      <c r="AO472" s="196">
        <f t="shared" ca="1" si="111"/>
        <v>280249.95710504451</v>
      </c>
    </row>
    <row r="473" spans="1:41">
      <c r="A473" s="189">
        <v>3592</v>
      </c>
      <c r="B473" s="190">
        <v>3</v>
      </c>
      <c r="C473" s="191" t="s">
        <v>226</v>
      </c>
      <c r="D473" s="192">
        <f t="shared" si="98"/>
        <v>9</v>
      </c>
      <c r="E473" s="192">
        <f t="shared" si="99"/>
        <v>111</v>
      </c>
      <c r="F473" s="192">
        <f t="shared" si="100"/>
        <v>0</v>
      </c>
      <c r="G473" s="193">
        <f t="shared" si="101"/>
        <v>120</v>
      </c>
      <c r="H473" s="194">
        <v>0</v>
      </c>
      <c r="I473" s="194">
        <v>0</v>
      </c>
      <c r="J473" s="194">
        <v>0</v>
      </c>
      <c r="K473" s="193">
        <f t="shared" si="102"/>
        <v>0</v>
      </c>
      <c r="L473" s="194">
        <v>6</v>
      </c>
      <c r="M473" s="194">
        <v>111</v>
      </c>
      <c r="N473" s="194">
        <v>0</v>
      </c>
      <c r="O473" s="193">
        <f t="shared" si="103"/>
        <v>117</v>
      </c>
      <c r="P473" s="194">
        <v>3</v>
      </c>
      <c r="Q473" s="194">
        <v>0</v>
      </c>
      <c r="R473" s="194">
        <v>0</v>
      </c>
      <c r="S473" s="193">
        <f t="shared" si="104"/>
        <v>3</v>
      </c>
      <c r="T473" s="193">
        <f t="shared" si="105"/>
        <v>5</v>
      </c>
      <c r="U473" s="193">
        <f ca="1">OFFSET('Expenditure Study'!$B$7,'Operations Support'!$C473,'Operations Support'!$B473)*$G473</f>
        <v>414</v>
      </c>
      <c r="V473" s="199">
        <f ca="1">U473*'Expenditure Study'!$B$31</f>
        <v>24460.4368512</v>
      </c>
      <c r="W473" s="199">
        <f ca="1">IF(A473=10298,1.51,1)*IF($B473&lt;3,$D473*'Expenditure Study'!$B$32*OFFSET('Expenditure Study'!$B$7,'Operations Support'!$C473,'Operations Support'!$B473),0)</f>
        <v>0</v>
      </c>
      <c r="X473" s="200">
        <f ca="1">W473*'Expenditure Study'!$B$31</f>
        <v>0</v>
      </c>
      <c r="Y473" s="199">
        <f ca="1">U473*'Expenditure Study'!$B$31</f>
        <v>24460.4368512</v>
      </c>
      <c r="Z473" s="200">
        <f ca="1">W473*'Expenditure Study'!$B$31</f>
        <v>0</v>
      </c>
      <c r="AA473" s="195">
        <f t="shared" ca="1" si="106"/>
        <v>24460.4368512</v>
      </c>
      <c r="AB473" s="195">
        <f t="shared" ca="1" si="107"/>
        <v>24460.4368512</v>
      </c>
      <c r="AD473" s="196">
        <f>IFERROR($G473/SUMIF($A:$A,$A473,$G:$G)*SUMIF(Summary!$A$166:$A$242,$A473,Summary!$P$166:$P$242),0)</f>
        <v>2712.2956950132702</v>
      </c>
      <c r="AE473" s="197">
        <f t="shared" ca="1" si="108"/>
        <v>21748.141156186728</v>
      </c>
      <c r="AF473" s="196">
        <f>IFERROR(G473/SUMIF(A:A,A473,G:G)*SUMIF(Summary!$A$166:$A$242,'Operations Support'!A473,Summary!$Q$166:$Q$242),0)</f>
        <v>2716.8900246866801</v>
      </c>
      <c r="AG473" s="196">
        <f t="shared" ca="1" si="109"/>
        <v>21743.54682651332</v>
      </c>
      <c r="AI473" s="196">
        <f>IFERROR($G473/SUMIF($A:$A,$A473,$G:$G)*SUMIF(Summary!$A$247:$A$283,$A473,Summary!$P$247:$P$283),0)</f>
        <v>494.65505018582962</v>
      </c>
      <c r="AJ473" s="196">
        <f>IFERROR($G473/SUMIF($A:$A,$A473,$G:$G)*(SUMIF(Summary!$A$247:$A$283,$A473,Summary!$L$247:$L$283)+SUMIF(Summary!$A$297:$A$333,$A473,Summary!$L$297:$L$333))-AI473,0)</f>
        <v>3327.7167158857874</v>
      </c>
      <c r="AK473" s="196">
        <f>IFERROR($G473/SUMIF($A:$A,$A473,$G:$G)*SUMIF(Summary!$A$247:$A$283,$A473,Summary!$Q$247:$Q$283),0)</f>
        <v>495.49294126804057</v>
      </c>
      <c r="AL473" s="196">
        <f>IFERROR($G473/SUMIF($A:$A,$A473,$G:$G)*(SUMIF(Summary!$A$247:$A$283,$A473,Summary!$L$247:$L$283)+SUMIF(Summary!$A$297:$A$333,$A473,Summary!$L$297:$L$333))-AK473,0)</f>
        <v>3326.8788248035762</v>
      </c>
      <c r="AM473" s="198"/>
      <c r="AN473" s="196">
        <f t="shared" ca="1" si="110"/>
        <v>25075.857872072516</v>
      </c>
      <c r="AO473" s="196">
        <f t="shared" ca="1" si="111"/>
        <v>25070.425651316895</v>
      </c>
    </row>
    <row r="474" spans="1:41">
      <c r="A474" s="189">
        <v>3592</v>
      </c>
      <c r="B474" s="190">
        <v>3</v>
      </c>
      <c r="C474" s="191" t="s">
        <v>227</v>
      </c>
      <c r="D474" s="192">
        <f t="shared" si="98"/>
        <v>0</v>
      </c>
      <c r="E474" s="192">
        <f t="shared" si="99"/>
        <v>0</v>
      </c>
      <c r="F474" s="192">
        <f t="shared" si="100"/>
        <v>0</v>
      </c>
      <c r="G474" s="193">
        <f t="shared" si="101"/>
        <v>0</v>
      </c>
      <c r="H474" s="194">
        <v>0</v>
      </c>
      <c r="I474" s="194">
        <v>0</v>
      </c>
      <c r="J474" s="194">
        <v>0</v>
      </c>
      <c r="K474" s="193">
        <f t="shared" si="102"/>
        <v>0</v>
      </c>
      <c r="L474" s="194">
        <v>0</v>
      </c>
      <c r="M474" s="194">
        <v>0</v>
      </c>
      <c r="N474" s="194">
        <v>0</v>
      </c>
      <c r="O474" s="193">
        <f t="shared" si="103"/>
        <v>0</v>
      </c>
      <c r="P474" s="194">
        <v>0</v>
      </c>
      <c r="Q474" s="194">
        <v>0</v>
      </c>
      <c r="R474" s="194">
        <v>0</v>
      </c>
      <c r="S474" s="193">
        <f t="shared" si="104"/>
        <v>0</v>
      </c>
      <c r="T474" s="193">
        <f t="shared" si="105"/>
        <v>0</v>
      </c>
      <c r="U474" s="193">
        <f ca="1">OFFSET('Expenditure Study'!$B$7,'Operations Support'!$C474,'Operations Support'!$B474)*$G474</f>
        <v>0</v>
      </c>
      <c r="V474" s="199">
        <f ca="1">U474*'Expenditure Study'!$B$31</f>
        <v>0</v>
      </c>
      <c r="W474" s="199">
        <f ca="1">IF(A474=10298,1.51,1)*IF($B474&lt;3,$D474*'Expenditure Study'!$B$32*OFFSET('Expenditure Study'!$B$7,'Operations Support'!$C474,'Operations Support'!$B474),0)</f>
        <v>0</v>
      </c>
      <c r="X474" s="200">
        <f ca="1">W474*'Expenditure Study'!$B$31</f>
        <v>0</v>
      </c>
      <c r="Y474" s="199">
        <f ca="1">U474*'Expenditure Study'!$B$31</f>
        <v>0</v>
      </c>
      <c r="Z474" s="200">
        <f ca="1">W474*'Expenditure Study'!$B$31</f>
        <v>0</v>
      </c>
      <c r="AA474" s="195">
        <f t="shared" ca="1" si="106"/>
        <v>0</v>
      </c>
      <c r="AB474" s="195">
        <f t="shared" ca="1" si="107"/>
        <v>0</v>
      </c>
      <c r="AD474" s="196">
        <f>IFERROR($G474/SUMIF($A:$A,$A474,$G:$G)*SUMIF(Summary!$A$166:$A$242,$A474,Summary!$P$166:$P$242),0)</f>
        <v>0</v>
      </c>
      <c r="AE474" s="197">
        <f t="shared" ca="1" si="108"/>
        <v>0</v>
      </c>
      <c r="AF474" s="196">
        <f>IFERROR(G474/SUMIF(A:A,A474,G:G)*SUMIF(Summary!$A$166:$A$242,'Operations Support'!A474,Summary!$Q$166:$Q$242),0)</f>
        <v>0</v>
      </c>
      <c r="AG474" s="196">
        <f t="shared" ca="1" si="109"/>
        <v>0</v>
      </c>
      <c r="AI474" s="196">
        <f>IFERROR($G474/SUMIF($A:$A,$A474,$G:$G)*SUMIF(Summary!$A$247:$A$283,$A474,Summary!$P$247:$P$283),0)</f>
        <v>0</v>
      </c>
      <c r="AJ474" s="196">
        <f>IFERROR($G474/SUMIF($A:$A,$A474,$G:$G)*(SUMIF(Summary!$A$247:$A$283,$A474,Summary!$L$247:$L$283)+SUMIF(Summary!$A$297:$A$333,$A474,Summary!$L$297:$L$333))-AI474,0)</f>
        <v>0</v>
      </c>
      <c r="AK474" s="196">
        <f>IFERROR($G474/SUMIF($A:$A,$A474,$G:$G)*SUMIF(Summary!$A$247:$A$283,$A474,Summary!$Q$247:$Q$283),0)</f>
        <v>0</v>
      </c>
      <c r="AL474" s="196">
        <f>IFERROR($G474/SUMIF($A:$A,$A474,$G:$G)*(SUMIF(Summary!$A$247:$A$283,$A474,Summary!$L$247:$L$283)+SUMIF(Summary!$A$297:$A$333,$A474,Summary!$L$297:$L$333))-AK474,0)</f>
        <v>0</v>
      </c>
      <c r="AM474" s="198"/>
      <c r="AN474" s="196">
        <f t="shared" ca="1" si="110"/>
        <v>0</v>
      </c>
      <c r="AO474" s="196">
        <f t="shared" ca="1" si="111"/>
        <v>0</v>
      </c>
    </row>
    <row r="475" spans="1:41">
      <c r="A475" s="189">
        <v>3592</v>
      </c>
      <c r="B475" s="190">
        <v>3</v>
      </c>
      <c r="C475" s="191" t="s">
        <v>228</v>
      </c>
      <c r="D475" s="192">
        <f t="shared" si="98"/>
        <v>0</v>
      </c>
      <c r="E475" s="192">
        <f t="shared" si="99"/>
        <v>0</v>
      </c>
      <c r="F475" s="192">
        <f t="shared" si="100"/>
        <v>0</v>
      </c>
      <c r="G475" s="193">
        <f t="shared" si="101"/>
        <v>0</v>
      </c>
      <c r="H475" s="194">
        <v>0</v>
      </c>
      <c r="I475" s="194">
        <v>0</v>
      </c>
      <c r="J475" s="194">
        <v>0</v>
      </c>
      <c r="K475" s="193">
        <f t="shared" si="102"/>
        <v>0</v>
      </c>
      <c r="L475" s="194">
        <v>0</v>
      </c>
      <c r="M475" s="194">
        <v>0</v>
      </c>
      <c r="N475" s="194">
        <v>0</v>
      </c>
      <c r="O475" s="193">
        <f t="shared" si="103"/>
        <v>0</v>
      </c>
      <c r="P475" s="194">
        <v>0</v>
      </c>
      <c r="Q475" s="194">
        <v>0</v>
      </c>
      <c r="R475" s="194">
        <v>0</v>
      </c>
      <c r="S475" s="193">
        <f t="shared" si="104"/>
        <v>0</v>
      </c>
      <c r="T475" s="193">
        <f t="shared" si="105"/>
        <v>0</v>
      </c>
      <c r="U475" s="193">
        <f ca="1">OFFSET('Expenditure Study'!$B$7,'Operations Support'!$C475,'Operations Support'!$B475)*$G475</f>
        <v>0</v>
      </c>
      <c r="V475" s="199">
        <f ca="1">U475*'Expenditure Study'!$B$31</f>
        <v>0</v>
      </c>
      <c r="W475" s="199">
        <f ca="1">IF(A475=10298,1.51,1)*IF($B475&lt;3,$D475*'Expenditure Study'!$B$32*OFFSET('Expenditure Study'!$B$7,'Operations Support'!$C475,'Operations Support'!$B475),0)</f>
        <v>0</v>
      </c>
      <c r="X475" s="200">
        <f ca="1">W475*'Expenditure Study'!$B$31</f>
        <v>0</v>
      </c>
      <c r="Y475" s="199">
        <f ca="1">U475*'Expenditure Study'!$B$31</f>
        <v>0</v>
      </c>
      <c r="Z475" s="200">
        <f ca="1">W475*'Expenditure Study'!$B$31</f>
        <v>0</v>
      </c>
      <c r="AA475" s="195">
        <f t="shared" ca="1" si="106"/>
        <v>0</v>
      </c>
      <c r="AB475" s="195">
        <f t="shared" ca="1" si="107"/>
        <v>0</v>
      </c>
      <c r="AD475" s="196">
        <f>IFERROR($G475/SUMIF($A:$A,$A475,$G:$G)*SUMIF(Summary!$A$166:$A$242,$A475,Summary!$P$166:$P$242),0)</f>
        <v>0</v>
      </c>
      <c r="AE475" s="197">
        <f t="shared" ca="1" si="108"/>
        <v>0</v>
      </c>
      <c r="AF475" s="196">
        <f>IFERROR(G475/SUMIF(A:A,A475,G:G)*SUMIF(Summary!$A$166:$A$242,'Operations Support'!A475,Summary!$Q$166:$Q$242),0)</f>
        <v>0</v>
      </c>
      <c r="AG475" s="196">
        <f t="shared" ca="1" si="109"/>
        <v>0</v>
      </c>
      <c r="AI475" s="196">
        <f>IFERROR($G475/SUMIF($A:$A,$A475,$G:$G)*SUMIF(Summary!$A$247:$A$283,$A475,Summary!$P$247:$P$283),0)</f>
        <v>0</v>
      </c>
      <c r="AJ475" s="196">
        <f>IFERROR($G475/SUMIF($A:$A,$A475,$G:$G)*(SUMIF(Summary!$A$247:$A$283,$A475,Summary!$L$247:$L$283)+SUMIF(Summary!$A$297:$A$333,$A475,Summary!$L$297:$L$333))-AI475,0)</f>
        <v>0</v>
      </c>
      <c r="AK475" s="196">
        <f>IFERROR($G475/SUMIF($A:$A,$A475,$G:$G)*SUMIF(Summary!$A$247:$A$283,$A475,Summary!$Q$247:$Q$283),0)</f>
        <v>0</v>
      </c>
      <c r="AL475" s="196">
        <f>IFERROR($G475/SUMIF($A:$A,$A475,$G:$G)*(SUMIF(Summary!$A$247:$A$283,$A475,Summary!$L$247:$L$283)+SUMIF(Summary!$A$297:$A$333,$A475,Summary!$L$297:$L$333))-AK475,0)</f>
        <v>0</v>
      </c>
      <c r="AM475" s="198"/>
      <c r="AN475" s="196">
        <f t="shared" ca="1" si="110"/>
        <v>0</v>
      </c>
      <c r="AO475" s="196">
        <f t="shared" ca="1" si="111"/>
        <v>0</v>
      </c>
    </row>
    <row r="476" spans="1:41">
      <c r="A476" s="189">
        <v>3592</v>
      </c>
      <c r="B476" s="190">
        <v>3</v>
      </c>
      <c r="C476" s="191" t="s">
        <v>229</v>
      </c>
      <c r="D476" s="192">
        <f t="shared" si="98"/>
        <v>0</v>
      </c>
      <c r="E476" s="192">
        <f t="shared" si="99"/>
        <v>0</v>
      </c>
      <c r="F476" s="192">
        <f t="shared" si="100"/>
        <v>0</v>
      </c>
      <c r="G476" s="193">
        <f t="shared" si="101"/>
        <v>0</v>
      </c>
      <c r="H476" s="194">
        <v>0</v>
      </c>
      <c r="I476" s="194">
        <v>0</v>
      </c>
      <c r="J476" s="194">
        <v>0</v>
      </c>
      <c r="K476" s="193">
        <f t="shared" si="102"/>
        <v>0</v>
      </c>
      <c r="L476" s="194">
        <v>0</v>
      </c>
      <c r="M476" s="194">
        <v>0</v>
      </c>
      <c r="N476" s="194">
        <v>0</v>
      </c>
      <c r="O476" s="193">
        <f t="shared" si="103"/>
        <v>0</v>
      </c>
      <c r="P476" s="194">
        <v>0</v>
      </c>
      <c r="Q476" s="194">
        <v>0</v>
      </c>
      <c r="R476" s="194">
        <v>0</v>
      </c>
      <c r="S476" s="193">
        <f t="shared" si="104"/>
        <v>0</v>
      </c>
      <c r="T476" s="193">
        <f t="shared" si="105"/>
        <v>0</v>
      </c>
      <c r="U476" s="193">
        <f ca="1">OFFSET('Expenditure Study'!$B$7,'Operations Support'!$C476,'Operations Support'!$B476)*$G476</f>
        <v>0</v>
      </c>
      <c r="V476" s="199">
        <f ca="1">U476*'Expenditure Study'!$B$31</f>
        <v>0</v>
      </c>
      <c r="W476" s="199">
        <f ca="1">IF(A476=10298,1.51,1)*IF($B476&lt;3,$D476*'Expenditure Study'!$B$32*OFFSET('Expenditure Study'!$B$7,'Operations Support'!$C476,'Operations Support'!$B476),0)</f>
        <v>0</v>
      </c>
      <c r="X476" s="200">
        <f ca="1">W476*'Expenditure Study'!$B$31</f>
        <v>0</v>
      </c>
      <c r="Y476" s="199">
        <f ca="1">U476*'Expenditure Study'!$B$31</f>
        <v>0</v>
      </c>
      <c r="Z476" s="200">
        <f ca="1">W476*'Expenditure Study'!$B$31</f>
        <v>0</v>
      </c>
      <c r="AA476" s="195">
        <f t="shared" ca="1" si="106"/>
        <v>0</v>
      </c>
      <c r="AB476" s="195">
        <f t="shared" ca="1" si="107"/>
        <v>0</v>
      </c>
      <c r="AD476" s="196">
        <f>IFERROR($G476/SUMIF($A:$A,$A476,$G:$G)*SUMIF(Summary!$A$166:$A$242,$A476,Summary!$P$166:$P$242),0)</f>
        <v>0</v>
      </c>
      <c r="AE476" s="197">
        <f t="shared" ca="1" si="108"/>
        <v>0</v>
      </c>
      <c r="AF476" s="196">
        <f>IFERROR(G476/SUMIF(A:A,A476,G:G)*SUMIF(Summary!$A$166:$A$242,'Operations Support'!A476,Summary!$Q$166:$Q$242),0)</f>
        <v>0</v>
      </c>
      <c r="AG476" s="196">
        <f t="shared" ca="1" si="109"/>
        <v>0</v>
      </c>
      <c r="AI476" s="196">
        <f>IFERROR($G476/SUMIF($A:$A,$A476,$G:$G)*SUMIF(Summary!$A$247:$A$283,$A476,Summary!$P$247:$P$283),0)</f>
        <v>0</v>
      </c>
      <c r="AJ476" s="196">
        <f>IFERROR($G476/SUMIF($A:$A,$A476,$G:$G)*(SUMIF(Summary!$A$247:$A$283,$A476,Summary!$L$247:$L$283)+SUMIF(Summary!$A$297:$A$333,$A476,Summary!$L$297:$L$333))-AI476,0)</f>
        <v>0</v>
      </c>
      <c r="AK476" s="196">
        <f>IFERROR($G476/SUMIF($A:$A,$A476,$G:$G)*SUMIF(Summary!$A$247:$A$283,$A476,Summary!$Q$247:$Q$283),0)</f>
        <v>0</v>
      </c>
      <c r="AL476" s="196">
        <f>IFERROR($G476/SUMIF($A:$A,$A476,$G:$G)*(SUMIF(Summary!$A$247:$A$283,$A476,Summary!$L$247:$L$283)+SUMIF(Summary!$A$297:$A$333,$A476,Summary!$L$297:$L$333))-AK476,0)</f>
        <v>0</v>
      </c>
      <c r="AM476" s="198"/>
      <c r="AN476" s="196">
        <f t="shared" ca="1" si="110"/>
        <v>0</v>
      </c>
      <c r="AO476" s="196">
        <f t="shared" ca="1" si="111"/>
        <v>0</v>
      </c>
    </row>
    <row r="477" spans="1:41">
      <c r="A477" s="189">
        <v>3592</v>
      </c>
      <c r="B477" s="190">
        <v>3</v>
      </c>
      <c r="C477" s="191" t="s">
        <v>230</v>
      </c>
      <c r="D477" s="192">
        <f t="shared" si="98"/>
        <v>0</v>
      </c>
      <c r="E477" s="192">
        <f t="shared" si="99"/>
        <v>0</v>
      </c>
      <c r="F477" s="192">
        <f t="shared" si="100"/>
        <v>0</v>
      </c>
      <c r="G477" s="193">
        <f t="shared" si="101"/>
        <v>0</v>
      </c>
      <c r="H477" s="194">
        <v>0</v>
      </c>
      <c r="I477" s="194">
        <v>0</v>
      </c>
      <c r="J477" s="194">
        <v>0</v>
      </c>
      <c r="K477" s="193">
        <f t="shared" si="102"/>
        <v>0</v>
      </c>
      <c r="L477" s="194">
        <v>0</v>
      </c>
      <c r="M477" s="194">
        <v>0</v>
      </c>
      <c r="N477" s="194">
        <v>0</v>
      </c>
      <c r="O477" s="193">
        <f t="shared" si="103"/>
        <v>0</v>
      </c>
      <c r="P477" s="194">
        <v>0</v>
      </c>
      <c r="Q477" s="194">
        <v>0</v>
      </c>
      <c r="R477" s="194">
        <v>0</v>
      </c>
      <c r="S477" s="193">
        <f t="shared" si="104"/>
        <v>0</v>
      </c>
      <c r="T477" s="193">
        <f t="shared" si="105"/>
        <v>0</v>
      </c>
      <c r="U477" s="193">
        <f ca="1">OFFSET('Expenditure Study'!$B$7,'Operations Support'!$C477,'Operations Support'!$B477)*$G477</f>
        <v>0</v>
      </c>
      <c r="V477" s="199">
        <f ca="1">U477*'Expenditure Study'!$B$31</f>
        <v>0</v>
      </c>
      <c r="W477" s="199">
        <f ca="1">IF(A477=10298,1.51,1)*IF($B477&lt;3,$D477*'Expenditure Study'!$B$32*OFFSET('Expenditure Study'!$B$7,'Operations Support'!$C477,'Operations Support'!$B477),0)</f>
        <v>0</v>
      </c>
      <c r="X477" s="200">
        <f ca="1">W477*'Expenditure Study'!$B$31</f>
        <v>0</v>
      </c>
      <c r="Y477" s="199">
        <f ca="1">U477*'Expenditure Study'!$B$31</f>
        <v>0</v>
      </c>
      <c r="Z477" s="200">
        <f ca="1">W477*'Expenditure Study'!$B$31</f>
        <v>0</v>
      </c>
      <c r="AA477" s="195">
        <f t="shared" ca="1" si="106"/>
        <v>0</v>
      </c>
      <c r="AB477" s="195">
        <f t="shared" ca="1" si="107"/>
        <v>0</v>
      </c>
      <c r="AD477" s="196">
        <f>IFERROR($G477/SUMIF($A:$A,$A477,$G:$G)*SUMIF(Summary!$A$166:$A$242,$A477,Summary!$P$166:$P$242),0)</f>
        <v>0</v>
      </c>
      <c r="AE477" s="197">
        <f t="shared" ca="1" si="108"/>
        <v>0</v>
      </c>
      <c r="AF477" s="196">
        <f>IFERROR(G477/SUMIF(A:A,A477,G:G)*SUMIF(Summary!$A$166:$A$242,'Operations Support'!A477,Summary!$Q$166:$Q$242),0)</f>
        <v>0</v>
      </c>
      <c r="AG477" s="196">
        <f t="shared" ca="1" si="109"/>
        <v>0</v>
      </c>
      <c r="AI477" s="196">
        <f>IFERROR($G477/SUMIF($A:$A,$A477,$G:$G)*SUMIF(Summary!$A$247:$A$283,$A477,Summary!$P$247:$P$283),0)</f>
        <v>0</v>
      </c>
      <c r="AJ477" s="196">
        <f>IFERROR($G477/SUMIF($A:$A,$A477,$G:$G)*(SUMIF(Summary!$A$247:$A$283,$A477,Summary!$L$247:$L$283)+SUMIF(Summary!$A$297:$A$333,$A477,Summary!$L$297:$L$333))-AI477,0)</f>
        <v>0</v>
      </c>
      <c r="AK477" s="196">
        <f>IFERROR($G477/SUMIF($A:$A,$A477,$G:$G)*SUMIF(Summary!$A$247:$A$283,$A477,Summary!$Q$247:$Q$283),0)</f>
        <v>0</v>
      </c>
      <c r="AL477" s="196">
        <f>IFERROR($G477/SUMIF($A:$A,$A477,$G:$G)*(SUMIF(Summary!$A$247:$A$283,$A477,Summary!$L$247:$L$283)+SUMIF(Summary!$A$297:$A$333,$A477,Summary!$L$297:$L$333))-AK477,0)</f>
        <v>0</v>
      </c>
      <c r="AM477" s="198"/>
      <c r="AN477" s="196">
        <f t="shared" ca="1" si="110"/>
        <v>0</v>
      </c>
      <c r="AO477" s="196">
        <f t="shared" ca="1" si="111"/>
        <v>0</v>
      </c>
    </row>
    <row r="478" spans="1:41">
      <c r="A478" s="189">
        <v>3592</v>
      </c>
      <c r="B478" s="190">
        <v>3</v>
      </c>
      <c r="C478" s="191" t="s">
        <v>231</v>
      </c>
      <c r="D478" s="192">
        <f t="shared" si="98"/>
        <v>0</v>
      </c>
      <c r="E478" s="192">
        <f t="shared" si="99"/>
        <v>0</v>
      </c>
      <c r="F478" s="192">
        <f t="shared" si="100"/>
        <v>0</v>
      </c>
      <c r="G478" s="193">
        <f t="shared" si="101"/>
        <v>0</v>
      </c>
      <c r="H478" s="194">
        <v>0</v>
      </c>
      <c r="I478" s="194">
        <v>0</v>
      </c>
      <c r="J478" s="194">
        <v>0</v>
      </c>
      <c r="K478" s="193">
        <f t="shared" si="102"/>
        <v>0</v>
      </c>
      <c r="L478" s="194">
        <v>0</v>
      </c>
      <c r="M478" s="194">
        <v>0</v>
      </c>
      <c r="N478" s="194">
        <v>0</v>
      </c>
      <c r="O478" s="193">
        <f t="shared" si="103"/>
        <v>0</v>
      </c>
      <c r="P478" s="194">
        <v>0</v>
      </c>
      <c r="Q478" s="194">
        <v>0</v>
      </c>
      <c r="R478" s="194">
        <v>0</v>
      </c>
      <c r="S478" s="193">
        <f t="shared" si="104"/>
        <v>0</v>
      </c>
      <c r="T478" s="193">
        <f t="shared" si="105"/>
        <v>0</v>
      </c>
      <c r="U478" s="193">
        <f ca="1">OFFSET('Expenditure Study'!$B$7,'Operations Support'!$C478,'Operations Support'!$B478)*$G478</f>
        <v>0</v>
      </c>
      <c r="V478" s="199">
        <f ca="1">U478*'Expenditure Study'!$B$31</f>
        <v>0</v>
      </c>
      <c r="W478" s="199">
        <f ca="1">IF(A478=10298,1.51,1)*IF($B478&lt;3,$D478*'Expenditure Study'!$B$32*OFFSET('Expenditure Study'!$B$7,'Operations Support'!$C478,'Operations Support'!$B478),0)</f>
        <v>0</v>
      </c>
      <c r="X478" s="200">
        <f ca="1">W478*'Expenditure Study'!$B$31</f>
        <v>0</v>
      </c>
      <c r="Y478" s="199">
        <f ca="1">U478*'Expenditure Study'!$B$31</f>
        <v>0</v>
      </c>
      <c r="Z478" s="200">
        <f ca="1">W478*'Expenditure Study'!$B$31</f>
        <v>0</v>
      </c>
      <c r="AA478" s="195">
        <f t="shared" ca="1" si="106"/>
        <v>0</v>
      </c>
      <c r="AB478" s="195">
        <f t="shared" ca="1" si="107"/>
        <v>0</v>
      </c>
      <c r="AD478" s="196">
        <f>IFERROR($G478/SUMIF($A:$A,$A478,$G:$G)*SUMIF(Summary!$A$166:$A$242,$A478,Summary!$P$166:$P$242),0)</f>
        <v>0</v>
      </c>
      <c r="AE478" s="197">
        <f t="shared" ca="1" si="108"/>
        <v>0</v>
      </c>
      <c r="AF478" s="196">
        <f>IFERROR(G478/SUMIF(A:A,A478,G:G)*SUMIF(Summary!$A$166:$A$242,'Operations Support'!A478,Summary!$Q$166:$Q$242),0)</f>
        <v>0</v>
      </c>
      <c r="AG478" s="196">
        <f t="shared" ca="1" si="109"/>
        <v>0</v>
      </c>
      <c r="AI478" s="196">
        <f>IFERROR($G478/SUMIF($A:$A,$A478,$G:$G)*SUMIF(Summary!$A$247:$A$283,$A478,Summary!$P$247:$P$283),0)</f>
        <v>0</v>
      </c>
      <c r="AJ478" s="196">
        <f>IFERROR($G478/SUMIF($A:$A,$A478,$G:$G)*(SUMIF(Summary!$A$247:$A$283,$A478,Summary!$L$247:$L$283)+SUMIF(Summary!$A$297:$A$333,$A478,Summary!$L$297:$L$333))-AI478,0)</f>
        <v>0</v>
      </c>
      <c r="AK478" s="196">
        <f>IFERROR($G478/SUMIF($A:$A,$A478,$G:$G)*SUMIF(Summary!$A$247:$A$283,$A478,Summary!$Q$247:$Q$283),0)</f>
        <v>0</v>
      </c>
      <c r="AL478" s="196">
        <f>IFERROR($G478/SUMIF($A:$A,$A478,$G:$G)*(SUMIF(Summary!$A$247:$A$283,$A478,Summary!$L$247:$L$283)+SUMIF(Summary!$A$297:$A$333,$A478,Summary!$L$297:$L$333))-AK478,0)</f>
        <v>0</v>
      </c>
      <c r="AM478" s="198"/>
      <c r="AN478" s="196">
        <f t="shared" ca="1" si="110"/>
        <v>0</v>
      </c>
      <c r="AO478" s="196">
        <f t="shared" ca="1" si="111"/>
        <v>0</v>
      </c>
    </row>
    <row r="479" spans="1:41">
      <c r="A479" s="189">
        <v>3592</v>
      </c>
      <c r="B479" s="190">
        <v>3</v>
      </c>
      <c r="C479" s="191" t="s">
        <v>232</v>
      </c>
      <c r="D479" s="192">
        <f t="shared" si="98"/>
        <v>0</v>
      </c>
      <c r="E479" s="192">
        <f t="shared" si="99"/>
        <v>0</v>
      </c>
      <c r="F479" s="192">
        <f t="shared" si="100"/>
        <v>0</v>
      </c>
      <c r="G479" s="193">
        <f t="shared" si="101"/>
        <v>0</v>
      </c>
      <c r="H479" s="194">
        <v>0</v>
      </c>
      <c r="I479" s="194">
        <v>0</v>
      </c>
      <c r="J479" s="194">
        <v>0</v>
      </c>
      <c r="K479" s="193">
        <f t="shared" si="102"/>
        <v>0</v>
      </c>
      <c r="L479" s="194">
        <v>0</v>
      </c>
      <c r="M479" s="194">
        <v>0</v>
      </c>
      <c r="N479" s="194">
        <v>0</v>
      </c>
      <c r="O479" s="193">
        <f t="shared" si="103"/>
        <v>0</v>
      </c>
      <c r="P479" s="194">
        <v>0</v>
      </c>
      <c r="Q479" s="194">
        <v>0</v>
      </c>
      <c r="R479" s="194">
        <v>0</v>
      </c>
      <c r="S479" s="193">
        <f t="shared" si="104"/>
        <v>0</v>
      </c>
      <c r="T479" s="193">
        <f t="shared" si="105"/>
        <v>0</v>
      </c>
      <c r="U479" s="193">
        <f ca="1">OFFSET('Expenditure Study'!$B$7,'Operations Support'!$C479,'Operations Support'!$B479)*$G479</f>
        <v>0</v>
      </c>
      <c r="V479" s="199">
        <f ca="1">U479*'Expenditure Study'!$B$31</f>
        <v>0</v>
      </c>
      <c r="W479" s="199">
        <f ca="1">IF(A479=10298,1.51,1)*IF($B479&lt;3,$D479*'Expenditure Study'!$B$32*OFFSET('Expenditure Study'!$B$7,'Operations Support'!$C479,'Operations Support'!$B479),0)</f>
        <v>0</v>
      </c>
      <c r="X479" s="200">
        <f ca="1">W479*'Expenditure Study'!$B$31</f>
        <v>0</v>
      </c>
      <c r="Y479" s="199">
        <f ca="1">U479*'Expenditure Study'!$B$31</f>
        <v>0</v>
      </c>
      <c r="Z479" s="200">
        <f ca="1">W479*'Expenditure Study'!$B$31</f>
        <v>0</v>
      </c>
      <c r="AA479" s="195">
        <f t="shared" ca="1" si="106"/>
        <v>0</v>
      </c>
      <c r="AB479" s="195">
        <f t="shared" ca="1" si="107"/>
        <v>0</v>
      </c>
      <c r="AD479" s="196">
        <f>IFERROR($G479/SUMIF($A:$A,$A479,$G:$G)*SUMIF(Summary!$A$166:$A$242,$A479,Summary!$P$166:$P$242),0)</f>
        <v>0</v>
      </c>
      <c r="AE479" s="197">
        <f t="shared" ca="1" si="108"/>
        <v>0</v>
      </c>
      <c r="AF479" s="196">
        <f>IFERROR(G479/SUMIF(A:A,A479,G:G)*SUMIF(Summary!$A$166:$A$242,'Operations Support'!A479,Summary!$Q$166:$Q$242),0)</f>
        <v>0</v>
      </c>
      <c r="AG479" s="196">
        <f t="shared" ca="1" si="109"/>
        <v>0</v>
      </c>
      <c r="AI479" s="196">
        <f>IFERROR($G479/SUMIF($A:$A,$A479,$G:$G)*SUMIF(Summary!$A$247:$A$283,$A479,Summary!$P$247:$P$283),0)</f>
        <v>0</v>
      </c>
      <c r="AJ479" s="196">
        <f>IFERROR($G479/SUMIF($A:$A,$A479,$G:$G)*(SUMIF(Summary!$A$247:$A$283,$A479,Summary!$L$247:$L$283)+SUMIF(Summary!$A$297:$A$333,$A479,Summary!$L$297:$L$333))-AI479,0)</f>
        <v>0</v>
      </c>
      <c r="AK479" s="196">
        <f>IFERROR($G479/SUMIF($A:$A,$A479,$G:$G)*SUMIF(Summary!$A$247:$A$283,$A479,Summary!$Q$247:$Q$283),0)</f>
        <v>0</v>
      </c>
      <c r="AL479" s="196">
        <f>IFERROR($G479/SUMIF($A:$A,$A479,$G:$G)*(SUMIF(Summary!$A$247:$A$283,$A479,Summary!$L$247:$L$283)+SUMIF(Summary!$A$297:$A$333,$A479,Summary!$L$297:$L$333))-AK479,0)</f>
        <v>0</v>
      </c>
      <c r="AM479" s="198"/>
      <c r="AN479" s="196">
        <f t="shared" ca="1" si="110"/>
        <v>0</v>
      </c>
      <c r="AO479" s="196">
        <f t="shared" ca="1" si="111"/>
        <v>0</v>
      </c>
    </row>
    <row r="480" spans="1:41">
      <c r="A480" s="189">
        <v>3592</v>
      </c>
      <c r="B480" s="190">
        <v>3</v>
      </c>
      <c r="C480" s="191" t="s">
        <v>233</v>
      </c>
      <c r="D480" s="192">
        <f t="shared" si="98"/>
        <v>1148</v>
      </c>
      <c r="E480" s="192">
        <f t="shared" si="99"/>
        <v>358</v>
      </c>
      <c r="F480" s="192">
        <f t="shared" si="100"/>
        <v>0</v>
      </c>
      <c r="G480" s="193">
        <f t="shared" si="101"/>
        <v>1506</v>
      </c>
      <c r="H480" s="194">
        <v>340.5</v>
      </c>
      <c r="I480" s="194">
        <v>167.5</v>
      </c>
      <c r="J480" s="194">
        <v>0</v>
      </c>
      <c r="K480" s="193">
        <f t="shared" si="102"/>
        <v>508</v>
      </c>
      <c r="L480" s="194">
        <v>483.5</v>
      </c>
      <c r="M480" s="194">
        <v>34.5</v>
      </c>
      <c r="N480" s="194">
        <v>0</v>
      </c>
      <c r="O480" s="193">
        <f t="shared" si="103"/>
        <v>518</v>
      </c>
      <c r="P480" s="194">
        <v>324</v>
      </c>
      <c r="Q480" s="194">
        <v>156</v>
      </c>
      <c r="R480" s="194">
        <v>0</v>
      </c>
      <c r="S480" s="193">
        <f t="shared" si="104"/>
        <v>480</v>
      </c>
      <c r="T480" s="193">
        <f t="shared" si="105"/>
        <v>62.75</v>
      </c>
      <c r="U480" s="193">
        <f ca="1">OFFSET('Expenditure Study'!$B$7,'Operations Support'!$C480,'Operations Support'!$B480)*$G480</f>
        <v>3945.7200000000003</v>
      </c>
      <c r="V480" s="199">
        <f ca="1">U480*'Expenditure Study'!$B$31</f>
        <v>233125.68814617602</v>
      </c>
      <c r="W480" s="199">
        <f ca="1">IF(A480=10298,1.51,1)*IF($B480&lt;3,$D480*'Expenditure Study'!$B$32*OFFSET('Expenditure Study'!$B$7,'Operations Support'!$C480,'Operations Support'!$B480),0)</f>
        <v>0</v>
      </c>
      <c r="X480" s="200">
        <f ca="1">W480*'Expenditure Study'!$B$31</f>
        <v>0</v>
      </c>
      <c r="Y480" s="199">
        <f ca="1">U480*'Expenditure Study'!$B$31</f>
        <v>233125.68814617602</v>
      </c>
      <c r="Z480" s="200">
        <f ca="1">W480*'Expenditure Study'!$B$31</f>
        <v>0</v>
      </c>
      <c r="AA480" s="195">
        <f t="shared" ca="1" si="106"/>
        <v>233125.68814617602</v>
      </c>
      <c r="AB480" s="195">
        <f t="shared" ca="1" si="107"/>
        <v>233125.68814617602</v>
      </c>
      <c r="AD480" s="196">
        <f>IFERROR($G480/SUMIF($A:$A,$A480,$G:$G)*SUMIF(Summary!$A$166:$A$242,$A480,Summary!$P$166:$P$242),0)</f>
        <v>34039.310972416548</v>
      </c>
      <c r="AE480" s="197">
        <f t="shared" ca="1" si="108"/>
        <v>199086.37717375948</v>
      </c>
      <c r="AF480" s="196">
        <f>IFERROR(G480/SUMIF(A:A,A480,G:G)*SUMIF(Summary!$A$166:$A$242,'Operations Support'!A480,Summary!$Q$166:$Q$242),0)</f>
        <v>34096.969809817841</v>
      </c>
      <c r="AG480" s="196">
        <f t="shared" ca="1" si="109"/>
        <v>199028.71833635817</v>
      </c>
      <c r="AI480" s="196">
        <f>IFERROR($G480/SUMIF($A:$A,$A480,$G:$G)*SUMIF(Summary!$A$247:$A$283,$A480,Summary!$P$247:$P$283),0)</f>
        <v>6207.9208798321624</v>
      </c>
      <c r="AJ480" s="196">
        <f>IFERROR($G480/SUMIF($A:$A,$A480,$G:$G)*(SUMIF(Summary!$A$247:$A$283,$A480,Summary!$L$247:$L$283)+SUMIF(Summary!$A$297:$A$333,$A480,Summary!$L$297:$L$333))-AI480,0)</f>
        <v>41762.844784366636</v>
      </c>
      <c r="AK480" s="196">
        <f>IFERROR($G480/SUMIF($A:$A,$A480,$G:$G)*SUMIF(Summary!$A$247:$A$283,$A480,Summary!$Q$247:$Q$283),0)</f>
        <v>6218.4364129139094</v>
      </c>
      <c r="AL480" s="196">
        <f>IFERROR($G480/SUMIF($A:$A,$A480,$G:$G)*(SUMIF(Summary!$A$247:$A$283,$A480,Summary!$L$247:$L$283)+SUMIF(Summary!$A$297:$A$333,$A480,Summary!$L$297:$L$333))-AK480,0)</f>
        <v>41752.329251284893</v>
      </c>
      <c r="AM480" s="198"/>
      <c r="AN480" s="196">
        <f t="shared" ca="1" si="110"/>
        <v>240849.22195812612</v>
      </c>
      <c r="AO480" s="196">
        <f t="shared" ca="1" si="111"/>
        <v>240781.04758764306</v>
      </c>
    </row>
    <row r="481" spans="1:41">
      <c r="A481" s="189">
        <v>3592</v>
      </c>
      <c r="B481" s="190">
        <v>3</v>
      </c>
      <c r="C481" s="191" t="s">
        <v>234</v>
      </c>
      <c r="D481" s="192">
        <f t="shared" si="98"/>
        <v>0</v>
      </c>
      <c r="E481" s="192">
        <f t="shared" si="99"/>
        <v>0</v>
      </c>
      <c r="F481" s="192">
        <f t="shared" si="100"/>
        <v>0</v>
      </c>
      <c r="G481" s="193">
        <f t="shared" si="101"/>
        <v>0</v>
      </c>
      <c r="H481" s="194">
        <v>0</v>
      </c>
      <c r="I481" s="194">
        <v>0</v>
      </c>
      <c r="J481" s="194">
        <v>0</v>
      </c>
      <c r="K481" s="193">
        <f t="shared" si="102"/>
        <v>0</v>
      </c>
      <c r="L481" s="194">
        <v>0</v>
      </c>
      <c r="M481" s="194">
        <v>0</v>
      </c>
      <c r="N481" s="194">
        <v>0</v>
      </c>
      <c r="O481" s="193">
        <f t="shared" si="103"/>
        <v>0</v>
      </c>
      <c r="P481" s="194">
        <v>0</v>
      </c>
      <c r="Q481" s="194">
        <v>0</v>
      </c>
      <c r="R481" s="194">
        <v>0</v>
      </c>
      <c r="S481" s="193">
        <f t="shared" si="104"/>
        <v>0</v>
      </c>
      <c r="T481" s="193">
        <f t="shared" si="105"/>
        <v>0</v>
      </c>
      <c r="U481" s="193">
        <f ca="1">OFFSET('Expenditure Study'!$B$7,'Operations Support'!$C481,'Operations Support'!$B481)*$G481</f>
        <v>0</v>
      </c>
      <c r="V481" s="199">
        <f ca="1">U481*'Expenditure Study'!$B$31</f>
        <v>0</v>
      </c>
      <c r="W481" s="199">
        <f ca="1">IF(A481=10298,1.51,1)*IF($B481&lt;3,$D481*'Expenditure Study'!$B$32*OFFSET('Expenditure Study'!$B$7,'Operations Support'!$C481,'Operations Support'!$B481),0)</f>
        <v>0</v>
      </c>
      <c r="X481" s="200">
        <f ca="1">W481*'Expenditure Study'!$B$31</f>
        <v>0</v>
      </c>
      <c r="Y481" s="199">
        <f ca="1">U481*'Expenditure Study'!$B$31</f>
        <v>0</v>
      </c>
      <c r="Z481" s="200">
        <f ca="1">W481*'Expenditure Study'!$B$31</f>
        <v>0</v>
      </c>
      <c r="AA481" s="195">
        <f t="shared" ca="1" si="106"/>
        <v>0</v>
      </c>
      <c r="AB481" s="195">
        <f t="shared" ca="1" si="107"/>
        <v>0</v>
      </c>
      <c r="AD481" s="196">
        <f>IFERROR($G481/SUMIF($A:$A,$A481,$G:$G)*SUMIF(Summary!$A$166:$A$242,$A481,Summary!$P$166:$P$242),0)</f>
        <v>0</v>
      </c>
      <c r="AE481" s="197">
        <f t="shared" ca="1" si="108"/>
        <v>0</v>
      </c>
      <c r="AF481" s="196">
        <f>IFERROR(G481/SUMIF(A:A,A481,G:G)*SUMIF(Summary!$A$166:$A$242,'Operations Support'!A481,Summary!$Q$166:$Q$242),0)</f>
        <v>0</v>
      </c>
      <c r="AG481" s="196">
        <f t="shared" ca="1" si="109"/>
        <v>0</v>
      </c>
      <c r="AI481" s="196">
        <f>IFERROR($G481/SUMIF($A:$A,$A481,$G:$G)*SUMIF(Summary!$A$247:$A$283,$A481,Summary!$P$247:$P$283),0)</f>
        <v>0</v>
      </c>
      <c r="AJ481" s="196">
        <f>IFERROR($G481/SUMIF($A:$A,$A481,$G:$G)*(SUMIF(Summary!$A$247:$A$283,$A481,Summary!$L$247:$L$283)+SUMIF(Summary!$A$297:$A$333,$A481,Summary!$L$297:$L$333))-AI481,0)</f>
        <v>0</v>
      </c>
      <c r="AK481" s="196">
        <f>IFERROR($G481/SUMIF($A:$A,$A481,$G:$G)*SUMIF(Summary!$A$247:$A$283,$A481,Summary!$Q$247:$Q$283),0)</f>
        <v>0</v>
      </c>
      <c r="AL481" s="196">
        <f>IFERROR($G481/SUMIF($A:$A,$A481,$G:$G)*(SUMIF(Summary!$A$247:$A$283,$A481,Summary!$L$247:$L$283)+SUMIF(Summary!$A$297:$A$333,$A481,Summary!$L$297:$L$333))-AK481,0)</f>
        <v>0</v>
      </c>
      <c r="AM481" s="198"/>
      <c r="AN481" s="196">
        <f t="shared" ca="1" si="110"/>
        <v>0</v>
      </c>
      <c r="AO481" s="196">
        <f t="shared" ca="1" si="111"/>
        <v>0</v>
      </c>
    </row>
    <row r="482" spans="1:41">
      <c r="A482" s="189">
        <v>3592</v>
      </c>
      <c r="B482" s="190">
        <v>3</v>
      </c>
      <c r="C482" s="191" t="s">
        <v>235</v>
      </c>
      <c r="D482" s="192">
        <f t="shared" si="98"/>
        <v>3156</v>
      </c>
      <c r="E482" s="192">
        <f t="shared" si="99"/>
        <v>180</v>
      </c>
      <c r="F482" s="192">
        <f t="shared" si="100"/>
        <v>0</v>
      </c>
      <c r="G482" s="193">
        <f t="shared" si="101"/>
        <v>3336</v>
      </c>
      <c r="H482" s="194">
        <v>1336.5</v>
      </c>
      <c r="I482" s="194">
        <v>34.5</v>
      </c>
      <c r="J482" s="194">
        <v>0</v>
      </c>
      <c r="K482" s="193">
        <f t="shared" si="102"/>
        <v>1371</v>
      </c>
      <c r="L482" s="194">
        <v>1171.5</v>
      </c>
      <c r="M482" s="194">
        <v>97.5</v>
      </c>
      <c r="N482" s="194">
        <v>0</v>
      </c>
      <c r="O482" s="193">
        <f t="shared" si="103"/>
        <v>1269</v>
      </c>
      <c r="P482" s="194">
        <v>648</v>
      </c>
      <c r="Q482" s="194">
        <v>48</v>
      </c>
      <c r="R482" s="194">
        <v>0</v>
      </c>
      <c r="S482" s="193">
        <f t="shared" si="104"/>
        <v>696</v>
      </c>
      <c r="T482" s="193">
        <f t="shared" si="105"/>
        <v>139</v>
      </c>
      <c r="U482" s="193">
        <f ca="1">OFFSET('Expenditure Study'!$B$7,'Operations Support'!$C482,'Operations Support'!$B482)*$G482</f>
        <v>10541.76</v>
      </c>
      <c r="V482" s="199">
        <f ca="1">U482*'Expenditure Study'!$B$31</f>
        <v>622840.71203020797</v>
      </c>
      <c r="W482" s="199">
        <f ca="1">IF(A482=10298,1.51,1)*IF($B482&lt;3,$D482*'Expenditure Study'!$B$32*OFFSET('Expenditure Study'!$B$7,'Operations Support'!$C482,'Operations Support'!$B482),0)</f>
        <v>0</v>
      </c>
      <c r="X482" s="200">
        <f ca="1">W482*'Expenditure Study'!$B$31</f>
        <v>0</v>
      </c>
      <c r="Y482" s="199">
        <f ca="1">U482*'Expenditure Study'!$B$31</f>
        <v>622840.71203020797</v>
      </c>
      <c r="Z482" s="200">
        <f ca="1">W482*'Expenditure Study'!$B$31</f>
        <v>0</v>
      </c>
      <c r="AA482" s="195">
        <f t="shared" ca="1" si="106"/>
        <v>622840.71203020797</v>
      </c>
      <c r="AB482" s="195">
        <f t="shared" ca="1" si="107"/>
        <v>622840.71203020797</v>
      </c>
      <c r="AD482" s="196">
        <f>IFERROR($G482/SUMIF($A:$A,$A482,$G:$G)*SUMIF(Summary!$A$166:$A$242,$A482,Summary!$P$166:$P$242),0)</f>
        <v>75401.820321368927</v>
      </c>
      <c r="AE482" s="197">
        <f t="shared" ca="1" si="108"/>
        <v>547438.89170883899</v>
      </c>
      <c r="AF482" s="196">
        <f>IFERROR(G482/SUMIF(A:A,A482,G:G)*SUMIF(Summary!$A$166:$A$242,'Operations Support'!A482,Summary!$Q$166:$Q$242),0)</f>
        <v>75529.542686289715</v>
      </c>
      <c r="AG482" s="196">
        <f t="shared" ca="1" si="109"/>
        <v>547311.16934391821</v>
      </c>
      <c r="AI482" s="196">
        <f>IFERROR($G482/SUMIF($A:$A,$A482,$G:$G)*SUMIF(Summary!$A$247:$A$283,$A482,Summary!$P$247:$P$283),0)</f>
        <v>13751.410395166065</v>
      </c>
      <c r="AJ482" s="196">
        <f>IFERROR($G482/SUMIF($A:$A,$A482,$G:$G)*(SUMIF(Summary!$A$247:$A$283,$A482,Summary!$L$247:$L$283)+SUMIF(Summary!$A$297:$A$333,$A482,Summary!$L$297:$L$333))-AI482,0)</f>
        <v>92510.52470162489</v>
      </c>
      <c r="AK482" s="196">
        <f>IFERROR($G482/SUMIF($A:$A,$A482,$G:$G)*SUMIF(Summary!$A$247:$A$283,$A482,Summary!$Q$247:$Q$283),0)</f>
        <v>13774.703767251529</v>
      </c>
      <c r="AL482" s="196">
        <f>IFERROR($G482/SUMIF($A:$A,$A482,$G:$G)*(SUMIF(Summary!$A$247:$A$283,$A482,Summary!$L$247:$L$283)+SUMIF(Summary!$A$297:$A$333,$A482,Summary!$L$297:$L$333))-AK482,0)</f>
        <v>92487.231329539427</v>
      </c>
      <c r="AM482" s="198"/>
      <c r="AN482" s="196">
        <f t="shared" ca="1" si="110"/>
        <v>639949.41641046386</v>
      </c>
      <c r="AO482" s="196">
        <f t="shared" ca="1" si="111"/>
        <v>639798.40067345765</v>
      </c>
    </row>
    <row r="483" spans="1:41">
      <c r="A483" s="189">
        <v>3592</v>
      </c>
      <c r="B483" s="190">
        <v>3</v>
      </c>
      <c r="C483" s="191" t="s">
        <v>236</v>
      </c>
      <c r="D483" s="192">
        <f t="shared" si="98"/>
        <v>0</v>
      </c>
      <c r="E483" s="192">
        <f t="shared" si="99"/>
        <v>0</v>
      </c>
      <c r="F483" s="192">
        <f t="shared" si="100"/>
        <v>0</v>
      </c>
      <c r="G483" s="193">
        <f t="shared" si="101"/>
        <v>0</v>
      </c>
      <c r="H483" s="194">
        <v>0</v>
      </c>
      <c r="I483" s="194">
        <v>0</v>
      </c>
      <c r="J483" s="194">
        <v>0</v>
      </c>
      <c r="K483" s="193">
        <f t="shared" si="102"/>
        <v>0</v>
      </c>
      <c r="L483" s="194">
        <v>0</v>
      </c>
      <c r="M483" s="194">
        <v>0</v>
      </c>
      <c r="N483" s="194">
        <v>0</v>
      </c>
      <c r="O483" s="193">
        <f t="shared" si="103"/>
        <v>0</v>
      </c>
      <c r="P483" s="194">
        <v>0</v>
      </c>
      <c r="Q483" s="194">
        <v>0</v>
      </c>
      <c r="R483" s="194">
        <v>0</v>
      </c>
      <c r="S483" s="193">
        <f t="shared" si="104"/>
        <v>0</v>
      </c>
      <c r="T483" s="193">
        <f t="shared" si="105"/>
        <v>0</v>
      </c>
      <c r="U483" s="193">
        <f ca="1">OFFSET('Expenditure Study'!$B$7,'Operations Support'!$C483,'Operations Support'!$B483)*$G483</f>
        <v>0</v>
      </c>
      <c r="V483" s="199">
        <f ca="1">U483*'Expenditure Study'!$B$31</f>
        <v>0</v>
      </c>
      <c r="W483" s="199">
        <f ca="1">IF(A483=10298,1.51,1)*IF($B483&lt;3,$D483*'Expenditure Study'!$B$32*OFFSET('Expenditure Study'!$B$7,'Operations Support'!$C483,'Operations Support'!$B483),0)</f>
        <v>0</v>
      </c>
      <c r="X483" s="200">
        <f ca="1">W483*'Expenditure Study'!$B$31</f>
        <v>0</v>
      </c>
      <c r="Y483" s="199">
        <f ca="1">U483*'Expenditure Study'!$B$31</f>
        <v>0</v>
      </c>
      <c r="Z483" s="200">
        <f ca="1">W483*'Expenditure Study'!$B$31</f>
        <v>0</v>
      </c>
      <c r="AA483" s="195">
        <f t="shared" ca="1" si="106"/>
        <v>0</v>
      </c>
      <c r="AB483" s="195">
        <f t="shared" ca="1" si="107"/>
        <v>0</v>
      </c>
      <c r="AD483" s="196">
        <f>IFERROR($G483/SUMIF($A:$A,$A483,$G:$G)*SUMIF(Summary!$A$166:$A$242,$A483,Summary!$P$166:$P$242),0)</f>
        <v>0</v>
      </c>
      <c r="AE483" s="197">
        <f t="shared" ca="1" si="108"/>
        <v>0</v>
      </c>
      <c r="AF483" s="196">
        <f>IFERROR(G483/SUMIF(A:A,A483,G:G)*SUMIF(Summary!$A$166:$A$242,'Operations Support'!A483,Summary!$Q$166:$Q$242),0)</f>
        <v>0</v>
      </c>
      <c r="AG483" s="196">
        <f t="shared" ca="1" si="109"/>
        <v>0</v>
      </c>
      <c r="AI483" s="196">
        <f>IFERROR($G483/SUMIF($A:$A,$A483,$G:$G)*SUMIF(Summary!$A$247:$A$283,$A483,Summary!$P$247:$P$283),0)</f>
        <v>0</v>
      </c>
      <c r="AJ483" s="196">
        <f>IFERROR($G483/SUMIF($A:$A,$A483,$G:$G)*(SUMIF(Summary!$A$247:$A$283,$A483,Summary!$L$247:$L$283)+SUMIF(Summary!$A$297:$A$333,$A483,Summary!$L$297:$L$333))-AI483,0)</f>
        <v>0</v>
      </c>
      <c r="AK483" s="196">
        <f>IFERROR($G483/SUMIF($A:$A,$A483,$G:$G)*SUMIF(Summary!$A$247:$A$283,$A483,Summary!$Q$247:$Q$283),0)</f>
        <v>0</v>
      </c>
      <c r="AL483" s="196">
        <f>IFERROR($G483/SUMIF($A:$A,$A483,$G:$G)*(SUMIF(Summary!$A$247:$A$283,$A483,Summary!$L$247:$L$283)+SUMIF(Summary!$A$297:$A$333,$A483,Summary!$L$297:$L$333))-AK483,0)</f>
        <v>0</v>
      </c>
      <c r="AM483" s="198"/>
      <c r="AN483" s="196">
        <f t="shared" ca="1" si="110"/>
        <v>0</v>
      </c>
      <c r="AO483" s="196">
        <f t="shared" ca="1" si="111"/>
        <v>0</v>
      </c>
    </row>
    <row r="484" spans="1:41">
      <c r="A484" s="189">
        <v>3592</v>
      </c>
      <c r="B484" s="190">
        <v>3</v>
      </c>
      <c r="C484" s="191" t="s">
        <v>237</v>
      </c>
      <c r="D484" s="192">
        <f t="shared" si="98"/>
        <v>0</v>
      </c>
      <c r="E484" s="192">
        <f t="shared" si="99"/>
        <v>0</v>
      </c>
      <c r="F484" s="192">
        <f t="shared" si="100"/>
        <v>0</v>
      </c>
      <c r="G484" s="193">
        <f t="shared" si="101"/>
        <v>0</v>
      </c>
      <c r="H484" s="194">
        <v>0</v>
      </c>
      <c r="I484" s="194">
        <v>0</v>
      </c>
      <c r="J484" s="194">
        <v>0</v>
      </c>
      <c r="K484" s="193">
        <f t="shared" si="102"/>
        <v>0</v>
      </c>
      <c r="L484" s="194">
        <v>0</v>
      </c>
      <c r="M484" s="194">
        <v>0</v>
      </c>
      <c r="N484" s="194">
        <v>0</v>
      </c>
      <c r="O484" s="193">
        <f t="shared" si="103"/>
        <v>0</v>
      </c>
      <c r="P484" s="194">
        <v>0</v>
      </c>
      <c r="Q484" s="194">
        <v>0</v>
      </c>
      <c r="R484" s="194">
        <v>0</v>
      </c>
      <c r="S484" s="193">
        <f t="shared" si="104"/>
        <v>0</v>
      </c>
      <c r="T484" s="193">
        <f t="shared" si="105"/>
        <v>0</v>
      </c>
      <c r="U484" s="193">
        <f ca="1">OFFSET('Expenditure Study'!$B$7,'Operations Support'!$C484,'Operations Support'!$B484)*$G484</f>
        <v>0</v>
      </c>
      <c r="V484" s="199">
        <f ca="1">U484*'Expenditure Study'!$B$31</f>
        <v>0</v>
      </c>
      <c r="W484" s="199">
        <f ca="1">IF(A484=10298,1.51,1)*IF($B484&lt;3,$D484*'Expenditure Study'!$B$32*OFFSET('Expenditure Study'!$B$7,'Operations Support'!$C484,'Operations Support'!$B484),0)</f>
        <v>0</v>
      </c>
      <c r="X484" s="200">
        <f ca="1">W484*'Expenditure Study'!$B$31</f>
        <v>0</v>
      </c>
      <c r="Y484" s="199">
        <f ca="1">U484*'Expenditure Study'!$B$31</f>
        <v>0</v>
      </c>
      <c r="Z484" s="200">
        <f ca="1">W484*'Expenditure Study'!$B$31</f>
        <v>0</v>
      </c>
      <c r="AA484" s="195">
        <f t="shared" ca="1" si="106"/>
        <v>0</v>
      </c>
      <c r="AB484" s="195">
        <f t="shared" ca="1" si="107"/>
        <v>0</v>
      </c>
      <c r="AD484" s="196">
        <f>IFERROR($G484/SUMIF($A:$A,$A484,$G:$G)*SUMIF(Summary!$A$166:$A$242,$A484,Summary!$P$166:$P$242),0)</f>
        <v>0</v>
      </c>
      <c r="AE484" s="197">
        <f t="shared" ca="1" si="108"/>
        <v>0</v>
      </c>
      <c r="AF484" s="196">
        <f>IFERROR(G484/SUMIF(A:A,A484,G:G)*SUMIF(Summary!$A$166:$A$242,'Operations Support'!A484,Summary!$Q$166:$Q$242),0)</f>
        <v>0</v>
      </c>
      <c r="AG484" s="196">
        <f t="shared" ca="1" si="109"/>
        <v>0</v>
      </c>
      <c r="AI484" s="196">
        <f>IFERROR($G484/SUMIF($A:$A,$A484,$G:$G)*SUMIF(Summary!$A$247:$A$283,$A484,Summary!$P$247:$P$283),0)</f>
        <v>0</v>
      </c>
      <c r="AJ484" s="196">
        <f>IFERROR($G484/SUMIF($A:$A,$A484,$G:$G)*(SUMIF(Summary!$A$247:$A$283,$A484,Summary!$L$247:$L$283)+SUMIF(Summary!$A$297:$A$333,$A484,Summary!$L$297:$L$333))-AI484,0)</f>
        <v>0</v>
      </c>
      <c r="AK484" s="196">
        <f>IFERROR($G484/SUMIF($A:$A,$A484,$G:$G)*SUMIF(Summary!$A$247:$A$283,$A484,Summary!$Q$247:$Q$283),0)</f>
        <v>0</v>
      </c>
      <c r="AL484" s="196">
        <f>IFERROR($G484/SUMIF($A:$A,$A484,$G:$G)*(SUMIF(Summary!$A$247:$A$283,$A484,Summary!$L$247:$L$283)+SUMIF(Summary!$A$297:$A$333,$A484,Summary!$L$297:$L$333))-AK484,0)</f>
        <v>0</v>
      </c>
      <c r="AM484" s="198"/>
      <c r="AN484" s="196">
        <f t="shared" ca="1" si="110"/>
        <v>0</v>
      </c>
      <c r="AO484" s="196">
        <f t="shared" ca="1" si="111"/>
        <v>0</v>
      </c>
    </row>
    <row r="485" spans="1:41">
      <c r="A485" s="189">
        <v>3592</v>
      </c>
      <c r="B485" s="190">
        <v>3</v>
      </c>
      <c r="C485" s="191" t="s">
        <v>238</v>
      </c>
      <c r="D485" s="192">
        <f t="shared" si="98"/>
        <v>36</v>
      </c>
      <c r="E485" s="192">
        <f t="shared" si="99"/>
        <v>0</v>
      </c>
      <c r="F485" s="192">
        <f t="shared" si="100"/>
        <v>0</v>
      </c>
      <c r="G485" s="193">
        <f t="shared" si="101"/>
        <v>36</v>
      </c>
      <c r="H485" s="194">
        <v>36</v>
      </c>
      <c r="I485" s="194">
        <v>0</v>
      </c>
      <c r="J485" s="194">
        <v>0</v>
      </c>
      <c r="K485" s="193">
        <f t="shared" si="102"/>
        <v>36</v>
      </c>
      <c r="L485" s="194">
        <v>0</v>
      </c>
      <c r="M485" s="194">
        <v>0</v>
      </c>
      <c r="N485" s="194">
        <v>0</v>
      </c>
      <c r="O485" s="193">
        <f t="shared" si="103"/>
        <v>0</v>
      </c>
      <c r="P485" s="194">
        <v>0</v>
      </c>
      <c r="Q485" s="194">
        <v>0</v>
      </c>
      <c r="R485" s="194">
        <v>0</v>
      </c>
      <c r="S485" s="193">
        <f t="shared" si="104"/>
        <v>0</v>
      </c>
      <c r="T485" s="193">
        <f t="shared" si="105"/>
        <v>1.5</v>
      </c>
      <c r="U485" s="193">
        <f ca="1">OFFSET('Expenditure Study'!$B$7,'Operations Support'!$C485,'Operations Support'!$B485)*$G485</f>
        <v>210.24</v>
      </c>
      <c r="V485" s="199">
        <f ca="1">U485*'Expenditure Study'!$B$31</f>
        <v>12421.647931392001</v>
      </c>
      <c r="W485" s="199">
        <f ca="1">IF(A485=10298,1.51,1)*IF($B485&lt;3,$D485*'Expenditure Study'!$B$32*OFFSET('Expenditure Study'!$B$7,'Operations Support'!$C485,'Operations Support'!$B485),0)</f>
        <v>0</v>
      </c>
      <c r="X485" s="200">
        <f ca="1">W485*'Expenditure Study'!$B$31</f>
        <v>0</v>
      </c>
      <c r="Y485" s="199">
        <f ca="1">U485*'Expenditure Study'!$B$31</f>
        <v>12421.647931392001</v>
      </c>
      <c r="Z485" s="200">
        <f ca="1">W485*'Expenditure Study'!$B$31</f>
        <v>0</v>
      </c>
      <c r="AA485" s="195">
        <f t="shared" ca="1" si="106"/>
        <v>12421.647931392001</v>
      </c>
      <c r="AB485" s="195">
        <f t="shared" ca="1" si="107"/>
        <v>12421.647931392001</v>
      </c>
      <c r="AD485" s="196">
        <f>IFERROR($G485/SUMIF($A:$A,$A485,$G:$G)*SUMIF(Summary!$A$166:$A$242,$A485,Summary!$P$166:$P$242),0)</f>
        <v>813.68870850398116</v>
      </c>
      <c r="AE485" s="197">
        <f t="shared" ca="1" si="108"/>
        <v>11607.959222888019</v>
      </c>
      <c r="AF485" s="196">
        <f>IFERROR(G485/SUMIF(A:A,A485,G:G)*SUMIF(Summary!$A$166:$A$242,'Operations Support'!A485,Summary!$Q$166:$Q$242),0)</f>
        <v>815.06700740600411</v>
      </c>
      <c r="AG485" s="196">
        <f t="shared" ca="1" si="109"/>
        <v>11606.580923985997</v>
      </c>
      <c r="AI485" s="196">
        <f>IFERROR($G485/SUMIF($A:$A,$A485,$G:$G)*SUMIF(Summary!$A$247:$A$283,$A485,Summary!$P$247:$P$283),0)</f>
        <v>148.39651505574889</v>
      </c>
      <c r="AJ485" s="196">
        <f>IFERROR($G485/SUMIF($A:$A,$A485,$G:$G)*(SUMIF(Summary!$A$247:$A$283,$A485,Summary!$L$247:$L$283)+SUMIF(Summary!$A$297:$A$333,$A485,Summary!$L$297:$L$333))-AI485,0)</f>
        <v>998.31501476573624</v>
      </c>
      <c r="AK485" s="196">
        <f>IFERROR($G485/SUMIF($A:$A,$A485,$G:$G)*SUMIF(Summary!$A$247:$A$283,$A485,Summary!$Q$247:$Q$283),0)</f>
        <v>148.64788238041217</v>
      </c>
      <c r="AL485" s="196">
        <f>IFERROR($G485/SUMIF($A:$A,$A485,$G:$G)*(SUMIF(Summary!$A$247:$A$283,$A485,Summary!$L$247:$L$283)+SUMIF(Summary!$A$297:$A$333,$A485,Summary!$L$297:$L$333))-AK485,0)</f>
        <v>998.06364744107293</v>
      </c>
      <c r="AM485" s="198"/>
      <c r="AN485" s="196">
        <f t="shared" ca="1" si="110"/>
        <v>12606.274237653755</v>
      </c>
      <c r="AO485" s="196">
        <f t="shared" ca="1" si="111"/>
        <v>12604.64457142707</v>
      </c>
    </row>
    <row r="486" spans="1:41">
      <c r="A486" s="189">
        <v>3592</v>
      </c>
      <c r="B486" s="190">
        <v>3</v>
      </c>
      <c r="C486" s="191" t="s">
        <v>239</v>
      </c>
      <c r="D486" s="192">
        <f t="shared" si="98"/>
        <v>470.91999999999996</v>
      </c>
      <c r="E486" s="192">
        <f t="shared" si="99"/>
        <v>758.08</v>
      </c>
      <c r="F486" s="192">
        <f t="shared" si="100"/>
        <v>0</v>
      </c>
      <c r="G486" s="193">
        <f t="shared" si="101"/>
        <v>1229</v>
      </c>
      <c r="H486" s="194">
        <v>152</v>
      </c>
      <c r="I486" s="194">
        <v>421</v>
      </c>
      <c r="J486" s="194">
        <v>0</v>
      </c>
      <c r="K486" s="193">
        <f t="shared" si="102"/>
        <v>573</v>
      </c>
      <c r="L486" s="194">
        <v>145</v>
      </c>
      <c r="M486" s="194">
        <v>231</v>
      </c>
      <c r="N486" s="194">
        <v>0</v>
      </c>
      <c r="O486" s="193">
        <f t="shared" si="103"/>
        <v>376</v>
      </c>
      <c r="P486" s="194">
        <v>173.92</v>
      </c>
      <c r="Q486" s="194">
        <v>106.08</v>
      </c>
      <c r="R486" s="194">
        <v>0</v>
      </c>
      <c r="S486" s="193">
        <f t="shared" si="104"/>
        <v>280</v>
      </c>
      <c r="T486" s="193">
        <f t="shared" si="105"/>
        <v>51.208333333333336</v>
      </c>
      <c r="U486" s="193">
        <f ca="1">OFFSET('Expenditure Study'!$B$7,'Operations Support'!$C486,'Operations Support'!$B486)*$G486</f>
        <v>3342.88</v>
      </c>
      <c r="V486" s="199">
        <f ca="1">U486*'Expenditure Study'!$B$31</f>
        <v>197507.983432704</v>
      </c>
      <c r="W486" s="199">
        <f ca="1">IF(A486=10298,1.51,1)*IF($B486&lt;3,$D486*'Expenditure Study'!$B$32*OFFSET('Expenditure Study'!$B$7,'Operations Support'!$C486,'Operations Support'!$B486),0)</f>
        <v>0</v>
      </c>
      <c r="X486" s="200">
        <f ca="1">W486*'Expenditure Study'!$B$31</f>
        <v>0</v>
      </c>
      <c r="Y486" s="199">
        <f ca="1">U486*'Expenditure Study'!$B$31</f>
        <v>197507.983432704</v>
      </c>
      <c r="Z486" s="200">
        <f ca="1">W486*'Expenditure Study'!$B$31</f>
        <v>0</v>
      </c>
      <c r="AA486" s="195">
        <f t="shared" ca="1" si="106"/>
        <v>197507.983432704</v>
      </c>
      <c r="AB486" s="195">
        <f t="shared" ca="1" si="107"/>
        <v>197507.983432704</v>
      </c>
      <c r="AD486" s="196">
        <f>IFERROR($G486/SUMIF($A:$A,$A486,$G:$G)*SUMIF(Summary!$A$166:$A$242,$A486,Summary!$P$166:$P$242),0)</f>
        <v>27778.428409760912</v>
      </c>
      <c r="AE486" s="197">
        <f t="shared" ca="1" si="108"/>
        <v>169729.5550229431</v>
      </c>
      <c r="AF486" s="196">
        <f>IFERROR(G486/SUMIF(A:A,A486,G:G)*SUMIF(Summary!$A$166:$A$242,'Operations Support'!A486,Summary!$Q$166:$Q$242),0)</f>
        <v>27825.482002832752</v>
      </c>
      <c r="AG486" s="196">
        <f t="shared" ca="1" si="109"/>
        <v>169682.50142987125</v>
      </c>
      <c r="AI486" s="196">
        <f>IFERROR($G486/SUMIF($A:$A,$A486,$G:$G)*SUMIF(Summary!$A$247:$A$283,$A486,Summary!$P$247:$P$283),0)</f>
        <v>5066.0921389865389</v>
      </c>
      <c r="AJ486" s="196">
        <f>IFERROR($G486/SUMIF($A:$A,$A486,$G:$G)*(SUMIF(Summary!$A$247:$A$283,$A486,Summary!$L$247:$L$283)+SUMIF(Summary!$A$297:$A$333,$A486,Summary!$L$297:$L$333))-AI486,0)</f>
        <v>34081.365365196936</v>
      </c>
      <c r="AK486" s="196">
        <f>IFERROR($G486/SUMIF($A:$A,$A486,$G:$G)*SUMIF(Summary!$A$247:$A$283,$A486,Summary!$Q$247:$Q$283),0)</f>
        <v>5074.6735401535152</v>
      </c>
      <c r="AL486" s="196">
        <f>IFERROR($G486/SUMIF($A:$A,$A486,$G:$G)*(SUMIF(Summary!$A$247:$A$283,$A486,Summary!$L$247:$L$283)+SUMIF(Summary!$A$297:$A$333,$A486,Summary!$L$297:$L$333))-AK486,0)</f>
        <v>34072.783964029964</v>
      </c>
      <c r="AM486" s="198"/>
      <c r="AN486" s="196">
        <f t="shared" ca="1" si="110"/>
        <v>203810.92038814002</v>
      </c>
      <c r="AO486" s="196">
        <f t="shared" ca="1" si="111"/>
        <v>203755.28539390123</v>
      </c>
    </row>
    <row r="487" spans="1:41">
      <c r="A487" s="189">
        <v>3592</v>
      </c>
      <c r="B487" s="190">
        <v>3</v>
      </c>
      <c r="C487" s="191" t="s">
        <v>240</v>
      </c>
      <c r="D487" s="192">
        <f t="shared" si="98"/>
        <v>0</v>
      </c>
      <c r="E487" s="192">
        <f t="shared" si="99"/>
        <v>0</v>
      </c>
      <c r="F487" s="192">
        <f t="shared" si="100"/>
        <v>0</v>
      </c>
      <c r="G487" s="193">
        <f t="shared" si="101"/>
        <v>0</v>
      </c>
      <c r="H487" s="194">
        <v>0</v>
      </c>
      <c r="I487" s="194">
        <v>0</v>
      </c>
      <c r="J487" s="194">
        <v>0</v>
      </c>
      <c r="K487" s="193">
        <f t="shared" si="102"/>
        <v>0</v>
      </c>
      <c r="L487" s="194">
        <v>0</v>
      </c>
      <c r="M487" s="194">
        <v>0</v>
      </c>
      <c r="N487" s="194">
        <v>0</v>
      </c>
      <c r="O487" s="193">
        <f t="shared" si="103"/>
        <v>0</v>
      </c>
      <c r="P487" s="194">
        <v>0</v>
      </c>
      <c r="Q487" s="194">
        <v>0</v>
      </c>
      <c r="R487" s="194">
        <v>0</v>
      </c>
      <c r="S487" s="193">
        <f t="shared" si="104"/>
        <v>0</v>
      </c>
      <c r="T487" s="193">
        <f t="shared" si="105"/>
        <v>0</v>
      </c>
      <c r="U487" s="193">
        <f ca="1">OFFSET('Expenditure Study'!$B$7,'Operations Support'!$C487,'Operations Support'!$B487)*$G487</f>
        <v>0</v>
      </c>
      <c r="V487" s="199">
        <f ca="1">U487*'Expenditure Study'!$B$31</f>
        <v>0</v>
      </c>
      <c r="W487" s="199">
        <f ca="1">IF(A487=10298,1.51,1)*IF($B487&lt;3,$D487*'Expenditure Study'!$B$32*OFFSET('Expenditure Study'!$B$7,'Operations Support'!$C487,'Operations Support'!$B487),0)</f>
        <v>0</v>
      </c>
      <c r="X487" s="200">
        <f ca="1">W487*'Expenditure Study'!$B$31</f>
        <v>0</v>
      </c>
      <c r="Y487" s="199">
        <f ca="1">U487*'Expenditure Study'!$B$31</f>
        <v>0</v>
      </c>
      <c r="Z487" s="200">
        <f ca="1">W487*'Expenditure Study'!$B$31</f>
        <v>0</v>
      </c>
      <c r="AA487" s="195">
        <f t="shared" ca="1" si="106"/>
        <v>0</v>
      </c>
      <c r="AB487" s="195">
        <f t="shared" ca="1" si="107"/>
        <v>0</v>
      </c>
      <c r="AD487" s="196">
        <f>IFERROR($G487/SUMIF($A:$A,$A487,$G:$G)*SUMIF(Summary!$A$166:$A$242,$A487,Summary!$P$166:$P$242),0)</f>
        <v>0</v>
      </c>
      <c r="AE487" s="197">
        <f t="shared" ca="1" si="108"/>
        <v>0</v>
      </c>
      <c r="AF487" s="196">
        <f>IFERROR(G487/SUMIF(A:A,A487,G:G)*SUMIF(Summary!$A$166:$A$242,'Operations Support'!A487,Summary!$Q$166:$Q$242),0)</f>
        <v>0</v>
      </c>
      <c r="AG487" s="196">
        <f t="shared" ca="1" si="109"/>
        <v>0</v>
      </c>
      <c r="AI487" s="196">
        <f>IFERROR($G487/SUMIF($A:$A,$A487,$G:$G)*SUMIF(Summary!$A$247:$A$283,$A487,Summary!$P$247:$P$283),0)</f>
        <v>0</v>
      </c>
      <c r="AJ487" s="196">
        <f>IFERROR($G487/SUMIF($A:$A,$A487,$G:$G)*(SUMIF(Summary!$A$247:$A$283,$A487,Summary!$L$247:$L$283)+SUMIF(Summary!$A$297:$A$333,$A487,Summary!$L$297:$L$333))-AI487,0)</f>
        <v>0</v>
      </c>
      <c r="AK487" s="196">
        <f>IFERROR($G487/SUMIF($A:$A,$A487,$G:$G)*SUMIF(Summary!$A$247:$A$283,$A487,Summary!$Q$247:$Q$283),0)</f>
        <v>0</v>
      </c>
      <c r="AL487" s="196">
        <f>IFERROR($G487/SUMIF($A:$A,$A487,$G:$G)*(SUMIF(Summary!$A$247:$A$283,$A487,Summary!$L$247:$L$283)+SUMIF(Summary!$A$297:$A$333,$A487,Summary!$L$297:$L$333))-AK487,0)</f>
        <v>0</v>
      </c>
      <c r="AM487" s="198"/>
      <c r="AN487" s="196">
        <f t="shared" ca="1" si="110"/>
        <v>0</v>
      </c>
      <c r="AO487" s="196">
        <f t="shared" ca="1" si="111"/>
        <v>0</v>
      </c>
    </row>
    <row r="488" spans="1:41">
      <c r="A488" s="189">
        <v>3592</v>
      </c>
      <c r="B488" s="190">
        <v>4</v>
      </c>
      <c r="C488" s="191" t="s">
        <v>220</v>
      </c>
      <c r="D488" s="192">
        <f t="shared" si="98"/>
        <v>0</v>
      </c>
      <c r="E488" s="192">
        <f t="shared" si="99"/>
        <v>0</v>
      </c>
      <c r="F488" s="192">
        <f t="shared" si="100"/>
        <v>0</v>
      </c>
      <c r="G488" s="193">
        <f t="shared" si="101"/>
        <v>0</v>
      </c>
      <c r="H488" s="194">
        <v>0</v>
      </c>
      <c r="I488" s="194">
        <v>0</v>
      </c>
      <c r="J488" s="194">
        <v>0</v>
      </c>
      <c r="K488" s="193">
        <f t="shared" si="102"/>
        <v>0</v>
      </c>
      <c r="L488" s="194">
        <v>0</v>
      </c>
      <c r="M488" s="194">
        <v>0</v>
      </c>
      <c r="N488" s="194">
        <v>0</v>
      </c>
      <c r="O488" s="193">
        <f t="shared" si="103"/>
        <v>0</v>
      </c>
      <c r="P488" s="194">
        <v>0</v>
      </c>
      <c r="Q488" s="194">
        <v>0</v>
      </c>
      <c r="R488" s="194">
        <v>0</v>
      </c>
      <c r="S488" s="193">
        <f t="shared" si="104"/>
        <v>0</v>
      </c>
      <c r="T488" s="193">
        <f t="shared" si="105"/>
        <v>0</v>
      </c>
      <c r="U488" s="193">
        <f ca="1">OFFSET('Expenditure Study'!$B$7,'Operations Support'!$C488,'Operations Support'!$B488)*$G488</f>
        <v>0</v>
      </c>
      <c r="V488" s="199">
        <f ca="1">U488*'Expenditure Study'!$B$31</f>
        <v>0</v>
      </c>
      <c r="W488" s="199">
        <f ca="1">IF(A488=10298,1.51,1)*IF($B488&lt;3,$D488*'Expenditure Study'!$B$32*OFFSET('Expenditure Study'!$B$7,'Operations Support'!$C488,'Operations Support'!$B488),0)</f>
        <v>0</v>
      </c>
      <c r="X488" s="200">
        <f ca="1">W488*'Expenditure Study'!$B$31</f>
        <v>0</v>
      </c>
      <c r="Y488" s="199">
        <f ca="1">U488*'Expenditure Study'!$B$31</f>
        <v>0</v>
      </c>
      <c r="Z488" s="200">
        <f ca="1">W488*'Expenditure Study'!$B$31</f>
        <v>0</v>
      </c>
      <c r="AA488" s="195">
        <f t="shared" ca="1" si="106"/>
        <v>0</v>
      </c>
      <c r="AB488" s="195">
        <f t="shared" ca="1" si="107"/>
        <v>0</v>
      </c>
      <c r="AD488" s="196">
        <f>IFERROR($G488/SUMIF($A:$A,$A488,$G:$G)*SUMIF(Summary!$A$166:$A$242,$A488,Summary!$P$166:$P$242),0)</f>
        <v>0</v>
      </c>
      <c r="AE488" s="197">
        <f t="shared" ca="1" si="108"/>
        <v>0</v>
      </c>
      <c r="AF488" s="196">
        <f>IFERROR(G488/SUMIF(A:A,A488,G:G)*SUMIF(Summary!$A$166:$A$242,'Operations Support'!A488,Summary!$Q$166:$Q$242),0)</f>
        <v>0</v>
      </c>
      <c r="AG488" s="196">
        <f t="shared" ca="1" si="109"/>
        <v>0</v>
      </c>
      <c r="AI488" s="196">
        <f>IFERROR($G488/SUMIF($A:$A,$A488,$G:$G)*SUMIF(Summary!$A$247:$A$283,$A488,Summary!$P$247:$P$283),0)</f>
        <v>0</v>
      </c>
      <c r="AJ488" s="196">
        <f>IFERROR($G488/SUMIF($A:$A,$A488,$G:$G)*(SUMIF(Summary!$A$247:$A$283,$A488,Summary!$L$247:$L$283)+SUMIF(Summary!$A$297:$A$333,$A488,Summary!$L$297:$L$333))-AI488,0)</f>
        <v>0</v>
      </c>
      <c r="AK488" s="196">
        <f>IFERROR($G488/SUMIF($A:$A,$A488,$G:$G)*SUMIF(Summary!$A$247:$A$283,$A488,Summary!$Q$247:$Q$283),0)</f>
        <v>0</v>
      </c>
      <c r="AL488" s="196">
        <f>IFERROR($G488/SUMIF($A:$A,$A488,$G:$G)*(SUMIF(Summary!$A$247:$A$283,$A488,Summary!$L$247:$L$283)+SUMIF(Summary!$A$297:$A$333,$A488,Summary!$L$297:$L$333))-AK488,0)</f>
        <v>0</v>
      </c>
      <c r="AM488" s="198"/>
      <c r="AN488" s="196">
        <f t="shared" ca="1" si="110"/>
        <v>0</v>
      </c>
      <c r="AO488" s="196">
        <f t="shared" ca="1" si="111"/>
        <v>0</v>
      </c>
    </row>
    <row r="489" spans="1:41">
      <c r="A489" s="189">
        <v>3592</v>
      </c>
      <c r="B489" s="190">
        <v>4</v>
      </c>
      <c r="C489" s="191" t="s">
        <v>221</v>
      </c>
      <c r="D489" s="192">
        <f t="shared" si="98"/>
        <v>0</v>
      </c>
      <c r="E489" s="192">
        <f t="shared" si="99"/>
        <v>0</v>
      </c>
      <c r="F489" s="192">
        <f t="shared" si="100"/>
        <v>0</v>
      </c>
      <c r="G489" s="193">
        <f t="shared" si="101"/>
        <v>0</v>
      </c>
      <c r="H489" s="194">
        <v>0</v>
      </c>
      <c r="I489" s="194">
        <v>0</v>
      </c>
      <c r="J489" s="194">
        <v>0</v>
      </c>
      <c r="K489" s="193">
        <f t="shared" si="102"/>
        <v>0</v>
      </c>
      <c r="L489" s="194">
        <v>0</v>
      </c>
      <c r="M489" s="194">
        <v>0</v>
      </c>
      <c r="N489" s="194">
        <v>0</v>
      </c>
      <c r="O489" s="193">
        <f t="shared" si="103"/>
        <v>0</v>
      </c>
      <c r="P489" s="194">
        <v>0</v>
      </c>
      <c r="Q489" s="194">
        <v>0</v>
      </c>
      <c r="R489" s="194">
        <v>0</v>
      </c>
      <c r="S489" s="193">
        <f t="shared" si="104"/>
        <v>0</v>
      </c>
      <c r="T489" s="193">
        <f t="shared" si="105"/>
        <v>0</v>
      </c>
      <c r="U489" s="193">
        <f ca="1">OFFSET('Expenditure Study'!$B$7,'Operations Support'!$C489,'Operations Support'!$B489)*$G489</f>
        <v>0</v>
      </c>
      <c r="V489" s="199">
        <f ca="1">U489*'Expenditure Study'!$B$31</f>
        <v>0</v>
      </c>
      <c r="W489" s="199">
        <f ca="1">IF(A489=10298,1.51,1)*IF($B489&lt;3,$D489*'Expenditure Study'!$B$32*OFFSET('Expenditure Study'!$B$7,'Operations Support'!$C489,'Operations Support'!$B489),0)</f>
        <v>0</v>
      </c>
      <c r="X489" s="200">
        <f ca="1">W489*'Expenditure Study'!$B$31</f>
        <v>0</v>
      </c>
      <c r="Y489" s="199">
        <f ca="1">U489*'Expenditure Study'!$B$31</f>
        <v>0</v>
      </c>
      <c r="Z489" s="200">
        <f ca="1">W489*'Expenditure Study'!$B$31</f>
        <v>0</v>
      </c>
      <c r="AA489" s="195">
        <f t="shared" ca="1" si="106"/>
        <v>0</v>
      </c>
      <c r="AB489" s="195">
        <f t="shared" ca="1" si="107"/>
        <v>0</v>
      </c>
      <c r="AD489" s="196">
        <f>IFERROR($G489/SUMIF($A:$A,$A489,$G:$G)*SUMIF(Summary!$A$166:$A$242,$A489,Summary!$P$166:$P$242),0)</f>
        <v>0</v>
      </c>
      <c r="AE489" s="197">
        <f t="shared" ca="1" si="108"/>
        <v>0</v>
      </c>
      <c r="AF489" s="196">
        <f>IFERROR(G489/SUMIF(A:A,A489,G:G)*SUMIF(Summary!$A$166:$A$242,'Operations Support'!A489,Summary!$Q$166:$Q$242),0)</f>
        <v>0</v>
      </c>
      <c r="AG489" s="196">
        <f t="shared" ca="1" si="109"/>
        <v>0</v>
      </c>
      <c r="AI489" s="196">
        <f>IFERROR($G489/SUMIF($A:$A,$A489,$G:$G)*SUMIF(Summary!$A$247:$A$283,$A489,Summary!$P$247:$P$283),0)</f>
        <v>0</v>
      </c>
      <c r="AJ489" s="196">
        <f>IFERROR($G489/SUMIF($A:$A,$A489,$G:$G)*(SUMIF(Summary!$A$247:$A$283,$A489,Summary!$L$247:$L$283)+SUMIF(Summary!$A$297:$A$333,$A489,Summary!$L$297:$L$333))-AI489,0)</f>
        <v>0</v>
      </c>
      <c r="AK489" s="196">
        <f>IFERROR($G489/SUMIF($A:$A,$A489,$G:$G)*SUMIF(Summary!$A$247:$A$283,$A489,Summary!$Q$247:$Q$283),0)</f>
        <v>0</v>
      </c>
      <c r="AL489" s="196">
        <f>IFERROR($G489/SUMIF($A:$A,$A489,$G:$G)*(SUMIF(Summary!$A$247:$A$283,$A489,Summary!$L$247:$L$283)+SUMIF(Summary!$A$297:$A$333,$A489,Summary!$L$297:$L$333))-AK489,0)</f>
        <v>0</v>
      </c>
      <c r="AM489" s="198"/>
      <c r="AN489" s="196">
        <f t="shared" ca="1" si="110"/>
        <v>0</v>
      </c>
      <c r="AO489" s="196">
        <f t="shared" ca="1" si="111"/>
        <v>0</v>
      </c>
    </row>
    <row r="490" spans="1:41">
      <c r="A490" s="189">
        <v>3592</v>
      </c>
      <c r="B490" s="190">
        <v>4</v>
      </c>
      <c r="C490" s="191" t="s">
        <v>222</v>
      </c>
      <c r="D490" s="192">
        <f t="shared" si="98"/>
        <v>0</v>
      </c>
      <c r="E490" s="192">
        <f t="shared" si="99"/>
        <v>0</v>
      </c>
      <c r="F490" s="192">
        <f t="shared" si="100"/>
        <v>0</v>
      </c>
      <c r="G490" s="193">
        <f t="shared" si="101"/>
        <v>0</v>
      </c>
      <c r="H490" s="194">
        <v>0</v>
      </c>
      <c r="I490" s="194">
        <v>0</v>
      </c>
      <c r="J490" s="194">
        <v>0</v>
      </c>
      <c r="K490" s="193">
        <f t="shared" si="102"/>
        <v>0</v>
      </c>
      <c r="L490" s="194">
        <v>0</v>
      </c>
      <c r="M490" s="194">
        <v>0</v>
      </c>
      <c r="N490" s="194">
        <v>0</v>
      </c>
      <c r="O490" s="193">
        <f t="shared" si="103"/>
        <v>0</v>
      </c>
      <c r="P490" s="194">
        <v>0</v>
      </c>
      <c r="Q490" s="194">
        <v>0</v>
      </c>
      <c r="R490" s="194">
        <v>0</v>
      </c>
      <c r="S490" s="193">
        <f t="shared" si="104"/>
        <v>0</v>
      </c>
      <c r="T490" s="193">
        <f t="shared" si="105"/>
        <v>0</v>
      </c>
      <c r="U490" s="193">
        <f ca="1">OFFSET('Expenditure Study'!$B$7,'Operations Support'!$C490,'Operations Support'!$B490)*$G490</f>
        <v>0</v>
      </c>
      <c r="V490" s="199">
        <f ca="1">U490*'Expenditure Study'!$B$31</f>
        <v>0</v>
      </c>
      <c r="W490" s="199">
        <f ca="1">IF(A490=10298,1.51,1)*IF($B490&lt;3,$D490*'Expenditure Study'!$B$32*OFFSET('Expenditure Study'!$B$7,'Operations Support'!$C490,'Operations Support'!$B490),0)</f>
        <v>0</v>
      </c>
      <c r="X490" s="200">
        <f ca="1">W490*'Expenditure Study'!$B$31</f>
        <v>0</v>
      </c>
      <c r="Y490" s="199">
        <f ca="1">U490*'Expenditure Study'!$B$31</f>
        <v>0</v>
      </c>
      <c r="Z490" s="200">
        <f ca="1">W490*'Expenditure Study'!$B$31</f>
        <v>0</v>
      </c>
      <c r="AA490" s="195">
        <f t="shared" ca="1" si="106"/>
        <v>0</v>
      </c>
      <c r="AB490" s="195">
        <f t="shared" ca="1" si="107"/>
        <v>0</v>
      </c>
      <c r="AD490" s="196">
        <f>IFERROR($G490/SUMIF($A:$A,$A490,$G:$G)*SUMIF(Summary!$A$166:$A$242,$A490,Summary!$P$166:$P$242),0)</f>
        <v>0</v>
      </c>
      <c r="AE490" s="197">
        <f t="shared" ca="1" si="108"/>
        <v>0</v>
      </c>
      <c r="AF490" s="196">
        <f>IFERROR(G490/SUMIF(A:A,A490,G:G)*SUMIF(Summary!$A$166:$A$242,'Operations Support'!A490,Summary!$Q$166:$Q$242),0)</f>
        <v>0</v>
      </c>
      <c r="AG490" s="196">
        <f t="shared" ca="1" si="109"/>
        <v>0</v>
      </c>
      <c r="AI490" s="196">
        <f>IFERROR($G490/SUMIF($A:$A,$A490,$G:$G)*SUMIF(Summary!$A$247:$A$283,$A490,Summary!$P$247:$P$283),0)</f>
        <v>0</v>
      </c>
      <c r="AJ490" s="196">
        <f>IFERROR($G490/SUMIF($A:$A,$A490,$G:$G)*(SUMIF(Summary!$A$247:$A$283,$A490,Summary!$L$247:$L$283)+SUMIF(Summary!$A$297:$A$333,$A490,Summary!$L$297:$L$333))-AI490,0)</f>
        <v>0</v>
      </c>
      <c r="AK490" s="196">
        <f>IFERROR($G490/SUMIF($A:$A,$A490,$G:$G)*SUMIF(Summary!$A$247:$A$283,$A490,Summary!$Q$247:$Q$283),0)</f>
        <v>0</v>
      </c>
      <c r="AL490" s="196">
        <f>IFERROR($G490/SUMIF($A:$A,$A490,$G:$G)*(SUMIF(Summary!$A$247:$A$283,$A490,Summary!$L$247:$L$283)+SUMIF(Summary!$A$297:$A$333,$A490,Summary!$L$297:$L$333))-AK490,0)</f>
        <v>0</v>
      </c>
      <c r="AM490" s="198"/>
      <c r="AN490" s="196">
        <f t="shared" ca="1" si="110"/>
        <v>0</v>
      </c>
      <c r="AO490" s="196">
        <f t="shared" ca="1" si="111"/>
        <v>0</v>
      </c>
    </row>
    <row r="491" spans="1:41">
      <c r="A491" s="189">
        <v>3592</v>
      </c>
      <c r="B491" s="190">
        <v>4</v>
      </c>
      <c r="C491" s="191" t="s">
        <v>223</v>
      </c>
      <c r="D491" s="192">
        <f t="shared" si="98"/>
        <v>331.2</v>
      </c>
      <c r="E491" s="192">
        <f t="shared" si="99"/>
        <v>100.8</v>
      </c>
      <c r="F491" s="192">
        <f t="shared" si="100"/>
        <v>0</v>
      </c>
      <c r="G491" s="193">
        <f t="shared" si="101"/>
        <v>432</v>
      </c>
      <c r="H491" s="194">
        <v>144</v>
      </c>
      <c r="I491" s="194">
        <v>0</v>
      </c>
      <c r="J491" s="194">
        <v>0</v>
      </c>
      <c r="K491" s="193">
        <f t="shared" si="102"/>
        <v>144</v>
      </c>
      <c r="L491" s="194">
        <v>144</v>
      </c>
      <c r="M491" s="194">
        <v>0</v>
      </c>
      <c r="N491" s="194">
        <v>0</v>
      </c>
      <c r="O491" s="193">
        <f t="shared" si="103"/>
        <v>144</v>
      </c>
      <c r="P491" s="194">
        <v>43.2</v>
      </c>
      <c r="Q491" s="194">
        <v>100.8</v>
      </c>
      <c r="R491" s="194">
        <v>0</v>
      </c>
      <c r="S491" s="193">
        <f t="shared" si="104"/>
        <v>144</v>
      </c>
      <c r="T491" s="193">
        <f t="shared" si="105"/>
        <v>24</v>
      </c>
      <c r="U491" s="193">
        <f ca="1">OFFSET('Expenditure Study'!$B$7,'Operations Support'!$C491,'Operations Support'!$B491)*$G491</f>
        <v>3378.2400000000002</v>
      </c>
      <c r="V491" s="199">
        <f ca="1">U491*'Expenditure Study'!$B$31</f>
        <v>199597.16470579201</v>
      </c>
      <c r="W491" s="199">
        <f ca="1">IF(A491=10298,1.51,1)*IF($B491&lt;3,$D491*'Expenditure Study'!$B$32*OFFSET('Expenditure Study'!$B$7,'Operations Support'!$C491,'Operations Support'!$B491),0)</f>
        <v>0</v>
      </c>
      <c r="X491" s="200">
        <f ca="1">W491*'Expenditure Study'!$B$31</f>
        <v>0</v>
      </c>
      <c r="Y491" s="199">
        <f ca="1">U491*'Expenditure Study'!$B$31</f>
        <v>199597.16470579201</v>
      </c>
      <c r="Z491" s="200">
        <f ca="1">W491*'Expenditure Study'!$B$31</f>
        <v>0</v>
      </c>
      <c r="AA491" s="195">
        <f t="shared" ca="1" si="106"/>
        <v>199597.16470579201</v>
      </c>
      <c r="AB491" s="195">
        <f t="shared" ca="1" si="107"/>
        <v>199597.16470579201</v>
      </c>
      <c r="AD491" s="196">
        <f>IFERROR($G491/SUMIF($A:$A,$A491,$G:$G)*SUMIF(Summary!$A$166:$A$242,$A491,Summary!$P$166:$P$242),0)</f>
        <v>9764.2645020477739</v>
      </c>
      <c r="AE491" s="197">
        <f t="shared" ca="1" si="108"/>
        <v>189832.90020374424</v>
      </c>
      <c r="AF491" s="196">
        <f>IFERROR(G491/SUMIF(A:A,A491,G:G)*SUMIF(Summary!$A$166:$A$242,'Operations Support'!A491,Summary!$Q$166:$Q$242),0)</f>
        <v>9780.8040888720498</v>
      </c>
      <c r="AG491" s="196">
        <f t="shared" ca="1" si="109"/>
        <v>189816.36061691996</v>
      </c>
      <c r="AI491" s="196">
        <f>IFERROR($G491/SUMIF($A:$A,$A491,$G:$G)*SUMIF(Summary!$A$247:$A$283,$A491,Summary!$P$247:$P$283),0)</f>
        <v>1780.7581806689868</v>
      </c>
      <c r="AJ491" s="196">
        <f>IFERROR($G491/SUMIF($A:$A,$A491,$G:$G)*(SUMIF(Summary!$A$247:$A$283,$A491,Summary!$L$247:$L$283)+SUMIF(Summary!$A$297:$A$333,$A491,Summary!$L$297:$L$333))-AI491,0)</f>
        <v>11979.780177188835</v>
      </c>
      <c r="AK491" s="196">
        <f>IFERROR($G491/SUMIF($A:$A,$A491,$G:$G)*SUMIF(Summary!$A$247:$A$283,$A491,Summary!$Q$247:$Q$283),0)</f>
        <v>1783.774588564946</v>
      </c>
      <c r="AL491" s="196">
        <f>IFERROR($G491/SUMIF($A:$A,$A491,$G:$G)*(SUMIF(Summary!$A$247:$A$283,$A491,Summary!$L$247:$L$283)+SUMIF(Summary!$A$297:$A$333,$A491,Summary!$L$297:$L$333))-AK491,0)</f>
        <v>11976.763769292877</v>
      </c>
      <c r="AM491" s="198"/>
      <c r="AN491" s="196">
        <f t="shared" ca="1" si="110"/>
        <v>201812.68038093307</v>
      </c>
      <c r="AO491" s="196">
        <f t="shared" ca="1" si="111"/>
        <v>201793.12438621285</v>
      </c>
    </row>
    <row r="492" spans="1:41" s="201" customFormat="1">
      <c r="A492" s="189">
        <v>3592</v>
      </c>
      <c r="B492" s="190">
        <v>4</v>
      </c>
      <c r="C492" s="191" t="s">
        <v>224</v>
      </c>
      <c r="D492" s="192">
        <f t="shared" si="98"/>
        <v>0</v>
      </c>
      <c r="E492" s="192">
        <f t="shared" si="99"/>
        <v>0</v>
      </c>
      <c r="F492" s="192">
        <f t="shared" si="100"/>
        <v>0</v>
      </c>
      <c r="G492" s="193">
        <f t="shared" si="101"/>
        <v>0</v>
      </c>
      <c r="H492" s="194">
        <v>0</v>
      </c>
      <c r="I492" s="194">
        <v>0</v>
      </c>
      <c r="J492" s="194">
        <v>0</v>
      </c>
      <c r="K492" s="193">
        <f t="shared" si="102"/>
        <v>0</v>
      </c>
      <c r="L492" s="194">
        <v>0</v>
      </c>
      <c r="M492" s="194">
        <v>0</v>
      </c>
      <c r="N492" s="194">
        <v>0</v>
      </c>
      <c r="O492" s="193">
        <f t="shared" si="103"/>
        <v>0</v>
      </c>
      <c r="P492" s="194">
        <v>0</v>
      </c>
      <c r="Q492" s="194">
        <v>0</v>
      </c>
      <c r="R492" s="194">
        <v>0</v>
      </c>
      <c r="S492" s="193">
        <f t="shared" si="104"/>
        <v>0</v>
      </c>
      <c r="T492" s="193">
        <f t="shared" si="105"/>
        <v>0</v>
      </c>
      <c r="U492" s="193">
        <f ca="1">OFFSET('Expenditure Study'!$B$7,'Operations Support'!$C492,'Operations Support'!$B492)*$G492</f>
        <v>0</v>
      </c>
      <c r="V492" s="199">
        <f ca="1">U492*'Expenditure Study'!$B$31</f>
        <v>0</v>
      </c>
      <c r="W492" s="199">
        <f ca="1">IF(A492=10298,1.51,1)*IF($B492&lt;3,$D492*'Expenditure Study'!$B$32*OFFSET('Expenditure Study'!$B$7,'Operations Support'!$C492,'Operations Support'!$B492),0)</f>
        <v>0</v>
      </c>
      <c r="X492" s="200">
        <f ca="1">W492*'Expenditure Study'!$B$31</f>
        <v>0</v>
      </c>
      <c r="Y492" s="199">
        <f ca="1">U492*'Expenditure Study'!$B$31</f>
        <v>0</v>
      </c>
      <c r="Z492" s="200">
        <f ca="1">W492*'Expenditure Study'!$B$31</f>
        <v>0</v>
      </c>
      <c r="AA492" s="195">
        <f t="shared" ca="1" si="106"/>
        <v>0</v>
      </c>
      <c r="AB492" s="195">
        <f t="shared" ca="1" si="107"/>
        <v>0</v>
      </c>
      <c r="AD492" s="196">
        <f>IFERROR($G492/SUMIF($A:$A,$A492,$G:$G)*SUMIF(Summary!$A$166:$A$242,$A492,Summary!$P$166:$P$242),0)</f>
        <v>0</v>
      </c>
      <c r="AE492" s="197">
        <f t="shared" ca="1" si="108"/>
        <v>0</v>
      </c>
      <c r="AF492" s="196">
        <f>IFERROR(G492/SUMIF(A:A,A492,G:G)*SUMIF(Summary!$A$166:$A$242,'Operations Support'!A492,Summary!$Q$166:$Q$242),0)</f>
        <v>0</v>
      </c>
      <c r="AG492" s="196">
        <f t="shared" ca="1" si="109"/>
        <v>0</v>
      </c>
      <c r="AH492" s="180"/>
      <c r="AI492" s="196">
        <f>IFERROR($G492/SUMIF($A:$A,$A492,$G:$G)*SUMIF(Summary!$A$247:$A$283,$A492,Summary!$P$247:$P$283),0)</f>
        <v>0</v>
      </c>
      <c r="AJ492" s="196">
        <f>IFERROR($G492/SUMIF($A:$A,$A492,$G:$G)*(SUMIF(Summary!$A$247:$A$283,$A492,Summary!$L$247:$L$283)+SUMIF(Summary!$A$297:$A$333,$A492,Summary!$L$297:$L$333))-AI492,0)</f>
        <v>0</v>
      </c>
      <c r="AK492" s="196">
        <f>IFERROR($G492/SUMIF($A:$A,$A492,$G:$G)*SUMIF(Summary!$A$247:$A$283,$A492,Summary!$Q$247:$Q$283),0)</f>
        <v>0</v>
      </c>
      <c r="AL492" s="196">
        <f>IFERROR($G492/SUMIF($A:$A,$A492,$G:$G)*(SUMIF(Summary!$A$247:$A$283,$A492,Summary!$L$247:$L$283)+SUMIF(Summary!$A$297:$A$333,$A492,Summary!$L$297:$L$333))-AK492,0)</f>
        <v>0</v>
      </c>
      <c r="AM492" s="198"/>
      <c r="AN492" s="196">
        <f t="shared" ca="1" si="110"/>
        <v>0</v>
      </c>
      <c r="AO492" s="196">
        <f t="shared" ca="1" si="111"/>
        <v>0</v>
      </c>
    </row>
    <row r="493" spans="1:41">
      <c r="A493" s="189">
        <v>3592</v>
      </c>
      <c r="B493" s="190">
        <v>4</v>
      </c>
      <c r="C493" s="191" t="s">
        <v>225</v>
      </c>
      <c r="D493" s="192">
        <f t="shared" si="98"/>
        <v>0</v>
      </c>
      <c r="E493" s="192">
        <f t="shared" si="99"/>
        <v>0</v>
      </c>
      <c r="F493" s="192">
        <f t="shared" si="100"/>
        <v>0</v>
      </c>
      <c r="G493" s="193">
        <f t="shared" si="101"/>
        <v>0</v>
      </c>
      <c r="H493" s="194">
        <v>0</v>
      </c>
      <c r="I493" s="194">
        <v>0</v>
      </c>
      <c r="J493" s="194">
        <v>0</v>
      </c>
      <c r="K493" s="193">
        <f t="shared" si="102"/>
        <v>0</v>
      </c>
      <c r="L493" s="194">
        <v>0</v>
      </c>
      <c r="M493" s="194">
        <v>0</v>
      </c>
      <c r="N493" s="194">
        <v>0</v>
      </c>
      <c r="O493" s="193">
        <f t="shared" si="103"/>
        <v>0</v>
      </c>
      <c r="P493" s="194">
        <v>0</v>
      </c>
      <c r="Q493" s="194">
        <v>0</v>
      </c>
      <c r="R493" s="194">
        <v>0</v>
      </c>
      <c r="S493" s="193">
        <f t="shared" si="104"/>
        <v>0</v>
      </c>
      <c r="T493" s="193">
        <f t="shared" si="105"/>
        <v>0</v>
      </c>
      <c r="U493" s="193">
        <f ca="1">OFFSET('Expenditure Study'!$B$7,'Operations Support'!$C493,'Operations Support'!$B493)*$G493</f>
        <v>0</v>
      </c>
      <c r="V493" s="199">
        <f ca="1">U493*'Expenditure Study'!$B$31</f>
        <v>0</v>
      </c>
      <c r="W493" s="199">
        <f ca="1">IF(A493=10298,1.51,1)*IF($B493&lt;3,$D493*'Expenditure Study'!$B$32*OFFSET('Expenditure Study'!$B$7,'Operations Support'!$C493,'Operations Support'!$B493),0)</f>
        <v>0</v>
      </c>
      <c r="X493" s="200">
        <f ca="1">W493*'Expenditure Study'!$B$31</f>
        <v>0</v>
      </c>
      <c r="Y493" s="199">
        <f ca="1">U493*'Expenditure Study'!$B$31</f>
        <v>0</v>
      </c>
      <c r="Z493" s="200">
        <f ca="1">W493*'Expenditure Study'!$B$31</f>
        <v>0</v>
      </c>
      <c r="AA493" s="195">
        <f t="shared" ca="1" si="106"/>
        <v>0</v>
      </c>
      <c r="AB493" s="195">
        <f t="shared" ca="1" si="107"/>
        <v>0</v>
      </c>
      <c r="AD493" s="196">
        <f>IFERROR($G493/SUMIF($A:$A,$A493,$G:$G)*SUMIF(Summary!$A$166:$A$242,$A493,Summary!$P$166:$P$242),0)</f>
        <v>0</v>
      </c>
      <c r="AE493" s="197">
        <f t="shared" ca="1" si="108"/>
        <v>0</v>
      </c>
      <c r="AF493" s="196">
        <f>IFERROR(G493/SUMIF(A:A,A493,G:G)*SUMIF(Summary!$A$166:$A$242,'Operations Support'!A493,Summary!$Q$166:$Q$242),0)</f>
        <v>0</v>
      </c>
      <c r="AG493" s="196">
        <f t="shared" ca="1" si="109"/>
        <v>0</v>
      </c>
      <c r="AI493" s="196">
        <f>IFERROR($G493/SUMIF($A:$A,$A493,$G:$G)*SUMIF(Summary!$A$247:$A$283,$A493,Summary!$P$247:$P$283),0)</f>
        <v>0</v>
      </c>
      <c r="AJ493" s="196">
        <f>IFERROR($G493/SUMIF($A:$A,$A493,$G:$G)*(SUMIF(Summary!$A$247:$A$283,$A493,Summary!$L$247:$L$283)+SUMIF(Summary!$A$297:$A$333,$A493,Summary!$L$297:$L$333))-AI493,0)</f>
        <v>0</v>
      </c>
      <c r="AK493" s="196">
        <f>IFERROR($G493/SUMIF($A:$A,$A493,$G:$G)*SUMIF(Summary!$A$247:$A$283,$A493,Summary!$Q$247:$Q$283),0)</f>
        <v>0</v>
      </c>
      <c r="AL493" s="196">
        <f>IFERROR($G493/SUMIF($A:$A,$A493,$G:$G)*(SUMIF(Summary!$A$247:$A$283,$A493,Summary!$L$247:$L$283)+SUMIF(Summary!$A$297:$A$333,$A493,Summary!$L$297:$L$333))-AK493,0)</f>
        <v>0</v>
      </c>
      <c r="AM493" s="198"/>
      <c r="AN493" s="196">
        <f t="shared" ca="1" si="110"/>
        <v>0</v>
      </c>
      <c r="AO493" s="196">
        <f t="shared" ca="1" si="111"/>
        <v>0</v>
      </c>
    </row>
    <row r="494" spans="1:41">
      <c r="A494" s="189">
        <v>3592</v>
      </c>
      <c r="B494" s="190">
        <v>4</v>
      </c>
      <c r="C494" s="191" t="s">
        <v>226</v>
      </c>
      <c r="D494" s="192">
        <f t="shared" si="98"/>
        <v>0</v>
      </c>
      <c r="E494" s="192">
        <f t="shared" si="99"/>
        <v>0</v>
      </c>
      <c r="F494" s="192">
        <f t="shared" si="100"/>
        <v>0</v>
      </c>
      <c r="G494" s="193">
        <f t="shared" si="101"/>
        <v>0</v>
      </c>
      <c r="H494" s="194">
        <v>0</v>
      </c>
      <c r="I494" s="194">
        <v>0</v>
      </c>
      <c r="J494" s="194">
        <v>0</v>
      </c>
      <c r="K494" s="193">
        <f t="shared" si="102"/>
        <v>0</v>
      </c>
      <c r="L494" s="194">
        <v>0</v>
      </c>
      <c r="M494" s="194">
        <v>0</v>
      </c>
      <c r="N494" s="194">
        <v>0</v>
      </c>
      <c r="O494" s="193">
        <f t="shared" si="103"/>
        <v>0</v>
      </c>
      <c r="P494" s="194">
        <v>0</v>
      </c>
      <c r="Q494" s="194">
        <v>0</v>
      </c>
      <c r="R494" s="194">
        <v>0</v>
      </c>
      <c r="S494" s="193">
        <f t="shared" si="104"/>
        <v>0</v>
      </c>
      <c r="T494" s="193">
        <f t="shared" si="105"/>
        <v>0</v>
      </c>
      <c r="U494" s="193">
        <f ca="1">OFFSET('Expenditure Study'!$B$7,'Operations Support'!$C494,'Operations Support'!$B494)*$G494</f>
        <v>0</v>
      </c>
      <c r="V494" s="199">
        <f ca="1">U494*'Expenditure Study'!$B$31</f>
        <v>0</v>
      </c>
      <c r="W494" s="199">
        <f ca="1">IF(A494=10298,1.51,1)*IF($B494&lt;3,$D494*'Expenditure Study'!$B$32*OFFSET('Expenditure Study'!$B$7,'Operations Support'!$C494,'Operations Support'!$B494),0)</f>
        <v>0</v>
      </c>
      <c r="X494" s="200">
        <f ca="1">W494*'Expenditure Study'!$B$31</f>
        <v>0</v>
      </c>
      <c r="Y494" s="199">
        <f ca="1">U494*'Expenditure Study'!$B$31</f>
        <v>0</v>
      </c>
      <c r="Z494" s="200">
        <f ca="1">W494*'Expenditure Study'!$B$31</f>
        <v>0</v>
      </c>
      <c r="AA494" s="195">
        <f t="shared" ca="1" si="106"/>
        <v>0</v>
      </c>
      <c r="AB494" s="195">
        <f t="shared" ca="1" si="107"/>
        <v>0</v>
      </c>
      <c r="AD494" s="196">
        <f>IFERROR($G494/SUMIF($A:$A,$A494,$G:$G)*SUMIF(Summary!$A$166:$A$242,$A494,Summary!$P$166:$P$242),0)</f>
        <v>0</v>
      </c>
      <c r="AE494" s="197">
        <f t="shared" ca="1" si="108"/>
        <v>0</v>
      </c>
      <c r="AF494" s="196">
        <f>IFERROR(G494/SUMIF(A:A,A494,G:G)*SUMIF(Summary!$A$166:$A$242,'Operations Support'!A494,Summary!$Q$166:$Q$242),0)</f>
        <v>0</v>
      </c>
      <c r="AG494" s="196">
        <f t="shared" ca="1" si="109"/>
        <v>0</v>
      </c>
      <c r="AI494" s="196">
        <f>IFERROR($G494/SUMIF($A:$A,$A494,$G:$G)*SUMIF(Summary!$A$247:$A$283,$A494,Summary!$P$247:$P$283),0)</f>
        <v>0</v>
      </c>
      <c r="AJ494" s="196">
        <f>IFERROR($G494/SUMIF($A:$A,$A494,$G:$G)*(SUMIF(Summary!$A$247:$A$283,$A494,Summary!$L$247:$L$283)+SUMIF(Summary!$A$297:$A$333,$A494,Summary!$L$297:$L$333))-AI494,0)</f>
        <v>0</v>
      </c>
      <c r="AK494" s="196">
        <f>IFERROR($G494/SUMIF($A:$A,$A494,$G:$G)*SUMIF(Summary!$A$247:$A$283,$A494,Summary!$Q$247:$Q$283),0)</f>
        <v>0</v>
      </c>
      <c r="AL494" s="196">
        <f>IFERROR($G494/SUMIF($A:$A,$A494,$G:$G)*(SUMIF(Summary!$A$247:$A$283,$A494,Summary!$L$247:$L$283)+SUMIF(Summary!$A$297:$A$333,$A494,Summary!$L$297:$L$333))-AK494,0)</f>
        <v>0</v>
      </c>
      <c r="AM494" s="198"/>
      <c r="AN494" s="196">
        <f t="shared" ca="1" si="110"/>
        <v>0</v>
      </c>
      <c r="AO494" s="196">
        <f t="shared" ca="1" si="111"/>
        <v>0</v>
      </c>
    </row>
    <row r="495" spans="1:41">
      <c r="A495" s="189">
        <v>3592</v>
      </c>
      <c r="B495" s="190">
        <v>4</v>
      </c>
      <c r="C495" s="191" t="s">
        <v>227</v>
      </c>
      <c r="D495" s="192">
        <f t="shared" si="98"/>
        <v>0</v>
      </c>
      <c r="E495" s="192">
        <f t="shared" si="99"/>
        <v>0</v>
      </c>
      <c r="F495" s="192">
        <f t="shared" si="100"/>
        <v>0</v>
      </c>
      <c r="G495" s="193">
        <f t="shared" si="101"/>
        <v>0</v>
      </c>
      <c r="H495" s="194">
        <v>0</v>
      </c>
      <c r="I495" s="194">
        <v>0</v>
      </c>
      <c r="J495" s="194">
        <v>0</v>
      </c>
      <c r="K495" s="193">
        <f t="shared" si="102"/>
        <v>0</v>
      </c>
      <c r="L495" s="194">
        <v>0</v>
      </c>
      <c r="M495" s="194">
        <v>0</v>
      </c>
      <c r="N495" s="194">
        <v>0</v>
      </c>
      <c r="O495" s="193">
        <f t="shared" si="103"/>
        <v>0</v>
      </c>
      <c r="P495" s="194">
        <v>0</v>
      </c>
      <c r="Q495" s="194">
        <v>0</v>
      </c>
      <c r="R495" s="194">
        <v>0</v>
      </c>
      <c r="S495" s="193">
        <f t="shared" si="104"/>
        <v>0</v>
      </c>
      <c r="T495" s="193">
        <f t="shared" si="105"/>
        <v>0</v>
      </c>
      <c r="U495" s="193">
        <f ca="1">OFFSET('Expenditure Study'!$B$7,'Operations Support'!$C495,'Operations Support'!$B495)*$G495</f>
        <v>0</v>
      </c>
      <c r="V495" s="199">
        <f ca="1">U495*'Expenditure Study'!$B$31</f>
        <v>0</v>
      </c>
      <c r="W495" s="199">
        <f ca="1">IF(A495=10298,1.51,1)*IF($B495&lt;3,$D495*'Expenditure Study'!$B$32*OFFSET('Expenditure Study'!$B$7,'Operations Support'!$C495,'Operations Support'!$B495),0)</f>
        <v>0</v>
      </c>
      <c r="X495" s="200">
        <f ca="1">W495*'Expenditure Study'!$B$31</f>
        <v>0</v>
      </c>
      <c r="Y495" s="199">
        <f ca="1">U495*'Expenditure Study'!$B$31</f>
        <v>0</v>
      </c>
      <c r="Z495" s="200">
        <f ca="1">W495*'Expenditure Study'!$B$31</f>
        <v>0</v>
      </c>
      <c r="AA495" s="195">
        <f t="shared" ca="1" si="106"/>
        <v>0</v>
      </c>
      <c r="AB495" s="195">
        <f t="shared" ca="1" si="107"/>
        <v>0</v>
      </c>
      <c r="AD495" s="196">
        <f>IFERROR($G495/SUMIF($A:$A,$A495,$G:$G)*SUMIF(Summary!$A$166:$A$242,$A495,Summary!$P$166:$P$242),0)</f>
        <v>0</v>
      </c>
      <c r="AE495" s="197">
        <f t="shared" ca="1" si="108"/>
        <v>0</v>
      </c>
      <c r="AF495" s="196">
        <f>IFERROR(G495/SUMIF(A:A,A495,G:G)*SUMIF(Summary!$A$166:$A$242,'Operations Support'!A495,Summary!$Q$166:$Q$242),0)</f>
        <v>0</v>
      </c>
      <c r="AG495" s="196">
        <f t="shared" ca="1" si="109"/>
        <v>0</v>
      </c>
      <c r="AI495" s="196">
        <f>IFERROR($G495/SUMIF($A:$A,$A495,$G:$G)*SUMIF(Summary!$A$247:$A$283,$A495,Summary!$P$247:$P$283),0)</f>
        <v>0</v>
      </c>
      <c r="AJ495" s="196">
        <f>IFERROR($G495/SUMIF($A:$A,$A495,$G:$G)*(SUMIF(Summary!$A$247:$A$283,$A495,Summary!$L$247:$L$283)+SUMIF(Summary!$A$297:$A$333,$A495,Summary!$L$297:$L$333))-AI495,0)</f>
        <v>0</v>
      </c>
      <c r="AK495" s="196">
        <f>IFERROR($G495/SUMIF($A:$A,$A495,$G:$G)*SUMIF(Summary!$A$247:$A$283,$A495,Summary!$Q$247:$Q$283),0)</f>
        <v>0</v>
      </c>
      <c r="AL495" s="196">
        <f>IFERROR($G495/SUMIF($A:$A,$A495,$G:$G)*(SUMIF(Summary!$A$247:$A$283,$A495,Summary!$L$247:$L$283)+SUMIF(Summary!$A$297:$A$333,$A495,Summary!$L$297:$L$333))-AK495,0)</f>
        <v>0</v>
      </c>
      <c r="AM495" s="198"/>
      <c r="AN495" s="196">
        <f t="shared" ca="1" si="110"/>
        <v>0</v>
      </c>
      <c r="AO495" s="196">
        <f t="shared" ca="1" si="111"/>
        <v>0</v>
      </c>
    </row>
    <row r="496" spans="1:41">
      <c r="A496" s="189">
        <v>3592</v>
      </c>
      <c r="B496" s="190">
        <v>4</v>
      </c>
      <c r="C496" s="191" t="s">
        <v>228</v>
      </c>
      <c r="D496" s="192">
        <f t="shared" si="98"/>
        <v>0</v>
      </c>
      <c r="E496" s="192">
        <f t="shared" si="99"/>
        <v>0</v>
      </c>
      <c r="F496" s="192">
        <f t="shared" si="100"/>
        <v>0</v>
      </c>
      <c r="G496" s="193">
        <f t="shared" si="101"/>
        <v>0</v>
      </c>
      <c r="H496" s="194">
        <v>0</v>
      </c>
      <c r="I496" s="194">
        <v>0</v>
      </c>
      <c r="J496" s="194">
        <v>0</v>
      </c>
      <c r="K496" s="193">
        <f t="shared" si="102"/>
        <v>0</v>
      </c>
      <c r="L496" s="194">
        <v>0</v>
      </c>
      <c r="M496" s="194">
        <v>0</v>
      </c>
      <c r="N496" s="194">
        <v>0</v>
      </c>
      <c r="O496" s="193">
        <f t="shared" si="103"/>
        <v>0</v>
      </c>
      <c r="P496" s="194">
        <v>0</v>
      </c>
      <c r="Q496" s="194">
        <v>0</v>
      </c>
      <c r="R496" s="194">
        <v>0</v>
      </c>
      <c r="S496" s="193">
        <f t="shared" si="104"/>
        <v>0</v>
      </c>
      <c r="T496" s="193">
        <f t="shared" si="105"/>
        <v>0</v>
      </c>
      <c r="U496" s="193">
        <f ca="1">OFFSET('Expenditure Study'!$B$7,'Operations Support'!$C496,'Operations Support'!$B496)*$G496</f>
        <v>0</v>
      </c>
      <c r="V496" s="199">
        <f ca="1">U496*'Expenditure Study'!$B$31</f>
        <v>0</v>
      </c>
      <c r="W496" s="199">
        <f ca="1">IF(A496=10298,1.51,1)*IF($B496&lt;3,$D496*'Expenditure Study'!$B$32*OFFSET('Expenditure Study'!$B$7,'Operations Support'!$C496,'Operations Support'!$B496),0)</f>
        <v>0</v>
      </c>
      <c r="X496" s="200">
        <f ca="1">W496*'Expenditure Study'!$B$31</f>
        <v>0</v>
      </c>
      <c r="Y496" s="199">
        <f ca="1">U496*'Expenditure Study'!$B$31</f>
        <v>0</v>
      </c>
      <c r="Z496" s="200">
        <f ca="1">W496*'Expenditure Study'!$B$31</f>
        <v>0</v>
      </c>
      <c r="AA496" s="195">
        <f t="shared" ca="1" si="106"/>
        <v>0</v>
      </c>
      <c r="AB496" s="195">
        <f t="shared" ca="1" si="107"/>
        <v>0</v>
      </c>
      <c r="AD496" s="196">
        <f>IFERROR($G496/SUMIF($A:$A,$A496,$G:$G)*SUMIF(Summary!$A$166:$A$242,$A496,Summary!$P$166:$P$242),0)</f>
        <v>0</v>
      </c>
      <c r="AE496" s="197">
        <f t="shared" ca="1" si="108"/>
        <v>0</v>
      </c>
      <c r="AF496" s="196">
        <f>IFERROR(G496/SUMIF(A:A,A496,G:G)*SUMIF(Summary!$A$166:$A$242,'Operations Support'!A496,Summary!$Q$166:$Q$242),0)</f>
        <v>0</v>
      </c>
      <c r="AG496" s="196">
        <f t="shared" ca="1" si="109"/>
        <v>0</v>
      </c>
      <c r="AI496" s="196">
        <f>IFERROR($G496/SUMIF($A:$A,$A496,$G:$G)*SUMIF(Summary!$A$247:$A$283,$A496,Summary!$P$247:$P$283),0)</f>
        <v>0</v>
      </c>
      <c r="AJ496" s="196">
        <f>IFERROR($G496/SUMIF($A:$A,$A496,$G:$G)*(SUMIF(Summary!$A$247:$A$283,$A496,Summary!$L$247:$L$283)+SUMIF(Summary!$A$297:$A$333,$A496,Summary!$L$297:$L$333))-AI496,0)</f>
        <v>0</v>
      </c>
      <c r="AK496" s="196">
        <f>IFERROR($G496/SUMIF($A:$A,$A496,$G:$G)*SUMIF(Summary!$A$247:$A$283,$A496,Summary!$Q$247:$Q$283),0)</f>
        <v>0</v>
      </c>
      <c r="AL496" s="196">
        <f>IFERROR($G496/SUMIF($A:$A,$A496,$G:$G)*(SUMIF(Summary!$A$247:$A$283,$A496,Summary!$L$247:$L$283)+SUMIF(Summary!$A$297:$A$333,$A496,Summary!$L$297:$L$333))-AK496,0)</f>
        <v>0</v>
      </c>
      <c r="AM496" s="198"/>
      <c r="AN496" s="196">
        <f t="shared" ca="1" si="110"/>
        <v>0</v>
      </c>
      <c r="AO496" s="196">
        <f t="shared" ca="1" si="111"/>
        <v>0</v>
      </c>
    </row>
    <row r="497" spans="1:41">
      <c r="A497" s="189">
        <v>3592</v>
      </c>
      <c r="B497" s="190">
        <v>4</v>
      </c>
      <c r="C497" s="191" t="s">
        <v>229</v>
      </c>
      <c r="D497" s="192">
        <f t="shared" si="98"/>
        <v>0</v>
      </c>
      <c r="E497" s="192">
        <f t="shared" si="99"/>
        <v>0</v>
      </c>
      <c r="F497" s="192">
        <f t="shared" si="100"/>
        <v>0</v>
      </c>
      <c r="G497" s="193">
        <f t="shared" si="101"/>
        <v>0</v>
      </c>
      <c r="H497" s="194">
        <v>0</v>
      </c>
      <c r="I497" s="194">
        <v>0</v>
      </c>
      <c r="J497" s="194">
        <v>0</v>
      </c>
      <c r="K497" s="193">
        <f t="shared" si="102"/>
        <v>0</v>
      </c>
      <c r="L497" s="194">
        <v>0</v>
      </c>
      <c r="M497" s="194">
        <v>0</v>
      </c>
      <c r="N497" s="194">
        <v>0</v>
      </c>
      <c r="O497" s="193">
        <f t="shared" si="103"/>
        <v>0</v>
      </c>
      <c r="P497" s="194">
        <v>0</v>
      </c>
      <c r="Q497" s="194">
        <v>0</v>
      </c>
      <c r="R497" s="194">
        <v>0</v>
      </c>
      <c r="S497" s="193">
        <f t="shared" si="104"/>
        <v>0</v>
      </c>
      <c r="T497" s="193">
        <f t="shared" si="105"/>
        <v>0</v>
      </c>
      <c r="U497" s="193">
        <f ca="1">OFFSET('Expenditure Study'!$B$7,'Operations Support'!$C497,'Operations Support'!$B497)*$G497</f>
        <v>0</v>
      </c>
      <c r="V497" s="199">
        <f ca="1">U497*'Expenditure Study'!$B$31</f>
        <v>0</v>
      </c>
      <c r="W497" s="199">
        <f ca="1">IF(A497=10298,1.51,1)*IF($B497&lt;3,$D497*'Expenditure Study'!$B$32*OFFSET('Expenditure Study'!$B$7,'Operations Support'!$C497,'Operations Support'!$B497),0)</f>
        <v>0</v>
      </c>
      <c r="X497" s="200">
        <f ca="1">W497*'Expenditure Study'!$B$31</f>
        <v>0</v>
      </c>
      <c r="Y497" s="199">
        <f ca="1">U497*'Expenditure Study'!$B$31</f>
        <v>0</v>
      </c>
      <c r="Z497" s="200">
        <f ca="1">W497*'Expenditure Study'!$B$31</f>
        <v>0</v>
      </c>
      <c r="AA497" s="195">
        <f t="shared" ca="1" si="106"/>
        <v>0</v>
      </c>
      <c r="AB497" s="195">
        <f t="shared" ca="1" si="107"/>
        <v>0</v>
      </c>
      <c r="AD497" s="196">
        <f>IFERROR($G497/SUMIF($A:$A,$A497,$G:$G)*SUMIF(Summary!$A$166:$A$242,$A497,Summary!$P$166:$P$242),0)</f>
        <v>0</v>
      </c>
      <c r="AE497" s="197">
        <f t="shared" ca="1" si="108"/>
        <v>0</v>
      </c>
      <c r="AF497" s="196">
        <f>IFERROR(G497/SUMIF(A:A,A497,G:G)*SUMIF(Summary!$A$166:$A$242,'Operations Support'!A497,Summary!$Q$166:$Q$242),0)</f>
        <v>0</v>
      </c>
      <c r="AG497" s="196">
        <f t="shared" ca="1" si="109"/>
        <v>0</v>
      </c>
      <c r="AI497" s="196">
        <f>IFERROR($G497/SUMIF($A:$A,$A497,$G:$G)*SUMIF(Summary!$A$247:$A$283,$A497,Summary!$P$247:$P$283),0)</f>
        <v>0</v>
      </c>
      <c r="AJ497" s="196">
        <f>IFERROR($G497/SUMIF($A:$A,$A497,$G:$G)*(SUMIF(Summary!$A$247:$A$283,$A497,Summary!$L$247:$L$283)+SUMIF(Summary!$A$297:$A$333,$A497,Summary!$L$297:$L$333))-AI497,0)</f>
        <v>0</v>
      </c>
      <c r="AK497" s="196">
        <f>IFERROR($G497/SUMIF($A:$A,$A497,$G:$G)*SUMIF(Summary!$A$247:$A$283,$A497,Summary!$Q$247:$Q$283),0)</f>
        <v>0</v>
      </c>
      <c r="AL497" s="196">
        <f>IFERROR($G497/SUMIF($A:$A,$A497,$G:$G)*(SUMIF(Summary!$A$247:$A$283,$A497,Summary!$L$247:$L$283)+SUMIF(Summary!$A$297:$A$333,$A497,Summary!$L$297:$L$333))-AK497,0)</f>
        <v>0</v>
      </c>
      <c r="AM497" s="198"/>
      <c r="AN497" s="196">
        <f t="shared" ca="1" si="110"/>
        <v>0</v>
      </c>
      <c r="AO497" s="196">
        <f t="shared" ca="1" si="111"/>
        <v>0</v>
      </c>
    </row>
    <row r="498" spans="1:41">
      <c r="A498" s="189">
        <v>3592</v>
      </c>
      <c r="B498" s="190">
        <v>4</v>
      </c>
      <c r="C498" s="191" t="s">
        <v>230</v>
      </c>
      <c r="D498" s="192">
        <f t="shared" si="98"/>
        <v>0</v>
      </c>
      <c r="E498" s="192">
        <f t="shared" si="99"/>
        <v>0</v>
      </c>
      <c r="F498" s="192">
        <f t="shared" si="100"/>
        <v>0</v>
      </c>
      <c r="G498" s="193">
        <f t="shared" si="101"/>
        <v>0</v>
      </c>
      <c r="H498" s="194">
        <v>0</v>
      </c>
      <c r="I498" s="194">
        <v>0</v>
      </c>
      <c r="J498" s="194">
        <v>0</v>
      </c>
      <c r="K498" s="193">
        <f t="shared" si="102"/>
        <v>0</v>
      </c>
      <c r="L498" s="194">
        <v>0</v>
      </c>
      <c r="M498" s="194">
        <v>0</v>
      </c>
      <c r="N498" s="194">
        <v>0</v>
      </c>
      <c r="O498" s="193">
        <f t="shared" si="103"/>
        <v>0</v>
      </c>
      <c r="P498" s="194">
        <v>0</v>
      </c>
      <c r="Q498" s="194">
        <v>0</v>
      </c>
      <c r="R498" s="194">
        <v>0</v>
      </c>
      <c r="S498" s="193">
        <f t="shared" si="104"/>
        <v>0</v>
      </c>
      <c r="T498" s="193">
        <f t="shared" si="105"/>
        <v>0</v>
      </c>
      <c r="U498" s="193">
        <f ca="1">OFFSET('Expenditure Study'!$B$7,'Operations Support'!$C498,'Operations Support'!$B498)*$G498</f>
        <v>0</v>
      </c>
      <c r="V498" s="199">
        <f ca="1">U498*'Expenditure Study'!$B$31</f>
        <v>0</v>
      </c>
      <c r="W498" s="199">
        <f ca="1">IF(A498=10298,1.51,1)*IF($B498&lt;3,$D498*'Expenditure Study'!$B$32*OFFSET('Expenditure Study'!$B$7,'Operations Support'!$C498,'Operations Support'!$B498),0)</f>
        <v>0</v>
      </c>
      <c r="X498" s="200">
        <f ca="1">W498*'Expenditure Study'!$B$31</f>
        <v>0</v>
      </c>
      <c r="Y498" s="199">
        <f ca="1">U498*'Expenditure Study'!$B$31</f>
        <v>0</v>
      </c>
      <c r="Z498" s="200">
        <f ca="1">W498*'Expenditure Study'!$B$31</f>
        <v>0</v>
      </c>
      <c r="AA498" s="195">
        <f t="shared" ca="1" si="106"/>
        <v>0</v>
      </c>
      <c r="AB498" s="195">
        <f t="shared" ca="1" si="107"/>
        <v>0</v>
      </c>
      <c r="AD498" s="196">
        <f>IFERROR($G498/SUMIF($A:$A,$A498,$G:$G)*SUMIF(Summary!$A$166:$A$242,$A498,Summary!$P$166:$P$242),0)</f>
        <v>0</v>
      </c>
      <c r="AE498" s="197">
        <f t="shared" ca="1" si="108"/>
        <v>0</v>
      </c>
      <c r="AF498" s="196">
        <f>IFERROR(G498/SUMIF(A:A,A498,G:G)*SUMIF(Summary!$A$166:$A$242,'Operations Support'!A498,Summary!$Q$166:$Q$242),0)</f>
        <v>0</v>
      </c>
      <c r="AG498" s="196">
        <f t="shared" ca="1" si="109"/>
        <v>0</v>
      </c>
      <c r="AI498" s="196">
        <f>IFERROR($G498/SUMIF($A:$A,$A498,$G:$G)*SUMIF(Summary!$A$247:$A$283,$A498,Summary!$P$247:$P$283),0)</f>
        <v>0</v>
      </c>
      <c r="AJ498" s="196">
        <f>IFERROR($G498/SUMIF($A:$A,$A498,$G:$G)*(SUMIF(Summary!$A$247:$A$283,$A498,Summary!$L$247:$L$283)+SUMIF(Summary!$A$297:$A$333,$A498,Summary!$L$297:$L$333))-AI498,0)</f>
        <v>0</v>
      </c>
      <c r="AK498" s="196">
        <f>IFERROR($G498/SUMIF($A:$A,$A498,$G:$G)*SUMIF(Summary!$A$247:$A$283,$A498,Summary!$Q$247:$Q$283),0)</f>
        <v>0</v>
      </c>
      <c r="AL498" s="196">
        <f>IFERROR($G498/SUMIF($A:$A,$A498,$G:$G)*(SUMIF(Summary!$A$247:$A$283,$A498,Summary!$L$247:$L$283)+SUMIF(Summary!$A$297:$A$333,$A498,Summary!$L$297:$L$333))-AK498,0)</f>
        <v>0</v>
      </c>
      <c r="AM498" s="198"/>
      <c r="AN498" s="196">
        <f t="shared" ca="1" si="110"/>
        <v>0</v>
      </c>
      <c r="AO498" s="196">
        <f t="shared" ca="1" si="111"/>
        <v>0</v>
      </c>
    </row>
    <row r="499" spans="1:41">
      <c r="A499" s="189">
        <v>3592</v>
      </c>
      <c r="B499" s="190">
        <v>4</v>
      </c>
      <c r="C499" s="191" t="s">
        <v>231</v>
      </c>
      <c r="D499" s="192">
        <f t="shared" si="98"/>
        <v>0</v>
      </c>
      <c r="E499" s="192">
        <f t="shared" si="99"/>
        <v>0</v>
      </c>
      <c r="F499" s="192">
        <f t="shared" si="100"/>
        <v>0</v>
      </c>
      <c r="G499" s="193">
        <f t="shared" si="101"/>
        <v>0</v>
      </c>
      <c r="H499" s="194">
        <v>0</v>
      </c>
      <c r="I499" s="194">
        <v>0</v>
      </c>
      <c r="J499" s="194">
        <v>0</v>
      </c>
      <c r="K499" s="193">
        <f t="shared" si="102"/>
        <v>0</v>
      </c>
      <c r="L499" s="194">
        <v>0</v>
      </c>
      <c r="M499" s="194">
        <v>0</v>
      </c>
      <c r="N499" s="194">
        <v>0</v>
      </c>
      <c r="O499" s="193">
        <f t="shared" si="103"/>
        <v>0</v>
      </c>
      <c r="P499" s="194">
        <v>0</v>
      </c>
      <c r="Q499" s="194">
        <v>0</v>
      </c>
      <c r="R499" s="194">
        <v>0</v>
      </c>
      <c r="S499" s="193">
        <f t="shared" si="104"/>
        <v>0</v>
      </c>
      <c r="T499" s="193">
        <f t="shared" si="105"/>
        <v>0</v>
      </c>
      <c r="U499" s="193">
        <f ca="1">OFFSET('Expenditure Study'!$B$7,'Operations Support'!$C499,'Operations Support'!$B499)*$G499</f>
        <v>0</v>
      </c>
      <c r="V499" s="199">
        <f ca="1">U499*'Expenditure Study'!$B$31</f>
        <v>0</v>
      </c>
      <c r="W499" s="199">
        <f ca="1">IF(A499=10298,1.51,1)*IF($B499&lt;3,$D499*'Expenditure Study'!$B$32*OFFSET('Expenditure Study'!$B$7,'Operations Support'!$C499,'Operations Support'!$B499),0)</f>
        <v>0</v>
      </c>
      <c r="X499" s="200">
        <f ca="1">W499*'Expenditure Study'!$B$31</f>
        <v>0</v>
      </c>
      <c r="Y499" s="199">
        <f ca="1">U499*'Expenditure Study'!$B$31</f>
        <v>0</v>
      </c>
      <c r="Z499" s="200">
        <f ca="1">W499*'Expenditure Study'!$B$31</f>
        <v>0</v>
      </c>
      <c r="AA499" s="195">
        <f t="shared" ca="1" si="106"/>
        <v>0</v>
      </c>
      <c r="AB499" s="195">
        <f t="shared" ca="1" si="107"/>
        <v>0</v>
      </c>
      <c r="AD499" s="196">
        <f>IFERROR($G499/SUMIF($A:$A,$A499,$G:$G)*SUMIF(Summary!$A$166:$A$242,$A499,Summary!$P$166:$P$242),0)</f>
        <v>0</v>
      </c>
      <c r="AE499" s="197">
        <f t="shared" ca="1" si="108"/>
        <v>0</v>
      </c>
      <c r="AF499" s="196">
        <f>IFERROR(G499/SUMIF(A:A,A499,G:G)*SUMIF(Summary!$A$166:$A$242,'Operations Support'!A499,Summary!$Q$166:$Q$242),0)</f>
        <v>0</v>
      </c>
      <c r="AG499" s="196">
        <f t="shared" ca="1" si="109"/>
        <v>0</v>
      </c>
      <c r="AI499" s="196">
        <f>IFERROR($G499/SUMIF($A:$A,$A499,$G:$G)*SUMIF(Summary!$A$247:$A$283,$A499,Summary!$P$247:$P$283),0)</f>
        <v>0</v>
      </c>
      <c r="AJ499" s="196">
        <f>IFERROR($G499/SUMIF($A:$A,$A499,$G:$G)*(SUMIF(Summary!$A$247:$A$283,$A499,Summary!$L$247:$L$283)+SUMIF(Summary!$A$297:$A$333,$A499,Summary!$L$297:$L$333))-AI499,0)</f>
        <v>0</v>
      </c>
      <c r="AK499" s="196">
        <f>IFERROR($G499/SUMIF($A:$A,$A499,$G:$G)*SUMIF(Summary!$A$247:$A$283,$A499,Summary!$Q$247:$Q$283),0)</f>
        <v>0</v>
      </c>
      <c r="AL499" s="196">
        <f>IFERROR($G499/SUMIF($A:$A,$A499,$G:$G)*(SUMIF(Summary!$A$247:$A$283,$A499,Summary!$L$247:$L$283)+SUMIF(Summary!$A$297:$A$333,$A499,Summary!$L$297:$L$333))-AK499,0)</f>
        <v>0</v>
      </c>
      <c r="AM499" s="198"/>
      <c r="AN499" s="196">
        <f t="shared" ca="1" si="110"/>
        <v>0</v>
      </c>
      <c r="AO499" s="196">
        <f t="shared" ca="1" si="111"/>
        <v>0</v>
      </c>
    </row>
    <row r="500" spans="1:41">
      <c r="A500" s="189">
        <v>3592</v>
      </c>
      <c r="B500" s="190">
        <v>4</v>
      </c>
      <c r="C500" s="191" t="s">
        <v>232</v>
      </c>
      <c r="D500" s="192">
        <f t="shared" si="98"/>
        <v>0</v>
      </c>
      <c r="E500" s="192">
        <f t="shared" si="99"/>
        <v>0</v>
      </c>
      <c r="F500" s="192">
        <f t="shared" si="100"/>
        <v>0</v>
      </c>
      <c r="G500" s="193">
        <f t="shared" si="101"/>
        <v>0</v>
      </c>
      <c r="H500" s="194">
        <v>0</v>
      </c>
      <c r="I500" s="194">
        <v>0</v>
      </c>
      <c r="J500" s="194">
        <v>0</v>
      </c>
      <c r="K500" s="193">
        <f t="shared" si="102"/>
        <v>0</v>
      </c>
      <c r="L500" s="194">
        <v>0</v>
      </c>
      <c r="M500" s="194">
        <v>0</v>
      </c>
      <c r="N500" s="194">
        <v>0</v>
      </c>
      <c r="O500" s="193">
        <f t="shared" si="103"/>
        <v>0</v>
      </c>
      <c r="P500" s="194">
        <v>0</v>
      </c>
      <c r="Q500" s="194">
        <v>0</v>
      </c>
      <c r="R500" s="194">
        <v>0</v>
      </c>
      <c r="S500" s="193">
        <f t="shared" si="104"/>
        <v>0</v>
      </c>
      <c r="T500" s="193">
        <f t="shared" si="105"/>
        <v>0</v>
      </c>
      <c r="U500" s="193">
        <f ca="1">OFFSET('Expenditure Study'!$B$7,'Operations Support'!$C500,'Operations Support'!$B500)*$G500</f>
        <v>0</v>
      </c>
      <c r="V500" s="199">
        <f ca="1">U500*'Expenditure Study'!$B$31</f>
        <v>0</v>
      </c>
      <c r="W500" s="199">
        <f ca="1">IF(A500=10298,1.51,1)*IF($B500&lt;3,$D500*'Expenditure Study'!$B$32*OFFSET('Expenditure Study'!$B$7,'Operations Support'!$C500,'Operations Support'!$B500),0)</f>
        <v>0</v>
      </c>
      <c r="X500" s="200">
        <f ca="1">W500*'Expenditure Study'!$B$31</f>
        <v>0</v>
      </c>
      <c r="Y500" s="199">
        <f ca="1">U500*'Expenditure Study'!$B$31</f>
        <v>0</v>
      </c>
      <c r="Z500" s="200">
        <f ca="1">W500*'Expenditure Study'!$B$31</f>
        <v>0</v>
      </c>
      <c r="AA500" s="195">
        <f t="shared" ca="1" si="106"/>
        <v>0</v>
      </c>
      <c r="AB500" s="195">
        <f t="shared" ca="1" si="107"/>
        <v>0</v>
      </c>
      <c r="AD500" s="196">
        <f>IFERROR($G500/SUMIF($A:$A,$A500,$G:$G)*SUMIF(Summary!$A$166:$A$242,$A500,Summary!$P$166:$P$242),0)</f>
        <v>0</v>
      </c>
      <c r="AE500" s="197">
        <f t="shared" ca="1" si="108"/>
        <v>0</v>
      </c>
      <c r="AF500" s="196">
        <f>IFERROR(G500/SUMIF(A:A,A500,G:G)*SUMIF(Summary!$A$166:$A$242,'Operations Support'!A500,Summary!$Q$166:$Q$242),0)</f>
        <v>0</v>
      </c>
      <c r="AG500" s="196">
        <f t="shared" ca="1" si="109"/>
        <v>0</v>
      </c>
      <c r="AI500" s="196">
        <f>IFERROR($G500/SUMIF($A:$A,$A500,$G:$G)*SUMIF(Summary!$A$247:$A$283,$A500,Summary!$P$247:$P$283),0)</f>
        <v>0</v>
      </c>
      <c r="AJ500" s="196">
        <f>IFERROR($G500/SUMIF($A:$A,$A500,$G:$G)*(SUMIF(Summary!$A$247:$A$283,$A500,Summary!$L$247:$L$283)+SUMIF(Summary!$A$297:$A$333,$A500,Summary!$L$297:$L$333))-AI500,0)</f>
        <v>0</v>
      </c>
      <c r="AK500" s="196">
        <f>IFERROR($G500/SUMIF($A:$A,$A500,$G:$G)*SUMIF(Summary!$A$247:$A$283,$A500,Summary!$Q$247:$Q$283),0)</f>
        <v>0</v>
      </c>
      <c r="AL500" s="196">
        <f>IFERROR($G500/SUMIF($A:$A,$A500,$G:$G)*(SUMIF(Summary!$A$247:$A$283,$A500,Summary!$L$247:$L$283)+SUMIF(Summary!$A$297:$A$333,$A500,Summary!$L$297:$L$333))-AK500,0)</f>
        <v>0</v>
      </c>
      <c r="AM500" s="198"/>
      <c r="AN500" s="196">
        <f t="shared" ca="1" si="110"/>
        <v>0</v>
      </c>
      <c r="AO500" s="196">
        <f t="shared" ca="1" si="111"/>
        <v>0</v>
      </c>
    </row>
    <row r="501" spans="1:41">
      <c r="A501" s="189">
        <v>3592</v>
      </c>
      <c r="B501" s="190">
        <v>4</v>
      </c>
      <c r="C501" s="191" t="s">
        <v>233</v>
      </c>
      <c r="D501" s="192">
        <f t="shared" si="98"/>
        <v>0</v>
      </c>
      <c r="E501" s="192">
        <f t="shared" si="99"/>
        <v>0</v>
      </c>
      <c r="F501" s="192">
        <f t="shared" si="100"/>
        <v>0</v>
      </c>
      <c r="G501" s="193">
        <f t="shared" si="101"/>
        <v>0</v>
      </c>
      <c r="H501" s="194">
        <v>0</v>
      </c>
      <c r="I501" s="194">
        <v>0</v>
      </c>
      <c r="J501" s="194">
        <v>0</v>
      </c>
      <c r="K501" s="193">
        <f t="shared" si="102"/>
        <v>0</v>
      </c>
      <c r="L501" s="194">
        <v>0</v>
      </c>
      <c r="M501" s="194">
        <v>0</v>
      </c>
      <c r="N501" s="194">
        <v>0</v>
      </c>
      <c r="O501" s="193">
        <f t="shared" si="103"/>
        <v>0</v>
      </c>
      <c r="P501" s="194">
        <v>0</v>
      </c>
      <c r="Q501" s="194">
        <v>0</v>
      </c>
      <c r="R501" s="194">
        <v>0</v>
      </c>
      <c r="S501" s="193">
        <f t="shared" si="104"/>
        <v>0</v>
      </c>
      <c r="T501" s="193">
        <f t="shared" si="105"/>
        <v>0</v>
      </c>
      <c r="U501" s="193">
        <f ca="1">OFFSET('Expenditure Study'!$B$7,'Operations Support'!$C501,'Operations Support'!$B501)*$G501</f>
        <v>0</v>
      </c>
      <c r="V501" s="199">
        <f ca="1">U501*'Expenditure Study'!$B$31</f>
        <v>0</v>
      </c>
      <c r="W501" s="199">
        <f ca="1">IF(A501=10298,1.51,1)*IF($B501&lt;3,$D501*'Expenditure Study'!$B$32*OFFSET('Expenditure Study'!$B$7,'Operations Support'!$C501,'Operations Support'!$B501),0)</f>
        <v>0</v>
      </c>
      <c r="X501" s="200">
        <f ca="1">W501*'Expenditure Study'!$B$31</f>
        <v>0</v>
      </c>
      <c r="Y501" s="199">
        <f ca="1">U501*'Expenditure Study'!$B$31</f>
        <v>0</v>
      </c>
      <c r="Z501" s="200">
        <f ca="1">W501*'Expenditure Study'!$B$31</f>
        <v>0</v>
      </c>
      <c r="AA501" s="195">
        <f t="shared" ca="1" si="106"/>
        <v>0</v>
      </c>
      <c r="AB501" s="195">
        <f t="shared" ca="1" si="107"/>
        <v>0</v>
      </c>
      <c r="AD501" s="196">
        <f>IFERROR($G501/SUMIF($A:$A,$A501,$G:$G)*SUMIF(Summary!$A$166:$A$242,$A501,Summary!$P$166:$P$242),0)</f>
        <v>0</v>
      </c>
      <c r="AE501" s="197">
        <f t="shared" ca="1" si="108"/>
        <v>0</v>
      </c>
      <c r="AF501" s="196">
        <f>IFERROR(G501/SUMIF(A:A,A501,G:G)*SUMIF(Summary!$A$166:$A$242,'Operations Support'!A501,Summary!$Q$166:$Q$242),0)</f>
        <v>0</v>
      </c>
      <c r="AG501" s="196">
        <f t="shared" ca="1" si="109"/>
        <v>0</v>
      </c>
      <c r="AI501" s="196">
        <f>IFERROR($G501/SUMIF($A:$A,$A501,$G:$G)*SUMIF(Summary!$A$247:$A$283,$A501,Summary!$P$247:$P$283),0)</f>
        <v>0</v>
      </c>
      <c r="AJ501" s="196">
        <f>IFERROR($G501/SUMIF($A:$A,$A501,$G:$G)*(SUMIF(Summary!$A$247:$A$283,$A501,Summary!$L$247:$L$283)+SUMIF(Summary!$A$297:$A$333,$A501,Summary!$L$297:$L$333))-AI501,0)</f>
        <v>0</v>
      </c>
      <c r="AK501" s="196">
        <f>IFERROR($G501/SUMIF($A:$A,$A501,$G:$G)*SUMIF(Summary!$A$247:$A$283,$A501,Summary!$Q$247:$Q$283),0)</f>
        <v>0</v>
      </c>
      <c r="AL501" s="196">
        <f>IFERROR($G501/SUMIF($A:$A,$A501,$G:$G)*(SUMIF(Summary!$A$247:$A$283,$A501,Summary!$L$247:$L$283)+SUMIF(Summary!$A$297:$A$333,$A501,Summary!$L$297:$L$333))-AK501,0)</f>
        <v>0</v>
      </c>
      <c r="AM501" s="198"/>
      <c r="AN501" s="196">
        <f t="shared" ca="1" si="110"/>
        <v>0</v>
      </c>
      <c r="AO501" s="196">
        <f t="shared" ca="1" si="111"/>
        <v>0</v>
      </c>
    </row>
    <row r="502" spans="1:41">
      <c r="A502" s="189">
        <v>3592</v>
      </c>
      <c r="B502" s="190">
        <v>4</v>
      </c>
      <c r="C502" s="191" t="s">
        <v>234</v>
      </c>
      <c r="D502" s="192">
        <f t="shared" si="98"/>
        <v>0</v>
      </c>
      <c r="E502" s="192">
        <f t="shared" si="99"/>
        <v>0</v>
      </c>
      <c r="F502" s="192">
        <f t="shared" si="100"/>
        <v>0</v>
      </c>
      <c r="G502" s="193">
        <f t="shared" si="101"/>
        <v>0</v>
      </c>
      <c r="H502" s="194">
        <v>0</v>
      </c>
      <c r="I502" s="194">
        <v>0</v>
      </c>
      <c r="J502" s="194">
        <v>0</v>
      </c>
      <c r="K502" s="193">
        <f t="shared" si="102"/>
        <v>0</v>
      </c>
      <c r="L502" s="194">
        <v>0</v>
      </c>
      <c r="M502" s="194">
        <v>0</v>
      </c>
      <c r="N502" s="194">
        <v>0</v>
      </c>
      <c r="O502" s="193">
        <f t="shared" si="103"/>
        <v>0</v>
      </c>
      <c r="P502" s="194">
        <v>0</v>
      </c>
      <c r="Q502" s="194">
        <v>0</v>
      </c>
      <c r="R502" s="194">
        <v>0</v>
      </c>
      <c r="S502" s="193">
        <f t="shared" si="104"/>
        <v>0</v>
      </c>
      <c r="T502" s="193">
        <f t="shared" si="105"/>
        <v>0</v>
      </c>
      <c r="U502" s="193">
        <f ca="1">OFFSET('Expenditure Study'!$B$7,'Operations Support'!$C502,'Operations Support'!$B502)*$G502</f>
        <v>0</v>
      </c>
      <c r="V502" s="199">
        <f ca="1">U502*'Expenditure Study'!$B$31</f>
        <v>0</v>
      </c>
      <c r="W502" s="199">
        <f ca="1">IF(A502=10298,1.51,1)*IF($B502&lt;3,$D502*'Expenditure Study'!$B$32*OFFSET('Expenditure Study'!$B$7,'Operations Support'!$C502,'Operations Support'!$B502),0)</f>
        <v>0</v>
      </c>
      <c r="X502" s="200">
        <f ca="1">W502*'Expenditure Study'!$B$31</f>
        <v>0</v>
      </c>
      <c r="Y502" s="199">
        <f ca="1">U502*'Expenditure Study'!$B$31</f>
        <v>0</v>
      </c>
      <c r="Z502" s="200">
        <f ca="1">W502*'Expenditure Study'!$B$31</f>
        <v>0</v>
      </c>
      <c r="AA502" s="195">
        <f t="shared" ca="1" si="106"/>
        <v>0</v>
      </c>
      <c r="AB502" s="195">
        <f t="shared" ca="1" si="107"/>
        <v>0</v>
      </c>
      <c r="AD502" s="196">
        <f>IFERROR($G502/SUMIF($A:$A,$A502,$G:$G)*SUMIF(Summary!$A$166:$A$242,$A502,Summary!$P$166:$P$242),0)</f>
        <v>0</v>
      </c>
      <c r="AE502" s="197">
        <f t="shared" ca="1" si="108"/>
        <v>0</v>
      </c>
      <c r="AF502" s="196">
        <f>IFERROR(G502/SUMIF(A:A,A502,G:G)*SUMIF(Summary!$A$166:$A$242,'Operations Support'!A502,Summary!$Q$166:$Q$242),0)</f>
        <v>0</v>
      </c>
      <c r="AG502" s="196">
        <f t="shared" ca="1" si="109"/>
        <v>0</v>
      </c>
      <c r="AI502" s="196">
        <f>IFERROR($G502/SUMIF($A:$A,$A502,$G:$G)*SUMIF(Summary!$A$247:$A$283,$A502,Summary!$P$247:$P$283),0)</f>
        <v>0</v>
      </c>
      <c r="AJ502" s="196">
        <f>IFERROR($G502/SUMIF($A:$A,$A502,$G:$G)*(SUMIF(Summary!$A$247:$A$283,$A502,Summary!$L$247:$L$283)+SUMIF(Summary!$A$297:$A$333,$A502,Summary!$L$297:$L$333))-AI502,0)</f>
        <v>0</v>
      </c>
      <c r="AK502" s="196">
        <f>IFERROR($G502/SUMIF($A:$A,$A502,$G:$G)*SUMIF(Summary!$A$247:$A$283,$A502,Summary!$Q$247:$Q$283),0)</f>
        <v>0</v>
      </c>
      <c r="AL502" s="196">
        <f>IFERROR($G502/SUMIF($A:$A,$A502,$G:$G)*(SUMIF(Summary!$A$247:$A$283,$A502,Summary!$L$247:$L$283)+SUMIF(Summary!$A$297:$A$333,$A502,Summary!$L$297:$L$333))-AK502,0)</f>
        <v>0</v>
      </c>
      <c r="AM502" s="198"/>
      <c r="AN502" s="196">
        <f t="shared" ca="1" si="110"/>
        <v>0</v>
      </c>
      <c r="AO502" s="196">
        <f t="shared" ca="1" si="111"/>
        <v>0</v>
      </c>
    </row>
    <row r="503" spans="1:41">
      <c r="A503" s="189">
        <v>3592</v>
      </c>
      <c r="B503" s="190">
        <v>4</v>
      </c>
      <c r="C503" s="191" t="s">
        <v>235</v>
      </c>
      <c r="D503" s="192">
        <f t="shared" si="98"/>
        <v>0</v>
      </c>
      <c r="E503" s="192">
        <f t="shared" si="99"/>
        <v>0</v>
      </c>
      <c r="F503" s="192">
        <f t="shared" si="100"/>
        <v>0</v>
      </c>
      <c r="G503" s="193">
        <f t="shared" si="101"/>
        <v>0</v>
      </c>
      <c r="H503" s="194">
        <v>0</v>
      </c>
      <c r="I503" s="194">
        <v>0</v>
      </c>
      <c r="J503" s="194">
        <v>0</v>
      </c>
      <c r="K503" s="193">
        <f t="shared" si="102"/>
        <v>0</v>
      </c>
      <c r="L503" s="194">
        <v>0</v>
      </c>
      <c r="M503" s="194">
        <v>0</v>
      </c>
      <c r="N503" s="194">
        <v>0</v>
      </c>
      <c r="O503" s="193">
        <f t="shared" si="103"/>
        <v>0</v>
      </c>
      <c r="P503" s="194">
        <v>0</v>
      </c>
      <c r="Q503" s="194">
        <v>0</v>
      </c>
      <c r="R503" s="194">
        <v>0</v>
      </c>
      <c r="S503" s="193">
        <f t="shared" si="104"/>
        <v>0</v>
      </c>
      <c r="T503" s="193">
        <f t="shared" si="105"/>
        <v>0</v>
      </c>
      <c r="U503" s="193">
        <f ca="1">OFFSET('Expenditure Study'!$B$7,'Operations Support'!$C503,'Operations Support'!$B503)*$G503</f>
        <v>0</v>
      </c>
      <c r="V503" s="199">
        <f ca="1">U503*'Expenditure Study'!$B$31</f>
        <v>0</v>
      </c>
      <c r="W503" s="199">
        <f ca="1">IF(A503=10298,1.51,1)*IF($B503&lt;3,$D503*'Expenditure Study'!$B$32*OFFSET('Expenditure Study'!$B$7,'Operations Support'!$C503,'Operations Support'!$B503),0)</f>
        <v>0</v>
      </c>
      <c r="X503" s="200">
        <f ca="1">W503*'Expenditure Study'!$B$31</f>
        <v>0</v>
      </c>
      <c r="Y503" s="199">
        <f ca="1">U503*'Expenditure Study'!$B$31</f>
        <v>0</v>
      </c>
      <c r="Z503" s="200">
        <f ca="1">W503*'Expenditure Study'!$B$31</f>
        <v>0</v>
      </c>
      <c r="AA503" s="195">
        <f t="shared" ca="1" si="106"/>
        <v>0</v>
      </c>
      <c r="AB503" s="195">
        <f t="shared" ca="1" si="107"/>
        <v>0</v>
      </c>
      <c r="AD503" s="196">
        <f>IFERROR($G503/SUMIF($A:$A,$A503,$G:$G)*SUMIF(Summary!$A$166:$A$242,$A503,Summary!$P$166:$P$242),0)</f>
        <v>0</v>
      </c>
      <c r="AE503" s="197">
        <f t="shared" ca="1" si="108"/>
        <v>0</v>
      </c>
      <c r="AF503" s="196">
        <f>IFERROR(G503/SUMIF(A:A,A503,G:G)*SUMIF(Summary!$A$166:$A$242,'Operations Support'!A503,Summary!$Q$166:$Q$242),0)</f>
        <v>0</v>
      </c>
      <c r="AG503" s="196">
        <f t="shared" ca="1" si="109"/>
        <v>0</v>
      </c>
      <c r="AI503" s="196">
        <f>IFERROR($G503/SUMIF($A:$A,$A503,$G:$G)*SUMIF(Summary!$A$247:$A$283,$A503,Summary!$P$247:$P$283),0)</f>
        <v>0</v>
      </c>
      <c r="AJ503" s="196">
        <f>IFERROR($G503/SUMIF($A:$A,$A503,$G:$G)*(SUMIF(Summary!$A$247:$A$283,$A503,Summary!$L$247:$L$283)+SUMIF(Summary!$A$297:$A$333,$A503,Summary!$L$297:$L$333))-AI503,0)</f>
        <v>0</v>
      </c>
      <c r="AK503" s="196">
        <f>IFERROR($G503/SUMIF($A:$A,$A503,$G:$G)*SUMIF(Summary!$A$247:$A$283,$A503,Summary!$Q$247:$Q$283),0)</f>
        <v>0</v>
      </c>
      <c r="AL503" s="196">
        <f>IFERROR($G503/SUMIF($A:$A,$A503,$G:$G)*(SUMIF(Summary!$A$247:$A$283,$A503,Summary!$L$247:$L$283)+SUMIF(Summary!$A$297:$A$333,$A503,Summary!$L$297:$L$333))-AK503,0)</f>
        <v>0</v>
      </c>
      <c r="AM503" s="198"/>
      <c r="AN503" s="196">
        <f t="shared" ca="1" si="110"/>
        <v>0</v>
      </c>
      <c r="AO503" s="196">
        <f t="shared" ca="1" si="111"/>
        <v>0</v>
      </c>
    </row>
    <row r="504" spans="1:41">
      <c r="A504" s="189">
        <v>3592</v>
      </c>
      <c r="B504" s="190">
        <v>4</v>
      </c>
      <c r="C504" s="191" t="s">
        <v>236</v>
      </c>
      <c r="D504" s="192">
        <f t="shared" si="98"/>
        <v>0</v>
      </c>
      <c r="E504" s="192">
        <f t="shared" si="99"/>
        <v>0</v>
      </c>
      <c r="F504" s="192">
        <f t="shared" si="100"/>
        <v>0</v>
      </c>
      <c r="G504" s="193">
        <f t="shared" si="101"/>
        <v>0</v>
      </c>
      <c r="H504" s="194">
        <v>0</v>
      </c>
      <c r="I504" s="194">
        <v>0</v>
      </c>
      <c r="J504" s="194">
        <v>0</v>
      </c>
      <c r="K504" s="193">
        <f t="shared" si="102"/>
        <v>0</v>
      </c>
      <c r="L504" s="194">
        <v>0</v>
      </c>
      <c r="M504" s="194">
        <v>0</v>
      </c>
      <c r="N504" s="194">
        <v>0</v>
      </c>
      <c r="O504" s="193">
        <f t="shared" si="103"/>
        <v>0</v>
      </c>
      <c r="P504" s="194">
        <v>0</v>
      </c>
      <c r="Q504" s="194">
        <v>0</v>
      </c>
      <c r="R504" s="194">
        <v>0</v>
      </c>
      <c r="S504" s="193">
        <f t="shared" si="104"/>
        <v>0</v>
      </c>
      <c r="T504" s="193">
        <f t="shared" si="105"/>
        <v>0</v>
      </c>
      <c r="U504" s="193">
        <f ca="1">OFFSET('Expenditure Study'!$B$7,'Operations Support'!$C504,'Operations Support'!$B504)*$G504</f>
        <v>0</v>
      </c>
      <c r="V504" s="199">
        <f ca="1">U504*'Expenditure Study'!$B$31</f>
        <v>0</v>
      </c>
      <c r="W504" s="199">
        <f ca="1">IF(A504=10298,1.51,1)*IF($B504&lt;3,$D504*'Expenditure Study'!$B$32*OFFSET('Expenditure Study'!$B$7,'Operations Support'!$C504,'Operations Support'!$B504),0)</f>
        <v>0</v>
      </c>
      <c r="X504" s="200">
        <f ca="1">W504*'Expenditure Study'!$B$31</f>
        <v>0</v>
      </c>
      <c r="Y504" s="199">
        <f ca="1">U504*'Expenditure Study'!$B$31</f>
        <v>0</v>
      </c>
      <c r="Z504" s="200">
        <f ca="1">W504*'Expenditure Study'!$B$31</f>
        <v>0</v>
      </c>
      <c r="AA504" s="195">
        <f t="shared" ca="1" si="106"/>
        <v>0</v>
      </c>
      <c r="AB504" s="195">
        <f t="shared" ca="1" si="107"/>
        <v>0</v>
      </c>
      <c r="AD504" s="196">
        <f>IFERROR($G504/SUMIF($A:$A,$A504,$G:$G)*SUMIF(Summary!$A$166:$A$242,$A504,Summary!$P$166:$P$242),0)</f>
        <v>0</v>
      </c>
      <c r="AE504" s="197">
        <f t="shared" ca="1" si="108"/>
        <v>0</v>
      </c>
      <c r="AF504" s="196">
        <f>IFERROR(G504/SUMIF(A:A,A504,G:G)*SUMIF(Summary!$A$166:$A$242,'Operations Support'!A504,Summary!$Q$166:$Q$242),0)</f>
        <v>0</v>
      </c>
      <c r="AG504" s="196">
        <f t="shared" ca="1" si="109"/>
        <v>0</v>
      </c>
      <c r="AI504" s="196">
        <f>IFERROR($G504/SUMIF($A:$A,$A504,$G:$G)*SUMIF(Summary!$A$247:$A$283,$A504,Summary!$P$247:$P$283),0)</f>
        <v>0</v>
      </c>
      <c r="AJ504" s="196">
        <f>IFERROR($G504/SUMIF($A:$A,$A504,$G:$G)*(SUMIF(Summary!$A$247:$A$283,$A504,Summary!$L$247:$L$283)+SUMIF(Summary!$A$297:$A$333,$A504,Summary!$L$297:$L$333))-AI504,0)</f>
        <v>0</v>
      </c>
      <c r="AK504" s="196">
        <f>IFERROR($G504/SUMIF($A:$A,$A504,$G:$G)*SUMIF(Summary!$A$247:$A$283,$A504,Summary!$Q$247:$Q$283),0)</f>
        <v>0</v>
      </c>
      <c r="AL504" s="196">
        <f>IFERROR($G504/SUMIF($A:$A,$A504,$G:$G)*(SUMIF(Summary!$A$247:$A$283,$A504,Summary!$L$247:$L$283)+SUMIF(Summary!$A$297:$A$333,$A504,Summary!$L$297:$L$333))-AK504,0)</f>
        <v>0</v>
      </c>
      <c r="AM504" s="198"/>
      <c r="AN504" s="196">
        <f t="shared" ca="1" si="110"/>
        <v>0</v>
      </c>
      <c r="AO504" s="196">
        <f t="shared" ca="1" si="111"/>
        <v>0</v>
      </c>
    </row>
    <row r="505" spans="1:41">
      <c r="A505" s="189">
        <v>3592</v>
      </c>
      <c r="B505" s="190">
        <v>4</v>
      </c>
      <c r="C505" s="191" t="s">
        <v>237</v>
      </c>
      <c r="D505" s="192">
        <f t="shared" si="98"/>
        <v>0</v>
      </c>
      <c r="E505" s="192">
        <f t="shared" si="99"/>
        <v>0</v>
      </c>
      <c r="F505" s="192">
        <f t="shared" si="100"/>
        <v>0</v>
      </c>
      <c r="G505" s="193">
        <f t="shared" si="101"/>
        <v>0</v>
      </c>
      <c r="H505" s="194">
        <v>0</v>
      </c>
      <c r="I505" s="194">
        <v>0</v>
      </c>
      <c r="J505" s="194">
        <v>0</v>
      </c>
      <c r="K505" s="193">
        <f t="shared" si="102"/>
        <v>0</v>
      </c>
      <c r="L505" s="194">
        <v>0</v>
      </c>
      <c r="M505" s="194">
        <v>0</v>
      </c>
      <c r="N505" s="194">
        <v>0</v>
      </c>
      <c r="O505" s="193">
        <f t="shared" si="103"/>
        <v>0</v>
      </c>
      <c r="P505" s="194">
        <v>0</v>
      </c>
      <c r="Q505" s="194">
        <v>0</v>
      </c>
      <c r="R505" s="194">
        <v>0</v>
      </c>
      <c r="S505" s="193">
        <f t="shared" si="104"/>
        <v>0</v>
      </c>
      <c r="T505" s="193">
        <f t="shared" si="105"/>
        <v>0</v>
      </c>
      <c r="U505" s="193">
        <f ca="1">OFFSET('Expenditure Study'!$B$7,'Operations Support'!$C505,'Operations Support'!$B505)*$G505</f>
        <v>0</v>
      </c>
      <c r="V505" s="199">
        <f ca="1">U505*'Expenditure Study'!$B$31</f>
        <v>0</v>
      </c>
      <c r="W505" s="199">
        <f ca="1">IF(A505=10298,1.51,1)*IF($B505&lt;3,$D505*'Expenditure Study'!$B$32*OFFSET('Expenditure Study'!$B$7,'Operations Support'!$C505,'Operations Support'!$B505),0)</f>
        <v>0</v>
      </c>
      <c r="X505" s="200">
        <f ca="1">W505*'Expenditure Study'!$B$31</f>
        <v>0</v>
      </c>
      <c r="Y505" s="199">
        <f ca="1">U505*'Expenditure Study'!$B$31</f>
        <v>0</v>
      </c>
      <c r="Z505" s="200">
        <f ca="1">W505*'Expenditure Study'!$B$31</f>
        <v>0</v>
      </c>
      <c r="AA505" s="195">
        <f t="shared" ca="1" si="106"/>
        <v>0</v>
      </c>
      <c r="AB505" s="195">
        <f t="shared" ca="1" si="107"/>
        <v>0</v>
      </c>
      <c r="AD505" s="196">
        <f>IFERROR($G505/SUMIF($A:$A,$A505,$G:$G)*SUMIF(Summary!$A$166:$A$242,$A505,Summary!$P$166:$P$242),0)</f>
        <v>0</v>
      </c>
      <c r="AE505" s="197">
        <f t="shared" ca="1" si="108"/>
        <v>0</v>
      </c>
      <c r="AF505" s="196">
        <f>IFERROR(G505/SUMIF(A:A,A505,G:G)*SUMIF(Summary!$A$166:$A$242,'Operations Support'!A505,Summary!$Q$166:$Q$242),0)</f>
        <v>0</v>
      </c>
      <c r="AG505" s="196">
        <f t="shared" ca="1" si="109"/>
        <v>0</v>
      </c>
      <c r="AI505" s="196">
        <f>IFERROR($G505/SUMIF($A:$A,$A505,$G:$G)*SUMIF(Summary!$A$247:$A$283,$A505,Summary!$P$247:$P$283),0)</f>
        <v>0</v>
      </c>
      <c r="AJ505" s="196">
        <f>IFERROR($G505/SUMIF($A:$A,$A505,$G:$G)*(SUMIF(Summary!$A$247:$A$283,$A505,Summary!$L$247:$L$283)+SUMIF(Summary!$A$297:$A$333,$A505,Summary!$L$297:$L$333))-AI505,0)</f>
        <v>0</v>
      </c>
      <c r="AK505" s="196">
        <f>IFERROR($G505/SUMIF($A:$A,$A505,$G:$G)*SUMIF(Summary!$A$247:$A$283,$A505,Summary!$Q$247:$Q$283),0)</f>
        <v>0</v>
      </c>
      <c r="AL505" s="196">
        <f>IFERROR($G505/SUMIF($A:$A,$A505,$G:$G)*(SUMIF(Summary!$A$247:$A$283,$A505,Summary!$L$247:$L$283)+SUMIF(Summary!$A$297:$A$333,$A505,Summary!$L$297:$L$333))-AK505,0)</f>
        <v>0</v>
      </c>
      <c r="AM505" s="198"/>
      <c r="AN505" s="196">
        <f t="shared" ca="1" si="110"/>
        <v>0</v>
      </c>
      <c r="AO505" s="196">
        <f t="shared" ca="1" si="111"/>
        <v>0</v>
      </c>
    </row>
    <row r="506" spans="1:41">
      <c r="A506" s="189">
        <v>3592</v>
      </c>
      <c r="B506" s="190">
        <v>4</v>
      </c>
      <c r="C506" s="191" t="s">
        <v>238</v>
      </c>
      <c r="D506" s="192">
        <f t="shared" si="98"/>
        <v>0</v>
      </c>
      <c r="E506" s="192">
        <f t="shared" si="99"/>
        <v>0</v>
      </c>
      <c r="F506" s="192">
        <f t="shared" si="100"/>
        <v>0</v>
      </c>
      <c r="G506" s="193">
        <f t="shared" si="101"/>
        <v>0</v>
      </c>
      <c r="H506" s="194">
        <v>0</v>
      </c>
      <c r="I506" s="194">
        <v>0</v>
      </c>
      <c r="J506" s="194">
        <v>0</v>
      </c>
      <c r="K506" s="193">
        <f t="shared" si="102"/>
        <v>0</v>
      </c>
      <c r="L506" s="194">
        <v>0</v>
      </c>
      <c r="M506" s="194">
        <v>0</v>
      </c>
      <c r="N506" s="194">
        <v>0</v>
      </c>
      <c r="O506" s="193">
        <f t="shared" si="103"/>
        <v>0</v>
      </c>
      <c r="P506" s="194">
        <v>0</v>
      </c>
      <c r="Q506" s="194">
        <v>0</v>
      </c>
      <c r="R506" s="194">
        <v>0</v>
      </c>
      <c r="S506" s="193">
        <f t="shared" si="104"/>
        <v>0</v>
      </c>
      <c r="T506" s="193">
        <f t="shared" si="105"/>
        <v>0</v>
      </c>
      <c r="U506" s="193">
        <f ca="1">OFFSET('Expenditure Study'!$B$7,'Operations Support'!$C506,'Operations Support'!$B506)*$G506</f>
        <v>0</v>
      </c>
      <c r="V506" s="199">
        <f ca="1">U506*'Expenditure Study'!$B$31</f>
        <v>0</v>
      </c>
      <c r="W506" s="199">
        <f ca="1">IF(A506=10298,1.51,1)*IF($B506&lt;3,$D506*'Expenditure Study'!$B$32*OFFSET('Expenditure Study'!$B$7,'Operations Support'!$C506,'Operations Support'!$B506),0)</f>
        <v>0</v>
      </c>
      <c r="X506" s="200">
        <f ca="1">W506*'Expenditure Study'!$B$31</f>
        <v>0</v>
      </c>
      <c r="Y506" s="199">
        <f ca="1">U506*'Expenditure Study'!$B$31</f>
        <v>0</v>
      </c>
      <c r="Z506" s="200">
        <f ca="1">W506*'Expenditure Study'!$B$31</f>
        <v>0</v>
      </c>
      <c r="AA506" s="195">
        <f t="shared" ca="1" si="106"/>
        <v>0</v>
      </c>
      <c r="AB506" s="195">
        <f t="shared" ca="1" si="107"/>
        <v>0</v>
      </c>
      <c r="AD506" s="196">
        <f>IFERROR($G506/SUMIF($A:$A,$A506,$G:$G)*SUMIF(Summary!$A$166:$A$242,$A506,Summary!$P$166:$P$242),0)</f>
        <v>0</v>
      </c>
      <c r="AE506" s="197">
        <f t="shared" ca="1" si="108"/>
        <v>0</v>
      </c>
      <c r="AF506" s="196">
        <f>IFERROR(G506/SUMIF(A:A,A506,G:G)*SUMIF(Summary!$A$166:$A$242,'Operations Support'!A506,Summary!$Q$166:$Q$242),0)</f>
        <v>0</v>
      </c>
      <c r="AG506" s="196">
        <f t="shared" ca="1" si="109"/>
        <v>0</v>
      </c>
      <c r="AI506" s="196">
        <f>IFERROR($G506/SUMIF($A:$A,$A506,$G:$G)*SUMIF(Summary!$A$247:$A$283,$A506,Summary!$P$247:$P$283),0)</f>
        <v>0</v>
      </c>
      <c r="AJ506" s="196">
        <f>IFERROR($G506/SUMIF($A:$A,$A506,$G:$G)*(SUMIF(Summary!$A$247:$A$283,$A506,Summary!$L$247:$L$283)+SUMIF(Summary!$A$297:$A$333,$A506,Summary!$L$297:$L$333))-AI506,0)</f>
        <v>0</v>
      </c>
      <c r="AK506" s="196">
        <f>IFERROR($G506/SUMIF($A:$A,$A506,$G:$G)*SUMIF(Summary!$A$247:$A$283,$A506,Summary!$Q$247:$Q$283),0)</f>
        <v>0</v>
      </c>
      <c r="AL506" s="196">
        <f>IFERROR($G506/SUMIF($A:$A,$A506,$G:$G)*(SUMIF(Summary!$A$247:$A$283,$A506,Summary!$L$247:$L$283)+SUMIF(Summary!$A$297:$A$333,$A506,Summary!$L$297:$L$333))-AK506,0)</f>
        <v>0</v>
      </c>
      <c r="AM506" s="198"/>
      <c r="AN506" s="196">
        <f t="shared" ca="1" si="110"/>
        <v>0</v>
      </c>
      <c r="AO506" s="196">
        <f t="shared" ca="1" si="111"/>
        <v>0</v>
      </c>
    </row>
    <row r="507" spans="1:41">
      <c r="A507" s="189">
        <v>3592</v>
      </c>
      <c r="B507" s="190">
        <v>4</v>
      </c>
      <c r="C507" s="191" t="s">
        <v>239</v>
      </c>
      <c r="D507" s="192">
        <f t="shared" si="98"/>
        <v>0</v>
      </c>
      <c r="E507" s="192">
        <f t="shared" si="99"/>
        <v>0</v>
      </c>
      <c r="F507" s="192">
        <f t="shared" si="100"/>
        <v>0</v>
      </c>
      <c r="G507" s="193">
        <f t="shared" si="101"/>
        <v>0</v>
      </c>
      <c r="H507" s="194">
        <v>0</v>
      </c>
      <c r="I507" s="194">
        <v>0</v>
      </c>
      <c r="J507" s="194">
        <v>0</v>
      </c>
      <c r="K507" s="193">
        <f t="shared" si="102"/>
        <v>0</v>
      </c>
      <c r="L507" s="194">
        <v>0</v>
      </c>
      <c r="M507" s="194">
        <v>0</v>
      </c>
      <c r="N507" s="194">
        <v>0</v>
      </c>
      <c r="O507" s="193">
        <f t="shared" si="103"/>
        <v>0</v>
      </c>
      <c r="P507" s="194">
        <v>0</v>
      </c>
      <c r="Q507" s="194">
        <v>0</v>
      </c>
      <c r="R507" s="194">
        <v>0</v>
      </c>
      <c r="S507" s="193">
        <f t="shared" si="104"/>
        <v>0</v>
      </c>
      <c r="T507" s="193">
        <f t="shared" si="105"/>
        <v>0</v>
      </c>
      <c r="U507" s="193">
        <f ca="1">OFFSET('Expenditure Study'!$B$7,'Operations Support'!$C507,'Operations Support'!$B507)*$G507</f>
        <v>0</v>
      </c>
      <c r="V507" s="199">
        <f ca="1">U507*'Expenditure Study'!$B$31</f>
        <v>0</v>
      </c>
      <c r="W507" s="199">
        <f ca="1">IF(A507=10298,1.51,1)*IF($B507&lt;3,$D507*'Expenditure Study'!$B$32*OFFSET('Expenditure Study'!$B$7,'Operations Support'!$C507,'Operations Support'!$B507),0)</f>
        <v>0</v>
      </c>
      <c r="X507" s="200">
        <f ca="1">W507*'Expenditure Study'!$B$31</f>
        <v>0</v>
      </c>
      <c r="Y507" s="199">
        <f ca="1">U507*'Expenditure Study'!$B$31</f>
        <v>0</v>
      </c>
      <c r="Z507" s="200">
        <f ca="1">W507*'Expenditure Study'!$B$31</f>
        <v>0</v>
      </c>
      <c r="AA507" s="195">
        <f t="shared" ca="1" si="106"/>
        <v>0</v>
      </c>
      <c r="AB507" s="195">
        <f t="shared" ca="1" si="107"/>
        <v>0</v>
      </c>
      <c r="AD507" s="196">
        <f>IFERROR($G507/SUMIF($A:$A,$A507,$G:$G)*SUMIF(Summary!$A$166:$A$242,$A507,Summary!$P$166:$P$242),0)</f>
        <v>0</v>
      </c>
      <c r="AE507" s="197">
        <f t="shared" ca="1" si="108"/>
        <v>0</v>
      </c>
      <c r="AF507" s="196">
        <f>IFERROR(G507/SUMIF(A:A,A507,G:G)*SUMIF(Summary!$A$166:$A$242,'Operations Support'!A507,Summary!$Q$166:$Q$242),0)</f>
        <v>0</v>
      </c>
      <c r="AG507" s="196">
        <f t="shared" ca="1" si="109"/>
        <v>0</v>
      </c>
      <c r="AI507" s="196">
        <f>IFERROR($G507/SUMIF($A:$A,$A507,$G:$G)*SUMIF(Summary!$A$247:$A$283,$A507,Summary!$P$247:$P$283),0)</f>
        <v>0</v>
      </c>
      <c r="AJ507" s="196">
        <f>IFERROR($G507/SUMIF($A:$A,$A507,$G:$G)*(SUMIF(Summary!$A$247:$A$283,$A507,Summary!$L$247:$L$283)+SUMIF(Summary!$A$297:$A$333,$A507,Summary!$L$297:$L$333))-AI507,0)</f>
        <v>0</v>
      </c>
      <c r="AK507" s="196">
        <f>IFERROR($G507/SUMIF($A:$A,$A507,$G:$G)*SUMIF(Summary!$A$247:$A$283,$A507,Summary!$Q$247:$Q$283),0)</f>
        <v>0</v>
      </c>
      <c r="AL507" s="196">
        <f>IFERROR($G507/SUMIF($A:$A,$A507,$G:$G)*(SUMIF(Summary!$A$247:$A$283,$A507,Summary!$L$247:$L$283)+SUMIF(Summary!$A$297:$A$333,$A507,Summary!$L$297:$L$333))-AK507,0)</f>
        <v>0</v>
      </c>
      <c r="AM507" s="198"/>
      <c r="AN507" s="196">
        <f t="shared" ca="1" si="110"/>
        <v>0</v>
      </c>
      <c r="AO507" s="196">
        <f t="shared" ca="1" si="111"/>
        <v>0</v>
      </c>
    </row>
    <row r="508" spans="1:41">
      <c r="A508" s="189">
        <v>3592</v>
      </c>
      <c r="B508" s="190">
        <v>4</v>
      </c>
      <c r="C508" s="191" t="s">
        <v>240</v>
      </c>
      <c r="D508" s="192">
        <f t="shared" si="98"/>
        <v>0</v>
      </c>
      <c r="E508" s="192">
        <f t="shared" si="99"/>
        <v>0</v>
      </c>
      <c r="F508" s="192">
        <f t="shared" si="100"/>
        <v>0</v>
      </c>
      <c r="G508" s="193">
        <f t="shared" si="101"/>
        <v>0</v>
      </c>
      <c r="H508" s="194">
        <v>0</v>
      </c>
      <c r="I508" s="194">
        <v>0</v>
      </c>
      <c r="J508" s="194">
        <v>0</v>
      </c>
      <c r="K508" s="193">
        <f t="shared" si="102"/>
        <v>0</v>
      </c>
      <c r="L508" s="194">
        <v>0</v>
      </c>
      <c r="M508" s="194">
        <v>0</v>
      </c>
      <c r="N508" s="194">
        <v>0</v>
      </c>
      <c r="O508" s="193">
        <f t="shared" si="103"/>
        <v>0</v>
      </c>
      <c r="P508" s="194">
        <v>0</v>
      </c>
      <c r="Q508" s="194">
        <v>0</v>
      </c>
      <c r="R508" s="194">
        <v>0</v>
      </c>
      <c r="S508" s="193">
        <f t="shared" si="104"/>
        <v>0</v>
      </c>
      <c r="T508" s="193">
        <f t="shared" si="105"/>
        <v>0</v>
      </c>
      <c r="U508" s="193">
        <f ca="1">OFFSET('Expenditure Study'!$B$7,'Operations Support'!$C508,'Operations Support'!$B508)*$G508</f>
        <v>0</v>
      </c>
      <c r="V508" s="199">
        <f ca="1">U508*'Expenditure Study'!$B$31</f>
        <v>0</v>
      </c>
      <c r="W508" s="199">
        <f ca="1">IF(A508=10298,1.51,1)*IF($B508&lt;3,$D508*'Expenditure Study'!$B$32*OFFSET('Expenditure Study'!$B$7,'Operations Support'!$C508,'Operations Support'!$B508),0)</f>
        <v>0</v>
      </c>
      <c r="X508" s="200">
        <f ca="1">W508*'Expenditure Study'!$B$31</f>
        <v>0</v>
      </c>
      <c r="Y508" s="199">
        <f ca="1">U508*'Expenditure Study'!$B$31</f>
        <v>0</v>
      </c>
      <c r="Z508" s="200">
        <f ca="1">W508*'Expenditure Study'!$B$31</f>
        <v>0</v>
      </c>
      <c r="AA508" s="195">
        <f t="shared" ca="1" si="106"/>
        <v>0</v>
      </c>
      <c r="AB508" s="195">
        <f t="shared" ca="1" si="107"/>
        <v>0</v>
      </c>
      <c r="AD508" s="196">
        <f>IFERROR($G508/SUMIF($A:$A,$A508,$G:$G)*SUMIF(Summary!$A$166:$A$242,$A508,Summary!$P$166:$P$242),0)</f>
        <v>0</v>
      </c>
      <c r="AE508" s="197">
        <f t="shared" ca="1" si="108"/>
        <v>0</v>
      </c>
      <c r="AF508" s="196">
        <f>IFERROR(G508/SUMIF(A:A,A508,G:G)*SUMIF(Summary!$A$166:$A$242,'Operations Support'!A508,Summary!$Q$166:$Q$242),0)</f>
        <v>0</v>
      </c>
      <c r="AG508" s="196">
        <f t="shared" ca="1" si="109"/>
        <v>0</v>
      </c>
      <c r="AI508" s="196">
        <f>IFERROR($G508/SUMIF($A:$A,$A508,$G:$G)*SUMIF(Summary!$A$247:$A$283,$A508,Summary!$P$247:$P$283),0)</f>
        <v>0</v>
      </c>
      <c r="AJ508" s="196">
        <f>IFERROR($G508/SUMIF($A:$A,$A508,$G:$G)*(SUMIF(Summary!$A$247:$A$283,$A508,Summary!$L$247:$L$283)+SUMIF(Summary!$A$297:$A$333,$A508,Summary!$L$297:$L$333))-AI508,0)</f>
        <v>0</v>
      </c>
      <c r="AK508" s="196">
        <f>IFERROR($G508/SUMIF($A:$A,$A508,$G:$G)*SUMIF(Summary!$A$247:$A$283,$A508,Summary!$Q$247:$Q$283),0)</f>
        <v>0</v>
      </c>
      <c r="AL508" s="196">
        <f>IFERROR($G508/SUMIF($A:$A,$A508,$G:$G)*(SUMIF(Summary!$A$247:$A$283,$A508,Summary!$L$247:$L$283)+SUMIF(Summary!$A$297:$A$333,$A508,Summary!$L$297:$L$333))-AK508,0)</f>
        <v>0</v>
      </c>
      <c r="AM508" s="198"/>
      <c r="AN508" s="196">
        <f t="shared" ca="1" si="110"/>
        <v>0</v>
      </c>
      <c r="AO508" s="196">
        <f t="shared" ca="1" si="111"/>
        <v>0</v>
      </c>
    </row>
    <row r="509" spans="1:41">
      <c r="A509" s="189">
        <v>3592</v>
      </c>
      <c r="B509" s="190">
        <v>5</v>
      </c>
      <c r="C509" s="191" t="s">
        <v>220</v>
      </c>
      <c r="D509" s="192">
        <f t="shared" si="98"/>
        <v>0</v>
      </c>
      <c r="E509" s="192">
        <f t="shared" si="99"/>
        <v>0</v>
      </c>
      <c r="F509" s="192">
        <f t="shared" si="100"/>
        <v>0</v>
      </c>
      <c r="G509" s="193">
        <f t="shared" si="101"/>
        <v>0</v>
      </c>
      <c r="H509" s="194">
        <v>0</v>
      </c>
      <c r="I509" s="194">
        <v>0</v>
      </c>
      <c r="J509" s="194">
        <v>0</v>
      </c>
      <c r="K509" s="193">
        <f t="shared" si="102"/>
        <v>0</v>
      </c>
      <c r="L509" s="194">
        <v>0</v>
      </c>
      <c r="M509" s="194">
        <v>0</v>
      </c>
      <c r="N509" s="194">
        <v>0</v>
      </c>
      <c r="O509" s="193">
        <f t="shared" si="103"/>
        <v>0</v>
      </c>
      <c r="P509" s="194">
        <v>0</v>
      </c>
      <c r="Q509" s="194">
        <v>0</v>
      </c>
      <c r="R509" s="194">
        <v>0</v>
      </c>
      <c r="S509" s="193">
        <f t="shared" si="104"/>
        <v>0</v>
      </c>
      <c r="T509" s="193">
        <f t="shared" si="105"/>
        <v>0</v>
      </c>
      <c r="U509" s="193">
        <f ca="1">OFFSET('Expenditure Study'!$B$7,'Operations Support'!$C509,'Operations Support'!$B509)*$G509</f>
        <v>0</v>
      </c>
      <c r="V509" s="199">
        <f ca="1">U509*'Expenditure Study'!$B$31</f>
        <v>0</v>
      </c>
      <c r="W509" s="199">
        <f ca="1">IF(A509=10298,1.51,1)*IF($B509&lt;3,$D509*'Expenditure Study'!$B$32*OFFSET('Expenditure Study'!$B$7,'Operations Support'!$C509,'Operations Support'!$B509),0)</f>
        <v>0</v>
      </c>
      <c r="X509" s="200">
        <f ca="1">W509*'Expenditure Study'!$B$31</f>
        <v>0</v>
      </c>
      <c r="Y509" s="199">
        <f ca="1">U509*'Expenditure Study'!$B$31</f>
        <v>0</v>
      </c>
      <c r="Z509" s="200">
        <f ca="1">W509*'Expenditure Study'!$B$31</f>
        <v>0</v>
      </c>
      <c r="AA509" s="195">
        <f t="shared" ca="1" si="106"/>
        <v>0</v>
      </c>
      <c r="AB509" s="195">
        <f t="shared" ca="1" si="107"/>
        <v>0</v>
      </c>
      <c r="AD509" s="196">
        <f>IFERROR($G509/SUMIF($A:$A,$A509,$G:$G)*SUMIF(Summary!$A$166:$A$242,$A509,Summary!$P$166:$P$242),0)</f>
        <v>0</v>
      </c>
      <c r="AE509" s="197">
        <f t="shared" ca="1" si="108"/>
        <v>0</v>
      </c>
      <c r="AF509" s="196">
        <f>IFERROR(G509/SUMIF(A:A,A509,G:G)*SUMIF(Summary!$A$166:$A$242,'Operations Support'!A509,Summary!$Q$166:$Q$242),0)</f>
        <v>0</v>
      </c>
      <c r="AG509" s="196">
        <f t="shared" ca="1" si="109"/>
        <v>0</v>
      </c>
      <c r="AI509" s="196">
        <f>IFERROR($G509/SUMIF($A:$A,$A509,$G:$G)*SUMIF(Summary!$A$247:$A$283,$A509,Summary!$P$247:$P$283),0)</f>
        <v>0</v>
      </c>
      <c r="AJ509" s="196">
        <f>IFERROR($G509/SUMIF($A:$A,$A509,$G:$G)*(SUMIF(Summary!$A$247:$A$283,$A509,Summary!$L$247:$L$283)+SUMIF(Summary!$A$297:$A$333,$A509,Summary!$L$297:$L$333))-AI509,0)</f>
        <v>0</v>
      </c>
      <c r="AK509" s="196">
        <f>IFERROR($G509/SUMIF($A:$A,$A509,$G:$G)*SUMIF(Summary!$A$247:$A$283,$A509,Summary!$Q$247:$Q$283),0)</f>
        <v>0</v>
      </c>
      <c r="AL509" s="196">
        <f>IFERROR($G509/SUMIF($A:$A,$A509,$G:$G)*(SUMIF(Summary!$A$247:$A$283,$A509,Summary!$L$247:$L$283)+SUMIF(Summary!$A$297:$A$333,$A509,Summary!$L$297:$L$333))-AK509,0)</f>
        <v>0</v>
      </c>
      <c r="AM509" s="198"/>
      <c r="AN509" s="196">
        <f t="shared" ca="1" si="110"/>
        <v>0</v>
      </c>
      <c r="AO509" s="196">
        <f t="shared" ca="1" si="111"/>
        <v>0</v>
      </c>
    </row>
    <row r="510" spans="1:41">
      <c r="A510" s="189">
        <v>3592</v>
      </c>
      <c r="B510" s="190">
        <v>5</v>
      </c>
      <c r="C510" s="191" t="s">
        <v>221</v>
      </c>
      <c r="D510" s="192">
        <f t="shared" si="98"/>
        <v>0</v>
      </c>
      <c r="E510" s="192">
        <f t="shared" si="99"/>
        <v>0</v>
      </c>
      <c r="F510" s="192">
        <f t="shared" si="100"/>
        <v>0</v>
      </c>
      <c r="G510" s="193">
        <f t="shared" si="101"/>
        <v>0</v>
      </c>
      <c r="H510" s="194">
        <v>0</v>
      </c>
      <c r="I510" s="194">
        <v>0</v>
      </c>
      <c r="J510" s="194">
        <v>0</v>
      </c>
      <c r="K510" s="193">
        <f t="shared" si="102"/>
        <v>0</v>
      </c>
      <c r="L510" s="194">
        <v>0</v>
      </c>
      <c r="M510" s="194">
        <v>0</v>
      </c>
      <c r="N510" s="194">
        <v>0</v>
      </c>
      <c r="O510" s="193">
        <f t="shared" si="103"/>
        <v>0</v>
      </c>
      <c r="P510" s="194">
        <v>0</v>
      </c>
      <c r="Q510" s="194">
        <v>0</v>
      </c>
      <c r="R510" s="194">
        <v>0</v>
      </c>
      <c r="S510" s="193">
        <f t="shared" si="104"/>
        <v>0</v>
      </c>
      <c r="T510" s="193">
        <f t="shared" si="105"/>
        <v>0</v>
      </c>
      <c r="U510" s="193">
        <f ca="1">OFFSET('Expenditure Study'!$B$7,'Operations Support'!$C510,'Operations Support'!$B510)*$G510</f>
        <v>0</v>
      </c>
      <c r="V510" s="199">
        <f ca="1">U510*'Expenditure Study'!$B$31</f>
        <v>0</v>
      </c>
      <c r="W510" s="199">
        <f ca="1">IF(A510=10298,1.51,1)*IF($B510&lt;3,$D510*'Expenditure Study'!$B$32*OFFSET('Expenditure Study'!$B$7,'Operations Support'!$C510,'Operations Support'!$B510),0)</f>
        <v>0</v>
      </c>
      <c r="X510" s="200">
        <f ca="1">W510*'Expenditure Study'!$B$31</f>
        <v>0</v>
      </c>
      <c r="Y510" s="199">
        <f ca="1">U510*'Expenditure Study'!$B$31</f>
        <v>0</v>
      </c>
      <c r="Z510" s="200">
        <f ca="1">W510*'Expenditure Study'!$B$31</f>
        <v>0</v>
      </c>
      <c r="AA510" s="195">
        <f t="shared" ca="1" si="106"/>
        <v>0</v>
      </c>
      <c r="AB510" s="195">
        <f t="shared" ca="1" si="107"/>
        <v>0</v>
      </c>
      <c r="AD510" s="196">
        <f>IFERROR($G510/SUMIF($A:$A,$A510,$G:$G)*SUMIF(Summary!$A$166:$A$242,$A510,Summary!$P$166:$P$242),0)</f>
        <v>0</v>
      </c>
      <c r="AE510" s="197">
        <f t="shared" ca="1" si="108"/>
        <v>0</v>
      </c>
      <c r="AF510" s="196">
        <f>IFERROR(G510/SUMIF(A:A,A510,G:G)*SUMIF(Summary!$A$166:$A$242,'Operations Support'!A510,Summary!$Q$166:$Q$242),0)</f>
        <v>0</v>
      </c>
      <c r="AG510" s="196">
        <f t="shared" ca="1" si="109"/>
        <v>0</v>
      </c>
      <c r="AI510" s="196">
        <f>IFERROR($G510/SUMIF($A:$A,$A510,$G:$G)*SUMIF(Summary!$A$247:$A$283,$A510,Summary!$P$247:$P$283),0)</f>
        <v>0</v>
      </c>
      <c r="AJ510" s="196">
        <f>IFERROR($G510/SUMIF($A:$A,$A510,$G:$G)*(SUMIF(Summary!$A$247:$A$283,$A510,Summary!$L$247:$L$283)+SUMIF(Summary!$A$297:$A$333,$A510,Summary!$L$297:$L$333))-AI510,0)</f>
        <v>0</v>
      </c>
      <c r="AK510" s="196">
        <f>IFERROR($G510/SUMIF($A:$A,$A510,$G:$G)*SUMIF(Summary!$A$247:$A$283,$A510,Summary!$Q$247:$Q$283),0)</f>
        <v>0</v>
      </c>
      <c r="AL510" s="196">
        <f>IFERROR($G510/SUMIF($A:$A,$A510,$G:$G)*(SUMIF(Summary!$A$247:$A$283,$A510,Summary!$L$247:$L$283)+SUMIF(Summary!$A$297:$A$333,$A510,Summary!$L$297:$L$333))-AK510,0)</f>
        <v>0</v>
      </c>
      <c r="AM510" s="198"/>
      <c r="AN510" s="196">
        <f t="shared" ca="1" si="110"/>
        <v>0</v>
      </c>
      <c r="AO510" s="196">
        <f t="shared" ca="1" si="111"/>
        <v>0</v>
      </c>
    </row>
    <row r="511" spans="1:41">
      <c r="A511" s="189">
        <v>3592</v>
      </c>
      <c r="B511" s="190">
        <v>5</v>
      </c>
      <c r="C511" s="191" t="s">
        <v>222</v>
      </c>
      <c r="D511" s="192">
        <f t="shared" si="98"/>
        <v>0</v>
      </c>
      <c r="E511" s="192">
        <f t="shared" si="99"/>
        <v>0</v>
      </c>
      <c r="F511" s="192">
        <f t="shared" si="100"/>
        <v>0</v>
      </c>
      <c r="G511" s="193">
        <f t="shared" si="101"/>
        <v>0</v>
      </c>
      <c r="H511" s="194">
        <v>0</v>
      </c>
      <c r="I511" s="194">
        <v>0</v>
      </c>
      <c r="J511" s="194">
        <v>0</v>
      </c>
      <c r="K511" s="193">
        <f t="shared" si="102"/>
        <v>0</v>
      </c>
      <c r="L511" s="194">
        <v>0</v>
      </c>
      <c r="M511" s="194">
        <v>0</v>
      </c>
      <c r="N511" s="194">
        <v>0</v>
      </c>
      <c r="O511" s="193">
        <f t="shared" si="103"/>
        <v>0</v>
      </c>
      <c r="P511" s="194">
        <v>0</v>
      </c>
      <c r="Q511" s="194">
        <v>0</v>
      </c>
      <c r="R511" s="194">
        <v>0</v>
      </c>
      <c r="S511" s="193">
        <f t="shared" si="104"/>
        <v>0</v>
      </c>
      <c r="T511" s="193">
        <f t="shared" si="105"/>
        <v>0</v>
      </c>
      <c r="U511" s="193">
        <f ca="1">OFFSET('Expenditure Study'!$B$7,'Operations Support'!$C511,'Operations Support'!$B511)*$G511</f>
        <v>0</v>
      </c>
      <c r="V511" s="199">
        <f ca="1">U511*'Expenditure Study'!$B$31</f>
        <v>0</v>
      </c>
      <c r="W511" s="199">
        <f ca="1">IF(A511=10298,1.51,1)*IF($B511&lt;3,$D511*'Expenditure Study'!$B$32*OFFSET('Expenditure Study'!$B$7,'Operations Support'!$C511,'Operations Support'!$B511),0)</f>
        <v>0</v>
      </c>
      <c r="X511" s="200">
        <f ca="1">W511*'Expenditure Study'!$B$31</f>
        <v>0</v>
      </c>
      <c r="Y511" s="199">
        <f ca="1">U511*'Expenditure Study'!$B$31</f>
        <v>0</v>
      </c>
      <c r="Z511" s="200">
        <f ca="1">W511*'Expenditure Study'!$B$31</f>
        <v>0</v>
      </c>
      <c r="AA511" s="195">
        <f t="shared" ca="1" si="106"/>
        <v>0</v>
      </c>
      <c r="AB511" s="195">
        <f t="shared" ca="1" si="107"/>
        <v>0</v>
      </c>
      <c r="AD511" s="196">
        <f>IFERROR($G511/SUMIF($A:$A,$A511,$G:$G)*SUMIF(Summary!$A$166:$A$242,$A511,Summary!$P$166:$P$242),0)</f>
        <v>0</v>
      </c>
      <c r="AE511" s="197">
        <f t="shared" ca="1" si="108"/>
        <v>0</v>
      </c>
      <c r="AF511" s="196">
        <f>IFERROR(G511/SUMIF(A:A,A511,G:G)*SUMIF(Summary!$A$166:$A$242,'Operations Support'!A511,Summary!$Q$166:$Q$242),0)</f>
        <v>0</v>
      </c>
      <c r="AG511" s="196">
        <f t="shared" ca="1" si="109"/>
        <v>0</v>
      </c>
      <c r="AI511" s="196">
        <f>IFERROR($G511/SUMIF($A:$A,$A511,$G:$G)*SUMIF(Summary!$A$247:$A$283,$A511,Summary!$P$247:$P$283),0)</f>
        <v>0</v>
      </c>
      <c r="AJ511" s="196">
        <f>IFERROR($G511/SUMIF($A:$A,$A511,$G:$G)*(SUMIF(Summary!$A$247:$A$283,$A511,Summary!$L$247:$L$283)+SUMIF(Summary!$A$297:$A$333,$A511,Summary!$L$297:$L$333))-AI511,0)</f>
        <v>0</v>
      </c>
      <c r="AK511" s="196">
        <f>IFERROR($G511/SUMIF($A:$A,$A511,$G:$G)*SUMIF(Summary!$A$247:$A$283,$A511,Summary!$Q$247:$Q$283),0)</f>
        <v>0</v>
      </c>
      <c r="AL511" s="196">
        <f>IFERROR($G511/SUMIF($A:$A,$A511,$G:$G)*(SUMIF(Summary!$A$247:$A$283,$A511,Summary!$L$247:$L$283)+SUMIF(Summary!$A$297:$A$333,$A511,Summary!$L$297:$L$333))-AK511,0)</f>
        <v>0</v>
      </c>
      <c r="AM511" s="198"/>
      <c r="AN511" s="196">
        <f t="shared" ca="1" si="110"/>
        <v>0</v>
      </c>
      <c r="AO511" s="196">
        <f t="shared" ca="1" si="111"/>
        <v>0</v>
      </c>
    </row>
    <row r="512" spans="1:41">
      <c r="A512" s="189">
        <v>3592</v>
      </c>
      <c r="B512" s="190">
        <v>5</v>
      </c>
      <c r="C512" s="191" t="s">
        <v>223</v>
      </c>
      <c r="D512" s="192">
        <f t="shared" si="98"/>
        <v>0</v>
      </c>
      <c r="E512" s="192">
        <f t="shared" si="99"/>
        <v>0</v>
      </c>
      <c r="F512" s="192">
        <f t="shared" si="100"/>
        <v>0</v>
      </c>
      <c r="G512" s="193">
        <f t="shared" si="101"/>
        <v>0</v>
      </c>
      <c r="H512" s="194">
        <v>0</v>
      </c>
      <c r="I512" s="194">
        <v>0</v>
      </c>
      <c r="J512" s="194">
        <v>0</v>
      </c>
      <c r="K512" s="193">
        <f t="shared" si="102"/>
        <v>0</v>
      </c>
      <c r="L512" s="194">
        <v>0</v>
      </c>
      <c r="M512" s="194">
        <v>0</v>
      </c>
      <c r="N512" s="194">
        <v>0</v>
      </c>
      <c r="O512" s="193">
        <f t="shared" si="103"/>
        <v>0</v>
      </c>
      <c r="P512" s="194">
        <v>0</v>
      </c>
      <c r="Q512" s="194">
        <v>0</v>
      </c>
      <c r="R512" s="194">
        <v>0</v>
      </c>
      <c r="S512" s="193">
        <f t="shared" si="104"/>
        <v>0</v>
      </c>
      <c r="T512" s="193">
        <f t="shared" si="105"/>
        <v>0</v>
      </c>
      <c r="U512" s="193">
        <f ca="1">OFFSET('Expenditure Study'!$B$7,'Operations Support'!$C512,'Operations Support'!$B512)*$G512</f>
        <v>0</v>
      </c>
      <c r="V512" s="199">
        <f ca="1">U512*'Expenditure Study'!$B$31</f>
        <v>0</v>
      </c>
      <c r="W512" s="199">
        <f ca="1">IF(A512=10298,1.51,1)*IF($B512&lt;3,$D512*'Expenditure Study'!$B$32*OFFSET('Expenditure Study'!$B$7,'Operations Support'!$C512,'Operations Support'!$B512),0)</f>
        <v>0</v>
      </c>
      <c r="X512" s="200">
        <f ca="1">W512*'Expenditure Study'!$B$31</f>
        <v>0</v>
      </c>
      <c r="Y512" s="199">
        <f ca="1">U512*'Expenditure Study'!$B$31</f>
        <v>0</v>
      </c>
      <c r="Z512" s="200">
        <f ca="1">W512*'Expenditure Study'!$B$31</f>
        <v>0</v>
      </c>
      <c r="AA512" s="195">
        <f t="shared" ca="1" si="106"/>
        <v>0</v>
      </c>
      <c r="AB512" s="195">
        <f t="shared" ca="1" si="107"/>
        <v>0</v>
      </c>
      <c r="AD512" s="196">
        <f>IFERROR($G512/SUMIF($A:$A,$A512,$G:$G)*SUMIF(Summary!$A$166:$A$242,$A512,Summary!$P$166:$P$242),0)</f>
        <v>0</v>
      </c>
      <c r="AE512" s="197">
        <f t="shared" ca="1" si="108"/>
        <v>0</v>
      </c>
      <c r="AF512" s="196">
        <f>IFERROR(G512/SUMIF(A:A,A512,G:G)*SUMIF(Summary!$A$166:$A$242,'Operations Support'!A512,Summary!$Q$166:$Q$242),0)</f>
        <v>0</v>
      </c>
      <c r="AG512" s="196">
        <f t="shared" ca="1" si="109"/>
        <v>0</v>
      </c>
      <c r="AI512" s="196">
        <f>IFERROR($G512/SUMIF($A:$A,$A512,$G:$G)*SUMIF(Summary!$A$247:$A$283,$A512,Summary!$P$247:$P$283),0)</f>
        <v>0</v>
      </c>
      <c r="AJ512" s="196">
        <f>IFERROR($G512/SUMIF($A:$A,$A512,$G:$G)*(SUMIF(Summary!$A$247:$A$283,$A512,Summary!$L$247:$L$283)+SUMIF(Summary!$A$297:$A$333,$A512,Summary!$L$297:$L$333))-AI512,0)</f>
        <v>0</v>
      </c>
      <c r="AK512" s="196">
        <f>IFERROR($G512/SUMIF($A:$A,$A512,$G:$G)*SUMIF(Summary!$A$247:$A$283,$A512,Summary!$Q$247:$Q$283),0)</f>
        <v>0</v>
      </c>
      <c r="AL512" s="196">
        <f>IFERROR($G512/SUMIF($A:$A,$A512,$G:$G)*(SUMIF(Summary!$A$247:$A$283,$A512,Summary!$L$247:$L$283)+SUMIF(Summary!$A$297:$A$333,$A512,Summary!$L$297:$L$333))-AK512,0)</f>
        <v>0</v>
      </c>
      <c r="AM512" s="198"/>
      <c r="AN512" s="196">
        <f t="shared" ca="1" si="110"/>
        <v>0</v>
      </c>
      <c r="AO512" s="196">
        <f t="shared" ca="1" si="111"/>
        <v>0</v>
      </c>
    </row>
    <row r="513" spans="1:41">
      <c r="A513" s="189">
        <v>3592</v>
      </c>
      <c r="B513" s="190">
        <v>5</v>
      </c>
      <c r="C513" s="191" t="s">
        <v>224</v>
      </c>
      <c r="D513" s="192">
        <f t="shared" si="98"/>
        <v>0</v>
      </c>
      <c r="E513" s="192">
        <f t="shared" si="99"/>
        <v>0</v>
      </c>
      <c r="F513" s="192">
        <f t="shared" si="100"/>
        <v>0</v>
      </c>
      <c r="G513" s="193">
        <f t="shared" si="101"/>
        <v>0</v>
      </c>
      <c r="H513" s="194">
        <v>0</v>
      </c>
      <c r="I513" s="194">
        <v>0</v>
      </c>
      <c r="J513" s="194">
        <v>0</v>
      </c>
      <c r="K513" s="193">
        <f t="shared" si="102"/>
        <v>0</v>
      </c>
      <c r="L513" s="194">
        <v>0</v>
      </c>
      <c r="M513" s="194">
        <v>0</v>
      </c>
      <c r="N513" s="194">
        <v>0</v>
      </c>
      <c r="O513" s="193">
        <f t="shared" si="103"/>
        <v>0</v>
      </c>
      <c r="P513" s="194">
        <v>0</v>
      </c>
      <c r="Q513" s="194">
        <v>0</v>
      </c>
      <c r="R513" s="194">
        <v>0</v>
      </c>
      <c r="S513" s="193">
        <f t="shared" si="104"/>
        <v>0</v>
      </c>
      <c r="T513" s="193">
        <f t="shared" si="105"/>
        <v>0</v>
      </c>
      <c r="U513" s="193">
        <f ca="1">OFFSET('Expenditure Study'!$B$7,'Operations Support'!$C513,'Operations Support'!$B513)*$G513</f>
        <v>0</v>
      </c>
      <c r="V513" s="199">
        <f ca="1">U513*'Expenditure Study'!$B$31</f>
        <v>0</v>
      </c>
      <c r="W513" s="199">
        <f ca="1">IF(A513=10298,1.51,1)*IF($B513&lt;3,$D513*'Expenditure Study'!$B$32*OFFSET('Expenditure Study'!$B$7,'Operations Support'!$C513,'Operations Support'!$B513),0)</f>
        <v>0</v>
      </c>
      <c r="X513" s="200">
        <f ca="1">W513*'Expenditure Study'!$B$31</f>
        <v>0</v>
      </c>
      <c r="Y513" s="199">
        <f ca="1">U513*'Expenditure Study'!$B$31</f>
        <v>0</v>
      </c>
      <c r="Z513" s="200">
        <f ca="1">W513*'Expenditure Study'!$B$31</f>
        <v>0</v>
      </c>
      <c r="AA513" s="195">
        <f t="shared" ca="1" si="106"/>
        <v>0</v>
      </c>
      <c r="AB513" s="195">
        <f t="shared" ca="1" si="107"/>
        <v>0</v>
      </c>
      <c r="AD513" s="196">
        <f>IFERROR($G513/SUMIF($A:$A,$A513,$G:$G)*SUMIF(Summary!$A$166:$A$242,$A513,Summary!$P$166:$P$242),0)</f>
        <v>0</v>
      </c>
      <c r="AE513" s="197">
        <f t="shared" ca="1" si="108"/>
        <v>0</v>
      </c>
      <c r="AF513" s="196">
        <f>IFERROR(G513/SUMIF(A:A,A513,G:G)*SUMIF(Summary!$A$166:$A$242,'Operations Support'!A513,Summary!$Q$166:$Q$242),0)</f>
        <v>0</v>
      </c>
      <c r="AG513" s="196">
        <f t="shared" ca="1" si="109"/>
        <v>0</v>
      </c>
      <c r="AI513" s="196">
        <f>IFERROR($G513/SUMIF($A:$A,$A513,$G:$G)*SUMIF(Summary!$A$247:$A$283,$A513,Summary!$P$247:$P$283),0)</f>
        <v>0</v>
      </c>
      <c r="AJ513" s="196">
        <f>IFERROR($G513/SUMIF($A:$A,$A513,$G:$G)*(SUMIF(Summary!$A$247:$A$283,$A513,Summary!$L$247:$L$283)+SUMIF(Summary!$A$297:$A$333,$A513,Summary!$L$297:$L$333))-AI513,0)</f>
        <v>0</v>
      </c>
      <c r="AK513" s="196">
        <f>IFERROR($G513/SUMIF($A:$A,$A513,$G:$G)*SUMIF(Summary!$A$247:$A$283,$A513,Summary!$Q$247:$Q$283),0)</f>
        <v>0</v>
      </c>
      <c r="AL513" s="196">
        <f>IFERROR($G513/SUMIF($A:$A,$A513,$G:$G)*(SUMIF(Summary!$A$247:$A$283,$A513,Summary!$L$247:$L$283)+SUMIF(Summary!$A$297:$A$333,$A513,Summary!$L$297:$L$333))-AK513,0)</f>
        <v>0</v>
      </c>
      <c r="AM513" s="198"/>
      <c r="AN513" s="196">
        <f t="shared" ca="1" si="110"/>
        <v>0</v>
      </c>
      <c r="AO513" s="196">
        <f t="shared" ca="1" si="111"/>
        <v>0</v>
      </c>
    </row>
    <row r="514" spans="1:41" s="201" customFormat="1">
      <c r="A514" s="189">
        <v>3592</v>
      </c>
      <c r="B514" s="190">
        <v>5</v>
      </c>
      <c r="C514" s="191" t="s">
        <v>225</v>
      </c>
      <c r="D514" s="192">
        <f t="shared" si="98"/>
        <v>0</v>
      </c>
      <c r="E514" s="192">
        <f t="shared" si="99"/>
        <v>0</v>
      </c>
      <c r="F514" s="192">
        <f t="shared" si="100"/>
        <v>0</v>
      </c>
      <c r="G514" s="193">
        <f t="shared" si="101"/>
        <v>0</v>
      </c>
      <c r="H514" s="194">
        <v>0</v>
      </c>
      <c r="I514" s="194">
        <v>0</v>
      </c>
      <c r="J514" s="194">
        <v>0</v>
      </c>
      <c r="K514" s="193">
        <f t="shared" si="102"/>
        <v>0</v>
      </c>
      <c r="L514" s="194">
        <v>0</v>
      </c>
      <c r="M514" s="194">
        <v>0</v>
      </c>
      <c r="N514" s="194">
        <v>0</v>
      </c>
      <c r="O514" s="193">
        <f t="shared" si="103"/>
        <v>0</v>
      </c>
      <c r="P514" s="194">
        <v>0</v>
      </c>
      <c r="Q514" s="194">
        <v>0</v>
      </c>
      <c r="R514" s="194">
        <v>0</v>
      </c>
      <c r="S514" s="193">
        <f t="shared" si="104"/>
        <v>0</v>
      </c>
      <c r="T514" s="193">
        <f t="shared" si="105"/>
        <v>0</v>
      </c>
      <c r="U514" s="193">
        <f ca="1">OFFSET('Expenditure Study'!$B$7,'Operations Support'!$C514,'Operations Support'!$B514)*$G514</f>
        <v>0</v>
      </c>
      <c r="V514" s="199">
        <f ca="1">U514*'Expenditure Study'!$B$31</f>
        <v>0</v>
      </c>
      <c r="W514" s="199">
        <f ca="1">IF(A514=10298,1.51,1)*IF($B514&lt;3,$D514*'Expenditure Study'!$B$32*OFFSET('Expenditure Study'!$B$7,'Operations Support'!$C514,'Operations Support'!$B514),0)</f>
        <v>0</v>
      </c>
      <c r="X514" s="200">
        <f ca="1">W514*'Expenditure Study'!$B$31</f>
        <v>0</v>
      </c>
      <c r="Y514" s="199">
        <f ca="1">U514*'Expenditure Study'!$B$31</f>
        <v>0</v>
      </c>
      <c r="Z514" s="200">
        <f ca="1">W514*'Expenditure Study'!$B$31</f>
        <v>0</v>
      </c>
      <c r="AA514" s="195">
        <f t="shared" ca="1" si="106"/>
        <v>0</v>
      </c>
      <c r="AB514" s="195">
        <f t="shared" ca="1" si="107"/>
        <v>0</v>
      </c>
      <c r="AD514" s="196">
        <f>IFERROR($G514/SUMIF($A:$A,$A514,$G:$G)*SUMIF(Summary!$A$166:$A$242,$A514,Summary!$P$166:$P$242),0)</f>
        <v>0</v>
      </c>
      <c r="AE514" s="197">
        <f t="shared" ca="1" si="108"/>
        <v>0</v>
      </c>
      <c r="AF514" s="196">
        <f>IFERROR(G514/SUMIF(A:A,A514,G:G)*SUMIF(Summary!$A$166:$A$242,'Operations Support'!A514,Summary!$Q$166:$Q$242),0)</f>
        <v>0</v>
      </c>
      <c r="AG514" s="196">
        <f t="shared" ca="1" si="109"/>
        <v>0</v>
      </c>
      <c r="AH514" s="180"/>
      <c r="AI514" s="196">
        <f>IFERROR($G514/SUMIF($A:$A,$A514,$G:$G)*SUMIF(Summary!$A$247:$A$283,$A514,Summary!$P$247:$P$283),0)</f>
        <v>0</v>
      </c>
      <c r="AJ514" s="196">
        <f>IFERROR($G514/SUMIF($A:$A,$A514,$G:$G)*(SUMIF(Summary!$A$247:$A$283,$A514,Summary!$L$247:$L$283)+SUMIF(Summary!$A$297:$A$333,$A514,Summary!$L$297:$L$333))-AI514,0)</f>
        <v>0</v>
      </c>
      <c r="AK514" s="196">
        <f>IFERROR($G514/SUMIF($A:$A,$A514,$G:$G)*SUMIF(Summary!$A$247:$A$283,$A514,Summary!$Q$247:$Q$283),0)</f>
        <v>0</v>
      </c>
      <c r="AL514" s="196">
        <f>IFERROR($G514/SUMIF($A:$A,$A514,$G:$G)*(SUMIF(Summary!$A$247:$A$283,$A514,Summary!$L$247:$L$283)+SUMIF(Summary!$A$297:$A$333,$A514,Summary!$L$297:$L$333))-AK514,0)</f>
        <v>0</v>
      </c>
      <c r="AM514" s="198"/>
      <c r="AN514" s="196">
        <f t="shared" ca="1" si="110"/>
        <v>0</v>
      </c>
      <c r="AO514" s="196">
        <f t="shared" ca="1" si="111"/>
        <v>0</v>
      </c>
    </row>
    <row r="515" spans="1:41">
      <c r="A515" s="189">
        <v>3592</v>
      </c>
      <c r="B515" s="190">
        <v>5</v>
      </c>
      <c r="C515" s="191" t="s">
        <v>226</v>
      </c>
      <c r="D515" s="192">
        <f t="shared" si="98"/>
        <v>0</v>
      </c>
      <c r="E515" s="192">
        <f t="shared" si="99"/>
        <v>0</v>
      </c>
      <c r="F515" s="192">
        <f t="shared" si="100"/>
        <v>0</v>
      </c>
      <c r="G515" s="193">
        <f t="shared" si="101"/>
        <v>0</v>
      </c>
      <c r="H515" s="194">
        <v>0</v>
      </c>
      <c r="I515" s="194">
        <v>0</v>
      </c>
      <c r="J515" s="194">
        <v>0</v>
      </c>
      <c r="K515" s="193">
        <f t="shared" si="102"/>
        <v>0</v>
      </c>
      <c r="L515" s="194">
        <v>0</v>
      </c>
      <c r="M515" s="194">
        <v>0</v>
      </c>
      <c r="N515" s="194">
        <v>0</v>
      </c>
      <c r="O515" s="193">
        <f t="shared" si="103"/>
        <v>0</v>
      </c>
      <c r="P515" s="194">
        <v>0</v>
      </c>
      <c r="Q515" s="194">
        <v>0</v>
      </c>
      <c r="R515" s="194">
        <v>0</v>
      </c>
      <c r="S515" s="193">
        <f t="shared" si="104"/>
        <v>0</v>
      </c>
      <c r="T515" s="193">
        <f t="shared" si="105"/>
        <v>0</v>
      </c>
      <c r="U515" s="193">
        <f ca="1">OFFSET('Expenditure Study'!$B$7,'Operations Support'!$C515,'Operations Support'!$B515)*$G515</f>
        <v>0</v>
      </c>
      <c r="V515" s="199">
        <f ca="1">U515*'Expenditure Study'!$B$31</f>
        <v>0</v>
      </c>
      <c r="W515" s="199">
        <f ca="1">IF(A515=10298,1.51,1)*IF($B515&lt;3,$D515*'Expenditure Study'!$B$32*OFFSET('Expenditure Study'!$B$7,'Operations Support'!$C515,'Operations Support'!$B515),0)</f>
        <v>0</v>
      </c>
      <c r="X515" s="200">
        <f ca="1">W515*'Expenditure Study'!$B$31</f>
        <v>0</v>
      </c>
      <c r="Y515" s="199">
        <f ca="1">U515*'Expenditure Study'!$B$31</f>
        <v>0</v>
      </c>
      <c r="Z515" s="200">
        <f ca="1">W515*'Expenditure Study'!$B$31</f>
        <v>0</v>
      </c>
      <c r="AA515" s="195">
        <f t="shared" ca="1" si="106"/>
        <v>0</v>
      </c>
      <c r="AB515" s="195">
        <f t="shared" ca="1" si="107"/>
        <v>0</v>
      </c>
      <c r="AD515" s="196">
        <f>IFERROR($G515/SUMIF($A:$A,$A515,$G:$G)*SUMIF(Summary!$A$166:$A$242,$A515,Summary!$P$166:$P$242),0)</f>
        <v>0</v>
      </c>
      <c r="AE515" s="197">
        <f t="shared" ca="1" si="108"/>
        <v>0</v>
      </c>
      <c r="AF515" s="196">
        <f>IFERROR(G515/SUMIF(A:A,A515,G:G)*SUMIF(Summary!$A$166:$A$242,'Operations Support'!A515,Summary!$Q$166:$Q$242),0)</f>
        <v>0</v>
      </c>
      <c r="AG515" s="196">
        <f t="shared" ca="1" si="109"/>
        <v>0</v>
      </c>
      <c r="AI515" s="196">
        <f>IFERROR($G515/SUMIF($A:$A,$A515,$G:$G)*SUMIF(Summary!$A$247:$A$283,$A515,Summary!$P$247:$P$283),0)</f>
        <v>0</v>
      </c>
      <c r="AJ515" s="196">
        <f>IFERROR($G515/SUMIF($A:$A,$A515,$G:$G)*(SUMIF(Summary!$A$247:$A$283,$A515,Summary!$L$247:$L$283)+SUMIF(Summary!$A$297:$A$333,$A515,Summary!$L$297:$L$333))-AI515,0)</f>
        <v>0</v>
      </c>
      <c r="AK515" s="196">
        <f>IFERROR($G515/SUMIF($A:$A,$A515,$G:$G)*SUMIF(Summary!$A$247:$A$283,$A515,Summary!$Q$247:$Q$283),0)</f>
        <v>0</v>
      </c>
      <c r="AL515" s="196">
        <f>IFERROR($G515/SUMIF($A:$A,$A515,$G:$G)*(SUMIF(Summary!$A$247:$A$283,$A515,Summary!$L$247:$L$283)+SUMIF(Summary!$A$297:$A$333,$A515,Summary!$L$297:$L$333))-AK515,0)</f>
        <v>0</v>
      </c>
      <c r="AM515" s="198"/>
      <c r="AN515" s="196">
        <f t="shared" ca="1" si="110"/>
        <v>0</v>
      </c>
      <c r="AO515" s="196">
        <f t="shared" ca="1" si="111"/>
        <v>0</v>
      </c>
    </row>
    <row r="516" spans="1:41">
      <c r="A516" s="189">
        <v>3592</v>
      </c>
      <c r="B516" s="190">
        <v>5</v>
      </c>
      <c r="C516" s="191" t="s">
        <v>227</v>
      </c>
      <c r="D516" s="192">
        <f t="shared" si="98"/>
        <v>0</v>
      </c>
      <c r="E516" s="192">
        <f t="shared" si="99"/>
        <v>0</v>
      </c>
      <c r="F516" s="192">
        <f t="shared" si="100"/>
        <v>0</v>
      </c>
      <c r="G516" s="193">
        <f t="shared" si="101"/>
        <v>0</v>
      </c>
      <c r="H516" s="194">
        <v>0</v>
      </c>
      <c r="I516" s="194">
        <v>0</v>
      </c>
      <c r="J516" s="194">
        <v>0</v>
      </c>
      <c r="K516" s="193">
        <f t="shared" si="102"/>
        <v>0</v>
      </c>
      <c r="L516" s="194">
        <v>0</v>
      </c>
      <c r="M516" s="194">
        <v>0</v>
      </c>
      <c r="N516" s="194">
        <v>0</v>
      </c>
      <c r="O516" s="193">
        <f t="shared" si="103"/>
        <v>0</v>
      </c>
      <c r="P516" s="194">
        <v>0</v>
      </c>
      <c r="Q516" s="194">
        <v>0</v>
      </c>
      <c r="R516" s="194">
        <v>0</v>
      </c>
      <c r="S516" s="193">
        <f t="shared" si="104"/>
        <v>0</v>
      </c>
      <c r="T516" s="193">
        <f t="shared" si="105"/>
        <v>0</v>
      </c>
      <c r="U516" s="193">
        <f ca="1">OFFSET('Expenditure Study'!$B$7,'Operations Support'!$C516,'Operations Support'!$B516)*$G516</f>
        <v>0</v>
      </c>
      <c r="V516" s="199">
        <f ca="1">U516*'Expenditure Study'!$B$31</f>
        <v>0</v>
      </c>
      <c r="W516" s="199">
        <f ca="1">IF(A516=10298,1.51,1)*IF($B516&lt;3,$D516*'Expenditure Study'!$B$32*OFFSET('Expenditure Study'!$B$7,'Operations Support'!$C516,'Operations Support'!$B516),0)</f>
        <v>0</v>
      </c>
      <c r="X516" s="200">
        <f ca="1">W516*'Expenditure Study'!$B$31</f>
        <v>0</v>
      </c>
      <c r="Y516" s="199">
        <f ca="1">U516*'Expenditure Study'!$B$31</f>
        <v>0</v>
      </c>
      <c r="Z516" s="200">
        <f ca="1">W516*'Expenditure Study'!$B$31</f>
        <v>0</v>
      </c>
      <c r="AA516" s="195">
        <f t="shared" ca="1" si="106"/>
        <v>0</v>
      </c>
      <c r="AB516" s="195">
        <f t="shared" ca="1" si="107"/>
        <v>0</v>
      </c>
      <c r="AD516" s="196">
        <f>IFERROR($G516/SUMIF($A:$A,$A516,$G:$G)*SUMIF(Summary!$A$166:$A$242,$A516,Summary!$P$166:$P$242),0)</f>
        <v>0</v>
      </c>
      <c r="AE516" s="197">
        <f t="shared" ca="1" si="108"/>
        <v>0</v>
      </c>
      <c r="AF516" s="196">
        <f>IFERROR(G516/SUMIF(A:A,A516,G:G)*SUMIF(Summary!$A$166:$A$242,'Operations Support'!A516,Summary!$Q$166:$Q$242),0)</f>
        <v>0</v>
      </c>
      <c r="AG516" s="196">
        <f t="shared" ca="1" si="109"/>
        <v>0</v>
      </c>
      <c r="AI516" s="196">
        <f>IFERROR($G516/SUMIF($A:$A,$A516,$G:$G)*SUMIF(Summary!$A$247:$A$283,$A516,Summary!$P$247:$P$283),0)</f>
        <v>0</v>
      </c>
      <c r="AJ516" s="196">
        <f>IFERROR($G516/SUMIF($A:$A,$A516,$G:$G)*(SUMIF(Summary!$A$247:$A$283,$A516,Summary!$L$247:$L$283)+SUMIF(Summary!$A$297:$A$333,$A516,Summary!$L$297:$L$333))-AI516,0)</f>
        <v>0</v>
      </c>
      <c r="AK516" s="196">
        <f>IFERROR($G516/SUMIF($A:$A,$A516,$G:$G)*SUMIF(Summary!$A$247:$A$283,$A516,Summary!$Q$247:$Q$283),0)</f>
        <v>0</v>
      </c>
      <c r="AL516" s="196">
        <f>IFERROR($G516/SUMIF($A:$A,$A516,$G:$G)*(SUMIF(Summary!$A$247:$A$283,$A516,Summary!$L$247:$L$283)+SUMIF(Summary!$A$297:$A$333,$A516,Summary!$L$297:$L$333))-AK516,0)</f>
        <v>0</v>
      </c>
      <c r="AM516" s="198"/>
      <c r="AN516" s="196">
        <f t="shared" ca="1" si="110"/>
        <v>0</v>
      </c>
      <c r="AO516" s="196">
        <f t="shared" ca="1" si="111"/>
        <v>0</v>
      </c>
    </row>
    <row r="517" spans="1:41">
      <c r="A517" s="189">
        <v>3592</v>
      </c>
      <c r="B517" s="190">
        <v>5</v>
      </c>
      <c r="C517" s="191" t="s">
        <v>228</v>
      </c>
      <c r="D517" s="192">
        <f t="shared" ref="D517:D580" si="112">H517+L517+P517</f>
        <v>0</v>
      </c>
      <c r="E517" s="192">
        <f t="shared" ref="E517:E580" si="113">I517+M517+Q517</f>
        <v>0</v>
      </c>
      <c r="F517" s="192">
        <f t="shared" ref="F517:F580" si="114">J517+N517+R517</f>
        <v>0</v>
      </c>
      <c r="G517" s="193">
        <f t="shared" ref="G517:G580" si="115">(SUM(D517:E517)-F517)*IF(A517=10298,1.51,1)</f>
        <v>0</v>
      </c>
      <c r="H517" s="194">
        <v>0</v>
      </c>
      <c r="I517" s="194">
        <v>0</v>
      </c>
      <c r="J517" s="194">
        <v>0</v>
      </c>
      <c r="K517" s="193">
        <f t="shared" ref="K517:K580" si="116">SUM(H517:I517)-J517</f>
        <v>0</v>
      </c>
      <c r="L517" s="194">
        <v>0</v>
      </c>
      <c r="M517" s="194">
        <v>0</v>
      </c>
      <c r="N517" s="194">
        <v>0</v>
      </c>
      <c r="O517" s="193">
        <f t="shared" ref="O517:O580" si="117">SUM(L517:M517)-N517</f>
        <v>0</v>
      </c>
      <c r="P517" s="194">
        <v>0</v>
      </c>
      <c r="Q517" s="194">
        <v>0</v>
      </c>
      <c r="R517" s="194">
        <v>0</v>
      </c>
      <c r="S517" s="193">
        <f t="shared" ref="S517:S580" si="118">SUM(P517:Q517)-R517</f>
        <v>0</v>
      </c>
      <c r="T517" s="193">
        <f t="shared" ref="T517:T580" si="119">IF(OR(B517=1,B517=2),G517/30,IF(OR(B517=3,B517=5),G517/24,IF(B517=4,G517/18,0)))</f>
        <v>0</v>
      </c>
      <c r="U517" s="193">
        <f ca="1">OFFSET('Expenditure Study'!$B$7,'Operations Support'!$C517,'Operations Support'!$B517)*$G517</f>
        <v>0</v>
      </c>
      <c r="V517" s="199">
        <f ca="1">U517*'Expenditure Study'!$B$31</f>
        <v>0</v>
      </c>
      <c r="W517" s="199">
        <f ca="1">IF(A517=10298,1.51,1)*IF($B517&lt;3,$D517*'Expenditure Study'!$B$32*OFFSET('Expenditure Study'!$B$7,'Operations Support'!$C517,'Operations Support'!$B517),0)</f>
        <v>0</v>
      </c>
      <c r="X517" s="200">
        <f ca="1">W517*'Expenditure Study'!$B$31</f>
        <v>0</v>
      </c>
      <c r="Y517" s="199">
        <f ca="1">U517*'Expenditure Study'!$B$31</f>
        <v>0</v>
      </c>
      <c r="Z517" s="200">
        <f ca="1">W517*'Expenditure Study'!$B$31</f>
        <v>0</v>
      </c>
      <c r="AA517" s="195">
        <f t="shared" ref="AA517:AA580" ca="1" si="120">V517+X517</f>
        <v>0</v>
      </c>
      <c r="AB517" s="195">
        <f t="shared" ref="AB517:AB580" ca="1" si="121">Y517+Z517</f>
        <v>0</v>
      </c>
      <c r="AD517" s="196">
        <f>IFERROR($G517/SUMIF($A:$A,$A517,$G:$G)*SUMIF(Summary!$A$166:$A$242,$A517,Summary!$P$166:$P$242),0)</f>
        <v>0</v>
      </c>
      <c r="AE517" s="197">
        <f t="shared" ca="1" si="108"/>
        <v>0</v>
      </c>
      <c r="AF517" s="196">
        <f>IFERROR(G517/SUMIF(A:A,A517,G:G)*SUMIF(Summary!$A$166:$A$242,'Operations Support'!A517,Summary!$Q$166:$Q$242),0)</f>
        <v>0</v>
      </c>
      <c r="AG517" s="196">
        <f t="shared" ca="1" si="109"/>
        <v>0</v>
      </c>
      <c r="AI517" s="196">
        <f>IFERROR($G517/SUMIF($A:$A,$A517,$G:$G)*SUMIF(Summary!$A$247:$A$283,$A517,Summary!$P$247:$P$283),0)</f>
        <v>0</v>
      </c>
      <c r="AJ517" s="196">
        <f>IFERROR($G517/SUMIF($A:$A,$A517,$G:$G)*(SUMIF(Summary!$A$247:$A$283,$A517,Summary!$L$247:$L$283)+SUMIF(Summary!$A$297:$A$333,$A517,Summary!$L$297:$L$333))-AI517,0)</f>
        <v>0</v>
      </c>
      <c r="AK517" s="196">
        <f>IFERROR($G517/SUMIF($A:$A,$A517,$G:$G)*SUMIF(Summary!$A$247:$A$283,$A517,Summary!$Q$247:$Q$283),0)</f>
        <v>0</v>
      </c>
      <c r="AL517" s="196">
        <f>IFERROR($G517/SUMIF($A:$A,$A517,$G:$G)*(SUMIF(Summary!$A$247:$A$283,$A517,Summary!$L$247:$L$283)+SUMIF(Summary!$A$297:$A$333,$A517,Summary!$L$297:$L$333))-AK517,0)</f>
        <v>0</v>
      </c>
      <c r="AM517" s="198"/>
      <c r="AN517" s="196">
        <f t="shared" ca="1" si="110"/>
        <v>0</v>
      </c>
      <c r="AO517" s="196">
        <f t="shared" ca="1" si="111"/>
        <v>0</v>
      </c>
    </row>
    <row r="518" spans="1:41">
      <c r="A518" s="189">
        <v>3592</v>
      </c>
      <c r="B518" s="190">
        <v>5</v>
      </c>
      <c r="C518" s="191" t="s">
        <v>229</v>
      </c>
      <c r="D518" s="192">
        <f t="shared" si="112"/>
        <v>0</v>
      </c>
      <c r="E518" s="192">
        <f t="shared" si="113"/>
        <v>0</v>
      </c>
      <c r="F518" s="192">
        <f t="shared" si="114"/>
        <v>0</v>
      </c>
      <c r="G518" s="193">
        <f t="shared" si="115"/>
        <v>0</v>
      </c>
      <c r="H518" s="194">
        <v>0</v>
      </c>
      <c r="I518" s="194">
        <v>0</v>
      </c>
      <c r="J518" s="194">
        <v>0</v>
      </c>
      <c r="K518" s="193">
        <f t="shared" si="116"/>
        <v>0</v>
      </c>
      <c r="L518" s="194">
        <v>0</v>
      </c>
      <c r="M518" s="194">
        <v>0</v>
      </c>
      <c r="N518" s="194">
        <v>0</v>
      </c>
      <c r="O518" s="193">
        <f t="shared" si="117"/>
        <v>0</v>
      </c>
      <c r="P518" s="194">
        <v>0</v>
      </c>
      <c r="Q518" s="194">
        <v>0</v>
      </c>
      <c r="R518" s="194">
        <v>0</v>
      </c>
      <c r="S518" s="193">
        <f t="shared" si="118"/>
        <v>0</v>
      </c>
      <c r="T518" s="193">
        <f t="shared" si="119"/>
        <v>0</v>
      </c>
      <c r="U518" s="193">
        <f ca="1">OFFSET('Expenditure Study'!$B$7,'Operations Support'!$C518,'Operations Support'!$B518)*$G518</f>
        <v>0</v>
      </c>
      <c r="V518" s="199">
        <f ca="1">U518*'Expenditure Study'!$B$31</f>
        <v>0</v>
      </c>
      <c r="W518" s="199">
        <f ca="1">IF(A518=10298,1.51,1)*IF($B518&lt;3,$D518*'Expenditure Study'!$B$32*OFFSET('Expenditure Study'!$B$7,'Operations Support'!$C518,'Operations Support'!$B518),0)</f>
        <v>0</v>
      </c>
      <c r="X518" s="200">
        <f ca="1">W518*'Expenditure Study'!$B$31</f>
        <v>0</v>
      </c>
      <c r="Y518" s="199">
        <f ca="1">U518*'Expenditure Study'!$B$31</f>
        <v>0</v>
      </c>
      <c r="Z518" s="200">
        <f ca="1">W518*'Expenditure Study'!$B$31</f>
        <v>0</v>
      </c>
      <c r="AA518" s="195">
        <f t="shared" ca="1" si="120"/>
        <v>0</v>
      </c>
      <c r="AB518" s="195">
        <f t="shared" ca="1" si="121"/>
        <v>0</v>
      </c>
      <c r="AD518" s="196">
        <f>IFERROR($G518/SUMIF($A:$A,$A518,$G:$G)*SUMIF(Summary!$A$166:$A$242,$A518,Summary!$P$166:$P$242),0)</f>
        <v>0</v>
      </c>
      <c r="AE518" s="197">
        <f t="shared" ref="AE518:AE581" ca="1" si="122">V518+X518-AD518</f>
        <v>0</v>
      </c>
      <c r="AF518" s="196">
        <f>IFERROR(G518/SUMIF(A:A,A518,G:G)*SUMIF(Summary!$A$166:$A$242,'Operations Support'!A518,Summary!$Q$166:$Q$242),0)</f>
        <v>0</v>
      </c>
      <c r="AG518" s="196">
        <f t="shared" ref="AG518:AG581" ca="1" si="123">Y518+Z518-AF518</f>
        <v>0</v>
      </c>
      <c r="AI518" s="196">
        <f>IFERROR($G518/SUMIF($A:$A,$A518,$G:$G)*SUMIF(Summary!$A$247:$A$283,$A518,Summary!$P$247:$P$283),0)</f>
        <v>0</v>
      </c>
      <c r="AJ518" s="196">
        <f>IFERROR($G518/SUMIF($A:$A,$A518,$G:$G)*(SUMIF(Summary!$A$247:$A$283,$A518,Summary!$L$247:$L$283)+SUMIF(Summary!$A$297:$A$333,$A518,Summary!$L$297:$L$333))-AI518,0)</f>
        <v>0</v>
      </c>
      <c r="AK518" s="196">
        <f>IFERROR($G518/SUMIF($A:$A,$A518,$G:$G)*SUMIF(Summary!$A$247:$A$283,$A518,Summary!$Q$247:$Q$283),0)</f>
        <v>0</v>
      </c>
      <c r="AL518" s="196">
        <f>IFERROR($G518/SUMIF($A:$A,$A518,$G:$G)*(SUMIF(Summary!$A$247:$A$283,$A518,Summary!$L$247:$L$283)+SUMIF(Summary!$A$297:$A$333,$A518,Summary!$L$297:$L$333))-AK518,0)</f>
        <v>0</v>
      </c>
      <c r="AM518" s="198"/>
      <c r="AN518" s="196">
        <f t="shared" ref="AN518:AN581" ca="1" si="124">AE518+AJ518</f>
        <v>0</v>
      </c>
      <c r="AO518" s="196">
        <f t="shared" ref="AO518:AO581" ca="1" si="125">AG518+AL518</f>
        <v>0</v>
      </c>
    </row>
    <row r="519" spans="1:41">
      <c r="A519" s="189">
        <v>3592</v>
      </c>
      <c r="B519" s="190">
        <v>5</v>
      </c>
      <c r="C519" s="191" t="s">
        <v>230</v>
      </c>
      <c r="D519" s="192">
        <f t="shared" si="112"/>
        <v>0</v>
      </c>
      <c r="E519" s="192">
        <f t="shared" si="113"/>
        <v>0</v>
      </c>
      <c r="F519" s="192">
        <f t="shared" si="114"/>
        <v>0</v>
      </c>
      <c r="G519" s="193">
        <f t="shared" si="115"/>
        <v>0</v>
      </c>
      <c r="H519" s="194">
        <v>0</v>
      </c>
      <c r="I519" s="194">
        <v>0</v>
      </c>
      <c r="J519" s="194">
        <v>0</v>
      </c>
      <c r="K519" s="193">
        <f t="shared" si="116"/>
        <v>0</v>
      </c>
      <c r="L519" s="194">
        <v>0</v>
      </c>
      <c r="M519" s="194">
        <v>0</v>
      </c>
      <c r="N519" s="194">
        <v>0</v>
      </c>
      <c r="O519" s="193">
        <f t="shared" si="117"/>
        <v>0</v>
      </c>
      <c r="P519" s="194">
        <v>0</v>
      </c>
      <c r="Q519" s="194">
        <v>0</v>
      </c>
      <c r="R519" s="194">
        <v>0</v>
      </c>
      <c r="S519" s="193">
        <f t="shared" si="118"/>
        <v>0</v>
      </c>
      <c r="T519" s="193">
        <f t="shared" si="119"/>
        <v>0</v>
      </c>
      <c r="U519" s="193">
        <f ca="1">OFFSET('Expenditure Study'!$B$7,'Operations Support'!$C519,'Operations Support'!$B519)*$G519</f>
        <v>0</v>
      </c>
      <c r="V519" s="199">
        <f ca="1">U519*'Expenditure Study'!$B$31</f>
        <v>0</v>
      </c>
      <c r="W519" s="199">
        <f ca="1">IF(A519=10298,1.51,1)*IF($B519&lt;3,$D519*'Expenditure Study'!$B$32*OFFSET('Expenditure Study'!$B$7,'Operations Support'!$C519,'Operations Support'!$B519),0)</f>
        <v>0</v>
      </c>
      <c r="X519" s="200">
        <f ca="1">W519*'Expenditure Study'!$B$31</f>
        <v>0</v>
      </c>
      <c r="Y519" s="199">
        <f ca="1">U519*'Expenditure Study'!$B$31</f>
        <v>0</v>
      </c>
      <c r="Z519" s="200">
        <f ca="1">W519*'Expenditure Study'!$B$31</f>
        <v>0</v>
      </c>
      <c r="AA519" s="195">
        <f t="shared" ca="1" si="120"/>
        <v>0</v>
      </c>
      <c r="AB519" s="195">
        <f t="shared" ca="1" si="121"/>
        <v>0</v>
      </c>
      <c r="AD519" s="196">
        <f>IFERROR($G519/SUMIF($A:$A,$A519,$G:$G)*SUMIF(Summary!$A$166:$A$242,$A519,Summary!$P$166:$P$242),0)</f>
        <v>0</v>
      </c>
      <c r="AE519" s="197">
        <f t="shared" ca="1" si="122"/>
        <v>0</v>
      </c>
      <c r="AF519" s="196">
        <f>IFERROR(G519/SUMIF(A:A,A519,G:G)*SUMIF(Summary!$A$166:$A$242,'Operations Support'!A519,Summary!$Q$166:$Q$242),0)</f>
        <v>0</v>
      </c>
      <c r="AG519" s="196">
        <f t="shared" ca="1" si="123"/>
        <v>0</v>
      </c>
      <c r="AI519" s="196">
        <f>IFERROR($G519/SUMIF($A:$A,$A519,$G:$G)*SUMIF(Summary!$A$247:$A$283,$A519,Summary!$P$247:$P$283),0)</f>
        <v>0</v>
      </c>
      <c r="AJ519" s="196">
        <f>IFERROR($G519/SUMIF($A:$A,$A519,$G:$G)*(SUMIF(Summary!$A$247:$A$283,$A519,Summary!$L$247:$L$283)+SUMIF(Summary!$A$297:$A$333,$A519,Summary!$L$297:$L$333))-AI519,0)</f>
        <v>0</v>
      </c>
      <c r="AK519" s="196">
        <f>IFERROR($G519/SUMIF($A:$A,$A519,$G:$G)*SUMIF(Summary!$A$247:$A$283,$A519,Summary!$Q$247:$Q$283),0)</f>
        <v>0</v>
      </c>
      <c r="AL519" s="196">
        <f>IFERROR($G519/SUMIF($A:$A,$A519,$G:$G)*(SUMIF(Summary!$A$247:$A$283,$A519,Summary!$L$247:$L$283)+SUMIF(Summary!$A$297:$A$333,$A519,Summary!$L$297:$L$333))-AK519,0)</f>
        <v>0</v>
      </c>
      <c r="AM519" s="198"/>
      <c r="AN519" s="196">
        <f t="shared" ca="1" si="124"/>
        <v>0</v>
      </c>
      <c r="AO519" s="196">
        <f t="shared" ca="1" si="125"/>
        <v>0</v>
      </c>
    </row>
    <row r="520" spans="1:41">
      <c r="A520" s="189">
        <v>3592</v>
      </c>
      <c r="B520" s="190">
        <v>5</v>
      </c>
      <c r="C520" s="191" t="s">
        <v>231</v>
      </c>
      <c r="D520" s="192">
        <f t="shared" si="112"/>
        <v>0</v>
      </c>
      <c r="E520" s="192">
        <f t="shared" si="113"/>
        <v>0</v>
      </c>
      <c r="F520" s="192">
        <f t="shared" si="114"/>
        <v>0</v>
      </c>
      <c r="G520" s="193">
        <f t="shared" si="115"/>
        <v>0</v>
      </c>
      <c r="H520" s="194">
        <v>0</v>
      </c>
      <c r="I520" s="194">
        <v>0</v>
      </c>
      <c r="J520" s="194">
        <v>0</v>
      </c>
      <c r="K520" s="193">
        <f t="shared" si="116"/>
        <v>0</v>
      </c>
      <c r="L520" s="194">
        <v>0</v>
      </c>
      <c r="M520" s="194">
        <v>0</v>
      </c>
      <c r="N520" s="194">
        <v>0</v>
      </c>
      <c r="O520" s="193">
        <f t="shared" si="117"/>
        <v>0</v>
      </c>
      <c r="P520" s="194">
        <v>0</v>
      </c>
      <c r="Q520" s="194">
        <v>0</v>
      </c>
      <c r="R520" s="194">
        <v>0</v>
      </c>
      <c r="S520" s="193">
        <f t="shared" si="118"/>
        <v>0</v>
      </c>
      <c r="T520" s="193">
        <f t="shared" si="119"/>
        <v>0</v>
      </c>
      <c r="U520" s="193">
        <f ca="1">OFFSET('Expenditure Study'!$B$7,'Operations Support'!$C520,'Operations Support'!$B520)*$G520</f>
        <v>0</v>
      </c>
      <c r="V520" s="199">
        <f ca="1">U520*'Expenditure Study'!$B$31</f>
        <v>0</v>
      </c>
      <c r="W520" s="199">
        <f ca="1">IF(A520=10298,1.51,1)*IF($B520&lt;3,$D520*'Expenditure Study'!$B$32*OFFSET('Expenditure Study'!$B$7,'Operations Support'!$C520,'Operations Support'!$B520),0)</f>
        <v>0</v>
      </c>
      <c r="X520" s="200">
        <f ca="1">W520*'Expenditure Study'!$B$31</f>
        <v>0</v>
      </c>
      <c r="Y520" s="199">
        <f ca="1">U520*'Expenditure Study'!$B$31</f>
        <v>0</v>
      </c>
      <c r="Z520" s="200">
        <f ca="1">W520*'Expenditure Study'!$B$31</f>
        <v>0</v>
      </c>
      <c r="AA520" s="195">
        <f t="shared" ca="1" si="120"/>
        <v>0</v>
      </c>
      <c r="AB520" s="195">
        <f t="shared" ca="1" si="121"/>
        <v>0</v>
      </c>
      <c r="AD520" s="196">
        <f>IFERROR($G520/SUMIF($A:$A,$A520,$G:$G)*SUMIF(Summary!$A$166:$A$242,$A520,Summary!$P$166:$P$242),0)</f>
        <v>0</v>
      </c>
      <c r="AE520" s="197">
        <f t="shared" ca="1" si="122"/>
        <v>0</v>
      </c>
      <c r="AF520" s="196">
        <f>IFERROR(G520/SUMIF(A:A,A520,G:G)*SUMIF(Summary!$A$166:$A$242,'Operations Support'!A520,Summary!$Q$166:$Q$242),0)</f>
        <v>0</v>
      </c>
      <c r="AG520" s="196">
        <f t="shared" ca="1" si="123"/>
        <v>0</v>
      </c>
      <c r="AI520" s="196">
        <f>IFERROR($G520/SUMIF($A:$A,$A520,$G:$G)*SUMIF(Summary!$A$247:$A$283,$A520,Summary!$P$247:$P$283),0)</f>
        <v>0</v>
      </c>
      <c r="AJ520" s="196">
        <f>IFERROR($G520/SUMIF($A:$A,$A520,$G:$G)*(SUMIF(Summary!$A$247:$A$283,$A520,Summary!$L$247:$L$283)+SUMIF(Summary!$A$297:$A$333,$A520,Summary!$L$297:$L$333))-AI520,0)</f>
        <v>0</v>
      </c>
      <c r="AK520" s="196">
        <f>IFERROR($G520/SUMIF($A:$A,$A520,$G:$G)*SUMIF(Summary!$A$247:$A$283,$A520,Summary!$Q$247:$Q$283),0)</f>
        <v>0</v>
      </c>
      <c r="AL520" s="196">
        <f>IFERROR($G520/SUMIF($A:$A,$A520,$G:$G)*(SUMIF(Summary!$A$247:$A$283,$A520,Summary!$L$247:$L$283)+SUMIF(Summary!$A$297:$A$333,$A520,Summary!$L$297:$L$333))-AK520,0)</f>
        <v>0</v>
      </c>
      <c r="AM520" s="198"/>
      <c r="AN520" s="196">
        <f t="shared" ca="1" si="124"/>
        <v>0</v>
      </c>
      <c r="AO520" s="196">
        <f t="shared" ca="1" si="125"/>
        <v>0</v>
      </c>
    </row>
    <row r="521" spans="1:41">
      <c r="A521" s="189">
        <v>3592</v>
      </c>
      <c r="B521" s="190">
        <v>5</v>
      </c>
      <c r="C521" s="191" t="s">
        <v>232</v>
      </c>
      <c r="D521" s="192">
        <f t="shared" si="112"/>
        <v>0</v>
      </c>
      <c r="E521" s="192">
        <f t="shared" si="113"/>
        <v>0</v>
      </c>
      <c r="F521" s="192">
        <f t="shared" si="114"/>
        <v>0</v>
      </c>
      <c r="G521" s="193">
        <f t="shared" si="115"/>
        <v>0</v>
      </c>
      <c r="H521" s="194">
        <v>0</v>
      </c>
      <c r="I521" s="194">
        <v>0</v>
      </c>
      <c r="J521" s="194">
        <v>0</v>
      </c>
      <c r="K521" s="193">
        <f t="shared" si="116"/>
        <v>0</v>
      </c>
      <c r="L521" s="194">
        <v>0</v>
      </c>
      <c r="M521" s="194">
        <v>0</v>
      </c>
      <c r="N521" s="194">
        <v>0</v>
      </c>
      <c r="O521" s="193">
        <f t="shared" si="117"/>
        <v>0</v>
      </c>
      <c r="P521" s="194">
        <v>0</v>
      </c>
      <c r="Q521" s="194">
        <v>0</v>
      </c>
      <c r="R521" s="194">
        <v>0</v>
      </c>
      <c r="S521" s="193">
        <f t="shared" si="118"/>
        <v>0</v>
      </c>
      <c r="T521" s="193">
        <f t="shared" si="119"/>
        <v>0</v>
      </c>
      <c r="U521" s="193">
        <f ca="1">OFFSET('Expenditure Study'!$B$7,'Operations Support'!$C521,'Operations Support'!$B521)*$G521</f>
        <v>0</v>
      </c>
      <c r="V521" s="199">
        <f ca="1">U521*'Expenditure Study'!$B$31</f>
        <v>0</v>
      </c>
      <c r="W521" s="199">
        <f ca="1">IF(A521=10298,1.51,1)*IF($B521&lt;3,$D521*'Expenditure Study'!$B$32*OFFSET('Expenditure Study'!$B$7,'Operations Support'!$C521,'Operations Support'!$B521),0)</f>
        <v>0</v>
      </c>
      <c r="X521" s="200">
        <f ca="1">W521*'Expenditure Study'!$B$31</f>
        <v>0</v>
      </c>
      <c r="Y521" s="199">
        <f ca="1">U521*'Expenditure Study'!$B$31</f>
        <v>0</v>
      </c>
      <c r="Z521" s="200">
        <f ca="1">W521*'Expenditure Study'!$B$31</f>
        <v>0</v>
      </c>
      <c r="AA521" s="195">
        <f t="shared" ca="1" si="120"/>
        <v>0</v>
      </c>
      <c r="AB521" s="195">
        <f t="shared" ca="1" si="121"/>
        <v>0</v>
      </c>
      <c r="AD521" s="196">
        <f>IFERROR($G521/SUMIF($A:$A,$A521,$G:$G)*SUMIF(Summary!$A$166:$A$242,$A521,Summary!$P$166:$P$242),0)</f>
        <v>0</v>
      </c>
      <c r="AE521" s="197">
        <f t="shared" ca="1" si="122"/>
        <v>0</v>
      </c>
      <c r="AF521" s="196">
        <f>IFERROR(G521/SUMIF(A:A,A521,G:G)*SUMIF(Summary!$A$166:$A$242,'Operations Support'!A521,Summary!$Q$166:$Q$242),0)</f>
        <v>0</v>
      </c>
      <c r="AG521" s="196">
        <f t="shared" ca="1" si="123"/>
        <v>0</v>
      </c>
      <c r="AI521" s="196">
        <f>IFERROR($G521/SUMIF($A:$A,$A521,$G:$G)*SUMIF(Summary!$A$247:$A$283,$A521,Summary!$P$247:$P$283),0)</f>
        <v>0</v>
      </c>
      <c r="AJ521" s="196">
        <f>IFERROR($G521/SUMIF($A:$A,$A521,$G:$G)*(SUMIF(Summary!$A$247:$A$283,$A521,Summary!$L$247:$L$283)+SUMIF(Summary!$A$297:$A$333,$A521,Summary!$L$297:$L$333))-AI521,0)</f>
        <v>0</v>
      </c>
      <c r="AK521" s="196">
        <f>IFERROR($G521/SUMIF($A:$A,$A521,$G:$G)*SUMIF(Summary!$A$247:$A$283,$A521,Summary!$Q$247:$Q$283),0)</f>
        <v>0</v>
      </c>
      <c r="AL521" s="196">
        <f>IFERROR($G521/SUMIF($A:$A,$A521,$G:$G)*(SUMIF(Summary!$A$247:$A$283,$A521,Summary!$L$247:$L$283)+SUMIF(Summary!$A$297:$A$333,$A521,Summary!$L$297:$L$333))-AK521,0)</f>
        <v>0</v>
      </c>
      <c r="AM521" s="198"/>
      <c r="AN521" s="196">
        <f t="shared" ca="1" si="124"/>
        <v>0</v>
      </c>
      <c r="AO521" s="196">
        <f t="shared" ca="1" si="125"/>
        <v>0</v>
      </c>
    </row>
    <row r="522" spans="1:41">
      <c r="A522" s="189">
        <v>3592</v>
      </c>
      <c r="B522" s="190">
        <v>5</v>
      </c>
      <c r="C522" s="191" t="s">
        <v>233</v>
      </c>
      <c r="D522" s="192">
        <f t="shared" si="112"/>
        <v>0</v>
      </c>
      <c r="E522" s="192">
        <f t="shared" si="113"/>
        <v>0</v>
      </c>
      <c r="F522" s="192">
        <f t="shared" si="114"/>
        <v>0</v>
      </c>
      <c r="G522" s="193">
        <f t="shared" si="115"/>
        <v>0</v>
      </c>
      <c r="H522" s="194">
        <v>0</v>
      </c>
      <c r="I522" s="194">
        <v>0</v>
      </c>
      <c r="J522" s="194">
        <v>0</v>
      </c>
      <c r="K522" s="193">
        <f t="shared" si="116"/>
        <v>0</v>
      </c>
      <c r="L522" s="194">
        <v>0</v>
      </c>
      <c r="M522" s="194">
        <v>0</v>
      </c>
      <c r="N522" s="194">
        <v>0</v>
      </c>
      <c r="O522" s="193">
        <f t="shared" si="117"/>
        <v>0</v>
      </c>
      <c r="P522" s="194">
        <v>0</v>
      </c>
      <c r="Q522" s="194">
        <v>0</v>
      </c>
      <c r="R522" s="194">
        <v>0</v>
      </c>
      <c r="S522" s="193">
        <f t="shared" si="118"/>
        <v>0</v>
      </c>
      <c r="T522" s="193">
        <f t="shared" si="119"/>
        <v>0</v>
      </c>
      <c r="U522" s="193">
        <f ca="1">OFFSET('Expenditure Study'!$B$7,'Operations Support'!$C522,'Operations Support'!$B522)*$G522</f>
        <v>0</v>
      </c>
      <c r="V522" s="199">
        <f ca="1">U522*'Expenditure Study'!$B$31</f>
        <v>0</v>
      </c>
      <c r="W522" s="199">
        <f ca="1">IF(A522=10298,1.51,1)*IF($B522&lt;3,$D522*'Expenditure Study'!$B$32*OFFSET('Expenditure Study'!$B$7,'Operations Support'!$C522,'Operations Support'!$B522),0)</f>
        <v>0</v>
      </c>
      <c r="X522" s="200">
        <f ca="1">W522*'Expenditure Study'!$B$31</f>
        <v>0</v>
      </c>
      <c r="Y522" s="199">
        <f ca="1">U522*'Expenditure Study'!$B$31</f>
        <v>0</v>
      </c>
      <c r="Z522" s="200">
        <f ca="1">W522*'Expenditure Study'!$B$31</f>
        <v>0</v>
      </c>
      <c r="AA522" s="195">
        <f t="shared" ca="1" si="120"/>
        <v>0</v>
      </c>
      <c r="AB522" s="195">
        <f t="shared" ca="1" si="121"/>
        <v>0</v>
      </c>
      <c r="AD522" s="196">
        <f>IFERROR($G522/SUMIF($A:$A,$A522,$G:$G)*SUMIF(Summary!$A$166:$A$242,$A522,Summary!$P$166:$P$242),0)</f>
        <v>0</v>
      </c>
      <c r="AE522" s="197">
        <f t="shared" ca="1" si="122"/>
        <v>0</v>
      </c>
      <c r="AF522" s="196">
        <f>IFERROR(G522/SUMIF(A:A,A522,G:G)*SUMIF(Summary!$A$166:$A$242,'Operations Support'!A522,Summary!$Q$166:$Q$242),0)</f>
        <v>0</v>
      </c>
      <c r="AG522" s="196">
        <f t="shared" ca="1" si="123"/>
        <v>0</v>
      </c>
      <c r="AI522" s="196">
        <f>IFERROR($G522/SUMIF($A:$A,$A522,$G:$G)*SUMIF(Summary!$A$247:$A$283,$A522,Summary!$P$247:$P$283),0)</f>
        <v>0</v>
      </c>
      <c r="AJ522" s="196">
        <f>IFERROR($G522/SUMIF($A:$A,$A522,$G:$G)*(SUMIF(Summary!$A$247:$A$283,$A522,Summary!$L$247:$L$283)+SUMIF(Summary!$A$297:$A$333,$A522,Summary!$L$297:$L$333))-AI522,0)</f>
        <v>0</v>
      </c>
      <c r="AK522" s="196">
        <f>IFERROR($G522/SUMIF($A:$A,$A522,$G:$G)*SUMIF(Summary!$A$247:$A$283,$A522,Summary!$Q$247:$Q$283),0)</f>
        <v>0</v>
      </c>
      <c r="AL522" s="196">
        <f>IFERROR($G522/SUMIF($A:$A,$A522,$G:$G)*(SUMIF(Summary!$A$247:$A$283,$A522,Summary!$L$247:$L$283)+SUMIF(Summary!$A$297:$A$333,$A522,Summary!$L$297:$L$333))-AK522,0)</f>
        <v>0</v>
      </c>
      <c r="AM522" s="198"/>
      <c r="AN522" s="196">
        <f t="shared" ca="1" si="124"/>
        <v>0</v>
      </c>
      <c r="AO522" s="196">
        <f t="shared" ca="1" si="125"/>
        <v>0</v>
      </c>
    </row>
    <row r="523" spans="1:41">
      <c r="A523" s="189">
        <v>3592</v>
      </c>
      <c r="B523" s="190">
        <v>5</v>
      </c>
      <c r="C523" s="191" t="s">
        <v>234</v>
      </c>
      <c r="D523" s="192">
        <f t="shared" si="112"/>
        <v>0</v>
      </c>
      <c r="E523" s="192">
        <f t="shared" si="113"/>
        <v>0</v>
      </c>
      <c r="F523" s="192">
        <f t="shared" si="114"/>
        <v>0</v>
      </c>
      <c r="G523" s="193">
        <f t="shared" si="115"/>
        <v>0</v>
      </c>
      <c r="H523" s="194">
        <v>0</v>
      </c>
      <c r="I523" s="194">
        <v>0</v>
      </c>
      <c r="J523" s="194">
        <v>0</v>
      </c>
      <c r="K523" s="193">
        <f t="shared" si="116"/>
        <v>0</v>
      </c>
      <c r="L523" s="194">
        <v>0</v>
      </c>
      <c r="M523" s="194">
        <v>0</v>
      </c>
      <c r="N523" s="194">
        <v>0</v>
      </c>
      <c r="O523" s="193">
        <f t="shared" si="117"/>
        <v>0</v>
      </c>
      <c r="P523" s="194">
        <v>0</v>
      </c>
      <c r="Q523" s="194">
        <v>0</v>
      </c>
      <c r="R523" s="194">
        <v>0</v>
      </c>
      <c r="S523" s="193">
        <f t="shared" si="118"/>
        <v>0</v>
      </c>
      <c r="T523" s="193">
        <f t="shared" si="119"/>
        <v>0</v>
      </c>
      <c r="U523" s="193">
        <f ca="1">OFFSET('Expenditure Study'!$B$7,'Operations Support'!$C523,'Operations Support'!$B523)*$G523</f>
        <v>0</v>
      </c>
      <c r="V523" s="199">
        <f ca="1">U523*'Expenditure Study'!$B$31</f>
        <v>0</v>
      </c>
      <c r="W523" s="199">
        <f ca="1">IF(A523=10298,1.51,1)*IF($B523&lt;3,$D523*'Expenditure Study'!$B$32*OFFSET('Expenditure Study'!$B$7,'Operations Support'!$C523,'Operations Support'!$B523),0)</f>
        <v>0</v>
      </c>
      <c r="X523" s="200">
        <f ca="1">W523*'Expenditure Study'!$B$31</f>
        <v>0</v>
      </c>
      <c r="Y523" s="199">
        <f ca="1">U523*'Expenditure Study'!$B$31</f>
        <v>0</v>
      </c>
      <c r="Z523" s="200">
        <f ca="1">W523*'Expenditure Study'!$B$31</f>
        <v>0</v>
      </c>
      <c r="AA523" s="195">
        <f t="shared" ca="1" si="120"/>
        <v>0</v>
      </c>
      <c r="AB523" s="195">
        <f t="shared" ca="1" si="121"/>
        <v>0</v>
      </c>
      <c r="AD523" s="196">
        <f>IFERROR($G523/SUMIF($A:$A,$A523,$G:$G)*SUMIF(Summary!$A$166:$A$242,$A523,Summary!$P$166:$P$242),0)</f>
        <v>0</v>
      </c>
      <c r="AE523" s="197">
        <f t="shared" ca="1" si="122"/>
        <v>0</v>
      </c>
      <c r="AF523" s="196">
        <f>IFERROR(G523/SUMIF(A:A,A523,G:G)*SUMIF(Summary!$A$166:$A$242,'Operations Support'!A523,Summary!$Q$166:$Q$242),0)</f>
        <v>0</v>
      </c>
      <c r="AG523" s="196">
        <f t="shared" ca="1" si="123"/>
        <v>0</v>
      </c>
      <c r="AI523" s="196">
        <f>IFERROR($G523/SUMIF($A:$A,$A523,$G:$G)*SUMIF(Summary!$A$247:$A$283,$A523,Summary!$P$247:$P$283),0)</f>
        <v>0</v>
      </c>
      <c r="AJ523" s="196">
        <f>IFERROR($G523/SUMIF($A:$A,$A523,$G:$G)*(SUMIF(Summary!$A$247:$A$283,$A523,Summary!$L$247:$L$283)+SUMIF(Summary!$A$297:$A$333,$A523,Summary!$L$297:$L$333))-AI523,0)</f>
        <v>0</v>
      </c>
      <c r="AK523" s="196">
        <f>IFERROR($G523/SUMIF($A:$A,$A523,$G:$G)*SUMIF(Summary!$A$247:$A$283,$A523,Summary!$Q$247:$Q$283),0)</f>
        <v>0</v>
      </c>
      <c r="AL523" s="196">
        <f>IFERROR($G523/SUMIF($A:$A,$A523,$G:$G)*(SUMIF(Summary!$A$247:$A$283,$A523,Summary!$L$247:$L$283)+SUMIF(Summary!$A$297:$A$333,$A523,Summary!$L$297:$L$333))-AK523,0)</f>
        <v>0</v>
      </c>
      <c r="AM523" s="198"/>
      <c r="AN523" s="196">
        <f t="shared" ca="1" si="124"/>
        <v>0</v>
      </c>
      <c r="AO523" s="196">
        <f t="shared" ca="1" si="125"/>
        <v>0</v>
      </c>
    </row>
    <row r="524" spans="1:41">
      <c r="A524" s="189">
        <v>3592</v>
      </c>
      <c r="B524" s="190">
        <v>5</v>
      </c>
      <c r="C524" s="191" t="s">
        <v>235</v>
      </c>
      <c r="D524" s="192">
        <f t="shared" si="112"/>
        <v>0</v>
      </c>
      <c r="E524" s="192">
        <f t="shared" si="113"/>
        <v>0</v>
      </c>
      <c r="F524" s="192">
        <f t="shared" si="114"/>
        <v>0</v>
      </c>
      <c r="G524" s="193">
        <f t="shared" si="115"/>
        <v>0</v>
      </c>
      <c r="H524" s="194">
        <v>0</v>
      </c>
      <c r="I524" s="194">
        <v>0</v>
      </c>
      <c r="J524" s="194">
        <v>0</v>
      </c>
      <c r="K524" s="193">
        <f t="shared" si="116"/>
        <v>0</v>
      </c>
      <c r="L524" s="194">
        <v>0</v>
      </c>
      <c r="M524" s="194">
        <v>0</v>
      </c>
      <c r="N524" s="194">
        <v>0</v>
      </c>
      <c r="O524" s="193">
        <f t="shared" si="117"/>
        <v>0</v>
      </c>
      <c r="P524" s="194">
        <v>0</v>
      </c>
      <c r="Q524" s="194">
        <v>0</v>
      </c>
      <c r="R524" s="194">
        <v>0</v>
      </c>
      <c r="S524" s="193">
        <f t="shared" si="118"/>
        <v>0</v>
      </c>
      <c r="T524" s="193">
        <f t="shared" si="119"/>
        <v>0</v>
      </c>
      <c r="U524" s="193">
        <f ca="1">OFFSET('Expenditure Study'!$B$7,'Operations Support'!$C524,'Operations Support'!$B524)*$G524</f>
        <v>0</v>
      </c>
      <c r="V524" s="199">
        <f ca="1">U524*'Expenditure Study'!$B$31</f>
        <v>0</v>
      </c>
      <c r="W524" s="199">
        <f ca="1">IF(A524=10298,1.51,1)*IF($B524&lt;3,$D524*'Expenditure Study'!$B$32*OFFSET('Expenditure Study'!$B$7,'Operations Support'!$C524,'Operations Support'!$B524),0)</f>
        <v>0</v>
      </c>
      <c r="X524" s="200">
        <f ca="1">W524*'Expenditure Study'!$B$31</f>
        <v>0</v>
      </c>
      <c r="Y524" s="199">
        <f ca="1">U524*'Expenditure Study'!$B$31</f>
        <v>0</v>
      </c>
      <c r="Z524" s="200">
        <f ca="1">W524*'Expenditure Study'!$B$31</f>
        <v>0</v>
      </c>
      <c r="AA524" s="195">
        <f t="shared" ca="1" si="120"/>
        <v>0</v>
      </c>
      <c r="AB524" s="195">
        <f t="shared" ca="1" si="121"/>
        <v>0</v>
      </c>
      <c r="AD524" s="196">
        <f>IFERROR($G524/SUMIF($A:$A,$A524,$G:$G)*SUMIF(Summary!$A$166:$A$242,$A524,Summary!$P$166:$P$242),0)</f>
        <v>0</v>
      </c>
      <c r="AE524" s="197">
        <f t="shared" ca="1" si="122"/>
        <v>0</v>
      </c>
      <c r="AF524" s="196">
        <f>IFERROR(G524/SUMIF(A:A,A524,G:G)*SUMIF(Summary!$A$166:$A$242,'Operations Support'!A524,Summary!$Q$166:$Q$242),0)</f>
        <v>0</v>
      </c>
      <c r="AG524" s="196">
        <f t="shared" ca="1" si="123"/>
        <v>0</v>
      </c>
      <c r="AI524" s="196">
        <f>IFERROR($G524/SUMIF($A:$A,$A524,$G:$G)*SUMIF(Summary!$A$247:$A$283,$A524,Summary!$P$247:$P$283),0)</f>
        <v>0</v>
      </c>
      <c r="AJ524" s="196">
        <f>IFERROR($G524/SUMIF($A:$A,$A524,$G:$G)*(SUMIF(Summary!$A$247:$A$283,$A524,Summary!$L$247:$L$283)+SUMIF(Summary!$A$297:$A$333,$A524,Summary!$L$297:$L$333))-AI524,0)</f>
        <v>0</v>
      </c>
      <c r="AK524" s="196">
        <f>IFERROR($G524/SUMIF($A:$A,$A524,$G:$G)*SUMIF(Summary!$A$247:$A$283,$A524,Summary!$Q$247:$Q$283),0)</f>
        <v>0</v>
      </c>
      <c r="AL524" s="196">
        <f>IFERROR($G524/SUMIF($A:$A,$A524,$G:$G)*(SUMIF(Summary!$A$247:$A$283,$A524,Summary!$L$247:$L$283)+SUMIF(Summary!$A$297:$A$333,$A524,Summary!$L$297:$L$333))-AK524,0)</f>
        <v>0</v>
      </c>
      <c r="AM524" s="198"/>
      <c r="AN524" s="196">
        <f t="shared" ca="1" si="124"/>
        <v>0</v>
      </c>
      <c r="AO524" s="196">
        <f t="shared" ca="1" si="125"/>
        <v>0</v>
      </c>
    </row>
    <row r="525" spans="1:41">
      <c r="A525" s="189">
        <v>3592</v>
      </c>
      <c r="B525" s="190">
        <v>5</v>
      </c>
      <c r="C525" s="191" t="s">
        <v>236</v>
      </c>
      <c r="D525" s="192">
        <f t="shared" si="112"/>
        <v>0</v>
      </c>
      <c r="E525" s="192">
        <f t="shared" si="113"/>
        <v>0</v>
      </c>
      <c r="F525" s="192">
        <f t="shared" si="114"/>
        <v>0</v>
      </c>
      <c r="G525" s="193">
        <f t="shared" si="115"/>
        <v>0</v>
      </c>
      <c r="H525" s="194">
        <v>0</v>
      </c>
      <c r="I525" s="194">
        <v>0</v>
      </c>
      <c r="J525" s="194">
        <v>0</v>
      </c>
      <c r="K525" s="193">
        <f t="shared" si="116"/>
        <v>0</v>
      </c>
      <c r="L525" s="194">
        <v>0</v>
      </c>
      <c r="M525" s="194">
        <v>0</v>
      </c>
      <c r="N525" s="194">
        <v>0</v>
      </c>
      <c r="O525" s="193">
        <f t="shared" si="117"/>
        <v>0</v>
      </c>
      <c r="P525" s="194">
        <v>0</v>
      </c>
      <c r="Q525" s="194">
        <v>0</v>
      </c>
      <c r="R525" s="194">
        <v>0</v>
      </c>
      <c r="S525" s="193">
        <f t="shared" si="118"/>
        <v>0</v>
      </c>
      <c r="T525" s="193">
        <f t="shared" si="119"/>
        <v>0</v>
      </c>
      <c r="U525" s="193">
        <f ca="1">OFFSET('Expenditure Study'!$B$7,'Operations Support'!$C525,'Operations Support'!$B525)*$G525</f>
        <v>0</v>
      </c>
      <c r="V525" s="199">
        <f ca="1">U525*'Expenditure Study'!$B$31</f>
        <v>0</v>
      </c>
      <c r="W525" s="199">
        <f ca="1">IF(A525=10298,1.51,1)*IF($B525&lt;3,$D525*'Expenditure Study'!$B$32*OFFSET('Expenditure Study'!$B$7,'Operations Support'!$C525,'Operations Support'!$B525),0)</f>
        <v>0</v>
      </c>
      <c r="X525" s="200">
        <f ca="1">W525*'Expenditure Study'!$B$31</f>
        <v>0</v>
      </c>
      <c r="Y525" s="199">
        <f ca="1">U525*'Expenditure Study'!$B$31</f>
        <v>0</v>
      </c>
      <c r="Z525" s="200">
        <f ca="1">W525*'Expenditure Study'!$B$31</f>
        <v>0</v>
      </c>
      <c r="AA525" s="195">
        <f t="shared" ca="1" si="120"/>
        <v>0</v>
      </c>
      <c r="AB525" s="195">
        <f t="shared" ca="1" si="121"/>
        <v>0</v>
      </c>
      <c r="AD525" s="196">
        <f>IFERROR($G525/SUMIF($A:$A,$A525,$G:$G)*SUMIF(Summary!$A$166:$A$242,$A525,Summary!$P$166:$P$242),0)</f>
        <v>0</v>
      </c>
      <c r="AE525" s="197">
        <f t="shared" ca="1" si="122"/>
        <v>0</v>
      </c>
      <c r="AF525" s="196">
        <f>IFERROR(G525/SUMIF(A:A,A525,G:G)*SUMIF(Summary!$A$166:$A$242,'Operations Support'!A525,Summary!$Q$166:$Q$242),0)</f>
        <v>0</v>
      </c>
      <c r="AG525" s="196">
        <f t="shared" ca="1" si="123"/>
        <v>0</v>
      </c>
      <c r="AI525" s="196">
        <f>IFERROR($G525/SUMIF($A:$A,$A525,$G:$G)*SUMIF(Summary!$A$247:$A$283,$A525,Summary!$P$247:$P$283),0)</f>
        <v>0</v>
      </c>
      <c r="AJ525" s="196">
        <f>IFERROR($G525/SUMIF($A:$A,$A525,$G:$G)*(SUMIF(Summary!$A$247:$A$283,$A525,Summary!$L$247:$L$283)+SUMIF(Summary!$A$297:$A$333,$A525,Summary!$L$297:$L$333))-AI525,0)</f>
        <v>0</v>
      </c>
      <c r="AK525" s="196">
        <f>IFERROR($G525/SUMIF($A:$A,$A525,$G:$G)*SUMIF(Summary!$A$247:$A$283,$A525,Summary!$Q$247:$Q$283),0)</f>
        <v>0</v>
      </c>
      <c r="AL525" s="196">
        <f>IFERROR($G525/SUMIF($A:$A,$A525,$G:$G)*(SUMIF(Summary!$A$247:$A$283,$A525,Summary!$L$247:$L$283)+SUMIF(Summary!$A$297:$A$333,$A525,Summary!$L$297:$L$333))-AK525,0)</f>
        <v>0</v>
      </c>
      <c r="AM525" s="198"/>
      <c r="AN525" s="196">
        <f t="shared" ca="1" si="124"/>
        <v>0</v>
      </c>
      <c r="AO525" s="196">
        <f t="shared" ca="1" si="125"/>
        <v>0</v>
      </c>
    </row>
    <row r="526" spans="1:41">
      <c r="A526" s="189">
        <v>3592</v>
      </c>
      <c r="B526" s="190">
        <v>5</v>
      </c>
      <c r="C526" s="191" t="s">
        <v>237</v>
      </c>
      <c r="D526" s="192">
        <f t="shared" si="112"/>
        <v>0</v>
      </c>
      <c r="E526" s="192">
        <f t="shared" si="113"/>
        <v>0</v>
      </c>
      <c r="F526" s="192">
        <f t="shared" si="114"/>
        <v>0</v>
      </c>
      <c r="G526" s="193">
        <f t="shared" si="115"/>
        <v>0</v>
      </c>
      <c r="H526" s="194">
        <v>0</v>
      </c>
      <c r="I526" s="194">
        <v>0</v>
      </c>
      <c r="J526" s="194">
        <v>0</v>
      </c>
      <c r="K526" s="193">
        <f t="shared" si="116"/>
        <v>0</v>
      </c>
      <c r="L526" s="194">
        <v>0</v>
      </c>
      <c r="M526" s="194">
        <v>0</v>
      </c>
      <c r="N526" s="194">
        <v>0</v>
      </c>
      <c r="O526" s="193">
        <f t="shared" si="117"/>
        <v>0</v>
      </c>
      <c r="P526" s="194">
        <v>0</v>
      </c>
      <c r="Q526" s="194">
        <v>0</v>
      </c>
      <c r="R526" s="194">
        <v>0</v>
      </c>
      <c r="S526" s="193">
        <f t="shared" si="118"/>
        <v>0</v>
      </c>
      <c r="T526" s="193">
        <f t="shared" si="119"/>
        <v>0</v>
      </c>
      <c r="U526" s="193">
        <f ca="1">OFFSET('Expenditure Study'!$B$7,'Operations Support'!$C526,'Operations Support'!$B526)*$G526</f>
        <v>0</v>
      </c>
      <c r="V526" s="199">
        <f ca="1">U526*'Expenditure Study'!$B$31</f>
        <v>0</v>
      </c>
      <c r="W526" s="199">
        <f ca="1">IF(A526=10298,1.51,1)*IF($B526&lt;3,$D526*'Expenditure Study'!$B$32*OFFSET('Expenditure Study'!$B$7,'Operations Support'!$C526,'Operations Support'!$B526),0)</f>
        <v>0</v>
      </c>
      <c r="X526" s="200">
        <f ca="1">W526*'Expenditure Study'!$B$31</f>
        <v>0</v>
      </c>
      <c r="Y526" s="199">
        <f ca="1">U526*'Expenditure Study'!$B$31</f>
        <v>0</v>
      </c>
      <c r="Z526" s="200">
        <f ca="1">W526*'Expenditure Study'!$B$31</f>
        <v>0</v>
      </c>
      <c r="AA526" s="195">
        <f t="shared" ca="1" si="120"/>
        <v>0</v>
      </c>
      <c r="AB526" s="195">
        <f t="shared" ca="1" si="121"/>
        <v>0</v>
      </c>
      <c r="AD526" s="196">
        <f>IFERROR($G526/SUMIF($A:$A,$A526,$G:$G)*SUMIF(Summary!$A$166:$A$242,$A526,Summary!$P$166:$P$242),0)</f>
        <v>0</v>
      </c>
      <c r="AE526" s="197">
        <f t="shared" ca="1" si="122"/>
        <v>0</v>
      </c>
      <c r="AF526" s="196">
        <f>IFERROR(G526/SUMIF(A:A,A526,G:G)*SUMIF(Summary!$A$166:$A$242,'Operations Support'!A526,Summary!$Q$166:$Q$242),0)</f>
        <v>0</v>
      </c>
      <c r="AG526" s="196">
        <f t="shared" ca="1" si="123"/>
        <v>0</v>
      </c>
      <c r="AI526" s="196">
        <f>IFERROR($G526/SUMIF($A:$A,$A526,$G:$G)*SUMIF(Summary!$A$247:$A$283,$A526,Summary!$P$247:$P$283),0)</f>
        <v>0</v>
      </c>
      <c r="AJ526" s="196">
        <f>IFERROR($G526/SUMIF($A:$A,$A526,$G:$G)*(SUMIF(Summary!$A$247:$A$283,$A526,Summary!$L$247:$L$283)+SUMIF(Summary!$A$297:$A$333,$A526,Summary!$L$297:$L$333))-AI526,0)</f>
        <v>0</v>
      </c>
      <c r="AK526" s="196">
        <f>IFERROR($G526/SUMIF($A:$A,$A526,$G:$G)*SUMIF(Summary!$A$247:$A$283,$A526,Summary!$Q$247:$Q$283),0)</f>
        <v>0</v>
      </c>
      <c r="AL526" s="196">
        <f>IFERROR($G526/SUMIF($A:$A,$A526,$G:$G)*(SUMIF(Summary!$A$247:$A$283,$A526,Summary!$L$247:$L$283)+SUMIF(Summary!$A$297:$A$333,$A526,Summary!$L$297:$L$333))-AK526,0)</f>
        <v>0</v>
      </c>
      <c r="AM526" s="198"/>
      <c r="AN526" s="196">
        <f t="shared" ca="1" si="124"/>
        <v>0</v>
      </c>
      <c r="AO526" s="196">
        <f t="shared" ca="1" si="125"/>
        <v>0</v>
      </c>
    </row>
    <row r="527" spans="1:41">
      <c r="A527" s="189">
        <v>3592</v>
      </c>
      <c r="B527" s="190">
        <v>5</v>
      </c>
      <c r="C527" s="191" t="s">
        <v>238</v>
      </c>
      <c r="D527" s="192">
        <f t="shared" si="112"/>
        <v>0</v>
      </c>
      <c r="E527" s="192">
        <f t="shared" si="113"/>
        <v>0</v>
      </c>
      <c r="F527" s="192">
        <f t="shared" si="114"/>
        <v>0</v>
      </c>
      <c r="G527" s="193">
        <f t="shared" si="115"/>
        <v>0</v>
      </c>
      <c r="H527" s="194">
        <v>0</v>
      </c>
      <c r="I527" s="194">
        <v>0</v>
      </c>
      <c r="J527" s="194">
        <v>0</v>
      </c>
      <c r="K527" s="193">
        <f t="shared" si="116"/>
        <v>0</v>
      </c>
      <c r="L527" s="194">
        <v>0</v>
      </c>
      <c r="M527" s="194">
        <v>0</v>
      </c>
      <c r="N527" s="194">
        <v>0</v>
      </c>
      <c r="O527" s="193">
        <f t="shared" si="117"/>
        <v>0</v>
      </c>
      <c r="P527" s="194">
        <v>0</v>
      </c>
      <c r="Q527" s="194">
        <v>0</v>
      </c>
      <c r="R527" s="194">
        <v>0</v>
      </c>
      <c r="S527" s="193">
        <f t="shared" si="118"/>
        <v>0</v>
      </c>
      <c r="T527" s="193">
        <f t="shared" si="119"/>
        <v>0</v>
      </c>
      <c r="U527" s="193">
        <f ca="1">OFFSET('Expenditure Study'!$B$7,'Operations Support'!$C527,'Operations Support'!$B527)*$G527</f>
        <v>0</v>
      </c>
      <c r="V527" s="199">
        <f ca="1">U527*'Expenditure Study'!$B$31</f>
        <v>0</v>
      </c>
      <c r="W527" s="199">
        <f ca="1">IF(A527=10298,1.51,1)*IF($B527&lt;3,$D527*'Expenditure Study'!$B$32*OFFSET('Expenditure Study'!$B$7,'Operations Support'!$C527,'Operations Support'!$B527),0)</f>
        <v>0</v>
      </c>
      <c r="X527" s="200">
        <f ca="1">W527*'Expenditure Study'!$B$31</f>
        <v>0</v>
      </c>
      <c r="Y527" s="199">
        <f ca="1">U527*'Expenditure Study'!$B$31</f>
        <v>0</v>
      </c>
      <c r="Z527" s="200">
        <f ca="1">W527*'Expenditure Study'!$B$31</f>
        <v>0</v>
      </c>
      <c r="AA527" s="195">
        <f t="shared" ca="1" si="120"/>
        <v>0</v>
      </c>
      <c r="AB527" s="195">
        <f t="shared" ca="1" si="121"/>
        <v>0</v>
      </c>
      <c r="AD527" s="196">
        <f>IFERROR($G527/SUMIF($A:$A,$A527,$G:$G)*SUMIF(Summary!$A$166:$A$242,$A527,Summary!$P$166:$P$242),0)</f>
        <v>0</v>
      </c>
      <c r="AE527" s="197">
        <f t="shared" ca="1" si="122"/>
        <v>0</v>
      </c>
      <c r="AF527" s="196">
        <f>IFERROR(G527/SUMIF(A:A,A527,G:G)*SUMIF(Summary!$A$166:$A$242,'Operations Support'!A527,Summary!$Q$166:$Q$242),0)</f>
        <v>0</v>
      </c>
      <c r="AG527" s="196">
        <f t="shared" ca="1" si="123"/>
        <v>0</v>
      </c>
      <c r="AI527" s="196">
        <f>IFERROR($G527/SUMIF($A:$A,$A527,$G:$G)*SUMIF(Summary!$A$247:$A$283,$A527,Summary!$P$247:$P$283),0)</f>
        <v>0</v>
      </c>
      <c r="AJ527" s="196">
        <f>IFERROR($G527/SUMIF($A:$A,$A527,$G:$G)*(SUMIF(Summary!$A$247:$A$283,$A527,Summary!$L$247:$L$283)+SUMIF(Summary!$A$297:$A$333,$A527,Summary!$L$297:$L$333))-AI527,0)</f>
        <v>0</v>
      </c>
      <c r="AK527" s="196">
        <f>IFERROR($G527/SUMIF($A:$A,$A527,$G:$G)*SUMIF(Summary!$A$247:$A$283,$A527,Summary!$Q$247:$Q$283),0)</f>
        <v>0</v>
      </c>
      <c r="AL527" s="196">
        <f>IFERROR($G527/SUMIF($A:$A,$A527,$G:$G)*(SUMIF(Summary!$A$247:$A$283,$A527,Summary!$L$247:$L$283)+SUMIF(Summary!$A$297:$A$333,$A527,Summary!$L$297:$L$333))-AK527,0)</f>
        <v>0</v>
      </c>
      <c r="AM527" s="198"/>
      <c r="AN527" s="196">
        <f t="shared" ca="1" si="124"/>
        <v>0</v>
      </c>
      <c r="AO527" s="196">
        <f t="shared" ca="1" si="125"/>
        <v>0</v>
      </c>
    </row>
    <row r="528" spans="1:41">
      <c r="A528" s="189">
        <v>3592</v>
      </c>
      <c r="B528" s="190">
        <v>5</v>
      </c>
      <c r="C528" s="191" t="s">
        <v>239</v>
      </c>
      <c r="D528" s="192">
        <f t="shared" si="112"/>
        <v>0</v>
      </c>
      <c r="E528" s="192">
        <f t="shared" si="113"/>
        <v>0</v>
      </c>
      <c r="F528" s="192">
        <f t="shared" si="114"/>
        <v>0</v>
      </c>
      <c r="G528" s="193">
        <f t="shared" si="115"/>
        <v>0</v>
      </c>
      <c r="H528" s="194">
        <v>0</v>
      </c>
      <c r="I528" s="194">
        <v>0</v>
      </c>
      <c r="J528" s="194">
        <v>0</v>
      </c>
      <c r="K528" s="193">
        <f t="shared" si="116"/>
        <v>0</v>
      </c>
      <c r="L528" s="194">
        <v>0</v>
      </c>
      <c r="M528" s="194">
        <v>0</v>
      </c>
      <c r="N528" s="194">
        <v>0</v>
      </c>
      <c r="O528" s="193">
        <f t="shared" si="117"/>
        <v>0</v>
      </c>
      <c r="P528" s="194">
        <v>0</v>
      </c>
      <c r="Q528" s="194">
        <v>0</v>
      </c>
      <c r="R528" s="194">
        <v>0</v>
      </c>
      <c r="S528" s="193">
        <f t="shared" si="118"/>
        <v>0</v>
      </c>
      <c r="T528" s="193">
        <f t="shared" si="119"/>
        <v>0</v>
      </c>
      <c r="U528" s="193">
        <f ca="1">OFFSET('Expenditure Study'!$B$7,'Operations Support'!$C528,'Operations Support'!$B528)*$G528</f>
        <v>0</v>
      </c>
      <c r="V528" s="199">
        <f ca="1">U528*'Expenditure Study'!$B$31</f>
        <v>0</v>
      </c>
      <c r="W528" s="199">
        <f ca="1">IF(A528=10298,1.51,1)*IF($B528&lt;3,$D528*'Expenditure Study'!$B$32*OFFSET('Expenditure Study'!$B$7,'Operations Support'!$C528,'Operations Support'!$B528),0)</f>
        <v>0</v>
      </c>
      <c r="X528" s="200">
        <f ca="1">W528*'Expenditure Study'!$B$31</f>
        <v>0</v>
      </c>
      <c r="Y528" s="199">
        <f ca="1">U528*'Expenditure Study'!$B$31</f>
        <v>0</v>
      </c>
      <c r="Z528" s="200">
        <f ca="1">W528*'Expenditure Study'!$B$31</f>
        <v>0</v>
      </c>
      <c r="AA528" s="195">
        <f t="shared" ca="1" si="120"/>
        <v>0</v>
      </c>
      <c r="AB528" s="195">
        <f t="shared" ca="1" si="121"/>
        <v>0</v>
      </c>
      <c r="AD528" s="196">
        <f>IFERROR($G528/SUMIF($A:$A,$A528,$G:$G)*SUMIF(Summary!$A$166:$A$242,$A528,Summary!$P$166:$P$242),0)</f>
        <v>0</v>
      </c>
      <c r="AE528" s="197">
        <f t="shared" ca="1" si="122"/>
        <v>0</v>
      </c>
      <c r="AF528" s="196">
        <f>IFERROR(G528/SUMIF(A:A,A528,G:G)*SUMIF(Summary!$A$166:$A$242,'Operations Support'!A528,Summary!$Q$166:$Q$242),0)</f>
        <v>0</v>
      </c>
      <c r="AG528" s="196">
        <f t="shared" ca="1" si="123"/>
        <v>0</v>
      </c>
      <c r="AI528" s="196">
        <f>IFERROR($G528/SUMIF($A:$A,$A528,$G:$G)*SUMIF(Summary!$A$247:$A$283,$A528,Summary!$P$247:$P$283),0)</f>
        <v>0</v>
      </c>
      <c r="AJ528" s="196">
        <f>IFERROR($G528/SUMIF($A:$A,$A528,$G:$G)*(SUMIF(Summary!$A$247:$A$283,$A528,Summary!$L$247:$L$283)+SUMIF(Summary!$A$297:$A$333,$A528,Summary!$L$297:$L$333))-AI528,0)</f>
        <v>0</v>
      </c>
      <c r="AK528" s="196">
        <f>IFERROR($G528/SUMIF($A:$A,$A528,$G:$G)*SUMIF(Summary!$A$247:$A$283,$A528,Summary!$Q$247:$Q$283),0)</f>
        <v>0</v>
      </c>
      <c r="AL528" s="196">
        <f>IFERROR($G528/SUMIF($A:$A,$A528,$G:$G)*(SUMIF(Summary!$A$247:$A$283,$A528,Summary!$L$247:$L$283)+SUMIF(Summary!$A$297:$A$333,$A528,Summary!$L$297:$L$333))-AK528,0)</f>
        <v>0</v>
      </c>
      <c r="AM528" s="198"/>
      <c r="AN528" s="196">
        <f t="shared" ca="1" si="124"/>
        <v>0</v>
      </c>
      <c r="AO528" s="196">
        <f t="shared" ca="1" si="125"/>
        <v>0</v>
      </c>
    </row>
    <row r="529" spans="1:41">
      <c r="A529" s="189">
        <v>3592</v>
      </c>
      <c r="B529" s="190">
        <v>5</v>
      </c>
      <c r="C529" s="191" t="s">
        <v>240</v>
      </c>
      <c r="D529" s="192">
        <f t="shared" si="112"/>
        <v>0</v>
      </c>
      <c r="E529" s="192">
        <f t="shared" si="113"/>
        <v>0</v>
      </c>
      <c r="F529" s="192">
        <f t="shared" si="114"/>
        <v>0</v>
      </c>
      <c r="G529" s="193">
        <f t="shared" si="115"/>
        <v>0</v>
      </c>
      <c r="H529" s="194">
        <v>0</v>
      </c>
      <c r="I529" s="194">
        <v>0</v>
      </c>
      <c r="J529" s="194">
        <v>0</v>
      </c>
      <c r="K529" s="193">
        <f t="shared" si="116"/>
        <v>0</v>
      </c>
      <c r="L529" s="194">
        <v>0</v>
      </c>
      <c r="M529" s="194">
        <v>0</v>
      </c>
      <c r="N529" s="194">
        <v>0</v>
      </c>
      <c r="O529" s="193">
        <f t="shared" si="117"/>
        <v>0</v>
      </c>
      <c r="P529" s="194">
        <v>0</v>
      </c>
      <c r="Q529" s="194">
        <v>0</v>
      </c>
      <c r="R529" s="194">
        <v>0</v>
      </c>
      <c r="S529" s="193">
        <f t="shared" si="118"/>
        <v>0</v>
      </c>
      <c r="T529" s="193">
        <f t="shared" si="119"/>
        <v>0</v>
      </c>
      <c r="U529" s="193">
        <f ca="1">OFFSET('Expenditure Study'!$B$7,'Operations Support'!$C529,'Operations Support'!$B529)*$G529</f>
        <v>0</v>
      </c>
      <c r="V529" s="199">
        <f ca="1">U529*'Expenditure Study'!$B$31</f>
        <v>0</v>
      </c>
      <c r="W529" s="199">
        <f ca="1">IF(A529=10298,1.51,1)*IF($B529&lt;3,$D529*'Expenditure Study'!$B$32*OFFSET('Expenditure Study'!$B$7,'Operations Support'!$C529,'Operations Support'!$B529),0)</f>
        <v>0</v>
      </c>
      <c r="X529" s="200">
        <f ca="1">W529*'Expenditure Study'!$B$31</f>
        <v>0</v>
      </c>
      <c r="Y529" s="199">
        <f ca="1">U529*'Expenditure Study'!$B$31</f>
        <v>0</v>
      </c>
      <c r="Z529" s="200">
        <f ca="1">W529*'Expenditure Study'!$B$31</f>
        <v>0</v>
      </c>
      <c r="AA529" s="195">
        <f t="shared" ca="1" si="120"/>
        <v>0</v>
      </c>
      <c r="AB529" s="195">
        <f t="shared" ca="1" si="121"/>
        <v>0</v>
      </c>
      <c r="AD529" s="196">
        <f>IFERROR($G529/SUMIF($A:$A,$A529,$G:$G)*SUMIF(Summary!$A$166:$A$242,$A529,Summary!$P$166:$P$242),0)</f>
        <v>0</v>
      </c>
      <c r="AE529" s="197">
        <f t="shared" ca="1" si="122"/>
        <v>0</v>
      </c>
      <c r="AF529" s="196">
        <f>IFERROR(G529/SUMIF(A:A,A529,G:G)*SUMIF(Summary!$A$166:$A$242,'Operations Support'!A529,Summary!$Q$166:$Q$242),0)</f>
        <v>0</v>
      </c>
      <c r="AG529" s="196">
        <f t="shared" ca="1" si="123"/>
        <v>0</v>
      </c>
      <c r="AI529" s="196">
        <f>IFERROR($G529/SUMIF($A:$A,$A529,$G:$G)*SUMIF(Summary!$A$247:$A$283,$A529,Summary!$P$247:$P$283),0)</f>
        <v>0</v>
      </c>
      <c r="AJ529" s="196">
        <f>IFERROR($G529/SUMIF($A:$A,$A529,$G:$G)*(SUMIF(Summary!$A$247:$A$283,$A529,Summary!$L$247:$L$283)+SUMIF(Summary!$A$297:$A$333,$A529,Summary!$L$297:$L$333))-AI529,0)</f>
        <v>0</v>
      </c>
      <c r="AK529" s="196">
        <f>IFERROR($G529/SUMIF($A:$A,$A529,$G:$G)*SUMIF(Summary!$A$247:$A$283,$A529,Summary!$Q$247:$Q$283),0)</f>
        <v>0</v>
      </c>
      <c r="AL529" s="196">
        <f>IFERROR($G529/SUMIF($A:$A,$A529,$G:$G)*(SUMIF(Summary!$A$247:$A$283,$A529,Summary!$L$247:$L$283)+SUMIF(Summary!$A$297:$A$333,$A529,Summary!$L$297:$L$333))-AK529,0)</f>
        <v>0</v>
      </c>
      <c r="AM529" s="198"/>
      <c r="AN529" s="196">
        <f t="shared" ca="1" si="124"/>
        <v>0</v>
      </c>
      <c r="AO529" s="196">
        <f t="shared" ca="1" si="125"/>
        <v>0</v>
      </c>
    </row>
    <row r="530" spans="1:41">
      <c r="A530" s="189">
        <v>3594</v>
      </c>
      <c r="B530" s="190">
        <v>1</v>
      </c>
      <c r="C530" s="191" t="s">
        <v>220</v>
      </c>
      <c r="D530" s="192">
        <f t="shared" si="112"/>
        <v>45152.5</v>
      </c>
      <c r="E530" s="192">
        <f t="shared" si="113"/>
        <v>208306.5</v>
      </c>
      <c r="F530" s="192">
        <f t="shared" si="114"/>
        <v>0</v>
      </c>
      <c r="G530" s="193">
        <f t="shared" si="115"/>
        <v>253459</v>
      </c>
      <c r="H530" s="194">
        <v>19660</v>
      </c>
      <c r="I530" s="194">
        <v>90448.5</v>
      </c>
      <c r="J530" s="194">
        <v>0</v>
      </c>
      <c r="K530" s="193">
        <f t="shared" si="116"/>
        <v>110108.5</v>
      </c>
      <c r="L530" s="194">
        <v>20708</v>
      </c>
      <c r="M530" s="194">
        <v>103912.5</v>
      </c>
      <c r="N530" s="194">
        <v>0</v>
      </c>
      <c r="O530" s="193">
        <f t="shared" si="117"/>
        <v>124620.5</v>
      </c>
      <c r="P530" s="194">
        <v>4784.5</v>
      </c>
      <c r="Q530" s="194">
        <v>13945.5</v>
      </c>
      <c r="R530" s="194">
        <v>0</v>
      </c>
      <c r="S530" s="193">
        <f t="shared" si="118"/>
        <v>18730</v>
      </c>
      <c r="T530" s="193">
        <f t="shared" si="119"/>
        <v>8448.6333333333332</v>
      </c>
      <c r="U530" s="193">
        <f ca="1">OFFSET('Expenditure Study'!$B$7,'Operations Support'!$C530,'Operations Support'!$B530)*$G530</f>
        <v>253459</v>
      </c>
      <c r="V530" s="199">
        <f ca="1">U530*'Expenditure Study'!$B$31</f>
        <v>14975163.922387199</v>
      </c>
      <c r="W530" s="199">
        <f ca="1">IF(A530=10298,1.51,1)*IF($B530&lt;3,$D530*'Expenditure Study'!$B$32*OFFSET('Expenditure Study'!$B$7,'Operations Support'!$C530,'Operations Support'!$B530),0)</f>
        <v>4515.25</v>
      </c>
      <c r="X530" s="200">
        <f ca="1">W530*'Expenditure Study'!$B$31</f>
        <v>266775.3321072</v>
      </c>
      <c r="Y530" s="199">
        <f ca="1">U530*'Expenditure Study'!$B$31</f>
        <v>14975163.922387199</v>
      </c>
      <c r="Z530" s="200">
        <f ca="1">W530*'Expenditure Study'!$B$31</f>
        <v>266775.3321072</v>
      </c>
      <c r="AA530" s="195">
        <f t="shared" ca="1" si="120"/>
        <v>15241939.254494399</v>
      </c>
      <c r="AB530" s="195">
        <f t="shared" ca="1" si="121"/>
        <v>15241939.254494399</v>
      </c>
      <c r="AD530" s="196">
        <f>IFERROR($G530/SUMIF($A:$A,$A530,$G:$G)*SUMIF(Summary!$A$166:$A$242,$A530,Summary!$P$166:$P$242),0)</f>
        <v>12552926.924067575</v>
      </c>
      <c r="AE530" s="197">
        <f t="shared" ca="1" si="122"/>
        <v>2689012.3304268233</v>
      </c>
      <c r="AF530" s="196">
        <f>IFERROR(G530/SUMIF(A:A,A530,G:G)*SUMIF(Summary!$A$166:$A$242,'Operations Support'!A530,Summary!$Q$166:$Q$242),0)</f>
        <v>12630777.17504194</v>
      </c>
      <c r="AG530" s="196">
        <f t="shared" ca="1" si="123"/>
        <v>2611162.0794524588</v>
      </c>
      <c r="AI530" s="196">
        <f>IFERROR($G530/SUMIF($A:$A,$A530,$G:$G)*SUMIF(Summary!$A$247:$A$283,$A530,Summary!$P$247:$P$283),0)</f>
        <v>2289340.6161503782</v>
      </c>
      <c r="AJ530" s="196">
        <f>IFERROR($G530/SUMIF($A:$A,$A530,$G:$G)*(SUMIF(Summary!$A$247:$A$283,$A530,Summary!$L$247:$L$283)+SUMIF(Summary!$A$297:$A$333,$A530,Summary!$L$297:$L$333))-AI530,0)</f>
        <v>3336011.8622218529</v>
      </c>
      <c r="AK530" s="196">
        <f>IFERROR($G530/SUMIF($A:$A,$A530,$G:$G)*SUMIF(Summary!$A$247:$A$283,$A530,Summary!$Q$247:$Q$283),0)</f>
        <v>2303538.5591967446</v>
      </c>
      <c r="AL530" s="196">
        <f>IFERROR($G530/SUMIF($A:$A,$A530,$G:$G)*(SUMIF(Summary!$A$247:$A$283,$A530,Summary!$L$247:$L$283)+SUMIF(Summary!$A$297:$A$333,$A530,Summary!$L$297:$L$333))-AK530,0)</f>
        <v>3321813.9191754865</v>
      </c>
      <c r="AM530" s="198"/>
      <c r="AN530" s="196">
        <f t="shared" ca="1" si="124"/>
        <v>6025024.1926486762</v>
      </c>
      <c r="AO530" s="196">
        <f t="shared" ca="1" si="125"/>
        <v>5932975.9986279458</v>
      </c>
    </row>
    <row r="531" spans="1:41">
      <c r="A531" s="189">
        <v>3594</v>
      </c>
      <c r="B531" s="190">
        <v>1</v>
      </c>
      <c r="C531" s="191" t="s">
        <v>221</v>
      </c>
      <c r="D531" s="192">
        <f t="shared" si="112"/>
        <v>15480</v>
      </c>
      <c r="E531" s="192">
        <f t="shared" si="113"/>
        <v>60379</v>
      </c>
      <c r="F531" s="192">
        <f t="shared" si="114"/>
        <v>0</v>
      </c>
      <c r="G531" s="193">
        <f t="shared" si="115"/>
        <v>75859</v>
      </c>
      <c r="H531" s="194">
        <v>7340.5</v>
      </c>
      <c r="I531" s="194">
        <v>25952.5</v>
      </c>
      <c r="J531" s="194">
        <v>0</v>
      </c>
      <c r="K531" s="193">
        <f t="shared" si="116"/>
        <v>33293</v>
      </c>
      <c r="L531" s="194">
        <v>6932.5</v>
      </c>
      <c r="M531" s="194">
        <v>30056.5</v>
      </c>
      <c r="N531" s="194">
        <v>0</v>
      </c>
      <c r="O531" s="193">
        <f t="shared" si="117"/>
        <v>36989</v>
      </c>
      <c r="P531" s="194">
        <v>1207</v>
      </c>
      <c r="Q531" s="194">
        <v>4370</v>
      </c>
      <c r="R531" s="194">
        <v>0</v>
      </c>
      <c r="S531" s="193">
        <f t="shared" si="118"/>
        <v>5577</v>
      </c>
      <c r="T531" s="193">
        <f t="shared" si="119"/>
        <v>2528.6333333333332</v>
      </c>
      <c r="U531" s="193">
        <f ca="1">OFFSET('Expenditure Study'!$B$7,'Operations Support'!$C531,'Operations Support'!$B531)*$G531</f>
        <v>101651.06000000001</v>
      </c>
      <c r="V531" s="199">
        <f ca="1">U531*'Expenditure Study'!$B$31</f>
        <v>6005867.9564916492</v>
      </c>
      <c r="W531" s="199">
        <f ca="1">IF(A531=10298,1.51,1)*IF($B531&lt;3,$D531*'Expenditure Study'!$B$32*OFFSET('Expenditure Study'!$B$7,'Operations Support'!$C531,'Operations Support'!$B531),0)</f>
        <v>2074.3200000000002</v>
      </c>
      <c r="X531" s="200">
        <f ca="1">W531*'Expenditure Study'!$B$31</f>
        <v>122557.42359705601</v>
      </c>
      <c r="Y531" s="199">
        <f ca="1">U531*'Expenditure Study'!$B$31</f>
        <v>6005867.9564916492</v>
      </c>
      <c r="Z531" s="200">
        <f ca="1">W531*'Expenditure Study'!$B$31</f>
        <v>122557.42359705601</v>
      </c>
      <c r="AA531" s="195">
        <f t="shared" ca="1" si="120"/>
        <v>6128425.3800887056</v>
      </c>
      <c r="AB531" s="195">
        <f t="shared" ca="1" si="121"/>
        <v>6128425.3800887056</v>
      </c>
      <c r="AD531" s="196">
        <f>IFERROR($G531/SUMIF($A:$A,$A531,$G:$G)*SUMIF(Summary!$A$166:$A$242,$A531,Summary!$P$166:$P$242),0)</f>
        <v>3757027.6988895331</v>
      </c>
      <c r="AE531" s="197">
        <f t="shared" ca="1" si="122"/>
        <v>2371397.6811991725</v>
      </c>
      <c r="AF531" s="196">
        <f>IFERROR(G531/SUMIF(A:A,A531,G:G)*SUMIF(Summary!$A$166:$A$242,'Operations Support'!A531,Summary!$Q$166:$Q$242),0)</f>
        <v>3780327.8862518454</v>
      </c>
      <c r="AG531" s="196">
        <f t="shared" ca="1" si="123"/>
        <v>2348097.4938368602</v>
      </c>
      <c r="AI531" s="196">
        <f>IFERROR($G531/SUMIF($A:$A,$A531,$G:$G)*SUMIF(Summary!$A$247:$A$283,$A531,Summary!$P$247:$P$283),0)</f>
        <v>685188.09669631592</v>
      </c>
      <c r="AJ531" s="196">
        <f>IFERROR($G531/SUMIF($A:$A,$A531,$G:$G)*(SUMIF(Summary!$A$247:$A$283,$A531,Summary!$L$247:$L$283)+SUMIF(Summary!$A$297:$A$333,$A531,Summary!$L$297:$L$333))-AI531,0)</f>
        <v>998451.52019177668</v>
      </c>
      <c r="AK531" s="196">
        <f>IFERROR($G531/SUMIF($A:$A,$A531,$G:$G)*SUMIF(Summary!$A$247:$A$283,$A531,Summary!$Q$247:$Q$283),0)</f>
        <v>689437.46942150733</v>
      </c>
      <c r="AL531" s="196">
        <f>IFERROR($G531/SUMIF($A:$A,$A531,$G:$G)*(SUMIF(Summary!$A$247:$A$283,$A531,Summary!$L$247:$L$283)+SUMIF(Summary!$A$297:$A$333,$A531,Summary!$L$297:$L$333))-AK531,0)</f>
        <v>994202.14746658527</v>
      </c>
      <c r="AM531" s="198"/>
      <c r="AN531" s="196">
        <f t="shared" ca="1" si="124"/>
        <v>3369849.2013909491</v>
      </c>
      <c r="AO531" s="196">
        <f t="shared" ca="1" si="125"/>
        <v>3342299.6413034452</v>
      </c>
    </row>
    <row r="532" spans="1:41">
      <c r="A532" s="189">
        <v>3594</v>
      </c>
      <c r="B532" s="190">
        <v>1</v>
      </c>
      <c r="C532" s="191" t="s">
        <v>222</v>
      </c>
      <c r="D532" s="192">
        <f t="shared" si="112"/>
        <v>9638.869999999999</v>
      </c>
      <c r="E532" s="192">
        <f t="shared" si="113"/>
        <v>50417.130000000005</v>
      </c>
      <c r="F532" s="192">
        <f t="shared" si="114"/>
        <v>0</v>
      </c>
      <c r="G532" s="193">
        <f t="shared" si="115"/>
        <v>60056</v>
      </c>
      <c r="H532" s="194">
        <v>3535.01</v>
      </c>
      <c r="I532" s="194">
        <v>21681.99</v>
      </c>
      <c r="J532" s="194">
        <v>0</v>
      </c>
      <c r="K532" s="193">
        <f t="shared" si="116"/>
        <v>25217</v>
      </c>
      <c r="L532" s="194">
        <v>5575.86</v>
      </c>
      <c r="M532" s="194">
        <v>27189.14</v>
      </c>
      <c r="N532" s="194">
        <v>0</v>
      </c>
      <c r="O532" s="193">
        <f t="shared" si="117"/>
        <v>32765</v>
      </c>
      <c r="P532" s="194">
        <v>528</v>
      </c>
      <c r="Q532" s="194">
        <v>1546</v>
      </c>
      <c r="R532" s="194">
        <v>0</v>
      </c>
      <c r="S532" s="193">
        <f t="shared" si="118"/>
        <v>2074</v>
      </c>
      <c r="T532" s="193">
        <f t="shared" si="119"/>
        <v>2001.8666666666666</v>
      </c>
      <c r="U532" s="193">
        <f ca="1">OFFSET('Expenditure Study'!$B$7,'Operations Support'!$C532,'Operations Support'!$B532)*$G532</f>
        <v>82276.72</v>
      </c>
      <c r="V532" s="199">
        <f ca="1">U532*'Expenditure Study'!$B$31</f>
        <v>4861170.3233909765</v>
      </c>
      <c r="W532" s="199">
        <f ca="1">IF(A532=10298,1.51,1)*IF($B532&lt;3,$D532*'Expenditure Study'!$B$32*OFFSET('Expenditure Study'!$B$7,'Operations Support'!$C532,'Operations Support'!$B532),0)</f>
        <v>1320.5251900000001</v>
      </c>
      <c r="X532" s="200">
        <f ca="1">W532*'Expenditure Study'!$B$31</f>
        <v>78020.828551724364</v>
      </c>
      <c r="Y532" s="199">
        <f ca="1">U532*'Expenditure Study'!$B$31</f>
        <v>4861170.3233909765</v>
      </c>
      <c r="Z532" s="200">
        <f ca="1">W532*'Expenditure Study'!$B$31</f>
        <v>78020.828551724364</v>
      </c>
      <c r="AA532" s="195">
        <f t="shared" ca="1" si="120"/>
        <v>4939191.1519427011</v>
      </c>
      <c r="AB532" s="195">
        <f t="shared" ca="1" si="121"/>
        <v>4939191.1519427011</v>
      </c>
      <c r="AD532" s="196">
        <f>IFERROR($G532/SUMIF($A:$A,$A532,$G:$G)*SUMIF(Summary!$A$166:$A$242,$A532,Summary!$P$166:$P$242),0)</f>
        <v>2974361.0578113319</v>
      </c>
      <c r="AE532" s="197">
        <f t="shared" ca="1" si="122"/>
        <v>1964830.0941313691</v>
      </c>
      <c r="AF532" s="196">
        <f>IFERROR(G532/SUMIF(A:A,A532,G:G)*SUMIF(Summary!$A$166:$A$242,'Operations Support'!A532,Summary!$Q$166:$Q$242),0)</f>
        <v>2992807.333826452</v>
      </c>
      <c r="AG532" s="196">
        <f t="shared" ca="1" si="123"/>
        <v>1946383.8181162491</v>
      </c>
      <c r="AI532" s="196">
        <f>IFERROR($G532/SUMIF($A:$A,$A532,$G:$G)*SUMIF(Summary!$A$247:$A$283,$A532,Summary!$P$247:$P$283),0)</f>
        <v>542449.23259196605</v>
      </c>
      <c r="AJ532" s="196">
        <f>IFERROR($G532/SUMIF($A:$A,$A532,$G:$G)*(SUMIF(Summary!$A$247:$A$283,$A532,Summary!$L$247:$L$283)+SUMIF(Summary!$A$297:$A$333,$A532,Summary!$L$297:$L$333))-AI532,0)</f>
        <v>790453.40034323337</v>
      </c>
      <c r="AK532" s="196">
        <f>IFERROR($G532/SUMIF($A:$A,$A532,$G:$G)*SUMIF(Summary!$A$247:$A$283,$A532,Summary!$Q$247:$Q$283),0)</f>
        <v>545813.37301543716</v>
      </c>
      <c r="AL532" s="196">
        <f>IFERROR($G532/SUMIF($A:$A,$A532,$G:$G)*(SUMIF(Summary!$A$247:$A$283,$A532,Summary!$L$247:$L$283)+SUMIF(Summary!$A$297:$A$333,$A532,Summary!$L$297:$L$333))-AK532,0)</f>
        <v>787089.25991976226</v>
      </c>
      <c r="AM532" s="198"/>
      <c r="AN532" s="196">
        <f t="shared" ca="1" si="124"/>
        <v>2755283.4944746024</v>
      </c>
      <c r="AO532" s="196">
        <f t="shared" ca="1" si="125"/>
        <v>2733473.0780360112</v>
      </c>
    </row>
    <row r="533" spans="1:41">
      <c r="A533" s="189">
        <v>3594</v>
      </c>
      <c r="B533" s="190">
        <v>1</v>
      </c>
      <c r="C533" s="191" t="s">
        <v>223</v>
      </c>
      <c r="D533" s="192">
        <f t="shared" si="112"/>
        <v>357</v>
      </c>
      <c r="E533" s="192">
        <f t="shared" si="113"/>
        <v>6027</v>
      </c>
      <c r="F533" s="192">
        <f t="shared" si="114"/>
        <v>0</v>
      </c>
      <c r="G533" s="193">
        <f t="shared" si="115"/>
        <v>6384</v>
      </c>
      <c r="H533" s="194">
        <v>187.5</v>
      </c>
      <c r="I533" s="194">
        <v>2229</v>
      </c>
      <c r="J533" s="194">
        <v>0</v>
      </c>
      <c r="K533" s="193">
        <f t="shared" si="116"/>
        <v>2416.5</v>
      </c>
      <c r="L533" s="194">
        <v>147</v>
      </c>
      <c r="M533" s="194">
        <v>3271.5</v>
      </c>
      <c r="N533" s="194">
        <v>0</v>
      </c>
      <c r="O533" s="193">
        <f t="shared" si="117"/>
        <v>3418.5</v>
      </c>
      <c r="P533" s="194">
        <v>22.5</v>
      </c>
      <c r="Q533" s="194">
        <v>526.5</v>
      </c>
      <c r="R533" s="194">
        <v>0</v>
      </c>
      <c r="S533" s="193">
        <f t="shared" si="118"/>
        <v>549</v>
      </c>
      <c r="T533" s="193">
        <f t="shared" si="119"/>
        <v>212.8</v>
      </c>
      <c r="U533" s="193">
        <f ca="1">OFFSET('Expenditure Study'!$B$7,'Operations Support'!$C533,'Operations Support'!$B533)*$G533</f>
        <v>8043.84</v>
      </c>
      <c r="V533" s="199">
        <f ca="1">U533*'Expenditure Study'!$B$31</f>
        <v>475255.653046272</v>
      </c>
      <c r="W533" s="199">
        <f ca="1">IF(A533=10298,1.51,1)*IF($B533&lt;3,$D533*'Expenditure Study'!$B$32*OFFSET('Expenditure Study'!$B$7,'Operations Support'!$C533,'Operations Support'!$B533),0)</f>
        <v>44.982000000000006</v>
      </c>
      <c r="X533" s="200">
        <f ca="1">W533*'Expenditure Study'!$B$31</f>
        <v>2657.6796387456006</v>
      </c>
      <c r="Y533" s="199">
        <f ca="1">U533*'Expenditure Study'!$B$31</f>
        <v>475255.653046272</v>
      </c>
      <c r="Z533" s="200">
        <f ca="1">W533*'Expenditure Study'!$B$31</f>
        <v>2657.6796387456006</v>
      </c>
      <c r="AA533" s="195">
        <f t="shared" ca="1" si="120"/>
        <v>477913.33268501761</v>
      </c>
      <c r="AB533" s="195">
        <f t="shared" ca="1" si="121"/>
        <v>477913.33268501761</v>
      </c>
      <c r="AD533" s="196">
        <f>IFERROR($G533/SUMIF($A:$A,$A533,$G:$G)*SUMIF(Summary!$A$166:$A$242,$A533,Summary!$P$166:$P$242),0)</f>
        <v>316176.91809423774</v>
      </c>
      <c r="AE533" s="197">
        <f t="shared" ca="1" si="122"/>
        <v>161736.41459077987</v>
      </c>
      <c r="AF533" s="196">
        <f>IFERROR(G533/SUMIF(A:A,A533,G:G)*SUMIF(Summary!$A$166:$A$242,'Operations Support'!A533,Summary!$Q$166:$Q$242),0)</f>
        <v>318137.77173218445</v>
      </c>
      <c r="AG533" s="196">
        <f t="shared" ca="1" si="123"/>
        <v>159775.56095283316</v>
      </c>
      <c r="AI533" s="196">
        <f>IFERROR($G533/SUMIF($A:$A,$A533,$G:$G)*SUMIF(Summary!$A$247:$A$283,$A533,Summary!$P$247:$P$283),0)</f>
        <v>57662.779753348725</v>
      </c>
      <c r="AJ533" s="196">
        <f>IFERROR($G533/SUMIF($A:$A,$A533,$G:$G)*(SUMIF(Summary!$A$247:$A$283,$A533,Summary!$L$247:$L$283)+SUMIF(Summary!$A$297:$A$333,$A533,Summary!$L$297:$L$333))-AI533,0)</f>
        <v>84025.817700000014</v>
      </c>
      <c r="AK533" s="196">
        <f>IFERROR($G533/SUMIF($A:$A,$A533,$G:$G)*SUMIF(Summary!$A$247:$A$283,$A533,Summary!$Q$247:$Q$283),0)</f>
        <v>58020.390524353112</v>
      </c>
      <c r="AL533" s="196">
        <f>IFERROR($G533/SUMIF($A:$A,$A533,$G:$G)*(SUMIF(Summary!$A$247:$A$283,$A533,Summary!$L$247:$L$283)+SUMIF(Summary!$A$297:$A$333,$A533,Summary!$L$297:$L$333))-AK533,0)</f>
        <v>83668.206928995642</v>
      </c>
      <c r="AM533" s="198"/>
      <c r="AN533" s="196">
        <f t="shared" ca="1" si="124"/>
        <v>245762.23229077988</v>
      </c>
      <c r="AO533" s="196">
        <f t="shared" ca="1" si="125"/>
        <v>243443.7678818288</v>
      </c>
    </row>
    <row r="534" spans="1:41">
      <c r="A534" s="189">
        <v>3594</v>
      </c>
      <c r="B534" s="190">
        <v>1</v>
      </c>
      <c r="C534" s="191" t="s">
        <v>224</v>
      </c>
      <c r="D534" s="192">
        <f t="shared" si="112"/>
        <v>0</v>
      </c>
      <c r="E534" s="192">
        <f t="shared" si="113"/>
        <v>0</v>
      </c>
      <c r="F534" s="192">
        <f t="shared" si="114"/>
        <v>0</v>
      </c>
      <c r="G534" s="193">
        <f t="shared" si="115"/>
        <v>0</v>
      </c>
      <c r="H534" s="194">
        <v>0</v>
      </c>
      <c r="I534" s="194">
        <v>0</v>
      </c>
      <c r="J534" s="194">
        <v>0</v>
      </c>
      <c r="K534" s="193">
        <f t="shared" si="116"/>
        <v>0</v>
      </c>
      <c r="L534" s="194">
        <v>0</v>
      </c>
      <c r="M534" s="194">
        <v>0</v>
      </c>
      <c r="N534" s="194">
        <v>0</v>
      </c>
      <c r="O534" s="193">
        <f t="shared" si="117"/>
        <v>0</v>
      </c>
      <c r="P534" s="194">
        <v>0</v>
      </c>
      <c r="Q534" s="194">
        <v>0</v>
      </c>
      <c r="R534" s="194">
        <v>0</v>
      </c>
      <c r="S534" s="193">
        <f t="shared" si="118"/>
        <v>0</v>
      </c>
      <c r="T534" s="193">
        <f t="shared" si="119"/>
        <v>0</v>
      </c>
      <c r="U534" s="193">
        <f ca="1">OFFSET('Expenditure Study'!$B$7,'Operations Support'!$C534,'Operations Support'!$B534)*$G534</f>
        <v>0</v>
      </c>
      <c r="V534" s="199">
        <f ca="1">U534*'Expenditure Study'!$B$31</f>
        <v>0</v>
      </c>
      <c r="W534" s="199">
        <f ca="1">IF(A534=10298,1.51,1)*IF($B534&lt;3,$D534*'Expenditure Study'!$B$32*OFFSET('Expenditure Study'!$B$7,'Operations Support'!$C534,'Operations Support'!$B534),0)</f>
        <v>0</v>
      </c>
      <c r="X534" s="200">
        <f ca="1">W534*'Expenditure Study'!$B$31</f>
        <v>0</v>
      </c>
      <c r="Y534" s="199">
        <f ca="1">U534*'Expenditure Study'!$B$31</f>
        <v>0</v>
      </c>
      <c r="Z534" s="200">
        <f ca="1">W534*'Expenditure Study'!$B$31</f>
        <v>0</v>
      </c>
      <c r="AA534" s="195">
        <f t="shared" ca="1" si="120"/>
        <v>0</v>
      </c>
      <c r="AB534" s="195">
        <f t="shared" ca="1" si="121"/>
        <v>0</v>
      </c>
      <c r="AD534" s="196">
        <f>IFERROR($G534/SUMIF($A:$A,$A534,$G:$G)*SUMIF(Summary!$A$166:$A$242,$A534,Summary!$P$166:$P$242),0)</f>
        <v>0</v>
      </c>
      <c r="AE534" s="197">
        <f t="shared" ca="1" si="122"/>
        <v>0</v>
      </c>
      <c r="AF534" s="196">
        <f>IFERROR(G534/SUMIF(A:A,A534,G:G)*SUMIF(Summary!$A$166:$A$242,'Operations Support'!A534,Summary!$Q$166:$Q$242),0)</f>
        <v>0</v>
      </c>
      <c r="AG534" s="196">
        <f t="shared" ca="1" si="123"/>
        <v>0</v>
      </c>
      <c r="AI534" s="196">
        <f>IFERROR($G534/SUMIF($A:$A,$A534,$G:$G)*SUMIF(Summary!$A$247:$A$283,$A534,Summary!$P$247:$P$283),0)</f>
        <v>0</v>
      </c>
      <c r="AJ534" s="196">
        <f>IFERROR($G534/SUMIF($A:$A,$A534,$G:$G)*(SUMIF(Summary!$A$247:$A$283,$A534,Summary!$L$247:$L$283)+SUMIF(Summary!$A$297:$A$333,$A534,Summary!$L$297:$L$333))-AI534,0)</f>
        <v>0</v>
      </c>
      <c r="AK534" s="196">
        <f>IFERROR($G534/SUMIF($A:$A,$A534,$G:$G)*SUMIF(Summary!$A$247:$A$283,$A534,Summary!$Q$247:$Q$283),0)</f>
        <v>0</v>
      </c>
      <c r="AL534" s="196">
        <f>IFERROR($G534/SUMIF($A:$A,$A534,$G:$G)*(SUMIF(Summary!$A$247:$A$283,$A534,Summary!$L$247:$L$283)+SUMIF(Summary!$A$297:$A$333,$A534,Summary!$L$297:$L$333))-AK534,0)</f>
        <v>0</v>
      </c>
      <c r="AM534" s="198"/>
      <c r="AN534" s="196">
        <f t="shared" ca="1" si="124"/>
        <v>0</v>
      </c>
      <c r="AO534" s="196">
        <f t="shared" ca="1" si="125"/>
        <v>0</v>
      </c>
    </row>
    <row r="535" spans="1:41">
      <c r="A535" s="189">
        <v>3594</v>
      </c>
      <c r="B535" s="190">
        <v>1</v>
      </c>
      <c r="C535" s="191" t="s">
        <v>225</v>
      </c>
      <c r="D535" s="192">
        <f t="shared" si="112"/>
        <v>3070</v>
      </c>
      <c r="E535" s="192">
        <f t="shared" si="113"/>
        <v>16210</v>
      </c>
      <c r="F535" s="192">
        <f t="shared" si="114"/>
        <v>0</v>
      </c>
      <c r="G535" s="193">
        <f t="shared" si="115"/>
        <v>19280</v>
      </c>
      <c r="H535" s="194">
        <v>1241</v>
      </c>
      <c r="I535" s="194">
        <v>7236</v>
      </c>
      <c r="J535" s="194">
        <v>0</v>
      </c>
      <c r="K535" s="193">
        <f t="shared" si="116"/>
        <v>8477</v>
      </c>
      <c r="L535" s="194">
        <v>1817</v>
      </c>
      <c r="M535" s="194">
        <v>7846</v>
      </c>
      <c r="N535" s="194">
        <v>0</v>
      </c>
      <c r="O535" s="193">
        <f t="shared" si="117"/>
        <v>9663</v>
      </c>
      <c r="P535" s="194">
        <v>12</v>
      </c>
      <c r="Q535" s="194">
        <v>1128</v>
      </c>
      <c r="R535" s="194">
        <v>0</v>
      </c>
      <c r="S535" s="193">
        <f t="shared" si="118"/>
        <v>1140</v>
      </c>
      <c r="T535" s="193">
        <f t="shared" si="119"/>
        <v>642.66666666666663</v>
      </c>
      <c r="U535" s="193">
        <f ca="1">OFFSET('Expenditure Study'!$B$7,'Operations Support'!$C535,'Operations Support'!$B535)*$G535</f>
        <v>33932.800000000003</v>
      </c>
      <c r="V535" s="199">
        <f ca="1">U535*'Expenditure Study'!$B$31</f>
        <v>2004857.7574502402</v>
      </c>
      <c r="W535" s="199">
        <f ca="1">IF(A535=10298,1.51,1)*IF($B535&lt;3,$D535*'Expenditure Study'!$B$32*OFFSET('Expenditure Study'!$B$7,'Operations Support'!$C535,'Operations Support'!$B535),0)</f>
        <v>540.32000000000005</v>
      </c>
      <c r="X535" s="200">
        <f ca="1">W535*'Expenditure Study'!$B$31</f>
        <v>31923.824249856003</v>
      </c>
      <c r="Y535" s="199">
        <f ca="1">U535*'Expenditure Study'!$B$31</f>
        <v>2004857.7574502402</v>
      </c>
      <c r="Z535" s="200">
        <f ca="1">W535*'Expenditure Study'!$B$31</f>
        <v>31923.824249856003</v>
      </c>
      <c r="AA535" s="195">
        <f t="shared" ca="1" si="120"/>
        <v>2036781.5817000961</v>
      </c>
      <c r="AB535" s="195">
        <f t="shared" ca="1" si="121"/>
        <v>2036781.5817000961</v>
      </c>
      <c r="AD535" s="196">
        <f>IFERROR($G535/SUMIF($A:$A,$A535,$G:$G)*SUMIF(Summary!$A$166:$A$242,$A535,Summary!$P$166:$P$242),0)</f>
        <v>954870.14111167041</v>
      </c>
      <c r="AE535" s="197">
        <f t="shared" ca="1" si="122"/>
        <v>1081911.4405884258</v>
      </c>
      <c r="AF535" s="196">
        <f>IFERROR(G535/SUMIF(A:A,A535,G:G)*SUMIF(Summary!$A$166:$A$242,'Operations Support'!A535,Summary!$Q$166:$Q$242),0)</f>
        <v>960792.01738667244</v>
      </c>
      <c r="AG535" s="196">
        <f t="shared" ca="1" si="123"/>
        <v>1075989.5643134238</v>
      </c>
      <c r="AI535" s="196">
        <f>IFERROR($G535/SUMIF($A:$A,$A535,$G:$G)*SUMIF(Summary!$A$247:$A$283,$A535,Summary!$P$247:$P$283),0)</f>
        <v>174144.48522001307</v>
      </c>
      <c r="AJ535" s="196">
        <f>IFERROR($G535/SUMIF($A:$A,$A535,$G:$G)*(SUMIF(Summary!$A$247:$A$283,$A535,Summary!$L$247:$L$283)+SUMIF(Summary!$A$297:$A$333,$A535,Summary!$L$297:$L$333))-AI535,0)</f>
        <v>253762.18127443618</v>
      </c>
      <c r="AK535" s="196">
        <f>IFERROR($G535/SUMIF($A:$A,$A535,$G:$G)*SUMIF(Summary!$A$247:$A$283,$A535,Summary!$Q$247:$Q$283),0)</f>
        <v>175224.48767379826</v>
      </c>
      <c r="AL535" s="196">
        <f>IFERROR($G535/SUMIF($A:$A,$A535,$G:$G)*(SUMIF(Summary!$A$247:$A$283,$A535,Summary!$L$247:$L$283)+SUMIF(Summary!$A$297:$A$333,$A535,Summary!$L$297:$L$333))-AK535,0)</f>
        <v>252682.178820651</v>
      </c>
      <c r="AM535" s="198"/>
      <c r="AN535" s="196">
        <f t="shared" ca="1" si="124"/>
        <v>1335673.621862862</v>
      </c>
      <c r="AO535" s="196">
        <f t="shared" ca="1" si="125"/>
        <v>1328671.7431340748</v>
      </c>
    </row>
    <row r="536" spans="1:41" s="201" customFormat="1">
      <c r="A536" s="189">
        <v>3594</v>
      </c>
      <c r="B536" s="190">
        <v>1</v>
      </c>
      <c r="C536" s="191" t="s">
        <v>226</v>
      </c>
      <c r="D536" s="192">
        <f t="shared" si="112"/>
        <v>2043</v>
      </c>
      <c r="E536" s="192">
        <f t="shared" si="113"/>
        <v>429</v>
      </c>
      <c r="F536" s="192">
        <f t="shared" si="114"/>
        <v>0</v>
      </c>
      <c r="G536" s="193">
        <f t="shared" si="115"/>
        <v>2472</v>
      </c>
      <c r="H536" s="194">
        <v>789</v>
      </c>
      <c r="I536" s="194">
        <v>195</v>
      </c>
      <c r="J536" s="194">
        <v>0</v>
      </c>
      <c r="K536" s="193">
        <f t="shared" si="116"/>
        <v>984</v>
      </c>
      <c r="L536" s="194">
        <v>750</v>
      </c>
      <c r="M536" s="194">
        <v>234</v>
      </c>
      <c r="N536" s="194">
        <v>0</v>
      </c>
      <c r="O536" s="193">
        <f t="shared" si="117"/>
        <v>984</v>
      </c>
      <c r="P536" s="194">
        <v>504</v>
      </c>
      <c r="Q536" s="194">
        <v>0</v>
      </c>
      <c r="R536" s="194">
        <v>0</v>
      </c>
      <c r="S536" s="193">
        <f t="shared" si="118"/>
        <v>504</v>
      </c>
      <c r="T536" s="193">
        <f t="shared" si="119"/>
        <v>82.4</v>
      </c>
      <c r="U536" s="193">
        <f ca="1">OFFSET('Expenditure Study'!$B$7,'Operations Support'!$C536,'Operations Support'!$B536)*$G536</f>
        <v>2348.4</v>
      </c>
      <c r="V536" s="199">
        <f ca="1">U536*'Expenditure Study'!$B$31</f>
        <v>138750.94179072001</v>
      </c>
      <c r="W536" s="199">
        <f ca="1">IF(A536=10298,1.51,1)*IF($B536&lt;3,$D536*'Expenditure Study'!$B$32*OFFSET('Expenditure Study'!$B$7,'Operations Support'!$C536,'Operations Support'!$B536),0)</f>
        <v>194.08500000000001</v>
      </c>
      <c r="X536" s="200">
        <f ca="1">W536*'Expenditure Study'!$B$31</f>
        <v>11467.159145568001</v>
      </c>
      <c r="Y536" s="199">
        <f ca="1">U536*'Expenditure Study'!$B$31</f>
        <v>138750.94179072001</v>
      </c>
      <c r="Z536" s="200">
        <f ca="1">W536*'Expenditure Study'!$B$31</f>
        <v>11467.159145568001</v>
      </c>
      <c r="AA536" s="195">
        <f t="shared" ca="1" si="120"/>
        <v>150218.10093628801</v>
      </c>
      <c r="AB536" s="195">
        <f t="shared" ca="1" si="121"/>
        <v>150218.10093628801</v>
      </c>
      <c r="AD536" s="196">
        <f>IFERROR($G536/SUMIF($A:$A,$A536,$G:$G)*SUMIF(Summary!$A$166:$A$242,$A536,Summary!$P$166:$P$242),0)</f>
        <v>122429.40813423491</v>
      </c>
      <c r="AE536" s="197">
        <f t="shared" ca="1" si="122"/>
        <v>27788.692802053105</v>
      </c>
      <c r="AF536" s="196">
        <f>IFERROR(G536/SUMIF(A:A,A536,G:G)*SUMIF(Summary!$A$166:$A$242,'Operations Support'!A536,Summary!$Q$166:$Q$242),0)</f>
        <v>123188.68604667293</v>
      </c>
      <c r="AG536" s="196">
        <f t="shared" ca="1" si="123"/>
        <v>27029.414889615087</v>
      </c>
      <c r="AH536" s="180"/>
      <c r="AI536" s="196">
        <f>IFERROR($G536/SUMIF($A:$A,$A536,$G:$G)*SUMIF(Summary!$A$247:$A$283,$A536,Summary!$P$247:$P$283),0)</f>
        <v>22328.068851860593</v>
      </c>
      <c r="AJ536" s="196">
        <f>IFERROR($G536/SUMIF($A:$A,$A536,$G:$G)*(SUMIF(Summary!$A$247:$A$283,$A536,Summary!$L$247:$L$283)+SUMIF(Summary!$A$297:$A$333,$A536,Summary!$L$297:$L$333))-AI536,0)</f>
        <v>32536.312868797006</v>
      </c>
      <c r="AK536" s="196">
        <f>IFERROR($G536/SUMIF($A:$A,$A536,$G:$G)*SUMIF(Summary!$A$247:$A$283,$A536,Summary!$Q$247:$Q$283),0)</f>
        <v>22466.542195520189</v>
      </c>
      <c r="AL536" s="196">
        <f>IFERROR($G536/SUMIF($A:$A,$A536,$G:$G)*(SUMIF(Summary!$A$247:$A$283,$A536,Summary!$L$247:$L$283)+SUMIF(Summary!$A$297:$A$333,$A536,Summary!$L$297:$L$333))-AK536,0)</f>
        <v>32397.83952513741</v>
      </c>
      <c r="AM536" s="198"/>
      <c r="AN536" s="196">
        <f t="shared" ca="1" si="124"/>
        <v>60325.005670850107</v>
      </c>
      <c r="AO536" s="196">
        <f t="shared" ca="1" si="125"/>
        <v>59427.254414752497</v>
      </c>
    </row>
    <row r="537" spans="1:41">
      <c r="A537" s="189">
        <v>3594</v>
      </c>
      <c r="B537" s="190">
        <v>1</v>
      </c>
      <c r="C537" s="191" t="s">
        <v>227</v>
      </c>
      <c r="D537" s="192">
        <f t="shared" si="112"/>
        <v>0</v>
      </c>
      <c r="E537" s="192">
        <f t="shared" si="113"/>
        <v>0</v>
      </c>
      <c r="F537" s="192">
        <f t="shared" si="114"/>
        <v>0</v>
      </c>
      <c r="G537" s="193">
        <f t="shared" si="115"/>
        <v>0</v>
      </c>
      <c r="H537" s="194">
        <v>0</v>
      </c>
      <c r="I537" s="194">
        <v>0</v>
      </c>
      <c r="J537" s="194">
        <v>0</v>
      </c>
      <c r="K537" s="193">
        <f t="shared" si="116"/>
        <v>0</v>
      </c>
      <c r="L537" s="194">
        <v>0</v>
      </c>
      <c r="M537" s="194">
        <v>0</v>
      </c>
      <c r="N537" s="194">
        <v>0</v>
      </c>
      <c r="O537" s="193">
        <f t="shared" si="117"/>
        <v>0</v>
      </c>
      <c r="P537" s="194">
        <v>0</v>
      </c>
      <c r="Q537" s="194">
        <v>0</v>
      </c>
      <c r="R537" s="194">
        <v>0</v>
      </c>
      <c r="S537" s="193">
        <f t="shared" si="118"/>
        <v>0</v>
      </c>
      <c r="T537" s="193">
        <f t="shared" si="119"/>
        <v>0</v>
      </c>
      <c r="U537" s="193">
        <f ca="1">OFFSET('Expenditure Study'!$B$7,'Operations Support'!$C537,'Operations Support'!$B537)*$G537</f>
        <v>0</v>
      </c>
      <c r="V537" s="199">
        <f ca="1">U537*'Expenditure Study'!$B$31</f>
        <v>0</v>
      </c>
      <c r="W537" s="199">
        <f ca="1">IF(A537=10298,1.51,1)*IF($B537&lt;3,$D537*'Expenditure Study'!$B$32*OFFSET('Expenditure Study'!$B$7,'Operations Support'!$C537,'Operations Support'!$B537),0)</f>
        <v>0</v>
      </c>
      <c r="X537" s="200">
        <f ca="1">W537*'Expenditure Study'!$B$31</f>
        <v>0</v>
      </c>
      <c r="Y537" s="199">
        <f ca="1">U537*'Expenditure Study'!$B$31</f>
        <v>0</v>
      </c>
      <c r="Z537" s="200">
        <f ca="1">W537*'Expenditure Study'!$B$31</f>
        <v>0</v>
      </c>
      <c r="AA537" s="195">
        <f t="shared" ca="1" si="120"/>
        <v>0</v>
      </c>
      <c r="AB537" s="195">
        <f t="shared" ca="1" si="121"/>
        <v>0</v>
      </c>
      <c r="AD537" s="196">
        <f>IFERROR($G537/SUMIF($A:$A,$A537,$G:$G)*SUMIF(Summary!$A$166:$A$242,$A537,Summary!$P$166:$P$242),0)</f>
        <v>0</v>
      </c>
      <c r="AE537" s="197">
        <f t="shared" ca="1" si="122"/>
        <v>0</v>
      </c>
      <c r="AF537" s="196">
        <f>IFERROR(G537/SUMIF(A:A,A537,G:G)*SUMIF(Summary!$A$166:$A$242,'Operations Support'!A537,Summary!$Q$166:$Q$242),0)</f>
        <v>0</v>
      </c>
      <c r="AG537" s="196">
        <f t="shared" ca="1" si="123"/>
        <v>0</v>
      </c>
      <c r="AI537" s="196">
        <f>IFERROR($G537/SUMIF($A:$A,$A537,$G:$G)*SUMIF(Summary!$A$247:$A$283,$A537,Summary!$P$247:$P$283),0)</f>
        <v>0</v>
      </c>
      <c r="AJ537" s="196">
        <f>IFERROR($G537/SUMIF($A:$A,$A537,$G:$G)*(SUMIF(Summary!$A$247:$A$283,$A537,Summary!$L$247:$L$283)+SUMIF(Summary!$A$297:$A$333,$A537,Summary!$L$297:$L$333))-AI537,0)</f>
        <v>0</v>
      </c>
      <c r="AK537" s="196">
        <f>IFERROR($G537/SUMIF($A:$A,$A537,$G:$G)*SUMIF(Summary!$A$247:$A$283,$A537,Summary!$Q$247:$Q$283),0)</f>
        <v>0</v>
      </c>
      <c r="AL537" s="196">
        <f>IFERROR($G537/SUMIF($A:$A,$A537,$G:$G)*(SUMIF(Summary!$A$247:$A$283,$A537,Summary!$L$247:$L$283)+SUMIF(Summary!$A$297:$A$333,$A537,Summary!$L$297:$L$333))-AK537,0)</f>
        <v>0</v>
      </c>
      <c r="AM537" s="198"/>
      <c r="AN537" s="196">
        <f t="shared" ca="1" si="124"/>
        <v>0</v>
      </c>
      <c r="AO537" s="196">
        <f t="shared" ca="1" si="125"/>
        <v>0</v>
      </c>
    </row>
    <row r="538" spans="1:41">
      <c r="A538" s="189">
        <v>3594</v>
      </c>
      <c r="B538" s="190">
        <v>1</v>
      </c>
      <c r="C538" s="191" t="s">
        <v>228</v>
      </c>
      <c r="D538" s="192">
        <f t="shared" si="112"/>
        <v>237</v>
      </c>
      <c r="E538" s="192">
        <f t="shared" si="113"/>
        <v>1866</v>
      </c>
      <c r="F538" s="192">
        <f t="shared" si="114"/>
        <v>0</v>
      </c>
      <c r="G538" s="193">
        <f t="shared" si="115"/>
        <v>2103</v>
      </c>
      <c r="H538" s="194">
        <v>141</v>
      </c>
      <c r="I538" s="194">
        <v>789</v>
      </c>
      <c r="J538" s="194">
        <v>0</v>
      </c>
      <c r="K538" s="193">
        <f t="shared" si="116"/>
        <v>930</v>
      </c>
      <c r="L538" s="194">
        <v>90</v>
      </c>
      <c r="M538" s="194">
        <v>1062</v>
      </c>
      <c r="N538" s="194">
        <v>0</v>
      </c>
      <c r="O538" s="193">
        <f t="shared" si="117"/>
        <v>1152</v>
      </c>
      <c r="P538" s="194">
        <v>6</v>
      </c>
      <c r="Q538" s="194">
        <v>15</v>
      </c>
      <c r="R538" s="194">
        <v>0</v>
      </c>
      <c r="S538" s="193">
        <f t="shared" si="118"/>
        <v>21</v>
      </c>
      <c r="T538" s="193">
        <f t="shared" si="119"/>
        <v>70.099999999999994</v>
      </c>
      <c r="U538" s="193">
        <f ca="1">OFFSET('Expenditure Study'!$B$7,'Operations Support'!$C538,'Operations Support'!$B538)*$G538</f>
        <v>3322.7400000000002</v>
      </c>
      <c r="V538" s="199">
        <f ca="1">U538*'Expenditure Study'!$B$31</f>
        <v>196318.04817139203</v>
      </c>
      <c r="W538" s="199">
        <f ca="1">IF(A538=10298,1.51,1)*IF($B538&lt;3,$D538*'Expenditure Study'!$B$32*OFFSET('Expenditure Study'!$B$7,'Operations Support'!$C538,'Operations Support'!$B538),0)</f>
        <v>37.446000000000005</v>
      </c>
      <c r="X538" s="200">
        <f ca="1">W538*'Expenditure Study'!$B$31</f>
        <v>2212.4287882368003</v>
      </c>
      <c r="Y538" s="199">
        <f ca="1">U538*'Expenditure Study'!$B$31</f>
        <v>196318.04817139203</v>
      </c>
      <c r="Z538" s="200">
        <f ca="1">W538*'Expenditure Study'!$B$31</f>
        <v>2212.4287882368003</v>
      </c>
      <c r="AA538" s="195">
        <f t="shared" ca="1" si="120"/>
        <v>198530.47695962884</v>
      </c>
      <c r="AB538" s="195">
        <f t="shared" ca="1" si="121"/>
        <v>198530.47695962884</v>
      </c>
      <c r="AD538" s="196">
        <f>IFERROR($G538/SUMIF($A:$A,$A538,$G:$G)*SUMIF(Summary!$A$166:$A$242,$A538,Summary!$P$166:$P$242),0)</f>
        <v>104154.14454138189</v>
      </c>
      <c r="AE538" s="197">
        <f t="shared" ca="1" si="122"/>
        <v>94376.332418246951</v>
      </c>
      <c r="AF538" s="196">
        <f>IFERROR(G538/SUMIF(A:A,A538,G:G)*SUMIF(Summary!$A$166:$A$242,'Operations Support'!A538,Summary!$Q$166:$Q$242),0)</f>
        <v>104800.08363922054</v>
      </c>
      <c r="AG538" s="196">
        <f t="shared" ca="1" si="123"/>
        <v>93730.3933204083</v>
      </c>
      <c r="AI538" s="196">
        <f>IFERROR($G538/SUMIF($A:$A,$A538,$G:$G)*SUMIF(Summary!$A$247:$A$283,$A538,Summary!$P$247:$P$283),0)</f>
        <v>18995.116826643542</v>
      </c>
      <c r="AJ538" s="196">
        <f>IFERROR($G538/SUMIF($A:$A,$A538,$G:$G)*(SUMIF(Summary!$A$247:$A$283,$A538,Summary!$L$247:$L$283)+SUMIF(Summary!$A$297:$A$333,$A538,Summary!$L$297:$L$333))-AI538,0)</f>
        <v>27679.55742843046</v>
      </c>
      <c r="AK538" s="196">
        <f>IFERROR($G538/SUMIF($A:$A,$A538,$G:$G)*SUMIF(Summary!$A$247:$A$283,$A538,Summary!$Q$247:$Q$283),0)</f>
        <v>19112.919998858804</v>
      </c>
      <c r="AL538" s="196">
        <f>IFERROR($G538/SUMIF($A:$A,$A538,$G:$G)*(SUMIF(Summary!$A$247:$A$283,$A538,Summary!$L$247:$L$283)+SUMIF(Summary!$A$297:$A$333,$A538,Summary!$L$297:$L$333))-AK538,0)</f>
        <v>27561.754256215198</v>
      </c>
      <c r="AM538" s="198"/>
      <c r="AN538" s="196">
        <f t="shared" ca="1" si="124"/>
        <v>122055.88984667741</v>
      </c>
      <c r="AO538" s="196">
        <f t="shared" ca="1" si="125"/>
        <v>121292.14757662349</v>
      </c>
    </row>
    <row r="539" spans="1:41">
      <c r="A539" s="189">
        <v>3594</v>
      </c>
      <c r="B539" s="190">
        <v>1</v>
      </c>
      <c r="C539" s="191" t="s">
        <v>229</v>
      </c>
      <c r="D539" s="192">
        <f t="shared" si="112"/>
        <v>0</v>
      </c>
      <c r="E539" s="192">
        <f t="shared" si="113"/>
        <v>30</v>
      </c>
      <c r="F539" s="192">
        <f t="shared" si="114"/>
        <v>0</v>
      </c>
      <c r="G539" s="193">
        <f t="shared" si="115"/>
        <v>30</v>
      </c>
      <c r="H539" s="194">
        <v>0</v>
      </c>
      <c r="I539" s="194">
        <v>9</v>
      </c>
      <c r="J539" s="194">
        <v>0</v>
      </c>
      <c r="K539" s="193">
        <f t="shared" si="116"/>
        <v>9</v>
      </c>
      <c r="L539" s="194">
        <v>0</v>
      </c>
      <c r="M539" s="194">
        <v>21</v>
      </c>
      <c r="N539" s="194">
        <v>0</v>
      </c>
      <c r="O539" s="193">
        <f t="shared" si="117"/>
        <v>21</v>
      </c>
      <c r="P539" s="194">
        <v>0</v>
      </c>
      <c r="Q539" s="194">
        <v>0</v>
      </c>
      <c r="R539" s="194">
        <v>0</v>
      </c>
      <c r="S539" s="193">
        <f t="shared" si="118"/>
        <v>0</v>
      </c>
      <c r="T539" s="193">
        <f t="shared" si="119"/>
        <v>1</v>
      </c>
      <c r="U539" s="193">
        <f ca="1">OFFSET('Expenditure Study'!$B$7,'Operations Support'!$C539,'Operations Support'!$B539)*$G539</f>
        <v>99.9</v>
      </c>
      <c r="V539" s="199">
        <f ca="1">U539*'Expenditure Study'!$B$31</f>
        <v>5902.4097619200002</v>
      </c>
      <c r="W539" s="199">
        <f ca="1">IF(A539=10298,1.51,1)*IF($B539&lt;3,$D539*'Expenditure Study'!$B$32*OFFSET('Expenditure Study'!$B$7,'Operations Support'!$C539,'Operations Support'!$B539),0)</f>
        <v>0</v>
      </c>
      <c r="X539" s="200">
        <f ca="1">W539*'Expenditure Study'!$B$31</f>
        <v>0</v>
      </c>
      <c r="Y539" s="199">
        <f ca="1">U539*'Expenditure Study'!$B$31</f>
        <v>5902.4097619200002</v>
      </c>
      <c r="Z539" s="200">
        <f ca="1">W539*'Expenditure Study'!$B$31</f>
        <v>0</v>
      </c>
      <c r="AA539" s="195">
        <f t="shared" ca="1" si="120"/>
        <v>5902.4097619200002</v>
      </c>
      <c r="AB539" s="195">
        <f t="shared" ca="1" si="121"/>
        <v>5902.4097619200002</v>
      </c>
      <c r="AD539" s="196">
        <f>IFERROR($G539/SUMIF($A:$A,$A539,$G:$G)*SUMIF(Summary!$A$166:$A$242,$A539,Summary!$P$166:$P$242),0)</f>
        <v>1485.7937880368315</v>
      </c>
      <c r="AE539" s="197">
        <f t="shared" ca="1" si="122"/>
        <v>4416.6159738831684</v>
      </c>
      <c r="AF539" s="196">
        <f>IFERROR(G539/SUMIF(A:A,A539,G:G)*SUMIF(Summary!$A$166:$A$242,'Operations Support'!A539,Summary!$Q$166:$Q$242),0)</f>
        <v>1495.0083258091374</v>
      </c>
      <c r="AG539" s="196">
        <f t="shared" ca="1" si="123"/>
        <v>4407.401436110863</v>
      </c>
      <c r="AI539" s="196">
        <f>IFERROR($G539/SUMIF($A:$A,$A539,$G:$G)*SUMIF(Summary!$A$247:$A$283,$A539,Summary!$P$247:$P$283),0)</f>
        <v>270.97170936724024</v>
      </c>
      <c r="AJ539" s="196">
        <f>IFERROR($G539/SUMIF($A:$A,$A539,$G:$G)*(SUMIF(Summary!$A$247:$A$283,$A539,Summary!$L$247:$L$283)+SUMIF(Summary!$A$297:$A$333,$A539,Summary!$L$297:$L$333))-AI539,0)</f>
        <v>394.85816588345881</v>
      </c>
      <c r="AK539" s="196">
        <f>IFERROR($G539/SUMIF($A:$A,$A539,$G:$G)*SUMIF(Summary!$A$247:$A$283,$A539,Summary!$Q$247:$Q$283),0)</f>
        <v>272.65221111068195</v>
      </c>
      <c r="AL539" s="196">
        <f>IFERROR($G539/SUMIF($A:$A,$A539,$G:$G)*(SUMIF(Summary!$A$247:$A$283,$A539,Summary!$L$247:$L$283)+SUMIF(Summary!$A$297:$A$333,$A539,Summary!$L$297:$L$333))-AK539,0)</f>
        <v>393.1776641400171</v>
      </c>
      <c r="AM539" s="198"/>
      <c r="AN539" s="196">
        <f t="shared" ca="1" si="124"/>
        <v>4811.4741397666276</v>
      </c>
      <c r="AO539" s="196">
        <f t="shared" ca="1" si="125"/>
        <v>4800.5791002508804</v>
      </c>
    </row>
    <row r="540" spans="1:41">
      <c r="A540" s="189">
        <v>3594</v>
      </c>
      <c r="B540" s="190">
        <v>1</v>
      </c>
      <c r="C540" s="191" t="s">
        <v>230</v>
      </c>
      <c r="D540" s="192">
        <f t="shared" si="112"/>
        <v>0</v>
      </c>
      <c r="E540" s="192">
        <f t="shared" si="113"/>
        <v>0</v>
      </c>
      <c r="F540" s="192">
        <f t="shared" si="114"/>
        <v>0</v>
      </c>
      <c r="G540" s="193">
        <f t="shared" si="115"/>
        <v>0</v>
      </c>
      <c r="H540" s="194">
        <v>0</v>
      </c>
      <c r="I540" s="194">
        <v>0</v>
      </c>
      <c r="J540" s="194">
        <v>0</v>
      </c>
      <c r="K540" s="193">
        <f t="shared" si="116"/>
        <v>0</v>
      </c>
      <c r="L540" s="194">
        <v>0</v>
      </c>
      <c r="M540" s="194">
        <v>0</v>
      </c>
      <c r="N540" s="194">
        <v>0</v>
      </c>
      <c r="O540" s="193">
        <f t="shared" si="117"/>
        <v>0</v>
      </c>
      <c r="P540" s="194">
        <v>0</v>
      </c>
      <c r="Q540" s="194">
        <v>0</v>
      </c>
      <c r="R540" s="194">
        <v>0</v>
      </c>
      <c r="S540" s="193">
        <f t="shared" si="118"/>
        <v>0</v>
      </c>
      <c r="T540" s="193">
        <f t="shared" si="119"/>
        <v>0</v>
      </c>
      <c r="U540" s="193">
        <f ca="1">OFFSET('Expenditure Study'!$B$7,'Operations Support'!$C540,'Operations Support'!$B540)*$G540</f>
        <v>0</v>
      </c>
      <c r="V540" s="199">
        <f ca="1">U540*'Expenditure Study'!$B$31</f>
        <v>0</v>
      </c>
      <c r="W540" s="199">
        <f ca="1">IF(A540=10298,1.51,1)*IF($B540&lt;3,$D540*'Expenditure Study'!$B$32*OFFSET('Expenditure Study'!$B$7,'Operations Support'!$C540,'Operations Support'!$B540),0)</f>
        <v>0</v>
      </c>
      <c r="X540" s="200">
        <f ca="1">W540*'Expenditure Study'!$B$31</f>
        <v>0</v>
      </c>
      <c r="Y540" s="199">
        <f ca="1">U540*'Expenditure Study'!$B$31</f>
        <v>0</v>
      </c>
      <c r="Z540" s="200">
        <f ca="1">W540*'Expenditure Study'!$B$31</f>
        <v>0</v>
      </c>
      <c r="AA540" s="195">
        <f t="shared" ca="1" si="120"/>
        <v>0</v>
      </c>
      <c r="AB540" s="195">
        <f t="shared" ca="1" si="121"/>
        <v>0</v>
      </c>
      <c r="AD540" s="196">
        <f>IFERROR($G540/SUMIF($A:$A,$A540,$G:$G)*SUMIF(Summary!$A$166:$A$242,$A540,Summary!$P$166:$P$242),0)</f>
        <v>0</v>
      </c>
      <c r="AE540" s="197">
        <f t="shared" ca="1" si="122"/>
        <v>0</v>
      </c>
      <c r="AF540" s="196">
        <f>IFERROR(G540/SUMIF(A:A,A540,G:G)*SUMIF(Summary!$A$166:$A$242,'Operations Support'!A540,Summary!$Q$166:$Q$242),0)</f>
        <v>0</v>
      </c>
      <c r="AG540" s="196">
        <f t="shared" ca="1" si="123"/>
        <v>0</v>
      </c>
      <c r="AI540" s="196">
        <f>IFERROR($G540/SUMIF($A:$A,$A540,$G:$G)*SUMIF(Summary!$A$247:$A$283,$A540,Summary!$P$247:$P$283),0)</f>
        <v>0</v>
      </c>
      <c r="AJ540" s="196">
        <f>IFERROR($G540/SUMIF($A:$A,$A540,$G:$G)*(SUMIF(Summary!$A$247:$A$283,$A540,Summary!$L$247:$L$283)+SUMIF(Summary!$A$297:$A$333,$A540,Summary!$L$297:$L$333))-AI540,0)</f>
        <v>0</v>
      </c>
      <c r="AK540" s="196">
        <f>IFERROR($G540/SUMIF($A:$A,$A540,$G:$G)*SUMIF(Summary!$A$247:$A$283,$A540,Summary!$Q$247:$Q$283),0)</f>
        <v>0</v>
      </c>
      <c r="AL540" s="196">
        <f>IFERROR($G540/SUMIF($A:$A,$A540,$G:$G)*(SUMIF(Summary!$A$247:$A$283,$A540,Summary!$L$247:$L$283)+SUMIF(Summary!$A$297:$A$333,$A540,Summary!$L$297:$L$333))-AK540,0)</f>
        <v>0</v>
      </c>
      <c r="AM540" s="198"/>
      <c r="AN540" s="196">
        <f t="shared" ca="1" si="124"/>
        <v>0</v>
      </c>
      <c r="AO540" s="196">
        <f t="shared" ca="1" si="125"/>
        <v>0</v>
      </c>
    </row>
    <row r="541" spans="1:41">
      <c r="A541" s="189">
        <v>3594</v>
      </c>
      <c r="B541" s="190">
        <v>1</v>
      </c>
      <c r="C541" s="191" t="s">
        <v>231</v>
      </c>
      <c r="D541" s="192">
        <f t="shared" si="112"/>
        <v>0</v>
      </c>
      <c r="E541" s="192">
        <f t="shared" si="113"/>
        <v>0</v>
      </c>
      <c r="F541" s="192">
        <f t="shared" si="114"/>
        <v>0</v>
      </c>
      <c r="G541" s="193">
        <f t="shared" si="115"/>
        <v>0</v>
      </c>
      <c r="H541" s="194">
        <v>0</v>
      </c>
      <c r="I541" s="194">
        <v>0</v>
      </c>
      <c r="J541" s="194">
        <v>0</v>
      </c>
      <c r="K541" s="193">
        <f t="shared" si="116"/>
        <v>0</v>
      </c>
      <c r="L541" s="194">
        <v>0</v>
      </c>
      <c r="M541" s="194">
        <v>0</v>
      </c>
      <c r="N541" s="194">
        <v>0</v>
      </c>
      <c r="O541" s="193">
        <f t="shared" si="117"/>
        <v>0</v>
      </c>
      <c r="P541" s="194">
        <v>0</v>
      </c>
      <c r="Q541" s="194">
        <v>0</v>
      </c>
      <c r="R541" s="194">
        <v>0</v>
      </c>
      <c r="S541" s="193">
        <f t="shared" si="118"/>
        <v>0</v>
      </c>
      <c r="T541" s="193">
        <f t="shared" si="119"/>
        <v>0</v>
      </c>
      <c r="U541" s="193">
        <f ca="1">OFFSET('Expenditure Study'!$B$7,'Operations Support'!$C541,'Operations Support'!$B541)*$G541</f>
        <v>0</v>
      </c>
      <c r="V541" s="199">
        <f ca="1">U541*'Expenditure Study'!$B$31</f>
        <v>0</v>
      </c>
      <c r="W541" s="199">
        <f ca="1">IF(A541=10298,1.51,1)*IF($B541&lt;3,$D541*'Expenditure Study'!$B$32*OFFSET('Expenditure Study'!$B$7,'Operations Support'!$C541,'Operations Support'!$B541),0)</f>
        <v>0</v>
      </c>
      <c r="X541" s="200">
        <f ca="1">W541*'Expenditure Study'!$B$31</f>
        <v>0</v>
      </c>
      <c r="Y541" s="199">
        <f ca="1">U541*'Expenditure Study'!$B$31</f>
        <v>0</v>
      </c>
      <c r="Z541" s="200">
        <f ca="1">W541*'Expenditure Study'!$B$31</f>
        <v>0</v>
      </c>
      <c r="AA541" s="195">
        <f t="shared" ca="1" si="120"/>
        <v>0</v>
      </c>
      <c r="AB541" s="195">
        <f t="shared" ca="1" si="121"/>
        <v>0</v>
      </c>
      <c r="AD541" s="196">
        <f>IFERROR($G541/SUMIF($A:$A,$A541,$G:$G)*SUMIF(Summary!$A$166:$A$242,$A541,Summary!$P$166:$P$242),0)</f>
        <v>0</v>
      </c>
      <c r="AE541" s="197">
        <f t="shared" ca="1" si="122"/>
        <v>0</v>
      </c>
      <c r="AF541" s="196">
        <f>IFERROR(G541/SUMIF(A:A,A541,G:G)*SUMIF(Summary!$A$166:$A$242,'Operations Support'!A541,Summary!$Q$166:$Q$242),0)</f>
        <v>0</v>
      </c>
      <c r="AG541" s="196">
        <f t="shared" ca="1" si="123"/>
        <v>0</v>
      </c>
      <c r="AI541" s="196">
        <f>IFERROR($G541/SUMIF($A:$A,$A541,$G:$G)*SUMIF(Summary!$A$247:$A$283,$A541,Summary!$P$247:$P$283),0)</f>
        <v>0</v>
      </c>
      <c r="AJ541" s="196">
        <f>IFERROR($G541/SUMIF($A:$A,$A541,$G:$G)*(SUMIF(Summary!$A$247:$A$283,$A541,Summary!$L$247:$L$283)+SUMIF(Summary!$A$297:$A$333,$A541,Summary!$L$297:$L$333))-AI541,0)</f>
        <v>0</v>
      </c>
      <c r="AK541" s="196">
        <f>IFERROR($G541/SUMIF($A:$A,$A541,$G:$G)*SUMIF(Summary!$A$247:$A$283,$A541,Summary!$Q$247:$Q$283),0)</f>
        <v>0</v>
      </c>
      <c r="AL541" s="196">
        <f>IFERROR($G541/SUMIF($A:$A,$A541,$G:$G)*(SUMIF(Summary!$A$247:$A$283,$A541,Summary!$L$247:$L$283)+SUMIF(Summary!$A$297:$A$333,$A541,Summary!$L$297:$L$333))-AK541,0)</f>
        <v>0</v>
      </c>
      <c r="AM541" s="198"/>
      <c r="AN541" s="196">
        <f t="shared" ca="1" si="124"/>
        <v>0</v>
      </c>
      <c r="AO541" s="196">
        <f t="shared" ca="1" si="125"/>
        <v>0</v>
      </c>
    </row>
    <row r="542" spans="1:41">
      <c r="A542" s="189">
        <v>3594</v>
      </c>
      <c r="B542" s="190">
        <v>1</v>
      </c>
      <c r="C542" s="191" t="s">
        <v>232</v>
      </c>
      <c r="D542" s="192">
        <f t="shared" si="112"/>
        <v>0</v>
      </c>
      <c r="E542" s="192">
        <f t="shared" si="113"/>
        <v>0</v>
      </c>
      <c r="F542" s="192">
        <f t="shared" si="114"/>
        <v>0</v>
      </c>
      <c r="G542" s="193">
        <f t="shared" si="115"/>
        <v>0</v>
      </c>
      <c r="H542" s="194">
        <v>0</v>
      </c>
      <c r="I542" s="194">
        <v>0</v>
      </c>
      <c r="J542" s="194">
        <v>0</v>
      </c>
      <c r="K542" s="193">
        <f t="shared" si="116"/>
        <v>0</v>
      </c>
      <c r="L542" s="194">
        <v>0</v>
      </c>
      <c r="M542" s="194">
        <v>0</v>
      </c>
      <c r="N542" s="194">
        <v>0</v>
      </c>
      <c r="O542" s="193">
        <f t="shared" si="117"/>
        <v>0</v>
      </c>
      <c r="P542" s="194">
        <v>0</v>
      </c>
      <c r="Q542" s="194">
        <v>0</v>
      </c>
      <c r="R542" s="194">
        <v>0</v>
      </c>
      <c r="S542" s="193">
        <f t="shared" si="118"/>
        <v>0</v>
      </c>
      <c r="T542" s="193">
        <f t="shared" si="119"/>
        <v>0</v>
      </c>
      <c r="U542" s="193">
        <f ca="1">OFFSET('Expenditure Study'!$B$7,'Operations Support'!$C542,'Operations Support'!$B542)*$G542</f>
        <v>0</v>
      </c>
      <c r="V542" s="199">
        <f ca="1">U542*'Expenditure Study'!$B$31</f>
        <v>0</v>
      </c>
      <c r="W542" s="199">
        <f ca="1">IF(A542=10298,1.51,1)*IF($B542&lt;3,$D542*'Expenditure Study'!$B$32*OFFSET('Expenditure Study'!$B$7,'Operations Support'!$C542,'Operations Support'!$B542),0)</f>
        <v>0</v>
      </c>
      <c r="X542" s="200">
        <f ca="1">W542*'Expenditure Study'!$B$31</f>
        <v>0</v>
      </c>
      <c r="Y542" s="199">
        <f ca="1">U542*'Expenditure Study'!$B$31</f>
        <v>0</v>
      </c>
      <c r="Z542" s="200">
        <f ca="1">W542*'Expenditure Study'!$B$31</f>
        <v>0</v>
      </c>
      <c r="AA542" s="195">
        <f t="shared" ca="1" si="120"/>
        <v>0</v>
      </c>
      <c r="AB542" s="195">
        <f t="shared" ca="1" si="121"/>
        <v>0</v>
      </c>
      <c r="AD542" s="196">
        <f>IFERROR($G542/SUMIF($A:$A,$A542,$G:$G)*SUMIF(Summary!$A$166:$A$242,$A542,Summary!$P$166:$P$242),0)</f>
        <v>0</v>
      </c>
      <c r="AE542" s="197">
        <f t="shared" ca="1" si="122"/>
        <v>0</v>
      </c>
      <c r="AF542" s="196">
        <f>IFERROR(G542/SUMIF(A:A,A542,G:G)*SUMIF(Summary!$A$166:$A$242,'Operations Support'!A542,Summary!$Q$166:$Q$242),0)</f>
        <v>0</v>
      </c>
      <c r="AG542" s="196">
        <f t="shared" ca="1" si="123"/>
        <v>0</v>
      </c>
      <c r="AI542" s="196">
        <f>IFERROR($G542/SUMIF($A:$A,$A542,$G:$G)*SUMIF(Summary!$A$247:$A$283,$A542,Summary!$P$247:$P$283),0)</f>
        <v>0</v>
      </c>
      <c r="AJ542" s="196">
        <f>IFERROR($G542/SUMIF($A:$A,$A542,$G:$G)*(SUMIF(Summary!$A$247:$A$283,$A542,Summary!$L$247:$L$283)+SUMIF(Summary!$A$297:$A$333,$A542,Summary!$L$297:$L$333))-AI542,0)</f>
        <v>0</v>
      </c>
      <c r="AK542" s="196">
        <f>IFERROR($G542/SUMIF($A:$A,$A542,$G:$G)*SUMIF(Summary!$A$247:$A$283,$A542,Summary!$Q$247:$Q$283),0)</f>
        <v>0</v>
      </c>
      <c r="AL542" s="196">
        <f>IFERROR($G542/SUMIF($A:$A,$A542,$G:$G)*(SUMIF(Summary!$A$247:$A$283,$A542,Summary!$L$247:$L$283)+SUMIF(Summary!$A$297:$A$333,$A542,Summary!$L$297:$L$333))-AK542,0)</f>
        <v>0</v>
      </c>
      <c r="AM542" s="198"/>
      <c r="AN542" s="196">
        <f t="shared" ca="1" si="124"/>
        <v>0</v>
      </c>
      <c r="AO542" s="196">
        <f t="shared" ca="1" si="125"/>
        <v>0</v>
      </c>
    </row>
    <row r="543" spans="1:41">
      <c r="A543" s="189">
        <v>3594</v>
      </c>
      <c r="B543" s="190">
        <v>1</v>
      </c>
      <c r="C543" s="191" t="s">
        <v>233</v>
      </c>
      <c r="D543" s="192">
        <f t="shared" si="112"/>
        <v>4545</v>
      </c>
      <c r="E543" s="192">
        <f t="shared" si="113"/>
        <v>11391</v>
      </c>
      <c r="F543" s="192">
        <f t="shared" si="114"/>
        <v>0</v>
      </c>
      <c r="G543" s="193">
        <f t="shared" si="115"/>
        <v>15936</v>
      </c>
      <c r="H543" s="194">
        <v>1812</v>
      </c>
      <c r="I543" s="194">
        <v>5007</v>
      </c>
      <c r="J543" s="194">
        <v>0</v>
      </c>
      <c r="K543" s="193">
        <f t="shared" si="116"/>
        <v>6819</v>
      </c>
      <c r="L543" s="194">
        <v>1951.5</v>
      </c>
      <c r="M543" s="194">
        <v>5788.5</v>
      </c>
      <c r="N543" s="194">
        <v>0</v>
      </c>
      <c r="O543" s="193">
        <f t="shared" si="117"/>
        <v>7740</v>
      </c>
      <c r="P543" s="194">
        <v>781.5</v>
      </c>
      <c r="Q543" s="194">
        <v>595.5</v>
      </c>
      <c r="R543" s="194">
        <v>0</v>
      </c>
      <c r="S543" s="193">
        <f t="shared" si="118"/>
        <v>1377</v>
      </c>
      <c r="T543" s="193">
        <f t="shared" si="119"/>
        <v>531.20000000000005</v>
      </c>
      <c r="U543" s="193">
        <f ca="1">OFFSET('Expenditure Study'!$B$7,'Operations Support'!$C543,'Operations Support'!$B543)*$G543</f>
        <v>15298.56</v>
      </c>
      <c r="V543" s="199">
        <f ca="1">U543*'Expenditure Study'!$B$31</f>
        <v>903887.58645964798</v>
      </c>
      <c r="W543" s="199">
        <f ca="1">IF(A543=10298,1.51,1)*IF($B543&lt;3,$D543*'Expenditure Study'!$B$32*OFFSET('Expenditure Study'!$B$7,'Operations Support'!$C543,'Operations Support'!$B543),0)</f>
        <v>436.32</v>
      </c>
      <c r="X543" s="200">
        <f ca="1">W543*'Expenditure Study'!$B$31</f>
        <v>25779.173446656001</v>
      </c>
      <c r="Y543" s="199">
        <f ca="1">U543*'Expenditure Study'!$B$31</f>
        <v>903887.58645964798</v>
      </c>
      <c r="Z543" s="200">
        <f ca="1">W543*'Expenditure Study'!$B$31</f>
        <v>25779.173446656001</v>
      </c>
      <c r="AA543" s="195">
        <f t="shared" ca="1" si="120"/>
        <v>929666.75990630395</v>
      </c>
      <c r="AB543" s="195">
        <f t="shared" ca="1" si="121"/>
        <v>929666.75990630395</v>
      </c>
      <c r="AD543" s="196">
        <f>IFERROR($G543/SUMIF($A:$A,$A543,$G:$G)*SUMIF(Summary!$A$166:$A$242,$A543,Summary!$P$166:$P$242),0)</f>
        <v>789253.66020516481</v>
      </c>
      <c r="AE543" s="197">
        <f t="shared" ca="1" si="122"/>
        <v>140413.09970113914</v>
      </c>
      <c r="AF543" s="196">
        <f>IFERROR(G543/SUMIF(A:A,A543,G:G)*SUMIF(Summary!$A$166:$A$242,'Operations Support'!A543,Summary!$Q$166:$Q$242),0)</f>
        <v>794148.42266981385</v>
      </c>
      <c r="AG543" s="196">
        <f t="shared" ca="1" si="123"/>
        <v>135518.3372364901</v>
      </c>
      <c r="AI543" s="196">
        <f>IFERROR($G543/SUMIF($A:$A,$A543,$G:$G)*SUMIF(Summary!$A$247:$A$283,$A543,Summary!$P$247:$P$283),0)</f>
        <v>143940.17201587802</v>
      </c>
      <c r="AJ543" s="196">
        <f>IFERROR($G543/SUMIF($A:$A,$A543,$G:$G)*(SUMIF(Summary!$A$247:$A$283,$A543,Summary!$L$247:$L$283)+SUMIF(Summary!$A$297:$A$333,$A543,Summary!$L$297:$L$333))-AI543,0)</f>
        <v>209748.6577172933</v>
      </c>
      <c r="AK543" s="196">
        <f>IFERROR($G543/SUMIF($A:$A,$A543,$G:$G)*SUMIF(Summary!$A$247:$A$283,$A543,Summary!$Q$247:$Q$283),0)</f>
        <v>144832.85454199422</v>
      </c>
      <c r="AL543" s="196">
        <f>IFERROR($G543/SUMIF($A:$A,$A543,$G:$G)*(SUMIF(Summary!$A$247:$A$283,$A543,Summary!$L$247:$L$283)+SUMIF(Summary!$A$297:$A$333,$A543,Summary!$L$297:$L$333))-AK543,0)</f>
        <v>208855.9751911771</v>
      </c>
      <c r="AM543" s="198"/>
      <c r="AN543" s="196">
        <f t="shared" ca="1" si="124"/>
        <v>350161.75741843245</v>
      </c>
      <c r="AO543" s="196">
        <f t="shared" ca="1" si="125"/>
        <v>344374.3124276672</v>
      </c>
    </row>
    <row r="544" spans="1:41">
      <c r="A544" s="189">
        <v>3594</v>
      </c>
      <c r="B544" s="190">
        <v>1</v>
      </c>
      <c r="C544" s="191" t="s">
        <v>234</v>
      </c>
      <c r="D544" s="192">
        <f t="shared" si="112"/>
        <v>0</v>
      </c>
      <c r="E544" s="192">
        <f t="shared" si="113"/>
        <v>0</v>
      </c>
      <c r="F544" s="192">
        <f t="shared" si="114"/>
        <v>0</v>
      </c>
      <c r="G544" s="193">
        <f t="shared" si="115"/>
        <v>0</v>
      </c>
      <c r="H544" s="194">
        <v>0</v>
      </c>
      <c r="I544" s="194">
        <v>0</v>
      </c>
      <c r="J544" s="194">
        <v>0</v>
      </c>
      <c r="K544" s="193">
        <f t="shared" si="116"/>
        <v>0</v>
      </c>
      <c r="L544" s="194">
        <v>0</v>
      </c>
      <c r="M544" s="194">
        <v>0</v>
      </c>
      <c r="N544" s="194">
        <v>0</v>
      </c>
      <c r="O544" s="193">
        <f t="shared" si="117"/>
        <v>0</v>
      </c>
      <c r="P544" s="194">
        <v>0</v>
      </c>
      <c r="Q544" s="194">
        <v>0</v>
      </c>
      <c r="R544" s="194">
        <v>0</v>
      </c>
      <c r="S544" s="193">
        <f t="shared" si="118"/>
        <v>0</v>
      </c>
      <c r="T544" s="193">
        <f t="shared" si="119"/>
        <v>0</v>
      </c>
      <c r="U544" s="193">
        <f ca="1">OFFSET('Expenditure Study'!$B$7,'Operations Support'!$C544,'Operations Support'!$B544)*$G544</f>
        <v>0</v>
      </c>
      <c r="V544" s="199">
        <f ca="1">U544*'Expenditure Study'!$B$31</f>
        <v>0</v>
      </c>
      <c r="W544" s="199">
        <f ca="1">IF(A544=10298,1.51,1)*IF($B544&lt;3,$D544*'Expenditure Study'!$B$32*OFFSET('Expenditure Study'!$B$7,'Operations Support'!$C544,'Operations Support'!$B544),0)</f>
        <v>0</v>
      </c>
      <c r="X544" s="200">
        <f ca="1">W544*'Expenditure Study'!$B$31</f>
        <v>0</v>
      </c>
      <c r="Y544" s="199">
        <f ca="1">U544*'Expenditure Study'!$B$31</f>
        <v>0</v>
      </c>
      <c r="Z544" s="200">
        <f ca="1">W544*'Expenditure Study'!$B$31</f>
        <v>0</v>
      </c>
      <c r="AA544" s="195">
        <f t="shared" ca="1" si="120"/>
        <v>0</v>
      </c>
      <c r="AB544" s="195">
        <f t="shared" ca="1" si="121"/>
        <v>0</v>
      </c>
      <c r="AD544" s="196">
        <f>IFERROR($G544/SUMIF($A:$A,$A544,$G:$G)*SUMIF(Summary!$A$166:$A$242,$A544,Summary!$P$166:$P$242),0)</f>
        <v>0</v>
      </c>
      <c r="AE544" s="197">
        <f t="shared" ca="1" si="122"/>
        <v>0</v>
      </c>
      <c r="AF544" s="196">
        <f>IFERROR(G544/SUMIF(A:A,A544,G:G)*SUMIF(Summary!$A$166:$A$242,'Operations Support'!A544,Summary!$Q$166:$Q$242),0)</f>
        <v>0</v>
      </c>
      <c r="AG544" s="196">
        <f t="shared" ca="1" si="123"/>
        <v>0</v>
      </c>
      <c r="AI544" s="196">
        <f>IFERROR($G544/SUMIF($A:$A,$A544,$G:$G)*SUMIF(Summary!$A$247:$A$283,$A544,Summary!$P$247:$P$283),0)</f>
        <v>0</v>
      </c>
      <c r="AJ544" s="196">
        <f>IFERROR($G544/SUMIF($A:$A,$A544,$G:$G)*(SUMIF(Summary!$A$247:$A$283,$A544,Summary!$L$247:$L$283)+SUMIF(Summary!$A$297:$A$333,$A544,Summary!$L$297:$L$333))-AI544,0)</f>
        <v>0</v>
      </c>
      <c r="AK544" s="196">
        <f>IFERROR($G544/SUMIF($A:$A,$A544,$G:$G)*SUMIF(Summary!$A$247:$A$283,$A544,Summary!$Q$247:$Q$283),0)</f>
        <v>0</v>
      </c>
      <c r="AL544" s="196">
        <f>IFERROR($G544/SUMIF($A:$A,$A544,$G:$G)*(SUMIF(Summary!$A$247:$A$283,$A544,Summary!$L$247:$L$283)+SUMIF(Summary!$A$297:$A$333,$A544,Summary!$L$297:$L$333))-AK544,0)</f>
        <v>0</v>
      </c>
      <c r="AM544" s="198"/>
      <c r="AN544" s="196">
        <f t="shared" ca="1" si="124"/>
        <v>0</v>
      </c>
      <c r="AO544" s="196">
        <f t="shared" ca="1" si="125"/>
        <v>0</v>
      </c>
    </row>
    <row r="545" spans="1:41">
      <c r="A545" s="189">
        <v>3594</v>
      </c>
      <c r="B545" s="190">
        <v>1</v>
      </c>
      <c r="C545" s="191" t="s">
        <v>235</v>
      </c>
      <c r="D545" s="192">
        <f t="shared" si="112"/>
        <v>7047</v>
      </c>
      <c r="E545" s="192">
        <f t="shared" si="113"/>
        <v>30986</v>
      </c>
      <c r="F545" s="192">
        <f t="shared" si="114"/>
        <v>0</v>
      </c>
      <c r="G545" s="193">
        <f t="shared" si="115"/>
        <v>38033</v>
      </c>
      <c r="H545" s="194">
        <v>2861</v>
      </c>
      <c r="I545" s="194">
        <v>14256</v>
      </c>
      <c r="J545" s="194">
        <v>0</v>
      </c>
      <c r="K545" s="193">
        <f t="shared" si="116"/>
        <v>17117</v>
      </c>
      <c r="L545" s="194">
        <v>3151</v>
      </c>
      <c r="M545" s="194">
        <v>15200</v>
      </c>
      <c r="N545" s="194">
        <v>0</v>
      </c>
      <c r="O545" s="193">
        <f t="shared" si="117"/>
        <v>18351</v>
      </c>
      <c r="P545" s="194">
        <v>1035</v>
      </c>
      <c r="Q545" s="194">
        <v>1530</v>
      </c>
      <c r="R545" s="194">
        <v>0</v>
      </c>
      <c r="S545" s="193">
        <f t="shared" si="118"/>
        <v>2565</v>
      </c>
      <c r="T545" s="193">
        <f t="shared" si="119"/>
        <v>1267.7666666666667</v>
      </c>
      <c r="U545" s="193">
        <f ca="1">OFFSET('Expenditure Study'!$B$7,'Operations Support'!$C545,'Operations Support'!$B545)*$G545</f>
        <v>41836.300000000003</v>
      </c>
      <c r="V545" s="199">
        <f ca="1">U545*'Expenditure Study'!$B$31</f>
        <v>2471821.6769030401</v>
      </c>
      <c r="W545" s="199">
        <f ca="1">IF(A545=10298,1.51,1)*IF($B545&lt;3,$D545*'Expenditure Study'!$B$32*OFFSET('Expenditure Study'!$B$7,'Operations Support'!$C545,'Operations Support'!$B545),0)</f>
        <v>775.17000000000007</v>
      </c>
      <c r="X545" s="200">
        <f ca="1">W545*'Expenditure Study'!$B$31</f>
        <v>45799.509260736006</v>
      </c>
      <c r="Y545" s="199">
        <f ca="1">U545*'Expenditure Study'!$B$31</f>
        <v>2471821.6769030401</v>
      </c>
      <c r="Z545" s="200">
        <f ca="1">W545*'Expenditure Study'!$B$31</f>
        <v>45799.509260736006</v>
      </c>
      <c r="AA545" s="195">
        <f t="shared" ca="1" si="120"/>
        <v>2517621.1861637761</v>
      </c>
      <c r="AB545" s="195">
        <f t="shared" ca="1" si="121"/>
        <v>2517621.1861637761</v>
      </c>
      <c r="AD545" s="196">
        <f>IFERROR($G545/SUMIF($A:$A,$A545,$G:$G)*SUMIF(Summary!$A$166:$A$242,$A545,Summary!$P$166:$P$242),0)</f>
        <v>1883639.8380134939</v>
      </c>
      <c r="AE545" s="197">
        <f t="shared" ca="1" si="122"/>
        <v>633981.34815028217</v>
      </c>
      <c r="AF545" s="196">
        <f>IFERROR(G545/SUMIF(A:A,A545,G:G)*SUMIF(Summary!$A$166:$A$242,'Operations Support'!A545,Summary!$Q$166:$Q$242),0)</f>
        <v>1895321.7218499642</v>
      </c>
      <c r="AG545" s="196">
        <f t="shared" ca="1" si="123"/>
        <v>622299.46431381186</v>
      </c>
      <c r="AI545" s="196">
        <f>IFERROR($G545/SUMIF($A:$A,$A545,$G:$G)*SUMIF(Summary!$A$247:$A$283,$A545,Summary!$P$247:$P$283),0)</f>
        <v>343528.90074547497</v>
      </c>
      <c r="AJ545" s="196">
        <f>IFERROR($G545/SUMIF($A:$A,$A545,$G:$G)*(SUMIF(Summary!$A$247:$A$283,$A545,Summary!$L$247:$L$283)+SUMIF(Summary!$A$297:$A$333,$A545,Summary!$L$297:$L$333))-AI545,0)</f>
        <v>500588.02076818631</v>
      </c>
      <c r="AK545" s="196">
        <f>IFERROR($G545/SUMIF($A:$A,$A545,$G:$G)*SUMIF(Summary!$A$247:$A$283,$A545,Summary!$Q$247:$Q$283),0)</f>
        <v>345659.38483908557</v>
      </c>
      <c r="AL545" s="196">
        <f>IFERROR($G545/SUMIF($A:$A,$A545,$G:$G)*(SUMIF(Summary!$A$247:$A$283,$A545,Summary!$L$247:$L$283)+SUMIF(Summary!$A$297:$A$333,$A545,Summary!$L$297:$L$333))-AK545,0)</f>
        <v>498457.53667457571</v>
      </c>
      <c r="AM545" s="198"/>
      <c r="AN545" s="196">
        <f t="shared" ca="1" si="124"/>
        <v>1134569.3689184685</v>
      </c>
      <c r="AO545" s="196">
        <f t="shared" ca="1" si="125"/>
        <v>1120757.0009883875</v>
      </c>
    </row>
    <row r="546" spans="1:41">
      <c r="A546" s="189">
        <v>3594</v>
      </c>
      <c r="B546" s="190">
        <v>1</v>
      </c>
      <c r="C546" s="191" t="s">
        <v>236</v>
      </c>
      <c r="D546" s="192">
        <f t="shared" si="112"/>
        <v>0</v>
      </c>
      <c r="E546" s="192">
        <f t="shared" si="113"/>
        <v>0</v>
      </c>
      <c r="F546" s="192">
        <f t="shared" si="114"/>
        <v>0</v>
      </c>
      <c r="G546" s="193">
        <f t="shared" si="115"/>
        <v>0</v>
      </c>
      <c r="H546" s="194">
        <v>0</v>
      </c>
      <c r="I546" s="194">
        <v>0</v>
      </c>
      <c r="J546" s="194">
        <v>0</v>
      </c>
      <c r="K546" s="193">
        <f t="shared" si="116"/>
        <v>0</v>
      </c>
      <c r="L546" s="194">
        <v>0</v>
      </c>
      <c r="M546" s="194">
        <v>0</v>
      </c>
      <c r="N546" s="194">
        <v>0</v>
      </c>
      <c r="O546" s="193">
        <f t="shared" si="117"/>
        <v>0</v>
      </c>
      <c r="P546" s="194">
        <v>0</v>
      </c>
      <c r="Q546" s="194">
        <v>0</v>
      </c>
      <c r="R546" s="194">
        <v>0</v>
      </c>
      <c r="S546" s="193">
        <f t="shared" si="118"/>
        <v>0</v>
      </c>
      <c r="T546" s="193">
        <f t="shared" si="119"/>
        <v>0</v>
      </c>
      <c r="U546" s="193">
        <f ca="1">OFFSET('Expenditure Study'!$B$7,'Operations Support'!$C546,'Operations Support'!$B546)*$G546</f>
        <v>0</v>
      </c>
      <c r="V546" s="199">
        <f ca="1">U546*'Expenditure Study'!$B$31</f>
        <v>0</v>
      </c>
      <c r="W546" s="199">
        <f ca="1">IF(A546=10298,1.51,1)*IF($B546&lt;3,$D546*'Expenditure Study'!$B$32*OFFSET('Expenditure Study'!$B$7,'Operations Support'!$C546,'Operations Support'!$B546),0)</f>
        <v>0</v>
      </c>
      <c r="X546" s="200">
        <f ca="1">W546*'Expenditure Study'!$B$31</f>
        <v>0</v>
      </c>
      <c r="Y546" s="199">
        <f ca="1">U546*'Expenditure Study'!$B$31</f>
        <v>0</v>
      </c>
      <c r="Z546" s="200">
        <f ca="1">W546*'Expenditure Study'!$B$31</f>
        <v>0</v>
      </c>
      <c r="AA546" s="195">
        <f t="shared" ca="1" si="120"/>
        <v>0</v>
      </c>
      <c r="AB546" s="195">
        <f t="shared" ca="1" si="121"/>
        <v>0</v>
      </c>
      <c r="AD546" s="196">
        <f>IFERROR($G546/SUMIF($A:$A,$A546,$G:$G)*SUMIF(Summary!$A$166:$A$242,$A546,Summary!$P$166:$P$242),0)</f>
        <v>0</v>
      </c>
      <c r="AE546" s="197">
        <f t="shared" ca="1" si="122"/>
        <v>0</v>
      </c>
      <c r="AF546" s="196">
        <f>IFERROR(G546/SUMIF(A:A,A546,G:G)*SUMIF(Summary!$A$166:$A$242,'Operations Support'!A546,Summary!$Q$166:$Q$242),0)</f>
        <v>0</v>
      </c>
      <c r="AG546" s="196">
        <f t="shared" ca="1" si="123"/>
        <v>0</v>
      </c>
      <c r="AI546" s="196">
        <f>IFERROR($G546/SUMIF($A:$A,$A546,$G:$G)*SUMIF(Summary!$A$247:$A$283,$A546,Summary!$P$247:$P$283),0)</f>
        <v>0</v>
      </c>
      <c r="AJ546" s="196">
        <f>IFERROR($G546/SUMIF($A:$A,$A546,$G:$G)*(SUMIF(Summary!$A$247:$A$283,$A546,Summary!$L$247:$L$283)+SUMIF(Summary!$A$297:$A$333,$A546,Summary!$L$297:$L$333))-AI546,0)</f>
        <v>0</v>
      </c>
      <c r="AK546" s="196">
        <f>IFERROR($G546/SUMIF($A:$A,$A546,$G:$G)*SUMIF(Summary!$A$247:$A$283,$A546,Summary!$Q$247:$Q$283),0)</f>
        <v>0</v>
      </c>
      <c r="AL546" s="196">
        <f>IFERROR($G546/SUMIF($A:$A,$A546,$G:$G)*(SUMIF(Summary!$A$247:$A$283,$A546,Summary!$L$247:$L$283)+SUMIF(Summary!$A$297:$A$333,$A546,Summary!$L$297:$L$333))-AK546,0)</f>
        <v>0</v>
      </c>
      <c r="AM546" s="198"/>
      <c r="AN546" s="196">
        <f t="shared" ca="1" si="124"/>
        <v>0</v>
      </c>
      <c r="AO546" s="196">
        <f t="shared" ca="1" si="125"/>
        <v>0</v>
      </c>
    </row>
    <row r="547" spans="1:41">
      <c r="A547" s="189">
        <v>3594</v>
      </c>
      <c r="B547" s="190">
        <v>1</v>
      </c>
      <c r="C547" s="191" t="s">
        <v>237</v>
      </c>
      <c r="D547" s="192">
        <f t="shared" si="112"/>
        <v>0</v>
      </c>
      <c r="E547" s="192">
        <f t="shared" si="113"/>
        <v>0</v>
      </c>
      <c r="F547" s="192">
        <f t="shared" si="114"/>
        <v>0</v>
      </c>
      <c r="G547" s="193">
        <f t="shared" si="115"/>
        <v>0</v>
      </c>
      <c r="H547" s="194">
        <v>0</v>
      </c>
      <c r="I547" s="194">
        <v>0</v>
      </c>
      <c r="J547" s="194">
        <v>0</v>
      </c>
      <c r="K547" s="193">
        <f t="shared" si="116"/>
        <v>0</v>
      </c>
      <c r="L547" s="194">
        <v>0</v>
      </c>
      <c r="M547" s="194">
        <v>0</v>
      </c>
      <c r="N547" s="194">
        <v>0</v>
      </c>
      <c r="O547" s="193">
        <f t="shared" si="117"/>
        <v>0</v>
      </c>
      <c r="P547" s="194">
        <v>0</v>
      </c>
      <c r="Q547" s="194">
        <v>0</v>
      </c>
      <c r="R547" s="194">
        <v>0</v>
      </c>
      <c r="S547" s="193">
        <f t="shared" si="118"/>
        <v>0</v>
      </c>
      <c r="T547" s="193">
        <f t="shared" si="119"/>
        <v>0</v>
      </c>
      <c r="U547" s="193">
        <f ca="1">OFFSET('Expenditure Study'!$B$7,'Operations Support'!$C547,'Operations Support'!$B547)*$G547</f>
        <v>0</v>
      </c>
      <c r="V547" s="199">
        <f ca="1">U547*'Expenditure Study'!$B$31</f>
        <v>0</v>
      </c>
      <c r="W547" s="199">
        <f ca="1">IF(A547=10298,1.51,1)*IF($B547&lt;3,$D547*'Expenditure Study'!$B$32*OFFSET('Expenditure Study'!$B$7,'Operations Support'!$C547,'Operations Support'!$B547),0)</f>
        <v>0</v>
      </c>
      <c r="X547" s="200">
        <f ca="1">W547*'Expenditure Study'!$B$31</f>
        <v>0</v>
      </c>
      <c r="Y547" s="199">
        <f ca="1">U547*'Expenditure Study'!$B$31</f>
        <v>0</v>
      </c>
      <c r="Z547" s="200">
        <f ca="1">W547*'Expenditure Study'!$B$31</f>
        <v>0</v>
      </c>
      <c r="AA547" s="195">
        <f t="shared" ca="1" si="120"/>
        <v>0</v>
      </c>
      <c r="AB547" s="195">
        <f t="shared" ca="1" si="121"/>
        <v>0</v>
      </c>
      <c r="AD547" s="196">
        <f>IFERROR($G547/SUMIF($A:$A,$A547,$G:$G)*SUMIF(Summary!$A$166:$A$242,$A547,Summary!$P$166:$P$242),0)</f>
        <v>0</v>
      </c>
      <c r="AE547" s="197">
        <f t="shared" ca="1" si="122"/>
        <v>0</v>
      </c>
      <c r="AF547" s="196">
        <f>IFERROR(G547/SUMIF(A:A,A547,G:G)*SUMIF(Summary!$A$166:$A$242,'Operations Support'!A547,Summary!$Q$166:$Q$242),0)</f>
        <v>0</v>
      </c>
      <c r="AG547" s="196">
        <f t="shared" ca="1" si="123"/>
        <v>0</v>
      </c>
      <c r="AI547" s="196">
        <f>IFERROR($G547/SUMIF($A:$A,$A547,$G:$G)*SUMIF(Summary!$A$247:$A$283,$A547,Summary!$P$247:$P$283),0)</f>
        <v>0</v>
      </c>
      <c r="AJ547" s="196">
        <f>IFERROR($G547/SUMIF($A:$A,$A547,$G:$G)*(SUMIF(Summary!$A$247:$A$283,$A547,Summary!$L$247:$L$283)+SUMIF(Summary!$A$297:$A$333,$A547,Summary!$L$297:$L$333))-AI547,0)</f>
        <v>0</v>
      </c>
      <c r="AK547" s="196">
        <f>IFERROR($G547/SUMIF($A:$A,$A547,$G:$G)*SUMIF(Summary!$A$247:$A$283,$A547,Summary!$Q$247:$Q$283),0)</f>
        <v>0</v>
      </c>
      <c r="AL547" s="196">
        <f>IFERROR($G547/SUMIF($A:$A,$A547,$G:$G)*(SUMIF(Summary!$A$247:$A$283,$A547,Summary!$L$247:$L$283)+SUMIF(Summary!$A$297:$A$333,$A547,Summary!$L$297:$L$333))-AK547,0)</f>
        <v>0</v>
      </c>
      <c r="AM547" s="198"/>
      <c r="AN547" s="196">
        <f t="shared" ca="1" si="124"/>
        <v>0</v>
      </c>
      <c r="AO547" s="196">
        <f t="shared" ca="1" si="125"/>
        <v>0</v>
      </c>
    </row>
    <row r="548" spans="1:41">
      <c r="A548" s="189">
        <v>3594</v>
      </c>
      <c r="B548" s="190">
        <v>1</v>
      </c>
      <c r="C548" s="191" t="s">
        <v>238</v>
      </c>
      <c r="D548" s="192">
        <f t="shared" si="112"/>
        <v>552</v>
      </c>
      <c r="E548" s="192">
        <f t="shared" si="113"/>
        <v>2348</v>
      </c>
      <c r="F548" s="192">
        <f t="shared" si="114"/>
        <v>0</v>
      </c>
      <c r="G548" s="193">
        <f t="shared" si="115"/>
        <v>2900</v>
      </c>
      <c r="H548" s="194">
        <v>285</v>
      </c>
      <c r="I548" s="194">
        <v>1014</v>
      </c>
      <c r="J548" s="194">
        <v>0</v>
      </c>
      <c r="K548" s="193">
        <f t="shared" si="116"/>
        <v>1299</v>
      </c>
      <c r="L548" s="194">
        <v>261</v>
      </c>
      <c r="M548" s="194">
        <v>1258</v>
      </c>
      <c r="N548" s="194">
        <v>0</v>
      </c>
      <c r="O548" s="193">
        <f t="shared" si="117"/>
        <v>1519</v>
      </c>
      <c r="P548" s="194">
        <v>6</v>
      </c>
      <c r="Q548" s="194">
        <v>76</v>
      </c>
      <c r="R548" s="194">
        <v>0</v>
      </c>
      <c r="S548" s="193">
        <f t="shared" si="118"/>
        <v>82</v>
      </c>
      <c r="T548" s="193">
        <f t="shared" si="119"/>
        <v>96.666666666666671</v>
      </c>
      <c r="U548" s="193">
        <f ca="1">OFFSET('Expenditure Study'!$B$7,'Operations Support'!$C548,'Operations Support'!$B548)*$G548</f>
        <v>5162</v>
      </c>
      <c r="V548" s="199">
        <f ca="1">U548*'Expenditure Study'!$B$31</f>
        <v>304987.37928960001</v>
      </c>
      <c r="W548" s="199">
        <f ca="1">IF(A548=10298,1.51,1)*IF($B548&lt;3,$D548*'Expenditure Study'!$B$32*OFFSET('Expenditure Study'!$B$7,'Operations Support'!$C548,'Operations Support'!$B548),0)</f>
        <v>98.256</v>
      </c>
      <c r="X548" s="200">
        <f ca="1">W548*'Expenditure Study'!$B$31</f>
        <v>5805.2770126848</v>
      </c>
      <c r="Y548" s="199">
        <f ca="1">U548*'Expenditure Study'!$B$31</f>
        <v>304987.37928960001</v>
      </c>
      <c r="Z548" s="200">
        <f ca="1">W548*'Expenditure Study'!$B$31</f>
        <v>5805.2770126848</v>
      </c>
      <c r="AA548" s="195">
        <f t="shared" ca="1" si="120"/>
        <v>310792.6563022848</v>
      </c>
      <c r="AB548" s="195">
        <f t="shared" ca="1" si="121"/>
        <v>310792.6563022848</v>
      </c>
      <c r="AD548" s="196">
        <f>IFERROR($G548/SUMIF($A:$A,$A548,$G:$G)*SUMIF(Summary!$A$166:$A$242,$A548,Summary!$P$166:$P$242),0)</f>
        <v>143626.73284356037</v>
      </c>
      <c r="AE548" s="197">
        <f t="shared" ca="1" si="122"/>
        <v>167165.92345872443</v>
      </c>
      <c r="AF548" s="196">
        <f>IFERROR(G548/SUMIF(A:A,A548,G:G)*SUMIF(Summary!$A$166:$A$242,'Operations Support'!A548,Summary!$Q$166:$Q$242),0)</f>
        <v>144517.4714948833</v>
      </c>
      <c r="AG548" s="196">
        <f t="shared" ca="1" si="123"/>
        <v>166275.1848074015</v>
      </c>
      <c r="AI548" s="196">
        <f>IFERROR($G548/SUMIF($A:$A,$A548,$G:$G)*SUMIF(Summary!$A$247:$A$283,$A548,Summary!$P$247:$P$283),0)</f>
        <v>26193.931905499892</v>
      </c>
      <c r="AJ548" s="196">
        <f>IFERROR($G548/SUMIF($A:$A,$A548,$G:$G)*(SUMIF(Summary!$A$247:$A$283,$A548,Summary!$L$247:$L$283)+SUMIF(Summary!$A$297:$A$333,$A548,Summary!$L$297:$L$333))-AI548,0)</f>
        <v>38169.622702067689</v>
      </c>
      <c r="AK548" s="196">
        <f>IFERROR($G548/SUMIF($A:$A,$A548,$G:$G)*SUMIF(Summary!$A$247:$A$283,$A548,Summary!$Q$247:$Q$283),0)</f>
        <v>26356.380407365923</v>
      </c>
      <c r="AL548" s="196">
        <f>IFERROR($G548/SUMIF($A:$A,$A548,$G:$G)*(SUMIF(Summary!$A$247:$A$283,$A548,Summary!$L$247:$L$283)+SUMIF(Summary!$A$297:$A$333,$A548,Summary!$L$297:$L$333))-AK548,0)</f>
        <v>38007.174200201654</v>
      </c>
      <c r="AM548" s="198"/>
      <c r="AN548" s="196">
        <f t="shared" ca="1" si="124"/>
        <v>205335.54616079212</v>
      </c>
      <c r="AO548" s="196">
        <f t="shared" ca="1" si="125"/>
        <v>204282.35900760314</v>
      </c>
    </row>
    <row r="549" spans="1:41">
      <c r="A549" s="189">
        <v>3594</v>
      </c>
      <c r="B549" s="190">
        <v>1</v>
      </c>
      <c r="C549" s="191" t="s">
        <v>239</v>
      </c>
      <c r="D549" s="192">
        <f t="shared" si="112"/>
        <v>0</v>
      </c>
      <c r="E549" s="192">
        <f t="shared" si="113"/>
        <v>0</v>
      </c>
      <c r="F549" s="192">
        <f t="shared" si="114"/>
        <v>0</v>
      </c>
      <c r="G549" s="193">
        <f t="shared" si="115"/>
        <v>0</v>
      </c>
      <c r="H549" s="194">
        <v>0</v>
      </c>
      <c r="I549" s="194">
        <v>0</v>
      </c>
      <c r="J549" s="194">
        <v>0</v>
      </c>
      <c r="K549" s="193">
        <f t="shared" si="116"/>
        <v>0</v>
      </c>
      <c r="L549" s="194">
        <v>0</v>
      </c>
      <c r="M549" s="194">
        <v>0</v>
      </c>
      <c r="N549" s="194">
        <v>0</v>
      </c>
      <c r="O549" s="193">
        <f t="shared" si="117"/>
        <v>0</v>
      </c>
      <c r="P549" s="194">
        <v>0</v>
      </c>
      <c r="Q549" s="194">
        <v>0</v>
      </c>
      <c r="R549" s="194">
        <v>0</v>
      </c>
      <c r="S549" s="193">
        <f t="shared" si="118"/>
        <v>0</v>
      </c>
      <c r="T549" s="193">
        <f t="shared" si="119"/>
        <v>0</v>
      </c>
      <c r="U549" s="193">
        <f ca="1">OFFSET('Expenditure Study'!$B$7,'Operations Support'!$C549,'Operations Support'!$B549)*$G549</f>
        <v>0</v>
      </c>
      <c r="V549" s="199">
        <f ca="1">U549*'Expenditure Study'!$B$31</f>
        <v>0</v>
      </c>
      <c r="W549" s="199">
        <f ca="1">IF(A549=10298,1.51,1)*IF($B549&lt;3,$D549*'Expenditure Study'!$B$32*OFFSET('Expenditure Study'!$B$7,'Operations Support'!$C549,'Operations Support'!$B549),0)</f>
        <v>0</v>
      </c>
      <c r="X549" s="200">
        <f ca="1">W549*'Expenditure Study'!$B$31</f>
        <v>0</v>
      </c>
      <c r="Y549" s="199">
        <f ca="1">U549*'Expenditure Study'!$B$31</f>
        <v>0</v>
      </c>
      <c r="Z549" s="200">
        <f ca="1">W549*'Expenditure Study'!$B$31</f>
        <v>0</v>
      </c>
      <c r="AA549" s="195">
        <f t="shared" ca="1" si="120"/>
        <v>0</v>
      </c>
      <c r="AB549" s="195">
        <f t="shared" ca="1" si="121"/>
        <v>0</v>
      </c>
      <c r="AD549" s="196">
        <f>IFERROR($G549/SUMIF($A:$A,$A549,$G:$G)*SUMIF(Summary!$A$166:$A$242,$A549,Summary!$P$166:$P$242),0)</f>
        <v>0</v>
      </c>
      <c r="AE549" s="197">
        <f t="shared" ca="1" si="122"/>
        <v>0</v>
      </c>
      <c r="AF549" s="196">
        <f>IFERROR(G549/SUMIF(A:A,A549,G:G)*SUMIF(Summary!$A$166:$A$242,'Operations Support'!A549,Summary!$Q$166:$Q$242),0)</f>
        <v>0</v>
      </c>
      <c r="AG549" s="196">
        <f t="shared" ca="1" si="123"/>
        <v>0</v>
      </c>
      <c r="AI549" s="196">
        <f>IFERROR($G549/SUMIF($A:$A,$A549,$G:$G)*SUMIF(Summary!$A$247:$A$283,$A549,Summary!$P$247:$P$283),0)</f>
        <v>0</v>
      </c>
      <c r="AJ549" s="196">
        <f>IFERROR($G549/SUMIF($A:$A,$A549,$G:$G)*(SUMIF(Summary!$A$247:$A$283,$A549,Summary!$L$247:$L$283)+SUMIF(Summary!$A$297:$A$333,$A549,Summary!$L$297:$L$333))-AI549,0)</f>
        <v>0</v>
      </c>
      <c r="AK549" s="196">
        <f>IFERROR($G549/SUMIF($A:$A,$A549,$G:$G)*SUMIF(Summary!$A$247:$A$283,$A549,Summary!$Q$247:$Q$283),0)</f>
        <v>0</v>
      </c>
      <c r="AL549" s="196">
        <f>IFERROR($G549/SUMIF($A:$A,$A549,$G:$G)*(SUMIF(Summary!$A$247:$A$283,$A549,Summary!$L$247:$L$283)+SUMIF(Summary!$A$297:$A$333,$A549,Summary!$L$297:$L$333))-AK549,0)</f>
        <v>0</v>
      </c>
      <c r="AM549" s="198"/>
      <c r="AN549" s="196">
        <f t="shared" ca="1" si="124"/>
        <v>0</v>
      </c>
      <c r="AO549" s="196">
        <f t="shared" ca="1" si="125"/>
        <v>0</v>
      </c>
    </row>
    <row r="550" spans="1:41">
      <c r="A550" s="189">
        <v>3594</v>
      </c>
      <c r="B550" s="190">
        <v>1</v>
      </c>
      <c r="C550" s="191" t="s">
        <v>240</v>
      </c>
      <c r="D550" s="192">
        <f t="shared" si="112"/>
        <v>0</v>
      </c>
      <c r="E550" s="192">
        <f t="shared" si="113"/>
        <v>5766</v>
      </c>
      <c r="F550" s="192">
        <f t="shared" si="114"/>
        <v>0</v>
      </c>
      <c r="G550" s="193">
        <f t="shared" si="115"/>
        <v>5766</v>
      </c>
      <c r="H550" s="194">
        <v>0</v>
      </c>
      <c r="I550" s="194">
        <v>2774</v>
      </c>
      <c r="J550" s="194">
        <v>0</v>
      </c>
      <c r="K550" s="193">
        <f t="shared" si="116"/>
        <v>2774</v>
      </c>
      <c r="L550" s="194">
        <v>0</v>
      </c>
      <c r="M550" s="194">
        <v>2992</v>
      </c>
      <c r="N550" s="194">
        <v>0</v>
      </c>
      <c r="O550" s="193">
        <f t="shared" si="117"/>
        <v>2992</v>
      </c>
      <c r="P550" s="194">
        <v>0</v>
      </c>
      <c r="Q550" s="194">
        <v>0</v>
      </c>
      <c r="R550" s="194">
        <v>0</v>
      </c>
      <c r="S550" s="193">
        <f t="shared" si="118"/>
        <v>0</v>
      </c>
      <c r="T550" s="193">
        <f t="shared" si="119"/>
        <v>192.2</v>
      </c>
      <c r="U550" s="193">
        <f ca="1">OFFSET('Expenditure Study'!$B$7,'Operations Support'!$C550,'Operations Support'!$B550)*$G550</f>
        <v>5766</v>
      </c>
      <c r="V550" s="199">
        <f ca="1">U550*'Expenditure Study'!$B$31</f>
        <v>340673.62049280002</v>
      </c>
      <c r="W550" s="199">
        <f ca="1">IF(A550=10298,1.51,1)*IF($B550&lt;3,$D550*'Expenditure Study'!$B$32*OFFSET('Expenditure Study'!$B$7,'Operations Support'!$C550,'Operations Support'!$B550),0)</f>
        <v>0</v>
      </c>
      <c r="X550" s="200">
        <f ca="1">W550*'Expenditure Study'!$B$31</f>
        <v>0</v>
      </c>
      <c r="Y550" s="199">
        <f ca="1">U550*'Expenditure Study'!$B$31</f>
        <v>340673.62049280002</v>
      </c>
      <c r="Z550" s="200">
        <f ca="1">W550*'Expenditure Study'!$B$31</f>
        <v>0</v>
      </c>
      <c r="AA550" s="195">
        <f t="shared" ca="1" si="120"/>
        <v>340673.62049280002</v>
      </c>
      <c r="AB550" s="195">
        <f t="shared" ca="1" si="121"/>
        <v>340673.62049280002</v>
      </c>
      <c r="AD550" s="196">
        <f>IFERROR($G550/SUMIF($A:$A,$A550,$G:$G)*SUMIF(Summary!$A$166:$A$242,$A550,Summary!$P$166:$P$242),0)</f>
        <v>285569.56606067903</v>
      </c>
      <c r="AE550" s="197">
        <f t="shared" ca="1" si="122"/>
        <v>55104.054432120989</v>
      </c>
      <c r="AF550" s="196">
        <f>IFERROR(G550/SUMIF(A:A,A550,G:G)*SUMIF(Summary!$A$166:$A$242,'Operations Support'!A550,Summary!$Q$166:$Q$242),0)</f>
        <v>287340.60022051627</v>
      </c>
      <c r="AG550" s="196">
        <f t="shared" ca="1" si="123"/>
        <v>53333.020272283757</v>
      </c>
      <c r="AI550" s="196">
        <f>IFERROR($G550/SUMIF($A:$A,$A550,$G:$G)*SUMIF(Summary!$A$247:$A$283,$A550,Summary!$P$247:$P$283),0)</f>
        <v>52080.762540383577</v>
      </c>
      <c r="AJ550" s="196">
        <f>IFERROR($G550/SUMIF($A:$A,$A550,$G:$G)*(SUMIF(Summary!$A$247:$A$283,$A550,Summary!$L$247:$L$283)+SUMIF(Summary!$A$297:$A$333,$A550,Summary!$L$297:$L$333))-AI550,0)</f>
        <v>75891.739482800796</v>
      </c>
      <c r="AK550" s="196">
        <f>IFERROR($G550/SUMIF($A:$A,$A550,$G:$G)*SUMIF(Summary!$A$247:$A$283,$A550,Summary!$Q$247:$Q$283),0)</f>
        <v>52403.754975473072</v>
      </c>
      <c r="AL550" s="196">
        <f>IFERROR($G550/SUMIF($A:$A,$A550,$G:$G)*(SUMIF(Summary!$A$247:$A$283,$A550,Summary!$L$247:$L$283)+SUMIF(Summary!$A$297:$A$333,$A550,Summary!$L$297:$L$333))-AK550,0)</f>
        <v>75568.747047711295</v>
      </c>
      <c r="AM550" s="198"/>
      <c r="AN550" s="196">
        <f t="shared" ca="1" si="124"/>
        <v>130995.79391492179</v>
      </c>
      <c r="AO550" s="196">
        <f t="shared" ca="1" si="125"/>
        <v>128901.76731999505</v>
      </c>
    </row>
    <row r="551" spans="1:41">
      <c r="A551" s="189">
        <v>3594</v>
      </c>
      <c r="B551" s="190">
        <v>2</v>
      </c>
      <c r="C551" s="191" t="s">
        <v>220</v>
      </c>
      <c r="D551" s="192">
        <f t="shared" si="112"/>
        <v>38975.5</v>
      </c>
      <c r="E551" s="192">
        <f t="shared" si="113"/>
        <v>80988.5</v>
      </c>
      <c r="F551" s="192">
        <f t="shared" si="114"/>
        <v>0</v>
      </c>
      <c r="G551" s="193">
        <f t="shared" si="115"/>
        <v>119964</v>
      </c>
      <c r="H551" s="194">
        <v>16669.5</v>
      </c>
      <c r="I551" s="194">
        <v>36939.5</v>
      </c>
      <c r="J551" s="194">
        <v>0</v>
      </c>
      <c r="K551" s="193">
        <f t="shared" si="116"/>
        <v>53609</v>
      </c>
      <c r="L551" s="194">
        <v>16398</v>
      </c>
      <c r="M551" s="194">
        <v>34561</v>
      </c>
      <c r="N551" s="194">
        <v>0</v>
      </c>
      <c r="O551" s="193">
        <f t="shared" si="117"/>
        <v>50959</v>
      </c>
      <c r="P551" s="194">
        <v>5908</v>
      </c>
      <c r="Q551" s="194">
        <v>9488</v>
      </c>
      <c r="R551" s="194">
        <v>0</v>
      </c>
      <c r="S551" s="193">
        <f t="shared" si="118"/>
        <v>15396</v>
      </c>
      <c r="T551" s="193">
        <f t="shared" si="119"/>
        <v>3998.8</v>
      </c>
      <c r="U551" s="193">
        <f ca="1">OFFSET('Expenditure Study'!$B$7,'Operations Support'!$C551,'Operations Support'!$B551)*$G551</f>
        <v>220733.76</v>
      </c>
      <c r="V551" s="199">
        <f ca="1">U551*'Expenditure Study'!$B$31</f>
        <v>13041652.650743809</v>
      </c>
      <c r="W551" s="199">
        <f ca="1">IF(A551=10298,1.51,1)*IF($B551&lt;3,$D551*'Expenditure Study'!$B$32*OFFSET('Expenditure Study'!$B$7,'Operations Support'!$C551,'Operations Support'!$B551),0)</f>
        <v>7171.4920000000011</v>
      </c>
      <c r="X551" s="200">
        <f ca="1">W551*'Expenditure Study'!$B$31</f>
        <v>423714.55844175367</v>
      </c>
      <c r="Y551" s="199">
        <f ca="1">U551*'Expenditure Study'!$B$31</f>
        <v>13041652.650743809</v>
      </c>
      <c r="Z551" s="200">
        <f ca="1">W551*'Expenditure Study'!$B$31</f>
        <v>423714.55844175367</v>
      </c>
      <c r="AA551" s="195">
        <f t="shared" ca="1" si="120"/>
        <v>13465367.209185563</v>
      </c>
      <c r="AB551" s="195">
        <f t="shared" ca="1" si="121"/>
        <v>13465367.209185563</v>
      </c>
      <c r="AD551" s="196">
        <f>IFERROR($G551/SUMIF($A:$A,$A551,$G:$G)*SUMIF(Summary!$A$166:$A$242,$A551,Summary!$P$166:$P$242),0)</f>
        <v>5941392.199601681</v>
      </c>
      <c r="AE551" s="197">
        <f t="shared" ca="1" si="122"/>
        <v>7523975.0095838821</v>
      </c>
      <c r="AF551" s="196">
        <f>IFERROR(G551/SUMIF(A:A,A551,G:G)*SUMIF(Summary!$A$166:$A$242,'Operations Support'!A551,Summary!$Q$166:$Q$242),0)</f>
        <v>5978239.2932455791</v>
      </c>
      <c r="AG551" s="196">
        <f t="shared" ca="1" si="123"/>
        <v>7487127.9159399839</v>
      </c>
      <c r="AI551" s="196">
        <f>IFERROR($G551/SUMIF($A:$A,$A551,$G:$G)*SUMIF(Summary!$A$247:$A$283,$A551,Summary!$P$247:$P$283),0)</f>
        <v>1083561.6714177202</v>
      </c>
      <c r="AJ551" s="196">
        <f>IFERROR($G551/SUMIF($A:$A,$A551,$G:$G)*(SUMIF(Summary!$A$247:$A$283,$A551,Summary!$L$247:$L$283)+SUMIF(Summary!$A$297:$A$333,$A551,Summary!$L$297:$L$333))-AI551,0)</f>
        <v>1578958.833734775</v>
      </c>
      <c r="AK551" s="196">
        <f>IFERROR($G551/SUMIF($A:$A,$A551,$G:$G)*SUMIF(Summary!$A$247:$A$283,$A551,Summary!$Q$247:$Q$283),0)</f>
        <v>1090281.6617893949</v>
      </c>
      <c r="AL551" s="196">
        <f>IFERROR($G551/SUMIF($A:$A,$A551,$G:$G)*(SUMIF(Summary!$A$247:$A$283,$A551,Summary!$L$247:$L$283)+SUMIF(Summary!$A$297:$A$333,$A551,Summary!$L$297:$L$333))-AK551,0)</f>
        <v>1572238.8433631002</v>
      </c>
      <c r="AM551" s="198"/>
      <c r="AN551" s="196">
        <f t="shared" ca="1" si="124"/>
        <v>9102933.8433186561</v>
      </c>
      <c r="AO551" s="196">
        <f t="shared" ca="1" si="125"/>
        <v>9059366.7593030836</v>
      </c>
    </row>
    <row r="552" spans="1:41">
      <c r="A552" s="189">
        <v>3594</v>
      </c>
      <c r="B552" s="190">
        <v>2</v>
      </c>
      <c r="C552" s="191" t="s">
        <v>221</v>
      </c>
      <c r="D552" s="192">
        <f t="shared" si="112"/>
        <v>12726</v>
      </c>
      <c r="E552" s="192">
        <f t="shared" si="113"/>
        <v>18954</v>
      </c>
      <c r="F552" s="192">
        <f t="shared" si="114"/>
        <v>0</v>
      </c>
      <c r="G552" s="193">
        <f t="shared" si="115"/>
        <v>31680</v>
      </c>
      <c r="H552" s="194">
        <v>5978.5</v>
      </c>
      <c r="I552" s="194">
        <v>8873.5</v>
      </c>
      <c r="J552" s="194">
        <v>0</v>
      </c>
      <c r="K552" s="193">
        <f t="shared" si="116"/>
        <v>14852</v>
      </c>
      <c r="L552" s="194">
        <v>6389.5</v>
      </c>
      <c r="M552" s="194">
        <v>7748.5</v>
      </c>
      <c r="N552" s="194">
        <v>0</v>
      </c>
      <c r="O552" s="193">
        <f t="shared" si="117"/>
        <v>14138</v>
      </c>
      <c r="P552" s="194">
        <v>358</v>
      </c>
      <c r="Q552" s="194">
        <v>2332</v>
      </c>
      <c r="R552" s="194">
        <v>0</v>
      </c>
      <c r="S552" s="193">
        <f t="shared" si="118"/>
        <v>2690</v>
      </c>
      <c r="T552" s="193">
        <f t="shared" si="119"/>
        <v>1056</v>
      </c>
      <c r="U552" s="193">
        <f ca="1">OFFSET('Expenditure Study'!$B$7,'Operations Support'!$C552,'Operations Support'!$B552)*$G552</f>
        <v>83318.399999999994</v>
      </c>
      <c r="V552" s="199">
        <f ca="1">U552*'Expenditure Study'!$B$31</f>
        <v>4922716.0911667198</v>
      </c>
      <c r="W552" s="199">
        <f ca="1">IF(A552=10298,1.51,1)*IF($B552&lt;3,$D552*'Expenditure Study'!$B$32*OFFSET('Expenditure Study'!$B$7,'Operations Support'!$C552,'Operations Support'!$B552),0)</f>
        <v>3346.9380000000001</v>
      </c>
      <c r="X552" s="200">
        <f ca="1">W552*'Expenditure Study'!$B$31</f>
        <v>197747.74298039041</v>
      </c>
      <c r="Y552" s="199">
        <f ca="1">U552*'Expenditure Study'!$B$31</f>
        <v>4922716.0911667198</v>
      </c>
      <c r="Z552" s="200">
        <f ca="1">W552*'Expenditure Study'!$B$31</f>
        <v>197747.74298039041</v>
      </c>
      <c r="AA552" s="195">
        <f t="shared" ca="1" si="120"/>
        <v>5120463.8341471106</v>
      </c>
      <c r="AB552" s="195">
        <f t="shared" ca="1" si="121"/>
        <v>5120463.8341471106</v>
      </c>
      <c r="AD552" s="196">
        <f>IFERROR($G552/SUMIF($A:$A,$A552,$G:$G)*SUMIF(Summary!$A$166:$A$242,$A552,Summary!$P$166:$P$242),0)</f>
        <v>1568998.2401668939</v>
      </c>
      <c r="AE552" s="197">
        <f t="shared" ca="1" si="122"/>
        <v>3551465.5939802164</v>
      </c>
      <c r="AF552" s="196">
        <f>IFERROR(G552/SUMIF(A:A,A552,G:G)*SUMIF(Summary!$A$166:$A$242,'Operations Support'!A552,Summary!$Q$166:$Q$242),0)</f>
        <v>1578728.7920544492</v>
      </c>
      <c r="AG552" s="196">
        <f t="shared" ca="1" si="123"/>
        <v>3541735.0420926614</v>
      </c>
      <c r="AI552" s="196">
        <f>IFERROR($G552/SUMIF($A:$A,$A552,$G:$G)*SUMIF(Summary!$A$247:$A$283,$A552,Summary!$P$247:$P$283),0)</f>
        <v>286146.1250918057</v>
      </c>
      <c r="AJ552" s="196">
        <f>IFERROR($G552/SUMIF($A:$A,$A552,$G:$G)*(SUMIF(Summary!$A$247:$A$283,$A552,Summary!$L$247:$L$283)+SUMIF(Summary!$A$297:$A$333,$A552,Summary!$L$297:$L$333))-AI552,0)</f>
        <v>416970.22317293251</v>
      </c>
      <c r="AK552" s="196">
        <f>IFERROR($G552/SUMIF($A:$A,$A552,$G:$G)*SUMIF(Summary!$A$247:$A$283,$A552,Summary!$Q$247:$Q$283),0)</f>
        <v>287920.73493288009</v>
      </c>
      <c r="AL552" s="196">
        <f>IFERROR($G552/SUMIF($A:$A,$A552,$G:$G)*(SUMIF(Summary!$A$247:$A$283,$A552,Summary!$L$247:$L$283)+SUMIF(Summary!$A$297:$A$333,$A552,Summary!$L$297:$L$333))-AK552,0)</f>
        <v>415195.61333185813</v>
      </c>
      <c r="AM552" s="198"/>
      <c r="AN552" s="196">
        <f t="shared" ca="1" si="124"/>
        <v>3968435.8171531488</v>
      </c>
      <c r="AO552" s="196">
        <f t="shared" ca="1" si="125"/>
        <v>3956930.6554245194</v>
      </c>
    </row>
    <row r="553" spans="1:41">
      <c r="A553" s="189">
        <v>3594</v>
      </c>
      <c r="B553" s="190">
        <v>2</v>
      </c>
      <c r="C553" s="191" t="s">
        <v>222</v>
      </c>
      <c r="D553" s="192">
        <f t="shared" si="112"/>
        <v>13373.11</v>
      </c>
      <c r="E553" s="192">
        <f t="shared" si="113"/>
        <v>16367.89</v>
      </c>
      <c r="F553" s="192">
        <f t="shared" si="114"/>
        <v>0</v>
      </c>
      <c r="G553" s="193">
        <f t="shared" si="115"/>
        <v>29741</v>
      </c>
      <c r="H553" s="194">
        <v>6528.06</v>
      </c>
      <c r="I553" s="194">
        <v>7880.94</v>
      </c>
      <c r="J553" s="194">
        <v>0</v>
      </c>
      <c r="K553" s="193">
        <f t="shared" si="116"/>
        <v>14409</v>
      </c>
      <c r="L553" s="194">
        <v>6272.05</v>
      </c>
      <c r="M553" s="194">
        <v>7598.95</v>
      </c>
      <c r="N553" s="194">
        <v>0</v>
      </c>
      <c r="O553" s="193">
        <f t="shared" si="117"/>
        <v>13871</v>
      </c>
      <c r="P553" s="194">
        <v>573</v>
      </c>
      <c r="Q553" s="194">
        <v>888</v>
      </c>
      <c r="R553" s="194">
        <v>0</v>
      </c>
      <c r="S553" s="193">
        <f t="shared" si="118"/>
        <v>1461</v>
      </c>
      <c r="T553" s="193">
        <f t="shared" si="119"/>
        <v>991.36666666666667</v>
      </c>
      <c r="U553" s="193">
        <f ca="1">OFFSET('Expenditure Study'!$B$7,'Operations Support'!$C553,'Operations Support'!$B553)*$G553</f>
        <v>79111.06</v>
      </c>
      <c r="V553" s="199">
        <f ca="1">U553*'Expenditure Study'!$B$31</f>
        <v>4674133.0612596478</v>
      </c>
      <c r="W553" s="199">
        <f ca="1">IF(A553=10298,1.51,1)*IF($B553&lt;3,$D553*'Expenditure Study'!$B$32*OFFSET('Expenditure Study'!$B$7,'Operations Support'!$C553,'Operations Support'!$B553),0)</f>
        <v>3557.2472600000006</v>
      </c>
      <c r="X553" s="200">
        <f ca="1">W553*'Expenditure Study'!$B$31</f>
        <v>210173.48301288465</v>
      </c>
      <c r="Y553" s="199">
        <f ca="1">U553*'Expenditure Study'!$B$31</f>
        <v>4674133.0612596478</v>
      </c>
      <c r="Z553" s="200">
        <f ca="1">W553*'Expenditure Study'!$B$31</f>
        <v>210173.48301288465</v>
      </c>
      <c r="AA553" s="195">
        <f t="shared" ca="1" si="120"/>
        <v>4884306.5442725327</v>
      </c>
      <c r="AB553" s="195">
        <f t="shared" ca="1" si="121"/>
        <v>4884306.5442725327</v>
      </c>
      <c r="AD553" s="196">
        <f>IFERROR($G553/SUMIF($A:$A,$A553,$G:$G)*SUMIF(Summary!$A$166:$A$242,$A553,Summary!$P$166:$P$242),0)</f>
        <v>1472966.4350001134</v>
      </c>
      <c r="AE553" s="197">
        <f t="shared" ca="1" si="122"/>
        <v>3411340.1092724195</v>
      </c>
      <c r="AF553" s="196">
        <f>IFERROR(G553/SUMIF(A:A,A553,G:G)*SUMIF(Summary!$A$166:$A$242,'Operations Support'!A553,Summary!$Q$166:$Q$242),0)</f>
        <v>1482101.4205963186</v>
      </c>
      <c r="AG553" s="196">
        <f t="shared" ca="1" si="123"/>
        <v>3402205.1236762144</v>
      </c>
      <c r="AI553" s="196">
        <f>IFERROR($G553/SUMIF($A:$A,$A553,$G:$G)*SUMIF(Summary!$A$247:$A$283,$A553,Summary!$P$247:$P$283),0)</f>
        <v>268632.32027636975</v>
      </c>
      <c r="AJ553" s="196">
        <f>IFERROR($G553/SUMIF($A:$A,$A553,$G:$G)*(SUMIF(Summary!$A$247:$A$283,$A553,Summary!$L$247:$L$283)+SUMIF(Summary!$A$297:$A$333,$A553,Summary!$L$297:$L$333))-AI553,0)</f>
        <v>391449.22371799819</v>
      </c>
      <c r="AK553" s="196">
        <f>IFERROR($G553/SUMIF($A:$A,$A553,$G:$G)*SUMIF(Summary!$A$247:$A$283,$A553,Summary!$Q$247:$Q$283),0)</f>
        <v>270298.31368809304</v>
      </c>
      <c r="AL553" s="196">
        <f>IFERROR($G553/SUMIF($A:$A,$A553,$G:$G)*(SUMIF(Summary!$A$247:$A$283,$A553,Summary!$L$247:$L$283)+SUMIF(Summary!$A$297:$A$333,$A553,Summary!$L$297:$L$333))-AK553,0)</f>
        <v>389783.2303062749</v>
      </c>
      <c r="AM553" s="198"/>
      <c r="AN553" s="196">
        <f t="shared" ca="1" si="124"/>
        <v>3802789.3329904177</v>
      </c>
      <c r="AO553" s="196">
        <f t="shared" ca="1" si="125"/>
        <v>3791988.3539824891</v>
      </c>
    </row>
    <row r="554" spans="1:41">
      <c r="A554" s="189">
        <v>3594</v>
      </c>
      <c r="B554" s="190">
        <v>2</v>
      </c>
      <c r="C554" s="191" t="s">
        <v>223</v>
      </c>
      <c r="D554" s="192">
        <f t="shared" si="112"/>
        <v>1758</v>
      </c>
      <c r="E554" s="192">
        <f t="shared" si="113"/>
        <v>10939</v>
      </c>
      <c r="F554" s="192">
        <f t="shared" si="114"/>
        <v>0</v>
      </c>
      <c r="G554" s="193">
        <f t="shared" si="115"/>
        <v>12697</v>
      </c>
      <c r="H554" s="194">
        <v>912</v>
      </c>
      <c r="I554" s="194">
        <v>5310</v>
      </c>
      <c r="J554" s="194">
        <v>0</v>
      </c>
      <c r="K554" s="193">
        <f t="shared" si="116"/>
        <v>6222</v>
      </c>
      <c r="L554" s="194">
        <v>783</v>
      </c>
      <c r="M554" s="194">
        <v>4954</v>
      </c>
      <c r="N554" s="194">
        <v>0</v>
      </c>
      <c r="O554" s="193">
        <f t="shared" si="117"/>
        <v>5737</v>
      </c>
      <c r="P554" s="194">
        <v>63</v>
      </c>
      <c r="Q554" s="194">
        <v>675</v>
      </c>
      <c r="R554" s="194">
        <v>0</v>
      </c>
      <c r="S554" s="193">
        <f t="shared" si="118"/>
        <v>738</v>
      </c>
      <c r="T554" s="193">
        <f t="shared" si="119"/>
        <v>423.23333333333335</v>
      </c>
      <c r="U554" s="193">
        <f ca="1">OFFSET('Expenditure Study'!$B$7,'Operations Support'!$C554,'Operations Support'!$B554)*$G554</f>
        <v>24124.3</v>
      </c>
      <c r="V554" s="199">
        <f ca="1">U554*'Expenditure Study'!$B$31</f>
        <v>1425340.37857344</v>
      </c>
      <c r="W554" s="199">
        <f ca="1">IF(A554=10298,1.51,1)*IF($B554&lt;3,$D554*'Expenditure Study'!$B$32*OFFSET('Expenditure Study'!$B$7,'Operations Support'!$C554,'Operations Support'!$B554),0)</f>
        <v>334.02</v>
      </c>
      <c r="X554" s="200">
        <f ca="1">W554*'Expenditure Study'!$B$31</f>
        <v>19734.964050816001</v>
      </c>
      <c r="Y554" s="199">
        <f ca="1">U554*'Expenditure Study'!$B$31</f>
        <v>1425340.37857344</v>
      </c>
      <c r="Z554" s="200">
        <f ca="1">W554*'Expenditure Study'!$B$31</f>
        <v>19734.964050816001</v>
      </c>
      <c r="AA554" s="195">
        <f t="shared" ca="1" si="120"/>
        <v>1445075.3426242559</v>
      </c>
      <c r="AB554" s="195">
        <f t="shared" ca="1" si="121"/>
        <v>1445075.3426242559</v>
      </c>
      <c r="AD554" s="196">
        <f>IFERROR($G554/SUMIF($A:$A,$A554,$G:$G)*SUMIF(Summary!$A$166:$A$242,$A554,Summary!$P$166:$P$242),0)</f>
        <v>628837.45755678823</v>
      </c>
      <c r="AE554" s="197">
        <f t="shared" ca="1" si="122"/>
        <v>816237.88506746769</v>
      </c>
      <c r="AF554" s="196">
        <f>IFERROR(G554/SUMIF(A:A,A554,G:G)*SUMIF(Summary!$A$166:$A$242,'Operations Support'!A554,Summary!$Q$166:$Q$242),0)</f>
        <v>632737.35709328728</v>
      </c>
      <c r="AG554" s="196">
        <f t="shared" ca="1" si="123"/>
        <v>812337.98553096864</v>
      </c>
      <c r="AI554" s="196">
        <f>IFERROR($G554/SUMIF($A:$A,$A554,$G:$G)*SUMIF(Summary!$A$247:$A$283,$A554,Summary!$P$247:$P$283),0)</f>
        <v>114684.25979452831</v>
      </c>
      <c r="AJ554" s="196">
        <f>IFERROR($G554/SUMIF($A:$A,$A554,$G:$G)*(SUMIF(Summary!$A$247:$A$283,$A554,Summary!$L$247:$L$283)+SUMIF(Summary!$A$297:$A$333,$A554,Summary!$L$297:$L$333))-AI554,0)</f>
        <v>167117.13774074253</v>
      </c>
      <c r="AK554" s="196">
        <f>IFERROR($G554/SUMIF($A:$A,$A554,$G:$G)*SUMIF(Summary!$A$247:$A$283,$A554,Summary!$Q$247:$Q$283),0)</f>
        <v>115395.50414907761</v>
      </c>
      <c r="AL554" s="196">
        <f>IFERROR($G554/SUMIF($A:$A,$A554,$G:$G)*(SUMIF(Summary!$A$247:$A$283,$A554,Summary!$L$247:$L$283)+SUMIF(Summary!$A$297:$A$333,$A554,Summary!$L$297:$L$333))-AK554,0)</f>
        <v>166405.89338619323</v>
      </c>
      <c r="AM554" s="198"/>
      <c r="AN554" s="196">
        <f t="shared" ca="1" si="124"/>
        <v>983355.02280821023</v>
      </c>
      <c r="AO554" s="196">
        <f t="shared" ca="1" si="125"/>
        <v>978743.87891716184</v>
      </c>
    </row>
    <row r="555" spans="1:41">
      <c r="A555" s="189">
        <v>3594</v>
      </c>
      <c r="B555" s="190">
        <v>2</v>
      </c>
      <c r="C555" s="191" t="s">
        <v>224</v>
      </c>
      <c r="D555" s="192">
        <f t="shared" si="112"/>
        <v>0</v>
      </c>
      <c r="E555" s="192">
        <f t="shared" si="113"/>
        <v>0</v>
      </c>
      <c r="F555" s="192">
        <f t="shared" si="114"/>
        <v>0</v>
      </c>
      <c r="G555" s="193">
        <f t="shared" si="115"/>
        <v>0</v>
      </c>
      <c r="H555" s="194">
        <v>0</v>
      </c>
      <c r="I555" s="194">
        <v>0</v>
      </c>
      <c r="J555" s="194">
        <v>0</v>
      </c>
      <c r="K555" s="193">
        <f t="shared" si="116"/>
        <v>0</v>
      </c>
      <c r="L555" s="194">
        <v>0</v>
      </c>
      <c r="M555" s="194">
        <v>0</v>
      </c>
      <c r="N555" s="194">
        <v>0</v>
      </c>
      <c r="O555" s="193">
        <f t="shared" si="117"/>
        <v>0</v>
      </c>
      <c r="P555" s="194">
        <v>0</v>
      </c>
      <c r="Q555" s="194">
        <v>0</v>
      </c>
      <c r="R555" s="194">
        <v>0</v>
      </c>
      <c r="S555" s="193">
        <f t="shared" si="118"/>
        <v>0</v>
      </c>
      <c r="T555" s="193">
        <f t="shared" si="119"/>
        <v>0</v>
      </c>
      <c r="U555" s="193">
        <f ca="1">OFFSET('Expenditure Study'!$B$7,'Operations Support'!$C555,'Operations Support'!$B555)*$G555</f>
        <v>0</v>
      </c>
      <c r="V555" s="199">
        <f ca="1">U555*'Expenditure Study'!$B$31</f>
        <v>0</v>
      </c>
      <c r="W555" s="199">
        <f ca="1">IF(A555=10298,1.51,1)*IF($B555&lt;3,$D555*'Expenditure Study'!$B$32*OFFSET('Expenditure Study'!$B$7,'Operations Support'!$C555,'Operations Support'!$B555),0)</f>
        <v>0</v>
      </c>
      <c r="X555" s="200">
        <f ca="1">W555*'Expenditure Study'!$B$31</f>
        <v>0</v>
      </c>
      <c r="Y555" s="199">
        <f ca="1">U555*'Expenditure Study'!$B$31</f>
        <v>0</v>
      </c>
      <c r="Z555" s="200">
        <f ca="1">W555*'Expenditure Study'!$B$31</f>
        <v>0</v>
      </c>
      <c r="AA555" s="195">
        <f t="shared" ca="1" si="120"/>
        <v>0</v>
      </c>
      <c r="AB555" s="195">
        <f t="shared" ca="1" si="121"/>
        <v>0</v>
      </c>
      <c r="AD555" s="196">
        <f>IFERROR($G555/SUMIF($A:$A,$A555,$G:$G)*SUMIF(Summary!$A$166:$A$242,$A555,Summary!$P$166:$P$242),0)</f>
        <v>0</v>
      </c>
      <c r="AE555" s="197">
        <f t="shared" ca="1" si="122"/>
        <v>0</v>
      </c>
      <c r="AF555" s="196">
        <f>IFERROR(G555/SUMIF(A:A,A555,G:G)*SUMIF(Summary!$A$166:$A$242,'Operations Support'!A555,Summary!$Q$166:$Q$242),0)</f>
        <v>0</v>
      </c>
      <c r="AG555" s="196">
        <f t="shared" ca="1" si="123"/>
        <v>0</v>
      </c>
      <c r="AI555" s="196">
        <f>IFERROR($G555/SUMIF($A:$A,$A555,$G:$G)*SUMIF(Summary!$A$247:$A$283,$A555,Summary!$P$247:$P$283),0)</f>
        <v>0</v>
      </c>
      <c r="AJ555" s="196">
        <f>IFERROR($G555/SUMIF($A:$A,$A555,$G:$G)*(SUMIF(Summary!$A$247:$A$283,$A555,Summary!$L$247:$L$283)+SUMIF(Summary!$A$297:$A$333,$A555,Summary!$L$297:$L$333))-AI555,0)</f>
        <v>0</v>
      </c>
      <c r="AK555" s="196">
        <f>IFERROR($G555/SUMIF($A:$A,$A555,$G:$G)*SUMIF(Summary!$A$247:$A$283,$A555,Summary!$Q$247:$Q$283),0)</f>
        <v>0</v>
      </c>
      <c r="AL555" s="196">
        <f>IFERROR($G555/SUMIF($A:$A,$A555,$G:$G)*(SUMIF(Summary!$A$247:$A$283,$A555,Summary!$L$247:$L$283)+SUMIF(Summary!$A$297:$A$333,$A555,Summary!$L$297:$L$333))-AK555,0)</f>
        <v>0</v>
      </c>
      <c r="AM555" s="198"/>
      <c r="AN555" s="196">
        <f t="shared" ca="1" si="124"/>
        <v>0</v>
      </c>
      <c r="AO555" s="196">
        <f t="shared" ca="1" si="125"/>
        <v>0</v>
      </c>
    </row>
    <row r="556" spans="1:41">
      <c r="A556" s="189">
        <v>3594</v>
      </c>
      <c r="B556" s="190">
        <v>2</v>
      </c>
      <c r="C556" s="191" t="s">
        <v>225</v>
      </c>
      <c r="D556" s="192">
        <f t="shared" si="112"/>
        <v>9347</v>
      </c>
      <c r="E556" s="192">
        <f t="shared" si="113"/>
        <v>16014</v>
      </c>
      <c r="F556" s="192">
        <f t="shared" si="114"/>
        <v>0</v>
      </c>
      <c r="G556" s="193">
        <f t="shared" si="115"/>
        <v>25361</v>
      </c>
      <c r="H556" s="194">
        <v>3891</v>
      </c>
      <c r="I556" s="194">
        <v>7888</v>
      </c>
      <c r="J556" s="194">
        <v>0</v>
      </c>
      <c r="K556" s="193">
        <f t="shared" si="116"/>
        <v>11779</v>
      </c>
      <c r="L556" s="194">
        <v>5044</v>
      </c>
      <c r="M556" s="194">
        <v>6581</v>
      </c>
      <c r="N556" s="194">
        <v>0</v>
      </c>
      <c r="O556" s="193">
        <f t="shared" si="117"/>
        <v>11625</v>
      </c>
      <c r="P556" s="194">
        <v>412</v>
      </c>
      <c r="Q556" s="194">
        <v>1545</v>
      </c>
      <c r="R556" s="194">
        <v>0</v>
      </c>
      <c r="S556" s="193">
        <f t="shared" si="118"/>
        <v>1957</v>
      </c>
      <c r="T556" s="193">
        <f t="shared" si="119"/>
        <v>845.36666666666667</v>
      </c>
      <c r="U556" s="193">
        <f ca="1">OFFSET('Expenditure Study'!$B$7,'Operations Support'!$C556,'Operations Support'!$B556)*$G556</f>
        <v>71010.799999999988</v>
      </c>
      <c r="V556" s="199">
        <f ca="1">U556*'Expenditure Study'!$B$31</f>
        <v>4195543.9351526396</v>
      </c>
      <c r="W556" s="199">
        <f ca="1">IF(A556=10298,1.51,1)*IF($B556&lt;3,$D556*'Expenditure Study'!$B$32*OFFSET('Expenditure Study'!$B$7,'Operations Support'!$C556,'Operations Support'!$B556),0)</f>
        <v>2617.16</v>
      </c>
      <c r="X556" s="200">
        <f ca="1">W556*'Expenditure Study'!$B$31</f>
        <v>154630.13746252799</v>
      </c>
      <c r="Y556" s="199">
        <f ca="1">U556*'Expenditure Study'!$B$31</f>
        <v>4195543.9351526396</v>
      </c>
      <c r="Z556" s="200">
        <f ca="1">W556*'Expenditure Study'!$B$31</f>
        <v>154630.13746252799</v>
      </c>
      <c r="AA556" s="195">
        <f t="shared" ca="1" si="120"/>
        <v>4350174.0726151681</v>
      </c>
      <c r="AB556" s="195">
        <f t="shared" ca="1" si="121"/>
        <v>4350174.0726151681</v>
      </c>
      <c r="AD556" s="196">
        <f>IFERROR($G556/SUMIF($A:$A,$A556,$G:$G)*SUMIF(Summary!$A$166:$A$242,$A556,Summary!$P$166:$P$242),0)</f>
        <v>1256040.5419467362</v>
      </c>
      <c r="AE556" s="197">
        <f t="shared" ca="1" si="122"/>
        <v>3094133.5306684319</v>
      </c>
      <c r="AF556" s="196">
        <f>IFERROR(G556/SUMIF(A:A,A556,G:G)*SUMIF(Summary!$A$166:$A$242,'Operations Support'!A556,Summary!$Q$166:$Q$242),0)</f>
        <v>1263830.2050281845</v>
      </c>
      <c r="AG556" s="196">
        <f t="shared" ca="1" si="123"/>
        <v>3086343.8675869834</v>
      </c>
      <c r="AI556" s="196">
        <f>IFERROR($G556/SUMIF($A:$A,$A556,$G:$G)*SUMIF(Summary!$A$247:$A$283,$A556,Summary!$P$247:$P$283),0)</f>
        <v>229070.45070875267</v>
      </c>
      <c r="AJ556" s="196">
        <f>IFERROR($G556/SUMIF($A:$A,$A556,$G:$G)*(SUMIF(Summary!$A$247:$A$283,$A556,Summary!$L$247:$L$283)+SUMIF(Summary!$A$297:$A$333,$A556,Summary!$L$297:$L$333))-AI556,0)</f>
        <v>333799.93149901327</v>
      </c>
      <c r="AK556" s="196">
        <f>IFERROR($G556/SUMIF($A:$A,$A556,$G:$G)*SUMIF(Summary!$A$247:$A$283,$A556,Summary!$Q$247:$Q$283),0)</f>
        <v>230491.09086593348</v>
      </c>
      <c r="AL556" s="196">
        <f>IFERROR($G556/SUMIF($A:$A,$A556,$G:$G)*(SUMIF(Summary!$A$247:$A$283,$A556,Summary!$L$247:$L$283)+SUMIF(Summary!$A$297:$A$333,$A556,Summary!$L$297:$L$333))-AK556,0)</f>
        <v>332379.29134183249</v>
      </c>
      <c r="AM556" s="198"/>
      <c r="AN556" s="196">
        <f t="shared" ca="1" si="124"/>
        <v>3427933.4621674451</v>
      </c>
      <c r="AO556" s="196">
        <f t="shared" ca="1" si="125"/>
        <v>3418723.1589288157</v>
      </c>
    </row>
    <row r="557" spans="1:41">
      <c r="A557" s="189">
        <v>3594</v>
      </c>
      <c r="B557" s="190">
        <v>2</v>
      </c>
      <c r="C557" s="191" t="s">
        <v>226</v>
      </c>
      <c r="D557" s="192">
        <f t="shared" si="112"/>
        <v>720</v>
      </c>
      <c r="E557" s="192">
        <f t="shared" si="113"/>
        <v>444</v>
      </c>
      <c r="F557" s="192">
        <f t="shared" si="114"/>
        <v>0</v>
      </c>
      <c r="G557" s="193">
        <f t="shared" si="115"/>
        <v>1164</v>
      </c>
      <c r="H557" s="194">
        <v>303</v>
      </c>
      <c r="I557" s="194">
        <v>213</v>
      </c>
      <c r="J557" s="194">
        <v>0</v>
      </c>
      <c r="K557" s="193">
        <f t="shared" si="116"/>
        <v>516</v>
      </c>
      <c r="L557" s="194">
        <v>417</v>
      </c>
      <c r="M557" s="194">
        <v>231</v>
      </c>
      <c r="N557" s="194">
        <v>0</v>
      </c>
      <c r="O557" s="193">
        <f t="shared" si="117"/>
        <v>648</v>
      </c>
      <c r="P557" s="194">
        <v>0</v>
      </c>
      <c r="Q557" s="194">
        <v>0</v>
      </c>
      <c r="R557" s="194">
        <v>0</v>
      </c>
      <c r="S557" s="193">
        <f t="shared" si="118"/>
        <v>0</v>
      </c>
      <c r="T557" s="193">
        <f t="shared" si="119"/>
        <v>38.799999999999997</v>
      </c>
      <c r="U557" s="193">
        <f ca="1">OFFSET('Expenditure Study'!$B$7,'Operations Support'!$C557,'Operations Support'!$B557)*$G557</f>
        <v>2095.2000000000003</v>
      </c>
      <c r="V557" s="199">
        <f ca="1">U557*'Expenditure Study'!$B$31</f>
        <v>123791.08041216002</v>
      </c>
      <c r="W557" s="199">
        <f ca="1">IF(A557=10298,1.51,1)*IF($B557&lt;3,$D557*'Expenditure Study'!$B$32*OFFSET('Expenditure Study'!$B$7,'Operations Support'!$C557,'Operations Support'!$B557),0)</f>
        <v>129.6</v>
      </c>
      <c r="X557" s="200">
        <f ca="1">W557*'Expenditure Study'!$B$31</f>
        <v>7657.1802316799995</v>
      </c>
      <c r="Y557" s="199">
        <f ca="1">U557*'Expenditure Study'!$B$31</f>
        <v>123791.08041216002</v>
      </c>
      <c r="Z557" s="200">
        <f ca="1">W557*'Expenditure Study'!$B$31</f>
        <v>7657.1802316799995</v>
      </c>
      <c r="AA557" s="195">
        <f t="shared" ca="1" si="120"/>
        <v>131448.26064384001</v>
      </c>
      <c r="AB557" s="195">
        <f t="shared" ca="1" si="121"/>
        <v>131448.26064384001</v>
      </c>
      <c r="AD557" s="196">
        <f>IFERROR($G557/SUMIF($A:$A,$A557,$G:$G)*SUMIF(Summary!$A$166:$A$242,$A557,Summary!$P$166:$P$242),0)</f>
        <v>57648.798975829057</v>
      </c>
      <c r="AE557" s="197">
        <f t="shared" ca="1" si="122"/>
        <v>73799.461668010947</v>
      </c>
      <c r="AF557" s="196">
        <f>IFERROR(G557/SUMIF(A:A,A557,G:G)*SUMIF(Summary!$A$166:$A$242,'Operations Support'!A557,Summary!$Q$166:$Q$242),0)</f>
        <v>58006.323041394535</v>
      </c>
      <c r="AG557" s="196">
        <f t="shared" ca="1" si="123"/>
        <v>73441.937602445483</v>
      </c>
      <c r="AI557" s="196">
        <f>IFERROR($G557/SUMIF($A:$A,$A557,$G:$G)*SUMIF(Summary!$A$247:$A$283,$A557,Summary!$P$247:$P$283),0)</f>
        <v>10513.702323448921</v>
      </c>
      <c r="AJ557" s="196">
        <f>IFERROR($G557/SUMIF($A:$A,$A557,$G:$G)*(SUMIF(Summary!$A$247:$A$283,$A557,Summary!$L$247:$L$283)+SUMIF(Summary!$A$297:$A$333,$A557,Summary!$L$297:$L$333))-AI557,0)</f>
        <v>15320.496836278202</v>
      </c>
      <c r="AK557" s="196">
        <f>IFERROR($G557/SUMIF($A:$A,$A557,$G:$G)*SUMIF(Summary!$A$247:$A$283,$A557,Summary!$Q$247:$Q$283),0)</f>
        <v>10578.905791094458</v>
      </c>
      <c r="AL557" s="196">
        <f>IFERROR($G557/SUMIF($A:$A,$A557,$G:$G)*(SUMIF(Summary!$A$247:$A$283,$A557,Summary!$L$247:$L$283)+SUMIF(Summary!$A$297:$A$333,$A557,Summary!$L$297:$L$333))-AK557,0)</f>
        <v>15255.293368632665</v>
      </c>
      <c r="AM557" s="198"/>
      <c r="AN557" s="196">
        <f t="shared" ca="1" si="124"/>
        <v>89119.958504289156</v>
      </c>
      <c r="AO557" s="196">
        <f t="shared" ca="1" si="125"/>
        <v>88697.230971078156</v>
      </c>
    </row>
    <row r="558" spans="1:41" s="201" customFormat="1">
      <c r="A558" s="189">
        <v>3594</v>
      </c>
      <c r="B558" s="190">
        <v>2</v>
      </c>
      <c r="C558" s="191" t="s">
        <v>227</v>
      </c>
      <c r="D558" s="192">
        <f t="shared" si="112"/>
        <v>0</v>
      </c>
      <c r="E558" s="192">
        <f t="shared" si="113"/>
        <v>0</v>
      </c>
      <c r="F558" s="192">
        <f t="shared" si="114"/>
        <v>0</v>
      </c>
      <c r="G558" s="193">
        <f t="shared" si="115"/>
        <v>0</v>
      </c>
      <c r="H558" s="194">
        <v>0</v>
      </c>
      <c r="I558" s="194">
        <v>0</v>
      </c>
      <c r="J558" s="194">
        <v>0</v>
      </c>
      <c r="K558" s="193">
        <f t="shared" si="116"/>
        <v>0</v>
      </c>
      <c r="L558" s="194">
        <v>0</v>
      </c>
      <c r="M558" s="194">
        <v>0</v>
      </c>
      <c r="N558" s="194">
        <v>0</v>
      </c>
      <c r="O558" s="193">
        <f t="shared" si="117"/>
        <v>0</v>
      </c>
      <c r="P558" s="194">
        <v>0</v>
      </c>
      <c r="Q558" s="194">
        <v>0</v>
      </c>
      <c r="R558" s="194">
        <v>0</v>
      </c>
      <c r="S558" s="193">
        <f t="shared" si="118"/>
        <v>0</v>
      </c>
      <c r="T558" s="193">
        <f t="shared" si="119"/>
        <v>0</v>
      </c>
      <c r="U558" s="193">
        <f ca="1">OFFSET('Expenditure Study'!$B$7,'Operations Support'!$C558,'Operations Support'!$B558)*$G558</f>
        <v>0</v>
      </c>
      <c r="V558" s="199">
        <f ca="1">U558*'Expenditure Study'!$B$31</f>
        <v>0</v>
      </c>
      <c r="W558" s="199">
        <f ca="1">IF(A558=10298,1.51,1)*IF($B558&lt;3,$D558*'Expenditure Study'!$B$32*OFFSET('Expenditure Study'!$B$7,'Operations Support'!$C558,'Operations Support'!$B558),0)</f>
        <v>0</v>
      </c>
      <c r="X558" s="200">
        <f ca="1">W558*'Expenditure Study'!$B$31</f>
        <v>0</v>
      </c>
      <c r="Y558" s="199">
        <f ca="1">U558*'Expenditure Study'!$B$31</f>
        <v>0</v>
      </c>
      <c r="Z558" s="200">
        <f ca="1">W558*'Expenditure Study'!$B$31</f>
        <v>0</v>
      </c>
      <c r="AA558" s="195">
        <f t="shared" ca="1" si="120"/>
        <v>0</v>
      </c>
      <c r="AB558" s="195">
        <f t="shared" ca="1" si="121"/>
        <v>0</v>
      </c>
      <c r="AD558" s="196">
        <f>IFERROR($G558/SUMIF($A:$A,$A558,$G:$G)*SUMIF(Summary!$A$166:$A$242,$A558,Summary!$P$166:$P$242),0)</f>
        <v>0</v>
      </c>
      <c r="AE558" s="197">
        <f t="shared" ca="1" si="122"/>
        <v>0</v>
      </c>
      <c r="AF558" s="196">
        <f>IFERROR(G558/SUMIF(A:A,A558,G:G)*SUMIF(Summary!$A$166:$A$242,'Operations Support'!A558,Summary!$Q$166:$Q$242),0)</f>
        <v>0</v>
      </c>
      <c r="AG558" s="196">
        <f t="shared" ca="1" si="123"/>
        <v>0</v>
      </c>
      <c r="AH558" s="180"/>
      <c r="AI558" s="196">
        <f>IFERROR($G558/SUMIF($A:$A,$A558,$G:$G)*SUMIF(Summary!$A$247:$A$283,$A558,Summary!$P$247:$P$283),0)</f>
        <v>0</v>
      </c>
      <c r="AJ558" s="196">
        <f>IFERROR($G558/SUMIF($A:$A,$A558,$G:$G)*(SUMIF(Summary!$A$247:$A$283,$A558,Summary!$L$247:$L$283)+SUMIF(Summary!$A$297:$A$333,$A558,Summary!$L$297:$L$333))-AI558,0)</f>
        <v>0</v>
      </c>
      <c r="AK558" s="196">
        <f>IFERROR($G558/SUMIF($A:$A,$A558,$G:$G)*SUMIF(Summary!$A$247:$A$283,$A558,Summary!$Q$247:$Q$283),0)</f>
        <v>0</v>
      </c>
      <c r="AL558" s="196">
        <f>IFERROR($G558/SUMIF($A:$A,$A558,$G:$G)*(SUMIF(Summary!$A$247:$A$283,$A558,Summary!$L$247:$L$283)+SUMIF(Summary!$A$297:$A$333,$A558,Summary!$L$297:$L$333))-AK558,0)</f>
        <v>0</v>
      </c>
      <c r="AM558" s="198"/>
      <c r="AN558" s="196">
        <f t="shared" ca="1" si="124"/>
        <v>0</v>
      </c>
      <c r="AO558" s="196">
        <f t="shared" ca="1" si="125"/>
        <v>0</v>
      </c>
    </row>
    <row r="559" spans="1:41" s="201" customFormat="1">
      <c r="A559" s="189">
        <v>3594</v>
      </c>
      <c r="B559" s="190">
        <v>2</v>
      </c>
      <c r="C559" s="191" t="s">
        <v>228</v>
      </c>
      <c r="D559" s="192">
        <f t="shared" si="112"/>
        <v>1224</v>
      </c>
      <c r="E559" s="192">
        <f t="shared" si="113"/>
        <v>3333</v>
      </c>
      <c r="F559" s="192">
        <f t="shared" si="114"/>
        <v>0</v>
      </c>
      <c r="G559" s="193">
        <f t="shared" si="115"/>
        <v>4557</v>
      </c>
      <c r="H559" s="194">
        <v>657</v>
      </c>
      <c r="I559" s="194">
        <v>1536</v>
      </c>
      <c r="J559" s="194">
        <v>0</v>
      </c>
      <c r="K559" s="193">
        <f t="shared" si="116"/>
        <v>2193</v>
      </c>
      <c r="L559" s="194">
        <v>498</v>
      </c>
      <c r="M559" s="194">
        <v>1548</v>
      </c>
      <c r="N559" s="194">
        <v>0</v>
      </c>
      <c r="O559" s="193">
        <f t="shared" si="117"/>
        <v>2046</v>
      </c>
      <c r="P559" s="194">
        <v>69</v>
      </c>
      <c r="Q559" s="194">
        <v>249</v>
      </c>
      <c r="R559" s="194">
        <v>0</v>
      </c>
      <c r="S559" s="193">
        <f t="shared" si="118"/>
        <v>318</v>
      </c>
      <c r="T559" s="193">
        <f t="shared" si="119"/>
        <v>151.9</v>
      </c>
      <c r="U559" s="193">
        <f ca="1">OFFSET('Expenditure Study'!$B$7,'Operations Support'!$C559,'Operations Support'!$B559)*$G559</f>
        <v>8703.869999999999</v>
      </c>
      <c r="V559" s="199">
        <f ca="1">U559*'Expenditure Study'!$B$31</f>
        <v>514252.32486969593</v>
      </c>
      <c r="W559" s="199">
        <f ca="1">IF(A559=10298,1.51,1)*IF($B559&lt;3,$D559*'Expenditure Study'!$B$32*OFFSET('Expenditure Study'!$B$7,'Operations Support'!$C559,'Operations Support'!$B559),0)</f>
        <v>233.78399999999999</v>
      </c>
      <c r="X559" s="200">
        <f ca="1">W559*'Expenditure Study'!$B$31</f>
        <v>13812.7023401472</v>
      </c>
      <c r="Y559" s="199">
        <f ca="1">U559*'Expenditure Study'!$B$31</f>
        <v>514252.32486969593</v>
      </c>
      <c r="Z559" s="200">
        <f ca="1">W559*'Expenditure Study'!$B$31</f>
        <v>13812.7023401472</v>
      </c>
      <c r="AA559" s="195">
        <f t="shared" ca="1" si="120"/>
        <v>528065.02720984316</v>
      </c>
      <c r="AB559" s="195">
        <f t="shared" ca="1" si="121"/>
        <v>528065.02720984316</v>
      </c>
      <c r="AD559" s="196">
        <f>IFERROR($G559/SUMIF($A:$A,$A559,$G:$G)*SUMIF(Summary!$A$166:$A$242,$A559,Summary!$P$166:$P$242),0)</f>
        <v>225692.07640279472</v>
      </c>
      <c r="AE559" s="197">
        <f t="shared" ca="1" si="122"/>
        <v>302372.95080704847</v>
      </c>
      <c r="AF559" s="196">
        <f>IFERROR(G559/SUMIF(A:A,A559,G:G)*SUMIF(Summary!$A$166:$A$242,'Operations Support'!A559,Summary!$Q$166:$Q$242),0)</f>
        <v>227091.76469040799</v>
      </c>
      <c r="AG559" s="196">
        <f t="shared" ca="1" si="123"/>
        <v>300973.26251943514</v>
      </c>
      <c r="AH559" s="180"/>
      <c r="AI559" s="196">
        <f>IFERROR($G559/SUMIF($A:$A,$A559,$G:$G)*SUMIF(Summary!$A$247:$A$283,$A559,Summary!$P$247:$P$283),0)</f>
        <v>41160.60265288379</v>
      </c>
      <c r="AJ559" s="196">
        <f>IFERROR($G559/SUMIF($A:$A,$A559,$G:$G)*(SUMIF(Summary!$A$247:$A$283,$A559,Summary!$L$247:$L$283)+SUMIF(Summary!$A$297:$A$333,$A559,Summary!$L$297:$L$333))-AI559,0)</f>
        <v>59978.955397697391</v>
      </c>
      <c r="AK559" s="196">
        <f>IFERROR($G559/SUMIF($A:$A,$A559,$G:$G)*SUMIF(Summary!$A$247:$A$283,$A559,Summary!$Q$247:$Q$283),0)</f>
        <v>41415.870867712583</v>
      </c>
      <c r="AL559" s="196">
        <f>IFERROR($G559/SUMIF($A:$A,$A559,$G:$G)*(SUMIF(Summary!$A$247:$A$283,$A559,Summary!$L$247:$L$283)+SUMIF(Summary!$A$297:$A$333,$A559,Summary!$L$297:$L$333))-AK559,0)</f>
        <v>59723.687182868598</v>
      </c>
      <c r="AM559" s="198"/>
      <c r="AN559" s="196">
        <f t="shared" ca="1" si="124"/>
        <v>362351.90620474587</v>
      </c>
      <c r="AO559" s="196">
        <f t="shared" ca="1" si="125"/>
        <v>360696.94970230374</v>
      </c>
    </row>
    <row r="560" spans="1:41">
      <c r="A560" s="189">
        <v>3594</v>
      </c>
      <c r="B560" s="190">
        <v>2</v>
      </c>
      <c r="C560" s="191" t="s">
        <v>229</v>
      </c>
      <c r="D560" s="192">
        <f t="shared" si="112"/>
        <v>21</v>
      </c>
      <c r="E560" s="192">
        <f t="shared" si="113"/>
        <v>276</v>
      </c>
      <c r="F560" s="192">
        <f t="shared" si="114"/>
        <v>0</v>
      </c>
      <c r="G560" s="193">
        <f t="shared" si="115"/>
        <v>297</v>
      </c>
      <c r="H560" s="194">
        <v>0</v>
      </c>
      <c r="I560" s="194">
        <v>108</v>
      </c>
      <c r="J560" s="194">
        <v>0</v>
      </c>
      <c r="K560" s="193">
        <f t="shared" si="116"/>
        <v>108</v>
      </c>
      <c r="L560" s="194">
        <v>0</v>
      </c>
      <c r="M560" s="194">
        <v>168</v>
      </c>
      <c r="N560" s="194">
        <v>0</v>
      </c>
      <c r="O560" s="193">
        <f t="shared" si="117"/>
        <v>168</v>
      </c>
      <c r="P560" s="194">
        <v>21</v>
      </c>
      <c r="Q560" s="194">
        <v>0</v>
      </c>
      <c r="R560" s="194">
        <v>0</v>
      </c>
      <c r="S560" s="193">
        <f t="shared" si="118"/>
        <v>21</v>
      </c>
      <c r="T560" s="193">
        <f t="shared" si="119"/>
        <v>9.9</v>
      </c>
      <c r="U560" s="193">
        <f ca="1">OFFSET('Expenditure Study'!$B$7,'Operations Support'!$C560,'Operations Support'!$B560)*$G560</f>
        <v>570.24</v>
      </c>
      <c r="V560" s="199">
        <f ca="1">U560*'Expenditure Study'!$B$31</f>
        <v>33691.593019391999</v>
      </c>
      <c r="W560" s="199">
        <f ca="1">IF(A560=10298,1.51,1)*IF($B560&lt;3,$D560*'Expenditure Study'!$B$32*OFFSET('Expenditure Study'!$B$7,'Operations Support'!$C560,'Operations Support'!$B560),0)</f>
        <v>4.032</v>
      </c>
      <c r="X560" s="200">
        <f ca="1">W560*'Expenditure Study'!$B$31</f>
        <v>238.22338498560001</v>
      </c>
      <c r="Y560" s="199">
        <f ca="1">U560*'Expenditure Study'!$B$31</f>
        <v>33691.593019391999</v>
      </c>
      <c r="Z560" s="200">
        <f ca="1">W560*'Expenditure Study'!$B$31</f>
        <v>238.22338498560001</v>
      </c>
      <c r="AA560" s="195">
        <f t="shared" ca="1" si="120"/>
        <v>33929.816404377598</v>
      </c>
      <c r="AB560" s="195">
        <f t="shared" ca="1" si="121"/>
        <v>33929.816404377598</v>
      </c>
      <c r="AD560" s="196">
        <f>IFERROR($G560/SUMIF($A:$A,$A560,$G:$G)*SUMIF(Summary!$A$166:$A$242,$A560,Summary!$P$166:$P$242),0)</f>
        <v>14709.358501564633</v>
      </c>
      <c r="AE560" s="197">
        <f t="shared" ca="1" si="122"/>
        <v>19220.457902812966</v>
      </c>
      <c r="AF560" s="196">
        <f>IFERROR(G560/SUMIF(A:A,A560,G:G)*SUMIF(Summary!$A$166:$A$242,'Operations Support'!A560,Summary!$Q$166:$Q$242),0)</f>
        <v>14800.582425510462</v>
      </c>
      <c r="AG560" s="196">
        <f t="shared" ca="1" si="123"/>
        <v>19129.233978867138</v>
      </c>
      <c r="AI560" s="196">
        <f>IFERROR($G560/SUMIF($A:$A,$A560,$G:$G)*SUMIF(Summary!$A$247:$A$283,$A560,Summary!$P$247:$P$283),0)</f>
        <v>2682.6199227356788</v>
      </c>
      <c r="AJ560" s="196">
        <f>IFERROR($G560/SUMIF($A:$A,$A560,$G:$G)*(SUMIF(Summary!$A$247:$A$283,$A560,Summary!$L$247:$L$283)+SUMIF(Summary!$A$297:$A$333,$A560,Summary!$L$297:$L$333))-AI560,0)</f>
        <v>3909.0958422462422</v>
      </c>
      <c r="AK560" s="196">
        <f>IFERROR($G560/SUMIF($A:$A,$A560,$G:$G)*SUMIF(Summary!$A$247:$A$283,$A560,Summary!$Q$247:$Q$283),0)</f>
        <v>2699.2568899957514</v>
      </c>
      <c r="AL560" s="196">
        <f>IFERROR($G560/SUMIF($A:$A,$A560,$G:$G)*(SUMIF(Summary!$A$247:$A$283,$A560,Summary!$L$247:$L$283)+SUMIF(Summary!$A$297:$A$333,$A560,Summary!$L$297:$L$333))-AK560,0)</f>
        <v>3892.4588749861696</v>
      </c>
      <c r="AM560" s="198"/>
      <c r="AN560" s="196">
        <f t="shared" ca="1" si="124"/>
        <v>23129.553745059209</v>
      </c>
      <c r="AO560" s="196">
        <f t="shared" ca="1" si="125"/>
        <v>23021.692853853307</v>
      </c>
    </row>
    <row r="561" spans="1:41">
      <c r="A561" s="189">
        <v>3594</v>
      </c>
      <c r="B561" s="190">
        <v>2</v>
      </c>
      <c r="C561" s="191" t="s">
        <v>230</v>
      </c>
      <c r="D561" s="192">
        <f t="shared" si="112"/>
        <v>0</v>
      </c>
      <c r="E561" s="192">
        <f t="shared" si="113"/>
        <v>0</v>
      </c>
      <c r="F561" s="192">
        <f t="shared" si="114"/>
        <v>0</v>
      </c>
      <c r="G561" s="193">
        <f t="shared" si="115"/>
        <v>0</v>
      </c>
      <c r="H561" s="194">
        <v>0</v>
      </c>
      <c r="I561" s="194">
        <v>0</v>
      </c>
      <c r="J561" s="194">
        <v>0</v>
      </c>
      <c r="K561" s="193">
        <f t="shared" si="116"/>
        <v>0</v>
      </c>
      <c r="L561" s="194">
        <v>0</v>
      </c>
      <c r="M561" s="194">
        <v>0</v>
      </c>
      <c r="N561" s="194">
        <v>0</v>
      </c>
      <c r="O561" s="193">
        <f t="shared" si="117"/>
        <v>0</v>
      </c>
      <c r="P561" s="194">
        <v>0</v>
      </c>
      <c r="Q561" s="194">
        <v>0</v>
      </c>
      <c r="R561" s="194">
        <v>0</v>
      </c>
      <c r="S561" s="193">
        <f t="shared" si="118"/>
        <v>0</v>
      </c>
      <c r="T561" s="193">
        <f t="shared" si="119"/>
        <v>0</v>
      </c>
      <c r="U561" s="193">
        <f ca="1">OFFSET('Expenditure Study'!$B$7,'Operations Support'!$C561,'Operations Support'!$B561)*$G561</f>
        <v>0</v>
      </c>
      <c r="V561" s="199">
        <f ca="1">U561*'Expenditure Study'!$B$31</f>
        <v>0</v>
      </c>
      <c r="W561" s="199">
        <f ca="1">IF(A561=10298,1.51,1)*IF($B561&lt;3,$D561*'Expenditure Study'!$B$32*OFFSET('Expenditure Study'!$B$7,'Operations Support'!$C561,'Operations Support'!$B561),0)</f>
        <v>0</v>
      </c>
      <c r="X561" s="200">
        <f ca="1">W561*'Expenditure Study'!$B$31</f>
        <v>0</v>
      </c>
      <c r="Y561" s="199">
        <f ca="1">U561*'Expenditure Study'!$B$31</f>
        <v>0</v>
      </c>
      <c r="Z561" s="200">
        <f ca="1">W561*'Expenditure Study'!$B$31</f>
        <v>0</v>
      </c>
      <c r="AA561" s="195">
        <f t="shared" ca="1" si="120"/>
        <v>0</v>
      </c>
      <c r="AB561" s="195">
        <f t="shared" ca="1" si="121"/>
        <v>0</v>
      </c>
      <c r="AD561" s="196">
        <f>IFERROR($G561/SUMIF($A:$A,$A561,$G:$G)*SUMIF(Summary!$A$166:$A$242,$A561,Summary!$P$166:$P$242),0)</f>
        <v>0</v>
      </c>
      <c r="AE561" s="197">
        <f t="shared" ca="1" si="122"/>
        <v>0</v>
      </c>
      <c r="AF561" s="196">
        <f>IFERROR(G561/SUMIF(A:A,A561,G:G)*SUMIF(Summary!$A$166:$A$242,'Operations Support'!A561,Summary!$Q$166:$Q$242),0)</f>
        <v>0</v>
      </c>
      <c r="AG561" s="196">
        <f t="shared" ca="1" si="123"/>
        <v>0</v>
      </c>
      <c r="AI561" s="196">
        <f>IFERROR($G561/SUMIF($A:$A,$A561,$G:$G)*SUMIF(Summary!$A$247:$A$283,$A561,Summary!$P$247:$P$283),0)</f>
        <v>0</v>
      </c>
      <c r="AJ561" s="196">
        <f>IFERROR($G561/SUMIF($A:$A,$A561,$G:$G)*(SUMIF(Summary!$A$247:$A$283,$A561,Summary!$L$247:$L$283)+SUMIF(Summary!$A$297:$A$333,$A561,Summary!$L$297:$L$333))-AI561,0)</f>
        <v>0</v>
      </c>
      <c r="AK561" s="196">
        <f>IFERROR($G561/SUMIF($A:$A,$A561,$G:$G)*SUMIF(Summary!$A$247:$A$283,$A561,Summary!$Q$247:$Q$283),0)</f>
        <v>0</v>
      </c>
      <c r="AL561" s="196">
        <f>IFERROR($G561/SUMIF($A:$A,$A561,$G:$G)*(SUMIF(Summary!$A$247:$A$283,$A561,Summary!$L$247:$L$283)+SUMIF(Summary!$A$297:$A$333,$A561,Summary!$L$297:$L$333))-AK561,0)</f>
        <v>0</v>
      </c>
      <c r="AM561" s="198"/>
      <c r="AN561" s="196">
        <f t="shared" ca="1" si="124"/>
        <v>0</v>
      </c>
      <c r="AO561" s="196">
        <f t="shared" ca="1" si="125"/>
        <v>0</v>
      </c>
    </row>
    <row r="562" spans="1:41">
      <c r="A562" s="189">
        <v>3594</v>
      </c>
      <c r="B562" s="190">
        <v>2</v>
      </c>
      <c r="C562" s="191" t="s">
        <v>231</v>
      </c>
      <c r="D562" s="192">
        <f t="shared" si="112"/>
        <v>0</v>
      </c>
      <c r="E562" s="192">
        <f t="shared" si="113"/>
        <v>30</v>
      </c>
      <c r="F562" s="192">
        <f t="shared" si="114"/>
        <v>0</v>
      </c>
      <c r="G562" s="193">
        <f t="shared" si="115"/>
        <v>30</v>
      </c>
      <c r="H562" s="194">
        <v>0</v>
      </c>
      <c r="I562" s="194">
        <v>14</v>
      </c>
      <c r="J562" s="194">
        <v>0</v>
      </c>
      <c r="K562" s="193">
        <f t="shared" si="116"/>
        <v>14</v>
      </c>
      <c r="L562" s="194">
        <v>0</v>
      </c>
      <c r="M562" s="194">
        <v>16</v>
      </c>
      <c r="N562" s="194">
        <v>0</v>
      </c>
      <c r="O562" s="193">
        <f t="shared" si="117"/>
        <v>16</v>
      </c>
      <c r="P562" s="194">
        <v>0</v>
      </c>
      <c r="Q562" s="194">
        <v>0</v>
      </c>
      <c r="R562" s="194">
        <v>0</v>
      </c>
      <c r="S562" s="193">
        <f t="shared" si="118"/>
        <v>0</v>
      </c>
      <c r="T562" s="193">
        <f t="shared" si="119"/>
        <v>1</v>
      </c>
      <c r="U562" s="193">
        <f ca="1">OFFSET('Expenditure Study'!$B$7,'Operations Support'!$C562,'Operations Support'!$B562)*$G562</f>
        <v>105.6</v>
      </c>
      <c r="V562" s="199">
        <f ca="1">U562*'Expenditure Study'!$B$31</f>
        <v>6239.1838924799995</v>
      </c>
      <c r="W562" s="199">
        <f ca="1">IF(A562=10298,1.51,1)*IF($B562&lt;3,$D562*'Expenditure Study'!$B$32*OFFSET('Expenditure Study'!$B$7,'Operations Support'!$C562,'Operations Support'!$B562),0)</f>
        <v>0</v>
      </c>
      <c r="X562" s="200">
        <f ca="1">W562*'Expenditure Study'!$B$31</f>
        <v>0</v>
      </c>
      <c r="Y562" s="199">
        <f ca="1">U562*'Expenditure Study'!$B$31</f>
        <v>6239.1838924799995</v>
      </c>
      <c r="Z562" s="200">
        <f ca="1">W562*'Expenditure Study'!$B$31</f>
        <v>0</v>
      </c>
      <c r="AA562" s="195">
        <f t="shared" ca="1" si="120"/>
        <v>6239.1838924799995</v>
      </c>
      <c r="AB562" s="195">
        <f t="shared" ca="1" si="121"/>
        <v>6239.1838924799995</v>
      </c>
      <c r="AD562" s="196">
        <f>IFERROR($G562/SUMIF($A:$A,$A562,$G:$G)*SUMIF(Summary!$A$166:$A$242,$A562,Summary!$P$166:$P$242),0)</f>
        <v>1485.7937880368315</v>
      </c>
      <c r="AE562" s="197">
        <f t="shared" ca="1" si="122"/>
        <v>4753.3901044431677</v>
      </c>
      <c r="AF562" s="196">
        <f>IFERROR(G562/SUMIF(A:A,A562,G:G)*SUMIF(Summary!$A$166:$A$242,'Operations Support'!A562,Summary!$Q$166:$Q$242),0)</f>
        <v>1495.0083258091374</v>
      </c>
      <c r="AG562" s="196">
        <f t="shared" ca="1" si="123"/>
        <v>4744.1755666708623</v>
      </c>
      <c r="AI562" s="196">
        <f>IFERROR($G562/SUMIF($A:$A,$A562,$G:$G)*SUMIF(Summary!$A$247:$A$283,$A562,Summary!$P$247:$P$283),0)</f>
        <v>270.97170936724024</v>
      </c>
      <c r="AJ562" s="196">
        <f>IFERROR($G562/SUMIF($A:$A,$A562,$G:$G)*(SUMIF(Summary!$A$247:$A$283,$A562,Summary!$L$247:$L$283)+SUMIF(Summary!$A$297:$A$333,$A562,Summary!$L$297:$L$333))-AI562,0)</f>
        <v>394.85816588345881</v>
      </c>
      <c r="AK562" s="196">
        <f>IFERROR($G562/SUMIF($A:$A,$A562,$G:$G)*SUMIF(Summary!$A$247:$A$283,$A562,Summary!$Q$247:$Q$283),0)</f>
        <v>272.65221111068195</v>
      </c>
      <c r="AL562" s="196">
        <f>IFERROR($G562/SUMIF($A:$A,$A562,$G:$G)*(SUMIF(Summary!$A$247:$A$283,$A562,Summary!$L$247:$L$283)+SUMIF(Summary!$A$297:$A$333,$A562,Summary!$L$297:$L$333))-AK562,0)</f>
        <v>393.1776641400171</v>
      </c>
      <c r="AM562" s="198"/>
      <c r="AN562" s="196">
        <f t="shared" ca="1" si="124"/>
        <v>5148.2482703266269</v>
      </c>
      <c r="AO562" s="196">
        <f t="shared" ca="1" si="125"/>
        <v>5137.3532308108797</v>
      </c>
    </row>
    <row r="563" spans="1:41">
      <c r="A563" s="189">
        <v>3594</v>
      </c>
      <c r="B563" s="190">
        <v>2</v>
      </c>
      <c r="C563" s="191" t="s">
        <v>232</v>
      </c>
      <c r="D563" s="192">
        <f t="shared" si="112"/>
        <v>0</v>
      </c>
      <c r="E563" s="192">
        <f t="shared" si="113"/>
        <v>0</v>
      </c>
      <c r="F563" s="192">
        <f t="shared" si="114"/>
        <v>0</v>
      </c>
      <c r="G563" s="193">
        <f t="shared" si="115"/>
        <v>0</v>
      </c>
      <c r="H563" s="194">
        <v>0</v>
      </c>
      <c r="I563" s="194">
        <v>0</v>
      </c>
      <c r="J563" s="194">
        <v>0</v>
      </c>
      <c r="K563" s="193">
        <f t="shared" si="116"/>
        <v>0</v>
      </c>
      <c r="L563" s="194">
        <v>0</v>
      </c>
      <c r="M563" s="194">
        <v>0</v>
      </c>
      <c r="N563" s="194">
        <v>0</v>
      </c>
      <c r="O563" s="193">
        <f t="shared" si="117"/>
        <v>0</v>
      </c>
      <c r="P563" s="194">
        <v>0</v>
      </c>
      <c r="Q563" s="194">
        <v>0</v>
      </c>
      <c r="R563" s="194">
        <v>0</v>
      </c>
      <c r="S563" s="193">
        <f t="shared" si="118"/>
        <v>0</v>
      </c>
      <c r="T563" s="193">
        <f t="shared" si="119"/>
        <v>0</v>
      </c>
      <c r="U563" s="193">
        <f ca="1">OFFSET('Expenditure Study'!$B$7,'Operations Support'!$C563,'Operations Support'!$B563)*$G563</f>
        <v>0</v>
      </c>
      <c r="V563" s="199">
        <f ca="1">U563*'Expenditure Study'!$B$31</f>
        <v>0</v>
      </c>
      <c r="W563" s="199">
        <f ca="1">IF(A563=10298,1.51,1)*IF($B563&lt;3,$D563*'Expenditure Study'!$B$32*OFFSET('Expenditure Study'!$B$7,'Operations Support'!$C563,'Operations Support'!$B563),0)</f>
        <v>0</v>
      </c>
      <c r="X563" s="200">
        <f ca="1">W563*'Expenditure Study'!$B$31</f>
        <v>0</v>
      </c>
      <c r="Y563" s="199">
        <f ca="1">U563*'Expenditure Study'!$B$31</f>
        <v>0</v>
      </c>
      <c r="Z563" s="200">
        <f ca="1">W563*'Expenditure Study'!$B$31</f>
        <v>0</v>
      </c>
      <c r="AA563" s="195">
        <f t="shared" ca="1" si="120"/>
        <v>0</v>
      </c>
      <c r="AB563" s="195">
        <f t="shared" ca="1" si="121"/>
        <v>0</v>
      </c>
      <c r="AD563" s="196">
        <f>IFERROR($G563/SUMIF($A:$A,$A563,$G:$G)*SUMIF(Summary!$A$166:$A$242,$A563,Summary!$P$166:$P$242),0)</f>
        <v>0</v>
      </c>
      <c r="AE563" s="197">
        <f t="shared" ca="1" si="122"/>
        <v>0</v>
      </c>
      <c r="AF563" s="196">
        <f>IFERROR(G563/SUMIF(A:A,A563,G:G)*SUMIF(Summary!$A$166:$A$242,'Operations Support'!A563,Summary!$Q$166:$Q$242),0)</f>
        <v>0</v>
      </c>
      <c r="AG563" s="196">
        <f t="shared" ca="1" si="123"/>
        <v>0</v>
      </c>
      <c r="AI563" s="196">
        <f>IFERROR($G563/SUMIF($A:$A,$A563,$G:$G)*SUMIF(Summary!$A$247:$A$283,$A563,Summary!$P$247:$P$283),0)</f>
        <v>0</v>
      </c>
      <c r="AJ563" s="196">
        <f>IFERROR($G563/SUMIF($A:$A,$A563,$G:$G)*(SUMIF(Summary!$A$247:$A$283,$A563,Summary!$L$247:$L$283)+SUMIF(Summary!$A$297:$A$333,$A563,Summary!$L$297:$L$333))-AI563,0)</f>
        <v>0</v>
      </c>
      <c r="AK563" s="196">
        <f>IFERROR($G563/SUMIF($A:$A,$A563,$G:$G)*SUMIF(Summary!$A$247:$A$283,$A563,Summary!$Q$247:$Q$283),0)</f>
        <v>0</v>
      </c>
      <c r="AL563" s="196">
        <f>IFERROR($G563/SUMIF($A:$A,$A563,$G:$G)*(SUMIF(Summary!$A$247:$A$283,$A563,Summary!$L$247:$L$283)+SUMIF(Summary!$A$297:$A$333,$A563,Summary!$L$297:$L$333))-AK563,0)</f>
        <v>0</v>
      </c>
      <c r="AM563" s="198"/>
      <c r="AN563" s="196">
        <f t="shared" ca="1" si="124"/>
        <v>0</v>
      </c>
      <c r="AO563" s="196">
        <f t="shared" ca="1" si="125"/>
        <v>0</v>
      </c>
    </row>
    <row r="564" spans="1:41">
      <c r="A564" s="189">
        <v>3594</v>
      </c>
      <c r="B564" s="190">
        <v>2</v>
      </c>
      <c r="C564" s="191" t="s">
        <v>233</v>
      </c>
      <c r="D564" s="192">
        <f t="shared" si="112"/>
        <v>4866</v>
      </c>
      <c r="E564" s="192">
        <f t="shared" si="113"/>
        <v>16199</v>
      </c>
      <c r="F564" s="192">
        <f t="shared" si="114"/>
        <v>0</v>
      </c>
      <c r="G564" s="193">
        <f t="shared" si="115"/>
        <v>21065</v>
      </c>
      <c r="H564" s="194">
        <v>1488</v>
      </c>
      <c r="I564" s="194">
        <v>7784</v>
      </c>
      <c r="J564" s="194">
        <v>0</v>
      </c>
      <c r="K564" s="193">
        <f t="shared" si="116"/>
        <v>9272</v>
      </c>
      <c r="L564" s="194">
        <v>2479.5</v>
      </c>
      <c r="M564" s="194">
        <v>7075.5</v>
      </c>
      <c r="N564" s="194">
        <v>0</v>
      </c>
      <c r="O564" s="193">
        <f t="shared" si="117"/>
        <v>9555</v>
      </c>
      <c r="P564" s="194">
        <v>898.5</v>
      </c>
      <c r="Q564" s="194">
        <v>1339.5</v>
      </c>
      <c r="R564" s="194">
        <v>0</v>
      </c>
      <c r="S564" s="193">
        <f t="shared" si="118"/>
        <v>2238</v>
      </c>
      <c r="T564" s="193">
        <f t="shared" si="119"/>
        <v>702.16666666666663</v>
      </c>
      <c r="U564" s="193">
        <f ca="1">OFFSET('Expenditure Study'!$B$7,'Operations Support'!$C564,'Operations Support'!$B564)*$G564</f>
        <v>33914.65</v>
      </c>
      <c r="V564" s="199">
        <f ca="1">U564*'Expenditure Study'!$B$31</f>
        <v>2003785.3977187201</v>
      </c>
      <c r="W564" s="199">
        <f ca="1">IF(A564=10298,1.51,1)*IF($B564&lt;3,$D564*'Expenditure Study'!$B$32*OFFSET('Expenditure Study'!$B$7,'Operations Support'!$C564,'Operations Support'!$B564),0)</f>
        <v>783.42600000000004</v>
      </c>
      <c r="X564" s="200">
        <f ca="1">W564*'Expenditure Study'!$B$31</f>
        <v>46287.300001420801</v>
      </c>
      <c r="Y564" s="199">
        <f ca="1">U564*'Expenditure Study'!$B$31</f>
        <v>2003785.3977187201</v>
      </c>
      <c r="Z564" s="200">
        <f ca="1">W564*'Expenditure Study'!$B$31</f>
        <v>46287.300001420801</v>
      </c>
      <c r="AA564" s="195">
        <f t="shared" ca="1" si="120"/>
        <v>2050072.6977201409</v>
      </c>
      <c r="AB564" s="195">
        <f t="shared" ca="1" si="121"/>
        <v>2050072.6977201409</v>
      </c>
      <c r="AD564" s="196">
        <f>IFERROR($G564/SUMIF($A:$A,$A564,$G:$G)*SUMIF(Summary!$A$166:$A$242,$A564,Summary!$P$166:$P$242),0)</f>
        <v>1043274.8714998618</v>
      </c>
      <c r="AE564" s="197">
        <f t="shared" ca="1" si="122"/>
        <v>1006797.8262202791</v>
      </c>
      <c r="AF564" s="196">
        <f>IFERROR(G564/SUMIF(A:A,A564,G:G)*SUMIF(Summary!$A$166:$A$242,'Operations Support'!A564,Summary!$Q$166:$Q$242),0)</f>
        <v>1049745.0127723161</v>
      </c>
      <c r="AG564" s="196">
        <f t="shared" ca="1" si="123"/>
        <v>1000327.6849478248</v>
      </c>
      <c r="AI564" s="196">
        <f>IFERROR($G564/SUMIF($A:$A,$A564,$G:$G)*SUMIF(Summary!$A$247:$A$283,$A564,Summary!$P$247:$P$283),0)</f>
        <v>190267.30192736385</v>
      </c>
      <c r="AJ564" s="196">
        <f>IFERROR($G564/SUMIF($A:$A,$A564,$G:$G)*(SUMIF(Summary!$A$247:$A$283,$A564,Summary!$L$247:$L$283)+SUMIF(Summary!$A$297:$A$333,$A564,Summary!$L$297:$L$333))-AI564,0)</f>
        <v>277256.242144502</v>
      </c>
      <c r="AK564" s="196">
        <f>IFERROR($G564/SUMIF($A:$A,$A564,$G:$G)*SUMIF(Summary!$A$247:$A$283,$A564,Summary!$Q$247:$Q$283),0)</f>
        <v>191447.29423488383</v>
      </c>
      <c r="AL564" s="196">
        <f>IFERROR($G564/SUMIF($A:$A,$A564,$G:$G)*(SUMIF(Summary!$A$247:$A$283,$A564,Summary!$L$247:$L$283)+SUMIF(Summary!$A$297:$A$333,$A564,Summary!$L$297:$L$333))-AK564,0)</f>
        <v>276076.249836982</v>
      </c>
      <c r="AM564" s="198"/>
      <c r="AN564" s="196">
        <f t="shared" ca="1" si="124"/>
        <v>1284054.0683647811</v>
      </c>
      <c r="AO564" s="196">
        <f t="shared" ca="1" si="125"/>
        <v>1276403.9347848068</v>
      </c>
    </row>
    <row r="565" spans="1:41">
      <c r="A565" s="189">
        <v>3594</v>
      </c>
      <c r="B565" s="190">
        <v>2</v>
      </c>
      <c r="C565" s="191" t="s">
        <v>234</v>
      </c>
      <c r="D565" s="192">
        <f t="shared" si="112"/>
        <v>0</v>
      </c>
      <c r="E565" s="192">
        <f t="shared" si="113"/>
        <v>0</v>
      </c>
      <c r="F565" s="192">
        <f t="shared" si="114"/>
        <v>0</v>
      </c>
      <c r="G565" s="193">
        <f t="shared" si="115"/>
        <v>0</v>
      </c>
      <c r="H565" s="194">
        <v>0</v>
      </c>
      <c r="I565" s="194">
        <v>0</v>
      </c>
      <c r="J565" s="194">
        <v>0</v>
      </c>
      <c r="K565" s="193">
        <f t="shared" si="116"/>
        <v>0</v>
      </c>
      <c r="L565" s="194">
        <v>0</v>
      </c>
      <c r="M565" s="194">
        <v>0</v>
      </c>
      <c r="N565" s="194">
        <v>0</v>
      </c>
      <c r="O565" s="193">
        <f t="shared" si="117"/>
        <v>0</v>
      </c>
      <c r="P565" s="194">
        <v>0</v>
      </c>
      <c r="Q565" s="194">
        <v>0</v>
      </c>
      <c r="R565" s="194">
        <v>0</v>
      </c>
      <c r="S565" s="193">
        <f t="shared" si="118"/>
        <v>0</v>
      </c>
      <c r="T565" s="193">
        <f t="shared" si="119"/>
        <v>0</v>
      </c>
      <c r="U565" s="193">
        <f ca="1">OFFSET('Expenditure Study'!$B$7,'Operations Support'!$C565,'Operations Support'!$B565)*$G565</f>
        <v>0</v>
      </c>
      <c r="V565" s="199">
        <f ca="1">U565*'Expenditure Study'!$B$31</f>
        <v>0</v>
      </c>
      <c r="W565" s="199">
        <f ca="1">IF(A565=10298,1.51,1)*IF($B565&lt;3,$D565*'Expenditure Study'!$B$32*OFFSET('Expenditure Study'!$B$7,'Operations Support'!$C565,'Operations Support'!$B565),0)</f>
        <v>0</v>
      </c>
      <c r="X565" s="200">
        <f ca="1">W565*'Expenditure Study'!$B$31</f>
        <v>0</v>
      </c>
      <c r="Y565" s="199">
        <f ca="1">U565*'Expenditure Study'!$B$31</f>
        <v>0</v>
      </c>
      <c r="Z565" s="200">
        <f ca="1">W565*'Expenditure Study'!$B$31</f>
        <v>0</v>
      </c>
      <c r="AA565" s="195">
        <f t="shared" ca="1" si="120"/>
        <v>0</v>
      </c>
      <c r="AB565" s="195">
        <f t="shared" ca="1" si="121"/>
        <v>0</v>
      </c>
      <c r="AD565" s="196">
        <f>IFERROR($G565/SUMIF($A:$A,$A565,$G:$G)*SUMIF(Summary!$A$166:$A$242,$A565,Summary!$P$166:$P$242),0)</f>
        <v>0</v>
      </c>
      <c r="AE565" s="197">
        <f t="shared" ca="1" si="122"/>
        <v>0</v>
      </c>
      <c r="AF565" s="196">
        <f>IFERROR(G565/SUMIF(A:A,A565,G:G)*SUMIF(Summary!$A$166:$A$242,'Operations Support'!A565,Summary!$Q$166:$Q$242),0)</f>
        <v>0</v>
      </c>
      <c r="AG565" s="196">
        <f t="shared" ca="1" si="123"/>
        <v>0</v>
      </c>
      <c r="AI565" s="196">
        <f>IFERROR($G565/SUMIF($A:$A,$A565,$G:$G)*SUMIF(Summary!$A$247:$A$283,$A565,Summary!$P$247:$P$283),0)</f>
        <v>0</v>
      </c>
      <c r="AJ565" s="196">
        <f>IFERROR($G565/SUMIF($A:$A,$A565,$G:$G)*(SUMIF(Summary!$A$247:$A$283,$A565,Summary!$L$247:$L$283)+SUMIF(Summary!$A$297:$A$333,$A565,Summary!$L$297:$L$333))-AI565,0)</f>
        <v>0</v>
      </c>
      <c r="AK565" s="196">
        <f>IFERROR($G565/SUMIF($A:$A,$A565,$G:$G)*SUMIF(Summary!$A$247:$A$283,$A565,Summary!$Q$247:$Q$283),0)</f>
        <v>0</v>
      </c>
      <c r="AL565" s="196">
        <f>IFERROR($G565/SUMIF($A:$A,$A565,$G:$G)*(SUMIF(Summary!$A$247:$A$283,$A565,Summary!$L$247:$L$283)+SUMIF(Summary!$A$297:$A$333,$A565,Summary!$L$297:$L$333))-AK565,0)</f>
        <v>0</v>
      </c>
      <c r="AM565" s="198"/>
      <c r="AN565" s="196">
        <f t="shared" ca="1" si="124"/>
        <v>0</v>
      </c>
      <c r="AO565" s="196">
        <f t="shared" ca="1" si="125"/>
        <v>0</v>
      </c>
    </row>
    <row r="566" spans="1:41">
      <c r="A566" s="189">
        <v>3594</v>
      </c>
      <c r="B566" s="190">
        <v>2</v>
      </c>
      <c r="C566" s="191" t="s">
        <v>235</v>
      </c>
      <c r="D566" s="192">
        <f t="shared" si="112"/>
        <v>37090</v>
      </c>
      <c r="E566" s="192">
        <f t="shared" si="113"/>
        <v>72837</v>
      </c>
      <c r="F566" s="192">
        <f t="shared" si="114"/>
        <v>0</v>
      </c>
      <c r="G566" s="193">
        <f t="shared" si="115"/>
        <v>109927</v>
      </c>
      <c r="H566" s="194">
        <v>14490</v>
      </c>
      <c r="I566" s="194">
        <v>33623</v>
      </c>
      <c r="J566" s="194">
        <v>0</v>
      </c>
      <c r="K566" s="193">
        <f t="shared" si="116"/>
        <v>48113</v>
      </c>
      <c r="L566" s="194">
        <v>17602</v>
      </c>
      <c r="M566" s="194">
        <v>27894</v>
      </c>
      <c r="N566" s="194">
        <v>0</v>
      </c>
      <c r="O566" s="193">
        <f t="shared" si="117"/>
        <v>45496</v>
      </c>
      <c r="P566" s="194">
        <v>4998</v>
      </c>
      <c r="Q566" s="194">
        <v>11320</v>
      </c>
      <c r="R566" s="194">
        <v>0</v>
      </c>
      <c r="S566" s="193">
        <f t="shared" si="118"/>
        <v>16318</v>
      </c>
      <c r="T566" s="193">
        <f t="shared" si="119"/>
        <v>3664.2333333333331</v>
      </c>
      <c r="U566" s="193">
        <f ca="1">OFFSET('Expenditure Study'!$B$7,'Operations Support'!$C566,'Operations Support'!$B566)*$G566</f>
        <v>205563.49000000002</v>
      </c>
      <c r="V566" s="199">
        <f ca="1">U566*'Expenditure Study'!$B$31</f>
        <v>12145344.845548993</v>
      </c>
      <c r="W566" s="199">
        <f ca="1">IF(A566=10298,1.51,1)*IF($B566&lt;3,$D566*'Expenditure Study'!$B$32*OFFSET('Expenditure Study'!$B$7,'Operations Support'!$C566,'Operations Support'!$B566),0)</f>
        <v>6935.8300000000008</v>
      </c>
      <c r="X566" s="200">
        <f ca="1">W566*'Expenditure Study'!$B$31</f>
        <v>409790.89788806404</v>
      </c>
      <c r="Y566" s="199">
        <f ca="1">U566*'Expenditure Study'!$B$31</f>
        <v>12145344.845548993</v>
      </c>
      <c r="Z566" s="200">
        <f ca="1">W566*'Expenditure Study'!$B$31</f>
        <v>409790.89788806404</v>
      </c>
      <c r="AA566" s="195">
        <f t="shared" ca="1" si="120"/>
        <v>12555135.743437057</v>
      </c>
      <c r="AB566" s="195">
        <f t="shared" ca="1" si="121"/>
        <v>12555135.743437057</v>
      </c>
      <c r="AD566" s="196">
        <f>IFERROR($G566/SUMIF($A:$A,$A566,$G:$G)*SUMIF(Summary!$A$166:$A$242,$A566,Summary!$P$166:$P$242),0)</f>
        <v>5444295.1245841589</v>
      </c>
      <c r="AE566" s="197">
        <f t="shared" ca="1" si="122"/>
        <v>7110840.6188528985</v>
      </c>
      <c r="AF566" s="196">
        <f>IFERROR(G566/SUMIF(A:A,A566,G:G)*SUMIF(Summary!$A$166:$A$242,'Operations Support'!A566,Summary!$Q$166:$Q$242),0)</f>
        <v>5478059.3410407025</v>
      </c>
      <c r="AG566" s="196">
        <f t="shared" ca="1" si="123"/>
        <v>7077076.4023963548</v>
      </c>
      <c r="AI566" s="196">
        <f>IFERROR($G566/SUMIF($A:$A,$A566,$G:$G)*SUMIF(Summary!$A$247:$A$283,$A566,Summary!$P$247:$P$283),0)</f>
        <v>992903.56985375402</v>
      </c>
      <c r="AJ566" s="196">
        <f>IFERROR($G566/SUMIF($A:$A,$A566,$G:$G)*(SUMIF(Summary!$A$247:$A$283,$A566,Summary!$L$247:$L$283)+SUMIF(Summary!$A$297:$A$333,$A566,Summary!$L$297:$L$333))-AI566,0)</f>
        <v>1446852.4533690324</v>
      </c>
      <c r="AK566" s="196">
        <f>IFERROR($G566/SUMIF($A:$A,$A566,$G:$G)*SUMIF(Summary!$A$247:$A$283,$A566,Summary!$Q$247:$Q$283),0)</f>
        <v>999061.32035879779</v>
      </c>
      <c r="AL566" s="196">
        <f>IFERROR($G566/SUMIF($A:$A,$A566,$G:$G)*(SUMIF(Summary!$A$247:$A$283,$A566,Summary!$L$247:$L$283)+SUMIF(Summary!$A$297:$A$333,$A566,Summary!$L$297:$L$333))-AK566,0)</f>
        <v>1440694.7028639885</v>
      </c>
      <c r="AM566" s="198"/>
      <c r="AN566" s="196">
        <f t="shared" ca="1" si="124"/>
        <v>8557693.0722219311</v>
      </c>
      <c r="AO566" s="196">
        <f t="shared" ca="1" si="125"/>
        <v>8517771.1052603424</v>
      </c>
    </row>
    <row r="567" spans="1:41">
      <c r="A567" s="189">
        <v>3594</v>
      </c>
      <c r="B567" s="190">
        <v>2</v>
      </c>
      <c r="C567" s="191" t="s">
        <v>236</v>
      </c>
      <c r="D567" s="192">
        <f t="shared" si="112"/>
        <v>0</v>
      </c>
      <c r="E567" s="192">
        <f t="shared" si="113"/>
        <v>0</v>
      </c>
      <c r="F567" s="192">
        <f t="shared" si="114"/>
        <v>0</v>
      </c>
      <c r="G567" s="193">
        <f t="shared" si="115"/>
        <v>0</v>
      </c>
      <c r="H567" s="194">
        <v>0</v>
      </c>
      <c r="I567" s="194">
        <v>0</v>
      </c>
      <c r="J567" s="194">
        <v>0</v>
      </c>
      <c r="K567" s="193">
        <f t="shared" si="116"/>
        <v>0</v>
      </c>
      <c r="L567" s="194">
        <v>0</v>
      </c>
      <c r="M567" s="194">
        <v>0</v>
      </c>
      <c r="N567" s="194">
        <v>0</v>
      </c>
      <c r="O567" s="193">
        <f t="shared" si="117"/>
        <v>0</v>
      </c>
      <c r="P567" s="194">
        <v>0</v>
      </c>
      <c r="Q567" s="194">
        <v>0</v>
      </c>
      <c r="R567" s="194">
        <v>0</v>
      </c>
      <c r="S567" s="193">
        <f t="shared" si="118"/>
        <v>0</v>
      </c>
      <c r="T567" s="193">
        <f t="shared" si="119"/>
        <v>0</v>
      </c>
      <c r="U567" s="193">
        <f ca="1">OFFSET('Expenditure Study'!$B$7,'Operations Support'!$C567,'Operations Support'!$B567)*$G567</f>
        <v>0</v>
      </c>
      <c r="V567" s="199">
        <f ca="1">U567*'Expenditure Study'!$B$31</f>
        <v>0</v>
      </c>
      <c r="W567" s="199">
        <f ca="1">IF(A567=10298,1.51,1)*IF($B567&lt;3,$D567*'Expenditure Study'!$B$32*OFFSET('Expenditure Study'!$B$7,'Operations Support'!$C567,'Operations Support'!$B567),0)</f>
        <v>0</v>
      </c>
      <c r="X567" s="200">
        <f ca="1">W567*'Expenditure Study'!$B$31</f>
        <v>0</v>
      </c>
      <c r="Y567" s="199">
        <f ca="1">U567*'Expenditure Study'!$B$31</f>
        <v>0</v>
      </c>
      <c r="Z567" s="200">
        <f ca="1">W567*'Expenditure Study'!$B$31</f>
        <v>0</v>
      </c>
      <c r="AA567" s="195">
        <f t="shared" ca="1" si="120"/>
        <v>0</v>
      </c>
      <c r="AB567" s="195">
        <f t="shared" ca="1" si="121"/>
        <v>0</v>
      </c>
      <c r="AD567" s="196">
        <f>IFERROR($G567/SUMIF($A:$A,$A567,$G:$G)*SUMIF(Summary!$A$166:$A$242,$A567,Summary!$P$166:$P$242),0)</f>
        <v>0</v>
      </c>
      <c r="AE567" s="197">
        <f t="shared" ca="1" si="122"/>
        <v>0</v>
      </c>
      <c r="AF567" s="196">
        <f>IFERROR(G567/SUMIF(A:A,A567,G:G)*SUMIF(Summary!$A$166:$A$242,'Operations Support'!A567,Summary!$Q$166:$Q$242),0)</f>
        <v>0</v>
      </c>
      <c r="AG567" s="196">
        <f t="shared" ca="1" si="123"/>
        <v>0</v>
      </c>
      <c r="AI567" s="196">
        <f>IFERROR($G567/SUMIF($A:$A,$A567,$G:$G)*SUMIF(Summary!$A$247:$A$283,$A567,Summary!$P$247:$P$283),0)</f>
        <v>0</v>
      </c>
      <c r="AJ567" s="196">
        <f>IFERROR($G567/SUMIF($A:$A,$A567,$G:$G)*(SUMIF(Summary!$A$247:$A$283,$A567,Summary!$L$247:$L$283)+SUMIF(Summary!$A$297:$A$333,$A567,Summary!$L$297:$L$333))-AI567,0)</f>
        <v>0</v>
      </c>
      <c r="AK567" s="196">
        <f>IFERROR($G567/SUMIF($A:$A,$A567,$G:$G)*SUMIF(Summary!$A$247:$A$283,$A567,Summary!$Q$247:$Q$283),0)</f>
        <v>0</v>
      </c>
      <c r="AL567" s="196">
        <f>IFERROR($G567/SUMIF($A:$A,$A567,$G:$G)*(SUMIF(Summary!$A$247:$A$283,$A567,Summary!$L$247:$L$283)+SUMIF(Summary!$A$297:$A$333,$A567,Summary!$L$297:$L$333))-AK567,0)</f>
        <v>0</v>
      </c>
      <c r="AM567" s="198"/>
      <c r="AN567" s="196">
        <f t="shared" ca="1" si="124"/>
        <v>0</v>
      </c>
      <c r="AO567" s="196">
        <f t="shared" ca="1" si="125"/>
        <v>0</v>
      </c>
    </row>
    <row r="568" spans="1:41">
      <c r="A568" s="189">
        <v>3594</v>
      </c>
      <c r="B568" s="190">
        <v>2</v>
      </c>
      <c r="C568" s="191" t="s">
        <v>237</v>
      </c>
      <c r="D568" s="192">
        <f t="shared" si="112"/>
        <v>132</v>
      </c>
      <c r="E568" s="192">
        <f t="shared" si="113"/>
        <v>2571</v>
      </c>
      <c r="F568" s="192">
        <f t="shared" si="114"/>
        <v>0</v>
      </c>
      <c r="G568" s="193">
        <f t="shared" si="115"/>
        <v>2703</v>
      </c>
      <c r="H568" s="194">
        <v>99</v>
      </c>
      <c r="I568" s="194">
        <v>1524</v>
      </c>
      <c r="J568" s="194">
        <v>0</v>
      </c>
      <c r="K568" s="193">
        <f t="shared" si="116"/>
        <v>1623</v>
      </c>
      <c r="L568" s="194">
        <v>33</v>
      </c>
      <c r="M568" s="194">
        <v>1047</v>
      </c>
      <c r="N568" s="194">
        <v>0</v>
      </c>
      <c r="O568" s="193">
        <f t="shared" si="117"/>
        <v>1080</v>
      </c>
      <c r="P568" s="194">
        <v>0</v>
      </c>
      <c r="Q568" s="194">
        <v>0</v>
      </c>
      <c r="R568" s="194">
        <v>0</v>
      </c>
      <c r="S568" s="193">
        <f t="shared" si="118"/>
        <v>0</v>
      </c>
      <c r="T568" s="193">
        <f t="shared" si="119"/>
        <v>90.1</v>
      </c>
      <c r="U568" s="193">
        <f ca="1">OFFSET('Expenditure Study'!$B$7,'Operations Support'!$C568,'Operations Support'!$B568)*$G568</f>
        <v>6325.0199999999995</v>
      </c>
      <c r="V568" s="199">
        <f ca="1">U568*'Expenditure Study'!$B$31</f>
        <v>373702.30022361595</v>
      </c>
      <c r="W568" s="199">
        <f ca="1">IF(A568=10298,1.51,1)*IF($B568&lt;3,$D568*'Expenditure Study'!$B$32*OFFSET('Expenditure Study'!$B$7,'Operations Support'!$C568,'Operations Support'!$B568),0)</f>
        <v>30.888000000000002</v>
      </c>
      <c r="X568" s="200">
        <f ca="1">W568*'Expenditure Study'!$B$31</f>
        <v>1824.9612885504002</v>
      </c>
      <c r="Y568" s="199">
        <f ca="1">U568*'Expenditure Study'!$B$31</f>
        <v>373702.30022361595</v>
      </c>
      <c r="Z568" s="200">
        <f ca="1">W568*'Expenditure Study'!$B$31</f>
        <v>1824.9612885504002</v>
      </c>
      <c r="AA568" s="195">
        <f t="shared" ca="1" si="120"/>
        <v>375527.26151216635</v>
      </c>
      <c r="AB568" s="195">
        <f t="shared" ca="1" si="121"/>
        <v>375527.26151216635</v>
      </c>
      <c r="AD568" s="196">
        <f>IFERROR($G568/SUMIF($A:$A,$A568,$G:$G)*SUMIF(Summary!$A$166:$A$242,$A568,Summary!$P$166:$P$242),0)</f>
        <v>133870.02030211853</v>
      </c>
      <c r="AE568" s="197">
        <f t="shared" ca="1" si="122"/>
        <v>241657.24121004783</v>
      </c>
      <c r="AF568" s="196">
        <f>IFERROR(G568/SUMIF(A:A,A568,G:G)*SUMIF(Summary!$A$166:$A$242,'Operations Support'!A568,Summary!$Q$166:$Q$242),0)</f>
        <v>134700.25015540331</v>
      </c>
      <c r="AG568" s="196">
        <f t="shared" ca="1" si="123"/>
        <v>240827.01135676305</v>
      </c>
      <c r="AI568" s="196">
        <f>IFERROR($G568/SUMIF($A:$A,$A568,$G:$G)*SUMIF(Summary!$A$247:$A$283,$A568,Summary!$P$247:$P$283),0)</f>
        <v>24414.551013988348</v>
      </c>
      <c r="AJ568" s="196">
        <f>IFERROR($G568/SUMIF($A:$A,$A568,$G:$G)*(SUMIF(Summary!$A$247:$A$283,$A568,Summary!$L$247:$L$283)+SUMIF(Summary!$A$297:$A$333,$A568,Summary!$L$297:$L$333))-AI568,0)</f>
        <v>35576.720746099643</v>
      </c>
      <c r="AK568" s="196">
        <f>IFERROR($G568/SUMIF($A:$A,$A568,$G:$G)*SUMIF(Summary!$A$247:$A$283,$A568,Summary!$Q$247:$Q$283),0)</f>
        <v>24565.964221072445</v>
      </c>
      <c r="AL568" s="196">
        <f>IFERROR($G568/SUMIF($A:$A,$A568,$G:$G)*(SUMIF(Summary!$A$247:$A$283,$A568,Summary!$L$247:$L$283)+SUMIF(Summary!$A$297:$A$333,$A568,Summary!$L$297:$L$333))-AK568,0)</f>
        <v>35425.307539015543</v>
      </c>
      <c r="AM568" s="198"/>
      <c r="AN568" s="196">
        <f t="shared" ca="1" si="124"/>
        <v>277233.96195614745</v>
      </c>
      <c r="AO568" s="196">
        <f t="shared" ca="1" si="125"/>
        <v>276252.31889577862</v>
      </c>
    </row>
    <row r="569" spans="1:41">
      <c r="A569" s="189">
        <v>3594</v>
      </c>
      <c r="B569" s="190">
        <v>2</v>
      </c>
      <c r="C569" s="191" t="s">
        <v>238</v>
      </c>
      <c r="D569" s="192">
        <f t="shared" si="112"/>
        <v>3496</v>
      </c>
      <c r="E569" s="192">
        <f t="shared" si="113"/>
        <v>4194</v>
      </c>
      <c r="F569" s="192">
        <f t="shared" si="114"/>
        <v>0</v>
      </c>
      <c r="G569" s="193">
        <f t="shared" si="115"/>
        <v>7690</v>
      </c>
      <c r="H569" s="194">
        <v>1731</v>
      </c>
      <c r="I569" s="194">
        <v>1968</v>
      </c>
      <c r="J569" s="194">
        <v>0</v>
      </c>
      <c r="K569" s="193">
        <f t="shared" si="116"/>
        <v>3699</v>
      </c>
      <c r="L569" s="194">
        <v>1615</v>
      </c>
      <c r="M569" s="194">
        <v>1698</v>
      </c>
      <c r="N569" s="194">
        <v>0</v>
      </c>
      <c r="O569" s="193">
        <f t="shared" si="117"/>
        <v>3313</v>
      </c>
      <c r="P569" s="194">
        <v>150</v>
      </c>
      <c r="Q569" s="194">
        <v>528</v>
      </c>
      <c r="R569" s="194">
        <v>0</v>
      </c>
      <c r="S569" s="193">
        <f t="shared" si="118"/>
        <v>678</v>
      </c>
      <c r="T569" s="193">
        <f t="shared" si="119"/>
        <v>256.33333333333331</v>
      </c>
      <c r="U569" s="193">
        <f ca="1">OFFSET('Expenditure Study'!$B$7,'Operations Support'!$C569,'Operations Support'!$B569)*$G569</f>
        <v>18456</v>
      </c>
      <c r="V569" s="199">
        <f ca="1">U569*'Expenditure Study'!$B$31</f>
        <v>1090439.1848448</v>
      </c>
      <c r="W569" s="199">
        <f ca="1">IF(A569=10298,1.51,1)*IF($B569&lt;3,$D569*'Expenditure Study'!$B$32*OFFSET('Expenditure Study'!$B$7,'Operations Support'!$C569,'Operations Support'!$B569),0)</f>
        <v>839.04000000000008</v>
      </c>
      <c r="X569" s="200">
        <f ca="1">W569*'Expenditure Study'!$B$31</f>
        <v>49573.152018432003</v>
      </c>
      <c r="Y569" s="199">
        <f ca="1">U569*'Expenditure Study'!$B$31</f>
        <v>1090439.1848448</v>
      </c>
      <c r="Z569" s="200">
        <f ca="1">W569*'Expenditure Study'!$B$31</f>
        <v>49573.152018432003</v>
      </c>
      <c r="AA569" s="195">
        <f t="shared" ca="1" si="120"/>
        <v>1140012.3368632321</v>
      </c>
      <c r="AB569" s="195">
        <f t="shared" ca="1" si="121"/>
        <v>1140012.3368632321</v>
      </c>
      <c r="AD569" s="196">
        <f>IFERROR($G569/SUMIF($A:$A,$A569,$G:$G)*SUMIF(Summary!$A$166:$A$242,$A569,Summary!$P$166:$P$242),0)</f>
        <v>380858.47433344118</v>
      </c>
      <c r="AE569" s="197">
        <f t="shared" ca="1" si="122"/>
        <v>759153.86252979096</v>
      </c>
      <c r="AF569" s="196">
        <f>IFERROR(G569/SUMIF(A:A,A569,G:G)*SUMIF(Summary!$A$166:$A$242,'Operations Support'!A569,Summary!$Q$166:$Q$242),0)</f>
        <v>383220.46751574229</v>
      </c>
      <c r="AG569" s="196">
        <f t="shared" ca="1" si="123"/>
        <v>756791.86934748979</v>
      </c>
      <c r="AI569" s="196">
        <f>IFERROR($G569/SUMIF($A:$A,$A569,$G:$G)*SUMIF(Summary!$A$247:$A$283,$A569,Summary!$P$247:$P$283),0)</f>
        <v>69459.081501135923</v>
      </c>
      <c r="AJ569" s="196">
        <f>IFERROR($G569/SUMIF($A:$A,$A569,$G:$G)*(SUMIF(Summary!$A$247:$A$283,$A569,Summary!$L$247:$L$283)+SUMIF(Summary!$A$297:$A$333,$A569,Summary!$L$297:$L$333))-AI569,0)</f>
        <v>101215.30985479328</v>
      </c>
      <c r="AK569" s="196">
        <f>IFERROR($G569/SUMIF($A:$A,$A569,$G:$G)*SUMIF(Summary!$A$247:$A$283,$A569,Summary!$Q$247:$Q$283),0)</f>
        <v>69889.850114704808</v>
      </c>
      <c r="AL569" s="196">
        <f>IFERROR($G569/SUMIF($A:$A,$A569,$G:$G)*(SUMIF(Summary!$A$247:$A$283,$A569,Summary!$L$247:$L$283)+SUMIF(Summary!$A$297:$A$333,$A569,Summary!$L$297:$L$333))-AK569,0)</f>
        <v>100784.54124122439</v>
      </c>
      <c r="AM569" s="198"/>
      <c r="AN569" s="196">
        <f t="shared" ca="1" si="124"/>
        <v>860369.17238458421</v>
      </c>
      <c r="AO569" s="196">
        <f t="shared" ca="1" si="125"/>
        <v>857576.41058871418</v>
      </c>
    </row>
    <row r="570" spans="1:41">
      <c r="A570" s="189">
        <v>3594</v>
      </c>
      <c r="B570" s="190">
        <v>2</v>
      </c>
      <c r="C570" s="191" t="s">
        <v>239</v>
      </c>
      <c r="D570" s="192">
        <f t="shared" si="112"/>
        <v>0</v>
      </c>
      <c r="E570" s="192">
        <f t="shared" si="113"/>
        <v>0</v>
      </c>
      <c r="F570" s="192">
        <f t="shared" si="114"/>
        <v>0</v>
      </c>
      <c r="G570" s="193">
        <f t="shared" si="115"/>
        <v>0</v>
      </c>
      <c r="H570" s="194">
        <v>0</v>
      </c>
      <c r="I570" s="194">
        <v>0</v>
      </c>
      <c r="J570" s="194">
        <v>0</v>
      </c>
      <c r="K570" s="193">
        <f t="shared" si="116"/>
        <v>0</v>
      </c>
      <c r="L570" s="194">
        <v>0</v>
      </c>
      <c r="M570" s="194">
        <v>0</v>
      </c>
      <c r="N570" s="194">
        <v>0</v>
      </c>
      <c r="O570" s="193">
        <f t="shared" si="117"/>
        <v>0</v>
      </c>
      <c r="P570" s="194">
        <v>0</v>
      </c>
      <c r="Q570" s="194">
        <v>0</v>
      </c>
      <c r="R570" s="194">
        <v>0</v>
      </c>
      <c r="S570" s="193">
        <f t="shared" si="118"/>
        <v>0</v>
      </c>
      <c r="T570" s="193">
        <f t="shared" si="119"/>
        <v>0</v>
      </c>
      <c r="U570" s="193">
        <f ca="1">OFFSET('Expenditure Study'!$B$7,'Operations Support'!$C570,'Operations Support'!$B570)*$G570</f>
        <v>0</v>
      </c>
      <c r="V570" s="199">
        <f ca="1">U570*'Expenditure Study'!$B$31</f>
        <v>0</v>
      </c>
      <c r="W570" s="199">
        <f ca="1">IF(A570=10298,1.51,1)*IF($B570&lt;3,$D570*'Expenditure Study'!$B$32*OFFSET('Expenditure Study'!$B$7,'Operations Support'!$C570,'Operations Support'!$B570),0)</f>
        <v>0</v>
      </c>
      <c r="X570" s="200">
        <f ca="1">W570*'Expenditure Study'!$B$31</f>
        <v>0</v>
      </c>
      <c r="Y570" s="199">
        <f ca="1">U570*'Expenditure Study'!$B$31</f>
        <v>0</v>
      </c>
      <c r="Z570" s="200">
        <f ca="1">W570*'Expenditure Study'!$B$31</f>
        <v>0</v>
      </c>
      <c r="AA570" s="195">
        <f t="shared" ca="1" si="120"/>
        <v>0</v>
      </c>
      <c r="AB570" s="195">
        <f t="shared" ca="1" si="121"/>
        <v>0</v>
      </c>
      <c r="AD570" s="196">
        <f>IFERROR($G570/SUMIF($A:$A,$A570,$G:$G)*SUMIF(Summary!$A$166:$A$242,$A570,Summary!$P$166:$P$242),0)</f>
        <v>0</v>
      </c>
      <c r="AE570" s="197">
        <f t="shared" ca="1" si="122"/>
        <v>0</v>
      </c>
      <c r="AF570" s="196">
        <f>IFERROR(G570/SUMIF(A:A,A570,G:G)*SUMIF(Summary!$A$166:$A$242,'Operations Support'!A570,Summary!$Q$166:$Q$242),0)</f>
        <v>0</v>
      </c>
      <c r="AG570" s="196">
        <f t="shared" ca="1" si="123"/>
        <v>0</v>
      </c>
      <c r="AI570" s="196">
        <f>IFERROR($G570/SUMIF($A:$A,$A570,$G:$G)*SUMIF(Summary!$A$247:$A$283,$A570,Summary!$P$247:$P$283),0)</f>
        <v>0</v>
      </c>
      <c r="AJ570" s="196">
        <f>IFERROR($G570/SUMIF($A:$A,$A570,$G:$G)*(SUMIF(Summary!$A$247:$A$283,$A570,Summary!$L$247:$L$283)+SUMIF(Summary!$A$297:$A$333,$A570,Summary!$L$297:$L$333))-AI570,0)</f>
        <v>0</v>
      </c>
      <c r="AK570" s="196">
        <f>IFERROR($G570/SUMIF($A:$A,$A570,$G:$G)*SUMIF(Summary!$A$247:$A$283,$A570,Summary!$Q$247:$Q$283),0)</f>
        <v>0</v>
      </c>
      <c r="AL570" s="196">
        <f>IFERROR($G570/SUMIF($A:$A,$A570,$G:$G)*(SUMIF(Summary!$A$247:$A$283,$A570,Summary!$L$247:$L$283)+SUMIF(Summary!$A$297:$A$333,$A570,Summary!$L$297:$L$333))-AK570,0)</f>
        <v>0</v>
      </c>
      <c r="AM570" s="198"/>
      <c r="AN570" s="196">
        <f t="shared" ca="1" si="124"/>
        <v>0</v>
      </c>
      <c r="AO570" s="196">
        <f t="shared" ca="1" si="125"/>
        <v>0</v>
      </c>
    </row>
    <row r="571" spans="1:41">
      <c r="A571" s="189">
        <v>3594</v>
      </c>
      <c r="B571" s="190">
        <v>2</v>
      </c>
      <c r="C571" s="191" t="s">
        <v>240</v>
      </c>
      <c r="D571" s="192">
        <f t="shared" si="112"/>
        <v>0</v>
      </c>
      <c r="E571" s="192">
        <f t="shared" si="113"/>
        <v>0</v>
      </c>
      <c r="F571" s="192">
        <f t="shared" si="114"/>
        <v>0</v>
      </c>
      <c r="G571" s="193">
        <f t="shared" si="115"/>
        <v>0</v>
      </c>
      <c r="H571" s="194">
        <v>0</v>
      </c>
      <c r="I571" s="194">
        <v>0</v>
      </c>
      <c r="J571" s="194">
        <v>0</v>
      </c>
      <c r="K571" s="193">
        <f t="shared" si="116"/>
        <v>0</v>
      </c>
      <c r="L571" s="194">
        <v>0</v>
      </c>
      <c r="M571" s="194">
        <v>0</v>
      </c>
      <c r="N571" s="194">
        <v>0</v>
      </c>
      <c r="O571" s="193">
        <f t="shared" si="117"/>
        <v>0</v>
      </c>
      <c r="P571" s="194">
        <v>0</v>
      </c>
      <c r="Q571" s="194">
        <v>0</v>
      </c>
      <c r="R571" s="194">
        <v>0</v>
      </c>
      <c r="S571" s="193">
        <f t="shared" si="118"/>
        <v>0</v>
      </c>
      <c r="T571" s="193">
        <f t="shared" si="119"/>
        <v>0</v>
      </c>
      <c r="U571" s="193">
        <f ca="1">OFFSET('Expenditure Study'!$B$7,'Operations Support'!$C571,'Operations Support'!$B571)*$G571</f>
        <v>0</v>
      </c>
      <c r="V571" s="199">
        <f ca="1">U571*'Expenditure Study'!$B$31</f>
        <v>0</v>
      </c>
      <c r="W571" s="199">
        <f ca="1">IF(A571=10298,1.51,1)*IF($B571&lt;3,$D571*'Expenditure Study'!$B$32*OFFSET('Expenditure Study'!$B$7,'Operations Support'!$C571,'Operations Support'!$B571),0)</f>
        <v>0</v>
      </c>
      <c r="X571" s="200">
        <f ca="1">W571*'Expenditure Study'!$B$31</f>
        <v>0</v>
      </c>
      <c r="Y571" s="199">
        <f ca="1">U571*'Expenditure Study'!$B$31</f>
        <v>0</v>
      </c>
      <c r="Z571" s="200">
        <f ca="1">W571*'Expenditure Study'!$B$31</f>
        <v>0</v>
      </c>
      <c r="AA571" s="195">
        <f t="shared" ca="1" si="120"/>
        <v>0</v>
      </c>
      <c r="AB571" s="195">
        <f t="shared" ca="1" si="121"/>
        <v>0</v>
      </c>
      <c r="AD571" s="196">
        <f>IFERROR($G571/SUMIF($A:$A,$A571,$G:$G)*SUMIF(Summary!$A$166:$A$242,$A571,Summary!$P$166:$P$242),0)</f>
        <v>0</v>
      </c>
      <c r="AE571" s="197">
        <f t="shared" ca="1" si="122"/>
        <v>0</v>
      </c>
      <c r="AF571" s="196">
        <f>IFERROR(G571/SUMIF(A:A,A571,G:G)*SUMIF(Summary!$A$166:$A$242,'Operations Support'!A571,Summary!$Q$166:$Q$242),0)</f>
        <v>0</v>
      </c>
      <c r="AG571" s="196">
        <f t="shared" ca="1" si="123"/>
        <v>0</v>
      </c>
      <c r="AI571" s="196">
        <f>IFERROR($G571/SUMIF($A:$A,$A571,$G:$G)*SUMIF(Summary!$A$247:$A$283,$A571,Summary!$P$247:$P$283),0)</f>
        <v>0</v>
      </c>
      <c r="AJ571" s="196">
        <f>IFERROR($G571/SUMIF($A:$A,$A571,$G:$G)*(SUMIF(Summary!$A$247:$A$283,$A571,Summary!$L$247:$L$283)+SUMIF(Summary!$A$297:$A$333,$A571,Summary!$L$297:$L$333))-AI571,0)</f>
        <v>0</v>
      </c>
      <c r="AK571" s="196">
        <f>IFERROR($G571/SUMIF($A:$A,$A571,$G:$G)*SUMIF(Summary!$A$247:$A$283,$A571,Summary!$Q$247:$Q$283),0)</f>
        <v>0</v>
      </c>
      <c r="AL571" s="196">
        <f>IFERROR($G571/SUMIF($A:$A,$A571,$G:$G)*(SUMIF(Summary!$A$247:$A$283,$A571,Summary!$L$247:$L$283)+SUMIF(Summary!$A$297:$A$333,$A571,Summary!$L$297:$L$333))-AK571,0)</f>
        <v>0</v>
      </c>
      <c r="AM571" s="198"/>
      <c r="AN571" s="196">
        <f t="shared" ca="1" si="124"/>
        <v>0</v>
      </c>
      <c r="AO571" s="196">
        <f t="shared" ca="1" si="125"/>
        <v>0</v>
      </c>
    </row>
    <row r="572" spans="1:41">
      <c r="A572" s="189">
        <v>3594</v>
      </c>
      <c r="B572" s="190">
        <v>3</v>
      </c>
      <c r="C572" s="191" t="s">
        <v>220</v>
      </c>
      <c r="D572" s="192">
        <f t="shared" si="112"/>
        <v>11204</v>
      </c>
      <c r="E572" s="192">
        <f t="shared" si="113"/>
        <v>12586</v>
      </c>
      <c r="F572" s="192">
        <f t="shared" si="114"/>
        <v>0</v>
      </c>
      <c r="G572" s="193">
        <f t="shared" si="115"/>
        <v>23790</v>
      </c>
      <c r="H572" s="194">
        <v>4664</v>
      </c>
      <c r="I572" s="194">
        <v>4313</v>
      </c>
      <c r="J572" s="194">
        <v>0</v>
      </c>
      <c r="K572" s="193">
        <f t="shared" si="116"/>
        <v>8977</v>
      </c>
      <c r="L572" s="194">
        <v>5022</v>
      </c>
      <c r="M572" s="194">
        <v>3717</v>
      </c>
      <c r="N572" s="194">
        <v>0</v>
      </c>
      <c r="O572" s="193">
        <f t="shared" si="117"/>
        <v>8739</v>
      </c>
      <c r="P572" s="194">
        <v>1518</v>
      </c>
      <c r="Q572" s="194">
        <v>4556</v>
      </c>
      <c r="R572" s="194">
        <v>0</v>
      </c>
      <c r="S572" s="193">
        <f t="shared" si="118"/>
        <v>6074</v>
      </c>
      <c r="T572" s="193">
        <f t="shared" si="119"/>
        <v>991.25</v>
      </c>
      <c r="U572" s="193">
        <f ca="1">OFFSET('Expenditure Study'!$B$7,'Operations Support'!$C572,'Operations Support'!$B572)*$G572</f>
        <v>106103.4</v>
      </c>
      <c r="V572" s="199">
        <f ca="1">U572*'Expenditure Study'!$B$31</f>
        <v>6268926.3656947194</v>
      </c>
      <c r="W572" s="199">
        <f ca="1">IF(A572=10298,1.51,1)*IF($B572&lt;3,$D572*'Expenditure Study'!$B$32*OFFSET('Expenditure Study'!$B$7,'Operations Support'!$C572,'Operations Support'!$B572),0)</f>
        <v>0</v>
      </c>
      <c r="X572" s="200">
        <f ca="1">W572*'Expenditure Study'!$B$31</f>
        <v>0</v>
      </c>
      <c r="Y572" s="199">
        <f ca="1">U572*'Expenditure Study'!$B$31</f>
        <v>6268926.3656947194</v>
      </c>
      <c r="Z572" s="200">
        <f ca="1">W572*'Expenditure Study'!$B$31</f>
        <v>0</v>
      </c>
      <c r="AA572" s="195">
        <f t="shared" ca="1" si="120"/>
        <v>6268926.3656947194</v>
      </c>
      <c r="AB572" s="195">
        <f t="shared" ca="1" si="121"/>
        <v>6268926.3656947194</v>
      </c>
      <c r="AD572" s="196">
        <f>IFERROR($G572/SUMIF($A:$A,$A572,$G:$G)*SUMIF(Summary!$A$166:$A$242,$A572,Summary!$P$166:$P$242),0)</f>
        <v>1178234.4739132074</v>
      </c>
      <c r="AE572" s="197">
        <f t="shared" ca="1" si="122"/>
        <v>5090691.8917815117</v>
      </c>
      <c r="AF572" s="196">
        <f>IFERROR(G572/SUMIF(A:A,A572,G:G)*SUMIF(Summary!$A$166:$A$242,'Operations Support'!A572,Summary!$Q$166:$Q$242),0)</f>
        <v>1185541.6023666461</v>
      </c>
      <c r="AG572" s="196">
        <f t="shared" ca="1" si="123"/>
        <v>5083384.7633280735</v>
      </c>
      <c r="AI572" s="196">
        <f>IFERROR($G572/SUMIF($A:$A,$A572,$G:$G)*SUMIF(Summary!$A$247:$A$283,$A572,Summary!$P$247:$P$283),0)</f>
        <v>214880.56552822152</v>
      </c>
      <c r="AJ572" s="196">
        <f>IFERROR($G572/SUMIF($A:$A,$A572,$G:$G)*(SUMIF(Summary!$A$247:$A$283,$A572,Summary!$L$247:$L$283)+SUMIF(Summary!$A$297:$A$333,$A572,Summary!$L$297:$L$333))-AI572,0)</f>
        <v>313122.52554558276</v>
      </c>
      <c r="AK572" s="196">
        <f>IFERROR($G572/SUMIF($A:$A,$A572,$G:$G)*SUMIF(Summary!$A$247:$A$283,$A572,Summary!$Q$247:$Q$283),0)</f>
        <v>216213.20341077077</v>
      </c>
      <c r="AL572" s="196">
        <f>IFERROR($G572/SUMIF($A:$A,$A572,$G:$G)*(SUMIF(Summary!$A$247:$A$283,$A572,Summary!$L$247:$L$283)+SUMIF(Summary!$A$297:$A$333,$A572,Summary!$L$297:$L$333))-AK572,0)</f>
        <v>311789.88766303356</v>
      </c>
      <c r="AM572" s="198"/>
      <c r="AN572" s="196">
        <f t="shared" ca="1" si="124"/>
        <v>5403814.4173270948</v>
      </c>
      <c r="AO572" s="196">
        <f t="shared" ca="1" si="125"/>
        <v>5395174.6509911073</v>
      </c>
    </row>
    <row r="573" spans="1:41">
      <c r="A573" s="189">
        <v>3594</v>
      </c>
      <c r="B573" s="190">
        <v>3</v>
      </c>
      <c r="C573" s="191" t="s">
        <v>221</v>
      </c>
      <c r="D573" s="192">
        <f t="shared" si="112"/>
        <v>7706</v>
      </c>
      <c r="E573" s="192">
        <f t="shared" si="113"/>
        <v>20114</v>
      </c>
      <c r="F573" s="192">
        <f t="shared" si="114"/>
        <v>0</v>
      </c>
      <c r="G573" s="193">
        <f t="shared" si="115"/>
        <v>27820</v>
      </c>
      <c r="H573" s="194">
        <v>2734.5</v>
      </c>
      <c r="I573" s="194">
        <v>10040.5</v>
      </c>
      <c r="J573" s="194">
        <v>0</v>
      </c>
      <c r="K573" s="193">
        <f t="shared" si="116"/>
        <v>12775</v>
      </c>
      <c r="L573" s="194">
        <v>3656.5</v>
      </c>
      <c r="M573" s="194">
        <v>7853.5</v>
      </c>
      <c r="N573" s="194">
        <v>0</v>
      </c>
      <c r="O573" s="193">
        <f t="shared" si="117"/>
        <v>11510</v>
      </c>
      <c r="P573" s="194">
        <v>1315</v>
      </c>
      <c r="Q573" s="194">
        <v>2220</v>
      </c>
      <c r="R573" s="194">
        <v>0</v>
      </c>
      <c r="S573" s="193">
        <f t="shared" si="118"/>
        <v>3535</v>
      </c>
      <c r="T573" s="193">
        <f t="shared" si="119"/>
        <v>1159.1666666666667</v>
      </c>
      <c r="U573" s="193">
        <f ca="1">OFFSET('Expenditure Study'!$B$7,'Operations Support'!$C573,'Operations Support'!$B573)*$G573</f>
        <v>194740</v>
      </c>
      <c r="V573" s="199">
        <f ca="1">U573*'Expenditure Study'!$B$31</f>
        <v>11505858.628992001</v>
      </c>
      <c r="W573" s="199">
        <f ca="1">IF(A573=10298,1.51,1)*IF($B573&lt;3,$D573*'Expenditure Study'!$B$32*OFFSET('Expenditure Study'!$B$7,'Operations Support'!$C573,'Operations Support'!$B573),0)</f>
        <v>0</v>
      </c>
      <c r="X573" s="200">
        <f ca="1">W573*'Expenditure Study'!$B$31</f>
        <v>0</v>
      </c>
      <c r="Y573" s="199">
        <f ca="1">U573*'Expenditure Study'!$B$31</f>
        <v>11505858.628992001</v>
      </c>
      <c r="Z573" s="200">
        <f ca="1">W573*'Expenditure Study'!$B$31</f>
        <v>0</v>
      </c>
      <c r="AA573" s="195">
        <f t="shared" ca="1" si="120"/>
        <v>11505858.628992001</v>
      </c>
      <c r="AB573" s="195">
        <f t="shared" ca="1" si="121"/>
        <v>11505858.628992001</v>
      </c>
      <c r="AD573" s="196">
        <f>IFERROR($G573/SUMIF($A:$A,$A573,$G:$G)*SUMIF(Summary!$A$166:$A$242,$A573,Summary!$P$166:$P$242),0)</f>
        <v>1377826.1061061551</v>
      </c>
      <c r="AE573" s="197">
        <f t="shared" ca="1" si="122"/>
        <v>10128032.522885846</v>
      </c>
      <c r="AF573" s="196">
        <f>IFERROR(G573/SUMIF(A:A,A573,G:G)*SUMIF(Summary!$A$166:$A$242,'Operations Support'!A573,Summary!$Q$166:$Q$242),0)</f>
        <v>1386371.0541336734</v>
      </c>
      <c r="AG573" s="196">
        <f t="shared" ca="1" si="123"/>
        <v>10119487.574858326</v>
      </c>
      <c r="AI573" s="196">
        <f>IFERROR($G573/SUMIF($A:$A,$A573,$G:$G)*SUMIF(Summary!$A$247:$A$283,$A573,Summary!$P$247:$P$283),0)</f>
        <v>251281.09848655411</v>
      </c>
      <c r="AJ573" s="196">
        <f>IFERROR($G573/SUMIF($A:$A,$A573,$G:$G)*(SUMIF(Summary!$A$247:$A$283,$A573,Summary!$L$247:$L$283)+SUMIF(Summary!$A$297:$A$333,$A573,Summary!$L$297:$L$333))-AI573,0)</f>
        <v>366165.1391625941</v>
      </c>
      <c r="AK573" s="196">
        <f>IFERROR($G573/SUMIF($A:$A,$A573,$G:$G)*SUMIF(Summary!$A$247:$A$283,$A573,Summary!$Q$247:$Q$283),0)</f>
        <v>252839.48376997237</v>
      </c>
      <c r="AL573" s="196">
        <f>IFERROR($G573/SUMIF($A:$A,$A573,$G:$G)*(SUMIF(Summary!$A$247:$A$283,$A573,Summary!$L$247:$L$283)+SUMIF(Summary!$A$297:$A$333,$A573,Summary!$L$297:$L$333))-AK573,0)</f>
        <v>364606.75387917587</v>
      </c>
      <c r="AM573" s="198"/>
      <c r="AN573" s="196">
        <f t="shared" ca="1" si="124"/>
        <v>10494197.66204844</v>
      </c>
      <c r="AO573" s="196">
        <f t="shared" ca="1" si="125"/>
        <v>10484094.328737503</v>
      </c>
    </row>
    <row r="574" spans="1:41">
      <c r="A574" s="189">
        <v>3594</v>
      </c>
      <c r="B574" s="190">
        <v>3</v>
      </c>
      <c r="C574" s="191" t="s">
        <v>222</v>
      </c>
      <c r="D574" s="192">
        <f t="shared" si="112"/>
        <v>4420.91</v>
      </c>
      <c r="E574" s="192">
        <f t="shared" si="113"/>
        <v>1465.09</v>
      </c>
      <c r="F574" s="192">
        <f t="shared" si="114"/>
        <v>0</v>
      </c>
      <c r="G574" s="193">
        <f t="shared" si="115"/>
        <v>5886</v>
      </c>
      <c r="H574" s="194">
        <v>1908.2</v>
      </c>
      <c r="I574" s="194">
        <v>610.79999999999995</v>
      </c>
      <c r="J574" s="194">
        <v>0</v>
      </c>
      <c r="K574" s="193">
        <f t="shared" si="116"/>
        <v>2519</v>
      </c>
      <c r="L574" s="194">
        <v>2048.71</v>
      </c>
      <c r="M574" s="194">
        <v>761.29</v>
      </c>
      <c r="N574" s="194">
        <v>0</v>
      </c>
      <c r="O574" s="193">
        <f t="shared" si="117"/>
        <v>2810</v>
      </c>
      <c r="P574" s="194">
        <v>464</v>
      </c>
      <c r="Q574" s="194">
        <v>93</v>
      </c>
      <c r="R574" s="194">
        <v>0</v>
      </c>
      <c r="S574" s="193">
        <f t="shared" si="118"/>
        <v>557</v>
      </c>
      <c r="T574" s="193">
        <f t="shared" si="119"/>
        <v>245.25</v>
      </c>
      <c r="U574" s="193">
        <f ca="1">OFFSET('Expenditure Study'!$B$7,'Operations Support'!$C574,'Operations Support'!$B574)*$G574</f>
        <v>44203.86</v>
      </c>
      <c r="V574" s="199">
        <f ca="1">U574*'Expenditure Study'!$B$31</f>
        <v>2611704.6524378881</v>
      </c>
      <c r="W574" s="199">
        <f ca="1">IF(A574=10298,1.51,1)*IF($B574&lt;3,$D574*'Expenditure Study'!$B$32*OFFSET('Expenditure Study'!$B$7,'Operations Support'!$C574,'Operations Support'!$B574),0)</f>
        <v>0</v>
      </c>
      <c r="X574" s="200">
        <f ca="1">W574*'Expenditure Study'!$B$31</f>
        <v>0</v>
      </c>
      <c r="Y574" s="199">
        <f ca="1">U574*'Expenditure Study'!$B$31</f>
        <v>2611704.6524378881</v>
      </c>
      <c r="Z574" s="200">
        <f ca="1">W574*'Expenditure Study'!$B$31</f>
        <v>0</v>
      </c>
      <c r="AA574" s="195">
        <f t="shared" ca="1" si="120"/>
        <v>2611704.6524378881</v>
      </c>
      <c r="AB574" s="195">
        <f t="shared" ca="1" si="121"/>
        <v>2611704.6524378881</v>
      </c>
      <c r="AD574" s="196">
        <f>IFERROR($G574/SUMIF($A:$A,$A574,$G:$G)*SUMIF(Summary!$A$166:$A$242,$A574,Summary!$P$166:$P$242),0)</f>
        <v>291512.74121282634</v>
      </c>
      <c r="AE574" s="197">
        <f t="shared" ca="1" si="122"/>
        <v>2320191.9112250619</v>
      </c>
      <c r="AF574" s="196">
        <f>IFERROR(G574/SUMIF(A:A,A574,G:G)*SUMIF(Summary!$A$166:$A$242,'Operations Support'!A574,Summary!$Q$166:$Q$242),0)</f>
        <v>293320.63352375274</v>
      </c>
      <c r="AG574" s="196">
        <f t="shared" ca="1" si="123"/>
        <v>2318384.0189141352</v>
      </c>
      <c r="AI574" s="196">
        <f>IFERROR($G574/SUMIF($A:$A,$A574,$G:$G)*SUMIF(Summary!$A$247:$A$283,$A574,Summary!$P$247:$P$283),0)</f>
        <v>53164.649377852533</v>
      </c>
      <c r="AJ574" s="196">
        <f>IFERROR($G574/SUMIF($A:$A,$A574,$G:$G)*(SUMIF(Summary!$A$247:$A$283,$A574,Summary!$L$247:$L$283)+SUMIF(Summary!$A$297:$A$333,$A574,Summary!$L$297:$L$333))-AI574,0)</f>
        <v>77471.172146334604</v>
      </c>
      <c r="AK574" s="196">
        <f>IFERROR($G574/SUMIF($A:$A,$A574,$G:$G)*SUMIF(Summary!$A$247:$A$283,$A574,Summary!$Q$247:$Q$283),0)</f>
        <v>53494.363819915794</v>
      </c>
      <c r="AL574" s="196">
        <f>IFERROR($G574/SUMIF($A:$A,$A574,$G:$G)*(SUMIF(Summary!$A$247:$A$283,$A574,Summary!$L$247:$L$283)+SUMIF(Summary!$A$297:$A$333,$A574,Summary!$L$297:$L$333))-AK574,0)</f>
        <v>77141.457704271335</v>
      </c>
      <c r="AM574" s="198"/>
      <c r="AN574" s="196">
        <f t="shared" ca="1" si="124"/>
        <v>2397663.0833713966</v>
      </c>
      <c r="AO574" s="196">
        <f t="shared" ca="1" si="125"/>
        <v>2395525.4766184064</v>
      </c>
    </row>
    <row r="575" spans="1:41">
      <c r="A575" s="189">
        <v>3594</v>
      </c>
      <c r="B575" s="190">
        <v>3</v>
      </c>
      <c r="C575" s="191" t="s">
        <v>223</v>
      </c>
      <c r="D575" s="192">
        <f t="shared" si="112"/>
        <v>2404</v>
      </c>
      <c r="E575" s="192">
        <f t="shared" si="113"/>
        <v>6367</v>
      </c>
      <c r="F575" s="192">
        <f t="shared" si="114"/>
        <v>0</v>
      </c>
      <c r="G575" s="193">
        <f t="shared" si="115"/>
        <v>8771</v>
      </c>
      <c r="H575" s="194">
        <v>985</v>
      </c>
      <c r="I575" s="194">
        <v>2127</v>
      </c>
      <c r="J575" s="194">
        <v>0</v>
      </c>
      <c r="K575" s="193">
        <f t="shared" si="116"/>
        <v>3112</v>
      </c>
      <c r="L575" s="194">
        <v>519</v>
      </c>
      <c r="M575" s="194">
        <v>2009</v>
      </c>
      <c r="N575" s="194">
        <v>0</v>
      </c>
      <c r="O575" s="193">
        <f t="shared" si="117"/>
        <v>2528</v>
      </c>
      <c r="P575" s="194">
        <v>900</v>
      </c>
      <c r="Q575" s="194">
        <v>2231</v>
      </c>
      <c r="R575" s="194">
        <v>0</v>
      </c>
      <c r="S575" s="193">
        <f t="shared" si="118"/>
        <v>3131</v>
      </c>
      <c r="T575" s="193">
        <f t="shared" si="119"/>
        <v>365.45833333333331</v>
      </c>
      <c r="U575" s="193">
        <f ca="1">OFFSET('Expenditure Study'!$B$7,'Operations Support'!$C575,'Operations Support'!$B575)*$G575</f>
        <v>19647.04</v>
      </c>
      <c r="V575" s="199">
        <f ca="1">U575*'Expenditure Study'!$B$31</f>
        <v>1160809.6165048322</v>
      </c>
      <c r="W575" s="199">
        <f ca="1">IF(A575=10298,1.51,1)*IF($B575&lt;3,$D575*'Expenditure Study'!$B$32*OFFSET('Expenditure Study'!$B$7,'Operations Support'!$C575,'Operations Support'!$B575),0)</f>
        <v>0</v>
      </c>
      <c r="X575" s="200">
        <f ca="1">W575*'Expenditure Study'!$B$31</f>
        <v>0</v>
      </c>
      <c r="Y575" s="199">
        <f ca="1">U575*'Expenditure Study'!$B$31</f>
        <v>1160809.6165048322</v>
      </c>
      <c r="Z575" s="200">
        <f ca="1">W575*'Expenditure Study'!$B$31</f>
        <v>0</v>
      </c>
      <c r="AA575" s="195">
        <f t="shared" ca="1" si="120"/>
        <v>1160809.6165048322</v>
      </c>
      <c r="AB575" s="195">
        <f t="shared" ca="1" si="121"/>
        <v>1160809.6165048322</v>
      </c>
      <c r="AD575" s="196">
        <f>IFERROR($G575/SUMIF($A:$A,$A575,$G:$G)*SUMIF(Summary!$A$166:$A$242,$A575,Summary!$P$166:$P$242),0)</f>
        <v>434396.57716236828</v>
      </c>
      <c r="AE575" s="197">
        <f t="shared" ca="1" si="122"/>
        <v>726413.03934246395</v>
      </c>
      <c r="AF575" s="196">
        <f>IFERROR(G575/SUMIF(A:A,A575,G:G)*SUMIF(Summary!$A$166:$A$242,'Operations Support'!A575,Summary!$Q$166:$Q$242),0)</f>
        <v>437090.60085573152</v>
      </c>
      <c r="AG575" s="196">
        <f t="shared" ca="1" si="123"/>
        <v>723719.01564910065</v>
      </c>
      <c r="AI575" s="196">
        <f>IFERROR($G575/SUMIF($A:$A,$A575,$G:$G)*SUMIF(Summary!$A$247:$A$283,$A575,Summary!$P$247:$P$283),0)</f>
        <v>79223.095428668807</v>
      </c>
      <c r="AJ575" s="196">
        <f>IFERROR($G575/SUMIF($A:$A,$A575,$G:$G)*(SUMIF(Summary!$A$247:$A$283,$A575,Summary!$L$247:$L$283)+SUMIF(Summary!$A$297:$A$333,$A575,Summary!$L$297:$L$333))-AI575,0)</f>
        <v>115443.36576546056</v>
      </c>
      <c r="AK575" s="196">
        <f>IFERROR($G575/SUMIF($A:$A,$A575,$G:$G)*SUMIF(Summary!$A$247:$A$283,$A575,Summary!$Q$247:$Q$283),0)</f>
        <v>79714.418121726369</v>
      </c>
      <c r="AL575" s="196">
        <f>IFERROR($G575/SUMIF($A:$A,$A575,$G:$G)*(SUMIF(Summary!$A$247:$A$283,$A575,Summary!$L$247:$L$283)+SUMIF(Summary!$A$297:$A$333,$A575,Summary!$L$297:$L$333))-AK575,0)</f>
        <v>114952.043072403</v>
      </c>
      <c r="AM575" s="198"/>
      <c r="AN575" s="196">
        <f t="shared" ca="1" si="124"/>
        <v>841856.40510792448</v>
      </c>
      <c r="AO575" s="196">
        <f t="shared" ca="1" si="125"/>
        <v>838671.05872150371</v>
      </c>
    </row>
    <row r="576" spans="1:41">
      <c r="A576" s="189">
        <v>3594</v>
      </c>
      <c r="B576" s="190">
        <v>3</v>
      </c>
      <c r="C576" s="191" t="s">
        <v>224</v>
      </c>
      <c r="D576" s="192">
        <f t="shared" si="112"/>
        <v>0</v>
      </c>
      <c r="E576" s="192">
        <f t="shared" si="113"/>
        <v>0</v>
      </c>
      <c r="F576" s="192">
        <f t="shared" si="114"/>
        <v>0</v>
      </c>
      <c r="G576" s="193">
        <f t="shared" si="115"/>
        <v>0</v>
      </c>
      <c r="H576" s="194">
        <v>0</v>
      </c>
      <c r="I576" s="194">
        <v>0</v>
      </c>
      <c r="J576" s="194">
        <v>0</v>
      </c>
      <c r="K576" s="193">
        <f t="shared" si="116"/>
        <v>0</v>
      </c>
      <c r="L576" s="194">
        <v>0</v>
      </c>
      <c r="M576" s="194">
        <v>0</v>
      </c>
      <c r="N576" s="194">
        <v>0</v>
      </c>
      <c r="O576" s="193">
        <f t="shared" si="117"/>
        <v>0</v>
      </c>
      <c r="P576" s="194">
        <v>0</v>
      </c>
      <c r="Q576" s="194">
        <v>0</v>
      </c>
      <c r="R576" s="194">
        <v>0</v>
      </c>
      <c r="S576" s="193">
        <f t="shared" si="118"/>
        <v>0</v>
      </c>
      <c r="T576" s="193">
        <f t="shared" si="119"/>
        <v>0</v>
      </c>
      <c r="U576" s="193">
        <f ca="1">OFFSET('Expenditure Study'!$B$7,'Operations Support'!$C576,'Operations Support'!$B576)*$G576</f>
        <v>0</v>
      </c>
      <c r="V576" s="199">
        <f ca="1">U576*'Expenditure Study'!$B$31</f>
        <v>0</v>
      </c>
      <c r="W576" s="199">
        <f ca="1">IF(A576=10298,1.51,1)*IF($B576&lt;3,$D576*'Expenditure Study'!$B$32*OFFSET('Expenditure Study'!$B$7,'Operations Support'!$C576,'Operations Support'!$B576),0)</f>
        <v>0</v>
      </c>
      <c r="X576" s="200">
        <f ca="1">W576*'Expenditure Study'!$B$31</f>
        <v>0</v>
      </c>
      <c r="Y576" s="199">
        <f ca="1">U576*'Expenditure Study'!$B$31</f>
        <v>0</v>
      </c>
      <c r="Z576" s="200">
        <f ca="1">W576*'Expenditure Study'!$B$31</f>
        <v>0</v>
      </c>
      <c r="AA576" s="195">
        <f t="shared" ca="1" si="120"/>
        <v>0</v>
      </c>
      <c r="AB576" s="195">
        <f t="shared" ca="1" si="121"/>
        <v>0</v>
      </c>
      <c r="AD576" s="196">
        <f>IFERROR($G576/SUMIF($A:$A,$A576,$G:$G)*SUMIF(Summary!$A$166:$A$242,$A576,Summary!$P$166:$P$242),0)</f>
        <v>0</v>
      </c>
      <c r="AE576" s="197">
        <f t="shared" ca="1" si="122"/>
        <v>0</v>
      </c>
      <c r="AF576" s="196">
        <f>IFERROR(G576/SUMIF(A:A,A576,G:G)*SUMIF(Summary!$A$166:$A$242,'Operations Support'!A576,Summary!$Q$166:$Q$242),0)</f>
        <v>0</v>
      </c>
      <c r="AG576" s="196">
        <f t="shared" ca="1" si="123"/>
        <v>0</v>
      </c>
      <c r="AI576" s="196">
        <f>IFERROR($G576/SUMIF($A:$A,$A576,$G:$G)*SUMIF(Summary!$A$247:$A$283,$A576,Summary!$P$247:$P$283),0)</f>
        <v>0</v>
      </c>
      <c r="AJ576" s="196">
        <f>IFERROR($G576/SUMIF($A:$A,$A576,$G:$G)*(SUMIF(Summary!$A$247:$A$283,$A576,Summary!$L$247:$L$283)+SUMIF(Summary!$A$297:$A$333,$A576,Summary!$L$297:$L$333))-AI576,0)</f>
        <v>0</v>
      </c>
      <c r="AK576" s="196">
        <f>IFERROR($G576/SUMIF($A:$A,$A576,$G:$G)*SUMIF(Summary!$A$247:$A$283,$A576,Summary!$Q$247:$Q$283),0)</f>
        <v>0</v>
      </c>
      <c r="AL576" s="196">
        <f>IFERROR($G576/SUMIF($A:$A,$A576,$G:$G)*(SUMIF(Summary!$A$247:$A$283,$A576,Summary!$L$247:$L$283)+SUMIF(Summary!$A$297:$A$333,$A576,Summary!$L$297:$L$333))-AK576,0)</f>
        <v>0</v>
      </c>
      <c r="AM576" s="198"/>
      <c r="AN576" s="196">
        <f t="shared" ca="1" si="124"/>
        <v>0</v>
      </c>
      <c r="AO576" s="196">
        <f t="shared" ca="1" si="125"/>
        <v>0</v>
      </c>
    </row>
    <row r="577" spans="1:41">
      <c r="A577" s="189">
        <v>3594</v>
      </c>
      <c r="B577" s="190">
        <v>3</v>
      </c>
      <c r="C577" s="191" t="s">
        <v>225</v>
      </c>
      <c r="D577" s="192">
        <f t="shared" si="112"/>
        <v>16128</v>
      </c>
      <c r="E577" s="192">
        <f t="shared" si="113"/>
        <v>32277</v>
      </c>
      <c r="F577" s="192">
        <f t="shared" si="114"/>
        <v>0</v>
      </c>
      <c r="G577" s="193">
        <f t="shared" si="115"/>
        <v>48405</v>
      </c>
      <c r="H577" s="194">
        <v>7335</v>
      </c>
      <c r="I577" s="194">
        <v>14562</v>
      </c>
      <c r="J577" s="194">
        <v>0</v>
      </c>
      <c r="K577" s="193">
        <f t="shared" si="116"/>
        <v>21897</v>
      </c>
      <c r="L577" s="194">
        <v>7406</v>
      </c>
      <c r="M577" s="194">
        <v>14007</v>
      </c>
      <c r="N577" s="194">
        <v>0</v>
      </c>
      <c r="O577" s="193">
        <f t="shared" si="117"/>
        <v>21413</v>
      </c>
      <c r="P577" s="194">
        <v>1387</v>
      </c>
      <c r="Q577" s="194">
        <v>3708</v>
      </c>
      <c r="R577" s="194">
        <v>0</v>
      </c>
      <c r="S577" s="193">
        <f t="shared" si="118"/>
        <v>5095</v>
      </c>
      <c r="T577" s="193">
        <f t="shared" si="119"/>
        <v>2016.875</v>
      </c>
      <c r="U577" s="193">
        <f ca="1">OFFSET('Expenditure Study'!$B$7,'Operations Support'!$C577,'Operations Support'!$B577)*$G577</f>
        <v>334478.55</v>
      </c>
      <c r="V577" s="199">
        <f ca="1">U577*'Expenditure Study'!$B$31</f>
        <v>19762056.643371839</v>
      </c>
      <c r="W577" s="199">
        <f ca="1">IF(A577=10298,1.51,1)*IF($B577&lt;3,$D577*'Expenditure Study'!$B$32*OFFSET('Expenditure Study'!$B$7,'Operations Support'!$C577,'Operations Support'!$B577),0)</f>
        <v>0</v>
      </c>
      <c r="X577" s="200">
        <f ca="1">W577*'Expenditure Study'!$B$31</f>
        <v>0</v>
      </c>
      <c r="Y577" s="199">
        <f ca="1">U577*'Expenditure Study'!$B$31</f>
        <v>19762056.643371839</v>
      </c>
      <c r="Z577" s="200">
        <f ca="1">W577*'Expenditure Study'!$B$31</f>
        <v>0</v>
      </c>
      <c r="AA577" s="195">
        <f t="shared" ca="1" si="120"/>
        <v>19762056.643371839</v>
      </c>
      <c r="AB577" s="195">
        <f t="shared" ca="1" si="121"/>
        <v>19762056.643371839</v>
      </c>
      <c r="AD577" s="196">
        <f>IFERROR($G577/SUMIF($A:$A,$A577,$G:$G)*SUMIF(Summary!$A$166:$A$242,$A577,Summary!$P$166:$P$242),0)</f>
        <v>2397328.2769974279</v>
      </c>
      <c r="AE577" s="197">
        <f t="shared" ca="1" si="122"/>
        <v>17364728.366374411</v>
      </c>
      <c r="AF577" s="196">
        <f>IFERROR(G577/SUMIF(A:A,A577,G:G)*SUMIF(Summary!$A$166:$A$242,'Operations Support'!A577,Summary!$Q$166:$Q$242),0)</f>
        <v>2412195.9336930434</v>
      </c>
      <c r="AG577" s="196">
        <f t="shared" ca="1" si="123"/>
        <v>17349860.709678795</v>
      </c>
      <c r="AI577" s="196">
        <f>IFERROR($G577/SUMIF($A:$A,$A577,$G:$G)*SUMIF(Summary!$A$247:$A$283,$A577,Summary!$P$247:$P$283),0)</f>
        <v>437212.85306404217</v>
      </c>
      <c r="AJ577" s="196">
        <f>IFERROR($G577/SUMIF($A:$A,$A577,$G:$G)*(SUMIF(Summary!$A$247:$A$283,$A577,Summary!$L$247:$L$283)+SUMIF(Summary!$A$297:$A$333,$A577,Summary!$L$297:$L$333))-AI577,0)</f>
        <v>637103.65065296076</v>
      </c>
      <c r="AK577" s="196">
        <f>IFERROR($G577/SUMIF($A:$A,$A577,$G:$G)*SUMIF(Summary!$A$247:$A$283,$A577,Summary!$Q$247:$Q$283),0)</f>
        <v>439924.34262708534</v>
      </c>
      <c r="AL577" s="196">
        <f>IFERROR($G577/SUMIF($A:$A,$A577,$G:$G)*(SUMIF(Summary!$A$247:$A$283,$A577,Summary!$L$247:$L$283)+SUMIF(Summary!$A$297:$A$333,$A577,Summary!$L$297:$L$333))-AK577,0)</f>
        <v>634392.16108991764</v>
      </c>
      <c r="AM577" s="198"/>
      <c r="AN577" s="196">
        <f t="shared" ca="1" si="124"/>
        <v>18001832.017027371</v>
      </c>
      <c r="AO577" s="196">
        <f t="shared" ca="1" si="125"/>
        <v>17984252.870768711</v>
      </c>
    </row>
    <row r="578" spans="1:41">
      <c r="A578" s="189">
        <v>3594</v>
      </c>
      <c r="B578" s="190">
        <v>3</v>
      </c>
      <c r="C578" s="191" t="s">
        <v>226</v>
      </c>
      <c r="D578" s="192">
        <f t="shared" si="112"/>
        <v>0</v>
      </c>
      <c r="E578" s="192">
        <f t="shared" si="113"/>
        <v>0</v>
      </c>
      <c r="F578" s="192">
        <f t="shared" si="114"/>
        <v>0</v>
      </c>
      <c r="G578" s="193">
        <f t="shared" si="115"/>
        <v>0</v>
      </c>
      <c r="H578" s="194">
        <v>0</v>
      </c>
      <c r="I578" s="194">
        <v>0</v>
      </c>
      <c r="J578" s="194">
        <v>0</v>
      </c>
      <c r="K578" s="193">
        <f t="shared" si="116"/>
        <v>0</v>
      </c>
      <c r="L578" s="194">
        <v>0</v>
      </c>
      <c r="M578" s="194">
        <v>0</v>
      </c>
      <c r="N578" s="194">
        <v>0</v>
      </c>
      <c r="O578" s="193">
        <f t="shared" si="117"/>
        <v>0</v>
      </c>
      <c r="P578" s="194">
        <v>0</v>
      </c>
      <c r="Q578" s="194">
        <v>0</v>
      </c>
      <c r="R578" s="194">
        <v>0</v>
      </c>
      <c r="S578" s="193">
        <f t="shared" si="118"/>
        <v>0</v>
      </c>
      <c r="T578" s="193">
        <f t="shared" si="119"/>
        <v>0</v>
      </c>
      <c r="U578" s="193">
        <f ca="1">OFFSET('Expenditure Study'!$B$7,'Operations Support'!$C578,'Operations Support'!$B578)*$G578</f>
        <v>0</v>
      </c>
      <c r="V578" s="199">
        <f ca="1">U578*'Expenditure Study'!$B$31</f>
        <v>0</v>
      </c>
      <c r="W578" s="199">
        <f ca="1">IF(A578=10298,1.51,1)*IF($B578&lt;3,$D578*'Expenditure Study'!$B$32*OFFSET('Expenditure Study'!$B$7,'Operations Support'!$C578,'Operations Support'!$B578),0)</f>
        <v>0</v>
      </c>
      <c r="X578" s="200">
        <f ca="1">W578*'Expenditure Study'!$B$31</f>
        <v>0</v>
      </c>
      <c r="Y578" s="199">
        <f ca="1">U578*'Expenditure Study'!$B$31</f>
        <v>0</v>
      </c>
      <c r="Z578" s="200">
        <f ca="1">W578*'Expenditure Study'!$B$31</f>
        <v>0</v>
      </c>
      <c r="AA578" s="195">
        <f t="shared" ca="1" si="120"/>
        <v>0</v>
      </c>
      <c r="AB578" s="195">
        <f t="shared" ca="1" si="121"/>
        <v>0</v>
      </c>
      <c r="AD578" s="196">
        <f>IFERROR($G578/SUMIF($A:$A,$A578,$G:$G)*SUMIF(Summary!$A$166:$A$242,$A578,Summary!$P$166:$P$242),0)</f>
        <v>0</v>
      </c>
      <c r="AE578" s="197">
        <f t="shared" ca="1" si="122"/>
        <v>0</v>
      </c>
      <c r="AF578" s="196">
        <f>IFERROR(G578/SUMIF(A:A,A578,G:G)*SUMIF(Summary!$A$166:$A$242,'Operations Support'!A578,Summary!$Q$166:$Q$242),0)</f>
        <v>0</v>
      </c>
      <c r="AG578" s="196">
        <f t="shared" ca="1" si="123"/>
        <v>0</v>
      </c>
      <c r="AI578" s="196">
        <f>IFERROR($G578/SUMIF($A:$A,$A578,$G:$G)*SUMIF(Summary!$A$247:$A$283,$A578,Summary!$P$247:$P$283),0)</f>
        <v>0</v>
      </c>
      <c r="AJ578" s="196">
        <f>IFERROR($G578/SUMIF($A:$A,$A578,$G:$G)*(SUMIF(Summary!$A$247:$A$283,$A578,Summary!$L$247:$L$283)+SUMIF(Summary!$A$297:$A$333,$A578,Summary!$L$297:$L$333))-AI578,0)</f>
        <v>0</v>
      </c>
      <c r="AK578" s="196">
        <f>IFERROR($G578/SUMIF($A:$A,$A578,$G:$G)*SUMIF(Summary!$A$247:$A$283,$A578,Summary!$Q$247:$Q$283),0)</f>
        <v>0</v>
      </c>
      <c r="AL578" s="196">
        <f>IFERROR($G578/SUMIF($A:$A,$A578,$G:$G)*(SUMIF(Summary!$A$247:$A$283,$A578,Summary!$L$247:$L$283)+SUMIF(Summary!$A$297:$A$333,$A578,Summary!$L$297:$L$333))-AK578,0)</f>
        <v>0</v>
      </c>
      <c r="AM578" s="198"/>
      <c r="AN578" s="196">
        <f t="shared" ca="1" si="124"/>
        <v>0</v>
      </c>
      <c r="AO578" s="196">
        <f t="shared" ca="1" si="125"/>
        <v>0</v>
      </c>
    </row>
    <row r="579" spans="1:41">
      <c r="A579" s="189">
        <v>3594</v>
      </c>
      <c r="B579" s="190">
        <v>3</v>
      </c>
      <c r="C579" s="191" t="s">
        <v>227</v>
      </c>
      <c r="D579" s="192">
        <f t="shared" si="112"/>
        <v>0</v>
      </c>
      <c r="E579" s="192">
        <f t="shared" si="113"/>
        <v>0</v>
      </c>
      <c r="F579" s="192">
        <f t="shared" si="114"/>
        <v>0</v>
      </c>
      <c r="G579" s="193">
        <f t="shared" si="115"/>
        <v>0</v>
      </c>
      <c r="H579" s="194">
        <v>0</v>
      </c>
      <c r="I579" s="194">
        <v>0</v>
      </c>
      <c r="J579" s="194">
        <v>0</v>
      </c>
      <c r="K579" s="193">
        <f t="shared" si="116"/>
        <v>0</v>
      </c>
      <c r="L579" s="194">
        <v>0</v>
      </c>
      <c r="M579" s="194">
        <v>0</v>
      </c>
      <c r="N579" s="194">
        <v>0</v>
      </c>
      <c r="O579" s="193">
        <f t="shared" si="117"/>
        <v>0</v>
      </c>
      <c r="P579" s="194">
        <v>0</v>
      </c>
      <c r="Q579" s="194">
        <v>0</v>
      </c>
      <c r="R579" s="194">
        <v>0</v>
      </c>
      <c r="S579" s="193">
        <f t="shared" si="118"/>
        <v>0</v>
      </c>
      <c r="T579" s="193">
        <f t="shared" si="119"/>
        <v>0</v>
      </c>
      <c r="U579" s="193">
        <f ca="1">OFFSET('Expenditure Study'!$B$7,'Operations Support'!$C579,'Operations Support'!$B579)*$G579</f>
        <v>0</v>
      </c>
      <c r="V579" s="199">
        <f ca="1">U579*'Expenditure Study'!$B$31</f>
        <v>0</v>
      </c>
      <c r="W579" s="199">
        <f ca="1">IF(A579=10298,1.51,1)*IF($B579&lt;3,$D579*'Expenditure Study'!$B$32*OFFSET('Expenditure Study'!$B$7,'Operations Support'!$C579,'Operations Support'!$B579),0)</f>
        <v>0</v>
      </c>
      <c r="X579" s="200">
        <f ca="1">W579*'Expenditure Study'!$B$31</f>
        <v>0</v>
      </c>
      <c r="Y579" s="199">
        <f ca="1">U579*'Expenditure Study'!$B$31</f>
        <v>0</v>
      </c>
      <c r="Z579" s="200">
        <f ca="1">W579*'Expenditure Study'!$B$31</f>
        <v>0</v>
      </c>
      <c r="AA579" s="195">
        <f t="shared" ca="1" si="120"/>
        <v>0</v>
      </c>
      <c r="AB579" s="195">
        <f t="shared" ca="1" si="121"/>
        <v>0</v>
      </c>
      <c r="AD579" s="196">
        <f>IFERROR($G579/SUMIF($A:$A,$A579,$G:$G)*SUMIF(Summary!$A$166:$A$242,$A579,Summary!$P$166:$P$242),0)</f>
        <v>0</v>
      </c>
      <c r="AE579" s="197">
        <f t="shared" ca="1" si="122"/>
        <v>0</v>
      </c>
      <c r="AF579" s="196">
        <f>IFERROR(G579/SUMIF(A:A,A579,G:G)*SUMIF(Summary!$A$166:$A$242,'Operations Support'!A579,Summary!$Q$166:$Q$242),0)</f>
        <v>0</v>
      </c>
      <c r="AG579" s="196">
        <f t="shared" ca="1" si="123"/>
        <v>0</v>
      </c>
      <c r="AI579" s="196">
        <f>IFERROR($G579/SUMIF($A:$A,$A579,$G:$G)*SUMIF(Summary!$A$247:$A$283,$A579,Summary!$P$247:$P$283),0)</f>
        <v>0</v>
      </c>
      <c r="AJ579" s="196">
        <f>IFERROR($G579/SUMIF($A:$A,$A579,$G:$G)*(SUMIF(Summary!$A$247:$A$283,$A579,Summary!$L$247:$L$283)+SUMIF(Summary!$A$297:$A$333,$A579,Summary!$L$297:$L$333))-AI579,0)</f>
        <v>0</v>
      </c>
      <c r="AK579" s="196">
        <f>IFERROR($G579/SUMIF($A:$A,$A579,$G:$G)*SUMIF(Summary!$A$247:$A$283,$A579,Summary!$Q$247:$Q$283),0)</f>
        <v>0</v>
      </c>
      <c r="AL579" s="196">
        <f>IFERROR($G579/SUMIF($A:$A,$A579,$G:$G)*(SUMIF(Summary!$A$247:$A$283,$A579,Summary!$L$247:$L$283)+SUMIF(Summary!$A$297:$A$333,$A579,Summary!$L$297:$L$333))-AK579,0)</f>
        <v>0</v>
      </c>
      <c r="AM579" s="198"/>
      <c r="AN579" s="196">
        <f t="shared" ca="1" si="124"/>
        <v>0</v>
      </c>
      <c r="AO579" s="196">
        <f t="shared" ca="1" si="125"/>
        <v>0</v>
      </c>
    </row>
    <row r="580" spans="1:41">
      <c r="A580" s="189">
        <v>3594</v>
      </c>
      <c r="B580" s="190">
        <v>3</v>
      </c>
      <c r="C580" s="191" t="s">
        <v>228</v>
      </c>
      <c r="D580" s="192">
        <f t="shared" si="112"/>
        <v>592</v>
      </c>
      <c r="E580" s="192">
        <f t="shared" si="113"/>
        <v>702</v>
      </c>
      <c r="F580" s="192">
        <f t="shared" si="114"/>
        <v>0</v>
      </c>
      <c r="G580" s="193">
        <f t="shared" si="115"/>
        <v>1294</v>
      </c>
      <c r="H580" s="194">
        <v>222</v>
      </c>
      <c r="I580" s="194">
        <v>327</v>
      </c>
      <c r="J580" s="194">
        <v>0</v>
      </c>
      <c r="K580" s="193">
        <f t="shared" si="116"/>
        <v>549</v>
      </c>
      <c r="L580" s="194">
        <v>318</v>
      </c>
      <c r="M580" s="194">
        <v>327</v>
      </c>
      <c r="N580" s="194">
        <v>0</v>
      </c>
      <c r="O580" s="193">
        <f t="shared" si="117"/>
        <v>645</v>
      </c>
      <c r="P580" s="194">
        <v>52</v>
      </c>
      <c r="Q580" s="194">
        <v>48</v>
      </c>
      <c r="R580" s="194">
        <v>0</v>
      </c>
      <c r="S580" s="193">
        <f t="shared" si="118"/>
        <v>100</v>
      </c>
      <c r="T580" s="193">
        <f t="shared" si="119"/>
        <v>53.916666666666664</v>
      </c>
      <c r="U580" s="193">
        <f ca="1">OFFSET('Expenditure Study'!$B$7,'Operations Support'!$C580,'Operations Support'!$B580)*$G580</f>
        <v>3157.36</v>
      </c>
      <c r="V580" s="199">
        <f ca="1">U580*'Expenditure Study'!$B$31</f>
        <v>186546.871730688</v>
      </c>
      <c r="W580" s="199">
        <f ca="1">IF(A580=10298,1.51,1)*IF($B580&lt;3,$D580*'Expenditure Study'!$B$32*OFFSET('Expenditure Study'!$B$7,'Operations Support'!$C580,'Operations Support'!$B580),0)</f>
        <v>0</v>
      </c>
      <c r="X580" s="200">
        <f ca="1">W580*'Expenditure Study'!$B$31</f>
        <v>0</v>
      </c>
      <c r="Y580" s="199">
        <f ca="1">U580*'Expenditure Study'!$B$31</f>
        <v>186546.871730688</v>
      </c>
      <c r="Z580" s="200">
        <f ca="1">W580*'Expenditure Study'!$B$31</f>
        <v>0</v>
      </c>
      <c r="AA580" s="195">
        <f t="shared" ca="1" si="120"/>
        <v>186546.871730688</v>
      </c>
      <c r="AB580" s="195">
        <f t="shared" ca="1" si="121"/>
        <v>186546.871730688</v>
      </c>
      <c r="AD580" s="196">
        <f>IFERROR($G580/SUMIF($A:$A,$A580,$G:$G)*SUMIF(Summary!$A$166:$A$242,$A580,Summary!$P$166:$P$242),0)</f>
        <v>64087.238723988659</v>
      </c>
      <c r="AE580" s="197">
        <f t="shared" ca="1" si="122"/>
        <v>122459.63300669934</v>
      </c>
      <c r="AF580" s="196">
        <f>IFERROR(G580/SUMIF(A:A,A580,G:G)*SUMIF(Summary!$A$166:$A$242,'Operations Support'!A580,Summary!$Q$166:$Q$242),0)</f>
        <v>64484.692453234129</v>
      </c>
      <c r="AG580" s="196">
        <f t="shared" ca="1" si="123"/>
        <v>122062.17927745386</v>
      </c>
      <c r="AI580" s="196">
        <f>IFERROR($G580/SUMIF($A:$A,$A580,$G:$G)*SUMIF(Summary!$A$247:$A$283,$A580,Summary!$P$247:$P$283),0)</f>
        <v>11687.913064040295</v>
      </c>
      <c r="AJ580" s="196">
        <f>IFERROR($G580/SUMIF($A:$A,$A580,$G:$G)*(SUMIF(Summary!$A$247:$A$283,$A580,Summary!$L$247:$L$283)+SUMIF(Summary!$A$297:$A$333,$A580,Summary!$L$297:$L$333))-AI580,0)</f>
        <v>17031.548888439858</v>
      </c>
      <c r="AK580" s="196">
        <f>IFERROR($G580/SUMIF($A:$A,$A580,$G:$G)*SUMIF(Summary!$A$247:$A$283,$A580,Summary!$Q$247:$Q$283),0)</f>
        <v>11760.398705907413</v>
      </c>
      <c r="AL580" s="196">
        <f>IFERROR($G580/SUMIF($A:$A,$A580,$G:$G)*(SUMIF(Summary!$A$247:$A$283,$A580,Summary!$L$247:$L$283)+SUMIF(Summary!$A$297:$A$333,$A580,Summary!$L$297:$L$333))-AK580,0)</f>
        <v>16959.063246572739</v>
      </c>
      <c r="AM580" s="198"/>
      <c r="AN580" s="196">
        <f t="shared" ca="1" si="124"/>
        <v>139491.18189513919</v>
      </c>
      <c r="AO580" s="196">
        <f t="shared" ca="1" si="125"/>
        <v>139021.2425240266</v>
      </c>
    </row>
    <row r="581" spans="1:41" s="201" customFormat="1">
      <c r="A581" s="189">
        <v>3594</v>
      </c>
      <c r="B581" s="190">
        <v>3</v>
      </c>
      <c r="C581" s="191" t="s">
        <v>229</v>
      </c>
      <c r="D581" s="192">
        <f t="shared" ref="D581:D644" si="126">H581+L581+P581</f>
        <v>2658</v>
      </c>
      <c r="E581" s="192">
        <f t="shared" ref="E581:E644" si="127">I581+M581+Q581</f>
        <v>5292</v>
      </c>
      <c r="F581" s="192">
        <f t="shared" ref="F581:F644" si="128">J581+N581+R581</f>
        <v>0</v>
      </c>
      <c r="G581" s="193">
        <f t="shared" ref="G581:G644" si="129">(SUM(D581:E581)-F581)*IF(A581=10298,1.51,1)</f>
        <v>7950</v>
      </c>
      <c r="H581" s="194">
        <v>1428</v>
      </c>
      <c r="I581" s="194">
        <v>2298</v>
      </c>
      <c r="J581" s="194">
        <v>0</v>
      </c>
      <c r="K581" s="193">
        <f t="shared" ref="K581:K644" si="130">SUM(H581:I581)-J581</f>
        <v>3726</v>
      </c>
      <c r="L581" s="194">
        <v>678</v>
      </c>
      <c r="M581" s="194">
        <v>1932</v>
      </c>
      <c r="N581" s="194">
        <v>0</v>
      </c>
      <c r="O581" s="193">
        <f t="shared" ref="O581:O644" si="131">SUM(L581:M581)-N581</f>
        <v>2610</v>
      </c>
      <c r="P581" s="194">
        <v>552</v>
      </c>
      <c r="Q581" s="194">
        <v>1062</v>
      </c>
      <c r="R581" s="194">
        <v>0</v>
      </c>
      <c r="S581" s="193">
        <f t="shared" ref="S581:S644" si="132">SUM(P581:Q581)-R581</f>
        <v>1614</v>
      </c>
      <c r="T581" s="193">
        <f t="shared" ref="T581:T644" si="133">IF(OR(B581=1,B581=2),G581/30,IF(OR(B581=3,B581=5),G581/24,IF(B581=4,G581/18,0)))</f>
        <v>331.25</v>
      </c>
      <c r="U581" s="193">
        <f ca="1">OFFSET('Expenditure Study'!$B$7,'Operations Support'!$C581,'Operations Support'!$B581)*$G581</f>
        <v>29335.5</v>
      </c>
      <c r="V581" s="199">
        <f ca="1">U581*'Expenditure Study'!$B$31</f>
        <v>1733234.6503584001</v>
      </c>
      <c r="W581" s="199">
        <f ca="1">IF(A581=10298,1.51,1)*IF($B581&lt;3,$D581*'Expenditure Study'!$B$32*OFFSET('Expenditure Study'!$B$7,'Operations Support'!$C581,'Operations Support'!$B581),0)</f>
        <v>0</v>
      </c>
      <c r="X581" s="200">
        <f ca="1">W581*'Expenditure Study'!$B$31</f>
        <v>0</v>
      </c>
      <c r="Y581" s="199">
        <f ca="1">U581*'Expenditure Study'!$B$31</f>
        <v>1733234.6503584001</v>
      </c>
      <c r="Z581" s="200">
        <f ca="1">W581*'Expenditure Study'!$B$31</f>
        <v>0</v>
      </c>
      <c r="AA581" s="195">
        <f t="shared" ref="AA581:AA644" ca="1" si="134">V581+X581</f>
        <v>1733234.6503584001</v>
      </c>
      <c r="AB581" s="195">
        <f t="shared" ref="AB581:AB644" ca="1" si="135">Y581+Z581</f>
        <v>1733234.6503584001</v>
      </c>
      <c r="AD581" s="196">
        <f>IFERROR($G581/SUMIF($A:$A,$A581,$G:$G)*SUMIF(Summary!$A$166:$A$242,$A581,Summary!$P$166:$P$242),0)</f>
        <v>393735.35382976034</v>
      </c>
      <c r="AE581" s="197">
        <f t="shared" ca="1" si="122"/>
        <v>1339499.2965286397</v>
      </c>
      <c r="AF581" s="196">
        <f>IFERROR(G581/SUMIF(A:A,A581,G:G)*SUMIF(Summary!$A$166:$A$242,'Operations Support'!A581,Summary!$Q$166:$Q$242),0)</f>
        <v>396177.20633942145</v>
      </c>
      <c r="AG581" s="196">
        <f t="shared" ca="1" si="123"/>
        <v>1337057.4440189786</v>
      </c>
      <c r="AH581" s="180"/>
      <c r="AI581" s="196">
        <f>IFERROR($G581/SUMIF($A:$A,$A581,$G:$G)*SUMIF(Summary!$A$247:$A$283,$A581,Summary!$P$247:$P$283),0)</f>
        <v>71807.502982318663</v>
      </c>
      <c r="AJ581" s="196">
        <f>IFERROR($G581/SUMIF($A:$A,$A581,$G:$G)*(SUMIF(Summary!$A$247:$A$283,$A581,Summary!$L$247:$L$283)+SUMIF(Summary!$A$297:$A$333,$A581,Summary!$L$297:$L$333))-AI581,0)</f>
        <v>104637.41395911659</v>
      </c>
      <c r="AK581" s="196">
        <f>IFERROR($G581/SUMIF($A:$A,$A581,$G:$G)*SUMIF(Summary!$A$247:$A$283,$A581,Summary!$Q$247:$Q$283),0)</f>
        <v>72252.835944330713</v>
      </c>
      <c r="AL581" s="196">
        <f>IFERROR($G581/SUMIF($A:$A,$A581,$G:$G)*(SUMIF(Summary!$A$247:$A$283,$A581,Summary!$L$247:$L$283)+SUMIF(Summary!$A$297:$A$333,$A581,Summary!$L$297:$L$333))-AK581,0)</f>
        <v>104192.08099710454</v>
      </c>
      <c r="AM581" s="198"/>
      <c r="AN581" s="196">
        <f t="shared" ca="1" si="124"/>
        <v>1444136.7104877564</v>
      </c>
      <c r="AO581" s="196">
        <f t="shared" ca="1" si="125"/>
        <v>1441249.5250160831</v>
      </c>
    </row>
    <row r="582" spans="1:41">
      <c r="A582" s="189">
        <v>3594</v>
      </c>
      <c r="B582" s="190">
        <v>3</v>
      </c>
      <c r="C582" s="191" t="s">
        <v>230</v>
      </c>
      <c r="D582" s="192">
        <f t="shared" si="126"/>
        <v>0</v>
      </c>
      <c r="E582" s="192">
        <f t="shared" si="127"/>
        <v>0</v>
      </c>
      <c r="F582" s="192">
        <f t="shared" si="128"/>
        <v>0</v>
      </c>
      <c r="G582" s="193">
        <f t="shared" si="129"/>
        <v>0</v>
      </c>
      <c r="H582" s="194">
        <v>0</v>
      </c>
      <c r="I582" s="194">
        <v>0</v>
      </c>
      <c r="J582" s="194">
        <v>0</v>
      </c>
      <c r="K582" s="193">
        <f t="shared" si="130"/>
        <v>0</v>
      </c>
      <c r="L582" s="194">
        <v>0</v>
      </c>
      <c r="M582" s="194">
        <v>0</v>
      </c>
      <c r="N582" s="194">
        <v>0</v>
      </c>
      <c r="O582" s="193">
        <f t="shared" si="131"/>
        <v>0</v>
      </c>
      <c r="P582" s="194">
        <v>0</v>
      </c>
      <c r="Q582" s="194">
        <v>0</v>
      </c>
      <c r="R582" s="194">
        <v>0</v>
      </c>
      <c r="S582" s="193">
        <f t="shared" si="132"/>
        <v>0</v>
      </c>
      <c r="T582" s="193">
        <f t="shared" si="133"/>
        <v>0</v>
      </c>
      <c r="U582" s="193">
        <f ca="1">OFFSET('Expenditure Study'!$B$7,'Operations Support'!$C582,'Operations Support'!$B582)*$G582</f>
        <v>0</v>
      </c>
      <c r="V582" s="199">
        <f ca="1">U582*'Expenditure Study'!$B$31</f>
        <v>0</v>
      </c>
      <c r="W582" s="199">
        <f ca="1">IF(A582=10298,1.51,1)*IF($B582&lt;3,$D582*'Expenditure Study'!$B$32*OFFSET('Expenditure Study'!$B$7,'Operations Support'!$C582,'Operations Support'!$B582),0)</f>
        <v>0</v>
      </c>
      <c r="X582" s="200">
        <f ca="1">W582*'Expenditure Study'!$B$31</f>
        <v>0</v>
      </c>
      <c r="Y582" s="199">
        <f ca="1">U582*'Expenditure Study'!$B$31</f>
        <v>0</v>
      </c>
      <c r="Z582" s="200">
        <f ca="1">W582*'Expenditure Study'!$B$31</f>
        <v>0</v>
      </c>
      <c r="AA582" s="195">
        <f t="shared" ca="1" si="134"/>
        <v>0</v>
      </c>
      <c r="AB582" s="195">
        <f t="shared" ca="1" si="135"/>
        <v>0</v>
      </c>
      <c r="AD582" s="196">
        <f>IFERROR($G582/SUMIF($A:$A,$A582,$G:$G)*SUMIF(Summary!$A$166:$A$242,$A582,Summary!$P$166:$P$242),0)</f>
        <v>0</v>
      </c>
      <c r="AE582" s="197">
        <f t="shared" ref="AE582:AE645" ca="1" si="136">V582+X582-AD582</f>
        <v>0</v>
      </c>
      <c r="AF582" s="196">
        <f>IFERROR(G582/SUMIF(A:A,A582,G:G)*SUMIF(Summary!$A$166:$A$242,'Operations Support'!A582,Summary!$Q$166:$Q$242),0)</f>
        <v>0</v>
      </c>
      <c r="AG582" s="196">
        <f t="shared" ref="AG582:AG645" ca="1" si="137">Y582+Z582-AF582</f>
        <v>0</v>
      </c>
      <c r="AI582" s="196">
        <f>IFERROR($G582/SUMIF($A:$A,$A582,$G:$G)*SUMIF(Summary!$A$247:$A$283,$A582,Summary!$P$247:$P$283),0)</f>
        <v>0</v>
      </c>
      <c r="AJ582" s="196">
        <f>IFERROR($G582/SUMIF($A:$A,$A582,$G:$G)*(SUMIF(Summary!$A$247:$A$283,$A582,Summary!$L$247:$L$283)+SUMIF(Summary!$A$297:$A$333,$A582,Summary!$L$297:$L$333))-AI582,0)</f>
        <v>0</v>
      </c>
      <c r="AK582" s="196">
        <f>IFERROR($G582/SUMIF($A:$A,$A582,$G:$G)*SUMIF(Summary!$A$247:$A$283,$A582,Summary!$Q$247:$Q$283),0)</f>
        <v>0</v>
      </c>
      <c r="AL582" s="196">
        <f>IFERROR($G582/SUMIF($A:$A,$A582,$G:$G)*(SUMIF(Summary!$A$247:$A$283,$A582,Summary!$L$247:$L$283)+SUMIF(Summary!$A$297:$A$333,$A582,Summary!$L$297:$L$333))-AK582,0)</f>
        <v>0</v>
      </c>
      <c r="AM582" s="198"/>
      <c r="AN582" s="196">
        <f t="shared" ref="AN582:AN645" ca="1" si="138">AE582+AJ582</f>
        <v>0</v>
      </c>
      <c r="AO582" s="196">
        <f t="shared" ref="AO582:AO645" ca="1" si="139">AG582+AL582</f>
        <v>0</v>
      </c>
    </row>
    <row r="583" spans="1:41">
      <c r="A583" s="189">
        <v>3594</v>
      </c>
      <c r="B583" s="190">
        <v>3</v>
      </c>
      <c r="C583" s="191" t="s">
        <v>231</v>
      </c>
      <c r="D583" s="192">
        <f t="shared" si="126"/>
        <v>0</v>
      </c>
      <c r="E583" s="192">
        <f t="shared" si="127"/>
        <v>0</v>
      </c>
      <c r="F583" s="192">
        <f t="shared" si="128"/>
        <v>0</v>
      </c>
      <c r="G583" s="193">
        <f t="shared" si="129"/>
        <v>0</v>
      </c>
      <c r="H583" s="194">
        <v>0</v>
      </c>
      <c r="I583" s="194">
        <v>0</v>
      </c>
      <c r="J583" s="194">
        <v>0</v>
      </c>
      <c r="K583" s="193">
        <f t="shared" si="130"/>
        <v>0</v>
      </c>
      <c r="L583" s="194">
        <v>0</v>
      </c>
      <c r="M583" s="194">
        <v>0</v>
      </c>
      <c r="N583" s="194">
        <v>0</v>
      </c>
      <c r="O583" s="193">
        <f t="shared" si="131"/>
        <v>0</v>
      </c>
      <c r="P583" s="194">
        <v>0</v>
      </c>
      <c r="Q583" s="194">
        <v>0</v>
      </c>
      <c r="R583" s="194">
        <v>0</v>
      </c>
      <c r="S583" s="193">
        <f t="shared" si="132"/>
        <v>0</v>
      </c>
      <c r="T583" s="193">
        <f t="shared" si="133"/>
        <v>0</v>
      </c>
      <c r="U583" s="193">
        <f ca="1">OFFSET('Expenditure Study'!$B$7,'Operations Support'!$C583,'Operations Support'!$B583)*$G583</f>
        <v>0</v>
      </c>
      <c r="V583" s="199">
        <f ca="1">U583*'Expenditure Study'!$B$31</f>
        <v>0</v>
      </c>
      <c r="W583" s="199">
        <f ca="1">IF(A583=10298,1.51,1)*IF($B583&lt;3,$D583*'Expenditure Study'!$B$32*OFFSET('Expenditure Study'!$B$7,'Operations Support'!$C583,'Operations Support'!$B583),0)</f>
        <v>0</v>
      </c>
      <c r="X583" s="200">
        <f ca="1">W583*'Expenditure Study'!$B$31</f>
        <v>0</v>
      </c>
      <c r="Y583" s="199">
        <f ca="1">U583*'Expenditure Study'!$B$31</f>
        <v>0</v>
      </c>
      <c r="Z583" s="200">
        <f ca="1">W583*'Expenditure Study'!$B$31</f>
        <v>0</v>
      </c>
      <c r="AA583" s="195">
        <f t="shared" ca="1" si="134"/>
        <v>0</v>
      </c>
      <c r="AB583" s="195">
        <f t="shared" ca="1" si="135"/>
        <v>0</v>
      </c>
      <c r="AD583" s="196">
        <f>IFERROR($G583/SUMIF($A:$A,$A583,$G:$G)*SUMIF(Summary!$A$166:$A$242,$A583,Summary!$P$166:$P$242),0)</f>
        <v>0</v>
      </c>
      <c r="AE583" s="197">
        <f t="shared" ca="1" si="136"/>
        <v>0</v>
      </c>
      <c r="AF583" s="196">
        <f>IFERROR(G583/SUMIF(A:A,A583,G:G)*SUMIF(Summary!$A$166:$A$242,'Operations Support'!A583,Summary!$Q$166:$Q$242),0)</f>
        <v>0</v>
      </c>
      <c r="AG583" s="196">
        <f t="shared" ca="1" si="137"/>
        <v>0</v>
      </c>
      <c r="AI583" s="196">
        <f>IFERROR($G583/SUMIF($A:$A,$A583,$G:$G)*SUMIF(Summary!$A$247:$A$283,$A583,Summary!$P$247:$P$283),0)</f>
        <v>0</v>
      </c>
      <c r="AJ583" s="196">
        <f>IFERROR($G583/SUMIF($A:$A,$A583,$G:$G)*(SUMIF(Summary!$A$247:$A$283,$A583,Summary!$L$247:$L$283)+SUMIF(Summary!$A$297:$A$333,$A583,Summary!$L$297:$L$333))-AI583,0)</f>
        <v>0</v>
      </c>
      <c r="AK583" s="196">
        <f>IFERROR($G583/SUMIF($A:$A,$A583,$G:$G)*SUMIF(Summary!$A$247:$A$283,$A583,Summary!$Q$247:$Q$283),0)</f>
        <v>0</v>
      </c>
      <c r="AL583" s="196">
        <f>IFERROR($G583/SUMIF($A:$A,$A583,$G:$G)*(SUMIF(Summary!$A$247:$A$283,$A583,Summary!$L$247:$L$283)+SUMIF(Summary!$A$297:$A$333,$A583,Summary!$L$297:$L$333))-AK583,0)</f>
        <v>0</v>
      </c>
      <c r="AM583" s="198"/>
      <c r="AN583" s="196">
        <f t="shared" ca="1" si="138"/>
        <v>0</v>
      </c>
      <c r="AO583" s="196">
        <f t="shared" ca="1" si="139"/>
        <v>0</v>
      </c>
    </row>
    <row r="584" spans="1:41">
      <c r="A584" s="189">
        <v>3594</v>
      </c>
      <c r="B584" s="190">
        <v>3</v>
      </c>
      <c r="C584" s="191" t="s">
        <v>232</v>
      </c>
      <c r="D584" s="192">
        <f t="shared" si="126"/>
        <v>0</v>
      </c>
      <c r="E584" s="192">
        <f t="shared" si="127"/>
        <v>0</v>
      </c>
      <c r="F584" s="192">
        <f t="shared" si="128"/>
        <v>0</v>
      </c>
      <c r="G584" s="193">
        <f t="shared" si="129"/>
        <v>0</v>
      </c>
      <c r="H584" s="194">
        <v>0</v>
      </c>
      <c r="I584" s="194">
        <v>0</v>
      </c>
      <c r="J584" s="194">
        <v>0</v>
      </c>
      <c r="K584" s="193">
        <f t="shared" si="130"/>
        <v>0</v>
      </c>
      <c r="L584" s="194">
        <v>0</v>
      </c>
      <c r="M584" s="194">
        <v>0</v>
      </c>
      <c r="N584" s="194">
        <v>0</v>
      </c>
      <c r="O584" s="193">
        <f t="shared" si="131"/>
        <v>0</v>
      </c>
      <c r="P584" s="194">
        <v>0</v>
      </c>
      <c r="Q584" s="194">
        <v>0</v>
      </c>
      <c r="R584" s="194">
        <v>0</v>
      </c>
      <c r="S584" s="193">
        <f t="shared" si="132"/>
        <v>0</v>
      </c>
      <c r="T584" s="193">
        <f t="shared" si="133"/>
        <v>0</v>
      </c>
      <c r="U584" s="193">
        <f ca="1">OFFSET('Expenditure Study'!$B$7,'Operations Support'!$C584,'Operations Support'!$B584)*$G584</f>
        <v>0</v>
      </c>
      <c r="V584" s="199">
        <f ca="1">U584*'Expenditure Study'!$B$31</f>
        <v>0</v>
      </c>
      <c r="W584" s="199">
        <f ca="1">IF(A584=10298,1.51,1)*IF($B584&lt;3,$D584*'Expenditure Study'!$B$32*OFFSET('Expenditure Study'!$B$7,'Operations Support'!$C584,'Operations Support'!$B584),0)</f>
        <v>0</v>
      </c>
      <c r="X584" s="200">
        <f ca="1">W584*'Expenditure Study'!$B$31</f>
        <v>0</v>
      </c>
      <c r="Y584" s="199">
        <f ca="1">U584*'Expenditure Study'!$B$31</f>
        <v>0</v>
      </c>
      <c r="Z584" s="200">
        <f ca="1">W584*'Expenditure Study'!$B$31</f>
        <v>0</v>
      </c>
      <c r="AA584" s="195">
        <f t="shared" ca="1" si="134"/>
        <v>0</v>
      </c>
      <c r="AB584" s="195">
        <f t="shared" ca="1" si="135"/>
        <v>0</v>
      </c>
      <c r="AD584" s="196">
        <f>IFERROR($G584/SUMIF($A:$A,$A584,$G:$G)*SUMIF(Summary!$A$166:$A$242,$A584,Summary!$P$166:$P$242),0)</f>
        <v>0</v>
      </c>
      <c r="AE584" s="197">
        <f t="shared" ca="1" si="136"/>
        <v>0</v>
      </c>
      <c r="AF584" s="196">
        <f>IFERROR(G584/SUMIF(A:A,A584,G:G)*SUMIF(Summary!$A$166:$A$242,'Operations Support'!A584,Summary!$Q$166:$Q$242),0)</f>
        <v>0</v>
      </c>
      <c r="AG584" s="196">
        <f t="shared" ca="1" si="137"/>
        <v>0</v>
      </c>
      <c r="AI584" s="196">
        <f>IFERROR($G584/SUMIF($A:$A,$A584,$G:$G)*SUMIF(Summary!$A$247:$A$283,$A584,Summary!$P$247:$P$283),0)</f>
        <v>0</v>
      </c>
      <c r="AJ584" s="196">
        <f>IFERROR($G584/SUMIF($A:$A,$A584,$G:$G)*(SUMIF(Summary!$A$247:$A$283,$A584,Summary!$L$247:$L$283)+SUMIF(Summary!$A$297:$A$333,$A584,Summary!$L$297:$L$333))-AI584,0)</f>
        <v>0</v>
      </c>
      <c r="AK584" s="196">
        <f>IFERROR($G584/SUMIF($A:$A,$A584,$G:$G)*SUMIF(Summary!$A$247:$A$283,$A584,Summary!$Q$247:$Q$283),0)</f>
        <v>0</v>
      </c>
      <c r="AL584" s="196">
        <f>IFERROR($G584/SUMIF($A:$A,$A584,$G:$G)*(SUMIF(Summary!$A$247:$A$283,$A584,Summary!$L$247:$L$283)+SUMIF(Summary!$A$297:$A$333,$A584,Summary!$L$297:$L$333))-AK584,0)</f>
        <v>0</v>
      </c>
      <c r="AM584" s="198"/>
      <c r="AN584" s="196">
        <f t="shared" ca="1" si="138"/>
        <v>0</v>
      </c>
      <c r="AO584" s="196">
        <f t="shared" ca="1" si="139"/>
        <v>0</v>
      </c>
    </row>
    <row r="585" spans="1:41">
      <c r="A585" s="189">
        <v>3594</v>
      </c>
      <c r="B585" s="190">
        <v>3</v>
      </c>
      <c r="C585" s="191" t="s">
        <v>233</v>
      </c>
      <c r="D585" s="192">
        <f t="shared" si="126"/>
        <v>2566</v>
      </c>
      <c r="E585" s="192">
        <f t="shared" si="127"/>
        <v>3395</v>
      </c>
      <c r="F585" s="192">
        <f t="shared" si="128"/>
        <v>0</v>
      </c>
      <c r="G585" s="193">
        <f t="shared" si="129"/>
        <v>5961</v>
      </c>
      <c r="H585" s="194">
        <v>1145</v>
      </c>
      <c r="I585" s="194">
        <v>1285</v>
      </c>
      <c r="J585" s="194">
        <v>0</v>
      </c>
      <c r="K585" s="193">
        <f t="shared" si="130"/>
        <v>2430</v>
      </c>
      <c r="L585" s="194">
        <v>1341</v>
      </c>
      <c r="M585" s="194">
        <v>1152</v>
      </c>
      <c r="N585" s="194">
        <v>0</v>
      </c>
      <c r="O585" s="193">
        <f t="shared" si="131"/>
        <v>2493</v>
      </c>
      <c r="P585" s="194">
        <v>80</v>
      </c>
      <c r="Q585" s="194">
        <v>958</v>
      </c>
      <c r="R585" s="194">
        <v>0</v>
      </c>
      <c r="S585" s="193">
        <f t="shared" si="132"/>
        <v>1038</v>
      </c>
      <c r="T585" s="193">
        <f t="shared" si="133"/>
        <v>248.375</v>
      </c>
      <c r="U585" s="193">
        <f ca="1">OFFSET('Expenditure Study'!$B$7,'Operations Support'!$C585,'Operations Support'!$B585)*$G585</f>
        <v>15617.820000000002</v>
      </c>
      <c r="V585" s="199">
        <f ca="1">U585*'Expenditure Study'!$B$31</f>
        <v>922750.48276185605</v>
      </c>
      <c r="W585" s="199">
        <f ca="1">IF(A585=10298,1.51,1)*IF($B585&lt;3,$D585*'Expenditure Study'!$B$32*OFFSET('Expenditure Study'!$B$7,'Operations Support'!$C585,'Operations Support'!$B585),0)</f>
        <v>0</v>
      </c>
      <c r="X585" s="200">
        <f ca="1">W585*'Expenditure Study'!$B$31</f>
        <v>0</v>
      </c>
      <c r="Y585" s="199">
        <f ca="1">U585*'Expenditure Study'!$B$31</f>
        <v>922750.48276185605</v>
      </c>
      <c r="Z585" s="200">
        <f ca="1">W585*'Expenditure Study'!$B$31</f>
        <v>0</v>
      </c>
      <c r="AA585" s="195">
        <f t="shared" ca="1" si="134"/>
        <v>922750.48276185605</v>
      </c>
      <c r="AB585" s="195">
        <f t="shared" ca="1" si="135"/>
        <v>922750.48276185605</v>
      </c>
      <c r="AD585" s="196">
        <f>IFERROR($G585/SUMIF($A:$A,$A585,$G:$G)*SUMIF(Summary!$A$166:$A$242,$A585,Summary!$P$166:$P$242),0)</f>
        <v>295227.22568291839</v>
      </c>
      <c r="AE585" s="197">
        <f t="shared" ca="1" si="136"/>
        <v>627523.25707893772</v>
      </c>
      <c r="AF585" s="196">
        <f>IFERROR(G585/SUMIF(A:A,A585,G:G)*SUMIF(Summary!$A$166:$A$242,'Operations Support'!A585,Summary!$Q$166:$Q$242),0)</f>
        <v>297058.15433827561</v>
      </c>
      <c r="AG585" s="196">
        <f t="shared" ca="1" si="137"/>
        <v>625692.32842358039</v>
      </c>
      <c r="AI585" s="196">
        <f>IFERROR($G585/SUMIF($A:$A,$A585,$G:$G)*SUMIF(Summary!$A$247:$A$283,$A585,Summary!$P$247:$P$283),0)</f>
        <v>53842.078651270633</v>
      </c>
      <c r="AJ585" s="196">
        <f>IFERROR($G585/SUMIF($A:$A,$A585,$G:$G)*(SUMIF(Summary!$A$247:$A$283,$A585,Summary!$L$247:$L$283)+SUMIF(Summary!$A$297:$A$333,$A585,Summary!$L$297:$L$333))-AI585,0)</f>
        <v>78458.317561043281</v>
      </c>
      <c r="AK585" s="196">
        <f>IFERROR($G585/SUMIF($A:$A,$A585,$G:$G)*SUMIF(Summary!$A$247:$A$283,$A585,Summary!$Q$247:$Q$283),0)</f>
        <v>54175.994347692496</v>
      </c>
      <c r="AL585" s="196">
        <f>IFERROR($G585/SUMIF($A:$A,$A585,$G:$G)*(SUMIF(Summary!$A$247:$A$283,$A585,Summary!$L$247:$L$283)+SUMIF(Summary!$A$297:$A$333,$A585,Summary!$L$297:$L$333))-AK585,0)</f>
        <v>78124.40186462141</v>
      </c>
      <c r="AM585" s="198"/>
      <c r="AN585" s="196">
        <f t="shared" ca="1" si="138"/>
        <v>705981.57463998103</v>
      </c>
      <c r="AO585" s="196">
        <f t="shared" ca="1" si="139"/>
        <v>703816.73028820183</v>
      </c>
    </row>
    <row r="586" spans="1:41">
      <c r="A586" s="189">
        <v>3594</v>
      </c>
      <c r="B586" s="190">
        <v>3</v>
      </c>
      <c r="C586" s="191" t="s">
        <v>234</v>
      </c>
      <c r="D586" s="192">
        <f t="shared" si="126"/>
        <v>0</v>
      </c>
      <c r="E586" s="192">
        <f t="shared" si="127"/>
        <v>0</v>
      </c>
      <c r="F586" s="192">
        <f t="shared" si="128"/>
        <v>0</v>
      </c>
      <c r="G586" s="193">
        <f t="shared" si="129"/>
        <v>0</v>
      </c>
      <c r="H586" s="194">
        <v>0</v>
      </c>
      <c r="I586" s="194">
        <v>0</v>
      </c>
      <c r="J586" s="194">
        <v>0</v>
      </c>
      <c r="K586" s="193">
        <f t="shared" si="130"/>
        <v>0</v>
      </c>
      <c r="L586" s="194">
        <v>0</v>
      </c>
      <c r="M586" s="194">
        <v>0</v>
      </c>
      <c r="N586" s="194">
        <v>0</v>
      </c>
      <c r="O586" s="193">
        <f t="shared" si="131"/>
        <v>0</v>
      </c>
      <c r="P586" s="194">
        <v>0</v>
      </c>
      <c r="Q586" s="194">
        <v>0</v>
      </c>
      <c r="R586" s="194">
        <v>0</v>
      </c>
      <c r="S586" s="193">
        <f t="shared" si="132"/>
        <v>0</v>
      </c>
      <c r="T586" s="193">
        <f t="shared" si="133"/>
        <v>0</v>
      </c>
      <c r="U586" s="193">
        <f ca="1">OFFSET('Expenditure Study'!$B$7,'Operations Support'!$C586,'Operations Support'!$B586)*$G586</f>
        <v>0</v>
      </c>
      <c r="V586" s="199">
        <f ca="1">U586*'Expenditure Study'!$B$31</f>
        <v>0</v>
      </c>
      <c r="W586" s="199">
        <f ca="1">IF(A586=10298,1.51,1)*IF($B586&lt;3,$D586*'Expenditure Study'!$B$32*OFFSET('Expenditure Study'!$B$7,'Operations Support'!$C586,'Operations Support'!$B586),0)</f>
        <v>0</v>
      </c>
      <c r="X586" s="200">
        <f ca="1">W586*'Expenditure Study'!$B$31</f>
        <v>0</v>
      </c>
      <c r="Y586" s="199">
        <f ca="1">U586*'Expenditure Study'!$B$31</f>
        <v>0</v>
      </c>
      <c r="Z586" s="200">
        <f ca="1">W586*'Expenditure Study'!$B$31</f>
        <v>0</v>
      </c>
      <c r="AA586" s="195">
        <f t="shared" ca="1" si="134"/>
        <v>0</v>
      </c>
      <c r="AB586" s="195">
        <f t="shared" ca="1" si="135"/>
        <v>0</v>
      </c>
      <c r="AD586" s="196">
        <f>IFERROR($G586/SUMIF($A:$A,$A586,$G:$G)*SUMIF(Summary!$A$166:$A$242,$A586,Summary!$P$166:$P$242),0)</f>
        <v>0</v>
      </c>
      <c r="AE586" s="197">
        <f t="shared" ca="1" si="136"/>
        <v>0</v>
      </c>
      <c r="AF586" s="196">
        <f>IFERROR(G586/SUMIF(A:A,A586,G:G)*SUMIF(Summary!$A$166:$A$242,'Operations Support'!A586,Summary!$Q$166:$Q$242),0)</f>
        <v>0</v>
      </c>
      <c r="AG586" s="196">
        <f t="shared" ca="1" si="137"/>
        <v>0</v>
      </c>
      <c r="AI586" s="196">
        <f>IFERROR($G586/SUMIF($A:$A,$A586,$G:$G)*SUMIF(Summary!$A$247:$A$283,$A586,Summary!$P$247:$P$283),0)</f>
        <v>0</v>
      </c>
      <c r="AJ586" s="196">
        <f>IFERROR($G586/SUMIF($A:$A,$A586,$G:$G)*(SUMIF(Summary!$A$247:$A$283,$A586,Summary!$L$247:$L$283)+SUMIF(Summary!$A$297:$A$333,$A586,Summary!$L$297:$L$333))-AI586,0)</f>
        <v>0</v>
      </c>
      <c r="AK586" s="196">
        <f>IFERROR($G586/SUMIF($A:$A,$A586,$G:$G)*SUMIF(Summary!$A$247:$A$283,$A586,Summary!$Q$247:$Q$283),0)</f>
        <v>0</v>
      </c>
      <c r="AL586" s="196">
        <f>IFERROR($G586/SUMIF($A:$A,$A586,$G:$G)*(SUMIF(Summary!$A$247:$A$283,$A586,Summary!$L$247:$L$283)+SUMIF(Summary!$A$297:$A$333,$A586,Summary!$L$297:$L$333))-AK586,0)</f>
        <v>0</v>
      </c>
      <c r="AM586" s="198"/>
      <c r="AN586" s="196">
        <f t="shared" ca="1" si="138"/>
        <v>0</v>
      </c>
      <c r="AO586" s="196">
        <f t="shared" ca="1" si="139"/>
        <v>0</v>
      </c>
    </row>
    <row r="587" spans="1:41">
      <c r="A587" s="189">
        <v>3594</v>
      </c>
      <c r="B587" s="190">
        <v>3</v>
      </c>
      <c r="C587" s="191" t="s">
        <v>235</v>
      </c>
      <c r="D587" s="192">
        <f t="shared" si="126"/>
        <v>25105</v>
      </c>
      <c r="E587" s="192">
        <f t="shared" si="127"/>
        <v>23130</v>
      </c>
      <c r="F587" s="192">
        <f t="shared" si="128"/>
        <v>0</v>
      </c>
      <c r="G587" s="193">
        <f t="shared" si="129"/>
        <v>48235</v>
      </c>
      <c r="H587" s="194">
        <v>8736</v>
      </c>
      <c r="I587" s="194">
        <v>10934</v>
      </c>
      <c r="J587" s="194">
        <v>0</v>
      </c>
      <c r="K587" s="193">
        <f t="shared" si="130"/>
        <v>19670</v>
      </c>
      <c r="L587" s="194">
        <v>8468</v>
      </c>
      <c r="M587" s="194">
        <v>8553</v>
      </c>
      <c r="N587" s="194">
        <v>0</v>
      </c>
      <c r="O587" s="193">
        <f t="shared" si="131"/>
        <v>17021</v>
      </c>
      <c r="P587" s="194">
        <v>7901</v>
      </c>
      <c r="Q587" s="194">
        <v>3643</v>
      </c>
      <c r="R587" s="194">
        <v>0</v>
      </c>
      <c r="S587" s="193">
        <f t="shared" si="132"/>
        <v>11544</v>
      </c>
      <c r="T587" s="193">
        <f t="shared" si="133"/>
        <v>2009.7916666666667</v>
      </c>
      <c r="U587" s="193">
        <f ca="1">OFFSET('Expenditure Study'!$B$7,'Operations Support'!$C587,'Operations Support'!$B587)*$G587</f>
        <v>152422.6</v>
      </c>
      <c r="V587" s="199">
        <f ca="1">U587*'Expenditure Study'!$B$31</f>
        <v>9005612.03380608</v>
      </c>
      <c r="W587" s="199">
        <f ca="1">IF(A587=10298,1.51,1)*IF($B587&lt;3,$D587*'Expenditure Study'!$B$32*OFFSET('Expenditure Study'!$B$7,'Operations Support'!$C587,'Operations Support'!$B587),0)</f>
        <v>0</v>
      </c>
      <c r="X587" s="200">
        <f ca="1">W587*'Expenditure Study'!$B$31</f>
        <v>0</v>
      </c>
      <c r="Y587" s="199">
        <f ca="1">U587*'Expenditure Study'!$B$31</f>
        <v>9005612.03380608</v>
      </c>
      <c r="Z587" s="200">
        <f ca="1">W587*'Expenditure Study'!$B$31</f>
        <v>0</v>
      </c>
      <c r="AA587" s="195">
        <f t="shared" ca="1" si="134"/>
        <v>9005612.03380608</v>
      </c>
      <c r="AB587" s="195">
        <f t="shared" ca="1" si="135"/>
        <v>9005612.03380608</v>
      </c>
      <c r="AD587" s="196">
        <f>IFERROR($G587/SUMIF($A:$A,$A587,$G:$G)*SUMIF(Summary!$A$166:$A$242,$A587,Summary!$P$166:$P$242),0)</f>
        <v>2388908.7788652191</v>
      </c>
      <c r="AE587" s="197">
        <f t="shared" ca="1" si="136"/>
        <v>6616703.2549408609</v>
      </c>
      <c r="AF587" s="196">
        <f>IFERROR(G587/SUMIF(A:A,A587,G:G)*SUMIF(Summary!$A$166:$A$242,'Operations Support'!A587,Summary!$Q$166:$Q$242),0)</f>
        <v>2403724.2198467916</v>
      </c>
      <c r="AG587" s="196">
        <f t="shared" ca="1" si="137"/>
        <v>6601887.8139592884</v>
      </c>
      <c r="AI587" s="196">
        <f>IFERROR($G587/SUMIF($A:$A,$A587,$G:$G)*SUMIF(Summary!$A$247:$A$283,$A587,Summary!$P$247:$P$283),0)</f>
        <v>435677.34671096114</v>
      </c>
      <c r="AJ587" s="196">
        <f>IFERROR($G587/SUMIF($A:$A,$A587,$G:$G)*(SUMIF(Summary!$A$247:$A$283,$A587,Summary!$L$247:$L$283)+SUMIF(Summary!$A$297:$A$333,$A587,Summary!$L$297:$L$333))-AI587,0)</f>
        <v>634866.12104628794</v>
      </c>
      <c r="AK587" s="196">
        <f>IFERROR($G587/SUMIF($A:$A,$A587,$G:$G)*SUMIF(Summary!$A$247:$A$283,$A587,Summary!$Q$247:$Q$283),0)</f>
        <v>438379.31343079149</v>
      </c>
      <c r="AL587" s="196">
        <f>IFERROR($G587/SUMIF($A:$A,$A587,$G:$G)*(SUMIF(Summary!$A$247:$A$283,$A587,Summary!$L$247:$L$283)+SUMIF(Summary!$A$297:$A$333,$A587,Summary!$L$297:$L$333))-AK587,0)</f>
        <v>632164.15432645753</v>
      </c>
      <c r="AM587" s="198"/>
      <c r="AN587" s="196">
        <f t="shared" ca="1" si="138"/>
        <v>7251569.3759871488</v>
      </c>
      <c r="AO587" s="196">
        <f t="shared" ca="1" si="139"/>
        <v>7234051.9682857459</v>
      </c>
    </row>
    <row r="588" spans="1:41">
      <c r="A588" s="189">
        <v>3594</v>
      </c>
      <c r="B588" s="190">
        <v>3</v>
      </c>
      <c r="C588" s="191" t="s">
        <v>236</v>
      </c>
      <c r="D588" s="192">
        <f t="shared" si="126"/>
        <v>0</v>
      </c>
      <c r="E588" s="192">
        <f t="shared" si="127"/>
        <v>0</v>
      </c>
      <c r="F588" s="192">
        <f t="shared" si="128"/>
        <v>0</v>
      </c>
      <c r="G588" s="193">
        <f t="shared" si="129"/>
        <v>0</v>
      </c>
      <c r="H588" s="194">
        <v>0</v>
      </c>
      <c r="I588" s="194">
        <v>0</v>
      </c>
      <c r="J588" s="194">
        <v>0</v>
      </c>
      <c r="K588" s="193">
        <f t="shared" si="130"/>
        <v>0</v>
      </c>
      <c r="L588" s="194">
        <v>0</v>
      </c>
      <c r="M588" s="194">
        <v>0</v>
      </c>
      <c r="N588" s="194">
        <v>0</v>
      </c>
      <c r="O588" s="193">
        <f t="shared" si="131"/>
        <v>0</v>
      </c>
      <c r="P588" s="194">
        <v>0</v>
      </c>
      <c r="Q588" s="194">
        <v>0</v>
      </c>
      <c r="R588" s="194">
        <v>0</v>
      </c>
      <c r="S588" s="193">
        <f t="shared" si="132"/>
        <v>0</v>
      </c>
      <c r="T588" s="193">
        <f t="shared" si="133"/>
        <v>0</v>
      </c>
      <c r="U588" s="193">
        <f ca="1">OFFSET('Expenditure Study'!$B$7,'Operations Support'!$C588,'Operations Support'!$B588)*$G588</f>
        <v>0</v>
      </c>
      <c r="V588" s="199">
        <f ca="1">U588*'Expenditure Study'!$B$31</f>
        <v>0</v>
      </c>
      <c r="W588" s="199">
        <f ca="1">IF(A588=10298,1.51,1)*IF($B588&lt;3,$D588*'Expenditure Study'!$B$32*OFFSET('Expenditure Study'!$B$7,'Operations Support'!$C588,'Operations Support'!$B588),0)</f>
        <v>0</v>
      </c>
      <c r="X588" s="200">
        <f ca="1">W588*'Expenditure Study'!$B$31</f>
        <v>0</v>
      </c>
      <c r="Y588" s="199">
        <f ca="1">U588*'Expenditure Study'!$B$31</f>
        <v>0</v>
      </c>
      <c r="Z588" s="200">
        <f ca="1">W588*'Expenditure Study'!$B$31</f>
        <v>0</v>
      </c>
      <c r="AA588" s="195">
        <f t="shared" ca="1" si="134"/>
        <v>0</v>
      </c>
      <c r="AB588" s="195">
        <f t="shared" ca="1" si="135"/>
        <v>0</v>
      </c>
      <c r="AD588" s="196">
        <f>IFERROR($G588/SUMIF($A:$A,$A588,$G:$G)*SUMIF(Summary!$A$166:$A$242,$A588,Summary!$P$166:$P$242),0)</f>
        <v>0</v>
      </c>
      <c r="AE588" s="197">
        <f t="shared" ca="1" si="136"/>
        <v>0</v>
      </c>
      <c r="AF588" s="196">
        <f>IFERROR(G588/SUMIF(A:A,A588,G:G)*SUMIF(Summary!$A$166:$A$242,'Operations Support'!A588,Summary!$Q$166:$Q$242),0)</f>
        <v>0</v>
      </c>
      <c r="AG588" s="196">
        <f t="shared" ca="1" si="137"/>
        <v>0</v>
      </c>
      <c r="AI588" s="196">
        <f>IFERROR($G588/SUMIF($A:$A,$A588,$G:$G)*SUMIF(Summary!$A$247:$A$283,$A588,Summary!$P$247:$P$283),0)</f>
        <v>0</v>
      </c>
      <c r="AJ588" s="196">
        <f>IFERROR($G588/SUMIF($A:$A,$A588,$G:$G)*(SUMIF(Summary!$A$247:$A$283,$A588,Summary!$L$247:$L$283)+SUMIF(Summary!$A$297:$A$333,$A588,Summary!$L$297:$L$333))-AI588,0)</f>
        <v>0</v>
      </c>
      <c r="AK588" s="196">
        <f>IFERROR($G588/SUMIF($A:$A,$A588,$G:$G)*SUMIF(Summary!$A$247:$A$283,$A588,Summary!$Q$247:$Q$283),0)</f>
        <v>0</v>
      </c>
      <c r="AL588" s="196">
        <f>IFERROR($G588/SUMIF($A:$A,$A588,$G:$G)*(SUMIF(Summary!$A$247:$A$283,$A588,Summary!$L$247:$L$283)+SUMIF(Summary!$A$297:$A$333,$A588,Summary!$L$297:$L$333))-AK588,0)</f>
        <v>0</v>
      </c>
      <c r="AM588" s="198"/>
      <c r="AN588" s="196">
        <f t="shared" ca="1" si="138"/>
        <v>0</v>
      </c>
      <c r="AO588" s="196">
        <f t="shared" ca="1" si="139"/>
        <v>0</v>
      </c>
    </row>
    <row r="589" spans="1:41">
      <c r="A589" s="189">
        <v>3594</v>
      </c>
      <c r="B589" s="190">
        <v>3</v>
      </c>
      <c r="C589" s="191" t="s">
        <v>237</v>
      </c>
      <c r="D589" s="192">
        <f t="shared" si="126"/>
        <v>0</v>
      </c>
      <c r="E589" s="192">
        <f t="shared" si="127"/>
        <v>0</v>
      </c>
      <c r="F589" s="192">
        <f t="shared" si="128"/>
        <v>0</v>
      </c>
      <c r="G589" s="193">
        <f t="shared" si="129"/>
        <v>0</v>
      </c>
      <c r="H589" s="194">
        <v>0</v>
      </c>
      <c r="I589" s="194">
        <v>0</v>
      </c>
      <c r="J589" s="194">
        <v>0</v>
      </c>
      <c r="K589" s="193">
        <f t="shared" si="130"/>
        <v>0</v>
      </c>
      <c r="L589" s="194">
        <v>0</v>
      </c>
      <c r="M589" s="194">
        <v>0</v>
      </c>
      <c r="N589" s="194">
        <v>0</v>
      </c>
      <c r="O589" s="193">
        <f t="shared" si="131"/>
        <v>0</v>
      </c>
      <c r="P589" s="194">
        <v>0</v>
      </c>
      <c r="Q589" s="194">
        <v>0</v>
      </c>
      <c r="R589" s="194">
        <v>0</v>
      </c>
      <c r="S589" s="193">
        <f t="shared" si="132"/>
        <v>0</v>
      </c>
      <c r="T589" s="193">
        <f t="shared" si="133"/>
        <v>0</v>
      </c>
      <c r="U589" s="193">
        <f ca="1">OFFSET('Expenditure Study'!$B$7,'Operations Support'!$C589,'Operations Support'!$B589)*$G589</f>
        <v>0</v>
      </c>
      <c r="V589" s="199">
        <f ca="1">U589*'Expenditure Study'!$B$31</f>
        <v>0</v>
      </c>
      <c r="W589" s="199">
        <f ca="1">IF(A589=10298,1.51,1)*IF($B589&lt;3,$D589*'Expenditure Study'!$B$32*OFFSET('Expenditure Study'!$B$7,'Operations Support'!$C589,'Operations Support'!$B589),0)</f>
        <v>0</v>
      </c>
      <c r="X589" s="200">
        <f ca="1">W589*'Expenditure Study'!$B$31</f>
        <v>0</v>
      </c>
      <c r="Y589" s="199">
        <f ca="1">U589*'Expenditure Study'!$B$31</f>
        <v>0</v>
      </c>
      <c r="Z589" s="200">
        <f ca="1">W589*'Expenditure Study'!$B$31</f>
        <v>0</v>
      </c>
      <c r="AA589" s="195">
        <f t="shared" ca="1" si="134"/>
        <v>0</v>
      </c>
      <c r="AB589" s="195">
        <f t="shared" ca="1" si="135"/>
        <v>0</v>
      </c>
      <c r="AD589" s="196">
        <f>IFERROR($G589/SUMIF($A:$A,$A589,$G:$G)*SUMIF(Summary!$A$166:$A$242,$A589,Summary!$P$166:$P$242),0)</f>
        <v>0</v>
      </c>
      <c r="AE589" s="197">
        <f t="shared" ca="1" si="136"/>
        <v>0</v>
      </c>
      <c r="AF589" s="196">
        <f>IFERROR(G589/SUMIF(A:A,A589,G:G)*SUMIF(Summary!$A$166:$A$242,'Operations Support'!A589,Summary!$Q$166:$Q$242),0)</f>
        <v>0</v>
      </c>
      <c r="AG589" s="196">
        <f t="shared" ca="1" si="137"/>
        <v>0</v>
      </c>
      <c r="AI589" s="196">
        <f>IFERROR($G589/SUMIF($A:$A,$A589,$G:$G)*SUMIF(Summary!$A$247:$A$283,$A589,Summary!$P$247:$P$283),0)</f>
        <v>0</v>
      </c>
      <c r="AJ589" s="196">
        <f>IFERROR($G589/SUMIF($A:$A,$A589,$G:$G)*(SUMIF(Summary!$A$247:$A$283,$A589,Summary!$L$247:$L$283)+SUMIF(Summary!$A$297:$A$333,$A589,Summary!$L$297:$L$333))-AI589,0)</f>
        <v>0</v>
      </c>
      <c r="AK589" s="196">
        <f>IFERROR($G589/SUMIF($A:$A,$A589,$G:$G)*SUMIF(Summary!$A$247:$A$283,$A589,Summary!$Q$247:$Q$283),0)</f>
        <v>0</v>
      </c>
      <c r="AL589" s="196">
        <f>IFERROR($G589/SUMIF($A:$A,$A589,$G:$G)*(SUMIF(Summary!$A$247:$A$283,$A589,Summary!$L$247:$L$283)+SUMIF(Summary!$A$297:$A$333,$A589,Summary!$L$297:$L$333))-AK589,0)</f>
        <v>0</v>
      </c>
      <c r="AM589" s="198"/>
      <c r="AN589" s="196">
        <f t="shared" ca="1" si="138"/>
        <v>0</v>
      </c>
      <c r="AO589" s="196">
        <f t="shared" ca="1" si="139"/>
        <v>0</v>
      </c>
    </row>
    <row r="590" spans="1:41">
      <c r="A590" s="189">
        <v>3594</v>
      </c>
      <c r="B590" s="190">
        <v>3</v>
      </c>
      <c r="C590" s="191" t="s">
        <v>238</v>
      </c>
      <c r="D590" s="192">
        <f t="shared" si="126"/>
        <v>3763.5</v>
      </c>
      <c r="E590" s="192">
        <f t="shared" si="127"/>
        <v>2899.5</v>
      </c>
      <c r="F590" s="192">
        <f t="shared" si="128"/>
        <v>0</v>
      </c>
      <c r="G590" s="193">
        <f t="shared" si="129"/>
        <v>6663</v>
      </c>
      <c r="H590" s="194">
        <v>1578</v>
      </c>
      <c r="I590" s="194">
        <v>1410</v>
      </c>
      <c r="J590" s="194">
        <v>0</v>
      </c>
      <c r="K590" s="193">
        <f t="shared" si="130"/>
        <v>2988</v>
      </c>
      <c r="L590" s="194">
        <v>2179.5</v>
      </c>
      <c r="M590" s="194">
        <v>1450.5</v>
      </c>
      <c r="N590" s="194">
        <v>0</v>
      </c>
      <c r="O590" s="193">
        <f t="shared" si="131"/>
        <v>3630</v>
      </c>
      <c r="P590" s="194">
        <v>6</v>
      </c>
      <c r="Q590" s="194">
        <v>39</v>
      </c>
      <c r="R590" s="194">
        <v>0</v>
      </c>
      <c r="S590" s="193">
        <f t="shared" si="132"/>
        <v>45</v>
      </c>
      <c r="T590" s="193">
        <f t="shared" si="133"/>
        <v>277.625</v>
      </c>
      <c r="U590" s="193">
        <f ca="1">OFFSET('Expenditure Study'!$B$7,'Operations Support'!$C590,'Operations Support'!$B590)*$G590</f>
        <v>38911.919999999998</v>
      </c>
      <c r="V590" s="199">
        <f ca="1">U590*'Expenditure Study'!$B$31</f>
        <v>2299040.0046351361</v>
      </c>
      <c r="W590" s="199">
        <f ca="1">IF(A590=10298,1.51,1)*IF($B590&lt;3,$D590*'Expenditure Study'!$B$32*OFFSET('Expenditure Study'!$B$7,'Operations Support'!$C590,'Operations Support'!$B590),0)</f>
        <v>0</v>
      </c>
      <c r="X590" s="200">
        <f ca="1">W590*'Expenditure Study'!$B$31</f>
        <v>0</v>
      </c>
      <c r="Y590" s="199">
        <f ca="1">U590*'Expenditure Study'!$B$31</f>
        <v>2299040.0046351361</v>
      </c>
      <c r="Z590" s="200">
        <f ca="1">W590*'Expenditure Study'!$B$31</f>
        <v>0</v>
      </c>
      <c r="AA590" s="195">
        <f t="shared" ca="1" si="134"/>
        <v>2299040.0046351361</v>
      </c>
      <c r="AB590" s="195">
        <f t="shared" ca="1" si="135"/>
        <v>2299040.0046351361</v>
      </c>
      <c r="AD590" s="196">
        <f>IFERROR($G590/SUMIF($A:$A,$A590,$G:$G)*SUMIF(Summary!$A$166:$A$242,$A590,Summary!$P$166:$P$242),0)</f>
        <v>329994.80032298027</v>
      </c>
      <c r="AE590" s="197">
        <f t="shared" ca="1" si="136"/>
        <v>1969045.204312156</v>
      </c>
      <c r="AF590" s="196">
        <f>IFERROR(G590/SUMIF(A:A,A590,G:G)*SUMIF(Summary!$A$166:$A$242,'Operations Support'!A590,Summary!$Q$166:$Q$242),0)</f>
        <v>332041.34916220943</v>
      </c>
      <c r="AG590" s="196">
        <f t="shared" ca="1" si="137"/>
        <v>1966998.6554729268</v>
      </c>
      <c r="AI590" s="196">
        <f>IFERROR($G590/SUMIF($A:$A,$A590,$G:$G)*SUMIF(Summary!$A$247:$A$283,$A590,Summary!$P$247:$P$283),0)</f>
        <v>60182.816650464054</v>
      </c>
      <c r="AJ590" s="196">
        <f>IFERROR($G590/SUMIF($A:$A,$A590,$G:$G)*(SUMIF(Summary!$A$247:$A$283,$A590,Summary!$L$247:$L$283)+SUMIF(Summary!$A$297:$A$333,$A590,Summary!$L$297:$L$333))-AI590,0)</f>
        <v>87697.998642716208</v>
      </c>
      <c r="AK590" s="196">
        <f>IFERROR($G590/SUMIF($A:$A,$A590,$G:$G)*SUMIF(Summary!$A$247:$A$283,$A590,Summary!$Q$247:$Q$283),0)</f>
        <v>60556.056087682453</v>
      </c>
      <c r="AL590" s="196">
        <f>IFERROR($G590/SUMIF($A:$A,$A590,$G:$G)*(SUMIF(Summary!$A$247:$A$283,$A590,Summary!$L$247:$L$283)+SUMIF(Summary!$A$297:$A$333,$A590,Summary!$L$297:$L$333))-AK590,0)</f>
        <v>87324.759205497801</v>
      </c>
      <c r="AM590" s="198"/>
      <c r="AN590" s="196">
        <f t="shared" ca="1" si="138"/>
        <v>2056743.202954872</v>
      </c>
      <c r="AO590" s="196">
        <f t="shared" ca="1" si="139"/>
        <v>2054323.4146784246</v>
      </c>
    </row>
    <row r="591" spans="1:41">
      <c r="A591" s="189">
        <v>3594</v>
      </c>
      <c r="B591" s="190">
        <v>3</v>
      </c>
      <c r="C591" s="191" t="s">
        <v>239</v>
      </c>
      <c r="D591" s="192">
        <f t="shared" si="126"/>
        <v>0</v>
      </c>
      <c r="E591" s="192">
        <f t="shared" si="127"/>
        <v>0</v>
      </c>
      <c r="F591" s="192">
        <f t="shared" si="128"/>
        <v>0</v>
      </c>
      <c r="G591" s="193">
        <f t="shared" si="129"/>
        <v>0</v>
      </c>
      <c r="H591" s="194">
        <v>0</v>
      </c>
      <c r="I591" s="194">
        <v>0</v>
      </c>
      <c r="J591" s="194">
        <v>0</v>
      </c>
      <c r="K591" s="193">
        <f t="shared" si="130"/>
        <v>0</v>
      </c>
      <c r="L591" s="194">
        <v>0</v>
      </c>
      <c r="M591" s="194">
        <v>0</v>
      </c>
      <c r="N591" s="194">
        <v>0</v>
      </c>
      <c r="O591" s="193">
        <f t="shared" si="131"/>
        <v>0</v>
      </c>
      <c r="P591" s="194">
        <v>0</v>
      </c>
      <c r="Q591" s="194">
        <v>0</v>
      </c>
      <c r="R591" s="194">
        <v>0</v>
      </c>
      <c r="S591" s="193">
        <f t="shared" si="132"/>
        <v>0</v>
      </c>
      <c r="T591" s="193">
        <f t="shared" si="133"/>
        <v>0</v>
      </c>
      <c r="U591" s="193">
        <f ca="1">OFFSET('Expenditure Study'!$B$7,'Operations Support'!$C591,'Operations Support'!$B591)*$G591</f>
        <v>0</v>
      </c>
      <c r="V591" s="199">
        <f ca="1">U591*'Expenditure Study'!$B$31</f>
        <v>0</v>
      </c>
      <c r="W591" s="199">
        <f ca="1">IF(A591=10298,1.51,1)*IF($B591&lt;3,$D591*'Expenditure Study'!$B$32*OFFSET('Expenditure Study'!$B$7,'Operations Support'!$C591,'Operations Support'!$B591),0)</f>
        <v>0</v>
      </c>
      <c r="X591" s="200">
        <f ca="1">W591*'Expenditure Study'!$B$31</f>
        <v>0</v>
      </c>
      <c r="Y591" s="199">
        <f ca="1">U591*'Expenditure Study'!$B$31</f>
        <v>0</v>
      </c>
      <c r="Z591" s="200">
        <f ca="1">W591*'Expenditure Study'!$B$31</f>
        <v>0</v>
      </c>
      <c r="AA591" s="195">
        <f t="shared" ca="1" si="134"/>
        <v>0</v>
      </c>
      <c r="AB591" s="195">
        <f t="shared" ca="1" si="135"/>
        <v>0</v>
      </c>
      <c r="AD591" s="196">
        <f>IFERROR($G591/SUMIF($A:$A,$A591,$G:$G)*SUMIF(Summary!$A$166:$A$242,$A591,Summary!$P$166:$P$242),0)</f>
        <v>0</v>
      </c>
      <c r="AE591" s="197">
        <f t="shared" ca="1" si="136"/>
        <v>0</v>
      </c>
      <c r="AF591" s="196">
        <f>IFERROR(G591/SUMIF(A:A,A591,G:G)*SUMIF(Summary!$A$166:$A$242,'Operations Support'!A591,Summary!$Q$166:$Q$242),0)</f>
        <v>0</v>
      </c>
      <c r="AG591" s="196">
        <f t="shared" ca="1" si="137"/>
        <v>0</v>
      </c>
      <c r="AI591" s="196">
        <f>IFERROR($G591/SUMIF($A:$A,$A591,$G:$G)*SUMIF(Summary!$A$247:$A$283,$A591,Summary!$P$247:$P$283),0)</f>
        <v>0</v>
      </c>
      <c r="AJ591" s="196">
        <f>IFERROR($G591/SUMIF($A:$A,$A591,$G:$G)*(SUMIF(Summary!$A$247:$A$283,$A591,Summary!$L$247:$L$283)+SUMIF(Summary!$A$297:$A$333,$A591,Summary!$L$297:$L$333))-AI591,0)</f>
        <v>0</v>
      </c>
      <c r="AK591" s="196">
        <f>IFERROR($G591/SUMIF($A:$A,$A591,$G:$G)*SUMIF(Summary!$A$247:$A$283,$A591,Summary!$Q$247:$Q$283),0)</f>
        <v>0</v>
      </c>
      <c r="AL591" s="196">
        <f>IFERROR($G591/SUMIF($A:$A,$A591,$G:$G)*(SUMIF(Summary!$A$247:$A$283,$A591,Summary!$L$247:$L$283)+SUMIF(Summary!$A$297:$A$333,$A591,Summary!$L$297:$L$333))-AK591,0)</f>
        <v>0</v>
      </c>
      <c r="AM591" s="198"/>
      <c r="AN591" s="196">
        <f t="shared" ca="1" si="138"/>
        <v>0</v>
      </c>
      <c r="AO591" s="196">
        <f t="shared" ca="1" si="139"/>
        <v>0</v>
      </c>
    </row>
    <row r="592" spans="1:41">
      <c r="A592" s="189">
        <v>3594</v>
      </c>
      <c r="B592" s="190">
        <v>3</v>
      </c>
      <c r="C592" s="191" t="s">
        <v>240</v>
      </c>
      <c r="D592" s="192">
        <f t="shared" si="126"/>
        <v>0</v>
      </c>
      <c r="E592" s="192">
        <f t="shared" si="127"/>
        <v>0</v>
      </c>
      <c r="F592" s="192">
        <f t="shared" si="128"/>
        <v>0</v>
      </c>
      <c r="G592" s="193">
        <f t="shared" si="129"/>
        <v>0</v>
      </c>
      <c r="H592" s="194">
        <v>0</v>
      </c>
      <c r="I592" s="194">
        <v>0</v>
      </c>
      <c r="J592" s="194">
        <v>0</v>
      </c>
      <c r="K592" s="193">
        <f t="shared" si="130"/>
        <v>0</v>
      </c>
      <c r="L592" s="194">
        <v>0</v>
      </c>
      <c r="M592" s="194">
        <v>0</v>
      </c>
      <c r="N592" s="194">
        <v>0</v>
      </c>
      <c r="O592" s="193">
        <f t="shared" si="131"/>
        <v>0</v>
      </c>
      <c r="P592" s="194">
        <v>0</v>
      </c>
      <c r="Q592" s="194">
        <v>0</v>
      </c>
      <c r="R592" s="194">
        <v>0</v>
      </c>
      <c r="S592" s="193">
        <f t="shared" si="132"/>
        <v>0</v>
      </c>
      <c r="T592" s="193">
        <f t="shared" si="133"/>
        <v>0</v>
      </c>
      <c r="U592" s="193">
        <f ca="1">OFFSET('Expenditure Study'!$B$7,'Operations Support'!$C592,'Operations Support'!$B592)*$G592</f>
        <v>0</v>
      </c>
      <c r="V592" s="199">
        <f ca="1">U592*'Expenditure Study'!$B$31</f>
        <v>0</v>
      </c>
      <c r="W592" s="199">
        <f ca="1">IF(A592=10298,1.51,1)*IF($B592&lt;3,$D592*'Expenditure Study'!$B$32*OFFSET('Expenditure Study'!$B$7,'Operations Support'!$C592,'Operations Support'!$B592),0)</f>
        <v>0</v>
      </c>
      <c r="X592" s="200">
        <f ca="1">W592*'Expenditure Study'!$B$31</f>
        <v>0</v>
      </c>
      <c r="Y592" s="199">
        <f ca="1">U592*'Expenditure Study'!$B$31</f>
        <v>0</v>
      </c>
      <c r="Z592" s="200">
        <f ca="1">W592*'Expenditure Study'!$B$31</f>
        <v>0</v>
      </c>
      <c r="AA592" s="195">
        <f t="shared" ca="1" si="134"/>
        <v>0</v>
      </c>
      <c r="AB592" s="195">
        <f t="shared" ca="1" si="135"/>
        <v>0</v>
      </c>
      <c r="AD592" s="196">
        <f>IFERROR($G592/SUMIF($A:$A,$A592,$G:$G)*SUMIF(Summary!$A$166:$A$242,$A592,Summary!$P$166:$P$242),0)</f>
        <v>0</v>
      </c>
      <c r="AE592" s="197">
        <f t="shared" ca="1" si="136"/>
        <v>0</v>
      </c>
      <c r="AF592" s="196">
        <f>IFERROR(G592/SUMIF(A:A,A592,G:G)*SUMIF(Summary!$A$166:$A$242,'Operations Support'!A592,Summary!$Q$166:$Q$242),0)</f>
        <v>0</v>
      </c>
      <c r="AG592" s="196">
        <f t="shared" ca="1" si="137"/>
        <v>0</v>
      </c>
      <c r="AI592" s="196">
        <f>IFERROR($G592/SUMIF($A:$A,$A592,$G:$G)*SUMIF(Summary!$A$247:$A$283,$A592,Summary!$P$247:$P$283),0)</f>
        <v>0</v>
      </c>
      <c r="AJ592" s="196">
        <f>IFERROR($G592/SUMIF($A:$A,$A592,$G:$G)*(SUMIF(Summary!$A$247:$A$283,$A592,Summary!$L$247:$L$283)+SUMIF(Summary!$A$297:$A$333,$A592,Summary!$L$297:$L$333))-AI592,0)</f>
        <v>0</v>
      </c>
      <c r="AK592" s="196">
        <f>IFERROR($G592/SUMIF($A:$A,$A592,$G:$G)*SUMIF(Summary!$A$247:$A$283,$A592,Summary!$Q$247:$Q$283),0)</f>
        <v>0</v>
      </c>
      <c r="AL592" s="196">
        <f>IFERROR($G592/SUMIF($A:$A,$A592,$G:$G)*(SUMIF(Summary!$A$247:$A$283,$A592,Summary!$L$247:$L$283)+SUMIF(Summary!$A$297:$A$333,$A592,Summary!$L$297:$L$333))-AK592,0)</f>
        <v>0</v>
      </c>
      <c r="AM592" s="198"/>
      <c r="AN592" s="196">
        <f t="shared" ca="1" si="138"/>
        <v>0</v>
      </c>
      <c r="AO592" s="196">
        <f t="shared" ca="1" si="139"/>
        <v>0</v>
      </c>
    </row>
    <row r="593" spans="1:41">
      <c r="A593" s="189">
        <v>3594</v>
      </c>
      <c r="B593" s="190">
        <v>4</v>
      </c>
      <c r="C593" s="191" t="s">
        <v>220</v>
      </c>
      <c r="D593" s="192">
        <f t="shared" si="126"/>
        <v>6406</v>
      </c>
      <c r="E593" s="192">
        <f t="shared" si="127"/>
        <v>807</v>
      </c>
      <c r="F593" s="192">
        <f t="shared" si="128"/>
        <v>54</v>
      </c>
      <c r="G593" s="193">
        <f t="shared" si="129"/>
        <v>7159</v>
      </c>
      <c r="H593" s="194">
        <v>2912</v>
      </c>
      <c r="I593" s="194">
        <v>256</v>
      </c>
      <c r="J593" s="194">
        <v>26</v>
      </c>
      <c r="K593" s="193">
        <f t="shared" si="130"/>
        <v>3142</v>
      </c>
      <c r="L593" s="194">
        <v>3094</v>
      </c>
      <c r="M593" s="194">
        <v>225</v>
      </c>
      <c r="N593" s="194">
        <v>28</v>
      </c>
      <c r="O593" s="193">
        <f t="shared" si="131"/>
        <v>3291</v>
      </c>
      <c r="P593" s="194">
        <v>400</v>
      </c>
      <c r="Q593" s="194">
        <v>326</v>
      </c>
      <c r="R593" s="194">
        <v>0</v>
      </c>
      <c r="S593" s="193">
        <f t="shared" si="132"/>
        <v>726</v>
      </c>
      <c r="T593" s="193">
        <f t="shared" si="133"/>
        <v>397.72222222222223</v>
      </c>
      <c r="U593" s="193">
        <f ca="1">OFFSET('Expenditure Study'!$B$7,'Operations Support'!$C593,'Operations Support'!$B593)*$G593</f>
        <v>105452.07</v>
      </c>
      <c r="V593" s="199">
        <f ca="1">U593*'Expenditure Study'!$B$31</f>
        <v>6230443.7175442567</v>
      </c>
      <c r="W593" s="199">
        <f ca="1">IF(A593=10298,1.51,1)*IF($B593&lt;3,$D593*'Expenditure Study'!$B$32*OFFSET('Expenditure Study'!$B$7,'Operations Support'!$C593,'Operations Support'!$B593),0)</f>
        <v>0</v>
      </c>
      <c r="X593" s="200">
        <f ca="1">W593*'Expenditure Study'!$B$31</f>
        <v>0</v>
      </c>
      <c r="Y593" s="199">
        <f ca="1">U593*'Expenditure Study'!$B$31</f>
        <v>6230443.7175442567</v>
      </c>
      <c r="Z593" s="200">
        <f ca="1">W593*'Expenditure Study'!$B$31</f>
        <v>0</v>
      </c>
      <c r="AA593" s="195">
        <f t="shared" ca="1" si="134"/>
        <v>6230443.7175442567</v>
      </c>
      <c r="AB593" s="195">
        <f t="shared" ca="1" si="135"/>
        <v>6230443.7175442567</v>
      </c>
      <c r="AD593" s="196">
        <f>IFERROR($G593/SUMIF($A:$A,$A593,$G:$G)*SUMIF(Summary!$A$166:$A$242,$A593,Summary!$P$166:$P$242),0)</f>
        <v>354559.92428518925</v>
      </c>
      <c r="AE593" s="197">
        <f t="shared" ca="1" si="136"/>
        <v>5875883.7932590675</v>
      </c>
      <c r="AF593" s="196">
        <f>IFERROR(G593/SUMIF(A:A,A593,G:G)*SUMIF(Summary!$A$166:$A$242,'Operations Support'!A593,Summary!$Q$166:$Q$242),0)</f>
        <v>356758.82014892052</v>
      </c>
      <c r="AG593" s="196">
        <f t="shared" ca="1" si="137"/>
        <v>5873684.8973953361</v>
      </c>
      <c r="AI593" s="196">
        <f>IFERROR($G593/SUMIF($A:$A,$A593,$G:$G)*SUMIF(Summary!$A$247:$A$283,$A593,Summary!$P$247:$P$283),0)</f>
        <v>64662.882245335764</v>
      </c>
      <c r="AJ593" s="196">
        <f>IFERROR($G593/SUMIF($A:$A,$A593,$G:$G)*(SUMIF(Summary!$A$247:$A$283,$A593,Summary!$L$247:$L$283)+SUMIF(Summary!$A$297:$A$333,$A593,Summary!$L$297:$L$333))-AI593,0)</f>
        <v>94226.320318656071</v>
      </c>
      <c r="AK593" s="196">
        <f>IFERROR($G593/SUMIF($A:$A,$A593,$G:$G)*SUMIF(Summary!$A$247:$A$283,$A593,Summary!$Q$247:$Q$283),0)</f>
        <v>65063.905978045732</v>
      </c>
      <c r="AL593" s="196">
        <f>IFERROR($G593/SUMIF($A:$A,$A593,$G:$G)*(SUMIF(Summary!$A$247:$A$283,$A593,Summary!$L$247:$L$283)+SUMIF(Summary!$A$297:$A$333,$A593,Summary!$L$297:$L$333))-AK593,0)</f>
        <v>93825.296585946096</v>
      </c>
      <c r="AM593" s="198"/>
      <c r="AN593" s="196">
        <f t="shared" ca="1" si="138"/>
        <v>5970110.1135777235</v>
      </c>
      <c r="AO593" s="196">
        <f t="shared" ca="1" si="139"/>
        <v>5967510.1939812824</v>
      </c>
    </row>
    <row r="594" spans="1:41">
      <c r="A594" s="189">
        <v>3594</v>
      </c>
      <c r="B594" s="190">
        <v>4</v>
      </c>
      <c r="C594" s="191" t="s">
        <v>221</v>
      </c>
      <c r="D594" s="192">
        <f t="shared" si="126"/>
        <v>4687.5</v>
      </c>
      <c r="E594" s="192">
        <f t="shared" si="127"/>
        <v>208.5</v>
      </c>
      <c r="F594" s="192">
        <f t="shared" si="128"/>
        <v>27</v>
      </c>
      <c r="G594" s="193">
        <f t="shared" si="129"/>
        <v>4869</v>
      </c>
      <c r="H594" s="194">
        <v>2123.5</v>
      </c>
      <c r="I594" s="194">
        <v>91.5</v>
      </c>
      <c r="J594" s="194">
        <v>12</v>
      </c>
      <c r="K594" s="193">
        <f t="shared" si="130"/>
        <v>2203</v>
      </c>
      <c r="L594" s="194">
        <v>2114</v>
      </c>
      <c r="M594" s="194">
        <v>96</v>
      </c>
      <c r="N594" s="194">
        <v>7</v>
      </c>
      <c r="O594" s="193">
        <f t="shared" si="131"/>
        <v>2203</v>
      </c>
      <c r="P594" s="194">
        <v>450</v>
      </c>
      <c r="Q594" s="194">
        <v>21</v>
      </c>
      <c r="R594" s="194">
        <v>8</v>
      </c>
      <c r="S594" s="193">
        <f t="shared" si="132"/>
        <v>463</v>
      </c>
      <c r="T594" s="193">
        <f t="shared" si="133"/>
        <v>270.5</v>
      </c>
      <c r="U594" s="193">
        <f ca="1">OFFSET('Expenditure Study'!$B$7,'Operations Support'!$C594,'Operations Support'!$B594)*$G594</f>
        <v>105852.06</v>
      </c>
      <c r="V594" s="199">
        <f ca="1">U594*'Expenditure Study'!$B$31</f>
        <v>6254076.3990324484</v>
      </c>
      <c r="W594" s="199">
        <f ca="1">IF(A594=10298,1.51,1)*IF($B594&lt;3,$D594*'Expenditure Study'!$B$32*OFFSET('Expenditure Study'!$B$7,'Operations Support'!$C594,'Operations Support'!$B594),0)</f>
        <v>0</v>
      </c>
      <c r="X594" s="200">
        <f ca="1">W594*'Expenditure Study'!$B$31</f>
        <v>0</v>
      </c>
      <c r="Y594" s="199">
        <f ca="1">U594*'Expenditure Study'!$B$31</f>
        <v>6254076.3990324484</v>
      </c>
      <c r="Z594" s="200">
        <f ca="1">W594*'Expenditure Study'!$B$31</f>
        <v>0</v>
      </c>
      <c r="AA594" s="195">
        <f t="shared" ca="1" si="134"/>
        <v>6254076.3990324484</v>
      </c>
      <c r="AB594" s="195">
        <f t="shared" ca="1" si="135"/>
        <v>6254076.3990324484</v>
      </c>
      <c r="AD594" s="196">
        <f>IFERROR($G594/SUMIF($A:$A,$A594,$G:$G)*SUMIF(Summary!$A$166:$A$242,$A594,Summary!$P$166:$P$242),0)</f>
        <v>241144.33179837777</v>
      </c>
      <c r="AE594" s="197">
        <f t="shared" ca="1" si="136"/>
        <v>6012932.067234071</v>
      </c>
      <c r="AF594" s="196">
        <f>IFERROR(G594/SUMIF(A:A,A594,G:G)*SUMIF(Summary!$A$166:$A$242,'Operations Support'!A594,Summary!$Q$166:$Q$242),0)</f>
        <v>242639.85127882304</v>
      </c>
      <c r="AG594" s="196">
        <f t="shared" ca="1" si="137"/>
        <v>6011436.5477536255</v>
      </c>
      <c r="AI594" s="196">
        <f>IFERROR($G594/SUMIF($A:$A,$A594,$G:$G)*SUMIF(Summary!$A$247:$A$283,$A594,Summary!$P$247:$P$283),0)</f>
        <v>43978.708430303093</v>
      </c>
      <c r="AJ594" s="196">
        <f>IFERROR($G594/SUMIF($A:$A,$A594,$G:$G)*(SUMIF(Summary!$A$247:$A$283,$A594,Summary!$L$247:$L$283)+SUMIF(Summary!$A$297:$A$333,$A594,Summary!$L$297:$L$333))-AI594,0)</f>
        <v>64085.480322885363</v>
      </c>
      <c r="AK594" s="196">
        <f>IFERROR($G594/SUMIF($A:$A,$A594,$G:$G)*SUMIF(Summary!$A$247:$A$283,$A594,Summary!$Q$247:$Q$283),0)</f>
        <v>44251.453863263683</v>
      </c>
      <c r="AL594" s="196">
        <f>IFERROR($G594/SUMIF($A:$A,$A594,$G:$G)*(SUMIF(Summary!$A$247:$A$283,$A594,Summary!$L$247:$L$283)+SUMIF(Summary!$A$297:$A$333,$A594,Summary!$L$297:$L$333))-AK594,0)</f>
        <v>63812.734889924774</v>
      </c>
      <c r="AM594" s="198"/>
      <c r="AN594" s="196">
        <f t="shared" ca="1" si="138"/>
        <v>6077017.5475569563</v>
      </c>
      <c r="AO594" s="196">
        <f t="shared" ca="1" si="139"/>
        <v>6075249.2826435501</v>
      </c>
    </row>
    <row r="595" spans="1:41">
      <c r="A595" s="189">
        <v>3594</v>
      </c>
      <c r="B595" s="190">
        <v>4</v>
      </c>
      <c r="C595" s="191" t="s">
        <v>222</v>
      </c>
      <c r="D595" s="192">
        <f t="shared" si="126"/>
        <v>3541.3599999999997</v>
      </c>
      <c r="E595" s="192">
        <f t="shared" si="127"/>
        <v>337.64</v>
      </c>
      <c r="F595" s="192">
        <f t="shared" si="128"/>
        <v>3</v>
      </c>
      <c r="G595" s="193">
        <f t="shared" si="129"/>
        <v>3875.9999999999995</v>
      </c>
      <c r="H595" s="194">
        <v>1589.34</v>
      </c>
      <c r="I595" s="194">
        <v>164.66</v>
      </c>
      <c r="J595" s="194">
        <v>2</v>
      </c>
      <c r="K595" s="193">
        <f t="shared" si="130"/>
        <v>1752</v>
      </c>
      <c r="L595" s="194">
        <v>1804.02</v>
      </c>
      <c r="M595" s="194">
        <v>144.97999999999999</v>
      </c>
      <c r="N595" s="194">
        <v>1</v>
      </c>
      <c r="O595" s="193">
        <f t="shared" si="131"/>
        <v>1948</v>
      </c>
      <c r="P595" s="194">
        <v>148</v>
      </c>
      <c r="Q595" s="194">
        <v>28</v>
      </c>
      <c r="R595" s="194">
        <v>0</v>
      </c>
      <c r="S595" s="193">
        <f t="shared" si="132"/>
        <v>176</v>
      </c>
      <c r="T595" s="193">
        <f t="shared" si="133"/>
        <v>215.33333333333331</v>
      </c>
      <c r="U595" s="193">
        <f ca="1">OFFSET('Expenditure Study'!$B$7,'Operations Support'!$C595,'Operations Support'!$B595)*$G595</f>
        <v>39147.599999999991</v>
      </c>
      <c r="V595" s="199">
        <f ca="1">U595*'Expenditure Study'!$B$31</f>
        <v>2312964.7286860794</v>
      </c>
      <c r="W595" s="199">
        <f ca="1">IF(A595=10298,1.51,1)*IF($B595&lt;3,$D595*'Expenditure Study'!$B$32*OFFSET('Expenditure Study'!$B$7,'Operations Support'!$C595,'Operations Support'!$B595),0)</f>
        <v>0</v>
      </c>
      <c r="X595" s="200">
        <f ca="1">W595*'Expenditure Study'!$B$31</f>
        <v>0</v>
      </c>
      <c r="Y595" s="199">
        <f ca="1">U595*'Expenditure Study'!$B$31</f>
        <v>2312964.7286860794</v>
      </c>
      <c r="Z595" s="200">
        <f ca="1">W595*'Expenditure Study'!$B$31</f>
        <v>0</v>
      </c>
      <c r="AA595" s="195">
        <f t="shared" ca="1" si="134"/>
        <v>2312964.7286860794</v>
      </c>
      <c r="AB595" s="195">
        <f t="shared" ca="1" si="135"/>
        <v>2312964.7286860794</v>
      </c>
      <c r="AD595" s="196">
        <f>IFERROR($G595/SUMIF($A:$A,$A595,$G:$G)*SUMIF(Summary!$A$166:$A$242,$A595,Summary!$P$166:$P$242),0)</f>
        <v>191964.5574143586</v>
      </c>
      <c r="AE595" s="197">
        <f t="shared" ca="1" si="136"/>
        <v>2121000.1712717209</v>
      </c>
      <c r="AF595" s="196">
        <f>IFERROR(G595/SUMIF(A:A,A595,G:G)*SUMIF(Summary!$A$166:$A$242,'Operations Support'!A595,Summary!$Q$166:$Q$242),0)</f>
        <v>193155.07569454054</v>
      </c>
      <c r="AG595" s="196">
        <f t="shared" ca="1" si="137"/>
        <v>2119809.6529915389</v>
      </c>
      <c r="AI595" s="196">
        <f>IFERROR($G595/SUMIF($A:$A,$A595,$G:$G)*SUMIF(Summary!$A$247:$A$283,$A595,Summary!$P$247:$P$283),0)</f>
        <v>35009.544850247432</v>
      </c>
      <c r="AJ595" s="196">
        <f>IFERROR($G595/SUMIF($A:$A,$A595,$G:$G)*(SUMIF(Summary!$A$247:$A$283,$A595,Summary!$L$247:$L$283)+SUMIF(Summary!$A$297:$A$333,$A595,Summary!$L$297:$L$333))-AI595,0)</f>
        <v>51015.67503214287</v>
      </c>
      <c r="AK595" s="196">
        <f>IFERROR($G595/SUMIF($A:$A,$A595,$G:$G)*SUMIF(Summary!$A$247:$A$283,$A595,Summary!$Q$247:$Q$283),0)</f>
        <v>35226.665675500102</v>
      </c>
      <c r="AL595" s="196">
        <f>IFERROR($G595/SUMIF($A:$A,$A595,$G:$G)*(SUMIF(Summary!$A$247:$A$283,$A595,Summary!$L$247:$L$283)+SUMIF(Summary!$A$297:$A$333,$A595,Summary!$L$297:$L$333))-AK595,0)</f>
        <v>50798.5542068902</v>
      </c>
      <c r="AM595" s="198"/>
      <c r="AN595" s="196">
        <f t="shared" ca="1" si="138"/>
        <v>2172015.8463038639</v>
      </c>
      <c r="AO595" s="196">
        <f t="shared" ca="1" si="139"/>
        <v>2170608.2071984289</v>
      </c>
    </row>
    <row r="596" spans="1:41">
      <c r="A596" s="189">
        <v>3594</v>
      </c>
      <c r="B596" s="190">
        <v>4</v>
      </c>
      <c r="C596" s="191" t="s">
        <v>223</v>
      </c>
      <c r="D596" s="192">
        <f t="shared" si="126"/>
        <v>1396</v>
      </c>
      <c r="E596" s="192">
        <f t="shared" si="127"/>
        <v>567</v>
      </c>
      <c r="F596" s="192">
        <f t="shared" si="128"/>
        <v>36</v>
      </c>
      <c r="G596" s="193">
        <f t="shared" si="129"/>
        <v>1927</v>
      </c>
      <c r="H596" s="194">
        <v>523</v>
      </c>
      <c r="I596" s="194">
        <v>276</v>
      </c>
      <c r="J596" s="194">
        <v>18</v>
      </c>
      <c r="K596" s="193">
        <f t="shared" si="130"/>
        <v>781</v>
      </c>
      <c r="L596" s="194">
        <v>668</v>
      </c>
      <c r="M596" s="194">
        <v>156</v>
      </c>
      <c r="N596" s="194">
        <v>9</v>
      </c>
      <c r="O596" s="193">
        <f t="shared" si="131"/>
        <v>815</v>
      </c>
      <c r="P596" s="194">
        <v>205</v>
      </c>
      <c r="Q596" s="194">
        <v>135</v>
      </c>
      <c r="R596" s="194">
        <v>9</v>
      </c>
      <c r="S596" s="193">
        <f t="shared" si="132"/>
        <v>331</v>
      </c>
      <c r="T596" s="193">
        <f t="shared" si="133"/>
        <v>107.05555555555556</v>
      </c>
      <c r="U596" s="193">
        <f ca="1">OFFSET('Expenditure Study'!$B$7,'Operations Support'!$C596,'Operations Support'!$B596)*$G596</f>
        <v>15069.140000000001</v>
      </c>
      <c r="V596" s="199">
        <f ca="1">U596*'Expenditure Study'!$B$31</f>
        <v>890332.72312051209</v>
      </c>
      <c r="W596" s="199">
        <f ca="1">IF(A596=10298,1.51,1)*IF($B596&lt;3,$D596*'Expenditure Study'!$B$32*OFFSET('Expenditure Study'!$B$7,'Operations Support'!$C596,'Operations Support'!$B596),0)</f>
        <v>0</v>
      </c>
      <c r="X596" s="200">
        <f ca="1">W596*'Expenditure Study'!$B$31</f>
        <v>0</v>
      </c>
      <c r="Y596" s="199">
        <f ca="1">U596*'Expenditure Study'!$B$31</f>
        <v>890332.72312051209</v>
      </c>
      <c r="Z596" s="200">
        <f ca="1">W596*'Expenditure Study'!$B$31</f>
        <v>0</v>
      </c>
      <c r="AA596" s="195">
        <f t="shared" ca="1" si="134"/>
        <v>890332.72312051209</v>
      </c>
      <c r="AB596" s="195">
        <f t="shared" ca="1" si="135"/>
        <v>890332.72312051209</v>
      </c>
      <c r="AD596" s="196">
        <f>IFERROR($G596/SUMIF($A:$A,$A596,$G:$G)*SUMIF(Summary!$A$166:$A$242,$A596,Summary!$P$166:$P$242),0)</f>
        <v>95437.487651565811</v>
      </c>
      <c r="AE596" s="197">
        <f t="shared" ca="1" si="136"/>
        <v>794895.23546894628</v>
      </c>
      <c r="AF596" s="196">
        <f>IFERROR(G596/SUMIF(A:A,A596,G:G)*SUMIF(Summary!$A$166:$A$242,'Operations Support'!A596,Summary!$Q$166:$Q$242),0)</f>
        <v>96029.368127806927</v>
      </c>
      <c r="AG596" s="196">
        <f t="shared" ca="1" si="137"/>
        <v>794303.35499270516</v>
      </c>
      <c r="AI596" s="196">
        <f>IFERROR($G596/SUMIF($A:$A,$A596,$G:$G)*SUMIF(Summary!$A$247:$A$283,$A596,Summary!$P$247:$P$283),0)</f>
        <v>17405.416131689064</v>
      </c>
      <c r="AJ596" s="196">
        <f>IFERROR($G596/SUMIF($A:$A,$A596,$G:$G)*(SUMIF(Summary!$A$247:$A$283,$A596,Summary!$L$247:$L$283)+SUMIF(Summary!$A$297:$A$333,$A596,Summary!$L$297:$L$333))-AI596,0)</f>
        <v>25363.056188580838</v>
      </c>
      <c r="AK596" s="196">
        <f>IFERROR($G596/SUMIF($A:$A,$A596,$G:$G)*SUMIF(Summary!$A$247:$A$283,$A596,Summary!$Q$247:$Q$283),0)</f>
        <v>17513.360360342802</v>
      </c>
      <c r="AL596" s="196">
        <f>IFERROR($G596/SUMIF($A:$A,$A596,$G:$G)*(SUMIF(Summary!$A$247:$A$283,$A596,Summary!$L$247:$L$283)+SUMIF(Summary!$A$297:$A$333,$A596,Summary!$L$297:$L$333))-AK596,0)</f>
        <v>25255.111959927101</v>
      </c>
      <c r="AM596" s="198"/>
      <c r="AN596" s="196">
        <f t="shared" ca="1" si="138"/>
        <v>820258.29165752709</v>
      </c>
      <c r="AO596" s="196">
        <f t="shared" ca="1" si="139"/>
        <v>819558.4669526323</v>
      </c>
    </row>
    <row r="597" spans="1:41">
      <c r="A597" s="189">
        <v>3594</v>
      </c>
      <c r="B597" s="190">
        <v>4</v>
      </c>
      <c r="C597" s="191" t="s">
        <v>224</v>
      </c>
      <c r="D597" s="192">
        <f t="shared" si="126"/>
        <v>0</v>
      </c>
      <c r="E597" s="192">
        <f t="shared" si="127"/>
        <v>0</v>
      </c>
      <c r="F597" s="192">
        <f t="shared" si="128"/>
        <v>0</v>
      </c>
      <c r="G597" s="193">
        <f t="shared" si="129"/>
        <v>0</v>
      </c>
      <c r="H597" s="194">
        <v>0</v>
      </c>
      <c r="I597" s="194">
        <v>0</v>
      </c>
      <c r="J597" s="194">
        <v>0</v>
      </c>
      <c r="K597" s="193">
        <f t="shared" si="130"/>
        <v>0</v>
      </c>
      <c r="L597" s="194">
        <v>0</v>
      </c>
      <c r="M597" s="194">
        <v>0</v>
      </c>
      <c r="N597" s="194">
        <v>0</v>
      </c>
      <c r="O597" s="193">
        <f t="shared" si="131"/>
        <v>0</v>
      </c>
      <c r="P597" s="194">
        <v>0</v>
      </c>
      <c r="Q597" s="194">
        <v>0</v>
      </c>
      <c r="R597" s="194">
        <v>0</v>
      </c>
      <c r="S597" s="193">
        <f t="shared" si="132"/>
        <v>0</v>
      </c>
      <c r="T597" s="193">
        <f t="shared" si="133"/>
        <v>0</v>
      </c>
      <c r="U597" s="193">
        <f ca="1">OFFSET('Expenditure Study'!$B$7,'Operations Support'!$C597,'Operations Support'!$B597)*$G597</f>
        <v>0</v>
      </c>
      <c r="V597" s="199">
        <f ca="1">U597*'Expenditure Study'!$B$31</f>
        <v>0</v>
      </c>
      <c r="W597" s="199">
        <f ca="1">IF(A597=10298,1.51,1)*IF($B597&lt;3,$D597*'Expenditure Study'!$B$32*OFFSET('Expenditure Study'!$B$7,'Operations Support'!$C597,'Operations Support'!$B597),0)</f>
        <v>0</v>
      </c>
      <c r="X597" s="200">
        <f ca="1">W597*'Expenditure Study'!$B$31</f>
        <v>0</v>
      </c>
      <c r="Y597" s="199">
        <f ca="1">U597*'Expenditure Study'!$B$31</f>
        <v>0</v>
      </c>
      <c r="Z597" s="200">
        <f ca="1">W597*'Expenditure Study'!$B$31</f>
        <v>0</v>
      </c>
      <c r="AA597" s="195">
        <f t="shared" ca="1" si="134"/>
        <v>0</v>
      </c>
      <c r="AB597" s="195">
        <f t="shared" ca="1" si="135"/>
        <v>0</v>
      </c>
      <c r="AD597" s="196">
        <f>IFERROR($G597/SUMIF($A:$A,$A597,$G:$G)*SUMIF(Summary!$A$166:$A$242,$A597,Summary!$P$166:$P$242),0)</f>
        <v>0</v>
      </c>
      <c r="AE597" s="197">
        <f t="shared" ca="1" si="136"/>
        <v>0</v>
      </c>
      <c r="AF597" s="196">
        <f>IFERROR(G597/SUMIF(A:A,A597,G:G)*SUMIF(Summary!$A$166:$A$242,'Operations Support'!A597,Summary!$Q$166:$Q$242),0)</f>
        <v>0</v>
      </c>
      <c r="AG597" s="196">
        <f t="shared" ca="1" si="137"/>
        <v>0</v>
      </c>
      <c r="AI597" s="196">
        <f>IFERROR($G597/SUMIF($A:$A,$A597,$G:$G)*SUMIF(Summary!$A$247:$A$283,$A597,Summary!$P$247:$P$283),0)</f>
        <v>0</v>
      </c>
      <c r="AJ597" s="196">
        <f>IFERROR($G597/SUMIF($A:$A,$A597,$G:$G)*(SUMIF(Summary!$A$247:$A$283,$A597,Summary!$L$247:$L$283)+SUMIF(Summary!$A$297:$A$333,$A597,Summary!$L$297:$L$333))-AI597,0)</f>
        <v>0</v>
      </c>
      <c r="AK597" s="196">
        <f>IFERROR($G597/SUMIF($A:$A,$A597,$G:$G)*SUMIF(Summary!$A$247:$A$283,$A597,Summary!$Q$247:$Q$283),0)</f>
        <v>0</v>
      </c>
      <c r="AL597" s="196">
        <f>IFERROR($G597/SUMIF($A:$A,$A597,$G:$G)*(SUMIF(Summary!$A$247:$A$283,$A597,Summary!$L$247:$L$283)+SUMIF(Summary!$A$297:$A$333,$A597,Summary!$L$297:$L$333))-AK597,0)</f>
        <v>0</v>
      </c>
      <c r="AM597" s="198"/>
      <c r="AN597" s="196">
        <f t="shared" ca="1" si="138"/>
        <v>0</v>
      </c>
      <c r="AO597" s="196">
        <f t="shared" ca="1" si="139"/>
        <v>0</v>
      </c>
    </row>
    <row r="598" spans="1:41">
      <c r="A598" s="189">
        <v>3594</v>
      </c>
      <c r="B598" s="190">
        <v>4</v>
      </c>
      <c r="C598" s="191" t="s">
        <v>225</v>
      </c>
      <c r="D598" s="192">
        <f t="shared" si="126"/>
        <v>2647</v>
      </c>
      <c r="E598" s="192">
        <f t="shared" si="127"/>
        <v>285</v>
      </c>
      <c r="F598" s="192">
        <f t="shared" si="128"/>
        <v>1</v>
      </c>
      <c r="G598" s="193">
        <f t="shared" si="129"/>
        <v>2931</v>
      </c>
      <c r="H598" s="194">
        <v>1265</v>
      </c>
      <c r="I598" s="194">
        <v>168</v>
      </c>
      <c r="J598" s="194">
        <v>1</v>
      </c>
      <c r="K598" s="193">
        <f t="shared" si="130"/>
        <v>1432</v>
      </c>
      <c r="L598" s="194">
        <v>1261</v>
      </c>
      <c r="M598" s="194">
        <v>102</v>
      </c>
      <c r="N598" s="194">
        <v>0</v>
      </c>
      <c r="O598" s="193">
        <f t="shared" si="131"/>
        <v>1363</v>
      </c>
      <c r="P598" s="194">
        <v>121</v>
      </c>
      <c r="Q598" s="194">
        <v>15</v>
      </c>
      <c r="R598" s="194">
        <v>0</v>
      </c>
      <c r="S598" s="193">
        <f t="shared" si="132"/>
        <v>136</v>
      </c>
      <c r="T598" s="193">
        <f t="shared" si="133"/>
        <v>162.83333333333334</v>
      </c>
      <c r="U598" s="193">
        <f ca="1">OFFSET('Expenditure Study'!$B$7,'Operations Support'!$C598,'Operations Support'!$B598)*$G598</f>
        <v>55073.49</v>
      </c>
      <c r="V598" s="199">
        <f ca="1">U598*'Expenditure Study'!$B$31</f>
        <v>3253916.9669569917</v>
      </c>
      <c r="W598" s="199">
        <f ca="1">IF(A598=10298,1.51,1)*IF($B598&lt;3,$D598*'Expenditure Study'!$B$32*OFFSET('Expenditure Study'!$B$7,'Operations Support'!$C598,'Operations Support'!$B598),0)</f>
        <v>0</v>
      </c>
      <c r="X598" s="200">
        <f ca="1">W598*'Expenditure Study'!$B$31</f>
        <v>0</v>
      </c>
      <c r="Y598" s="199">
        <f ca="1">U598*'Expenditure Study'!$B$31</f>
        <v>3253916.9669569917</v>
      </c>
      <c r="Z598" s="200">
        <f ca="1">W598*'Expenditure Study'!$B$31</f>
        <v>0</v>
      </c>
      <c r="AA598" s="195">
        <f t="shared" ca="1" si="134"/>
        <v>3253916.9669569917</v>
      </c>
      <c r="AB598" s="195">
        <f t="shared" ca="1" si="135"/>
        <v>3253916.9669569917</v>
      </c>
      <c r="AD598" s="196">
        <f>IFERROR($G598/SUMIF($A:$A,$A598,$G:$G)*SUMIF(Summary!$A$166:$A$242,$A598,Summary!$P$166:$P$242),0)</f>
        <v>145162.05309119844</v>
      </c>
      <c r="AE598" s="197">
        <f t="shared" ca="1" si="136"/>
        <v>3108754.9138657935</v>
      </c>
      <c r="AF598" s="196">
        <f>IFERROR(G598/SUMIF(A:A,A598,G:G)*SUMIF(Summary!$A$166:$A$242,'Operations Support'!A598,Summary!$Q$166:$Q$242),0)</f>
        <v>146062.31343155273</v>
      </c>
      <c r="AG598" s="196">
        <f t="shared" ca="1" si="137"/>
        <v>3107854.6535254391</v>
      </c>
      <c r="AI598" s="196">
        <f>IFERROR($G598/SUMIF($A:$A,$A598,$G:$G)*SUMIF(Summary!$A$247:$A$283,$A598,Summary!$P$247:$P$283),0)</f>
        <v>26473.936005179374</v>
      </c>
      <c r="AJ598" s="196">
        <f>IFERROR($G598/SUMIF($A:$A,$A598,$G:$G)*(SUMIF(Summary!$A$247:$A$283,$A598,Summary!$L$247:$L$283)+SUMIF(Summary!$A$297:$A$333,$A598,Summary!$L$297:$L$333))-AI598,0)</f>
        <v>38577.642806813921</v>
      </c>
      <c r="AK598" s="196">
        <f>IFERROR($G598/SUMIF($A:$A,$A598,$G:$G)*SUMIF(Summary!$A$247:$A$283,$A598,Summary!$Q$247:$Q$283),0)</f>
        <v>26638.121025513625</v>
      </c>
      <c r="AL598" s="196">
        <f>IFERROR($G598/SUMIF($A:$A,$A598,$G:$G)*(SUMIF(Summary!$A$247:$A$283,$A598,Summary!$L$247:$L$283)+SUMIF(Summary!$A$297:$A$333,$A598,Summary!$L$297:$L$333))-AK598,0)</f>
        <v>38413.457786479674</v>
      </c>
      <c r="AM598" s="198"/>
      <c r="AN598" s="196">
        <f t="shared" ca="1" si="138"/>
        <v>3147332.5566726075</v>
      </c>
      <c r="AO598" s="196">
        <f t="shared" ca="1" si="139"/>
        <v>3146268.1113119186</v>
      </c>
    </row>
    <row r="599" spans="1:41">
      <c r="A599" s="189">
        <v>3594</v>
      </c>
      <c r="B599" s="190">
        <v>4</v>
      </c>
      <c r="C599" s="191" t="s">
        <v>226</v>
      </c>
      <c r="D599" s="192">
        <f t="shared" si="126"/>
        <v>0</v>
      </c>
      <c r="E599" s="192">
        <f t="shared" si="127"/>
        <v>0</v>
      </c>
      <c r="F599" s="192">
        <f t="shared" si="128"/>
        <v>0</v>
      </c>
      <c r="G599" s="193">
        <f t="shared" si="129"/>
        <v>0</v>
      </c>
      <c r="H599" s="194">
        <v>0</v>
      </c>
      <c r="I599" s="194">
        <v>0</v>
      </c>
      <c r="J599" s="194">
        <v>0</v>
      </c>
      <c r="K599" s="193">
        <f t="shared" si="130"/>
        <v>0</v>
      </c>
      <c r="L599" s="194">
        <v>0</v>
      </c>
      <c r="M599" s="194">
        <v>0</v>
      </c>
      <c r="N599" s="194">
        <v>0</v>
      </c>
      <c r="O599" s="193">
        <f t="shared" si="131"/>
        <v>0</v>
      </c>
      <c r="P599" s="194">
        <v>0</v>
      </c>
      <c r="Q599" s="194">
        <v>0</v>
      </c>
      <c r="R599" s="194">
        <v>0</v>
      </c>
      <c r="S599" s="193">
        <f t="shared" si="132"/>
        <v>0</v>
      </c>
      <c r="T599" s="193">
        <f t="shared" si="133"/>
        <v>0</v>
      </c>
      <c r="U599" s="193">
        <f ca="1">OFFSET('Expenditure Study'!$B$7,'Operations Support'!$C599,'Operations Support'!$B599)*$G599</f>
        <v>0</v>
      </c>
      <c r="V599" s="199">
        <f ca="1">U599*'Expenditure Study'!$B$31</f>
        <v>0</v>
      </c>
      <c r="W599" s="199">
        <f ca="1">IF(A599=10298,1.51,1)*IF($B599&lt;3,$D599*'Expenditure Study'!$B$32*OFFSET('Expenditure Study'!$B$7,'Operations Support'!$C599,'Operations Support'!$B599),0)</f>
        <v>0</v>
      </c>
      <c r="X599" s="200">
        <f ca="1">W599*'Expenditure Study'!$B$31</f>
        <v>0</v>
      </c>
      <c r="Y599" s="199">
        <f ca="1">U599*'Expenditure Study'!$B$31</f>
        <v>0</v>
      </c>
      <c r="Z599" s="200">
        <f ca="1">W599*'Expenditure Study'!$B$31</f>
        <v>0</v>
      </c>
      <c r="AA599" s="195">
        <f t="shared" ca="1" si="134"/>
        <v>0</v>
      </c>
      <c r="AB599" s="195">
        <f t="shared" ca="1" si="135"/>
        <v>0</v>
      </c>
      <c r="AD599" s="196">
        <f>IFERROR($G599/SUMIF($A:$A,$A599,$G:$G)*SUMIF(Summary!$A$166:$A$242,$A599,Summary!$P$166:$P$242),0)</f>
        <v>0</v>
      </c>
      <c r="AE599" s="197">
        <f t="shared" ca="1" si="136"/>
        <v>0</v>
      </c>
      <c r="AF599" s="196">
        <f>IFERROR(G599/SUMIF(A:A,A599,G:G)*SUMIF(Summary!$A$166:$A$242,'Operations Support'!A599,Summary!$Q$166:$Q$242),0)</f>
        <v>0</v>
      </c>
      <c r="AG599" s="196">
        <f t="shared" ca="1" si="137"/>
        <v>0</v>
      </c>
      <c r="AI599" s="196">
        <f>IFERROR($G599/SUMIF($A:$A,$A599,$G:$G)*SUMIF(Summary!$A$247:$A$283,$A599,Summary!$P$247:$P$283),0)</f>
        <v>0</v>
      </c>
      <c r="AJ599" s="196">
        <f>IFERROR($G599/SUMIF($A:$A,$A599,$G:$G)*(SUMIF(Summary!$A$247:$A$283,$A599,Summary!$L$247:$L$283)+SUMIF(Summary!$A$297:$A$333,$A599,Summary!$L$297:$L$333))-AI599,0)</f>
        <v>0</v>
      </c>
      <c r="AK599" s="196">
        <f>IFERROR($G599/SUMIF($A:$A,$A599,$G:$G)*SUMIF(Summary!$A$247:$A$283,$A599,Summary!$Q$247:$Q$283),0)</f>
        <v>0</v>
      </c>
      <c r="AL599" s="196">
        <f>IFERROR($G599/SUMIF($A:$A,$A599,$G:$G)*(SUMIF(Summary!$A$247:$A$283,$A599,Summary!$L$247:$L$283)+SUMIF(Summary!$A$297:$A$333,$A599,Summary!$L$297:$L$333))-AK599,0)</f>
        <v>0</v>
      </c>
      <c r="AM599" s="198"/>
      <c r="AN599" s="196">
        <f t="shared" ca="1" si="138"/>
        <v>0</v>
      </c>
      <c r="AO599" s="196">
        <f t="shared" ca="1" si="139"/>
        <v>0</v>
      </c>
    </row>
    <row r="600" spans="1:41">
      <c r="A600" s="189">
        <v>3594</v>
      </c>
      <c r="B600" s="190">
        <v>4</v>
      </c>
      <c r="C600" s="191" t="s">
        <v>227</v>
      </c>
      <c r="D600" s="192">
        <f t="shared" si="126"/>
        <v>0</v>
      </c>
      <c r="E600" s="192">
        <f t="shared" si="127"/>
        <v>0</v>
      </c>
      <c r="F600" s="192">
        <f t="shared" si="128"/>
        <v>0</v>
      </c>
      <c r="G600" s="193">
        <f t="shared" si="129"/>
        <v>0</v>
      </c>
      <c r="H600" s="194">
        <v>0</v>
      </c>
      <c r="I600" s="194">
        <v>0</v>
      </c>
      <c r="J600" s="194">
        <v>0</v>
      </c>
      <c r="K600" s="193">
        <f t="shared" si="130"/>
        <v>0</v>
      </c>
      <c r="L600" s="194">
        <v>0</v>
      </c>
      <c r="M600" s="194">
        <v>0</v>
      </c>
      <c r="N600" s="194">
        <v>0</v>
      </c>
      <c r="O600" s="193">
        <f t="shared" si="131"/>
        <v>0</v>
      </c>
      <c r="P600" s="194">
        <v>0</v>
      </c>
      <c r="Q600" s="194">
        <v>0</v>
      </c>
      <c r="R600" s="194">
        <v>0</v>
      </c>
      <c r="S600" s="193">
        <f t="shared" si="132"/>
        <v>0</v>
      </c>
      <c r="T600" s="193">
        <f t="shared" si="133"/>
        <v>0</v>
      </c>
      <c r="U600" s="193">
        <f ca="1">OFFSET('Expenditure Study'!$B$7,'Operations Support'!$C600,'Operations Support'!$B600)*$G600</f>
        <v>0</v>
      </c>
      <c r="V600" s="199">
        <f ca="1">U600*'Expenditure Study'!$B$31</f>
        <v>0</v>
      </c>
      <c r="W600" s="199">
        <f ca="1">IF(A600=10298,1.51,1)*IF($B600&lt;3,$D600*'Expenditure Study'!$B$32*OFFSET('Expenditure Study'!$B$7,'Operations Support'!$C600,'Operations Support'!$B600),0)</f>
        <v>0</v>
      </c>
      <c r="X600" s="200">
        <f ca="1">W600*'Expenditure Study'!$B$31</f>
        <v>0</v>
      </c>
      <c r="Y600" s="199">
        <f ca="1">U600*'Expenditure Study'!$B$31</f>
        <v>0</v>
      </c>
      <c r="Z600" s="200">
        <f ca="1">W600*'Expenditure Study'!$B$31</f>
        <v>0</v>
      </c>
      <c r="AA600" s="195">
        <f t="shared" ca="1" si="134"/>
        <v>0</v>
      </c>
      <c r="AB600" s="195">
        <f t="shared" ca="1" si="135"/>
        <v>0</v>
      </c>
      <c r="AD600" s="196">
        <f>IFERROR($G600/SUMIF($A:$A,$A600,$G:$G)*SUMIF(Summary!$A$166:$A$242,$A600,Summary!$P$166:$P$242),0)</f>
        <v>0</v>
      </c>
      <c r="AE600" s="197">
        <f t="shared" ca="1" si="136"/>
        <v>0</v>
      </c>
      <c r="AF600" s="196">
        <f>IFERROR(G600/SUMIF(A:A,A600,G:G)*SUMIF(Summary!$A$166:$A$242,'Operations Support'!A600,Summary!$Q$166:$Q$242),0)</f>
        <v>0</v>
      </c>
      <c r="AG600" s="196">
        <f t="shared" ca="1" si="137"/>
        <v>0</v>
      </c>
      <c r="AI600" s="196">
        <f>IFERROR($G600/SUMIF($A:$A,$A600,$G:$G)*SUMIF(Summary!$A$247:$A$283,$A600,Summary!$P$247:$P$283),0)</f>
        <v>0</v>
      </c>
      <c r="AJ600" s="196">
        <f>IFERROR($G600/SUMIF($A:$A,$A600,$G:$G)*(SUMIF(Summary!$A$247:$A$283,$A600,Summary!$L$247:$L$283)+SUMIF(Summary!$A$297:$A$333,$A600,Summary!$L$297:$L$333))-AI600,0)</f>
        <v>0</v>
      </c>
      <c r="AK600" s="196">
        <f>IFERROR($G600/SUMIF($A:$A,$A600,$G:$G)*SUMIF(Summary!$A$247:$A$283,$A600,Summary!$Q$247:$Q$283),0)</f>
        <v>0</v>
      </c>
      <c r="AL600" s="196">
        <f>IFERROR($G600/SUMIF($A:$A,$A600,$G:$G)*(SUMIF(Summary!$A$247:$A$283,$A600,Summary!$L$247:$L$283)+SUMIF(Summary!$A$297:$A$333,$A600,Summary!$L$297:$L$333))-AK600,0)</f>
        <v>0</v>
      </c>
      <c r="AM600" s="198"/>
      <c r="AN600" s="196">
        <f t="shared" ca="1" si="138"/>
        <v>0</v>
      </c>
      <c r="AO600" s="196">
        <f t="shared" ca="1" si="139"/>
        <v>0</v>
      </c>
    </row>
    <row r="601" spans="1:41">
      <c r="A601" s="189">
        <v>3594</v>
      </c>
      <c r="B601" s="190">
        <v>4</v>
      </c>
      <c r="C601" s="191" t="s">
        <v>228</v>
      </c>
      <c r="D601" s="192">
        <f t="shared" si="126"/>
        <v>0</v>
      </c>
      <c r="E601" s="192">
        <f t="shared" si="127"/>
        <v>0</v>
      </c>
      <c r="F601" s="192">
        <f t="shared" si="128"/>
        <v>0</v>
      </c>
      <c r="G601" s="193">
        <f t="shared" si="129"/>
        <v>0</v>
      </c>
      <c r="H601" s="194">
        <v>0</v>
      </c>
      <c r="I601" s="194">
        <v>0</v>
      </c>
      <c r="J601" s="194">
        <v>0</v>
      </c>
      <c r="K601" s="193">
        <f t="shared" si="130"/>
        <v>0</v>
      </c>
      <c r="L601" s="194">
        <v>0</v>
      </c>
      <c r="M601" s="194">
        <v>0</v>
      </c>
      <c r="N601" s="194">
        <v>0</v>
      </c>
      <c r="O601" s="193">
        <f t="shared" si="131"/>
        <v>0</v>
      </c>
      <c r="P601" s="194">
        <v>0</v>
      </c>
      <c r="Q601" s="194">
        <v>0</v>
      </c>
      <c r="R601" s="194">
        <v>0</v>
      </c>
      <c r="S601" s="193">
        <f t="shared" si="132"/>
        <v>0</v>
      </c>
      <c r="T601" s="193">
        <f t="shared" si="133"/>
        <v>0</v>
      </c>
      <c r="U601" s="193">
        <f ca="1">OFFSET('Expenditure Study'!$B$7,'Operations Support'!$C601,'Operations Support'!$B601)*$G601</f>
        <v>0</v>
      </c>
      <c r="V601" s="199">
        <f ca="1">U601*'Expenditure Study'!$B$31</f>
        <v>0</v>
      </c>
      <c r="W601" s="199">
        <f ca="1">IF(A601=10298,1.51,1)*IF($B601&lt;3,$D601*'Expenditure Study'!$B$32*OFFSET('Expenditure Study'!$B$7,'Operations Support'!$C601,'Operations Support'!$B601),0)</f>
        <v>0</v>
      </c>
      <c r="X601" s="200">
        <f ca="1">W601*'Expenditure Study'!$B$31</f>
        <v>0</v>
      </c>
      <c r="Y601" s="199">
        <f ca="1">U601*'Expenditure Study'!$B$31</f>
        <v>0</v>
      </c>
      <c r="Z601" s="200">
        <f ca="1">W601*'Expenditure Study'!$B$31</f>
        <v>0</v>
      </c>
      <c r="AA601" s="195">
        <f t="shared" ca="1" si="134"/>
        <v>0</v>
      </c>
      <c r="AB601" s="195">
        <f t="shared" ca="1" si="135"/>
        <v>0</v>
      </c>
      <c r="AD601" s="196">
        <f>IFERROR($G601/SUMIF($A:$A,$A601,$G:$G)*SUMIF(Summary!$A$166:$A$242,$A601,Summary!$P$166:$P$242),0)</f>
        <v>0</v>
      </c>
      <c r="AE601" s="197">
        <f t="shared" ca="1" si="136"/>
        <v>0</v>
      </c>
      <c r="AF601" s="196">
        <f>IFERROR(G601/SUMIF(A:A,A601,G:G)*SUMIF(Summary!$A$166:$A$242,'Operations Support'!A601,Summary!$Q$166:$Q$242),0)</f>
        <v>0</v>
      </c>
      <c r="AG601" s="196">
        <f t="shared" ca="1" si="137"/>
        <v>0</v>
      </c>
      <c r="AI601" s="196">
        <f>IFERROR($G601/SUMIF($A:$A,$A601,$G:$G)*SUMIF(Summary!$A$247:$A$283,$A601,Summary!$P$247:$P$283),0)</f>
        <v>0</v>
      </c>
      <c r="AJ601" s="196">
        <f>IFERROR($G601/SUMIF($A:$A,$A601,$G:$G)*(SUMIF(Summary!$A$247:$A$283,$A601,Summary!$L$247:$L$283)+SUMIF(Summary!$A$297:$A$333,$A601,Summary!$L$297:$L$333))-AI601,0)</f>
        <v>0</v>
      </c>
      <c r="AK601" s="196">
        <f>IFERROR($G601/SUMIF($A:$A,$A601,$G:$G)*SUMIF(Summary!$A$247:$A$283,$A601,Summary!$Q$247:$Q$283),0)</f>
        <v>0</v>
      </c>
      <c r="AL601" s="196">
        <f>IFERROR($G601/SUMIF($A:$A,$A601,$G:$G)*(SUMIF(Summary!$A$247:$A$283,$A601,Summary!$L$247:$L$283)+SUMIF(Summary!$A$297:$A$333,$A601,Summary!$L$297:$L$333))-AK601,0)</f>
        <v>0</v>
      </c>
      <c r="AM601" s="198"/>
      <c r="AN601" s="196">
        <f t="shared" ca="1" si="138"/>
        <v>0</v>
      </c>
      <c r="AO601" s="196">
        <f t="shared" ca="1" si="139"/>
        <v>0</v>
      </c>
    </row>
    <row r="602" spans="1:41">
      <c r="A602" s="189">
        <v>3594</v>
      </c>
      <c r="B602" s="190">
        <v>4</v>
      </c>
      <c r="C602" s="191" t="s">
        <v>229</v>
      </c>
      <c r="D602" s="192">
        <f t="shared" si="126"/>
        <v>12</v>
      </c>
      <c r="E602" s="192">
        <f t="shared" si="127"/>
        <v>6</v>
      </c>
      <c r="F602" s="192">
        <f t="shared" si="128"/>
        <v>0</v>
      </c>
      <c r="G602" s="193">
        <f t="shared" si="129"/>
        <v>18</v>
      </c>
      <c r="H602" s="194">
        <v>12</v>
      </c>
      <c r="I602" s="194">
        <v>3</v>
      </c>
      <c r="J602" s="194">
        <v>0</v>
      </c>
      <c r="K602" s="193">
        <f t="shared" si="130"/>
        <v>15</v>
      </c>
      <c r="L602" s="194">
        <v>0</v>
      </c>
      <c r="M602" s="194">
        <v>0</v>
      </c>
      <c r="N602" s="194">
        <v>0</v>
      </c>
      <c r="O602" s="193">
        <f t="shared" si="131"/>
        <v>0</v>
      </c>
      <c r="P602" s="194">
        <v>0</v>
      </c>
      <c r="Q602" s="194">
        <v>3</v>
      </c>
      <c r="R602" s="194">
        <v>0</v>
      </c>
      <c r="S602" s="193">
        <f t="shared" si="132"/>
        <v>3</v>
      </c>
      <c r="T602" s="193">
        <f t="shared" si="133"/>
        <v>1</v>
      </c>
      <c r="U602" s="193">
        <f ca="1">OFFSET('Expenditure Study'!$B$7,'Operations Support'!$C602,'Operations Support'!$B602)*$G602</f>
        <v>476.64</v>
      </c>
      <c r="V602" s="199">
        <f ca="1">U602*'Expenditure Study'!$B$31</f>
        <v>28161.407296511999</v>
      </c>
      <c r="W602" s="199">
        <f ca="1">IF(A602=10298,1.51,1)*IF($B602&lt;3,$D602*'Expenditure Study'!$B$32*OFFSET('Expenditure Study'!$B$7,'Operations Support'!$C602,'Operations Support'!$B602),0)</f>
        <v>0</v>
      </c>
      <c r="X602" s="200">
        <f ca="1">W602*'Expenditure Study'!$B$31</f>
        <v>0</v>
      </c>
      <c r="Y602" s="199">
        <f ca="1">U602*'Expenditure Study'!$B$31</f>
        <v>28161.407296511999</v>
      </c>
      <c r="Z602" s="200">
        <f ca="1">W602*'Expenditure Study'!$B$31</f>
        <v>0</v>
      </c>
      <c r="AA602" s="195">
        <f t="shared" ca="1" si="134"/>
        <v>28161.407296511999</v>
      </c>
      <c r="AB602" s="195">
        <f t="shared" ca="1" si="135"/>
        <v>28161.407296511999</v>
      </c>
      <c r="AD602" s="196">
        <f>IFERROR($G602/SUMIF($A:$A,$A602,$G:$G)*SUMIF(Summary!$A$166:$A$242,$A602,Summary!$P$166:$P$242),0)</f>
        <v>891.47627282209885</v>
      </c>
      <c r="AE602" s="197">
        <f t="shared" ca="1" si="136"/>
        <v>27269.9310236899</v>
      </c>
      <c r="AF602" s="196">
        <f>IFERROR(G602/SUMIF(A:A,A602,G:G)*SUMIF(Summary!$A$166:$A$242,'Operations Support'!A602,Summary!$Q$166:$Q$242),0)</f>
        <v>897.00499548548248</v>
      </c>
      <c r="AG602" s="196">
        <f t="shared" ca="1" si="137"/>
        <v>27264.402301026515</v>
      </c>
      <c r="AI602" s="196">
        <f>IFERROR($G602/SUMIF($A:$A,$A602,$G:$G)*SUMIF(Summary!$A$247:$A$283,$A602,Summary!$P$247:$P$283),0)</f>
        <v>162.58302562034413</v>
      </c>
      <c r="AJ602" s="196">
        <f>IFERROR($G602/SUMIF($A:$A,$A602,$G:$G)*(SUMIF(Summary!$A$247:$A$283,$A602,Summary!$L$247:$L$283)+SUMIF(Summary!$A$297:$A$333,$A602,Summary!$L$297:$L$333))-AI602,0)</f>
        <v>236.91489953007527</v>
      </c>
      <c r="AK602" s="196">
        <f>IFERROR($G602/SUMIF($A:$A,$A602,$G:$G)*SUMIF(Summary!$A$247:$A$283,$A602,Summary!$Q$247:$Q$283),0)</f>
        <v>163.59132666640915</v>
      </c>
      <c r="AL602" s="196">
        <f>IFERROR($G602/SUMIF($A:$A,$A602,$G:$G)*(SUMIF(Summary!$A$247:$A$283,$A602,Summary!$L$247:$L$283)+SUMIF(Summary!$A$297:$A$333,$A602,Summary!$L$297:$L$333))-AK602,0)</f>
        <v>235.90659848401026</v>
      </c>
      <c r="AM602" s="198"/>
      <c r="AN602" s="196">
        <f t="shared" ca="1" si="138"/>
        <v>27506.845923219975</v>
      </c>
      <c r="AO602" s="196">
        <f t="shared" ca="1" si="139"/>
        <v>27500.308899510524</v>
      </c>
    </row>
    <row r="603" spans="1:41" s="201" customFormat="1">
      <c r="A603" s="189">
        <v>3594</v>
      </c>
      <c r="B603" s="190">
        <v>4</v>
      </c>
      <c r="C603" s="191" t="s">
        <v>230</v>
      </c>
      <c r="D603" s="192">
        <f t="shared" si="126"/>
        <v>0</v>
      </c>
      <c r="E603" s="192">
        <f t="shared" si="127"/>
        <v>0</v>
      </c>
      <c r="F603" s="192">
        <f t="shared" si="128"/>
        <v>0</v>
      </c>
      <c r="G603" s="193">
        <f t="shared" si="129"/>
        <v>0</v>
      </c>
      <c r="H603" s="194">
        <v>0</v>
      </c>
      <c r="I603" s="194">
        <v>0</v>
      </c>
      <c r="J603" s="194">
        <v>0</v>
      </c>
      <c r="K603" s="193">
        <f t="shared" si="130"/>
        <v>0</v>
      </c>
      <c r="L603" s="194">
        <v>0</v>
      </c>
      <c r="M603" s="194">
        <v>0</v>
      </c>
      <c r="N603" s="194">
        <v>0</v>
      </c>
      <c r="O603" s="193">
        <f t="shared" si="131"/>
        <v>0</v>
      </c>
      <c r="P603" s="194">
        <v>0</v>
      </c>
      <c r="Q603" s="194">
        <v>0</v>
      </c>
      <c r="R603" s="194">
        <v>0</v>
      </c>
      <c r="S603" s="193">
        <f t="shared" si="132"/>
        <v>0</v>
      </c>
      <c r="T603" s="193">
        <f t="shared" si="133"/>
        <v>0</v>
      </c>
      <c r="U603" s="193">
        <f ca="1">OFFSET('Expenditure Study'!$B$7,'Operations Support'!$C603,'Operations Support'!$B603)*$G603</f>
        <v>0</v>
      </c>
      <c r="V603" s="199">
        <f ca="1">U603*'Expenditure Study'!$B$31</f>
        <v>0</v>
      </c>
      <c r="W603" s="199">
        <f ca="1">IF(A603=10298,1.51,1)*IF($B603&lt;3,$D603*'Expenditure Study'!$B$32*OFFSET('Expenditure Study'!$B$7,'Operations Support'!$C603,'Operations Support'!$B603),0)</f>
        <v>0</v>
      </c>
      <c r="X603" s="200">
        <f ca="1">W603*'Expenditure Study'!$B$31</f>
        <v>0</v>
      </c>
      <c r="Y603" s="199">
        <f ca="1">U603*'Expenditure Study'!$B$31</f>
        <v>0</v>
      </c>
      <c r="Z603" s="200">
        <f ca="1">W603*'Expenditure Study'!$B$31</f>
        <v>0</v>
      </c>
      <c r="AA603" s="195">
        <f t="shared" ca="1" si="134"/>
        <v>0</v>
      </c>
      <c r="AB603" s="195">
        <f t="shared" ca="1" si="135"/>
        <v>0</v>
      </c>
      <c r="AD603" s="196">
        <f>IFERROR($G603/SUMIF($A:$A,$A603,$G:$G)*SUMIF(Summary!$A$166:$A$242,$A603,Summary!$P$166:$P$242),0)</f>
        <v>0</v>
      </c>
      <c r="AE603" s="197">
        <f t="shared" ca="1" si="136"/>
        <v>0</v>
      </c>
      <c r="AF603" s="196">
        <f>IFERROR(G603/SUMIF(A:A,A603,G:G)*SUMIF(Summary!$A$166:$A$242,'Operations Support'!A603,Summary!$Q$166:$Q$242),0)</f>
        <v>0</v>
      </c>
      <c r="AG603" s="196">
        <f t="shared" ca="1" si="137"/>
        <v>0</v>
      </c>
      <c r="AH603" s="180"/>
      <c r="AI603" s="196">
        <f>IFERROR($G603/SUMIF($A:$A,$A603,$G:$G)*SUMIF(Summary!$A$247:$A$283,$A603,Summary!$P$247:$P$283),0)</f>
        <v>0</v>
      </c>
      <c r="AJ603" s="196">
        <f>IFERROR($G603/SUMIF($A:$A,$A603,$G:$G)*(SUMIF(Summary!$A$247:$A$283,$A603,Summary!$L$247:$L$283)+SUMIF(Summary!$A$297:$A$333,$A603,Summary!$L$297:$L$333))-AI603,0)</f>
        <v>0</v>
      </c>
      <c r="AK603" s="196">
        <f>IFERROR($G603/SUMIF($A:$A,$A603,$G:$G)*SUMIF(Summary!$A$247:$A$283,$A603,Summary!$Q$247:$Q$283),0)</f>
        <v>0</v>
      </c>
      <c r="AL603" s="196">
        <f>IFERROR($G603/SUMIF($A:$A,$A603,$G:$G)*(SUMIF(Summary!$A$247:$A$283,$A603,Summary!$L$247:$L$283)+SUMIF(Summary!$A$297:$A$333,$A603,Summary!$L$297:$L$333))-AK603,0)</f>
        <v>0</v>
      </c>
      <c r="AM603" s="198"/>
      <c r="AN603" s="196">
        <f t="shared" ca="1" si="138"/>
        <v>0</v>
      </c>
      <c r="AO603" s="196">
        <f t="shared" ca="1" si="139"/>
        <v>0</v>
      </c>
    </row>
    <row r="604" spans="1:41">
      <c r="A604" s="189">
        <v>3594</v>
      </c>
      <c r="B604" s="190">
        <v>4</v>
      </c>
      <c r="C604" s="191" t="s">
        <v>231</v>
      </c>
      <c r="D604" s="192">
        <f t="shared" si="126"/>
        <v>0</v>
      </c>
      <c r="E604" s="192">
        <f t="shared" si="127"/>
        <v>0</v>
      </c>
      <c r="F604" s="192">
        <f t="shared" si="128"/>
        <v>0</v>
      </c>
      <c r="G604" s="193">
        <f t="shared" si="129"/>
        <v>0</v>
      </c>
      <c r="H604" s="194">
        <v>0</v>
      </c>
      <c r="I604" s="194">
        <v>0</v>
      </c>
      <c r="J604" s="194">
        <v>0</v>
      </c>
      <c r="K604" s="193">
        <f t="shared" si="130"/>
        <v>0</v>
      </c>
      <c r="L604" s="194">
        <v>0</v>
      </c>
      <c r="M604" s="194">
        <v>0</v>
      </c>
      <c r="N604" s="194">
        <v>0</v>
      </c>
      <c r="O604" s="193">
        <f t="shared" si="131"/>
        <v>0</v>
      </c>
      <c r="P604" s="194">
        <v>0</v>
      </c>
      <c r="Q604" s="194">
        <v>0</v>
      </c>
      <c r="R604" s="194">
        <v>0</v>
      </c>
      <c r="S604" s="193">
        <f t="shared" si="132"/>
        <v>0</v>
      </c>
      <c r="T604" s="193">
        <f t="shared" si="133"/>
        <v>0</v>
      </c>
      <c r="U604" s="193">
        <f ca="1">OFFSET('Expenditure Study'!$B$7,'Operations Support'!$C604,'Operations Support'!$B604)*$G604</f>
        <v>0</v>
      </c>
      <c r="V604" s="199">
        <f ca="1">U604*'Expenditure Study'!$B$31</f>
        <v>0</v>
      </c>
      <c r="W604" s="199">
        <f ca="1">IF(A604=10298,1.51,1)*IF($B604&lt;3,$D604*'Expenditure Study'!$B$32*OFFSET('Expenditure Study'!$B$7,'Operations Support'!$C604,'Operations Support'!$B604),0)</f>
        <v>0</v>
      </c>
      <c r="X604" s="200">
        <f ca="1">W604*'Expenditure Study'!$B$31</f>
        <v>0</v>
      </c>
      <c r="Y604" s="199">
        <f ca="1">U604*'Expenditure Study'!$B$31</f>
        <v>0</v>
      </c>
      <c r="Z604" s="200">
        <f ca="1">W604*'Expenditure Study'!$B$31</f>
        <v>0</v>
      </c>
      <c r="AA604" s="195">
        <f t="shared" ca="1" si="134"/>
        <v>0</v>
      </c>
      <c r="AB604" s="195">
        <f t="shared" ca="1" si="135"/>
        <v>0</v>
      </c>
      <c r="AD604" s="196">
        <f>IFERROR($G604/SUMIF($A:$A,$A604,$G:$G)*SUMIF(Summary!$A$166:$A$242,$A604,Summary!$P$166:$P$242),0)</f>
        <v>0</v>
      </c>
      <c r="AE604" s="197">
        <f t="shared" ca="1" si="136"/>
        <v>0</v>
      </c>
      <c r="AF604" s="196">
        <f>IFERROR(G604/SUMIF(A:A,A604,G:G)*SUMIF(Summary!$A$166:$A$242,'Operations Support'!A604,Summary!$Q$166:$Q$242),0)</f>
        <v>0</v>
      </c>
      <c r="AG604" s="196">
        <f t="shared" ca="1" si="137"/>
        <v>0</v>
      </c>
      <c r="AI604" s="196">
        <f>IFERROR($G604/SUMIF($A:$A,$A604,$G:$G)*SUMIF(Summary!$A$247:$A$283,$A604,Summary!$P$247:$P$283),0)</f>
        <v>0</v>
      </c>
      <c r="AJ604" s="196">
        <f>IFERROR($G604/SUMIF($A:$A,$A604,$G:$G)*(SUMIF(Summary!$A$247:$A$283,$A604,Summary!$L$247:$L$283)+SUMIF(Summary!$A$297:$A$333,$A604,Summary!$L$297:$L$333))-AI604,0)</f>
        <v>0</v>
      </c>
      <c r="AK604" s="196">
        <f>IFERROR($G604/SUMIF($A:$A,$A604,$G:$G)*SUMIF(Summary!$A$247:$A$283,$A604,Summary!$Q$247:$Q$283),0)</f>
        <v>0</v>
      </c>
      <c r="AL604" s="196">
        <f>IFERROR($G604/SUMIF($A:$A,$A604,$G:$G)*(SUMIF(Summary!$A$247:$A$283,$A604,Summary!$L$247:$L$283)+SUMIF(Summary!$A$297:$A$333,$A604,Summary!$L$297:$L$333))-AK604,0)</f>
        <v>0</v>
      </c>
      <c r="AM604" s="198"/>
      <c r="AN604" s="196">
        <f t="shared" ca="1" si="138"/>
        <v>0</v>
      </c>
      <c r="AO604" s="196">
        <f t="shared" ca="1" si="139"/>
        <v>0</v>
      </c>
    </row>
    <row r="605" spans="1:41">
      <c r="A605" s="189">
        <v>3594</v>
      </c>
      <c r="B605" s="190">
        <v>4</v>
      </c>
      <c r="C605" s="191" t="s">
        <v>232</v>
      </c>
      <c r="D605" s="192">
        <f t="shared" si="126"/>
        <v>0</v>
      </c>
      <c r="E605" s="192">
        <f t="shared" si="127"/>
        <v>0</v>
      </c>
      <c r="F605" s="192">
        <f t="shared" si="128"/>
        <v>0</v>
      </c>
      <c r="G605" s="193">
        <f t="shared" si="129"/>
        <v>0</v>
      </c>
      <c r="H605" s="194">
        <v>0</v>
      </c>
      <c r="I605" s="194">
        <v>0</v>
      </c>
      <c r="J605" s="194">
        <v>0</v>
      </c>
      <c r="K605" s="193">
        <f t="shared" si="130"/>
        <v>0</v>
      </c>
      <c r="L605" s="194">
        <v>0</v>
      </c>
      <c r="M605" s="194">
        <v>0</v>
      </c>
      <c r="N605" s="194">
        <v>0</v>
      </c>
      <c r="O605" s="193">
        <f t="shared" si="131"/>
        <v>0</v>
      </c>
      <c r="P605" s="194">
        <v>0</v>
      </c>
      <c r="Q605" s="194">
        <v>0</v>
      </c>
      <c r="R605" s="194">
        <v>0</v>
      </c>
      <c r="S605" s="193">
        <f t="shared" si="132"/>
        <v>0</v>
      </c>
      <c r="T605" s="193">
        <f t="shared" si="133"/>
        <v>0</v>
      </c>
      <c r="U605" s="193">
        <f ca="1">OFFSET('Expenditure Study'!$B$7,'Operations Support'!$C605,'Operations Support'!$B605)*$G605</f>
        <v>0</v>
      </c>
      <c r="V605" s="199">
        <f ca="1">U605*'Expenditure Study'!$B$31</f>
        <v>0</v>
      </c>
      <c r="W605" s="199">
        <f ca="1">IF(A605=10298,1.51,1)*IF($B605&lt;3,$D605*'Expenditure Study'!$B$32*OFFSET('Expenditure Study'!$B$7,'Operations Support'!$C605,'Operations Support'!$B605),0)</f>
        <v>0</v>
      </c>
      <c r="X605" s="200">
        <f ca="1">W605*'Expenditure Study'!$B$31</f>
        <v>0</v>
      </c>
      <c r="Y605" s="199">
        <f ca="1">U605*'Expenditure Study'!$B$31</f>
        <v>0</v>
      </c>
      <c r="Z605" s="200">
        <f ca="1">W605*'Expenditure Study'!$B$31</f>
        <v>0</v>
      </c>
      <c r="AA605" s="195">
        <f t="shared" ca="1" si="134"/>
        <v>0</v>
      </c>
      <c r="AB605" s="195">
        <f t="shared" ca="1" si="135"/>
        <v>0</v>
      </c>
      <c r="AD605" s="196">
        <f>IFERROR($G605/SUMIF($A:$A,$A605,$G:$G)*SUMIF(Summary!$A$166:$A$242,$A605,Summary!$P$166:$P$242),0)</f>
        <v>0</v>
      </c>
      <c r="AE605" s="197">
        <f t="shared" ca="1" si="136"/>
        <v>0</v>
      </c>
      <c r="AF605" s="196">
        <f>IFERROR(G605/SUMIF(A:A,A605,G:G)*SUMIF(Summary!$A$166:$A$242,'Operations Support'!A605,Summary!$Q$166:$Q$242),0)</f>
        <v>0</v>
      </c>
      <c r="AG605" s="196">
        <f t="shared" ca="1" si="137"/>
        <v>0</v>
      </c>
      <c r="AI605" s="196">
        <f>IFERROR($G605/SUMIF($A:$A,$A605,$G:$G)*SUMIF(Summary!$A$247:$A$283,$A605,Summary!$P$247:$P$283),0)</f>
        <v>0</v>
      </c>
      <c r="AJ605" s="196">
        <f>IFERROR($G605/SUMIF($A:$A,$A605,$G:$G)*(SUMIF(Summary!$A$247:$A$283,$A605,Summary!$L$247:$L$283)+SUMIF(Summary!$A$297:$A$333,$A605,Summary!$L$297:$L$333))-AI605,0)</f>
        <v>0</v>
      </c>
      <c r="AK605" s="196">
        <f>IFERROR($G605/SUMIF($A:$A,$A605,$G:$G)*SUMIF(Summary!$A$247:$A$283,$A605,Summary!$Q$247:$Q$283),0)</f>
        <v>0</v>
      </c>
      <c r="AL605" s="196">
        <f>IFERROR($G605/SUMIF($A:$A,$A605,$G:$G)*(SUMIF(Summary!$A$247:$A$283,$A605,Summary!$L$247:$L$283)+SUMIF(Summary!$A$297:$A$333,$A605,Summary!$L$297:$L$333))-AK605,0)</f>
        <v>0</v>
      </c>
      <c r="AM605" s="198"/>
      <c r="AN605" s="196">
        <f t="shared" ca="1" si="138"/>
        <v>0</v>
      </c>
      <c r="AO605" s="196">
        <f t="shared" ca="1" si="139"/>
        <v>0</v>
      </c>
    </row>
    <row r="606" spans="1:41">
      <c r="A606" s="189">
        <v>3594</v>
      </c>
      <c r="B606" s="190">
        <v>4</v>
      </c>
      <c r="C606" s="191" t="s">
        <v>233</v>
      </c>
      <c r="D606" s="192">
        <f t="shared" si="126"/>
        <v>24</v>
      </c>
      <c r="E606" s="192">
        <f t="shared" si="127"/>
        <v>0</v>
      </c>
      <c r="F606" s="192">
        <f t="shared" si="128"/>
        <v>0</v>
      </c>
      <c r="G606" s="193">
        <f t="shared" si="129"/>
        <v>24</v>
      </c>
      <c r="H606" s="194">
        <v>18</v>
      </c>
      <c r="I606" s="194">
        <v>0</v>
      </c>
      <c r="J606" s="194">
        <v>0</v>
      </c>
      <c r="K606" s="193">
        <f t="shared" si="130"/>
        <v>18</v>
      </c>
      <c r="L606" s="194">
        <v>6</v>
      </c>
      <c r="M606" s="194">
        <v>0</v>
      </c>
      <c r="N606" s="194">
        <v>0</v>
      </c>
      <c r="O606" s="193">
        <f t="shared" si="131"/>
        <v>6</v>
      </c>
      <c r="P606" s="194">
        <v>0</v>
      </c>
      <c r="Q606" s="194">
        <v>0</v>
      </c>
      <c r="R606" s="194">
        <v>0</v>
      </c>
      <c r="S606" s="193">
        <f t="shared" si="132"/>
        <v>0</v>
      </c>
      <c r="T606" s="193">
        <f t="shared" si="133"/>
        <v>1.3333333333333333</v>
      </c>
      <c r="U606" s="193">
        <f ca="1">OFFSET('Expenditure Study'!$B$7,'Operations Support'!$C606,'Operations Support'!$B606)*$G606</f>
        <v>220.79999999999998</v>
      </c>
      <c r="V606" s="199">
        <f ca="1">U606*'Expenditure Study'!$B$31</f>
        <v>13045.566320639999</v>
      </c>
      <c r="W606" s="199">
        <f ca="1">IF(A606=10298,1.51,1)*IF($B606&lt;3,$D606*'Expenditure Study'!$B$32*OFFSET('Expenditure Study'!$B$7,'Operations Support'!$C606,'Operations Support'!$B606),0)</f>
        <v>0</v>
      </c>
      <c r="X606" s="200">
        <f ca="1">W606*'Expenditure Study'!$B$31</f>
        <v>0</v>
      </c>
      <c r="Y606" s="199">
        <f ca="1">U606*'Expenditure Study'!$B$31</f>
        <v>13045.566320639999</v>
      </c>
      <c r="Z606" s="200">
        <f ca="1">W606*'Expenditure Study'!$B$31</f>
        <v>0</v>
      </c>
      <c r="AA606" s="195">
        <f t="shared" ca="1" si="134"/>
        <v>13045.566320639999</v>
      </c>
      <c r="AB606" s="195">
        <f t="shared" ca="1" si="135"/>
        <v>13045.566320639999</v>
      </c>
      <c r="AD606" s="196">
        <f>IFERROR($G606/SUMIF($A:$A,$A606,$G:$G)*SUMIF(Summary!$A$166:$A$242,$A606,Summary!$P$166:$P$242),0)</f>
        <v>1188.6350304294651</v>
      </c>
      <c r="AE606" s="197">
        <f t="shared" ca="1" si="136"/>
        <v>11856.931290210534</v>
      </c>
      <c r="AF606" s="196">
        <f>IFERROR(G606/SUMIF(A:A,A606,G:G)*SUMIF(Summary!$A$166:$A$242,'Operations Support'!A606,Summary!$Q$166:$Q$242),0)</f>
        <v>1196.0066606473099</v>
      </c>
      <c r="AG606" s="196">
        <f t="shared" ca="1" si="137"/>
        <v>11849.559659992688</v>
      </c>
      <c r="AI606" s="196">
        <f>IFERROR($G606/SUMIF($A:$A,$A606,$G:$G)*SUMIF(Summary!$A$247:$A$283,$A606,Summary!$P$247:$P$283),0)</f>
        <v>216.77736749379218</v>
      </c>
      <c r="AJ606" s="196">
        <f>IFERROR($G606/SUMIF($A:$A,$A606,$G:$G)*(SUMIF(Summary!$A$247:$A$283,$A606,Summary!$L$247:$L$283)+SUMIF(Summary!$A$297:$A$333,$A606,Summary!$L$297:$L$333))-AI606,0)</f>
        <v>315.88653270676696</v>
      </c>
      <c r="AK606" s="196">
        <f>IFERROR($G606/SUMIF($A:$A,$A606,$G:$G)*SUMIF(Summary!$A$247:$A$283,$A606,Summary!$Q$247:$Q$283),0)</f>
        <v>218.12176888854555</v>
      </c>
      <c r="AL606" s="196">
        <f>IFERROR($G606/SUMIF($A:$A,$A606,$G:$G)*(SUMIF(Summary!$A$247:$A$283,$A606,Summary!$L$247:$L$283)+SUMIF(Summary!$A$297:$A$333,$A606,Summary!$L$297:$L$333))-AK606,0)</f>
        <v>314.54213131201362</v>
      </c>
      <c r="AM606" s="198"/>
      <c r="AN606" s="196">
        <f t="shared" ca="1" si="138"/>
        <v>12172.817822917301</v>
      </c>
      <c r="AO606" s="196">
        <f t="shared" ca="1" si="139"/>
        <v>12164.101791304702</v>
      </c>
    </row>
    <row r="607" spans="1:41">
      <c r="A607" s="189">
        <v>3594</v>
      </c>
      <c r="B607" s="190">
        <v>4</v>
      </c>
      <c r="C607" s="191" t="s">
        <v>234</v>
      </c>
      <c r="D607" s="192">
        <f t="shared" si="126"/>
        <v>0</v>
      </c>
      <c r="E607" s="192">
        <f t="shared" si="127"/>
        <v>0</v>
      </c>
      <c r="F607" s="192">
        <f t="shared" si="128"/>
        <v>0</v>
      </c>
      <c r="G607" s="193">
        <f t="shared" si="129"/>
        <v>0</v>
      </c>
      <c r="H607" s="194">
        <v>0</v>
      </c>
      <c r="I607" s="194">
        <v>0</v>
      </c>
      <c r="J607" s="194">
        <v>0</v>
      </c>
      <c r="K607" s="193">
        <f t="shared" si="130"/>
        <v>0</v>
      </c>
      <c r="L607" s="194">
        <v>0</v>
      </c>
      <c r="M607" s="194">
        <v>0</v>
      </c>
      <c r="N607" s="194">
        <v>0</v>
      </c>
      <c r="O607" s="193">
        <f t="shared" si="131"/>
        <v>0</v>
      </c>
      <c r="P607" s="194">
        <v>0</v>
      </c>
      <c r="Q607" s="194">
        <v>0</v>
      </c>
      <c r="R607" s="194">
        <v>0</v>
      </c>
      <c r="S607" s="193">
        <f t="shared" si="132"/>
        <v>0</v>
      </c>
      <c r="T607" s="193">
        <f t="shared" si="133"/>
        <v>0</v>
      </c>
      <c r="U607" s="193">
        <f ca="1">OFFSET('Expenditure Study'!$B$7,'Operations Support'!$C607,'Operations Support'!$B607)*$G607</f>
        <v>0</v>
      </c>
      <c r="V607" s="199">
        <f ca="1">U607*'Expenditure Study'!$B$31</f>
        <v>0</v>
      </c>
      <c r="W607" s="199">
        <f ca="1">IF(A607=10298,1.51,1)*IF($B607&lt;3,$D607*'Expenditure Study'!$B$32*OFFSET('Expenditure Study'!$B$7,'Operations Support'!$C607,'Operations Support'!$B607),0)</f>
        <v>0</v>
      </c>
      <c r="X607" s="200">
        <f ca="1">W607*'Expenditure Study'!$B$31</f>
        <v>0</v>
      </c>
      <c r="Y607" s="199">
        <f ca="1">U607*'Expenditure Study'!$B$31</f>
        <v>0</v>
      </c>
      <c r="Z607" s="200">
        <f ca="1">W607*'Expenditure Study'!$B$31</f>
        <v>0</v>
      </c>
      <c r="AA607" s="195">
        <f t="shared" ca="1" si="134"/>
        <v>0</v>
      </c>
      <c r="AB607" s="195">
        <f t="shared" ca="1" si="135"/>
        <v>0</v>
      </c>
      <c r="AD607" s="196">
        <f>IFERROR($G607/SUMIF($A:$A,$A607,$G:$G)*SUMIF(Summary!$A$166:$A$242,$A607,Summary!$P$166:$P$242),0)</f>
        <v>0</v>
      </c>
      <c r="AE607" s="197">
        <f t="shared" ca="1" si="136"/>
        <v>0</v>
      </c>
      <c r="AF607" s="196">
        <f>IFERROR(G607/SUMIF(A:A,A607,G:G)*SUMIF(Summary!$A$166:$A$242,'Operations Support'!A607,Summary!$Q$166:$Q$242),0)</f>
        <v>0</v>
      </c>
      <c r="AG607" s="196">
        <f t="shared" ca="1" si="137"/>
        <v>0</v>
      </c>
      <c r="AI607" s="196">
        <f>IFERROR($G607/SUMIF($A:$A,$A607,$G:$G)*SUMIF(Summary!$A$247:$A$283,$A607,Summary!$P$247:$P$283),0)</f>
        <v>0</v>
      </c>
      <c r="AJ607" s="196">
        <f>IFERROR($G607/SUMIF($A:$A,$A607,$G:$G)*(SUMIF(Summary!$A$247:$A$283,$A607,Summary!$L$247:$L$283)+SUMIF(Summary!$A$297:$A$333,$A607,Summary!$L$297:$L$333))-AI607,0)</f>
        <v>0</v>
      </c>
      <c r="AK607" s="196">
        <f>IFERROR($G607/SUMIF($A:$A,$A607,$G:$G)*SUMIF(Summary!$A$247:$A$283,$A607,Summary!$Q$247:$Q$283),0)</f>
        <v>0</v>
      </c>
      <c r="AL607" s="196">
        <f>IFERROR($G607/SUMIF($A:$A,$A607,$G:$G)*(SUMIF(Summary!$A$247:$A$283,$A607,Summary!$L$247:$L$283)+SUMIF(Summary!$A$297:$A$333,$A607,Summary!$L$297:$L$333))-AK607,0)</f>
        <v>0</v>
      </c>
      <c r="AM607" s="198"/>
      <c r="AN607" s="196">
        <f t="shared" ca="1" si="138"/>
        <v>0</v>
      </c>
      <c r="AO607" s="196">
        <f t="shared" ca="1" si="139"/>
        <v>0</v>
      </c>
    </row>
    <row r="608" spans="1:41">
      <c r="A608" s="189">
        <v>3594</v>
      </c>
      <c r="B608" s="190">
        <v>4</v>
      </c>
      <c r="C608" s="191" t="s">
        <v>235</v>
      </c>
      <c r="D608" s="192">
        <f t="shared" si="126"/>
        <v>1146</v>
      </c>
      <c r="E608" s="192">
        <f t="shared" si="127"/>
        <v>39</v>
      </c>
      <c r="F608" s="192">
        <f t="shared" si="128"/>
        <v>3</v>
      </c>
      <c r="G608" s="193">
        <f t="shared" si="129"/>
        <v>1182</v>
      </c>
      <c r="H608" s="194">
        <v>498</v>
      </c>
      <c r="I608" s="194">
        <v>15</v>
      </c>
      <c r="J608" s="194">
        <v>0</v>
      </c>
      <c r="K608" s="193">
        <f t="shared" si="130"/>
        <v>513</v>
      </c>
      <c r="L608" s="194">
        <v>459</v>
      </c>
      <c r="M608" s="194">
        <v>18</v>
      </c>
      <c r="N608" s="194">
        <v>0</v>
      </c>
      <c r="O608" s="193">
        <f t="shared" si="131"/>
        <v>477</v>
      </c>
      <c r="P608" s="194">
        <v>189</v>
      </c>
      <c r="Q608" s="194">
        <v>6</v>
      </c>
      <c r="R608" s="194">
        <v>3</v>
      </c>
      <c r="S608" s="193">
        <f t="shared" si="132"/>
        <v>192</v>
      </c>
      <c r="T608" s="193">
        <f t="shared" si="133"/>
        <v>65.666666666666671</v>
      </c>
      <c r="U608" s="193">
        <f ca="1">OFFSET('Expenditure Study'!$B$7,'Operations Support'!$C608,'Operations Support'!$B608)*$G608</f>
        <v>44986.920000000006</v>
      </c>
      <c r="V608" s="199">
        <f ca="1">U608*'Expenditure Study'!$B$31</f>
        <v>2657970.3279951364</v>
      </c>
      <c r="W608" s="199">
        <f ca="1">IF(A608=10298,1.51,1)*IF($B608&lt;3,$D608*'Expenditure Study'!$B$32*OFFSET('Expenditure Study'!$B$7,'Operations Support'!$C608,'Operations Support'!$B608),0)</f>
        <v>0</v>
      </c>
      <c r="X608" s="200">
        <f ca="1">W608*'Expenditure Study'!$B$31</f>
        <v>0</v>
      </c>
      <c r="Y608" s="199">
        <f ca="1">U608*'Expenditure Study'!$B$31</f>
        <v>2657970.3279951364</v>
      </c>
      <c r="Z608" s="200">
        <f ca="1">W608*'Expenditure Study'!$B$31</f>
        <v>0</v>
      </c>
      <c r="AA608" s="195">
        <f t="shared" ca="1" si="134"/>
        <v>2657970.3279951364</v>
      </c>
      <c r="AB608" s="195">
        <f t="shared" ca="1" si="135"/>
        <v>2657970.3279951364</v>
      </c>
      <c r="AD608" s="196">
        <f>IFERROR($G608/SUMIF($A:$A,$A608,$G:$G)*SUMIF(Summary!$A$166:$A$242,$A608,Summary!$P$166:$P$242),0)</f>
        <v>58540.27524865116</v>
      </c>
      <c r="AE608" s="197">
        <f t="shared" ca="1" si="136"/>
        <v>2599430.052746485</v>
      </c>
      <c r="AF608" s="196">
        <f>IFERROR(G608/SUMIF(A:A,A608,G:G)*SUMIF(Summary!$A$166:$A$242,'Operations Support'!A608,Summary!$Q$166:$Q$242),0)</f>
        <v>58903.328036880019</v>
      </c>
      <c r="AG608" s="196">
        <f t="shared" ca="1" si="137"/>
        <v>2599066.9999582563</v>
      </c>
      <c r="AI608" s="196">
        <f>IFERROR($G608/SUMIF($A:$A,$A608,$G:$G)*SUMIF(Summary!$A$247:$A$283,$A608,Summary!$P$247:$P$283),0)</f>
        <v>10676.285349069265</v>
      </c>
      <c r="AJ608" s="196">
        <f>IFERROR($G608/SUMIF($A:$A,$A608,$G:$G)*(SUMIF(Summary!$A$247:$A$283,$A608,Summary!$L$247:$L$283)+SUMIF(Summary!$A$297:$A$333,$A608,Summary!$L$297:$L$333))-AI608,0)</f>
        <v>15557.411735808277</v>
      </c>
      <c r="AK608" s="196">
        <f>IFERROR($G608/SUMIF($A:$A,$A608,$G:$G)*SUMIF(Summary!$A$247:$A$283,$A608,Summary!$Q$247:$Q$283),0)</f>
        <v>10742.497117760868</v>
      </c>
      <c r="AL608" s="196">
        <f>IFERROR($G608/SUMIF($A:$A,$A608,$G:$G)*(SUMIF(Summary!$A$247:$A$283,$A608,Summary!$L$247:$L$283)+SUMIF(Summary!$A$297:$A$333,$A608,Summary!$L$297:$L$333))-AK608,0)</f>
        <v>15491.199967116674</v>
      </c>
      <c r="AM608" s="198"/>
      <c r="AN608" s="196">
        <f t="shared" ca="1" si="138"/>
        <v>2614987.4644822935</v>
      </c>
      <c r="AO608" s="196">
        <f t="shared" ca="1" si="139"/>
        <v>2614558.1999253728</v>
      </c>
    </row>
    <row r="609" spans="1:41">
      <c r="A609" s="189">
        <v>3594</v>
      </c>
      <c r="B609" s="190">
        <v>4</v>
      </c>
      <c r="C609" s="191" t="s">
        <v>236</v>
      </c>
      <c r="D609" s="192">
        <f t="shared" si="126"/>
        <v>0</v>
      </c>
      <c r="E609" s="192">
        <f t="shared" si="127"/>
        <v>0</v>
      </c>
      <c r="F609" s="192">
        <f t="shared" si="128"/>
        <v>0</v>
      </c>
      <c r="G609" s="193">
        <f t="shared" si="129"/>
        <v>0</v>
      </c>
      <c r="H609" s="194">
        <v>0</v>
      </c>
      <c r="I609" s="194">
        <v>0</v>
      </c>
      <c r="J609" s="194">
        <v>0</v>
      </c>
      <c r="K609" s="193">
        <f t="shared" si="130"/>
        <v>0</v>
      </c>
      <c r="L609" s="194">
        <v>0</v>
      </c>
      <c r="M609" s="194">
        <v>0</v>
      </c>
      <c r="N609" s="194">
        <v>0</v>
      </c>
      <c r="O609" s="193">
        <f t="shared" si="131"/>
        <v>0</v>
      </c>
      <c r="P609" s="194">
        <v>0</v>
      </c>
      <c r="Q609" s="194">
        <v>0</v>
      </c>
      <c r="R609" s="194">
        <v>0</v>
      </c>
      <c r="S609" s="193">
        <f t="shared" si="132"/>
        <v>0</v>
      </c>
      <c r="T609" s="193">
        <f t="shared" si="133"/>
        <v>0</v>
      </c>
      <c r="U609" s="193">
        <f ca="1">OFFSET('Expenditure Study'!$B$7,'Operations Support'!$C609,'Operations Support'!$B609)*$G609</f>
        <v>0</v>
      </c>
      <c r="V609" s="199">
        <f ca="1">U609*'Expenditure Study'!$B$31</f>
        <v>0</v>
      </c>
      <c r="W609" s="199">
        <f ca="1">IF(A609=10298,1.51,1)*IF($B609&lt;3,$D609*'Expenditure Study'!$B$32*OFFSET('Expenditure Study'!$B$7,'Operations Support'!$C609,'Operations Support'!$B609),0)</f>
        <v>0</v>
      </c>
      <c r="X609" s="200">
        <f ca="1">W609*'Expenditure Study'!$B$31</f>
        <v>0</v>
      </c>
      <c r="Y609" s="199">
        <f ca="1">U609*'Expenditure Study'!$B$31</f>
        <v>0</v>
      </c>
      <c r="Z609" s="200">
        <f ca="1">W609*'Expenditure Study'!$B$31</f>
        <v>0</v>
      </c>
      <c r="AA609" s="195">
        <f t="shared" ca="1" si="134"/>
        <v>0</v>
      </c>
      <c r="AB609" s="195">
        <f t="shared" ca="1" si="135"/>
        <v>0</v>
      </c>
      <c r="AD609" s="196">
        <f>IFERROR($G609/SUMIF($A:$A,$A609,$G:$G)*SUMIF(Summary!$A$166:$A$242,$A609,Summary!$P$166:$P$242),0)</f>
        <v>0</v>
      </c>
      <c r="AE609" s="197">
        <f t="shared" ca="1" si="136"/>
        <v>0</v>
      </c>
      <c r="AF609" s="196">
        <f>IFERROR(G609/SUMIF(A:A,A609,G:G)*SUMIF(Summary!$A$166:$A$242,'Operations Support'!A609,Summary!$Q$166:$Q$242),0)</f>
        <v>0</v>
      </c>
      <c r="AG609" s="196">
        <f t="shared" ca="1" si="137"/>
        <v>0</v>
      </c>
      <c r="AI609" s="196">
        <f>IFERROR($G609/SUMIF($A:$A,$A609,$G:$G)*SUMIF(Summary!$A$247:$A$283,$A609,Summary!$P$247:$P$283),0)</f>
        <v>0</v>
      </c>
      <c r="AJ609" s="196">
        <f>IFERROR($G609/SUMIF($A:$A,$A609,$G:$G)*(SUMIF(Summary!$A$247:$A$283,$A609,Summary!$L$247:$L$283)+SUMIF(Summary!$A$297:$A$333,$A609,Summary!$L$297:$L$333))-AI609,0)</f>
        <v>0</v>
      </c>
      <c r="AK609" s="196">
        <f>IFERROR($G609/SUMIF($A:$A,$A609,$G:$G)*SUMIF(Summary!$A$247:$A$283,$A609,Summary!$Q$247:$Q$283),0)</f>
        <v>0</v>
      </c>
      <c r="AL609" s="196">
        <f>IFERROR($G609/SUMIF($A:$A,$A609,$G:$G)*(SUMIF(Summary!$A$247:$A$283,$A609,Summary!$L$247:$L$283)+SUMIF(Summary!$A$297:$A$333,$A609,Summary!$L$297:$L$333))-AK609,0)</f>
        <v>0</v>
      </c>
      <c r="AM609" s="198"/>
      <c r="AN609" s="196">
        <f t="shared" ca="1" si="138"/>
        <v>0</v>
      </c>
      <c r="AO609" s="196">
        <f t="shared" ca="1" si="139"/>
        <v>0</v>
      </c>
    </row>
    <row r="610" spans="1:41">
      <c r="A610" s="189">
        <v>3594</v>
      </c>
      <c r="B610" s="190">
        <v>4</v>
      </c>
      <c r="C610" s="191" t="s">
        <v>237</v>
      </c>
      <c r="D610" s="192">
        <f t="shared" si="126"/>
        <v>0</v>
      </c>
      <c r="E610" s="192">
        <f t="shared" si="127"/>
        <v>0</v>
      </c>
      <c r="F610" s="192">
        <f t="shared" si="128"/>
        <v>0</v>
      </c>
      <c r="G610" s="193">
        <f t="shared" si="129"/>
        <v>0</v>
      </c>
      <c r="H610" s="194">
        <v>0</v>
      </c>
      <c r="I610" s="194">
        <v>0</v>
      </c>
      <c r="J610" s="194">
        <v>0</v>
      </c>
      <c r="K610" s="193">
        <f t="shared" si="130"/>
        <v>0</v>
      </c>
      <c r="L610" s="194">
        <v>0</v>
      </c>
      <c r="M610" s="194">
        <v>0</v>
      </c>
      <c r="N610" s="194">
        <v>0</v>
      </c>
      <c r="O610" s="193">
        <f t="shared" si="131"/>
        <v>0</v>
      </c>
      <c r="P610" s="194">
        <v>0</v>
      </c>
      <c r="Q610" s="194">
        <v>0</v>
      </c>
      <c r="R610" s="194">
        <v>0</v>
      </c>
      <c r="S610" s="193">
        <f t="shared" si="132"/>
        <v>0</v>
      </c>
      <c r="T610" s="193">
        <f t="shared" si="133"/>
        <v>0</v>
      </c>
      <c r="U610" s="193">
        <f ca="1">OFFSET('Expenditure Study'!$B$7,'Operations Support'!$C610,'Operations Support'!$B610)*$G610</f>
        <v>0</v>
      </c>
      <c r="V610" s="199">
        <f ca="1">U610*'Expenditure Study'!$B$31</f>
        <v>0</v>
      </c>
      <c r="W610" s="199">
        <f ca="1">IF(A610=10298,1.51,1)*IF($B610&lt;3,$D610*'Expenditure Study'!$B$32*OFFSET('Expenditure Study'!$B$7,'Operations Support'!$C610,'Operations Support'!$B610),0)</f>
        <v>0</v>
      </c>
      <c r="X610" s="200">
        <f ca="1">W610*'Expenditure Study'!$B$31</f>
        <v>0</v>
      </c>
      <c r="Y610" s="199">
        <f ca="1">U610*'Expenditure Study'!$B$31</f>
        <v>0</v>
      </c>
      <c r="Z610" s="200">
        <f ca="1">W610*'Expenditure Study'!$B$31</f>
        <v>0</v>
      </c>
      <c r="AA610" s="195">
        <f t="shared" ca="1" si="134"/>
        <v>0</v>
      </c>
      <c r="AB610" s="195">
        <f t="shared" ca="1" si="135"/>
        <v>0</v>
      </c>
      <c r="AD610" s="196">
        <f>IFERROR($G610/SUMIF($A:$A,$A610,$G:$G)*SUMIF(Summary!$A$166:$A$242,$A610,Summary!$P$166:$P$242),0)</f>
        <v>0</v>
      </c>
      <c r="AE610" s="197">
        <f t="shared" ca="1" si="136"/>
        <v>0</v>
      </c>
      <c r="AF610" s="196">
        <f>IFERROR(G610/SUMIF(A:A,A610,G:G)*SUMIF(Summary!$A$166:$A$242,'Operations Support'!A610,Summary!$Q$166:$Q$242),0)</f>
        <v>0</v>
      </c>
      <c r="AG610" s="196">
        <f t="shared" ca="1" si="137"/>
        <v>0</v>
      </c>
      <c r="AI610" s="196">
        <f>IFERROR($G610/SUMIF($A:$A,$A610,$G:$G)*SUMIF(Summary!$A$247:$A$283,$A610,Summary!$P$247:$P$283),0)</f>
        <v>0</v>
      </c>
      <c r="AJ610" s="196">
        <f>IFERROR($G610/SUMIF($A:$A,$A610,$G:$G)*(SUMIF(Summary!$A$247:$A$283,$A610,Summary!$L$247:$L$283)+SUMIF(Summary!$A$297:$A$333,$A610,Summary!$L$297:$L$333))-AI610,0)</f>
        <v>0</v>
      </c>
      <c r="AK610" s="196">
        <f>IFERROR($G610/SUMIF($A:$A,$A610,$G:$G)*SUMIF(Summary!$A$247:$A$283,$A610,Summary!$Q$247:$Q$283),0)</f>
        <v>0</v>
      </c>
      <c r="AL610" s="196">
        <f>IFERROR($G610/SUMIF($A:$A,$A610,$G:$G)*(SUMIF(Summary!$A$247:$A$283,$A610,Summary!$L$247:$L$283)+SUMIF(Summary!$A$297:$A$333,$A610,Summary!$L$297:$L$333))-AK610,0)</f>
        <v>0</v>
      </c>
      <c r="AM610" s="198"/>
      <c r="AN610" s="196">
        <f t="shared" ca="1" si="138"/>
        <v>0</v>
      </c>
      <c r="AO610" s="196">
        <f t="shared" ca="1" si="139"/>
        <v>0</v>
      </c>
    </row>
    <row r="611" spans="1:41">
      <c r="A611" s="189">
        <v>3594</v>
      </c>
      <c r="B611" s="190">
        <v>4</v>
      </c>
      <c r="C611" s="191" t="s">
        <v>238</v>
      </c>
      <c r="D611" s="192">
        <f t="shared" si="126"/>
        <v>3</v>
      </c>
      <c r="E611" s="192">
        <f t="shared" si="127"/>
        <v>0</v>
      </c>
      <c r="F611" s="192">
        <f t="shared" si="128"/>
        <v>0</v>
      </c>
      <c r="G611" s="193">
        <f t="shared" si="129"/>
        <v>3</v>
      </c>
      <c r="H611" s="194">
        <v>0</v>
      </c>
      <c r="I611" s="194">
        <v>0</v>
      </c>
      <c r="J611" s="194">
        <v>0</v>
      </c>
      <c r="K611" s="193">
        <f t="shared" si="130"/>
        <v>0</v>
      </c>
      <c r="L611" s="194">
        <v>3</v>
      </c>
      <c r="M611" s="194">
        <v>0</v>
      </c>
      <c r="N611" s="194">
        <v>0</v>
      </c>
      <c r="O611" s="193">
        <f t="shared" si="131"/>
        <v>3</v>
      </c>
      <c r="P611" s="194">
        <v>0</v>
      </c>
      <c r="Q611" s="194">
        <v>0</v>
      </c>
      <c r="R611" s="194">
        <v>0</v>
      </c>
      <c r="S611" s="193">
        <f t="shared" si="132"/>
        <v>0</v>
      </c>
      <c r="T611" s="193">
        <f t="shared" si="133"/>
        <v>0.16666666666666666</v>
      </c>
      <c r="U611" s="193">
        <f ca="1">OFFSET('Expenditure Study'!$B$7,'Operations Support'!$C611,'Operations Support'!$B611)*$G611</f>
        <v>47.31</v>
      </c>
      <c r="V611" s="199">
        <f ca="1">U611*'Expenditure Study'!$B$31</f>
        <v>2795.2252836480002</v>
      </c>
      <c r="W611" s="199">
        <f ca="1">IF(A611=10298,1.51,1)*IF($B611&lt;3,$D611*'Expenditure Study'!$B$32*OFFSET('Expenditure Study'!$B$7,'Operations Support'!$C611,'Operations Support'!$B611),0)</f>
        <v>0</v>
      </c>
      <c r="X611" s="200">
        <f ca="1">W611*'Expenditure Study'!$B$31</f>
        <v>0</v>
      </c>
      <c r="Y611" s="199">
        <f ca="1">U611*'Expenditure Study'!$B$31</f>
        <v>2795.2252836480002</v>
      </c>
      <c r="Z611" s="200">
        <f ca="1">W611*'Expenditure Study'!$B$31</f>
        <v>0</v>
      </c>
      <c r="AA611" s="195">
        <f t="shared" ca="1" si="134"/>
        <v>2795.2252836480002</v>
      </c>
      <c r="AB611" s="195">
        <f t="shared" ca="1" si="135"/>
        <v>2795.2252836480002</v>
      </c>
      <c r="AD611" s="196">
        <f>IFERROR($G611/SUMIF($A:$A,$A611,$G:$G)*SUMIF(Summary!$A$166:$A$242,$A611,Summary!$P$166:$P$242),0)</f>
        <v>148.57937880368314</v>
      </c>
      <c r="AE611" s="197">
        <f t="shared" ca="1" si="136"/>
        <v>2646.6459048443171</v>
      </c>
      <c r="AF611" s="196">
        <f>IFERROR(G611/SUMIF(A:A,A611,G:G)*SUMIF(Summary!$A$166:$A$242,'Operations Support'!A611,Summary!$Q$166:$Q$242),0)</f>
        <v>149.50083258091374</v>
      </c>
      <c r="AG611" s="196">
        <f t="shared" ca="1" si="137"/>
        <v>2645.7244510670866</v>
      </c>
      <c r="AI611" s="196">
        <f>IFERROR($G611/SUMIF($A:$A,$A611,$G:$G)*SUMIF(Summary!$A$247:$A$283,$A611,Summary!$P$247:$P$283),0)</f>
        <v>27.097170936724023</v>
      </c>
      <c r="AJ611" s="196">
        <f>IFERROR($G611/SUMIF($A:$A,$A611,$G:$G)*(SUMIF(Summary!$A$247:$A$283,$A611,Summary!$L$247:$L$283)+SUMIF(Summary!$A$297:$A$333,$A611,Summary!$L$297:$L$333))-AI611,0)</f>
        <v>39.48581658834587</v>
      </c>
      <c r="AK611" s="196">
        <f>IFERROR($G611/SUMIF($A:$A,$A611,$G:$G)*SUMIF(Summary!$A$247:$A$283,$A611,Summary!$Q$247:$Q$283),0)</f>
        <v>27.265221111068193</v>
      </c>
      <c r="AL611" s="196">
        <f>IFERROR($G611/SUMIF($A:$A,$A611,$G:$G)*(SUMIF(Summary!$A$247:$A$283,$A611,Summary!$L$247:$L$283)+SUMIF(Summary!$A$297:$A$333,$A611,Summary!$L$297:$L$333))-AK611,0)</f>
        <v>39.317766414001703</v>
      </c>
      <c r="AM611" s="198"/>
      <c r="AN611" s="196">
        <f t="shared" ca="1" si="138"/>
        <v>2686.1317214326627</v>
      </c>
      <c r="AO611" s="196">
        <f t="shared" ca="1" si="139"/>
        <v>2685.0422174810883</v>
      </c>
    </row>
    <row r="612" spans="1:41">
      <c r="A612" s="189">
        <v>3594</v>
      </c>
      <c r="B612" s="190">
        <v>4</v>
      </c>
      <c r="C612" s="191" t="s">
        <v>239</v>
      </c>
      <c r="D612" s="192">
        <f t="shared" si="126"/>
        <v>0</v>
      </c>
      <c r="E612" s="192">
        <f t="shared" si="127"/>
        <v>0</v>
      </c>
      <c r="F612" s="192">
        <f t="shared" si="128"/>
        <v>0</v>
      </c>
      <c r="G612" s="193">
        <f t="shared" si="129"/>
        <v>0</v>
      </c>
      <c r="H612" s="194">
        <v>0</v>
      </c>
      <c r="I612" s="194">
        <v>0</v>
      </c>
      <c r="J612" s="194">
        <v>0</v>
      </c>
      <c r="K612" s="193">
        <f t="shared" si="130"/>
        <v>0</v>
      </c>
      <c r="L612" s="194">
        <v>0</v>
      </c>
      <c r="M612" s="194">
        <v>0</v>
      </c>
      <c r="N612" s="194">
        <v>0</v>
      </c>
      <c r="O612" s="193">
        <f t="shared" si="131"/>
        <v>0</v>
      </c>
      <c r="P612" s="194">
        <v>0</v>
      </c>
      <c r="Q612" s="194">
        <v>0</v>
      </c>
      <c r="R612" s="194">
        <v>0</v>
      </c>
      <c r="S612" s="193">
        <f t="shared" si="132"/>
        <v>0</v>
      </c>
      <c r="T612" s="193">
        <f t="shared" si="133"/>
        <v>0</v>
      </c>
      <c r="U612" s="193">
        <f ca="1">OFFSET('Expenditure Study'!$B$7,'Operations Support'!$C612,'Operations Support'!$B612)*$G612</f>
        <v>0</v>
      </c>
      <c r="V612" s="199">
        <f ca="1">U612*'Expenditure Study'!$B$31</f>
        <v>0</v>
      </c>
      <c r="W612" s="199">
        <f ca="1">IF(A612=10298,1.51,1)*IF($B612&lt;3,$D612*'Expenditure Study'!$B$32*OFFSET('Expenditure Study'!$B$7,'Operations Support'!$C612,'Operations Support'!$B612),0)</f>
        <v>0</v>
      </c>
      <c r="X612" s="200">
        <f ca="1">W612*'Expenditure Study'!$B$31</f>
        <v>0</v>
      </c>
      <c r="Y612" s="199">
        <f ca="1">U612*'Expenditure Study'!$B$31</f>
        <v>0</v>
      </c>
      <c r="Z612" s="200">
        <f ca="1">W612*'Expenditure Study'!$B$31</f>
        <v>0</v>
      </c>
      <c r="AA612" s="195">
        <f t="shared" ca="1" si="134"/>
        <v>0</v>
      </c>
      <c r="AB612" s="195">
        <f t="shared" ca="1" si="135"/>
        <v>0</v>
      </c>
      <c r="AD612" s="196">
        <f>IFERROR($G612/SUMIF($A:$A,$A612,$G:$G)*SUMIF(Summary!$A$166:$A$242,$A612,Summary!$P$166:$P$242),0)</f>
        <v>0</v>
      </c>
      <c r="AE612" s="197">
        <f t="shared" ca="1" si="136"/>
        <v>0</v>
      </c>
      <c r="AF612" s="196">
        <f>IFERROR(G612/SUMIF(A:A,A612,G:G)*SUMIF(Summary!$A$166:$A$242,'Operations Support'!A612,Summary!$Q$166:$Q$242),0)</f>
        <v>0</v>
      </c>
      <c r="AG612" s="196">
        <f t="shared" ca="1" si="137"/>
        <v>0</v>
      </c>
      <c r="AI612" s="196">
        <f>IFERROR($G612/SUMIF($A:$A,$A612,$G:$G)*SUMIF(Summary!$A$247:$A$283,$A612,Summary!$P$247:$P$283),0)</f>
        <v>0</v>
      </c>
      <c r="AJ612" s="196">
        <f>IFERROR($G612/SUMIF($A:$A,$A612,$G:$G)*(SUMIF(Summary!$A$247:$A$283,$A612,Summary!$L$247:$L$283)+SUMIF(Summary!$A$297:$A$333,$A612,Summary!$L$297:$L$333))-AI612,0)</f>
        <v>0</v>
      </c>
      <c r="AK612" s="196">
        <f>IFERROR($G612/SUMIF($A:$A,$A612,$G:$G)*SUMIF(Summary!$A$247:$A$283,$A612,Summary!$Q$247:$Q$283),0)</f>
        <v>0</v>
      </c>
      <c r="AL612" s="196">
        <f>IFERROR($G612/SUMIF($A:$A,$A612,$G:$G)*(SUMIF(Summary!$A$247:$A$283,$A612,Summary!$L$247:$L$283)+SUMIF(Summary!$A$297:$A$333,$A612,Summary!$L$297:$L$333))-AK612,0)</f>
        <v>0</v>
      </c>
      <c r="AM612" s="198"/>
      <c r="AN612" s="196">
        <f t="shared" ca="1" si="138"/>
        <v>0</v>
      </c>
      <c r="AO612" s="196">
        <f t="shared" ca="1" si="139"/>
        <v>0</v>
      </c>
    </row>
    <row r="613" spans="1:41">
      <c r="A613" s="189">
        <v>3594</v>
      </c>
      <c r="B613" s="190">
        <v>4</v>
      </c>
      <c r="C613" s="191" t="s">
        <v>240</v>
      </c>
      <c r="D613" s="192">
        <f t="shared" si="126"/>
        <v>0</v>
      </c>
      <c r="E613" s="192">
        <f t="shared" si="127"/>
        <v>0</v>
      </c>
      <c r="F613" s="192">
        <f t="shared" si="128"/>
        <v>0</v>
      </c>
      <c r="G613" s="193">
        <f t="shared" si="129"/>
        <v>0</v>
      </c>
      <c r="H613" s="194">
        <v>0</v>
      </c>
      <c r="I613" s="194">
        <v>0</v>
      </c>
      <c r="J613" s="194">
        <v>0</v>
      </c>
      <c r="K613" s="193">
        <f t="shared" si="130"/>
        <v>0</v>
      </c>
      <c r="L613" s="194">
        <v>0</v>
      </c>
      <c r="M613" s="194">
        <v>0</v>
      </c>
      <c r="N613" s="194">
        <v>0</v>
      </c>
      <c r="O613" s="193">
        <f t="shared" si="131"/>
        <v>0</v>
      </c>
      <c r="P613" s="194">
        <v>0</v>
      </c>
      <c r="Q613" s="194">
        <v>0</v>
      </c>
      <c r="R613" s="194">
        <v>0</v>
      </c>
      <c r="S613" s="193">
        <f t="shared" si="132"/>
        <v>0</v>
      </c>
      <c r="T613" s="193">
        <f t="shared" si="133"/>
        <v>0</v>
      </c>
      <c r="U613" s="193">
        <f ca="1">OFFSET('Expenditure Study'!$B$7,'Operations Support'!$C613,'Operations Support'!$B613)*$G613</f>
        <v>0</v>
      </c>
      <c r="V613" s="199">
        <f ca="1">U613*'Expenditure Study'!$B$31</f>
        <v>0</v>
      </c>
      <c r="W613" s="199">
        <f ca="1">IF(A613=10298,1.51,1)*IF($B613&lt;3,$D613*'Expenditure Study'!$B$32*OFFSET('Expenditure Study'!$B$7,'Operations Support'!$C613,'Operations Support'!$B613),0)</f>
        <v>0</v>
      </c>
      <c r="X613" s="200">
        <f ca="1">W613*'Expenditure Study'!$B$31</f>
        <v>0</v>
      </c>
      <c r="Y613" s="199">
        <f ca="1">U613*'Expenditure Study'!$B$31</f>
        <v>0</v>
      </c>
      <c r="Z613" s="200">
        <f ca="1">W613*'Expenditure Study'!$B$31</f>
        <v>0</v>
      </c>
      <c r="AA613" s="195">
        <f t="shared" ca="1" si="134"/>
        <v>0</v>
      </c>
      <c r="AB613" s="195">
        <f t="shared" ca="1" si="135"/>
        <v>0</v>
      </c>
      <c r="AD613" s="196">
        <f>IFERROR($G613/SUMIF($A:$A,$A613,$G:$G)*SUMIF(Summary!$A$166:$A$242,$A613,Summary!$P$166:$P$242),0)</f>
        <v>0</v>
      </c>
      <c r="AE613" s="197">
        <f t="shared" ca="1" si="136"/>
        <v>0</v>
      </c>
      <c r="AF613" s="196">
        <f>IFERROR(G613/SUMIF(A:A,A613,G:G)*SUMIF(Summary!$A$166:$A$242,'Operations Support'!A613,Summary!$Q$166:$Q$242),0)</f>
        <v>0</v>
      </c>
      <c r="AG613" s="196">
        <f t="shared" ca="1" si="137"/>
        <v>0</v>
      </c>
      <c r="AI613" s="196">
        <f>IFERROR($G613/SUMIF($A:$A,$A613,$G:$G)*SUMIF(Summary!$A$247:$A$283,$A613,Summary!$P$247:$P$283),0)</f>
        <v>0</v>
      </c>
      <c r="AJ613" s="196">
        <f>IFERROR($G613/SUMIF($A:$A,$A613,$G:$G)*(SUMIF(Summary!$A$247:$A$283,$A613,Summary!$L$247:$L$283)+SUMIF(Summary!$A$297:$A$333,$A613,Summary!$L$297:$L$333))-AI613,0)</f>
        <v>0</v>
      </c>
      <c r="AK613" s="196">
        <f>IFERROR($G613/SUMIF($A:$A,$A613,$G:$G)*SUMIF(Summary!$A$247:$A$283,$A613,Summary!$Q$247:$Q$283),0)</f>
        <v>0</v>
      </c>
      <c r="AL613" s="196">
        <f>IFERROR($G613/SUMIF($A:$A,$A613,$G:$G)*(SUMIF(Summary!$A$247:$A$283,$A613,Summary!$L$247:$L$283)+SUMIF(Summary!$A$297:$A$333,$A613,Summary!$L$297:$L$333))-AK613,0)</f>
        <v>0</v>
      </c>
      <c r="AM613" s="198"/>
      <c r="AN613" s="196">
        <f t="shared" ca="1" si="138"/>
        <v>0</v>
      </c>
      <c r="AO613" s="196">
        <f t="shared" ca="1" si="139"/>
        <v>0</v>
      </c>
    </row>
    <row r="614" spans="1:41">
      <c r="A614" s="189">
        <v>3594</v>
      </c>
      <c r="B614" s="190">
        <v>5</v>
      </c>
      <c r="C614" s="191" t="s">
        <v>220</v>
      </c>
      <c r="D614" s="192">
        <f t="shared" si="126"/>
        <v>0</v>
      </c>
      <c r="E614" s="192">
        <f t="shared" si="127"/>
        <v>0</v>
      </c>
      <c r="F614" s="192">
        <f t="shared" si="128"/>
        <v>0</v>
      </c>
      <c r="G614" s="193">
        <f t="shared" si="129"/>
        <v>0</v>
      </c>
      <c r="H614" s="194">
        <v>0</v>
      </c>
      <c r="I614" s="194">
        <v>0</v>
      </c>
      <c r="J614" s="194">
        <v>0</v>
      </c>
      <c r="K614" s="193">
        <f t="shared" si="130"/>
        <v>0</v>
      </c>
      <c r="L614" s="194">
        <v>0</v>
      </c>
      <c r="M614" s="194">
        <v>0</v>
      </c>
      <c r="N614" s="194">
        <v>0</v>
      </c>
      <c r="O614" s="193">
        <f t="shared" si="131"/>
        <v>0</v>
      </c>
      <c r="P614" s="194">
        <v>0</v>
      </c>
      <c r="Q614" s="194">
        <v>0</v>
      </c>
      <c r="R614" s="194">
        <v>0</v>
      </c>
      <c r="S614" s="193">
        <f t="shared" si="132"/>
        <v>0</v>
      </c>
      <c r="T614" s="193">
        <f t="shared" si="133"/>
        <v>0</v>
      </c>
      <c r="U614" s="193">
        <f ca="1">OFFSET('Expenditure Study'!$B$7,'Operations Support'!$C614,'Operations Support'!$B614)*$G614</f>
        <v>0</v>
      </c>
      <c r="V614" s="199">
        <f ca="1">U614*'Expenditure Study'!$B$31</f>
        <v>0</v>
      </c>
      <c r="W614" s="199">
        <f ca="1">IF(A614=10298,1.51,1)*IF($B614&lt;3,$D614*'Expenditure Study'!$B$32*OFFSET('Expenditure Study'!$B$7,'Operations Support'!$C614,'Operations Support'!$B614),0)</f>
        <v>0</v>
      </c>
      <c r="X614" s="200">
        <f ca="1">W614*'Expenditure Study'!$B$31</f>
        <v>0</v>
      </c>
      <c r="Y614" s="199">
        <f ca="1">U614*'Expenditure Study'!$B$31</f>
        <v>0</v>
      </c>
      <c r="Z614" s="200">
        <f ca="1">W614*'Expenditure Study'!$B$31</f>
        <v>0</v>
      </c>
      <c r="AA614" s="195">
        <f t="shared" ca="1" si="134"/>
        <v>0</v>
      </c>
      <c r="AB614" s="195">
        <f t="shared" ca="1" si="135"/>
        <v>0</v>
      </c>
      <c r="AD614" s="196">
        <f>IFERROR($G614/SUMIF($A:$A,$A614,$G:$G)*SUMIF(Summary!$A$166:$A$242,$A614,Summary!$P$166:$P$242),0)</f>
        <v>0</v>
      </c>
      <c r="AE614" s="197">
        <f t="shared" ca="1" si="136"/>
        <v>0</v>
      </c>
      <c r="AF614" s="196">
        <f>IFERROR(G614/SUMIF(A:A,A614,G:G)*SUMIF(Summary!$A$166:$A$242,'Operations Support'!A614,Summary!$Q$166:$Q$242),0)</f>
        <v>0</v>
      </c>
      <c r="AG614" s="196">
        <f t="shared" ca="1" si="137"/>
        <v>0</v>
      </c>
      <c r="AI614" s="196">
        <f>IFERROR($G614/SUMIF($A:$A,$A614,$G:$G)*SUMIF(Summary!$A$247:$A$283,$A614,Summary!$P$247:$P$283),0)</f>
        <v>0</v>
      </c>
      <c r="AJ614" s="196">
        <f>IFERROR($G614/SUMIF($A:$A,$A614,$G:$G)*(SUMIF(Summary!$A$247:$A$283,$A614,Summary!$L$247:$L$283)+SUMIF(Summary!$A$297:$A$333,$A614,Summary!$L$297:$L$333))-AI614,0)</f>
        <v>0</v>
      </c>
      <c r="AK614" s="196">
        <f>IFERROR($G614/SUMIF($A:$A,$A614,$G:$G)*SUMIF(Summary!$A$247:$A$283,$A614,Summary!$Q$247:$Q$283),0)</f>
        <v>0</v>
      </c>
      <c r="AL614" s="196">
        <f>IFERROR($G614/SUMIF($A:$A,$A614,$G:$G)*(SUMIF(Summary!$A$247:$A$283,$A614,Summary!$L$247:$L$283)+SUMIF(Summary!$A$297:$A$333,$A614,Summary!$L$297:$L$333))-AK614,0)</f>
        <v>0</v>
      </c>
      <c r="AM614" s="198"/>
      <c r="AN614" s="196">
        <f t="shared" ca="1" si="138"/>
        <v>0</v>
      </c>
      <c r="AO614" s="196">
        <f t="shared" ca="1" si="139"/>
        <v>0</v>
      </c>
    </row>
    <row r="615" spans="1:41">
      <c r="A615" s="189">
        <v>3594</v>
      </c>
      <c r="B615" s="190">
        <v>5</v>
      </c>
      <c r="C615" s="191" t="s">
        <v>221</v>
      </c>
      <c r="D615" s="192">
        <f t="shared" si="126"/>
        <v>0</v>
      </c>
      <c r="E615" s="192">
        <f t="shared" si="127"/>
        <v>0</v>
      </c>
      <c r="F615" s="192">
        <f t="shared" si="128"/>
        <v>0</v>
      </c>
      <c r="G615" s="193">
        <f t="shared" si="129"/>
        <v>0</v>
      </c>
      <c r="H615" s="194">
        <v>0</v>
      </c>
      <c r="I615" s="194">
        <v>0</v>
      </c>
      <c r="J615" s="194">
        <v>0</v>
      </c>
      <c r="K615" s="193">
        <f t="shared" si="130"/>
        <v>0</v>
      </c>
      <c r="L615" s="194">
        <v>0</v>
      </c>
      <c r="M615" s="194">
        <v>0</v>
      </c>
      <c r="N615" s="194">
        <v>0</v>
      </c>
      <c r="O615" s="193">
        <f t="shared" si="131"/>
        <v>0</v>
      </c>
      <c r="P615" s="194">
        <v>0</v>
      </c>
      <c r="Q615" s="194">
        <v>0</v>
      </c>
      <c r="R615" s="194">
        <v>0</v>
      </c>
      <c r="S615" s="193">
        <f t="shared" si="132"/>
        <v>0</v>
      </c>
      <c r="T615" s="193">
        <f t="shared" si="133"/>
        <v>0</v>
      </c>
      <c r="U615" s="193">
        <f ca="1">OFFSET('Expenditure Study'!$B$7,'Operations Support'!$C615,'Operations Support'!$B615)*$G615</f>
        <v>0</v>
      </c>
      <c r="V615" s="199">
        <f ca="1">U615*'Expenditure Study'!$B$31</f>
        <v>0</v>
      </c>
      <c r="W615" s="199">
        <f ca="1">IF(A615=10298,1.51,1)*IF($B615&lt;3,$D615*'Expenditure Study'!$B$32*OFFSET('Expenditure Study'!$B$7,'Operations Support'!$C615,'Operations Support'!$B615),0)</f>
        <v>0</v>
      </c>
      <c r="X615" s="200">
        <f ca="1">W615*'Expenditure Study'!$B$31</f>
        <v>0</v>
      </c>
      <c r="Y615" s="199">
        <f ca="1">U615*'Expenditure Study'!$B$31</f>
        <v>0</v>
      </c>
      <c r="Z615" s="200">
        <f ca="1">W615*'Expenditure Study'!$B$31</f>
        <v>0</v>
      </c>
      <c r="AA615" s="195">
        <f t="shared" ca="1" si="134"/>
        <v>0</v>
      </c>
      <c r="AB615" s="195">
        <f t="shared" ca="1" si="135"/>
        <v>0</v>
      </c>
      <c r="AD615" s="196">
        <f>IFERROR($G615/SUMIF($A:$A,$A615,$G:$G)*SUMIF(Summary!$A$166:$A$242,$A615,Summary!$P$166:$P$242),0)</f>
        <v>0</v>
      </c>
      <c r="AE615" s="197">
        <f t="shared" ca="1" si="136"/>
        <v>0</v>
      </c>
      <c r="AF615" s="196">
        <f>IFERROR(G615/SUMIF(A:A,A615,G:G)*SUMIF(Summary!$A$166:$A$242,'Operations Support'!A615,Summary!$Q$166:$Q$242),0)</f>
        <v>0</v>
      </c>
      <c r="AG615" s="196">
        <f t="shared" ca="1" si="137"/>
        <v>0</v>
      </c>
      <c r="AI615" s="196">
        <f>IFERROR($G615/SUMIF($A:$A,$A615,$G:$G)*SUMIF(Summary!$A$247:$A$283,$A615,Summary!$P$247:$P$283),0)</f>
        <v>0</v>
      </c>
      <c r="AJ615" s="196">
        <f>IFERROR($G615/SUMIF($A:$A,$A615,$G:$G)*(SUMIF(Summary!$A$247:$A$283,$A615,Summary!$L$247:$L$283)+SUMIF(Summary!$A$297:$A$333,$A615,Summary!$L$297:$L$333))-AI615,0)</f>
        <v>0</v>
      </c>
      <c r="AK615" s="196">
        <f>IFERROR($G615/SUMIF($A:$A,$A615,$G:$G)*SUMIF(Summary!$A$247:$A$283,$A615,Summary!$Q$247:$Q$283),0)</f>
        <v>0</v>
      </c>
      <c r="AL615" s="196">
        <f>IFERROR($G615/SUMIF($A:$A,$A615,$G:$G)*(SUMIF(Summary!$A$247:$A$283,$A615,Summary!$L$247:$L$283)+SUMIF(Summary!$A$297:$A$333,$A615,Summary!$L$297:$L$333))-AK615,0)</f>
        <v>0</v>
      </c>
      <c r="AM615" s="198"/>
      <c r="AN615" s="196">
        <f t="shared" ca="1" si="138"/>
        <v>0</v>
      </c>
      <c r="AO615" s="196">
        <f t="shared" ca="1" si="139"/>
        <v>0</v>
      </c>
    </row>
    <row r="616" spans="1:41">
      <c r="A616" s="189">
        <v>3594</v>
      </c>
      <c r="B616" s="190">
        <v>5</v>
      </c>
      <c r="C616" s="191" t="s">
        <v>222</v>
      </c>
      <c r="D616" s="192">
        <f t="shared" si="126"/>
        <v>0</v>
      </c>
      <c r="E616" s="192">
        <f t="shared" si="127"/>
        <v>0</v>
      </c>
      <c r="F616" s="192">
        <f t="shared" si="128"/>
        <v>0</v>
      </c>
      <c r="G616" s="193">
        <f t="shared" si="129"/>
        <v>0</v>
      </c>
      <c r="H616" s="194">
        <v>0</v>
      </c>
      <c r="I616" s="194">
        <v>0</v>
      </c>
      <c r="J616" s="194">
        <v>0</v>
      </c>
      <c r="K616" s="193">
        <f t="shared" si="130"/>
        <v>0</v>
      </c>
      <c r="L616" s="194">
        <v>0</v>
      </c>
      <c r="M616" s="194">
        <v>0</v>
      </c>
      <c r="N616" s="194">
        <v>0</v>
      </c>
      <c r="O616" s="193">
        <f t="shared" si="131"/>
        <v>0</v>
      </c>
      <c r="P616" s="194">
        <v>0</v>
      </c>
      <c r="Q616" s="194">
        <v>0</v>
      </c>
      <c r="R616" s="194">
        <v>0</v>
      </c>
      <c r="S616" s="193">
        <f t="shared" si="132"/>
        <v>0</v>
      </c>
      <c r="T616" s="193">
        <f t="shared" si="133"/>
        <v>0</v>
      </c>
      <c r="U616" s="193">
        <f ca="1">OFFSET('Expenditure Study'!$B$7,'Operations Support'!$C616,'Operations Support'!$B616)*$G616</f>
        <v>0</v>
      </c>
      <c r="V616" s="199">
        <f ca="1">U616*'Expenditure Study'!$B$31</f>
        <v>0</v>
      </c>
      <c r="W616" s="199">
        <f ca="1">IF(A616=10298,1.51,1)*IF($B616&lt;3,$D616*'Expenditure Study'!$B$32*OFFSET('Expenditure Study'!$B$7,'Operations Support'!$C616,'Operations Support'!$B616),0)</f>
        <v>0</v>
      </c>
      <c r="X616" s="200">
        <f ca="1">W616*'Expenditure Study'!$B$31</f>
        <v>0</v>
      </c>
      <c r="Y616" s="199">
        <f ca="1">U616*'Expenditure Study'!$B$31</f>
        <v>0</v>
      </c>
      <c r="Z616" s="200">
        <f ca="1">W616*'Expenditure Study'!$B$31</f>
        <v>0</v>
      </c>
      <c r="AA616" s="195">
        <f t="shared" ca="1" si="134"/>
        <v>0</v>
      </c>
      <c r="AB616" s="195">
        <f t="shared" ca="1" si="135"/>
        <v>0</v>
      </c>
      <c r="AD616" s="196">
        <f>IFERROR($G616/SUMIF($A:$A,$A616,$G:$G)*SUMIF(Summary!$A$166:$A$242,$A616,Summary!$P$166:$P$242),0)</f>
        <v>0</v>
      </c>
      <c r="AE616" s="197">
        <f t="shared" ca="1" si="136"/>
        <v>0</v>
      </c>
      <c r="AF616" s="196">
        <f>IFERROR(G616/SUMIF(A:A,A616,G:G)*SUMIF(Summary!$A$166:$A$242,'Operations Support'!A616,Summary!$Q$166:$Q$242),0)</f>
        <v>0</v>
      </c>
      <c r="AG616" s="196">
        <f t="shared" ca="1" si="137"/>
        <v>0</v>
      </c>
      <c r="AI616" s="196">
        <f>IFERROR($G616/SUMIF($A:$A,$A616,$G:$G)*SUMIF(Summary!$A$247:$A$283,$A616,Summary!$P$247:$P$283),0)</f>
        <v>0</v>
      </c>
      <c r="AJ616" s="196">
        <f>IFERROR($G616/SUMIF($A:$A,$A616,$G:$G)*(SUMIF(Summary!$A$247:$A$283,$A616,Summary!$L$247:$L$283)+SUMIF(Summary!$A$297:$A$333,$A616,Summary!$L$297:$L$333))-AI616,0)</f>
        <v>0</v>
      </c>
      <c r="AK616" s="196">
        <f>IFERROR($G616/SUMIF($A:$A,$A616,$G:$G)*SUMIF(Summary!$A$247:$A$283,$A616,Summary!$Q$247:$Q$283),0)</f>
        <v>0</v>
      </c>
      <c r="AL616" s="196">
        <f>IFERROR($G616/SUMIF($A:$A,$A616,$G:$G)*(SUMIF(Summary!$A$247:$A$283,$A616,Summary!$L$247:$L$283)+SUMIF(Summary!$A$297:$A$333,$A616,Summary!$L$297:$L$333))-AK616,0)</f>
        <v>0</v>
      </c>
      <c r="AM616" s="198"/>
      <c r="AN616" s="196">
        <f t="shared" ca="1" si="138"/>
        <v>0</v>
      </c>
      <c r="AO616" s="196">
        <f t="shared" ca="1" si="139"/>
        <v>0</v>
      </c>
    </row>
    <row r="617" spans="1:41">
      <c r="A617" s="189">
        <v>3594</v>
      </c>
      <c r="B617" s="190">
        <v>5</v>
      </c>
      <c r="C617" s="191" t="s">
        <v>223</v>
      </c>
      <c r="D617" s="192">
        <f t="shared" si="126"/>
        <v>0</v>
      </c>
      <c r="E617" s="192">
        <f t="shared" si="127"/>
        <v>0</v>
      </c>
      <c r="F617" s="192">
        <f t="shared" si="128"/>
        <v>0</v>
      </c>
      <c r="G617" s="193">
        <f t="shared" si="129"/>
        <v>0</v>
      </c>
      <c r="H617" s="194">
        <v>0</v>
      </c>
      <c r="I617" s="194">
        <v>0</v>
      </c>
      <c r="J617" s="194">
        <v>0</v>
      </c>
      <c r="K617" s="193">
        <f t="shared" si="130"/>
        <v>0</v>
      </c>
      <c r="L617" s="194">
        <v>0</v>
      </c>
      <c r="M617" s="194">
        <v>0</v>
      </c>
      <c r="N617" s="194">
        <v>0</v>
      </c>
      <c r="O617" s="193">
        <f t="shared" si="131"/>
        <v>0</v>
      </c>
      <c r="P617" s="194">
        <v>0</v>
      </c>
      <c r="Q617" s="194">
        <v>0</v>
      </c>
      <c r="R617" s="194">
        <v>0</v>
      </c>
      <c r="S617" s="193">
        <f t="shared" si="132"/>
        <v>0</v>
      </c>
      <c r="T617" s="193">
        <f t="shared" si="133"/>
        <v>0</v>
      </c>
      <c r="U617" s="193">
        <f ca="1">OFFSET('Expenditure Study'!$B$7,'Operations Support'!$C617,'Operations Support'!$B617)*$G617</f>
        <v>0</v>
      </c>
      <c r="V617" s="199">
        <f ca="1">U617*'Expenditure Study'!$B$31</f>
        <v>0</v>
      </c>
      <c r="W617" s="199">
        <f ca="1">IF(A617=10298,1.51,1)*IF($B617&lt;3,$D617*'Expenditure Study'!$B$32*OFFSET('Expenditure Study'!$B$7,'Operations Support'!$C617,'Operations Support'!$B617),0)</f>
        <v>0</v>
      </c>
      <c r="X617" s="200">
        <f ca="1">W617*'Expenditure Study'!$B$31</f>
        <v>0</v>
      </c>
      <c r="Y617" s="199">
        <f ca="1">U617*'Expenditure Study'!$B$31</f>
        <v>0</v>
      </c>
      <c r="Z617" s="200">
        <f ca="1">W617*'Expenditure Study'!$B$31</f>
        <v>0</v>
      </c>
      <c r="AA617" s="195">
        <f t="shared" ca="1" si="134"/>
        <v>0</v>
      </c>
      <c r="AB617" s="195">
        <f t="shared" ca="1" si="135"/>
        <v>0</v>
      </c>
      <c r="AD617" s="196">
        <f>IFERROR($G617/SUMIF($A:$A,$A617,$G:$G)*SUMIF(Summary!$A$166:$A$242,$A617,Summary!$P$166:$P$242),0)</f>
        <v>0</v>
      </c>
      <c r="AE617" s="197">
        <f t="shared" ca="1" si="136"/>
        <v>0</v>
      </c>
      <c r="AF617" s="196">
        <f>IFERROR(G617/SUMIF(A:A,A617,G:G)*SUMIF(Summary!$A$166:$A$242,'Operations Support'!A617,Summary!$Q$166:$Q$242),0)</f>
        <v>0</v>
      </c>
      <c r="AG617" s="196">
        <f t="shared" ca="1" si="137"/>
        <v>0</v>
      </c>
      <c r="AI617" s="196">
        <f>IFERROR($G617/SUMIF($A:$A,$A617,$G:$G)*SUMIF(Summary!$A$247:$A$283,$A617,Summary!$P$247:$P$283),0)</f>
        <v>0</v>
      </c>
      <c r="AJ617" s="196">
        <f>IFERROR($G617/SUMIF($A:$A,$A617,$G:$G)*(SUMIF(Summary!$A$247:$A$283,$A617,Summary!$L$247:$L$283)+SUMIF(Summary!$A$297:$A$333,$A617,Summary!$L$297:$L$333))-AI617,0)</f>
        <v>0</v>
      </c>
      <c r="AK617" s="196">
        <f>IFERROR($G617/SUMIF($A:$A,$A617,$G:$G)*SUMIF(Summary!$A$247:$A$283,$A617,Summary!$Q$247:$Q$283),0)</f>
        <v>0</v>
      </c>
      <c r="AL617" s="196">
        <f>IFERROR($G617/SUMIF($A:$A,$A617,$G:$G)*(SUMIF(Summary!$A$247:$A$283,$A617,Summary!$L$247:$L$283)+SUMIF(Summary!$A$297:$A$333,$A617,Summary!$L$297:$L$333))-AK617,0)</f>
        <v>0</v>
      </c>
      <c r="AM617" s="198"/>
      <c r="AN617" s="196">
        <f t="shared" ca="1" si="138"/>
        <v>0</v>
      </c>
      <c r="AO617" s="196">
        <f t="shared" ca="1" si="139"/>
        <v>0</v>
      </c>
    </row>
    <row r="618" spans="1:41">
      <c r="A618" s="189">
        <v>3594</v>
      </c>
      <c r="B618" s="190">
        <v>5</v>
      </c>
      <c r="C618" s="191" t="s">
        <v>224</v>
      </c>
      <c r="D618" s="192">
        <f t="shared" si="126"/>
        <v>0</v>
      </c>
      <c r="E618" s="192">
        <f t="shared" si="127"/>
        <v>0</v>
      </c>
      <c r="F618" s="192">
        <f t="shared" si="128"/>
        <v>0</v>
      </c>
      <c r="G618" s="193">
        <f t="shared" si="129"/>
        <v>0</v>
      </c>
      <c r="H618" s="194">
        <v>0</v>
      </c>
      <c r="I618" s="194">
        <v>0</v>
      </c>
      <c r="J618" s="194">
        <v>0</v>
      </c>
      <c r="K618" s="193">
        <f t="shared" si="130"/>
        <v>0</v>
      </c>
      <c r="L618" s="194">
        <v>0</v>
      </c>
      <c r="M618" s="194">
        <v>0</v>
      </c>
      <c r="N618" s="194">
        <v>0</v>
      </c>
      <c r="O618" s="193">
        <f t="shared" si="131"/>
        <v>0</v>
      </c>
      <c r="P618" s="194">
        <v>0</v>
      </c>
      <c r="Q618" s="194">
        <v>0</v>
      </c>
      <c r="R618" s="194">
        <v>0</v>
      </c>
      <c r="S618" s="193">
        <f t="shared" si="132"/>
        <v>0</v>
      </c>
      <c r="T618" s="193">
        <f t="shared" si="133"/>
        <v>0</v>
      </c>
      <c r="U618" s="193">
        <f ca="1">OFFSET('Expenditure Study'!$B$7,'Operations Support'!$C618,'Operations Support'!$B618)*$G618</f>
        <v>0</v>
      </c>
      <c r="V618" s="199">
        <f ca="1">U618*'Expenditure Study'!$B$31</f>
        <v>0</v>
      </c>
      <c r="W618" s="199">
        <f ca="1">IF(A618=10298,1.51,1)*IF($B618&lt;3,$D618*'Expenditure Study'!$B$32*OFFSET('Expenditure Study'!$B$7,'Operations Support'!$C618,'Operations Support'!$B618),0)</f>
        <v>0</v>
      </c>
      <c r="X618" s="200">
        <f ca="1">W618*'Expenditure Study'!$B$31</f>
        <v>0</v>
      </c>
      <c r="Y618" s="199">
        <f ca="1">U618*'Expenditure Study'!$B$31</f>
        <v>0</v>
      </c>
      <c r="Z618" s="200">
        <f ca="1">W618*'Expenditure Study'!$B$31</f>
        <v>0</v>
      </c>
      <c r="AA618" s="195">
        <f t="shared" ca="1" si="134"/>
        <v>0</v>
      </c>
      <c r="AB618" s="195">
        <f t="shared" ca="1" si="135"/>
        <v>0</v>
      </c>
      <c r="AD618" s="196">
        <f>IFERROR($G618/SUMIF($A:$A,$A618,$G:$G)*SUMIF(Summary!$A$166:$A$242,$A618,Summary!$P$166:$P$242),0)</f>
        <v>0</v>
      </c>
      <c r="AE618" s="197">
        <f t="shared" ca="1" si="136"/>
        <v>0</v>
      </c>
      <c r="AF618" s="196">
        <f>IFERROR(G618/SUMIF(A:A,A618,G:G)*SUMIF(Summary!$A$166:$A$242,'Operations Support'!A618,Summary!$Q$166:$Q$242),0)</f>
        <v>0</v>
      </c>
      <c r="AG618" s="196">
        <f t="shared" ca="1" si="137"/>
        <v>0</v>
      </c>
      <c r="AI618" s="196">
        <f>IFERROR($G618/SUMIF($A:$A,$A618,$G:$G)*SUMIF(Summary!$A$247:$A$283,$A618,Summary!$P$247:$P$283),0)</f>
        <v>0</v>
      </c>
      <c r="AJ618" s="196">
        <f>IFERROR($G618/SUMIF($A:$A,$A618,$G:$G)*(SUMIF(Summary!$A$247:$A$283,$A618,Summary!$L$247:$L$283)+SUMIF(Summary!$A$297:$A$333,$A618,Summary!$L$297:$L$333))-AI618,0)</f>
        <v>0</v>
      </c>
      <c r="AK618" s="196">
        <f>IFERROR($G618/SUMIF($A:$A,$A618,$G:$G)*SUMIF(Summary!$A$247:$A$283,$A618,Summary!$Q$247:$Q$283),0)</f>
        <v>0</v>
      </c>
      <c r="AL618" s="196">
        <f>IFERROR($G618/SUMIF($A:$A,$A618,$G:$G)*(SUMIF(Summary!$A$247:$A$283,$A618,Summary!$L$247:$L$283)+SUMIF(Summary!$A$297:$A$333,$A618,Summary!$L$297:$L$333))-AK618,0)</f>
        <v>0</v>
      </c>
      <c r="AM618" s="198"/>
      <c r="AN618" s="196">
        <f t="shared" ca="1" si="138"/>
        <v>0</v>
      </c>
      <c r="AO618" s="196">
        <f t="shared" ca="1" si="139"/>
        <v>0</v>
      </c>
    </row>
    <row r="619" spans="1:41">
      <c r="A619" s="189">
        <v>3594</v>
      </c>
      <c r="B619" s="190">
        <v>5</v>
      </c>
      <c r="C619" s="191" t="s">
        <v>225</v>
      </c>
      <c r="D619" s="192">
        <f t="shared" si="126"/>
        <v>0</v>
      </c>
      <c r="E619" s="192">
        <f t="shared" si="127"/>
        <v>0</v>
      </c>
      <c r="F619" s="192">
        <f t="shared" si="128"/>
        <v>0</v>
      </c>
      <c r="G619" s="193">
        <f t="shared" si="129"/>
        <v>0</v>
      </c>
      <c r="H619" s="194">
        <v>0</v>
      </c>
      <c r="I619" s="194">
        <v>0</v>
      </c>
      <c r="J619" s="194">
        <v>0</v>
      </c>
      <c r="K619" s="193">
        <f t="shared" si="130"/>
        <v>0</v>
      </c>
      <c r="L619" s="194">
        <v>0</v>
      </c>
      <c r="M619" s="194">
        <v>0</v>
      </c>
      <c r="N619" s="194">
        <v>0</v>
      </c>
      <c r="O619" s="193">
        <f t="shared" si="131"/>
        <v>0</v>
      </c>
      <c r="P619" s="194">
        <v>0</v>
      </c>
      <c r="Q619" s="194">
        <v>0</v>
      </c>
      <c r="R619" s="194">
        <v>0</v>
      </c>
      <c r="S619" s="193">
        <f t="shared" si="132"/>
        <v>0</v>
      </c>
      <c r="T619" s="193">
        <f t="shared" si="133"/>
        <v>0</v>
      </c>
      <c r="U619" s="193">
        <f ca="1">OFFSET('Expenditure Study'!$B$7,'Operations Support'!$C619,'Operations Support'!$B619)*$G619</f>
        <v>0</v>
      </c>
      <c r="V619" s="199">
        <f ca="1">U619*'Expenditure Study'!$B$31</f>
        <v>0</v>
      </c>
      <c r="W619" s="199">
        <f ca="1">IF(A619=10298,1.51,1)*IF($B619&lt;3,$D619*'Expenditure Study'!$B$32*OFFSET('Expenditure Study'!$B$7,'Operations Support'!$C619,'Operations Support'!$B619),0)</f>
        <v>0</v>
      </c>
      <c r="X619" s="200">
        <f ca="1">W619*'Expenditure Study'!$B$31</f>
        <v>0</v>
      </c>
      <c r="Y619" s="199">
        <f ca="1">U619*'Expenditure Study'!$B$31</f>
        <v>0</v>
      </c>
      <c r="Z619" s="200">
        <f ca="1">W619*'Expenditure Study'!$B$31</f>
        <v>0</v>
      </c>
      <c r="AA619" s="195">
        <f t="shared" ca="1" si="134"/>
        <v>0</v>
      </c>
      <c r="AB619" s="195">
        <f t="shared" ca="1" si="135"/>
        <v>0</v>
      </c>
      <c r="AD619" s="196">
        <f>IFERROR($G619/SUMIF($A:$A,$A619,$G:$G)*SUMIF(Summary!$A$166:$A$242,$A619,Summary!$P$166:$P$242),0)</f>
        <v>0</v>
      </c>
      <c r="AE619" s="197">
        <f t="shared" ca="1" si="136"/>
        <v>0</v>
      </c>
      <c r="AF619" s="196">
        <f>IFERROR(G619/SUMIF(A:A,A619,G:G)*SUMIF(Summary!$A$166:$A$242,'Operations Support'!A619,Summary!$Q$166:$Q$242),0)</f>
        <v>0</v>
      </c>
      <c r="AG619" s="196">
        <f t="shared" ca="1" si="137"/>
        <v>0</v>
      </c>
      <c r="AI619" s="196">
        <f>IFERROR($G619/SUMIF($A:$A,$A619,$G:$G)*SUMIF(Summary!$A$247:$A$283,$A619,Summary!$P$247:$P$283),0)</f>
        <v>0</v>
      </c>
      <c r="AJ619" s="196">
        <f>IFERROR($G619/SUMIF($A:$A,$A619,$G:$G)*(SUMIF(Summary!$A$247:$A$283,$A619,Summary!$L$247:$L$283)+SUMIF(Summary!$A$297:$A$333,$A619,Summary!$L$297:$L$333))-AI619,0)</f>
        <v>0</v>
      </c>
      <c r="AK619" s="196">
        <f>IFERROR($G619/SUMIF($A:$A,$A619,$G:$G)*SUMIF(Summary!$A$247:$A$283,$A619,Summary!$Q$247:$Q$283),0)</f>
        <v>0</v>
      </c>
      <c r="AL619" s="196">
        <f>IFERROR($G619/SUMIF($A:$A,$A619,$G:$G)*(SUMIF(Summary!$A$247:$A$283,$A619,Summary!$L$247:$L$283)+SUMIF(Summary!$A$297:$A$333,$A619,Summary!$L$297:$L$333))-AK619,0)</f>
        <v>0</v>
      </c>
      <c r="AM619" s="198"/>
      <c r="AN619" s="196">
        <f t="shared" ca="1" si="138"/>
        <v>0</v>
      </c>
      <c r="AO619" s="196">
        <f t="shared" ca="1" si="139"/>
        <v>0</v>
      </c>
    </row>
    <row r="620" spans="1:41">
      <c r="A620" s="189">
        <v>3594</v>
      </c>
      <c r="B620" s="190">
        <v>5</v>
      </c>
      <c r="C620" s="191" t="s">
        <v>226</v>
      </c>
      <c r="D620" s="192">
        <f t="shared" si="126"/>
        <v>0</v>
      </c>
      <c r="E620" s="192">
        <f t="shared" si="127"/>
        <v>0</v>
      </c>
      <c r="F620" s="192">
        <f t="shared" si="128"/>
        <v>0</v>
      </c>
      <c r="G620" s="193">
        <f t="shared" si="129"/>
        <v>0</v>
      </c>
      <c r="H620" s="194">
        <v>0</v>
      </c>
      <c r="I620" s="194">
        <v>0</v>
      </c>
      <c r="J620" s="194">
        <v>0</v>
      </c>
      <c r="K620" s="193">
        <f t="shared" si="130"/>
        <v>0</v>
      </c>
      <c r="L620" s="194">
        <v>0</v>
      </c>
      <c r="M620" s="194">
        <v>0</v>
      </c>
      <c r="N620" s="194">
        <v>0</v>
      </c>
      <c r="O620" s="193">
        <f t="shared" si="131"/>
        <v>0</v>
      </c>
      <c r="P620" s="194">
        <v>0</v>
      </c>
      <c r="Q620" s="194">
        <v>0</v>
      </c>
      <c r="R620" s="194">
        <v>0</v>
      </c>
      <c r="S620" s="193">
        <f t="shared" si="132"/>
        <v>0</v>
      </c>
      <c r="T620" s="193">
        <f t="shared" si="133"/>
        <v>0</v>
      </c>
      <c r="U620" s="193">
        <f ca="1">OFFSET('Expenditure Study'!$B$7,'Operations Support'!$C620,'Operations Support'!$B620)*$G620</f>
        <v>0</v>
      </c>
      <c r="V620" s="199">
        <f ca="1">U620*'Expenditure Study'!$B$31</f>
        <v>0</v>
      </c>
      <c r="W620" s="199">
        <f ca="1">IF(A620=10298,1.51,1)*IF($B620&lt;3,$D620*'Expenditure Study'!$B$32*OFFSET('Expenditure Study'!$B$7,'Operations Support'!$C620,'Operations Support'!$B620),0)</f>
        <v>0</v>
      </c>
      <c r="X620" s="200">
        <f ca="1">W620*'Expenditure Study'!$B$31</f>
        <v>0</v>
      </c>
      <c r="Y620" s="199">
        <f ca="1">U620*'Expenditure Study'!$B$31</f>
        <v>0</v>
      </c>
      <c r="Z620" s="200">
        <f ca="1">W620*'Expenditure Study'!$B$31</f>
        <v>0</v>
      </c>
      <c r="AA620" s="195">
        <f t="shared" ca="1" si="134"/>
        <v>0</v>
      </c>
      <c r="AB620" s="195">
        <f t="shared" ca="1" si="135"/>
        <v>0</v>
      </c>
      <c r="AD620" s="196">
        <f>IFERROR($G620/SUMIF($A:$A,$A620,$G:$G)*SUMIF(Summary!$A$166:$A$242,$A620,Summary!$P$166:$P$242),0)</f>
        <v>0</v>
      </c>
      <c r="AE620" s="197">
        <f t="shared" ca="1" si="136"/>
        <v>0</v>
      </c>
      <c r="AF620" s="196">
        <f>IFERROR(G620/SUMIF(A:A,A620,G:G)*SUMIF(Summary!$A$166:$A$242,'Operations Support'!A620,Summary!$Q$166:$Q$242),0)</f>
        <v>0</v>
      </c>
      <c r="AG620" s="196">
        <f t="shared" ca="1" si="137"/>
        <v>0</v>
      </c>
      <c r="AI620" s="196">
        <f>IFERROR($G620/SUMIF($A:$A,$A620,$G:$G)*SUMIF(Summary!$A$247:$A$283,$A620,Summary!$P$247:$P$283),0)</f>
        <v>0</v>
      </c>
      <c r="AJ620" s="196">
        <f>IFERROR($G620/SUMIF($A:$A,$A620,$G:$G)*(SUMIF(Summary!$A$247:$A$283,$A620,Summary!$L$247:$L$283)+SUMIF(Summary!$A$297:$A$333,$A620,Summary!$L$297:$L$333))-AI620,0)</f>
        <v>0</v>
      </c>
      <c r="AK620" s="196">
        <f>IFERROR($G620/SUMIF($A:$A,$A620,$G:$G)*SUMIF(Summary!$A$247:$A$283,$A620,Summary!$Q$247:$Q$283),0)</f>
        <v>0</v>
      </c>
      <c r="AL620" s="196">
        <f>IFERROR($G620/SUMIF($A:$A,$A620,$G:$G)*(SUMIF(Summary!$A$247:$A$283,$A620,Summary!$L$247:$L$283)+SUMIF(Summary!$A$297:$A$333,$A620,Summary!$L$297:$L$333))-AK620,0)</f>
        <v>0</v>
      </c>
      <c r="AM620" s="198"/>
      <c r="AN620" s="196">
        <f t="shared" ca="1" si="138"/>
        <v>0</v>
      </c>
      <c r="AO620" s="196">
        <f t="shared" ca="1" si="139"/>
        <v>0</v>
      </c>
    </row>
    <row r="621" spans="1:41">
      <c r="A621" s="189">
        <v>3594</v>
      </c>
      <c r="B621" s="190">
        <v>5</v>
      </c>
      <c r="C621" s="191" t="s">
        <v>227</v>
      </c>
      <c r="D621" s="192">
        <f t="shared" si="126"/>
        <v>0</v>
      </c>
      <c r="E621" s="192">
        <f t="shared" si="127"/>
        <v>0</v>
      </c>
      <c r="F621" s="192">
        <f t="shared" si="128"/>
        <v>0</v>
      </c>
      <c r="G621" s="193">
        <f t="shared" si="129"/>
        <v>0</v>
      </c>
      <c r="H621" s="194">
        <v>0</v>
      </c>
      <c r="I621" s="194">
        <v>0</v>
      </c>
      <c r="J621" s="194">
        <v>0</v>
      </c>
      <c r="K621" s="193">
        <f t="shared" si="130"/>
        <v>0</v>
      </c>
      <c r="L621" s="194">
        <v>0</v>
      </c>
      <c r="M621" s="194">
        <v>0</v>
      </c>
      <c r="N621" s="194">
        <v>0</v>
      </c>
      <c r="O621" s="193">
        <f t="shared" si="131"/>
        <v>0</v>
      </c>
      <c r="P621" s="194">
        <v>0</v>
      </c>
      <c r="Q621" s="194">
        <v>0</v>
      </c>
      <c r="R621" s="194">
        <v>0</v>
      </c>
      <c r="S621" s="193">
        <f t="shared" si="132"/>
        <v>0</v>
      </c>
      <c r="T621" s="193">
        <f t="shared" si="133"/>
        <v>0</v>
      </c>
      <c r="U621" s="193">
        <f ca="1">OFFSET('Expenditure Study'!$B$7,'Operations Support'!$C621,'Operations Support'!$B621)*$G621</f>
        <v>0</v>
      </c>
      <c r="V621" s="199">
        <f ca="1">U621*'Expenditure Study'!$B$31</f>
        <v>0</v>
      </c>
      <c r="W621" s="199">
        <f ca="1">IF(A621=10298,1.51,1)*IF($B621&lt;3,$D621*'Expenditure Study'!$B$32*OFFSET('Expenditure Study'!$B$7,'Operations Support'!$C621,'Operations Support'!$B621),0)</f>
        <v>0</v>
      </c>
      <c r="X621" s="200">
        <f ca="1">W621*'Expenditure Study'!$B$31</f>
        <v>0</v>
      </c>
      <c r="Y621" s="199">
        <f ca="1">U621*'Expenditure Study'!$B$31</f>
        <v>0</v>
      </c>
      <c r="Z621" s="200">
        <f ca="1">W621*'Expenditure Study'!$B$31</f>
        <v>0</v>
      </c>
      <c r="AA621" s="195">
        <f t="shared" ca="1" si="134"/>
        <v>0</v>
      </c>
      <c r="AB621" s="195">
        <f t="shared" ca="1" si="135"/>
        <v>0</v>
      </c>
      <c r="AD621" s="196">
        <f>IFERROR($G621/SUMIF($A:$A,$A621,$G:$G)*SUMIF(Summary!$A$166:$A$242,$A621,Summary!$P$166:$P$242),0)</f>
        <v>0</v>
      </c>
      <c r="AE621" s="197">
        <f t="shared" ca="1" si="136"/>
        <v>0</v>
      </c>
      <c r="AF621" s="196">
        <f>IFERROR(G621/SUMIF(A:A,A621,G:G)*SUMIF(Summary!$A$166:$A$242,'Operations Support'!A621,Summary!$Q$166:$Q$242),0)</f>
        <v>0</v>
      </c>
      <c r="AG621" s="196">
        <f t="shared" ca="1" si="137"/>
        <v>0</v>
      </c>
      <c r="AI621" s="196">
        <f>IFERROR($G621/SUMIF($A:$A,$A621,$G:$G)*SUMIF(Summary!$A$247:$A$283,$A621,Summary!$P$247:$P$283),0)</f>
        <v>0</v>
      </c>
      <c r="AJ621" s="196">
        <f>IFERROR($G621/SUMIF($A:$A,$A621,$G:$G)*(SUMIF(Summary!$A$247:$A$283,$A621,Summary!$L$247:$L$283)+SUMIF(Summary!$A$297:$A$333,$A621,Summary!$L$297:$L$333))-AI621,0)</f>
        <v>0</v>
      </c>
      <c r="AK621" s="196">
        <f>IFERROR($G621/SUMIF($A:$A,$A621,$G:$G)*SUMIF(Summary!$A$247:$A$283,$A621,Summary!$Q$247:$Q$283),0)</f>
        <v>0</v>
      </c>
      <c r="AL621" s="196">
        <f>IFERROR($G621/SUMIF($A:$A,$A621,$G:$G)*(SUMIF(Summary!$A$247:$A$283,$A621,Summary!$L$247:$L$283)+SUMIF(Summary!$A$297:$A$333,$A621,Summary!$L$297:$L$333))-AK621,0)</f>
        <v>0</v>
      </c>
      <c r="AM621" s="198"/>
      <c r="AN621" s="196">
        <f t="shared" ca="1" si="138"/>
        <v>0</v>
      </c>
      <c r="AO621" s="196">
        <f t="shared" ca="1" si="139"/>
        <v>0</v>
      </c>
    </row>
    <row r="622" spans="1:41">
      <c r="A622" s="189">
        <v>3594</v>
      </c>
      <c r="B622" s="190">
        <v>5</v>
      </c>
      <c r="C622" s="191" t="s">
        <v>228</v>
      </c>
      <c r="D622" s="192">
        <f t="shared" si="126"/>
        <v>0</v>
      </c>
      <c r="E622" s="192">
        <f t="shared" si="127"/>
        <v>0</v>
      </c>
      <c r="F622" s="192">
        <f t="shared" si="128"/>
        <v>0</v>
      </c>
      <c r="G622" s="193">
        <f t="shared" si="129"/>
        <v>0</v>
      </c>
      <c r="H622" s="194">
        <v>0</v>
      </c>
      <c r="I622" s="194">
        <v>0</v>
      </c>
      <c r="J622" s="194">
        <v>0</v>
      </c>
      <c r="K622" s="193">
        <f t="shared" si="130"/>
        <v>0</v>
      </c>
      <c r="L622" s="194">
        <v>0</v>
      </c>
      <c r="M622" s="194">
        <v>0</v>
      </c>
      <c r="N622" s="194">
        <v>0</v>
      </c>
      <c r="O622" s="193">
        <f t="shared" si="131"/>
        <v>0</v>
      </c>
      <c r="P622" s="194">
        <v>0</v>
      </c>
      <c r="Q622" s="194">
        <v>0</v>
      </c>
      <c r="R622" s="194">
        <v>0</v>
      </c>
      <c r="S622" s="193">
        <f t="shared" si="132"/>
        <v>0</v>
      </c>
      <c r="T622" s="193">
        <f t="shared" si="133"/>
        <v>0</v>
      </c>
      <c r="U622" s="193">
        <f ca="1">OFFSET('Expenditure Study'!$B$7,'Operations Support'!$C622,'Operations Support'!$B622)*$G622</f>
        <v>0</v>
      </c>
      <c r="V622" s="199">
        <f ca="1">U622*'Expenditure Study'!$B$31</f>
        <v>0</v>
      </c>
      <c r="W622" s="199">
        <f ca="1">IF(A622=10298,1.51,1)*IF($B622&lt;3,$D622*'Expenditure Study'!$B$32*OFFSET('Expenditure Study'!$B$7,'Operations Support'!$C622,'Operations Support'!$B622),0)</f>
        <v>0</v>
      </c>
      <c r="X622" s="200">
        <f ca="1">W622*'Expenditure Study'!$B$31</f>
        <v>0</v>
      </c>
      <c r="Y622" s="199">
        <f ca="1">U622*'Expenditure Study'!$B$31</f>
        <v>0</v>
      </c>
      <c r="Z622" s="200">
        <f ca="1">W622*'Expenditure Study'!$B$31</f>
        <v>0</v>
      </c>
      <c r="AA622" s="195">
        <f t="shared" ca="1" si="134"/>
        <v>0</v>
      </c>
      <c r="AB622" s="195">
        <f t="shared" ca="1" si="135"/>
        <v>0</v>
      </c>
      <c r="AD622" s="196">
        <f>IFERROR($G622/SUMIF($A:$A,$A622,$G:$G)*SUMIF(Summary!$A$166:$A$242,$A622,Summary!$P$166:$P$242),0)</f>
        <v>0</v>
      </c>
      <c r="AE622" s="197">
        <f t="shared" ca="1" si="136"/>
        <v>0</v>
      </c>
      <c r="AF622" s="196">
        <f>IFERROR(G622/SUMIF(A:A,A622,G:G)*SUMIF(Summary!$A$166:$A$242,'Operations Support'!A622,Summary!$Q$166:$Q$242),0)</f>
        <v>0</v>
      </c>
      <c r="AG622" s="196">
        <f t="shared" ca="1" si="137"/>
        <v>0</v>
      </c>
      <c r="AI622" s="196">
        <f>IFERROR($G622/SUMIF($A:$A,$A622,$G:$G)*SUMIF(Summary!$A$247:$A$283,$A622,Summary!$P$247:$P$283),0)</f>
        <v>0</v>
      </c>
      <c r="AJ622" s="196">
        <f>IFERROR($G622/SUMIF($A:$A,$A622,$G:$G)*(SUMIF(Summary!$A$247:$A$283,$A622,Summary!$L$247:$L$283)+SUMIF(Summary!$A$297:$A$333,$A622,Summary!$L$297:$L$333))-AI622,0)</f>
        <v>0</v>
      </c>
      <c r="AK622" s="196">
        <f>IFERROR($G622/SUMIF($A:$A,$A622,$G:$G)*SUMIF(Summary!$A$247:$A$283,$A622,Summary!$Q$247:$Q$283),0)</f>
        <v>0</v>
      </c>
      <c r="AL622" s="196">
        <f>IFERROR($G622/SUMIF($A:$A,$A622,$G:$G)*(SUMIF(Summary!$A$247:$A$283,$A622,Summary!$L$247:$L$283)+SUMIF(Summary!$A$297:$A$333,$A622,Summary!$L$297:$L$333))-AK622,0)</f>
        <v>0</v>
      </c>
      <c r="AM622" s="198"/>
      <c r="AN622" s="196">
        <f t="shared" ca="1" si="138"/>
        <v>0</v>
      </c>
      <c r="AO622" s="196">
        <f t="shared" ca="1" si="139"/>
        <v>0</v>
      </c>
    </row>
    <row r="623" spans="1:41">
      <c r="A623" s="189">
        <v>3594</v>
      </c>
      <c r="B623" s="190">
        <v>5</v>
      </c>
      <c r="C623" s="191" t="s">
        <v>229</v>
      </c>
      <c r="D623" s="192">
        <f t="shared" si="126"/>
        <v>0</v>
      </c>
      <c r="E623" s="192">
        <f t="shared" si="127"/>
        <v>0</v>
      </c>
      <c r="F623" s="192">
        <f t="shared" si="128"/>
        <v>0</v>
      </c>
      <c r="G623" s="193">
        <f t="shared" si="129"/>
        <v>0</v>
      </c>
      <c r="H623" s="194">
        <v>0</v>
      </c>
      <c r="I623" s="194">
        <v>0</v>
      </c>
      <c r="J623" s="194">
        <v>0</v>
      </c>
      <c r="K623" s="193">
        <f t="shared" si="130"/>
        <v>0</v>
      </c>
      <c r="L623" s="194">
        <v>0</v>
      </c>
      <c r="M623" s="194">
        <v>0</v>
      </c>
      <c r="N623" s="194">
        <v>0</v>
      </c>
      <c r="O623" s="193">
        <f t="shared" si="131"/>
        <v>0</v>
      </c>
      <c r="P623" s="194">
        <v>0</v>
      </c>
      <c r="Q623" s="194">
        <v>0</v>
      </c>
      <c r="R623" s="194">
        <v>0</v>
      </c>
      <c r="S623" s="193">
        <f t="shared" si="132"/>
        <v>0</v>
      </c>
      <c r="T623" s="193">
        <f t="shared" si="133"/>
        <v>0</v>
      </c>
      <c r="U623" s="193">
        <f ca="1">OFFSET('Expenditure Study'!$B$7,'Operations Support'!$C623,'Operations Support'!$B623)*$G623</f>
        <v>0</v>
      </c>
      <c r="V623" s="199">
        <f ca="1">U623*'Expenditure Study'!$B$31</f>
        <v>0</v>
      </c>
      <c r="W623" s="199">
        <f ca="1">IF(A623=10298,1.51,1)*IF($B623&lt;3,$D623*'Expenditure Study'!$B$32*OFFSET('Expenditure Study'!$B$7,'Operations Support'!$C623,'Operations Support'!$B623),0)</f>
        <v>0</v>
      </c>
      <c r="X623" s="200">
        <f ca="1">W623*'Expenditure Study'!$B$31</f>
        <v>0</v>
      </c>
      <c r="Y623" s="199">
        <f ca="1">U623*'Expenditure Study'!$B$31</f>
        <v>0</v>
      </c>
      <c r="Z623" s="200">
        <f ca="1">W623*'Expenditure Study'!$B$31</f>
        <v>0</v>
      </c>
      <c r="AA623" s="195">
        <f t="shared" ca="1" si="134"/>
        <v>0</v>
      </c>
      <c r="AB623" s="195">
        <f t="shared" ca="1" si="135"/>
        <v>0</v>
      </c>
      <c r="AD623" s="196">
        <f>IFERROR($G623/SUMIF($A:$A,$A623,$G:$G)*SUMIF(Summary!$A$166:$A$242,$A623,Summary!$P$166:$P$242),0)</f>
        <v>0</v>
      </c>
      <c r="AE623" s="197">
        <f t="shared" ca="1" si="136"/>
        <v>0</v>
      </c>
      <c r="AF623" s="196">
        <f>IFERROR(G623/SUMIF(A:A,A623,G:G)*SUMIF(Summary!$A$166:$A$242,'Operations Support'!A623,Summary!$Q$166:$Q$242),0)</f>
        <v>0</v>
      </c>
      <c r="AG623" s="196">
        <f t="shared" ca="1" si="137"/>
        <v>0</v>
      </c>
      <c r="AI623" s="196">
        <f>IFERROR($G623/SUMIF($A:$A,$A623,$G:$G)*SUMIF(Summary!$A$247:$A$283,$A623,Summary!$P$247:$P$283),0)</f>
        <v>0</v>
      </c>
      <c r="AJ623" s="196">
        <f>IFERROR($G623/SUMIF($A:$A,$A623,$G:$G)*(SUMIF(Summary!$A$247:$A$283,$A623,Summary!$L$247:$L$283)+SUMIF(Summary!$A$297:$A$333,$A623,Summary!$L$297:$L$333))-AI623,0)</f>
        <v>0</v>
      </c>
      <c r="AK623" s="196">
        <f>IFERROR($G623/SUMIF($A:$A,$A623,$G:$G)*SUMIF(Summary!$A$247:$A$283,$A623,Summary!$Q$247:$Q$283),0)</f>
        <v>0</v>
      </c>
      <c r="AL623" s="196">
        <f>IFERROR($G623/SUMIF($A:$A,$A623,$G:$G)*(SUMIF(Summary!$A$247:$A$283,$A623,Summary!$L$247:$L$283)+SUMIF(Summary!$A$297:$A$333,$A623,Summary!$L$297:$L$333))-AK623,0)</f>
        <v>0</v>
      </c>
      <c r="AM623" s="198"/>
      <c r="AN623" s="196">
        <f t="shared" ca="1" si="138"/>
        <v>0</v>
      </c>
      <c r="AO623" s="196">
        <f t="shared" ca="1" si="139"/>
        <v>0</v>
      </c>
    </row>
    <row r="624" spans="1:41">
      <c r="A624" s="189">
        <v>3594</v>
      </c>
      <c r="B624" s="190">
        <v>5</v>
      </c>
      <c r="C624" s="191" t="s">
        <v>230</v>
      </c>
      <c r="D624" s="192">
        <f t="shared" si="126"/>
        <v>0</v>
      </c>
      <c r="E624" s="192">
        <f t="shared" si="127"/>
        <v>0</v>
      </c>
      <c r="F624" s="192">
        <f t="shared" si="128"/>
        <v>0</v>
      </c>
      <c r="G624" s="193">
        <f t="shared" si="129"/>
        <v>0</v>
      </c>
      <c r="H624" s="194">
        <v>0</v>
      </c>
      <c r="I624" s="194">
        <v>0</v>
      </c>
      <c r="J624" s="194">
        <v>0</v>
      </c>
      <c r="K624" s="193">
        <f t="shared" si="130"/>
        <v>0</v>
      </c>
      <c r="L624" s="194">
        <v>0</v>
      </c>
      <c r="M624" s="194">
        <v>0</v>
      </c>
      <c r="N624" s="194">
        <v>0</v>
      </c>
      <c r="O624" s="193">
        <f t="shared" si="131"/>
        <v>0</v>
      </c>
      <c r="P624" s="194">
        <v>0</v>
      </c>
      <c r="Q624" s="194">
        <v>0</v>
      </c>
      <c r="R624" s="194">
        <v>0</v>
      </c>
      <c r="S624" s="193">
        <f t="shared" si="132"/>
        <v>0</v>
      </c>
      <c r="T624" s="193">
        <f t="shared" si="133"/>
        <v>0</v>
      </c>
      <c r="U624" s="193">
        <f ca="1">OFFSET('Expenditure Study'!$B$7,'Operations Support'!$C624,'Operations Support'!$B624)*$G624</f>
        <v>0</v>
      </c>
      <c r="V624" s="199">
        <f ca="1">U624*'Expenditure Study'!$B$31</f>
        <v>0</v>
      </c>
      <c r="W624" s="199">
        <f ca="1">IF(A624=10298,1.51,1)*IF($B624&lt;3,$D624*'Expenditure Study'!$B$32*OFFSET('Expenditure Study'!$B$7,'Operations Support'!$C624,'Operations Support'!$B624),0)</f>
        <v>0</v>
      </c>
      <c r="X624" s="200">
        <f ca="1">W624*'Expenditure Study'!$B$31</f>
        <v>0</v>
      </c>
      <c r="Y624" s="199">
        <f ca="1">U624*'Expenditure Study'!$B$31</f>
        <v>0</v>
      </c>
      <c r="Z624" s="200">
        <f ca="1">W624*'Expenditure Study'!$B$31</f>
        <v>0</v>
      </c>
      <c r="AA624" s="195">
        <f t="shared" ca="1" si="134"/>
        <v>0</v>
      </c>
      <c r="AB624" s="195">
        <f t="shared" ca="1" si="135"/>
        <v>0</v>
      </c>
      <c r="AD624" s="196">
        <f>IFERROR($G624/SUMIF($A:$A,$A624,$G:$G)*SUMIF(Summary!$A$166:$A$242,$A624,Summary!$P$166:$P$242),0)</f>
        <v>0</v>
      </c>
      <c r="AE624" s="197">
        <f t="shared" ca="1" si="136"/>
        <v>0</v>
      </c>
      <c r="AF624" s="196">
        <f>IFERROR(G624/SUMIF(A:A,A624,G:G)*SUMIF(Summary!$A$166:$A$242,'Operations Support'!A624,Summary!$Q$166:$Q$242),0)</f>
        <v>0</v>
      </c>
      <c r="AG624" s="196">
        <f t="shared" ca="1" si="137"/>
        <v>0</v>
      </c>
      <c r="AI624" s="196">
        <f>IFERROR($G624/SUMIF($A:$A,$A624,$G:$G)*SUMIF(Summary!$A$247:$A$283,$A624,Summary!$P$247:$P$283),0)</f>
        <v>0</v>
      </c>
      <c r="AJ624" s="196">
        <f>IFERROR($G624/SUMIF($A:$A,$A624,$G:$G)*(SUMIF(Summary!$A$247:$A$283,$A624,Summary!$L$247:$L$283)+SUMIF(Summary!$A$297:$A$333,$A624,Summary!$L$297:$L$333))-AI624,0)</f>
        <v>0</v>
      </c>
      <c r="AK624" s="196">
        <f>IFERROR($G624/SUMIF($A:$A,$A624,$G:$G)*SUMIF(Summary!$A$247:$A$283,$A624,Summary!$Q$247:$Q$283),0)</f>
        <v>0</v>
      </c>
      <c r="AL624" s="196">
        <f>IFERROR($G624/SUMIF($A:$A,$A624,$G:$G)*(SUMIF(Summary!$A$247:$A$283,$A624,Summary!$L$247:$L$283)+SUMIF(Summary!$A$297:$A$333,$A624,Summary!$L$297:$L$333))-AK624,0)</f>
        <v>0</v>
      </c>
      <c r="AM624" s="198"/>
      <c r="AN624" s="196">
        <f t="shared" ca="1" si="138"/>
        <v>0</v>
      </c>
      <c r="AO624" s="196">
        <f t="shared" ca="1" si="139"/>
        <v>0</v>
      </c>
    </row>
    <row r="625" spans="1:41" s="201" customFormat="1">
      <c r="A625" s="189">
        <v>3594</v>
      </c>
      <c r="B625" s="190">
        <v>5</v>
      </c>
      <c r="C625" s="191" t="s">
        <v>231</v>
      </c>
      <c r="D625" s="192">
        <f t="shared" si="126"/>
        <v>0</v>
      </c>
      <c r="E625" s="192">
        <f t="shared" si="127"/>
        <v>0</v>
      </c>
      <c r="F625" s="192">
        <f t="shared" si="128"/>
        <v>0</v>
      </c>
      <c r="G625" s="193">
        <f t="shared" si="129"/>
        <v>0</v>
      </c>
      <c r="H625" s="194">
        <v>0</v>
      </c>
      <c r="I625" s="194">
        <v>0</v>
      </c>
      <c r="J625" s="194">
        <v>0</v>
      </c>
      <c r="K625" s="193">
        <f t="shared" si="130"/>
        <v>0</v>
      </c>
      <c r="L625" s="194">
        <v>0</v>
      </c>
      <c r="M625" s="194">
        <v>0</v>
      </c>
      <c r="N625" s="194">
        <v>0</v>
      </c>
      <c r="O625" s="193">
        <f t="shared" si="131"/>
        <v>0</v>
      </c>
      <c r="P625" s="194">
        <v>0</v>
      </c>
      <c r="Q625" s="194">
        <v>0</v>
      </c>
      <c r="R625" s="194">
        <v>0</v>
      </c>
      <c r="S625" s="193">
        <f t="shared" si="132"/>
        <v>0</v>
      </c>
      <c r="T625" s="193">
        <f t="shared" si="133"/>
        <v>0</v>
      </c>
      <c r="U625" s="193">
        <f ca="1">OFFSET('Expenditure Study'!$B$7,'Operations Support'!$C625,'Operations Support'!$B625)*$G625</f>
        <v>0</v>
      </c>
      <c r="V625" s="199">
        <f ca="1">U625*'Expenditure Study'!$B$31</f>
        <v>0</v>
      </c>
      <c r="W625" s="199">
        <f ca="1">IF(A625=10298,1.51,1)*IF($B625&lt;3,$D625*'Expenditure Study'!$B$32*OFFSET('Expenditure Study'!$B$7,'Operations Support'!$C625,'Operations Support'!$B625),0)</f>
        <v>0</v>
      </c>
      <c r="X625" s="200">
        <f ca="1">W625*'Expenditure Study'!$B$31</f>
        <v>0</v>
      </c>
      <c r="Y625" s="199">
        <f ca="1">U625*'Expenditure Study'!$B$31</f>
        <v>0</v>
      </c>
      <c r="Z625" s="200">
        <f ca="1">W625*'Expenditure Study'!$B$31</f>
        <v>0</v>
      </c>
      <c r="AA625" s="195">
        <f t="shared" ca="1" si="134"/>
        <v>0</v>
      </c>
      <c r="AB625" s="195">
        <f t="shared" ca="1" si="135"/>
        <v>0</v>
      </c>
      <c r="AD625" s="196">
        <f>IFERROR($G625/SUMIF($A:$A,$A625,$G:$G)*SUMIF(Summary!$A$166:$A$242,$A625,Summary!$P$166:$P$242),0)</f>
        <v>0</v>
      </c>
      <c r="AE625" s="197">
        <f t="shared" ca="1" si="136"/>
        <v>0</v>
      </c>
      <c r="AF625" s="196">
        <f>IFERROR(G625/SUMIF(A:A,A625,G:G)*SUMIF(Summary!$A$166:$A$242,'Operations Support'!A625,Summary!$Q$166:$Q$242),0)</f>
        <v>0</v>
      </c>
      <c r="AG625" s="196">
        <f t="shared" ca="1" si="137"/>
        <v>0</v>
      </c>
      <c r="AH625" s="180"/>
      <c r="AI625" s="196">
        <f>IFERROR($G625/SUMIF($A:$A,$A625,$G:$G)*SUMIF(Summary!$A$247:$A$283,$A625,Summary!$P$247:$P$283),0)</f>
        <v>0</v>
      </c>
      <c r="AJ625" s="196">
        <f>IFERROR($G625/SUMIF($A:$A,$A625,$G:$G)*(SUMIF(Summary!$A$247:$A$283,$A625,Summary!$L$247:$L$283)+SUMIF(Summary!$A$297:$A$333,$A625,Summary!$L$297:$L$333))-AI625,0)</f>
        <v>0</v>
      </c>
      <c r="AK625" s="196">
        <f>IFERROR($G625/SUMIF($A:$A,$A625,$G:$G)*SUMIF(Summary!$A$247:$A$283,$A625,Summary!$Q$247:$Q$283),0)</f>
        <v>0</v>
      </c>
      <c r="AL625" s="196">
        <f>IFERROR($G625/SUMIF($A:$A,$A625,$G:$G)*(SUMIF(Summary!$A$247:$A$283,$A625,Summary!$L$247:$L$283)+SUMIF(Summary!$A$297:$A$333,$A625,Summary!$L$297:$L$333))-AK625,0)</f>
        <v>0</v>
      </c>
      <c r="AM625" s="198"/>
      <c r="AN625" s="196">
        <f t="shared" ca="1" si="138"/>
        <v>0</v>
      </c>
      <c r="AO625" s="196">
        <f t="shared" ca="1" si="139"/>
        <v>0</v>
      </c>
    </row>
    <row r="626" spans="1:41">
      <c r="A626" s="189">
        <v>3594</v>
      </c>
      <c r="B626" s="190">
        <v>5</v>
      </c>
      <c r="C626" s="191" t="s">
        <v>232</v>
      </c>
      <c r="D626" s="192">
        <f t="shared" si="126"/>
        <v>0</v>
      </c>
      <c r="E626" s="192">
        <f t="shared" si="127"/>
        <v>0</v>
      </c>
      <c r="F626" s="192">
        <f t="shared" si="128"/>
        <v>0</v>
      </c>
      <c r="G626" s="193">
        <f t="shared" si="129"/>
        <v>0</v>
      </c>
      <c r="H626" s="194">
        <v>0</v>
      </c>
      <c r="I626" s="194">
        <v>0</v>
      </c>
      <c r="J626" s="194">
        <v>0</v>
      </c>
      <c r="K626" s="193">
        <f t="shared" si="130"/>
        <v>0</v>
      </c>
      <c r="L626" s="194">
        <v>0</v>
      </c>
      <c r="M626" s="194">
        <v>0</v>
      </c>
      <c r="N626" s="194">
        <v>0</v>
      </c>
      <c r="O626" s="193">
        <f t="shared" si="131"/>
        <v>0</v>
      </c>
      <c r="P626" s="194">
        <v>0</v>
      </c>
      <c r="Q626" s="194">
        <v>0</v>
      </c>
      <c r="R626" s="194">
        <v>0</v>
      </c>
      <c r="S626" s="193">
        <f t="shared" si="132"/>
        <v>0</v>
      </c>
      <c r="T626" s="193">
        <f t="shared" si="133"/>
        <v>0</v>
      </c>
      <c r="U626" s="193">
        <f ca="1">OFFSET('Expenditure Study'!$B$7,'Operations Support'!$C626,'Operations Support'!$B626)*$G626</f>
        <v>0</v>
      </c>
      <c r="V626" s="199">
        <f ca="1">U626*'Expenditure Study'!$B$31</f>
        <v>0</v>
      </c>
      <c r="W626" s="199">
        <f ca="1">IF(A626=10298,1.51,1)*IF($B626&lt;3,$D626*'Expenditure Study'!$B$32*OFFSET('Expenditure Study'!$B$7,'Operations Support'!$C626,'Operations Support'!$B626),0)</f>
        <v>0</v>
      </c>
      <c r="X626" s="200">
        <f ca="1">W626*'Expenditure Study'!$B$31</f>
        <v>0</v>
      </c>
      <c r="Y626" s="199">
        <f ca="1">U626*'Expenditure Study'!$B$31</f>
        <v>0</v>
      </c>
      <c r="Z626" s="200">
        <f ca="1">W626*'Expenditure Study'!$B$31</f>
        <v>0</v>
      </c>
      <c r="AA626" s="195">
        <f t="shared" ca="1" si="134"/>
        <v>0</v>
      </c>
      <c r="AB626" s="195">
        <f t="shared" ca="1" si="135"/>
        <v>0</v>
      </c>
      <c r="AD626" s="196">
        <f>IFERROR($G626/SUMIF($A:$A,$A626,$G:$G)*SUMIF(Summary!$A$166:$A$242,$A626,Summary!$P$166:$P$242),0)</f>
        <v>0</v>
      </c>
      <c r="AE626" s="197">
        <f t="shared" ca="1" si="136"/>
        <v>0</v>
      </c>
      <c r="AF626" s="196">
        <f>IFERROR(G626/SUMIF(A:A,A626,G:G)*SUMIF(Summary!$A$166:$A$242,'Operations Support'!A626,Summary!$Q$166:$Q$242),0)</f>
        <v>0</v>
      </c>
      <c r="AG626" s="196">
        <f t="shared" ca="1" si="137"/>
        <v>0</v>
      </c>
      <c r="AI626" s="196">
        <f>IFERROR($G626/SUMIF($A:$A,$A626,$G:$G)*SUMIF(Summary!$A$247:$A$283,$A626,Summary!$P$247:$P$283),0)</f>
        <v>0</v>
      </c>
      <c r="AJ626" s="196">
        <f>IFERROR($G626/SUMIF($A:$A,$A626,$G:$G)*(SUMIF(Summary!$A$247:$A$283,$A626,Summary!$L$247:$L$283)+SUMIF(Summary!$A$297:$A$333,$A626,Summary!$L$297:$L$333))-AI626,0)</f>
        <v>0</v>
      </c>
      <c r="AK626" s="196">
        <f>IFERROR($G626/SUMIF($A:$A,$A626,$G:$G)*SUMIF(Summary!$A$247:$A$283,$A626,Summary!$Q$247:$Q$283),0)</f>
        <v>0</v>
      </c>
      <c r="AL626" s="196">
        <f>IFERROR($G626/SUMIF($A:$A,$A626,$G:$G)*(SUMIF(Summary!$A$247:$A$283,$A626,Summary!$L$247:$L$283)+SUMIF(Summary!$A$297:$A$333,$A626,Summary!$L$297:$L$333))-AK626,0)</f>
        <v>0</v>
      </c>
      <c r="AM626" s="198"/>
      <c r="AN626" s="196">
        <f t="shared" ca="1" si="138"/>
        <v>0</v>
      </c>
      <c r="AO626" s="196">
        <f t="shared" ca="1" si="139"/>
        <v>0</v>
      </c>
    </row>
    <row r="627" spans="1:41">
      <c r="A627" s="189">
        <v>3594</v>
      </c>
      <c r="B627" s="190">
        <v>5</v>
      </c>
      <c r="C627" s="191" t="s">
        <v>233</v>
      </c>
      <c r="D627" s="192">
        <f t="shared" si="126"/>
        <v>282</v>
      </c>
      <c r="E627" s="192">
        <f t="shared" si="127"/>
        <v>808</v>
      </c>
      <c r="F627" s="192">
        <f t="shared" si="128"/>
        <v>0</v>
      </c>
      <c r="G627" s="193">
        <f t="shared" si="129"/>
        <v>1090</v>
      </c>
      <c r="H627" s="194">
        <v>180</v>
      </c>
      <c r="I627" s="194">
        <v>325</v>
      </c>
      <c r="J627" s="194">
        <v>0</v>
      </c>
      <c r="K627" s="193">
        <f t="shared" si="130"/>
        <v>505</v>
      </c>
      <c r="L627" s="194">
        <v>102</v>
      </c>
      <c r="M627" s="194">
        <v>343</v>
      </c>
      <c r="N627" s="194">
        <v>0</v>
      </c>
      <c r="O627" s="193">
        <f t="shared" si="131"/>
        <v>445</v>
      </c>
      <c r="P627" s="194">
        <v>0</v>
      </c>
      <c r="Q627" s="194">
        <v>140</v>
      </c>
      <c r="R627" s="194">
        <v>0</v>
      </c>
      <c r="S627" s="193">
        <f t="shared" si="132"/>
        <v>140</v>
      </c>
      <c r="T627" s="193">
        <f t="shared" si="133"/>
        <v>45.416666666666664</v>
      </c>
      <c r="U627" s="193">
        <f ca="1">OFFSET('Expenditure Study'!$B$7,'Operations Support'!$C627,'Operations Support'!$B627)*$G627</f>
        <v>3575.2</v>
      </c>
      <c r="V627" s="199">
        <f ca="1">U627*'Expenditure Study'!$B$31</f>
        <v>211234.18799616001</v>
      </c>
      <c r="W627" s="199">
        <f ca="1">IF(A627=10298,1.51,1)*IF($B627&lt;3,$D627*'Expenditure Study'!$B$32*OFFSET('Expenditure Study'!$B$7,'Operations Support'!$C627,'Operations Support'!$B627),0)</f>
        <v>0</v>
      </c>
      <c r="X627" s="200">
        <f ca="1">W627*'Expenditure Study'!$B$31</f>
        <v>0</v>
      </c>
      <c r="Y627" s="199">
        <f ca="1">U627*'Expenditure Study'!$B$31</f>
        <v>211234.18799616001</v>
      </c>
      <c r="Z627" s="200">
        <f ca="1">W627*'Expenditure Study'!$B$31</f>
        <v>0</v>
      </c>
      <c r="AA627" s="195">
        <f t="shared" ca="1" si="134"/>
        <v>211234.18799616001</v>
      </c>
      <c r="AB627" s="195">
        <f t="shared" ca="1" si="135"/>
        <v>211234.18799616001</v>
      </c>
      <c r="AD627" s="196">
        <f>IFERROR($G627/SUMIF($A:$A,$A627,$G:$G)*SUMIF(Summary!$A$166:$A$242,$A627,Summary!$P$166:$P$242),0)</f>
        <v>53983.840965338211</v>
      </c>
      <c r="AE627" s="197">
        <f t="shared" ca="1" si="136"/>
        <v>157250.34703082178</v>
      </c>
      <c r="AF627" s="196">
        <f>IFERROR(G627/SUMIF(A:A,A627,G:G)*SUMIF(Summary!$A$166:$A$242,'Operations Support'!A627,Summary!$Q$166:$Q$242),0)</f>
        <v>54318.635837731999</v>
      </c>
      <c r="AG627" s="196">
        <f t="shared" ca="1" si="137"/>
        <v>156915.55215842801</v>
      </c>
      <c r="AI627" s="196">
        <f>IFERROR($G627/SUMIF($A:$A,$A627,$G:$G)*SUMIF(Summary!$A$247:$A$283,$A627,Summary!$P$247:$P$283),0)</f>
        <v>9845.3054403430615</v>
      </c>
      <c r="AJ627" s="196">
        <f>IFERROR($G627/SUMIF($A:$A,$A627,$G:$G)*(SUMIF(Summary!$A$247:$A$283,$A627,Summary!$L$247:$L$283)+SUMIF(Summary!$A$297:$A$333,$A627,Summary!$L$297:$L$333))-AI627,0)</f>
        <v>14346.513360432338</v>
      </c>
      <c r="AK627" s="196">
        <f>IFERROR($G627/SUMIF($A:$A,$A627,$G:$G)*SUMIF(Summary!$A$247:$A$283,$A627,Summary!$Q$247:$Q$283),0)</f>
        <v>9906.3636703547763</v>
      </c>
      <c r="AL627" s="196">
        <f>IFERROR($G627/SUMIF($A:$A,$A627,$G:$G)*(SUMIF(Summary!$A$247:$A$283,$A627,Summary!$L$247:$L$283)+SUMIF(Summary!$A$297:$A$333,$A627,Summary!$L$297:$L$333))-AK627,0)</f>
        <v>14285.455130420623</v>
      </c>
      <c r="AM627" s="198"/>
      <c r="AN627" s="196">
        <f t="shared" ca="1" si="138"/>
        <v>171596.86039125413</v>
      </c>
      <c r="AO627" s="196">
        <f t="shared" ca="1" si="139"/>
        <v>171201.00728884863</v>
      </c>
    </row>
    <row r="628" spans="1:41">
      <c r="A628" s="189">
        <v>3594</v>
      </c>
      <c r="B628" s="190">
        <v>5</v>
      </c>
      <c r="C628" s="191" t="s">
        <v>234</v>
      </c>
      <c r="D628" s="192">
        <f t="shared" si="126"/>
        <v>0</v>
      </c>
      <c r="E628" s="192">
        <f t="shared" si="127"/>
        <v>0</v>
      </c>
      <c r="F628" s="192">
        <f t="shared" si="128"/>
        <v>0</v>
      </c>
      <c r="G628" s="193">
        <f t="shared" si="129"/>
        <v>0</v>
      </c>
      <c r="H628" s="194">
        <v>0</v>
      </c>
      <c r="I628" s="194">
        <v>0</v>
      </c>
      <c r="J628" s="194">
        <v>0</v>
      </c>
      <c r="K628" s="193">
        <f t="shared" si="130"/>
        <v>0</v>
      </c>
      <c r="L628" s="194">
        <v>0</v>
      </c>
      <c r="M628" s="194">
        <v>0</v>
      </c>
      <c r="N628" s="194">
        <v>0</v>
      </c>
      <c r="O628" s="193">
        <f t="shared" si="131"/>
        <v>0</v>
      </c>
      <c r="P628" s="194">
        <v>0</v>
      </c>
      <c r="Q628" s="194">
        <v>0</v>
      </c>
      <c r="R628" s="194">
        <v>0</v>
      </c>
      <c r="S628" s="193">
        <f t="shared" si="132"/>
        <v>0</v>
      </c>
      <c r="T628" s="193">
        <f t="shared" si="133"/>
        <v>0</v>
      </c>
      <c r="U628" s="193">
        <f ca="1">OFFSET('Expenditure Study'!$B$7,'Operations Support'!$C628,'Operations Support'!$B628)*$G628</f>
        <v>0</v>
      </c>
      <c r="V628" s="199">
        <f ca="1">U628*'Expenditure Study'!$B$31</f>
        <v>0</v>
      </c>
      <c r="W628" s="199">
        <f ca="1">IF(A628=10298,1.51,1)*IF($B628&lt;3,$D628*'Expenditure Study'!$B$32*OFFSET('Expenditure Study'!$B$7,'Operations Support'!$C628,'Operations Support'!$B628),0)</f>
        <v>0</v>
      </c>
      <c r="X628" s="200">
        <f ca="1">W628*'Expenditure Study'!$B$31</f>
        <v>0</v>
      </c>
      <c r="Y628" s="199">
        <f ca="1">U628*'Expenditure Study'!$B$31</f>
        <v>0</v>
      </c>
      <c r="Z628" s="200">
        <f ca="1">W628*'Expenditure Study'!$B$31</f>
        <v>0</v>
      </c>
      <c r="AA628" s="195">
        <f t="shared" ca="1" si="134"/>
        <v>0</v>
      </c>
      <c r="AB628" s="195">
        <f t="shared" ca="1" si="135"/>
        <v>0</v>
      </c>
      <c r="AD628" s="196">
        <f>IFERROR($G628/SUMIF($A:$A,$A628,$G:$G)*SUMIF(Summary!$A$166:$A$242,$A628,Summary!$P$166:$P$242),0)</f>
        <v>0</v>
      </c>
      <c r="AE628" s="197">
        <f t="shared" ca="1" si="136"/>
        <v>0</v>
      </c>
      <c r="AF628" s="196">
        <f>IFERROR(G628/SUMIF(A:A,A628,G:G)*SUMIF(Summary!$A$166:$A$242,'Operations Support'!A628,Summary!$Q$166:$Q$242),0)</f>
        <v>0</v>
      </c>
      <c r="AG628" s="196">
        <f t="shared" ca="1" si="137"/>
        <v>0</v>
      </c>
      <c r="AI628" s="196">
        <f>IFERROR($G628/SUMIF($A:$A,$A628,$G:$G)*SUMIF(Summary!$A$247:$A$283,$A628,Summary!$P$247:$P$283),0)</f>
        <v>0</v>
      </c>
      <c r="AJ628" s="196">
        <f>IFERROR($G628/SUMIF($A:$A,$A628,$G:$G)*(SUMIF(Summary!$A$247:$A$283,$A628,Summary!$L$247:$L$283)+SUMIF(Summary!$A$297:$A$333,$A628,Summary!$L$297:$L$333))-AI628,0)</f>
        <v>0</v>
      </c>
      <c r="AK628" s="196">
        <f>IFERROR($G628/SUMIF($A:$A,$A628,$G:$G)*SUMIF(Summary!$A$247:$A$283,$A628,Summary!$Q$247:$Q$283),0)</f>
        <v>0</v>
      </c>
      <c r="AL628" s="196">
        <f>IFERROR($G628/SUMIF($A:$A,$A628,$G:$G)*(SUMIF(Summary!$A$247:$A$283,$A628,Summary!$L$247:$L$283)+SUMIF(Summary!$A$297:$A$333,$A628,Summary!$L$297:$L$333))-AK628,0)</f>
        <v>0</v>
      </c>
      <c r="AM628" s="198"/>
      <c r="AN628" s="196">
        <f t="shared" ca="1" si="138"/>
        <v>0</v>
      </c>
      <c r="AO628" s="196">
        <f t="shared" ca="1" si="139"/>
        <v>0</v>
      </c>
    </row>
    <row r="629" spans="1:41">
      <c r="A629" s="189">
        <v>3594</v>
      </c>
      <c r="B629" s="190">
        <v>5</v>
      </c>
      <c r="C629" s="191" t="s">
        <v>235</v>
      </c>
      <c r="D629" s="192">
        <f t="shared" si="126"/>
        <v>0</v>
      </c>
      <c r="E629" s="192">
        <f t="shared" si="127"/>
        <v>0</v>
      </c>
      <c r="F629" s="192">
        <f t="shared" si="128"/>
        <v>0</v>
      </c>
      <c r="G629" s="193">
        <f t="shared" si="129"/>
        <v>0</v>
      </c>
      <c r="H629" s="194">
        <v>0</v>
      </c>
      <c r="I629" s="194">
        <v>0</v>
      </c>
      <c r="J629" s="194">
        <v>0</v>
      </c>
      <c r="K629" s="193">
        <f t="shared" si="130"/>
        <v>0</v>
      </c>
      <c r="L629" s="194">
        <v>0</v>
      </c>
      <c r="M629" s="194">
        <v>0</v>
      </c>
      <c r="N629" s="194">
        <v>0</v>
      </c>
      <c r="O629" s="193">
        <f t="shared" si="131"/>
        <v>0</v>
      </c>
      <c r="P629" s="194">
        <v>0</v>
      </c>
      <c r="Q629" s="194">
        <v>0</v>
      </c>
      <c r="R629" s="194">
        <v>0</v>
      </c>
      <c r="S629" s="193">
        <f t="shared" si="132"/>
        <v>0</v>
      </c>
      <c r="T629" s="193">
        <f t="shared" si="133"/>
        <v>0</v>
      </c>
      <c r="U629" s="193">
        <f ca="1">OFFSET('Expenditure Study'!$B$7,'Operations Support'!$C629,'Operations Support'!$B629)*$G629</f>
        <v>0</v>
      </c>
      <c r="V629" s="199">
        <f ca="1">U629*'Expenditure Study'!$B$31</f>
        <v>0</v>
      </c>
      <c r="W629" s="199">
        <f ca="1">IF(A629=10298,1.51,1)*IF($B629&lt;3,$D629*'Expenditure Study'!$B$32*OFFSET('Expenditure Study'!$B$7,'Operations Support'!$C629,'Operations Support'!$B629),0)</f>
        <v>0</v>
      </c>
      <c r="X629" s="200">
        <f ca="1">W629*'Expenditure Study'!$B$31</f>
        <v>0</v>
      </c>
      <c r="Y629" s="199">
        <f ca="1">U629*'Expenditure Study'!$B$31</f>
        <v>0</v>
      </c>
      <c r="Z629" s="200">
        <f ca="1">W629*'Expenditure Study'!$B$31</f>
        <v>0</v>
      </c>
      <c r="AA629" s="195">
        <f t="shared" ca="1" si="134"/>
        <v>0</v>
      </c>
      <c r="AB629" s="195">
        <f t="shared" ca="1" si="135"/>
        <v>0</v>
      </c>
      <c r="AD629" s="196">
        <f>IFERROR($G629/SUMIF($A:$A,$A629,$G:$G)*SUMIF(Summary!$A$166:$A$242,$A629,Summary!$P$166:$P$242),0)</f>
        <v>0</v>
      </c>
      <c r="AE629" s="197">
        <f t="shared" ca="1" si="136"/>
        <v>0</v>
      </c>
      <c r="AF629" s="196">
        <f>IFERROR(G629/SUMIF(A:A,A629,G:G)*SUMIF(Summary!$A$166:$A$242,'Operations Support'!A629,Summary!$Q$166:$Q$242),0)</f>
        <v>0</v>
      </c>
      <c r="AG629" s="196">
        <f t="shared" ca="1" si="137"/>
        <v>0</v>
      </c>
      <c r="AI629" s="196">
        <f>IFERROR($G629/SUMIF($A:$A,$A629,$G:$G)*SUMIF(Summary!$A$247:$A$283,$A629,Summary!$P$247:$P$283),0)</f>
        <v>0</v>
      </c>
      <c r="AJ629" s="196">
        <f>IFERROR($G629/SUMIF($A:$A,$A629,$G:$G)*(SUMIF(Summary!$A$247:$A$283,$A629,Summary!$L$247:$L$283)+SUMIF(Summary!$A$297:$A$333,$A629,Summary!$L$297:$L$333))-AI629,0)</f>
        <v>0</v>
      </c>
      <c r="AK629" s="196">
        <f>IFERROR($G629/SUMIF($A:$A,$A629,$G:$G)*SUMIF(Summary!$A$247:$A$283,$A629,Summary!$Q$247:$Q$283),0)</f>
        <v>0</v>
      </c>
      <c r="AL629" s="196">
        <f>IFERROR($G629/SUMIF($A:$A,$A629,$G:$G)*(SUMIF(Summary!$A$247:$A$283,$A629,Summary!$L$247:$L$283)+SUMIF(Summary!$A$297:$A$333,$A629,Summary!$L$297:$L$333))-AK629,0)</f>
        <v>0</v>
      </c>
      <c r="AM629" s="198"/>
      <c r="AN629" s="196">
        <f t="shared" ca="1" si="138"/>
        <v>0</v>
      </c>
      <c r="AO629" s="196">
        <f t="shared" ca="1" si="139"/>
        <v>0</v>
      </c>
    </row>
    <row r="630" spans="1:41">
      <c r="A630" s="189">
        <v>3594</v>
      </c>
      <c r="B630" s="190">
        <v>5</v>
      </c>
      <c r="C630" s="191" t="s">
        <v>236</v>
      </c>
      <c r="D630" s="192">
        <f t="shared" si="126"/>
        <v>0</v>
      </c>
      <c r="E630" s="192">
        <f t="shared" si="127"/>
        <v>0</v>
      </c>
      <c r="F630" s="192">
        <f t="shared" si="128"/>
        <v>0</v>
      </c>
      <c r="G630" s="193">
        <f t="shared" si="129"/>
        <v>0</v>
      </c>
      <c r="H630" s="194">
        <v>0</v>
      </c>
      <c r="I630" s="194">
        <v>0</v>
      </c>
      <c r="J630" s="194">
        <v>0</v>
      </c>
      <c r="K630" s="193">
        <f t="shared" si="130"/>
        <v>0</v>
      </c>
      <c r="L630" s="194">
        <v>0</v>
      </c>
      <c r="M630" s="194">
        <v>0</v>
      </c>
      <c r="N630" s="194">
        <v>0</v>
      </c>
      <c r="O630" s="193">
        <f t="shared" si="131"/>
        <v>0</v>
      </c>
      <c r="P630" s="194">
        <v>0</v>
      </c>
      <c r="Q630" s="194">
        <v>0</v>
      </c>
      <c r="R630" s="194">
        <v>0</v>
      </c>
      <c r="S630" s="193">
        <f t="shared" si="132"/>
        <v>0</v>
      </c>
      <c r="T630" s="193">
        <f t="shared" si="133"/>
        <v>0</v>
      </c>
      <c r="U630" s="193">
        <f ca="1">OFFSET('Expenditure Study'!$B$7,'Operations Support'!$C630,'Operations Support'!$B630)*$G630</f>
        <v>0</v>
      </c>
      <c r="V630" s="199">
        <f ca="1">U630*'Expenditure Study'!$B$31</f>
        <v>0</v>
      </c>
      <c r="W630" s="199">
        <f ca="1">IF(A630=10298,1.51,1)*IF($B630&lt;3,$D630*'Expenditure Study'!$B$32*OFFSET('Expenditure Study'!$B$7,'Operations Support'!$C630,'Operations Support'!$B630),0)</f>
        <v>0</v>
      </c>
      <c r="X630" s="200">
        <f ca="1">W630*'Expenditure Study'!$B$31</f>
        <v>0</v>
      </c>
      <c r="Y630" s="199">
        <f ca="1">U630*'Expenditure Study'!$B$31</f>
        <v>0</v>
      </c>
      <c r="Z630" s="200">
        <f ca="1">W630*'Expenditure Study'!$B$31</f>
        <v>0</v>
      </c>
      <c r="AA630" s="195">
        <f t="shared" ca="1" si="134"/>
        <v>0</v>
      </c>
      <c r="AB630" s="195">
        <f t="shared" ca="1" si="135"/>
        <v>0</v>
      </c>
      <c r="AD630" s="196">
        <f>IFERROR($G630/SUMIF($A:$A,$A630,$G:$G)*SUMIF(Summary!$A$166:$A$242,$A630,Summary!$P$166:$P$242),0)</f>
        <v>0</v>
      </c>
      <c r="AE630" s="197">
        <f t="shared" ca="1" si="136"/>
        <v>0</v>
      </c>
      <c r="AF630" s="196">
        <f>IFERROR(G630/SUMIF(A:A,A630,G:G)*SUMIF(Summary!$A$166:$A$242,'Operations Support'!A630,Summary!$Q$166:$Q$242),0)</f>
        <v>0</v>
      </c>
      <c r="AG630" s="196">
        <f t="shared" ca="1" si="137"/>
        <v>0</v>
      </c>
      <c r="AI630" s="196">
        <f>IFERROR($G630/SUMIF($A:$A,$A630,$G:$G)*SUMIF(Summary!$A$247:$A$283,$A630,Summary!$P$247:$P$283),0)</f>
        <v>0</v>
      </c>
      <c r="AJ630" s="196">
        <f>IFERROR($G630/SUMIF($A:$A,$A630,$G:$G)*(SUMIF(Summary!$A$247:$A$283,$A630,Summary!$L$247:$L$283)+SUMIF(Summary!$A$297:$A$333,$A630,Summary!$L$297:$L$333))-AI630,0)</f>
        <v>0</v>
      </c>
      <c r="AK630" s="196">
        <f>IFERROR($G630/SUMIF($A:$A,$A630,$G:$G)*SUMIF(Summary!$A$247:$A$283,$A630,Summary!$Q$247:$Q$283),0)</f>
        <v>0</v>
      </c>
      <c r="AL630" s="196">
        <f>IFERROR($G630/SUMIF($A:$A,$A630,$G:$G)*(SUMIF(Summary!$A$247:$A$283,$A630,Summary!$L$247:$L$283)+SUMIF(Summary!$A$297:$A$333,$A630,Summary!$L$297:$L$333))-AK630,0)</f>
        <v>0</v>
      </c>
      <c r="AM630" s="198"/>
      <c r="AN630" s="196">
        <f t="shared" ca="1" si="138"/>
        <v>0</v>
      </c>
      <c r="AO630" s="196">
        <f t="shared" ca="1" si="139"/>
        <v>0</v>
      </c>
    </row>
    <row r="631" spans="1:41">
      <c r="A631" s="189">
        <v>3594</v>
      </c>
      <c r="B631" s="190">
        <v>5</v>
      </c>
      <c r="C631" s="191" t="s">
        <v>237</v>
      </c>
      <c r="D631" s="192">
        <f t="shared" si="126"/>
        <v>0</v>
      </c>
      <c r="E631" s="192">
        <f t="shared" si="127"/>
        <v>0</v>
      </c>
      <c r="F631" s="192">
        <f t="shared" si="128"/>
        <v>0</v>
      </c>
      <c r="G631" s="193">
        <f t="shared" si="129"/>
        <v>0</v>
      </c>
      <c r="H631" s="194">
        <v>0</v>
      </c>
      <c r="I631" s="194">
        <v>0</v>
      </c>
      <c r="J631" s="194">
        <v>0</v>
      </c>
      <c r="K631" s="193">
        <f t="shared" si="130"/>
        <v>0</v>
      </c>
      <c r="L631" s="194">
        <v>0</v>
      </c>
      <c r="M631" s="194">
        <v>0</v>
      </c>
      <c r="N631" s="194">
        <v>0</v>
      </c>
      <c r="O631" s="193">
        <f t="shared" si="131"/>
        <v>0</v>
      </c>
      <c r="P631" s="194">
        <v>0</v>
      </c>
      <c r="Q631" s="194">
        <v>0</v>
      </c>
      <c r="R631" s="194">
        <v>0</v>
      </c>
      <c r="S631" s="193">
        <f t="shared" si="132"/>
        <v>0</v>
      </c>
      <c r="T631" s="193">
        <f t="shared" si="133"/>
        <v>0</v>
      </c>
      <c r="U631" s="193">
        <f ca="1">OFFSET('Expenditure Study'!$B$7,'Operations Support'!$C631,'Operations Support'!$B631)*$G631</f>
        <v>0</v>
      </c>
      <c r="V631" s="199">
        <f ca="1">U631*'Expenditure Study'!$B$31</f>
        <v>0</v>
      </c>
      <c r="W631" s="199">
        <f ca="1">IF(A631=10298,1.51,1)*IF($B631&lt;3,$D631*'Expenditure Study'!$B$32*OFFSET('Expenditure Study'!$B$7,'Operations Support'!$C631,'Operations Support'!$B631),0)</f>
        <v>0</v>
      </c>
      <c r="X631" s="200">
        <f ca="1">W631*'Expenditure Study'!$B$31</f>
        <v>0</v>
      </c>
      <c r="Y631" s="199">
        <f ca="1">U631*'Expenditure Study'!$B$31</f>
        <v>0</v>
      </c>
      <c r="Z631" s="200">
        <f ca="1">W631*'Expenditure Study'!$B$31</f>
        <v>0</v>
      </c>
      <c r="AA631" s="195">
        <f t="shared" ca="1" si="134"/>
        <v>0</v>
      </c>
      <c r="AB631" s="195">
        <f t="shared" ca="1" si="135"/>
        <v>0</v>
      </c>
      <c r="AD631" s="196">
        <f>IFERROR($G631/SUMIF($A:$A,$A631,$G:$G)*SUMIF(Summary!$A$166:$A$242,$A631,Summary!$P$166:$P$242),0)</f>
        <v>0</v>
      </c>
      <c r="AE631" s="197">
        <f t="shared" ca="1" si="136"/>
        <v>0</v>
      </c>
      <c r="AF631" s="196">
        <f>IFERROR(G631/SUMIF(A:A,A631,G:G)*SUMIF(Summary!$A$166:$A$242,'Operations Support'!A631,Summary!$Q$166:$Q$242),0)</f>
        <v>0</v>
      </c>
      <c r="AG631" s="196">
        <f t="shared" ca="1" si="137"/>
        <v>0</v>
      </c>
      <c r="AI631" s="196">
        <f>IFERROR($G631/SUMIF($A:$A,$A631,$G:$G)*SUMIF(Summary!$A$247:$A$283,$A631,Summary!$P$247:$P$283),0)</f>
        <v>0</v>
      </c>
      <c r="AJ631" s="196">
        <f>IFERROR($G631/SUMIF($A:$A,$A631,$G:$G)*(SUMIF(Summary!$A$247:$A$283,$A631,Summary!$L$247:$L$283)+SUMIF(Summary!$A$297:$A$333,$A631,Summary!$L$297:$L$333))-AI631,0)</f>
        <v>0</v>
      </c>
      <c r="AK631" s="196">
        <f>IFERROR($G631/SUMIF($A:$A,$A631,$G:$G)*SUMIF(Summary!$A$247:$A$283,$A631,Summary!$Q$247:$Q$283),0)</f>
        <v>0</v>
      </c>
      <c r="AL631" s="196">
        <f>IFERROR($G631/SUMIF($A:$A,$A631,$G:$G)*(SUMIF(Summary!$A$247:$A$283,$A631,Summary!$L$247:$L$283)+SUMIF(Summary!$A$297:$A$333,$A631,Summary!$L$297:$L$333))-AK631,0)</f>
        <v>0</v>
      </c>
      <c r="AM631" s="198"/>
      <c r="AN631" s="196">
        <f t="shared" ca="1" si="138"/>
        <v>0</v>
      </c>
      <c r="AO631" s="196">
        <f t="shared" ca="1" si="139"/>
        <v>0</v>
      </c>
    </row>
    <row r="632" spans="1:41">
      <c r="A632" s="189">
        <v>3594</v>
      </c>
      <c r="B632" s="190">
        <v>5</v>
      </c>
      <c r="C632" s="191" t="s">
        <v>238</v>
      </c>
      <c r="D632" s="192">
        <f t="shared" si="126"/>
        <v>0</v>
      </c>
      <c r="E632" s="192">
        <f t="shared" si="127"/>
        <v>0</v>
      </c>
      <c r="F632" s="192">
        <f t="shared" si="128"/>
        <v>0</v>
      </c>
      <c r="G632" s="193">
        <f t="shared" si="129"/>
        <v>0</v>
      </c>
      <c r="H632" s="194">
        <v>0</v>
      </c>
      <c r="I632" s="194">
        <v>0</v>
      </c>
      <c r="J632" s="194">
        <v>0</v>
      </c>
      <c r="K632" s="193">
        <f t="shared" si="130"/>
        <v>0</v>
      </c>
      <c r="L632" s="194">
        <v>0</v>
      </c>
      <c r="M632" s="194">
        <v>0</v>
      </c>
      <c r="N632" s="194">
        <v>0</v>
      </c>
      <c r="O632" s="193">
        <f t="shared" si="131"/>
        <v>0</v>
      </c>
      <c r="P632" s="194">
        <v>0</v>
      </c>
      <c r="Q632" s="194">
        <v>0</v>
      </c>
      <c r="R632" s="194">
        <v>0</v>
      </c>
      <c r="S632" s="193">
        <f t="shared" si="132"/>
        <v>0</v>
      </c>
      <c r="T632" s="193">
        <f t="shared" si="133"/>
        <v>0</v>
      </c>
      <c r="U632" s="193">
        <f ca="1">OFFSET('Expenditure Study'!$B$7,'Operations Support'!$C632,'Operations Support'!$B632)*$G632</f>
        <v>0</v>
      </c>
      <c r="V632" s="199">
        <f ca="1">U632*'Expenditure Study'!$B$31</f>
        <v>0</v>
      </c>
      <c r="W632" s="199">
        <f ca="1">IF(A632=10298,1.51,1)*IF($B632&lt;3,$D632*'Expenditure Study'!$B$32*OFFSET('Expenditure Study'!$B$7,'Operations Support'!$C632,'Operations Support'!$B632),0)</f>
        <v>0</v>
      </c>
      <c r="X632" s="200">
        <f ca="1">W632*'Expenditure Study'!$B$31</f>
        <v>0</v>
      </c>
      <c r="Y632" s="199">
        <f ca="1">U632*'Expenditure Study'!$B$31</f>
        <v>0</v>
      </c>
      <c r="Z632" s="200">
        <f ca="1">W632*'Expenditure Study'!$B$31</f>
        <v>0</v>
      </c>
      <c r="AA632" s="195">
        <f t="shared" ca="1" si="134"/>
        <v>0</v>
      </c>
      <c r="AB632" s="195">
        <f t="shared" ca="1" si="135"/>
        <v>0</v>
      </c>
      <c r="AD632" s="196">
        <f>IFERROR($G632/SUMIF($A:$A,$A632,$G:$G)*SUMIF(Summary!$A$166:$A$242,$A632,Summary!$P$166:$P$242),0)</f>
        <v>0</v>
      </c>
      <c r="AE632" s="197">
        <f t="shared" ca="1" si="136"/>
        <v>0</v>
      </c>
      <c r="AF632" s="196">
        <f>IFERROR(G632/SUMIF(A:A,A632,G:G)*SUMIF(Summary!$A$166:$A$242,'Operations Support'!A632,Summary!$Q$166:$Q$242),0)</f>
        <v>0</v>
      </c>
      <c r="AG632" s="196">
        <f t="shared" ca="1" si="137"/>
        <v>0</v>
      </c>
      <c r="AI632" s="196">
        <f>IFERROR($G632/SUMIF($A:$A,$A632,$G:$G)*SUMIF(Summary!$A$247:$A$283,$A632,Summary!$P$247:$P$283),0)</f>
        <v>0</v>
      </c>
      <c r="AJ632" s="196">
        <f>IFERROR($G632/SUMIF($A:$A,$A632,$G:$G)*(SUMIF(Summary!$A$247:$A$283,$A632,Summary!$L$247:$L$283)+SUMIF(Summary!$A$297:$A$333,$A632,Summary!$L$297:$L$333))-AI632,0)</f>
        <v>0</v>
      </c>
      <c r="AK632" s="196">
        <f>IFERROR($G632/SUMIF($A:$A,$A632,$G:$G)*SUMIF(Summary!$A$247:$A$283,$A632,Summary!$Q$247:$Q$283),0)</f>
        <v>0</v>
      </c>
      <c r="AL632" s="196">
        <f>IFERROR($G632/SUMIF($A:$A,$A632,$G:$G)*(SUMIF(Summary!$A$247:$A$283,$A632,Summary!$L$247:$L$283)+SUMIF(Summary!$A$297:$A$333,$A632,Summary!$L$297:$L$333))-AK632,0)</f>
        <v>0</v>
      </c>
      <c r="AM632" s="198"/>
      <c r="AN632" s="196">
        <f t="shared" ca="1" si="138"/>
        <v>0</v>
      </c>
      <c r="AO632" s="196">
        <f t="shared" ca="1" si="139"/>
        <v>0</v>
      </c>
    </row>
    <row r="633" spans="1:41">
      <c r="A633" s="189">
        <v>3594</v>
      </c>
      <c r="B633" s="190">
        <v>5</v>
      </c>
      <c r="C633" s="191" t="s">
        <v>239</v>
      </c>
      <c r="D633" s="192">
        <f t="shared" si="126"/>
        <v>0</v>
      </c>
      <c r="E633" s="192">
        <f t="shared" si="127"/>
        <v>0</v>
      </c>
      <c r="F633" s="192">
        <f t="shared" si="128"/>
        <v>0</v>
      </c>
      <c r="G633" s="193">
        <f t="shared" si="129"/>
        <v>0</v>
      </c>
      <c r="H633" s="194">
        <v>0</v>
      </c>
      <c r="I633" s="194">
        <v>0</v>
      </c>
      <c r="J633" s="194">
        <v>0</v>
      </c>
      <c r="K633" s="193">
        <f t="shared" si="130"/>
        <v>0</v>
      </c>
      <c r="L633" s="194">
        <v>0</v>
      </c>
      <c r="M633" s="194">
        <v>0</v>
      </c>
      <c r="N633" s="194">
        <v>0</v>
      </c>
      <c r="O633" s="193">
        <f t="shared" si="131"/>
        <v>0</v>
      </c>
      <c r="P633" s="194">
        <v>0</v>
      </c>
      <c r="Q633" s="194">
        <v>0</v>
      </c>
      <c r="R633" s="194">
        <v>0</v>
      </c>
      <c r="S633" s="193">
        <f t="shared" si="132"/>
        <v>0</v>
      </c>
      <c r="T633" s="193">
        <f t="shared" si="133"/>
        <v>0</v>
      </c>
      <c r="U633" s="193">
        <f ca="1">OFFSET('Expenditure Study'!$B$7,'Operations Support'!$C633,'Operations Support'!$B633)*$G633</f>
        <v>0</v>
      </c>
      <c r="V633" s="199">
        <f ca="1">U633*'Expenditure Study'!$B$31</f>
        <v>0</v>
      </c>
      <c r="W633" s="199">
        <f ca="1">IF(A633=10298,1.51,1)*IF($B633&lt;3,$D633*'Expenditure Study'!$B$32*OFFSET('Expenditure Study'!$B$7,'Operations Support'!$C633,'Operations Support'!$B633),0)</f>
        <v>0</v>
      </c>
      <c r="X633" s="200">
        <f ca="1">W633*'Expenditure Study'!$B$31</f>
        <v>0</v>
      </c>
      <c r="Y633" s="199">
        <f ca="1">U633*'Expenditure Study'!$B$31</f>
        <v>0</v>
      </c>
      <c r="Z633" s="200">
        <f ca="1">W633*'Expenditure Study'!$B$31</f>
        <v>0</v>
      </c>
      <c r="AA633" s="195">
        <f t="shared" ca="1" si="134"/>
        <v>0</v>
      </c>
      <c r="AB633" s="195">
        <f t="shared" ca="1" si="135"/>
        <v>0</v>
      </c>
      <c r="AD633" s="196">
        <f>IFERROR($G633/SUMIF($A:$A,$A633,$G:$G)*SUMIF(Summary!$A$166:$A$242,$A633,Summary!$P$166:$P$242),0)</f>
        <v>0</v>
      </c>
      <c r="AE633" s="197">
        <f t="shared" ca="1" si="136"/>
        <v>0</v>
      </c>
      <c r="AF633" s="196">
        <f>IFERROR(G633/SUMIF(A:A,A633,G:G)*SUMIF(Summary!$A$166:$A$242,'Operations Support'!A633,Summary!$Q$166:$Q$242),0)</f>
        <v>0</v>
      </c>
      <c r="AG633" s="196">
        <f t="shared" ca="1" si="137"/>
        <v>0</v>
      </c>
      <c r="AI633" s="196">
        <f>IFERROR($G633/SUMIF($A:$A,$A633,$G:$G)*SUMIF(Summary!$A$247:$A$283,$A633,Summary!$P$247:$P$283),0)</f>
        <v>0</v>
      </c>
      <c r="AJ633" s="196">
        <f>IFERROR($G633/SUMIF($A:$A,$A633,$G:$G)*(SUMIF(Summary!$A$247:$A$283,$A633,Summary!$L$247:$L$283)+SUMIF(Summary!$A$297:$A$333,$A633,Summary!$L$297:$L$333))-AI633,0)</f>
        <v>0</v>
      </c>
      <c r="AK633" s="196">
        <f>IFERROR($G633/SUMIF($A:$A,$A633,$G:$G)*SUMIF(Summary!$A$247:$A$283,$A633,Summary!$Q$247:$Q$283),0)</f>
        <v>0</v>
      </c>
      <c r="AL633" s="196">
        <f>IFERROR($G633/SUMIF($A:$A,$A633,$G:$G)*(SUMIF(Summary!$A$247:$A$283,$A633,Summary!$L$247:$L$283)+SUMIF(Summary!$A$297:$A$333,$A633,Summary!$L$297:$L$333))-AK633,0)</f>
        <v>0</v>
      </c>
      <c r="AM633" s="198"/>
      <c r="AN633" s="196">
        <f t="shared" ca="1" si="138"/>
        <v>0</v>
      </c>
      <c r="AO633" s="196">
        <f t="shared" ca="1" si="139"/>
        <v>0</v>
      </c>
    </row>
    <row r="634" spans="1:41">
      <c r="A634" s="189">
        <v>3594</v>
      </c>
      <c r="B634" s="190">
        <v>5</v>
      </c>
      <c r="C634" s="191" t="s">
        <v>240</v>
      </c>
      <c r="D634" s="192">
        <f t="shared" si="126"/>
        <v>0</v>
      </c>
      <c r="E634" s="192">
        <f t="shared" si="127"/>
        <v>0</v>
      </c>
      <c r="F634" s="192">
        <f t="shared" si="128"/>
        <v>0</v>
      </c>
      <c r="G634" s="193">
        <f t="shared" si="129"/>
        <v>0</v>
      </c>
      <c r="H634" s="194">
        <v>0</v>
      </c>
      <c r="I634" s="194">
        <v>0</v>
      </c>
      <c r="J634" s="194">
        <v>0</v>
      </c>
      <c r="K634" s="193">
        <f t="shared" si="130"/>
        <v>0</v>
      </c>
      <c r="L634" s="194">
        <v>0</v>
      </c>
      <c r="M634" s="194">
        <v>0</v>
      </c>
      <c r="N634" s="194">
        <v>0</v>
      </c>
      <c r="O634" s="193">
        <f t="shared" si="131"/>
        <v>0</v>
      </c>
      <c r="P634" s="194">
        <v>0</v>
      </c>
      <c r="Q634" s="194">
        <v>0</v>
      </c>
      <c r="R634" s="194">
        <v>0</v>
      </c>
      <c r="S634" s="193">
        <f t="shared" si="132"/>
        <v>0</v>
      </c>
      <c r="T634" s="193">
        <f t="shared" si="133"/>
        <v>0</v>
      </c>
      <c r="U634" s="193">
        <f ca="1">OFFSET('Expenditure Study'!$B$7,'Operations Support'!$C634,'Operations Support'!$B634)*$G634</f>
        <v>0</v>
      </c>
      <c r="V634" s="199">
        <f ca="1">U634*'Expenditure Study'!$B$31</f>
        <v>0</v>
      </c>
      <c r="W634" s="199">
        <f ca="1">IF(A634=10298,1.51,1)*IF($B634&lt;3,$D634*'Expenditure Study'!$B$32*OFFSET('Expenditure Study'!$B$7,'Operations Support'!$C634,'Operations Support'!$B634),0)</f>
        <v>0</v>
      </c>
      <c r="X634" s="200">
        <f ca="1">W634*'Expenditure Study'!$B$31</f>
        <v>0</v>
      </c>
      <c r="Y634" s="199">
        <f ca="1">U634*'Expenditure Study'!$B$31</f>
        <v>0</v>
      </c>
      <c r="Z634" s="200">
        <f ca="1">W634*'Expenditure Study'!$B$31</f>
        <v>0</v>
      </c>
      <c r="AA634" s="195">
        <f t="shared" ca="1" si="134"/>
        <v>0</v>
      </c>
      <c r="AB634" s="195">
        <f t="shared" ca="1" si="135"/>
        <v>0</v>
      </c>
      <c r="AD634" s="196">
        <f>IFERROR($G634/SUMIF($A:$A,$A634,$G:$G)*SUMIF(Summary!$A$166:$A$242,$A634,Summary!$P$166:$P$242),0)</f>
        <v>0</v>
      </c>
      <c r="AE634" s="197">
        <f t="shared" ca="1" si="136"/>
        <v>0</v>
      </c>
      <c r="AF634" s="196">
        <f>IFERROR(G634/SUMIF(A:A,A634,G:G)*SUMIF(Summary!$A$166:$A$242,'Operations Support'!A634,Summary!$Q$166:$Q$242),0)</f>
        <v>0</v>
      </c>
      <c r="AG634" s="196">
        <f t="shared" ca="1" si="137"/>
        <v>0</v>
      </c>
      <c r="AI634" s="196">
        <f>IFERROR($G634/SUMIF($A:$A,$A634,$G:$G)*SUMIF(Summary!$A$247:$A$283,$A634,Summary!$P$247:$P$283),0)</f>
        <v>0</v>
      </c>
      <c r="AJ634" s="196">
        <f>IFERROR($G634/SUMIF($A:$A,$A634,$G:$G)*(SUMIF(Summary!$A$247:$A$283,$A634,Summary!$L$247:$L$283)+SUMIF(Summary!$A$297:$A$333,$A634,Summary!$L$297:$L$333))-AI634,0)</f>
        <v>0</v>
      </c>
      <c r="AK634" s="196">
        <f>IFERROR($G634/SUMIF($A:$A,$A634,$G:$G)*SUMIF(Summary!$A$247:$A$283,$A634,Summary!$Q$247:$Q$283),0)</f>
        <v>0</v>
      </c>
      <c r="AL634" s="196">
        <f>IFERROR($G634/SUMIF($A:$A,$A634,$G:$G)*(SUMIF(Summary!$A$247:$A$283,$A634,Summary!$L$247:$L$283)+SUMIF(Summary!$A$297:$A$333,$A634,Summary!$L$297:$L$333))-AK634,0)</f>
        <v>0</v>
      </c>
      <c r="AM634" s="198"/>
      <c r="AN634" s="196">
        <f t="shared" ca="1" si="138"/>
        <v>0</v>
      </c>
      <c r="AO634" s="196">
        <f t="shared" ca="1" si="139"/>
        <v>0</v>
      </c>
    </row>
    <row r="635" spans="1:41">
      <c r="A635" s="189">
        <v>3599</v>
      </c>
      <c r="B635" s="202">
        <v>1</v>
      </c>
      <c r="C635" s="191" t="s">
        <v>220</v>
      </c>
      <c r="D635" s="192">
        <f t="shared" si="126"/>
        <v>46717.22</v>
      </c>
      <c r="E635" s="192">
        <f t="shared" si="127"/>
        <v>164335.78</v>
      </c>
      <c r="F635" s="192">
        <f t="shared" si="128"/>
        <v>0</v>
      </c>
      <c r="G635" s="193">
        <f t="shared" si="129"/>
        <v>211053</v>
      </c>
      <c r="H635" s="194">
        <v>17270.62</v>
      </c>
      <c r="I635" s="194">
        <v>72207.38</v>
      </c>
      <c r="J635" s="194">
        <v>0</v>
      </c>
      <c r="K635" s="193">
        <f t="shared" si="130"/>
        <v>89478</v>
      </c>
      <c r="L635" s="194">
        <v>20508.599999999999</v>
      </c>
      <c r="M635" s="194">
        <v>79393.399999999994</v>
      </c>
      <c r="N635" s="194">
        <v>0</v>
      </c>
      <c r="O635" s="193">
        <f t="shared" si="131"/>
        <v>99902</v>
      </c>
      <c r="P635" s="194">
        <v>8938</v>
      </c>
      <c r="Q635" s="194">
        <v>12735</v>
      </c>
      <c r="R635" s="194">
        <v>0</v>
      </c>
      <c r="S635" s="193">
        <f t="shared" si="132"/>
        <v>21673</v>
      </c>
      <c r="T635" s="193">
        <f t="shared" si="133"/>
        <v>7035.1</v>
      </c>
      <c r="U635" s="193">
        <f ca="1">OFFSET('Expenditure Study'!$B$7,'Operations Support'!$C635,'Operations Support'!$B635)*$G635</f>
        <v>211053</v>
      </c>
      <c r="V635" s="199">
        <f ca="1">U635*'Expenditure Study'!$B$31</f>
        <v>12469682.557382401</v>
      </c>
      <c r="W635" s="199">
        <f ca="1">IF(A635=10298,1.51,1)*IF($B635&lt;3,$D635*'Expenditure Study'!$B$32*OFFSET('Expenditure Study'!$B$7,'Operations Support'!$C635,'Operations Support'!$B635),0)</f>
        <v>4671.7220000000007</v>
      </c>
      <c r="X635" s="200">
        <f ca="1">W635*'Expenditure Study'!$B$31</f>
        <v>276020.19557333767</v>
      </c>
      <c r="Y635" s="199">
        <f ca="1">U635*'Expenditure Study'!$B$31</f>
        <v>12469682.557382401</v>
      </c>
      <c r="Z635" s="200">
        <f ca="1">W635*'Expenditure Study'!$B$31</f>
        <v>276020.19557333767</v>
      </c>
      <c r="AA635" s="195">
        <f t="shared" ca="1" si="134"/>
        <v>12745702.752955738</v>
      </c>
      <c r="AB635" s="195">
        <f t="shared" ca="1" si="135"/>
        <v>12745702.752955738</v>
      </c>
      <c r="AD635" s="196">
        <f>IFERROR($G635/SUMIF($A:$A,$A635,$G:$G)*SUMIF(Summary!$A$166:$A$242,$A635,Summary!$P$166:$P$242),0)</f>
        <v>5477597.329269167</v>
      </c>
      <c r="AE635" s="197">
        <f t="shared" ca="1" si="136"/>
        <v>7268105.4236865714</v>
      </c>
      <c r="AF635" s="196">
        <f>IFERROR(G635/SUMIF(A:A,A635,G:G)*SUMIF(Summary!$A$166:$A$242,'Operations Support'!A635,Summary!$Q$166:$Q$242),0)</f>
        <v>5481207.7579946276</v>
      </c>
      <c r="AG635" s="196">
        <f t="shared" ca="1" si="137"/>
        <v>7264494.9949611109</v>
      </c>
      <c r="AI635" s="196">
        <f>IFERROR($G635/SUMIF($A:$A,$A635,$G:$G)*SUMIF(Summary!$A$247:$A$283,$A635,Summary!$P$247:$P$283),0)</f>
        <v>998977.06094104517</v>
      </c>
      <c r="AJ635" s="196">
        <f>IFERROR($G635/SUMIF($A:$A,$A635,$G:$G)*(SUMIF(Summary!$A$247:$A$283,$A635,Summary!$L$247:$L$283)+SUMIF(Summary!$A$297:$A$333,$A635,Summary!$L$297:$L$333))-AI635,0)</f>
        <v>3021803.3189361561</v>
      </c>
      <c r="AK635" s="196">
        <f>IFERROR($G635/SUMIF($A:$A,$A635,$G:$G)*SUMIF(Summary!$A$247:$A$283,$A635,Summary!$Q$247:$Q$283),0)</f>
        <v>999635.51304332458</v>
      </c>
      <c r="AL635" s="196">
        <f>IFERROR($G635/SUMIF($A:$A,$A635,$G:$G)*(SUMIF(Summary!$A$247:$A$283,$A635,Summary!$L$247:$L$283)+SUMIF(Summary!$A$297:$A$333,$A635,Summary!$L$297:$L$333))-AK635,0)</f>
        <v>3021144.8668338768</v>
      </c>
      <c r="AM635" s="198"/>
      <c r="AN635" s="196">
        <f t="shared" ca="1" si="138"/>
        <v>10289908.742622728</v>
      </c>
      <c r="AO635" s="196">
        <f t="shared" ca="1" si="139"/>
        <v>10285639.861794988</v>
      </c>
    </row>
    <row r="636" spans="1:41">
      <c r="A636" s="189">
        <v>3599</v>
      </c>
      <c r="B636" s="203">
        <v>1</v>
      </c>
      <c r="C636" s="191" t="s">
        <v>221</v>
      </c>
      <c r="D636" s="192">
        <f t="shared" si="126"/>
        <v>25067</v>
      </c>
      <c r="E636" s="192">
        <f t="shared" si="127"/>
        <v>53295</v>
      </c>
      <c r="F636" s="192">
        <f t="shared" si="128"/>
        <v>0</v>
      </c>
      <c r="G636" s="193">
        <f t="shared" si="129"/>
        <v>78362</v>
      </c>
      <c r="H636" s="194">
        <v>9154</v>
      </c>
      <c r="I636" s="194">
        <v>24762</v>
      </c>
      <c r="J636" s="194">
        <v>0</v>
      </c>
      <c r="K636" s="193">
        <f t="shared" si="130"/>
        <v>33916</v>
      </c>
      <c r="L636" s="194">
        <v>12431</v>
      </c>
      <c r="M636" s="194">
        <v>25016</v>
      </c>
      <c r="N636" s="194">
        <v>0</v>
      </c>
      <c r="O636" s="193">
        <f t="shared" si="131"/>
        <v>37447</v>
      </c>
      <c r="P636" s="194">
        <v>3482</v>
      </c>
      <c r="Q636" s="194">
        <v>3517</v>
      </c>
      <c r="R636" s="194">
        <v>0</v>
      </c>
      <c r="S636" s="193">
        <f t="shared" si="132"/>
        <v>6999</v>
      </c>
      <c r="T636" s="193">
        <f t="shared" si="133"/>
        <v>2612.0666666666666</v>
      </c>
      <c r="U636" s="193">
        <f ca="1">OFFSET('Expenditure Study'!$B$7,'Operations Support'!$C636,'Operations Support'!$B636)*$G636</f>
        <v>105005.08</v>
      </c>
      <c r="V636" s="199">
        <f ca="1">U636*'Expenditure Study'!$B$31</f>
        <v>6204034.126558464</v>
      </c>
      <c r="W636" s="199">
        <f ca="1">IF(A636=10298,1.51,1)*IF($B636&lt;3,$D636*'Expenditure Study'!$B$32*OFFSET('Expenditure Study'!$B$7,'Operations Support'!$C636,'Operations Support'!$B636),0)</f>
        <v>3358.9780000000005</v>
      </c>
      <c r="X636" s="200">
        <f ca="1">W636*'Expenditure Study'!$B$31</f>
        <v>198459.10447722243</v>
      </c>
      <c r="Y636" s="199">
        <f ca="1">U636*'Expenditure Study'!$B$31</f>
        <v>6204034.126558464</v>
      </c>
      <c r="Z636" s="200">
        <f ca="1">W636*'Expenditure Study'!$B$31</f>
        <v>198459.10447722243</v>
      </c>
      <c r="AA636" s="195">
        <f t="shared" ca="1" si="134"/>
        <v>6402493.2310356861</v>
      </c>
      <c r="AB636" s="195">
        <f t="shared" ca="1" si="135"/>
        <v>6402493.2310356861</v>
      </c>
      <c r="AD636" s="196">
        <f>IFERROR($G636/SUMIF($A:$A,$A636,$G:$G)*SUMIF(Summary!$A$166:$A$242,$A636,Summary!$P$166:$P$242),0)</f>
        <v>2033780.5286643186</v>
      </c>
      <c r="AE636" s="197">
        <f t="shared" ca="1" si="136"/>
        <v>4368712.7023713673</v>
      </c>
      <c r="AF636" s="196">
        <f>IFERROR(G636/SUMIF(A:A,A636,G:G)*SUMIF(Summary!$A$166:$A$242,'Operations Support'!A636,Summary!$Q$166:$Q$242),0)</f>
        <v>2035121.0469975551</v>
      </c>
      <c r="AG636" s="196">
        <f t="shared" ca="1" si="137"/>
        <v>4367372.1840381306</v>
      </c>
      <c r="AI636" s="196">
        <f>IFERROR($G636/SUMIF($A:$A,$A636,$G:$G)*SUMIF(Summary!$A$247:$A$283,$A636,Summary!$P$247:$P$283),0)</f>
        <v>370910.81600101478</v>
      </c>
      <c r="AJ636" s="196">
        <f>IFERROR($G636/SUMIF($A:$A,$A636,$G:$G)*(SUMIF(Summary!$A$247:$A$283,$A636,Summary!$L$247:$L$283)+SUMIF(Summary!$A$297:$A$333,$A636,Summary!$L$297:$L$333))-AI636,0)</f>
        <v>1121967.2389327565</v>
      </c>
      <c r="AK636" s="196">
        <f>IFERROR($G636/SUMIF($A:$A,$A636,$G:$G)*SUMIF(Summary!$A$247:$A$283,$A636,Summary!$Q$247:$Q$283),0)</f>
        <v>371155.293092735</v>
      </c>
      <c r="AL636" s="196">
        <f>IFERROR($G636/SUMIF($A:$A,$A636,$G:$G)*(SUMIF(Summary!$A$247:$A$283,$A636,Summary!$L$247:$L$283)+SUMIF(Summary!$A$297:$A$333,$A636,Summary!$L$297:$L$333))-AK636,0)</f>
        <v>1121722.7618410364</v>
      </c>
      <c r="AM636" s="198"/>
      <c r="AN636" s="196">
        <f t="shared" ca="1" si="138"/>
        <v>5490679.941304124</v>
      </c>
      <c r="AO636" s="196">
        <f t="shared" ca="1" si="139"/>
        <v>5489094.9458791669</v>
      </c>
    </row>
    <row r="637" spans="1:41">
      <c r="A637" s="189">
        <v>3599</v>
      </c>
      <c r="B637" s="203">
        <v>1</v>
      </c>
      <c r="C637" s="191" t="s">
        <v>222</v>
      </c>
      <c r="D637" s="192">
        <f t="shared" si="126"/>
        <v>12137</v>
      </c>
      <c r="E637" s="192">
        <f t="shared" si="127"/>
        <v>21609</v>
      </c>
      <c r="F637" s="192">
        <f t="shared" si="128"/>
        <v>0</v>
      </c>
      <c r="G637" s="193">
        <f t="shared" si="129"/>
        <v>33746</v>
      </c>
      <c r="H637" s="194">
        <v>4671</v>
      </c>
      <c r="I637" s="194">
        <v>9666</v>
      </c>
      <c r="J637" s="194">
        <v>0</v>
      </c>
      <c r="K637" s="193">
        <f t="shared" si="130"/>
        <v>14337</v>
      </c>
      <c r="L637" s="194">
        <v>5895</v>
      </c>
      <c r="M637" s="194">
        <v>10763</v>
      </c>
      <c r="N637" s="194">
        <v>0</v>
      </c>
      <c r="O637" s="193">
        <f t="shared" si="131"/>
        <v>16658</v>
      </c>
      <c r="P637" s="194">
        <v>1571</v>
      </c>
      <c r="Q637" s="194">
        <v>1180</v>
      </c>
      <c r="R637" s="194">
        <v>0</v>
      </c>
      <c r="S637" s="193">
        <f t="shared" si="132"/>
        <v>2751</v>
      </c>
      <c r="T637" s="193">
        <f t="shared" si="133"/>
        <v>1124.8666666666666</v>
      </c>
      <c r="U637" s="193">
        <f ca="1">OFFSET('Expenditure Study'!$B$7,'Operations Support'!$C637,'Operations Support'!$B637)*$G637</f>
        <v>46232.020000000004</v>
      </c>
      <c r="V637" s="199">
        <f ca="1">U637*'Expenditure Study'!$B$31</f>
        <v>2731534.7964092162</v>
      </c>
      <c r="W637" s="199">
        <f ca="1">IF(A637=10298,1.51,1)*IF($B637&lt;3,$D637*'Expenditure Study'!$B$32*OFFSET('Expenditure Study'!$B$7,'Operations Support'!$C637,'Operations Support'!$B637),0)</f>
        <v>1662.7690000000002</v>
      </c>
      <c r="X637" s="200">
        <f ca="1">W637*'Expenditure Study'!$B$31</f>
        <v>98241.681455635218</v>
      </c>
      <c r="Y637" s="199">
        <f ca="1">U637*'Expenditure Study'!$B$31</f>
        <v>2731534.7964092162</v>
      </c>
      <c r="Z637" s="200">
        <f ca="1">W637*'Expenditure Study'!$B$31</f>
        <v>98241.681455635218</v>
      </c>
      <c r="AA637" s="195">
        <f t="shared" ca="1" si="134"/>
        <v>2829776.4778648512</v>
      </c>
      <c r="AB637" s="195">
        <f t="shared" ca="1" si="135"/>
        <v>2829776.4778648512</v>
      </c>
      <c r="AD637" s="196">
        <f>IFERROR($G637/SUMIF($A:$A,$A637,$G:$G)*SUMIF(Summary!$A$166:$A$242,$A637,Summary!$P$166:$P$242),0)</f>
        <v>875832.13445682987</v>
      </c>
      <c r="AE637" s="197">
        <f t="shared" ca="1" si="136"/>
        <v>1953944.3434080214</v>
      </c>
      <c r="AF637" s="196">
        <f>IFERROR(G637/SUMIF(A:A,A637,G:G)*SUMIF(Summary!$A$166:$A$242,'Operations Support'!A637,Summary!$Q$166:$Q$242),0)</f>
        <v>876409.41849339602</v>
      </c>
      <c r="AG637" s="196">
        <f t="shared" ca="1" si="137"/>
        <v>1953367.0593714551</v>
      </c>
      <c r="AI637" s="196">
        <f>IFERROR($G637/SUMIF($A:$A,$A637,$G:$G)*SUMIF(Summary!$A$247:$A$283,$A637,Summary!$P$247:$P$283),0)</f>
        <v>159729.92517764025</v>
      </c>
      <c r="AJ637" s="196">
        <f>IFERROR($G637/SUMIF($A:$A,$A637,$G:$G)*(SUMIF(Summary!$A$247:$A$283,$A637,Summary!$L$247:$L$283)+SUMIF(Summary!$A$297:$A$333,$A637,Summary!$L$297:$L$333))-AI637,0)</f>
        <v>483166.66809199355</v>
      </c>
      <c r="AK637" s="196">
        <f>IFERROR($G637/SUMIF($A:$A,$A637,$G:$G)*SUMIF(Summary!$A$247:$A$283,$A637,Summary!$Q$247:$Q$283),0)</f>
        <v>159835.20737994736</v>
      </c>
      <c r="AL637" s="196">
        <f>IFERROR($G637/SUMIF($A:$A,$A637,$G:$G)*(SUMIF(Summary!$A$247:$A$283,$A637,Summary!$L$247:$L$283)+SUMIF(Summary!$A$297:$A$333,$A637,Summary!$L$297:$L$333))-AK637,0)</f>
        <v>483061.38588968647</v>
      </c>
      <c r="AM637" s="198"/>
      <c r="AN637" s="196">
        <f t="shared" ca="1" si="138"/>
        <v>2437111.0115000149</v>
      </c>
      <c r="AO637" s="196">
        <f t="shared" ca="1" si="139"/>
        <v>2436428.4452611418</v>
      </c>
    </row>
    <row r="638" spans="1:41">
      <c r="A638" s="189">
        <v>3599</v>
      </c>
      <c r="B638" s="203">
        <v>1</v>
      </c>
      <c r="C638" s="191" t="s">
        <v>223</v>
      </c>
      <c r="D638" s="192">
        <f t="shared" si="126"/>
        <v>942</v>
      </c>
      <c r="E638" s="192">
        <f t="shared" si="127"/>
        <v>4095</v>
      </c>
      <c r="F638" s="192">
        <f t="shared" si="128"/>
        <v>0</v>
      </c>
      <c r="G638" s="193">
        <f t="shared" si="129"/>
        <v>5037</v>
      </c>
      <c r="H638" s="194">
        <v>348</v>
      </c>
      <c r="I638" s="194">
        <v>1725</v>
      </c>
      <c r="J638" s="194">
        <v>0</v>
      </c>
      <c r="K638" s="193">
        <f t="shared" si="130"/>
        <v>2073</v>
      </c>
      <c r="L638" s="194">
        <v>441</v>
      </c>
      <c r="M638" s="194">
        <v>2046</v>
      </c>
      <c r="N638" s="194">
        <v>0</v>
      </c>
      <c r="O638" s="193">
        <f t="shared" si="131"/>
        <v>2487</v>
      </c>
      <c r="P638" s="194">
        <v>153</v>
      </c>
      <c r="Q638" s="194">
        <v>324</v>
      </c>
      <c r="R638" s="194">
        <v>0</v>
      </c>
      <c r="S638" s="193">
        <f t="shared" si="132"/>
        <v>477</v>
      </c>
      <c r="T638" s="193">
        <f t="shared" si="133"/>
        <v>167.9</v>
      </c>
      <c r="U638" s="193">
        <f ca="1">OFFSET('Expenditure Study'!$B$7,'Operations Support'!$C638,'Operations Support'!$B638)*$G638</f>
        <v>6346.62</v>
      </c>
      <c r="V638" s="199">
        <f ca="1">U638*'Expenditure Study'!$B$31</f>
        <v>374978.496928896</v>
      </c>
      <c r="W638" s="199">
        <f ca="1">IF(A638=10298,1.51,1)*IF($B638&lt;3,$D638*'Expenditure Study'!$B$32*OFFSET('Expenditure Study'!$B$7,'Operations Support'!$C638,'Operations Support'!$B638),0)</f>
        <v>118.69200000000001</v>
      </c>
      <c r="X638" s="200">
        <f ca="1">W638*'Expenditure Study'!$B$31</f>
        <v>7012.7008955136007</v>
      </c>
      <c r="Y638" s="199">
        <f ca="1">U638*'Expenditure Study'!$B$31</f>
        <v>374978.496928896</v>
      </c>
      <c r="Z638" s="200">
        <f ca="1">W638*'Expenditure Study'!$B$31</f>
        <v>7012.7008955136007</v>
      </c>
      <c r="AA638" s="195">
        <f t="shared" ca="1" si="134"/>
        <v>381991.19782440958</v>
      </c>
      <c r="AB638" s="195">
        <f t="shared" ca="1" si="135"/>
        <v>381991.19782440958</v>
      </c>
      <c r="AD638" s="196">
        <f>IFERROR($G638/SUMIF($A:$A,$A638,$G:$G)*SUMIF(Summary!$A$166:$A$242,$A638,Summary!$P$166:$P$242),0)</f>
        <v>130728.57409053079</v>
      </c>
      <c r="AE638" s="197">
        <f t="shared" ca="1" si="136"/>
        <v>251262.62373387878</v>
      </c>
      <c r="AF638" s="196">
        <f>IFERROR(G638/SUMIF(A:A,A638,G:G)*SUMIF(Summary!$A$166:$A$242,'Operations Support'!A638,Summary!$Q$166:$Q$242),0)</f>
        <v>130814.74073819818</v>
      </c>
      <c r="AG638" s="196">
        <f t="shared" ca="1" si="137"/>
        <v>251176.45708621142</v>
      </c>
      <c r="AI638" s="196">
        <f>IFERROR($G638/SUMIF($A:$A,$A638,$G:$G)*SUMIF(Summary!$A$247:$A$283,$A638,Summary!$P$247:$P$283),0)</f>
        <v>23841.629618911098</v>
      </c>
      <c r="AJ638" s="196">
        <f>IFERROR($G638/SUMIF($A:$A,$A638,$G:$G)*(SUMIF(Summary!$A$247:$A$283,$A638,Summary!$L$247:$L$283)+SUMIF(Summary!$A$297:$A$333,$A638,Summary!$L$297:$L$333))-AI638,0)</f>
        <v>72118.488329857501</v>
      </c>
      <c r="AK638" s="196">
        <f>IFERROR($G638/SUMIF($A:$A,$A638,$G:$G)*SUMIF(Summary!$A$247:$A$283,$A638,Summary!$Q$247:$Q$283),0)</f>
        <v>23857.344265180905</v>
      </c>
      <c r="AL638" s="196">
        <f>IFERROR($G638/SUMIF($A:$A,$A638,$G:$G)*(SUMIF(Summary!$A$247:$A$283,$A638,Summary!$L$247:$L$283)+SUMIF(Summary!$A$297:$A$333,$A638,Summary!$L$297:$L$333))-AK638,0)</f>
        <v>72102.7736835877</v>
      </c>
      <c r="AM638" s="198"/>
      <c r="AN638" s="196">
        <f t="shared" ca="1" si="138"/>
        <v>323381.11206373631</v>
      </c>
      <c r="AO638" s="196">
        <f t="shared" ca="1" si="139"/>
        <v>323279.23076979909</v>
      </c>
    </row>
    <row r="639" spans="1:41">
      <c r="A639" s="189">
        <v>3599</v>
      </c>
      <c r="B639" s="203">
        <v>1</v>
      </c>
      <c r="C639" s="191" t="s">
        <v>224</v>
      </c>
      <c r="D639" s="192">
        <f t="shared" si="126"/>
        <v>15</v>
      </c>
      <c r="E639" s="192">
        <f t="shared" si="127"/>
        <v>0</v>
      </c>
      <c r="F639" s="192">
        <f t="shared" si="128"/>
        <v>0</v>
      </c>
      <c r="G639" s="193">
        <f t="shared" si="129"/>
        <v>15</v>
      </c>
      <c r="H639" s="194">
        <v>12</v>
      </c>
      <c r="I639" s="194">
        <v>0</v>
      </c>
      <c r="J639" s="194">
        <v>0</v>
      </c>
      <c r="K639" s="193">
        <f t="shared" si="130"/>
        <v>12</v>
      </c>
      <c r="L639" s="194">
        <v>3</v>
      </c>
      <c r="M639" s="194">
        <v>0</v>
      </c>
      <c r="N639" s="194">
        <v>0</v>
      </c>
      <c r="O639" s="193">
        <f t="shared" si="131"/>
        <v>3</v>
      </c>
      <c r="P639" s="194">
        <v>0</v>
      </c>
      <c r="Q639" s="194">
        <v>0</v>
      </c>
      <c r="R639" s="194">
        <v>0</v>
      </c>
      <c r="S639" s="193">
        <f t="shared" si="132"/>
        <v>0</v>
      </c>
      <c r="T639" s="193">
        <f t="shared" si="133"/>
        <v>0.5</v>
      </c>
      <c r="U639" s="193">
        <f ca="1">OFFSET('Expenditure Study'!$B$7,'Operations Support'!$C639,'Operations Support'!$B639)*$G639</f>
        <v>22.2</v>
      </c>
      <c r="V639" s="199">
        <f ca="1">U639*'Expenditure Study'!$B$31</f>
        <v>1311.64661376</v>
      </c>
      <c r="W639" s="199">
        <f ca="1">IF(A639=10298,1.51,1)*IF($B639&lt;3,$D639*'Expenditure Study'!$B$32*OFFSET('Expenditure Study'!$B$7,'Operations Support'!$C639,'Operations Support'!$B639),0)</f>
        <v>2.2199999999999998</v>
      </c>
      <c r="X639" s="200">
        <f ca="1">W639*'Expenditure Study'!$B$31</f>
        <v>131.164661376</v>
      </c>
      <c r="Y639" s="199">
        <f ca="1">U639*'Expenditure Study'!$B$31</f>
        <v>1311.64661376</v>
      </c>
      <c r="Z639" s="200">
        <f ca="1">W639*'Expenditure Study'!$B$31</f>
        <v>131.164661376</v>
      </c>
      <c r="AA639" s="195">
        <f t="shared" ca="1" si="134"/>
        <v>1442.8112751359999</v>
      </c>
      <c r="AB639" s="195">
        <f t="shared" ca="1" si="135"/>
        <v>1442.8112751359999</v>
      </c>
      <c r="AD639" s="196">
        <f>IFERROR($G639/SUMIF($A:$A,$A639,$G:$G)*SUMIF(Summary!$A$166:$A$242,$A639,Summary!$P$166:$P$242),0)</f>
        <v>389.30486626125901</v>
      </c>
      <c r="AE639" s="197">
        <f t="shared" ca="1" si="136"/>
        <v>1053.5064088747408</v>
      </c>
      <c r="AF639" s="196">
        <f>IFERROR(G639/SUMIF(A:A,A639,G:G)*SUMIF(Summary!$A$166:$A$242,'Operations Support'!A639,Summary!$Q$166:$Q$242),0)</f>
        <v>389.56146735615891</v>
      </c>
      <c r="AG639" s="196">
        <f t="shared" ca="1" si="137"/>
        <v>1053.2498077798409</v>
      </c>
      <c r="AI639" s="196">
        <f>IFERROR($G639/SUMIF($A:$A,$A639,$G:$G)*SUMIF(Summary!$A$247:$A$283,$A639,Summary!$P$247:$P$283),0)</f>
        <v>70.999492611408868</v>
      </c>
      <c r="AJ639" s="196">
        <f>IFERROR($G639/SUMIF($A:$A,$A639,$G:$G)*(SUMIF(Summary!$A$247:$A$283,$A639,Summary!$L$247:$L$283)+SUMIF(Summary!$A$297:$A$333,$A639,Summary!$L$297:$L$333))-AI639,0)</f>
        <v>214.76619514549583</v>
      </c>
      <c r="AK639" s="196">
        <f>IFERROR($G639/SUMIF($A:$A,$A639,$G:$G)*SUMIF(Summary!$A$247:$A$283,$A639,Summary!$Q$247:$Q$283),0)</f>
        <v>71.046290247709663</v>
      </c>
      <c r="AL639" s="196">
        <f>IFERROR($G639/SUMIF($A:$A,$A639,$G:$G)*(SUMIF(Summary!$A$247:$A$283,$A639,Summary!$L$247:$L$283)+SUMIF(Summary!$A$297:$A$333,$A639,Summary!$L$297:$L$333))-AK639,0)</f>
        <v>214.71939750919503</v>
      </c>
      <c r="AM639" s="198"/>
      <c r="AN639" s="196">
        <f t="shared" ca="1" si="138"/>
        <v>1268.2726040202367</v>
      </c>
      <c r="AO639" s="196">
        <f t="shared" ca="1" si="139"/>
        <v>1267.9692052890359</v>
      </c>
    </row>
    <row r="640" spans="1:41">
      <c r="A640" s="189">
        <v>3599</v>
      </c>
      <c r="B640" s="203">
        <v>1</v>
      </c>
      <c r="C640" s="191" t="s">
        <v>225</v>
      </c>
      <c r="D640" s="192">
        <f t="shared" si="126"/>
        <v>3757</v>
      </c>
      <c r="E640" s="192">
        <f t="shared" si="127"/>
        <v>13531</v>
      </c>
      <c r="F640" s="192">
        <f t="shared" si="128"/>
        <v>0</v>
      </c>
      <c r="G640" s="193">
        <f t="shared" si="129"/>
        <v>17288</v>
      </c>
      <c r="H640" s="194">
        <v>1726</v>
      </c>
      <c r="I640" s="194">
        <v>6379</v>
      </c>
      <c r="J640" s="194">
        <v>0</v>
      </c>
      <c r="K640" s="193">
        <f t="shared" si="130"/>
        <v>8105</v>
      </c>
      <c r="L640" s="194">
        <v>1863</v>
      </c>
      <c r="M640" s="194">
        <v>6544</v>
      </c>
      <c r="N640" s="194">
        <v>0</v>
      </c>
      <c r="O640" s="193">
        <f t="shared" si="131"/>
        <v>8407</v>
      </c>
      <c r="P640" s="194">
        <v>168</v>
      </c>
      <c r="Q640" s="194">
        <v>608</v>
      </c>
      <c r="R640" s="194">
        <v>0</v>
      </c>
      <c r="S640" s="193">
        <f t="shared" si="132"/>
        <v>776</v>
      </c>
      <c r="T640" s="193">
        <f t="shared" si="133"/>
        <v>576.26666666666665</v>
      </c>
      <c r="U640" s="193">
        <f ca="1">OFFSET('Expenditure Study'!$B$7,'Operations Support'!$C640,'Operations Support'!$B640)*$G640</f>
        <v>30426.880000000001</v>
      </c>
      <c r="V640" s="199">
        <f ca="1">U640*'Expenditure Study'!$B$31</f>
        <v>1797716.8522199041</v>
      </c>
      <c r="W640" s="199">
        <f ca="1">IF(A640=10298,1.51,1)*IF($B640&lt;3,$D640*'Expenditure Study'!$B$32*OFFSET('Expenditure Study'!$B$7,'Operations Support'!$C640,'Operations Support'!$B640),0)</f>
        <v>661.23200000000008</v>
      </c>
      <c r="X640" s="200">
        <f ca="1">W640*'Expenditure Study'!$B$31</f>
        <v>39067.689806745606</v>
      </c>
      <c r="Y640" s="199">
        <f ca="1">U640*'Expenditure Study'!$B$31</f>
        <v>1797716.8522199041</v>
      </c>
      <c r="Z640" s="200">
        <f ca="1">W640*'Expenditure Study'!$B$31</f>
        <v>39067.689806745606</v>
      </c>
      <c r="AA640" s="195">
        <f t="shared" ca="1" si="134"/>
        <v>1836784.5420266497</v>
      </c>
      <c r="AB640" s="195">
        <f t="shared" ca="1" si="135"/>
        <v>1836784.5420266497</v>
      </c>
      <c r="AD640" s="196">
        <f>IFERROR($G640/SUMIF($A:$A,$A640,$G:$G)*SUMIF(Summary!$A$166:$A$242,$A640,Summary!$P$166:$P$242),0)</f>
        <v>448686.83519497636</v>
      </c>
      <c r="AE640" s="197">
        <f t="shared" ca="1" si="136"/>
        <v>1388097.7068316734</v>
      </c>
      <c r="AF640" s="196">
        <f>IFERROR(G640/SUMIF(A:A,A640,G:G)*SUMIF(Summary!$A$166:$A$242,'Operations Support'!A640,Summary!$Q$166:$Q$242),0)</f>
        <v>448982.57651021832</v>
      </c>
      <c r="AG640" s="196">
        <f t="shared" ca="1" si="137"/>
        <v>1387801.9655164313</v>
      </c>
      <c r="AI640" s="196">
        <f>IFERROR($G640/SUMIF($A:$A,$A640,$G:$G)*SUMIF(Summary!$A$247:$A$283,$A640,Summary!$P$247:$P$283),0)</f>
        <v>81829.28188440243</v>
      </c>
      <c r="AJ640" s="196">
        <f>IFERROR($G640/SUMIF($A:$A,$A640,$G:$G)*(SUMIF(Summary!$A$247:$A$283,$A640,Summary!$L$247:$L$283)+SUMIF(Summary!$A$297:$A$333,$A640,Summary!$L$297:$L$333))-AI640,0)</f>
        <v>247525.19877835549</v>
      </c>
      <c r="AK640" s="196">
        <f>IFERROR($G640/SUMIF($A:$A,$A640,$G:$G)*SUMIF(Summary!$A$247:$A$283,$A640,Summary!$Q$247:$Q$283),0)</f>
        <v>81883.217720160304</v>
      </c>
      <c r="AL640" s="196">
        <f>IFERROR($G640/SUMIF($A:$A,$A640,$G:$G)*(SUMIF(Summary!$A$247:$A$283,$A640,Summary!$L$247:$L$283)+SUMIF(Summary!$A$297:$A$333,$A640,Summary!$L$297:$L$333))-AK640,0)</f>
        <v>247471.26294259762</v>
      </c>
      <c r="AM640" s="198"/>
      <c r="AN640" s="196">
        <f t="shared" ca="1" si="138"/>
        <v>1635622.9056100289</v>
      </c>
      <c r="AO640" s="196">
        <f t="shared" ca="1" si="139"/>
        <v>1635273.228459029</v>
      </c>
    </row>
    <row r="641" spans="1:41">
      <c r="A641" s="189">
        <v>3599</v>
      </c>
      <c r="B641" s="203">
        <v>1</v>
      </c>
      <c r="C641" s="191" t="s">
        <v>226</v>
      </c>
      <c r="D641" s="192">
        <f t="shared" si="126"/>
        <v>6</v>
      </c>
      <c r="E641" s="192">
        <f t="shared" si="127"/>
        <v>45</v>
      </c>
      <c r="F641" s="192">
        <f t="shared" si="128"/>
        <v>0</v>
      </c>
      <c r="G641" s="193">
        <f t="shared" si="129"/>
        <v>51</v>
      </c>
      <c r="H641" s="194">
        <v>0</v>
      </c>
      <c r="I641" s="194">
        <v>15</v>
      </c>
      <c r="J641" s="194">
        <v>0</v>
      </c>
      <c r="K641" s="193">
        <f t="shared" si="130"/>
        <v>15</v>
      </c>
      <c r="L641" s="194">
        <v>0</v>
      </c>
      <c r="M641" s="194">
        <v>30</v>
      </c>
      <c r="N641" s="194">
        <v>0</v>
      </c>
      <c r="O641" s="193">
        <f t="shared" si="131"/>
        <v>30</v>
      </c>
      <c r="P641" s="194">
        <v>6</v>
      </c>
      <c r="Q641" s="194">
        <v>0</v>
      </c>
      <c r="R641" s="194">
        <v>0</v>
      </c>
      <c r="S641" s="193">
        <f t="shared" si="132"/>
        <v>6</v>
      </c>
      <c r="T641" s="193">
        <f t="shared" si="133"/>
        <v>1.7</v>
      </c>
      <c r="U641" s="193">
        <f ca="1">OFFSET('Expenditure Study'!$B$7,'Operations Support'!$C641,'Operations Support'!$B641)*$G641</f>
        <v>48.449999999999996</v>
      </c>
      <c r="V641" s="199">
        <f ca="1">U641*'Expenditure Study'!$B$31</f>
        <v>2862.5801097599997</v>
      </c>
      <c r="W641" s="199">
        <f ca="1">IF(A641=10298,1.51,1)*IF($B641&lt;3,$D641*'Expenditure Study'!$B$32*OFFSET('Expenditure Study'!$B$7,'Operations Support'!$C641,'Operations Support'!$B641),0)</f>
        <v>0.57000000000000006</v>
      </c>
      <c r="X641" s="200">
        <f ca="1">W641*'Expenditure Study'!$B$31</f>
        <v>33.677413056000006</v>
      </c>
      <c r="Y641" s="199">
        <f ca="1">U641*'Expenditure Study'!$B$31</f>
        <v>2862.5801097599997</v>
      </c>
      <c r="Z641" s="200">
        <f ca="1">W641*'Expenditure Study'!$B$31</f>
        <v>33.677413056000006</v>
      </c>
      <c r="AA641" s="195">
        <f t="shared" ca="1" si="134"/>
        <v>2896.2575228159999</v>
      </c>
      <c r="AB641" s="195">
        <f t="shared" ca="1" si="135"/>
        <v>2896.2575228159999</v>
      </c>
      <c r="AD641" s="196">
        <f>IFERROR($G641/SUMIF($A:$A,$A641,$G:$G)*SUMIF(Summary!$A$166:$A$242,$A641,Summary!$P$166:$P$242),0)</f>
        <v>1323.6365452882806</v>
      </c>
      <c r="AE641" s="197">
        <f t="shared" ca="1" si="136"/>
        <v>1572.6209775277193</v>
      </c>
      <c r="AF641" s="196">
        <f>IFERROR(G641/SUMIF(A:A,A641,G:G)*SUMIF(Summary!$A$166:$A$242,'Operations Support'!A641,Summary!$Q$166:$Q$242),0)</f>
        <v>1324.5089890109402</v>
      </c>
      <c r="AG641" s="196">
        <f t="shared" ca="1" si="137"/>
        <v>1571.7485338050597</v>
      </c>
      <c r="AI641" s="196">
        <f>IFERROR($G641/SUMIF($A:$A,$A641,$G:$G)*SUMIF(Summary!$A$247:$A$283,$A641,Summary!$P$247:$P$283),0)</f>
        <v>241.39827487879015</v>
      </c>
      <c r="AJ641" s="196">
        <f>IFERROR($G641/SUMIF($A:$A,$A641,$G:$G)*(SUMIF(Summary!$A$247:$A$283,$A641,Summary!$L$247:$L$283)+SUMIF(Summary!$A$297:$A$333,$A641,Summary!$L$297:$L$333))-AI641,0)</f>
        <v>730.20506349468587</v>
      </c>
      <c r="AK641" s="196">
        <f>IFERROR($G641/SUMIF($A:$A,$A641,$G:$G)*SUMIF(Summary!$A$247:$A$283,$A641,Summary!$Q$247:$Q$283),0)</f>
        <v>241.55738684221285</v>
      </c>
      <c r="AL641" s="196">
        <f>IFERROR($G641/SUMIF($A:$A,$A641,$G:$G)*(SUMIF(Summary!$A$247:$A$283,$A641,Summary!$L$247:$L$283)+SUMIF(Summary!$A$297:$A$333,$A641,Summary!$L$297:$L$333))-AK641,0)</f>
        <v>730.0459515312632</v>
      </c>
      <c r="AM641" s="198"/>
      <c r="AN641" s="196">
        <f t="shared" ca="1" si="138"/>
        <v>2302.8260410224052</v>
      </c>
      <c r="AO641" s="196">
        <f t="shared" ca="1" si="139"/>
        <v>2301.7944853363229</v>
      </c>
    </row>
    <row r="642" spans="1:41">
      <c r="A642" s="189">
        <v>3599</v>
      </c>
      <c r="B642" s="203">
        <v>1</v>
      </c>
      <c r="C642" s="191" t="s">
        <v>227</v>
      </c>
      <c r="D642" s="192">
        <f t="shared" si="126"/>
        <v>0</v>
      </c>
      <c r="E642" s="192">
        <f t="shared" si="127"/>
        <v>0</v>
      </c>
      <c r="F642" s="192">
        <f t="shared" si="128"/>
        <v>0</v>
      </c>
      <c r="G642" s="193">
        <f t="shared" si="129"/>
        <v>0</v>
      </c>
      <c r="H642" s="194">
        <v>0</v>
      </c>
      <c r="I642" s="194">
        <v>0</v>
      </c>
      <c r="J642" s="194">
        <v>0</v>
      </c>
      <c r="K642" s="193">
        <f t="shared" si="130"/>
        <v>0</v>
      </c>
      <c r="L642" s="194">
        <v>0</v>
      </c>
      <c r="M642" s="194">
        <v>0</v>
      </c>
      <c r="N642" s="194">
        <v>0</v>
      </c>
      <c r="O642" s="193">
        <f t="shared" si="131"/>
        <v>0</v>
      </c>
      <c r="P642" s="194">
        <v>0</v>
      </c>
      <c r="Q642" s="194">
        <v>0</v>
      </c>
      <c r="R642" s="194">
        <v>0</v>
      </c>
      <c r="S642" s="193">
        <f t="shared" si="132"/>
        <v>0</v>
      </c>
      <c r="T642" s="193">
        <f t="shared" si="133"/>
        <v>0</v>
      </c>
      <c r="U642" s="193">
        <f ca="1">OFFSET('Expenditure Study'!$B$7,'Operations Support'!$C642,'Operations Support'!$B642)*$G642</f>
        <v>0</v>
      </c>
      <c r="V642" s="199">
        <f ca="1">U642*'Expenditure Study'!$B$31</f>
        <v>0</v>
      </c>
      <c r="W642" s="199">
        <f ca="1">IF(A642=10298,1.51,1)*IF($B642&lt;3,$D642*'Expenditure Study'!$B$32*OFFSET('Expenditure Study'!$B$7,'Operations Support'!$C642,'Operations Support'!$B642),0)</f>
        <v>0</v>
      </c>
      <c r="X642" s="200">
        <f ca="1">W642*'Expenditure Study'!$B$31</f>
        <v>0</v>
      </c>
      <c r="Y642" s="199">
        <f ca="1">U642*'Expenditure Study'!$B$31</f>
        <v>0</v>
      </c>
      <c r="Z642" s="200">
        <f ca="1">W642*'Expenditure Study'!$B$31</f>
        <v>0</v>
      </c>
      <c r="AA642" s="195">
        <f t="shared" ca="1" si="134"/>
        <v>0</v>
      </c>
      <c r="AB642" s="195">
        <f t="shared" ca="1" si="135"/>
        <v>0</v>
      </c>
      <c r="AD642" s="196">
        <f>IFERROR($G642/SUMIF($A:$A,$A642,$G:$G)*SUMIF(Summary!$A$166:$A$242,$A642,Summary!$P$166:$P$242),0)</f>
        <v>0</v>
      </c>
      <c r="AE642" s="197">
        <f t="shared" ca="1" si="136"/>
        <v>0</v>
      </c>
      <c r="AF642" s="196">
        <f>IFERROR(G642/SUMIF(A:A,A642,G:G)*SUMIF(Summary!$A$166:$A$242,'Operations Support'!A642,Summary!$Q$166:$Q$242),0)</f>
        <v>0</v>
      </c>
      <c r="AG642" s="196">
        <f t="shared" ca="1" si="137"/>
        <v>0</v>
      </c>
      <c r="AI642" s="196">
        <f>IFERROR($G642/SUMIF($A:$A,$A642,$G:$G)*SUMIF(Summary!$A$247:$A$283,$A642,Summary!$P$247:$P$283),0)</f>
        <v>0</v>
      </c>
      <c r="AJ642" s="196">
        <f>IFERROR($G642/SUMIF($A:$A,$A642,$G:$G)*(SUMIF(Summary!$A$247:$A$283,$A642,Summary!$L$247:$L$283)+SUMIF(Summary!$A$297:$A$333,$A642,Summary!$L$297:$L$333))-AI642,0)</f>
        <v>0</v>
      </c>
      <c r="AK642" s="196">
        <f>IFERROR($G642/SUMIF($A:$A,$A642,$G:$G)*SUMIF(Summary!$A$247:$A$283,$A642,Summary!$Q$247:$Q$283),0)</f>
        <v>0</v>
      </c>
      <c r="AL642" s="196">
        <f>IFERROR($G642/SUMIF($A:$A,$A642,$G:$G)*(SUMIF(Summary!$A$247:$A$283,$A642,Summary!$L$247:$L$283)+SUMIF(Summary!$A$297:$A$333,$A642,Summary!$L$297:$L$333))-AK642,0)</f>
        <v>0</v>
      </c>
      <c r="AM642" s="198"/>
      <c r="AN642" s="196">
        <f t="shared" ca="1" si="138"/>
        <v>0</v>
      </c>
      <c r="AO642" s="196">
        <f t="shared" ca="1" si="139"/>
        <v>0</v>
      </c>
    </row>
    <row r="643" spans="1:41">
      <c r="A643" s="189">
        <v>3599</v>
      </c>
      <c r="B643" s="203">
        <v>1</v>
      </c>
      <c r="C643" s="191" t="s">
        <v>228</v>
      </c>
      <c r="D643" s="192">
        <f t="shared" si="126"/>
        <v>93</v>
      </c>
      <c r="E643" s="192">
        <f t="shared" si="127"/>
        <v>1440</v>
      </c>
      <c r="F643" s="192">
        <f t="shared" si="128"/>
        <v>0</v>
      </c>
      <c r="G643" s="193">
        <f t="shared" si="129"/>
        <v>1533</v>
      </c>
      <c r="H643" s="194">
        <v>42</v>
      </c>
      <c r="I643" s="194">
        <v>600</v>
      </c>
      <c r="J643" s="194">
        <v>0</v>
      </c>
      <c r="K643" s="193">
        <f t="shared" si="130"/>
        <v>642</v>
      </c>
      <c r="L643" s="194">
        <v>36</v>
      </c>
      <c r="M643" s="194">
        <v>717</v>
      </c>
      <c r="N643" s="194">
        <v>0</v>
      </c>
      <c r="O643" s="193">
        <f t="shared" si="131"/>
        <v>753</v>
      </c>
      <c r="P643" s="194">
        <v>15</v>
      </c>
      <c r="Q643" s="194">
        <v>123</v>
      </c>
      <c r="R643" s="194">
        <v>0</v>
      </c>
      <c r="S643" s="193">
        <f t="shared" si="132"/>
        <v>138</v>
      </c>
      <c r="T643" s="193">
        <f t="shared" si="133"/>
        <v>51.1</v>
      </c>
      <c r="U643" s="193">
        <f ca="1">OFFSET('Expenditure Study'!$B$7,'Operations Support'!$C643,'Operations Support'!$B643)*$G643</f>
        <v>2422.1400000000003</v>
      </c>
      <c r="V643" s="199">
        <f ca="1">U643*'Expenditure Study'!$B$31</f>
        <v>143107.73554291204</v>
      </c>
      <c r="W643" s="199">
        <f ca="1">IF(A643=10298,1.51,1)*IF($B643&lt;3,$D643*'Expenditure Study'!$B$32*OFFSET('Expenditure Study'!$B$7,'Operations Support'!$C643,'Operations Support'!$B643),0)</f>
        <v>14.694000000000003</v>
      </c>
      <c r="X643" s="200">
        <f ca="1">W643*'Expenditure Study'!$B$31</f>
        <v>868.16825867520015</v>
      </c>
      <c r="Y643" s="199">
        <f ca="1">U643*'Expenditure Study'!$B$31</f>
        <v>143107.73554291204</v>
      </c>
      <c r="Z643" s="200">
        <f ca="1">W643*'Expenditure Study'!$B$31</f>
        <v>868.16825867520015</v>
      </c>
      <c r="AA643" s="195">
        <f t="shared" ca="1" si="134"/>
        <v>143975.90380158724</v>
      </c>
      <c r="AB643" s="195">
        <f t="shared" ca="1" si="135"/>
        <v>143975.90380158724</v>
      </c>
      <c r="AD643" s="196">
        <f>IFERROR($G643/SUMIF($A:$A,$A643,$G:$G)*SUMIF(Summary!$A$166:$A$242,$A643,Summary!$P$166:$P$242),0)</f>
        <v>39786.957331900674</v>
      </c>
      <c r="AE643" s="197">
        <f t="shared" ca="1" si="136"/>
        <v>104188.94646968656</v>
      </c>
      <c r="AF643" s="196">
        <f>IFERROR(G643/SUMIF(A:A,A643,G:G)*SUMIF(Summary!$A$166:$A$242,'Operations Support'!A643,Summary!$Q$166:$Q$242),0)</f>
        <v>39813.181963799441</v>
      </c>
      <c r="AG643" s="196">
        <f t="shared" ca="1" si="137"/>
        <v>104162.7218377878</v>
      </c>
      <c r="AI643" s="196">
        <f>IFERROR($G643/SUMIF($A:$A,$A643,$G:$G)*SUMIF(Summary!$A$247:$A$283,$A643,Summary!$P$247:$P$283),0)</f>
        <v>7256.1481448859868</v>
      </c>
      <c r="AJ643" s="196">
        <f>IFERROR($G643/SUMIF($A:$A,$A643,$G:$G)*(SUMIF(Summary!$A$247:$A$283,$A643,Summary!$L$247:$L$283)+SUMIF(Summary!$A$297:$A$333,$A643,Summary!$L$297:$L$333))-AI643,0)</f>
        <v>21949.105143869674</v>
      </c>
      <c r="AK643" s="196">
        <f>IFERROR($G643/SUMIF($A:$A,$A643,$G:$G)*SUMIF(Summary!$A$247:$A$283,$A643,Summary!$Q$247:$Q$283),0)</f>
        <v>7260.9308633159271</v>
      </c>
      <c r="AL643" s="196">
        <f>IFERROR($G643/SUMIF($A:$A,$A643,$G:$G)*(SUMIF(Summary!$A$247:$A$283,$A643,Summary!$L$247:$L$283)+SUMIF(Summary!$A$297:$A$333,$A643,Summary!$L$297:$L$333))-AK643,0)</f>
        <v>21944.322425439736</v>
      </c>
      <c r="AM643" s="198"/>
      <c r="AN643" s="196">
        <f t="shared" ca="1" si="138"/>
        <v>126138.05161355624</v>
      </c>
      <c r="AO643" s="196">
        <f t="shared" ca="1" si="139"/>
        <v>126107.04426322754</v>
      </c>
    </row>
    <row r="644" spans="1:41">
      <c r="A644" s="189">
        <v>3599</v>
      </c>
      <c r="B644" s="203">
        <v>1</v>
      </c>
      <c r="C644" s="191" t="s">
        <v>229</v>
      </c>
      <c r="D644" s="192">
        <f t="shared" si="126"/>
        <v>6</v>
      </c>
      <c r="E644" s="192">
        <f t="shared" si="127"/>
        <v>0</v>
      </c>
      <c r="F644" s="192">
        <f t="shared" si="128"/>
        <v>0</v>
      </c>
      <c r="G644" s="193">
        <f t="shared" si="129"/>
        <v>6</v>
      </c>
      <c r="H644" s="194">
        <v>6</v>
      </c>
      <c r="I644" s="194">
        <v>0</v>
      </c>
      <c r="J644" s="194">
        <v>0</v>
      </c>
      <c r="K644" s="193">
        <f t="shared" si="130"/>
        <v>6</v>
      </c>
      <c r="L644" s="194">
        <v>0</v>
      </c>
      <c r="M644" s="194">
        <v>0</v>
      </c>
      <c r="N644" s="194">
        <v>0</v>
      </c>
      <c r="O644" s="193">
        <f t="shared" si="131"/>
        <v>0</v>
      </c>
      <c r="P644" s="194">
        <v>0</v>
      </c>
      <c r="Q644" s="194">
        <v>0</v>
      </c>
      <c r="R644" s="194">
        <v>0</v>
      </c>
      <c r="S644" s="193">
        <f t="shared" si="132"/>
        <v>0</v>
      </c>
      <c r="T644" s="193">
        <f t="shared" si="133"/>
        <v>0.2</v>
      </c>
      <c r="U644" s="193">
        <f ca="1">OFFSET('Expenditure Study'!$B$7,'Operations Support'!$C644,'Operations Support'!$B644)*$G644</f>
        <v>19.98</v>
      </c>
      <c r="V644" s="199">
        <f ca="1">U644*'Expenditure Study'!$B$31</f>
        <v>1180.4819523840001</v>
      </c>
      <c r="W644" s="199">
        <f ca="1">IF(A644=10298,1.51,1)*IF($B644&lt;3,$D644*'Expenditure Study'!$B$32*OFFSET('Expenditure Study'!$B$7,'Operations Support'!$C644,'Operations Support'!$B644),0)</f>
        <v>1.9980000000000004</v>
      </c>
      <c r="X644" s="200">
        <f ca="1">W644*'Expenditure Study'!$B$31</f>
        <v>118.04819523840003</v>
      </c>
      <c r="Y644" s="199">
        <f ca="1">U644*'Expenditure Study'!$B$31</f>
        <v>1180.4819523840001</v>
      </c>
      <c r="Z644" s="200">
        <f ca="1">W644*'Expenditure Study'!$B$31</f>
        <v>118.04819523840003</v>
      </c>
      <c r="AA644" s="195">
        <f t="shared" ca="1" si="134"/>
        <v>1298.5301476224001</v>
      </c>
      <c r="AB644" s="195">
        <f t="shared" ca="1" si="135"/>
        <v>1298.5301476224001</v>
      </c>
      <c r="AD644" s="196">
        <f>IFERROR($G644/SUMIF($A:$A,$A644,$G:$G)*SUMIF(Summary!$A$166:$A$242,$A644,Summary!$P$166:$P$242),0)</f>
        <v>155.72194650450362</v>
      </c>
      <c r="AE644" s="197">
        <f t="shared" ca="1" si="136"/>
        <v>1142.8082011178965</v>
      </c>
      <c r="AF644" s="196">
        <f>IFERROR(G644/SUMIF(A:A,A644,G:G)*SUMIF(Summary!$A$166:$A$242,'Operations Support'!A644,Summary!$Q$166:$Q$242),0)</f>
        <v>155.82458694246358</v>
      </c>
      <c r="AG644" s="196">
        <f t="shared" ca="1" si="137"/>
        <v>1142.7055606799365</v>
      </c>
      <c r="AI644" s="196">
        <f>IFERROR($G644/SUMIF($A:$A,$A644,$G:$G)*SUMIF(Summary!$A$247:$A$283,$A644,Summary!$P$247:$P$283),0)</f>
        <v>28.399797044563545</v>
      </c>
      <c r="AJ644" s="196">
        <f>IFERROR($G644/SUMIF($A:$A,$A644,$G:$G)*(SUMIF(Summary!$A$247:$A$283,$A644,Summary!$L$247:$L$283)+SUMIF(Summary!$A$297:$A$333,$A644,Summary!$L$297:$L$333))-AI644,0)</f>
        <v>85.906478058198346</v>
      </c>
      <c r="AK644" s="196">
        <f>IFERROR($G644/SUMIF($A:$A,$A644,$G:$G)*SUMIF(Summary!$A$247:$A$283,$A644,Summary!$Q$247:$Q$283),0)</f>
        <v>28.418516099083863</v>
      </c>
      <c r="AL644" s="196">
        <f>IFERROR($G644/SUMIF($A:$A,$A644,$G:$G)*(SUMIF(Summary!$A$247:$A$283,$A644,Summary!$L$247:$L$283)+SUMIF(Summary!$A$297:$A$333,$A644,Summary!$L$297:$L$333))-AK644,0)</f>
        <v>85.887759003678028</v>
      </c>
      <c r="AM644" s="198"/>
      <c r="AN644" s="196">
        <f t="shared" ca="1" si="138"/>
        <v>1228.7146791760949</v>
      </c>
      <c r="AO644" s="196">
        <f t="shared" ca="1" si="139"/>
        <v>1228.5933196836145</v>
      </c>
    </row>
    <row r="645" spans="1:41">
      <c r="A645" s="189">
        <v>3599</v>
      </c>
      <c r="B645" s="203">
        <v>1</v>
      </c>
      <c r="C645" s="191" t="s">
        <v>230</v>
      </c>
      <c r="D645" s="192">
        <f t="shared" ref="D645:D708" si="140">H645+L645+P645</f>
        <v>0</v>
      </c>
      <c r="E645" s="192">
        <f t="shared" ref="E645:E708" si="141">I645+M645+Q645</f>
        <v>0</v>
      </c>
      <c r="F645" s="192">
        <f t="shared" ref="F645:F708" si="142">J645+N645+R645</f>
        <v>0</v>
      </c>
      <c r="G645" s="193">
        <f t="shared" ref="G645:G708" si="143">(SUM(D645:E645)-F645)*IF(A645=10298,1.51,1)</f>
        <v>0</v>
      </c>
      <c r="H645" s="194">
        <v>0</v>
      </c>
      <c r="I645" s="194">
        <v>0</v>
      </c>
      <c r="J645" s="194">
        <v>0</v>
      </c>
      <c r="K645" s="193">
        <f t="shared" ref="K645:K708" si="144">SUM(H645:I645)-J645</f>
        <v>0</v>
      </c>
      <c r="L645" s="194">
        <v>0</v>
      </c>
      <c r="M645" s="194">
        <v>0</v>
      </c>
      <c r="N645" s="194">
        <v>0</v>
      </c>
      <c r="O645" s="193">
        <f t="shared" ref="O645:O708" si="145">SUM(L645:M645)-N645</f>
        <v>0</v>
      </c>
      <c r="P645" s="194">
        <v>0</v>
      </c>
      <c r="Q645" s="194">
        <v>0</v>
      </c>
      <c r="R645" s="194">
        <v>0</v>
      </c>
      <c r="S645" s="193">
        <f t="shared" ref="S645:S708" si="146">SUM(P645:Q645)-R645</f>
        <v>0</v>
      </c>
      <c r="T645" s="193">
        <f t="shared" ref="T645:T708" si="147">IF(OR(B645=1,B645=2),G645/30,IF(OR(B645=3,B645=5),G645/24,IF(B645=4,G645/18,0)))</f>
        <v>0</v>
      </c>
      <c r="U645" s="193">
        <f ca="1">OFFSET('Expenditure Study'!$B$7,'Operations Support'!$C645,'Operations Support'!$B645)*$G645</f>
        <v>0</v>
      </c>
      <c r="V645" s="199">
        <f ca="1">U645*'Expenditure Study'!$B$31</f>
        <v>0</v>
      </c>
      <c r="W645" s="199">
        <f ca="1">IF(A645=10298,1.51,1)*IF($B645&lt;3,$D645*'Expenditure Study'!$B$32*OFFSET('Expenditure Study'!$B$7,'Operations Support'!$C645,'Operations Support'!$B645),0)</f>
        <v>0</v>
      </c>
      <c r="X645" s="200">
        <f ca="1">W645*'Expenditure Study'!$B$31</f>
        <v>0</v>
      </c>
      <c r="Y645" s="199">
        <f ca="1">U645*'Expenditure Study'!$B$31</f>
        <v>0</v>
      </c>
      <c r="Z645" s="200">
        <f ca="1">W645*'Expenditure Study'!$B$31</f>
        <v>0</v>
      </c>
      <c r="AA645" s="195">
        <f t="shared" ref="AA645:AA708" ca="1" si="148">V645+X645</f>
        <v>0</v>
      </c>
      <c r="AB645" s="195">
        <f t="shared" ref="AB645:AB708" ca="1" si="149">Y645+Z645</f>
        <v>0</v>
      </c>
      <c r="AD645" s="196">
        <f>IFERROR($G645/SUMIF($A:$A,$A645,$G:$G)*SUMIF(Summary!$A$166:$A$242,$A645,Summary!$P$166:$P$242),0)</f>
        <v>0</v>
      </c>
      <c r="AE645" s="197">
        <f t="shared" ca="1" si="136"/>
        <v>0</v>
      </c>
      <c r="AF645" s="196">
        <f>IFERROR(G645/SUMIF(A:A,A645,G:G)*SUMIF(Summary!$A$166:$A$242,'Operations Support'!A645,Summary!$Q$166:$Q$242),0)</f>
        <v>0</v>
      </c>
      <c r="AG645" s="196">
        <f t="shared" ca="1" si="137"/>
        <v>0</v>
      </c>
      <c r="AI645" s="196">
        <f>IFERROR($G645/SUMIF($A:$A,$A645,$G:$G)*SUMIF(Summary!$A$247:$A$283,$A645,Summary!$P$247:$P$283),0)</f>
        <v>0</v>
      </c>
      <c r="AJ645" s="196">
        <f>IFERROR($G645/SUMIF($A:$A,$A645,$G:$G)*(SUMIF(Summary!$A$247:$A$283,$A645,Summary!$L$247:$L$283)+SUMIF(Summary!$A$297:$A$333,$A645,Summary!$L$297:$L$333))-AI645,0)</f>
        <v>0</v>
      </c>
      <c r="AK645" s="196">
        <f>IFERROR($G645/SUMIF($A:$A,$A645,$G:$G)*SUMIF(Summary!$A$247:$A$283,$A645,Summary!$Q$247:$Q$283),0)</f>
        <v>0</v>
      </c>
      <c r="AL645" s="196">
        <f>IFERROR($G645/SUMIF($A:$A,$A645,$G:$G)*(SUMIF(Summary!$A$247:$A$283,$A645,Summary!$L$247:$L$283)+SUMIF(Summary!$A$297:$A$333,$A645,Summary!$L$297:$L$333))-AK645,0)</f>
        <v>0</v>
      </c>
      <c r="AM645" s="198"/>
      <c r="AN645" s="196">
        <f t="shared" ca="1" si="138"/>
        <v>0</v>
      </c>
      <c r="AO645" s="196">
        <f t="shared" ca="1" si="139"/>
        <v>0</v>
      </c>
    </row>
    <row r="646" spans="1:41">
      <c r="A646" s="189">
        <v>3599</v>
      </c>
      <c r="B646" s="203">
        <v>1</v>
      </c>
      <c r="C646" s="191" t="s">
        <v>231</v>
      </c>
      <c r="D646" s="192">
        <f t="shared" si="140"/>
        <v>0</v>
      </c>
      <c r="E646" s="192">
        <f t="shared" si="141"/>
        <v>0</v>
      </c>
      <c r="F646" s="192">
        <f t="shared" si="142"/>
        <v>0</v>
      </c>
      <c r="G646" s="193">
        <f t="shared" si="143"/>
        <v>0</v>
      </c>
      <c r="H646" s="194">
        <v>0</v>
      </c>
      <c r="I646" s="194">
        <v>0</v>
      </c>
      <c r="J646" s="194">
        <v>0</v>
      </c>
      <c r="K646" s="193">
        <f t="shared" si="144"/>
        <v>0</v>
      </c>
      <c r="L646" s="194">
        <v>0</v>
      </c>
      <c r="M646" s="194">
        <v>0</v>
      </c>
      <c r="N646" s="194">
        <v>0</v>
      </c>
      <c r="O646" s="193">
        <f t="shared" si="145"/>
        <v>0</v>
      </c>
      <c r="P646" s="194">
        <v>0</v>
      </c>
      <c r="Q646" s="194">
        <v>0</v>
      </c>
      <c r="R646" s="194">
        <v>0</v>
      </c>
      <c r="S646" s="193">
        <f t="shared" si="146"/>
        <v>0</v>
      </c>
      <c r="T646" s="193">
        <f t="shared" si="147"/>
        <v>0</v>
      </c>
      <c r="U646" s="193">
        <f ca="1">OFFSET('Expenditure Study'!$B$7,'Operations Support'!$C646,'Operations Support'!$B646)*$G646</f>
        <v>0</v>
      </c>
      <c r="V646" s="199">
        <f ca="1">U646*'Expenditure Study'!$B$31</f>
        <v>0</v>
      </c>
      <c r="W646" s="199">
        <f ca="1">IF(A646=10298,1.51,1)*IF($B646&lt;3,$D646*'Expenditure Study'!$B$32*OFFSET('Expenditure Study'!$B$7,'Operations Support'!$C646,'Operations Support'!$B646),0)</f>
        <v>0</v>
      </c>
      <c r="X646" s="200">
        <f ca="1">W646*'Expenditure Study'!$B$31</f>
        <v>0</v>
      </c>
      <c r="Y646" s="199">
        <f ca="1">U646*'Expenditure Study'!$B$31</f>
        <v>0</v>
      </c>
      <c r="Z646" s="200">
        <f ca="1">W646*'Expenditure Study'!$B$31</f>
        <v>0</v>
      </c>
      <c r="AA646" s="195">
        <f t="shared" ca="1" si="148"/>
        <v>0</v>
      </c>
      <c r="AB646" s="195">
        <f t="shared" ca="1" si="149"/>
        <v>0</v>
      </c>
      <c r="AD646" s="196">
        <f>IFERROR($G646/SUMIF($A:$A,$A646,$G:$G)*SUMIF(Summary!$A$166:$A$242,$A646,Summary!$P$166:$P$242),0)</f>
        <v>0</v>
      </c>
      <c r="AE646" s="197">
        <f t="shared" ref="AE646:AE709" ca="1" si="150">V646+X646-AD646</f>
        <v>0</v>
      </c>
      <c r="AF646" s="196">
        <f>IFERROR(G646/SUMIF(A:A,A646,G:G)*SUMIF(Summary!$A$166:$A$242,'Operations Support'!A646,Summary!$Q$166:$Q$242),0)</f>
        <v>0</v>
      </c>
      <c r="AG646" s="196">
        <f t="shared" ref="AG646:AG709" ca="1" si="151">Y646+Z646-AF646</f>
        <v>0</v>
      </c>
      <c r="AI646" s="196">
        <f>IFERROR($G646/SUMIF($A:$A,$A646,$G:$G)*SUMIF(Summary!$A$247:$A$283,$A646,Summary!$P$247:$P$283),0)</f>
        <v>0</v>
      </c>
      <c r="AJ646" s="196">
        <f>IFERROR($G646/SUMIF($A:$A,$A646,$G:$G)*(SUMIF(Summary!$A$247:$A$283,$A646,Summary!$L$247:$L$283)+SUMIF(Summary!$A$297:$A$333,$A646,Summary!$L$297:$L$333))-AI646,0)</f>
        <v>0</v>
      </c>
      <c r="AK646" s="196">
        <f>IFERROR($G646/SUMIF($A:$A,$A646,$G:$G)*SUMIF(Summary!$A$247:$A$283,$A646,Summary!$Q$247:$Q$283),0)</f>
        <v>0</v>
      </c>
      <c r="AL646" s="196">
        <f>IFERROR($G646/SUMIF($A:$A,$A646,$G:$G)*(SUMIF(Summary!$A$247:$A$283,$A646,Summary!$L$247:$L$283)+SUMIF(Summary!$A$297:$A$333,$A646,Summary!$L$297:$L$333))-AK646,0)</f>
        <v>0</v>
      </c>
      <c r="AM646" s="198"/>
      <c r="AN646" s="196">
        <f t="shared" ref="AN646:AN709" ca="1" si="152">AE646+AJ646</f>
        <v>0</v>
      </c>
      <c r="AO646" s="196">
        <f t="shared" ref="AO646:AO709" ca="1" si="153">AG646+AL646</f>
        <v>0</v>
      </c>
    </row>
    <row r="647" spans="1:41" s="201" customFormat="1">
      <c r="A647" s="189">
        <v>3599</v>
      </c>
      <c r="B647" s="203">
        <v>1</v>
      </c>
      <c r="C647" s="191" t="s">
        <v>232</v>
      </c>
      <c r="D647" s="192">
        <f t="shared" si="140"/>
        <v>0</v>
      </c>
      <c r="E647" s="192">
        <f t="shared" si="141"/>
        <v>0</v>
      </c>
      <c r="F647" s="192">
        <f t="shared" si="142"/>
        <v>0</v>
      </c>
      <c r="G647" s="193">
        <f t="shared" si="143"/>
        <v>0</v>
      </c>
      <c r="H647" s="194">
        <v>0</v>
      </c>
      <c r="I647" s="194">
        <v>0</v>
      </c>
      <c r="J647" s="194">
        <v>0</v>
      </c>
      <c r="K647" s="193">
        <f t="shared" si="144"/>
        <v>0</v>
      </c>
      <c r="L647" s="194">
        <v>0</v>
      </c>
      <c r="M647" s="194">
        <v>0</v>
      </c>
      <c r="N647" s="194">
        <v>0</v>
      </c>
      <c r="O647" s="193">
        <f t="shared" si="145"/>
        <v>0</v>
      </c>
      <c r="P647" s="194">
        <v>0</v>
      </c>
      <c r="Q647" s="194">
        <v>0</v>
      </c>
      <c r="R647" s="194">
        <v>0</v>
      </c>
      <c r="S647" s="193">
        <f t="shared" si="146"/>
        <v>0</v>
      </c>
      <c r="T647" s="193">
        <f t="shared" si="147"/>
        <v>0</v>
      </c>
      <c r="U647" s="193">
        <f ca="1">OFFSET('Expenditure Study'!$B$7,'Operations Support'!$C647,'Operations Support'!$B647)*$G647</f>
        <v>0</v>
      </c>
      <c r="V647" s="199">
        <f ca="1">U647*'Expenditure Study'!$B$31</f>
        <v>0</v>
      </c>
      <c r="W647" s="199">
        <f ca="1">IF(A647=10298,1.51,1)*IF($B647&lt;3,$D647*'Expenditure Study'!$B$32*OFFSET('Expenditure Study'!$B$7,'Operations Support'!$C647,'Operations Support'!$B647),0)</f>
        <v>0</v>
      </c>
      <c r="X647" s="200">
        <f ca="1">W647*'Expenditure Study'!$B$31</f>
        <v>0</v>
      </c>
      <c r="Y647" s="199">
        <f ca="1">U647*'Expenditure Study'!$B$31</f>
        <v>0</v>
      </c>
      <c r="Z647" s="200">
        <f ca="1">W647*'Expenditure Study'!$B$31</f>
        <v>0</v>
      </c>
      <c r="AA647" s="195">
        <f t="shared" ca="1" si="148"/>
        <v>0</v>
      </c>
      <c r="AB647" s="195">
        <f t="shared" ca="1" si="149"/>
        <v>0</v>
      </c>
      <c r="AD647" s="196">
        <f>IFERROR($G647/SUMIF($A:$A,$A647,$G:$G)*SUMIF(Summary!$A$166:$A$242,$A647,Summary!$P$166:$P$242),0)</f>
        <v>0</v>
      </c>
      <c r="AE647" s="197">
        <f t="shared" ca="1" si="150"/>
        <v>0</v>
      </c>
      <c r="AF647" s="196">
        <f>IFERROR(G647/SUMIF(A:A,A647,G:G)*SUMIF(Summary!$A$166:$A$242,'Operations Support'!A647,Summary!$Q$166:$Q$242),0)</f>
        <v>0</v>
      </c>
      <c r="AG647" s="196">
        <f t="shared" ca="1" si="151"/>
        <v>0</v>
      </c>
      <c r="AH647" s="180"/>
      <c r="AI647" s="196">
        <f>IFERROR($G647/SUMIF($A:$A,$A647,$G:$G)*SUMIF(Summary!$A$247:$A$283,$A647,Summary!$P$247:$P$283),0)</f>
        <v>0</v>
      </c>
      <c r="AJ647" s="196">
        <f>IFERROR($G647/SUMIF($A:$A,$A647,$G:$G)*(SUMIF(Summary!$A$247:$A$283,$A647,Summary!$L$247:$L$283)+SUMIF(Summary!$A$297:$A$333,$A647,Summary!$L$297:$L$333))-AI647,0)</f>
        <v>0</v>
      </c>
      <c r="AK647" s="196">
        <f>IFERROR($G647/SUMIF($A:$A,$A647,$G:$G)*SUMIF(Summary!$A$247:$A$283,$A647,Summary!$Q$247:$Q$283),0)</f>
        <v>0</v>
      </c>
      <c r="AL647" s="196">
        <f>IFERROR($G647/SUMIF($A:$A,$A647,$G:$G)*(SUMIF(Summary!$A$247:$A$283,$A647,Summary!$L$247:$L$283)+SUMIF(Summary!$A$297:$A$333,$A647,Summary!$L$297:$L$333))-AK647,0)</f>
        <v>0</v>
      </c>
      <c r="AM647" s="198"/>
      <c r="AN647" s="196">
        <f t="shared" ca="1" si="152"/>
        <v>0</v>
      </c>
      <c r="AO647" s="196">
        <f t="shared" ca="1" si="153"/>
        <v>0</v>
      </c>
    </row>
    <row r="648" spans="1:41">
      <c r="A648" s="189">
        <v>3599</v>
      </c>
      <c r="B648" s="203">
        <v>1</v>
      </c>
      <c r="C648" s="191" t="s">
        <v>233</v>
      </c>
      <c r="D648" s="192">
        <f t="shared" si="140"/>
        <v>294</v>
      </c>
      <c r="E648" s="192">
        <f t="shared" si="141"/>
        <v>18792</v>
      </c>
      <c r="F648" s="192">
        <f t="shared" si="142"/>
        <v>0</v>
      </c>
      <c r="G648" s="193">
        <f t="shared" si="143"/>
        <v>19086</v>
      </c>
      <c r="H648" s="194">
        <v>96</v>
      </c>
      <c r="I648" s="194">
        <v>7653</v>
      </c>
      <c r="J648" s="194">
        <v>0</v>
      </c>
      <c r="K648" s="193">
        <f t="shared" si="144"/>
        <v>7749</v>
      </c>
      <c r="L648" s="194">
        <v>144</v>
      </c>
      <c r="M648" s="194">
        <v>9648</v>
      </c>
      <c r="N648" s="194">
        <v>0</v>
      </c>
      <c r="O648" s="193">
        <f t="shared" si="145"/>
        <v>9792</v>
      </c>
      <c r="P648" s="194">
        <v>54</v>
      </c>
      <c r="Q648" s="194">
        <v>1491</v>
      </c>
      <c r="R648" s="194">
        <v>0</v>
      </c>
      <c r="S648" s="193">
        <f t="shared" si="146"/>
        <v>1545</v>
      </c>
      <c r="T648" s="193">
        <f t="shared" si="147"/>
        <v>636.20000000000005</v>
      </c>
      <c r="U648" s="193">
        <f ca="1">OFFSET('Expenditure Study'!$B$7,'Operations Support'!$C648,'Operations Support'!$B648)*$G648</f>
        <v>18322.559999999998</v>
      </c>
      <c r="V648" s="199">
        <f ca="1">U648*'Expenditure Study'!$B$31</f>
        <v>1082555.1251988478</v>
      </c>
      <c r="W648" s="199">
        <f ca="1">IF(A648=10298,1.51,1)*IF($B648&lt;3,$D648*'Expenditure Study'!$B$32*OFFSET('Expenditure Study'!$B$7,'Operations Support'!$C648,'Operations Support'!$B648),0)</f>
        <v>28.224</v>
      </c>
      <c r="X648" s="200">
        <f ca="1">W648*'Expenditure Study'!$B$31</f>
        <v>1667.5636948992001</v>
      </c>
      <c r="Y648" s="199">
        <f ca="1">U648*'Expenditure Study'!$B$31</f>
        <v>1082555.1251988478</v>
      </c>
      <c r="Z648" s="200">
        <f ca="1">W648*'Expenditure Study'!$B$31</f>
        <v>1667.5636948992001</v>
      </c>
      <c r="AA648" s="195">
        <f t="shared" ca="1" si="148"/>
        <v>1084222.6888937471</v>
      </c>
      <c r="AB648" s="195">
        <f t="shared" ca="1" si="149"/>
        <v>1084222.6888937471</v>
      </c>
      <c r="AD648" s="196">
        <f>IFERROR($G648/SUMIF($A:$A,$A648,$G:$G)*SUMIF(Summary!$A$166:$A$242,$A648,Summary!$P$166:$P$242),0)</f>
        <v>495351.511830826</v>
      </c>
      <c r="AE648" s="197">
        <f t="shared" ca="1" si="150"/>
        <v>588871.17706292099</v>
      </c>
      <c r="AF648" s="196">
        <f>IFERROR(G648/SUMIF(A:A,A648,G:G)*SUMIF(Summary!$A$166:$A$242,'Operations Support'!A648,Summary!$Q$166:$Q$242),0)</f>
        <v>495678.01106397662</v>
      </c>
      <c r="AG648" s="196">
        <f t="shared" ca="1" si="151"/>
        <v>588544.67782977037</v>
      </c>
      <c r="AI648" s="196">
        <f>IFERROR($G648/SUMIF($A:$A,$A648,$G:$G)*SUMIF(Summary!$A$247:$A$283,$A648,Summary!$P$247:$P$283),0)</f>
        <v>90339.754398756646</v>
      </c>
      <c r="AJ648" s="196">
        <f>IFERROR($G648/SUMIF($A:$A,$A648,$G:$G)*(SUMIF(Summary!$A$247:$A$283,$A648,Summary!$L$247:$L$283)+SUMIF(Summary!$A$297:$A$333,$A648,Summary!$L$297:$L$333))-AI648,0)</f>
        <v>273268.50670312892</v>
      </c>
      <c r="AK648" s="196">
        <f>IFERROR($G648/SUMIF($A:$A,$A648,$G:$G)*SUMIF(Summary!$A$247:$A$283,$A648,Summary!$Q$247:$Q$283),0)</f>
        <v>90399.299711185769</v>
      </c>
      <c r="AL648" s="196">
        <f>IFERROR($G648/SUMIF($A:$A,$A648,$G:$G)*(SUMIF(Summary!$A$247:$A$283,$A648,Summary!$L$247:$L$283)+SUMIF(Summary!$A$297:$A$333,$A648,Summary!$L$297:$L$333))-AK648,0)</f>
        <v>273208.96139069984</v>
      </c>
      <c r="AM648" s="198"/>
      <c r="AN648" s="196">
        <f t="shared" ca="1" si="152"/>
        <v>862139.68376604991</v>
      </c>
      <c r="AO648" s="196">
        <f t="shared" ca="1" si="153"/>
        <v>861753.63922047021</v>
      </c>
    </row>
    <row r="649" spans="1:41">
      <c r="A649" s="189">
        <v>3599</v>
      </c>
      <c r="B649" s="203">
        <v>1</v>
      </c>
      <c r="C649" s="191" t="s">
        <v>234</v>
      </c>
      <c r="D649" s="192">
        <f t="shared" si="140"/>
        <v>0</v>
      </c>
      <c r="E649" s="192">
        <f t="shared" si="141"/>
        <v>0</v>
      </c>
      <c r="F649" s="192">
        <f t="shared" si="142"/>
        <v>0</v>
      </c>
      <c r="G649" s="193">
        <f t="shared" si="143"/>
        <v>0</v>
      </c>
      <c r="H649" s="194">
        <v>0</v>
      </c>
      <c r="I649" s="194">
        <v>0</v>
      </c>
      <c r="J649" s="194">
        <v>0</v>
      </c>
      <c r="K649" s="193">
        <f t="shared" si="144"/>
        <v>0</v>
      </c>
      <c r="L649" s="194">
        <v>0</v>
      </c>
      <c r="M649" s="194">
        <v>0</v>
      </c>
      <c r="N649" s="194">
        <v>0</v>
      </c>
      <c r="O649" s="193">
        <f t="shared" si="145"/>
        <v>0</v>
      </c>
      <c r="P649" s="194">
        <v>0</v>
      </c>
      <c r="Q649" s="194">
        <v>0</v>
      </c>
      <c r="R649" s="194">
        <v>0</v>
      </c>
      <c r="S649" s="193">
        <f t="shared" si="146"/>
        <v>0</v>
      </c>
      <c r="T649" s="193">
        <f t="shared" si="147"/>
        <v>0</v>
      </c>
      <c r="U649" s="193">
        <f ca="1">OFFSET('Expenditure Study'!$B$7,'Operations Support'!$C649,'Operations Support'!$B649)*$G649</f>
        <v>0</v>
      </c>
      <c r="V649" s="199">
        <f ca="1">U649*'Expenditure Study'!$B$31</f>
        <v>0</v>
      </c>
      <c r="W649" s="199">
        <f ca="1">IF(A649=10298,1.51,1)*IF($B649&lt;3,$D649*'Expenditure Study'!$B$32*OFFSET('Expenditure Study'!$B$7,'Operations Support'!$C649,'Operations Support'!$B649),0)</f>
        <v>0</v>
      </c>
      <c r="X649" s="200">
        <f ca="1">W649*'Expenditure Study'!$B$31</f>
        <v>0</v>
      </c>
      <c r="Y649" s="199">
        <f ca="1">U649*'Expenditure Study'!$B$31</f>
        <v>0</v>
      </c>
      <c r="Z649" s="200">
        <f ca="1">W649*'Expenditure Study'!$B$31</f>
        <v>0</v>
      </c>
      <c r="AA649" s="195">
        <f t="shared" ca="1" si="148"/>
        <v>0</v>
      </c>
      <c r="AB649" s="195">
        <f t="shared" ca="1" si="149"/>
        <v>0</v>
      </c>
      <c r="AD649" s="196">
        <f>IFERROR($G649/SUMIF($A:$A,$A649,$G:$G)*SUMIF(Summary!$A$166:$A$242,$A649,Summary!$P$166:$P$242),0)</f>
        <v>0</v>
      </c>
      <c r="AE649" s="197">
        <f t="shared" ca="1" si="150"/>
        <v>0</v>
      </c>
      <c r="AF649" s="196">
        <f>IFERROR(G649/SUMIF(A:A,A649,G:G)*SUMIF(Summary!$A$166:$A$242,'Operations Support'!A649,Summary!$Q$166:$Q$242),0)</f>
        <v>0</v>
      </c>
      <c r="AG649" s="196">
        <f t="shared" ca="1" si="151"/>
        <v>0</v>
      </c>
      <c r="AI649" s="196">
        <f>IFERROR($G649/SUMIF($A:$A,$A649,$G:$G)*SUMIF(Summary!$A$247:$A$283,$A649,Summary!$P$247:$P$283),0)</f>
        <v>0</v>
      </c>
      <c r="AJ649" s="196">
        <f>IFERROR($G649/SUMIF($A:$A,$A649,$G:$G)*(SUMIF(Summary!$A$247:$A$283,$A649,Summary!$L$247:$L$283)+SUMIF(Summary!$A$297:$A$333,$A649,Summary!$L$297:$L$333))-AI649,0)</f>
        <v>0</v>
      </c>
      <c r="AK649" s="196">
        <f>IFERROR($G649/SUMIF($A:$A,$A649,$G:$G)*SUMIF(Summary!$A$247:$A$283,$A649,Summary!$Q$247:$Q$283),0)</f>
        <v>0</v>
      </c>
      <c r="AL649" s="196">
        <f>IFERROR($G649/SUMIF($A:$A,$A649,$G:$G)*(SUMIF(Summary!$A$247:$A$283,$A649,Summary!$L$247:$L$283)+SUMIF(Summary!$A$297:$A$333,$A649,Summary!$L$297:$L$333))-AK649,0)</f>
        <v>0</v>
      </c>
      <c r="AM649" s="198"/>
      <c r="AN649" s="196">
        <f t="shared" ca="1" si="152"/>
        <v>0</v>
      </c>
      <c r="AO649" s="196">
        <f t="shared" ca="1" si="153"/>
        <v>0</v>
      </c>
    </row>
    <row r="650" spans="1:41">
      <c r="A650" s="189">
        <v>3599</v>
      </c>
      <c r="B650" s="203">
        <v>1</v>
      </c>
      <c r="C650" s="191" t="s">
        <v>235</v>
      </c>
      <c r="D650" s="192">
        <f t="shared" si="140"/>
        <v>960</v>
      </c>
      <c r="E650" s="192">
        <f t="shared" si="141"/>
        <v>11871</v>
      </c>
      <c r="F650" s="192">
        <f t="shared" si="142"/>
        <v>0</v>
      </c>
      <c r="G650" s="193">
        <f t="shared" si="143"/>
        <v>12831</v>
      </c>
      <c r="H650" s="194">
        <v>330</v>
      </c>
      <c r="I650" s="194">
        <v>5238</v>
      </c>
      <c r="J650" s="194">
        <v>0</v>
      </c>
      <c r="K650" s="193">
        <f t="shared" si="144"/>
        <v>5568</v>
      </c>
      <c r="L650" s="194">
        <v>357</v>
      </c>
      <c r="M650" s="194">
        <v>5709</v>
      </c>
      <c r="N650" s="194">
        <v>0</v>
      </c>
      <c r="O650" s="193">
        <f t="shared" si="145"/>
        <v>6066</v>
      </c>
      <c r="P650" s="194">
        <v>273</v>
      </c>
      <c r="Q650" s="194">
        <v>924</v>
      </c>
      <c r="R650" s="194">
        <v>0</v>
      </c>
      <c r="S650" s="193">
        <f t="shared" si="146"/>
        <v>1197</v>
      </c>
      <c r="T650" s="193">
        <f t="shared" si="147"/>
        <v>427.7</v>
      </c>
      <c r="U650" s="193">
        <f ca="1">OFFSET('Expenditure Study'!$B$7,'Operations Support'!$C650,'Operations Support'!$B650)*$G650</f>
        <v>14114.1</v>
      </c>
      <c r="V650" s="199">
        <f ca="1">U650*'Expenditure Study'!$B$31</f>
        <v>833905.92212928005</v>
      </c>
      <c r="W650" s="199">
        <f ca="1">IF(A650=10298,1.51,1)*IF($B650&lt;3,$D650*'Expenditure Study'!$B$32*OFFSET('Expenditure Study'!$B$7,'Operations Support'!$C650,'Operations Support'!$B650),0)</f>
        <v>105.60000000000001</v>
      </c>
      <c r="X650" s="200">
        <f ca="1">W650*'Expenditure Study'!$B$31</f>
        <v>6239.1838924800004</v>
      </c>
      <c r="Y650" s="199">
        <f ca="1">U650*'Expenditure Study'!$B$31</f>
        <v>833905.92212928005</v>
      </c>
      <c r="Z650" s="200">
        <f ca="1">W650*'Expenditure Study'!$B$31</f>
        <v>6239.1838924800004</v>
      </c>
      <c r="AA650" s="195">
        <f t="shared" ca="1" si="148"/>
        <v>840145.10602176003</v>
      </c>
      <c r="AB650" s="195">
        <f t="shared" ca="1" si="149"/>
        <v>840145.10602176003</v>
      </c>
      <c r="AD650" s="196">
        <f>IFERROR($G650/SUMIF($A:$A,$A650,$G:$G)*SUMIF(Summary!$A$166:$A$242,$A650,Summary!$P$166:$P$242),0)</f>
        <v>333011.38259988098</v>
      </c>
      <c r="AE650" s="197">
        <f t="shared" ca="1" si="150"/>
        <v>507133.72342187905</v>
      </c>
      <c r="AF650" s="196">
        <f>IFERROR(G650/SUMIF(A:A,A650,G:G)*SUMIF(Summary!$A$166:$A$242,'Operations Support'!A650,Summary!$Q$166:$Q$242),0)</f>
        <v>333230.87917645834</v>
      </c>
      <c r="AG650" s="196">
        <f t="shared" ca="1" si="151"/>
        <v>506914.22684530169</v>
      </c>
      <c r="AI650" s="196">
        <f>IFERROR($G650/SUMIF($A:$A,$A650,$G:$G)*SUMIF(Summary!$A$247:$A$283,$A650,Summary!$P$247:$P$283),0)</f>
        <v>60732.965979799141</v>
      </c>
      <c r="AJ650" s="196">
        <f>IFERROR($G650/SUMIF($A:$A,$A650,$G:$G)*(SUMIF(Summary!$A$247:$A$283,$A650,Summary!$L$247:$L$283)+SUMIF(Summary!$A$297:$A$333,$A650,Summary!$L$297:$L$333))-AI650,0)</f>
        <v>183711.00332745715</v>
      </c>
      <c r="AK650" s="196">
        <f>IFERROR($G650/SUMIF($A:$A,$A650,$G:$G)*SUMIF(Summary!$A$247:$A$283,$A650,Summary!$Q$247:$Q$283),0)</f>
        <v>60772.996677890842</v>
      </c>
      <c r="AL650" s="196">
        <f>IFERROR($G650/SUMIF($A:$A,$A650,$G:$G)*(SUMIF(Summary!$A$247:$A$283,$A650,Summary!$L$247:$L$283)+SUMIF(Summary!$A$297:$A$333,$A650,Summary!$L$297:$L$333))-AK650,0)</f>
        <v>183670.97262936545</v>
      </c>
      <c r="AM650" s="198"/>
      <c r="AN650" s="196">
        <f t="shared" ca="1" si="152"/>
        <v>690844.72674933623</v>
      </c>
      <c r="AO650" s="196">
        <f t="shared" ca="1" si="153"/>
        <v>690585.1994746672</v>
      </c>
    </row>
    <row r="651" spans="1:41">
      <c r="A651" s="189">
        <v>3599</v>
      </c>
      <c r="B651" s="203">
        <v>1</v>
      </c>
      <c r="C651" s="191" t="s">
        <v>236</v>
      </c>
      <c r="D651" s="192">
        <f t="shared" si="140"/>
        <v>0</v>
      </c>
      <c r="E651" s="192">
        <f t="shared" si="141"/>
        <v>0</v>
      </c>
      <c r="F651" s="192">
        <f t="shared" si="142"/>
        <v>0</v>
      </c>
      <c r="G651" s="193">
        <f t="shared" si="143"/>
        <v>0</v>
      </c>
      <c r="H651" s="194">
        <v>0</v>
      </c>
      <c r="I651" s="194">
        <v>0</v>
      </c>
      <c r="J651" s="194">
        <v>0</v>
      </c>
      <c r="K651" s="193">
        <f t="shared" si="144"/>
        <v>0</v>
      </c>
      <c r="L651" s="194">
        <v>0</v>
      </c>
      <c r="M651" s="194">
        <v>0</v>
      </c>
      <c r="N651" s="194">
        <v>0</v>
      </c>
      <c r="O651" s="193">
        <f t="shared" si="145"/>
        <v>0</v>
      </c>
      <c r="P651" s="194">
        <v>0</v>
      </c>
      <c r="Q651" s="194">
        <v>0</v>
      </c>
      <c r="R651" s="194">
        <v>0</v>
      </c>
      <c r="S651" s="193">
        <f t="shared" si="146"/>
        <v>0</v>
      </c>
      <c r="T651" s="193">
        <f t="shared" si="147"/>
        <v>0</v>
      </c>
      <c r="U651" s="193">
        <f ca="1">OFFSET('Expenditure Study'!$B$7,'Operations Support'!$C651,'Operations Support'!$B651)*$G651</f>
        <v>0</v>
      </c>
      <c r="V651" s="199">
        <f ca="1">U651*'Expenditure Study'!$B$31</f>
        <v>0</v>
      </c>
      <c r="W651" s="199">
        <f ca="1">IF(A651=10298,1.51,1)*IF($B651&lt;3,$D651*'Expenditure Study'!$B$32*OFFSET('Expenditure Study'!$B$7,'Operations Support'!$C651,'Operations Support'!$B651),0)</f>
        <v>0</v>
      </c>
      <c r="X651" s="200">
        <f ca="1">W651*'Expenditure Study'!$B$31</f>
        <v>0</v>
      </c>
      <c r="Y651" s="199">
        <f ca="1">U651*'Expenditure Study'!$B$31</f>
        <v>0</v>
      </c>
      <c r="Z651" s="200">
        <f ca="1">W651*'Expenditure Study'!$B$31</f>
        <v>0</v>
      </c>
      <c r="AA651" s="195">
        <f t="shared" ca="1" si="148"/>
        <v>0</v>
      </c>
      <c r="AB651" s="195">
        <f t="shared" ca="1" si="149"/>
        <v>0</v>
      </c>
      <c r="AD651" s="196">
        <f>IFERROR($G651/SUMIF($A:$A,$A651,$G:$G)*SUMIF(Summary!$A$166:$A$242,$A651,Summary!$P$166:$P$242),0)</f>
        <v>0</v>
      </c>
      <c r="AE651" s="197">
        <f t="shared" ca="1" si="150"/>
        <v>0</v>
      </c>
      <c r="AF651" s="196">
        <f>IFERROR(G651/SUMIF(A:A,A651,G:G)*SUMIF(Summary!$A$166:$A$242,'Operations Support'!A651,Summary!$Q$166:$Q$242),0)</f>
        <v>0</v>
      </c>
      <c r="AG651" s="196">
        <f t="shared" ca="1" si="151"/>
        <v>0</v>
      </c>
      <c r="AI651" s="196">
        <f>IFERROR($G651/SUMIF($A:$A,$A651,$G:$G)*SUMIF(Summary!$A$247:$A$283,$A651,Summary!$P$247:$P$283),0)</f>
        <v>0</v>
      </c>
      <c r="AJ651" s="196">
        <f>IFERROR($G651/SUMIF($A:$A,$A651,$G:$G)*(SUMIF(Summary!$A$247:$A$283,$A651,Summary!$L$247:$L$283)+SUMIF(Summary!$A$297:$A$333,$A651,Summary!$L$297:$L$333))-AI651,0)</f>
        <v>0</v>
      </c>
      <c r="AK651" s="196">
        <f>IFERROR($G651/SUMIF($A:$A,$A651,$G:$G)*SUMIF(Summary!$A$247:$A$283,$A651,Summary!$Q$247:$Q$283),0)</f>
        <v>0</v>
      </c>
      <c r="AL651" s="196">
        <f>IFERROR($G651/SUMIF($A:$A,$A651,$G:$G)*(SUMIF(Summary!$A$247:$A$283,$A651,Summary!$L$247:$L$283)+SUMIF(Summary!$A$297:$A$333,$A651,Summary!$L$297:$L$333))-AK651,0)</f>
        <v>0</v>
      </c>
      <c r="AM651" s="198"/>
      <c r="AN651" s="196">
        <f t="shared" ca="1" si="152"/>
        <v>0</v>
      </c>
      <c r="AO651" s="196">
        <f t="shared" ca="1" si="153"/>
        <v>0</v>
      </c>
    </row>
    <row r="652" spans="1:41">
      <c r="A652" s="189">
        <v>3599</v>
      </c>
      <c r="B652" s="203">
        <v>1</v>
      </c>
      <c r="C652" s="191" t="s">
        <v>237</v>
      </c>
      <c r="D652" s="192">
        <f t="shared" si="140"/>
        <v>0</v>
      </c>
      <c r="E652" s="192">
        <f t="shared" si="141"/>
        <v>3</v>
      </c>
      <c r="F652" s="192">
        <f t="shared" si="142"/>
        <v>0</v>
      </c>
      <c r="G652" s="193">
        <f t="shared" si="143"/>
        <v>3</v>
      </c>
      <c r="H652" s="194">
        <v>0</v>
      </c>
      <c r="I652" s="194">
        <v>0</v>
      </c>
      <c r="J652" s="194">
        <v>0</v>
      </c>
      <c r="K652" s="193">
        <f t="shared" si="144"/>
        <v>0</v>
      </c>
      <c r="L652" s="194">
        <v>0</v>
      </c>
      <c r="M652" s="194">
        <v>3</v>
      </c>
      <c r="N652" s="194">
        <v>0</v>
      </c>
      <c r="O652" s="193">
        <f t="shared" si="145"/>
        <v>3</v>
      </c>
      <c r="P652" s="194">
        <v>0</v>
      </c>
      <c r="Q652" s="194">
        <v>0</v>
      </c>
      <c r="R652" s="194">
        <v>0</v>
      </c>
      <c r="S652" s="193">
        <f t="shared" si="146"/>
        <v>0</v>
      </c>
      <c r="T652" s="193">
        <f t="shared" si="147"/>
        <v>0.1</v>
      </c>
      <c r="U652" s="193">
        <f ca="1">OFFSET('Expenditure Study'!$B$7,'Operations Support'!$C652,'Operations Support'!$B652)*$G652</f>
        <v>5.91</v>
      </c>
      <c r="V652" s="199">
        <f ca="1">U652*'Expenditure Study'!$B$31</f>
        <v>349.18159852799999</v>
      </c>
      <c r="W652" s="199">
        <f ca="1">IF(A652=10298,1.51,1)*IF($B652&lt;3,$D652*'Expenditure Study'!$B$32*OFFSET('Expenditure Study'!$B$7,'Operations Support'!$C652,'Operations Support'!$B652),0)</f>
        <v>0</v>
      </c>
      <c r="X652" s="200">
        <f ca="1">W652*'Expenditure Study'!$B$31</f>
        <v>0</v>
      </c>
      <c r="Y652" s="199">
        <f ca="1">U652*'Expenditure Study'!$B$31</f>
        <v>349.18159852799999</v>
      </c>
      <c r="Z652" s="200">
        <f ca="1">W652*'Expenditure Study'!$B$31</f>
        <v>0</v>
      </c>
      <c r="AA652" s="195">
        <f t="shared" ca="1" si="148"/>
        <v>349.18159852799999</v>
      </c>
      <c r="AB652" s="195">
        <f t="shared" ca="1" si="149"/>
        <v>349.18159852799999</v>
      </c>
      <c r="AD652" s="196">
        <f>IFERROR($G652/SUMIF($A:$A,$A652,$G:$G)*SUMIF(Summary!$A$166:$A$242,$A652,Summary!$P$166:$P$242),0)</f>
        <v>77.86097325225181</v>
      </c>
      <c r="AE652" s="197">
        <f t="shared" ca="1" si="150"/>
        <v>271.32062527574817</v>
      </c>
      <c r="AF652" s="196">
        <f>IFERROR(G652/SUMIF(A:A,A652,G:G)*SUMIF(Summary!$A$166:$A$242,'Operations Support'!A652,Summary!$Q$166:$Q$242),0)</f>
        <v>77.912293471231791</v>
      </c>
      <c r="AG652" s="196">
        <f t="shared" ca="1" si="151"/>
        <v>271.26930505676819</v>
      </c>
      <c r="AI652" s="196">
        <f>IFERROR($G652/SUMIF($A:$A,$A652,$G:$G)*SUMIF(Summary!$A$247:$A$283,$A652,Summary!$P$247:$P$283),0)</f>
        <v>14.199898522281773</v>
      </c>
      <c r="AJ652" s="196">
        <f>IFERROR($G652/SUMIF($A:$A,$A652,$G:$G)*(SUMIF(Summary!$A$247:$A$283,$A652,Summary!$L$247:$L$283)+SUMIF(Summary!$A$297:$A$333,$A652,Summary!$L$297:$L$333))-AI652,0)</f>
        <v>42.953239029099173</v>
      </c>
      <c r="AK652" s="196">
        <f>IFERROR($G652/SUMIF($A:$A,$A652,$G:$G)*SUMIF(Summary!$A$247:$A$283,$A652,Summary!$Q$247:$Q$283),0)</f>
        <v>14.209258049541932</v>
      </c>
      <c r="AL652" s="196">
        <f>IFERROR($G652/SUMIF($A:$A,$A652,$G:$G)*(SUMIF(Summary!$A$247:$A$283,$A652,Summary!$L$247:$L$283)+SUMIF(Summary!$A$297:$A$333,$A652,Summary!$L$297:$L$333))-AK652,0)</f>
        <v>42.943879501839014</v>
      </c>
      <c r="AM652" s="198"/>
      <c r="AN652" s="196">
        <f t="shared" ca="1" si="152"/>
        <v>314.27386430484734</v>
      </c>
      <c r="AO652" s="196">
        <f t="shared" ca="1" si="153"/>
        <v>314.21318455860722</v>
      </c>
    </row>
    <row r="653" spans="1:41">
      <c r="A653" s="189">
        <v>3599</v>
      </c>
      <c r="B653" s="203">
        <v>1</v>
      </c>
      <c r="C653" s="191" t="s">
        <v>238</v>
      </c>
      <c r="D653" s="192">
        <f t="shared" si="140"/>
        <v>1867</v>
      </c>
      <c r="E653" s="192">
        <f t="shared" si="141"/>
        <v>2545</v>
      </c>
      <c r="F653" s="192">
        <f t="shared" si="142"/>
        <v>0</v>
      </c>
      <c r="G653" s="193">
        <f t="shared" si="143"/>
        <v>4412</v>
      </c>
      <c r="H653" s="194">
        <v>678</v>
      </c>
      <c r="I653" s="194">
        <v>1174</v>
      </c>
      <c r="J653" s="194">
        <v>0</v>
      </c>
      <c r="K653" s="193">
        <f t="shared" si="144"/>
        <v>1852</v>
      </c>
      <c r="L653" s="194">
        <v>1027</v>
      </c>
      <c r="M653" s="194">
        <v>1335</v>
      </c>
      <c r="N653" s="194">
        <v>0</v>
      </c>
      <c r="O653" s="193">
        <f t="shared" si="145"/>
        <v>2362</v>
      </c>
      <c r="P653" s="194">
        <v>162</v>
      </c>
      <c r="Q653" s="194">
        <v>36</v>
      </c>
      <c r="R653" s="194">
        <v>0</v>
      </c>
      <c r="S653" s="193">
        <f t="shared" si="146"/>
        <v>198</v>
      </c>
      <c r="T653" s="193">
        <f t="shared" si="147"/>
        <v>147.06666666666666</v>
      </c>
      <c r="U653" s="193">
        <f ca="1">OFFSET('Expenditure Study'!$B$7,'Operations Support'!$C653,'Operations Support'!$B653)*$G653</f>
        <v>7853.36</v>
      </c>
      <c r="V653" s="199">
        <f ca="1">U653*'Expenditure Study'!$B$31</f>
        <v>464001.48876748799</v>
      </c>
      <c r="W653" s="199">
        <f ca="1">IF(A653=10298,1.51,1)*IF($B653&lt;3,$D653*'Expenditure Study'!$B$32*OFFSET('Expenditure Study'!$B$7,'Operations Support'!$C653,'Operations Support'!$B653),0)</f>
        <v>332.32600000000002</v>
      </c>
      <c r="X653" s="200">
        <f ca="1">W653*'Expenditure Study'!$B$31</f>
        <v>19634.877142540801</v>
      </c>
      <c r="Y653" s="199">
        <f ca="1">U653*'Expenditure Study'!$B$31</f>
        <v>464001.48876748799</v>
      </c>
      <c r="Z653" s="200">
        <f ca="1">W653*'Expenditure Study'!$B$31</f>
        <v>19634.877142540801</v>
      </c>
      <c r="AA653" s="195">
        <f t="shared" ca="1" si="148"/>
        <v>483636.36591002881</v>
      </c>
      <c r="AB653" s="195">
        <f t="shared" ca="1" si="149"/>
        <v>483636.36591002881</v>
      </c>
      <c r="AD653" s="196">
        <f>IFERROR($G653/SUMIF($A:$A,$A653,$G:$G)*SUMIF(Summary!$A$166:$A$242,$A653,Summary!$P$166:$P$242),0)</f>
        <v>114507.53799631166</v>
      </c>
      <c r="AE653" s="197">
        <f t="shared" ca="1" si="150"/>
        <v>369128.82791371713</v>
      </c>
      <c r="AF653" s="196">
        <f>IFERROR(G653/SUMIF(A:A,A653,G:G)*SUMIF(Summary!$A$166:$A$242,'Operations Support'!A653,Summary!$Q$166:$Q$242),0)</f>
        <v>114583.01293169156</v>
      </c>
      <c r="AG653" s="196">
        <f t="shared" ca="1" si="151"/>
        <v>369053.35297833727</v>
      </c>
      <c r="AI653" s="196">
        <f>IFERROR($G653/SUMIF($A:$A,$A653,$G:$G)*SUMIF(Summary!$A$247:$A$283,$A653,Summary!$P$247:$P$283),0)</f>
        <v>20883.317426769063</v>
      </c>
      <c r="AJ653" s="196">
        <f>IFERROR($G653/SUMIF($A:$A,$A653,$G:$G)*(SUMIF(Summary!$A$247:$A$283,$A653,Summary!$L$247:$L$283)+SUMIF(Summary!$A$297:$A$333,$A653,Summary!$L$297:$L$333))-AI653,0)</f>
        <v>63169.896865461851</v>
      </c>
      <c r="AK653" s="196">
        <f>IFERROR($G653/SUMIF($A:$A,$A653,$G:$G)*SUMIF(Summary!$A$247:$A$283,$A653,Summary!$Q$247:$Q$283),0)</f>
        <v>20897.082171526337</v>
      </c>
      <c r="AL653" s="196">
        <f>IFERROR($G653/SUMIF($A:$A,$A653,$G:$G)*(SUMIF(Summary!$A$247:$A$283,$A653,Summary!$L$247:$L$283)+SUMIF(Summary!$A$297:$A$333,$A653,Summary!$L$297:$L$333))-AK653,0)</f>
        <v>63156.132120704577</v>
      </c>
      <c r="AM653" s="198"/>
      <c r="AN653" s="196">
        <f t="shared" ca="1" si="152"/>
        <v>432298.72477917897</v>
      </c>
      <c r="AO653" s="196">
        <f t="shared" ca="1" si="153"/>
        <v>432209.48509904183</v>
      </c>
    </row>
    <row r="654" spans="1:41">
      <c r="A654" s="189">
        <v>3599</v>
      </c>
      <c r="B654" s="203">
        <v>1</v>
      </c>
      <c r="C654" s="191" t="s">
        <v>239</v>
      </c>
      <c r="D654" s="192">
        <f t="shared" si="140"/>
        <v>0</v>
      </c>
      <c r="E654" s="192">
        <f t="shared" si="141"/>
        <v>7</v>
      </c>
      <c r="F654" s="192">
        <f t="shared" si="142"/>
        <v>0</v>
      </c>
      <c r="G654" s="193">
        <f t="shared" si="143"/>
        <v>7</v>
      </c>
      <c r="H654" s="194">
        <v>0</v>
      </c>
      <c r="I654" s="194">
        <v>3</v>
      </c>
      <c r="J654" s="194">
        <v>0</v>
      </c>
      <c r="K654" s="193">
        <f t="shared" si="144"/>
        <v>3</v>
      </c>
      <c r="L654" s="194">
        <v>0</v>
      </c>
      <c r="M654" s="194">
        <v>0</v>
      </c>
      <c r="N654" s="194">
        <v>0</v>
      </c>
      <c r="O654" s="193">
        <f t="shared" si="145"/>
        <v>0</v>
      </c>
      <c r="P654" s="194">
        <v>0</v>
      </c>
      <c r="Q654" s="194">
        <v>4</v>
      </c>
      <c r="R654" s="194">
        <v>0</v>
      </c>
      <c r="S654" s="193">
        <f t="shared" si="146"/>
        <v>4</v>
      </c>
      <c r="T654" s="193">
        <f t="shared" si="147"/>
        <v>0.23333333333333334</v>
      </c>
      <c r="U654" s="193">
        <f ca="1">OFFSET('Expenditure Study'!$B$7,'Operations Support'!$C654,'Operations Support'!$B654)*$G654</f>
        <v>10.85</v>
      </c>
      <c r="V654" s="199">
        <f ca="1">U654*'Expenditure Study'!$B$31</f>
        <v>641.05251167999995</v>
      </c>
      <c r="W654" s="199">
        <f ca="1">IF(A654=10298,1.51,1)*IF($B654&lt;3,$D654*'Expenditure Study'!$B$32*OFFSET('Expenditure Study'!$B$7,'Operations Support'!$C654,'Operations Support'!$B654),0)</f>
        <v>0</v>
      </c>
      <c r="X654" s="200">
        <f ca="1">W654*'Expenditure Study'!$B$31</f>
        <v>0</v>
      </c>
      <c r="Y654" s="199">
        <f ca="1">U654*'Expenditure Study'!$B$31</f>
        <v>641.05251167999995</v>
      </c>
      <c r="Z654" s="200">
        <f ca="1">W654*'Expenditure Study'!$B$31</f>
        <v>0</v>
      </c>
      <c r="AA654" s="195">
        <f t="shared" ca="1" si="148"/>
        <v>641.05251167999995</v>
      </c>
      <c r="AB654" s="195">
        <f t="shared" ca="1" si="149"/>
        <v>641.05251167999995</v>
      </c>
      <c r="AD654" s="196">
        <f>IFERROR($G654/SUMIF($A:$A,$A654,$G:$G)*SUMIF(Summary!$A$166:$A$242,$A654,Summary!$P$166:$P$242),0)</f>
        <v>181.6756042552542</v>
      </c>
      <c r="AE654" s="197">
        <f t="shared" ca="1" si="150"/>
        <v>459.37690742474575</v>
      </c>
      <c r="AF654" s="196">
        <f>IFERROR(G654/SUMIF(A:A,A654,G:G)*SUMIF(Summary!$A$166:$A$242,'Operations Support'!A654,Summary!$Q$166:$Q$242),0)</f>
        <v>181.79535143287416</v>
      </c>
      <c r="AG654" s="196">
        <f t="shared" ca="1" si="151"/>
        <v>459.2571602471258</v>
      </c>
      <c r="AI654" s="196">
        <f>IFERROR($G654/SUMIF($A:$A,$A654,$G:$G)*SUMIF(Summary!$A$247:$A$283,$A654,Summary!$P$247:$P$283),0)</f>
        <v>33.133096551990803</v>
      </c>
      <c r="AJ654" s="196">
        <f>IFERROR($G654/SUMIF($A:$A,$A654,$G:$G)*(SUMIF(Summary!$A$247:$A$283,$A654,Summary!$L$247:$L$283)+SUMIF(Summary!$A$297:$A$333,$A654,Summary!$L$297:$L$333))-AI654,0)</f>
        <v>100.2242244012314</v>
      </c>
      <c r="AK654" s="196">
        <f>IFERROR($G654/SUMIF($A:$A,$A654,$G:$G)*SUMIF(Summary!$A$247:$A$283,$A654,Summary!$Q$247:$Q$283),0)</f>
        <v>33.154935448931177</v>
      </c>
      <c r="AL654" s="196">
        <f>IFERROR($G654/SUMIF($A:$A,$A654,$G:$G)*(SUMIF(Summary!$A$247:$A$283,$A654,Summary!$L$247:$L$283)+SUMIF(Summary!$A$297:$A$333,$A654,Summary!$L$297:$L$333))-AK654,0)</f>
        <v>100.20238550429102</v>
      </c>
      <c r="AM654" s="198"/>
      <c r="AN654" s="196">
        <f t="shared" ca="1" si="152"/>
        <v>559.60113182597718</v>
      </c>
      <c r="AO654" s="196">
        <f t="shared" ca="1" si="153"/>
        <v>559.45954575141684</v>
      </c>
    </row>
    <row r="655" spans="1:41">
      <c r="A655" s="189">
        <v>3599</v>
      </c>
      <c r="B655" s="203">
        <v>1</v>
      </c>
      <c r="C655" s="191" t="s">
        <v>240</v>
      </c>
      <c r="D655" s="192">
        <f t="shared" si="140"/>
        <v>144</v>
      </c>
      <c r="E655" s="192">
        <f t="shared" si="141"/>
        <v>7106</v>
      </c>
      <c r="F655" s="192">
        <f t="shared" si="142"/>
        <v>0</v>
      </c>
      <c r="G655" s="193">
        <f t="shared" si="143"/>
        <v>7250</v>
      </c>
      <c r="H655" s="194">
        <v>0</v>
      </c>
      <c r="I655" s="194">
        <v>985</v>
      </c>
      <c r="J655" s="194">
        <v>0</v>
      </c>
      <c r="K655" s="193">
        <f t="shared" si="144"/>
        <v>985</v>
      </c>
      <c r="L655" s="194">
        <v>144</v>
      </c>
      <c r="M655" s="194">
        <v>3181</v>
      </c>
      <c r="N655" s="194">
        <v>0</v>
      </c>
      <c r="O655" s="193">
        <f t="shared" si="145"/>
        <v>3325</v>
      </c>
      <c r="P655" s="194">
        <v>0</v>
      </c>
      <c r="Q655" s="194">
        <v>2940</v>
      </c>
      <c r="R655" s="194">
        <v>0</v>
      </c>
      <c r="S655" s="193">
        <f t="shared" si="146"/>
        <v>2940</v>
      </c>
      <c r="T655" s="193">
        <f t="shared" si="147"/>
        <v>241.66666666666666</v>
      </c>
      <c r="U655" s="193">
        <f ca="1">OFFSET('Expenditure Study'!$B$7,'Operations Support'!$C655,'Operations Support'!$B655)*$G655</f>
        <v>7250</v>
      </c>
      <c r="V655" s="199">
        <f ca="1">U655*'Expenditure Study'!$B$31</f>
        <v>428353.06080000004</v>
      </c>
      <c r="W655" s="199">
        <f ca="1">IF(A655=10298,1.51,1)*IF($B655&lt;3,$D655*'Expenditure Study'!$B$32*OFFSET('Expenditure Study'!$B$7,'Operations Support'!$C655,'Operations Support'!$B655),0)</f>
        <v>14.4</v>
      </c>
      <c r="X655" s="200">
        <f ca="1">W655*'Expenditure Study'!$B$31</f>
        <v>850.79780352</v>
      </c>
      <c r="Y655" s="199">
        <f ca="1">U655*'Expenditure Study'!$B$31</f>
        <v>428353.06080000004</v>
      </c>
      <c r="Z655" s="200">
        <f ca="1">W655*'Expenditure Study'!$B$31</f>
        <v>850.79780352</v>
      </c>
      <c r="AA655" s="195">
        <f t="shared" ca="1" si="148"/>
        <v>429203.85860352003</v>
      </c>
      <c r="AB655" s="195">
        <f t="shared" ca="1" si="149"/>
        <v>429203.85860352003</v>
      </c>
      <c r="AD655" s="196">
        <f>IFERROR($G655/SUMIF($A:$A,$A655,$G:$G)*SUMIF(Summary!$A$166:$A$242,$A655,Summary!$P$166:$P$242),0)</f>
        <v>188164.01869294184</v>
      </c>
      <c r="AE655" s="197">
        <f t="shared" ca="1" si="150"/>
        <v>241039.83991057819</v>
      </c>
      <c r="AF655" s="196">
        <f>IFERROR(G655/SUMIF(A:A,A655,G:G)*SUMIF(Summary!$A$166:$A$242,'Operations Support'!A655,Summary!$Q$166:$Q$242),0)</f>
        <v>188288.0425554768</v>
      </c>
      <c r="AG655" s="196">
        <f t="shared" ca="1" si="151"/>
        <v>240915.81604804323</v>
      </c>
      <c r="AI655" s="196">
        <f>IFERROR($G655/SUMIF($A:$A,$A655,$G:$G)*SUMIF(Summary!$A$247:$A$283,$A655,Summary!$P$247:$P$283),0)</f>
        <v>34316.421428847614</v>
      </c>
      <c r="AJ655" s="196">
        <f>IFERROR($G655/SUMIF($A:$A,$A655,$G:$G)*(SUMIF(Summary!$A$247:$A$283,$A655,Summary!$L$247:$L$283)+SUMIF(Summary!$A$297:$A$333,$A655,Summary!$L$297:$L$333))-AI655,0)</f>
        <v>103803.66098698965</v>
      </c>
      <c r="AK655" s="196">
        <f>IFERROR($G655/SUMIF($A:$A,$A655,$G:$G)*SUMIF(Summary!$A$247:$A$283,$A655,Summary!$Q$247:$Q$283),0)</f>
        <v>34339.040286392999</v>
      </c>
      <c r="AL655" s="196">
        <f>IFERROR($G655/SUMIF($A:$A,$A655,$G:$G)*(SUMIF(Summary!$A$247:$A$283,$A655,Summary!$L$247:$L$283)+SUMIF(Summary!$A$297:$A$333,$A655,Summary!$L$297:$L$333))-AK655,0)</f>
        <v>103781.04212944428</v>
      </c>
      <c r="AM655" s="198"/>
      <c r="AN655" s="196">
        <f t="shared" ca="1" si="152"/>
        <v>344843.50089756784</v>
      </c>
      <c r="AO655" s="196">
        <f t="shared" ca="1" si="153"/>
        <v>344696.85817748751</v>
      </c>
    </row>
    <row r="656" spans="1:41">
      <c r="A656" s="189">
        <v>3599</v>
      </c>
      <c r="B656" s="203">
        <v>2</v>
      </c>
      <c r="C656" s="191" t="s">
        <v>220</v>
      </c>
      <c r="D656" s="192">
        <f t="shared" si="140"/>
        <v>45544.94</v>
      </c>
      <c r="E656" s="192">
        <f t="shared" si="141"/>
        <v>52341.06</v>
      </c>
      <c r="F656" s="192">
        <f t="shared" si="142"/>
        <v>0</v>
      </c>
      <c r="G656" s="193">
        <f t="shared" si="143"/>
        <v>97886</v>
      </c>
      <c r="H656" s="194">
        <v>18100.099999999999</v>
      </c>
      <c r="I656" s="194">
        <v>21843.9</v>
      </c>
      <c r="J656" s="194">
        <v>0</v>
      </c>
      <c r="K656" s="193">
        <f t="shared" si="144"/>
        <v>39944</v>
      </c>
      <c r="L656" s="194">
        <v>18226.84</v>
      </c>
      <c r="M656" s="194">
        <v>23254.16</v>
      </c>
      <c r="N656" s="194">
        <v>0</v>
      </c>
      <c r="O656" s="193">
        <f t="shared" si="145"/>
        <v>41481</v>
      </c>
      <c r="P656" s="194">
        <v>9218</v>
      </c>
      <c r="Q656" s="194">
        <v>7243</v>
      </c>
      <c r="R656" s="194">
        <v>0</v>
      </c>
      <c r="S656" s="193">
        <f t="shared" si="146"/>
        <v>16461</v>
      </c>
      <c r="T656" s="193">
        <f t="shared" si="147"/>
        <v>3262.8666666666668</v>
      </c>
      <c r="U656" s="193">
        <f ca="1">OFFSET('Expenditure Study'!$B$7,'Operations Support'!$C656,'Operations Support'!$B656)*$G656</f>
        <v>180110.24000000002</v>
      </c>
      <c r="V656" s="199">
        <f ca="1">U656*'Expenditure Study'!$B$31</f>
        <v>10641485.873851392</v>
      </c>
      <c r="W656" s="199">
        <f ca="1">IF(A656=10298,1.51,1)*IF($B656&lt;3,$D656*'Expenditure Study'!$B$32*OFFSET('Expenditure Study'!$B$7,'Operations Support'!$C656,'Operations Support'!$B656),0)</f>
        <v>8380.2689600000012</v>
      </c>
      <c r="X656" s="200">
        <f ca="1">W656*'Expenditure Study'!$B$31</f>
        <v>495132.94611630804</v>
      </c>
      <c r="Y656" s="199">
        <f ca="1">U656*'Expenditure Study'!$B$31</f>
        <v>10641485.873851392</v>
      </c>
      <c r="Z656" s="200">
        <f ca="1">W656*'Expenditure Study'!$B$31</f>
        <v>495132.94611630804</v>
      </c>
      <c r="AA656" s="195">
        <f t="shared" ca="1" si="148"/>
        <v>11136618.8199677</v>
      </c>
      <c r="AB656" s="195">
        <f t="shared" ca="1" si="149"/>
        <v>11136618.8199677</v>
      </c>
      <c r="AD656" s="196">
        <f>IFERROR($G656/SUMIF($A:$A,$A656,$G:$G)*SUMIF(Summary!$A$166:$A$242,$A656,Summary!$P$166:$P$242),0)</f>
        <v>2540499.7425899738</v>
      </c>
      <c r="AE656" s="197">
        <f t="shared" ca="1" si="150"/>
        <v>8596119.0773777254</v>
      </c>
      <c r="AF656" s="196">
        <f>IFERROR(G656/SUMIF(A:A,A656,G:G)*SUMIF(Summary!$A$166:$A$242,'Operations Support'!A656,Summary!$Q$166:$Q$242),0)</f>
        <v>2542174.2529083318</v>
      </c>
      <c r="AG656" s="196">
        <f t="shared" ca="1" si="151"/>
        <v>8594444.5670593679</v>
      </c>
      <c r="AI656" s="196">
        <f>IFERROR($G656/SUMIF($A:$A,$A656,$G:$G)*SUMIF(Summary!$A$247:$A$283,$A656,Summary!$P$247:$P$283),0)</f>
        <v>463323.75558402465</v>
      </c>
      <c r="AJ656" s="196">
        <f>IFERROR($G656/SUMIF($A:$A,$A656,$G:$G)*(SUMIF(Summary!$A$247:$A$283,$A656,Summary!$L$247:$L$283)+SUMIF(Summary!$A$297:$A$333,$A656,Summary!$L$297:$L$333))-AI656,0)</f>
        <v>1401506.918534134</v>
      </c>
      <c r="AK656" s="196">
        <f>IFERROR($G656/SUMIF($A:$A,$A656,$G:$G)*SUMIF(Summary!$A$247:$A$283,$A656,Summary!$Q$247:$Q$283),0)</f>
        <v>463629.14447915391</v>
      </c>
      <c r="AL656" s="196">
        <f>IFERROR($G656/SUMIF($A:$A,$A656,$G:$G)*(SUMIF(Summary!$A$247:$A$283,$A656,Summary!$L$247:$L$283)+SUMIF(Summary!$A$297:$A$333,$A656,Summary!$L$297:$L$333))-AK656,0)</f>
        <v>1401201.5296390047</v>
      </c>
      <c r="AM656" s="198"/>
      <c r="AN656" s="196">
        <f t="shared" ca="1" si="152"/>
        <v>9997625.995911859</v>
      </c>
      <c r="AO656" s="196">
        <f t="shared" ca="1" si="153"/>
        <v>9995646.0966983736</v>
      </c>
    </row>
    <row r="657" spans="1:41">
      <c r="A657" s="189">
        <v>3599</v>
      </c>
      <c r="B657" s="203">
        <v>2</v>
      </c>
      <c r="C657" s="191" t="s">
        <v>221</v>
      </c>
      <c r="D657" s="192">
        <f t="shared" si="140"/>
        <v>17117</v>
      </c>
      <c r="E657" s="192">
        <f t="shared" si="141"/>
        <v>16886</v>
      </c>
      <c r="F657" s="192">
        <f t="shared" si="142"/>
        <v>0</v>
      </c>
      <c r="G657" s="193">
        <f t="shared" si="143"/>
        <v>34003</v>
      </c>
      <c r="H657" s="194">
        <v>7411</v>
      </c>
      <c r="I657" s="194">
        <v>8595</v>
      </c>
      <c r="J657" s="194">
        <v>0</v>
      </c>
      <c r="K657" s="193">
        <f t="shared" si="144"/>
        <v>16006</v>
      </c>
      <c r="L657" s="194">
        <v>8136</v>
      </c>
      <c r="M657" s="194">
        <v>6594</v>
      </c>
      <c r="N657" s="194">
        <v>0</v>
      </c>
      <c r="O657" s="193">
        <f t="shared" si="145"/>
        <v>14730</v>
      </c>
      <c r="P657" s="194">
        <v>1570</v>
      </c>
      <c r="Q657" s="194">
        <v>1697</v>
      </c>
      <c r="R657" s="194">
        <v>0</v>
      </c>
      <c r="S657" s="193">
        <f t="shared" si="146"/>
        <v>3267</v>
      </c>
      <c r="T657" s="193">
        <f t="shared" si="147"/>
        <v>1133.4333333333334</v>
      </c>
      <c r="U657" s="193">
        <f ca="1">OFFSET('Expenditure Study'!$B$7,'Operations Support'!$C657,'Operations Support'!$B657)*$G657</f>
        <v>89427.89</v>
      </c>
      <c r="V657" s="199">
        <f ca="1">U657*'Expenditure Study'!$B$31</f>
        <v>5283684.1934325118</v>
      </c>
      <c r="W657" s="199">
        <f ca="1">IF(A657=10298,1.51,1)*IF($B657&lt;3,$D657*'Expenditure Study'!$B$32*OFFSET('Expenditure Study'!$B$7,'Operations Support'!$C657,'Operations Support'!$B657),0)</f>
        <v>4501.7709999999997</v>
      </c>
      <c r="X657" s="200">
        <f ca="1">W657*'Expenditure Study'!$B$31</f>
        <v>265978.94991319679</v>
      </c>
      <c r="Y657" s="199">
        <f ca="1">U657*'Expenditure Study'!$B$31</f>
        <v>5283684.1934325118</v>
      </c>
      <c r="Z657" s="200">
        <f ca="1">W657*'Expenditure Study'!$B$31</f>
        <v>265978.94991319679</v>
      </c>
      <c r="AA657" s="195">
        <f t="shared" ca="1" si="148"/>
        <v>5549663.143345709</v>
      </c>
      <c r="AB657" s="195">
        <f t="shared" ca="1" si="149"/>
        <v>5549663.143345709</v>
      </c>
      <c r="AD657" s="196">
        <f>IFERROR($G657/SUMIF($A:$A,$A657,$G:$G)*SUMIF(Summary!$A$166:$A$242,$A657,Summary!$P$166:$P$242),0)</f>
        <v>882502.22449877276</v>
      </c>
      <c r="AE657" s="197">
        <f t="shared" ca="1" si="150"/>
        <v>4667160.918846936</v>
      </c>
      <c r="AF657" s="196">
        <f>IFERROR(G657/SUMIF(A:A,A657,G:G)*SUMIF(Summary!$A$166:$A$242,'Operations Support'!A657,Summary!$Q$166:$Q$242),0)</f>
        <v>883083.90496743144</v>
      </c>
      <c r="AG657" s="196">
        <f t="shared" ca="1" si="151"/>
        <v>4666579.238378277</v>
      </c>
      <c r="AI657" s="196">
        <f>IFERROR($G657/SUMIF($A:$A,$A657,$G:$G)*SUMIF(Summary!$A$247:$A$283,$A657,Summary!$P$247:$P$283),0)</f>
        <v>160946.38315104906</v>
      </c>
      <c r="AJ657" s="196">
        <f>IFERROR($G657/SUMIF($A:$A,$A657,$G:$G)*(SUMIF(Summary!$A$247:$A$283,$A657,Summary!$L$247:$L$283)+SUMIF(Summary!$A$297:$A$333,$A657,Summary!$L$297:$L$333))-AI657,0)</f>
        <v>486846.32890215307</v>
      </c>
      <c r="AK657" s="196">
        <f>IFERROR($G657/SUMIF($A:$A,$A657,$G:$G)*SUMIF(Summary!$A$247:$A$283,$A657,Summary!$Q$247:$Q$283),0)</f>
        <v>161052.46715285809</v>
      </c>
      <c r="AL657" s="196">
        <f>IFERROR($G657/SUMIF($A:$A,$A657,$G:$G)*(SUMIF(Summary!$A$247:$A$283,$A657,Summary!$L$247:$L$283)+SUMIF(Summary!$A$297:$A$333,$A657,Summary!$L$297:$L$333))-AK657,0)</f>
        <v>486740.244900344</v>
      </c>
      <c r="AM657" s="198"/>
      <c r="AN657" s="196">
        <f t="shared" ca="1" si="152"/>
        <v>5154007.2477490893</v>
      </c>
      <c r="AO657" s="196">
        <f t="shared" ca="1" si="153"/>
        <v>5153319.483278621</v>
      </c>
    </row>
    <row r="658" spans="1:41">
      <c r="A658" s="189">
        <v>3599</v>
      </c>
      <c r="B658" s="203">
        <v>2</v>
      </c>
      <c r="C658" s="191" t="s">
        <v>222</v>
      </c>
      <c r="D658" s="192">
        <f t="shared" si="140"/>
        <v>7405</v>
      </c>
      <c r="E658" s="192">
        <f t="shared" si="141"/>
        <v>4169</v>
      </c>
      <c r="F658" s="192">
        <f t="shared" si="142"/>
        <v>0</v>
      </c>
      <c r="G658" s="193">
        <f t="shared" si="143"/>
        <v>11574</v>
      </c>
      <c r="H658" s="194">
        <v>3171</v>
      </c>
      <c r="I658" s="194">
        <v>1817</v>
      </c>
      <c r="J658" s="194">
        <v>0</v>
      </c>
      <c r="K658" s="193">
        <f t="shared" si="144"/>
        <v>4988</v>
      </c>
      <c r="L658" s="194">
        <v>3253</v>
      </c>
      <c r="M658" s="194">
        <v>2091</v>
      </c>
      <c r="N658" s="194">
        <v>0</v>
      </c>
      <c r="O658" s="193">
        <f t="shared" si="145"/>
        <v>5344</v>
      </c>
      <c r="P658" s="194">
        <v>981</v>
      </c>
      <c r="Q658" s="194">
        <v>261</v>
      </c>
      <c r="R658" s="194">
        <v>0</v>
      </c>
      <c r="S658" s="193">
        <f t="shared" si="146"/>
        <v>1242</v>
      </c>
      <c r="T658" s="193">
        <f t="shared" si="147"/>
        <v>385.8</v>
      </c>
      <c r="U658" s="193">
        <f ca="1">OFFSET('Expenditure Study'!$B$7,'Operations Support'!$C658,'Operations Support'!$B658)*$G658</f>
        <v>30786.84</v>
      </c>
      <c r="V658" s="199">
        <f ca="1">U658*'Expenditure Study'!$B$31</f>
        <v>1818984.4339806719</v>
      </c>
      <c r="W658" s="199">
        <f ca="1">IF(A658=10298,1.51,1)*IF($B658&lt;3,$D658*'Expenditure Study'!$B$32*OFFSET('Expenditure Study'!$B$7,'Operations Support'!$C658,'Operations Support'!$B658),0)</f>
        <v>1969.73</v>
      </c>
      <c r="X658" s="200">
        <f ca="1">W658*'Expenditure Study'!$B$31</f>
        <v>116377.913717184</v>
      </c>
      <c r="Y658" s="199">
        <f ca="1">U658*'Expenditure Study'!$B$31</f>
        <v>1818984.4339806719</v>
      </c>
      <c r="Z658" s="200">
        <f ca="1">W658*'Expenditure Study'!$B$31</f>
        <v>116377.913717184</v>
      </c>
      <c r="AA658" s="195">
        <f t="shared" ca="1" si="148"/>
        <v>1935362.3476978559</v>
      </c>
      <c r="AB658" s="195">
        <f t="shared" ca="1" si="149"/>
        <v>1935362.3476978559</v>
      </c>
      <c r="AD658" s="196">
        <f>IFERROR($G658/SUMIF($A:$A,$A658,$G:$G)*SUMIF(Summary!$A$166:$A$242,$A658,Summary!$P$166:$P$242),0)</f>
        <v>300387.63480718748</v>
      </c>
      <c r="AE658" s="197">
        <f t="shared" ca="1" si="150"/>
        <v>1634974.7128906683</v>
      </c>
      <c r="AF658" s="196">
        <f>IFERROR(G658/SUMIF(A:A,A658,G:G)*SUMIF(Summary!$A$166:$A$242,'Operations Support'!A658,Summary!$Q$166:$Q$242),0)</f>
        <v>300585.62821201223</v>
      </c>
      <c r="AG658" s="196">
        <f t="shared" ca="1" si="151"/>
        <v>1634776.7194858436</v>
      </c>
      <c r="AI658" s="196">
        <f>IFERROR($G658/SUMIF($A:$A,$A658,$G:$G)*SUMIF(Summary!$A$247:$A$283,$A658,Summary!$P$247:$P$283),0)</f>
        <v>54783.208498963089</v>
      </c>
      <c r="AJ658" s="196">
        <f>IFERROR($G658/SUMIF($A:$A,$A658,$G:$G)*(SUMIF(Summary!$A$247:$A$283,$A658,Summary!$L$247:$L$283)+SUMIF(Summary!$A$297:$A$333,$A658,Summary!$L$297:$L$333))-AI658,0)</f>
        <v>165713.59617426462</v>
      </c>
      <c r="AK658" s="196">
        <f>IFERROR($G658/SUMIF($A:$A,$A658,$G:$G)*SUMIF(Summary!$A$247:$A$283,$A658,Summary!$Q$247:$Q$283),0)</f>
        <v>54819.31755513278</v>
      </c>
      <c r="AL658" s="196">
        <f>IFERROR($G658/SUMIF($A:$A,$A658,$G:$G)*(SUMIF(Summary!$A$247:$A$283,$A658,Summary!$L$247:$L$283)+SUMIF(Summary!$A$297:$A$333,$A658,Summary!$L$297:$L$333))-AK658,0)</f>
        <v>165677.48711809493</v>
      </c>
      <c r="AM658" s="198"/>
      <c r="AN658" s="196">
        <f t="shared" ca="1" si="152"/>
        <v>1800688.3090649329</v>
      </c>
      <c r="AO658" s="196">
        <f t="shared" ca="1" si="153"/>
        <v>1800454.2066039385</v>
      </c>
    </row>
    <row r="659" spans="1:41">
      <c r="A659" s="189">
        <v>3599</v>
      </c>
      <c r="B659" s="203">
        <v>2</v>
      </c>
      <c r="C659" s="191" t="s">
        <v>223</v>
      </c>
      <c r="D659" s="192">
        <f t="shared" si="140"/>
        <v>6456</v>
      </c>
      <c r="E659" s="192">
        <f t="shared" si="141"/>
        <v>21723</v>
      </c>
      <c r="F659" s="192">
        <f t="shared" si="142"/>
        <v>0</v>
      </c>
      <c r="G659" s="193">
        <f t="shared" si="143"/>
        <v>28179</v>
      </c>
      <c r="H659" s="194">
        <v>2094</v>
      </c>
      <c r="I659" s="194">
        <v>9153</v>
      </c>
      <c r="J659" s="194">
        <v>0</v>
      </c>
      <c r="K659" s="193">
        <f t="shared" si="144"/>
        <v>11247</v>
      </c>
      <c r="L659" s="194">
        <v>3015</v>
      </c>
      <c r="M659" s="194">
        <v>10371</v>
      </c>
      <c r="N659" s="194">
        <v>0</v>
      </c>
      <c r="O659" s="193">
        <f t="shared" si="145"/>
        <v>13386</v>
      </c>
      <c r="P659" s="194">
        <v>1347</v>
      </c>
      <c r="Q659" s="194">
        <v>2199</v>
      </c>
      <c r="R659" s="194">
        <v>0</v>
      </c>
      <c r="S659" s="193">
        <f t="shared" si="146"/>
        <v>3546</v>
      </c>
      <c r="T659" s="193">
        <f t="shared" si="147"/>
        <v>939.3</v>
      </c>
      <c r="U659" s="193">
        <f ca="1">OFFSET('Expenditure Study'!$B$7,'Operations Support'!$C659,'Operations Support'!$B659)*$G659</f>
        <v>53540.1</v>
      </c>
      <c r="V659" s="199">
        <f ca="1">U659*'Expenditure Study'!$B$31</f>
        <v>3163319.4083500798</v>
      </c>
      <c r="W659" s="199">
        <f ca="1">IF(A659=10298,1.51,1)*IF($B659&lt;3,$D659*'Expenditure Study'!$B$32*OFFSET('Expenditure Study'!$B$7,'Operations Support'!$C659,'Operations Support'!$B659),0)</f>
        <v>1226.6399999999999</v>
      </c>
      <c r="X659" s="200">
        <f ca="1">W659*'Expenditure Study'!$B$31</f>
        <v>72473.792896511994</v>
      </c>
      <c r="Y659" s="199">
        <f ca="1">U659*'Expenditure Study'!$B$31</f>
        <v>3163319.4083500798</v>
      </c>
      <c r="Z659" s="200">
        <f ca="1">W659*'Expenditure Study'!$B$31</f>
        <v>72473.792896511994</v>
      </c>
      <c r="AA659" s="195">
        <f t="shared" ca="1" si="148"/>
        <v>3235793.2012465918</v>
      </c>
      <c r="AB659" s="195">
        <f t="shared" ca="1" si="149"/>
        <v>3235793.2012465918</v>
      </c>
      <c r="AD659" s="196">
        <f>IFERROR($G659/SUMIF($A:$A,$A659,$G:$G)*SUMIF(Summary!$A$166:$A$242,$A659,Summary!$P$166:$P$242),0)</f>
        <v>731348.12175840128</v>
      </c>
      <c r="AE659" s="197">
        <f t="shared" ca="1" si="150"/>
        <v>2504445.0794881904</v>
      </c>
      <c r="AF659" s="196">
        <f>IFERROR(G659/SUMIF(A:A,A659,G:G)*SUMIF(Summary!$A$166:$A$242,'Operations Support'!A659,Summary!$Q$166:$Q$242),0)</f>
        <v>731830.1725752803</v>
      </c>
      <c r="AG659" s="196">
        <f t="shared" ca="1" si="151"/>
        <v>2503963.0286713112</v>
      </c>
      <c r="AI659" s="196">
        <f>IFERROR($G659/SUMIF($A:$A,$A659,$G:$G)*SUMIF(Summary!$A$247:$A$283,$A659,Summary!$P$247:$P$283),0)</f>
        <v>133379.64681979272</v>
      </c>
      <c r="AJ659" s="196">
        <f>IFERROR($G659/SUMIF($A:$A,$A659,$G:$G)*(SUMIF(Summary!$A$247:$A$283,$A659,Summary!$L$247:$L$283)+SUMIF(Summary!$A$297:$A$333,$A659,Summary!$L$297:$L$333))-AI659,0)</f>
        <v>403459.77420032863</v>
      </c>
      <c r="AK659" s="196">
        <f>IFERROR($G659/SUMIF($A:$A,$A659,$G:$G)*SUMIF(Summary!$A$247:$A$283,$A659,Summary!$Q$247:$Q$283),0)</f>
        <v>133467.56085934737</v>
      </c>
      <c r="AL659" s="196">
        <f>IFERROR($G659/SUMIF($A:$A,$A659,$G:$G)*(SUMIF(Summary!$A$247:$A$283,$A659,Summary!$L$247:$L$283)+SUMIF(Summary!$A$297:$A$333,$A659,Summary!$L$297:$L$333))-AK659,0)</f>
        <v>403371.86016077397</v>
      </c>
      <c r="AM659" s="198"/>
      <c r="AN659" s="196">
        <f t="shared" ca="1" si="152"/>
        <v>2907904.853688519</v>
      </c>
      <c r="AO659" s="196">
        <f t="shared" ca="1" si="153"/>
        <v>2907334.8888320853</v>
      </c>
    </row>
    <row r="660" spans="1:41">
      <c r="A660" s="189">
        <v>3599</v>
      </c>
      <c r="B660" s="203">
        <v>2</v>
      </c>
      <c r="C660" s="191" t="s">
        <v>224</v>
      </c>
      <c r="D660" s="192">
        <f t="shared" si="140"/>
        <v>164</v>
      </c>
      <c r="E660" s="192">
        <f t="shared" si="141"/>
        <v>0</v>
      </c>
      <c r="F660" s="192">
        <f t="shared" si="142"/>
        <v>0</v>
      </c>
      <c r="G660" s="193">
        <f t="shared" si="143"/>
        <v>164</v>
      </c>
      <c r="H660" s="194">
        <v>91</v>
      </c>
      <c r="I660" s="194">
        <v>0</v>
      </c>
      <c r="J660" s="194">
        <v>0</v>
      </c>
      <c r="K660" s="193">
        <f t="shared" si="144"/>
        <v>91</v>
      </c>
      <c r="L660" s="194">
        <v>68</v>
      </c>
      <c r="M660" s="194">
        <v>0</v>
      </c>
      <c r="N660" s="194">
        <v>0</v>
      </c>
      <c r="O660" s="193">
        <f t="shared" si="145"/>
        <v>68</v>
      </c>
      <c r="P660" s="194">
        <v>5</v>
      </c>
      <c r="Q660" s="194">
        <v>0</v>
      </c>
      <c r="R660" s="194">
        <v>0</v>
      </c>
      <c r="S660" s="193">
        <f t="shared" si="146"/>
        <v>5</v>
      </c>
      <c r="T660" s="193">
        <f t="shared" si="147"/>
        <v>5.4666666666666668</v>
      </c>
      <c r="U660" s="193">
        <f ca="1">OFFSET('Expenditure Study'!$B$7,'Operations Support'!$C660,'Operations Support'!$B660)*$G660</f>
        <v>372.28000000000003</v>
      </c>
      <c r="V660" s="199">
        <f ca="1">U660*'Expenditure Study'!$B$31</f>
        <v>21995.486548224002</v>
      </c>
      <c r="W660" s="199">
        <f ca="1">IF(A660=10298,1.51,1)*IF($B660&lt;3,$D660*'Expenditure Study'!$B$32*OFFSET('Expenditure Study'!$B$7,'Operations Support'!$C660,'Operations Support'!$B660),0)</f>
        <v>37.228000000000009</v>
      </c>
      <c r="X660" s="200">
        <f ca="1">W660*'Expenditure Study'!$B$31</f>
        <v>2199.5486548224007</v>
      </c>
      <c r="Y660" s="199">
        <f ca="1">U660*'Expenditure Study'!$B$31</f>
        <v>21995.486548224002</v>
      </c>
      <c r="Z660" s="200">
        <f ca="1">W660*'Expenditure Study'!$B$31</f>
        <v>2199.5486548224007</v>
      </c>
      <c r="AA660" s="195">
        <f t="shared" ca="1" si="148"/>
        <v>24195.035203046402</v>
      </c>
      <c r="AB660" s="195">
        <f t="shared" ca="1" si="149"/>
        <v>24195.035203046402</v>
      </c>
      <c r="AD660" s="196">
        <f>IFERROR($G660/SUMIF($A:$A,$A660,$G:$G)*SUMIF(Summary!$A$166:$A$242,$A660,Summary!$P$166:$P$242),0)</f>
        <v>4256.3998711230988</v>
      </c>
      <c r="AE660" s="197">
        <f t="shared" ca="1" si="150"/>
        <v>19938.635331923302</v>
      </c>
      <c r="AF660" s="196">
        <f>IFERROR(G660/SUMIF(A:A,A660,G:G)*SUMIF(Summary!$A$166:$A$242,'Operations Support'!A660,Summary!$Q$166:$Q$242),0)</f>
        <v>4259.2053764273378</v>
      </c>
      <c r="AG660" s="196">
        <f t="shared" ca="1" si="151"/>
        <v>19935.829826619065</v>
      </c>
      <c r="AI660" s="196">
        <f>IFERROR($G660/SUMIF($A:$A,$A660,$G:$G)*SUMIF(Summary!$A$247:$A$283,$A660,Summary!$P$247:$P$283),0)</f>
        <v>776.26111921807023</v>
      </c>
      <c r="AJ660" s="196">
        <f>IFERROR($G660/SUMIF($A:$A,$A660,$G:$G)*(SUMIF(Summary!$A$247:$A$283,$A660,Summary!$L$247:$L$283)+SUMIF(Summary!$A$297:$A$333,$A660,Summary!$L$297:$L$333))-AI660,0)</f>
        <v>2348.1104002574216</v>
      </c>
      <c r="AK660" s="196">
        <f>IFERROR($G660/SUMIF($A:$A,$A660,$G:$G)*SUMIF(Summary!$A$247:$A$283,$A660,Summary!$Q$247:$Q$283),0)</f>
        <v>776.77277337495889</v>
      </c>
      <c r="AL660" s="196">
        <f>IFERROR($G660/SUMIF($A:$A,$A660,$G:$G)*(SUMIF(Summary!$A$247:$A$283,$A660,Summary!$L$247:$L$283)+SUMIF(Summary!$A$297:$A$333,$A660,Summary!$L$297:$L$333))-AK660,0)</f>
        <v>2347.5987461005329</v>
      </c>
      <c r="AM660" s="198"/>
      <c r="AN660" s="196">
        <f t="shared" ca="1" si="152"/>
        <v>22286.745732180723</v>
      </c>
      <c r="AO660" s="196">
        <f t="shared" ca="1" si="153"/>
        <v>22283.428572719597</v>
      </c>
    </row>
    <row r="661" spans="1:41">
      <c r="A661" s="189">
        <v>3599</v>
      </c>
      <c r="B661" s="203">
        <v>2</v>
      </c>
      <c r="C661" s="191" t="s">
        <v>225</v>
      </c>
      <c r="D661" s="192">
        <f t="shared" si="140"/>
        <v>17306</v>
      </c>
      <c r="E661" s="192">
        <f t="shared" si="141"/>
        <v>10492</v>
      </c>
      <c r="F661" s="192">
        <f t="shared" si="142"/>
        <v>0</v>
      </c>
      <c r="G661" s="193">
        <f t="shared" si="143"/>
        <v>27798</v>
      </c>
      <c r="H661" s="194">
        <v>8155</v>
      </c>
      <c r="I661" s="194">
        <v>4840</v>
      </c>
      <c r="J661" s="194">
        <v>0</v>
      </c>
      <c r="K661" s="193">
        <f t="shared" si="144"/>
        <v>12995</v>
      </c>
      <c r="L661" s="194">
        <v>8196</v>
      </c>
      <c r="M661" s="194">
        <v>4633</v>
      </c>
      <c r="N661" s="194">
        <v>0</v>
      </c>
      <c r="O661" s="193">
        <f t="shared" si="145"/>
        <v>12829</v>
      </c>
      <c r="P661" s="194">
        <v>955</v>
      </c>
      <c r="Q661" s="194">
        <v>1019</v>
      </c>
      <c r="R661" s="194">
        <v>0</v>
      </c>
      <c r="S661" s="193">
        <f t="shared" si="146"/>
        <v>1974</v>
      </c>
      <c r="T661" s="193">
        <f t="shared" si="147"/>
        <v>926.6</v>
      </c>
      <c r="U661" s="193">
        <f ca="1">OFFSET('Expenditure Study'!$B$7,'Operations Support'!$C661,'Operations Support'!$B661)*$G661</f>
        <v>77834.399999999994</v>
      </c>
      <c r="V661" s="199">
        <f ca="1">U661*'Expenditure Study'!$B$31</f>
        <v>4598703.9276595199</v>
      </c>
      <c r="W661" s="199">
        <f ca="1">IF(A661=10298,1.51,1)*IF($B661&lt;3,$D661*'Expenditure Study'!$B$32*OFFSET('Expenditure Study'!$B$7,'Operations Support'!$C661,'Operations Support'!$B661),0)</f>
        <v>4845.68</v>
      </c>
      <c r="X661" s="200">
        <f ca="1">W661*'Expenditure Study'!$B$31</f>
        <v>286298.18753894401</v>
      </c>
      <c r="Y661" s="199">
        <f ca="1">U661*'Expenditure Study'!$B$31</f>
        <v>4598703.9276595199</v>
      </c>
      <c r="Z661" s="200">
        <f ca="1">W661*'Expenditure Study'!$B$31</f>
        <v>286298.18753894401</v>
      </c>
      <c r="AA661" s="195">
        <f t="shared" ca="1" si="148"/>
        <v>4885002.1151984641</v>
      </c>
      <c r="AB661" s="195">
        <f t="shared" ca="1" si="149"/>
        <v>4885002.1151984641</v>
      </c>
      <c r="AD661" s="196">
        <f>IFERROR($G661/SUMIF($A:$A,$A661,$G:$G)*SUMIF(Summary!$A$166:$A$242,$A661,Summary!$P$166:$P$242),0)</f>
        <v>721459.77815536526</v>
      </c>
      <c r="AE661" s="197">
        <f t="shared" ca="1" si="150"/>
        <v>4163542.3370430991</v>
      </c>
      <c r="AF661" s="196">
        <f>IFERROR(G661/SUMIF(A:A,A661,G:G)*SUMIF(Summary!$A$166:$A$242,'Operations Support'!A661,Summary!$Q$166:$Q$242),0)</f>
        <v>721935.31130443374</v>
      </c>
      <c r="AG661" s="196">
        <f t="shared" ca="1" si="151"/>
        <v>4163066.8038940304</v>
      </c>
      <c r="AI661" s="196">
        <f>IFERROR($G661/SUMIF($A:$A,$A661,$G:$G)*SUMIF(Summary!$A$247:$A$283,$A661,Summary!$P$247:$P$283),0)</f>
        <v>131576.25970746292</v>
      </c>
      <c r="AJ661" s="196">
        <f>IFERROR($G661/SUMIF($A:$A,$A661,$G:$G)*(SUMIF(Summary!$A$247:$A$283,$A661,Summary!$L$247:$L$283)+SUMIF(Summary!$A$297:$A$333,$A661,Summary!$L$297:$L$333))-AI661,0)</f>
        <v>398004.71284363297</v>
      </c>
      <c r="AK661" s="196">
        <f>IFERROR($G661/SUMIF($A:$A,$A661,$G:$G)*SUMIF(Summary!$A$247:$A$283,$A661,Summary!$Q$247:$Q$283),0)</f>
        <v>131662.98508705554</v>
      </c>
      <c r="AL661" s="196">
        <f>IFERROR($G661/SUMIF($A:$A,$A661,$G:$G)*(SUMIF(Summary!$A$247:$A$283,$A661,Summary!$L$247:$L$283)+SUMIF(Summary!$A$297:$A$333,$A661,Summary!$L$297:$L$333))-AK661,0)</f>
        <v>397917.98746404034</v>
      </c>
      <c r="AM661" s="198"/>
      <c r="AN661" s="196">
        <f t="shared" ca="1" si="152"/>
        <v>4561547.0498867324</v>
      </c>
      <c r="AO661" s="196">
        <f t="shared" ca="1" si="153"/>
        <v>4560984.7913580704</v>
      </c>
    </row>
    <row r="662" spans="1:41">
      <c r="A662" s="189">
        <v>3599</v>
      </c>
      <c r="B662" s="203">
        <v>2</v>
      </c>
      <c r="C662" s="191" t="s">
        <v>226</v>
      </c>
      <c r="D662" s="192">
        <f t="shared" si="140"/>
        <v>36</v>
      </c>
      <c r="E662" s="192">
        <f t="shared" si="141"/>
        <v>630</v>
      </c>
      <c r="F662" s="192">
        <f t="shared" si="142"/>
        <v>0</v>
      </c>
      <c r="G662" s="193">
        <f t="shared" si="143"/>
        <v>666</v>
      </c>
      <c r="H662" s="194">
        <v>0</v>
      </c>
      <c r="I662" s="194">
        <v>174</v>
      </c>
      <c r="J662" s="194">
        <v>0</v>
      </c>
      <c r="K662" s="193">
        <f t="shared" si="144"/>
        <v>174</v>
      </c>
      <c r="L662" s="194">
        <v>0</v>
      </c>
      <c r="M662" s="194">
        <v>456</v>
      </c>
      <c r="N662" s="194">
        <v>0</v>
      </c>
      <c r="O662" s="193">
        <f t="shared" si="145"/>
        <v>456</v>
      </c>
      <c r="P662" s="194">
        <v>36</v>
      </c>
      <c r="Q662" s="194">
        <v>0</v>
      </c>
      <c r="R662" s="194">
        <v>0</v>
      </c>
      <c r="S662" s="193">
        <f t="shared" si="146"/>
        <v>36</v>
      </c>
      <c r="T662" s="193">
        <f t="shared" si="147"/>
        <v>22.2</v>
      </c>
      <c r="U662" s="193">
        <f ca="1">OFFSET('Expenditure Study'!$B$7,'Operations Support'!$C662,'Operations Support'!$B662)*$G662</f>
        <v>1198.8</v>
      </c>
      <c r="V662" s="199">
        <f ca="1">U662*'Expenditure Study'!$B$31</f>
        <v>70828.917143040002</v>
      </c>
      <c r="W662" s="199">
        <f ca="1">IF(A662=10298,1.51,1)*IF($B662&lt;3,$D662*'Expenditure Study'!$B$32*OFFSET('Expenditure Study'!$B$7,'Operations Support'!$C662,'Operations Support'!$B662),0)</f>
        <v>6.48</v>
      </c>
      <c r="X662" s="200">
        <f ca="1">W662*'Expenditure Study'!$B$31</f>
        <v>382.85901158400003</v>
      </c>
      <c r="Y662" s="199">
        <f ca="1">U662*'Expenditure Study'!$B$31</f>
        <v>70828.917143040002</v>
      </c>
      <c r="Z662" s="200">
        <f ca="1">W662*'Expenditure Study'!$B$31</f>
        <v>382.85901158400003</v>
      </c>
      <c r="AA662" s="195">
        <f t="shared" ca="1" si="148"/>
        <v>71211.776154624007</v>
      </c>
      <c r="AB662" s="195">
        <f t="shared" ca="1" si="149"/>
        <v>71211.776154624007</v>
      </c>
      <c r="AD662" s="196">
        <f>IFERROR($G662/SUMIF($A:$A,$A662,$G:$G)*SUMIF(Summary!$A$166:$A$242,$A662,Summary!$P$166:$P$242),0)</f>
        <v>17285.1360619999</v>
      </c>
      <c r="AE662" s="197">
        <f t="shared" ca="1" si="150"/>
        <v>53926.640092624104</v>
      </c>
      <c r="AF662" s="196">
        <f>IFERROR(G662/SUMIF(A:A,A662,G:G)*SUMIF(Summary!$A$166:$A$242,'Operations Support'!A662,Summary!$Q$166:$Q$242),0)</f>
        <v>17296.529150613456</v>
      </c>
      <c r="AG662" s="196">
        <f t="shared" ca="1" si="151"/>
        <v>53915.247004010555</v>
      </c>
      <c r="AI662" s="196">
        <f>IFERROR($G662/SUMIF($A:$A,$A662,$G:$G)*SUMIF(Summary!$A$247:$A$283,$A662,Summary!$P$247:$P$283),0)</f>
        <v>3152.3774719465537</v>
      </c>
      <c r="AJ662" s="196">
        <f>IFERROR($G662/SUMIF($A:$A,$A662,$G:$G)*(SUMIF(Summary!$A$247:$A$283,$A662,Summary!$L$247:$L$283)+SUMIF(Summary!$A$297:$A$333,$A662,Summary!$L$297:$L$333))-AI662,0)</f>
        <v>9535.6190644600174</v>
      </c>
      <c r="AK662" s="196">
        <f>IFERROR($G662/SUMIF($A:$A,$A662,$G:$G)*SUMIF(Summary!$A$247:$A$283,$A662,Summary!$Q$247:$Q$283),0)</f>
        <v>3154.455286998309</v>
      </c>
      <c r="AL662" s="196">
        <f>IFERROR($G662/SUMIF($A:$A,$A662,$G:$G)*(SUMIF(Summary!$A$247:$A$283,$A662,Summary!$L$247:$L$283)+SUMIF(Summary!$A$297:$A$333,$A662,Summary!$L$297:$L$333))-AK662,0)</f>
        <v>9533.5412494082611</v>
      </c>
      <c r="AM662" s="198"/>
      <c r="AN662" s="196">
        <f t="shared" ca="1" si="152"/>
        <v>63462.259157084118</v>
      </c>
      <c r="AO662" s="196">
        <f t="shared" ca="1" si="153"/>
        <v>63448.788253418817</v>
      </c>
    </row>
    <row r="663" spans="1:41">
      <c r="A663" s="189">
        <v>3599</v>
      </c>
      <c r="B663" s="203">
        <v>2</v>
      </c>
      <c r="C663" s="191" t="s">
        <v>227</v>
      </c>
      <c r="D663" s="192">
        <f t="shared" si="140"/>
        <v>0</v>
      </c>
      <c r="E663" s="192">
        <f t="shared" si="141"/>
        <v>0</v>
      </c>
      <c r="F663" s="192">
        <f t="shared" si="142"/>
        <v>0</v>
      </c>
      <c r="G663" s="193">
        <f t="shared" si="143"/>
        <v>0</v>
      </c>
      <c r="H663" s="194">
        <v>0</v>
      </c>
      <c r="I663" s="194">
        <v>0</v>
      </c>
      <c r="J663" s="194">
        <v>0</v>
      </c>
      <c r="K663" s="193">
        <f t="shared" si="144"/>
        <v>0</v>
      </c>
      <c r="L663" s="194">
        <v>0</v>
      </c>
      <c r="M663" s="194">
        <v>0</v>
      </c>
      <c r="N663" s="194">
        <v>0</v>
      </c>
      <c r="O663" s="193">
        <f t="shared" si="145"/>
        <v>0</v>
      </c>
      <c r="P663" s="194">
        <v>0</v>
      </c>
      <c r="Q663" s="194">
        <v>0</v>
      </c>
      <c r="R663" s="194">
        <v>0</v>
      </c>
      <c r="S663" s="193">
        <f t="shared" si="146"/>
        <v>0</v>
      </c>
      <c r="T663" s="193">
        <f t="shared" si="147"/>
        <v>0</v>
      </c>
      <c r="U663" s="193">
        <f ca="1">OFFSET('Expenditure Study'!$B$7,'Operations Support'!$C663,'Operations Support'!$B663)*$G663</f>
        <v>0</v>
      </c>
      <c r="V663" s="199">
        <f ca="1">U663*'Expenditure Study'!$B$31</f>
        <v>0</v>
      </c>
      <c r="W663" s="199">
        <f ca="1">IF(A663=10298,1.51,1)*IF($B663&lt;3,$D663*'Expenditure Study'!$B$32*OFFSET('Expenditure Study'!$B$7,'Operations Support'!$C663,'Operations Support'!$B663),0)</f>
        <v>0</v>
      </c>
      <c r="X663" s="200">
        <f ca="1">W663*'Expenditure Study'!$B$31</f>
        <v>0</v>
      </c>
      <c r="Y663" s="199">
        <f ca="1">U663*'Expenditure Study'!$B$31</f>
        <v>0</v>
      </c>
      <c r="Z663" s="200">
        <f ca="1">W663*'Expenditure Study'!$B$31</f>
        <v>0</v>
      </c>
      <c r="AA663" s="195">
        <f t="shared" ca="1" si="148"/>
        <v>0</v>
      </c>
      <c r="AB663" s="195">
        <f t="shared" ca="1" si="149"/>
        <v>0</v>
      </c>
      <c r="AD663" s="196">
        <f>IFERROR($G663/SUMIF($A:$A,$A663,$G:$G)*SUMIF(Summary!$A$166:$A$242,$A663,Summary!$P$166:$P$242),0)</f>
        <v>0</v>
      </c>
      <c r="AE663" s="197">
        <f t="shared" ca="1" si="150"/>
        <v>0</v>
      </c>
      <c r="AF663" s="196">
        <f>IFERROR(G663/SUMIF(A:A,A663,G:G)*SUMIF(Summary!$A$166:$A$242,'Operations Support'!A663,Summary!$Q$166:$Q$242),0)</f>
        <v>0</v>
      </c>
      <c r="AG663" s="196">
        <f t="shared" ca="1" si="151"/>
        <v>0</v>
      </c>
      <c r="AI663" s="196">
        <f>IFERROR($G663/SUMIF($A:$A,$A663,$G:$G)*SUMIF(Summary!$A$247:$A$283,$A663,Summary!$P$247:$P$283),0)</f>
        <v>0</v>
      </c>
      <c r="AJ663" s="196">
        <f>IFERROR($G663/SUMIF($A:$A,$A663,$G:$G)*(SUMIF(Summary!$A$247:$A$283,$A663,Summary!$L$247:$L$283)+SUMIF(Summary!$A$297:$A$333,$A663,Summary!$L$297:$L$333))-AI663,0)</f>
        <v>0</v>
      </c>
      <c r="AK663" s="196">
        <f>IFERROR($G663/SUMIF($A:$A,$A663,$G:$G)*SUMIF(Summary!$A$247:$A$283,$A663,Summary!$Q$247:$Q$283),0)</f>
        <v>0</v>
      </c>
      <c r="AL663" s="196">
        <f>IFERROR($G663/SUMIF($A:$A,$A663,$G:$G)*(SUMIF(Summary!$A$247:$A$283,$A663,Summary!$L$247:$L$283)+SUMIF(Summary!$A$297:$A$333,$A663,Summary!$L$297:$L$333))-AK663,0)</f>
        <v>0</v>
      </c>
      <c r="AM663" s="198"/>
      <c r="AN663" s="196">
        <f t="shared" ca="1" si="152"/>
        <v>0</v>
      </c>
      <c r="AO663" s="196">
        <f t="shared" ca="1" si="153"/>
        <v>0</v>
      </c>
    </row>
    <row r="664" spans="1:41">
      <c r="A664" s="189">
        <v>3599</v>
      </c>
      <c r="B664" s="203">
        <v>2</v>
      </c>
      <c r="C664" s="191" t="s">
        <v>228</v>
      </c>
      <c r="D664" s="192">
        <f t="shared" si="140"/>
        <v>1215</v>
      </c>
      <c r="E664" s="192">
        <f t="shared" si="141"/>
        <v>4218</v>
      </c>
      <c r="F664" s="192">
        <f t="shared" si="142"/>
        <v>0</v>
      </c>
      <c r="G664" s="193">
        <f t="shared" si="143"/>
        <v>5433</v>
      </c>
      <c r="H664" s="194">
        <v>414</v>
      </c>
      <c r="I664" s="194">
        <v>1896</v>
      </c>
      <c r="J664" s="194">
        <v>0</v>
      </c>
      <c r="K664" s="193">
        <f t="shared" si="144"/>
        <v>2310</v>
      </c>
      <c r="L664" s="194">
        <v>456</v>
      </c>
      <c r="M664" s="194">
        <v>1632</v>
      </c>
      <c r="N664" s="194">
        <v>0</v>
      </c>
      <c r="O664" s="193">
        <f t="shared" si="145"/>
        <v>2088</v>
      </c>
      <c r="P664" s="194">
        <v>345</v>
      </c>
      <c r="Q664" s="194">
        <v>690</v>
      </c>
      <c r="R664" s="194">
        <v>0</v>
      </c>
      <c r="S664" s="193">
        <f t="shared" si="146"/>
        <v>1035</v>
      </c>
      <c r="T664" s="193">
        <f t="shared" si="147"/>
        <v>181.1</v>
      </c>
      <c r="U664" s="193">
        <f ca="1">OFFSET('Expenditure Study'!$B$7,'Operations Support'!$C664,'Operations Support'!$B664)*$G664</f>
        <v>10377.029999999999</v>
      </c>
      <c r="V664" s="199">
        <f ca="1">U664*'Expenditure Study'!$B$31</f>
        <v>613107.93965702399</v>
      </c>
      <c r="W664" s="199">
        <f ca="1">IF(A664=10298,1.51,1)*IF($B664&lt;3,$D664*'Expenditure Study'!$B$32*OFFSET('Expenditure Study'!$B$7,'Operations Support'!$C664,'Operations Support'!$B664),0)</f>
        <v>232.065</v>
      </c>
      <c r="X664" s="200">
        <f ca="1">W664*'Expenditure Study'!$B$31</f>
        <v>13711.138352352</v>
      </c>
      <c r="Y664" s="199">
        <f ca="1">U664*'Expenditure Study'!$B$31</f>
        <v>613107.93965702399</v>
      </c>
      <c r="Z664" s="200">
        <f ca="1">W664*'Expenditure Study'!$B$31</f>
        <v>13711.138352352</v>
      </c>
      <c r="AA664" s="195">
        <f t="shared" ca="1" si="148"/>
        <v>626819.07800937595</v>
      </c>
      <c r="AB664" s="195">
        <f t="shared" ca="1" si="149"/>
        <v>626819.07800937595</v>
      </c>
      <c r="AD664" s="196">
        <f>IFERROR($G664/SUMIF($A:$A,$A664,$G:$G)*SUMIF(Summary!$A$166:$A$242,$A664,Summary!$P$166:$P$242),0)</f>
        <v>141006.22255982802</v>
      </c>
      <c r="AE664" s="197">
        <f t="shared" ca="1" si="150"/>
        <v>485812.85544954793</v>
      </c>
      <c r="AF664" s="196">
        <f>IFERROR(G664/SUMIF(A:A,A664,G:G)*SUMIF(Summary!$A$166:$A$242,'Operations Support'!A664,Summary!$Q$166:$Q$242),0)</f>
        <v>141099.16347640078</v>
      </c>
      <c r="AG664" s="196">
        <f t="shared" ca="1" si="151"/>
        <v>485719.91453297518</v>
      </c>
      <c r="AI664" s="196">
        <f>IFERROR($G664/SUMIF($A:$A,$A664,$G:$G)*SUMIF(Summary!$A$247:$A$283,$A664,Summary!$P$247:$P$283),0)</f>
        <v>25716.016223852293</v>
      </c>
      <c r="AJ664" s="196">
        <f>IFERROR($G664/SUMIF($A:$A,$A664,$G:$G)*(SUMIF(Summary!$A$247:$A$283,$A664,Summary!$L$247:$L$283)+SUMIF(Summary!$A$297:$A$333,$A664,Summary!$L$297:$L$333))-AI664,0)</f>
        <v>77788.315881698596</v>
      </c>
      <c r="AK664" s="196">
        <f>IFERROR($G664/SUMIF($A:$A,$A664,$G:$G)*SUMIF(Summary!$A$247:$A$283,$A664,Summary!$Q$247:$Q$283),0)</f>
        <v>25732.966327720438</v>
      </c>
      <c r="AL664" s="196">
        <f>IFERROR($G664/SUMIF($A:$A,$A664,$G:$G)*(SUMIF(Summary!$A$247:$A$283,$A664,Summary!$L$247:$L$283)+SUMIF(Summary!$A$297:$A$333,$A664,Summary!$L$297:$L$333))-AK664,0)</f>
        <v>77771.365777830448</v>
      </c>
      <c r="AM664" s="198"/>
      <c r="AN664" s="196">
        <f t="shared" ca="1" si="152"/>
        <v>563601.1713312465</v>
      </c>
      <c r="AO664" s="196">
        <f t="shared" ca="1" si="153"/>
        <v>563491.28031080565</v>
      </c>
    </row>
    <row r="665" spans="1:41">
      <c r="A665" s="189">
        <v>3599</v>
      </c>
      <c r="B665" s="203">
        <v>2</v>
      </c>
      <c r="C665" s="191" t="s">
        <v>229</v>
      </c>
      <c r="D665" s="192">
        <f t="shared" si="140"/>
        <v>33</v>
      </c>
      <c r="E665" s="192">
        <f t="shared" si="141"/>
        <v>0</v>
      </c>
      <c r="F665" s="192">
        <f t="shared" si="142"/>
        <v>0</v>
      </c>
      <c r="G665" s="193">
        <f t="shared" si="143"/>
        <v>33</v>
      </c>
      <c r="H665" s="194">
        <v>12</v>
      </c>
      <c r="I665" s="194">
        <v>0</v>
      </c>
      <c r="J665" s="194">
        <v>0</v>
      </c>
      <c r="K665" s="193">
        <f t="shared" si="144"/>
        <v>12</v>
      </c>
      <c r="L665" s="194">
        <v>15</v>
      </c>
      <c r="M665" s="194">
        <v>0</v>
      </c>
      <c r="N665" s="194">
        <v>0</v>
      </c>
      <c r="O665" s="193">
        <f t="shared" si="145"/>
        <v>15</v>
      </c>
      <c r="P665" s="194">
        <v>6</v>
      </c>
      <c r="Q665" s="194">
        <v>0</v>
      </c>
      <c r="R665" s="194">
        <v>0</v>
      </c>
      <c r="S665" s="193">
        <f t="shared" si="146"/>
        <v>6</v>
      </c>
      <c r="T665" s="193">
        <f t="shared" si="147"/>
        <v>1.1000000000000001</v>
      </c>
      <c r="U665" s="193">
        <f ca="1">OFFSET('Expenditure Study'!$B$7,'Operations Support'!$C665,'Operations Support'!$B665)*$G665</f>
        <v>63.36</v>
      </c>
      <c r="V665" s="199">
        <f ca="1">U665*'Expenditure Study'!$B$31</f>
        <v>3743.5103354880002</v>
      </c>
      <c r="W665" s="199">
        <f ca="1">IF(A665=10298,1.51,1)*IF($B665&lt;3,$D665*'Expenditure Study'!$B$32*OFFSET('Expenditure Study'!$B$7,'Operations Support'!$C665,'Operations Support'!$B665),0)</f>
        <v>6.3360000000000003</v>
      </c>
      <c r="X665" s="200">
        <f ca="1">W665*'Expenditure Study'!$B$31</f>
        <v>374.35103354880005</v>
      </c>
      <c r="Y665" s="199">
        <f ca="1">U665*'Expenditure Study'!$B$31</f>
        <v>3743.5103354880002</v>
      </c>
      <c r="Z665" s="200">
        <f ca="1">W665*'Expenditure Study'!$B$31</f>
        <v>374.35103354880005</v>
      </c>
      <c r="AA665" s="195">
        <f t="shared" ca="1" si="148"/>
        <v>4117.8613690368002</v>
      </c>
      <c r="AB665" s="195">
        <f t="shared" ca="1" si="149"/>
        <v>4117.8613690368002</v>
      </c>
      <c r="AD665" s="196">
        <f>IFERROR($G665/SUMIF($A:$A,$A665,$G:$G)*SUMIF(Summary!$A$166:$A$242,$A665,Summary!$P$166:$P$242),0)</f>
        <v>856.47070577476984</v>
      </c>
      <c r="AE665" s="197">
        <f t="shared" ca="1" si="150"/>
        <v>3261.3906632620301</v>
      </c>
      <c r="AF665" s="196">
        <f>IFERROR(G665/SUMIF(A:A,A665,G:G)*SUMIF(Summary!$A$166:$A$242,'Operations Support'!A665,Summary!$Q$166:$Q$242),0)</f>
        <v>857.03522818354963</v>
      </c>
      <c r="AG665" s="196">
        <f t="shared" ca="1" si="151"/>
        <v>3260.8261408532508</v>
      </c>
      <c r="AI665" s="196">
        <f>IFERROR($G665/SUMIF($A:$A,$A665,$G:$G)*SUMIF(Summary!$A$247:$A$283,$A665,Summary!$P$247:$P$283),0)</f>
        <v>156.19888374509952</v>
      </c>
      <c r="AJ665" s="196">
        <f>IFERROR($G665/SUMIF($A:$A,$A665,$G:$G)*(SUMIF(Summary!$A$247:$A$283,$A665,Summary!$L$247:$L$283)+SUMIF(Summary!$A$297:$A$333,$A665,Summary!$L$297:$L$333))-AI665,0)</f>
        <v>472.48562932009082</v>
      </c>
      <c r="AK665" s="196">
        <f>IFERROR($G665/SUMIF($A:$A,$A665,$G:$G)*SUMIF(Summary!$A$247:$A$283,$A665,Summary!$Q$247:$Q$283),0)</f>
        <v>156.30183854496124</v>
      </c>
      <c r="AL665" s="196">
        <f>IFERROR($G665/SUMIF($A:$A,$A665,$G:$G)*(SUMIF(Summary!$A$247:$A$283,$A665,Summary!$L$247:$L$283)+SUMIF(Summary!$A$297:$A$333,$A665,Summary!$L$297:$L$333))-AK665,0)</f>
        <v>472.3826745202291</v>
      </c>
      <c r="AM665" s="198"/>
      <c r="AN665" s="196">
        <f t="shared" ca="1" si="152"/>
        <v>3733.8762925821211</v>
      </c>
      <c r="AO665" s="196">
        <f t="shared" ca="1" si="153"/>
        <v>3733.2088153734799</v>
      </c>
    </row>
    <row r="666" spans="1:41">
      <c r="A666" s="189">
        <v>3599</v>
      </c>
      <c r="B666" s="203">
        <v>2</v>
      </c>
      <c r="C666" s="191" t="s">
        <v>230</v>
      </c>
      <c r="D666" s="192">
        <f t="shared" si="140"/>
        <v>0</v>
      </c>
      <c r="E666" s="192">
        <f t="shared" si="141"/>
        <v>0</v>
      </c>
      <c r="F666" s="192">
        <f t="shared" si="142"/>
        <v>0</v>
      </c>
      <c r="G666" s="193">
        <f t="shared" si="143"/>
        <v>0</v>
      </c>
      <c r="H666" s="194">
        <v>0</v>
      </c>
      <c r="I666" s="194">
        <v>0</v>
      </c>
      <c r="J666" s="194">
        <v>0</v>
      </c>
      <c r="K666" s="193">
        <f t="shared" si="144"/>
        <v>0</v>
      </c>
      <c r="L666" s="194">
        <v>0</v>
      </c>
      <c r="M666" s="194">
        <v>0</v>
      </c>
      <c r="N666" s="194">
        <v>0</v>
      </c>
      <c r="O666" s="193">
        <f t="shared" si="145"/>
        <v>0</v>
      </c>
      <c r="P666" s="194">
        <v>0</v>
      </c>
      <c r="Q666" s="194">
        <v>0</v>
      </c>
      <c r="R666" s="194">
        <v>0</v>
      </c>
      <c r="S666" s="193">
        <f t="shared" si="146"/>
        <v>0</v>
      </c>
      <c r="T666" s="193">
        <f t="shared" si="147"/>
        <v>0</v>
      </c>
      <c r="U666" s="193">
        <f ca="1">OFFSET('Expenditure Study'!$B$7,'Operations Support'!$C666,'Operations Support'!$B666)*$G666</f>
        <v>0</v>
      </c>
      <c r="V666" s="199">
        <f ca="1">U666*'Expenditure Study'!$B$31</f>
        <v>0</v>
      </c>
      <c r="W666" s="199">
        <f ca="1">IF(A666=10298,1.51,1)*IF($B666&lt;3,$D666*'Expenditure Study'!$B$32*OFFSET('Expenditure Study'!$B$7,'Operations Support'!$C666,'Operations Support'!$B666),0)</f>
        <v>0</v>
      </c>
      <c r="X666" s="200">
        <f ca="1">W666*'Expenditure Study'!$B$31</f>
        <v>0</v>
      </c>
      <c r="Y666" s="199">
        <f ca="1">U666*'Expenditure Study'!$B$31</f>
        <v>0</v>
      </c>
      <c r="Z666" s="200">
        <f ca="1">W666*'Expenditure Study'!$B$31</f>
        <v>0</v>
      </c>
      <c r="AA666" s="195">
        <f t="shared" ca="1" si="148"/>
        <v>0</v>
      </c>
      <c r="AB666" s="195">
        <f t="shared" ca="1" si="149"/>
        <v>0</v>
      </c>
      <c r="AD666" s="196">
        <f>IFERROR($G666/SUMIF($A:$A,$A666,$G:$G)*SUMIF(Summary!$A$166:$A$242,$A666,Summary!$P$166:$P$242),0)</f>
        <v>0</v>
      </c>
      <c r="AE666" s="197">
        <f t="shared" ca="1" si="150"/>
        <v>0</v>
      </c>
      <c r="AF666" s="196">
        <f>IFERROR(G666/SUMIF(A:A,A666,G:G)*SUMIF(Summary!$A$166:$A$242,'Operations Support'!A666,Summary!$Q$166:$Q$242),0)</f>
        <v>0</v>
      </c>
      <c r="AG666" s="196">
        <f t="shared" ca="1" si="151"/>
        <v>0</v>
      </c>
      <c r="AI666" s="196">
        <f>IFERROR($G666/SUMIF($A:$A,$A666,$G:$G)*SUMIF(Summary!$A$247:$A$283,$A666,Summary!$P$247:$P$283),0)</f>
        <v>0</v>
      </c>
      <c r="AJ666" s="196">
        <f>IFERROR($G666/SUMIF($A:$A,$A666,$G:$G)*(SUMIF(Summary!$A$247:$A$283,$A666,Summary!$L$247:$L$283)+SUMIF(Summary!$A$297:$A$333,$A666,Summary!$L$297:$L$333))-AI666,0)</f>
        <v>0</v>
      </c>
      <c r="AK666" s="196">
        <f>IFERROR($G666/SUMIF($A:$A,$A666,$G:$G)*SUMIF(Summary!$A$247:$A$283,$A666,Summary!$Q$247:$Q$283),0)</f>
        <v>0</v>
      </c>
      <c r="AL666" s="196">
        <f>IFERROR($G666/SUMIF($A:$A,$A666,$G:$G)*(SUMIF(Summary!$A$247:$A$283,$A666,Summary!$L$247:$L$283)+SUMIF(Summary!$A$297:$A$333,$A666,Summary!$L$297:$L$333))-AK666,0)</f>
        <v>0</v>
      </c>
      <c r="AM666" s="198"/>
      <c r="AN666" s="196">
        <f t="shared" ca="1" si="152"/>
        <v>0</v>
      </c>
      <c r="AO666" s="196">
        <f t="shared" ca="1" si="153"/>
        <v>0</v>
      </c>
    </row>
    <row r="667" spans="1:41">
      <c r="A667" s="189">
        <v>3599</v>
      </c>
      <c r="B667" s="203">
        <v>2</v>
      </c>
      <c r="C667" s="191" t="s">
        <v>231</v>
      </c>
      <c r="D667" s="192">
        <f t="shared" si="140"/>
        <v>0</v>
      </c>
      <c r="E667" s="192">
        <f t="shared" si="141"/>
        <v>0</v>
      </c>
      <c r="F667" s="192">
        <f t="shared" si="142"/>
        <v>0</v>
      </c>
      <c r="G667" s="193">
        <f t="shared" si="143"/>
        <v>0</v>
      </c>
      <c r="H667" s="194">
        <v>0</v>
      </c>
      <c r="I667" s="194">
        <v>0</v>
      </c>
      <c r="J667" s="194">
        <v>0</v>
      </c>
      <c r="K667" s="193">
        <f t="shared" si="144"/>
        <v>0</v>
      </c>
      <c r="L667" s="194">
        <v>0</v>
      </c>
      <c r="M667" s="194">
        <v>0</v>
      </c>
      <c r="N667" s="194">
        <v>0</v>
      </c>
      <c r="O667" s="193">
        <f t="shared" si="145"/>
        <v>0</v>
      </c>
      <c r="P667" s="194">
        <v>0</v>
      </c>
      <c r="Q667" s="194">
        <v>0</v>
      </c>
      <c r="R667" s="194">
        <v>0</v>
      </c>
      <c r="S667" s="193">
        <f t="shared" si="146"/>
        <v>0</v>
      </c>
      <c r="T667" s="193">
        <f t="shared" si="147"/>
        <v>0</v>
      </c>
      <c r="U667" s="193">
        <f ca="1">OFFSET('Expenditure Study'!$B$7,'Operations Support'!$C667,'Operations Support'!$B667)*$G667</f>
        <v>0</v>
      </c>
      <c r="V667" s="199">
        <f ca="1">U667*'Expenditure Study'!$B$31</f>
        <v>0</v>
      </c>
      <c r="W667" s="199">
        <f ca="1">IF(A667=10298,1.51,1)*IF($B667&lt;3,$D667*'Expenditure Study'!$B$32*OFFSET('Expenditure Study'!$B$7,'Operations Support'!$C667,'Operations Support'!$B667),0)</f>
        <v>0</v>
      </c>
      <c r="X667" s="200">
        <f ca="1">W667*'Expenditure Study'!$B$31</f>
        <v>0</v>
      </c>
      <c r="Y667" s="199">
        <f ca="1">U667*'Expenditure Study'!$B$31</f>
        <v>0</v>
      </c>
      <c r="Z667" s="200">
        <f ca="1">W667*'Expenditure Study'!$B$31</f>
        <v>0</v>
      </c>
      <c r="AA667" s="195">
        <f t="shared" ca="1" si="148"/>
        <v>0</v>
      </c>
      <c r="AB667" s="195">
        <f t="shared" ca="1" si="149"/>
        <v>0</v>
      </c>
      <c r="AD667" s="196">
        <f>IFERROR($G667/SUMIF($A:$A,$A667,$G:$G)*SUMIF(Summary!$A$166:$A$242,$A667,Summary!$P$166:$P$242),0)</f>
        <v>0</v>
      </c>
      <c r="AE667" s="197">
        <f t="shared" ca="1" si="150"/>
        <v>0</v>
      </c>
      <c r="AF667" s="196">
        <f>IFERROR(G667/SUMIF(A:A,A667,G:G)*SUMIF(Summary!$A$166:$A$242,'Operations Support'!A667,Summary!$Q$166:$Q$242),0)</f>
        <v>0</v>
      </c>
      <c r="AG667" s="196">
        <f t="shared" ca="1" si="151"/>
        <v>0</v>
      </c>
      <c r="AI667" s="196">
        <f>IFERROR($G667/SUMIF($A:$A,$A667,$G:$G)*SUMIF(Summary!$A$247:$A$283,$A667,Summary!$P$247:$P$283),0)</f>
        <v>0</v>
      </c>
      <c r="AJ667" s="196">
        <f>IFERROR($G667/SUMIF($A:$A,$A667,$G:$G)*(SUMIF(Summary!$A$247:$A$283,$A667,Summary!$L$247:$L$283)+SUMIF(Summary!$A$297:$A$333,$A667,Summary!$L$297:$L$333))-AI667,0)</f>
        <v>0</v>
      </c>
      <c r="AK667" s="196">
        <f>IFERROR($G667/SUMIF($A:$A,$A667,$G:$G)*SUMIF(Summary!$A$247:$A$283,$A667,Summary!$Q$247:$Q$283),0)</f>
        <v>0</v>
      </c>
      <c r="AL667" s="196">
        <f>IFERROR($G667/SUMIF($A:$A,$A667,$G:$G)*(SUMIF(Summary!$A$247:$A$283,$A667,Summary!$L$247:$L$283)+SUMIF(Summary!$A$297:$A$333,$A667,Summary!$L$297:$L$333))-AK667,0)</f>
        <v>0</v>
      </c>
      <c r="AM667" s="198"/>
      <c r="AN667" s="196">
        <f t="shared" ca="1" si="152"/>
        <v>0</v>
      </c>
      <c r="AO667" s="196">
        <f t="shared" ca="1" si="153"/>
        <v>0</v>
      </c>
    </row>
    <row r="668" spans="1:41">
      <c r="A668" s="189">
        <v>3599</v>
      </c>
      <c r="B668" s="203">
        <v>2</v>
      </c>
      <c r="C668" s="191" t="s">
        <v>232</v>
      </c>
      <c r="D668" s="192">
        <f t="shared" si="140"/>
        <v>0</v>
      </c>
      <c r="E668" s="192">
        <f t="shared" si="141"/>
        <v>0</v>
      </c>
      <c r="F668" s="192">
        <f t="shared" si="142"/>
        <v>0</v>
      </c>
      <c r="G668" s="193">
        <f t="shared" si="143"/>
        <v>0</v>
      </c>
      <c r="H668" s="194">
        <v>0</v>
      </c>
      <c r="I668" s="194">
        <v>0</v>
      </c>
      <c r="J668" s="194">
        <v>0</v>
      </c>
      <c r="K668" s="193">
        <f t="shared" si="144"/>
        <v>0</v>
      </c>
      <c r="L668" s="194">
        <v>0</v>
      </c>
      <c r="M668" s="194">
        <v>0</v>
      </c>
      <c r="N668" s="194">
        <v>0</v>
      </c>
      <c r="O668" s="193">
        <f t="shared" si="145"/>
        <v>0</v>
      </c>
      <c r="P668" s="194">
        <v>0</v>
      </c>
      <c r="Q668" s="194">
        <v>0</v>
      </c>
      <c r="R668" s="194">
        <v>0</v>
      </c>
      <c r="S668" s="193">
        <f t="shared" si="146"/>
        <v>0</v>
      </c>
      <c r="T668" s="193">
        <f t="shared" si="147"/>
        <v>0</v>
      </c>
      <c r="U668" s="193">
        <f ca="1">OFFSET('Expenditure Study'!$B$7,'Operations Support'!$C668,'Operations Support'!$B668)*$G668</f>
        <v>0</v>
      </c>
      <c r="V668" s="199">
        <f ca="1">U668*'Expenditure Study'!$B$31</f>
        <v>0</v>
      </c>
      <c r="W668" s="199">
        <f ca="1">IF(A668=10298,1.51,1)*IF($B668&lt;3,$D668*'Expenditure Study'!$B$32*OFFSET('Expenditure Study'!$B$7,'Operations Support'!$C668,'Operations Support'!$B668),0)</f>
        <v>0</v>
      </c>
      <c r="X668" s="200">
        <f ca="1">W668*'Expenditure Study'!$B$31</f>
        <v>0</v>
      </c>
      <c r="Y668" s="199">
        <f ca="1">U668*'Expenditure Study'!$B$31</f>
        <v>0</v>
      </c>
      <c r="Z668" s="200">
        <f ca="1">W668*'Expenditure Study'!$B$31</f>
        <v>0</v>
      </c>
      <c r="AA668" s="195">
        <f t="shared" ca="1" si="148"/>
        <v>0</v>
      </c>
      <c r="AB668" s="195">
        <f t="shared" ca="1" si="149"/>
        <v>0</v>
      </c>
      <c r="AD668" s="196">
        <f>IFERROR($G668/SUMIF($A:$A,$A668,$G:$G)*SUMIF(Summary!$A$166:$A$242,$A668,Summary!$P$166:$P$242),0)</f>
        <v>0</v>
      </c>
      <c r="AE668" s="197">
        <f t="shared" ca="1" si="150"/>
        <v>0</v>
      </c>
      <c r="AF668" s="196">
        <f>IFERROR(G668/SUMIF(A:A,A668,G:G)*SUMIF(Summary!$A$166:$A$242,'Operations Support'!A668,Summary!$Q$166:$Q$242),0)</f>
        <v>0</v>
      </c>
      <c r="AG668" s="196">
        <f t="shared" ca="1" si="151"/>
        <v>0</v>
      </c>
      <c r="AI668" s="196">
        <f>IFERROR($G668/SUMIF($A:$A,$A668,$G:$G)*SUMIF(Summary!$A$247:$A$283,$A668,Summary!$P$247:$P$283),0)</f>
        <v>0</v>
      </c>
      <c r="AJ668" s="196">
        <f>IFERROR($G668/SUMIF($A:$A,$A668,$G:$G)*(SUMIF(Summary!$A$247:$A$283,$A668,Summary!$L$247:$L$283)+SUMIF(Summary!$A$297:$A$333,$A668,Summary!$L$297:$L$333))-AI668,0)</f>
        <v>0</v>
      </c>
      <c r="AK668" s="196">
        <f>IFERROR($G668/SUMIF($A:$A,$A668,$G:$G)*SUMIF(Summary!$A$247:$A$283,$A668,Summary!$Q$247:$Q$283),0)</f>
        <v>0</v>
      </c>
      <c r="AL668" s="196">
        <f>IFERROR($G668/SUMIF($A:$A,$A668,$G:$G)*(SUMIF(Summary!$A$247:$A$283,$A668,Summary!$L$247:$L$283)+SUMIF(Summary!$A$297:$A$333,$A668,Summary!$L$297:$L$333))-AK668,0)</f>
        <v>0</v>
      </c>
      <c r="AM668" s="198"/>
      <c r="AN668" s="196">
        <f t="shared" ca="1" si="152"/>
        <v>0</v>
      </c>
      <c r="AO668" s="196">
        <f t="shared" ca="1" si="153"/>
        <v>0</v>
      </c>
    </row>
    <row r="669" spans="1:41" s="201" customFormat="1">
      <c r="A669" s="189">
        <v>3599</v>
      </c>
      <c r="B669" s="203">
        <v>2</v>
      </c>
      <c r="C669" s="191" t="s">
        <v>233</v>
      </c>
      <c r="D669" s="192">
        <f t="shared" si="140"/>
        <v>5136</v>
      </c>
      <c r="E669" s="192">
        <f t="shared" si="141"/>
        <v>28899</v>
      </c>
      <c r="F669" s="192">
        <f t="shared" si="142"/>
        <v>0</v>
      </c>
      <c r="G669" s="193">
        <f t="shared" si="143"/>
        <v>34035</v>
      </c>
      <c r="H669" s="194">
        <v>2001</v>
      </c>
      <c r="I669" s="194">
        <v>13267</v>
      </c>
      <c r="J669" s="194">
        <v>0</v>
      </c>
      <c r="K669" s="193">
        <f t="shared" si="144"/>
        <v>15268</v>
      </c>
      <c r="L669" s="194">
        <v>2187</v>
      </c>
      <c r="M669" s="194">
        <v>12704</v>
      </c>
      <c r="N669" s="194">
        <v>0</v>
      </c>
      <c r="O669" s="193">
        <f t="shared" si="145"/>
        <v>14891</v>
      </c>
      <c r="P669" s="194">
        <v>948</v>
      </c>
      <c r="Q669" s="194">
        <v>2928</v>
      </c>
      <c r="R669" s="194">
        <v>0</v>
      </c>
      <c r="S669" s="193">
        <f t="shared" si="146"/>
        <v>3876</v>
      </c>
      <c r="T669" s="193">
        <f t="shared" si="147"/>
        <v>1134.5</v>
      </c>
      <c r="U669" s="193">
        <f ca="1">OFFSET('Expenditure Study'!$B$7,'Operations Support'!$C669,'Operations Support'!$B669)*$G669</f>
        <v>54796.350000000006</v>
      </c>
      <c r="V669" s="199">
        <f ca="1">U669*'Expenditure Study'!$B$31</f>
        <v>3237542.6542300805</v>
      </c>
      <c r="W669" s="199">
        <f ca="1">IF(A669=10298,1.51,1)*IF($B669&lt;3,$D669*'Expenditure Study'!$B$32*OFFSET('Expenditure Study'!$B$7,'Operations Support'!$C669,'Operations Support'!$B669),0)</f>
        <v>826.89600000000007</v>
      </c>
      <c r="X669" s="200">
        <f ca="1">W669*'Expenditure Study'!$B$31</f>
        <v>48855.645870796805</v>
      </c>
      <c r="Y669" s="199">
        <f ca="1">U669*'Expenditure Study'!$B$31</f>
        <v>3237542.6542300805</v>
      </c>
      <c r="Z669" s="200">
        <f ca="1">W669*'Expenditure Study'!$B$31</f>
        <v>48855.645870796805</v>
      </c>
      <c r="AA669" s="195">
        <f t="shared" ca="1" si="148"/>
        <v>3286398.3001008774</v>
      </c>
      <c r="AB669" s="195">
        <f t="shared" ca="1" si="149"/>
        <v>3286398.3001008774</v>
      </c>
      <c r="AD669" s="196">
        <f>IFERROR($G669/SUMIF($A:$A,$A669,$G:$G)*SUMIF(Summary!$A$166:$A$242,$A669,Summary!$P$166:$P$242),0)</f>
        <v>883332.74154679675</v>
      </c>
      <c r="AE669" s="197">
        <f t="shared" ca="1" si="150"/>
        <v>2403065.5585540808</v>
      </c>
      <c r="AF669" s="196">
        <f>IFERROR(G669/SUMIF(A:A,A669,G:G)*SUMIF(Summary!$A$166:$A$242,'Operations Support'!A669,Summary!$Q$166:$Q$242),0)</f>
        <v>883914.96943112463</v>
      </c>
      <c r="AG669" s="196">
        <f t="shared" ca="1" si="151"/>
        <v>2402483.3306697528</v>
      </c>
      <c r="AH669" s="180"/>
      <c r="AI669" s="196">
        <f>IFERROR($G669/SUMIF($A:$A,$A669,$G:$G)*SUMIF(Summary!$A$247:$A$283,$A669,Summary!$P$247:$P$283),0)</f>
        <v>161097.84873528674</v>
      </c>
      <c r="AJ669" s="196">
        <f>IFERROR($G669/SUMIF($A:$A,$A669,$G:$G)*(SUMIF(Summary!$A$247:$A$283,$A669,Summary!$L$247:$L$283)+SUMIF(Summary!$A$297:$A$333,$A669,Summary!$L$297:$L$333))-AI669,0)</f>
        <v>487304.49678513012</v>
      </c>
      <c r="AK669" s="196">
        <f>IFERROR($G669/SUMIF($A:$A,$A669,$G:$G)*SUMIF(Summary!$A$247:$A$283,$A669,Summary!$Q$247:$Q$283),0)</f>
        <v>161204.03257205323</v>
      </c>
      <c r="AL669" s="196">
        <f>IFERROR($G669/SUMIF($A:$A,$A669,$G:$G)*(SUMIF(Summary!$A$247:$A$283,$A669,Summary!$L$247:$L$283)+SUMIF(Summary!$A$297:$A$333,$A669,Summary!$L$297:$L$333))-AK669,0)</f>
        <v>487198.3129483636</v>
      </c>
      <c r="AM669" s="198"/>
      <c r="AN669" s="196">
        <f t="shared" ca="1" si="152"/>
        <v>2890370.0553392107</v>
      </c>
      <c r="AO669" s="196">
        <f t="shared" ca="1" si="153"/>
        <v>2889681.6436181162</v>
      </c>
    </row>
    <row r="670" spans="1:41" s="201" customFormat="1">
      <c r="A670" s="189">
        <v>3599</v>
      </c>
      <c r="B670" s="203">
        <v>2</v>
      </c>
      <c r="C670" s="191" t="s">
        <v>234</v>
      </c>
      <c r="D670" s="192">
        <f t="shared" si="140"/>
        <v>0</v>
      </c>
      <c r="E670" s="192">
        <f t="shared" si="141"/>
        <v>0</v>
      </c>
      <c r="F670" s="192">
        <f t="shared" si="142"/>
        <v>0</v>
      </c>
      <c r="G670" s="193">
        <f t="shared" si="143"/>
        <v>0</v>
      </c>
      <c r="H670" s="194">
        <v>0</v>
      </c>
      <c r="I670" s="194">
        <v>0</v>
      </c>
      <c r="J670" s="194">
        <v>0</v>
      </c>
      <c r="K670" s="193">
        <f t="shared" si="144"/>
        <v>0</v>
      </c>
      <c r="L670" s="194">
        <v>0</v>
      </c>
      <c r="M670" s="194">
        <v>0</v>
      </c>
      <c r="N670" s="194">
        <v>0</v>
      </c>
      <c r="O670" s="193">
        <f t="shared" si="145"/>
        <v>0</v>
      </c>
      <c r="P670" s="194">
        <v>0</v>
      </c>
      <c r="Q670" s="194">
        <v>0</v>
      </c>
      <c r="R670" s="194">
        <v>0</v>
      </c>
      <c r="S670" s="193">
        <f t="shared" si="146"/>
        <v>0</v>
      </c>
      <c r="T670" s="193">
        <f t="shared" si="147"/>
        <v>0</v>
      </c>
      <c r="U670" s="193">
        <f ca="1">OFFSET('Expenditure Study'!$B$7,'Operations Support'!$C670,'Operations Support'!$B670)*$G670</f>
        <v>0</v>
      </c>
      <c r="V670" s="199">
        <f ca="1">U670*'Expenditure Study'!$B$31</f>
        <v>0</v>
      </c>
      <c r="W670" s="199">
        <f ca="1">IF(A670=10298,1.51,1)*IF($B670&lt;3,$D670*'Expenditure Study'!$B$32*OFFSET('Expenditure Study'!$B$7,'Operations Support'!$C670,'Operations Support'!$B670),0)</f>
        <v>0</v>
      </c>
      <c r="X670" s="200">
        <f ca="1">W670*'Expenditure Study'!$B$31</f>
        <v>0</v>
      </c>
      <c r="Y670" s="199">
        <f ca="1">U670*'Expenditure Study'!$B$31</f>
        <v>0</v>
      </c>
      <c r="Z670" s="200">
        <f ca="1">W670*'Expenditure Study'!$B$31</f>
        <v>0</v>
      </c>
      <c r="AA670" s="195">
        <f t="shared" ca="1" si="148"/>
        <v>0</v>
      </c>
      <c r="AB670" s="195">
        <f t="shared" ca="1" si="149"/>
        <v>0</v>
      </c>
      <c r="AD670" s="196">
        <f>IFERROR($G670/SUMIF($A:$A,$A670,$G:$G)*SUMIF(Summary!$A$166:$A$242,$A670,Summary!$P$166:$P$242),0)</f>
        <v>0</v>
      </c>
      <c r="AE670" s="197">
        <f t="shared" ca="1" si="150"/>
        <v>0</v>
      </c>
      <c r="AF670" s="196">
        <f>IFERROR(G670/SUMIF(A:A,A670,G:G)*SUMIF(Summary!$A$166:$A$242,'Operations Support'!A670,Summary!$Q$166:$Q$242),0)</f>
        <v>0</v>
      </c>
      <c r="AG670" s="196">
        <f t="shared" ca="1" si="151"/>
        <v>0</v>
      </c>
      <c r="AH670" s="180"/>
      <c r="AI670" s="196">
        <f>IFERROR($G670/SUMIF($A:$A,$A670,$G:$G)*SUMIF(Summary!$A$247:$A$283,$A670,Summary!$P$247:$P$283),0)</f>
        <v>0</v>
      </c>
      <c r="AJ670" s="196">
        <f>IFERROR($G670/SUMIF($A:$A,$A670,$G:$G)*(SUMIF(Summary!$A$247:$A$283,$A670,Summary!$L$247:$L$283)+SUMIF(Summary!$A$297:$A$333,$A670,Summary!$L$297:$L$333))-AI670,0)</f>
        <v>0</v>
      </c>
      <c r="AK670" s="196">
        <f>IFERROR($G670/SUMIF($A:$A,$A670,$G:$G)*SUMIF(Summary!$A$247:$A$283,$A670,Summary!$Q$247:$Q$283),0)</f>
        <v>0</v>
      </c>
      <c r="AL670" s="196">
        <f>IFERROR($G670/SUMIF($A:$A,$A670,$G:$G)*(SUMIF(Summary!$A$247:$A$283,$A670,Summary!$L$247:$L$283)+SUMIF(Summary!$A$297:$A$333,$A670,Summary!$L$297:$L$333))-AK670,0)</f>
        <v>0</v>
      </c>
      <c r="AM670" s="198"/>
      <c r="AN670" s="196">
        <f t="shared" ca="1" si="152"/>
        <v>0</v>
      </c>
      <c r="AO670" s="196">
        <f t="shared" ca="1" si="153"/>
        <v>0</v>
      </c>
    </row>
    <row r="671" spans="1:41">
      <c r="A671" s="189">
        <v>3599</v>
      </c>
      <c r="B671" s="203">
        <v>2</v>
      </c>
      <c r="C671" s="191" t="s">
        <v>235</v>
      </c>
      <c r="D671" s="192">
        <f t="shared" si="140"/>
        <v>15975</v>
      </c>
      <c r="E671" s="192">
        <f t="shared" si="141"/>
        <v>23427</v>
      </c>
      <c r="F671" s="192">
        <f t="shared" si="142"/>
        <v>0</v>
      </c>
      <c r="G671" s="193">
        <f t="shared" si="143"/>
        <v>39402</v>
      </c>
      <c r="H671" s="194">
        <v>6501</v>
      </c>
      <c r="I671" s="194">
        <v>10383</v>
      </c>
      <c r="J671" s="194">
        <v>0</v>
      </c>
      <c r="K671" s="193">
        <f t="shared" si="144"/>
        <v>16884</v>
      </c>
      <c r="L671" s="194">
        <v>6156</v>
      </c>
      <c r="M671" s="194">
        <v>10515</v>
      </c>
      <c r="N671" s="194">
        <v>0</v>
      </c>
      <c r="O671" s="193">
        <f t="shared" si="145"/>
        <v>16671</v>
      </c>
      <c r="P671" s="194">
        <v>3318</v>
      </c>
      <c r="Q671" s="194">
        <v>2529</v>
      </c>
      <c r="R671" s="194">
        <v>0</v>
      </c>
      <c r="S671" s="193">
        <f t="shared" si="146"/>
        <v>5847</v>
      </c>
      <c r="T671" s="193">
        <f t="shared" si="147"/>
        <v>1313.4</v>
      </c>
      <c r="U671" s="193">
        <f ca="1">OFFSET('Expenditure Study'!$B$7,'Operations Support'!$C671,'Operations Support'!$B671)*$G671</f>
        <v>73681.740000000005</v>
      </c>
      <c r="V671" s="199">
        <f ca="1">U671*'Expenditure Study'!$B$31</f>
        <v>4353351.5660785921</v>
      </c>
      <c r="W671" s="199">
        <f ca="1">IF(A671=10298,1.51,1)*IF($B671&lt;3,$D671*'Expenditure Study'!$B$32*OFFSET('Expenditure Study'!$B$7,'Operations Support'!$C671,'Operations Support'!$B671),0)</f>
        <v>2987.3250000000003</v>
      </c>
      <c r="X671" s="200">
        <f ca="1">W671*'Expenditure Study'!$B$31</f>
        <v>176500.66308336001</v>
      </c>
      <c r="Y671" s="199">
        <f ca="1">U671*'Expenditure Study'!$B$31</f>
        <v>4353351.5660785921</v>
      </c>
      <c r="Z671" s="200">
        <f ca="1">W671*'Expenditure Study'!$B$31</f>
        <v>176500.66308336001</v>
      </c>
      <c r="AA671" s="195">
        <f t="shared" ca="1" si="148"/>
        <v>4529852.2291619517</v>
      </c>
      <c r="AB671" s="195">
        <f t="shared" ca="1" si="149"/>
        <v>4529852.2291619517</v>
      </c>
      <c r="AD671" s="196">
        <f>IFERROR($G671/SUMIF($A:$A,$A671,$G:$G)*SUMIF(Summary!$A$166:$A$242,$A671,Summary!$P$166:$P$242),0)</f>
        <v>1022626.0226950751</v>
      </c>
      <c r="AE671" s="197">
        <f t="shared" ca="1" si="150"/>
        <v>3507226.2064668764</v>
      </c>
      <c r="AF671" s="196">
        <f>IFERROR(G671/SUMIF(A:A,A671,G:G)*SUMIF(Summary!$A$166:$A$242,'Operations Support'!A671,Summary!$Q$166:$Q$242),0)</f>
        <v>1023300.0624511582</v>
      </c>
      <c r="AG671" s="196">
        <f t="shared" ca="1" si="151"/>
        <v>3506552.1667107935</v>
      </c>
      <c r="AI671" s="196">
        <f>IFERROR($G671/SUMIF($A:$A,$A671,$G:$G)*SUMIF(Summary!$A$247:$A$283,$A671,Summary!$P$247:$P$283),0)</f>
        <v>186501.46719164882</v>
      </c>
      <c r="AJ671" s="196">
        <f>IFERROR($G671/SUMIF($A:$A,$A671,$G:$G)*(SUMIF(Summary!$A$247:$A$283,$A671,Summary!$L$247:$L$283)+SUMIF(Summary!$A$297:$A$333,$A671,Summary!$L$297:$L$333))-AI671,0)</f>
        <v>564147.84140818857</v>
      </c>
      <c r="AK671" s="196">
        <f>IFERROR($G671/SUMIF($A:$A,$A671,$G:$G)*SUMIF(Summary!$A$247:$A$283,$A671,Summary!$Q$247:$Q$283),0)</f>
        <v>186624.39522268373</v>
      </c>
      <c r="AL671" s="196">
        <f>IFERROR($G671/SUMIF($A:$A,$A671,$G:$G)*(SUMIF(Summary!$A$247:$A$283,$A671,Summary!$L$247:$L$283)+SUMIF(Summary!$A$297:$A$333,$A671,Summary!$L$297:$L$333))-AK671,0)</f>
        <v>564024.91337715369</v>
      </c>
      <c r="AM671" s="198"/>
      <c r="AN671" s="196">
        <f t="shared" ca="1" si="152"/>
        <v>4071374.0478750649</v>
      </c>
      <c r="AO671" s="196">
        <f t="shared" ca="1" si="153"/>
        <v>4070577.0800879472</v>
      </c>
    </row>
    <row r="672" spans="1:41">
      <c r="A672" s="189">
        <v>3599</v>
      </c>
      <c r="B672" s="203">
        <v>2</v>
      </c>
      <c r="C672" s="191" t="s">
        <v>236</v>
      </c>
      <c r="D672" s="192">
        <f t="shared" si="140"/>
        <v>0</v>
      </c>
      <c r="E672" s="192">
        <f t="shared" si="141"/>
        <v>0</v>
      </c>
      <c r="F672" s="192">
        <f t="shared" si="142"/>
        <v>0</v>
      </c>
      <c r="G672" s="193">
        <f t="shared" si="143"/>
        <v>0</v>
      </c>
      <c r="H672" s="194">
        <v>0</v>
      </c>
      <c r="I672" s="194">
        <v>0</v>
      </c>
      <c r="J672" s="194">
        <v>0</v>
      </c>
      <c r="K672" s="193">
        <f t="shared" si="144"/>
        <v>0</v>
      </c>
      <c r="L672" s="194">
        <v>0</v>
      </c>
      <c r="M672" s="194">
        <v>0</v>
      </c>
      <c r="N672" s="194">
        <v>0</v>
      </c>
      <c r="O672" s="193">
        <f t="shared" si="145"/>
        <v>0</v>
      </c>
      <c r="P672" s="194">
        <v>0</v>
      </c>
      <c r="Q672" s="194">
        <v>0</v>
      </c>
      <c r="R672" s="194">
        <v>0</v>
      </c>
      <c r="S672" s="193">
        <f t="shared" si="146"/>
        <v>0</v>
      </c>
      <c r="T672" s="193">
        <f t="shared" si="147"/>
        <v>0</v>
      </c>
      <c r="U672" s="193">
        <f ca="1">OFFSET('Expenditure Study'!$B$7,'Operations Support'!$C672,'Operations Support'!$B672)*$G672</f>
        <v>0</v>
      </c>
      <c r="V672" s="199">
        <f ca="1">U672*'Expenditure Study'!$B$31</f>
        <v>0</v>
      </c>
      <c r="W672" s="199">
        <f ca="1">IF(A672=10298,1.51,1)*IF($B672&lt;3,$D672*'Expenditure Study'!$B$32*OFFSET('Expenditure Study'!$B$7,'Operations Support'!$C672,'Operations Support'!$B672),0)</f>
        <v>0</v>
      </c>
      <c r="X672" s="200">
        <f ca="1">W672*'Expenditure Study'!$B$31</f>
        <v>0</v>
      </c>
      <c r="Y672" s="199">
        <f ca="1">U672*'Expenditure Study'!$B$31</f>
        <v>0</v>
      </c>
      <c r="Z672" s="200">
        <f ca="1">W672*'Expenditure Study'!$B$31</f>
        <v>0</v>
      </c>
      <c r="AA672" s="195">
        <f t="shared" ca="1" si="148"/>
        <v>0</v>
      </c>
      <c r="AB672" s="195">
        <f t="shared" ca="1" si="149"/>
        <v>0</v>
      </c>
      <c r="AD672" s="196">
        <f>IFERROR($G672/SUMIF($A:$A,$A672,$G:$G)*SUMIF(Summary!$A$166:$A$242,$A672,Summary!$P$166:$P$242),0)</f>
        <v>0</v>
      </c>
      <c r="AE672" s="197">
        <f t="shared" ca="1" si="150"/>
        <v>0</v>
      </c>
      <c r="AF672" s="196">
        <f>IFERROR(G672/SUMIF(A:A,A672,G:G)*SUMIF(Summary!$A$166:$A$242,'Operations Support'!A672,Summary!$Q$166:$Q$242),0)</f>
        <v>0</v>
      </c>
      <c r="AG672" s="196">
        <f t="shared" ca="1" si="151"/>
        <v>0</v>
      </c>
      <c r="AI672" s="196">
        <f>IFERROR($G672/SUMIF($A:$A,$A672,$G:$G)*SUMIF(Summary!$A$247:$A$283,$A672,Summary!$P$247:$P$283),0)</f>
        <v>0</v>
      </c>
      <c r="AJ672" s="196">
        <f>IFERROR($G672/SUMIF($A:$A,$A672,$G:$G)*(SUMIF(Summary!$A$247:$A$283,$A672,Summary!$L$247:$L$283)+SUMIF(Summary!$A$297:$A$333,$A672,Summary!$L$297:$L$333))-AI672,0)</f>
        <v>0</v>
      </c>
      <c r="AK672" s="196">
        <f>IFERROR($G672/SUMIF($A:$A,$A672,$G:$G)*SUMIF(Summary!$A$247:$A$283,$A672,Summary!$Q$247:$Q$283),0)</f>
        <v>0</v>
      </c>
      <c r="AL672" s="196">
        <f>IFERROR($G672/SUMIF($A:$A,$A672,$G:$G)*(SUMIF(Summary!$A$247:$A$283,$A672,Summary!$L$247:$L$283)+SUMIF(Summary!$A$297:$A$333,$A672,Summary!$L$297:$L$333))-AK672,0)</f>
        <v>0</v>
      </c>
      <c r="AM672" s="198"/>
      <c r="AN672" s="196">
        <f t="shared" ca="1" si="152"/>
        <v>0</v>
      </c>
      <c r="AO672" s="196">
        <f t="shared" ca="1" si="153"/>
        <v>0</v>
      </c>
    </row>
    <row r="673" spans="1:41">
      <c r="A673" s="189">
        <v>3599</v>
      </c>
      <c r="B673" s="203">
        <v>2</v>
      </c>
      <c r="C673" s="191" t="s">
        <v>237</v>
      </c>
      <c r="D673" s="192">
        <f t="shared" si="140"/>
        <v>30</v>
      </c>
      <c r="E673" s="192">
        <f t="shared" si="141"/>
        <v>2046</v>
      </c>
      <c r="F673" s="192">
        <f t="shared" si="142"/>
        <v>0</v>
      </c>
      <c r="G673" s="193">
        <f t="shared" si="143"/>
        <v>2076</v>
      </c>
      <c r="H673" s="194">
        <v>12</v>
      </c>
      <c r="I673" s="194">
        <v>1099</v>
      </c>
      <c r="J673" s="194">
        <v>0</v>
      </c>
      <c r="K673" s="193">
        <f t="shared" si="144"/>
        <v>1111</v>
      </c>
      <c r="L673" s="194">
        <v>12</v>
      </c>
      <c r="M673" s="194">
        <v>947</v>
      </c>
      <c r="N673" s="194">
        <v>0</v>
      </c>
      <c r="O673" s="193">
        <f t="shared" si="145"/>
        <v>959</v>
      </c>
      <c r="P673" s="194">
        <v>6</v>
      </c>
      <c r="Q673" s="194">
        <v>0</v>
      </c>
      <c r="R673" s="194">
        <v>0</v>
      </c>
      <c r="S673" s="193">
        <f t="shared" si="146"/>
        <v>6</v>
      </c>
      <c r="T673" s="193">
        <f t="shared" si="147"/>
        <v>69.2</v>
      </c>
      <c r="U673" s="193">
        <f ca="1">OFFSET('Expenditure Study'!$B$7,'Operations Support'!$C673,'Operations Support'!$B673)*$G673</f>
        <v>4857.84</v>
      </c>
      <c r="V673" s="199">
        <f ca="1">U673*'Expenditure Study'!$B$31</f>
        <v>287016.63901747199</v>
      </c>
      <c r="W673" s="199">
        <f ca="1">IF(A673=10298,1.51,1)*IF($B673&lt;3,$D673*'Expenditure Study'!$B$32*OFFSET('Expenditure Study'!$B$7,'Operations Support'!$C673,'Operations Support'!$B673),0)</f>
        <v>7.02</v>
      </c>
      <c r="X673" s="200">
        <f ca="1">W673*'Expenditure Study'!$B$31</f>
        <v>414.76392921600001</v>
      </c>
      <c r="Y673" s="199">
        <f ca="1">U673*'Expenditure Study'!$B$31</f>
        <v>287016.63901747199</v>
      </c>
      <c r="Z673" s="200">
        <f ca="1">W673*'Expenditure Study'!$B$31</f>
        <v>414.76392921600001</v>
      </c>
      <c r="AA673" s="195">
        <f t="shared" ca="1" si="148"/>
        <v>287431.402946688</v>
      </c>
      <c r="AB673" s="195">
        <f t="shared" ca="1" si="149"/>
        <v>287431.402946688</v>
      </c>
      <c r="AD673" s="196">
        <f>IFERROR($G673/SUMIF($A:$A,$A673,$G:$G)*SUMIF(Summary!$A$166:$A$242,$A673,Summary!$P$166:$P$242),0)</f>
        <v>53879.793490558244</v>
      </c>
      <c r="AE673" s="197">
        <f t="shared" ca="1" si="150"/>
        <v>233551.60945612975</v>
      </c>
      <c r="AF673" s="196">
        <f>IFERROR(G673/SUMIF(A:A,A673,G:G)*SUMIF(Summary!$A$166:$A$242,'Operations Support'!A673,Summary!$Q$166:$Q$242),0)</f>
        <v>53915.307082092397</v>
      </c>
      <c r="AG673" s="196">
        <f t="shared" ca="1" si="151"/>
        <v>233516.09586459561</v>
      </c>
      <c r="AI673" s="196">
        <f>IFERROR($G673/SUMIF($A:$A,$A673,$G:$G)*SUMIF(Summary!$A$247:$A$283,$A673,Summary!$P$247:$P$283),0)</f>
        <v>9826.3297774189869</v>
      </c>
      <c r="AJ673" s="196">
        <f>IFERROR($G673/SUMIF($A:$A,$A673,$G:$G)*(SUMIF(Summary!$A$247:$A$283,$A673,Summary!$L$247:$L$283)+SUMIF(Summary!$A$297:$A$333,$A673,Summary!$L$297:$L$333))-AI673,0)</f>
        <v>29723.641408136631</v>
      </c>
      <c r="AK673" s="196">
        <f>IFERROR($G673/SUMIF($A:$A,$A673,$G:$G)*SUMIF(Summary!$A$247:$A$283,$A673,Summary!$Q$247:$Q$283),0)</f>
        <v>9832.8065702830172</v>
      </c>
      <c r="AL673" s="196">
        <f>IFERROR($G673/SUMIF($A:$A,$A673,$G:$G)*(SUMIF(Summary!$A$247:$A$283,$A673,Summary!$L$247:$L$283)+SUMIF(Summary!$A$297:$A$333,$A673,Summary!$L$297:$L$333))-AK673,0)</f>
        <v>29717.164615272599</v>
      </c>
      <c r="AM673" s="198"/>
      <c r="AN673" s="196">
        <f t="shared" ca="1" si="152"/>
        <v>263275.25086426636</v>
      </c>
      <c r="AO673" s="196">
        <f t="shared" ca="1" si="153"/>
        <v>263233.26047986822</v>
      </c>
    </row>
    <row r="674" spans="1:41">
      <c r="A674" s="189">
        <v>3599</v>
      </c>
      <c r="B674" s="203">
        <v>2</v>
      </c>
      <c r="C674" s="191" t="s">
        <v>238</v>
      </c>
      <c r="D674" s="192">
        <f t="shared" si="140"/>
        <v>786</v>
      </c>
      <c r="E674" s="192">
        <f t="shared" si="141"/>
        <v>1632</v>
      </c>
      <c r="F674" s="192">
        <f t="shared" si="142"/>
        <v>0</v>
      </c>
      <c r="G674" s="193">
        <f t="shared" si="143"/>
        <v>2418</v>
      </c>
      <c r="H674" s="194">
        <v>432</v>
      </c>
      <c r="I674" s="194">
        <v>1034</v>
      </c>
      <c r="J674" s="194">
        <v>0</v>
      </c>
      <c r="K674" s="193">
        <f t="shared" si="144"/>
        <v>1466</v>
      </c>
      <c r="L674" s="194">
        <v>237</v>
      </c>
      <c r="M674" s="194">
        <v>361</v>
      </c>
      <c r="N674" s="194">
        <v>0</v>
      </c>
      <c r="O674" s="193">
        <f t="shared" si="145"/>
        <v>598</v>
      </c>
      <c r="P674" s="194">
        <v>117</v>
      </c>
      <c r="Q674" s="194">
        <v>237</v>
      </c>
      <c r="R674" s="194">
        <v>0</v>
      </c>
      <c r="S674" s="193">
        <f t="shared" si="146"/>
        <v>354</v>
      </c>
      <c r="T674" s="193">
        <f t="shared" si="147"/>
        <v>80.599999999999994</v>
      </c>
      <c r="U674" s="193">
        <f ca="1">OFFSET('Expenditure Study'!$B$7,'Operations Support'!$C674,'Operations Support'!$B674)*$G674</f>
        <v>5803.2</v>
      </c>
      <c r="V674" s="199">
        <f ca="1">U674*'Expenditure Study'!$B$31</f>
        <v>342871.51481855998</v>
      </c>
      <c r="W674" s="199">
        <f ca="1">IF(A674=10298,1.51,1)*IF($B674&lt;3,$D674*'Expenditure Study'!$B$32*OFFSET('Expenditure Study'!$B$7,'Operations Support'!$C674,'Operations Support'!$B674),0)</f>
        <v>188.64000000000001</v>
      </c>
      <c r="X674" s="200">
        <f ca="1">W674*'Expenditure Study'!$B$31</f>
        <v>11145.451226112002</v>
      </c>
      <c r="Y674" s="199">
        <f ca="1">U674*'Expenditure Study'!$B$31</f>
        <v>342871.51481855998</v>
      </c>
      <c r="Z674" s="200">
        <f ca="1">W674*'Expenditure Study'!$B$31</f>
        <v>11145.451226112002</v>
      </c>
      <c r="AA674" s="195">
        <f t="shared" ca="1" si="148"/>
        <v>354016.96604467201</v>
      </c>
      <c r="AB674" s="195">
        <f t="shared" ca="1" si="149"/>
        <v>354016.96604467201</v>
      </c>
      <c r="AD674" s="196">
        <f>IFERROR($G674/SUMIF($A:$A,$A674,$G:$G)*SUMIF(Summary!$A$166:$A$242,$A674,Summary!$P$166:$P$242),0)</f>
        <v>62755.944441314954</v>
      </c>
      <c r="AE674" s="197">
        <f t="shared" ca="1" si="150"/>
        <v>291261.02160335705</v>
      </c>
      <c r="AF674" s="196">
        <f>IFERROR(G674/SUMIF(A:A,A674,G:G)*SUMIF(Summary!$A$166:$A$242,'Operations Support'!A674,Summary!$Q$166:$Q$242),0)</f>
        <v>62797.308537812816</v>
      </c>
      <c r="AG674" s="196">
        <f t="shared" ca="1" si="151"/>
        <v>291219.65750685916</v>
      </c>
      <c r="AI674" s="196">
        <f>IFERROR($G674/SUMIF($A:$A,$A674,$G:$G)*SUMIF(Summary!$A$247:$A$283,$A674,Summary!$P$247:$P$283),0)</f>
        <v>11445.118208959109</v>
      </c>
      <c r="AJ674" s="196">
        <f>IFERROR($G674/SUMIF($A:$A,$A674,$G:$G)*(SUMIF(Summary!$A$247:$A$283,$A674,Summary!$L$247:$L$283)+SUMIF(Summary!$A$297:$A$333,$A674,Summary!$L$297:$L$333))-AI674,0)</f>
        <v>34620.310657453934</v>
      </c>
      <c r="AK674" s="196">
        <f>IFERROR($G674/SUMIF($A:$A,$A674,$G:$G)*SUMIF(Summary!$A$247:$A$283,$A674,Summary!$Q$247:$Q$283),0)</f>
        <v>11452.661987930796</v>
      </c>
      <c r="AL674" s="196">
        <f>IFERROR($G674/SUMIF($A:$A,$A674,$G:$G)*(SUMIF(Summary!$A$247:$A$283,$A674,Summary!$L$247:$L$283)+SUMIF(Summary!$A$297:$A$333,$A674,Summary!$L$297:$L$333))-AK674,0)</f>
        <v>34612.766878482245</v>
      </c>
      <c r="AM674" s="198"/>
      <c r="AN674" s="196">
        <f t="shared" ca="1" si="152"/>
        <v>325881.332260811</v>
      </c>
      <c r="AO674" s="196">
        <f t="shared" ca="1" si="153"/>
        <v>325832.42438534141</v>
      </c>
    </row>
    <row r="675" spans="1:41">
      <c r="A675" s="189">
        <v>3599</v>
      </c>
      <c r="B675" s="203">
        <v>2</v>
      </c>
      <c r="C675" s="191" t="s">
        <v>239</v>
      </c>
      <c r="D675" s="192">
        <f t="shared" si="140"/>
        <v>1594</v>
      </c>
      <c r="E675" s="192">
        <f t="shared" si="141"/>
        <v>10003</v>
      </c>
      <c r="F675" s="192">
        <f t="shared" si="142"/>
        <v>0</v>
      </c>
      <c r="G675" s="193">
        <f t="shared" si="143"/>
        <v>11597</v>
      </c>
      <c r="H675" s="194">
        <v>720</v>
      </c>
      <c r="I675" s="194">
        <v>4337</v>
      </c>
      <c r="J675" s="194">
        <v>0</v>
      </c>
      <c r="K675" s="193">
        <f t="shared" si="144"/>
        <v>5057</v>
      </c>
      <c r="L675" s="194">
        <v>874</v>
      </c>
      <c r="M675" s="194">
        <v>4136</v>
      </c>
      <c r="N675" s="194">
        <v>0</v>
      </c>
      <c r="O675" s="193">
        <f t="shared" si="145"/>
        <v>5010</v>
      </c>
      <c r="P675" s="194">
        <v>0</v>
      </c>
      <c r="Q675" s="194">
        <v>1530</v>
      </c>
      <c r="R675" s="194">
        <v>0</v>
      </c>
      <c r="S675" s="193">
        <f t="shared" si="146"/>
        <v>1530</v>
      </c>
      <c r="T675" s="193">
        <f t="shared" si="147"/>
        <v>386.56666666666666</v>
      </c>
      <c r="U675" s="193">
        <f ca="1">OFFSET('Expenditure Study'!$B$7,'Operations Support'!$C675,'Operations Support'!$B675)*$G675</f>
        <v>24121.760000000002</v>
      </c>
      <c r="V675" s="199">
        <f ca="1">U675*'Expenditure Study'!$B$31</f>
        <v>1425190.3072942081</v>
      </c>
      <c r="W675" s="199">
        <f ca="1">IF(A675=10298,1.51,1)*IF($B675&lt;3,$D675*'Expenditure Study'!$B$32*OFFSET('Expenditure Study'!$B$7,'Operations Support'!$C675,'Operations Support'!$B675),0)</f>
        <v>331.55200000000002</v>
      </c>
      <c r="X675" s="200">
        <f ca="1">W675*'Expenditure Study'!$B$31</f>
        <v>19589.146760601601</v>
      </c>
      <c r="Y675" s="199">
        <f ca="1">U675*'Expenditure Study'!$B$31</f>
        <v>1425190.3072942081</v>
      </c>
      <c r="Z675" s="200">
        <f ca="1">W675*'Expenditure Study'!$B$31</f>
        <v>19589.146760601601</v>
      </c>
      <c r="AA675" s="195">
        <f t="shared" ca="1" si="148"/>
        <v>1444779.4540548096</v>
      </c>
      <c r="AB675" s="195">
        <f t="shared" ca="1" si="149"/>
        <v>1444779.4540548096</v>
      </c>
      <c r="AD675" s="196">
        <f>IFERROR($G675/SUMIF($A:$A,$A675,$G:$G)*SUMIF(Summary!$A$166:$A$242,$A675,Summary!$P$166:$P$242),0)</f>
        <v>300984.56893545471</v>
      </c>
      <c r="AE675" s="197">
        <f t="shared" ca="1" si="150"/>
        <v>1143794.8851193548</v>
      </c>
      <c r="AF675" s="196">
        <f>IFERROR(G675/SUMIF(A:A,A675,G:G)*SUMIF(Summary!$A$166:$A$242,'Operations Support'!A675,Summary!$Q$166:$Q$242),0)</f>
        <v>301182.95579529164</v>
      </c>
      <c r="AG675" s="196">
        <f t="shared" ca="1" si="151"/>
        <v>1143596.4982595181</v>
      </c>
      <c r="AI675" s="196">
        <f>IFERROR($G675/SUMIF($A:$A,$A675,$G:$G)*SUMIF(Summary!$A$247:$A$283,$A675,Summary!$P$247:$P$283),0)</f>
        <v>54892.074387633911</v>
      </c>
      <c r="AJ675" s="196">
        <f>IFERROR($G675/SUMIF($A:$A,$A675,$G:$G)*(SUMIF(Summary!$A$247:$A$283,$A675,Summary!$L$247:$L$283)+SUMIF(Summary!$A$297:$A$333,$A675,Summary!$L$297:$L$333))-AI675,0)</f>
        <v>166042.90434015435</v>
      </c>
      <c r="AK675" s="196">
        <f>IFERROR($G675/SUMIF($A:$A,$A675,$G:$G)*SUMIF(Summary!$A$247:$A$283,$A675,Summary!$Q$247:$Q$283),0)</f>
        <v>54928.255200179257</v>
      </c>
      <c r="AL675" s="196">
        <f>IFERROR($G675/SUMIF($A:$A,$A675,$G:$G)*(SUMIF(Summary!$A$247:$A$283,$A675,Summary!$L$247:$L$283)+SUMIF(Summary!$A$297:$A$333,$A675,Summary!$L$297:$L$333))-AK675,0)</f>
        <v>166006.72352760899</v>
      </c>
      <c r="AM675" s="198"/>
      <c r="AN675" s="196">
        <f t="shared" ca="1" si="152"/>
        <v>1309837.7894595091</v>
      </c>
      <c r="AO675" s="196">
        <f t="shared" ca="1" si="153"/>
        <v>1309603.221787127</v>
      </c>
    </row>
    <row r="676" spans="1:41">
      <c r="A676" s="189">
        <v>3599</v>
      </c>
      <c r="B676" s="203">
        <v>2</v>
      </c>
      <c r="C676" s="191" t="s">
        <v>240</v>
      </c>
      <c r="D676" s="192">
        <f t="shared" si="140"/>
        <v>0</v>
      </c>
      <c r="E676" s="192">
        <f t="shared" si="141"/>
        <v>0</v>
      </c>
      <c r="F676" s="192">
        <f t="shared" si="142"/>
        <v>0</v>
      </c>
      <c r="G676" s="193">
        <f t="shared" si="143"/>
        <v>0</v>
      </c>
      <c r="H676" s="194">
        <v>0</v>
      </c>
      <c r="I676" s="194">
        <v>0</v>
      </c>
      <c r="J676" s="194">
        <v>0</v>
      </c>
      <c r="K676" s="193">
        <f t="shared" si="144"/>
        <v>0</v>
      </c>
      <c r="L676" s="194">
        <v>0</v>
      </c>
      <c r="M676" s="194">
        <v>0</v>
      </c>
      <c r="N676" s="194">
        <v>0</v>
      </c>
      <c r="O676" s="193">
        <f t="shared" si="145"/>
        <v>0</v>
      </c>
      <c r="P676" s="194">
        <v>0</v>
      </c>
      <c r="Q676" s="194">
        <v>0</v>
      </c>
      <c r="R676" s="194">
        <v>0</v>
      </c>
      <c r="S676" s="193">
        <f t="shared" si="146"/>
        <v>0</v>
      </c>
      <c r="T676" s="193">
        <f t="shared" si="147"/>
        <v>0</v>
      </c>
      <c r="U676" s="193">
        <f ca="1">OFFSET('Expenditure Study'!$B$7,'Operations Support'!$C676,'Operations Support'!$B676)*$G676</f>
        <v>0</v>
      </c>
      <c r="V676" s="199">
        <f ca="1">U676*'Expenditure Study'!$B$31</f>
        <v>0</v>
      </c>
      <c r="W676" s="199">
        <f ca="1">IF(A676=10298,1.51,1)*IF($B676&lt;3,$D676*'Expenditure Study'!$B$32*OFFSET('Expenditure Study'!$B$7,'Operations Support'!$C676,'Operations Support'!$B676),0)</f>
        <v>0</v>
      </c>
      <c r="X676" s="200">
        <f ca="1">W676*'Expenditure Study'!$B$31</f>
        <v>0</v>
      </c>
      <c r="Y676" s="199">
        <f ca="1">U676*'Expenditure Study'!$B$31</f>
        <v>0</v>
      </c>
      <c r="Z676" s="200">
        <f ca="1">W676*'Expenditure Study'!$B$31</f>
        <v>0</v>
      </c>
      <c r="AA676" s="195">
        <f t="shared" ca="1" si="148"/>
        <v>0</v>
      </c>
      <c r="AB676" s="195">
        <f t="shared" ca="1" si="149"/>
        <v>0</v>
      </c>
      <c r="AD676" s="196">
        <f>IFERROR($G676/SUMIF($A:$A,$A676,$G:$G)*SUMIF(Summary!$A$166:$A$242,$A676,Summary!$P$166:$P$242),0)</f>
        <v>0</v>
      </c>
      <c r="AE676" s="197">
        <f t="shared" ca="1" si="150"/>
        <v>0</v>
      </c>
      <c r="AF676" s="196">
        <f>IFERROR(G676/SUMIF(A:A,A676,G:G)*SUMIF(Summary!$A$166:$A$242,'Operations Support'!A676,Summary!$Q$166:$Q$242),0)</f>
        <v>0</v>
      </c>
      <c r="AG676" s="196">
        <f t="shared" ca="1" si="151"/>
        <v>0</v>
      </c>
      <c r="AI676" s="196">
        <f>IFERROR($G676/SUMIF($A:$A,$A676,$G:$G)*SUMIF(Summary!$A$247:$A$283,$A676,Summary!$P$247:$P$283),0)</f>
        <v>0</v>
      </c>
      <c r="AJ676" s="196">
        <f>IFERROR($G676/SUMIF($A:$A,$A676,$G:$G)*(SUMIF(Summary!$A$247:$A$283,$A676,Summary!$L$247:$L$283)+SUMIF(Summary!$A$297:$A$333,$A676,Summary!$L$297:$L$333))-AI676,0)</f>
        <v>0</v>
      </c>
      <c r="AK676" s="196">
        <f>IFERROR($G676/SUMIF($A:$A,$A676,$G:$G)*SUMIF(Summary!$A$247:$A$283,$A676,Summary!$Q$247:$Q$283),0)</f>
        <v>0</v>
      </c>
      <c r="AL676" s="196">
        <f>IFERROR($G676/SUMIF($A:$A,$A676,$G:$G)*(SUMIF(Summary!$A$247:$A$283,$A676,Summary!$L$247:$L$283)+SUMIF(Summary!$A$297:$A$333,$A676,Summary!$L$297:$L$333))-AK676,0)</f>
        <v>0</v>
      </c>
      <c r="AM676" s="198"/>
      <c r="AN676" s="196">
        <f t="shared" ca="1" si="152"/>
        <v>0</v>
      </c>
      <c r="AO676" s="196">
        <f t="shared" ca="1" si="153"/>
        <v>0</v>
      </c>
    </row>
    <row r="677" spans="1:41">
      <c r="A677" s="189">
        <v>3599</v>
      </c>
      <c r="B677" s="203">
        <v>3</v>
      </c>
      <c r="C677" s="191" t="s">
        <v>220</v>
      </c>
      <c r="D677" s="192">
        <f t="shared" si="140"/>
        <v>15585</v>
      </c>
      <c r="E677" s="192">
        <f t="shared" si="141"/>
        <v>9028</v>
      </c>
      <c r="F677" s="192">
        <f t="shared" si="142"/>
        <v>0</v>
      </c>
      <c r="G677" s="193">
        <f t="shared" si="143"/>
        <v>24613</v>
      </c>
      <c r="H677" s="194">
        <v>5196</v>
      </c>
      <c r="I677" s="194">
        <v>3829</v>
      </c>
      <c r="J677" s="194">
        <v>0</v>
      </c>
      <c r="K677" s="193">
        <f t="shared" si="144"/>
        <v>9025</v>
      </c>
      <c r="L677" s="194">
        <v>4650</v>
      </c>
      <c r="M677" s="194">
        <v>2856</v>
      </c>
      <c r="N677" s="194">
        <v>0</v>
      </c>
      <c r="O677" s="193">
        <f t="shared" si="145"/>
        <v>7506</v>
      </c>
      <c r="P677" s="194">
        <v>5739</v>
      </c>
      <c r="Q677" s="194">
        <v>2343</v>
      </c>
      <c r="R677" s="194">
        <v>0</v>
      </c>
      <c r="S677" s="193">
        <f t="shared" si="146"/>
        <v>8082</v>
      </c>
      <c r="T677" s="193">
        <f t="shared" si="147"/>
        <v>1025.5416666666667</v>
      </c>
      <c r="U677" s="193">
        <f ca="1">OFFSET('Expenditure Study'!$B$7,'Operations Support'!$C677,'Operations Support'!$B677)*$G677</f>
        <v>109773.98</v>
      </c>
      <c r="V677" s="199">
        <f ca="1">U677*'Expenditure Study'!$B$31</f>
        <v>6485795.9074755842</v>
      </c>
      <c r="W677" s="199">
        <f ca="1">IF(A677=10298,1.51,1)*IF($B677&lt;3,$D677*'Expenditure Study'!$B$32*OFFSET('Expenditure Study'!$B$7,'Operations Support'!$C677,'Operations Support'!$B677),0)</f>
        <v>0</v>
      </c>
      <c r="X677" s="200">
        <f ca="1">W677*'Expenditure Study'!$B$31</f>
        <v>0</v>
      </c>
      <c r="Y677" s="199">
        <f ca="1">U677*'Expenditure Study'!$B$31</f>
        <v>6485795.9074755842</v>
      </c>
      <c r="Z677" s="200">
        <f ca="1">W677*'Expenditure Study'!$B$31</f>
        <v>0</v>
      </c>
      <c r="AA677" s="195">
        <f t="shared" ca="1" si="148"/>
        <v>6485795.9074755842</v>
      </c>
      <c r="AB677" s="195">
        <f t="shared" ca="1" si="149"/>
        <v>6485795.9074755842</v>
      </c>
      <c r="AD677" s="196">
        <f>IFERROR($G677/SUMIF($A:$A,$A677,$G:$G)*SUMIF(Summary!$A$166:$A$242,$A677,Summary!$P$166:$P$242),0)</f>
        <v>638797.37821922463</v>
      </c>
      <c r="AE677" s="197">
        <f t="shared" ca="1" si="150"/>
        <v>5846998.5292563597</v>
      </c>
      <c r="AF677" s="196">
        <f>IFERROR(G677/SUMIF(A:A,A677,G:G)*SUMIF(Summary!$A$166:$A$242,'Operations Support'!A677,Summary!$Q$166:$Q$242),0)</f>
        <v>639218.42640247603</v>
      </c>
      <c r="AG677" s="196">
        <f t="shared" ca="1" si="151"/>
        <v>5846577.4810731085</v>
      </c>
      <c r="AI677" s="196">
        <f>IFERROR($G677/SUMIF($A:$A,$A677,$G:$G)*SUMIF(Summary!$A$247:$A$283,$A677,Summary!$P$247:$P$283),0)</f>
        <v>116500.7007763071</v>
      </c>
      <c r="AJ677" s="196">
        <f>IFERROR($G677/SUMIF($A:$A,$A677,$G:$G)*(SUMIF(Summary!$A$247:$A$283,$A677,Summary!$L$247:$L$283)+SUMIF(Summary!$A$297:$A$333,$A677,Summary!$L$297:$L$333))-AI677,0)</f>
        <v>352402.69074107264</v>
      </c>
      <c r="AK677" s="196">
        <f>IFERROR($G677/SUMIF($A:$A,$A677,$G:$G)*SUMIF(Summary!$A$247:$A$283,$A677,Summary!$Q$247:$Q$283),0)</f>
        <v>116577.48945779186</v>
      </c>
      <c r="AL677" s="196">
        <f>IFERROR($G677/SUMIF($A:$A,$A677,$G:$G)*(SUMIF(Summary!$A$247:$A$283,$A677,Summary!$L$247:$L$283)+SUMIF(Summary!$A$297:$A$333,$A677,Summary!$L$297:$L$333))-AK677,0)</f>
        <v>352325.90205958788</v>
      </c>
      <c r="AM677" s="198"/>
      <c r="AN677" s="196">
        <f t="shared" ca="1" si="152"/>
        <v>6199401.2199974321</v>
      </c>
      <c r="AO677" s="196">
        <f t="shared" ca="1" si="153"/>
        <v>6198903.3831326962</v>
      </c>
    </row>
    <row r="678" spans="1:41">
      <c r="A678" s="189">
        <v>3599</v>
      </c>
      <c r="B678" s="203">
        <v>3</v>
      </c>
      <c r="C678" s="191" t="s">
        <v>221</v>
      </c>
      <c r="D678" s="192">
        <f t="shared" si="140"/>
        <v>7348.5</v>
      </c>
      <c r="E678" s="192">
        <f t="shared" si="141"/>
        <v>2127.5</v>
      </c>
      <c r="F678" s="192">
        <f t="shared" si="142"/>
        <v>0</v>
      </c>
      <c r="G678" s="193">
        <f t="shared" si="143"/>
        <v>9476</v>
      </c>
      <c r="H678" s="194">
        <v>3007</v>
      </c>
      <c r="I678" s="194">
        <v>803</v>
      </c>
      <c r="J678" s="194">
        <v>0</v>
      </c>
      <c r="K678" s="193">
        <f t="shared" si="144"/>
        <v>3810</v>
      </c>
      <c r="L678" s="194">
        <v>2934.5</v>
      </c>
      <c r="M678" s="194">
        <v>633.5</v>
      </c>
      <c r="N678" s="194">
        <v>0</v>
      </c>
      <c r="O678" s="193">
        <f t="shared" si="145"/>
        <v>3568</v>
      </c>
      <c r="P678" s="194">
        <v>1407</v>
      </c>
      <c r="Q678" s="194">
        <v>691</v>
      </c>
      <c r="R678" s="194">
        <v>0</v>
      </c>
      <c r="S678" s="193">
        <f t="shared" si="146"/>
        <v>2098</v>
      </c>
      <c r="T678" s="193">
        <f t="shared" si="147"/>
        <v>394.83333333333331</v>
      </c>
      <c r="U678" s="193">
        <f ca="1">OFFSET('Expenditure Study'!$B$7,'Operations Support'!$C678,'Operations Support'!$B678)*$G678</f>
        <v>66332</v>
      </c>
      <c r="V678" s="199">
        <f ca="1">U678*'Expenditure Study'!$B$31</f>
        <v>3919105.5488256002</v>
      </c>
      <c r="W678" s="199">
        <f ca="1">IF(A678=10298,1.51,1)*IF($B678&lt;3,$D678*'Expenditure Study'!$B$32*OFFSET('Expenditure Study'!$B$7,'Operations Support'!$C678,'Operations Support'!$B678),0)</f>
        <v>0</v>
      </c>
      <c r="X678" s="200">
        <f ca="1">W678*'Expenditure Study'!$B$31</f>
        <v>0</v>
      </c>
      <c r="Y678" s="199">
        <f ca="1">U678*'Expenditure Study'!$B$31</f>
        <v>3919105.5488256002</v>
      </c>
      <c r="Z678" s="200">
        <f ca="1">W678*'Expenditure Study'!$B$31</f>
        <v>0</v>
      </c>
      <c r="AA678" s="195">
        <f t="shared" ca="1" si="148"/>
        <v>3919105.5488256002</v>
      </c>
      <c r="AB678" s="195">
        <f t="shared" ca="1" si="149"/>
        <v>3919105.5488256002</v>
      </c>
      <c r="AD678" s="196">
        <f>IFERROR($G678/SUMIF($A:$A,$A678,$G:$G)*SUMIF(Summary!$A$166:$A$242,$A678,Summary!$P$166:$P$242),0)</f>
        <v>245936.86084611272</v>
      </c>
      <c r="AE678" s="197">
        <f t="shared" ca="1" si="150"/>
        <v>3673168.6879794877</v>
      </c>
      <c r="AF678" s="196">
        <f>IFERROR(G678/SUMIF(A:A,A678,G:G)*SUMIF(Summary!$A$166:$A$242,'Operations Support'!A678,Summary!$Q$166:$Q$242),0)</f>
        <v>246098.96431113081</v>
      </c>
      <c r="AG678" s="196">
        <f t="shared" ca="1" si="151"/>
        <v>3673006.5845144694</v>
      </c>
      <c r="AI678" s="196">
        <f>IFERROR($G678/SUMIF($A:$A,$A678,$G:$G)*SUMIF(Summary!$A$247:$A$283,$A678,Summary!$P$247:$P$283),0)</f>
        <v>44852.7461323807</v>
      </c>
      <c r="AJ678" s="196">
        <f>IFERROR($G678/SUMIF($A:$A,$A678,$G:$G)*(SUMIF(Summary!$A$247:$A$283,$A678,Summary!$L$247:$L$283)+SUMIF(Summary!$A$297:$A$333,$A678,Summary!$L$297:$L$333))-AI678,0)</f>
        <v>135674.96434658126</v>
      </c>
      <c r="AK678" s="196">
        <f>IFERROR($G678/SUMIF($A:$A,$A678,$G:$G)*SUMIF(Summary!$A$247:$A$283,$A678,Summary!$Q$247:$Q$283),0)</f>
        <v>44882.309759153119</v>
      </c>
      <c r="AL678" s="196">
        <f>IFERROR($G678/SUMIF($A:$A,$A678,$G:$G)*(SUMIF(Summary!$A$247:$A$283,$A678,Summary!$L$247:$L$283)+SUMIF(Summary!$A$297:$A$333,$A678,Summary!$L$297:$L$333))-AK678,0)</f>
        <v>135645.40071980885</v>
      </c>
      <c r="AM678" s="198"/>
      <c r="AN678" s="196">
        <f t="shared" ca="1" si="152"/>
        <v>3808843.6523260688</v>
      </c>
      <c r="AO678" s="196">
        <f t="shared" ca="1" si="153"/>
        <v>3808651.9852342783</v>
      </c>
    </row>
    <row r="679" spans="1:41">
      <c r="A679" s="189">
        <v>3599</v>
      </c>
      <c r="B679" s="203">
        <v>3</v>
      </c>
      <c r="C679" s="191" t="s">
        <v>222</v>
      </c>
      <c r="D679" s="192">
        <f t="shared" si="140"/>
        <v>958</v>
      </c>
      <c r="E679" s="192">
        <f t="shared" si="141"/>
        <v>115</v>
      </c>
      <c r="F679" s="192">
        <f t="shared" si="142"/>
        <v>0</v>
      </c>
      <c r="G679" s="193">
        <f t="shared" si="143"/>
        <v>1073</v>
      </c>
      <c r="H679" s="194">
        <v>438</v>
      </c>
      <c r="I679" s="194">
        <v>63</v>
      </c>
      <c r="J679" s="194">
        <v>0</v>
      </c>
      <c r="K679" s="193">
        <f t="shared" si="144"/>
        <v>501</v>
      </c>
      <c r="L679" s="194">
        <v>409</v>
      </c>
      <c r="M679" s="194">
        <v>49</v>
      </c>
      <c r="N679" s="194">
        <v>0</v>
      </c>
      <c r="O679" s="193">
        <f t="shared" si="145"/>
        <v>458</v>
      </c>
      <c r="P679" s="194">
        <v>111</v>
      </c>
      <c r="Q679" s="194">
        <v>3</v>
      </c>
      <c r="R679" s="194">
        <v>0</v>
      </c>
      <c r="S679" s="193">
        <f t="shared" si="146"/>
        <v>114</v>
      </c>
      <c r="T679" s="193">
        <f t="shared" si="147"/>
        <v>44.708333333333336</v>
      </c>
      <c r="U679" s="193">
        <f ca="1">OFFSET('Expenditure Study'!$B$7,'Operations Support'!$C679,'Operations Support'!$B679)*$G679</f>
        <v>8058.23</v>
      </c>
      <c r="V679" s="199">
        <f ca="1">U679*'Expenditure Study'!$B$31</f>
        <v>476105.860017984</v>
      </c>
      <c r="W679" s="199">
        <f ca="1">IF(A679=10298,1.51,1)*IF($B679&lt;3,$D679*'Expenditure Study'!$B$32*OFFSET('Expenditure Study'!$B$7,'Operations Support'!$C679,'Operations Support'!$B679),0)</f>
        <v>0</v>
      </c>
      <c r="X679" s="200">
        <f ca="1">W679*'Expenditure Study'!$B$31</f>
        <v>0</v>
      </c>
      <c r="Y679" s="199">
        <f ca="1">U679*'Expenditure Study'!$B$31</f>
        <v>476105.860017984</v>
      </c>
      <c r="Z679" s="200">
        <f ca="1">W679*'Expenditure Study'!$B$31</f>
        <v>0</v>
      </c>
      <c r="AA679" s="195">
        <f t="shared" ca="1" si="148"/>
        <v>476105.860017984</v>
      </c>
      <c r="AB679" s="195">
        <f t="shared" ca="1" si="149"/>
        <v>476105.860017984</v>
      </c>
      <c r="AD679" s="196">
        <f>IFERROR($G679/SUMIF($A:$A,$A679,$G:$G)*SUMIF(Summary!$A$166:$A$242,$A679,Summary!$P$166:$P$242),0)</f>
        <v>27848.274766555398</v>
      </c>
      <c r="AE679" s="197">
        <f t="shared" ca="1" si="150"/>
        <v>448257.58525142859</v>
      </c>
      <c r="AF679" s="196">
        <f>IFERROR(G679/SUMIF(A:A,A679,G:G)*SUMIF(Summary!$A$166:$A$242,'Operations Support'!A679,Summary!$Q$166:$Q$242),0)</f>
        <v>27866.63029821057</v>
      </c>
      <c r="AG679" s="196">
        <f t="shared" ca="1" si="151"/>
        <v>448239.2297197734</v>
      </c>
      <c r="AI679" s="196">
        <f>IFERROR($G679/SUMIF($A:$A,$A679,$G:$G)*SUMIF(Summary!$A$247:$A$283,$A679,Summary!$P$247:$P$283),0)</f>
        <v>5078.8303714694484</v>
      </c>
      <c r="AJ679" s="196">
        <f>IFERROR($G679/SUMIF($A:$A,$A679,$G:$G)*(SUMIF(Summary!$A$247:$A$283,$A679,Summary!$L$247:$L$283)+SUMIF(Summary!$A$297:$A$333,$A679,Summary!$L$297:$L$333))-AI679,0)</f>
        <v>15362.941826074471</v>
      </c>
      <c r="AK679" s="196">
        <f>IFERROR($G679/SUMIF($A:$A,$A679,$G:$G)*SUMIF(Summary!$A$247:$A$283,$A679,Summary!$Q$247:$Q$283),0)</f>
        <v>5082.1779623861648</v>
      </c>
      <c r="AL679" s="196">
        <f>IFERROR($G679/SUMIF($A:$A,$A679,$G:$G)*(SUMIF(Summary!$A$247:$A$283,$A679,Summary!$L$247:$L$283)+SUMIF(Summary!$A$297:$A$333,$A679,Summary!$L$297:$L$333))-AK679,0)</f>
        <v>15359.594235157754</v>
      </c>
      <c r="AM679" s="198"/>
      <c r="AN679" s="196">
        <f t="shared" ca="1" si="152"/>
        <v>463620.52707750304</v>
      </c>
      <c r="AO679" s="196">
        <f t="shared" ca="1" si="153"/>
        <v>463598.82395493117</v>
      </c>
    </row>
    <row r="680" spans="1:41">
      <c r="A680" s="189">
        <v>3599</v>
      </c>
      <c r="B680" s="203">
        <v>3</v>
      </c>
      <c r="C680" s="191" t="s">
        <v>223</v>
      </c>
      <c r="D680" s="192">
        <f t="shared" si="140"/>
        <v>5292</v>
      </c>
      <c r="E680" s="192">
        <f t="shared" si="141"/>
        <v>4527</v>
      </c>
      <c r="F680" s="192">
        <f t="shared" si="142"/>
        <v>0</v>
      </c>
      <c r="G680" s="193">
        <f t="shared" si="143"/>
        <v>9819</v>
      </c>
      <c r="H680" s="194">
        <v>1653</v>
      </c>
      <c r="I680" s="194">
        <v>1731</v>
      </c>
      <c r="J680" s="194">
        <v>0</v>
      </c>
      <c r="K680" s="193">
        <f t="shared" si="144"/>
        <v>3384</v>
      </c>
      <c r="L680" s="194">
        <v>1341</v>
      </c>
      <c r="M680" s="194">
        <v>807</v>
      </c>
      <c r="N680" s="194">
        <v>0</v>
      </c>
      <c r="O680" s="193">
        <f t="shared" si="145"/>
        <v>2148</v>
      </c>
      <c r="P680" s="194">
        <v>2298</v>
      </c>
      <c r="Q680" s="194">
        <v>1989</v>
      </c>
      <c r="R680" s="194">
        <v>0</v>
      </c>
      <c r="S680" s="193">
        <f t="shared" si="146"/>
        <v>4287</v>
      </c>
      <c r="T680" s="193">
        <f t="shared" si="147"/>
        <v>409.125</v>
      </c>
      <c r="U680" s="193">
        <f ca="1">OFFSET('Expenditure Study'!$B$7,'Operations Support'!$C680,'Operations Support'!$B680)*$G680</f>
        <v>21994.560000000001</v>
      </c>
      <c r="V680" s="199">
        <f ca="1">U680*'Expenditure Study'!$B$31</f>
        <v>1299508.5650964482</v>
      </c>
      <c r="W680" s="199">
        <f ca="1">IF(A680=10298,1.51,1)*IF($B680&lt;3,$D680*'Expenditure Study'!$B$32*OFFSET('Expenditure Study'!$B$7,'Operations Support'!$C680,'Operations Support'!$B680),0)</f>
        <v>0</v>
      </c>
      <c r="X680" s="200">
        <f ca="1">W680*'Expenditure Study'!$B$31</f>
        <v>0</v>
      </c>
      <c r="Y680" s="199">
        <f ca="1">U680*'Expenditure Study'!$B$31</f>
        <v>1299508.5650964482</v>
      </c>
      <c r="Z680" s="200">
        <f ca="1">W680*'Expenditure Study'!$B$31</f>
        <v>0</v>
      </c>
      <c r="AA680" s="195">
        <f t="shared" ca="1" si="148"/>
        <v>1299508.5650964482</v>
      </c>
      <c r="AB680" s="195">
        <f t="shared" ca="1" si="149"/>
        <v>1299508.5650964482</v>
      </c>
      <c r="AD680" s="196">
        <f>IFERROR($G680/SUMIF($A:$A,$A680,$G:$G)*SUMIF(Summary!$A$166:$A$242,$A680,Summary!$P$166:$P$242),0)</f>
        <v>254838.96545462016</v>
      </c>
      <c r="AE680" s="197">
        <f t="shared" ca="1" si="150"/>
        <v>1044669.599641828</v>
      </c>
      <c r="AF680" s="196">
        <f>IFERROR(G680/SUMIF(A:A,A680,G:G)*SUMIF(Summary!$A$166:$A$242,'Operations Support'!A680,Summary!$Q$166:$Q$242),0)</f>
        <v>255006.93653134163</v>
      </c>
      <c r="AG680" s="196">
        <f t="shared" ca="1" si="151"/>
        <v>1044501.6285651065</v>
      </c>
      <c r="AI680" s="196">
        <f>IFERROR($G680/SUMIF($A:$A,$A680,$G:$G)*SUMIF(Summary!$A$247:$A$283,$A680,Summary!$P$247:$P$283),0)</f>
        <v>46476.267863428242</v>
      </c>
      <c r="AJ680" s="196">
        <f>IFERROR($G680/SUMIF($A:$A,$A680,$G:$G)*(SUMIF(Summary!$A$247:$A$283,$A680,Summary!$L$247:$L$283)+SUMIF(Summary!$A$297:$A$333,$A680,Summary!$L$297:$L$333))-AI680,0)</f>
        <v>140585.95134224158</v>
      </c>
      <c r="AK680" s="196">
        <f>IFERROR($G680/SUMIF($A:$A,$A680,$G:$G)*SUMIF(Summary!$A$247:$A$283,$A680,Summary!$Q$247:$Q$283),0)</f>
        <v>46506.901596150739</v>
      </c>
      <c r="AL680" s="196">
        <f>IFERROR($G680/SUMIF($A:$A,$A680,$G:$G)*(SUMIF(Summary!$A$247:$A$283,$A680,Summary!$L$247:$L$283)+SUMIF(Summary!$A$297:$A$333,$A680,Summary!$L$297:$L$333))-AK680,0)</f>
        <v>140555.31760951909</v>
      </c>
      <c r="AM680" s="198"/>
      <c r="AN680" s="196">
        <f t="shared" ca="1" si="152"/>
        <v>1185255.5509840695</v>
      </c>
      <c r="AO680" s="196">
        <f t="shared" ca="1" si="153"/>
        <v>1185056.9461746255</v>
      </c>
    </row>
    <row r="681" spans="1:41">
      <c r="A681" s="189">
        <v>3599</v>
      </c>
      <c r="B681" s="203">
        <v>3</v>
      </c>
      <c r="C681" s="191" t="s">
        <v>224</v>
      </c>
      <c r="D681" s="192">
        <f t="shared" si="140"/>
        <v>141</v>
      </c>
      <c r="E681" s="192">
        <f t="shared" si="141"/>
        <v>33</v>
      </c>
      <c r="F681" s="192">
        <f t="shared" si="142"/>
        <v>0</v>
      </c>
      <c r="G681" s="193">
        <f t="shared" si="143"/>
        <v>174</v>
      </c>
      <c r="H681" s="194">
        <v>117</v>
      </c>
      <c r="I681" s="194">
        <v>0</v>
      </c>
      <c r="J681" s="194">
        <v>0</v>
      </c>
      <c r="K681" s="193">
        <f t="shared" si="144"/>
        <v>117</v>
      </c>
      <c r="L681" s="194">
        <v>24</v>
      </c>
      <c r="M681" s="194">
        <v>33</v>
      </c>
      <c r="N681" s="194">
        <v>0</v>
      </c>
      <c r="O681" s="193">
        <f t="shared" si="145"/>
        <v>57</v>
      </c>
      <c r="P681" s="194">
        <v>0</v>
      </c>
      <c r="Q681" s="194">
        <v>0</v>
      </c>
      <c r="R681" s="194">
        <v>0</v>
      </c>
      <c r="S681" s="193">
        <f t="shared" si="146"/>
        <v>0</v>
      </c>
      <c r="T681" s="193">
        <f t="shared" si="147"/>
        <v>7.25</v>
      </c>
      <c r="U681" s="193">
        <f ca="1">OFFSET('Expenditure Study'!$B$7,'Operations Support'!$C681,'Operations Support'!$B681)*$G681</f>
        <v>1595.58</v>
      </c>
      <c r="V681" s="199">
        <f ca="1">U681*'Expenditure Study'!$B$31</f>
        <v>94271.941620864003</v>
      </c>
      <c r="W681" s="199">
        <f ca="1">IF(A681=10298,1.51,1)*IF($B681&lt;3,$D681*'Expenditure Study'!$B$32*OFFSET('Expenditure Study'!$B$7,'Operations Support'!$C681,'Operations Support'!$B681),0)</f>
        <v>0</v>
      </c>
      <c r="X681" s="200">
        <f ca="1">W681*'Expenditure Study'!$B$31</f>
        <v>0</v>
      </c>
      <c r="Y681" s="199">
        <f ca="1">U681*'Expenditure Study'!$B$31</f>
        <v>94271.941620864003</v>
      </c>
      <c r="Z681" s="200">
        <f ca="1">W681*'Expenditure Study'!$B$31</f>
        <v>0</v>
      </c>
      <c r="AA681" s="195">
        <f t="shared" ca="1" si="148"/>
        <v>94271.941620864003</v>
      </c>
      <c r="AB681" s="195">
        <f t="shared" ca="1" si="149"/>
        <v>94271.941620864003</v>
      </c>
      <c r="AD681" s="196">
        <f>IFERROR($G681/SUMIF($A:$A,$A681,$G:$G)*SUMIF(Summary!$A$166:$A$242,$A681,Summary!$P$166:$P$242),0)</f>
        <v>4515.9364486306049</v>
      </c>
      <c r="AE681" s="197">
        <f t="shared" ca="1" si="150"/>
        <v>89756.005172233403</v>
      </c>
      <c r="AF681" s="196">
        <f>IFERROR(G681/SUMIF(A:A,A681,G:G)*SUMIF(Summary!$A$166:$A$242,'Operations Support'!A681,Summary!$Q$166:$Q$242),0)</f>
        <v>4518.9130213314438</v>
      </c>
      <c r="AG681" s="196">
        <f t="shared" ca="1" si="151"/>
        <v>89753.028599532554</v>
      </c>
      <c r="AI681" s="196">
        <f>IFERROR($G681/SUMIF($A:$A,$A681,$G:$G)*SUMIF(Summary!$A$247:$A$283,$A681,Summary!$P$247:$P$283),0)</f>
        <v>823.59411429234285</v>
      </c>
      <c r="AJ681" s="196">
        <f>IFERROR($G681/SUMIF($A:$A,$A681,$G:$G)*(SUMIF(Summary!$A$247:$A$283,$A681,Summary!$L$247:$L$283)+SUMIF(Summary!$A$297:$A$333,$A681,Summary!$L$297:$L$333))-AI681,0)</f>
        <v>2491.2878636877517</v>
      </c>
      <c r="AK681" s="196">
        <f>IFERROR($G681/SUMIF($A:$A,$A681,$G:$G)*SUMIF(Summary!$A$247:$A$283,$A681,Summary!$Q$247:$Q$283),0)</f>
        <v>824.13696687343202</v>
      </c>
      <c r="AL681" s="196">
        <f>IFERROR($G681/SUMIF($A:$A,$A681,$G:$G)*(SUMIF(Summary!$A$247:$A$283,$A681,Summary!$L$247:$L$283)+SUMIF(Summary!$A$297:$A$333,$A681,Summary!$L$297:$L$333))-AK681,0)</f>
        <v>2490.7450111066628</v>
      </c>
      <c r="AM681" s="198"/>
      <c r="AN681" s="196">
        <f t="shared" ca="1" si="152"/>
        <v>92247.29303592116</v>
      </c>
      <c r="AO681" s="196">
        <f t="shared" ca="1" si="153"/>
        <v>92243.773610639211</v>
      </c>
    </row>
    <row r="682" spans="1:41">
      <c r="A682" s="189">
        <v>3599</v>
      </c>
      <c r="B682" s="203">
        <v>3</v>
      </c>
      <c r="C682" s="191" t="s">
        <v>225</v>
      </c>
      <c r="D682" s="192">
        <f t="shared" si="140"/>
        <v>3289</v>
      </c>
      <c r="E682" s="192">
        <f t="shared" si="141"/>
        <v>1055</v>
      </c>
      <c r="F682" s="192">
        <f t="shared" si="142"/>
        <v>0</v>
      </c>
      <c r="G682" s="193">
        <f t="shared" si="143"/>
        <v>4344</v>
      </c>
      <c r="H682" s="194">
        <v>1283</v>
      </c>
      <c r="I682" s="194">
        <v>398</v>
      </c>
      <c r="J682" s="194">
        <v>0</v>
      </c>
      <c r="K682" s="193">
        <f t="shared" si="144"/>
        <v>1681</v>
      </c>
      <c r="L682" s="194">
        <v>1212</v>
      </c>
      <c r="M682" s="194">
        <v>468</v>
      </c>
      <c r="N682" s="194">
        <v>0</v>
      </c>
      <c r="O682" s="193">
        <f t="shared" si="145"/>
        <v>1680</v>
      </c>
      <c r="P682" s="194">
        <v>794</v>
      </c>
      <c r="Q682" s="194">
        <v>189</v>
      </c>
      <c r="R682" s="194">
        <v>0</v>
      </c>
      <c r="S682" s="193">
        <f t="shared" si="146"/>
        <v>983</v>
      </c>
      <c r="T682" s="193">
        <f t="shared" si="147"/>
        <v>181</v>
      </c>
      <c r="U682" s="193">
        <f ca="1">OFFSET('Expenditure Study'!$B$7,'Operations Support'!$C682,'Operations Support'!$B682)*$G682</f>
        <v>30017.040000000001</v>
      </c>
      <c r="V682" s="199">
        <f ca="1">U682*'Expenditure Study'!$B$31</f>
        <v>1773502.201400832</v>
      </c>
      <c r="W682" s="199">
        <f ca="1">IF(A682=10298,1.51,1)*IF($B682&lt;3,$D682*'Expenditure Study'!$B$32*OFFSET('Expenditure Study'!$B$7,'Operations Support'!$C682,'Operations Support'!$B682),0)</f>
        <v>0</v>
      </c>
      <c r="X682" s="200">
        <f ca="1">W682*'Expenditure Study'!$B$31</f>
        <v>0</v>
      </c>
      <c r="Y682" s="199">
        <f ca="1">U682*'Expenditure Study'!$B$31</f>
        <v>1773502.201400832</v>
      </c>
      <c r="Z682" s="200">
        <f ca="1">W682*'Expenditure Study'!$B$31</f>
        <v>0</v>
      </c>
      <c r="AA682" s="195">
        <f t="shared" ca="1" si="148"/>
        <v>1773502.201400832</v>
      </c>
      <c r="AB682" s="195">
        <f t="shared" ca="1" si="149"/>
        <v>1773502.201400832</v>
      </c>
      <c r="AD682" s="196">
        <f>IFERROR($G682/SUMIF($A:$A,$A682,$G:$G)*SUMIF(Summary!$A$166:$A$242,$A682,Summary!$P$166:$P$242),0)</f>
        <v>112742.68926926061</v>
      </c>
      <c r="AE682" s="197">
        <f t="shared" ca="1" si="150"/>
        <v>1660759.5121315715</v>
      </c>
      <c r="AF682" s="196">
        <f>IFERROR(G682/SUMIF(A:A,A682,G:G)*SUMIF(Summary!$A$166:$A$242,'Operations Support'!A682,Summary!$Q$166:$Q$242),0)</f>
        <v>112817.00094634361</v>
      </c>
      <c r="AG682" s="196">
        <f t="shared" ca="1" si="151"/>
        <v>1660685.2004544884</v>
      </c>
      <c r="AI682" s="196">
        <f>IFERROR($G682/SUMIF($A:$A,$A682,$G:$G)*SUMIF(Summary!$A$247:$A$283,$A682,Summary!$P$247:$P$283),0)</f>
        <v>20561.453060264008</v>
      </c>
      <c r="AJ682" s="196">
        <f>IFERROR($G682/SUMIF($A:$A,$A682,$G:$G)*(SUMIF(Summary!$A$247:$A$283,$A682,Summary!$L$247:$L$283)+SUMIF(Summary!$A$297:$A$333,$A682,Summary!$L$297:$L$333))-AI682,0)</f>
        <v>62196.290114135591</v>
      </c>
      <c r="AK682" s="196">
        <f>IFERROR($G682/SUMIF($A:$A,$A682,$G:$G)*SUMIF(Summary!$A$247:$A$283,$A682,Summary!$Q$247:$Q$283),0)</f>
        <v>20575.005655736717</v>
      </c>
      <c r="AL682" s="196">
        <f>IFERROR($G682/SUMIF($A:$A,$A682,$G:$G)*(SUMIF(Summary!$A$247:$A$283,$A682,Summary!$L$247:$L$283)+SUMIF(Summary!$A$297:$A$333,$A682,Summary!$L$297:$L$333))-AK682,0)</f>
        <v>62182.737518662878</v>
      </c>
      <c r="AM682" s="198"/>
      <c r="AN682" s="196">
        <f t="shared" ca="1" si="152"/>
        <v>1722955.802245707</v>
      </c>
      <c r="AO682" s="196">
        <f t="shared" ca="1" si="153"/>
        <v>1722867.9379731512</v>
      </c>
    </row>
    <row r="683" spans="1:41">
      <c r="A683" s="189">
        <v>3599</v>
      </c>
      <c r="B683" s="203">
        <v>3</v>
      </c>
      <c r="C683" s="191" t="s">
        <v>226</v>
      </c>
      <c r="D683" s="192">
        <f t="shared" si="140"/>
        <v>0</v>
      </c>
      <c r="E683" s="192">
        <f t="shared" si="141"/>
        <v>0</v>
      </c>
      <c r="F683" s="192">
        <f t="shared" si="142"/>
        <v>0</v>
      </c>
      <c r="G683" s="193">
        <f t="shared" si="143"/>
        <v>0</v>
      </c>
      <c r="H683" s="194">
        <v>0</v>
      </c>
      <c r="I683" s="194">
        <v>0</v>
      </c>
      <c r="J683" s="194">
        <v>0</v>
      </c>
      <c r="K683" s="193">
        <f t="shared" si="144"/>
        <v>0</v>
      </c>
      <c r="L683" s="194">
        <v>0</v>
      </c>
      <c r="M683" s="194">
        <v>0</v>
      </c>
      <c r="N683" s="194">
        <v>0</v>
      </c>
      <c r="O683" s="193">
        <f t="shared" si="145"/>
        <v>0</v>
      </c>
      <c r="P683" s="194">
        <v>0</v>
      </c>
      <c r="Q683" s="194">
        <v>0</v>
      </c>
      <c r="R683" s="194">
        <v>0</v>
      </c>
      <c r="S683" s="193">
        <f t="shared" si="146"/>
        <v>0</v>
      </c>
      <c r="T683" s="193">
        <f t="shared" si="147"/>
        <v>0</v>
      </c>
      <c r="U683" s="193">
        <f ca="1">OFFSET('Expenditure Study'!$B$7,'Operations Support'!$C683,'Operations Support'!$B683)*$G683</f>
        <v>0</v>
      </c>
      <c r="V683" s="199">
        <f ca="1">U683*'Expenditure Study'!$B$31</f>
        <v>0</v>
      </c>
      <c r="W683" s="199">
        <f ca="1">IF(A683=10298,1.51,1)*IF($B683&lt;3,$D683*'Expenditure Study'!$B$32*OFFSET('Expenditure Study'!$B$7,'Operations Support'!$C683,'Operations Support'!$B683),0)</f>
        <v>0</v>
      </c>
      <c r="X683" s="200">
        <f ca="1">W683*'Expenditure Study'!$B$31</f>
        <v>0</v>
      </c>
      <c r="Y683" s="199">
        <f ca="1">U683*'Expenditure Study'!$B$31</f>
        <v>0</v>
      </c>
      <c r="Z683" s="200">
        <f ca="1">W683*'Expenditure Study'!$B$31</f>
        <v>0</v>
      </c>
      <c r="AA683" s="195">
        <f t="shared" ca="1" si="148"/>
        <v>0</v>
      </c>
      <c r="AB683" s="195">
        <f t="shared" ca="1" si="149"/>
        <v>0</v>
      </c>
      <c r="AD683" s="196">
        <f>IFERROR($G683/SUMIF($A:$A,$A683,$G:$G)*SUMIF(Summary!$A$166:$A$242,$A683,Summary!$P$166:$P$242),0)</f>
        <v>0</v>
      </c>
      <c r="AE683" s="197">
        <f t="shared" ca="1" si="150"/>
        <v>0</v>
      </c>
      <c r="AF683" s="196">
        <f>IFERROR(G683/SUMIF(A:A,A683,G:G)*SUMIF(Summary!$A$166:$A$242,'Operations Support'!A683,Summary!$Q$166:$Q$242),0)</f>
        <v>0</v>
      </c>
      <c r="AG683" s="196">
        <f t="shared" ca="1" si="151"/>
        <v>0</v>
      </c>
      <c r="AI683" s="196">
        <f>IFERROR($G683/SUMIF($A:$A,$A683,$G:$G)*SUMIF(Summary!$A$247:$A$283,$A683,Summary!$P$247:$P$283),0)</f>
        <v>0</v>
      </c>
      <c r="AJ683" s="196">
        <f>IFERROR($G683/SUMIF($A:$A,$A683,$G:$G)*(SUMIF(Summary!$A$247:$A$283,$A683,Summary!$L$247:$L$283)+SUMIF(Summary!$A$297:$A$333,$A683,Summary!$L$297:$L$333))-AI683,0)</f>
        <v>0</v>
      </c>
      <c r="AK683" s="196">
        <f>IFERROR($G683/SUMIF($A:$A,$A683,$G:$G)*SUMIF(Summary!$A$247:$A$283,$A683,Summary!$Q$247:$Q$283),0)</f>
        <v>0</v>
      </c>
      <c r="AL683" s="196">
        <f>IFERROR($G683/SUMIF($A:$A,$A683,$G:$G)*(SUMIF(Summary!$A$247:$A$283,$A683,Summary!$L$247:$L$283)+SUMIF(Summary!$A$297:$A$333,$A683,Summary!$L$297:$L$333))-AK683,0)</f>
        <v>0</v>
      </c>
      <c r="AM683" s="198"/>
      <c r="AN683" s="196">
        <f t="shared" ca="1" si="152"/>
        <v>0</v>
      </c>
      <c r="AO683" s="196">
        <f t="shared" ca="1" si="153"/>
        <v>0</v>
      </c>
    </row>
    <row r="684" spans="1:41">
      <c r="A684" s="189">
        <v>3599</v>
      </c>
      <c r="B684" s="203">
        <v>3</v>
      </c>
      <c r="C684" s="191" t="s">
        <v>227</v>
      </c>
      <c r="D684" s="192">
        <f t="shared" si="140"/>
        <v>0</v>
      </c>
      <c r="E684" s="192">
        <f t="shared" si="141"/>
        <v>0</v>
      </c>
      <c r="F684" s="192">
        <f t="shared" si="142"/>
        <v>0</v>
      </c>
      <c r="G684" s="193">
        <f t="shared" si="143"/>
        <v>0</v>
      </c>
      <c r="H684" s="194">
        <v>0</v>
      </c>
      <c r="I684" s="194">
        <v>0</v>
      </c>
      <c r="J684" s="194">
        <v>0</v>
      </c>
      <c r="K684" s="193">
        <f t="shared" si="144"/>
        <v>0</v>
      </c>
      <c r="L684" s="194">
        <v>0</v>
      </c>
      <c r="M684" s="194">
        <v>0</v>
      </c>
      <c r="N684" s="194">
        <v>0</v>
      </c>
      <c r="O684" s="193">
        <f t="shared" si="145"/>
        <v>0</v>
      </c>
      <c r="P684" s="194">
        <v>0</v>
      </c>
      <c r="Q684" s="194">
        <v>0</v>
      </c>
      <c r="R684" s="194">
        <v>0</v>
      </c>
      <c r="S684" s="193">
        <f t="shared" si="146"/>
        <v>0</v>
      </c>
      <c r="T684" s="193">
        <f t="shared" si="147"/>
        <v>0</v>
      </c>
      <c r="U684" s="193">
        <f ca="1">OFFSET('Expenditure Study'!$B$7,'Operations Support'!$C684,'Operations Support'!$B684)*$G684</f>
        <v>0</v>
      </c>
      <c r="V684" s="199">
        <f ca="1">U684*'Expenditure Study'!$B$31</f>
        <v>0</v>
      </c>
      <c r="W684" s="199">
        <f ca="1">IF(A684=10298,1.51,1)*IF($B684&lt;3,$D684*'Expenditure Study'!$B$32*OFFSET('Expenditure Study'!$B$7,'Operations Support'!$C684,'Operations Support'!$B684),0)</f>
        <v>0</v>
      </c>
      <c r="X684" s="200">
        <f ca="1">W684*'Expenditure Study'!$B$31</f>
        <v>0</v>
      </c>
      <c r="Y684" s="199">
        <f ca="1">U684*'Expenditure Study'!$B$31</f>
        <v>0</v>
      </c>
      <c r="Z684" s="200">
        <f ca="1">W684*'Expenditure Study'!$B$31</f>
        <v>0</v>
      </c>
      <c r="AA684" s="195">
        <f t="shared" ca="1" si="148"/>
        <v>0</v>
      </c>
      <c r="AB684" s="195">
        <f t="shared" ca="1" si="149"/>
        <v>0</v>
      </c>
      <c r="AD684" s="196">
        <f>IFERROR($G684/SUMIF($A:$A,$A684,$G:$G)*SUMIF(Summary!$A$166:$A$242,$A684,Summary!$P$166:$P$242),0)</f>
        <v>0</v>
      </c>
      <c r="AE684" s="197">
        <f t="shared" ca="1" si="150"/>
        <v>0</v>
      </c>
      <c r="AF684" s="196">
        <f>IFERROR(G684/SUMIF(A:A,A684,G:G)*SUMIF(Summary!$A$166:$A$242,'Operations Support'!A684,Summary!$Q$166:$Q$242),0)</f>
        <v>0</v>
      </c>
      <c r="AG684" s="196">
        <f t="shared" ca="1" si="151"/>
        <v>0</v>
      </c>
      <c r="AI684" s="196">
        <f>IFERROR($G684/SUMIF($A:$A,$A684,$G:$G)*SUMIF(Summary!$A$247:$A$283,$A684,Summary!$P$247:$P$283),0)</f>
        <v>0</v>
      </c>
      <c r="AJ684" s="196">
        <f>IFERROR($G684/SUMIF($A:$A,$A684,$G:$G)*(SUMIF(Summary!$A$247:$A$283,$A684,Summary!$L$247:$L$283)+SUMIF(Summary!$A$297:$A$333,$A684,Summary!$L$297:$L$333))-AI684,0)</f>
        <v>0</v>
      </c>
      <c r="AK684" s="196">
        <f>IFERROR($G684/SUMIF($A:$A,$A684,$G:$G)*SUMIF(Summary!$A$247:$A$283,$A684,Summary!$Q$247:$Q$283),0)</f>
        <v>0</v>
      </c>
      <c r="AL684" s="196">
        <f>IFERROR($G684/SUMIF($A:$A,$A684,$G:$G)*(SUMIF(Summary!$A$247:$A$283,$A684,Summary!$L$247:$L$283)+SUMIF(Summary!$A$297:$A$333,$A684,Summary!$L$297:$L$333))-AK684,0)</f>
        <v>0</v>
      </c>
      <c r="AM684" s="198"/>
      <c r="AN684" s="196">
        <f t="shared" ca="1" si="152"/>
        <v>0</v>
      </c>
      <c r="AO684" s="196">
        <f t="shared" ca="1" si="153"/>
        <v>0</v>
      </c>
    </row>
    <row r="685" spans="1:41">
      <c r="A685" s="189">
        <v>3599</v>
      </c>
      <c r="B685" s="203">
        <v>3</v>
      </c>
      <c r="C685" s="191" t="s">
        <v>228</v>
      </c>
      <c r="D685" s="192">
        <f t="shared" si="140"/>
        <v>1173</v>
      </c>
      <c r="E685" s="192">
        <f t="shared" si="141"/>
        <v>6021</v>
      </c>
      <c r="F685" s="192">
        <f t="shared" si="142"/>
        <v>0</v>
      </c>
      <c r="G685" s="193">
        <f t="shared" si="143"/>
        <v>7194</v>
      </c>
      <c r="H685" s="194">
        <v>225</v>
      </c>
      <c r="I685" s="194">
        <v>2271</v>
      </c>
      <c r="J685" s="194">
        <v>0</v>
      </c>
      <c r="K685" s="193">
        <f t="shared" si="144"/>
        <v>2496</v>
      </c>
      <c r="L685" s="194">
        <v>285</v>
      </c>
      <c r="M685" s="194">
        <v>1467</v>
      </c>
      <c r="N685" s="194">
        <v>0</v>
      </c>
      <c r="O685" s="193">
        <f t="shared" si="145"/>
        <v>1752</v>
      </c>
      <c r="P685" s="194">
        <v>663</v>
      </c>
      <c r="Q685" s="194">
        <v>2283</v>
      </c>
      <c r="R685" s="194">
        <v>0</v>
      </c>
      <c r="S685" s="193">
        <f t="shared" si="146"/>
        <v>2946</v>
      </c>
      <c r="T685" s="193">
        <f t="shared" si="147"/>
        <v>299.75</v>
      </c>
      <c r="U685" s="193">
        <f ca="1">OFFSET('Expenditure Study'!$B$7,'Operations Support'!$C685,'Operations Support'!$B685)*$G685</f>
        <v>17553.36</v>
      </c>
      <c r="V685" s="199">
        <f ca="1">U685*'Expenditure Study'!$B$31</f>
        <v>1037108.342527488</v>
      </c>
      <c r="W685" s="199">
        <f ca="1">IF(A685=10298,1.51,1)*IF($B685&lt;3,$D685*'Expenditure Study'!$B$32*OFFSET('Expenditure Study'!$B$7,'Operations Support'!$C685,'Operations Support'!$B685),0)</f>
        <v>0</v>
      </c>
      <c r="X685" s="200">
        <f ca="1">W685*'Expenditure Study'!$B$31</f>
        <v>0</v>
      </c>
      <c r="Y685" s="199">
        <f ca="1">U685*'Expenditure Study'!$B$31</f>
        <v>1037108.342527488</v>
      </c>
      <c r="Z685" s="200">
        <f ca="1">W685*'Expenditure Study'!$B$31</f>
        <v>0</v>
      </c>
      <c r="AA685" s="195">
        <f t="shared" ca="1" si="148"/>
        <v>1037108.342527488</v>
      </c>
      <c r="AB685" s="195">
        <f t="shared" ca="1" si="149"/>
        <v>1037108.342527488</v>
      </c>
      <c r="AD685" s="196">
        <f>IFERROR($G685/SUMIF($A:$A,$A685,$G:$G)*SUMIF(Summary!$A$166:$A$242,$A685,Summary!$P$166:$P$242),0)</f>
        <v>186710.61385889983</v>
      </c>
      <c r="AE685" s="197">
        <f t="shared" ca="1" si="150"/>
        <v>850397.72866858821</v>
      </c>
      <c r="AF685" s="196">
        <f>IFERROR(G685/SUMIF(A:A,A685,G:G)*SUMIF(Summary!$A$166:$A$242,'Operations Support'!A685,Summary!$Q$166:$Q$242),0)</f>
        <v>186833.67974401382</v>
      </c>
      <c r="AG685" s="196">
        <f t="shared" ca="1" si="151"/>
        <v>850274.6627834742</v>
      </c>
      <c r="AI685" s="196">
        <f>IFERROR($G685/SUMIF($A:$A,$A685,$G:$G)*SUMIF(Summary!$A$247:$A$283,$A685,Summary!$P$247:$P$283),0)</f>
        <v>34051.356656431693</v>
      </c>
      <c r="AJ685" s="196">
        <f>IFERROR($G685/SUMIF($A:$A,$A685,$G:$G)*(SUMIF(Summary!$A$247:$A$283,$A685,Summary!$L$247:$L$283)+SUMIF(Summary!$A$297:$A$333,$A685,Summary!$L$297:$L$333))-AI685,0)</f>
        <v>103001.86719177981</v>
      </c>
      <c r="AK685" s="196">
        <f>IFERROR($G685/SUMIF($A:$A,$A685,$G:$G)*SUMIF(Summary!$A$247:$A$283,$A685,Summary!$Q$247:$Q$283),0)</f>
        <v>34073.800802801554</v>
      </c>
      <c r="AL685" s="196">
        <f>IFERROR($G685/SUMIF($A:$A,$A685,$G:$G)*(SUMIF(Summary!$A$247:$A$283,$A685,Summary!$L$247:$L$283)+SUMIF(Summary!$A$297:$A$333,$A685,Summary!$L$297:$L$333))-AK685,0)</f>
        <v>102979.42304540993</v>
      </c>
      <c r="AM685" s="198"/>
      <c r="AN685" s="196">
        <f t="shared" ca="1" si="152"/>
        <v>953399.59586036799</v>
      </c>
      <c r="AO685" s="196">
        <f t="shared" ca="1" si="153"/>
        <v>953254.08582888416</v>
      </c>
    </row>
    <row r="686" spans="1:41">
      <c r="A686" s="189">
        <v>3599</v>
      </c>
      <c r="B686" s="203">
        <v>3</v>
      </c>
      <c r="C686" s="191" t="s">
        <v>229</v>
      </c>
      <c r="D686" s="192">
        <f t="shared" si="140"/>
        <v>0</v>
      </c>
      <c r="E686" s="192">
        <f t="shared" si="141"/>
        <v>0</v>
      </c>
      <c r="F686" s="192">
        <f t="shared" si="142"/>
        <v>0</v>
      </c>
      <c r="G686" s="193">
        <f t="shared" si="143"/>
        <v>0</v>
      </c>
      <c r="H686" s="194">
        <v>0</v>
      </c>
      <c r="I686" s="194">
        <v>0</v>
      </c>
      <c r="J686" s="194">
        <v>0</v>
      </c>
      <c r="K686" s="193">
        <f t="shared" si="144"/>
        <v>0</v>
      </c>
      <c r="L686" s="194">
        <v>0</v>
      </c>
      <c r="M686" s="194">
        <v>0</v>
      </c>
      <c r="N686" s="194">
        <v>0</v>
      </c>
      <c r="O686" s="193">
        <f t="shared" si="145"/>
        <v>0</v>
      </c>
      <c r="P686" s="194">
        <v>0</v>
      </c>
      <c r="Q686" s="194">
        <v>0</v>
      </c>
      <c r="R686" s="194">
        <v>0</v>
      </c>
      <c r="S686" s="193">
        <f t="shared" si="146"/>
        <v>0</v>
      </c>
      <c r="T686" s="193">
        <f t="shared" si="147"/>
        <v>0</v>
      </c>
      <c r="U686" s="193">
        <f ca="1">OFFSET('Expenditure Study'!$B$7,'Operations Support'!$C686,'Operations Support'!$B686)*$G686</f>
        <v>0</v>
      </c>
      <c r="V686" s="199">
        <f ca="1">U686*'Expenditure Study'!$B$31</f>
        <v>0</v>
      </c>
      <c r="W686" s="199">
        <f ca="1">IF(A686=10298,1.51,1)*IF($B686&lt;3,$D686*'Expenditure Study'!$B$32*OFFSET('Expenditure Study'!$B$7,'Operations Support'!$C686,'Operations Support'!$B686),0)</f>
        <v>0</v>
      </c>
      <c r="X686" s="200">
        <f ca="1">W686*'Expenditure Study'!$B$31</f>
        <v>0</v>
      </c>
      <c r="Y686" s="199">
        <f ca="1">U686*'Expenditure Study'!$B$31</f>
        <v>0</v>
      </c>
      <c r="Z686" s="200">
        <f ca="1">W686*'Expenditure Study'!$B$31</f>
        <v>0</v>
      </c>
      <c r="AA686" s="195">
        <f t="shared" ca="1" si="148"/>
        <v>0</v>
      </c>
      <c r="AB686" s="195">
        <f t="shared" ca="1" si="149"/>
        <v>0</v>
      </c>
      <c r="AD686" s="196">
        <f>IFERROR($G686/SUMIF($A:$A,$A686,$G:$G)*SUMIF(Summary!$A$166:$A$242,$A686,Summary!$P$166:$P$242),0)</f>
        <v>0</v>
      </c>
      <c r="AE686" s="197">
        <f t="shared" ca="1" si="150"/>
        <v>0</v>
      </c>
      <c r="AF686" s="196">
        <f>IFERROR(G686/SUMIF(A:A,A686,G:G)*SUMIF(Summary!$A$166:$A$242,'Operations Support'!A686,Summary!$Q$166:$Q$242),0)</f>
        <v>0</v>
      </c>
      <c r="AG686" s="196">
        <f t="shared" ca="1" si="151"/>
        <v>0</v>
      </c>
      <c r="AI686" s="196">
        <f>IFERROR($G686/SUMIF($A:$A,$A686,$G:$G)*SUMIF(Summary!$A$247:$A$283,$A686,Summary!$P$247:$P$283),0)</f>
        <v>0</v>
      </c>
      <c r="AJ686" s="196">
        <f>IFERROR($G686/SUMIF($A:$A,$A686,$G:$G)*(SUMIF(Summary!$A$247:$A$283,$A686,Summary!$L$247:$L$283)+SUMIF(Summary!$A$297:$A$333,$A686,Summary!$L$297:$L$333))-AI686,0)</f>
        <v>0</v>
      </c>
      <c r="AK686" s="196">
        <f>IFERROR($G686/SUMIF($A:$A,$A686,$G:$G)*SUMIF(Summary!$A$247:$A$283,$A686,Summary!$Q$247:$Q$283),0)</f>
        <v>0</v>
      </c>
      <c r="AL686" s="196">
        <f>IFERROR($G686/SUMIF($A:$A,$A686,$G:$G)*(SUMIF(Summary!$A$247:$A$283,$A686,Summary!$L$247:$L$283)+SUMIF(Summary!$A$297:$A$333,$A686,Summary!$L$297:$L$333))-AK686,0)</f>
        <v>0</v>
      </c>
      <c r="AM686" s="198"/>
      <c r="AN686" s="196">
        <f t="shared" ca="1" si="152"/>
        <v>0</v>
      </c>
      <c r="AO686" s="196">
        <f t="shared" ca="1" si="153"/>
        <v>0</v>
      </c>
    </row>
    <row r="687" spans="1:41">
      <c r="A687" s="189">
        <v>3599</v>
      </c>
      <c r="B687" s="203">
        <v>3</v>
      </c>
      <c r="C687" s="191" t="s">
        <v>230</v>
      </c>
      <c r="D687" s="192">
        <f t="shared" si="140"/>
        <v>0</v>
      </c>
      <c r="E687" s="192">
        <f t="shared" si="141"/>
        <v>0</v>
      </c>
      <c r="F687" s="192">
        <f t="shared" si="142"/>
        <v>0</v>
      </c>
      <c r="G687" s="193">
        <f t="shared" si="143"/>
        <v>0</v>
      </c>
      <c r="H687" s="194">
        <v>0</v>
      </c>
      <c r="I687" s="194">
        <v>0</v>
      </c>
      <c r="J687" s="194">
        <v>0</v>
      </c>
      <c r="K687" s="193">
        <f t="shared" si="144"/>
        <v>0</v>
      </c>
      <c r="L687" s="194">
        <v>0</v>
      </c>
      <c r="M687" s="194">
        <v>0</v>
      </c>
      <c r="N687" s="194">
        <v>0</v>
      </c>
      <c r="O687" s="193">
        <f t="shared" si="145"/>
        <v>0</v>
      </c>
      <c r="P687" s="194">
        <v>0</v>
      </c>
      <c r="Q687" s="194">
        <v>0</v>
      </c>
      <c r="R687" s="194">
        <v>0</v>
      </c>
      <c r="S687" s="193">
        <f t="shared" si="146"/>
        <v>0</v>
      </c>
      <c r="T687" s="193">
        <f t="shared" si="147"/>
        <v>0</v>
      </c>
      <c r="U687" s="193">
        <f ca="1">OFFSET('Expenditure Study'!$B$7,'Operations Support'!$C687,'Operations Support'!$B687)*$G687</f>
        <v>0</v>
      </c>
      <c r="V687" s="199">
        <f ca="1">U687*'Expenditure Study'!$B$31</f>
        <v>0</v>
      </c>
      <c r="W687" s="199">
        <f ca="1">IF(A687=10298,1.51,1)*IF($B687&lt;3,$D687*'Expenditure Study'!$B$32*OFFSET('Expenditure Study'!$B$7,'Operations Support'!$C687,'Operations Support'!$B687),0)</f>
        <v>0</v>
      </c>
      <c r="X687" s="200">
        <f ca="1">W687*'Expenditure Study'!$B$31</f>
        <v>0</v>
      </c>
      <c r="Y687" s="199">
        <f ca="1">U687*'Expenditure Study'!$B$31</f>
        <v>0</v>
      </c>
      <c r="Z687" s="200">
        <f ca="1">W687*'Expenditure Study'!$B$31</f>
        <v>0</v>
      </c>
      <c r="AA687" s="195">
        <f t="shared" ca="1" si="148"/>
        <v>0</v>
      </c>
      <c r="AB687" s="195">
        <f t="shared" ca="1" si="149"/>
        <v>0</v>
      </c>
      <c r="AD687" s="196">
        <f>IFERROR($G687/SUMIF($A:$A,$A687,$G:$G)*SUMIF(Summary!$A$166:$A$242,$A687,Summary!$P$166:$P$242),0)</f>
        <v>0</v>
      </c>
      <c r="AE687" s="197">
        <f t="shared" ca="1" si="150"/>
        <v>0</v>
      </c>
      <c r="AF687" s="196">
        <f>IFERROR(G687/SUMIF(A:A,A687,G:G)*SUMIF(Summary!$A$166:$A$242,'Operations Support'!A687,Summary!$Q$166:$Q$242),0)</f>
        <v>0</v>
      </c>
      <c r="AG687" s="196">
        <f t="shared" ca="1" si="151"/>
        <v>0</v>
      </c>
      <c r="AI687" s="196">
        <f>IFERROR($G687/SUMIF($A:$A,$A687,$G:$G)*SUMIF(Summary!$A$247:$A$283,$A687,Summary!$P$247:$P$283),0)</f>
        <v>0</v>
      </c>
      <c r="AJ687" s="196">
        <f>IFERROR($G687/SUMIF($A:$A,$A687,$G:$G)*(SUMIF(Summary!$A$247:$A$283,$A687,Summary!$L$247:$L$283)+SUMIF(Summary!$A$297:$A$333,$A687,Summary!$L$297:$L$333))-AI687,0)</f>
        <v>0</v>
      </c>
      <c r="AK687" s="196">
        <f>IFERROR($G687/SUMIF($A:$A,$A687,$G:$G)*SUMIF(Summary!$A$247:$A$283,$A687,Summary!$Q$247:$Q$283),0)</f>
        <v>0</v>
      </c>
      <c r="AL687" s="196">
        <f>IFERROR($G687/SUMIF($A:$A,$A687,$G:$G)*(SUMIF(Summary!$A$247:$A$283,$A687,Summary!$L$247:$L$283)+SUMIF(Summary!$A$297:$A$333,$A687,Summary!$L$297:$L$333))-AK687,0)</f>
        <v>0</v>
      </c>
      <c r="AM687" s="198"/>
      <c r="AN687" s="196">
        <f t="shared" ca="1" si="152"/>
        <v>0</v>
      </c>
      <c r="AO687" s="196">
        <f t="shared" ca="1" si="153"/>
        <v>0</v>
      </c>
    </row>
    <row r="688" spans="1:41">
      <c r="A688" s="189">
        <v>3599</v>
      </c>
      <c r="B688" s="203">
        <v>3</v>
      </c>
      <c r="C688" s="191" t="s">
        <v>231</v>
      </c>
      <c r="D688" s="192">
        <f t="shared" si="140"/>
        <v>0</v>
      </c>
      <c r="E688" s="192">
        <f t="shared" si="141"/>
        <v>0</v>
      </c>
      <c r="F688" s="192">
        <f t="shared" si="142"/>
        <v>0</v>
      </c>
      <c r="G688" s="193">
        <f t="shared" si="143"/>
        <v>0</v>
      </c>
      <c r="H688" s="194">
        <v>0</v>
      </c>
      <c r="I688" s="194">
        <v>0</v>
      </c>
      <c r="J688" s="194">
        <v>0</v>
      </c>
      <c r="K688" s="193">
        <f t="shared" si="144"/>
        <v>0</v>
      </c>
      <c r="L688" s="194">
        <v>0</v>
      </c>
      <c r="M688" s="194">
        <v>0</v>
      </c>
      <c r="N688" s="194">
        <v>0</v>
      </c>
      <c r="O688" s="193">
        <f t="shared" si="145"/>
        <v>0</v>
      </c>
      <c r="P688" s="194">
        <v>0</v>
      </c>
      <c r="Q688" s="194">
        <v>0</v>
      </c>
      <c r="R688" s="194">
        <v>0</v>
      </c>
      <c r="S688" s="193">
        <f t="shared" si="146"/>
        <v>0</v>
      </c>
      <c r="T688" s="193">
        <f t="shared" si="147"/>
        <v>0</v>
      </c>
      <c r="U688" s="193">
        <f ca="1">OFFSET('Expenditure Study'!$B$7,'Operations Support'!$C688,'Operations Support'!$B688)*$G688</f>
        <v>0</v>
      </c>
      <c r="V688" s="199">
        <f ca="1">U688*'Expenditure Study'!$B$31</f>
        <v>0</v>
      </c>
      <c r="W688" s="199">
        <f ca="1">IF(A688=10298,1.51,1)*IF($B688&lt;3,$D688*'Expenditure Study'!$B$32*OFFSET('Expenditure Study'!$B$7,'Operations Support'!$C688,'Operations Support'!$B688),0)</f>
        <v>0</v>
      </c>
      <c r="X688" s="200">
        <f ca="1">W688*'Expenditure Study'!$B$31</f>
        <v>0</v>
      </c>
      <c r="Y688" s="199">
        <f ca="1">U688*'Expenditure Study'!$B$31</f>
        <v>0</v>
      </c>
      <c r="Z688" s="200">
        <f ca="1">W688*'Expenditure Study'!$B$31</f>
        <v>0</v>
      </c>
      <c r="AA688" s="195">
        <f t="shared" ca="1" si="148"/>
        <v>0</v>
      </c>
      <c r="AB688" s="195">
        <f t="shared" ca="1" si="149"/>
        <v>0</v>
      </c>
      <c r="AD688" s="196">
        <f>IFERROR($G688/SUMIF($A:$A,$A688,$G:$G)*SUMIF(Summary!$A$166:$A$242,$A688,Summary!$P$166:$P$242),0)</f>
        <v>0</v>
      </c>
      <c r="AE688" s="197">
        <f t="shared" ca="1" si="150"/>
        <v>0</v>
      </c>
      <c r="AF688" s="196">
        <f>IFERROR(G688/SUMIF(A:A,A688,G:G)*SUMIF(Summary!$A$166:$A$242,'Operations Support'!A688,Summary!$Q$166:$Q$242),0)</f>
        <v>0</v>
      </c>
      <c r="AG688" s="196">
        <f t="shared" ca="1" si="151"/>
        <v>0</v>
      </c>
      <c r="AI688" s="196">
        <f>IFERROR($G688/SUMIF($A:$A,$A688,$G:$G)*SUMIF(Summary!$A$247:$A$283,$A688,Summary!$P$247:$P$283),0)</f>
        <v>0</v>
      </c>
      <c r="AJ688" s="196">
        <f>IFERROR($G688/SUMIF($A:$A,$A688,$G:$G)*(SUMIF(Summary!$A$247:$A$283,$A688,Summary!$L$247:$L$283)+SUMIF(Summary!$A$297:$A$333,$A688,Summary!$L$297:$L$333))-AI688,0)</f>
        <v>0</v>
      </c>
      <c r="AK688" s="196">
        <f>IFERROR($G688/SUMIF($A:$A,$A688,$G:$G)*SUMIF(Summary!$A$247:$A$283,$A688,Summary!$Q$247:$Q$283),0)</f>
        <v>0</v>
      </c>
      <c r="AL688" s="196">
        <f>IFERROR($G688/SUMIF($A:$A,$A688,$G:$G)*(SUMIF(Summary!$A$247:$A$283,$A688,Summary!$L$247:$L$283)+SUMIF(Summary!$A$297:$A$333,$A688,Summary!$L$297:$L$333))-AK688,0)</f>
        <v>0</v>
      </c>
      <c r="AM688" s="198"/>
      <c r="AN688" s="196">
        <f t="shared" ca="1" si="152"/>
        <v>0</v>
      </c>
      <c r="AO688" s="196">
        <f t="shared" ca="1" si="153"/>
        <v>0</v>
      </c>
    </row>
    <row r="689" spans="1:41">
      <c r="A689" s="189">
        <v>3599</v>
      </c>
      <c r="B689" s="203">
        <v>3</v>
      </c>
      <c r="C689" s="191" t="s">
        <v>232</v>
      </c>
      <c r="D689" s="192">
        <f t="shared" si="140"/>
        <v>0</v>
      </c>
      <c r="E689" s="192">
        <f t="shared" si="141"/>
        <v>0</v>
      </c>
      <c r="F689" s="192">
        <f t="shared" si="142"/>
        <v>0</v>
      </c>
      <c r="G689" s="193">
        <f t="shared" si="143"/>
        <v>0</v>
      </c>
      <c r="H689" s="194">
        <v>0</v>
      </c>
      <c r="I689" s="194">
        <v>0</v>
      </c>
      <c r="J689" s="194">
        <v>0</v>
      </c>
      <c r="K689" s="193">
        <f t="shared" si="144"/>
        <v>0</v>
      </c>
      <c r="L689" s="194">
        <v>0</v>
      </c>
      <c r="M689" s="194">
        <v>0</v>
      </c>
      <c r="N689" s="194">
        <v>0</v>
      </c>
      <c r="O689" s="193">
        <f t="shared" si="145"/>
        <v>0</v>
      </c>
      <c r="P689" s="194">
        <v>0</v>
      </c>
      <c r="Q689" s="194">
        <v>0</v>
      </c>
      <c r="R689" s="194">
        <v>0</v>
      </c>
      <c r="S689" s="193">
        <f t="shared" si="146"/>
        <v>0</v>
      </c>
      <c r="T689" s="193">
        <f t="shared" si="147"/>
        <v>0</v>
      </c>
      <c r="U689" s="193">
        <f ca="1">OFFSET('Expenditure Study'!$B$7,'Operations Support'!$C689,'Operations Support'!$B689)*$G689</f>
        <v>0</v>
      </c>
      <c r="V689" s="199">
        <f ca="1">U689*'Expenditure Study'!$B$31</f>
        <v>0</v>
      </c>
      <c r="W689" s="199">
        <f ca="1">IF(A689=10298,1.51,1)*IF($B689&lt;3,$D689*'Expenditure Study'!$B$32*OFFSET('Expenditure Study'!$B$7,'Operations Support'!$C689,'Operations Support'!$B689),0)</f>
        <v>0</v>
      </c>
      <c r="X689" s="200">
        <f ca="1">W689*'Expenditure Study'!$B$31</f>
        <v>0</v>
      </c>
      <c r="Y689" s="199">
        <f ca="1">U689*'Expenditure Study'!$B$31</f>
        <v>0</v>
      </c>
      <c r="Z689" s="200">
        <f ca="1">W689*'Expenditure Study'!$B$31</f>
        <v>0</v>
      </c>
      <c r="AA689" s="195">
        <f t="shared" ca="1" si="148"/>
        <v>0</v>
      </c>
      <c r="AB689" s="195">
        <f t="shared" ca="1" si="149"/>
        <v>0</v>
      </c>
      <c r="AD689" s="196">
        <f>IFERROR($G689/SUMIF($A:$A,$A689,$G:$G)*SUMIF(Summary!$A$166:$A$242,$A689,Summary!$P$166:$P$242),0)</f>
        <v>0</v>
      </c>
      <c r="AE689" s="197">
        <f t="shared" ca="1" si="150"/>
        <v>0</v>
      </c>
      <c r="AF689" s="196">
        <f>IFERROR(G689/SUMIF(A:A,A689,G:G)*SUMIF(Summary!$A$166:$A$242,'Operations Support'!A689,Summary!$Q$166:$Q$242),0)</f>
        <v>0</v>
      </c>
      <c r="AG689" s="196">
        <f t="shared" ca="1" si="151"/>
        <v>0</v>
      </c>
      <c r="AI689" s="196">
        <f>IFERROR($G689/SUMIF($A:$A,$A689,$G:$G)*SUMIF(Summary!$A$247:$A$283,$A689,Summary!$P$247:$P$283),0)</f>
        <v>0</v>
      </c>
      <c r="AJ689" s="196">
        <f>IFERROR($G689/SUMIF($A:$A,$A689,$G:$G)*(SUMIF(Summary!$A$247:$A$283,$A689,Summary!$L$247:$L$283)+SUMIF(Summary!$A$297:$A$333,$A689,Summary!$L$297:$L$333))-AI689,0)</f>
        <v>0</v>
      </c>
      <c r="AK689" s="196">
        <f>IFERROR($G689/SUMIF($A:$A,$A689,$G:$G)*SUMIF(Summary!$A$247:$A$283,$A689,Summary!$Q$247:$Q$283),0)</f>
        <v>0</v>
      </c>
      <c r="AL689" s="196">
        <f>IFERROR($G689/SUMIF($A:$A,$A689,$G:$G)*(SUMIF(Summary!$A$247:$A$283,$A689,Summary!$L$247:$L$283)+SUMIF(Summary!$A$297:$A$333,$A689,Summary!$L$297:$L$333))-AK689,0)</f>
        <v>0</v>
      </c>
      <c r="AM689" s="198"/>
      <c r="AN689" s="196">
        <f t="shared" ca="1" si="152"/>
        <v>0</v>
      </c>
      <c r="AO689" s="196">
        <f t="shared" ca="1" si="153"/>
        <v>0</v>
      </c>
    </row>
    <row r="690" spans="1:41">
      <c r="A690" s="189">
        <v>3599</v>
      </c>
      <c r="B690" s="203">
        <v>3</v>
      </c>
      <c r="C690" s="191" t="s">
        <v>233</v>
      </c>
      <c r="D690" s="192">
        <f t="shared" si="140"/>
        <v>3099</v>
      </c>
      <c r="E690" s="192">
        <f t="shared" si="141"/>
        <v>10901</v>
      </c>
      <c r="F690" s="192">
        <f t="shared" si="142"/>
        <v>0</v>
      </c>
      <c r="G690" s="193">
        <f t="shared" si="143"/>
        <v>14000</v>
      </c>
      <c r="H690" s="194">
        <v>1014</v>
      </c>
      <c r="I690" s="194">
        <v>3032</v>
      </c>
      <c r="J690" s="194">
        <v>0</v>
      </c>
      <c r="K690" s="193">
        <f t="shared" si="144"/>
        <v>4046</v>
      </c>
      <c r="L690" s="194">
        <v>942</v>
      </c>
      <c r="M690" s="194">
        <v>4847</v>
      </c>
      <c r="N690" s="194">
        <v>0</v>
      </c>
      <c r="O690" s="193">
        <f t="shared" si="145"/>
        <v>5789</v>
      </c>
      <c r="P690" s="194">
        <v>1143</v>
      </c>
      <c r="Q690" s="194">
        <v>3022</v>
      </c>
      <c r="R690" s="194">
        <v>0</v>
      </c>
      <c r="S690" s="193">
        <f t="shared" si="146"/>
        <v>4165</v>
      </c>
      <c r="T690" s="193">
        <f t="shared" si="147"/>
        <v>583.33333333333337</v>
      </c>
      <c r="U690" s="193">
        <f ca="1">OFFSET('Expenditure Study'!$B$7,'Operations Support'!$C690,'Operations Support'!$B690)*$G690</f>
        <v>36680</v>
      </c>
      <c r="V690" s="199">
        <f ca="1">U690*'Expenditure Study'!$B$31</f>
        <v>2167171.0717440001</v>
      </c>
      <c r="W690" s="199">
        <f ca="1">IF(A690=10298,1.51,1)*IF($B690&lt;3,$D690*'Expenditure Study'!$B$32*OFFSET('Expenditure Study'!$B$7,'Operations Support'!$C690,'Operations Support'!$B690),0)</f>
        <v>0</v>
      </c>
      <c r="X690" s="200">
        <f ca="1">W690*'Expenditure Study'!$B$31</f>
        <v>0</v>
      </c>
      <c r="Y690" s="199">
        <f ca="1">U690*'Expenditure Study'!$B$31</f>
        <v>2167171.0717440001</v>
      </c>
      <c r="Z690" s="200">
        <f ca="1">W690*'Expenditure Study'!$B$31</f>
        <v>0</v>
      </c>
      <c r="AA690" s="195">
        <f t="shared" ca="1" si="148"/>
        <v>2167171.0717440001</v>
      </c>
      <c r="AB690" s="195">
        <f t="shared" ca="1" si="149"/>
        <v>2167171.0717440001</v>
      </c>
      <c r="AD690" s="196">
        <f>IFERROR($G690/SUMIF($A:$A,$A690,$G:$G)*SUMIF(Summary!$A$166:$A$242,$A690,Summary!$P$166:$P$242),0)</f>
        <v>363351.20851050841</v>
      </c>
      <c r="AE690" s="197">
        <f t="shared" ca="1" si="150"/>
        <v>1803819.8632334918</v>
      </c>
      <c r="AF690" s="196">
        <f>IFERROR(G690/SUMIF(A:A,A690,G:G)*SUMIF(Summary!$A$166:$A$242,'Operations Support'!A690,Summary!$Q$166:$Q$242),0)</f>
        <v>363590.70286574832</v>
      </c>
      <c r="AG690" s="196">
        <f t="shared" ca="1" si="151"/>
        <v>1803580.3688782519</v>
      </c>
      <c r="AI690" s="196">
        <f>IFERROR($G690/SUMIF($A:$A,$A690,$G:$G)*SUMIF(Summary!$A$247:$A$283,$A690,Summary!$P$247:$P$283),0)</f>
        <v>66266.193103981612</v>
      </c>
      <c r="AJ690" s="196">
        <f>IFERROR($G690/SUMIF($A:$A,$A690,$G:$G)*(SUMIF(Summary!$A$247:$A$283,$A690,Summary!$L$247:$L$283)+SUMIF(Summary!$A$297:$A$333,$A690,Summary!$L$297:$L$333))-AI690,0)</f>
        <v>200448.44880246278</v>
      </c>
      <c r="AK690" s="196">
        <f>IFERROR($G690/SUMIF($A:$A,$A690,$G:$G)*SUMIF(Summary!$A$247:$A$283,$A690,Summary!$Q$247:$Q$283),0)</f>
        <v>66309.870897862347</v>
      </c>
      <c r="AL690" s="196">
        <f>IFERROR($G690/SUMIF($A:$A,$A690,$G:$G)*(SUMIF(Summary!$A$247:$A$283,$A690,Summary!$L$247:$L$283)+SUMIF(Summary!$A$297:$A$333,$A690,Summary!$L$297:$L$333))-AK690,0)</f>
        <v>200404.77100858203</v>
      </c>
      <c r="AM690" s="198"/>
      <c r="AN690" s="196">
        <f t="shared" ca="1" si="152"/>
        <v>2004268.3120359546</v>
      </c>
      <c r="AO690" s="196">
        <f t="shared" ca="1" si="153"/>
        <v>2003985.139886834</v>
      </c>
    </row>
    <row r="691" spans="1:41">
      <c r="A691" s="189">
        <v>3599</v>
      </c>
      <c r="B691" s="203">
        <v>3</v>
      </c>
      <c r="C691" s="191" t="s">
        <v>234</v>
      </c>
      <c r="D691" s="192">
        <f t="shared" si="140"/>
        <v>0</v>
      </c>
      <c r="E691" s="192">
        <f t="shared" si="141"/>
        <v>0</v>
      </c>
      <c r="F691" s="192">
        <f t="shared" si="142"/>
        <v>0</v>
      </c>
      <c r="G691" s="193">
        <f t="shared" si="143"/>
        <v>0</v>
      </c>
      <c r="H691" s="194">
        <v>0</v>
      </c>
      <c r="I691" s="194">
        <v>0</v>
      </c>
      <c r="J691" s="194">
        <v>0</v>
      </c>
      <c r="K691" s="193">
        <f t="shared" si="144"/>
        <v>0</v>
      </c>
      <c r="L691" s="194">
        <v>0</v>
      </c>
      <c r="M691" s="194">
        <v>0</v>
      </c>
      <c r="N691" s="194">
        <v>0</v>
      </c>
      <c r="O691" s="193">
        <f t="shared" si="145"/>
        <v>0</v>
      </c>
      <c r="P691" s="194">
        <v>0</v>
      </c>
      <c r="Q691" s="194">
        <v>0</v>
      </c>
      <c r="R691" s="194">
        <v>0</v>
      </c>
      <c r="S691" s="193">
        <f t="shared" si="146"/>
        <v>0</v>
      </c>
      <c r="T691" s="193">
        <f t="shared" si="147"/>
        <v>0</v>
      </c>
      <c r="U691" s="193">
        <f ca="1">OFFSET('Expenditure Study'!$B$7,'Operations Support'!$C691,'Operations Support'!$B691)*$G691</f>
        <v>0</v>
      </c>
      <c r="V691" s="199">
        <f ca="1">U691*'Expenditure Study'!$B$31</f>
        <v>0</v>
      </c>
      <c r="W691" s="199">
        <f ca="1">IF(A691=10298,1.51,1)*IF($B691&lt;3,$D691*'Expenditure Study'!$B$32*OFFSET('Expenditure Study'!$B$7,'Operations Support'!$C691,'Operations Support'!$B691),0)</f>
        <v>0</v>
      </c>
      <c r="X691" s="200">
        <f ca="1">W691*'Expenditure Study'!$B$31</f>
        <v>0</v>
      </c>
      <c r="Y691" s="199">
        <f ca="1">U691*'Expenditure Study'!$B$31</f>
        <v>0</v>
      </c>
      <c r="Z691" s="200">
        <f ca="1">W691*'Expenditure Study'!$B$31</f>
        <v>0</v>
      </c>
      <c r="AA691" s="195">
        <f t="shared" ca="1" si="148"/>
        <v>0</v>
      </c>
      <c r="AB691" s="195">
        <f t="shared" ca="1" si="149"/>
        <v>0</v>
      </c>
      <c r="AD691" s="196">
        <f>IFERROR($G691/SUMIF($A:$A,$A691,$G:$G)*SUMIF(Summary!$A$166:$A$242,$A691,Summary!$P$166:$P$242),0)</f>
        <v>0</v>
      </c>
      <c r="AE691" s="197">
        <f t="shared" ca="1" si="150"/>
        <v>0</v>
      </c>
      <c r="AF691" s="196">
        <f>IFERROR(G691/SUMIF(A:A,A691,G:G)*SUMIF(Summary!$A$166:$A$242,'Operations Support'!A691,Summary!$Q$166:$Q$242),0)</f>
        <v>0</v>
      </c>
      <c r="AG691" s="196">
        <f t="shared" ca="1" si="151"/>
        <v>0</v>
      </c>
      <c r="AI691" s="196">
        <f>IFERROR($G691/SUMIF($A:$A,$A691,$G:$G)*SUMIF(Summary!$A$247:$A$283,$A691,Summary!$P$247:$P$283),0)</f>
        <v>0</v>
      </c>
      <c r="AJ691" s="196">
        <f>IFERROR($G691/SUMIF($A:$A,$A691,$G:$G)*(SUMIF(Summary!$A$247:$A$283,$A691,Summary!$L$247:$L$283)+SUMIF(Summary!$A$297:$A$333,$A691,Summary!$L$297:$L$333))-AI691,0)</f>
        <v>0</v>
      </c>
      <c r="AK691" s="196">
        <f>IFERROR($G691/SUMIF($A:$A,$A691,$G:$G)*SUMIF(Summary!$A$247:$A$283,$A691,Summary!$Q$247:$Q$283),0)</f>
        <v>0</v>
      </c>
      <c r="AL691" s="196">
        <f>IFERROR($G691/SUMIF($A:$A,$A691,$G:$G)*(SUMIF(Summary!$A$247:$A$283,$A691,Summary!$L$247:$L$283)+SUMIF(Summary!$A$297:$A$333,$A691,Summary!$L$297:$L$333))-AK691,0)</f>
        <v>0</v>
      </c>
      <c r="AM691" s="198"/>
      <c r="AN691" s="196">
        <f t="shared" ca="1" si="152"/>
        <v>0</v>
      </c>
      <c r="AO691" s="196">
        <f t="shared" ca="1" si="153"/>
        <v>0</v>
      </c>
    </row>
    <row r="692" spans="1:41" s="201" customFormat="1">
      <c r="A692" s="189">
        <v>3599</v>
      </c>
      <c r="B692" s="203">
        <v>3</v>
      </c>
      <c r="C692" s="191" t="s">
        <v>235</v>
      </c>
      <c r="D692" s="192">
        <f t="shared" si="140"/>
        <v>10308</v>
      </c>
      <c r="E692" s="192">
        <f t="shared" si="141"/>
        <v>2757</v>
      </c>
      <c r="F692" s="192">
        <f t="shared" si="142"/>
        <v>0</v>
      </c>
      <c r="G692" s="193">
        <f t="shared" si="143"/>
        <v>13065</v>
      </c>
      <c r="H692" s="194">
        <v>3840</v>
      </c>
      <c r="I692" s="194">
        <v>648</v>
      </c>
      <c r="J692" s="194">
        <v>0</v>
      </c>
      <c r="K692" s="193">
        <f t="shared" si="144"/>
        <v>4488</v>
      </c>
      <c r="L692" s="194">
        <v>1998</v>
      </c>
      <c r="M692" s="194">
        <v>561</v>
      </c>
      <c r="N692" s="194">
        <v>0</v>
      </c>
      <c r="O692" s="193">
        <f t="shared" si="145"/>
        <v>2559</v>
      </c>
      <c r="P692" s="194">
        <v>4470</v>
      </c>
      <c r="Q692" s="194">
        <v>1548</v>
      </c>
      <c r="R692" s="194">
        <v>0</v>
      </c>
      <c r="S692" s="193">
        <f t="shared" si="146"/>
        <v>6018</v>
      </c>
      <c r="T692" s="193">
        <f t="shared" si="147"/>
        <v>544.375</v>
      </c>
      <c r="U692" s="193">
        <f ca="1">OFFSET('Expenditure Study'!$B$7,'Operations Support'!$C692,'Operations Support'!$B692)*$G692</f>
        <v>41285.4</v>
      </c>
      <c r="V692" s="199">
        <f ca="1">U692*'Expenditure Study'!$B$31</f>
        <v>2439272.7526003201</v>
      </c>
      <c r="W692" s="199">
        <f ca="1">IF(A692=10298,1.51,1)*IF($B692&lt;3,$D692*'Expenditure Study'!$B$32*OFFSET('Expenditure Study'!$B$7,'Operations Support'!$C692,'Operations Support'!$B692),0)</f>
        <v>0</v>
      </c>
      <c r="X692" s="200">
        <f ca="1">W692*'Expenditure Study'!$B$31</f>
        <v>0</v>
      </c>
      <c r="Y692" s="199">
        <f ca="1">U692*'Expenditure Study'!$B$31</f>
        <v>2439272.7526003201</v>
      </c>
      <c r="Z692" s="200">
        <f ca="1">W692*'Expenditure Study'!$B$31</f>
        <v>0</v>
      </c>
      <c r="AA692" s="195">
        <f t="shared" ca="1" si="148"/>
        <v>2439272.7526003201</v>
      </c>
      <c r="AB692" s="195">
        <f t="shared" ca="1" si="149"/>
        <v>2439272.7526003201</v>
      </c>
      <c r="AD692" s="196">
        <f>IFERROR($G692/SUMIF($A:$A,$A692,$G:$G)*SUMIF(Summary!$A$166:$A$242,$A692,Summary!$P$166:$P$242),0)</f>
        <v>339084.53851355665</v>
      </c>
      <c r="AE692" s="197">
        <f t="shared" ca="1" si="150"/>
        <v>2100188.2140867636</v>
      </c>
      <c r="AF692" s="196">
        <f>IFERROR(G692/SUMIF(A:A,A692,G:G)*SUMIF(Summary!$A$166:$A$242,'Operations Support'!A692,Summary!$Q$166:$Q$242),0)</f>
        <v>339308.03806721448</v>
      </c>
      <c r="AG692" s="196">
        <f t="shared" ca="1" si="151"/>
        <v>2099964.7145331055</v>
      </c>
      <c r="AH692" s="180"/>
      <c r="AI692" s="196">
        <f>IFERROR($G692/SUMIF($A:$A,$A692,$G:$G)*SUMIF(Summary!$A$247:$A$283,$A692,Summary!$P$247:$P$283),0)</f>
        <v>61840.55806453713</v>
      </c>
      <c r="AJ692" s="196">
        <f>IFERROR($G692/SUMIF($A:$A,$A692,$G:$G)*(SUMIF(Summary!$A$247:$A$283,$A692,Summary!$L$247:$L$283)+SUMIF(Summary!$A$297:$A$333,$A692,Summary!$L$297:$L$333))-AI692,0)</f>
        <v>187061.35597172691</v>
      </c>
      <c r="AK692" s="196">
        <f>IFERROR($G692/SUMIF($A:$A,$A692,$G:$G)*SUMIF(Summary!$A$247:$A$283,$A692,Summary!$Q$247:$Q$283),0)</f>
        <v>61881.318805755123</v>
      </c>
      <c r="AL692" s="196">
        <f>IFERROR($G692/SUMIF($A:$A,$A692,$G:$G)*(SUMIF(Summary!$A$247:$A$283,$A692,Summary!$L$247:$L$283)+SUMIF(Summary!$A$297:$A$333,$A692,Summary!$L$297:$L$333))-AK692,0)</f>
        <v>187020.59523050892</v>
      </c>
      <c r="AM692" s="198"/>
      <c r="AN692" s="196">
        <f t="shared" ca="1" si="152"/>
        <v>2287249.5700584906</v>
      </c>
      <c r="AO692" s="196">
        <f t="shared" ca="1" si="153"/>
        <v>2286985.3097636146</v>
      </c>
    </row>
    <row r="693" spans="1:41">
      <c r="A693" s="189">
        <v>3599</v>
      </c>
      <c r="B693" s="203">
        <v>3</v>
      </c>
      <c r="C693" s="191" t="s">
        <v>236</v>
      </c>
      <c r="D693" s="192">
        <f t="shared" si="140"/>
        <v>0</v>
      </c>
      <c r="E693" s="192">
        <f t="shared" si="141"/>
        <v>0</v>
      </c>
      <c r="F693" s="192">
        <f t="shared" si="142"/>
        <v>0</v>
      </c>
      <c r="G693" s="193">
        <f t="shared" si="143"/>
        <v>0</v>
      </c>
      <c r="H693" s="194">
        <v>0</v>
      </c>
      <c r="I693" s="194">
        <v>0</v>
      </c>
      <c r="J693" s="194">
        <v>0</v>
      </c>
      <c r="K693" s="193">
        <f t="shared" si="144"/>
        <v>0</v>
      </c>
      <c r="L693" s="194">
        <v>0</v>
      </c>
      <c r="M693" s="194">
        <v>0</v>
      </c>
      <c r="N693" s="194">
        <v>0</v>
      </c>
      <c r="O693" s="193">
        <f t="shared" si="145"/>
        <v>0</v>
      </c>
      <c r="P693" s="194">
        <v>0</v>
      </c>
      <c r="Q693" s="194">
        <v>0</v>
      </c>
      <c r="R693" s="194">
        <v>0</v>
      </c>
      <c r="S693" s="193">
        <f t="shared" si="146"/>
        <v>0</v>
      </c>
      <c r="T693" s="193">
        <f t="shared" si="147"/>
        <v>0</v>
      </c>
      <c r="U693" s="193">
        <f ca="1">OFFSET('Expenditure Study'!$B$7,'Operations Support'!$C693,'Operations Support'!$B693)*$G693</f>
        <v>0</v>
      </c>
      <c r="V693" s="199">
        <f ca="1">U693*'Expenditure Study'!$B$31</f>
        <v>0</v>
      </c>
      <c r="W693" s="199">
        <f ca="1">IF(A693=10298,1.51,1)*IF($B693&lt;3,$D693*'Expenditure Study'!$B$32*OFFSET('Expenditure Study'!$B$7,'Operations Support'!$C693,'Operations Support'!$B693),0)</f>
        <v>0</v>
      </c>
      <c r="X693" s="200">
        <f ca="1">W693*'Expenditure Study'!$B$31</f>
        <v>0</v>
      </c>
      <c r="Y693" s="199">
        <f ca="1">U693*'Expenditure Study'!$B$31</f>
        <v>0</v>
      </c>
      <c r="Z693" s="200">
        <f ca="1">W693*'Expenditure Study'!$B$31</f>
        <v>0</v>
      </c>
      <c r="AA693" s="195">
        <f t="shared" ca="1" si="148"/>
        <v>0</v>
      </c>
      <c r="AB693" s="195">
        <f t="shared" ca="1" si="149"/>
        <v>0</v>
      </c>
      <c r="AD693" s="196">
        <f>IFERROR($G693/SUMIF($A:$A,$A693,$G:$G)*SUMIF(Summary!$A$166:$A$242,$A693,Summary!$P$166:$P$242),0)</f>
        <v>0</v>
      </c>
      <c r="AE693" s="197">
        <f t="shared" ca="1" si="150"/>
        <v>0</v>
      </c>
      <c r="AF693" s="196">
        <f>IFERROR(G693/SUMIF(A:A,A693,G:G)*SUMIF(Summary!$A$166:$A$242,'Operations Support'!A693,Summary!$Q$166:$Q$242),0)</f>
        <v>0</v>
      </c>
      <c r="AG693" s="196">
        <f t="shared" ca="1" si="151"/>
        <v>0</v>
      </c>
      <c r="AI693" s="196">
        <f>IFERROR($G693/SUMIF($A:$A,$A693,$G:$G)*SUMIF(Summary!$A$247:$A$283,$A693,Summary!$P$247:$P$283),0)</f>
        <v>0</v>
      </c>
      <c r="AJ693" s="196">
        <f>IFERROR($G693/SUMIF($A:$A,$A693,$G:$G)*(SUMIF(Summary!$A$247:$A$283,$A693,Summary!$L$247:$L$283)+SUMIF(Summary!$A$297:$A$333,$A693,Summary!$L$297:$L$333))-AI693,0)</f>
        <v>0</v>
      </c>
      <c r="AK693" s="196">
        <f>IFERROR($G693/SUMIF($A:$A,$A693,$G:$G)*SUMIF(Summary!$A$247:$A$283,$A693,Summary!$Q$247:$Q$283),0)</f>
        <v>0</v>
      </c>
      <c r="AL693" s="196">
        <f>IFERROR($G693/SUMIF($A:$A,$A693,$G:$G)*(SUMIF(Summary!$A$247:$A$283,$A693,Summary!$L$247:$L$283)+SUMIF(Summary!$A$297:$A$333,$A693,Summary!$L$297:$L$333))-AK693,0)</f>
        <v>0</v>
      </c>
      <c r="AM693" s="198"/>
      <c r="AN693" s="196">
        <f t="shared" ca="1" si="152"/>
        <v>0</v>
      </c>
      <c r="AO693" s="196">
        <f t="shared" ca="1" si="153"/>
        <v>0</v>
      </c>
    </row>
    <row r="694" spans="1:41">
      <c r="A694" s="189">
        <v>3599</v>
      </c>
      <c r="B694" s="203">
        <v>3</v>
      </c>
      <c r="C694" s="191" t="s">
        <v>237</v>
      </c>
      <c r="D694" s="192">
        <f t="shared" si="140"/>
        <v>0</v>
      </c>
      <c r="E694" s="192">
        <f t="shared" si="141"/>
        <v>0</v>
      </c>
      <c r="F694" s="192">
        <f t="shared" si="142"/>
        <v>0</v>
      </c>
      <c r="G694" s="193">
        <f t="shared" si="143"/>
        <v>0</v>
      </c>
      <c r="H694" s="194">
        <v>0</v>
      </c>
      <c r="I694" s="194">
        <v>0</v>
      </c>
      <c r="J694" s="194">
        <v>0</v>
      </c>
      <c r="K694" s="193">
        <f t="shared" si="144"/>
        <v>0</v>
      </c>
      <c r="L694" s="194">
        <v>0</v>
      </c>
      <c r="M694" s="194">
        <v>0</v>
      </c>
      <c r="N694" s="194">
        <v>0</v>
      </c>
      <c r="O694" s="193">
        <f t="shared" si="145"/>
        <v>0</v>
      </c>
      <c r="P694" s="194">
        <v>0</v>
      </c>
      <c r="Q694" s="194">
        <v>0</v>
      </c>
      <c r="R694" s="194">
        <v>0</v>
      </c>
      <c r="S694" s="193">
        <f t="shared" si="146"/>
        <v>0</v>
      </c>
      <c r="T694" s="193">
        <f t="shared" si="147"/>
        <v>0</v>
      </c>
      <c r="U694" s="193">
        <f ca="1">OFFSET('Expenditure Study'!$B$7,'Operations Support'!$C694,'Operations Support'!$B694)*$G694</f>
        <v>0</v>
      </c>
      <c r="V694" s="199">
        <f ca="1">U694*'Expenditure Study'!$B$31</f>
        <v>0</v>
      </c>
      <c r="W694" s="199">
        <f ca="1">IF(A694=10298,1.51,1)*IF($B694&lt;3,$D694*'Expenditure Study'!$B$32*OFFSET('Expenditure Study'!$B$7,'Operations Support'!$C694,'Operations Support'!$B694),0)</f>
        <v>0</v>
      </c>
      <c r="X694" s="200">
        <f ca="1">W694*'Expenditure Study'!$B$31</f>
        <v>0</v>
      </c>
      <c r="Y694" s="199">
        <f ca="1">U694*'Expenditure Study'!$B$31</f>
        <v>0</v>
      </c>
      <c r="Z694" s="200">
        <f ca="1">W694*'Expenditure Study'!$B$31</f>
        <v>0</v>
      </c>
      <c r="AA694" s="195">
        <f t="shared" ca="1" si="148"/>
        <v>0</v>
      </c>
      <c r="AB694" s="195">
        <f t="shared" ca="1" si="149"/>
        <v>0</v>
      </c>
      <c r="AD694" s="196">
        <f>IFERROR($G694/SUMIF($A:$A,$A694,$G:$G)*SUMIF(Summary!$A$166:$A$242,$A694,Summary!$P$166:$P$242),0)</f>
        <v>0</v>
      </c>
      <c r="AE694" s="197">
        <f t="shared" ca="1" si="150"/>
        <v>0</v>
      </c>
      <c r="AF694" s="196">
        <f>IFERROR(G694/SUMIF(A:A,A694,G:G)*SUMIF(Summary!$A$166:$A$242,'Operations Support'!A694,Summary!$Q$166:$Q$242),0)</f>
        <v>0</v>
      </c>
      <c r="AG694" s="196">
        <f t="shared" ca="1" si="151"/>
        <v>0</v>
      </c>
      <c r="AI694" s="196">
        <f>IFERROR($G694/SUMIF($A:$A,$A694,$G:$G)*SUMIF(Summary!$A$247:$A$283,$A694,Summary!$P$247:$P$283),0)</f>
        <v>0</v>
      </c>
      <c r="AJ694" s="196">
        <f>IFERROR($G694/SUMIF($A:$A,$A694,$G:$G)*(SUMIF(Summary!$A$247:$A$283,$A694,Summary!$L$247:$L$283)+SUMIF(Summary!$A$297:$A$333,$A694,Summary!$L$297:$L$333))-AI694,0)</f>
        <v>0</v>
      </c>
      <c r="AK694" s="196">
        <f>IFERROR($G694/SUMIF($A:$A,$A694,$G:$G)*SUMIF(Summary!$A$247:$A$283,$A694,Summary!$Q$247:$Q$283),0)</f>
        <v>0</v>
      </c>
      <c r="AL694" s="196">
        <f>IFERROR($G694/SUMIF($A:$A,$A694,$G:$G)*(SUMIF(Summary!$A$247:$A$283,$A694,Summary!$L$247:$L$283)+SUMIF(Summary!$A$297:$A$333,$A694,Summary!$L$297:$L$333))-AK694,0)</f>
        <v>0</v>
      </c>
      <c r="AM694" s="198"/>
      <c r="AN694" s="196">
        <f t="shared" ca="1" si="152"/>
        <v>0</v>
      </c>
      <c r="AO694" s="196">
        <f t="shared" ca="1" si="153"/>
        <v>0</v>
      </c>
    </row>
    <row r="695" spans="1:41">
      <c r="A695" s="189">
        <v>3599</v>
      </c>
      <c r="B695" s="203">
        <v>3</v>
      </c>
      <c r="C695" s="191" t="s">
        <v>238</v>
      </c>
      <c r="D695" s="192">
        <f t="shared" si="140"/>
        <v>639</v>
      </c>
      <c r="E695" s="192">
        <f t="shared" si="141"/>
        <v>195</v>
      </c>
      <c r="F695" s="192">
        <f t="shared" si="142"/>
        <v>0</v>
      </c>
      <c r="G695" s="193">
        <f t="shared" si="143"/>
        <v>834</v>
      </c>
      <c r="H695" s="194">
        <v>264</v>
      </c>
      <c r="I695" s="194">
        <v>33</v>
      </c>
      <c r="J695" s="194">
        <v>0</v>
      </c>
      <c r="K695" s="193">
        <f t="shared" si="144"/>
        <v>297</v>
      </c>
      <c r="L695" s="194">
        <v>192</v>
      </c>
      <c r="M695" s="194">
        <v>87</v>
      </c>
      <c r="N695" s="194">
        <v>0</v>
      </c>
      <c r="O695" s="193">
        <f t="shared" si="145"/>
        <v>279</v>
      </c>
      <c r="P695" s="194">
        <v>183</v>
      </c>
      <c r="Q695" s="194">
        <v>75</v>
      </c>
      <c r="R695" s="194">
        <v>0</v>
      </c>
      <c r="S695" s="193">
        <f t="shared" si="146"/>
        <v>258</v>
      </c>
      <c r="T695" s="193">
        <f t="shared" si="147"/>
        <v>34.75</v>
      </c>
      <c r="U695" s="193">
        <f ca="1">OFFSET('Expenditure Study'!$B$7,'Operations Support'!$C695,'Operations Support'!$B695)*$G695</f>
        <v>4870.5599999999995</v>
      </c>
      <c r="V695" s="199">
        <f ca="1">U695*'Expenditure Study'!$B$31</f>
        <v>287768.17707724799</v>
      </c>
      <c r="W695" s="199">
        <f ca="1">IF(A695=10298,1.51,1)*IF($B695&lt;3,$D695*'Expenditure Study'!$B$32*OFFSET('Expenditure Study'!$B$7,'Operations Support'!$C695,'Operations Support'!$B695),0)</f>
        <v>0</v>
      </c>
      <c r="X695" s="200">
        <f ca="1">W695*'Expenditure Study'!$B$31</f>
        <v>0</v>
      </c>
      <c r="Y695" s="199">
        <f ca="1">U695*'Expenditure Study'!$B$31</f>
        <v>287768.17707724799</v>
      </c>
      <c r="Z695" s="200">
        <f ca="1">W695*'Expenditure Study'!$B$31</f>
        <v>0</v>
      </c>
      <c r="AA695" s="195">
        <f t="shared" ca="1" si="148"/>
        <v>287768.17707724799</v>
      </c>
      <c r="AB695" s="195">
        <f t="shared" ca="1" si="149"/>
        <v>287768.17707724799</v>
      </c>
      <c r="AD695" s="196">
        <f>IFERROR($G695/SUMIF($A:$A,$A695,$G:$G)*SUMIF(Summary!$A$166:$A$242,$A695,Summary!$P$166:$P$242),0)</f>
        <v>21645.350564126002</v>
      </c>
      <c r="AE695" s="197">
        <f t="shared" ca="1" si="150"/>
        <v>266122.82651312201</v>
      </c>
      <c r="AF695" s="196">
        <f>IFERROR(G695/SUMIF(A:A,A695,G:G)*SUMIF(Summary!$A$166:$A$242,'Operations Support'!A695,Summary!$Q$166:$Q$242),0)</f>
        <v>21659.617585002437</v>
      </c>
      <c r="AG695" s="196">
        <f t="shared" ca="1" si="151"/>
        <v>266108.55949224555</v>
      </c>
      <c r="AI695" s="196">
        <f>IFERROR($G695/SUMIF($A:$A,$A695,$G:$G)*SUMIF(Summary!$A$247:$A$283,$A695,Summary!$P$247:$P$283),0)</f>
        <v>3947.5717891943332</v>
      </c>
      <c r="AJ695" s="196">
        <f>IFERROR($G695/SUMIF($A:$A,$A695,$G:$G)*(SUMIF(Summary!$A$247:$A$283,$A695,Summary!$L$247:$L$283)+SUMIF(Summary!$A$297:$A$333,$A695,Summary!$L$297:$L$333))-AI695,0)</f>
        <v>11941.00045008957</v>
      </c>
      <c r="AK695" s="196">
        <f>IFERROR($G695/SUMIF($A:$A,$A695,$G:$G)*SUMIF(Summary!$A$247:$A$283,$A695,Summary!$Q$247:$Q$283),0)</f>
        <v>3950.1737377726572</v>
      </c>
      <c r="AL695" s="196">
        <f>IFERROR($G695/SUMIF($A:$A,$A695,$G:$G)*(SUMIF(Summary!$A$247:$A$283,$A695,Summary!$L$247:$L$283)+SUMIF(Summary!$A$297:$A$333,$A695,Summary!$L$297:$L$333))-AK695,0)</f>
        <v>11938.398501511247</v>
      </c>
      <c r="AM695" s="198"/>
      <c r="AN695" s="196">
        <f t="shared" ca="1" si="152"/>
        <v>278063.82696321158</v>
      </c>
      <c r="AO695" s="196">
        <f t="shared" ca="1" si="153"/>
        <v>278046.95799375681</v>
      </c>
    </row>
    <row r="696" spans="1:41">
      <c r="A696" s="189">
        <v>3599</v>
      </c>
      <c r="B696" s="203">
        <v>3</v>
      </c>
      <c r="C696" s="191" t="s">
        <v>239</v>
      </c>
      <c r="D696" s="192">
        <f t="shared" si="140"/>
        <v>309</v>
      </c>
      <c r="E696" s="192">
        <f t="shared" si="141"/>
        <v>1020</v>
      </c>
      <c r="F696" s="192">
        <f t="shared" si="142"/>
        <v>0</v>
      </c>
      <c r="G696" s="193">
        <f t="shared" si="143"/>
        <v>1329</v>
      </c>
      <c r="H696" s="194">
        <v>117</v>
      </c>
      <c r="I696" s="194">
        <v>342</v>
      </c>
      <c r="J696" s="194">
        <v>0</v>
      </c>
      <c r="K696" s="193">
        <f t="shared" si="144"/>
        <v>459</v>
      </c>
      <c r="L696" s="194">
        <v>87</v>
      </c>
      <c r="M696" s="194">
        <v>460</v>
      </c>
      <c r="N696" s="194">
        <v>0</v>
      </c>
      <c r="O696" s="193">
        <f t="shared" si="145"/>
        <v>547</v>
      </c>
      <c r="P696" s="194">
        <v>105</v>
      </c>
      <c r="Q696" s="194">
        <v>218</v>
      </c>
      <c r="R696" s="194">
        <v>0</v>
      </c>
      <c r="S696" s="193">
        <f t="shared" si="146"/>
        <v>323</v>
      </c>
      <c r="T696" s="193">
        <f t="shared" si="147"/>
        <v>55.375</v>
      </c>
      <c r="U696" s="193">
        <f ca="1">OFFSET('Expenditure Study'!$B$7,'Operations Support'!$C696,'Operations Support'!$B696)*$G696</f>
        <v>3614.88</v>
      </c>
      <c r="V696" s="199">
        <f ca="1">U696*'Expenditure Study'!$B$31</f>
        <v>213578.60861030401</v>
      </c>
      <c r="W696" s="199">
        <f ca="1">IF(A696=10298,1.51,1)*IF($B696&lt;3,$D696*'Expenditure Study'!$B$32*OFFSET('Expenditure Study'!$B$7,'Operations Support'!$C696,'Operations Support'!$B696),0)</f>
        <v>0</v>
      </c>
      <c r="X696" s="200">
        <f ca="1">W696*'Expenditure Study'!$B$31</f>
        <v>0</v>
      </c>
      <c r="Y696" s="199">
        <f ca="1">U696*'Expenditure Study'!$B$31</f>
        <v>213578.60861030401</v>
      </c>
      <c r="Z696" s="200">
        <f ca="1">W696*'Expenditure Study'!$B$31</f>
        <v>0</v>
      </c>
      <c r="AA696" s="195">
        <f t="shared" ca="1" si="148"/>
        <v>213578.60861030401</v>
      </c>
      <c r="AB696" s="195">
        <f t="shared" ca="1" si="149"/>
        <v>213578.60861030401</v>
      </c>
      <c r="AD696" s="196">
        <f>IFERROR($G696/SUMIF($A:$A,$A696,$G:$G)*SUMIF(Summary!$A$166:$A$242,$A696,Summary!$P$166:$P$242),0)</f>
        <v>34492.411150747554</v>
      </c>
      <c r="AE696" s="197">
        <f t="shared" ca="1" si="150"/>
        <v>179086.19745955645</v>
      </c>
      <c r="AF696" s="196">
        <f>IFERROR(G696/SUMIF(A:A,A696,G:G)*SUMIF(Summary!$A$166:$A$242,'Operations Support'!A696,Summary!$Q$166:$Q$242),0)</f>
        <v>34515.146007755684</v>
      </c>
      <c r="AG696" s="196">
        <f t="shared" ca="1" si="151"/>
        <v>179063.46260254833</v>
      </c>
      <c r="AI696" s="196">
        <f>IFERROR($G696/SUMIF($A:$A,$A696,$G:$G)*SUMIF(Summary!$A$247:$A$283,$A696,Summary!$P$247:$P$283),0)</f>
        <v>6290.5550453708265</v>
      </c>
      <c r="AJ696" s="196">
        <f>IFERROR($G696/SUMIF($A:$A,$A696,$G:$G)*(SUMIF(Summary!$A$247:$A$283,$A696,Summary!$L$247:$L$283)+SUMIF(Summary!$A$297:$A$333,$A696,Summary!$L$297:$L$333))-AI696,0)</f>
        <v>19028.284889890932</v>
      </c>
      <c r="AK696" s="196">
        <f>IFERROR($G696/SUMIF($A:$A,$A696,$G:$G)*SUMIF(Summary!$A$247:$A$283,$A696,Summary!$Q$247:$Q$283),0)</f>
        <v>6294.7013159470762</v>
      </c>
      <c r="AL696" s="196">
        <f>IFERROR($G696/SUMIF($A:$A,$A696,$G:$G)*(SUMIF(Summary!$A$247:$A$283,$A696,Summary!$L$247:$L$283)+SUMIF(Summary!$A$297:$A$333,$A696,Summary!$L$297:$L$333))-AK696,0)</f>
        <v>19024.138619314683</v>
      </c>
      <c r="AM696" s="198"/>
      <c r="AN696" s="196">
        <f t="shared" ca="1" si="152"/>
        <v>198114.48234944738</v>
      </c>
      <c r="AO696" s="196">
        <f t="shared" ca="1" si="153"/>
        <v>198087.60122186301</v>
      </c>
    </row>
    <row r="697" spans="1:41">
      <c r="A697" s="189">
        <v>3599</v>
      </c>
      <c r="B697" s="203">
        <v>3</v>
      </c>
      <c r="C697" s="191" t="s">
        <v>240</v>
      </c>
      <c r="D697" s="192">
        <f t="shared" si="140"/>
        <v>0</v>
      </c>
      <c r="E697" s="192">
        <f t="shared" si="141"/>
        <v>0</v>
      </c>
      <c r="F697" s="192">
        <f t="shared" si="142"/>
        <v>0</v>
      </c>
      <c r="G697" s="193">
        <f t="shared" si="143"/>
        <v>0</v>
      </c>
      <c r="H697" s="194">
        <v>0</v>
      </c>
      <c r="I697" s="194">
        <v>0</v>
      </c>
      <c r="J697" s="194">
        <v>0</v>
      </c>
      <c r="K697" s="193">
        <f t="shared" si="144"/>
        <v>0</v>
      </c>
      <c r="L697" s="194">
        <v>0</v>
      </c>
      <c r="M697" s="194">
        <v>0</v>
      </c>
      <c r="N697" s="194">
        <v>0</v>
      </c>
      <c r="O697" s="193">
        <f t="shared" si="145"/>
        <v>0</v>
      </c>
      <c r="P697" s="194">
        <v>0</v>
      </c>
      <c r="Q697" s="194">
        <v>0</v>
      </c>
      <c r="R697" s="194">
        <v>0</v>
      </c>
      <c r="S697" s="193">
        <f t="shared" si="146"/>
        <v>0</v>
      </c>
      <c r="T697" s="193">
        <f t="shared" si="147"/>
        <v>0</v>
      </c>
      <c r="U697" s="193">
        <f ca="1">OFFSET('Expenditure Study'!$B$7,'Operations Support'!$C697,'Operations Support'!$B697)*$G697</f>
        <v>0</v>
      </c>
      <c r="V697" s="199">
        <f ca="1">U697*'Expenditure Study'!$B$31</f>
        <v>0</v>
      </c>
      <c r="W697" s="199">
        <f ca="1">IF(A697=10298,1.51,1)*IF($B697&lt;3,$D697*'Expenditure Study'!$B$32*OFFSET('Expenditure Study'!$B$7,'Operations Support'!$C697,'Operations Support'!$B697),0)</f>
        <v>0</v>
      </c>
      <c r="X697" s="200">
        <f ca="1">W697*'Expenditure Study'!$B$31</f>
        <v>0</v>
      </c>
      <c r="Y697" s="199">
        <f ca="1">U697*'Expenditure Study'!$B$31</f>
        <v>0</v>
      </c>
      <c r="Z697" s="200">
        <f ca="1">W697*'Expenditure Study'!$B$31</f>
        <v>0</v>
      </c>
      <c r="AA697" s="195">
        <f t="shared" ca="1" si="148"/>
        <v>0</v>
      </c>
      <c r="AB697" s="195">
        <f t="shared" ca="1" si="149"/>
        <v>0</v>
      </c>
      <c r="AD697" s="196">
        <f>IFERROR($G697/SUMIF($A:$A,$A697,$G:$G)*SUMIF(Summary!$A$166:$A$242,$A697,Summary!$P$166:$P$242),0)</f>
        <v>0</v>
      </c>
      <c r="AE697" s="197">
        <f t="shared" ca="1" si="150"/>
        <v>0</v>
      </c>
      <c r="AF697" s="196">
        <f>IFERROR(G697/SUMIF(A:A,A697,G:G)*SUMIF(Summary!$A$166:$A$242,'Operations Support'!A697,Summary!$Q$166:$Q$242),0)</f>
        <v>0</v>
      </c>
      <c r="AG697" s="196">
        <f t="shared" ca="1" si="151"/>
        <v>0</v>
      </c>
      <c r="AI697" s="196">
        <f>IFERROR($G697/SUMIF($A:$A,$A697,$G:$G)*SUMIF(Summary!$A$247:$A$283,$A697,Summary!$P$247:$P$283),0)</f>
        <v>0</v>
      </c>
      <c r="AJ697" s="196">
        <f>IFERROR($G697/SUMIF($A:$A,$A697,$G:$G)*(SUMIF(Summary!$A$247:$A$283,$A697,Summary!$L$247:$L$283)+SUMIF(Summary!$A$297:$A$333,$A697,Summary!$L$297:$L$333))-AI697,0)</f>
        <v>0</v>
      </c>
      <c r="AK697" s="196">
        <f>IFERROR($G697/SUMIF($A:$A,$A697,$G:$G)*SUMIF(Summary!$A$247:$A$283,$A697,Summary!$Q$247:$Q$283),0)</f>
        <v>0</v>
      </c>
      <c r="AL697" s="196">
        <f>IFERROR($G697/SUMIF($A:$A,$A697,$G:$G)*(SUMIF(Summary!$A$247:$A$283,$A697,Summary!$L$247:$L$283)+SUMIF(Summary!$A$297:$A$333,$A697,Summary!$L$297:$L$333))-AK697,0)</f>
        <v>0</v>
      </c>
      <c r="AM697" s="198"/>
      <c r="AN697" s="196">
        <f t="shared" ca="1" si="152"/>
        <v>0</v>
      </c>
      <c r="AO697" s="196">
        <f t="shared" ca="1" si="153"/>
        <v>0</v>
      </c>
    </row>
    <row r="698" spans="1:41">
      <c r="A698" s="189">
        <v>3599</v>
      </c>
      <c r="B698" s="203">
        <v>4</v>
      </c>
      <c r="C698" s="191" t="s">
        <v>220</v>
      </c>
      <c r="D698" s="192">
        <f t="shared" si="140"/>
        <v>799</v>
      </c>
      <c r="E698" s="192">
        <f t="shared" si="141"/>
        <v>124</v>
      </c>
      <c r="F698" s="192">
        <f t="shared" si="142"/>
        <v>0</v>
      </c>
      <c r="G698" s="193">
        <f t="shared" si="143"/>
        <v>923</v>
      </c>
      <c r="H698" s="194">
        <v>294</v>
      </c>
      <c r="I698" s="194">
        <v>51</v>
      </c>
      <c r="J698" s="194">
        <v>0</v>
      </c>
      <c r="K698" s="193">
        <f t="shared" si="144"/>
        <v>345</v>
      </c>
      <c r="L698" s="194">
        <v>364</v>
      </c>
      <c r="M698" s="194">
        <v>64</v>
      </c>
      <c r="N698" s="194">
        <v>0</v>
      </c>
      <c r="O698" s="193">
        <f t="shared" si="145"/>
        <v>428</v>
      </c>
      <c r="P698" s="194">
        <v>141</v>
      </c>
      <c r="Q698" s="194">
        <v>9</v>
      </c>
      <c r="R698" s="194">
        <v>0</v>
      </c>
      <c r="S698" s="193">
        <f t="shared" si="146"/>
        <v>150</v>
      </c>
      <c r="T698" s="193">
        <f t="shared" si="147"/>
        <v>51.277777777777779</v>
      </c>
      <c r="U698" s="193">
        <f ca="1">OFFSET('Expenditure Study'!$B$7,'Operations Support'!$C698,'Operations Support'!$B698)*$G698</f>
        <v>13595.79</v>
      </c>
      <c r="V698" s="199">
        <f ca="1">U698*'Expenditure Study'!$B$31</f>
        <v>803282.51868883206</v>
      </c>
      <c r="W698" s="199">
        <f ca="1">IF(A698=10298,1.51,1)*IF($B698&lt;3,$D698*'Expenditure Study'!$B$32*OFFSET('Expenditure Study'!$B$7,'Operations Support'!$C698,'Operations Support'!$B698),0)</f>
        <v>0</v>
      </c>
      <c r="X698" s="200">
        <f ca="1">W698*'Expenditure Study'!$B$31</f>
        <v>0</v>
      </c>
      <c r="Y698" s="199">
        <f ca="1">U698*'Expenditure Study'!$B$31</f>
        <v>803282.51868883206</v>
      </c>
      <c r="Z698" s="200">
        <f ca="1">W698*'Expenditure Study'!$B$31</f>
        <v>0</v>
      </c>
      <c r="AA698" s="195">
        <f t="shared" ca="1" si="148"/>
        <v>803282.51868883206</v>
      </c>
      <c r="AB698" s="195">
        <f t="shared" ca="1" si="149"/>
        <v>803282.51868883206</v>
      </c>
      <c r="AD698" s="196">
        <f>IFERROR($G698/SUMIF($A:$A,$A698,$G:$G)*SUMIF(Summary!$A$166:$A$242,$A698,Summary!$P$166:$P$242),0)</f>
        <v>23955.226103942805</v>
      </c>
      <c r="AE698" s="197">
        <f t="shared" ca="1" si="150"/>
        <v>779327.29258488922</v>
      </c>
      <c r="AF698" s="196">
        <f>IFERROR(G698/SUMIF(A:A,A698,G:G)*SUMIF(Summary!$A$166:$A$242,'Operations Support'!A698,Summary!$Q$166:$Q$242),0)</f>
        <v>23971.015624648979</v>
      </c>
      <c r="AG698" s="196">
        <f t="shared" ca="1" si="151"/>
        <v>779311.50306418305</v>
      </c>
      <c r="AI698" s="196">
        <f>IFERROR($G698/SUMIF($A:$A,$A698,$G:$G)*SUMIF(Summary!$A$247:$A$283,$A698,Summary!$P$247:$P$283),0)</f>
        <v>4368.8354453553593</v>
      </c>
      <c r="AJ698" s="196">
        <f>IFERROR($G698/SUMIF($A:$A,$A698,$G:$G)*(SUMIF(Summary!$A$247:$A$283,$A698,Summary!$L$247:$L$283)+SUMIF(Summary!$A$297:$A$333,$A698,Summary!$L$297:$L$333))-AI698,0)</f>
        <v>13215.279874619511</v>
      </c>
      <c r="AK698" s="196">
        <f>IFERROR($G698/SUMIF($A:$A,$A698,$G:$G)*SUMIF(Summary!$A$247:$A$283,$A698,Summary!$Q$247:$Q$283),0)</f>
        <v>4371.7150599090683</v>
      </c>
      <c r="AL698" s="196">
        <f>IFERROR($G698/SUMIF($A:$A,$A698,$G:$G)*(SUMIF(Summary!$A$247:$A$283,$A698,Summary!$L$247:$L$283)+SUMIF(Summary!$A$297:$A$333,$A698,Summary!$L$297:$L$333))-AK698,0)</f>
        <v>13212.400260065802</v>
      </c>
      <c r="AM698" s="198"/>
      <c r="AN698" s="196">
        <f t="shared" ca="1" si="152"/>
        <v>792542.57245950878</v>
      </c>
      <c r="AO698" s="196">
        <f t="shared" ca="1" si="153"/>
        <v>792523.90332424885</v>
      </c>
    </row>
    <row r="699" spans="1:41">
      <c r="A699" s="189">
        <v>3599</v>
      </c>
      <c r="B699" s="203">
        <v>4</v>
      </c>
      <c r="C699" s="191" t="s">
        <v>221</v>
      </c>
      <c r="D699" s="192">
        <f t="shared" si="140"/>
        <v>605.75</v>
      </c>
      <c r="E699" s="192">
        <f t="shared" si="141"/>
        <v>103.25</v>
      </c>
      <c r="F699" s="192">
        <f t="shared" si="142"/>
        <v>0</v>
      </c>
      <c r="G699" s="193">
        <f t="shared" si="143"/>
        <v>709</v>
      </c>
      <c r="H699" s="194">
        <v>320.75</v>
      </c>
      <c r="I699" s="194">
        <v>48.25</v>
      </c>
      <c r="J699" s="194">
        <v>0</v>
      </c>
      <c r="K699" s="193">
        <f t="shared" si="144"/>
        <v>369</v>
      </c>
      <c r="L699" s="194">
        <v>285</v>
      </c>
      <c r="M699" s="194">
        <v>55</v>
      </c>
      <c r="N699" s="194">
        <v>0</v>
      </c>
      <c r="O699" s="193">
        <f t="shared" si="145"/>
        <v>340</v>
      </c>
      <c r="P699" s="194">
        <v>0</v>
      </c>
      <c r="Q699" s="194">
        <v>0</v>
      </c>
      <c r="R699" s="194">
        <v>0</v>
      </c>
      <c r="S699" s="193">
        <f t="shared" si="146"/>
        <v>0</v>
      </c>
      <c r="T699" s="193">
        <f t="shared" si="147"/>
        <v>39.388888888888886</v>
      </c>
      <c r="U699" s="193">
        <f ca="1">OFFSET('Expenditure Study'!$B$7,'Operations Support'!$C699,'Operations Support'!$B699)*$G699</f>
        <v>15413.659999999998</v>
      </c>
      <c r="V699" s="199">
        <f ca="1">U699*'Expenditure Study'!$B$31</f>
        <v>910688.06056972791</v>
      </c>
      <c r="W699" s="199">
        <f ca="1">IF(A699=10298,1.51,1)*IF($B699&lt;3,$D699*'Expenditure Study'!$B$32*OFFSET('Expenditure Study'!$B$7,'Operations Support'!$C699,'Operations Support'!$B699),0)</f>
        <v>0</v>
      </c>
      <c r="X699" s="200">
        <f ca="1">W699*'Expenditure Study'!$B$31</f>
        <v>0</v>
      </c>
      <c r="Y699" s="199">
        <f ca="1">U699*'Expenditure Study'!$B$31</f>
        <v>910688.06056972791</v>
      </c>
      <c r="Z699" s="200">
        <f ca="1">W699*'Expenditure Study'!$B$31</f>
        <v>0</v>
      </c>
      <c r="AA699" s="195">
        <f t="shared" ca="1" si="148"/>
        <v>910688.06056972791</v>
      </c>
      <c r="AB699" s="195">
        <f t="shared" ca="1" si="149"/>
        <v>910688.06056972791</v>
      </c>
      <c r="AD699" s="196">
        <f>IFERROR($G699/SUMIF($A:$A,$A699,$G:$G)*SUMIF(Summary!$A$166:$A$242,$A699,Summary!$P$166:$P$242),0)</f>
        <v>18401.143345282177</v>
      </c>
      <c r="AE699" s="197">
        <f t="shared" ca="1" si="150"/>
        <v>892286.91722444573</v>
      </c>
      <c r="AF699" s="196">
        <f>IFERROR(G699/SUMIF(A:A,A699,G:G)*SUMIF(Summary!$A$166:$A$242,'Operations Support'!A699,Summary!$Q$166:$Q$242),0)</f>
        <v>18413.272023701113</v>
      </c>
      <c r="AG699" s="196">
        <f t="shared" ca="1" si="151"/>
        <v>892274.7885460268</v>
      </c>
      <c r="AI699" s="196">
        <f>IFERROR($G699/SUMIF($A:$A,$A699,$G:$G)*SUMIF(Summary!$A$247:$A$283,$A699,Summary!$P$247:$P$283),0)</f>
        <v>3355.9093507659259</v>
      </c>
      <c r="AJ699" s="196">
        <f>IFERROR($G699/SUMIF($A:$A,$A699,$G:$G)*(SUMIF(Summary!$A$247:$A$283,$A699,Summary!$L$247:$L$283)+SUMIF(Summary!$A$297:$A$333,$A699,Summary!$L$297:$L$333))-AI699,0)</f>
        <v>10151.282157210439</v>
      </c>
      <c r="AK699" s="196">
        <f>IFERROR($G699/SUMIF($A:$A,$A699,$G:$G)*SUMIF(Summary!$A$247:$A$283,$A699,Summary!$Q$247:$Q$283),0)</f>
        <v>3358.1213190417434</v>
      </c>
      <c r="AL699" s="196">
        <f>IFERROR($G699/SUMIF($A:$A,$A699,$G:$G)*(SUMIF(Summary!$A$247:$A$283,$A699,Summary!$L$247:$L$283)+SUMIF(Summary!$A$297:$A$333,$A699,Summary!$L$297:$L$333))-AK699,0)</f>
        <v>10149.07018893462</v>
      </c>
      <c r="AM699" s="198"/>
      <c r="AN699" s="196">
        <f t="shared" ca="1" si="152"/>
        <v>902438.19938165613</v>
      </c>
      <c r="AO699" s="196">
        <f t="shared" ca="1" si="153"/>
        <v>902423.85873496137</v>
      </c>
    </row>
    <row r="700" spans="1:41">
      <c r="A700" s="189">
        <v>3599</v>
      </c>
      <c r="B700" s="203">
        <v>4</v>
      </c>
      <c r="C700" s="191" t="s">
        <v>222</v>
      </c>
      <c r="D700" s="192">
        <f t="shared" si="140"/>
        <v>0</v>
      </c>
      <c r="E700" s="192">
        <f t="shared" si="141"/>
        <v>0</v>
      </c>
      <c r="F700" s="192">
        <f t="shared" si="142"/>
        <v>0</v>
      </c>
      <c r="G700" s="193">
        <f t="shared" si="143"/>
        <v>0</v>
      </c>
      <c r="H700" s="194">
        <v>0</v>
      </c>
      <c r="I700" s="194">
        <v>0</v>
      </c>
      <c r="J700" s="194">
        <v>0</v>
      </c>
      <c r="K700" s="193">
        <f t="shared" si="144"/>
        <v>0</v>
      </c>
      <c r="L700" s="194">
        <v>0</v>
      </c>
      <c r="M700" s="194">
        <v>0</v>
      </c>
      <c r="N700" s="194">
        <v>0</v>
      </c>
      <c r="O700" s="193">
        <f t="shared" si="145"/>
        <v>0</v>
      </c>
      <c r="P700" s="194">
        <v>0</v>
      </c>
      <c r="Q700" s="194">
        <v>0</v>
      </c>
      <c r="R700" s="194">
        <v>0</v>
      </c>
      <c r="S700" s="193">
        <f t="shared" si="146"/>
        <v>0</v>
      </c>
      <c r="T700" s="193">
        <f t="shared" si="147"/>
        <v>0</v>
      </c>
      <c r="U700" s="193">
        <f ca="1">OFFSET('Expenditure Study'!$B$7,'Operations Support'!$C700,'Operations Support'!$B700)*$G700</f>
        <v>0</v>
      </c>
      <c r="V700" s="199">
        <f ca="1">U700*'Expenditure Study'!$B$31</f>
        <v>0</v>
      </c>
      <c r="W700" s="199">
        <f ca="1">IF(A700=10298,1.51,1)*IF($B700&lt;3,$D700*'Expenditure Study'!$B$32*OFFSET('Expenditure Study'!$B$7,'Operations Support'!$C700,'Operations Support'!$B700),0)</f>
        <v>0</v>
      </c>
      <c r="X700" s="200">
        <f ca="1">W700*'Expenditure Study'!$B$31</f>
        <v>0</v>
      </c>
      <c r="Y700" s="199">
        <f ca="1">U700*'Expenditure Study'!$B$31</f>
        <v>0</v>
      </c>
      <c r="Z700" s="200">
        <f ca="1">W700*'Expenditure Study'!$B$31</f>
        <v>0</v>
      </c>
      <c r="AA700" s="195">
        <f t="shared" ca="1" si="148"/>
        <v>0</v>
      </c>
      <c r="AB700" s="195">
        <f t="shared" ca="1" si="149"/>
        <v>0</v>
      </c>
      <c r="AD700" s="196">
        <f>IFERROR($G700/SUMIF($A:$A,$A700,$G:$G)*SUMIF(Summary!$A$166:$A$242,$A700,Summary!$P$166:$P$242),0)</f>
        <v>0</v>
      </c>
      <c r="AE700" s="197">
        <f t="shared" ca="1" si="150"/>
        <v>0</v>
      </c>
      <c r="AF700" s="196">
        <f>IFERROR(G700/SUMIF(A:A,A700,G:G)*SUMIF(Summary!$A$166:$A$242,'Operations Support'!A700,Summary!$Q$166:$Q$242),0)</f>
        <v>0</v>
      </c>
      <c r="AG700" s="196">
        <f t="shared" ca="1" si="151"/>
        <v>0</v>
      </c>
      <c r="AI700" s="196">
        <f>IFERROR($G700/SUMIF($A:$A,$A700,$G:$G)*SUMIF(Summary!$A$247:$A$283,$A700,Summary!$P$247:$P$283),0)</f>
        <v>0</v>
      </c>
      <c r="AJ700" s="196">
        <f>IFERROR($G700/SUMIF($A:$A,$A700,$G:$G)*(SUMIF(Summary!$A$247:$A$283,$A700,Summary!$L$247:$L$283)+SUMIF(Summary!$A$297:$A$333,$A700,Summary!$L$297:$L$333))-AI700,0)</f>
        <v>0</v>
      </c>
      <c r="AK700" s="196">
        <f>IFERROR($G700/SUMIF($A:$A,$A700,$G:$G)*SUMIF(Summary!$A$247:$A$283,$A700,Summary!$Q$247:$Q$283),0)</f>
        <v>0</v>
      </c>
      <c r="AL700" s="196">
        <f>IFERROR($G700/SUMIF($A:$A,$A700,$G:$G)*(SUMIF(Summary!$A$247:$A$283,$A700,Summary!$L$247:$L$283)+SUMIF(Summary!$A$297:$A$333,$A700,Summary!$L$297:$L$333))-AK700,0)</f>
        <v>0</v>
      </c>
      <c r="AM700" s="198"/>
      <c r="AN700" s="196">
        <f t="shared" ca="1" si="152"/>
        <v>0</v>
      </c>
      <c r="AO700" s="196">
        <f t="shared" ca="1" si="153"/>
        <v>0</v>
      </c>
    </row>
    <row r="701" spans="1:41">
      <c r="A701" s="189">
        <v>3599</v>
      </c>
      <c r="B701" s="203">
        <v>4</v>
      </c>
      <c r="C701" s="191" t="s">
        <v>223</v>
      </c>
      <c r="D701" s="192">
        <f t="shared" si="140"/>
        <v>3429</v>
      </c>
      <c r="E701" s="192">
        <f t="shared" si="141"/>
        <v>319</v>
      </c>
      <c r="F701" s="192">
        <f t="shared" si="142"/>
        <v>76</v>
      </c>
      <c r="G701" s="193">
        <f t="shared" si="143"/>
        <v>3672</v>
      </c>
      <c r="H701" s="194">
        <v>1268</v>
      </c>
      <c r="I701" s="194">
        <v>75</v>
      </c>
      <c r="J701" s="194">
        <v>36</v>
      </c>
      <c r="K701" s="193">
        <f t="shared" si="144"/>
        <v>1307</v>
      </c>
      <c r="L701" s="194">
        <v>1289</v>
      </c>
      <c r="M701" s="194">
        <v>175</v>
      </c>
      <c r="N701" s="194">
        <v>28</v>
      </c>
      <c r="O701" s="193">
        <f t="shared" si="145"/>
        <v>1436</v>
      </c>
      <c r="P701" s="194">
        <v>872</v>
      </c>
      <c r="Q701" s="194">
        <v>69</v>
      </c>
      <c r="R701" s="194">
        <v>12</v>
      </c>
      <c r="S701" s="193">
        <f t="shared" si="146"/>
        <v>929</v>
      </c>
      <c r="T701" s="193">
        <f t="shared" si="147"/>
        <v>204</v>
      </c>
      <c r="U701" s="193">
        <f ca="1">OFFSET('Expenditure Study'!$B$7,'Operations Support'!$C701,'Operations Support'!$B701)*$G701</f>
        <v>28715.040000000001</v>
      </c>
      <c r="V701" s="199">
        <f ca="1">U701*'Expenditure Study'!$B$31</f>
        <v>1696575.899999232</v>
      </c>
      <c r="W701" s="199">
        <f ca="1">IF(A701=10298,1.51,1)*IF($B701&lt;3,$D701*'Expenditure Study'!$B$32*OFFSET('Expenditure Study'!$B$7,'Operations Support'!$C701,'Operations Support'!$B701),0)</f>
        <v>0</v>
      </c>
      <c r="X701" s="200">
        <f ca="1">W701*'Expenditure Study'!$B$31</f>
        <v>0</v>
      </c>
      <c r="Y701" s="199">
        <f ca="1">U701*'Expenditure Study'!$B$31</f>
        <v>1696575.899999232</v>
      </c>
      <c r="Z701" s="200">
        <f ca="1">W701*'Expenditure Study'!$B$31</f>
        <v>0</v>
      </c>
      <c r="AA701" s="195">
        <f t="shared" ca="1" si="148"/>
        <v>1696575.899999232</v>
      </c>
      <c r="AB701" s="195">
        <f t="shared" ca="1" si="149"/>
        <v>1696575.899999232</v>
      </c>
      <c r="AD701" s="196">
        <f>IFERROR($G701/SUMIF($A:$A,$A701,$G:$G)*SUMIF(Summary!$A$166:$A$242,$A701,Summary!$P$166:$P$242),0)</f>
        <v>95301.831260756211</v>
      </c>
      <c r="AE701" s="197">
        <f t="shared" ca="1" si="150"/>
        <v>1601274.0687384759</v>
      </c>
      <c r="AF701" s="196">
        <f>IFERROR(G701/SUMIF(A:A,A701,G:G)*SUMIF(Summary!$A$166:$A$242,'Operations Support'!A701,Summary!$Q$166:$Q$242),0)</f>
        <v>95364.647208787705</v>
      </c>
      <c r="AG701" s="196">
        <f t="shared" ca="1" si="151"/>
        <v>1601211.2527904443</v>
      </c>
      <c r="AI701" s="196">
        <f>IFERROR($G701/SUMIF($A:$A,$A701,$G:$G)*SUMIF(Summary!$A$247:$A$283,$A701,Summary!$P$247:$P$283),0)</f>
        <v>17380.675791272894</v>
      </c>
      <c r="AJ701" s="196">
        <f>IFERROR($G701/SUMIF($A:$A,$A701,$G:$G)*(SUMIF(Summary!$A$247:$A$283,$A701,Summary!$L$247:$L$283)+SUMIF(Summary!$A$297:$A$333,$A701,Summary!$L$297:$L$333))-AI701,0)</f>
        <v>52574.764571617387</v>
      </c>
      <c r="AK701" s="196">
        <f>IFERROR($G701/SUMIF($A:$A,$A701,$G:$G)*SUMIF(Summary!$A$247:$A$283,$A701,Summary!$Q$247:$Q$283),0)</f>
        <v>17392.131852639326</v>
      </c>
      <c r="AL701" s="196">
        <f>IFERROR($G701/SUMIF($A:$A,$A701,$G:$G)*(SUMIF(Summary!$A$247:$A$283,$A701,Summary!$L$247:$L$283)+SUMIF(Summary!$A$297:$A$333,$A701,Summary!$L$297:$L$333))-AK701,0)</f>
        <v>52563.30851025095</v>
      </c>
      <c r="AM701" s="198"/>
      <c r="AN701" s="196">
        <f t="shared" ca="1" si="152"/>
        <v>1653848.8333100933</v>
      </c>
      <c r="AO701" s="196">
        <f t="shared" ca="1" si="153"/>
        <v>1653774.5613006952</v>
      </c>
    </row>
    <row r="702" spans="1:41">
      <c r="A702" s="189">
        <v>3599</v>
      </c>
      <c r="B702" s="203">
        <v>4</v>
      </c>
      <c r="C702" s="191" t="s">
        <v>224</v>
      </c>
      <c r="D702" s="192">
        <f t="shared" si="140"/>
        <v>0</v>
      </c>
      <c r="E702" s="192">
        <f t="shared" si="141"/>
        <v>0</v>
      </c>
      <c r="F702" s="192">
        <f t="shared" si="142"/>
        <v>0</v>
      </c>
      <c r="G702" s="193">
        <f t="shared" si="143"/>
        <v>0</v>
      </c>
      <c r="H702" s="194">
        <v>0</v>
      </c>
      <c r="I702" s="194">
        <v>0</v>
      </c>
      <c r="J702" s="194">
        <v>0</v>
      </c>
      <c r="K702" s="193">
        <f t="shared" si="144"/>
        <v>0</v>
      </c>
      <c r="L702" s="194">
        <v>0</v>
      </c>
      <c r="M702" s="194">
        <v>0</v>
      </c>
      <c r="N702" s="194">
        <v>0</v>
      </c>
      <c r="O702" s="193">
        <f t="shared" si="145"/>
        <v>0</v>
      </c>
      <c r="P702" s="194">
        <v>0</v>
      </c>
      <c r="Q702" s="194">
        <v>0</v>
      </c>
      <c r="R702" s="194">
        <v>0</v>
      </c>
      <c r="S702" s="193">
        <f t="shared" si="146"/>
        <v>0</v>
      </c>
      <c r="T702" s="193">
        <f t="shared" si="147"/>
        <v>0</v>
      </c>
      <c r="U702" s="193">
        <f ca="1">OFFSET('Expenditure Study'!$B$7,'Operations Support'!$C702,'Operations Support'!$B702)*$G702</f>
        <v>0</v>
      </c>
      <c r="V702" s="199">
        <f ca="1">U702*'Expenditure Study'!$B$31</f>
        <v>0</v>
      </c>
      <c r="W702" s="199">
        <f ca="1">IF(A702=10298,1.51,1)*IF($B702&lt;3,$D702*'Expenditure Study'!$B$32*OFFSET('Expenditure Study'!$B$7,'Operations Support'!$C702,'Operations Support'!$B702),0)</f>
        <v>0</v>
      </c>
      <c r="X702" s="200">
        <f ca="1">W702*'Expenditure Study'!$B$31</f>
        <v>0</v>
      </c>
      <c r="Y702" s="199">
        <f ca="1">U702*'Expenditure Study'!$B$31</f>
        <v>0</v>
      </c>
      <c r="Z702" s="200">
        <f ca="1">W702*'Expenditure Study'!$B$31</f>
        <v>0</v>
      </c>
      <c r="AA702" s="195">
        <f t="shared" ca="1" si="148"/>
        <v>0</v>
      </c>
      <c r="AB702" s="195">
        <f t="shared" ca="1" si="149"/>
        <v>0</v>
      </c>
      <c r="AD702" s="196">
        <f>IFERROR($G702/SUMIF($A:$A,$A702,$G:$G)*SUMIF(Summary!$A$166:$A$242,$A702,Summary!$P$166:$P$242),0)</f>
        <v>0</v>
      </c>
      <c r="AE702" s="197">
        <f t="shared" ca="1" si="150"/>
        <v>0</v>
      </c>
      <c r="AF702" s="196">
        <f>IFERROR(G702/SUMIF(A:A,A702,G:G)*SUMIF(Summary!$A$166:$A$242,'Operations Support'!A702,Summary!$Q$166:$Q$242),0)</f>
        <v>0</v>
      </c>
      <c r="AG702" s="196">
        <f t="shared" ca="1" si="151"/>
        <v>0</v>
      </c>
      <c r="AI702" s="196">
        <f>IFERROR($G702/SUMIF($A:$A,$A702,$G:$G)*SUMIF(Summary!$A$247:$A$283,$A702,Summary!$P$247:$P$283),0)</f>
        <v>0</v>
      </c>
      <c r="AJ702" s="196">
        <f>IFERROR($G702/SUMIF($A:$A,$A702,$G:$G)*(SUMIF(Summary!$A$247:$A$283,$A702,Summary!$L$247:$L$283)+SUMIF(Summary!$A$297:$A$333,$A702,Summary!$L$297:$L$333))-AI702,0)</f>
        <v>0</v>
      </c>
      <c r="AK702" s="196">
        <f>IFERROR($G702/SUMIF($A:$A,$A702,$G:$G)*SUMIF(Summary!$A$247:$A$283,$A702,Summary!$Q$247:$Q$283),0)</f>
        <v>0</v>
      </c>
      <c r="AL702" s="196">
        <f>IFERROR($G702/SUMIF($A:$A,$A702,$G:$G)*(SUMIF(Summary!$A$247:$A$283,$A702,Summary!$L$247:$L$283)+SUMIF(Summary!$A$297:$A$333,$A702,Summary!$L$297:$L$333))-AK702,0)</f>
        <v>0</v>
      </c>
      <c r="AM702" s="198"/>
      <c r="AN702" s="196">
        <f t="shared" ca="1" si="152"/>
        <v>0</v>
      </c>
      <c r="AO702" s="196">
        <f t="shared" ca="1" si="153"/>
        <v>0</v>
      </c>
    </row>
    <row r="703" spans="1:41">
      <c r="A703" s="189">
        <v>3599</v>
      </c>
      <c r="B703" s="203">
        <v>4</v>
      </c>
      <c r="C703" s="191" t="s">
        <v>225</v>
      </c>
      <c r="D703" s="192">
        <f t="shared" si="140"/>
        <v>27</v>
      </c>
      <c r="E703" s="192">
        <f t="shared" si="141"/>
        <v>39</v>
      </c>
      <c r="F703" s="192">
        <f t="shared" si="142"/>
        <v>0</v>
      </c>
      <c r="G703" s="193">
        <f t="shared" si="143"/>
        <v>66</v>
      </c>
      <c r="H703" s="194">
        <v>15</v>
      </c>
      <c r="I703" s="194">
        <v>39</v>
      </c>
      <c r="J703" s="194">
        <v>0</v>
      </c>
      <c r="K703" s="193">
        <f t="shared" si="144"/>
        <v>54</v>
      </c>
      <c r="L703" s="194">
        <v>12</v>
      </c>
      <c r="M703" s="194">
        <v>0</v>
      </c>
      <c r="N703" s="194">
        <v>0</v>
      </c>
      <c r="O703" s="193">
        <f t="shared" si="145"/>
        <v>12</v>
      </c>
      <c r="P703" s="194">
        <v>0</v>
      </c>
      <c r="Q703" s="194">
        <v>0</v>
      </c>
      <c r="R703" s="194">
        <v>0</v>
      </c>
      <c r="S703" s="193">
        <f t="shared" si="146"/>
        <v>0</v>
      </c>
      <c r="T703" s="193">
        <f t="shared" si="147"/>
        <v>3.6666666666666665</v>
      </c>
      <c r="U703" s="193">
        <f ca="1">OFFSET('Expenditure Study'!$B$7,'Operations Support'!$C703,'Operations Support'!$B703)*$G703</f>
        <v>1240.1399999999999</v>
      </c>
      <c r="V703" s="199">
        <f ca="1">U703*'Expenditure Study'!$B$31</f>
        <v>73271.415837312001</v>
      </c>
      <c r="W703" s="199">
        <f ca="1">IF(A703=10298,1.51,1)*IF($B703&lt;3,$D703*'Expenditure Study'!$B$32*OFFSET('Expenditure Study'!$B$7,'Operations Support'!$C703,'Operations Support'!$B703),0)</f>
        <v>0</v>
      </c>
      <c r="X703" s="200">
        <f ca="1">W703*'Expenditure Study'!$B$31</f>
        <v>0</v>
      </c>
      <c r="Y703" s="199">
        <f ca="1">U703*'Expenditure Study'!$B$31</f>
        <v>73271.415837312001</v>
      </c>
      <c r="Z703" s="200">
        <f ca="1">W703*'Expenditure Study'!$B$31</f>
        <v>0</v>
      </c>
      <c r="AA703" s="195">
        <f t="shared" ca="1" si="148"/>
        <v>73271.415837312001</v>
      </c>
      <c r="AB703" s="195">
        <f t="shared" ca="1" si="149"/>
        <v>73271.415837312001</v>
      </c>
      <c r="AD703" s="196">
        <f>IFERROR($G703/SUMIF($A:$A,$A703,$G:$G)*SUMIF(Summary!$A$166:$A$242,$A703,Summary!$P$166:$P$242),0)</f>
        <v>1712.9414115495397</v>
      </c>
      <c r="AE703" s="197">
        <f t="shared" ca="1" si="150"/>
        <v>71558.474425762455</v>
      </c>
      <c r="AF703" s="196">
        <f>IFERROR(G703/SUMIF(A:A,A703,G:G)*SUMIF(Summary!$A$166:$A$242,'Operations Support'!A703,Summary!$Q$166:$Q$242),0)</f>
        <v>1714.0704563670993</v>
      </c>
      <c r="AG703" s="196">
        <f t="shared" ca="1" si="151"/>
        <v>71557.345380944898</v>
      </c>
      <c r="AI703" s="196">
        <f>IFERROR($G703/SUMIF($A:$A,$A703,$G:$G)*SUMIF(Summary!$A$247:$A$283,$A703,Summary!$P$247:$P$283),0)</f>
        <v>312.39776749019904</v>
      </c>
      <c r="AJ703" s="196">
        <f>IFERROR($G703/SUMIF($A:$A,$A703,$G:$G)*(SUMIF(Summary!$A$247:$A$283,$A703,Summary!$L$247:$L$283)+SUMIF(Summary!$A$297:$A$333,$A703,Summary!$L$297:$L$333))-AI703,0)</f>
        <v>944.97125864018165</v>
      </c>
      <c r="AK703" s="196">
        <f>IFERROR($G703/SUMIF($A:$A,$A703,$G:$G)*SUMIF(Summary!$A$247:$A$283,$A703,Summary!$Q$247:$Q$283),0)</f>
        <v>312.60367708992248</v>
      </c>
      <c r="AL703" s="196">
        <f>IFERROR($G703/SUMIF($A:$A,$A703,$G:$G)*(SUMIF(Summary!$A$247:$A$283,$A703,Summary!$L$247:$L$283)+SUMIF(Summary!$A$297:$A$333,$A703,Summary!$L$297:$L$333))-AK703,0)</f>
        <v>944.7653490404582</v>
      </c>
      <c r="AM703" s="198"/>
      <c r="AN703" s="196">
        <f t="shared" ca="1" si="152"/>
        <v>72503.445684402643</v>
      </c>
      <c r="AO703" s="196">
        <f t="shared" ca="1" si="153"/>
        <v>72502.110729985361</v>
      </c>
    </row>
    <row r="704" spans="1:41">
      <c r="A704" s="189">
        <v>3599</v>
      </c>
      <c r="B704" s="203">
        <v>4</v>
      </c>
      <c r="C704" s="191" t="s">
        <v>226</v>
      </c>
      <c r="D704" s="192">
        <f t="shared" si="140"/>
        <v>0</v>
      </c>
      <c r="E704" s="192">
        <f t="shared" si="141"/>
        <v>0</v>
      </c>
      <c r="F704" s="192">
        <f t="shared" si="142"/>
        <v>0</v>
      </c>
      <c r="G704" s="193">
        <f t="shared" si="143"/>
        <v>0</v>
      </c>
      <c r="H704" s="194">
        <v>0</v>
      </c>
      <c r="I704" s="194">
        <v>0</v>
      </c>
      <c r="J704" s="194">
        <v>0</v>
      </c>
      <c r="K704" s="193">
        <f t="shared" si="144"/>
        <v>0</v>
      </c>
      <c r="L704" s="194">
        <v>0</v>
      </c>
      <c r="M704" s="194">
        <v>0</v>
      </c>
      <c r="N704" s="194">
        <v>0</v>
      </c>
      <c r="O704" s="193">
        <f t="shared" si="145"/>
        <v>0</v>
      </c>
      <c r="P704" s="194">
        <v>0</v>
      </c>
      <c r="Q704" s="194">
        <v>0</v>
      </c>
      <c r="R704" s="194">
        <v>0</v>
      </c>
      <c r="S704" s="193">
        <f t="shared" si="146"/>
        <v>0</v>
      </c>
      <c r="T704" s="193">
        <f t="shared" si="147"/>
        <v>0</v>
      </c>
      <c r="U704" s="193">
        <f ca="1">OFFSET('Expenditure Study'!$B$7,'Operations Support'!$C704,'Operations Support'!$B704)*$G704</f>
        <v>0</v>
      </c>
      <c r="V704" s="199">
        <f ca="1">U704*'Expenditure Study'!$B$31</f>
        <v>0</v>
      </c>
      <c r="W704" s="199">
        <f ca="1">IF(A704=10298,1.51,1)*IF($B704&lt;3,$D704*'Expenditure Study'!$B$32*OFFSET('Expenditure Study'!$B$7,'Operations Support'!$C704,'Operations Support'!$B704),0)</f>
        <v>0</v>
      </c>
      <c r="X704" s="200">
        <f ca="1">W704*'Expenditure Study'!$B$31</f>
        <v>0</v>
      </c>
      <c r="Y704" s="199">
        <f ca="1">U704*'Expenditure Study'!$B$31</f>
        <v>0</v>
      </c>
      <c r="Z704" s="200">
        <f ca="1">W704*'Expenditure Study'!$B$31</f>
        <v>0</v>
      </c>
      <c r="AA704" s="195">
        <f t="shared" ca="1" si="148"/>
        <v>0</v>
      </c>
      <c r="AB704" s="195">
        <f t="shared" ca="1" si="149"/>
        <v>0</v>
      </c>
      <c r="AD704" s="196">
        <f>IFERROR($G704/SUMIF($A:$A,$A704,$G:$G)*SUMIF(Summary!$A$166:$A$242,$A704,Summary!$P$166:$P$242),0)</f>
        <v>0</v>
      </c>
      <c r="AE704" s="197">
        <f t="shared" ca="1" si="150"/>
        <v>0</v>
      </c>
      <c r="AF704" s="196">
        <f>IFERROR(G704/SUMIF(A:A,A704,G:G)*SUMIF(Summary!$A$166:$A$242,'Operations Support'!A704,Summary!$Q$166:$Q$242),0)</f>
        <v>0</v>
      </c>
      <c r="AG704" s="196">
        <f t="shared" ca="1" si="151"/>
        <v>0</v>
      </c>
      <c r="AI704" s="196">
        <f>IFERROR($G704/SUMIF($A:$A,$A704,$G:$G)*SUMIF(Summary!$A$247:$A$283,$A704,Summary!$P$247:$P$283),0)</f>
        <v>0</v>
      </c>
      <c r="AJ704" s="196">
        <f>IFERROR($G704/SUMIF($A:$A,$A704,$G:$G)*(SUMIF(Summary!$A$247:$A$283,$A704,Summary!$L$247:$L$283)+SUMIF(Summary!$A$297:$A$333,$A704,Summary!$L$297:$L$333))-AI704,0)</f>
        <v>0</v>
      </c>
      <c r="AK704" s="196">
        <f>IFERROR($G704/SUMIF($A:$A,$A704,$G:$G)*SUMIF(Summary!$A$247:$A$283,$A704,Summary!$Q$247:$Q$283),0)</f>
        <v>0</v>
      </c>
      <c r="AL704" s="196">
        <f>IFERROR($G704/SUMIF($A:$A,$A704,$G:$G)*(SUMIF(Summary!$A$247:$A$283,$A704,Summary!$L$247:$L$283)+SUMIF(Summary!$A$297:$A$333,$A704,Summary!$L$297:$L$333))-AK704,0)</f>
        <v>0</v>
      </c>
      <c r="AM704" s="198"/>
      <c r="AN704" s="196">
        <f t="shared" ca="1" si="152"/>
        <v>0</v>
      </c>
      <c r="AO704" s="196">
        <f t="shared" ca="1" si="153"/>
        <v>0</v>
      </c>
    </row>
    <row r="705" spans="1:41">
      <c r="A705" s="189">
        <v>3599</v>
      </c>
      <c r="B705" s="203">
        <v>4</v>
      </c>
      <c r="C705" s="191" t="s">
        <v>227</v>
      </c>
      <c r="D705" s="192">
        <f t="shared" si="140"/>
        <v>0</v>
      </c>
      <c r="E705" s="192">
        <f t="shared" si="141"/>
        <v>0</v>
      </c>
      <c r="F705" s="192">
        <f t="shared" si="142"/>
        <v>0</v>
      </c>
      <c r="G705" s="193">
        <f t="shared" si="143"/>
        <v>0</v>
      </c>
      <c r="H705" s="194">
        <v>0</v>
      </c>
      <c r="I705" s="194">
        <v>0</v>
      </c>
      <c r="J705" s="194">
        <v>0</v>
      </c>
      <c r="K705" s="193">
        <f t="shared" si="144"/>
        <v>0</v>
      </c>
      <c r="L705" s="194">
        <v>0</v>
      </c>
      <c r="M705" s="194">
        <v>0</v>
      </c>
      <c r="N705" s="194">
        <v>0</v>
      </c>
      <c r="O705" s="193">
        <f t="shared" si="145"/>
        <v>0</v>
      </c>
      <c r="P705" s="194">
        <v>0</v>
      </c>
      <c r="Q705" s="194">
        <v>0</v>
      </c>
      <c r="R705" s="194">
        <v>0</v>
      </c>
      <c r="S705" s="193">
        <f t="shared" si="146"/>
        <v>0</v>
      </c>
      <c r="T705" s="193">
        <f t="shared" si="147"/>
        <v>0</v>
      </c>
      <c r="U705" s="193">
        <f ca="1">OFFSET('Expenditure Study'!$B$7,'Operations Support'!$C705,'Operations Support'!$B705)*$G705</f>
        <v>0</v>
      </c>
      <c r="V705" s="199">
        <f ca="1">U705*'Expenditure Study'!$B$31</f>
        <v>0</v>
      </c>
      <c r="W705" s="199">
        <f ca="1">IF(A705=10298,1.51,1)*IF($B705&lt;3,$D705*'Expenditure Study'!$B$32*OFFSET('Expenditure Study'!$B$7,'Operations Support'!$C705,'Operations Support'!$B705),0)</f>
        <v>0</v>
      </c>
      <c r="X705" s="200">
        <f ca="1">W705*'Expenditure Study'!$B$31</f>
        <v>0</v>
      </c>
      <c r="Y705" s="199">
        <f ca="1">U705*'Expenditure Study'!$B$31</f>
        <v>0</v>
      </c>
      <c r="Z705" s="200">
        <f ca="1">W705*'Expenditure Study'!$B$31</f>
        <v>0</v>
      </c>
      <c r="AA705" s="195">
        <f t="shared" ca="1" si="148"/>
        <v>0</v>
      </c>
      <c r="AB705" s="195">
        <f t="shared" ca="1" si="149"/>
        <v>0</v>
      </c>
      <c r="AD705" s="196">
        <f>IFERROR($G705/SUMIF($A:$A,$A705,$G:$G)*SUMIF(Summary!$A$166:$A$242,$A705,Summary!$P$166:$P$242),0)</f>
        <v>0</v>
      </c>
      <c r="AE705" s="197">
        <f t="shared" ca="1" si="150"/>
        <v>0</v>
      </c>
      <c r="AF705" s="196">
        <f>IFERROR(G705/SUMIF(A:A,A705,G:G)*SUMIF(Summary!$A$166:$A$242,'Operations Support'!A705,Summary!$Q$166:$Q$242),0)</f>
        <v>0</v>
      </c>
      <c r="AG705" s="196">
        <f t="shared" ca="1" si="151"/>
        <v>0</v>
      </c>
      <c r="AI705" s="196">
        <f>IFERROR($G705/SUMIF($A:$A,$A705,$G:$G)*SUMIF(Summary!$A$247:$A$283,$A705,Summary!$P$247:$P$283),0)</f>
        <v>0</v>
      </c>
      <c r="AJ705" s="196">
        <f>IFERROR($G705/SUMIF($A:$A,$A705,$G:$G)*(SUMIF(Summary!$A$247:$A$283,$A705,Summary!$L$247:$L$283)+SUMIF(Summary!$A$297:$A$333,$A705,Summary!$L$297:$L$333))-AI705,0)</f>
        <v>0</v>
      </c>
      <c r="AK705" s="196">
        <f>IFERROR($G705/SUMIF($A:$A,$A705,$G:$G)*SUMIF(Summary!$A$247:$A$283,$A705,Summary!$Q$247:$Q$283),0)</f>
        <v>0</v>
      </c>
      <c r="AL705" s="196">
        <f>IFERROR($G705/SUMIF($A:$A,$A705,$G:$G)*(SUMIF(Summary!$A$247:$A$283,$A705,Summary!$L$247:$L$283)+SUMIF(Summary!$A$297:$A$333,$A705,Summary!$L$297:$L$333))-AK705,0)</f>
        <v>0</v>
      </c>
      <c r="AM705" s="198"/>
      <c r="AN705" s="196">
        <f t="shared" ca="1" si="152"/>
        <v>0</v>
      </c>
      <c r="AO705" s="196">
        <f t="shared" ca="1" si="153"/>
        <v>0</v>
      </c>
    </row>
    <row r="706" spans="1:41">
      <c r="A706" s="189">
        <v>3599</v>
      </c>
      <c r="B706" s="203">
        <v>4</v>
      </c>
      <c r="C706" s="191" t="s">
        <v>228</v>
      </c>
      <c r="D706" s="192">
        <f t="shared" si="140"/>
        <v>0</v>
      </c>
      <c r="E706" s="192">
        <f t="shared" si="141"/>
        <v>0</v>
      </c>
      <c r="F706" s="192">
        <f t="shared" si="142"/>
        <v>0</v>
      </c>
      <c r="G706" s="193">
        <f t="shared" si="143"/>
        <v>0</v>
      </c>
      <c r="H706" s="194">
        <v>0</v>
      </c>
      <c r="I706" s="194">
        <v>0</v>
      </c>
      <c r="J706" s="194">
        <v>0</v>
      </c>
      <c r="K706" s="193">
        <f t="shared" si="144"/>
        <v>0</v>
      </c>
      <c r="L706" s="194">
        <v>0</v>
      </c>
      <c r="M706" s="194">
        <v>0</v>
      </c>
      <c r="N706" s="194">
        <v>0</v>
      </c>
      <c r="O706" s="193">
        <f t="shared" si="145"/>
        <v>0</v>
      </c>
      <c r="P706" s="194">
        <v>0</v>
      </c>
      <c r="Q706" s="194">
        <v>0</v>
      </c>
      <c r="R706" s="194">
        <v>0</v>
      </c>
      <c r="S706" s="193">
        <f t="shared" si="146"/>
        <v>0</v>
      </c>
      <c r="T706" s="193">
        <f t="shared" si="147"/>
        <v>0</v>
      </c>
      <c r="U706" s="193">
        <f ca="1">OFFSET('Expenditure Study'!$B$7,'Operations Support'!$C706,'Operations Support'!$B706)*$G706</f>
        <v>0</v>
      </c>
      <c r="V706" s="199">
        <f ca="1">U706*'Expenditure Study'!$B$31</f>
        <v>0</v>
      </c>
      <c r="W706" s="199">
        <f ca="1">IF(A706=10298,1.51,1)*IF($B706&lt;3,$D706*'Expenditure Study'!$B$32*OFFSET('Expenditure Study'!$B$7,'Operations Support'!$C706,'Operations Support'!$B706),0)</f>
        <v>0</v>
      </c>
      <c r="X706" s="200">
        <f ca="1">W706*'Expenditure Study'!$B$31</f>
        <v>0</v>
      </c>
      <c r="Y706" s="199">
        <f ca="1">U706*'Expenditure Study'!$B$31</f>
        <v>0</v>
      </c>
      <c r="Z706" s="200">
        <f ca="1">W706*'Expenditure Study'!$B$31</f>
        <v>0</v>
      </c>
      <c r="AA706" s="195">
        <f t="shared" ca="1" si="148"/>
        <v>0</v>
      </c>
      <c r="AB706" s="195">
        <f t="shared" ca="1" si="149"/>
        <v>0</v>
      </c>
      <c r="AD706" s="196">
        <f>IFERROR($G706/SUMIF($A:$A,$A706,$G:$G)*SUMIF(Summary!$A$166:$A$242,$A706,Summary!$P$166:$P$242),0)</f>
        <v>0</v>
      </c>
      <c r="AE706" s="197">
        <f t="shared" ca="1" si="150"/>
        <v>0</v>
      </c>
      <c r="AF706" s="196">
        <f>IFERROR(G706/SUMIF(A:A,A706,G:G)*SUMIF(Summary!$A$166:$A$242,'Operations Support'!A706,Summary!$Q$166:$Q$242),0)</f>
        <v>0</v>
      </c>
      <c r="AG706" s="196">
        <f t="shared" ca="1" si="151"/>
        <v>0</v>
      </c>
      <c r="AI706" s="196">
        <f>IFERROR($G706/SUMIF($A:$A,$A706,$G:$G)*SUMIF(Summary!$A$247:$A$283,$A706,Summary!$P$247:$P$283),0)</f>
        <v>0</v>
      </c>
      <c r="AJ706" s="196">
        <f>IFERROR($G706/SUMIF($A:$A,$A706,$G:$G)*(SUMIF(Summary!$A$247:$A$283,$A706,Summary!$L$247:$L$283)+SUMIF(Summary!$A$297:$A$333,$A706,Summary!$L$297:$L$333))-AI706,0)</f>
        <v>0</v>
      </c>
      <c r="AK706" s="196">
        <f>IFERROR($G706/SUMIF($A:$A,$A706,$G:$G)*SUMIF(Summary!$A$247:$A$283,$A706,Summary!$Q$247:$Q$283),0)</f>
        <v>0</v>
      </c>
      <c r="AL706" s="196">
        <f>IFERROR($G706/SUMIF($A:$A,$A706,$G:$G)*(SUMIF(Summary!$A$247:$A$283,$A706,Summary!$L$247:$L$283)+SUMIF(Summary!$A$297:$A$333,$A706,Summary!$L$297:$L$333))-AK706,0)</f>
        <v>0</v>
      </c>
      <c r="AM706" s="198"/>
      <c r="AN706" s="196">
        <f t="shared" ca="1" si="152"/>
        <v>0</v>
      </c>
      <c r="AO706" s="196">
        <f t="shared" ca="1" si="153"/>
        <v>0</v>
      </c>
    </row>
    <row r="707" spans="1:41">
      <c r="A707" s="189">
        <v>3599</v>
      </c>
      <c r="B707" s="203">
        <v>4</v>
      </c>
      <c r="C707" s="191" t="s">
        <v>229</v>
      </c>
      <c r="D707" s="192">
        <f t="shared" si="140"/>
        <v>0</v>
      </c>
      <c r="E707" s="192">
        <f t="shared" si="141"/>
        <v>0</v>
      </c>
      <c r="F707" s="192">
        <f t="shared" si="142"/>
        <v>0</v>
      </c>
      <c r="G707" s="193">
        <f t="shared" si="143"/>
        <v>0</v>
      </c>
      <c r="H707" s="194">
        <v>0</v>
      </c>
      <c r="I707" s="194">
        <v>0</v>
      </c>
      <c r="J707" s="194">
        <v>0</v>
      </c>
      <c r="K707" s="193">
        <f t="shared" si="144"/>
        <v>0</v>
      </c>
      <c r="L707" s="194">
        <v>0</v>
      </c>
      <c r="M707" s="194">
        <v>0</v>
      </c>
      <c r="N707" s="194">
        <v>0</v>
      </c>
      <c r="O707" s="193">
        <f t="shared" si="145"/>
        <v>0</v>
      </c>
      <c r="P707" s="194">
        <v>0</v>
      </c>
      <c r="Q707" s="194">
        <v>0</v>
      </c>
      <c r="R707" s="194">
        <v>0</v>
      </c>
      <c r="S707" s="193">
        <f t="shared" si="146"/>
        <v>0</v>
      </c>
      <c r="T707" s="193">
        <f t="shared" si="147"/>
        <v>0</v>
      </c>
      <c r="U707" s="193">
        <f ca="1">OFFSET('Expenditure Study'!$B$7,'Operations Support'!$C707,'Operations Support'!$B707)*$G707</f>
        <v>0</v>
      </c>
      <c r="V707" s="199">
        <f ca="1">U707*'Expenditure Study'!$B$31</f>
        <v>0</v>
      </c>
      <c r="W707" s="199">
        <f ca="1">IF(A707=10298,1.51,1)*IF($B707&lt;3,$D707*'Expenditure Study'!$B$32*OFFSET('Expenditure Study'!$B$7,'Operations Support'!$C707,'Operations Support'!$B707),0)</f>
        <v>0</v>
      </c>
      <c r="X707" s="200">
        <f ca="1">W707*'Expenditure Study'!$B$31</f>
        <v>0</v>
      </c>
      <c r="Y707" s="199">
        <f ca="1">U707*'Expenditure Study'!$B$31</f>
        <v>0</v>
      </c>
      <c r="Z707" s="200">
        <f ca="1">W707*'Expenditure Study'!$B$31</f>
        <v>0</v>
      </c>
      <c r="AA707" s="195">
        <f t="shared" ca="1" si="148"/>
        <v>0</v>
      </c>
      <c r="AB707" s="195">
        <f t="shared" ca="1" si="149"/>
        <v>0</v>
      </c>
      <c r="AD707" s="196">
        <f>IFERROR($G707/SUMIF($A:$A,$A707,$G:$G)*SUMIF(Summary!$A$166:$A$242,$A707,Summary!$P$166:$P$242),0)</f>
        <v>0</v>
      </c>
      <c r="AE707" s="197">
        <f t="shared" ca="1" si="150"/>
        <v>0</v>
      </c>
      <c r="AF707" s="196">
        <f>IFERROR(G707/SUMIF(A:A,A707,G:G)*SUMIF(Summary!$A$166:$A$242,'Operations Support'!A707,Summary!$Q$166:$Q$242),0)</f>
        <v>0</v>
      </c>
      <c r="AG707" s="196">
        <f t="shared" ca="1" si="151"/>
        <v>0</v>
      </c>
      <c r="AI707" s="196">
        <f>IFERROR($G707/SUMIF($A:$A,$A707,$G:$G)*SUMIF(Summary!$A$247:$A$283,$A707,Summary!$P$247:$P$283),0)</f>
        <v>0</v>
      </c>
      <c r="AJ707" s="196">
        <f>IFERROR($G707/SUMIF($A:$A,$A707,$G:$G)*(SUMIF(Summary!$A$247:$A$283,$A707,Summary!$L$247:$L$283)+SUMIF(Summary!$A$297:$A$333,$A707,Summary!$L$297:$L$333))-AI707,0)</f>
        <v>0</v>
      </c>
      <c r="AK707" s="196">
        <f>IFERROR($G707/SUMIF($A:$A,$A707,$G:$G)*SUMIF(Summary!$A$247:$A$283,$A707,Summary!$Q$247:$Q$283),0)</f>
        <v>0</v>
      </c>
      <c r="AL707" s="196">
        <f>IFERROR($G707/SUMIF($A:$A,$A707,$G:$G)*(SUMIF(Summary!$A$247:$A$283,$A707,Summary!$L$247:$L$283)+SUMIF(Summary!$A$297:$A$333,$A707,Summary!$L$297:$L$333))-AK707,0)</f>
        <v>0</v>
      </c>
      <c r="AM707" s="198"/>
      <c r="AN707" s="196">
        <f t="shared" ca="1" si="152"/>
        <v>0</v>
      </c>
      <c r="AO707" s="196">
        <f t="shared" ca="1" si="153"/>
        <v>0</v>
      </c>
    </row>
    <row r="708" spans="1:41">
      <c r="A708" s="189">
        <v>3599</v>
      </c>
      <c r="B708" s="203">
        <v>4</v>
      </c>
      <c r="C708" s="191" t="s">
        <v>230</v>
      </c>
      <c r="D708" s="192">
        <f t="shared" si="140"/>
        <v>0</v>
      </c>
      <c r="E708" s="192">
        <f t="shared" si="141"/>
        <v>0</v>
      </c>
      <c r="F708" s="192">
        <f t="shared" si="142"/>
        <v>0</v>
      </c>
      <c r="G708" s="193">
        <f t="shared" si="143"/>
        <v>0</v>
      </c>
      <c r="H708" s="194">
        <v>0</v>
      </c>
      <c r="I708" s="194">
        <v>0</v>
      </c>
      <c r="J708" s="194">
        <v>0</v>
      </c>
      <c r="K708" s="193">
        <f t="shared" si="144"/>
        <v>0</v>
      </c>
      <c r="L708" s="194">
        <v>0</v>
      </c>
      <c r="M708" s="194">
        <v>0</v>
      </c>
      <c r="N708" s="194">
        <v>0</v>
      </c>
      <c r="O708" s="193">
        <f t="shared" si="145"/>
        <v>0</v>
      </c>
      <c r="P708" s="194">
        <v>0</v>
      </c>
      <c r="Q708" s="194">
        <v>0</v>
      </c>
      <c r="R708" s="194">
        <v>0</v>
      </c>
      <c r="S708" s="193">
        <f t="shared" si="146"/>
        <v>0</v>
      </c>
      <c r="T708" s="193">
        <f t="shared" si="147"/>
        <v>0</v>
      </c>
      <c r="U708" s="193">
        <f ca="1">OFFSET('Expenditure Study'!$B$7,'Operations Support'!$C708,'Operations Support'!$B708)*$G708</f>
        <v>0</v>
      </c>
      <c r="V708" s="199">
        <f ca="1">U708*'Expenditure Study'!$B$31</f>
        <v>0</v>
      </c>
      <c r="W708" s="199">
        <f ca="1">IF(A708=10298,1.51,1)*IF($B708&lt;3,$D708*'Expenditure Study'!$B$32*OFFSET('Expenditure Study'!$B$7,'Operations Support'!$C708,'Operations Support'!$B708),0)</f>
        <v>0</v>
      </c>
      <c r="X708" s="200">
        <f ca="1">W708*'Expenditure Study'!$B$31</f>
        <v>0</v>
      </c>
      <c r="Y708" s="199">
        <f ca="1">U708*'Expenditure Study'!$B$31</f>
        <v>0</v>
      </c>
      <c r="Z708" s="200">
        <f ca="1">W708*'Expenditure Study'!$B$31</f>
        <v>0</v>
      </c>
      <c r="AA708" s="195">
        <f t="shared" ca="1" si="148"/>
        <v>0</v>
      </c>
      <c r="AB708" s="195">
        <f t="shared" ca="1" si="149"/>
        <v>0</v>
      </c>
      <c r="AD708" s="196">
        <f>IFERROR($G708/SUMIF($A:$A,$A708,$G:$G)*SUMIF(Summary!$A$166:$A$242,$A708,Summary!$P$166:$P$242),0)</f>
        <v>0</v>
      </c>
      <c r="AE708" s="197">
        <f t="shared" ca="1" si="150"/>
        <v>0</v>
      </c>
      <c r="AF708" s="196">
        <f>IFERROR(G708/SUMIF(A:A,A708,G:G)*SUMIF(Summary!$A$166:$A$242,'Operations Support'!A708,Summary!$Q$166:$Q$242),0)</f>
        <v>0</v>
      </c>
      <c r="AG708" s="196">
        <f t="shared" ca="1" si="151"/>
        <v>0</v>
      </c>
      <c r="AI708" s="196">
        <f>IFERROR($G708/SUMIF($A:$A,$A708,$G:$G)*SUMIF(Summary!$A$247:$A$283,$A708,Summary!$P$247:$P$283),0)</f>
        <v>0</v>
      </c>
      <c r="AJ708" s="196">
        <f>IFERROR($G708/SUMIF($A:$A,$A708,$G:$G)*(SUMIF(Summary!$A$247:$A$283,$A708,Summary!$L$247:$L$283)+SUMIF(Summary!$A$297:$A$333,$A708,Summary!$L$297:$L$333))-AI708,0)</f>
        <v>0</v>
      </c>
      <c r="AK708" s="196">
        <f>IFERROR($G708/SUMIF($A:$A,$A708,$G:$G)*SUMIF(Summary!$A$247:$A$283,$A708,Summary!$Q$247:$Q$283),0)</f>
        <v>0</v>
      </c>
      <c r="AL708" s="196">
        <f>IFERROR($G708/SUMIF($A:$A,$A708,$G:$G)*(SUMIF(Summary!$A$247:$A$283,$A708,Summary!$L$247:$L$283)+SUMIF(Summary!$A$297:$A$333,$A708,Summary!$L$297:$L$333))-AK708,0)</f>
        <v>0</v>
      </c>
      <c r="AM708" s="198"/>
      <c r="AN708" s="196">
        <f t="shared" ca="1" si="152"/>
        <v>0</v>
      </c>
      <c r="AO708" s="196">
        <f t="shared" ca="1" si="153"/>
        <v>0</v>
      </c>
    </row>
    <row r="709" spans="1:41">
      <c r="A709" s="189">
        <v>3599</v>
      </c>
      <c r="B709" s="203">
        <v>4</v>
      </c>
      <c r="C709" s="191" t="s">
        <v>231</v>
      </c>
      <c r="D709" s="192">
        <f t="shared" ref="D709:D772" si="154">H709+L709+P709</f>
        <v>0</v>
      </c>
      <c r="E709" s="192">
        <f t="shared" ref="E709:E772" si="155">I709+M709+Q709</f>
        <v>0</v>
      </c>
      <c r="F709" s="192">
        <f t="shared" ref="F709:F772" si="156">J709+N709+R709</f>
        <v>0</v>
      </c>
      <c r="G709" s="193">
        <f t="shared" ref="G709:G772" si="157">(SUM(D709:E709)-F709)*IF(A709=10298,1.51,1)</f>
        <v>0</v>
      </c>
      <c r="H709" s="194">
        <v>0</v>
      </c>
      <c r="I709" s="194">
        <v>0</v>
      </c>
      <c r="J709" s="194">
        <v>0</v>
      </c>
      <c r="K709" s="193">
        <f t="shared" ref="K709:K772" si="158">SUM(H709:I709)-J709</f>
        <v>0</v>
      </c>
      <c r="L709" s="194">
        <v>0</v>
      </c>
      <c r="M709" s="194">
        <v>0</v>
      </c>
      <c r="N709" s="194">
        <v>0</v>
      </c>
      <c r="O709" s="193">
        <f t="shared" ref="O709:O772" si="159">SUM(L709:M709)-N709</f>
        <v>0</v>
      </c>
      <c r="P709" s="194">
        <v>0</v>
      </c>
      <c r="Q709" s="194">
        <v>0</v>
      </c>
      <c r="R709" s="194">
        <v>0</v>
      </c>
      <c r="S709" s="193">
        <f t="shared" ref="S709:S772" si="160">SUM(P709:Q709)-R709</f>
        <v>0</v>
      </c>
      <c r="T709" s="193">
        <f t="shared" ref="T709:T772" si="161">IF(OR(B709=1,B709=2),G709/30,IF(OR(B709=3,B709=5),G709/24,IF(B709=4,G709/18,0)))</f>
        <v>0</v>
      </c>
      <c r="U709" s="193">
        <f ca="1">OFFSET('Expenditure Study'!$B$7,'Operations Support'!$C709,'Operations Support'!$B709)*$G709</f>
        <v>0</v>
      </c>
      <c r="V709" s="199">
        <f ca="1">U709*'Expenditure Study'!$B$31</f>
        <v>0</v>
      </c>
      <c r="W709" s="199">
        <f ca="1">IF(A709=10298,1.51,1)*IF($B709&lt;3,$D709*'Expenditure Study'!$B$32*OFFSET('Expenditure Study'!$B$7,'Operations Support'!$C709,'Operations Support'!$B709),0)</f>
        <v>0</v>
      </c>
      <c r="X709" s="200">
        <f ca="1">W709*'Expenditure Study'!$B$31</f>
        <v>0</v>
      </c>
      <c r="Y709" s="199">
        <f ca="1">U709*'Expenditure Study'!$B$31</f>
        <v>0</v>
      </c>
      <c r="Z709" s="200">
        <f ca="1">W709*'Expenditure Study'!$B$31</f>
        <v>0</v>
      </c>
      <c r="AA709" s="195">
        <f t="shared" ref="AA709:AA772" ca="1" si="162">V709+X709</f>
        <v>0</v>
      </c>
      <c r="AB709" s="195">
        <f t="shared" ref="AB709:AB772" ca="1" si="163">Y709+Z709</f>
        <v>0</v>
      </c>
      <c r="AD709" s="196">
        <f>IFERROR($G709/SUMIF($A:$A,$A709,$G:$G)*SUMIF(Summary!$A$166:$A$242,$A709,Summary!$P$166:$P$242),0)</f>
        <v>0</v>
      </c>
      <c r="AE709" s="197">
        <f t="shared" ca="1" si="150"/>
        <v>0</v>
      </c>
      <c r="AF709" s="196">
        <f>IFERROR(G709/SUMIF(A:A,A709,G:G)*SUMIF(Summary!$A$166:$A$242,'Operations Support'!A709,Summary!$Q$166:$Q$242),0)</f>
        <v>0</v>
      </c>
      <c r="AG709" s="196">
        <f t="shared" ca="1" si="151"/>
        <v>0</v>
      </c>
      <c r="AI709" s="196">
        <f>IFERROR($G709/SUMIF($A:$A,$A709,$G:$G)*SUMIF(Summary!$A$247:$A$283,$A709,Summary!$P$247:$P$283),0)</f>
        <v>0</v>
      </c>
      <c r="AJ709" s="196">
        <f>IFERROR($G709/SUMIF($A:$A,$A709,$G:$G)*(SUMIF(Summary!$A$247:$A$283,$A709,Summary!$L$247:$L$283)+SUMIF(Summary!$A$297:$A$333,$A709,Summary!$L$297:$L$333))-AI709,0)</f>
        <v>0</v>
      </c>
      <c r="AK709" s="196">
        <f>IFERROR($G709/SUMIF($A:$A,$A709,$G:$G)*SUMIF(Summary!$A$247:$A$283,$A709,Summary!$Q$247:$Q$283),0)</f>
        <v>0</v>
      </c>
      <c r="AL709" s="196">
        <f>IFERROR($G709/SUMIF($A:$A,$A709,$G:$G)*(SUMIF(Summary!$A$247:$A$283,$A709,Summary!$L$247:$L$283)+SUMIF(Summary!$A$297:$A$333,$A709,Summary!$L$297:$L$333))-AK709,0)</f>
        <v>0</v>
      </c>
      <c r="AM709" s="198"/>
      <c r="AN709" s="196">
        <f t="shared" ca="1" si="152"/>
        <v>0</v>
      </c>
      <c r="AO709" s="196">
        <f t="shared" ca="1" si="153"/>
        <v>0</v>
      </c>
    </row>
    <row r="710" spans="1:41">
      <c r="A710" s="189">
        <v>3599</v>
      </c>
      <c r="B710" s="203">
        <v>4</v>
      </c>
      <c r="C710" s="191" t="s">
        <v>232</v>
      </c>
      <c r="D710" s="192">
        <f t="shared" si="154"/>
        <v>0</v>
      </c>
      <c r="E710" s="192">
        <f t="shared" si="155"/>
        <v>0</v>
      </c>
      <c r="F710" s="192">
        <f t="shared" si="156"/>
        <v>0</v>
      </c>
      <c r="G710" s="193">
        <f t="shared" si="157"/>
        <v>0</v>
      </c>
      <c r="H710" s="194">
        <v>0</v>
      </c>
      <c r="I710" s="194">
        <v>0</v>
      </c>
      <c r="J710" s="194">
        <v>0</v>
      </c>
      <c r="K710" s="193">
        <f t="shared" si="158"/>
        <v>0</v>
      </c>
      <c r="L710" s="194">
        <v>0</v>
      </c>
      <c r="M710" s="194">
        <v>0</v>
      </c>
      <c r="N710" s="194">
        <v>0</v>
      </c>
      <c r="O710" s="193">
        <f t="shared" si="159"/>
        <v>0</v>
      </c>
      <c r="P710" s="194">
        <v>0</v>
      </c>
      <c r="Q710" s="194">
        <v>0</v>
      </c>
      <c r="R710" s="194">
        <v>0</v>
      </c>
      <c r="S710" s="193">
        <f t="shared" si="160"/>
        <v>0</v>
      </c>
      <c r="T710" s="193">
        <f t="shared" si="161"/>
        <v>0</v>
      </c>
      <c r="U710" s="193">
        <f ca="1">OFFSET('Expenditure Study'!$B$7,'Operations Support'!$C710,'Operations Support'!$B710)*$G710</f>
        <v>0</v>
      </c>
      <c r="V710" s="199">
        <f ca="1">U710*'Expenditure Study'!$B$31</f>
        <v>0</v>
      </c>
      <c r="W710" s="199">
        <f ca="1">IF(A710=10298,1.51,1)*IF($B710&lt;3,$D710*'Expenditure Study'!$B$32*OFFSET('Expenditure Study'!$B$7,'Operations Support'!$C710,'Operations Support'!$B710),0)</f>
        <v>0</v>
      </c>
      <c r="X710" s="200">
        <f ca="1">W710*'Expenditure Study'!$B$31</f>
        <v>0</v>
      </c>
      <c r="Y710" s="199">
        <f ca="1">U710*'Expenditure Study'!$B$31</f>
        <v>0</v>
      </c>
      <c r="Z710" s="200">
        <f ca="1">W710*'Expenditure Study'!$B$31</f>
        <v>0</v>
      </c>
      <c r="AA710" s="195">
        <f t="shared" ca="1" si="162"/>
        <v>0</v>
      </c>
      <c r="AB710" s="195">
        <f t="shared" ca="1" si="163"/>
        <v>0</v>
      </c>
      <c r="AD710" s="196">
        <f>IFERROR($G710/SUMIF($A:$A,$A710,$G:$G)*SUMIF(Summary!$A$166:$A$242,$A710,Summary!$P$166:$P$242),0)</f>
        <v>0</v>
      </c>
      <c r="AE710" s="197">
        <f t="shared" ref="AE710:AE773" ca="1" si="164">V710+X710-AD710</f>
        <v>0</v>
      </c>
      <c r="AF710" s="196">
        <f>IFERROR(G710/SUMIF(A:A,A710,G:G)*SUMIF(Summary!$A$166:$A$242,'Operations Support'!A710,Summary!$Q$166:$Q$242),0)</f>
        <v>0</v>
      </c>
      <c r="AG710" s="196">
        <f t="shared" ref="AG710:AG773" ca="1" si="165">Y710+Z710-AF710</f>
        <v>0</v>
      </c>
      <c r="AI710" s="196">
        <f>IFERROR($G710/SUMIF($A:$A,$A710,$G:$G)*SUMIF(Summary!$A$247:$A$283,$A710,Summary!$P$247:$P$283),0)</f>
        <v>0</v>
      </c>
      <c r="AJ710" s="196">
        <f>IFERROR($G710/SUMIF($A:$A,$A710,$G:$G)*(SUMIF(Summary!$A$247:$A$283,$A710,Summary!$L$247:$L$283)+SUMIF(Summary!$A$297:$A$333,$A710,Summary!$L$297:$L$333))-AI710,0)</f>
        <v>0</v>
      </c>
      <c r="AK710" s="196">
        <f>IFERROR($G710/SUMIF($A:$A,$A710,$G:$G)*SUMIF(Summary!$A$247:$A$283,$A710,Summary!$Q$247:$Q$283),0)</f>
        <v>0</v>
      </c>
      <c r="AL710" s="196">
        <f>IFERROR($G710/SUMIF($A:$A,$A710,$G:$G)*(SUMIF(Summary!$A$247:$A$283,$A710,Summary!$L$247:$L$283)+SUMIF(Summary!$A$297:$A$333,$A710,Summary!$L$297:$L$333))-AK710,0)</f>
        <v>0</v>
      </c>
      <c r="AM710" s="198"/>
      <c r="AN710" s="196">
        <f t="shared" ref="AN710:AN773" ca="1" si="166">AE710+AJ710</f>
        <v>0</v>
      </c>
      <c r="AO710" s="196">
        <f t="shared" ref="AO710:AO773" ca="1" si="167">AG710+AL710</f>
        <v>0</v>
      </c>
    </row>
    <row r="711" spans="1:41">
      <c r="A711" s="189">
        <v>3599</v>
      </c>
      <c r="B711" s="203">
        <v>4</v>
      </c>
      <c r="C711" s="191" t="s">
        <v>233</v>
      </c>
      <c r="D711" s="192">
        <f t="shared" si="154"/>
        <v>595.5</v>
      </c>
      <c r="E711" s="192">
        <f t="shared" si="155"/>
        <v>664.5</v>
      </c>
      <c r="F711" s="192">
        <f t="shared" si="156"/>
        <v>0</v>
      </c>
      <c r="G711" s="193">
        <f t="shared" si="157"/>
        <v>1260</v>
      </c>
      <c r="H711" s="194">
        <v>230</v>
      </c>
      <c r="I711" s="194">
        <v>224</v>
      </c>
      <c r="J711" s="194">
        <v>0</v>
      </c>
      <c r="K711" s="193">
        <f t="shared" si="158"/>
        <v>454</v>
      </c>
      <c r="L711" s="194">
        <v>243</v>
      </c>
      <c r="M711" s="194">
        <v>187</v>
      </c>
      <c r="N711" s="194">
        <v>0</v>
      </c>
      <c r="O711" s="193">
        <f t="shared" si="159"/>
        <v>430</v>
      </c>
      <c r="P711" s="194">
        <v>122.5</v>
      </c>
      <c r="Q711" s="194">
        <v>253.5</v>
      </c>
      <c r="R711" s="194">
        <v>0</v>
      </c>
      <c r="S711" s="193">
        <f t="shared" si="160"/>
        <v>376</v>
      </c>
      <c r="T711" s="193">
        <f t="shared" si="161"/>
        <v>70</v>
      </c>
      <c r="U711" s="193">
        <f ca="1">OFFSET('Expenditure Study'!$B$7,'Operations Support'!$C711,'Operations Support'!$B711)*$G711</f>
        <v>11592</v>
      </c>
      <c r="V711" s="199">
        <f ca="1">U711*'Expenditure Study'!$B$31</f>
        <v>684892.23183359997</v>
      </c>
      <c r="W711" s="199">
        <f ca="1">IF(A711=10298,1.51,1)*IF($B711&lt;3,$D711*'Expenditure Study'!$B$32*OFFSET('Expenditure Study'!$B$7,'Operations Support'!$C711,'Operations Support'!$B711),0)</f>
        <v>0</v>
      </c>
      <c r="X711" s="200">
        <f ca="1">W711*'Expenditure Study'!$B$31</f>
        <v>0</v>
      </c>
      <c r="Y711" s="199">
        <f ca="1">U711*'Expenditure Study'!$B$31</f>
        <v>684892.23183359997</v>
      </c>
      <c r="Z711" s="200">
        <f ca="1">W711*'Expenditure Study'!$B$31</f>
        <v>0</v>
      </c>
      <c r="AA711" s="195">
        <f t="shared" ca="1" si="162"/>
        <v>684892.23183359997</v>
      </c>
      <c r="AB711" s="195">
        <f t="shared" ca="1" si="163"/>
        <v>684892.23183359997</v>
      </c>
      <c r="AD711" s="196">
        <f>IFERROR($G711/SUMIF($A:$A,$A711,$G:$G)*SUMIF(Summary!$A$166:$A$242,$A711,Summary!$P$166:$P$242),0)</f>
        <v>32701.608765945763</v>
      </c>
      <c r="AE711" s="197">
        <f t="shared" ca="1" si="164"/>
        <v>652190.6230676542</v>
      </c>
      <c r="AF711" s="196">
        <f>IFERROR(G711/SUMIF(A:A,A711,G:G)*SUMIF(Summary!$A$166:$A$242,'Operations Support'!A711,Summary!$Q$166:$Q$242),0)</f>
        <v>32723.163257917353</v>
      </c>
      <c r="AG711" s="196">
        <f t="shared" ca="1" si="165"/>
        <v>652169.06857568258</v>
      </c>
      <c r="AI711" s="196">
        <f>IFERROR($G711/SUMIF($A:$A,$A711,$G:$G)*SUMIF(Summary!$A$247:$A$283,$A711,Summary!$P$247:$P$283),0)</f>
        <v>5963.9573793583459</v>
      </c>
      <c r="AJ711" s="196">
        <f>IFERROR($G711/SUMIF($A:$A,$A711,$G:$G)*(SUMIF(Summary!$A$247:$A$283,$A711,Summary!$L$247:$L$283)+SUMIF(Summary!$A$297:$A$333,$A711,Summary!$L$297:$L$333))-AI711,0)</f>
        <v>18040.36039222165</v>
      </c>
      <c r="AK711" s="196">
        <f>IFERROR($G711/SUMIF($A:$A,$A711,$G:$G)*SUMIF(Summary!$A$247:$A$283,$A711,Summary!$Q$247:$Q$283),0)</f>
        <v>5967.8883808076116</v>
      </c>
      <c r="AL711" s="196">
        <f>IFERROR($G711/SUMIF($A:$A,$A711,$G:$G)*(SUMIF(Summary!$A$247:$A$283,$A711,Summary!$L$247:$L$283)+SUMIF(Summary!$A$297:$A$333,$A711,Summary!$L$297:$L$333))-AK711,0)</f>
        <v>18036.429390772384</v>
      </c>
      <c r="AM711" s="198"/>
      <c r="AN711" s="196">
        <f t="shared" ca="1" si="166"/>
        <v>670230.9834598758</v>
      </c>
      <c r="AO711" s="196">
        <f t="shared" ca="1" si="167"/>
        <v>670205.49796645495</v>
      </c>
    </row>
    <row r="712" spans="1:41">
      <c r="A712" s="189">
        <v>3599</v>
      </c>
      <c r="B712" s="203">
        <v>4</v>
      </c>
      <c r="C712" s="191" t="s">
        <v>234</v>
      </c>
      <c r="D712" s="192">
        <f t="shared" si="154"/>
        <v>0</v>
      </c>
      <c r="E712" s="192">
        <f t="shared" si="155"/>
        <v>0</v>
      </c>
      <c r="F712" s="192">
        <f t="shared" si="156"/>
        <v>0</v>
      </c>
      <c r="G712" s="193">
        <f t="shared" si="157"/>
        <v>0</v>
      </c>
      <c r="H712" s="194">
        <v>0</v>
      </c>
      <c r="I712" s="194">
        <v>0</v>
      </c>
      <c r="J712" s="194">
        <v>0</v>
      </c>
      <c r="K712" s="193">
        <f t="shared" si="158"/>
        <v>0</v>
      </c>
      <c r="L712" s="194">
        <v>0</v>
      </c>
      <c r="M712" s="194">
        <v>0</v>
      </c>
      <c r="N712" s="194">
        <v>0</v>
      </c>
      <c r="O712" s="193">
        <f t="shared" si="159"/>
        <v>0</v>
      </c>
      <c r="P712" s="194">
        <v>0</v>
      </c>
      <c r="Q712" s="194">
        <v>0</v>
      </c>
      <c r="R712" s="194">
        <v>0</v>
      </c>
      <c r="S712" s="193">
        <f t="shared" si="160"/>
        <v>0</v>
      </c>
      <c r="T712" s="193">
        <f t="shared" si="161"/>
        <v>0</v>
      </c>
      <c r="U712" s="193">
        <f ca="1">OFFSET('Expenditure Study'!$B$7,'Operations Support'!$C712,'Operations Support'!$B712)*$G712</f>
        <v>0</v>
      </c>
      <c r="V712" s="199">
        <f ca="1">U712*'Expenditure Study'!$B$31</f>
        <v>0</v>
      </c>
      <c r="W712" s="199">
        <f ca="1">IF(A712=10298,1.51,1)*IF($B712&lt;3,$D712*'Expenditure Study'!$B$32*OFFSET('Expenditure Study'!$B$7,'Operations Support'!$C712,'Operations Support'!$B712),0)</f>
        <v>0</v>
      </c>
      <c r="X712" s="200">
        <f ca="1">W712*'Expenditure Study'!$B$31</f>
        <v>0</v>
      </c>
      <c r="Y712" s="199">
        <f ca="1">U712*'Expenditure Study'!$B$31</f>
        <v>0</v>
      </c>
      <c r="Z712" s="200">
        <f ca="1">W712*'Expenditure Study'!$B$31</f>
        <v>0</v>
      </c>
      <c r="AA712" s="195">
        <f t="shared" ca="1" si="162"/>
        <v>0</v>
      </c>
      <c r="AB712" s="195">
        <f t="shared" ca="1" si="163"/>
        <v>0</v>
      </c>
      <c r="AD712" s="196">
        <f>IFERROR($G712/SUMIF($A:$A,$A712,$G:$G)*SUMIF(Summary!$A$166:$A$242,$A712,Summary!$P$166:$P$242),0)</f>
        <v>0</v>
      </c>
      <c r="AE712" s="197">
        <f t="shared" ca="1" si="164"/>
        <v>0</v>
      </c>
      <c r="AF712" s="196">
        <f>IFERROR(G712/SUMIF(A:A,A712,G:G)*SUMIF(Summary!$A$166:$A$242,'Operations Support'!A712,Summary!$Q$166:$Q$242),0)</f>
        <v>0</v>
      </c>
      <c r="AG712" s="196">
        <f t="shared" ca="1" si="165"/>
        <v>0</v>
      </c>
      <c r="AI712" s="196">
        <f>IFERROR($G712/SUMIF($A:$A,$A712,$G:$G)*SUMIF(Summary!$A$247:$A$283,$A712,Summary!$P$247:$P$283),0)</f>
        <v>0</v>
      </c>
      <c r="AJ712" s="196">
        <f>IFERROR($G712/SUMIF($A:$A,$A712,$G:$G)*(SUMIF(Summary!$A$247:$A$283,$A712,Summary!$L$247:$L$283)+SUMIF(Summary!$A$297:$A$333,$A712,Summary!$L$297:$L$333))-AI712,0)</f>
        <v>0</v>
      </c>
      <c r="AK712" s="196">
        <f>IFERROR($G712/SUMIF($A:$A,$A712,$G:$G)*SUMIF(Summary!$A$247:$A$283,$A712,Summary!$Q$247:$Q$283),0)</f>
        <v>0</v>
      </c>
      <c r="AL712" s="196">
        <f>IFERROR($G712/SUMIF($A:$A,$A712,$G:$G)*(SUMIF(Summary!$A$247:$A$283,$A712,Summary!$L$247:$L$283)+SUMIF(Summary!$A$297:$A$333,$A712,Summary!$L$297:$L$333))-AK712,0)</f>
        <v>0</v>
      </c>
      <c r="AM712" s="198"/>
      <c r="AN712" s="196">
        <f t="shared" ca="1" si="166"/>
        <v>0</v>
      </c>
      <c r="AO712" s="196">
        <f t="shared" ca="1" si="167"/>
        <v>0</v>
      </c>
    </row>
    <row r="713" spans="1:41">
      <c r="A713" s="189">
        <v>3599</v>
      </c>
      <c r="B713" s="203">
        <v>4</v>
      </c>
      <c r="C713" s="191" t="s">
        <v>235</v>
      </c>
      <c r="D713" s="192">
        <f t="shared" si="154"/>
        <v>368</v>
      </c>
      <c r="E713" s="192">
        <f t="shared" si="155"/>
        <v>0</v>
      </c>
      <c r="F713" s="192">
        <f t="shared" si="156"/>
        <v>4</v>
      </c>
      <c r="G713" s="193">
        <f t="shared" si="157"/>
        <v>364</v>
      </c>
      <c r="H713" s="194">
        <v>184</v>
      </c>
      <c r="I713" s="194">
        <v>0</v>
      </c>
      <c r="J713" s="194">
        <v>4</v>
      </c>
      <c r="K713" s="193">
        <f t="shared" si="158"/>
        <v>180</v>
      </c>
      <c r="L713" s="194">
        <v>153</v>
      </c>
      <c r="M713" s="194">
        <v>0</v>
      </c>
      <c r="N713" s="194">
        <v>0</v>
      </c>
      <c r="O713" s="193">
        <f t="shared" si="159"/>
        <v>153</v>
      </c>
      <c r="P713" s="194">
        <v>31</v>
      </c>
      <c r="Q713" s="194">
        <v>0</v>
      </c>
      <c r="R713" s="194">
        <v>0</v>
      </c>
      <c r="S713" s="193">
        <f t="shared" si="160"/>
        <v>31</v>
      </c>
      <c r="T713" s="193">
        <f t="shared" si="161"/>
        <v>20.222222222222221</v>
      </c>
      <c r="U713" s="193">
        <f ca="1">OFFSET('Expenditure Study'!$B$7,'Operations Support'!$C713,'Operations Support'!$B713)*$G713</f>
        <v>13853.84</v>
      </c>
      <c r="V713" s="199">
        <f ca="1">U713*'Expenditure Study'!$B$31</f>
        <v>818528.93349427206</v>
      </c>
      <c r="W713" s="199">
        <f ca="1">IF(A713=10298,1.51,1)*IF($B713&lt;3,$D713*'Expenditure Study'!$B$32*OFFSET('Expenditure Study'!$B$7,'Operations Support'!$C713,'Operations Support'!$B713),0)</f>
        <v>0</v>
      </c>
      <c r="X713" s="200">
        <f ca="1">W713*'Expenditure Study'!$B$31</f>
        <v>0</v>
      </c>
      <c r="Y713" s="199">
        <f ca="1">U713*'Expenditure Study'!$B$31</f>
        <v>818528.93349427206</v>
      </c>
      <c r="Z713" s="200">
        <f ca="1">W713*'Expenditure Study'!$B$31</f>
        <v>0</v>
      </c>
      <c r="AA713" s="195">
        <f t="shared" ca="1" si="162"/>
        <v>818528.93349427206</v>
      </c>
      <c r="AB713" s="195">
        <f t="shared" ca="1" si="163"/>
        <v>818528.93349427206</v>
      </c>
      <c r="AD713" s="196">
        <f>IFERROR($G713/SUMIF($A:$A,$A713,$G:$G)*SUMIF(Summary!$A$166:$A$242,$A713,Summary!$P$166:$P$242),0)</f>
        <v>9447.1314212732195</v>
      </c>
      <c r="AE713" s="197">
        <f t="shared" ca="1" si="164"/>
        <v>809081.80207299883</v>
      </c>
      <c r="AF713" s="196">
        <f>IFERROR(G713/SUMIF(A:A,A713,G:G)*SUMIF(Summary!$A$166:$A$242,'Operations Support'!A713,Summary!$Q$166:$Q$242),0)</f>
        <v>9453.3582745094573</v>
      </c>
      <c r="AG713" s="196">
        <f t="shared" ca="1" si="165"/>
        <v>809075.57521976263</v>
      </c>
      <c r="AI713" s="196">
        <f>IFERROR($G713/SUMIF($A:$A,$A713,$G:$G)*SUMIF(Summary!$A$247:$A$283,$A713,Summary!$P$247:$P$283),0)</f>
        <v>1722.9210207035219</v>
      </c>
      <c r="AJ713" s="196">
        <f>IFERROR($G713/SUMIF($A:$A,$A713,$G:$G)*(SUMIF(Summary!$A$247:$A$283,$A713,Summary!$L$247:$L$283)+SUMIF(Summary!$A$297:$A$333,$A713,Summary!$L$297:$L$333))-AI713,0)</f>
        <v>5211.659668864032</v>
      </c>
      <c r="AK713" s="196">
        <f>IFERROR($G713/SUMIF($A:$A,$A713,$G:$G)*SUMIF(Summary!$A$247:$A$283,$A713,Summary!$Q$247:$Q$283),0)</f>
        <v>1724.056643344421</v>
      </c>
      <c r="AL713" s="196">
        <f>IFERROR($G713/SUMIF($A:$A,$A713,$G:$G)*(SUMIF(Summary!$A$247:$A$283,$A713,Summary!$L$247:$L$283)+SUMIF(Summary!$A$297:$A$333,$A713,Summary!$L$297:$L$333))-AK713,0)</f>
        <v>5210.5240462231332</v>
      </c>
      <c r="AM713" s="198"/>
      <c r="AN713" s="196">
        <f t="shared" ca="1" si="166"/>
        <v>814293.46174186282</v>
      </c>
      <c r="AO713" s="196">
        <f t="shared" ca="1" si="167"/>
        <v>814286.09926598577</v>
      </c>
    </row>
    <row r="714" spans="1:41" s="201" customFormat="1">
      <c r="A714" s="189">
        <v>3599</v>
      </c>
      <c r="B714" s="203">
        <v>4</v>
      </c>
      <c r="C714" s="191" t="s">
        <v>236</v>
      </c>
      <c r="D714" s="192">
        <f t="shared" si="154"/>
        <v>0</v>
      </c>
      <c r="E714" s="192">
        <f t="shared" si="155"/>
        <v>0</v>
      </c>
      <c r="F714" s="192">
        <f t="shared" si="156"/>
        <v>0</v>
      </c>
      <c r="G714" s="193">
        <f t="shared" si="157"/>
        <v>0</v>
      </c>
      <c r="H714" s="194">
        <v>0</v>
      </c>
      <c r="I714" s="194">
        <v>0</v>
      </c>
      <c r="J714" s="194">
        <v>0</v>
      </c>
      <c r="K714" s="193">
        <f t="shared" si="158"/>
        <v>0</v>
      </c>
      <c r="L714" s="194">
        <v>0</v>
      </c>
      <c r="M714" s="194">
        <v>0</v>
      </c>
      <c r="N714" s="194">
        <v>0</v>
      </c>
      <c r="O714" s="193">
        <f t="shared" si="159"/>
        <v>0</v>
      </c>
      <c r="P714" s="194">
        <v>0</v>
      </c>
      <c r="Q714" s="194">
        <v>0</v>
      </c>
      <c r="R714" s="194">
        <v>0</v>
      </c>
      <c r="S714" s="193">
        <f t="shared" si="160"/>
        <v>0</v>
      </c>
      <c r="T714" s="193">
        <f t="shared" si="161"/>
        <v>0</v>
      </c>
      <c r="U714" s="193">
        <f ca="1">OFFSET('Expenditure Study'!$B$7,'Operations Support'!$C714,'Operations Support'!$B714)*$G714</f>
        <v>0</v>
      </c>
      <c r="V714" s="199">
        <f ca="1">U714*'Expenditure Study'!$B$31</f>
        <v>0</v>
      </c>
      <c r="W714" s="199">
        <f ca="1">IF(A714=10298,1.51,1)*IF($B714&lt;3,$D714*'Expenditure Study'!$B$32*OFFSET('Expenditure Study'!$B$7,'Operations Support'!$C714,'Operations Support'!$B714),0)</f>
        <v>0</v>
      </c>
      <c r="X714" s="200">
        <f ca="1">W714*'Expenditure Study'!$B$31</f>
        <v>0</v>
      </c>
      <c r="Y714" s="199">
        <f ca="1">U714*'Expenditure Study'!$B$31</f>
        <v>0</v>
      </c>
      <c r="Z714" s="200">
        <f ca="1">W714*'Expenditure Study'!$B$31</f>
        <v>0</v>
      </c>
      <c r="AA714" s="195">
        <f t="shared" ca="1" si="162"/>
        <v>0</v>
      </c>
      <c r="AB714" s="195">
        <f t="shared" ca="1" si="163"/>
        <v>0</v>
      </c>
      <c r="AD714" s="196">
        <f>IFERROR($G714/SUMIF($A:$A,$A714,$G:$G)*SUMIF(Summary!$A$166:$A$242,$A714,Summary!$P$166:$P$242),0)</f>
        <v>0</v>
      </c>
      <c r="AE714" s="197">
        <f t="shared" ca="1" si="164"/>
        <v>0</v>
      </c>
      <c r="AF714" s="196">
        <f>IFERROR(G714/SUMIF(A:A,A714,G:G)*SUMIF(Summary!$A$166:$A$242,'Operations Support'!A714,Summary!$Q$166:$Q$242),0)</f>
        <v>0</v>
      </c>
      <c r="AG714" s="196">
        <f t="shared" ca="1" si="165"/>
        <v>0</v>
      </c>
      <c r="AH714" s="180"/>
      <c r="AI714" s="196">
        <f>IFERROR($G714/SUMIF($A:$A,$A714,$G:$G)*SUMIF(Summary!$A$247:$A$283,$A714,Summary!$P$247:$P$283),0)</f>
        <v>0</v>
      </c>
      <c r="AJ714" s="196">
        <f>IFERROR($G714/SUMIF($A:$A,$A714,$G:$G)*(SUMIF(Summary!$A$247:$A$283,$A714,Summary!$L$247:$L$283)+SUMIF(Summary!$A$297:$A$333,$A714,Summary!$L$297:$L$333))-AI714,0)</f>
        <v>0</v>
      </c>
      <c r="AK714" s="196">
        <f>IFERROR($G714/SUMIF($A:$A,$A714,$G:$G)*SUMIF(Summary!$A$247:$A$283,$A714,Summary!$Q$247:$Q$283),0)</f>
        <v>0</v>
      </c>
      <c r="AL714" s="196">
        <f>IFERROR($G714/SUMIF($A:$A,$A714,$G:$G)*(SUMIF(Summary!$A$247:$A$283,$A714,Summary!$L$247:$L$283)+SUMIF(Summary!$A$297:$A$333,$A714,Summary!$L$297:$L$333))-AK714,0)</f>
        <v>0</v>
      </c>
      <c r="AM714" s="198"/>
      <c r="AN714" s="196">
        <f t="shared" ca="1" si="166"/>
        <v>0</v>
      </c>
      <c r="AO714" s="196">
        <f t="shared" ca="1" si="167"/>
        <v>0</v>
      </c>
    </row>
    <row r="715" spans="1:41">
      <c r="A715" s="189">
        <v>3599</v>
      </c>
      <c r="B715" s="203">
        <v>4</v>
      </c>
      <c r="C715" s="191" t="s">
        <v>237</v>
      </c>
      <c r="D715" s="192">
        <f t="shared" si="154"/>
        <v>0</v>
      </c>
      <c r="E715" s="192">
        <f t="shared" si="155"/>
        <v>0</v>
      </c>
      <c r="F715" s="192">
        <f t="shared" si="156"/>
        <v>0</v>
      </c>
      <c r="G715" s="193">
        <f t="shared" si="157"/>
        <v>0</v>
      </c>
      <c r="H715" s="194">
        <v>0</v>
      </c>
      <c r="I715" s="194">
        <v>0</v>
      </c>
      <c r="J715" s="194">
        <v>0</v>
      </c>
      <c r="K715" s="193">
        <f t="shared" si="158"/>
        <v>0</v>
      </c>
      <c r="L715" s="194">
        <v>0</v>
      </c>
      <c r="M715" s="194">
        <v>0</v>
      </c>
      <c r="N715" s="194">
        <v>0</v>
      </c>
      <c r="O715" s="193">
        <f t="shared" si="159"/>
        <v>0</v>
      </c>
      <c r="P715" s="194">
        <v>0</v>
      </c>
      <c r="Q715" s="194">
        <v>0</v>
      </c>
      <c r="R715" s="194">
        <v>0</v>
      </c>
      <c r="S715" s="193">
        <f t="shared" si="160"/>
        <v>0</v>
      </c>
      <c r="T715" s="193">
        <f t="shared" si="161"/>
        <v>0</v>
      </c>
      <c r="U715" s="193">
        <f ca="1">OFFSET('Expenditure Study'!$B$7,'Operations Support'!$C715,'Operations Support'!$B715)*$G715</f>
        <v>0</v>
      </c>
      <c r="V715" s="199">
        <f ca="1">U715*'Expenditure Study'!$B$31</f>
        <v>0</v>
      </c>
      <c r="W715" s="199">
        <f ca="1">IF(A715=10298,1.51,1)*IF($B715&lt;3,$D715*'Expenditure Study'!$B$32*OFFSET('Expenditure Study'!$B$7,'Operations Support'!$C715,'Operations Support'!$B715),0)</f>
        <v>0</v>
      </c>
      <c r="X715" s="200">
        <f ca="1">W715*'Expenditure Study'!$B$31</f>
        <v>0</v>
      </c>
      <c r="Y715" s="199">
        <f ca="1">U715*'Expenditure Study'!$B$31</f>
        <v>0</v>
      </c>
      <c r="Z715" s="200">
        <f ca="1">W715*'Expenditure Study'!$B$31</f>
        <v>0</v>
      </c>
      <c r="AA715" s="195">
        <f t="shared" ca="1" si="162"/>
        <v>0</v>
      </c>
      <c r="AB715" s="195">
        <f t="shared" ca="1" si="163"/>
        <v>0</v>
      </c>
      <c r="AD715" s="196">
        <f>IFERROR($G715/SUMIF($A:$A,$A715,$G:$G)*SUMIF(Summary!$A$166:$A$242,$A715,Summary!$P$166:$P$242),0)</f>
        <v>0</v>
      </c>
      <c r="AE715" s="197">
        <f t="shared" ca="1" si="164"/>
        <v>0</v>
      </c>
      <c r="AF715" s="196">
        <f>IFERROR(G715/SUMIF(A:A,A715,G:G)*SUMIF(Summary!$A$166:$A$242,'Operations Support'!A715,Summary!$Q$166:$Q$242),0)</f>
        <v>0</v>
      </c>
      <c r="AG715" s="196">
        <f t="shared" ca="1" si="165"/>
        <v>0</v>
      </c>
      <c r="AI715" s="196">
        <f>IFERROR($G715/SUMIF($A:$A,$A715,$G:$G)*SUMIF(Summary!$A$247:$A$283,$A715,Summary!$P$247:$P$283),0)</f>
        <v>0</v>
      </c>
      <c r="AJ715" s="196">
        <f>IFERROR($G715/SUMIF($A:$A,$A715,$G:$G)*(SUMIF(Summary!$A$247:$A$283,$A715,Summary!$L$247:$L$283)+SUMIF(Summary!$A$297:$A$333,$A715,Summary!$L$297:$L$333))-AI715,0)</f>
        <v>0</v>
      </c>
      <c r="AK715" s="196">
        <f>IFERROR($G715/SUMIF($A:$A,$A715,$G:$G)*SUMIF(Summary!$A$247:$A$283,$A715,Summary!$Q$247:$Q$283),0)</f>
        <v>0</v>
      </c>
      <c r="AL715" s="196">
        <f>IFERROR($G715/SUMIF($A:$A,$A715,$G:$G)*(SUMIF(Summary!$A$247:$A$283,$A715,Summary!$L$247:$L$283)+SUMIF(Summary!$A$297:$A$333,$A715,Summary!$L$297:$L$333))-AK715,0)</f>
        <v>0</v>
      </c>
      <c r="AM715" s="198"/>
      <c r="AN715" s="196">
        <f t="shared" ca="1" si="166"/>
        <v>0</v>
      </c>
      <c r="AO715" s="196">
        <f t="shared" ca="1" si="167"/>
        <v>0</v>
      </c>
    </row>
    <row r="716" spans="1:41">
      <c r="A716" s="189">
        <v>3599</v>
      </c>
      <c r="B716" s="203">
        <v>4</v>
      </c>
      <c r="C716" s="191" t="s">
        <v>238</v>
      </c>
      <c r="D716" s="192">
        <f t="shared" si="154"/>
        <v>0</v>
      </c>
      <c r="E716" s="192">
        <f t="shared" si="155"/>
        <v>0</v>
      </c>
      <c r="F716" s="192">
        <f t="shared" si="156"/>
        <v>0</v>
      </c>
      <c r="G716" s="193">
        <f t="shared" si="157"/>
        <v>0</v>
      </c>
      <c r="H716" s="194">
        <v>0</v>
      </c>
      <c r="I716" s="194">
        <v>0</v>
      </c>
      <c r="J716" s="194">
        <v>0</v>
      </c>
      <c r="K716" s="193">
        <f t="shared" si="158"/>
        <v>0</v>
      </c>
      <c r="L716" s="194">
        <v>0</v>
      </c>
      <c r="M716" s="194">
        <v>0</v>
      </c>
      <c r="N716" s="194">
        <v>0</v>
      </c>
      <c r="O716" s="193">
        <f t="shared" si="159"/>
        <v>0</v>
      </c>
      <c r="P716" s="194">
        <v>0</v>
      </c>
      <c r="Q716" s="194">
        <v>0</v>
      </c>
      <c r="R716" s="194">
        <v>0</v>
      </c>
      <c r="S716" s="193">
        <f t="shared" si="160"/>
        <v>0</v>
      </c>
      <c r="T716" s="193">
        <f t="shared" si="161"/>
        <v>0</v>
      </c>
      <c r="U716" s="193">
        <f ca="1">OFFSET('Expenditure Study'!$B$7,'Operations Support'!$C716,'Operations Support'!$B716)*$G716</f>
        <v>0</v>
      </c>
      <c r="V716" s="199">
        <f ca="1">U716*'Expenditure Study'!$B$31</f>
        <v>0</v>
      </c>
      <c r="W716" s="199">
        <f ca="1">IF(A716=10298,1.51,1)*IF($B716&lt;3,$D716*'Expenditure Study'!$B$32*OFFSET('Expenditure Study'!$B$7,'Operations Support'!$C716,'Operations Support'!$B716),0)</f>
        <v>0</v>
      </c>
      <c r="X716" s="200">
        <f ca="1">W716*'Expenditure Study'!$B$31</f>
        <v>0</v>
      </c>
      <c r="Y716" s="199">
        <f ca="1">U716*'Expenditure Study'!$B$31</f>
        <v>0</v>
      </c>
      <c r="Z716" s="200">
        <f ca="1">W716*'Expenditure Study'!$B$31</f>
        <v>0</v>
      </c>
      <c r="AA716" s="195">
        <f t="shared" ca="1" si="162"/>
        <v>0</v>
      </c>
      <c r="AB716" s="195">
        <f t="shared" ca="1" si="163"/>
        <v>0</v>
      </c>
      <c r="AD716" s="196">
        <f>IFERROR($G716/SUMIF($A:$A,$A716,$G:$G)*SUMIF(Summary!$A$166:$A$242,$A716,Summary!$P$166:$P$242),0)</f>
        <v>0</v>
      </c>
      <c r="AE716" s="197">
        <f t="shared" ca="1" si="164"/>
        <v>0</v>
      </c>
      <c r="AF716" s="196">
        <f>IFERROR(G716/SUMIF(A:A,A716,G:G)*SUMIF(Summary!$A$166:$A$242,'Operations Support'!A716,Summary!$Q$166:$Q$242),0)</f>
        <v>0</v>
      </c>
      <c r="AG716" s="196">
        <f t="shared" ca="1" si="165"/>
        <v>0</v>
      </c>
      <c r="AI716" s="196">
        <f>IFERROR($G716/SUMIF($A:$A,$A716,$G:$G)*SUMIF(Summary!$A$247:$A$283,$A716,Summary!$P$247:$P$283),0)</f>
        <v>0</v>
      </c>
      <c r="AJ716" s="196">
        <f>IFERROR($G716/SUMIF($A:$A,$A716,$G:$G)*(SUMIF(Summary!$A$247:$A$283,$A716,Summary!$L$247:$L$283)+SUMIF(Summary!$A$297:$A$333,$A716,Summary!$L$297:$L$333))-AI716,0)</f>
        <v>0</v>
      </c>
      <c r="AK716" s="196">
        <f>IFERROR($G716/SUMIF($A:$A,$A716,$G:$G)*SUMIF(Summary!$A$247:$A$283,$A716,Summary!$Q$247:$Q$283),0)</f>
        <v>0</v>
      </c>
      <c r="AL716" s="196">
        <f>IFERROR($G716/SUMIF($A:$A,$A716,$G:$G)*(SUMIF(Summary!$A$247:$A$283,$A716,Summary!$L$247:$L$283)+SUMIF(Summary!$A$297:$A$333,$A716,Summary!$L$297:$L$333))-AK716,0)</f>
        <v>0</v>
      </c>
      <c r="AM716" s="198"/>
      <c r="AN716" s="196">
        <f t="shared" ca="1" si="166"/>
        <v>0</v>
      </c>
      <c r="AO716" s="196">
        <f t="shared" ca="1" si="167"/>
        <v>0</v>
      </c>
    </row>
    <row r="717" spans="1:41">
      <c r="A717" s="189">
        <v>3599</v>
      </c>
      <c r="B717" s="203">
        <v>4</v>
      </c>
      <c r="C717" s="191" t="s">
        <v>239</v>
      </c>
      <c r="D717" s="192">
        <f t="shared" si="154"/>
        <v>90</v>
      </c>
      <c r="E717" s="192">
        <f t="shared" si="155"/>
        <v>0</v>
      </c>
      <c r="F717" s="192">
        <f t="shared" si="156"/>
        <v>0</v>
      </c>
      <c r="G717" s="193">
        <f t="shared" si="157"/>
        <v>90</v>
      </c>
      <c r="H717" s="194">
        <v>24</v>
      </c>
      <c r="I717" s="194">
        <v>0</v>
      </c>
      <c r="J717" s="194">
        <v>0</v>
      </c>
      <c r="K717" s="193">
        <f t="shared" si="158"/>
        <v>24</v>
      </c>
      <c r="L717" s="194">
        <v>66</v>
      </c>
      <c r="M717" s="194">
        <v>0</v>
      </c>
      <c r="N717" s="194">
        <v>0</v>
      </c>
      <c r="O717" s="193">
        <f t="shared" si="159"/>
        <v>66</v>
      </c>
      <c r="P717" s="194">
        <v>0</v>
      </c>
      <c r="Q717" s="194">
        <v>0</v>
      </c>
      <c r="R717" s="194">
        <v>0</v>
      </c>
      <c r="S717" s="193">
        <f t="shared" si="160"/>
        <v>0</v>
      </c>
      <c r="T717" s="193">
        <f t="shared" si="161"/>
        <v>5</v>
      </c>
      <c r="U717" s="193">
        <f ca="1">OFFSET('Expenditure Study'!$B$7,'Operations Support'!$C717,'Operations Support'!$B717)*$G717</f>
        <v>825.3</v>
      </c>
      <c r="V717" s="199">
        <f ca="1">U717*'Expenditure Study'!$B$31</f>
        <v>48761.349114240002</v>
      </c>
      <c r="W717" s="199">
        <f ca="1">IF(A717=10298,1.51,1)*IF($B717&lt;3,$D717*'Expenditure Study'!$B$32*OFFSET('Expenditure Study'!$B$7,'Operations Support'!$C717,'Operations Support'!$B717),0)</f>
        <v>0</v>
      </c>
      <c r="X717" s="200">
        <f ca="1">W717*'Expenditure Study'!$B$31</f>
        <v>0</v>
      </c>
      <c r="Y717" s="199">
        <f ca="1">U717*'Expenditure Study'!$B$31</f>
        <v>48761.349114240002</v>
      </c>
      <c r="Z717" s="200">
        <f ca="1">W717*'Expenditure Study'!$B$31</f>
        <v>0</v>
      </c>
      <c r="AA717" s="195">
        <f t="shared" ca="1" si="162"/>
        <v>48761.349114240002</v>
      </c>
      <c r="AB717" s="195">
        <f t="shared" ca="1" si="163"/>
        <v>48761.349114240002</v>
      </c>
      <c r="AD717" s="196">
        <f>IFERROR($G717/SUMIF($A:$A,$A717,$G:$G)*SUMIF(Summary!$A$166:$A$242,$A717,Summary!$P$166:$P$242),0)</f>
        <v>2335.8291975675543</v>
      </c>
      <c r="AE717" s="197">
        <f t="shared" ca="1" si="164"/>
        <v>46425.519916672449</v>
      </c>
      <c r="AF717" s="196">
        <f>IFERROR(G717/SUMIF(A:A,A717,G:G)*SUMIF(Summary!$A$166:$A$242,'Operations Support'!A717,Summary!$Q$166:$Q$242),0)</f>
        <v>2337.3688041369537</v>
      </c>
      <c r="AG717" s="196">
        <f t="shared" ca="1" si="165"/>
        <v>46423.980310103048</v>
      </c>
      <c r="AI717" s="196">
        <f>IFERROR($G717/SUMIF($A:$A,$A717,$G:$G)*SUMIF(Summary!$A$247:$A$283,$A717,Summary!$P$247:$P$283),0)</f>
        <v>425.99695566845321</v>
      </c>
      <c r="AJ717" s="196">
        <f>IFERROR($G717/SUMIF($A:$A,$A717,$G:$G)*(SUMIF(Summary!$A$247:$A$283,$A717,Summary!$L$247:$L$283)+SUMIF(Summary!$A$297:$A$333,$A717,Summary!$L$297:$L$333))-AI717,0)</f>
        <v>1288.5971708729751</v>
      </c>
      <c r="AK717" s="196">
        <f>IFERROR($G717/SUMIF($A:$A,$A717,$G:$G)*SUMIF(Summary!$A$247:$A$283,$A717,Summary!$Q$247:$Q$283),0)</f>
        <v>426.27774148625798</v>
      </c>
      <c r="AL717" s="196">
        <f>IFERROR($G717/SUMIF($A:$A,$A717,$G:$G)*(SUMIF(Summary!$A$247:$A$283,$A717,Summary!$L$247:$L$283)+SUMIF(Summary!$A$297:$A$333,$A717,Summary!$L$297:$L$333))-AK717,0)</f>
        <v>1288.3163850551703</v>
      </c>
      <c r="AM717" s="198"/>
      <c r="AN717" s="196">
        <f t="shared" ca="1" si="166"/>
        <v>47714.117087545426</v>
      </c>
      <c r="AO717" s="196">
        <f t="shared" ca="1" si="167"/>
        <v>47712.29669515822</v>
      </c>
    </row>
    <row r="718" spans="1:41">
      <c r="A718" s="189">
        <v>3599</v>
      </c>
      <c r="B718" s="203">
        <v>4</v>
      </c>
      <c r="C718" s="191" t="s">
        <v>240</v>
      </c>
      <c r="D718" s="192">
        <f t="shared" si="154"/>
        <v>0</v>
      </c>
      <c r="E718" s="192">
        <f t="shared" si="155"/>
        <v>0</v>
      </c>
      <c r="F718" s="192">
        <f t="shared" si="156"/>
        <v>0</v>
      </c>
      <c r="G718" s="193">
        <f t="shared" si="157"/>
        <v>0</v>
      </c>
      <c r="H718" s="194">
        <v>0</v>
      </c>
      <c r="I718" s="194">
        <v>0</v>
      </c>
      <c r="J718" s="194">
        <v>0</v>
      </c>
      <c r="K718" s="193">
        <f t="shared" si="158"/>
        <v>0</v>
      </c>
      <c r="L718" s="194">
        <v>0</v>
      </c>
      <c r="M718" s="194">
        <v>0</v>
      </c>
      <c r="N718" s="194">
        <v>0</v>
      </c>
      <c r="O718" s="193">
        <f t="shared" si="159"/>
        <v>0</v>
      </c>
      <c r="P718" s="194">
        <v>0</v>
      </c>
      <c r="Q718" s="194">
        <v>0</v>
      </c>
      <c r="R718" s="194">
        <v>0</v>
      </c>
      <c r="S718" s="193">
        <f t="shared" si="160"/>
        <v>0</v>
      </c>
      <c r="T718" s="193">
        <f t="shared" si="161"/>
        <v>0</v>
      </c>
      <c r="U718" s="193">
        <f ca="1">OFFSET('Expenditure Study'!$B$7,'Operations Support'!$C718,'Operations Support'!$B718)*$G718</f>
        <v>0</v>
      </c>
      <c r="V718" s="199">
        <f ca="1">U718*'Expenditure Study'!$B$31</f>
        <v>0</v>
      </c>
      <c r="W718" s="199">
        <f ca="1">IF(A718=10298,1.51,1)*IF($B718&lt;3,$D718*'Expenditure Study'!$B$32*OFFSET('Expenditure Study'!$B$7,'Operations Support'!$C718,'Operations Support'!$B718),0)</f>
        <v>0</v>
      </c>
      <c r="X718" s="200">
        <f ca="1">W718*'Expenditure Study'!$B$31</f>
        <v>0</v>
      </c>
      <c r="Y718" s="199">
        <f ca="1">U718*'Expenditure Study'!$B$31</f>
        <v>0</v>
      </c>
      <c r="Z718" s="200">
        <f ca="1">W718*'Expenditure Study'!$B$31</f>
        <v>0</v>
      </c>
      <c r="AA718" s="195">
        <f t="shared" ca="1" si="162"/>
        <v>0</v>
      </c>
      <c r="AB718" s="195">
        <f t="shared" ca="1" si="163"/>
        <v>0</v>
      </c>
      <c r="AD718" s="196">
        <f>IFERROR($G718/SUMIF($A:$A,$A718,$G:$G)*SUMIF(Summary!$A$166:$A$242,$A718,Summary!$P$166:$P$242),0)</f>
        <v>0</v>
      </c>
      <c r="AE718" s="197">
        <f t="shared" ca="1" si="164"/>
        <v>0</v>
      </c>
      <c r="AF718" s="196">
        <f>IFERROR(G718/SUMIF(A:A,A718,G:G)*SUMIF(Summary!$A$166:$A$242,'Operations Support'!A718,Summary!$Q$166:$Q$242),0)</f>
        <v>0</v>
      </c>
      <c r="AG718" s="196">
        <f t="shared" ca="1" si="165"/>
        <v>0</v>
      </c>
      <c r="AI718" s="196">
        <f>IFERROR($G718/SUMIF($A:$A,$A718,$G:$G)*SUMIF(Summary!$A$247:$A$283,$A718,Summary!$P$247:$P$283),0)</f>
        <v>0</v>
      </c>
      <c r="AJ718" s="196">
        <f>IFERROR($G718/SUMIF($A:$A,$A718,$G:$G)*(SUMIF(Summary!$A$247:$A$283,$A718,Summary!$L$247:$L$283)+SUMIF(Summary!$A$297:$A$333,$A718,Summary!$L$297:$L$333))-AI718,0)</f>
        <v>0</v>
      </c>
      <c r="AK718" s="196">
        <f>IFERROR($G718/SUMIF($A:$A,$A718,$G:$G)*SUMIF(Summary!$A$247:$A$283,$A718,Summary!$Q$247:$Q$283),0)</f>
        <v>0</v>
      </c>
      <c r="AL718" s="196">
        <f>IFERROR($G718/SUMIF($A:$A,$A718,$G:$G)*(SUMIF(Summary!$A$247:$A$283,$A718,Summary!$L$247:$L$283)+SUMIF(Summary!$A$297:$A$333,$A718,Summary!$L$297:$L$333))-AK718,0)</f>
        <v>0</v>
      </c>
      <c r="AM718" s="198"/>
      <c r="AN718" s="196">
        <f t="shared" ca="1" si="166"/>
        <v>0</v>
      </c>
      <c r="AO718" s="196">
        <f t="shared" ca="1" si="167"/>
        <v>0</v>
      </c>
    </row>
    <row r="719" spans="1:41">
      <c r="A719" s="189">
        <v>3599</v>
      </c>
      <c r="B719" s="203">
        <v>5</v>
      </c>
      <c r="C719" s="191" t="s">
        <v>220</v>
      </c>
      <c r="D719" s="192">
        <f t="shared" si="154"/>
        <v>0</v>
      </c>
      <c r="E719" s="192">
        <f t="shared" si="155"/>
        <v>0</v>
      </c>
      <c r="F719" s="192">
        <f t="shared" si="156"/>
        <v>0</v>
      </c>
      <c r="G719" s="193">
        <f t="shared" si="157"/>
        <v>0</v>
      </c>
      <c r="H719" s="194">
        <v>0</v>
      </c>
      <c r="I719" s="194">
        <v>0</v>
      </c>
      <c r="J719" s="194">
        <v>0</v>
      </c>
      <c r="K719" s="193">
        <f t="shared" si="158"/>
        <v>0</v>
      </c>
      <c r="L719" s="194">
        <v>0</v>
      </c>
      <c r="M719" s="194">
        <v>0</v>
      </c>
      <c r="N719" s="194">
        <v>0</v>
      </c>
      <c r="O719" s="193">
        <f t="shared" si="159"/>
        <v>0</v>
      </c>
      <c r="P719" s="194">
        <v>0</v>
      </c>
      <c r="Q719" s="194">
        <v>0</v>
      </c>
      <c r="R719" s="194">
        <v>0</v>
      </c>
      <c r="S719" s="193">
        <f t="shared" si="160"/>
        <v>0</v>
      </c>
      <c r="T719" s="193">
        <f t="shared" si="161"/>
        <v>0</v>
      </c>
      <c r="U719" s="193">
        <f ca="1">OFFSET('Expenditure Study'!$B$7,'Operations Support'!$C719,'Operations Support'!$B719)*$G719</f>
        <v>0</v>
      </c>
      <c r="V719" s="199">
        <f ca="1">U719*'Expenditure Study'!$B$31</f>
        <v>0</v>
      </c>
      <c r="W719" s="199">
        <f ca="1">IF(A719=10298,1.51,1)*IF($B719&lt;3,$D719*'Expenditure Study'!$B$32*OFFSET('Expenditure Study'!$B$7,'Operations Support'!$C719,'Operations Support'!$B719),0)</f>
        <v>0</v>
      </c>
      <c r="X719" s="200">
        <f ca="1">W719*'Expenditure Study'!$B$31</f>
        <v>0</v>
      </c>
      <c r="Y719" s="199">
        <f ca="1">U719*'Expenditure Study'!$B$31</f>
        <v>0</v>
      </c>
      <c r="Z719" s="200">
        <f ca="1">W719*'Expenditure Study'!$B$31</f>
        <v>0</v>
      </c>
      <c r="AA719" s="195">
        <f t="shared" ca="1" si="162"/>
        <v>0</v>
      </c>
      <c r="AB719" s="195">
        <f t="shared" ca="1" si="163"/>
        <v>0</v>
      </c>
      <c r="AD719" s="196">
        <f>IFERROR($G719/SUMIF($A:$A,$A719,$G:$G)*SUMIF(Summary!$A$166:$A$242,$A719,Summary!$P$166:$P$242),0)</f>
        <v>0</v>
      </c>
      <c r="AE719" s="197">
        <f t="shared" ca="1" si="164"/>
        <v>0</v>
      </c>
      <c r="AF719" s="196">
        <f>IFERROR(G719/SUMIF(A:A,A719,G:G)*SUMIF(Summary!$A$166:$A$242,'Operations Support'!A719,Summary!$Q$166:$Q$242),0)</f>
        <v>0</v>
      </c>
      <c r="AG719" s="196">
        <f t="shared" ca="1" si="165"/>
        <v>0</v>
      </c>
      <c r="AI719" s="196">
        <f>IFERROR($G719/SUMIF($A:$A,$A719,$G:$G)*SUMIF(Summary!$A$247:$A$283,$A719,Summary!$P$247:$P$283),0)</f>
        <v>0</v>
      </c>
      <c r="AJ719" s="196">
        <f>IFERROR($G719/SUMIF($A:$A,$A719,$G:$G)*(SUMIF(Summary!$A$247:$A$283,$A719,Summary!$L$247:$L$283)+SUMIF(Summary!$A$297:$A$333,$A719,Summary!$L$297:$L$333))-AI719,0)</f>
        <v>0</v>
      </c>
      <c r="AK719" s="196">
        <f>IFERROR($G719/SUMIF($A:$A,$A719,$G:$G)*SUMIF(Summary!$A$247:$A$283,$A719,Summary!$Q$247:$Q$283),0)</f>
        <v>0</v>
      </c>
      <c r="AL719" s="196">
        <f>IFERROR($G719/SUMIF($A:$A,$A719,$G:$G)*(SUMIF(Summary!$A$247:$A$283,$A719,Summary!$L$247:$L$283)+SUMIF(Summary!$A$297:$A$333,$A719,Summary!$L$297:$L$333))-AK719,0)</f>
        <v>0</v>
      </c>
      <c r="AM719" s="198"/>
      <c r="AN719" s="196">
        <f t="shared" ca="1" si="166"/>
        <v>0</v>
      </c>
      <c r="AO719" s="196">
        <f t="shared" ca="1" si="167"/>
        <v>0</v>
      </c>
    </row>
    <row r="720" spans="1:41">
      <c r="A720" s="189">
        <v>3599</v>
      </c>
      <c r="B720" s="203">
        <v>5</v>
      </c>
      <c r="C720" s="191" t="s">
        <v>221</v>
      </c>
      <c r="D720" s="192">
        <f t="shared" si="154"/>
        <v>0</v>
      </c>
      <c r="E720" s="192">
        <f t="shared" si="155"/>
        <v>0</v>
      </c>
      <c r="F720" s="192">
        <f t="shared" si="156"/>
        <v>0</v>
      </c>
      <c r="G720" s="193">
        <f t="shared" si="157"/>
        <v>0</v>
      </c>
      <c r="H720" s="194">
        <v>0</v>
      </c>
      <c r="I720" s="194">
        <v>0</v>
      </c>
      <c r="J720" s="194">
        <v>0</v>
      </c>
      <c r="K720" s="193">
        <f t="shared" si="158"/>
        <v>0</v>
      </c>
      <c r="L720" s="194">
        <v>0</v>
      </c>
      <c r="M720" s="194">
        <v>0</v>
      </c>
      <c r="N720" s="194">
        <v>0</v>
      </c>
      <c r="O720" s="193">
        <f t="shared" si="159"/>
        <v>0</v>
      </c>
      <c r="P720" s="194">
        <v>0</v>
      </c>
      <c r="Q720" s="194">
        <v>0</v>
      </c>
      <c r="R720" s="194">
        <v>0</v>
      </c>
      <c r="S720" s="193">
        <f t="shared" si="160"/>
        <v>0</v>
      </c>
      <c r="T720" s="193">
        <f t="shared" si="161"/>
        <v>0</v>
      </c>
      <c r="U720" s="193">
        <f ca="1">OFFSET('Expenditure Study'!$B$7,'Operations Support'!$C720,'Operations Support'!$B720)*$G720</f>
        <v>0</v>
      </c>
      <c r="V720" s="199">
        <f ca="1">U720*'Expenditure Study'!$B$31</f>
        <v>0</v>
      </c>
      <c r="W720" s="199">
        <f ca="1">IF(A720=10298,1.51,1)*IF($B720&lt;3,$D720*'Expenditure Study'!$B$32*OFFSET('Expenditure Study'!$B$7,'Operations Support'!$C720,'Operations Support'!$B720),0)</f>
        <v>0</v>
      </c>
      <c r="X720" s="200">
        <f ca="1">W720*'Expenditure Study'!$B$31</f>
        <v>0</v>
      </c>
      <c r="Y720" s="199">
        <f ca="1">U720*'Expenditure Study'!$B$31</f>
        <v>0</v>
      </c>
      <c r="Z720" s="200">
        <f ca="1">W720*'Expenditure Study'!$B$31</f>
        <v>0</v>
      </c>
      <c r="AA720" s="195">
        <f t="shared" ca="1" si="162"/>
        <v>0</v>
      </c>
      <c r="AB720" s="195">
        <f t="shared" ca="1" si="163"/>
        <v>0</v>
      </c>
      <c r="AD720" s="196">
        <f>IFERROR($G720/SUMIF($A:$A,$A720,$G:$G)*SUMIF(Summary!$A$166:$A$242,$A720,Summary!$P$166:$P$242),0)</f>
        <v>0</v>
      </c>
      <c r="AE720" s="197">
        <f t="shared" ca="1" si="164"/>
        <v>0</v>
      </c>
      <c r="AF720" s="196">
        <f>IFERROR(G720/SUMIF(A:A,A720,G:G)*SUMIF(Summary!$A$166:$A$242,'Operations Support'!A720,Summary!$Q$166:$Q$242),0)</f>
        <v>0</v>
      </c>
      <c r="AG720" s="196">
        <f t="shared" ca="1" si="165"/>
        <v>0</v>
      </c>
      <c r="AI720" s="196">
        <f>IFERROR($G720/SUMIF($A:$A,$A720,$G:$G)*SUMIF(Summary!$A$247:$A$283,$A720,Summary!$P$247:$P$283),0)</f>
        <v>0</v>
      </c>
      <c r="AJ720" s="196">
        <f>IFERROR($G720/SUMIF($A:$A,$A720,$G:$G)*(SUMIF(Summary!$A$247:$A$283,$A720,Summary!$L$247:$L$283)+SUMIF(Summary!$A$297:$A$333,$A720,Summary!$L$297:$L$333))-AI720,0)</f>
        <v>0</v>
      </c>
      <c r="AK720" s="196">
        <f>IFERROR($G720/SUMIF($A:$A,$A720,$G:$G)*SUMIF(Summary!$A$247:$A$283,$A720,Summary!$Q$247:$Q$283),0)</f>
        <v>0</v>
      </c>
      <c r="AL720" s="196">
        <f>IFERROR($G720/SUMIF($A:$A,$A720,$G:$G)*(SUMIF(Summary!$A$247:$A$283,$A720,Summary!$L$247:$L$283)+SUMIF(Summary!$A$297:$A$333,$A720,Summary!$L$297:$L$333))-AK720,0)</f>
        <v>0</v>
      </c>
      <c r="AM720" s="198"/>
      <c r="AN720" s="196">
        <f t="shared" ca="1" si="166"/>
        <v>0</v>
      </c>
      <c r="AO720" s="196">
        <f t="shared" ca="1" si="167"/>
        <v>0</v>
      </c>
    </row>
    <row r="721" spans="1:41">
      <c r="A721" s="189">
        <v>3599</v>
      </c>
      <c r="B721" s="203">
        <v>5</v>
      </c>
      <c r="C721" s="191" t="s">
        <v>222</v>
      </c>
      <c r="D721" s="192">
        <f t="shared" si="154"/>
        <v>0</v>
      </c>
      <c r="E721" s="192">
        <f t="shared" si="155"/>
        <v>0</v>
      </c>
      <c r="F721" s="192">
        <f t="shared" si="156"/>
        <v>0</v>
      </c>
      <c r="G721" s="193">
        <f t="shared" si="157"/>
        <v>0</v>
      </c>
      <c r="H721" s="194">
        <v>0</v>
      </c>
      <c r="I721" s="194">
        <v>0</v>
      </c>
      <c r="J721" s="194">
        <v>0</v>
      </c>
      <c r="K721" s="193">
        <f t="shared" si="158"/>
        <v>0</v>
      </c>
      <c r="L721" s="194">
        <v>0</v>
      </c>
      <c r="M721" s="194">
        <v>0</v>
      </c>
      <c r="N721" s="194">
        <v>0</v>
      </c>
      <c r="O721" s="193">
        <f t="shared" si="159"/>
        <v>0</v>
      </c>
      <c r="P721" s="194">
        <v>0</v>
      </c>
      <c r="Q721" s="194">
        <v>0</v>
      </c>
      <c r="R721" s="194">
        <v>0</v>
      </c>
      <c r="S721" s="193">
        <f t="shared" si="160"/>
        <v>0</v>
      </c>
      <c r="T721" s="193">
        <f t="shared" si="161"/>
        <v>0</v>
      </c>
      <c r="U721" s="193">
        <f ca="1">OFFSET('Expenditure Study'!$B$7,'Operations Support'!$C721,'Operations Support'!$B721)*$G721</f>
        <v>0</v>
      </c>
      <c r="V721" s="199">
        <f ca="1">U721*'Expenditure Study'!$B$31</f>
        <v>0</v>
      </c>
      <c r="W721" s="199">
        <f ca="1">IF(A721=10298,1.51,1)*IF($B721&lt;3,$D721*'Expenditure Study'!$B$32*OFFSET('Expenditure Study'!$B$7,'Operations Support'!$C721,'Operations Support'!$B721),0)</f>
        <v>0</v>
      </c>
      <c r="X721" s="200">
        <f ca="1">W721*'Expenditure Study'!$B$31</f>
        <v>0</v>
      </c>
      <c r="Y721" s="199">
        <f ca="1">U721*'Expenditure Study'!$B$31</f>
        <v>0</v>
      </c>
      <c r="Z721" s="200">
        <f ca="1">W721*'Expenditure Study'!$B$31</f>
        <v>0</v>
      </c>
      <c r="AA721" s="195">
        <f t="shared" ca="1" si="162"/>
        <v>0</v>
      </c>
      <c r="AB721" s="195">
        <f t="shared" ca="1" si="163"/>
        <v>0</v>
      </c>
      <c r="AD721" s="196">
        <f>IFERROR($G721/SUMIF($A:$A,$A721,$G:$G)*SUMIF(Summary!$A$166:$A$242,$A721,Summary!$P$166:$P$242),0)</f>
        <v>0</v>
      </c>
      <c r="AE721" s="197">
        <f t="shared" ca="1" si="164"/>
        <v>0</v>
      </c>
      <c r="AF721" s="196">
        <f>IFERROR(G721/SUMIF(A:A,A721,G:G)*SUMIF(Summary!$A$166:$A$242,'Operations Support'!A721,Summary!$Q$166:$Q$242),0)</f>
        <v>0</v>
      </c>
      <c r="AG721" s="196">
        <f t="shared" ca="1" si="165"/>
        <v>0</v>
      </c>
      <c r="AI721" s="196">
        <f>IFERROR($G721/SUMIF($A:$A,$A721,$G:$G)*SUMIF(Summary!$A$247:$A$283,$A721,Summary!$P$247:$P$283),0)</f>
        <v>0</v>
      </c>
      <c r="AJ721" s="196">
        <f>IFERROR($G721/SUMIF($A:$A,$A721,$G:$G)*(SUMIF(Summary!$A$247:$A$283,$A721,Summary!$L$247:$L$283)+SUMIF(Summary!$A$297:$A$333,$A721,Summary!$L$297:$L$333))-AI721,0)</f>
        <v>0</v>
      </c>
      <c r="AK721" s="196">
        <f>IFERROR($G721/SUMIF($A:$A,$A721,$G:$G)*SUMIF(Summary!$A$247:$A$283,$A721,Summary!$Q$247:$Q$283),0)</f>
        <v>0</v>
      </c>
      <c r="AL721" s="196">
        <f>IFERROR($G721/SUMIF($A:$A,$A721,$G:$G)*(SUMIF(Summary!$A$247:$A$283,$A721,Summary!$L$247:$L$283)+SUMIF(Summary!$A$297:$A$333,$A721,Summary!$L$297:$L$333))-AK721,0)</f>
        <v>0</v>
      </c>
      <c r="AM721" s="198"/>
      <c r="AN721" s="196">
        <f t="shared" ca="1" si="166"/>
        <v>0</v>
      </c>
      <c r="AO721" s="196">
        <f t="shared" ca="1" si="167"/>
        <v>0</v>
      </c>
    </row>
    <row r="722" spans="1:41">
      <c r="A722" s="189">
        <v>3599</v>
      </c>
      <c r="B722" s="203">
        <v>5</v>
      </c>
      <c r="C722" s="191" t="s">
        <v>223</v>
      </c>
      <c r="D722" s="192">
        <f t="shared" si="154"/>
        <v>0</v>
      </c>
      <c r="E722" s="192">
        <f t="shared" si="155"/>
        <v>0</v>
      </c>
      <c r="F722" s="192">
        <f t="shared" si="156"/>
        <v>0</v>
      </c>
      <c r="G722" s="193">
        <f t="shared" si="157"/>
        <v>0</v>
      </c>
      <c r="H722" s="194">
        <v>0</v>
      </c>
      <c r="I722" s="194">
        <v>0</v>
      </c>
      <c r="J722" s="194">
        <v>0</v>
      </c>
      <c r="K722" s="193">
        <f t="shared" si="158"/>
        <v>0</v>
      </c>
      <c r="L722" s="194">
        <v>0</v>
      </c>
      <c r="M722" s="194">
        <v>0</v>
      </c>
      <c r="N722" s="194">
        <v>0</v>
      </c>
      <c r="O722" s="193">
        <f t="shared" si="159"/>
        <v>0</v>
      </c>
      <c r="P722" s="194">
        <v>0</v>
      </c>
      <c r="Q722" s="194">
        <v>0</v>
      </c>
      <c r="R722" s="194">
        <v>0</v>
      </c>
      <c r="S722" s="193">
        <f t="shared" si="160"/>
        <v>0</v>
      </c>
      <c r="T722" s="193">
        <f t="shared" si="161"/>
        <v>0</v>
      </c>
      <c r="U722" s="193">
        <f ca="1">OFFSET('Expenditure Study'!$B$7,'Operations Support'!$C722,'Operations Support'!$B722)*$G722</f>
        <v>0</v>
      </c>
      <c r="V722" s="199">
        <f ca="1">U722*'Expenditure Study'!$B$31</f>
        <v>0</v>
      </c>
      <c r="W722" s="199">
        <f ca="1">IF(A722=10298,1.51,1)*IF($B722&lt;3,$D722*'Expenditure Study'!$B$32*OFFSET('Expenditure Study'!$B$7,'Operations Support'!$C722,'Operations Support'!$B722),0)</f>
        <v>0</v>
      </c>
      <c r="X722" s="200">
        <f ca="1">W722*'Expenditure Study'!$B$31</f>
        <v>0</v>
      </c>
      <c r="Y722" s="199">
        <f ca="1">U722*'Expenditure Study'!$B$31</f>
        <v>0</v>
      </c>
      <c r="Z722" s="200">
        <f ca="1">W722*'Expenditure Study'!$B$31</f>
        <v>0</v>
      </c>
      <c r="AA722" s="195">
        <f t="shared" ca="1" si="162"/>
        <v>0</v>
      </c>
      <c r="AB722" s="195">
        <f t="shared" ca="1" si="163"/>
        <v>0</v>
      </c>
      <c r="AD722" s="196">
        <f>IFERROR($G722/SUMIF($A:$A,$A722,$G:$G)*SUMIF(Summary!$A$166:$A$242,$A722,Summary!$P$166:$P$242),0)</f>
        <v>0</v>
      </c>
      <c r="AE722" s="197">
        <f t="shared" ca="1" si="164"/>
        <v>0</v>
      </c>
      <c r="AF722" s="196">
        <f>IFERROR(G722/SUMIF(A:A,A722,G:G)*SUMIF(Summary!$A$166:$A$242,'Operations Support'!A722,Summary!$Q$166:$Q$242),0)</f>
        <v>0</v>
      </c>
      <c r="AG722" s="196">
        <f t="shared" ca="1" si="165"/>
        <v>0</v>
      </c>
      <c r="AI722" s="196">
        <f>IFERROR($G722/SUMIF($A:$A,$A722,$G:$G)*SUMIF(Summary!$A$247:$A$283,$A722,Summary!$P$247:$P$283),0)</f>
        <v>0</v>
      </c>
      <c r="AJ722" s="196">
        <f>IFERROR($G722/SUMIF($A:$A,$A722,$G:$G)*(SUMIF(Summary!$A$247:$A$283,$A722,Summary!$L$247:$L$283)+SUMIF(Summary!$A$297:$A$333,$A722,Summary!$L$297:$L$333))-AI722,0)</f>
        <v>0</v>
      </c>
      <c r="AK722" s="196">
        <f>IFERROR($G722/SUMIF($A:$A,$A722,$G:$G)*SUMIF(Summary!$A$247:$A$283,$A722,Summary!$Q$247:$Q$283),0)</f>
        <v>0</v>
      </c>
      <c r="AL722" s="196">
        <f>IFERROR($G722/SUMIF($A:$A,$A722,$G:$G)*(SUMIF(Summary!$A$247:$A$283,$A722,Summary!$L$247:$L$283)+SUMIF(Summary!$A$297:$A$333,$A722,Summary!$L$297:$L$333))-AK722,0)</f>
        <v>0</v>
      </c>
      <c r="AM722" s="198"/>
      <c r="AN722" s="196">
        <f t="shared" ca="1" si="166"/>
        <v>0</v>
      </c>
      <c r="AO722" s="196">
        <f t="shared" ca="1" si="167"/>
        <v>0</v>
      </c>
    </row>
    <row r="723" spans="1:41">
      <c r="A723" s="189">
        <v>3599</v>
      </c>
      <c r="B723" s="203">
        <v>5</v>
      </c>
      <c r="C723" s="191" t="s">
        <v>224</v>
      </c>
      <c r="D723" s="192">
        <f t="shared" si="154"/>
        <v>0</v>
      </c>
      <c r="E723" s="192">
        <f t="shared" si="155"/>
        <v>0</v>
      </c>
      <c r="F723" s="192">
        <f t="shared" si="156"/>
        <v>0</v>
      </c>
      <c r="G723" s="193">
        <f t="shared" si="157"/>
        <v>0</v>
      </c>
      <c r="H723" s="194">
        <v>0</v>
      </c>
      <c r="I723" s="194">
        <v>0</v>
      </c>
      <c r="J723" s="194">
        <v>0</v>
      </c>
      <c r="K723" s="193">
        <f t="shared" si="158"/>
        <v>0</v>
      </c>
      <c r="L723" s="194">
        <v>0</v>
      </c>
      <c r="M723" s="194">
        <v>0</v>
      </c>
      <c r="N723" s="194">
        <v>0</v>
      </c>
      <c r="O723" s="193">
        <f t="shared" si="159"/>
        <v>0</v>
      </c>
      <c r="P723" s="194">
        <v>0</v>
      </c>
      <c r="Q723" s="194">
        <v>0</v>
      </c>
      <c r="R723" s="194">
        <v>0</v>
      </c>
      <c r="S723" s="193">
        <f t="shared" si="160"/>
        <v>0</v>
      </c>
      <c r="T723" s="193">
        <f t="shared" si="161"/>
        <v>0</v>
      </c>
      <c r="U723" s="193">
        <f ca="1">OFFSET('Expenditure Study'!$B$7,'Operations Support'!$C723,'Operations Support'!$B723)*$G723</f>
        <v>0</v>
      </c>
      <c r="V723" s="199">
        <f ca="1">U723*'Expenditure Study'!$B$31</f>
        <v>0</v>
      </c>
      <c r="W723" s="199">
        <f ca="1">IF(A723=10298,1.51,1)*IF($B723&lt;3,$D723*'Expenditure Study'!$B$32*OFFSET('Expenditure Study'!$B$7,'Operations Support'!$C723,'Operations Support'!$B723),0)</f>
        <v>0</v>
      </c>
      <c r="X723" s="200">
        <f ca="1">W723*'Expenditure Study'!$B$31</f>
        <v>0</v>
      </c>
      <c r="Y723" s="199">
        <f ca="1">U723*'Expenditure Study'!$B$31</f>
        <v>0</v>
      </c>
      <c r="Z723" s="200">
        <f ca="1">W723*'Expenditure Study'!$B$31</f>
        <v>0</v>
      </c>
      <c r="AA723" s="195">
        <f t="shared" ca="1" si="162"/>
        <v>0</v>
      </c>
      <c r="AB723" s="195">
        <f t="shared" ca="1" si="163"/>
        <v>0</v>
      </c>
      <c r="AD723" s="196">
        <f>IFERROR($G723/SUMIF($A:$A,$A723,$G:$G)*SUMIF(Summary!$A$166:$A$242,$A723,Summary!$P$166:$P$242),0)</f>
        <v>0</v>
      </c>
      <c r="AE723" s="197">
        <f t="shared" ca="1" si="164"/>
        <v>0</v>
      </c>
      <c r="AF723" s="196">
        <f>IFERROR(G723/SUMIF(A:A,A723,G:G)*SUMIF(Summary!$A$166:$A$242,'Operations Support'!A723,Summary!$Q$166:$Q$242),0)</f>
        <v>0</v>
      </c>
      <c r="AG723" s="196">
        <f t="shared" ca="1" si="165"/>
        <v>0</v>
      </c>
      <c r="AI723" s="196">
        <f>IFERROR($G723/SUMIF($A:$A,$A723,$G:$G)*SUMIF(Summary!$A$247:$A$283,$A723,Summary!$P$247:$P$283),0)</f>
        <v>0</v>
      </c>
      <c r="AJ723" s="196">
        <f>IFERROR($G723/SUMIF($A:$A,$A723,$G:$G)*(SUMIF(Summary!$A$247:$A$283,$A723,Summary!$L$247:$L$283)+SUMIF(Summary!$A$297:$A$333,$A723,Summary!$L$297:$L$333))-AI723,0)</f>
        <v>0</v>
      </c>
      <c r="AK723" s="196">
        <f>IFERROR($G723/SUMIF($A:$A,$A723,$G:$G)*SUMIF(Summary!$A$247:$A$283,$A723,Summary!$Q$247:$Q$283),0)</f>
        <v>0</v>
      </c>
      <c r="AL723" s="196">
        <f>IFERROR($G723/SUMIF($A:$A,$A723,$G:$G)*(SUMIF(Summary!$A$247:$A$283,$A723,Summary!$L$247:$L$283)+SUMIF(Summary!$A$297:$A$333,$A723,Summary!$L$297:$L$333))-AK723,0)</f>
        <v>0</v>
      </c>
      <c r="AM723" s="198"/>
      <c r="AN723" s="196">
        <f t="shared" ca="1" si="166"/>
        <v>0</v>
      </c>
      <c r="AO723" s="196">
        <f t="shared" ca="1" si="167"/>
        <v>0</v>
      </c>
    </row>
    <row r="724" spans="1:41">
      <c r="A724" s="189">
        <v>3599</v>
      </c>
      <c r="B724" s="203">
        <v>5</v>
      </c>
      <c r="C724" s="191" t="s">
        <v>225</v>
      </c>
      <c r="D724" s="192">
        <f t="shared" si="154"/>
        <v>0</v>
      </c>
      <c r="E724" s="192">
        <f t="shared" si="155"/>
        <v>0</v>
      </c>
      <c r="F724" s="192">
        <f t="shared" si="156"/>
        <v>0</v>
      </c>
      <c r="G724" s="193">
        <f t="shared" si="157"/>
        <v>0</v>
      </c>
      <c r="H724" s="194">
        <v>0</v>
      </c>
      <c r="I724" s="194">
        <v>0</v>
      </c>
      <c r="J724" s="194">
        <v>0</v>
      </c>
      <c r="K724" s="193">
        <f t="shared" si="158"/>
        <v>0</v>
      </c>
      <c r="L724" s="194">
        <v>0</v>
      </c>
      <c r="M724" s="194">
        <v>0</v>
      </c>
      <c r="N724" s="194">
        <v>0</v>
      </c>
      <c r="O724" s="193">
        <f t="shared" si="159"/>
        <v>0</v>
      </c>
      <c r="P724" s="194">
        <v>0</v>
      </c>
      <c r="Q724" s="194">
        <v>0</v>
      </c>
      <c r="R724" s="194">
        <v>0</v>
      </c>
      <c r="S724" s="193">
        <f t="shared" si="160"/>
        <v>0</v>
      </c>
      <c r="T724" s="193">
        <f t="shared" si="161"/>
        <v>0</v>
      </c>
      <c r="U724" s="193">
        <f ca="1">OFFSET('Expenditure Study'!$B$7,'Operations Support'!$C724,'Operations Support'!$B724)*$G724</f>
        <v>0</v>
      </c>
      <c r="V724" s="199">
        <f ca="1">U724*'Expenditure Study'!$B$31</f>
        <v>0</v>
      </c>
      <c r="W724" s="199">
        <f ca="1">IF(A724=10298,1.51,1)*IF($B724&lt;3,$D724*'Expenditure Study'!$B$32*OFFSET('Expenditure Study'!$B$7,'Operations Support'!$C724,'Operations Support'!$B724),0)</f>
        <v>0</v>
      </c>
      <c r="X724" s="200">
        <f ca="1">W724*'Expenditure Study'!$B$31</f>
        <v>0</v>
      </c>
      <c r="Y724" s="199">
        <f ca="1">U724*'Expenditure Study'!$B$31</f>
        <v>0</v>
      </c>
      <c r="Z724" s="200">
        <f ca="1">W724*'Expenditure Study'!$B$31</f>
        <v>0</v>
      </c>
      <c r="AA724" s="195">
        <f t="shared" ca="1" si="162"/>
        <v>0</v>
      </c>
      <c r="AB724" s="195">
        <f t="shared" ca="1" si="163"/>
        <v>0</v>
      </c>
      <c r="AD724" s="196">
        <f>IFERROR($G724/SUMIF($A:$A,$A724,$G:$G)*SUMIF(Summary!$A$166:$A$242,$A724,Summary!$P$166:$P$242),0)</f>
        <v>0</v>
      </c>
      <c r="AE724" s="197">
        <f t="shared" ca="1" si="164"/>
        <v>0</v>
      </c>
      <c r="AF724" s="196">
        <f>IFERROR(G724/SUMIF(A:A,A724,G:G)*SUMIF(Summary!$A$166:$A$242,'Operations Support'!A724,Summary!$Q$166:$Q$242),0)</f>
        <v>0</v>
      </c>
      <c r="AG724" s="196">
        <f t="shared" ca="1" si="165"/>
        <v>0</v>
      </c>
      <c r="AI724" s="196">
        <f>IFERROR($G724/SUMIF($A:$A,$A724,$G:$G)*SUMIF(Summary!$A$247:$A$283,$A724,Summary!$P$247:$P$283),0)</f>
        <v>0</v>
      </c>
      <c r="AJ724" s="196">
        <f>IFERROR($G724/SUMIF($A:$A,$A724,$G:$G)*(SUMIF(Summary!$A$247:$A$283,$A724,Summary!$L$247:$L$283)+SUMIF(Summary!$A$297:$A$333,$A724,Summary!$L$297:$L$333))-AI724,0)</f>
        <v>0</v>
      </c>
      <c r="AK724" s="196">
        <f>IFERROR($G724/SUMIF($A:$A,$A724,$G:$G)*SUMIF(Summary!$A$247:$A$283,$A724,Summary!$Q$247:$Q$283),0)</f>
        <v>0</v>
      </c>
      <c r="AL724" s="196">
        <f>IFERROR($G724/SUMIF($A:$A,$A724,$G:$G)*(SUMIF(Summary!$A$247:$A$283,$A724,Summary!$L$247:$L$283)+SUMIF(Summary!$A$297:$A$333,$A724,Summary!$L$297:$L$333))-AK724,0)</f>
        <v>0</v>
      </c>
      <c r="AM724" s="198"/>
      <c r="AN724" s="196">
        <f t="shared" ca="1" si="166"/>
        <v>0</v>
      </c>
      <c r="AO724" s="196">
        <f t="shared" ca="1" si="167"/>
        <v>0</v>
      </c>
    </row>
    <row r="725" spans="1:41">
      <c r="A725" s="189">
        <v>3599</v>
      </c>
      <c r="B725" s="203">
        <v>5</v>
      </c>
      <c r="C725" s="191" t="s">
        <v>226</v>
      </c>
      <c r="D725" s="192">
        <f t="shared" si="154"/>
        <v>0</v>
      </c>
      <c r="E725" s="192">
        <f t="shared" si="155"/>
        <v>0</v>
      </c>
      <c r="F725" s="192">
        <f t="shared" si="156"/>
        <v>0</v>
      </c>
      <c r="G725" s="193">
        <f t="shared" si="157"/>
        <v>0</v>
      </c>
      <c r="H725" s="194">
        <v>0</v>
      </c>
      <c r="I725" s="194">
        <v>0</v>
      </c>
      <c r="J725" s="194">
        <v>0</v>
      </c>
      <c r="K725" s="193">
        <f t="shared" si="158"/>
        <v>0</v>
      </c>
      <c r="L725" s="194">
        <v>0</v>
      </c>
      <c r="M725" s="194">
        <v>0</v>
      </c>
      <c r="N725" s="194">
        <v>0</v>
      </c>
      <c r="O725" s="193">
        <f t="shared" si="159"/>
        <v>0</v>
      </c>
      <c r="P725" s="194">
        <v>0</v>
      </c>
      <c r="Q725" s="194">
        <v>0</v>
      </c>
      <c r="R725" s="194">
        <v>0</v>
      </c>
      <c r="S725" s="193">
        <f t="shared" si="160"/>
        <v>0</v>
      </c>
      <c r="T725" s="193">
        <f t="shared" si="161"/>
        <v>0</v>
      </c>
      <c r="U725" s="193">
        <f ca="1">OFFSET('Expenditure Study'!$B$7,'Operations Support'!$C725,'Operations Support'!$B725)*$G725</f>
        <v>0</v>
      </c>
      <c r="V725" s="199">
        <f ca="1">U725*'Expenditure Study'!$B$31</f>
        <v>0</v>
      </c>
      <c r="W725" s="199">
        <f ca="1">IF(A725=10298,1.51,1)*IF($B725&lt;3,$D725*'Expenditure Study'!$B$32*OFFSET('Expenditure Study'!$B$7,'Operations Support'!$C725,'Operations Support'!$B725),0)</f>
        <v>0</v>
      </c>
      <c r="X725" s="200">
        <f ca="1">W725*'Expenditure Study'!$B$31</f>
        <v>0</v>
      </c>
      <c r="Y725" s="199">
        <f ca="1">U725*'Expenditure Study'!$B$31</f>
        <v>0</v>
      </c>
      <c r="Z725" s="200">
        <f ca="1">W725*'Expenditure Study'!$B$31</f>
        <v>0</v>
      </c>
      <c r="AA725" s="195">
        <f t="shared" ca="1" si="162"/>
        <v>0</v>
      </c>
      <c r="AB725" s="195">
        <f t="shared" ca="1" si="163"/>
        <v>0</v>
      </c>
      <c r="AD725" s="196">
        <f>IFERROR($G725/SUMIF($A:$A,$A725,$G:$G)*SUMIF(Summary!$A$166:$A$242,$A725,Summary!$P$166:$P$242),0)</f>
        <v>0</v>
      </c>
      <c r="AE725" s="197">
        <f t="shared" ca="1" si="164"/>
        <v>0</v>
      </c>
      <c r="AF725" s="196">
        <f>IFERROR(G725/SUMIF(A:A,A725,G:G)*SUMIF(Summary!$A$166:$A$242,'Operations Support'!A725,Summary!$Q$166:$Q$242),0)</f>
        <v>0</v>
      </c>
      <c r="AG725" s="196">
        <f t="shared" ca="1" si="165"/>
        <v>0</v>
      </c>
      <c r="AI725" s="196">
        <f>IFERROR($G725/SUMIF($A:$A,$A725,$G:$G)*SUMIF(Summary!$A$247:$A$283,$A725,Summary!$P$247:$P$283),0)</f>
        <v>0</v>
      </c>
      <c r="AJ725" s="196">
        <f>IFERROR($G725/SUMIF($A:$A,$A725,$G:$G)*(SUMIF(Summary!$A$247:$A$283,$A725,Summary!$L$247:$L$283)+SUMIF(Summary!$A$297:$A$333,$A725,Summary!$L$297:$L$333))-AI725,0)</f>
        <v>0</v>
      </c>
      <c r="AK725" s="196">
        <f>IFERROR($G725/SUMIF($A:$A,$A725,$G:$G)*SUMIF(Summary!$A$247:$A$283,$A725,Summary!$Q$247:$Q$283),0)</f>
        <v>0</v>
      </c>
      <c r="AL725" s="196">
        <f>IFERROR($G725/SUMIF($A:$A,$A725,$G:$G)*(SUMIF(Summary!$A$247:$A$283,$A725,Summary!$L$247:$L$283)+SUMIF(Summary!$A$297:$A$333,$A725,Summary!$L$297:$L$333))-AK725,0)</f>
        <v>0</v>
      </c>
      <c r="AM725" s="198"/>
      <c r="AN725" s="196">
        <f t="shared" ca="1" si="166"/>
        <v>0</v>
      </c>
      <c r="AO725" s="196">
        <f t="shared" ca="1" si="167"/>
        <v>0</v>
      </c>
    </row>
    <row r="726" spans="1:41">
      <c r="A726" s="189">
        <v>3599</v>
      </c>
      <c r="B726" s="203">
        <v>5</v>
      </c>
      <c r="C726" s="191" t="s">
        <v>227</v>
      </c>
      <c r="D726" s="192">
        <f t="shared" si="154"/>
        <v>0</v>
      </c>
      <c r="E726" s="192">
        <f t="shared" si="155"/>
        <v>0</v>
      </c>
      <c r="F726" s="192">
        <f t="shared" si="156"/>
        <v>0</v>
      </c>
      <c r="G726" s="193">
        <f t="shared" si="157"/>
        <v>0</v>
      </c>
      <c r="H726" s="194">
        <v>0</v>
      </c>
      <c r="I726" s="194">
        <v>0</v>
      </c>
      <c r="J726" s="194">
        <v>0</v>
      </c>
      <c r="K726" s="193">
        <f t="shared" si="158"/>
        <v>0</v>
      </c>
      <c r="L726" s="194">
        <v>0</v>
      </c>
      <c r="M726" s="194">
        <v>0</v>
      </c>
      <c r="N726" s="194">
        <v>0</v>
      </c>
      <c r="O726" s="193">
        <f t="shared" si="159"/>
        <v>0</v>
      </c>
      <c r="P726" s="194">
        <v>0</v>
      </c>
      <c r="Q726" s="194">
        <v>0</v>
      </c>
      <c r="R726" s="194">
        <v>0</v>
      </c>
      <c r="S726" s="193">
        <f t="shared" si="160"/>
        <v>0</v>
      </c>
      <c r="T726" s="193">
        <f t="shared" si="161"/>
        <v>0</v>
      </c>
      <c r="U726" s="193">
        <f ca="1">OFFSET('Expenditure Study'!$B$7,'Operations Support'!$C726,'Operations Support'!$B726)*$G726</f>
        <v>0</v>
      </c>
      <c r="V726" s="199">
        <f ca="1">U726*'Expenditure Study'!$B$31</f>
        <v>0</v>
      </c>
      <c r="W726" s="199">
        <f ca="1">IF(A726=10298,1.51,1)*IF($B726&lt;3,$D726*'Expenditure Study'!$B$32*OFFSET('Expenditure Study'!$B$7,'Operations Support'!$C726,'Operations Support'!$B726),0)</f>
        <v>0</v>
      </c>
      <c r="X726" s="200">
        <f ca="1">W726*'Expenditure Study'!$B$31</f>
        <v>0</v>
      </c>
      <c r="Y726" s="199">
        <f ca="1">U726*'Expenditure Study'!$B$31</f>
        <v>0</v>
      </c>
      <c r="Z726" s="200">
        <f ca="1">W726*'Expenditure Study'!$B$31</f>
        <v>0</v>
      </c>
      <c r="AA726" s="195">
        <f t="shared" ca="1" si="162"/>
        <v>0</v>
      </c>
      <c r="AB726" s="195">
        <f t="shared" ca="1" si="163"/>
        <v>0</v>
      </c>
      <c r="AD726" s="196">
        <f>IFERROR($G726/SUMIF($A:$A,$A726,$G:$G)*SUMIF(Summary!$A$166:$A$242,$A726,Summary!$P$166:$P$242),0)</f>
        <v>0</v>
      </c>
      <c r="AE726" s="197">
        <f t="shared" ca="1" si="164"/>
        <v>0</v>
      </c>
      <c r="AF726" s="196">
        <f>IFERROR(G726/SUMIF(A:A,A726,G:G)*SUMIF(Summary!$A$166:$A$242,'Operations Support'!A726,Summary!$Q$166:$Q$242),0)</f>
        <v>0</v>
      </c>
      <c r="AG726" s="196">
        <f t="shared" ca="1" si="165"/>
        <v>0</v>
      </c>
      <c r="AI726" s="196">
        <f>IFERROR($G726/SUMIF($A:$A,$A726,$G:$G)*SUMIF(Summary!$A$247:$A$283,$A726,Summary!$P$247:$P$283),0)</f>
        <v>0</v>
      </c>
      <c r="AJ726" s="196">
        <f>IFERROR($G726/SUMIF($A:$A,$A726,$G:$G)*(SUMIF(Summary!$A$247:$A$283,$A726,Summary!$L$247:$L$283)+SUMIF(Summary!$A$297:$A$333,$A726,Summary!$L$297:$L$333))-AI726,0)</f>
        <v>0</v>
      </c>
      <c r="AK726" s="196">
        <f>IFERROR($G726/SUMIF($A:$A,$A726,$G:$G)*SUMIF(Summary!$A$247:$A$283,$A726,Summary!$Q$247:$Q$283),0)</f>
        <v>0</v>
      </c>
      <c r="AL726" s="196">
        <f>IFERROR($G726/SUMIF($A:$A,$A726,$G:$G)*(SUMIF(Summary!$A$247:$A$283,$A726,Summary!$L$247:$L$283)+SUMIF(Summary!$A$297:$A$333,$A726,Summary!$L$297:$L$333))-AK726,0)</f>
        <v>0</v>
      </c>
      <c r="AM726" s="198"/>
      <c r="AN726" s="196">
        <f t="shared" ca="1" si="166"/>
        <v>0</v>
      </c>
      <c r="AO726" s="196">
        <f t="shared" ca="1" si="167"/>
        <v>0</v>
      </c>
    </row>
    <row r="727" spans="1:41">
      <c r="A727" s="189">
        <v>3599</v>
      </c>
      <c r="B727" s="203">
        <v>5</v>
      </c>
      <c r="C727" s="191" t="s">
        <v>228</v>
      </c>
      <c r="D727" s="192">
        <f t="shared" si="154"/>
        <v>0</v>
      </c>
      <c r="E727" s="192">
        <f t="shared" si="155"/>
        <v>0</v>
      </c>
      <c r="F727" s="192">
        <f t="shared" si="156"/>
        <v>0</v>
      </c>
      <c r="G727" s="193">
        <f t="shared" si="157"/>
        <v>0</v>
      </c>
      <c r="H727" s="194">
        <v>0</v>
      </c>
      <c r="I727" s="194">
        <v>0</v>
      </c>
      <c r="J727" s="194">
        <v>0</v>
      </c>
      <c r="K727" s="193">
        <f t="shared" si="158"/>
        <v>0</v>
      </c>
      <c r="L727" s="194">
        <v>0</v>
      </c>
      <c r="M727" s="194">
        <v>0</v>
      </c>
      <c r="N727" s="194">
        <v>0</v>
      </c>
      <c r="O727" s="193">
        <f t="shared" si="159"/>
        <v>0</v>
      </c>
      <c r="P727" s="194">
        <v>0</v>
      </c>
      <c r="Q727" s="194">
        <v>0</v>
      </c>
      <c r="R727" s="194">
        <v>0</v>
      </c>
      <c r="S727" s="193">
        <f t="shared" si="160"/>
        <v>0</v>
      </c>
      <c r="T727" s="193">
        <f t="shared" si="161"/>
        <v>0</v>
      </c>
      <c r="U727" s="193">
        <f ca="1">OFFSET('Expenditure Study'!$B$7,'Operations Support'!$C727,'Operations Support'!$B727)*$G727</f>
        <v>0</v>
      </c>
      <c r="V727" s="199">
        <f ca="1">U727*'Expenditure Study'!$B$31</f>
        <v>0</v>
      </c>
      <c r="W727" s="199">
        <f ca="1">IF(A727=10298,1.51,1)*IF($B727&lt;3,$D727*'Expenditure Study'!$B$32*OFFSET('Expenditure Study'!$B$7,'Operations Support'!$C727,'Operations Support'!$B727),0)</f>
        <v>0</v>
      </c>
      <c r="X727" s="200">
        <f ca="1">W727*'Expenditure Study'!$B$31</f>
        <v>0</v>
      </c>
      <c r="Y727" s="199">
        <f ca="1">U727*'Expenditure Study'!$B$31</f>
        <v>0</v>
      </c>
      <c r="Z727" s="200">
        <f ca="1">W727*'Expenditure Study'!$B$31</f>
        <v>0</v>
      </c>
      <c r="AA727" s="195">
        <f t="shared" ca="1" si="162"/>
        <v>0</v>
      </c>
      <c r="AB727" s="195">
        <f t="shared" ca="1" si="163"/>
        <v>0</v>
      </c>
      <c r="AD727" s="196">
        <f>IFERROR($G727/SUMIF($A:$A,$A727,$G:$G)*SUMIF(Summary!$A$166:$A$242,$A727,Summary!$P$166:$P$242),0)</f>
        <v>0</v>
      </c>
      <c r="AE727" s="197">
        <f t="shared" ca="1" si="164"/>
        <v>0</v>
      </c>
      <c r="AF727" s="196">
        <f>IFERROR(G727/SUMIF(A:A,A727,G:G)*SUMIF(Summary!$A$166:$A$242,'Operations Support'!A727,Summary!$Q$166:$Q$242),0)</f>
        <v>0</v>
      </c>
      <c r="AG727" s="196">
        <f t="shared" ca="1" si="165"/>
        <v>0</v>
      </c>
      <c r="AI727" s="196">
        <f>IFERROR($G727/SUMIF($A:$A,$A727,$G:$G)*SUMIF(Summary!$A$247:$A$283,$A727,Summary!$P$247:$P$283),0)</f>
        <v>0</v>
      </c>
      <c r="AJ727" s="196">
        <f>IFERROR($G727/SUMIF($A:$A,$A727,$G:$G)*(SUMIF(Summary!$A$247:$A$283,$A727,Summary!$L$247:$L$283)+SUMIF(Summary!$A$297:$A$333,$A727,Summary!$L$297:$L$333))-AI727,0)</f>
        <v>0</v>
      </c>
      <c r="AK727" s="196">
        <f>IFERROR($G727/SUMIF($A:$A,$A727,$G:$G)*SUMIF(Summary!$A$247:$A$283,$A727,Summary!$Q$247:$Q$283),0)</f>
        <v>0</v>
      </c>
      <c r="AL727" s="196">
        <f>IFERROR($G727/SUMIF($A:$A,$A727,$G:$G)*(SUMIF(Summary!$A$247:$A$283,$A727,Summary!$L$247:$L$283)+SUMIF(Summary!$A$297:$A$333,$A727,Summary!$L$297:$L$333))-AK727,0)</f>
        <v>0</v>
      </c>
      <c r="AM727" s="198"/>
      <c r="AN727" s="196">
        <f t="shared" ca="1" si="166"/>
        <v>0</v>
      </c>
      <c r="AO727" s="196">
        <f t="shared" ca="1" si="167"/>
        <v>0</v>
      </c>
    </row>
    <row r="728" spans="1:41">
      <c r="A728" s="189">
        <v>3599</v>
      </c>
      <c r="B728" s="203">
        <v>5</v>
      </c>
      <c r="C728" s="191" t="s">
        <v>229</v>
      </c>
      <c r="D728" s="192">
        <f t="shared" si="154"/>
        <v>0</v>
      </c>
      <c r="E728" s="192">
        <f t="shared" si="155"/>
        <v>0</v>
      </c>
      <c r="F728" s="192">
        <f t="shared" si="156"/>
        <v>0</v>
      </c>
      <c r="G728" s="193">
        <f t="shared" si="157"/>
        <v>0</v>
      </c>
      <c r="H728" s="194">
        <v>0</v>
      </c>
      <c r="I728" s="194">
        <v>0</v>
      </c>
      <c r="J728" s="194">
        <v>0</v>
      </c>
      <c r="K728" s="193">
        <f t="shared" si="158"/>
        <v>0</v>
      </c>
      <c r="L728" s="194">
        <v>0</v>
      </c>
      <c r="M728" s="194">
        <v>0</v>
      </c>
      <c r="N728" s="194">
        <v>0</v>
      </c>
      <c r="O728" s="193">
        <f t="shared" si="159"/>
        <v>0</v>
      </c>
      <c r="P728" s="194">
        <v>0</v>
      </c>
      <c r="Q728" s="194">
        <v>0</v>
      </c>
      <c r="R728" s="194">
        <v>0</v>
      </c>
      <c r="S728" s="193">
        <f t="shared" si="160"/>
        <v>0</v>
      </c>
      <c r="T728" s="193">
        <f t="shared" si="161"/>
        <v>0</v>
      </c>
      <c r="U728" s="193">
        <f ca="1">OFFSET('Expenditure Study'!$B$7,'Operations Support'!$C728,'Operations Support'!$B728)*$G728</f>
        <v>0</v>
      </c>
      <c r="V728" s="199">
        <f ca="1">U728*'Expenditure Study'!$B$31</f>
        <v>0</v>
      </c>
      <c r="W728" s="199">
        <f ca="1">IF(A728=10298,1.51,1)*IF($B728&lt;3,$D728*'Expenditure Study'!$B$32*OFFSET('Expenditure Study'!$B$7,'Operations Support'!$C728,'Operations Support'!$B728),0)</f>
        <v>0</v>
      </c>
      <c r="X728" s="200">
        <f ca="1">W728*'Expenditure Study'!$B$31</f>
        <v>0</v>
      </c>
      <c r="Y728" s="199">
        <f ca="1">U728*'Expenditure Study'!$B$31</f>
        <v>0</v>
      </c>
      <c r="Z728" s="200">
        <f ca="1">W728*'Expenditure Study'!$B$31</f>
        <v>0</v>
      </c>
      <c r="AA728" s="195">
        <f t="shared" ca="1" si="162"/>
        <v>0</v>
      </c>
      <c r="AB728" s="195">
        <f t="shared" ca="1" si="163"/>
        <v>0</v>
      </c>
      <c r="AD728" s="196">
        <f>IFERROR($G728/SUMIF($A:$A,$A728,$G:$G)*SUMIF(Summary!$A$166:$A$242,$A728,Summary!$P$166:$P$242),0)</f>
        <v>0</v>
      </c>
      <c r="AE728" s="197">
        <f t="shared" ca="1" si="164"/>
        <v>0</v>
      </c>
      <c r="AF728" s="196">
        <f>IFERROR(G728/SUMIF(A:A,A728,G:G)*SUMIF(Summary!$A$166:$A$242,'Operations Support'!A728,Summary!$Q$166:$Q$242),0)</f>
        <v>0</v>
      </c>
      <c r="AG728" s="196">
        <f t="shared" ca="1" si="165"/>
        <v>0</v>
      </c>
      <c r="AI728" s="196">
        <f>IFERROR($G728/SUMIF($A:$A,$A728,$G:$G)*SUMIF(Summary!$A$247:$A$283,$A728,Summary!$P$247:$P$283),0)</f>
        <v>0</v>
      </c>
      <c r="AJ728" s="196">
        <f>IFERROR($G728/SUMIF($A:$A,$A728,$G:$G)*(SUMIF(Summary!$A$247:$A$283,$A728,Summary!$L$247:$L$283)+SUMIF(Summary!$A$297:$A$333,$A728,Summary!$L$297:$L$333))-AI728,0)</f>
        <v>0</v>
      </c>
      <c r="AK728" s="196">
        <f>IFERROR($G728/SUMIF($A:$A,$A728,$G:$G)*SUMIF(Summary!$A$247:$A$283,$A728,Summary!$Q$247:$Q$283),0)</f>
        <v>0</v>
      </c>
      <c r="AL728" s="196">
        <f>IFERROR($G728/SUMIF($A:$A,$A728,$G:$G)*(SUMIF(Summary!$A$247:$A$283,$A728,Summary!$L$247:$L$283)+SUMIF(Summary!$A$297:$A$333,$A728,Summary!$L$297:$L$333))-AK728,0)</f>
        <v>0</v>
      </c>
      <c r="AM728" s="198"/>
      <c r="AN728" s="196">
        <f t="shared" ca="1" si="166"/>
        <v>0</v>
      </c>
      <c r="AO728" s="196">
        <f t="shared" ca="1" si="167"/>
        <v>0</v>
      </c>
    </row>
    <row r="729" spans="1:41">
      <c r="A729" s="189">
        <v>3599</v>
      </c>
      <c r="B729" s="203">
        <v>5</v>
      </c>
      <c r="C729" s="191" t="s">
        <v>230</v>
      </c>
      <c r="D729" s="192">
        <f t="shared" si="154"/>
        <v>0</v>
      </c>
      <c r="E729" s="192">
        <f t="shared" si="155"/>
        <v>0</v>
      </c>
      <c r="F729" s="192">
        <f t="shared" si="156"/>
        <v>0</v>
      </c>
      <c r="G729" s="193">
        <f t="shared" si="157"/>
        <v>0</v>
      </c>
      <c r="H729" s="194">
        <v>0</v>
      </c>
      <c r="I729" s="194">
        <v>0</v>
      </c>
      <c r="J729" s="194">
        <v>0</v>
      </c>
      <c r="K729" s="193">
        <f t="shared" si="158"/>
        <v>0</v>
      </c>
      <c r="L729" s="194">
        <v>0</v>
      </c>
      <c r="M729" s="194">
        <v>0</v>
      </c>
      <c r="N729" s="194">
        <v>0</v>
      </c>
      <c r="O729" s="193">
        <f t="shared" si="159"/>
        <v>0</v>
      </c>
      <c r="P729" s="194">
        <v>0</v>
      </c>
      <c r="Q729" s="194">
        <v>0</v>
      </c>
      <c r="R729" s="194">
        <v>0</v>
      </c>
      <c r="S729" s="193">
        <f t="shared" si="160"/>
        <v>0</v>
      </c>
      <c r="T729" s="193">
        <f t="shared" si="161"/>
        <v>0</v>
      </c>
      <c r="U729" s="193">
        <f ca="1">OFFSET('Expenditure Study'!$B$7,'Operations Support'!$C729,'Operations Support'!$B729)*$G729</f>
        <v>0</v>
      </c>
      <c r="V729" s="199">
        <f ca="1">U729*'Expenditure Study'!$B$31</f>
        <v>0</v>
      </c>
      <c r="W729" s="199">
        <f ca="1">IF(A729=10298,1.51,1)*IF($B729&lt;3,$D729*'Expenditure Study'!$B$32*OFFSET('Expenditure Study'!$B$7,'Operations Support'!$C729,'Operations Support'!$B729),0)</f>
        <v>0</v>
      </c>
      <c r="X729" s="200">
        <f ca="1">W729*'Expenditure Study'!$B$31</f>
        <v>0</v>
      </c>
      <c r="Y729" s="199">
        <f ca="1">U729*'Expenditure Study'!$B$31</f>
        <v>0</v>
      </c>
      <c r="Z729" s="200">
        <f ca="1">W729*'Expenditure Study'!$B$31</f>
        <v>0</v>
      </c>
      <c r="AA729" s="195">
        <f t="shared" ca="1" si="162"/>
        <v>0</v>
      </c>
      <c r="AB729" s="195">
        <f t="shared" ca="1" si="163"/>
        <v>0</v>
      </c>
      <c r="AD729" s="196">
        <f>IFERROR($G729/SUMIF($A:$A,$A729,$G:$G)*SUMIF(Summary!$A$166:$A$242,$A729,Summary!$P$166:$P$242),0)</f>
        <v>0</v>
      </c>
      <c r="AE729" s="197">
        <f t="shared" ca="1" si="164"/>
        <v>0</v>
      </c>
      <c r="AF729" s="196">
        <f>IFERROR(G729/SUMIF(A:A,A729,G:G)*SUMIF(Summary!$A$166:$A$242,'Operations Support'!A729,Summary!$Q$166:$Q$242),0)</f>
        <v>0</v>
      </c>
      <c r="AG729" s="196">
        <f t="shared" ca="1" si="165"/>
        <v>0</v>
      </c>
      <c r="AI729" s="196">
        <f>IFERROR($G729/SUMIF($A:$A,$A729,$G:$G)*SUMIF(Summary!$A$247:$A$283,$A729,Summary!$P$247:$P$283),0)</f>
        <v>0</v>
      </c>
      <c r="AJ729" s="196">
        <f>IFERROR($G729/SUMIF($A:$A,$A729,$G:$G)*(SUMIF(Summary!$A$247:$A$283,$A729,Summary!$L$247:$L$283)+SUMIF(Summary!$A$297:$A$333,$A729,Summary!$L$297:$L$333))-AI729,0)</f>
        <v>0</v>
      </c>
      <c r="AK729" s="196">
        <f>IFERROR($G729/SUMIF($A:$A,$A729,$G:$G)*SUMIF(Summary!$A$247:$A$283,$A729,Summary!$Q$247:$Q$283),0)</f>
        <v>0</v>
      </c>
      <c r="AL729" s="196">
        <f>IFERROR($G729/SUMIF($A:$A,$A729,$G:$G)*(SUMIF(Summary!$A$247:$A$283,$A729,Summary!$L$247:$L$283)+SUMIF(Summary!$A$297:$A$333,$A729,Summary!$L$297:$L$333))-AK729,0)</f>
        <v>0</v>
      </c>
      <c r="AM729" s="198"/>
      <c r="AN729" s="196">
        <f t="shared" ca="1" si="166"/>
        <v>0</v>
      </c>
      <c r="AO729" s="196">
        <f t="shared" ca="1" si="167"/>
        <v>0</v>
      </c>
    </row>
    <row r="730" spans="1:41">
      <c r="A730" s="189">
        <v>3599</v>
      </c>
      <c r="B730" s="203">
        <v>5</v>
      </c>
      <c r="C730" s="191" t="s">
        <v>231</v>
      </c>
      <c r="D730" s="192">
        <f t="shared" si="154"/>
        <v>0</v>
      </c>
      <c r="E730" s="192">
        <f t="shared" si="155"/>
        <v>0</v>
      </c>
      <c r="F730" s="192">
        <f t="shared" si="156"/>
        <v>0</v>
      </c>
      <c r="G730" s="193">
        <f t="shared" si="157"/>
        <v>0</v>
      </c>
      <c r="H730" s="194">
        <v>0</v>
      </c>
      <c r="I730" s="194">
        <v>0</v>
      </c>
      <c r="J730" s="194">
        <v>0</v>
      </c>
      <c r="K730" s="193">
        <f t="shared" si="158"/>
        <v>0</v>
      </c>
      <c r="L730" s="194">
        <v>0</v>
      </c>
      <c r="M730" s="194">
        <v>0</v>
      </c>
      <c r="N730" s="194">
        <v>0</v>
      </c>
      <c r="O730" s="193">
        <f t="shared" si="159"/>
        <v>0</v>
      </c>
      <c r="P730" s="194">
        <v>0</v>
      </c>
      <c r="Q730" s="194">
        <v>0</v>
      </c>
      <c r="R730" s="194">
        <v>0</v>
      </c>
      <c r="S730" s="193">
        <f t="shared" si="160"/>
        <v>0</v>
      </c>
      <c r="T730" s="193">
        <f t="shared" si="161"/>
        <v>0</v>
      </c>
      <c r="U730" s="193">
        <f ca="1">OFFSET('Expenditure Study'!$B$7,'Operations Support'!$C730,'Operations Support'!$B730)*$G730</f>
        <v>0</v>
      </c>
      <c r="V730" s="199">
        <f ca="1">U730*'Expenditure Study'!$B$31</f>
        <v>0</v>
      </c>
      <c r="W730" s="199">
        <f ca="1">IF(A730=10298,1.51,1)*IF($B730&lt;3,$D730*'Expenditure Study'!$B$32*OFFSET('Expenditure Study'!$B$7,'Operations Support'!$C730,'Operations Support'!$B730),0)</f>
        <v>0</v>
      </c>
      <c r="X730" s="200">
        <f ca="1">W730*'Expenditure Study'!$B$31</f>
        <v>0</v>
      </c>
      <c r="Y730" s="199">
        <f ca="1">U730*'Expenditure Study'!$B$31</f>
        <v>0</v>
      </c>
      <c r="Z730" s="200">
        <f ca="1">W730*'Expenditure Study'!$B$31</f>
        <v>0</v>
      </c>
      <c r="AA730" s="195">
        <f t="shared" ca="1" si="162"/>
        <v>0</v>
      </c>
      <c r="AB730" s="195">
        <f t="shared" ca="1" si="163"/>
        <v>0</v>
      </c>
      <c r="AD730" s="196">
        <f>IFERROR($G730/SUMIF($A:$A,$A730,$G:$G)*SUMIF(Summary!$A$166:$A$242,$A730,Summary!$P$166:$P$242),0)</f>
        <v>0</v>
      </c>
      <c r="AE730" s="197">
        <f t="shared" ca="1" si="164"/>
        <v>0</v>
      </c>
      <c r="AF730" s="196">
        <f>IFERROR(G730/SUMIF(A:A,A730,G:G)*SUMIF(Summary!$A$166:$A$242,'Operations Support'!A730,Summary!$Q$166:$Q$242),0)</f>
        <v>0</v>
      </c>
      <c r="AG730" s="196">
        <f t="shared" ca="1" si="165"/>
        <v>0</v>
      </c>
      <c r="AI730" s="196">
        <f>IFERROR($G730/SUMIF($A:$A,$A730,$G:$G)*SUMIF(Summary!$A$247:$A$283,$A730,Summary!$P$247:$P$283),0)</f>
        <v>0</v>
      </c>
      <c r="AJ730" s="196">
        <f>IFERROR($G730/SUMIF($A:$A,$A730,$G:$G)*(SUMIF(Summary!$A$247:$A$283,$A730,Summary!$L$247:$L$283)+SUMIF(Summary!$A$297:$A$333,$A730,Summary!$L$297:$L$333))-AI730,0)</f>
        <v>0</v>
      </c>
      <c r="AK730" s="196">
        <f>IFERROR($G730/SUMIF($A:$A,$A730,$G:$G)*SUMIF(Summary!$A$247:$A$283,$A730,Summary!$Q$247:$Q$283),0)</f>
        <v>0</v>
      </c>
      <c r="AL730" s="196">
        <f>IFERROR($G730/SUMIF($A:$A,$A730,$G:$G)*(SUMIF(Summary!$A$247:$A$283,$A730,Summary!$L$247:$L$283)+SUMIF(Summary!$A$297:$A$333,$A730,Summary!$L$297:$L$333))-AK730,0)</f>
        <v>0</v>
      </c>
      <c r="AM730" s="198"/>
      <c r="AN730" s="196">
        <f t="shared" ca="1" si="166"/>
        <v>0</v>
      </c>
      <c r="AO730" s="196">
        <f t="shared" ca="1" si="167"/>
        <v>0</v>
      </c>
    </row>
    <row r="731" spans="1:41">
      <c r="A731" s="189">
        <v>3599</v>
      </c>
      <c r="B731" s="203">
        <v>5</v>
      </c>
      <c r="C731" s="191" t="s">
        <v>232</v>
      </c>
      <c r="D731" s="192">
        <f t="shared" si="154"/>
        <v>0</v>
      </c>
      <c r="E731" s="192">
        <f t="shared" si="155"/>
        <v>0</v>
      </c>
      <c r="F731" s="192">
        <f t="shared" si="156"/>
        <v>0</v>
      </c>
      <c r="G731" s="193">
        <f t="shared" si="157"/>
        <v>0</v>
      </c>
      <c r="H731" s="194">
        <v>0</v>
      </c>
      <c r="I731" s="194">
        <v>0</v>
      </c>
      <c r="J731" s="194">
        <v>0</v>
      </c>
      <c r="K731" s="193">
        <f t="shared" si="158"/>
        <v>0</v>
      </c>
      <c r="L731" s="194">
        <v>0</v>
      </c>
      <c r="M731" s="194">
        <v>0</v>
      </c>
      <c r="N731" s="194">
        <v>0</v>
      </c>
      <c r="O731" s="193">
        <f t="shared" si="159"/>
        <v>0</v>
      </c>
      <c r="P731" s="194">
        <v>0</v>
      </c>
      <c r="Q731" s="194">
        <v>0</v>
      </c>
      <c r="R731" s="194">
        <v>0</v>
      </c>
      <c r="S731" s="193">
        <f t="shared" si="160"/>
        <v>0</v>
      </c>
      <c r="T731" s="193">
        <f t="shared" si="161"/>
        <v>0</v>
      </c>
      <c r="U731" s="193">
        <f ca="1">OFFSET('Expenditure Study'!$B$7,'Operations Support'!$C731,'Operations Support'!$B731)*$G731</f>
        <v>0</v>
      </c>
      <c r="V731" s="199">
        <f ca="1">U731*'Expenditure Study'!$B$31</f>
        <v>0</v>
      </c>
      <c r="W731" s="199">
        <f ca="1">IF(A731=10298,1.51,1)*IF($B731&lt;3,$D731*'Expenditure Study'!$B$32*OFFSET('Expenditure Study'!$B$7,'Operations Support'!$C731,'Operations Support'!$B731),0)</f>
        <v>0</v>
      </c>
      <c r="X731" s="200">
        <f ca="1">W731*'Expenditure Study'!$B$31</f>
        <v>0</v>
      </c>
      <c r="Y731" s="199">
        <f ca="1">U731*'Expenditure Study'!$B$31</f>
        <v>0</v>
      </c>
      <c r="Z731" s="200">
        <f ca="1">W731*'Expenditure Study'!$B$31</f>
        <v>0</v>
      </c>
      <c r="AA731" s="195">
        <f t="shared" ca="1" si="162"/>
        <v>0</v>
      </c>
      <c r="AB731" s="195">
        <f t="shared" ca="1" si="163"/>
        <v>0</v>
      </c>
      <c r="AD731" s="196">
        <f>IFERROR($G731/SUMIF($A:$A,$A731,$G:$G)*SUMIF(Summary!$A$166:$A$242,$A731,Summary!$P$166:$P$242),0)</f>
        <v>0</v>
      </c>
      <c r="AE731" s="197">
        <f t="shared" ca="1" si="164"/>
        <v>0</v>
      </c>
      <c r="AF731" s="196">
        <f>IFERROR(G731/SUMIF(A:A,A731,G:G)*SUMIF(Summary!$A$166:$A$242,'Operations Support'!A731,Summary!$Q$166:$Q$242),0)</f>
        <v>0</v>
      </c>
      <c r="AG731" s="196">
        <f t="shared" ca="1" si="165"/>
        <v>0</v>
      </c>
      <c r="AI731" s="196">
        <f>IFERROR($G731/SUMIF($A:$A,$A731,$G:$G)*SUMIF(Summary!$A$247:$A$283,$A731,Summary!$P$247:$P$283),0)</f>
        <v>0</v>
      </c>
      <c r="AJ731" s="196">
        <f>IFERROR($G731/SUMIF($A:$A,$A731,$G:$G)*(SUMIF(Summary!$A$247:$A$283,$A731,Summary!$L$247:$L$283)+SUMIF(Summary!$A$297:$A$333,$A731,Summary!$L$297:$L$333))-AI731,0)</f>
        <v>0</v>
      </c>
      <c r="AK731" s="196">
        <f>IFERROR($G731/SUMIF($A:$A,$A731,$G:$G)*SUMIF(Summary!$A$247:$A$283,$A731,Summary!$Q$247:$Q$283),0)</f>
        <v>0</v>
      </c>
      <c r="AL731" s="196">
        <f>IFERROR($G731/SUMIF($A:$A,$A731,$G:$G)*(SUMIF(Summary!$A$247:$A$283,$A731,Summary!$L$247:$L$283)+SUMIF(Summary!$A$297:$A$333,$A731,Summary!$L$297:$L$333))-AK731,0)</f>
        <v>0</v>
      </c>
      <c r="AM731" s="198"/>
      <c r="AN731" s="196">
        <f t="shared" ca="1" si="166"/>
        <v>0</v>
      </c>
      <c r="AO731" s="196">
        <f t="shared" ca="1" si="167"/>
        <v>0</v>
      </c>
    </row>
    <row r="732" spans="1:41">
      <c r="A732" s="189">
        <v>3599</v>
      </c>
      <c r="B732" s="203">
        <v>5</v>
      </c>
      <c r="C732" s="191" t="s">
        <v>233</v>
      </c>
      <c r="D732" s="192">
        <f t="shared" si="154"/>
        <v>0</v>
      </c>
      <c r="E732" s="192">
        <f t="shared" si="155"/>
        <v>0</v>
      </c>
      <c r="F732" s="192">
        <f t="shared" si="156"/>
        <v>0</v>
      </c>
      <c r="G732" s="193">
        <f t="shared" si="157"/>
        <v>0</v>
      </c>
      <c r="H732" s="194">
        <v>0</v>
      </c>
      <c r="I732" s="194">
        <v>0</v>
      </c>
      <c r="J732" s="194">
        <v>0</v>
      </c>
      <c r="K732" s="193">
        <f t="shared" si="158"/>
        <v>0</v>
      </c>
      <c r="L732" s="194">
        <v>0</v>
      </c>
      <c r="M732" s="194">
        <v>0</v>
      </c>
      <c r="N732" s="194">
        <v>0</v>
      </c>
      <c r="O732" s="193">
        <f t="shared" si="159"/>
        <v>0</v>
      </c>
      <c r="P732" s="194">
        <v>0</v>
      </c>
      <c r="Q732" s="194">
        <v>0</v>
      </c>
      <c r="R732" s="194">
        <v>0</v>
      </c>
      <c r="S732" s="193">
        <f t="shared" si="160"/>
        <v>0</v>
      </c>
      <c r="T732" s="193">
        <f t="shared" si="161"/>
        <v>0</v>
      </c>
      <c r="U732" s="193">
        <f ca="1">OFFSET('Expenditure Study'!$B$7,'Operations Support'!$C732,'Operations Support'!$B732)*$G732</f>
        <v>0</v>
      </c>
      <c r="V732" s="199">
        <f ca="1">U732*'Expenditure Study'!$B$31</f>
        <v>0</v>
      </c>
      <c r="W732" s="199">
        <f ca="1">IF(A732=10298,1.51,1)*IF($B732&lt;3,$D732*'Expenditure Study'!$B$32*OFFSET('Expenditure Study'!$B$7,'Operations Support'!$C732,'Operations Support'!$B732),0)</f>
        <v>0</v>
      </c>
      <c r="X732" s="200">
        <f ca="1">W732*'Expenditure Study'!$B$31</f>
        <v>0</v>
      </c>
      <c r="Y732" s="199">
        <f ca="1">U732*'Expenditure Study'!$B$31</f>
        <v>0</v>
      </c>
      <c r="Z732" s="200">
        <f ca="1">W732*'Expenditure Study'!$B$31</f>
        <v>0</v>
      </c>
      <c r="AA732" s="195">
        <f t="shared" ca="1" si="162"/>
        <v>0</v>
      </c>
      <c r="AB732" s="195">
        <f t="shared" ca="1" si="163"/>
        <v>0</v>
      </c>
      <c r="AD732" s="196">
        <f>IFERROR($G732/SUMIF($A:$A,$A732,$G:$G)*SUMIF(Summary!$A$166:$A$242,$A732,Summary!$P$166:$P$242),0)</f>
        <v>0</v>
      </c>
      <c r="AE732" s="197">
        <f t="shared" ca="1" si="164"/>
        <v>0</v>
      </c>
      <c r="AF732" s="196">
        <f>IFERROR(G732/SUMIF(A:A,A732,G:G)*SUMIF(Summary!$A$166:$A$242,'Operations Support'!A732,Summary!$Q$166:$Q$242),0)</f>
        <v>0</v>
      </c>
      <c r="AG732" s="196">
        <f t="shared" ca="1" si="165"/>
        <v>0</v>
      </c>
      <c r="AI732" s="196">
        <f>IFERROR($G732/SUMIF($A:$A,$A732,$G:$G)*SUMIF(Summary!$A$247:$A$283,$A732,Summary!$P$247:$P$283),0)</f>
        <v>0</v>
      </c>
      <c r="AJ732" s="196">
        <f>IFERROR($G732/SUMIF($A:$A,$A732,$G:$G)*(SUMIF(Summary!$A$247:$A$283,$A732,Summary!$L$247:$L$283)+SUMIF(Summary!$A$297:$A$333,$A732,Summary!$L$297:$L$333))-AI732,0)</f>
        <v>0</v>
      </c>
      <c r="AK732" s="196">
        <f>IFERROR($G732/SUMIF($A:$A,$A732,$G:$G)*SUMIF(Summary!$A$247:$A$283,$A732,Summary!$Q$247:$Q$283),0)</f>
        <v>0</v>
      </c>
      <c r="AL732" s="196">
        <f>IFERROR($G732/SUMIF($A:$A,$A732,$G:$G)*(SUMIF(Summary!$A$247:$A$283,$A732,Summary!$L$247:$L$283)+SUMIF(Summary!$A$297:$A$333,$A732,Summary!$L$297:$L$333))-AK732,0)</f>
        <v>0</v>
      </c>
      <c r="AM732" s="198"/>
      <c r="AN732" s="196">
        <f t="shared" ca="1" si="166"/>
        <v>0</v>
      </c>
      <c r="AO732" s="196">
        <f t="shared" ca="1" si="167"/>
        <v>0</v>
      </c>
    </row>
    <row r="733" spans="1:41">
      <c r="A733" s="189">
        <v>3599</v>
      </c>
      <c r="B733" s="203">
        <v>5</v>
      </c>
      <c r="C733" s="191" t="s">
        <v>234</v>
      </c>
      <c r="D733" s="192">
        <f t="shared" si="154"/>
        <v>0</v>
      </c>
      <c r="E733" s="192">
        <f t="shared" si="155"/>
        <v>0</v>
      </c>
      <c r="F733" s="192">
        <f t="shared" si="156"/>
        <v>0</v>
      </c>
      <c r="G733" s="193">
        <f t="shared" si="157"/>
        <v>0</v>
      </c>
      <c r="H733" s="194">
        <v>0</v>
      </c>
      <c r="I733" s="194">
        <v>0</v>
      </c>
      <c r="J733" s="194">
        <v>0</v>
      </c>
      <c r="K733" s="193">
        <f t="shared" si="158"/>
        <v>0</v>
      </c>
      <c r="L733" s="194">
        <v>0</v>
      </c>
      <c r="M733" s="194">
        <v>0</v>
      </c>
      <c r="N733" s="194">
        <v>0</v>
      </c>
      <c r="O733" s="193">
        <f t="shared" si="159"/>
        <v>0</v>
      </c>
      <c r="P733" s="194">
        <v>0</v>
      </c>
      <c r="Q733" s="194">
        <v>0</v>
      </c>
      <c r="R733" s="194">
        <v>0</v>
      </c>
      <c r="S733" s="193">
        <f t="shared" si="160"/>
        <v>0</v>
      </c>
      <c r="T733" s="193">
        <f t="shared" si="161"/>
        <v>0</v>
      </c>
      <c r="U733" s="193">
        <f ca="1">OFFSET('Expenditure Study'!$B$7,'Operations Support'!$C733,'Operations Support'!$B733)*$G733</f>
        <v>0</v>
      </c>
      <c r="V733" s="199">
        <f ca="1">U733*'Expenditure Study'!$B$31</f>
        <v>0</v>
      </c>
      <c r="W733" s="199">
        <f ca="1">IF(A733=10298,1.51,1)*IF($B733&lt;3,$D733*'Expenditure Study'!$B$32*OFFSET('Expenditure Study'!$B$7,'Operations Support'!$C733,'Operations Support'!$B733),0)</f>
        <v>0</v>
      </c>
      <c r="X733" s="200">
        <f ca="1">W733*'Expenditure Study'!$B$31</f>
        <v>0</v>
      </c>
      <c r="Y733" s="199">
        <f ca="1">U733*'Expenditure Study'!$B$31</f>
        <v>0</v>
      </c>
      <c r="Z733" s="200">
        <f ca="1">W733*'Expenditure Study'!$B$31</f>
        <v>0</v>
      </c>
      <c r="AA733" s="195">
        <f t="shared" ca="1" si="162"/>
        <v>0</v>
      </c>
      <c r="AB733" s="195">
        <f t="shared" ca="1" si="163"/>
        <v>0</v>
      </c>
      <c r="AD733" s="196">
        <f>IFERROR($G733/SUMIF($A:$A,$A733,$G:$G)*SUMIF(Summary!$A$166:$A$242,$A733,Summary!$P$166:$P$242),0)</f>
        <v>0</v>
      </c>
      <c r="AE733" s="197">
        <f t="shared" ca="1" si="164"/>
        <v>0</v>
      </c>
      <c r="AF733" s="196">
        <f>IFERROR(G733/SUMIF(A:A,A733,G:G)*SUMIF(Summary!$A$166:$A$242,'Operations Support'!A733,Summary!$Q$166:$Q$242),0)</f>
        <v>0</v>
      </c>
      <c r="AG733" s="196">
        <f t="shared" ca="1" si="165"/>
        <v>0</v>
      </c>
      <c r="AI733" s="196">
        <f>IFERROR($G733/SUMIF($A:$A,$A733,$G:$G)*SUMIF(Summary!$A$247:$A$283,$A733,Summary!$P$247:$P$283),0)</f>
        <v>0</v>
      </c>
      <c r="AJ733" s="196">
        <f>IFERROR($G733/SUMIF($A:$A,$A733,$G:$G)*(SUMIF(Summary!$A$247:$A$283,$A733,Summary!$L$247:$L$283)+SUMIF(Summary!$A$297:$A$333,$A733,Summary!$L$297:$L$333))-AI733,0)</f>
        <v>0</v>
      </c>
      <c r="AK733" s="196">
        <f>IFERROR($G733/SUMIF($A:$A,$A733,$G:$G)*SUMIF(Summary!$A$247:$A$283,$A733,Summary!$Q$247:$Q$283),0)</f>
        <v>0</v>
      </c>
      <c r="AL733" s="196">
        <f>IFERROR($G733/SUMIF($A:$A,$A733,$G:$G)*(SUMIF(Summary!$A$247:$A$283,$A733,Summary!$L$247:$L$283)+SUMIF(Summary!$A$297:$A$333,$A733,Summary!$L$297:$L$333))-AK733,0)</f>
        <v>0</v>
      </c>
      <c r="AM733" s="198"/>
      <c r="AN733" s="196">
        <f t="shared" ca="1" si="166"/>
        <v>0</v>
      </c>
      <c r="AO733" s="196">
        <f t="shared" ca="1" si="167"/>
        <v>0</v>
      </c>
    </row>
    <row r="734" spans="1:41">
      <c r="A734" s="189">
        <v>3599</v>
      </c>
      <c r="B734" s="203">
        <v>5</v>
      </c>
      <c r="C734" s="191" t="s">
        <v>235</v>
      </c>
      <c r="D734" s="192">
        <f t="shared" si="154"/>
        <v>0</v>
      </c>
      <c r="E734" s="192">
        <f t="shared" si="155"/>
        <v>0</v>
      </c>
      <c r="F734" s="192">
        <f t="shared" si="156"/>
        <v>0</v>
      </c>
      <c r="G734" s="193">
        <f t="shared" si="157"/>
        <v>0</v>
      </c>
      <c r="H734" s="194">
        <v>0</v>
      </c>
      <c r="I734" s="194">
        <v>0</v>
      </c>
      <c r="J734" s="194">
        <v>0</v>
      </c>
      <c r="K734" s="193">
        <f t="shared" si="158"/>
        <v>0</v>
      </c>
      <c r="L734" s="194">
        <v>0</v>
      </c>
      <c r="M734" s="194">
        <v>0</v>
      </c>
      <c r="N734" s="194">
        <v>0</v>
      </c>
      <c r="O734" s="193">
        <f t="shared" si="159"/>
        <v>0</v>
      </c>
      <c r="P734" s="194">
        <v>0</v>
      </c>
      <c r="Q734" s="194">
        <v>0</v>
      </c>
      <c r="R734" s="194">
        <v>0</v>
      </c>
      <c r="S734" s="193">
        <f t="shared" si="160"/>
        <v>0</v>
      </c>
      <c r="T734" s="193">
        <f t="shared" si="161"/>
        <v>0</v>
      </c>
      <c r="U734" s="193">
        <f ca="1">OFFSET('Expenditure Study'!$B$7,'Operations Support'!$C734,'Operations Support'!$B734)*$G734</f>
        <v>0</v>
      </c>
      <c r="V734" s="199">
        <f ca="1">U734*'Expenditure Study'!$B$31</f>
        <v>0</v>
      </c>
      <c r="W734" s="199">
        <f ca="1">IF(A734=10298,1.51,1)*IF($B734&lt;3,$D734*'Expenditure Study'!$B$32*OFFSET('Expenditure Study'!$B$7,'Operations Support'!$C734,'Operations Support'!$B734),0)</f>
        <v>0</v>
      </c>
      <c r="X734" s="200">
        <f ca="1">W734*'Expenditure Study'!$B$31</f>
        <v>0</v>
      </c>
      <c r="Y734" s="199">
        <f ca="1">U734*'Expenditure Study'!$B$31</f>
        <v>0</v>
      </c>
      <c r="Z734" s="200">
        <f ca="1">W734*'Expenditure Study'!$B$31</f>
        <v>0</v>
      </c>
      <c r="AA734" s="195">
        <f t="shared" ca="1" si="162"/>
        <v>0</v>
      </c>
      <c r="AB734" s="195">
        <f t="shared" ca="1" si="163"/>
        <v>0</v>
      </c>
      <c r="AD734" s="196">
        <f>IFERROR($G734/SUMIF($A:$A,$A734,$G:$G)*SUMIF(Summary!$A$166:$A$242,$A734,Summary!$P$166:$P$242),0)</f>
        <v>0</v>
      </c>
      <c r="AE734" s="197">
        <f t="shared" ca="1" si="164"/>
        <v>0</v>
      </c>
      <c r="AF734" s="196">
        <f>IFERROR(G734/SUMIF(A:A,A734,G:G)*SUMIF(Summary!$A$166:$A$242,'Operations Support'!A734,Summary!$Q$166:$Q$242),0)</f>
        <v>0</v>
      </c>
      <c r="AG734" s="196">
        <f t="shared" ca="1" si="165"/>
        <v>0</v>
      </c>
      <c r="AI734" s="196">
        <f>IFERROR($G734/SUMIF($A:$A,$A734,$G:$G)*SUMIF(Summary!$A$247:$A$283,$A734,Summary!$P$247:$P$283),0)</f>
        <v>0</v>
      </c>
      <c r="AJ734" s="196">
        <f>IFERROR($G734/SUMIF($A:$A,$A734,$G:$G)*(SUMIF(Summary!$A$247:$A$283,$A734,Summary!$L$247:$L$283)+SUMIF(Summary!$A$297:$A$333,$A734,Summary!$L$297:$L$333))-AI734,0)</f>
        <v>0</v>
      </c>
      <c r="AK734" s="196">
        <f>IFERROR($G734/SUMIF($A:$A,$A734,$G:$G)*SUMIF(Summary!$A$247:$A$283,$A734,Summary!$Q$247:$Q$283),0)</f>
        <v>0</v>
      </c>
      <c r="AL734" s="196">
        <f>IFERROR($G734/SUMIF($A:$A,$A734,$G:$G)*(SUMIF(Summary!$A$247:$A$283,$A734,Summary!$L$247:$L$283)+SUMIF(Summary!$A$297:$A$333,$A734,Summary!$L$297:$L$333))-AK734,0)</f>
        <v>0</v>
      </c>
      <c r="AM734" s="198"/>
      <c r="AN734" s="196">
        <f t="shared" ca="1" si="166"/>
        <v>0</v>
      </c>
      <c r="AO734" s="196">
        <f t="shared" ca="1" si="167"/>
        <v>0</v>
      </c>
    </row>
    <row r="735" spans="1:41">
      <c r="A735" s="189">
        <v>3599</v>
      </c>
      <c r="B735" s="203">
        <v>5</v>
      </c>
      <c r="C735" s="191" t="s">
        <v>236</v>
      </c>
      <c r="D735" s="192">
        <f t="shared" si="154"/>
        <v>0</v>
      </c>
      <c r="E735" s="192">
        <f t="shared" si="155"/>
        <v>0</v>
      </c>
      <c r="F735" s="192">
        <f t="shared" si="156"/>
        <v>0</v>
      </c>
      <c r="G735" s="193">
        <f t="shared" si="157"/>
        <v>0</v>
      </c>
      <c r="H735" s="194">
        <v>0</v>
      </c>
      <c r="I735" s="194">
        <v>0</v>
      </c>
      <c r="J735" s="194">
        <v>0</v>
      </c>
      <c r="K735" s="193">
        <f t="shared" si="158"/>
        <v>0</v>
      </c>
      <c r="L735" s="194">
        <v>0</v>
      </c>
      <c r="M735" s="194">
        <v>0</v>
      </c>
      <c r="N735" s="194">
        <v>0</v>
      </c>
      <c r="O735" s="193">
        <f t="shared" si="159"/>
        <v>0</v>
      </c>
      <c r="P735" s="194">
        <v>0</v>
      </c>
      <c r="Q735" s="194">
        <v>0</v>
      </c>
      <c r="R735" s="194">
        <v>0</v>
      </c>
      <c r="S735" s="193">
        <f t="shared" si="160"/>
        <v>0</v>
      </c>
      <c r="T735" s="193">
        <f t="shared" si="161"/>
        <v>0</v>
      </c>
      <c r="U735" s="193">
        <f ca="1">OFFSET('Expenditure Study'!$B$7,'Operations Support'!$C735,'Operations Support'!$B735)*$G735</f>
        <v>0</v>
      </c>
      <c r="V735" s="199">
        <f ca="1">U735*'Expenditure Study'!$B$31</f>
        <v>0</v>
      </c>
      <c r="W735" s="199">
        <f ca="1">IF(A735=10298,1.51,1)*IF($B735&lt;3,$D735*'Expenditure Study'!$B$32*OFFSET('Expenditure Study'!$B$7,'Operations Support'!$C735,'Operations Support'!$B735),0)</f>
        <v>0</v>
      </c>
      <c r="X735" s="200">
        <f ca="1">W735*'Expenditure Study'!$B$31</f>
        <v>0</v>
      </c>
      <c r="Y735" s="199">
        <f ca="1">U735*'Expenditure Study'!$B$31</f>
        <v>0</v>
      </c>
      <c r="Z735" s="200">
        <f ca="1">W735*'Expenditure Study'!$B$31</f>
        <v>0</v>
      </c>
      <c r="AA735" s="195">
        <f t="shared" ca="1" si="162"/>
        <v>0</v>
      </c>
      <c r="AB735" s="195">
        <f t="shared" ca="1" si="163"/>
        <v>0</v>
      </c>
      <c r="AD735" s="196">
        <f>IFERROR($G735/SUMIF($A:$A,$A735,$G:$G)*SUMIF(Summary!$A$166:$A$242,$A735,Summary!$P$166:$P$242),0)</f>
        <v>0</v>
      </c>
      <c r="AE735" s="197">
        <f t="shared" ca="1" si="164"/>
        <v>0</v>
      </c>
      <c r="AF735" s="196">
        <f>IFERROR(G735/SUMIF(A:A,A735,G:G)*SUMIF(Summary!$A$166:$A$242,'Operations Support'!A735,Summary!$Q$166:$Q$242),0)</f>
        <v>0</v>
      </c>
      <c r="AG735" s="196">
        <f t="shared" ca="1" si="165"/>
        <v>0</v>
      </c>
      <c r="AI735" s="196">
        <f>IFERROR($G735/SUMIF($A:$A,$A735,$G:$G)*SUMIF(Summary!$A$247:$A$283,$A735,Summary!$P$247:$P$283),0)</f>
        <v>0</v>
      </c>
      <c r="AJ735" s="196">
        <f>IFERROR($G735/SUMIF($A:$A,$A735,$G:$G)*(SUMIF(Summary!$A$247:$A$283,$A735,Summary!$L$247:$L$283)+SUMIF(Summary!$A$297:$A$333,$A735,Summary!$L$297:$L$333))-AI735,0)</f>
        <v>0</v>
      </c>
      <c r="AK735" s="196">
        <f>IFERROR($G735/SUMIF($A:$A,$A735,$G:$G)*SUMIF(Summary!$A$247:$A$283,$A735,Summary!$Q$247:$Q$283),0)</f>
        <v>0</v>
      </c>
      <c r="AL735" s="196">
        <f>IFERROR($G735/SUMIF($A:$A,$A735,$G:$G)*(SUMIF(Summary!$A$247:$A$283,$A735,Summary!$L$247:$L$283)+SUMIF(Summary!$A$297:$A$333,$A735,Summary!$L$297:$L$333))-AK735,0)</f>
        <v>0</v>
      </c>
      <c r="AM735" s="198"/>
      <c r="AN735" s="196">
        <f t="shared" ca="1" si="166"/>
        <v>0</v>
      </c>
      <c r="AO735" s="196">
        <f t="shared" ca="1" si="167"/>
        <v>0</v>
      </c>
    </row>
    <row r="736" spans="1:41" s="201" customFormat="1">
      <c r="A736" s="189">
        <v>3599</v>
      </c>
      <c r="B736" s="203">
        <v>5</v>
      </c>
      <c r="C736" s="191" t="s">
        <v>237</v>
      </c>
      <c r="D736" s="192">
        <f t="shared" si="154"/>
        <v>0</v>
      </c>
      <c r="E736" s="192">
        <f t="shared" si="155"/>
        <v>0</v>
      </c>
      <c r="F736" s="192">
        <f t="shared" si="156"/>
        <v>0</v>
      </c>
      <c r="G736" s="193">
        <f t="shared" si="157"/>
        <v>0</v>
      </c>
      <c r="H736" s="194">
        <v>0</v>
      </c>
      <c r="I736" s="194">
        <v>0</v>
      </c>
      <c r="J736" s="194">
        <v>0</v>
      </c>
      <c r="K736" s="193">
        <f t="shared" si="158"/>
        <v>0</v>
      </c>
      <c r="L736" s="194">
        <v>0</v>
      </c>
      <c r="M736" s="194">
        <v>0</v>
      </c>
      <c r="N736" s="194">
        <v>0</v>
      </c>
      <c r="O736" s="193">
        <f t="shared" si="159"/>
        <v>0</v>
      </c>
      <c r="P736" s="194">
        <v>0</v>
      </c>
      <c r="Q736" s="194">
        <v>0</v>
      </c>
      <c r="R736" s="194">
        <v>0</v>
      </c>
      <c r="S736" s="193">
        <f t="shared" si="160"/>
        <v>0</v>
      </c>
      <c r="T736" s="193">
        <f t="shared" si="161"/>
        <v>0</v>
      </c>
      <c r="U736" s="193">
        <f ca="1">OFFSET('Expenditure Study'!$B$7,'Operations Support'!$C736,'Operations Support'!$B736)*$G736</f>
        <v>0</v>
      </c>
      <c r="V736" s="199">
        <f ca="1">U736*'Expenditure Study'!$B$31</f>
        <v>0</v>
      </c>
      <c r="W736" s="199">
        <f ca="1">IF(A736=10298,1.51,1)*IF($B736&lt;3,$D736*'Expenditure Study'!$B$32*OFFSET('Expenditure Study'!$B$7,'Operations Support'!$C736,'Operations Support'!$B736),0)</f>
        <v>0</v>
      </c>
      <c r="X736" s="200">
        <f ca="1">W736*'Expenditure Study'!$B$31</f>
        <v>0</v>
      </c>
      <c r="Y736" s="199">
        <f ca="1">U736*'Expenditure Study'!$B$31</f>
        <v>0</v>
      </c>
      <c r="Z736" s="200">
        <f ca="1">W736*'Expenditure Study'!$B$31</f>
        <v>0</v>
      </c>
      <c r="AA736" s="195">
        <f t="shared" ca="1" si="162"/>
        <v>0</v>
      </c>
      <c r="AB736" s="195">
        <f t="shared" ca="1" si="163"/>
        <v>0</v>
      </c>
      <c r="AD736" s="196">
        <f>IFERROR($G736/SUMIF($A:$A,$A736,$G:$G)*SUMIF(Summary!$A$166:$A$242,$A736,Summary!$P$166:$P$242),0)</f>
        <v>0</v>
      </c>
      <c r="AE736" s="197">
        <f t="shared" ca="1" si="164"/>
        <v>0</v>
      </c>
      <c r="AF736" s="196">
        <f>IFERROR(G736/SUMIF(A:A,A736,G:G)*SUMIF(Summary!$A$166:$A$242,'Operations Support'!A736,Summary!$Q$166:$Q$242),0)</f>
        <v>0</v>
      </c>
      <c r="AG736" s="196">
        <f t="shared" ca="1" si="165"/>
        <v>0</v>
      </c>
      <c r="AH736" s="180"/>
      <c r="AI736" s="196">
        <f>IFERROR($G736/SUMIF($A:$A,$A736,$G:$G)*SUMIF(Summary!$A$247:$A$283,$A736,Summary!$P$247:$P$283),0)</f>
        <v>0</v>
      </c>
      <c r="AJ736" s="196">
        <f>IFERROR($G736/SUMIF($A:$A,$A736,$G:$G)*(SUMIF(Summary!$A$247:$A$283,$A736,Summary!$L$247:$L$283)+SUMIF(Summary!$A$297:$A$333,$A736,Summary!$L$297:$L$333))-AI736,0)</f>
        <v>0</v>
      </c>
      <c r="AK736" s="196">
        <f>IFERROR($G736/SUMIF($A:$A,$A736,$G:$G)*SUMIF(Summary!$A$247:$A$283,$A736,Summary!$Q$247:$Q$283),0)</f>
        <v>0</v>
      </c>
      <c r="AL736" s="196">
        <f>IFERROR($G736/SUMIF($A:$A,$A736,$G:$G)*(SUMIF(Summary!$A$247:$A$283,$A736,Summary!$L$247:$L$283)+SUMIF(Summary!$A$297:$A$333,$A736,Summary!$L$297:$L$333))-AK736,0)</f>
        <v>0</v>
      </c>
      <c r="AM736" s="198"/>
      <c r="AN736" s="196">
        <f t="shared" ca="1" si="166"/>
        <v>0</v>
      </c>
      <c r="AO736" s="196">
        <f t="shared" ca="1" si="167"/>
        <v>0</v>
      </c>
    </row>
    <row r="737" spans="1:41">
      <c r="A737" s="189">
        <v>3599</v>
      </c>
      <c r="B737" s="203">
        <v>5</v>
      </c>
      <c r="C737" s="191" t="s">
        <v>238</v>
      </c>
      <c r="D737" s="192">
        <f t="shared" si="154"/>
        <v>0</v>
      </c>
      <c r="E737" s="192">
        <f t="shared" si="155"/>
        <v>0</v>
      </c>
      <c r="F737" s="192">
        <f t="shared" si="156"/>
        <v>0</v>
      </c>
      <c r="G737" s="193">
        <f t="shared" si="157"/>
        <v>0</v>
      </c>
      <c r="H737" s="194">
        <v>0</v>
      </c>
      <c r="I737" s="194">
        <v>0</v>
      </c>
      <c r="J737" s="194">
        <v>0</v>
      </c>
      <c r="K737" s="193">
        <f t="shared" si="158"/>
        <v>0</v>
      </c>
      <c r="L737" s="194">
        <v>0</v>
      </c>
      <c r="M737" s="194">
        <v>0</v>
      </c>
      <c r="N737" s="194">
        <v>0</v>
      </c>
      <c r="O737" s="193">
        <f t="shared" si="159"/>
        <v>0</v>
      </c>
      <c r="P737" s="194">
        <v>0</v>
      </c>
      <c r="Q737" s="194">
        <v>0</v>
      </c>
      <c r="R737" s="194">
        <v>0</v>
      </c>
      <c r="S737" s="193">
        <f t="shared" si="160"/>
        <v>0</v>
      </c>
      <c r="T737" s="193">
        <f t="shared" si="161"/>
        <v>0</v>
      </c>
      <c r="U737" s="193">
        <f ca="1">OFFSET('Expenditure Study'!$B$7,'Operations Support'!$C737,'Operations Support'!$B737)*$G737</f>
        <v>0</v>
      </c>
      <c r="V737" s="199">
        <f ca="1">U737*'Expenditure Study'!$B$31</f>
        <v>0</v>
      </c>
      <c r="W737" s="199">
        <f ca="1">IF(A737=10298,1.51,1)*IF($B737&lt;3,$D737*'Expenditure Study'!$B$32*OFFSET('Expenditure Study'!$B$7,'Operations Support'!$C737,'Operations Support'!$B737),0)</f>
        <v>0</v>
      </c>
      <c r="X737" s="200">
        <f ca="1">W737*'Expenditure Study'!$B$31</f>
        <v>0</v>
      </c>
      <c r="Y737" s="199">
        <f ca="1">U737*'Expenditure Study'!$B$31</f>
        <v>0</v>
      </c>
      <c r="Z737" s="200">
        <f ca="1">W737*'Expenditure Study'!$B$31</f>
        <v>0</v>
      </c>
      <c r="AA737" s="195">
        <f t="shared" ca="1" si="162"/>
        <v>0</v>
      </c>
      <c r="AB737" s="195">
        <f t="shared" ca="1" si="163"/>
        <v>0</v>
      </c>
      <c r="AD737" s="196">
        <f>IFERROR($G737/SUMIF($A:$A,$A737,$G:$G)*SUMIF(Summary!$A$166:$A$242,$A737,Summary!$P$166:$P$242),0)</f>
        <v>0</v>
      </c>
      <c r="AE737" s="197">
        <f t="shared" ca="1" si="164"/>
        <v>0</v>
      </c>
      <c r="AF737" s="196">
        <f>IFERROR(G737/SUMIF(A:A,A737,G:G)*SUMIF(Summary!$A$166:$A$242,'Operations Support'!A737,Summary!$Q$166:$Q$242),0)</f>
        <v>0</v>
      </c>
      <c r="AG737" s="196">
        <f t="shared" ca="1" si="165"/>
        <v>0</v>
      </c>
      <c r="AI737" s="196">
        <f>IFERROR($G737/SUMIF($A:$A,$A737,$G:$G)*SUMIF(Summary!$A$247:$A$283,$A737,Summary!$P$247:$P$283),0)</f>
        <v>0</v>
      </c>
      <c r="AJ737" s="196">
        <f>IFERROR($G737/SUMIF($A:$A,$A737,$G:$G)*(SUMIF(Summary!$A$247:$A$283,$A737,Summary!$L$247:$L$283)+SUMIF(Summary!$A$297:$A$333,$A737,Summary!$L$297:$L$333))-AI737,0)</f>
        <v>0</v>
      </c>
      <c r="AK737" s="196">
        <f>IFERROR($G737/SUMIF($A:$A,$A737,$G:$G)*SUMIF(Summary!$A$247:$A$283,$A737,Summary!$Q$247:$Q$283),0)</f>
        <v>0</v>
      </c>
      <c r="AL737" s="196">
        <f>IFERROR($G737/SUMIF($A:$A,$A737,$G:$G)*(SUMIF(Summary!$A$247:$A$283,$A737,Summary!$L$247:$L$283)+SUMIF(Summary!$A$297:$A$333,$A737,Summary!$L$297:$L$333))-AK737,0)</f>
        <v>0</v>
      </c>
      <c r="AM737" s="198"/>
      <c r="AN737" s="196">
        <f t="shared" ca="1" si="166"/>
        <v>0</v>
      </c>
      <c r="AO737" s="196">
        <f t="shared" ca="1" si="167"/>
        <v>0</v>
      </c>
    </row>
    <row r="738" spans="1:41">
      <c r="A738" s="189">
        <v>3599</v>
      </c>
      <c r="B738" s="203">
        <v>5</v>
      </c>
      <c r="C738" s="191" t="s">
        <v>239</v>
      </c>
      <c r="D738" s="192">
        <f t="shared" si="154"/>
        <v>0</v>
      </c>
      <c r="E738" s="192">
        <f t="shared" si="155"/>
        <v>0</v>
      </c>
      <c r="F738" s="192">
        <f t="shared" si="156"/>
        <v>0</v>
      </c>
      <c r="G738" s="193">
        <f t="shared" si="157"/>
        <v>0</v>
      </c>
      <c r="H738" s="194">
        <v>0</v>
      </c>
      <c r="I738" s="194">
        <v>0</v>
      </c>
      <c r="J738" s="194">
        <v>0</v>
      </c>
      <c r="K738" s="193">
        <f t="shared" si="158"/>
        <v>0</v>
      </c>
      <c r="L738" s="194">
        <v>0</v>
      </c>
      <c r="M738" s="194">
        <v>0</v>
      </c>
      <c r="N738" s="194">
        <v>0</v>
      </c>
      <c r="O738" s="193">
        <f t="shared" si="159"/>
        <v>0</v>
      </c>
      <c r="P738" s="194">
        <v>0</v>
      </c>
      <c r="Q738" s="194">
        <v>0</v>
      </c>
      <c r="R738" s="194">
        <v>0</v>
      </c>
      <c r="S738" s="193">
        <f t="shared" si="160"/>
        <v>0</v>
      </c>
      <c r="T738" s="193">
        <f t="shared" si="161"/>
        <v>0</v>
      </c>
      <c r="U738" s="193">
        <f ca="1">OFFSET('Expenditure Study'!$B$7,'Operations Support'!$C738,'Operations Support'!$B738)*$G738</f>
        <v>0</v>
      </c>
      <c r="V738" s="199">
        <f ca="1">U738*'Expenditure Study'!$B$31</f>
        <v>0</v>
      </c>
      <c r="W738" s="199">
        <f ca="1">IF(A738=10298,1.51,1)*IF($B738&lt;3,$D738*'Expenditure Study'!$B$32*OFFSET('Expenditure Study'!$B$7,'Operations Support'!$C738,'Operations Support'!$B738),0)</f>
        <v>0</v>
      </c>
      <c r="X738" s="200">
        <f ca="1">W738*'Expenditure Study'!$B$31</f>
        <v>0</v>
      </c>
      <c r="Y738" s="199">
        <f ca="1">U738*'Expenditure Study'!$B$31</f>
        <v>0</v>
      </c>
      <c r="Z738" s="200">
        <f ca="1">W738*'Expenditure Study'!$B$31</f>
        <v>0</v>
      </c>
      <c r="AA738" s="195">
        <f t="shared" ca="1" si="162"/>
        <v>0</v>
      </c>
      <c r="AB738" s="195">
        <f t="shared" ca="1" si="163"/>
        <v>0</v>
      </c>
      <c r="AD738" s="196">
        <f>IFERROR($G738/SUMIF($A:$A,$A738,$G:$G)*SUMIF(Summary!$A$166:$A$242,$A738,Summary!$P$166:$P$242),0)</f>
        <v>0</v>
      </c>
      <c r="AE738" s="197">
        <f t="shared" ca="1" si="164"/>
        <v>0</v>
      </c>
      <c r="AF738" s="196">
        <f>IFERROR(G738/SUMIF(A:A,A738,G:G)*SUMIF(Summary!$A$166:$A$242,'Operations Support'!A738,Summary!$Q$166:$Q$242),0)</f>
        <v>0</v>
      </c>
      <c r="AG738" s="196">
        <f t="shared" ca="1" si="165"/>
        <v>0</v>
      </c>
      <c r="AI738" s="196">
        <f>IFERROR($G738/SUMIF($A:$A,$A738,$G:$G)*SUMIF(Summary!$A$247:$A$283,$A738,Summary!$P$247:$P$283),0)</f>
        <v>0</v>
      </c>
      <c r="AJ738" s="196">
        <f>IFERROR($G738/SUMIF($A:$A,$A738,$G:$G)*(SUMIF(Summary!$A$247:$A$283,$A738,Summary!$L$247:$L$283)+SUMIF(Summary!$A$297:$A$333,$A738,Summary!$L$297:$L$333))-AI738,0)</f>
        <v>0</v>
      </c>
      <c r="AK738" s="196">
        <f>IFERROR($G738/SUMIF($A:$A,$A738,$G:$G)*SUMIF(Summary!$A$247:$A$283,$A738,Summary!$Q$247:$Q$283),0)</f>
        <v>0</v>
      </c>
      <c r="AL738" s="196">
        <f>IFERROR($G738/SUMIF($A:$A,$A738,$G:$G)*(SUMIF(Summary!$A$247:$A$283,$A738,Summary!$L$247:$L$283)+SUMIF(Summary!$A$297:$A$333,$A738,Summary!$L$297:$L$333))-AK738,0)</f>
        <v>0</v>
      </c>
      <c r="AM738" s="198"/>
      <c r="AN738" s="196">
        <f t="shared" ca="1" si="166"/>
        <v>0</v>
      </c>
      <c r="AO738" s="196">
        <f t="shared" ca="1" si="167"/>
        <v>0</v>
      </c>
    </row>
    <row r="739" spans="1:41">
      <c r="A739" s="189">
        <v>3599</v>
      </c>
      <c r="B739" s="203">
        <v>5</v>
      </c>
      <c r="C739" s="191" t="s">
        <v>240</v>
      </c>
      <c r="D739" s="192">
        <f t="shared" si="154"/>
        <v>0</v>
      </c>
      <c r="E739" s="192">
        <f t="shared" si="155"/>
        <v>0</v>
      </c>
      <c r="F739" s="192">
        <f t="shared" si="156"/>
        <v>0</v>
      </c>
      <c r="G739" s="193">
        <f t="shared" si="157"/>
        <v>0</v>
      </c>
      <c r="H739" s="194">
        <v>0</v>
      </c>
      <c r="I739" s="194">
        <v>0</v>
      </c>
      <c r="J739" s="194">
        <v>0</v>
      </c>
      <c r="K739" s="193">
        <f t="shared" si="158"/>
        <v>0</v>
      </c>
      <c r="L739" s="194">
        <v>0</v>
      </c>
      <c r="M739" s="194">
        <v>0</v>
      </c>
      <c r="N739" s="194">
        <v>0</v>
      </c>
      <c r="O739" s="193">
        <f t="shared" si="159"/>
        <v>0</v>
      </c>
      <c r="P739" s="194">
        <v>0</v>
      </c>
      <c r="Q739" s="194">
        <v>0</v>
      </c>
      <c r="R739" s="194">
        <v>0</v>
      </c>
      <c r="S739" s="193">
        <f t="shared" si="160"/>
        <v>0</v>
      </c>
      <c r="T739" s="193">
        <f t="shared" si="161"/>
        <v>0</v>
      </c>
      <c r="U739" s="193">
        <f ca="1">OFFSET('Expenditure Study'!$B$7,'Operations Support'!$C739,'Operations Support'!$B739)*$G739</f>
        <v>0</v>
      </c>
      <c r="V739" s="199">
        <f ca="1">U739*'Expenditure Study'!$B$31</f>
        <v>0</v>
      </c>
      <c r="W739" s="199">
        <f ca="1">IF(A739=10298,1.51,1)*IF($B739&lt;3,$D739*'Expenditure Study'!$B$32*OFFSET('Expenditure Study'!$B$7,'Operations Support'!$C739,'Operations Support'!$B739),0)</f>
        <v>0</v>
      </c>
      <c r="X739" s="200">
        <f ca="1">W739*'Expenditure Study'!$B$31</f>
        <v>0</v>
      </c>
      <c r="Y739" s="199">
        <f ca="1">U739*'Expenditure Study'!$B$31</f>
        <v>0</v>
      </c>
      <c r="Z739" s="200">
        <f ca="1">W739*'Expenditure Study'!$B$31</f>
        <v>0</v>
      </c>
      <c r="AA739" s="195">
        <f t="shared" ca="1" si="162"/>
        <v>0</v>
      </c>
      <c r="AB739" s="195">
        <f t="shared" ca="1" si="163"/>
        <v>0</v>
      </c>
      <c r="AD739" s="196">
        <f>IFERROR($G739/SUMIF($A:$A,$A739,$G:$G)*SUMIF(Summary!$A$166:$A$242,$A739,Summary!$P$166:$P$242),0)</f>
        <v>0</v>
      </c>
      <c r="AE739" s="197">
        <f t="shared" ca="1" si="164"/>
        <v>0</v>
      </c>
      <c r="AF739" s="196">
        <f>IFERROR(G739/SUMIF(A:A,A739,G:G)*SUMIF(Summary!$A$166:$A$242,'Operations Support'!A739,Summary!$Q$166:$Q$242),0)</f>
        <v>0</v>
      </c>
      <c r="AG739" s="196">
        <f t="shared" ca="1" si="165"/>
        <v>0</v>
      </c>
      <c r="AI739" s="196">
        <f>IFERROR($G739/SUMIF($A:$A,$A739,$G:$G)*SUMIF(Summary!$A$247:$A$283,$A739,Summary!$P$247:$P$283),0)</f>
        <v>0</v>
      </c>
      <c r="AJ739" s="196">
        <f>IFERROR($G739/SUMIF($A:$A,$A739,$G:$G)*(SUMIF(Summary!$A$247:$A$283,$A739,Summary!$L$247:$L$283)+SUMIF(Summary!$A$297:$A$333,$A739,Summary!$L$297:$L$333))-AI739,0)</f>
        <v>0</v>
      </c>
      <c r="AK739" s="196">
        <f>IFERROR($G739/SUMIF($A:$A,$A739,$G:$G)*SUMIF(Summary!$A$247:$A$283,$A739,Summary!$Q$247:$Q$283),0)</f>
        <v>0</v>
      </c>
      <c r="AL739" s="196">
        <f>IFERROR($G739/SUMIF($A:$A,$A739,$G:$G)*(SUMIF(Summary!$A$247:$A$283,$A739,Summary!$L$247:$L$283)+SUMIF(Summary!$A$297:$A$333,$A739,Summary!$L$297:$L$333))-AK739,0)</f>
        <v>0</v>
      </c>
      <c r="AM739" s="198"/>
      <c r="AN739" s="196">
        <f t="shared" ca="1" si="166"/>
        <v>0</v>
      </c>
      <c r="AO739" s="196">
        <f t="shared" ca="1" si="167"/>
        <v>0</v>
      </c>
    </row>
    <row r="740" spans="1:41">
      <c r="A740" s="189">
        <v>3606</v>
      </c>
      <c r="B740" s="202">
        <v>1</v>
      </c>
      <c r="C740" s="191" t="s">
        <v>220</v>
      </c>
      <c r="D740" s="192">
        <f t="shared" si="154"/>
        <v>59964</v>
      </c>
      <c r="E740" s="192">
        <f t="shared" si="155"/>
        <v>76609</v>
      </c>
      <c r="F740" s="192">
        <f t="shared" si="156"/>
        <v>0</v>
      </c>
      <c r="G740" s="193">
        <f t="shared" si="157"/>
        <v>136573</v>
      </c>
      <c r="H740" s="194">
        <v>25052</v>
      </c>
      <c r="I740" s="194">
        <v>33228</v>
      </c>
      <c r="J740" s="194">
        <v>0</v>
      </c>
      <c r="K740" s="193">
        <f t="shared" si="158"/>
        <v>58280</v>
      </c>
      <c r="L740" s="194">
        <v>29300</v>
      </c>
      <c r="M740" s="194">
        <v>41351</v>
      </c>
      <c r="N740" s="194">
        <v>0</v>
      </c>
      <c r="O740" s="193">
        <f t="shared" si="159"/>
        <v>70651</v>
      </c>
      <c r="P740" s="194">
        <v>5612</v>
      </c>
      <c r="Q740" s="194">
        <v>2030</v>
      </c>
      <c r="R740" s="194">
        <v>0</v>
      </c>
      <c r="S740" s="193">
        <f t="shared" si="160"/>
        <v>7642</v>
      </c>
      <c r="T740" s="193">
        <f t="shared" si="161"/>
        <v>4552.4333333333334</v>
      </c>
      <c r="U740" s="193">
        <f ca="1">OFFSET('Expenditure Study'!$B$7,'Operations Support'!$C740,'Operations Support'!$B740)*$G740</f>
        <v>136573</v>
      </c>
      <c r="V740" s="199">
        <f ca="1">U740*'Expenditure Study'!$B$31</f>
        <v>8069167.2513984004</v>
      </c>
      <c r="W740" s="199">
        <f ca="1">IF(A740=10298,1.51,1)*IF($B740&lt;3,$D740*'Expenditure Study'!$B$32*OFFSET('Expenditure Study'!$B$7,'Operations Support'!$C740,'Operations Support'!$B740),0)</f>
        <v>5996.4000000000005</v>
      </c>
      <c r="X740" s="200">
        <f ca="1">W740*'Expenditure Study'!$B$31</f>
        <v>354286.38534912001</v>
      </c>
      <c r="Y740" s="199">
        <f ca="1">U740*'Expenditure Study'!$B$31</f>
        <v>8069167.2513984004</v>
      </c>
      <c r="Z740" s="200">
        <f ca="1">W740*'Expenditure Study'!$B$31</f>
        <v>354286.38534912001</v>
      </c>
      <c r="AA740" s="195">
        <f t="shared" ca="1" si="162"/>
        <v>8423453.6367475204</v>
      </c>
      <c r="AB740" s="195">
        <f t="shared" ca="1" si="163"/>
        <v>8423453.6367475204</v>
      </c>
      <c r="AD740" s="196">
        <f>IFERROR($G740/SUMIF($A:$A,$A740,$G:$G)*SUMIF(Summary!$A$166:$A$242,$A740,Summary!$P$166:$P$242),0)</f>
        <v>3635086.8310410292</v>
      </c>
      <c r="AE740" s="197">
        <f t="shared" ca="1" si="164"/>
        <v>4788366.8057064917</v>
      </c>
      <c r="AF740" s="196">
        <f>IFERROR(G740/SUMIF(A:A,A740,G:G)*SUMIF(Summary!$A$166:$A$242,'Operations Support'!A740,Summary!$Q$166:$Q$242),0)</f>
        <v>3643242.1498373812</v>
      </c>
      <c r="AG740" s="196">
        <f t="shared" ca="1" si="165"/>
        <v>4780211.4869101392</v>
      </c>
      <c r="AI740" s="196">
        <f>IFERROR($G740/SUMIF($A:$A,$A740,$G:$G)*SUMIF(Summary!$A$247:$A$283,$A740,Summary!$P$247:$P$283),0)</f>
        <v>662949.12540118571</v>
      </c>
      <c r="AJ740" s="196">
        <f>IFERROR($G740/SUMIF($A:$A,$A740,$G:$G)*(SUMIF(Summary!$A$247:$A$283,$A740,Summary!$L$247:$L$283)+SUMIF(Summary!$A$297:$A$333,$A740,Summary!$L$297:$L$333))-AI740,0)</f>
        <v>2265583.9945253218</v>
      </c>
      <c r="AK740" s="196">
        <f>IFERROR($G740/SUMIF($A:$A,$A740,$G:$G)*SUMIF(Summary!$A$247:$A$283,$A740,Summary!$Q$247:$Q$283),0)</f>
        <v>664436.45203592826</v>
      </c>
      <c r="AL740" s="196">
        <f>IFERROR($G740/SUMIF($A:$A,$A740,$G:$G)*(SUMIF(Summary!$A$247:$A$283,$A740,Summary!$L$247:$L$283)+SUMIF(Summary!$A$297:$A$333,$A740,Summary!$L$297:$L$333))-AK740,0)</f>
        <v>2264096.6678905794</v>
      </c>
      <c r="AM740" s="198"/>
      <c r="AN740" s="196">
        <f t="shared" ca="1" si="166"/>
        <v>7053950.8002318135</v>
      </c>
      <c r="AO740" s="196">
        <f t="shared" ca="1" si="167"/>
        <v>7044308.1548007187</v>
      </c>
    </row>
    <row r="741" spans="1:41">
      <c r="A741" s="189">
        <v>3606</v>
      </c>
      <c r="B741" s="203">
        <v>1</v>
      </c>
      <c r="C741" s="191" t="s">
        <v>221</v>
      </c>
      <c r="D741" s="192">
        <f t="shared" si="154"/>
        <v>26738</v>
      </c>
      <c r="E741" s="192">
        <f t="shared" si="155"/>
        <v>21663</v>
      </c>
      <c r="F741" s="192">
        <f t="shared" si="156"/>
        <v>0</v>
      </c>
      <c r="G741" s="193">
        <f t="shared" si="157"/>
        <v>48401</v>
      </c>
      <c r="H741" s="194">
        <v>10566</v>
      </c>
      <c r="I741" s="194">
        <v>10559</v>
      </c>
      <c r="J741" s="194">
        <v>0</v>
      </c>
      <c r="K741" s="193">
        <f t="shared" si="158"/>
        <v>21125</v>
      </c>
      <c r="L741" s="194">
        <v>14052</v>
      </c>
      <c r="M741" s="194">
        <v>10261</v>
      </c>
      <c r="N741" s="194">
        <v>0</v>
      </c>
      <c r="O741" s="193">
        <f t="shared" si="159"/>
        <v>24313</v>
      </c>
      <c r="P741" s="194">
        <v>2120</v>
      </c>
      <c r="Q741" s="194">
        <v>843</v>
      </c>
      <c r="R741" s="194">
        <v>0</v>
      </c>
      <c r="S741" s="193">
        <f t="shared" si="160"/>
        <v>2963</v>
      </c>
      <c r="T741" s="193">
        <f t="shared" si="161"/>
        <v>1613.3666666666666</v>
      </c>
      <c r="U741" s="193">
        <f ca="1">OFFSET('Expenditure Study'!$B$7,'Operations Support'!$C741,'Operations Support'!$B741)*$G741</f>
        <v>64857.340000000004</v>
      </c>
      <c r="V741" s="199">
        <f ca="1">U741*'Expenditure Study'!$B$31</f>
        <v>3831977.9454270722</v>
      </c>
      <c r="W741" s="199">
        <f ca="1">IF(A741=10298,1.51,1)*IF($B741&lt;3,$D741*'Expenditure Study'!$B$32*OFFSET('Expenditure Study'!$B$7,'Operations Support'!$C741,'Operations Support'!$B741),0)</f>
        <v>3582.8920000000003</v>
      </c>
      <c r="X741" s="200">
        <f ca="1">W741*'Expenditure Study'!$B$31</f>
        <v>211688.65582287361</v>
      </c>
      <c r="Y741" s="199">
        <f ca="1">U741*'Expenditure Study'!$B$31</f>
        <v>3831977.9454270722</v>
      </c>
      <c r="Z741" s="200">
        <f ca="1">W741*'Expenditure Study'!$B$31</f>
        <v>211688.65582287361</v>
      </c>
      <c r="AA741" s="195">
        <f t="shared" ca="1" si="162"/>
        <v>4043666.6012499458</v>
      </c>
      <c r="AB741" s="195">
        <f t="shared" ca="1" si="163"/>
        <v>4043666.6012499458</v>
      </c>
      <c r="AD741" s="196">
        <f>IFERROR($G741/SUMIF($A:$A,$A741,$G:$G)*SUMIF(Summary!$A$166:$A$242,$A741,Summary!$P$166:$P$242),0)</f>
        <v>1288262.231255203</v>
      </c>
      <c r="AE741" s="197">
        <f t="shared" ca="1" si="164"/>
        <v>2755404.3699947428</v>
      </c>
      <c r="AF741" s="196">
        <f>IFERROR(G741/SUMIF(A:A,A741,G:G)*SUMIF(Summary!$A$166:$A$242,'Operations Support'!A741,Summary!$Q$166:$Q$242),0)</f>
        <v>1291152.4480993981</v>
      </c>
      <c r="AG741" s="196">
        <f t="shared" ca="1" si="165"/>
        <v>2752514.1531505478</v>
      </c>
      <c r="AI741" s="196">
        <f>IFERROR($G741/SUMIF($A:$A,$A741,$G:$G)*SUMIF(Summary!$A$247:$A$283,$A741,Summary!$P$247:$P$283),0)</f>
        <v>234946.88275532346</v>
      </c>
      <c r="AJ741" s="196">
        <f>IFERROR($G741/SUMIF($A:$A,$A741,$G:$G)*(SUMIF(Summary!$A$247:$A$283,$A741,Summary!$L$247:$L$283)+SUMIF(Summary!$A$297:$A$333,$A741,Summary!$L$297:$L$333))-AI741,0)</f>
        <v>802915.15101096197</v>
      </c>
      <c r="AK741" s="196">
        <f>IFERROR($G741/SUMIF($A:$A,$A741,$G:$G)*SUMIF(Summary!$A$247:$A$283,$A741,Summary!$Q$247:$Q$283),0)</f>
        <v>235473.98618314721</v>
      </c>
      <c r="AL741" s="196">
        <f>IFERROR($G741/SUMIF($A:$A,$A741,$G:$G)*(SUMIF(Summary!$A$247:$A$283,$A741,Summary!$L$247:$L$283)+SUMIF(Summary!$A$297:$A$333,$A741,Summary!$L$297:$L$333))-AK741,0)</f>
        <v>802388.04758313822</v>
      </c>
      <c r="AM741" s="198"/>
      <c r="AN741" s="196">
        <f t="shared" ca="1" si="166"/>
        <v>3558319.521005705</v>
      </c>
      <c r="AO741" s="196">
        <f t="shared" ca="1" si="167"/>
        <v>3554902.2007336859</v>
      </c>
    </row>
    <row r="742" spans="1:41">
      <c r="A742" s="189">
        <v>3606</v>
      </c>
      <c r="B742" s="203">
        <v>1</v>
      </c>
      <c r="C742" s="191" t="s">
        <v>222</v>
      </c>
      <c r="D742" s="192">
        <f t="shared" si="154"/>
        <v>5565</v>
      </c>
      <c r="E742" s="192">
        <f t="shared" si="155"/>
        <v>15555</v>
      </c>
      <c r="F742" s="192">
        <f t="shared" si="156"/>
        <v>0</v>
      </c>
      <c r="G742" s="193">
        <f t="shared" si="157"/>
        <v>21120</v>
      </c>
      <c r="H742" s="194">
        <v>2013</v>
      </c>
      <c r="I742" s="194">
        <v>6699</v>
      </c>
      <c r="J742" s="194">
        <v>0</v>
      </c>
      <c r="K742" s="193">
        <f t="shared" si="158"/>
        <v>8712</v>
      </c>
      <c r="L742" s="194">
        <v>3393</v>
      </c>
      <c r="M742" s="194">
        <v>8239</v>
      </c>
      <c r="N742" s="194">
        <v>0</v>
      </c>
      <c r="O742" s="193">
        <f t="shared" si="159"/>
        <v>11632</v>
      </c>
      <c r="P742" s="194">
        <v>159</v>
      </c>
      <c r="Q742" s="194">
        <v>617</v>
      </c>
      <c r="R742" s="194">
        <v>0</v>
      </c>
      <c r="S742" s="193">
        <f t="shared" si="160"/>
        <v>776</v>
      </c>
      <c r="T742" s="193">
        <f t="shared" si="161"/>
        <v>704</v>
      </c>
      <c r="U742" s="193">
        <f ca="1">OFFSET('Expenditure Study'!$B$7,'Operations Support'!$C742,'Operations Support'!$B742)*$G742</f>
        <v>28934.400000000001</v>
      </c>
      <c r="V742" s="199">
        <f ca="1">U742*'Expenditure Study'!$B$31</f>
        <v>1709536.38653952</v>
      </c>
      <c r="W742" s="199">
        <f ca="1">IF(A742=10298,1.51,1)*IF($B742&lt;3,$D742*'Expenditure Study'!$B$32*OFFSET('Expenditure Study'!$B$7,'Operations Support'!$C742,'Operations Support'!$B742),0)</f>
        <v>762.40500000000009</v>
      </c>
      <c r="X742" s="200">
        <f ca="1">W742*'Expenditure Study'!$B$31</f>
        <v>45045.312457824002</v>
      </c>
      <c r="Y742" s="199">
        <f ca="1">U742*'Expenditure Study'!$B$31</f>
        <v>1709536.38653952</v>
      </c>
      <c r="Z742" s="200">
        <f ca="1">W742*'Expenditure Study'!$B$31</f>
        <v>45045.312457824002</v>
      </c>
      <c r="AA742" s="195">
        <f t="shared" ca="1" si="162"/>
        <v>1754581.6989973439</v>
      </c>
      <c r="AB742" s="195">
        <f t="shared" ca="1" si="163"/>
        <v>1754581.6989973439</v>
      </c>
      <c r="AD742" s="196">
        <f>IFERROR($G742/SUMIF($A:$A,$A742,$G:$G)*SUMIF(Summary!$A$166:$A$242,$A742,Summary!$P$166:$P$242),0)</f>
        <v>562139.17737463885</v>
      </c>
      <c r="AE742" s="197">
        <f t="shared" ca="1" si="164"/>
        <v>1192442.521622705</v>
      </c>
      <c r="AF742" s="196">
        <f>IFERROR(G742/SUMIF(A:A,A742,G:G)*SUMIF(Summary!$A$166:$A$242,'Operations Support'!A742,Summary!$Q$166:$Q$242),0)</f>
        <v>563400.33684963721</v>
      </c>
      <c r="AG742" s="196">
        <f t="shared" ca="1" si="165"/>
        <v>1191181.3621477066</v>
      </c>
      <c r="AI742" s="196">
        <f>IFERROR($G742/SUMIF($A:$A,$A742,$G:$G)*SUMIF(Summary!$A$247:$A$283,$A742,Summary!$P$247:$P$283),0)</f>
        <v>102520.15792633276</v>
      </c>
      <c r="AJ742" s="196">
        <f>IFERROR($G742/SUMIF($A:$A,$A742,$G:$G)*(SUMIF(Summary!$A$247:$A$283,$A742,Summary!$L$247:$L$283)+SUMIF(Summary!$A$297:$A$333,$A742,Summary!$L$297:$L$333))-AI742,0)</f>
        <v>350355.73623172077</v>
      </c>
      <c r="AK742" s="196">
        <f>IFERROR($G742/SUMIF($A:$A,$A742,$G:$G)*SUMIF(Summary!$A$247:$A$283,$A742,Summary!$Q$247:$Q$283),0)</f>
        <v>102750.16194268857</v>
      </c>
      <c r="AL742" s="196">
        <f>IFERROR($G742/SUMIF($A:$A,$A742,$G:$G)*(SUMIF(Summary!$A$247:$A$283,$A742,Summary!$L$247:$L$283)+SUMIF(Summary!$A$297:$A$333,$A742,Summary!$L$297:$L$333))-AK742,0)</f>
        <v>350125.73221536499</v>
      </c>
      <c r="AM742" s="198"/>
      <c r="AN742" s="196">
        <f t="shared" ca="1" si="166"/>
        <v>1542798.2578544258</v>
      </c>
      <c r="AO742" s="196">
        <f t="shared" ca="1" si="167"/>
        <v>1541307.0943630715</v>
      </c>
    </row>
    <row r="743" spans="1:41">
      <c r="A743" s="189">
        <v>3606</v>
      </c>
      <c r="B743" s="203">
        <v>1</v>
      </c>
      <c r="C743" s="191" t="s">
        <v>223</v>
      </c>
      <c r="D743" s="192">
        <f t="shared" si="154"/>
        <v>1491</v>
      </c>
      <c r="E743" s="192">
        <f t="shared" si="155"/>
        <v>1820</v>
      </c>
      <c r="F743" s="192">
        <f t="shared" si="156"/>
        <v>0</v>
      </c>
      <c r="G743" s="193">
        <f t="shared" si="157"/>
        <v>3311</v>
      </c>
      <c r="H743" s="194">
        <v>689</v>
      </c>
      <c r="I743" s="194">
        <v>744</v>
      </c>
      <c r="J743" s="194">
        <v>0</v>
      </c>
      <c r="K743" s="193">
        <f t="shared" si="158"/>
        <v>1433</v>
      </c>
      <c r="L743" s="194">
        <v>579</v>
      </c>
      <c r="M743" s="194">
        <v>1052</v>
      </c>
      <c r="N743" s="194">
        <v>0</v>
      </c>
      <c r="O743" s="193">
        <f t="shared" si="159"/>
        <v>1631</v>
      </c>
      <c r="P743" s="194">
        <v>223</v>
      </c>
      <c r="Q743" s="194">
        <v>24</v>
      </c>
      <c r="R743" s="194">
        <v>0</v>
      </c>
      <c r="S743" s="193">
        <f t="shared" si="160"/>
        <v>247</v>
      </c>
      <c r="T743" s="193">
        <f t="shared" si="161"/>
        <v>110.36666666666666</v>
      </c>
      <c r="U743" s="193">
        <f ca="1">OFFSET('Expenditure Study'!$B$7,'Operations Support'!$C743,'Operations Support'!$B743)*$G743</f>
        <v>4171.8599999999997</v>
      </c>
      <c r="V743" s="199">
        <f ca="1">U743*'Expenditure Study'!$B$31</f>
        <v>246486.75865228797</v>
      </c>
      <c r="W743" s="199">
        <f ca="1">IF(A743=10298,1.51,1)*IF($B743&lt;3,$D743*'Expenditure Study'!$B$32*OFFSET('Expenditure Study'!$B$7,'Operations Support'!$C743,'Operations Support'!$B743),0)</f>
        <v>187.86599999999999</v>
      </c>
      <c r="X743" s="200">
        <f ca="1">W743*'Expenditure Study'!$B$31</f>
        <v>11099.7208441728</v>
      </c>
      <c r="Y743" s="199">
        <f ca="1">U743*'Expenditure Study'!$B$31</f>
        <v>246486.75865228797</v>
      </c>
      <c r="Z743" s="200">
        <f ca="1">W743*'Expenditure Study'!$B$31</f>
        <v>11099.7208441728</v>
      </c>
      <c r="AA743" s="195">
        <f t="shared" ca="1" si="162"/>
        <v>257586.47949646076</v>
      </c>
      <c r="AB743" s="195">
        <f t="shared" ca="1" si="163"/>
        <v>257586.47949646076</v>
      </c>
      <c r="AD743" s="196">
        <f>IFERROR($G743/SUMIF($A:$A,$A743,$G:$G)*SUMIF(Summary!$A$166:$A$242,$A743,Summary!$P$166:$P$242),0)</f>
        <v>88127.027286336597</v>
      </c>
      <c r="AE743" s="197">
        <f t="shared" ca="1" si="164"/>
        <v>169459.45221012417</v>
      </c>
      <c r="AF743" s="196">
        <f>IFERROR(G743/SUMIF(A:A,A743,G:G)*SUMIF(Summary!$A$166:$A$242,'Operations Support'!A743,Summary!$Q$166:$Q$242),0)</f>
        <v>88324.740308198321</v>
      </c>
      <c r="AG743" s="196">
        <f t="shared" ca="1" si="165"/>
        <v>169261.73918826244</v>
      </c>
      <c r="AI743" s="196">
        <f>IFERROR($G743/SUMIF($A:$A,$A743,$G:$G)*SUMIF(Summary!$A$247:$A$283,$A743,Summary!$P$247:$P$283),0)</f>
        <v>16072.170591576123</v>
      </c>
      <c r="AJ743" s="196">
        <f>IFERROR($G743/SUMIF($A:$A,$A743,$G:$G)*(SUMIF(Summary!$A$247:$A$283,$A743,Summary!$L$247:$L$283)+SUMIF(Summary!$A$297:$A$333,$A743,Summary!$L$297:$L$333))-AI743,0)</f>
        <v>54925.560732160389</v>
      </c>
      <c r="AK743" s="196">
        <f>IFERROR($G743/SUMIF($A:$A,$A743,$G:$G)*SUMIF(Summary!$A$247:$A$283,$A743,Summary!$Q$247:$Q$283),0)</f>
        <v>16108.228512890239</v>
      </c>
      <c r="AL743" s="196">
        <f>IFERROR($G743/SUMIF($A:$A,$A743,$G:$G)*(SUMIF(Summary!$A$247:$A$283,$A743,Summary!$L$247:$L$283)+SUMIF(Summary!$A$297:$A$333,$A743,Summary!$L$297:$L$333))-AK743,0)</f>
        <v>54889.502810846279</v>
      </c>
      <c r="AM743" s="198"/>
      <c r="AN743" s="196">
        <f t="shared" ca="1" si="166"/>
        <v>224385.01294228458</v>
      </c>
      <c r="AO743" s="196">
        <f t="shared" ca="1" si="167"/>
        <v>224151.24199910872</v>
      </c>
    </row>
    <row r="744" spans="1:41">
      <c r="A744" s="189">
        <v>3606</v>
      </c>
      <c r="B744" s="203">
        <v>1</v>
      </c>
      <c r="C744" s="191" t="s">
        <v>224</v>
      </c>
      <c r="D744" s="192">
        <f t="shared" si="154"/>
        <v>1829</v>
      </c>
      <c r="E744" s="192">
        <f t="shared" si="155"/>
        <v>4359</v>
      </c>
      <c r="F744" s="192">
        <f t="shared" si="156"/>
        <v>0</v>
      </c>
      <c r="G744" s="193">
        <f t="shared" si="157"/>
        <v>6188</v>
      </c>
      <c r="H744" s="194">
        <v>775</v>
      </c>
      <c r="I744" s="194">
        <v>1828</v>
      </c>
      <c r="J744" s="194">
        <v>0</v>
      </c>
      <c r="K744" s="193">
        <f t="shared" si="158"/>
        <v>2603</v>
      </c>
      <c r="L744" s="194">
        <v>1024</v>
      </c>
      <c r="M744" s="194">
        <v>2357</v>
      </c>
      <c r="N744" s="194">
        <v>0</v>
      </c>
      <c r="O744" s="193">
        <f t="shared" si="159"/>
        <v>3381</v>
      </c>
      <c r="P744" s="194">
        <v>30</v>
      </c>
      <c r="Q744" s="194">
        <v>174</v>
      </c>
      <c r="R744" s="194">
        <v>0</v>
      </c>
      <c r="S744" s="193">
        <f t="shared" si="160"/>
        <v>204</v>
      </c>
      <c r="T744" s="193">
        <f t="shared" si="161"/>
        <v>206.26666666666668</v>
      </c>
      <c r="U744" s="193">
        <f ca="1">OFFSET('Expenditure Study'!$B$7,'Operations Support'!$C744,'Operations Support'!$B744)*$G744</f>
        <v>9158.24</v>
      </c>
      <c r="V744" s="199">
        <f ca="1">U744*'Expenditure Study'!$B$31</f>
        <v>541097.94972979196</v>
      </c>
      <c r="W744" s="199">
        <f ca="1">IF(A744=10298,1.51,1)*IF($B744&lt;3,$D744*'Expenditure Study'!$B$32*OFFSET('Expenditure Study'!$B$7,'Operations Support'!$C744,'Operations Support'!$B744),0)</f>
        <v>270.69200000000001</v>
      </c>
      <c r="X744" s="200">
        <f ca="1">W744*'Expenditure Study'!$B$31</f>
        <v>15993.344377113601</v>
      </c>
      <c r="Y744" s="199">
        <f ca="1">U744*'Expenditure Study'!$B$31</f>
        <v>541097.94972979196</v>
      </c>
      <c r="Z744" s="200">
        <f ca="1">W744*'Expenditure Study'!$B$31</f>
        <v>15993.344377113601</v>
      </c>
      <c r="AA744" s="195">
        <f t="shared" ca="1" si="162"/>
        <v>557091.29410690558</v>
      </c>
      <c r="AB744" s="195">
        <f t="shared" ca="1" si="163"/>
        <v>557091.29410690558</v>
      </c>
      <c r="AD744" s="196">
        <f>IFERROR($G744/SUMIF($A:$A,$A744,$G:$G)*SUMIF(Summary!$A$166:$A$242,$A744,Summary!$P$166:$P$242),0)</f>
        <v>164702.52034063754</v>
      </c>
      <c r="AE744" s="197">
        <f t="shared" ca="1" si="164"/>
        <v>392388.77376626804</v>
      </c>
      <c r="AF744" s="196">
        <f>IFERROR(G744/SUMIF(A:A,A744,G:G)*SUMIF(Summary!$A$166:$A$242,'Operations Support'!A744,Summary!$Q$166:$Q$242),0)</f>
        <v>165072.0305125736</v>
      </c>
      <c r="AG744" s="196">
        <f t="shared" ca="1" si="165"/>
        <v>392019.26359433198</v>
      </c>
      <c r="AI744" s="196">
        <f>IFERROR($G744/SUMIF($A:$A,$A744,$G:$G)*SUMIF(Summary!$A$247:$A$283,$A744,Summary!$P$247:$P$283),0)</f>
        <v>30037.629604552414</v>
      </c>
      <c r="AJ744" s="196">
        <f>IFERROR($G744/SUMIF($A:$A,$A744,$G:$G)*(SUMIF(Summary!$A$247:$A$283,$A744,Summary!$L$247:$L$283)+SUMIF(Summary!$A$297:$A$333,$A744,Summary!$L$297:$L$333))-AI744,0)</f>
        <v>102651.57650577123</v>
      </c>
      <c r="AK744" s="196">
        <f>IFERROR($G744/SUMIF($A:$A,$A744,$G:$G)*SUMIF(Summary!$A$247:$A$283,$A744,Summary!$Q$247:$Q$283),0)</f>
        <v>30105.019038890001</v>
      </c>
      <c r="AL744" s="196">
        <f>IFERROR($G744/SUMIF($A:$A,$A744,$G:$G)*(SUMIF(Summary!$A$247:$A$283,$A744,Summary!$L$247:$L$283)+SUMIF(Summary!$A$297:$A$333,$A744,Summary!$L$297:$L$333))-AK744,0)</f>
        <v>102584.18707143364</v>
      </c>
      <c r="AM744" s="198"/>
      <c r="AN744" s="196">
        <f t="shared" ca="1" si="166"/>
        <v>495040.3502720393</v>
      </c>
      <c r="AO744" s="196">
        <f t="shared" ca="1" si="167"/>
        <v>494603.45066576562</v>
      </c>
    </row>
    <row r="745" spans="1:41">
      <c r="A745" s="189">
        <v>3606</v>
      </c>
      <c r="B745" s="203">
        <v>1</v>
      </c>
      <c r="C745" s="191" t="s">
        <v>225</v>
      </c>
      <c r="D745" s="192">
        <f t="shared" si="154"/>
        <v>2339</v>
      </c>
      <c r="E745" s="192">
        <f t="shared" si="155"/>
        <v>1549</v>
      </c>
      <c r="F745" s="192">
        <f t="shared" si="156"/>
        <v>0</v>
      </c>
      <c r="G745" s="193">
        <f t="shared" si="157"/>
        <v>3888</v>
      </c>
      <c r="H745" s="194">
        <v>1171</v>
      </c>
      <c r="I745" s="194">
        <v>710</v>
      </c>
      <c r="J745" s="194">
        <v>0</v>
      </c>
      <c r="K745" s="193">
        <f t="shared" si="158"/>
        <v>1881</v>
      </c>
      <c r="L745" s="194">
        <v>1113</v>
      </c>
      <c r="M745" s="194">
        <v>839</v>
      </c>
      <c r="N745" s="194">
        <v>0</v>
      </c>
      <c r="O745" s="193">
        <f t="shared" si="159"/>
        <v>1952</v>
      </c>
      <c r="P745" s="194">
        <v>55</v>
      </c>
      <c r="Q745" s="194">
        <v>0</v>
      </c>
      <c r="R745" s="194">
        <v>0</v>
      </c>
      <c r="S745" s="193">
        <f t="shared" si="160"/>
        <v>55</v>
      </c>
      <c r="T745" s="193">
        <f t="shared" si="161"/>
        <v>129.6</v>
      </c>
      <c r="U745" s="193">
        <f ca="1">OFFSET('Expenditure Study'!$B$7,'Operations Support'!$C745,'Operations Support'!$B745)*$G745</f>
        <v>6842.88</v>
      </c>
      <c r="V745" s="199">
        <f ca="1">U745*'Expenditure Study'!$B$31</f>
        <v>404299.11623270402</v>
      </c>
      <c r="W745" s="199">
        <f ca="1">IF(A745=10298,1.51,1)*IF($B745&lt;3,$D745*'Expenditure Study'!$B$32*OFFSET('Expenditure Study'!$B$7,'Operations Support'!$C745,'Operations Support'!$B745),0)</f>
        <v>411.66399999999999</v>
      </c>
      <c r="X745" s="200">
        <f ca="1">W745*'Expenditure Study'!$B$31</f>
        <v>24322.418540851198</v>
      </c>
      <c r="Y745" s="199">
        <f ca="1">U745*'Expenditure Study'!$B$31</f>
        <v>404299.11623270402</v>
      </c>
      <c r="Z745" s="200">
        <f ca="1">W745*'Expenditure Study'!$B$31</f>
        <v>24322.418540851198</v>
      </c>
      <c r="AA745" s="195">
        <f t="shared" ca="1" si="162"/>
        <v>428621.53477355524</v>
      </c>
      <c r="AB745" s="195">
        <f t="shared" ca="1" si="163"/>
        <v>428621.53477355524</v>
      </c>
      <c r="AD745" s="196">
        <f>IFERROR($G745/SUMIF($A:$A,$A745,$G:$G)*SUMIF(Summary!$A$166:$A$242,$A745,Summary!$P$166:$P$242),0)</f>
        <v>103484.71219851305</v>
      </c>
      <c r="AE745" s="197">
        <f t="shared" ca="1" si="164"/>
        <v>325136.8225750422</v>
      </c>
      <c r="AF745" s="196">
        <f>IFERROR(G745/SUMIF(A:A,A745,G:G)*SUMIF(Summary!$A$166:$A$242,'Operations Support'!A745,Summary!$Q$166:$Q$242),0)</f>
        <v>103716.88019277412</v>
      </c>
      <c r="AG745" s="196">
        <f t="shared" ca="1" si="165"/>
        <v>324904.65458078112</v>
      </c>
      <c r="AI745" s="196">
        <f>IFERROR($G745/SUMIF($A:$A,$A745,$G:$G)*SUMIF(Summary!$A$247:$A$283,$A745,Summary!$P$247:$P$283),0)</f>
        <v>18873.029072802165</v>
      </c>
      <c r="AJ745" s="196">
        <f>IFERROR($G745/SUMIF($A:$A,$A745,$G:$G)*(SUMIF(Summary!$A$247:$A$283,$A745,Summary!$L$247:$L$283)+SUMIF(Summary!$A$297:$A$333,$A745,Summary!$L$297:$L$333))-AI745,0)</f>
        <v>64497.305988112246</v>
      </c>
      <c r="AK745" s="196">
        <f>IFERROR($G745/SUMIF($A:$A,$A745,$G:$G)*SUMIF(Summary!$A$247:$A$283,$A745,Summary!$Q$247:$Q$283),0)</f>
        <v>18915.370721267667</v>
      </c>
      <c r="AL745" s="196">
        <f>IFERROR($G745/SUMIF($A:$A,$A745,$G:$G)*(SUMIF(Summary!$A$247:$A$283,$A745,Summary!$L$247:$L$283)+SUMIF(Summary!$A$297:$A$333,$A745,Summary!$L$297:$L$333))-AK745,0)</f>
        <v>64454.964339646744</v>
      </c>
      <c r="AM745" s="198"/>
      <c r="AN745" s="196">
        <f t="shared" ca="1" si="166"/>
        <v>389634.12856315443</v>
      </c>
      <c r="AO745" s="196">
        <f t="shared" ca="1" si="167"/>
        <v>389359.61892042786</v>
      </c>
    </row>
    <row r="746" spans="1:41">
      <c r="A746" s="189">
        <v>3606</v>
      </c>
      <c r="B746" s="203">
        <v>1</v>
      </c>
      <c r="C746" s="191" t="s">
        <v>226</v>
      </c>
      <c r="D746" s="192">
        <f t="shared" si="154"/>
        <v>1454</v>
      </c>
      <c r="E746" s="192">
        <f t="shared" si="155"/>
        <v>996</v>
      </c>
      <c r="F746" s="192">
        <f t="shared" si="156"/>
        <v>0</v>
      </c>
      <c r="G746" s="193">
        <f t="shared" si="157"/>
        <v>2450</v>
      </c>
      <c r="H746" s="194">
        <v>507</v>
      </c>
      <c r="I746" s="194">
        <v>594</v>
      </c>
      <c r="J746" s="194">
        <v>0</v>
      </c>
      <c r="K746" s="193">
        <f t="shared" si="158"/>
        <v>1101</v>
      </c>
      <c r="L746" s="194">
        <v>752</v>
      </c>
      <c r="M746" s="194">
        <v>345</v>
      </c>
      <c r="N746" s="194">
        <v>0</v>
      </c>
      <c r="O746" s="193">
        <f t="shared" si="159"/>
        <v>1097</v>
      </c>
      <c r="P746" s="194">
        <v>195</v>
      </c>
      <c r="Q746" s="194">
        <v>57</v>
      </c>
      <c r="R746" s="194">
        <v>0</v>
      </c>
      <c r="S746" s="193">
        <f t="shared" si="160"/>
        <v>252</v>
      </c>
      <c r="T746" s="193">
        <f t="shared" si="161"/>
        <v>81.666666666666671</v>
      </c>
      <c r="U746" s="193">
        <f ca="1">OFFSET('Expenditure Study'!$B$7,'Operations Support'!$C746,'Operations Support'!$B746)*$G746</f>
        <v>2327.5</v>
      </c>
      <c r="V746" s="199">
        <f ca="1">U746*'Expenditure Study'!$B$31</f>
        <v>137516.10331199999</v>
      </c>
      <c r="W746" s="199">
        <f ca="1">IF(A746=10298,1.51,1)*IF($B746&lt;3,$D746*'Expenditure Study'!$B$32*OFFSET('Expenditure Study'!$B$7,'Operations Support'!$C746,'Operations Support'!$B746),0)</f>
        <v>138.13</v>
      </c>
      <c r="X746" s="200">
        <f ca="1">W746*'Expenditure Study'!$B$31</f>
        <v>8161.1597639040001</v>
      </c>
      <c r="Y746" s="199">
        <f ca="1">U746*'Expenditure Study'!$B$31</f>
        <v>137516.10331199999</v>
      </c>
      <c r="Z746" s="200">
        <f ca="1">W746*'Expenditure Study'!$B$31</f>
        <v>8161.1597639040001</v>
      </c>
      <c r="AA746" s="195">
        <f t="shared" ca="1" si="162"/>
        <v>145677.26307590399</v>
      </c>
      <c r="AB746" s="195">
        <f t="shared" ca="1" si="163"/>
        <v>145677.26307590399</v>
      </c>
      <c r="AD746" s="196">
        <f>IFERROR($G746/SUMIF($A:$A,$A746,$G:$G)*SUMIF(Summary!$A$166:$A$242,$A746,Summary!$P$166:$P$242),0)</f>
        <v>65210.273890523917</v>
      </c>
      <c r="AE746" s="197">
        <f t="shared" ca="1" si="164"/>
        <v>80466.98918538008</v>
      </c>
      <c r="AF746" s="196">
        <f>IFERROR(G746/SUMIF(A:A,A746,G:G)*SUMIF(Summary!$A$166:$A$242,'Operations Support'!A746,Summary!$Q$166:$Q$242),0)</f>
        <v>65356.57316674295</v>
      </c>
      <c r="AG746" s="196">
        <f t="shared" ca="1" si="165"/>
        <v>80320.689909161039</v>
      </c>
      <c r="AI746" s="196">
        <f>IFERROR($G746/SUMIF($A:$A,$A746,$G:$G)*SUMIF(Summary!$A$247:$A$283,$A746,Summary!$P$247:$P$283),0)</f>
        <v>11892.726653386138</v>
      </c>
      <c r="AJ746" s="196">
        <f>IFERROR($G746/SUMIF($A:$A,$A746,$G:$G)*(SUMIF(Summary!$A$247:$A$283,$A746,Summary!$L$247:$L$283)+SUMIF(Summary!$A$297:$A$333,$A746,Summary!$L$297:$L$333))-AI746,0)</f>
        <v>40642.592507941095</v>
      </c>
      <c r="AK746" s="196">
        <f>IFERROR($G746/SUMIF($A:$A,$A746,$G:$G)*SUMIF(Summary!$A$247:$A$283,$A746,Summary!$Q$247:$Q$283),0)</f>
        <v>11919.407990510748</v>
      </c>
      <c r="AL746" s="196">
        <f>IFERROR($G746/SUMIF($A:$A,$A746,$G:$G)*(SUMIF(Summary!$A$247:$A$283,$A746,Summary!$L$247:$L$283)+SUMIF(Summary!$A$297:$A$333,$A746,Summary!$L$297:$L$333))-AK746,0)</f>
        <v>40615.911170816486</v>
      </c>
      <c r="AM746" s="198"/>
      <c r="AN746" s="196">
        <f t="shared" ca="1" si="166"/>
        <v>121109.58169332118</v>
      </c>
      <c r="AO746" s="196">
        <f t="shared" ca="1" si="167"/>
        <v>120936.60107997752</v>
      </c>
    </row>
    <row r="747" spans="1:41">
      <c r="A747" s="189">
        <v>3606</v>
      </c>
      <c r="B747" s="203">
        <v>1</v>
      </c>
      <c r="C747" s="191" t="s">
        <v>227</v>
      </c>
      <c r="D747" s="192">
        <f t="shared" si="154"/>
        <v>0</v>
      </c>
      <c r="E747" s="192">
        <f t="shared" si="155"/>
        <v>0</v>
      </c>
      <c r="F747" s="192">
        <f t="shared" si="156"/>
        <v>0</v>
      </c>
      <c r="G747" s="193">
        <f t="shared" si="157"/>
        <v>0</v>
      </c>
      <c r="H747" s="194">
        <v>0</v>
      </c>
      <c r="I747" s="194">
        <v>0</v>
      </c>
      <c r="J747" s="194">
        <v>0</v>
      </c>
      <c r="K747" s="193">
        <f t="shared" si="158"/>
        <v>0</v>
      </c>
      <c r="L747" s="194">
        <v>0</v>
      </c>
      <c r="M747" s="194">
        <v>0</v>
      </c>
      <c r="N747" s="194">
        <v>0</v>
      </c>
      <c r="O747" s="193">
        <f t="shared" si="159"/>
        <v>0</v>
      </c>
      <c r="P747" s="194">
        <v>0</v>
      </c>
      <c r="Q747" s="194">
        <v>0</v>
      </c>
      <c r="R747" s="194">
        <v>0</v>
      </c>
      <c r="S747" s="193">
        <f t="shared" si="160"/>
        <v>0</v>
      </c>
      <c r="T747" s="193">
        <f t="shared" si="161"/>
        <v>0</v>
      </c>
      <c r="U747" s="193">
        <f ca="1">OFFSET('Expenditure Study'!$B$7,'Operations Support'!$C747,'Operations Support'!$B747)*$G747</f>
        <v>0</v>
      </c>
      <c r="V747" s="199">
        <f ca="1">U747*'Expenditure Study'!$B$31</f>
        <v>0</v>
      </c>
      <c r="W747" s="199">
        <f ca="1">IF(A747=10298,1.51,1)*IF($B747&lt;3,$D747*'Expenditure Study'!$B$32*OFFSET('Expenditure Study'!$B$7,'Operations Support'!$C747,'Operations Support'!$B747),0)</f>
        <v>0</v>
      </c>
      <c r="X747" s="200">
        <f ca="1">W747*'Expenditure Study'!$B$31</f>
        <v>0</v>
      </c>
      <c r="Y747" s="199">
        <f ca="1">U747*'Expenditure Study'!$B$31</f>
        <v>0</v>
      </c>
      <c r="Z747" s="200">
        <f ca="1">W747*'Expenditure Study'!$B$31</f>
        <v>0</v>
      </c>
      <c r="AA747" s="195">
        <f t="shared" ca="1" si="162"/>
        <v>0</v>
      </c>
      <c r="AB747" s="195">
        <f t="shared" ca="1" si="163"/>
        <v>0</v>
      </c>
      <c r="AD747" s="196">
        <f>IFERROR($G747/SUMIF($A:$A,$A747,$G:$G)*SUMIF(Summary!$A$166:$A$242,$A747,Summary!$P$166:$P$242),0)</f>
        <v>0</v>
      </c>
      <c r="AE747" s="197">
        <f t="shared" ca="1" si="164"/>
        <v>0</v>
      </c>
      <c r="AF747" s="196">
        <f>IFERROR(G747/SUMIF(A:A,A747,G:G)*SUMIF(Summary!$A$166:$A$242,'Operations Support'!A747,Summary!$Q$166:$Q$242),0)</f>
        <v>0</v>
      </c>
      <c r="AG747" s="196">
        <f t="shared" ca="1" si="165"/>
        <v>0</v>
      </c>
      <c r="AI747" s="196">
        <f>IFERROR($G747/SUMIF($A:$A,$A747,$G:$G)*SUMIF(Summary!$A$247:$A$283,$A747,Summary!$P$247:$P$283),0)</f>
        <v>0</v>
      </c>
      <c r="AJ747" s="196">
        <f>IFERROR($G747/SUMIF($A:$A,$A747,$G:$G)*(SUMIF(Summary!$A$247:$A$283,$A747,Summary!$L$247:$L$283)+SUMIF(Summary!$A$297:$A$333,$A747,Summary!$L$297:$L$333))-AI747,0)</f>
        <v>0</v>
      </c>
      <c r="AK747" s="196">
        <f>IFERROR($G747/SUMIF($A:$A,$A747,$G:$G)*SUMIF(Summary!$A$247:$A$283,$A747,Summary!$Q$247:$Q$283),0)</f>
        <v>0</v>
      </c>
      <c r="AL747" s="196">
        <f>IFERROR($G747/SUMIF($A:$A,$A747,$G:$G)*(SUMIF(Summary!$A$247:$A$283,$A747,Summary!$L$247:$L$283)+SUMIF(Summary!$A$297:$A$333,$A747,Summary!$L$297:$L$333))-AK747,0)</f>
        <v>0</v>
      </c>
      <c r="AM747" s="198"/>
      <c r="AN747" s="196">
        <f t="shared" ca="1" si="166"/>
        <v>0</v>
      </c>
      <c r="AO747" s="196">
        <f t="shared" ca="1" si="167"/>
        <v>0</v>
      </c>
    </row>
    <row r="748" spans="1:41">
      <c r="A748" s="189">
        <v>3606</v>
      </c>
      <c r="B748" s="203">
        <v>1</v>
      </c>
      <c r="C748" s="191" t="s">
        <v>228</v>
      </c>
      <c r="D748" s="192">
        <f t="shared" si="154"/>
        <v>0</v>
      </c>
      <c r="E748" s="192">
        <f t="shared" si="155"/>
        <v>0</v>
      </c>
      <c r="F748" s="192">
        <f t="shared" si="156"/>
        <v>0</v>
      </c>
      <c r="G748" s="193">
        <f t="shared" si="157"/>
        <v>0</v>
      </c>
      <c r="H748" s="194">
        <v>0</v>
      </c>
      <c r="I748" s="194">
        <v>0</v>
      </c>
      <c r="J748" s="194">
        <v>0</v>
      </c>
      <c r="K748" s="193">
        <f t="shared" si="158"/>
        <v>0</v>
      </c>
      <c r="L748" s="194">
        <v>0</v>
      </c>
      <c r="M748" s="194">
        <v>0</v>
      </c>
      <c r="N748" s="194">
        <v>0</v>
      </c>
      <c r="O748" s="193">
        <f t="shared" si="159"/>
        <v>0</v>
      </c>
      <c r="P748" s="194">
        <v>0</v>
      </c>
      <c r="Q748" s="194">
        <v>0</v>
      </c>
      <c r="R748" s="194">
        <v>0</v>
      </c>
      <c r="S748" s="193">
        <f t="shared" si="160"/>
        <v>0</v>
      </c>
      <c r="T748" s="193">
        <f t="shared" si="161"/>
        <v>0</v>
      </c>
      <c r="U748" s="193">
        <f ca="1">OFFSET('Expenditure Study'!$B$7,'Operations Support'!$C748,'Operations Support'!$B748)*$G748</f>
        <v>0</v>
      </c>
      <c r="V748" s="199">
        <f ca="1">U748*'Expenditure Study'!$B$31</f>
        <v>0</v>
      </c>
      <c r="W748" s="199">
        <f ca="1">IF(A748=10298,1.51,1)*IF($B748&lt;3,$D748*'Expenditure Study'!$B$32*OFFSET('Expenditure Study'!$B$7,'Operations Support'!$C748,'Operations Support'!$B748),0)</f>
        <v>0</v>
      </c>
      <c r="X748" s="200">
        <f ca="1">W748*'Expenditure Study'!$B$31</f>
        <v>0</v>
      </c>
      <c r="Y748" s="199">
        <f ca="1">U748*'Expenditure Study'!$B$31</f>
        <v>0</v>
      </c>
      <c r="Z748" s="200">
        <f ca="1">W748*'Expenditure Study'!$B$31</f>
        <v>0</v>
      </c>
      <c r="AA748" s="195">
        <f t="shared" ca="1" si="162"/>
        <v>0</v>
      </c>
      <c r="AB748" s="195">
        <f t="shared" ca="1" si="163"/>
        <v>0</v>
      </c>
      <c r="AD748" s="196">
        <f>IFERROR($G748/SUMIF($A:$A,$A748,$G:$G)*SUMIF(Summary!$A$166:$A$242,$A748,Summary!$P$166:$P$242),0)</f>
        <v>0</v>
      </c>
      <c r="AE748" s="197">
        <f t="shared" ca="1" si="164"/>
        <v>0</v>
      </c>
      <c r="AF748" s="196">
        <f>IFERROR(G748/SUMIF(A:A,A748,G:G)*SUMIF(Summary!$A$166:$A$242,'Operations Support'!A748,Summary!$Q$166:$Q$242),0)</f>
        <v>0</v>
      </c>
      <c r="AG748" s="196">
        <f t="shared" ca="1" si="165"/>
        <v>0</v>
      </c>
      <c r="AI748" s="196">
        <f>IFERROR($G748/SUMIF($A:$A,$A748,$G:$G)*SUMIF(Summary!$A$247:$A$283,$A748,Summary!$P$247:$P$283),0)</f>
        <v>0</v>
      </c>
      <c r="AJ748" s="196">
        <f>IFERROR($G748/SUMIF($A:$A,$A748,$G:$G)*(SUMIF(Summary!$A$247:$A$283,$A748,Summary!$L$247:$L$283)+SUMIF(Summary!$A$297:$A$333,$A748,Summary!$L$297:$L$333))-AI748,0)</f>
        <v>0</v>
      </c>
      <c r="AK748" s="196">
        <f>IFERROR($G748/SUMIF($A:$A,$A748,$G:$G)*SUMIF(Summary!$A$247:$A$283,$A748,Summary!$Q$247:$Q$283),0)</f>
        <v>0</v>
      </c>
      <c r="AL748" s="196">
        <f>IFERROR($G748/SUMIF($A:$A,$A748,$G:$G)*(SUMIF(Summary!$A$247:$A$283,$A748,Summary!$L$247:$L$283)+SUMIF(Summary!$A$297:$A$333,$A748,Summary!$L$297:$L$333))-AK748,0)</f>
        <v>0</v>
      </c>
      <c r="AM748" s="198"/>
      <c r="AN748" s="196">
        <f t="shared" ca="1" si="166"/>
        <v>0</v>
      </c>
      <c r="AO748" s="196">
        <f t="shared" ca="1" si="167"/>
        <v>0</v>
      </c>
    </row>
    <row r="749" spans="1:41">
      <c r="A749" s="189">
        <v>3606</v>
      </c>
      <c r="B749" s="203">
        <v>1</v>
      </c>
      <c r="C749" s="191" t="s">
        <v>229</v>
      </c>
      <c r="D749" s="192">
        <f t="shared" si="154"/>
        <v>243</v>
      </c>
      <c r="E749" s="192">
        <f t="shared" si="155"/>
        <v>81</v>
      </c>
      <c r="F749" s="192">
        <f t="shared" si="156"/>
        <v>0</v>
      </c>
      <c r="G749" s="193">
        <f t="shared" si="157"/>
        <v>324</v>
      </c>
      <c r="H749" s="194">
        <v>88</v>
      </c>
      <c r="I749" s="194">
        <v>23</v>
      </c>
      <c r="J749" s="194">
        <v>0</v>
      </c>
      <c r="K749" s="193">
        <f t="shared" si="158"/>
        <v>111</v>
      </c>
      <c r="L749" s="194">
        <v>112</v>
      </c>
      <c r="M749" s="194">
        <v>43</v>
      </c>
      <c r="N749" s="194">
        <v>0</v>
      </c>
      <c r="O749" s="193">
        <f t="shared" si="159"/>
        <v>155</v>
      </c>
      <c r="P749" s="194">
        <v>43</v>
      </c>
      <c r="Q749" s="194">
        <v>15</v>
      </c>
      <c r="R749" s="194">
        <v>0</v>
      </c>
      <c r="S749" s="193">
        <f t="shared" si="160"/>
        <v>58</v>
      </c>
      <c r="T749" s="193">
        <f t="shared" si="161"/>
        <v>10.8</v>
      </c>
      <c r="U749" s="193">
        <f ca="1">OFFSET('Expenditure Study'!$B$7,'Operations Support'!$C749,'Operations Support'!$B749)*$G749</f>
        <v>1078.92</v>
      </c>
      <c r="V749" s="199">
        <f ca="1">U749*'Expenditure Study'!$B$31</f>
        <v>63746.025428736008</v>
      </c>
      <c r="W749" s="199">
        <f ca="1">IF(A749=10298,1.51,1)*IF($B749&lt;3,$D749*'Expenditure Study'!$B$32*OFFSET('Expenditure Study'!$B$7,'Operations Support'!$C749,'Operations Support'!$B749),0)</f>
        <v>80.919000000000011</v>
      </c>
      <c r="X749" s="200">
        <f ca="1">W749*'Expenditure Study'!$B$31</f>
        <v>4780.9519071552004</v>
      </c>
      <c r="Y749" s="199">
        <f ca="1">U749*'Expenditure Study'!$B$31</f>
        <v>63746.025428736008</v>
      </c>
      <c r="Z749" s="200">
        <f ca="1">W749*'Expenditure Study'!$B$31</f>
        <v>4780.9519071552004</v>
      </c>
      <c r="AA749" s="195">
        <f t="shared" ca="1" si="162"/>
        <v>68526.977335891206</v>
      </c>
      <c r="AB749" s="195">
        <f t="shared" ca="1" si="163"/>
        <v>68526.977335891206</v>
      </c>
      <c r="AD749" s="196">
        <f>IFERROR($G749/SUMIF($A:$A,$A749,$G:$G)*SUMIF(Summary!$A$166:$A$242,$A749,Summary!$P$166:$P$242),0)</f>
        <v>8623.7260165427542</v>
      </c>
      <c r="AE749" s="197">
        <f t="shared" ca="1" si="164"/>
        <v>59903.251319348448</v>
      </c>
      <c r="AF749" s="196">
        <f>IFERROR(G749/SUMIF(A:A,A749,G:G)*SUMIF(Summary!$A$166:$A$242,'Operations Support'!A749,Summary!$Q$166:$Q$242),0)</f>
        <v>8643.0733493978423</v>
      </c>
      <c r="AG749" s="196">
        <f t="shared" ca="1" si="165"/>
        <v>59883.903986493366</v>
      </c>
      <c r="AI749" s="196">
        <f>IFERROR($G749/SUMIF($A:$A,$A749,$G:$G)*SUMIF(Summary!$A$247:$A$283,$A749,Summary!$P$247:$P$283),0)</f>
        <v>1572.7524227335139</v>
      </c>
      <c r="AJ749" s="196">
        <f>IFERROR($G749/SUMIF($A:$A,$A749,$G:$G)*(SUMIF(Summary!$A$247:$A$283,$A749,Summary!$L$247:$L$283)+SUMIF(Summary!$A$297:$A$333,$A749,Summary!$L$297:$L$333))-AI749,0)</f>
        <v>5374.7754990093526</v>
      </c>
      <c r="AK749" s="196">
        <f>IFERROR($G749/SUMIF($A:$A,$A749,$G:$G)*SUMIF(Summary!$A$247:$A$283,$A749,Summary!$Q$247:$Q$283),0)</f>
        <v>1576.2808934389725</v>
      </c>
      <c r="AL749" s="196">
        <f>IFERROR($G749/SUMIF($A:$A,$A749,$G:$G)*(SUMIF(Summary!$A$247:$A$283,$A749,Summary!$L$247:$L$283)+SUMIF(Summary!$A$297:$A$333,$A749,Summary!$L$297:$L$333))-AK749,0)</f>
        <v>5371.2470283038947</v>
      </c>
      <c r="AM749" s="198"/>
      <c r="AN749" s="196">
        <f t="shared" ca="1" si="166"/>
        <v>65278.026818357801</v>
      </c>
      <c r="AO749" s="196">
        <f t="shared" ca="1" si="167"/>
        <v>65255.151014797259</v>
      </c>
    </row>
    <row r="750" spans="1:41">
      <c r="A750" s="189">
        <v>3606</v>
      </c>
      <c r="B750" s="203">
        <v>1</v>
      </c>
      <c r="C750" s="191" t="s">
        <v>230</v>
      </c>
      <c r="D750" s="192">
        <f t="shared" si="154"/>
        <v>0</v>
      </c>
      <c r="E750" s="192">
        <f t="shared" si="155"/>
        <v>0</v>
      </c>
      <c r="F750" s="192">
        <f t="shared" si="156"/>
        <v>0</v>
      </c>
      <c r="G750" s="193">
        <f t="shared" si="157"/>
        <v>0</v>
      </c>
      <c r="H750" s="194">
        <v>0</v>
      </c>
      <c r="I750" s="194">
        <v>0</v>
      </c>
      <c r="J750" s="194">
        <v>0</v>
      </c>
      <c r="K750" s="193">
        <f t="shared" si="158"/>
        <v>0</v>
      </c>
      <c r="L750" s="194">
        <v>0</v>
      </c>
      <c r="M750" s="194">
        <v>0</v>
      </c>
      <c r="N750" s="194">
        <v>0</v>
      </c>
      <c r="O750" s="193">
        <f t="shared" si="159"/>
        <v>0</v>
      </c>
      <c r="P750" s="194">
        <v>0</v>
      </c>
      <c r="Q750" s="194">
        <v>0</v>
      </c>
      <c r="R750" s="194">
        <v>0</v>
      </c>
      <c r="S750" s="193">
        <f t="shared" si="160"/>
        <v>0</v>
      </c>
      <c r="T750" s="193">
        <f t="shared" si="161"/>
        <v>0</v>
      </c>
      <c r="U750" s="193">
        <f ca="1">OFFSET('Expenditure Study'!$B$7,'Operations Support'!$C750,'Operations Support'!$B750)*$G750</f>
        <v>0</v>
      </c>
      <c r="V750" s="199">
        <f ca="1">U750*'Expenditure Study'!$B$31</f>
        <v>0</v>
      </c>
      <c r="W750" s="199">
        <f ca="1">IF(A750=10298,1.51,1)*IF($B750&lt;3,$D750*'Expenditure Study'!$B$32*OFFSET('Expenditure Study'!$B$7,'Operations Support'!$C750,'Operations Support'!$B750),0)</f>
        <v>0</v>
      </c>
      <c r="X750" s="200">
        <f ca="1">W750*'Expenditure Study'!$B$31</f>
        <v>0</v>
      </c>
      <c r="Y750" s="199">
        <f ca="1">U750*'Expenditure Study'!$B$31</f>
        <v>0</v>
      </c>
      <c r="Z750" s="200">
        <f ca="1">W750*'Expenditure Study'!$B$31</f>
        <v>0</v>
      </c>
      <c r="AA750" s="195">
        <f t="shared" ca="1" si="162"/>
        <v>0</v>
      </c>
      <c r="AB750" s="195">
        <f t="shared" ca="1" si="163"/>
        <v>0</v>
      </c>
      <c r="AD750" s="196">
        <f>IFERROR($G750/SUMIF($A:$A,$A750,$G:$G)*SUMIF(Summary!$A$166:$A$242,$A750,Summary!$P$166:$P$242),0)</f>
        <v>0</v>
      </c>
      <c r="AE750" s="197">
        <f t="shared" ca="1" si="164"/>
        <v>0</v>
      </c>
      <c r="AF750" s="196">
        <f>IFERROR(G750/SUMIF(A:A,A750,G:G)*SUMIF(Summary!$A$166:$A$242,'Operations Support'!A750,Summary!$Q$166:$Q$242),0)</f>
        <v>0</v>
      </c>
      <c r="AG750" s="196">
        <f t="shared" ca="1" si="165"/>
        <v>0</v>
      </c>
      <c r="AI750" s="196">
        <f>IFERROR($G750/SUMIF($A:$A,$A750,$G:$G)*SUMIF(Summary!$A$247:$A$283,$A750,Summary!$P$247:$P$283),0)</f>
        <v>0</v>
      </c>
      <c r="AJ750" s="196">
        <f>IFERROR($G750/SUMIF($A:$A,$A750,$G:$G)*(SUMIF(Summary!$A$247:$A$283,$A750,Summary!$L$247:$L$283)+SUMIF(Summary!$A$297:$A$333,$A750,Summary!$L$297:$L$333))-AI750,0)</f>
        <v>0</v>
      </c>
      <c r="AK750" s="196">
        <f>IFERROR($G750/SUMIF($A:$A,$A750,$G:$G)*SUMIF(Summary!$A$247:$A$283,$A750,Summary!$Q$247:$Q$283),0)</f>
        <v>0</v>
      </c>
      <c r="AL750" s="196">
        <f>IFERROR($G750/SUMIF($A:$A,$A750,$G:$G)*(SUMIF(Summary!$A$247:$A$283,$A750,Summary!$L$247:$L$283)+SUMIF(Summary!$A$297:$A$333,$A750,Summary!$L$297:$L$333))-AK750,0)</f>
        <v>0</v>
      </c>
      <c r="AM750" s="198"/>
      <c r="AN750" s="196">
        <f t="shared" ca="1" si="166"/>
        <v>0</v>
      </c>
      <c r="AO750" s="196">
        <f t="shared" ca="1" si="167"/>
        <v>0</v>
      </c>
    </row>
    <row r="751" spans="1:41">
      <c r="A751" s="189">
        <v>3606</v>
      </c>
      <c r="B751" s="203">
        <v>1</v>
      </c>
      <c r="C751" s="191" t="s">
        <v>231</v>
      </c>
      <c r="D751" s="192">
        <f t="shared" si="154"/>
        <v>0</v>
      </c>
      <c r="E751" s="192">
        <f t="shared" si="155"/>
        <v>96</v>
      </c>
      <c r="F751" s="192">
        <f t="shared" si="156"/>
        <v>0</v>
      </c>
      <c r="G751" s="193">
        <f t="shared" si="157"/>
        <v>96</v>
      </c>
      <c r="H751" s="194">
        <v>0</v>
      </c>
      <c r="I751" s="194">
        <v>3</v>
      </c>
      <c r="J751" s="194">
        <v>0</v>
      </c>
      <c r="K751" s="193">
        <f t="shared" si="158"/>
        <v>3</v>
      </c>
      <c r="L751" s="194">
        <v>0</v>
      </c>
      <c r="M751" s="194">
        <v>93</v>
      </c>
      <c r="N751" s="194">
        <v>0</v>
      </c>
      <c r="O751" s="193">
        <f t="shared" si="159"/>
        <v>93</v>
      </c>
      <c r="P751" s="194">
        <v>0</v>
      </c>
      <c r="Q751" s="194">
        <v>0</v>
      </c>
      <c r="R751" s="194">
        <v>0</v>
      </c>
      <c r="S751" s="193">
        <f t="shared" si="160"/>
        <v>0</v>
      </c>
      <c r="T751" s="193">
        <f t="shared" si="161"/>
        <v>3.2</v>
      </c>
      <c r="U751" s="193">
        <f ca="1">OFFSET('Expenditure Study'!$B$7,'Operations Support'!$C751,'Operations Support'!$B751)*$G751</f>
        <v>145.92000000000002</v>
      </c>
      <c r="V751" s="199">
        <f ca="1">U751*'Expenditure Study'!$B$31</f>
        <v>8621.4177423360015</v>
      </c>
      <c r="W751" s="199">
        <f ca="1">IF(A751=10298,1.51,1)*IF($B751&lt;3,$D751*'Expenditure Study'!$B$32*OFFSET('Expenditure Study'!$B$7,'Operations Support'!$C751,'Operations Support'!$B751),0)</f>
        <v>0</v>
      </c>
      <c r="X751" s="200">
        <f ca="1">W751*'Expenditure Study'!$B$31</f>
        <v>0</v>
      </c>
      <c r="Y751" s="199">
        <f ca="1">U751*'Expenditure Study'!$B$31</f>
        <v>8621.4177423360015</v>
      </c>
      <c r="Z751" s="200">
        <f ca="1">W751*'Expenditure Study'!$B$31</f>
        <v>0</v>
      </c>
      <c r="AA751" s="195">
        <f t="shared" ca="1" si="162"/>
        <v>8621.4177423360015</v>
      </c>
      <c r="AB751" s="195">
        <f t="shared" ca="1" si="163"/>
        <v>8621.4177423360015</v>
      </c>
      <c r="AD751" s="196">
        <f>IFERROR($G751/SUMIF($A:$A,$A751,$G:$G)*SUMIF(Summary!$A$166:$A$242,$A751,Summary!$P$166:$P$242),0)</f>
        <v>2555.1780789756308</v>
      </c>
      <c r="AE751" s="197">
        <f t="shared" ca="1" si="164"/>
        <v>6066.2396633603712</v>
      </c>
      <c r="AF751" s="196">
        <f>IFERROR(G751/SUMIF(A:A,A751,G:G)*SUMIF(Summary!$A$166:$A$242,'Operations Support'!A751,Summary!$Q$166:$Q$242),0)</f>
        <v>2560.9106220438052</v>
      </c>
      <c r="AG751" s="196">
        <f t="shared" ca="1" si="165"/>
        <v>6060.5071202921963</v>
      </c>
      <c r="AI751" s="196">
        <f>IFERROR($G751/SUMIF($A:$A,$A751,$G:$G)*SUMIF(Summary!$A$247:$A$283,$A751,Summary!$P$247:$P$283),0)</f>
        <v>466.00071784696701</v>
      </c>
      <c r="AJ751" s="196">
        <f>IFERROR($G751/SUMIF($A:$A,$A751,$G:$G)*(SUMIF(Summary!$A$247:$A$283,$A751,Summary!$L$247:$L$283)+SUMIF(Summary!$A$297:$A$333,$A751,Summary!$L$297:$L$333))-AI751,0)</f>
        <v>1592.526073780549</v>
      </c>
      <c r="AK751" s="196">
        <f>IFERROR($G751/SUMIF($A:$A,$A751,$G:$G)*SUMIF(Summary!$A$247:$A$283,$A751,Summary!$Q$247:$Q$283),0)</f>
        <v>467.0461906485844</v>
      </c>
      <c r="AL751" s="196">
        <f>IFERROR($G751/SUMIF($A:$A,$A751,$G:$G)*(SUMIF(Summary!$A$247:$A$283,$A751,Summary!$L$247:$L$283)+SUMIF(Summary!$A$297:$A$333,$A751,Summary!$L$297:$L$333))-AK751,0)</f>
        <v>1591.4806009789318</v>
      </c>
      <c r="AM751" s="198"/>
      <c r="AN751" s="196">
        <f t="shared" ca="1" si="166"/>
        <v>7658.7657371409205</v>
      </c>
      <c r="AO751" s="196">
        <f t="shared" ca="1" si="167"/>
        <v>7651.9877212711281</v>
      </c>
    </row>
    <row r="752" spans="1:41">
      <c r="A752" s="189">
        <v>3606</v>
      </c>
      <c r="B752" s="203">
        <v>1</v>
      </c>
      <c r="C752" s="191" t="s">
        <v>232</v>
      </c>
      <c r="D752" s="192">
        <f t="shared" si="154"/>
        <v>0</v>
      </c>
      <c r="E752" s="192">
        <f t="shared" si="155"/>
        <v>0</v>
      </c>
      <c r="F752" s="192">
        <f t="shared" si="156"/>
        <v>0</v>
      </c>
      <c r="G752" s="193">
        <f t="shared" si="157"/>
        <v>0</v>
      </c>
      <c r="H752" s="194">
        <v>0</v>
      </c>
      <c r="I752" s="194">
        <v>0</v>
      </c>
      <c r="J752" s="194">
        <v>0</v>
      </c>
      <c r="K752" s="193">
        <f t="shared" si="158"/>
        <v>0</v>
      </c>
      <c r="L752" s="194">
        <v>0</v>
      </c>
      <c r="M752" s="194">
        <v>0</v>
      </c>
      <c r="N752" s="194">
        <v>0</v>
      </c>
      <c r="O752" s="193">
        <f t="shared" si="159"/>
        <v>0</v>
      </c>
      <c r="P752" s="194">
        <v>0</v>
      </c>
      <c r="Q752" s="194">
        <v>0</v>
      </c>
      <c r="R752" s="194">
        <v>0</v>
      </c>
      <c r="S752" s="193">
        <f t="shared" si="160"/>
        <v>0</v>
      </c>
      <c r="T752" s="193">
        <f t="shared" si="161"/>
        <v>0</v>
      </c>
      <c r="U752" s="193">
        <f ca="1">OFFSET('Expenditure Study'!$B$7,'Operations Support'!$C752,'Operations Support'!$B752)*$G752</f>
        <v>0</v>
      </c>
      <c r="V752" s="199">
        <f ca="1">U752*'Expenditure Study'!$B$31</f>
        <v>0</v>
      </c>
      <c r="W752" s="199">
        <f ca="1">IF(A752=10298,1.51,1)*IF($B752&lt;3,$D752*'Expenditure Study'!$B$32*OFFSET('Expenditure Study'!$B$7,'Operations Support'!$C752,'Operations Support'!$B752),0)</f>
        <v>0</v>
      </c>
      <c r="X752" s="200">
        <f ca="1">W752*'Expenditure Study'!$B$31</f>
        <v>0</v>
      </c>
      <c r="Y752" s="199">
        <f ca="1">U752*'Expenditure Study'!$B$31</f>
        <v>0</v>
      </c>
      <c r="Z752" s="200">
        <f ca="1">W752*'Expenditure Study'!$B$31</f>
        <v>0</v>
      </c>
      <c r="AA752" s="195">
        <f t="shared" ca="1" si="162"/>
        <v>0</v>
      </c>
      <c r="AB752" s="195">
        <f t="shared" ca="1" si="163"/>
        <v>0</v>
      </c>
      <c r="AD752" s="196">
        <f>IFERROR($G752/SUMIF($A:$A,$A752,$G:$G)*SUMIF(Summary!$A$166:$A$242,$A752,Summary!$P$166:$P$242),0)</f>
        <v>0</v>
      </c>
      <c r="AE752" s="197">
        <f t="shared" ca="1" si="164"/>
        <v>0</v>
      </c>
      <c r="AF752" s="196">
        <f>IFERROR(G752/SUMIF(A:A,A752,G:G)*SUMIF(Summary!$A$166:$A$242,'Operations Support'!A752,Summary!$Q$166:$Q$242),0)</f>
        <v>0</v>
      </c>
      <c r="AG752" s="196">
        <f t="shared" ca="1" si="165"/>
        <v>0</v>
      </c>
      <c r="AI752" s="196">
        <f>IFERROR($G752/SUMIF($A:$A,$A752,$G:$G)*SUMIF(Summary!$A$247:$A$283,$A752,Summary!$P$247:$P$283),0)</f>
        <v>0</v>
      </c>
      <c r="AJ752" s="196">
        <f>IFERROR($G752/SUMIF($A:$A,$A752,$G:$G)*(SUMIF(Summary!$A$247:$A$283,$A752,Summary!$L$247:$L$283)+SUMIF(Summary!$A$297:$A$333,$A752,Summary!$L$297:$L$333))-AI752,0)</f>
        <v>0</v>
      </c>
      <c r="AK752" s="196">
        <f>IFERROR($G752/SUMIF($A:$A,$A752,$G:$G)*SUMIF(Summary!$A$247:$A$283,$A752,Summary!$Q$247:$Q$283),0)</f>
        <v>0</v>
      </c>
      <c r="AL752" s="196">
        <f>IFERROR($G752/SUMIF($A:$A,$A752,$G:$G)*(SUMIF(Summary!$A$247:$A$283,$A752,Summary!$L$247:$L$283)+SUMIF(Summary!$A$297:$A$333,$A752,Summary!$L$297:$L$333))-AK752,0)</f>
        <v>0</v>
      </c>
      <c r="AM752" s="198"/>
      <c r="AN752" s="196">
        <f t="shared" ca="1" si="166"/>
        <v>0</v>
      </c>
      <c r="AO752" s="196">
        <f t="shared" ca="1" si="167"/>
        <v>0</v>
      </c>
    </row>
    <row r="753" spans="1:41">
      <c r="A753" s="189">
        <v>3606</v>
      </c>
      <c r="B753" s="203">
        <v>1</v>
      </c>
      <c r="C753" s="191" t="s">
        <v>233</v>
      </c>
      <c r="D753" s="192">
        <f t="shared" si="154"/>
        <v>2889</v>
      </c>
      <c r="E753" s="192">
        <f t="shared" si="155"/>
        <v>4794</v>
      </c>
      <c r="F753" s="192">
        <f t="shared" si="156"/>
        <v>0</v>
      </c>
      <c r="G753" s="193">
        <f t="shared" si="157"/>
        <v>7683</v>
      </c>
      <c r="H753" s="194">
        <v>1071</v>
      </c>
      <c r="I753" s="194">
        <v>1951</v>
      </c>
      <c r="J753" s="194">
        <v>0</v>
      </c>
      <c r="K753" s="193">
        <f t="shared" si="158"/>
        <v>3022</v>
      </c>
      <c r="L753" s="194">
        <v>1561</v>
      </c>
      <c r="M753" s="194">
        <v>2535</v>
      </c>
      <c r="N753" s="194">
        <v>0</v>
      </c>
      <c r="O753" s="193">
        <f t="shared" si="159"/>
        <v>4096</v>
      </c>
      <c r="P753" s="194">
        <v>257</v>
      </c>
      <c r="Q753" s="194">
        <v>308</v>
      </c>
      <c r="R753" s="194">
        <v>0</v>
      </c>
      <c r="S753" s="193">
        <f t="shared" si="160"/>
        <v>565</v>
      </c>
      <c r="T753" s="193">
        <f t="shared" si="161"/>
        <v>256.10000000000002</v>
      </c>
      <c r="U753" s="193">
        <f ca="1">OFFSET('Expenditure Study'!$B$7,'Operations Support'!$C753,'Operations Support'!$B753)*$G753</f>
        <v>7375.6799999999994</v>
      </c>
      <c r="V753" s="199">
        <f ca="1">U753*'Expenditure Study'!$B$31</f>
        <v>435778.63496294396</v>
      </c>
      <c r="W753" s="199">
        <f ca="1">IF(A753=10298,1.51,1)*IF($B753&lt;3,$D753*'Expenditure Study'!$B$32*OFFSET('Expenditure Study'!$B$7,'Operations Support'!$C753,'Operations Support'!$B753),0)</f>
        <v>277.34399999999999</v>
      </c>
      <c r="X753" s="200">
        <f ca="1">W753*'Expenditure Study'!$B$31</f>
        <v>16386.365695795201</v>
      </c>
      <c r="Y753" s="199">
        <f ca="1">U753*'Expenditure Study'!$B$31</f>
        <v>435778.63496294396</v>
      </c>
      <c r="Z753" s="200">
        <f ca="1">W753*'Expenditure Study'!$B$31</f>
        <v>16386.365695795201</v>
      </c>
      <c r="AA753" s="195">
        <f t="shared" ca="1" si="162"/>
        <v>452165.00065873918</v>
      </c>
      <c r="AB753" s="195">
        <f t="shared" ca="1" si="163"/>
        <v>452165.00065873918</v>
      </c>
      <c r="AD753" s="196">
        <f>IFERROR($G753/SUMIF($A:$A,$A753,$G:$G)*SUMIF(Summary!$A$166:$A$242,$A753,Summary!$P$166:$P$242),0)</f>
        <v>204494.09563301844</v>
      </c>
      <c r="AE753" s="197">
        <f t="shared" ca="1" si="164"/>
        <v>247670.90502572074</v>
      </c>
      <c r="AF753" s="196">
        <f>IFERROR(G753/SUMIF(A:A,A753,G:G)*SUMIF(Summary!$A$166:$A$242,'Operations Support'!A753,Summary!$Q$166:$Q$242),0)</f>
        <v>204952.87822044329</v>
      </c>
      <c r="AG753" s="196">
        <f t="shared" ca="1" si="165"/>
        <v>247212.12243829589</v>
      </c>
      <c r="AI753" s="196">
        <f>IFERROR($G753/SUMIF($A:$A,$A753,$G:$G)*SUMIF(Summary!$A$247:$A$283,$A753,Summary!$P$247:$P$283),0)</f>
        <v>37294.619950190077</v>
      </c>
      <c r="AJ753" s="196">
        <f>IFERROR($G753/SUMIF($A:$A,$A753,$G:$G)*(SUMIF(Summary!$A$247:$A$283,$A753,Summary!$L$247:$L$283)+SUMIF(Summary!$A$297:$A$333,$A753,Summary!$L$297:$L$333))-AI753,0)</f>
        <v>127451.85234224956</v>
      </c>
      <c r="AK753" s="196">
        <f>IFERROR($G753/SUMIF($A:$A,$A753,$G:$G)*SUMIF(Summary!$A$247:$A$283,$A753,Summary!$Q$247:$Q$283),0)</f>
        <v>37378.290445344523</v>
      </c>
      <c r="AL753" s="196">
        <f>IFERROR($G753/SUMIF($A:$A,$A753,$G:$G)*(SUMIF(Summary!$A$247:$A$283,$A753,Summary!$L$247:$L$283)+SUMIF(Summary!$A$297:$A$333,$A753,Summary!$L$297:$L$333))-AK753,0)</f>
        <v>127368.18184709511</v>
      </c>
      <c r="AM753" s="198"/>
      <c r="AN753" s="196">
        <f t="shared" ca="1" si="166"/>
        <v>375122.75736797031</v>
      </c>
      <c r="AO753" s="196">
        <f t="shared" ca="1" si="167"/>
        <v>374580.304285391</v>
      </c>
    </row>
    <row r="754" spans="1:41">
      <c r="A754" s="189">
        <v>3606</v>
      </c>
      <c r="B754" s="203">
        <v>1</v>
      </c>
      <c r="C754" s="191" t="s">
        <v>234</v>
      </c>
      <c r="D754" s="192">
        <f t="shared" si="154"/>
        <v>0</v>
      </c>
      <c r="E754" s="192">
        <f t="shared" si="155"/>
        <v>0</v>
      </c>
      <c r="F754" s="192">
        <f t="shared" si="156"/>
        <v>0</v>
      </c>
      <c r="G754" s="193">
        <f t="shared" si="157"/>
        <v>0</v>
      </c>
      <c r="H754" s="194">
        <v>0</v>
      </c>
      <c r="I754" s="194">
        <v>0</v>
      </c>
      <c r="J754" s="194">
        <v>0</v>
      </c>
      <c r="K754" s="193">
        <f t="shared" si="158"/>
        <v>0</v>
      </c>
      <c r="L754" s="194">
        <v>0</v>
      </c>
      <c r="M754" s="194">
        <v>0</v>
      </c>
      <c r="N754" s="194">
        <v>0</v>
      </c>
      <c r="O754" s="193">
        <f t="shared" si="159"/>
        <v>0</v>
      </c>
      <c r="P754" s="194">
        <v>0</v>
      </c>
      <c r="Q754" s="194">
        <v>0</v>
      </c>
      <c r="R754" s="194">
        <v>0</v>
      </c>
      <c r="S754" s="193">
        <f t="shared" si="160"/>
        <v>0</v>
      </c>
      <c r="T754" s="193">
        <f t="shared" si="161"/>
        <v>0</v>
      </c>
      <c r="U754" s="193">
        <f ca="1">OFFSET('Expenditure Study'!$B$7,'Operations Support'!$C754,'Operations Support'!$B754)*$G754</f>
        <v>0</v>
      </c>
      <c r="V754" s="199">
        <f ca="1">U754*'Expenditure Study'!$B$31</f>
        <v>0</v>
      </c>
      <c r="W754" s="199">
        <f ca="1">IF(A754=10298,1.51,1)*IF($B754&lt;3,$D754*'Expenditure Study'!$B$32*OFFSET('Expenditure Study'!$B$7,'Operations Support'!$C754,'Operations Support'!$B754),0)</f>
        <v>0</v>
      </c>
      <c r="X754" s="200">
        <f ca="1">W754*'Expenditure Study'!$B$31</f>
        <v>0</v>
      </c>
      <c r="Y754" s="199">
        <f ca="1">U754*'Expenditure Study'!$B$31</f>
        <v>0</v>
      </c>
      <c r="Z754" s="200">
        <f ca="1">W754*'Expenditure Study'!$B$31</f>
        <v>0</v>
      </c>
      <c r="AA754" s="195">
        <f t="shared" ca="1" si="162"/>
        <v>0</v>
      </c>
      <c r="AB754" s="195">
        <f t="shared" ca="1" si="163"/>
        <v>0</v>
      </c>
      <c r="AD754" s="196">
        <f>IFERROR($G754/SUMIF($A:$A,$A754,$G:$G)*SUMIF(Summary!$A$166:$A$242,$A754,Summary!$P$166:$P$242),0)</f>
        <v>0</v>
      </c>
      <c r="AE754" s="197">
        <f t="shared" ca="1" si="164"/>
        <v>0</v>
      </c>
      <c r="AF754" s="196">
        <f>IFERROR(G754/SUMIF(A:A,A754,G:G)*SUMIF(Summary!$A$166:$A$242,'Operations Support'!A754,Summary!$Q$166:$Q$242),0)</f>
        <v>0</v>
      </c>
      <c r="AG754" s="196">
        <f t="shared" ca="1" si="165"/>
        <v>0</v>
      </c>
      <c r="AI754" s="196">
        <f>IFERROR($G754/SUMIF($A:$A,$A754,$G:$G)*SUMIF(Summary!$A$247:$A$283,$A754,Summary!$P$247:$P$283),0)</f>
        <v>0</v>
      </c>
      <c r="AJ754" s="196">
        <f>IFERROR($G754/SUMIF($A:$A,$A754,$G:$G)*(SUMIF(Summary!$A$247:$A$283,$A754,Summary!$L$247:$L$283)+SUMIF(Summary!$A$297:$A$333,$A754,Summary!$L$297:$L$333))-AI754,0)</f>
        <v>0</v>
      </c>
      <c r="AK754" s="196">
        <f>IFERROR($G754/SUMIF($A:$A,$A754,$G:$G)*SUMIF(Summary!$A$247:$A$283,$A754,Summary!$Q$247:$Q$283),0)</f>
        <v>0</v>
      </c>
      <c r="AL754" s="196">
        <f>IFERROR($G754/SUMIF($A:$A,$A754,$G:$G)*(SUMIF(Summary!$A$247:$A$283,$A754,Summary!$L$247:$L$283)+SUMIF(Summary!$A$297:$A$333,$A754,Summary!$L$297:$L$333))-AK754,0)</f>
        <v>0</v>
      </c>
      <c r="AM754" s="198"/>
      <c r="AN754" s="196">
        <f t="shared" ca="1" si="166"/>
        <v>0</v>
      </c>
      <c r="AO754" s="196">
        <f t="shared" ca="1" si="167"/>
        <v>0</v>
      </c>
    </row>
    <row r="755" spans="1:41">
      <c r="A755" s="189">
        <v>3606</v>
      </c>
      <c r="B755" s="203">
        <v>1</v>
      </c>
      <c r="C755" s="191" t="s">
        <v>235</v>
      </c>
      <c r="D755" s="192">
        <f t="shared" si="154"/>
        <v>8032</v>
      </c>
      <c r="E755" s="192">
        <f t="shared" si="155"/>
        <v>8241</v>
      </c>
      <c r="F755" s="192">
        <f t="shared" si="156"/>
        <v>0</v>
      </c>
      <c r="G755" s="193">
        <f t="shared" si="157"/>
        <v>16273</v>
      </c>
      <c r="H755" s="194">
        <v>3561</v>
      </c>
      <c r="I755" s="194">
        <v>3852</v>
      </c>
      <c r="J755" s="194">
        <v>0</v>
      </c>
      <c r="K755" s="193">
        <f t="shared" si="158"/>
        <v>7413</v>
      </c>
      <c r="L755" s="194">
        <v>3532</v>
      </c>
      <c r="M755" s="194">
        <v>3877</v>
      </c>
      <c r="N755" s="194">
        <v>0</v>
      </c>
      <c r="O755" s="193">
        <f t="shared" si="159"/>
        <v>7409</v>
      </c>
      <c r="P755" s="194">
        <v>939</v>
      </c>
      <c r="Q755" s="194">
        <v>512</v>
      </c>
      <c r="R755" s="194">
        <v>0</v>
      </c>
      <c r="S755" s="193">
        <f t="shared" si="160"/>
        <v>1451</v>
      </c>
      <c r="T755" s="193">
        <f t="shared" si="161"/>
        <v>542.43333333333328</v>
      </c>
      <c r="U755" s="193">
        <f ca="1">OFFSET('Expenditure Study'!$B$7,'Operations Support'!$C755,'Operations Support'!$B755)*$G755</f>
        <v>17900.300000000003</v>
      </c>
      <c r="V755" s="199">
        <f ca="1">U755*'Expenditure Study'!$B$31</f>
        <v>1057606.6612742401</v>
      </c>
      <c r="W755" s="199">
        <f ca="1">IF(A755=10298,1.51,1)*IF($B755&lt;3,$D755*'Expenditure Study'!$B$32*OFFSET('Expenditure Study'!$B$7,'Operations Support'!$C755,'Operations Support'!$B755),0)</f>
        <v>883.5200000000001</v>
      </c>
      <c r="X755" s="200">
        <f ca="1">W755*'Expenditure Study'!$B$31</f>
        <v>52201.171900416004</v>
      </c>
      <c r="Y755" s="199">
        <f ca="1">U755*'Expenditure Study'!$B$31</f>
        <v>1057606.6612742401</v>
      </c>
      <c r="Z755" s="200">
        <f ca="1">W755*'Expenditure Study'!$B$31</f>
        <v>52201.171900416004</v>
      </c>
      <c r="AA755" s="195">
        <f t="shared" ca="1" si="162"/>
        <v>1109807.8331746561</v>
      </c>
      <c r="AB755" s="195">
        <f t="shared" ca="1" si="163"/>
        <v>1109807.8331746561</v>
      </c>
      <c r="AD755" s="196">
        <f>IFERROR($G755/SUMIF($A:$A,$A755,$G:$G)*SUMIF(Summary!$A$166:$A$242,$A755,Summary!$P$166:$P$242),0)</f>
        <v>433129.30082469207</v>
      </c>
      <c r="AE755" s="197">
        <f t="shared" ca="1" si="164"/>
        <v>676678.53234996414</v>
      </c>
      <c r="AF755" s="196">
        <f>IFERROR(G755/SUMIF(A:A,A755,G:G)*SUMIF(Summary!$A$166:$A$242,'Operations Support'!A755,Summary!$Q$166:$Q$242),0)</f>
        <v>434101.02658873791</v>
      </c>
      <c r="AG755" s="196">
        <f t="shared" ca="1" si="165"/>
        <v>675706.80658591818</v>
      </c>
      <c r="AI755" s="196">
        <f>IFERROR($G755/SUMIF($A:$A,$A755,$G:$G)*SUMIF(Summary!$A$247:$A$283,$A755,Summary!$P$247:$P$283),0)</f>
        <v>78991.975849205148</v>
      </c>
      <c r="AJ755" s="196">
        <f>IFERROR($G755/SUMIF($A:$A,$A755,$G:$G)*(SUMIF(Summary!$A$247:$A$283,$A755,Summary!$L$247:$L$283)+SUMIF(Summary!$A$297:$A$333,$A755,Summary!$L$297:$L$333))-AI755,0)</f>
        <v>269949.75831907161</v>
      </c>
      <c r="AK755" s="196">
        <f>IFERROR($G755/SUMIF($A:$A,$A755,$G:$G)*SUMIF(Summary!$A$247:$A$283,$A755,Summary!$Q$247:$Q$283),0)</f>
        <v>79169.19437942098</v>
      </c>
      <c r="AL755" s="196">
        <f>IFERROR($G755/SUMIF($A:$A,$A755,$G:$G)*(SUMIF(Summary!$A$247:$A$283,$A755,Summary!$L$247:$L$283)+SUMIF(Summary!$A$297:$A$333,$A755,Summary!$L$297:$L$333))-AK755,0)</f>
        <v>269772.53978885582</v>
      </c>
      <c r="AM755" s="198"/>
      <c r="AN755" s="196">
        <f t="shared" ca="1" si="166"/>
        <v>946628.29066903575</v>
      </c>
      <c r="AO755" s="196">
        <f t="shared" ca="1" si="167"/>
        <v>945479.346374774</v>
      </c>
    </row>
    <row r="756" spans="1:41">
      <c r="A756" s="189">
        <v>3606</v>
      </c>
      <c r="B756" s="203">
        <v>1</v>
      </c>
      <c r="C756" s="191" t="s">
        <v>236</v>
      </c>
      <c r="D756" s="192">
        <f t="shared" si="154"/>
        <v>0</v>
      </c>
      <c r="E756" s="192">
        <f t="shared" si="155"/>
        <v>0</v>
      </c>
      <c r="F756" s="192">
        <f t="shared" si="156"/>
        <v>0</v>
      </c>
      <c r="G756" s="193">
        <f t="shared" si="157"/>
        <v>0</v>
      </c>
      <c r="H756" s="194">
        <v>0</v>
      </c>
      <c r="I756" s="194">
        <v>0</v>
      </c>
      <c r="J756" s="194">
        <v>0</v>
      </c>
      <c r="K756" s="193">
        <f t="shared" si="158"/>
        <v>0</v>
      </c>
      <c r="L756" s="194">
        <v>0</v>
      </c>
      <c r="M756" s="194">
        <v>0</v>
      </c>
      <c r="N756" s="194">
        <v>0</v>
      </c>
      <c r="O756" s="193">
        <f t="shared" si="159"/>
        <v>0</v>
      </c>
      <c r="P756" s="194">
        <v>0</v>
      </c>
      <c r="Q756" s="194">
        <v>0</v>
      </c>
      <c r="R756" s="194">
        <v>0</v>
      </c>
      <c r="S756" s="193">
        <f t="shared" si="160"/>
        <v>0</v>
      </c>
      <c r="T756" s="193">
        <f t="shared" si="161"/>
        <v>0</v>
      </c>
      <c r="U756" s="193">
        <f ca="1">OFFSET('Expenditure Study'!$B$7,'Operations Support'!$C756,'Operations Support'!$B756)*$G756</f>
        <v>0</v>
      </c>
      <c r="V756" s="199">
        <f ca="1">U756*'Expenditure Study'!$B$31</f>
        <v>0</v>
      </c>
      <c r="W756" s="199">
        <f ca="1">IF(A756=10298,1.51,1)*IF($B756&lt;3,$D756*'Expenditure Study'!$B$32*OFFSET('Expenditure Study'!$B$7,'Operations Support'!$C756,'Operations Support'!$B756),0)</f>
        <v>0</v>
      </c>
      <c r="X756" s="200">
        <f ca="1">W756*'Expenditure Study'!$B$31</f>
        <v>0</v>
      </c>
      <c r="Y756" s="199">
        <f ca="1">U756*'Expenditure Study'!$B$31</f>
        <v>0</v>
      </c>
      <c r="Z756" s="200">
        <f ca="1">W756*'Expenditure Study'!$B$31</f>
        <v>0</v>
      </c>
      <c r="AA756" s="195">
        <f t="shared" ca="1" si="162"/>
        <v>0</v>
      </c>
      <c r="AB756" s="195">
        <f t="shared" ca="1" si="163"/>
        <v>0</v>
      </c>
      <c r="AD756" s="196">
        <f>IFERROR($G756/SUMIF($A:$A,$A756,$G:$G)*SUMIF(Summary!$A$166:$A$242,$A756,Summary!$P$166:$P$242),0)</f>
        <v>0</v>
      </c>
      <c r="AE756" s="197">
        <f t="shared" ca="1" si="164"/>
        <v>0</v>
      </c>
      <c r="AF756" s="196">
        <f>IFERROR(G756/SUMIF(A:A,A756,G:G)*SUMIF(Summary!$A$166:$A$242,'Operations Support'!A756,Summary!$Q$166:$Q$242),0)</f>
        <v>0</v>
      </c>
      <c r="AG756" s="196">
        <f t="shared" ca="1" si="165"/>
        <v>0</v>
      </c>
      <c r="AI756" s="196">
        <f>IFERROR($G756/SUMIF($A:$A,$A756,$G:$G)*SUMIF(Summary!$A$247:$A$283,$A756,Summary!$P$247:$P$283),0)</f>
        <v>0</v>
      </c>
      <c r="AJ756" s="196">
        <f>IFERROR($G756/SUMIF($A:$A,$A756,$G:$G)*(SUMIF(Summary!$A$247:$A$283,$A756,Summary!$L$247:$L$283)+SUMIF(Summary!$A$297:$A$333,$A756,Summary!$L$297:$L$333))-AI756,0)</f>
        <v>0</v>
      </c>
      <c r="AK756" s="196">
        <f>IFERROR($G756/SUMIF($A:$A,$A756,$G:$G)*SUMIF(Summary!$A$247:$A$283,$A756,Summary!$Q$247:$Q$283),0)</f>
        <v>0</v>
      </c>
      <c r="AL756" s="196">
        <f>IFERROR($G756/SUMIF($A:$A,$A756,$G:$G)*(SUMIF(Summary!$A$247:$A$283,$A756,Summary!$L$247:$L$283)+SUMIF(Summary!$A$297:$A$333,$A756,Summary!$L$297:$L$333))-AK756,0)</f>
        <v>0</v>
      </c>
      <c r="AM756" s="198"/>
      <c r="AN756" s="196">
        <f t="shared" ca="1" si="166"/>
        <v>0</v>
      </c>
      <c r="AO756" s="196">
        <f t="shared" ca="1" si="167"/>
        <v>0</v>
      </c>
    </row>
    <row r="757" spans="1:41">
      <c r="A757" s="189">
        <v>3606</v>
      </c>
      <c r="B757" s="203">
        <v>1</v>
      </c>
      <c r="C757" s="191" t="s">
        <v>237</v>
      </c>
      <c r="D757" s="192">
        <f t="shared" si="154"/>
        <v>0</v>
      </c>
      <c r="E757" s="192">
        <f t="shared" si="155"/>
        <v>0</v>
      </c>
      <c r="F757" s="192">
        <f t="shared" si="156"/>
        <v>0</v>
      </c>
      <c r="G757" s="193">
        <f t="shared" si="157"/>
        <v>0</v>
      </c>
      <c r="H757" s="194">
        <v>0</v>
      </c>
      <c r="I757" s="194">
        <v>0</v>
      </c>
      <c r="J757" s="194">
        <v>0</v>
      </c>
      <c r="K757" s="193">
        <f t="shared" si="158"/>
        <v>0</v>
      </c>
      <c r="L757" s="194">
        <v>0</v>
      </c>
      <c r="M757" s="194">
        <v>0</v>
      </c>
      <c r="N757" s="194">
        <v>0</v>
      </c>
      <c r="O757" s="193">
        <f t="shared" si="159"/>
        <v>0</v>
      </c>
      <c r="P757" s="194">
        <v>0</v>
      </c>
      <c r="Q757" s="194">
        <v>0</v>
      </c>
      <c r="R757" s="194">
        <v>0</v>
      </c>
      <c r="S757" s="193">
        <f t="shared" si="160"/>
        <v>0</v>
      </c>
      <c r="T757" s="193">
        <f t="shared" si="161"/>
        <v>0</v>
      </c>
      <c r="U757" s="193">
        <f ca="1">OFFSET('Expenditure Study'!$B$7,'Operations Support'!$C757,'Operations Support'!$B757)*$G757</f>
        <v>0</v>
      </c>
      <c r="V757" s="199">
        <f ca="1">U757*'Expenditure Study'!$B$31</f>
        <v>0</v>
      </c>
      <c r="W757" s="199">
        <f ca="1">IF(A757=10298,1.51,1)*IF($B757&lt;3,$D757*'Expenditure Study'!$B$32*OFFSET('Expenditure Study'!$B$7,'Operations Support'!$C757,'Operations Support'!$B757),0)</f>
        <v>0</v>
      </c>
      <c r="X757" s="200">
        <f ca="1">W757*'Expenditure Study'!$B$31</f>
        <v>0</v>
      </c>
      <c r="Y757" s="199">
        <f ca="1">U757*'Expenditure Study'!$B$31</f>
        <v>0</v>
      </c>
      <c r="Z757" s="200">
        <f ca="1">W757*'Expenditure Study'!$B$31</f>
        <v>0</v>
      </c>
      <c r="AA757" s="195">
        <f t="shared" ca="1" si="162"/>
        <v>0</v>
      </c>
      <c r="AB757" s="195">
        <f t="shared" ca="1" si="163"/>
        <v>0</v>
      </c>
      <c r="AD757" s="196">
        <f>IFERROR($G757/SUMIF($A:$A,$A757,$G:$G)*SUMIF(Summary!$A$166:$A$242,$A757,Summary!$P$166:$P$242),0)</f>
        <v>0</v>
      </c>
      <c r="AE757" s="197">
        <f t="shared" ca="1" si="164"/>
        <v>0</v>
      </c>
      <c r="AF757" s="196">
        <f>IFERROR(G757/SUMIF(A:A,A757,G:G)*SUMIF(Summary!$A$166:$A$242,'Operations Support'!A757,Summary!$Q$166:$Q$242),0)</f>
        <v>0</v>
      </c>
      <c r="AG757" s="196">
        <f t="shared" ca="1" si="165"/>
        <v>0</v>
      </c>
      <c r="AI757" s="196">
        <f>IFERROR($G757/SUMIF($A:$A,$A757,$G:$G)*SUMIF(Summary!$A$247:$A$283,$A757,Summary!$P$247:$P$283),0)</f>
        <v>0</v>
      </c>
      <c r="AJ757" s="196">
        <f>IFERROR($G757/SUMIF($A:$A,$A757,$G:$G)*(SUMIF(Summary!$A$247:$A$283,$A757,Summary!$L$247:$L$283)+SUMIF(Summary!$A$297:$A$333,$A757,Summary!$L$297:$L$333))-AI757,0)</f>
        <v>0</v>
      </c>
      <c r="AK757" s="196">
        <f>IFERROR($G757/SUMIF($A:$A,$A757,$G:$G)*SUMIF(Summary!$A$247:$A$283,$A757,Summary!$Q$247:$Q$283),0)</f>
        <v>0</v>
      </c>
      <c r="AL757" s="196">
        <f>IFERROR($G757/SUMIF($A:$A,$A757,$G:$G)*(SUMIF(Summary!$A$247:$A$283,$A757,Summary!$L$247:$L$283)+SUMIF(Summary!$A$297:$A$333,$A757,Summary!$L$297:$L$333))-AK757,0)</f>
        <v>0</v>
      </c>
      <c r="AM757" s="198"/>
      <c r="AN757" s="196">
        <f t="shared" ca="1" si="166"/>
        <v>0</v>
      </c>
      <c r="AO757" s="196">
        <f t="shared" ca="1" si="167"/>
        <v>0</v>
      </c>
    </row>
    <row r="758" spans="1:41" s="201" customFormat="1">
      <c r="A758" s="189">
        <v>3606</v>
      </c>
      <c r="B758" s="203">
        <v>1</v>
      </c>
      <c r="C758" s="191" t="s">
        <v>238</v>
      </c>
      <c r="D758" s="192">
        <f t="shared" si="154"/>
        <v>1668</v>
      </c>
      <c r="E758" s="192">
        <f t="shared" si="155"/>
        <v>4181</v>
      </c>
      <c r="F758" s="192">
        <f t="shared" si="156"/>
        <v>0</v>
      </c>
      <c r="G758" s="193">
        <f t="shared" si="157"/>
        <v>5849</v>
      </c>
      <c r="H758" s="194">
        <v>444</v>
      </c>
      <c r="I758" s="194">
        <v>2394</v>
      </c>
      <c r="J758" s="194">
        <v>0</v>
      </c>
      <c r="K758" s="193">
        <f t="shared" si="158"/>
        <v>2838</v>
      </c>
      <c r="L758" s="194">
        <v>1032</v>
      </c>
      <c r="M758" s="194">
        <v>1712</v>
      </c>
      <c r="N758" s="194">
        <v>0</v>
      </c>
      <c r="O758" s="193">
        <f t="shared" si="159"/>
        <v>2744</v>
      </c>
      <c r="P758" s="194">
        <v>192</v>
      </c>
      <c r="Q758" s="194">
        <v>75</v>
      </c>
      <c r="R758" s="194">
        <v>0</v>
      </c>
      <c r="S758" s="193">
        <f t="shared" si="160"/>
        <v>267</v>
      </c>
      <c r="T758" s="193">
        <f t="shared" si="161"/>
        <v>194.96666666666667</v>
      </c>
      <c r="U758" s="193">
        <f ca="1">OFFSET('Expenditure Study'!$B$7,'Operations Support'!$C758,'Operations Support'!$B758)*$G758</f>
        <v>10411.219999999999</v>
      </c>
      <c r="V758" s="199">
        <f ca="1">U758*'Expenditure Study'!$B$31</f>
        <v>615127.99360857601</v>
      </c>
      <c r="W758" s="199">
        <f ca="1">IF(A758=10298,1.51,1)*IF($B758&lt;3,$D758*'Expenditure Study'!$B$32*OFFSET('Expenditure Study'!$B$7,'Operations Support'!$C758,'Operations Support'!$B758),0)</f>
        <v>296.904</v>
      </c>
      <c r="X758" s="200">
        <f ca="1">W758*'Expenditure Study'!$B$31</f>
        <v>17542.032712243199</v>
      </c>
      <c r="Y758" s="199">
        <f ca="1">U758*'Expenditure Study'!$B$31</f>
        <v>615127.99360857601</v>
      </c>
      <c r="Z758" s="200">
        <f ca="1">W758*'Expenditure Study'!$B$31</f>
        <v>17542.032712243199</v>
      </c>
      <c r="AA758" s="195">
        <f t="shared" ca="1" si="162"/>
        <v>632670.02632081916</v>
      </c>
      <c r="AB758" s="195">
        <f t="shared" ca="1" si="163"/>
        <v>632670.02632081916</v>
      </c>
      <c r="AD758" s="196">
        <f>IFERROR($G758/SUMIF($A:$A,$A758,$G:$G)*SUMIF(Summary!$A$166:$A$242,$A758,Summary!$P$166:$P$242),0)</f>
        <v>155679.54774925482</v>
      </c>
      <c r="AE758" s="197">
        <f t="shared" ca="1" si="164"/>
        <v>476990.47857156431</v>
      </c>
      <c r="AF758" s="196">
        <f>IFERROR(G758/SUMIF(A:A,A758,G:G)*SUMIF(Summary!$A$166:$A$242,'Operations Support'!A758,Summary!$Q$166:$Q$242),0)</f>
        <v>156028.81487848141</v>
      </c>
      <c r="AG758" s="196">
        <f t="shared" ca="1" si="165"/>
        <v>476641.21144233772</v>
      </c>
      <c r="AH758" s="180"/>
      <c r="AI758" s="196">
        <f>IFERROR($G758/SUMIF($A:$A,$A758,$G:$G)*SUMIF(Summary!$A$247:$A$283,$A758,Summary!$P$247:$P$283),0)</f>
        <v>28392.064569655311</v>
      </c>
      <c r="AJ758" s="196">
        <f>IFERROR($G758/SUMIF($A:$A,$A758,$G:$G)*(SUMIF(Summary!$A$247:$A$283,$A758,Summary!$L$247:$L$283)+SUMIF(Summary!$A$297:$A$333,$A758,Summary!$L$297:$L$333))-AI758,0)</f>
        <v>97027.968807733661</v>
      </c>
      <c r="AK758" s="196">
        <f>IFERROR($G758/SUMIF($A:$A,$A758,$G:$G)*SUMIF(Summary!$A$247:$A$283,$A758,Summary!$Q$247:$Q$283),0)</f>
        <v>28455.762178162189</v>
      </c>
      <c r="AL758" s="196">
        <f>IFERROR($G758/SUMIF($A:$A,$A758,$G:$G)*(SUMIF(Summary!$A$247:$A$283,$A758,Summary!$L$247:$L$283)+SUMIF(Summary!$A$297:$A$333,$A758,Summary!$L$297:$L$333))-AK758,0)</f>
        <v>96964.271199226787</v>
      </c>
      <c r="AM758" s="198"/>
      <c r="AN758" s="196">
        <f t="shared" ca="1" si="166"/>
        <v>574018.44737929793</v>
      </c>
      <c r="AO758" s="196">
        <f t="shared" ca="1" si="167"/>
        <v>573605.48264156445</v>
      </c>
    </row>
    <row r="759" spans="1:41">
      <c r="A759" s="189">
        <v>3606</v>
      </c>
      <c r="B759" s="203">
        <v>1</v>
      </c>
      <c r="C759" s="191" t="s">
        <v>239</v>
      </c>
      <c r="D759" s="192">
        <f t="shared" si="154"/>
        <v>0</v>
      </c>
      <c r="E759" s="192">
        <f t="shared" si="155"/>
        <v>147</v>
      </c>
      <c r="F759" s="192">
        <f t="shared" si="156"/>
        <v>0</v>
      </c>
      <c r="G759" s="193">
        <f t="shared" si="157"/>
        <v>147</v>
      </c>
      <c r="H759" s="194">
        <v>0</v>
      </c>
      <c r="I759" s="194">
        <v>96</v>
      </c>
      <c r="J759" s="194">
        <v>0</v>
      </c>
      <c r="K759" s="193">
        <f t="shared" si="158"/>
        <v>96</v>
      </c>
      <c r="L759" s="194">
        <v>0</v>
      </c>
      <c r="M759" s="194">
        <v>48</v>
      </c>
      <c r="N759" s="194">
        <v>0</v>
      </c>
      <c r="O759" s="193">
        <f t="shared" si="159"/>
        <v>48</v>
      </c>
      <c r="P759" s="194">
        <v>0</v>
      </c>
      <c r="Q759" s="194">
        <v>3</v>
      </c>
      <c r="R759" s="194">
        <v>0</v>
      </c>
      <c r="S759" s="193">
        <f t="shared" si="160"/>
        <v>3</v>
      </c>
      <c r="T759" s="193">
        <f t="shared" si="161"/>
        <v>4.9000000000000004</v>
      </c>
      <c r="U759" s="193">
        <f ca="1">OFFSET('Expenditure Study'!$B$7,'Operations Support'!$C759,'Operations Support'!$B759)*$G759</f>
        <v>227.85</v>
      </c>
      <c r="V759" s="199">
        <f ca="1">U759*'Expenditure Study'!$B$31</f>
        <v>13462.102745279999</v>
      </c>
      <c r="W759" s="199">
        <f ca="1">IF(A759=10298,1.51,1)*IF($B759&lt;3,$D759*'Expenditure Study'!$B$32*OFFSET('Expenditure Study'!$B$7,'Operations Support'!$C759,'Operations Support'!$B759),0)</f>
        <v>0</v>
      </c>
      <c r="X759" s="200">
        <f ca="1">W759*'Expenditure Study'!$B$31</f>
        <v>0</v>
      </c>
      <c r="Y759" s="199">
        <f ca="1">U759*'Expenditure Study'!$B$31</f>
        <v>13462.102745279999</v>
      </c>
      <c r="Z759" s="200">
        <f ca="1">W759*'Expenditure Study'!$B$31</f>
        <v>0</v>
      </c>
      <c r="AA759" s="195">
        <f t="shared" ca="1" si="162"/>
        <v>13462.102745279999</v>
      </c>
      <c r="AB759" s="195">
        <f t="shared" ca="1" si="163"/>
        <v>13462.102745279999</v>
      </c>
      <c r="AD759" s="196">
        <f>IFERROR($G759/SUMIF($A:$A,$A759,$G:$G)*SUMIF(Summary!$A$166:$A$242,$A759,Summary!$P$166:$P$242),0)</f>
        <v>3912.616433431434</v>
      </c>
      <c r="AE759" s="197">
        <f t="shared" ca="1" si="164"/>
        <v>9549.4863118485646</v>
      </c>
      <c r="AF759" s="196">
        <f>IFERROR(G759/SUMIF(A:A,A759,G:G)*SUMIF(Summary!$A$166:$A$242,'Operations Support'!A759,Summary!$Q$166:$Q$242),0)</f>
        <v>3921.3943900045761</v>
      </c>
      <c r="AG759" s="196">
        <f t="shared" ca="1" si="165"/>
        <v>9540.7083552754229</v>
      </c>
      <c r="AI759" s="196">
        <f>IFERROR($G759/SUMIF($A:$A,$A759,$G:$G)*SUMIF(Summary!$A$247:$A$283,$A759,Summary!$P$247:$P$283),0)</f>
        <v>713.56359920316822</v>
      </c>
      <c r="AJ759" s="196">
        <f>IFERROR($G759/SUMIF($A:$A,$A759,$G:$G)*(SUMIF(Summary!$A$247:$A$283,$A759,Summary!$L$247:$L$283)+SUMIF(Summary!$A$297:$A$333,$A759,Summary!$L$297:$L$333))-AI759,0)</f>
        <v>2438.5555504764652</v>
      </c>
      <c r="AK759" s="196">
        <f>IFERROR($G759/SUMIF($A:$A,$A759,$G:$G)*SUMIF(Summary!$A$247:$A$283,$A759,Summary!$Q$247:$Q$283),0)</f>
        <v>715.16447943064475</v>
      </c>
      <c r="AL759" s="196">
        <f>IFERROR($G759/SUMIF($A:$A,$A759,$G:$G)*(SUMIF(Summary!$A$247:$A$283,$A759,Summary!$L$247:$L$283)+SUMIF(Summary!$A$297:$A$333,$A759,Summary!$L$297:$L$333))-AK759,0)</f>
        <v>2436.9546702489888</v>
      </c>
      <c r="AM759" s="198"/>
      <c r="AN759" s="196">
        <f t="shared" ca="1" si="166"/>
        <v>11988.04186232503</v>
      </c>
      <c r="AO759" s="196">
        <f t="shared" ca="1" si="167"/>
        <v>11977.663025524413</v>
      </c>
    </row>
    <row r="760" spans="1:41">
      <c r="A760" s="189">
        <v>3606</v>
      </c>
      <c r="B760" s="203">
        <v>1</v>
      </c>
      <c r="C760" s="191" t="s">
        <v>240</v>
      </c>
      <c r="D760" s="192">
        <f t="shared" si="154"/>
        <v>0</v>
      </c>
      <c r="E760" s="192">
        <f t="shared" si="155"/>
        <v>2317</v>
      </c>
      <c r="F760" s="192">
        <f t="shared" si="156"/>
        <v>0</v>
      </c>
      <c r="G760" s="193">
        <f t="shared" si="157"/>
        <v>2317</v>
      </c>
      <c r="H760" s="194">
        <v>0</v>
      </c>
      <c r="I760" s="194">
        <v>852</v>
      </c>
      <c r="J760" s="194">
        <v>0</v>
      </c>
      <c r="K760" s="193">
        <f t="shared" si="158"/>
        <v>852</v>
      </c>
      <c r="L760" s="194">
        <v>0</v>
      </c>
      <c r="M760" s="194">
        <v>1465</v>
      </c>
      <c r="N760" s="194">
        <v>0</v>
      </c>
      <c r="O760" s="193">
        <f t="shared" si="159"/>
        <v>1465</v>
      </c>
      <c r="P760" s="194">
        <v>0</v>
      </c>
      <c r="Q760" s="194">
        <v>0</v>
      </c>
      <c r="R760" s="194">
        <v>0</v>
      </c>
      <c r="S760" s="193">
        <f t="shared" si="160"/>
        <v>0</v>
      </c>
      <c r="T760" s="193">
        <f t="shared" si="161"/>
        <v>77.233333333333334</v>
      </c>
      <c r="U760" s="193">
        <f ca="1">OFFSET('Expenditure Study'!$B$7,'Operations Support'!$C760,'Operations Support'!$B760)*$G760</f>
        <v>2317</v>
      </c>
      <c r="V760" s="199">
        <f ca="1">U760*'Expenditure Study'!$B$31</f>
        <v>136895.72991359999</v>
      </c>
      <c r="W760" s="199">
        <f ca="1">IF(A760=10298,1.51,1)*IF($B760&lt;3,$D760*'Expenditure Study'!$B$32*OFFSET('Expenditure Study'!$B$7,'Operations Support'!$C760,'Operations Support'!$B760),0)</f>
        <v>0</v>
      </c>
      <c r="X760" s="200">
        <f ca="1">W760*'Expenditure Study'!$B$31</f>
        <v>0</v>
      </c>
      <c r="Y760" s="199">
        <f ca="1">U760*'Expenditure Study'!$B$31</f>
        <v>136895.72991359999</v>
      </c>
      <c r="Z760" s="200">
        <f ca="1">W760*'Expenditure Study'!$B$31</f>
        <v>0</v>
      </c>
      <c r="AA760" s="195">
        <f t="shared" ca="1" si="162"/>
        <v>136895.72991359999</v>
      </c>
      <c r="AB760" s="195">
        <f t="shared" ca="1" si="163"/>
        <v>136895.72991359999</v>
      </c>
      <c r="AD760" s="196">
        <f>IFERROR($G760/SUMIF($A:$A,$A760,$G:$G)*SUMIF(Summary!$A$166:$A$242,$A760,Summary!$P$166:$P$242),0)</f>
        <v>61670.287593609763</v>
      </c>
      <c r="AE760" s="197">
        <f t="shared" ca="1" si="164"/>
        <v>75225.442319990223</v>
      </c>
      <c r="AF760" s="196">
        <f>IFERROR(G760/SUMIF(A:A,A760,G:G)*SUMIF(Summary!$A$166:$A$242,'Operations Support'!A760,Summary!$Q$166:$Q$242),0)</f>
        <v>61808.644909119757</v>
      </c>
      <c r="AG760" s="196">
        <f t="shared" ca="1" si="165"/>
        <v>75087.085004480236</v>
      </c>
      <c r="AI760" s="196">
        <f>IFERROR($G760/SUMIF($A:$A,$A760,$G:$G)*SUMIF(Summary!$A$247:$A$283,$A760,Summary!$P$247:$P$283),0)</f>
        <v>11247.121492202319</v>
      </c>
      <c r="AJ760" s="196">
        <f>IFERROR($G760/SUMIF($A:$A,$A760,$G:$G)*(SUMIF(Summary!$A$247:$A$283,$A760,Summary!$L$247:$L$283)+SUMIF(Summary!$A$297:$A$333,$A760,Summary!$L$297:$L$333))-AI760,0)</f>
        <v>38436.280343224294</v>
      </c>
      <c r="AK760" s="196">
        <f>IFERROR($G760/SUMIF($A:$A,$A760,$G:$G)*SUMIF(Summary!$A$247:$A$283,$A760,Summary!$Q$247:$Q$283),0)</f>
        <v>11272.354413883022</v>
      </c>
      <c r="AL760" s="196">
        <f>IFERROR($G760/SUMIF($A:$A,$A760,$G:$G)*(SUMIF(Summary!$A$247:$A$283,$A760,Summary!$L$247:$L$283)+SUMIF(Summary!$A$297:$A$333,$A760,Summary!$L$297:$L$333))-AK760,0)</f>
        <v>38411.047421543597</v>
      </c>
      <c r="AM760" s="198"/>
      <c r="AN760" s="196">
        <f t="shared" ca="1" si="166"/>
        <v>113661.72266321452</v>
      </c>
      <c r="AO760" s="196">
        <f t="shared" ca="1" si="167"/>
        <v>113498.13242602383</v>
      </c>
    </row>
    <row r="761" spans="1:41">
      <c r="A761" s="189">
        <v>3606</v>
      </c>
      <c r="B761" s="203">
        <v>2</v>
      </c>
      <c r="C761" s="191" t="s">
        <v>220</v>
      </c>
      <c r="D761" s="192">
        <f t="shared" si="154"/>
        <v>42701.5</v>
      </c>
      <c r="E761" s="192">
        <f t="shared" si="155"/>
        <v>38381.5</v>
      </c>
      <c r="F761" s="192">
        <f t="shared" si="156"/>
        <v>0</v>
      </c>
      <c r="G761" s="193">
        <f t="shared" si="157"/>
        <v>81083</v>
      </c>
      <c r="H761" s="194">
        <v>17743</v>
      </c>
      <c r="I761" s="194">
        <v>17954</v>
      </c>
      <c r="J761" s="194">
        <v>0</v>
      </c>
      <c r="K761" s="193">
        <f t="shared" si="158"/>
        <v>35697</v>
      </c>
      <c r="L761" s="194">
        <v>17215</v>
      </c>
      <c r="M761" s="194">
        <v>17775</v>
      </c>
      <c r="N761" s="194">
        <v>0</v>
      </c>
      <c r="O761" s="193">
        <f t="shared" si="159"/>
        <v>34990</v>
      </c>
      <c r="P761" s="194">
        <v>7743.5</v>
      </c>
      <c r="Q761" s="194">
        <v>2652.5</v>
      </c>
      <c r="R761" s="194">
        <v>0</v>
      </c>
      <c r="S761" s="193">
        <f t="shared" si="160"/>
        <v>10396</v>
      </c>
      <c r="T761" s="193">
        <f t="shared" si="161"/>
        <v>2702.7666666666669</v>
      </c>
      <c r="U761" s="193">
        <f ca="1">OFFSET('Expenditure Study'!$B$7,'Operations Support'!$C761,'Operations Support'!$B761)*$G761</f>
        <v>149192.72</v>
      </c>
      <c r="V761" s="199">
        <f ca="1">U761*'Expenditure Study'!$B$31</f>
        <v>8814780.449803777</v>
      </c>
      <c r="W761" s="199">
        <f ca="1">IF(A761=10298,1.51,1)*IF($B761&lt;3,$D761*'Expenditure Study'!$B$32*OFFSET('Expenditure Study'!$B$7,'Operations Support'!$C761,'Operations Support'!$B761),0)</f>
        <v>7857.0760000000009</v>
      </c>
      <c r="X761" s="200">
        <f ca="1">W761*'Expenditure Study'!$B$31</f>
        <v>464221.04186734086</v>
      </c>
      <c r="Y761" s="199">
        <f ca="1">U761*'Expenditure Study'!$B$31</f>
        <v>8814780.449803777</v>
      </c>
      <c r="Z761" s="200">
        <f ca="1">W761*'Expenditure Study'!$B$31</f>
        <v>464221.04186734086</v>
      </c>
      <c r="AA761" s="195">
        <f t="shared" ca="1" si="162"/>
        <v>9279001.491671117</v>
      </c>
      <c r="AB761" s="195">
        <f t="shared" ca="1" si="163"/>
        <v>9279001.491671117</v>
      </c>
      <c r="AD761" s="196">
        <f>IFERROR($G761/SUMIF($A:$A,$A761,$G:$G)*SUMIF(Summary!$A$166:$A$242,$A761,Summary!$P$166:$P$242),0)</f>
        <v>2158140.6685164692</v>
      </c>
      <c r="AE761" s="197">
        <f t="shared" ca="1" si="164"/>
        <v>7120860.8231546478</v>
      </c>
      <c r="AF761" s="196">
        <f>IFERROR(G761/SUMIF(A:A,A761,G:G)*SUMIF(Summary!$A$166:$A$242,'Operations Support'!A761,Summary!$Q$166:$Q$242),0)</f>
        <v>2162982.4579914357</v>
      </c>
      <c r="AG761" s="196">
        <f t="shared" ca="1" si="165"/>
        <v>7116019.0336796809</v>
      </c>
      <c r="AI761" s="196">
        <f>IFERROR($G761/SUMIF($A:$A,$A761,$G:$G)*SUMIF(Summary!$A$247:$A$283,$A761,Summary!$P$247:$P$283),0)</f>
        <v>393591.00213735027</v>
      </c>
      <c r="AJ761" s="196">
        <f>IFERROR($G761/SUMIF($A:$A,$A761,$G:$G)*(SUMIF(Summary!$A$247:$A$283,$A761,Summary!$L$247:$L$283)+SUMIF(Summary!$A$297:$A$333,$A761,Summary!$L$297:$L$333))-AI761,0)</f>
        <v>1345070.7462536274</v>
      </c>
      <c r="AK761" s="196">
        <f>IFERROR($G761/SUMIF($A:$A,$A761,$G:$G)*SUMIF(Summary!$A$247:$A$283,$A761,Summary!$Q$247:$Q$283),0)</f>
        <v>394474.02371207462</v>
      </c>
      <c r="AL761" s="196">
        <f>IFERROR($G761/SUMIF($A:$A,$A761,$G:$G)*(SUMIF(Summary!$A$247:$A$283,$A761,Summary!$L$247:$L$283)+SUMIF(Summary!$A$297:$A$333,$A761,Summary!$L$297:$L$333))-AK761,0)</f>
        <v>1344187.7246789031</v>
      </c>
      <c r="AM761" s="198"/>
      <c r="AN761" s="196">
        <f t="shared" ca="1" si="166"/>
        <v>8465931.5694082752</v>
      </c>
      <c r="AO761" s="196">
        <f t="shared" ca="1" si="167"/>
        <v>8460206.7583585847</v>
      </c>
    </row>
    <row r="762" spans="1:41">
      <c r="A762" s="189">
        <v>3606</v>
      </c>
      <c r="B762" s="203">
        <v>2</v>
      </c>
      <c r="C762" s="191" t="s">
        <v>221</v>
      </c>
      <c r="D762" s="192">
        <f t="shared" si="154"/>
        <v>8736</v>
      </c>
      <c r="E762" s="192">
        <f t="shared" si="155"/>
        <v>3166</v>
      </c>
      <c r="F762" s="192">
        <f t="shared" si="156"/>
        <v>0</v>
      </c>
      <c r="G762" s="193">
        <f t="shared" si="157"/>
        <v>11902</v>
      </c>
      <c r="H762" s="194">
        <v>3802</v>
      </c>
      <c r="I762" s="194">
        <v>1634</v>
      </c>
      <c r="J762" s="194">
        <v>0</v>
      </c>
      <c r="K762" s="193">
        <f t="shared" si="158"/>
        <v>5436</v>
      </c>
      <c r="L762" s="194">
        <v>4338</v>
      </c>
      <c r="M762" s="194">
        <v>1351</v>
      </c>
      <c r="N762" s="194">
        <v>0</v>
      </c>
      <c r="O762" s="193">
        <f t="shared" si="159"/>
        <v>5689</v>
      </c>
      <c r="P762" s="194">
        <v>596</v>
      </c>
      <c r="Q762" s="194">
        <v>181</v>
      </c>
      <c r="R762" s="194">
        <v>0</v>
      </c>
      <c r="S762" s="193">
        <f t="shared" si="160"/>
        <v>777</v>
      </c>
      <c r="T762" s="193">
        <f t="shared" si="161"/>
        <v>396.73333333333335</v>
      </c>
      <c r="U762" s="193">
        <f ca="1">OFFSET('Expenditure Study'!$B$7,'Operations Support'!$C762,'Operations Support'!$B762)*$G762</f>
        <v>31302.26</v>
      </c>
      <c r="V762" s="199">
        <f ca="1">U762*'Expenditure Study'!$B$31</f>
        <v>1849437.087028608</v>
      </c>
      <c r="W762" s="199">
        <f ca="1">IF(A762=10298,1.51,1)*IF($B762&lt;3,$D762*'Expenditure Study'!$B$32*OFFSET('Expenditure Study'!$B$7,'Operations Support'!$C762,'Operations Support'!$B762),0)</f>
        <v>2297.5679999999998</v>
      </c>
      <c r="X762" s="200">
        <f ca="1">W762*'Expenditure Study'!$B$31</f>
        <v>135747.62554429439</v>
      </c>
      <c r="Y762" s="199">
        <f ca="1">U762*'Expenditure Study'!$B$31</f>
        <v>1849437.087028608</v>
      </c>
      <c r="Z762" s="200">
        <f ca="1">W762*'Expenditure Study'!$B$31</f>
        <v>135747.62554429439</v>
      </c>
      <c r="AA762" s="195">
        <f t="shared" ca="1" si="162"/>
        <v>1985184.7125729024</v>
      </c>
      <c r="AB762" s="195">
        <f t="shared" ca="1" si="163"/>
        <v>1985184.7125729024</v>
      </c>
      <c r="AD762" s="196">
        <f>IFERROR($G762/SUMIF($A:$A,$A762,$G:$G)*SUMIF(Summary!$A$166:$A$242,$A762,Summary!$P$166:$P$242),0)</f>
        <v>316788.84891633288</v>
      </c>
      <c r="AE762" s="197">
        <f t="shared" ca="1" si="164"/>
        <v>1668395.8636565695</v>
      </c>
      <c r="AF762" s="196">
        <f>IFERROR(G762/SUMIF(A:A,A762,G:G)*SUMIF(Summary!$A$166:$A$242,'Operations Support'!A762,Summary!$Q$166:$Q$242),0)</f>
        <v>317499.56482880592</v>
      </c>
      <c r="AG762" s="196">
        <f t="shared" ca="1" si="165"/>
        <v>1667685.1477440966</v>
      </c>
      <c r="AI762" s="196">
        <f>IFERROR($G762/SUMIF($A:$A,$A762,$G:$G)*SUMIF(Summary!$A$247:$A$283,$A762,Summary!$P$247:$P$283),0)</f>
        <v>57774.380664735429</v>
      </c>
      <c r="AJ762" s="196">
        <f>IFERROR($G762/SUMIF($A:$A,$A762,$G:$G)*(SUMIF(Summary!$A$247:$A$283,$A762,Summary!$L$247:$L$283)+SUMIF(Summary!$A$297:$A$333,$A762,Summary!$L$297:$L$333))-AI762,0)</f>
        <v>197440.055522251</v>
      </c>
      <c r="AK762" s="196">
        <f>IFERROR($G762/SUMIF($A:$A,$A762,$G:$G)*SUMIF(Summary!$A$247:$A$283,$A762,Summary!$Q$247:$Q$283),0)</f>
        <v>57903.997511452617</v>
      </c>
      <c r="AL762" s="196">
        <f>IFERROR($G762/SUMIF($A:$A,$A762,$G:$G)*(SUMIF(Summary!$A$247:$A$283,$A762,Summary!$L$247:$L$283)+SUMIF(Summary!$A$297:$A$333,$A762,Summary!$L$297:$L$333))-AK762,0)</f>
        <v>197310.43867553381</v>
      </c>
      <c r="AM762" s="198"/>
      <c r="AN762" s="196">
        <f t="shared" ca="1" si="166"/>
        <v>1865835.9191788204</v>
      </c>
      <c r="AO762" s="196">
        <f t="shared" ca="1" si="167"/>
        <v>1864995.5864196303</v>
      </c>
    </row>
    <row r="763" spans="1:41">
      <c r="A763" s="189">
        <v>3606</v>
      </c>
      <c r="B763" s="203">
        <v>2</v>
      </c>
      <c r="C763" s="191" t="s">
        <v>222</v>
      </c>
      <c r="D763" s="192">
        <f t="shared" si="154"/>
        <v>5657</v>
      </c>
      <c r="E763" s="192">
        <f t="shared" si="155"/>
        <v>4568</v>
      </c>
      <c r="F763" s="192">
        <f t="shared" si="156"/>
        <v>0</v>
      </c>
      <c r="G763" s="193">
        <f t="shared" si="157"/>
        <v>10225</v>
      </c>
      <c r="H763" s="194">
        <v>2912</v>
      </c>
      <c r="I763" s="194">
        <v>2153</v>
      </c>
      <c r="J763" s="194">
        <v>0</v>
      </c>
      <c r="K763" s="193">
        <f t="shared" si="158"/>
        <v>5065</v>
      </c>
      <c r="L763" s="194">
        <v>2555</v>
      </c>
      <c r="M763" s="194">
        <v>2148</v>
      </c>
      <c r="N763" s="194">
        <v>0</v>
      </c>
      <c r="O763" s="193">
        <f t="shared" si="159"/>
        <v>4703</v>
      </c>
      <c r="P763" s="194">
        <v>190</v>
      </c>
      <c r="Q763" s="194">
        <v>267</v>
      </c>
      <c r="R763" s="194">
        <v>0</v>
      </c>
      <c r="S763" s="193">
        <f t="shared" si="160"/>
        <v>457</v>
      </c>
      <c r="T763" s="193">
        <f t="shared" si="161"/>
        <v>340.83333333333331</v>
      </c>
      <c r="U763" s="193">
        <f ca="1">OFFSET('Expenditure Study'!$B$7,'Operations Support'!$C763,'Operations Support'!$B763)*$G763</f>
        <v>27198.5</v>
      </c>
      <c r="V763" s="199">
        <f ca="1">U763*'Expenditure Study'!$B$31</f>
        <v>1606973.8929888001</v>
      </c>
      <c r="W763" s="199">
        <f ca="1">IF(A763=10298,1.51,1)*IF($B763&lt;3,$D763*'Expenditure Study'!$B$32*OFFSET('Expenditure Study'!$B$7,'Operations Support'!$C763,'Operations Support'!$B763),0)</f>
        <v>1504.7620000000002</v>
      </c>
      <c r="X763" s="200">
        <f ca="1">W763*'Expenditure Study'!$B$31</f>
        <v>88906.12530696961</v>
      </c>
      <c r="Y763" s="199">
        <f ca="1">U763*'Expenditure Study'!$B$31</f>
        <v>1606973.8929888001</v>
      </c>
      <c r="Z763" s="200">
        <f ca="1">W763*'Expenditure Study'!$B$31</f>
        <v>88906.12530696961</v>
      </c>
      <c r="AA763" s="195">
        <f t="shared" ca="1" si="162"/>
        <v>1695880.0182957696</v>
      </c>
      <c r="AB763" s="195">
        <f t="shared" ca="1" si="163"/>
        <v>1695880.0182957696</v>
      </c>
      <c r="AD763" s="196">
        <f>IFERROR($G763/SUMIF($A:$A,$A763,$G:$G)*SUMIF(Summary!$A$166:$A$242,$A763,Summary!$P$166:$P$242),0)</f>
        <v>272153.08184922731</v>
      </c>
      <c r="AE763" s="197">
        <f t="shared" ca="1" si="164"/>
        <v>1423726.9364465424</v>
      </c>
      <c r="AF763" s="196">
        <f>IFERROR(G763/SUMIF(A:A,A763,G:G)*SUMIF(Summary!$A$166:$A$242,'Operations Support'!A763,Summary!$Q$166:$Q$242),0)</f>
        <v>272763.6573999782</v>
      </c>
      <c r="AG763" s="196">
        <f t="shared" ca="1" si="165"/>
        <v>1423116.3608957913</v>
      </c>
      <c r="AI763" s="196">
        <f>IFERROR($G763/SUMIF($A:$A,$A763,$G:$G)*SUMIF(Summary!$A$247:$A$283,$A763,Summary!$P$247:$P$283),0)</f>
        <v>49633.930624846224</v>
      </c>
      <c r="AJ763" s="196">
        <f>IFERROR($G763/SUMIF($A:$A,$A763,$G:$G)*(SUMIF(Summary!$A$247:$A$283,$A763,Summary!$L$247:$L$283)+SUMIF(Summary!$A$297:$A$333,$A763,Summary!$L$297:$L$333))-AI763,0)</f>
        <v>169620.61567089701</v>
      </c>
      <c r="AK763" s="196">
        <f>IFERROR($G763/SUMIF($A:$A,$A763,$G:$G)*SUMIF(Summary!$A$247:$A$283,$A763,Summary!$Q$247:$Q$283),0)</f>
        <v>49745.284368560162</v>
      </c>
      <c r="AL763" s="196">
        <f>IFERROR($G763/SUMIF($A:$A,$A763,$G:$G)*(SUMIF(Summary!$A$247:$A$283,$A763,Summary!$L$247:$L$283)+SUMIF(Summary!$A$297:$A$333,$A763,Summary!$L$297:$L$333))-AK763,0)</f>
        <v>169509.26192718308</v>
      </c>
      <c r="AM763" s="198"/>
      <c r="AN763" s="196">
        <f t="shared" ca="1" si="166"/>
        <v>1593347.5521174395</v>
      </c>
      <c r="AO763" s="196">
        <f t="shared" ca="1" si="167"/>
        <v>1592625.6228229743</v>
      </c>
    </row>
    <row r="764" spans="1:41">
      <c r="A764" s="189">
        <v>3606</v>
      </c>
      <c r="B764" s="203">
        <v>2</v>
      </c>
      <c r="C764" s="191" t="s">
        <v>223</v>
      </c>
      <c r="D764" s="192">
        <f t="shared" si="154"/>
        <v>6948</v>
      </c>
      <c r="E764" s="192">
        <f t="shared" si="155"/>
        <v>5719</v>
      </c>
      <c r="F764" s="192">
        <f t="shared" si="156"/>
        <v>0</v>
      </c>
      <c r="G764" s="193">
        <f t="shared" si="157"/>
        <v>12667</v>
      </c>
      <c r="H764" s="194">
        <v>3207</v>
      </c>
      <c r="I764" s="194">
        <v>2381</v>
      </c>
      <c r="J764" s="194">
        <v>0</v>
      </c>
      <c r="K764" s="193">
        <f t="shared" si="158"/>
        <v>5588</v>
      </c>
      <c r="L764" s="194">
        <v>2829</v>
      </c>
      <c r="M764" s="194">
        <v>2897</v>
      </c>
      <c r="N764" s="194">
        <v>0</v>
      </c>
      <c r="O764" s="193">
        <f t="shared" si="159"/>
        <v>5726</v>
      </c>
      <c r="P764" s="194">
        <v>912</v>
      </c>
      <c r="Q764" s="194">
        <v>441</v>
      </c>
      <c r="R764" s="194">
        <v>0</v>
      </c>
      <c r="S764" s="193">
        <f t="shared" si="160"/>
        <v>1353</v>
      </c>
      <c r="T764" s="193">
        <f t="shared" si="161"/>
        <v>422.23333333333335</v>
      </c>
      <c r="U764" s="193">
        <f ca="1">OFFSET('Expenditure Study'!$B$7,'Operations Support'!$C764,'Operations Support'!$B764)*$G764</f>
        <v>24067.3</v>
      </c>
      <c r="V764" s="199">
        <f ca="1">U764*'Expenditure Study'!$B$31</f>
        <v>1421972.6372678401</v>
      </c>
      <c r="W764" s="199">
        <f ca="1">IF(A764=10298,1.51,1)*IF($B764&lt;3,$D764*'Expenditure Study'!$B$32*OFFSET('Expenditure Study'!$B$7,'Operations Support'!$C764,'Operations Support'!$B764),0)</f>
        <v>1320.1200000000001</v>
      </c>
      <c r="X764" s="200">
        <f ca="1">W764*'Expenditure Study'!$B$31</f>
        <v>77996.888637696014</v>
      </c>
      <c r="Y764" s="199">
        <f ca="1">U764*'Expenditure Study'!$B$31</f>
        <v>1421972.6372678401</v>
      </c>
      <c r="Z764" s="200">
        <f ca="1">W764*'Expenditure Study'!$B$31</f>
        <v>77996.888637696014</v>
      </c>
      <c r="AA764" s="195">
        <f t="shared" ca="1" si="162"/>
        <v>1499969.525905536</v>
      </c>
      <c r="AB764" s="195">
        <f t="shared" ca="1" si="163"/>
        <v>1499969.525905536</v>
      </c>
      <c r="AD764" s="196">
        <f>IFERROR($G764/SUMIF($A:$A,$A764,$G:$G)*SUMIF(Summary!$A$166:$A$242,$A764,Summary!$P$166:$P$242),0)</f>
        <v>337150.42423316994</v>
      </c>
      <c r="AE764" s="197">
        <f t="shared" ca="1" si="164"/>
        <v>1162819.101672366</v>
      </c>
      <c r="AF764" s="196">
        <f>IFERROR(G764/SUMIF(A:A,A764,G:G)*SUMIF(Summary!$A$166:$A$242,'Operations Support'!A764,Summary!$Q$166:$Q$242),0)</f>
        <v>337906.82134821749</v>
      </c>
      <c r="AG764" s="196">
        <f t="shared" ca="1" si="165"/>
        <v>1162062.7045573185</v>
      </c>
      <c r="AI764" s="196">
        <f>IFERROR($G764/SUMIF($A:$A,$A764,$G:$G)*SUMIF(Summary!$A$247:$A$283,$A764,Summary!$P$247:$P$283),0)</f>
        <v>61487.823885078447</v>
      </c>
      <c r="AJ764" s="196">
        <f>IFERROR($G764/SUMIF($A:$A,$A764,$G:$G)*(SUMIF(Summary!$A$247:$A$283,$A764,Summary!$L$247:$L$283)+SUMIF(Summary!$A$297:$A$333,$A764,Summary!$L$297:$L$333))-AI764,0)</f>
        <v>210130.4976726897</v>
      </c>
      <c r="AK764" s="196">
        <f>IFERROR($G764/SUMIF($A:$A,$A764,$G:$G)*SUMIF(Summary!$A$247:$A$283,$A764,Summary!$Q$247:$Q$283),0)</f>
        <v>61625.771843183524</v>
      </c>
      <c r="AL764" s="196">
        <f>IFERROR($G764/SUMIF($A:$A,$A764,$G:$G)*(SUMIF(Summary!$A$247:$A$283,$A764,Summary!$L$247:$L$283)+SUMIF(Summary!$A$297:$A$333,$A764,Summary!$L$297:$L$333))-AK764,0)</f>
        <v>209992.54971458463</v>
      </c>
      <c r="AM764" s="198"/>
      <c r="AN764" s="196">
        <f t="shared" ca="1" si="166"/>
        <v>1372949.5993450556</v>
      </c>
      <c r="AO764" s="196">
        <f t="shared" ca="1" si="167"/>
        <v>1372055.2542719031</v>
      </c>
    </row>
    <row r="765" spans="1:41">
      <c r="A765" s="189">
        <v>3606</v>
      </c>
      <c r="B765" s="203">
        <v>2</v>
      </c>
      <c r="C765" s="191" t="s">
        <v>224</v>
      </c>
      <c r="D765" s="192">
        <f t="shared" si="154"/>
        <v>6017</v>
      </c>
      <c r="E765" s="192">
        <f t="shared" si="155"/>
        <v>1737</v>
      </c>
      <c r="F765" s="192">
        <f t="shared" si="156"/>
        <v>0</v>
      </c>
      <c r="G765" s="193">
        <f t="shared" si="157"/>
        <v>7754</v>
      </c>
      <c r="H765" s="194">
        <v>2351</v>
      </c>
      <c r="I765" s="194">
        <v>792</v>
      </c>
      <c r="J765" s="194">
        <v>0</v>
      </c>
      <c r="K765" s="193">
        <f t="shared" si="158"/>
        <v>3143</v>
      </c>
      <c r="L765" s="194">
        <v>2548</v>
      </c>
      <c r="M765" s="194">
        <v>540</v>
      </c>
      <c r="N765" s="194">
        <v>0</v>
      </c>
      <c r="O765" s="193">
        <f t="shared" si="159"/>
        <v>3088</v>
      </c>
      <c r="P765" s="194">
        <v>1118</v>
      </c>
      <c r="Q765" s="194">
        <v>405</v>
      </c>
      <c r="R765" s="194">
        <v>0</v>
      </c>
      <c r="S765" s="193">
        <f t="shared" si="160"/>
        <v>1523</v>
      </c>
      <c r="T765" s="193">
        <f t="shared" si="161"/>
        <v>258.46666666666664</v>
      </c>
      <c r="U765" s="193">
        <f ca="1">OFFSET('Expenditure Study'!$B$7,'Operations Support'!$C765,'Operations Support'!$B765)*$G765</f>
        <v>17601.580000000002</v>
      </c>
      <c r="V765" s="199">
        <f ca="1">U765*'Expenditure Study'!$B$31</f>
        <v>1039957.3335056641</v>
      </c>
      <c r="W765" s="199">
        <f ca="1">IF(A765=10298,1.51,1)*IF($B765&lt;3,$D765*'Expenditure Study'!$B$32*OFFSET('Expenditure Study'!$B$7,'Operations Support'!$C765,'Operations Support'!$B765),0)</f>
        <v>1365.8590000000002</v>
      </c>
      <c r="X765" s="200">
        <f ca="1">W765*'Expenditure Study'!$B$31</f>
        <v>80699.29424430721</v>
      </c>
      <c r="Y765" s="199">
        <f ca="1">U765*'Expenditure Study'!$B$31</f>
        <v>1039957.3335056641</v>
      </c>
      <c r="Z765" s="200">
        <f ca="1">W765*'Expenditure Study'!$B$31</f>
        <v>80699.29424430721</v>
      </c>
      <c r="AA765" s="195">
        <f t="shared" ca="1" si="162"/>
        <v>1120656.6277499713</v>
      </c>
      <c r="AB765" s="195">
        <f t="shared" ca="1" si="163"/>
        <v>1120656.6277499713</v>
      </c>
      <c r="AD765" s="196">
        <f>IFERROR($G765/SUMIF($A:$A,$A765,$G:$G)*SUMIF(Summary!$A$166:$A$242,$A765,Summary!$P$166:$P$242),0)</f>
        <v>206383.8627539275</v>
      </c>
      <c r="AE765" s="197">
        <f t="shared" ca="1" si="164"/>
        <v>914272.76499604387</v>
      </c>
      <c r="AF765" s="196">
        <f>IFERROR(G765/SUMIF(A:A,A765,G:G)*SUMIF(Summary!$A$166:$A$242,'Operations Support'!A765,Summary!$Q$166:$Q$242),0)</f>
        <v>206846.88503466317</v>
      </c>
      <c r="AG765" s="196">
        <f t="shared" ca="1" si="165"/>
        <v>913809.74271530821</v>
      </c>
      <c r="AI765" s="196">
        <f>IFERROR($G765/SUMIF($A:$A,$A765,$G:$G)*SUMIF(Summary!$A$247:$A$283,$A765,Summary!$P$247:$P$283),0)</f>
        <v>37639.266314431065</v>
      </c>
      <c r="AJ765" s="196">
        <f>IFERROR($G765/SUMIF($A:$A,$A765,$G:$G)*(SUMIF(Summary!$A$247:$A$283,$A765,Summary!$L$247:$L$283)+SUMIF(Summary!$A$297:$A$333,$A765,Summary!$L$297:$L$333))-AI765,0)</f>
        <v>128629.65808431644</v>
      </c>
      <c r="AK765" s="196">
        <f>IFERROR($G765/SUMIF($A:$A,$A765,$G:$G)*SUMIF(Summary!$A$247:$A$283,$A765,Summary!$Q$247:$Q$283),0)</f>
        <v>37723.710023845037</v>
      </c>
      <c r="AL765" s="196">
        <f>IFERROR($G765/SUMIF($A:$A,$A765,$G:$G)*(SUMIF(Summary!$A$247:$A$283,$A765,Summary!$L$247:$L$283)+SUMIF(Summary!$A$297:$A$333,$A765,Summary!$L$297:$L$333))-AK765,0)</f>
        <v>128545.21437490247</v>
      </c>
      <c r="AM765" s="198"/>
      <c r="AN765" s="196">
        <f t="shared" ca="1" si="166"/>
        <v>1042902.4230803603</v>
      </c>
      <c r="AO765" s="196">
        <f t="shared" ca="1" si="167"/>
        <v>1042354.9570902106</v>
      </c>
    </row>
    <row r="766" spans="1:41">
      <c r="A766" s="189">
        <v>3606</v>
      </c>
      <c r="B766" s="203">
        <v>2</v>
      </c>
      <c r="C766" s="191" t="s">
        <v>225</v>
      </c>
      <c r="D766" s="192">
        <f t="shared" si="154"/>
        <v>1962</v>
      </c>
      <c r="E766" s="192">
        <f t="shared" si="155"/>
        <v>696</v>
      </c>
      <c r="F766" s="192">
        <f t="shared" si="156"/>
        <v>0</v>
      </c>
      <c r="G766" s="193">
        <f t="shared" si="157"/>
        <v>2658</v>
      </c>
      <c r="H766" s="194">
        <v>1166</v>
      </c>
      <c r="I766" s="194">
        <v>276</v>
      </c>
      <c r="J766" s="194">
        <v>0</v>
      </c>
      <c r="K766" s="193">
        <f t="shared" si="158"/>
        <v>1442</v>
      </c>
      <c r="L766" s="194">
        <v>793</v>
      </c>
      <c r="M766" s="194">
        <v>402</v>
      </c>
      <c r="N766" s="194">
        <v>0</v>
      </c>
      <c r="O766" s="193">
        <f t="shared" si="159"/>
        <v>1195</v>
      </c>
      <c r="P766" s="194">
        <v>3</v>
      </c>
      <c r="Q766" s="194">
        <v>18</v>
      </c>
      <c r="R766" s="194">
        <v>0</v>
      </c>
      <c r="S766" s="193">
        <f t="shared" si="160"/>
        <v>21</v>
      </c>
      <c r="T766" s="193">
        <f t="shared" si="161"/>
        <v>88.6</v>
      </c>
      <c r="U766" s="193">
        <f ca="1">OFFSET('Expenditure Study'!$B$7,'Operations Support'!$C766,'Operations Support'!$B766)*$G766</f>
        <v>7442.4</v>
      </c>
      <c r="V766" s="199">
        <f ca="1">U766*'Expenditure Study'!$B$31</f>
        <v>439720.66478592</v>
      </c>
      <c r="W766" s="199">
        <f ca="1">IF(A766=10298,1.51,1)*IF($B766&lt;3,$D766*'Expenditure Study'!$B$32*OFFSET('Expenditure Study'!$B$7,'Operations Support'!$C766,'Operations Support'!$B766),0)</f>
        <v>549.36</v>
      </c>
      <c r="X766" s="200">
        <f ca="1">W766*'Expenditure Study'!$B$31</f>
        <v>32457.936204288002</v>
      </c>
      <c r="Y766" s="199">
        <f ca="1">U766*'Expenditure Study'!$B$31</f>
        <v>439720.66478592</v>
      </c>
      <c r="Z766" s="200">
        <f ca="1">W766*'Expenditure Study'!$B$31</f>
        <v>32457.936204288002</v>
      </c>
      <c r="AA766" s="195">
        <f t="shared" ca="1" si="162"/>
        <v>472178.60099020798</v>
      </c>
      <c r="AB766" s="195">
        <f t="shared" ca="1" si="163"/>
        <v>472178.60099020798</v>
      </c>
      <c r="AD766" s="196">
        <f>IFERROR($G766/SUMIF($A:$A,$A766,$G:$G)*SUMIF(Summary!$A$166:$A$242,$A766,Summary!$P$166:$P$242),0)</f>
        <v>70746.493061637782</v>
      </c>
      <c r="AE766" s="197">
        <f t="shared" ca="1" si="164"/>
        <v>401432.10792857019</v>
      </c>
      <c r="AF766" s="196">
        <f>IFERROR(G766/SUMIF(A:A,A766,G:G)*SUMIF(Summary!$A$166:$A$242,'Operations Support'!A766,Summary!$Q$166:$Q$242),0)</f>
        <v>70905.212847837858</v>
      </c>
      <c r="AG766" s="196">
        <f t="shared" ca="1" si="165"/>
        <v>401273.38814237015</v>
      </c>
      <c r="AI766" s="196">
        <f>IFERROR($G766/SUMIF($A:$A,$A766,$G:$G)*SUMIF(Summary!$A$247:$A$283,$A766,Summary!$P$247:$P$283),0)</f>
        <v>12902.394875387899</v>
      </c>
      <c r="AJ766" s="196">
        <f>IFERROR($G766/SUMIF($A:$A,$A766,$G:$G)*(SUMIF(Summary!$A$247:$A$283,$A766,Summary!$L$247:$L$283)+SUMIF(Summary!$A$297:$A$333,$A766,Summary!$L$297:$L$333))-AI766,0)</f>
        <v>44093.065667798954</v>
      </c>
      <c r="AK766" s="196">
        <f>IFERROR($G766/SUMIF($A:$A,$A766,$G:$G)*SUMIF(Summary!$A$247:$A$283,$A766,Summary!$Q$247:$Q$283),0)</f>
        <v>12931.341403582681</v>
      </c>
      <c r="AL766" s="196">
        <f>IFERROR($G766/SUMIF($A:$A,$A766,$G:$G)*(SUMIF(Summary!$A$247:$A$283,$A766,Summary!$L$247:$L$283)+SUMIF(Summary!$A$297:$A$333,$A766,Summary!$L$297:$L$333))-AK766,0)</f>
        <v>44064.119139604176</v>
      </c>
      <c r="AM766" s="198"/>
      <c r="AN766" s="196">
        <f t="shared" ca="1" si="166"/>
        <v>445525.17359636916</v>
      </c>
      <c r="AO766" s="196">
        <f t="shared" ca="1" si="167"/>
        <v>445337.50728197431</v>
      </c>
    </row>
    <row r="767" spans="1:41">
      <c r="A767" s="189">
        <v>3606</v>
      </c>
      <c r="B767" s="203">
        <v>2</v>
      </c>
      <c r="C767" s="191" t="s">
        <v>226</v>
      </c>
      <c r="D767" s="192">
        <f t="shared" si="154"/>
        <v>463</v>
      </c>
      <c r="E767" s="192">
        <f t="shared" si="155"/>
        <v>417</v>
      </c>
      <c r="F767" s="192">
        <f t="shared" si="156"/>
        <v>0</v>
      </c>
      <c r="G767" s="193">
        <f t="shared" si="157"/>
        <v>880</v>
      </c>
      <c r="H767" s="194">
        <v>313</v>
      </c>
      <c r="I767" s="194">
        <v>150</v>
      </c>
      <c r="J767" s="194">
        <v>0</v>
      </c>
      <c r="K767" s="193">
        <f t="shared" si="158"/>
        <v>463</v>
      </c>
      <c r="L767" s="194">
        <v>150</v>
      </c>
      <c r="M767" s="194">
        <v>192</v>
      </c>
      <c r="N767" s="194">
        <v>0</v>
      </c>
      <c r="O767" s="193">
        <f t="shared" si="159"/>
        <v>342</v>
      </c>
      <c r="P767" s="194">
        <v>0</v>
      </c>
      <c r="Q767" s="194">
        <v>75</v>
      </c>
      <c r="R767" s="194">
        <v>0</v>
      </c>
      <c r="S767" s="193">
        <f t="shared" si="160"/>
        <v>75</v>
      </c>
      <c r="T767" s="193">
        <f t="shared" si="161"/>
        <v>29.333333333333332</v>
      </c>
      <c r="U767" s="193">
        <f ca="1">OFFSET('Expenditure Study'!$B$7,'Operations Support'!$C767,'Operations Support'!$B767)*$G767</f>
        <v>1584</v>
      </c>
      <c r="V767" s="199">
        <f ca="1">U767*'Expenditure Study'!$B$31</f>
        <v>93587.758387199996</v>
      </c>
      <c r="W767" s="199">
        <f ca="1">IF(A767=10298,1.51,1)*IF($B767&lt;3,$D767*'Expenditure Study'!$B$32*OFFSET('Expenditure Study'!$B$7,'Operations Support'!$C767,'Operations Support'!$B767),0)</f>
        <v>83.34</v>
      </c>
      <c r="X767" s="200">
        <f ca="1">W767*'Expenditure Study'!$B$31</f>
        <v>4923.9922878719999</v>
      </c>
      <c r="Y767" s="199">
        <f ca="1">U767*'Expenditure Study'!$B$31</f>
        <v>93587.758387199996</v>
      </c>
      <c r="Z767" s="200">
        <f ca="1">W767*'Expenditure Study'!$B$31</f>
        <v>4923.9922878719999</v>
      </c>
      <c r="AA767" s="195">
        <f t="shared" ca="1" si="162"/>
        <v>98511.750675071991</v>
      </c>
      <c r="AB767" s="195">
        <f t="shared" ca="1" si="163"/>
        <v>98511.750675071991</v>
      </c>
      <c r="AD767" s="196">
        <f>IFERROR($G767/SUMIF($A:$A,$A767,$G:$G)*SUMIF(Summary!$A$166:$A$242,$A767,Summary!$P$166:$P$242),0)</f>
        <v>23422.465723943282</v>
      </c>
      <c r="AE767" s="197">
        <f t="shared" ca="1" si="164"/>
        <v>75089.284951128706</v>
      </c>
      <c r="AF767" s="196">
        <f>IFERROR(G767/SUMIF(A:A,A767,G:G)*SUMIF(Summary!$A$166:$A$242,'Operations Support'!A767,Summary!$Q$166:$Q$242),0)</f>
        <v>23475.014035401549</v>
      </c>
      <c r="AG767" s="196">
        <f t="shared" ca="1" si="165"/>
        <v>75036.736639670446</v>
      </c>
      <c r="AI767" s="196">
        <f>IFERROR($G767/SUMIF($A:$A,$A767,$G:$G)*SUMIF(Summary!$A$247:$A$283,$A767,Summary!$P$247:$P$283),0)</f>
        <v>4271.6732469305316</v>
      </c>
      <c r="AJ767" s="196">
        <f>IFERROR($G767/SUMIF($A:$A,$A767,$G:$G)*(SUMIF(Summary!$A$247:$A$283,$A767,Summary!$L$247:$L$283)+SUMIF(Summary!$A$297:$A$333,$A767,Summary!$L$297:$L$333))-AI767,0)</f>
        <v>14598.155676321698</v>
      </c>
      <c r="AK767" s="196">
        <f>IFERROR($G767/SUMIF($A:$A,$A767,$G:$G)*SUMIF(Summary!$A$247:$A$283,$A767,Summary!$Q$247:$Q$283),0)</f>
        <v>4281.2567476120239</v>
      </c>
      <c r="AL767" s="196">
        <f>IFERROR($G767/SUMIF($A:$A,$A767,$G:$G)*(SUMIF(Summary!$A$247:$A$283,$A767,Summary!$L$247:$L$283)+SUMIF(Summary!$A$297:$A$333,$A767,Summary!$L$297:$L$333))-AK767,0)</f>
        <v>14588.572175640205</v>
      </c>
      <c r="AM767" s="198"/>
      <c r="AN767" s="196">
        <f t="shared" ca="1" si="166"/>
        <v>89687.4406274504</v>
      </c>
      <c r="AO767" s="196">
        <f t="shared" ca="1" si="167"/>
        <v>89625.308815310651</v>
      </c>
    </row>
    <row r="768" spans="1:41">
      <c r="A768" s="189">
        <v>3606</v>
      </c>
      <c r="B768" s="203">
        <v>2</v>
      </c>
      <c r="C768" s="191" t="s">
        <v>227</v>
      </c>
      <c r="D768" s="192">
        <f t="shared" si="154"/>
        <v>0</v>
      </c>
      <c r="E768" s="192">
        <f t="shared" si="155"/>
        <v>0</v>
      </c>
      <c r="F768" s="192">
        <f t="shared" si="156"/>
        <v>0</v>
      </c>
      <c r="G768" s="193">
        <f t="shared" si="157"/>
        <v>0</v>
      </c>
      <c r="H768" s="194">
        <v>0</v>
      </c>
      <c r="I768" s="194">
        <v>0</v>
      </c>
      <c r="J768" s="194">
        <v>0</v>
      </c>
      <c r="K768" s="193">
        <f t="shared" si="158"/>
        <v>0</v>
      </c>
      <c r="L768" s="194">
        <v>0</v>
      </c>
      <c r="M768" s="194">
        <v>0</v>
      </c>
      <c r="N768" s="194">
        <v>0</v>
      </c>
      <c r="O768" s="193">
        <f t="shared" si="159"/>
        <v>0</v>
      </c>
      <c r="P768" s="194">
        <v>0</v>
      </c>
      <c r="Q768" s="194">
        <v>0</v>
      </c>
      <c r="R768" s="194">
        <v>0</v>
      </c>
      <c r="S768" s="193">
        <f t="shared" si="160"/>
        <v>0</v>
      </c>
      <c r="T768" s="193">
        <f t="shared" si="161"/>
        <v>0</v>
      </c>
      <c r="U768" s="193">
        <f ca="1">OFFSET('Expenditure Study'!$B$7,'Operations Support'!$C768,'Operations Support'!$B768)*$G768</f>
        <v>0</v>
      </c>
      <c r="V768" s="199">
        <f ca="1">U768*'Expenditure Study'!$B$31</f>
        <v>0</v>
      </c>
      <c r="W768" s="199">
        <f ca="1">IF(A768=10298,1.51,1)*IF($B768&lt;3,$D768*'Expenditure Study'!$B$32*OFFSET('Expenditure Study'!$B$7,'Operations Support'!$C768,'Operations Support'!$B768),0)</f>
        <v>0</v>
      </c>
      <c r="X768" s="200">
        <f ca="1">W768*'Expenditure Study'!$B$31</f>
        <v>0</v>
      </c>
      <c r="Y768" s="199">
        <f ca="1">U768*'Expenditure Study'!$B$31</f>
        <v>0</v>
      </c>
      <c r="Z768" s="200">
        <f ca="1">W768*'Expenditure Study'!$B$31</f>
        <v>0</v>
      </c>
      <c r="AA768" s="195">
        <f t="shared" ca="1" si="162"/>
        <v>0</v>
      </c>
      <c r="AB768" s="195">
        <f t="shared" ca="1" si="163"/>
        <v>0</v>
      </c>
      <c r="AD768" s="196">
        <f>IFERROR($G768/SUMIF($A:$A,$A768,$G:$G)*SUMIF(Summary!$A$166:$A$242,$A768,Summary!$P$166:$P$242),0)</f>
        <v>0</v>
      </c>
      <c r="AE768" s="197">
        <f t="shared" ca="1" si="164"/>
        <v>0</v>
      </c>
      <c r="AF768" s="196">
        <f>IFERROR(G768/SUMIF(A:A,A768,G:G)*SUMIF(Summary!$A$166:$A$242,'Operations Support'!A768,Summary!$Q$166:$Q$242),0)</f>
        <v>0</v>
      </c>
      <c r="AG768" s="196">
        <f t="shared" ca="1" si="165"/>
        <v>0</v>
      </c>
      <c r="AI768" s="196">
        <f>IFERROR($G768/SUMIF($A:$A,$A768,$G:$G)*SUMIF(Summary!$A$247:$A$283,$A768,Summary!$P$247:$P$283),0)</f>
        <v>0</v>
      </c>
      <c r="AJ768" s="196">
        <f>IFERROR($G768/SUMIF($A:$A,$A768,$G:$G)*(SUMIF(Summary!$A$247:$A$283,$A768,Summary!$L$247:$L$283)+SUMIF(Summary!$A$297:$A$333,$A768,Summary!$L$297:$L$333))-AI768,0)</f>
        <v>0</v>
      </c>
      <c r="AK768" s="196">
        <f>IFERROR($G768/SUMIF($A:$A,$A768,$G:$G)*SUMIF(Summary!$A$247:$A$283,$A768,Summary!$Q$247:$Q$283),0)</f>
        <v>0</v>
      </c>
      <c r="AL768" s="196">
        <f>IFERROR($G768/SUMIF($A:$A,$A768,$G:$G)*(SUMIF(Summary!$A$247:$A$283,$A768,Summary!$L$247:$L$283)+SUMIF(Summary!$A$297:$A$333,$A768,Summary!$L$297:$L$333))-AK768,0)</f>
        <v>0</v>
      </c>
      <c r="AM768" s="198"/>
      <c r="AN768" s="196">
        <f t="shared" ca="1" si="166"/>
        <v>0</v>
      </c>
      <c r="AO768" s="196">
        <f t="shared" ca="1" si="167"/>
        <v>0</v>
      </c>
    </row>
    <row r="769" spans="1:41">
      <c r="A769" s="189">
        <v>3606</v>
      </c>
      <c r="B769" s="203">
        <v>2</v>
      </c>
      <c r="C769" s="191" t="s">
        <v>228</v>
      </c>
      <c r="D769" s="192">
        <f t="shared" si="154"/>
        <v>0</v>
      </c>
      <c r="E769" s="192">
        <f t="shared" si="155"/>
        <v>0</v>
      </c>
      <c r="F769" s="192">
        <f t="shared" si="156"/>
        <v>0</v>
      </c>
      <c r="G769" s="193">
        <f t="shared" si="157"/>
        <v>0</v>
      </c>
      <c r="H769" s="194">
        <v>0</v>
      </c>
      <c r="I769" s="194">
        <v>0</v>
      </c>
      <c r="J769" s="194">
        <v>0</v>
      </c>
      <c r="K769" s="193">
        <f t="shared" si="158"/>
        <v>0</v>
      </c>
      <c r="L769" s="194">
        <v>0</v>
      </c>
      <c r="M769" s="194">
        <v>0</v>
      </c>
      <c r="N769" s="194">
        <v>0</v>
      </c>
      <c r="O769" s="193">
        <f t="shared" si="159"/>
        <v>0</v>
      </c>
      <c r="P769" s="194">
        <v>0</v>
      </c>
      <c r="Q769" s="194">
        <v>0</v>
      </c>
      <c r="R769" s="194">
        <v>0</v>
      </c>
      <c r="S769" s="193">
        <f t="shared" si="160"/>
        <v>0</v>
      </c>
      <c r="T769" s="193">
        <f t="shared" si="161"/>
        <v>0</v>
      </c>
      <c r="U769" s="193">
        <f ca="1">OFFSET('Expenditure Study'!$B$7,'Operations Support'!$C769,'Operations Support'!$B769)*$G769</f>
        <v>0</v>
      </c>
      <c r="V769" s="199">
        <f ca="1">U769*'Expenditure Study'!$B$31</f>
        <v>0</v>
      </c>
      <c r="W769" s="199">
        <f ca="1">IF(A769=10298,1.51,1)*IF($B769&lt;3,$D769*'Expenditure Study'!$B$32*OFFSET('Expenditure Study'!$B$7,'Operations Support'!$C769,'Operations Support'!$B769),0)</f>
        <v>0</v>
      </c>
      <c r="X769" s="200">
        <f ca="1">W769*'Expenditure Study'!$B$31</f>
        <v>0</v>
      </c>
      <c r="Y769" s="199">
        <f ca="1">U769*'Expenditure Study'!$B$31</f>
        <v>0</v>
      </c>
      <c r="Z769" s="200">
        <f ca="1">W769*'Expenditure Study'!$B$31</f>
        <v>0</v>
      </c>
      <c r="AA769" s="195">
        <f t="shared" ca="1" si="162"/>
        <v>0</v>
      </c>
      <c r="AB769" s="195">
        <f t="shared" ca="1" si="163"/>
        <v>0</v>
      </c>
      <c r="AD769" s="196">
        <f>IFERROR($G769/SUMIF($A:$A,$A769,$G:$G)*SUMIF(Summary!$A$166:$A$242,$A769,Summary!$P$166:$P$242),0)</f>
        <v>0</v>
      </c>
      <c r="AE769" s="197">
        <f t="shared" ca="1" si="164"/>
        <v>0</v>
      </c>
      <c r="AF769" s="196">
        <f>IFERROR(G769/SUMIF(A:A,A769,G:G)*SUMIF(Summary!$A$166:$A$242,'Operations Support'!A769,Summary!$Q$166:$Q$242),0)</f>
        <v>0</v>
      </c>
      <c r="AG769" s="196">
        <f t="shared" ca="1" si="165"/>
        <v>0</v>
      </c>
      <c r="AI769" s="196">
        <f>IFERROR($G769/SUMIF($A:$A,$A769,$G:$G)*SUMIF(Summary!$A$247:$A$283,$A769,Summary!$P$247:$P$283),0)</f>
        <v>0</v>
      </c>
      <c r="AJ769" s="196">
        <f>IFERROR($G769/SUMIF($A:$A,$A769,$G:$G)*(SUMIF(Summary!$A$247:$A$283,$A769,Summary!$L$247:$L$283)+SUMIF(Summary!$A$297:$A$333,$A769,Summary!$L$297:$L$333))-AI769,0)</f>
        <v>0</v>
      </c>
      <c r="AK769" s="196">
        <f>IFERROR($G769/SUMIF($A:$A,$A769,$G:$G)*SUMIF(Summary!$A$247:$A$283,$A769,Summary!$Q$247:$Q$283),0)</f>
        <v>0</v>
      </c>
      <c r="AL769" s="196">
        <f>IFERROR($G769/SUMIF($A:$A,$A769,$G:$G)*(SUMIF(Summary!$A$247:$A$283,$A769,Summary!$L$247:$L$283)+SUMIF(Summary!$A$297:$A$333,$A769,Summary!$L$297:$L$333))-AK769,0)</f>
        <v>0</v>
      </c>
      <c r="AM769" s="198"/>
      <c r="AN769" s="196">
        <f t="shared" ca="1" si="166"/>
        <v>0</v>
      </c>
      <c r="AO769" s="196">
        <f t="shared" ca="1" si="167"/>
        <v>0</v>
      </c>
    </row>
    <row r="770" spans="1:41">
      <c r="A770" s="189">
        <v>3606</v>
      </c>
      <c r="B770" s="203">
        <v>2</v>
      </c>
      <c r="C770" s="191" t="s">
        <v>229</v>
      </c>
      <c r="D770" s="192">
        <f t="shared" si="154"/>
        <v>0</v>
      </c>
      <c r="E770" s="192">
        <f t="shared" si="155"/>
        <v>0</v>
      </c>
      <c r="F770" s="192">
        <f t="shared" si="156"/>
        <v>0</v>
      </c>
      <c r="G770" s="193">
        <f t="shared" si="157"/>
        <v>0</v>
      </c>
      <c r="H770" s="194">
        <v>0</v>
      </c>
      <c r="I770" s="194">
        <v>0</v>
      </c>
      <c r="J770" s="194">
        <v>0</v>
      </c>
      <c r="K770" s="193">
        <f t="shared" si="158"/>
        <v>0</v>
      </c>
      <c r="L770" s="194">
        <v>0</v>
      </c>
      <c r="M770" s="194">
        <v>0</v>
      </c>
      <c r="N770" s="194">
        <v>0</v>
      </c>
      <c r="O770" s="193">
        <f t="shared" si="159"/>
        <v>0</v>
      </c>
      <c r="P770" s="194">
        <v>0</v>
      </c>
      <c r="Q770" s="194">
        <v>0</v>
      </c>
      <c r="R770" s="194">
        <v>0</v>
      </c>
      <c r="S770" s="193">
        <f t="shared" si="160"/>
        <v>0</v>
      </c>
      <c r="T770" s="193">
        <f t="shared" si="161"/>
        <v>0</v>
      </c>
      <c r="U770" s="193">
        <f ca="1">OFFSET('Expenditure Study'!$B$7,'Operations Support'!$C770,'Operations Support'!$B770)*$G770</f>
        <v>0</v>
      </c>
      <c r="V770" s="199">
        <f ca="1">U770*'Expenditure Study'!$B$31</f>
        <v>0</v>
      </c>
      <c r="W770" s="199">
        <f ca="1">IF(A770=10298,1.51,1)*IF($B770&lt;3,$D770*'Expenditure Study'!$B$32*OFFSET('Expenditure Study'!$B$7,'Operations Support'!$C770,'Operations Support'!$B770),0)</f>
        <v>0</v>
      </c>
      <c r="X770" s="200">
        <f ca="1">W770*'Expenditure Study'!$B$31</f>
        <v>0</v>
      </c>
      <c r="Y770" s="199">
        <f ca="1">U770*'Expenditure Study'!$B$31</f>
        <v>0</v>
      </c>
      <c r="Z770" s="200">
        <f ca="1">W770*'Expenditure Study'!$B$31</f>
        <v>0</v>
      </c>
      <c r="AA770" s="195">
        <f t="shared" ca="1" si="162"/>
        <v>0</v>
      </c>
      <c r="AB770" s="195">
        <f t="shared" ca="1" si="163"/>
        <v>0</v>
      </c>
      <c r="AD770" s="196">
        <f>IFERROR($G770/SUMIF($A:$A,$A770,$G:$G)*SUMIF(Summary!$A$166:$A$242,$A770,Summary!$P$166:$P$242),0)</f>
        <v>0</v>
      </c>
      <c r="AE770" s="197">
        <f t="shared" ca="1" si="164"/>
        <v>0</v>
      </c>
      <c r="AF770" s="196">
        <f>IFERROR(G770/SUMIF(A:A,A770,G:G)*SUMIF(Summary!$A$166:$A$242,'Operations Support'!A770,Summary!$Q$166:$Q$242),0)</f>
        <v>0</v>
      </c>
      <c r="AG770" s="196">
        <f t="shared" ca="1" si="165"/>
        <v>0</v>
      </c>
      <c r="AI770" s="196">
        <f>IFERROR($G770/SUMIF($A:$A,$A770,$G:$G)*SUMIF(Summary!$A$247:$A$283,$A770,Summary!$P$247:$P$283),0)</f>
        <v>0</v>
      </c>
      <c r="AJ770" s="196">
        <f>IFERROR($G770/SUMIF($A:$A,$A770,$G:$G)*(SUMIF(Summary!$A$247:$A$283,$A770,Summary!$L$247:$L$283)+SUMIF(Summary!$A$297:$A$333,$A770,Summary!$L$297:$L$333))-AI770,0)</f>
        <v>0</v>
      </c>
      <c r="AK770" s="196">
        <f>IFERROR($G770/SUMIF($A:$A,$A770,$G:$G)*SUMIF(Summary!$A$247:$A$283,$A770,Summary!$Q$247:$Q$283),0)</f>
        <v>0</v>
      </c>
      <c r="AL770" s="196">
        <f>IFERROR($G770/SUMIF($A:$A,$A770,$G:$G)*(SUMIF(Summary!$A$247:$A$283,$A770,Summary!$L$247:$L$283)+SUMIF(Summary!$A$297:$A$333,$A770,Summary!$L$297:$L$333))-AK770,0)</f>
        <v>0</v>
      </c>
      <c r="AM770" s="198"/>
      <c r="AN770" s="196">
        <f t="shared" ca="1" si="166"/>
        <v>0</v>
      </c>
      <c r="AO770" s="196">
        <f t="shared" ca="1" si="167"/>
        <v>0</v>
      </c>
    </row>
    <row r="771" spans="1:41">
      <c r="A771" s="189">
        <v>3606</v>
      </c>
      <c r="B771" s="203">
        <v>2</v>
      </c>
      <c r="C771" s="191" t="s">
        <v>230</v>
      </c>
      <c r="D771" s="192">
        <f t="shared" si="154"/>
        <v>0</v>
      </c>
      <c r="E771" s="192">
        <f t="shared" si="155"/>
        <v>0</v>
      </c>
      <c r="F771" s="192">
        <f t="shared" si="156"/>
        <v>0</v>
      </c>
      <c r="G771" s="193">
        <f t="shared" si="157"/>
        <v>0</v>
      </c>
      <c r="H771" s="194">
        <v>0</v>
      </c>
      <c r="I771" s="194">
        <v>0</v>
      </c>
      <c r="J771" s="194">
        <v>0</v>
      </c>
      <c r="K771" s="193">
        <f t="shared" si="158"/>
        <v>0</v>
      </c>
      <c r="L771" s="194">
        <v>0</v>
      </c>
      <c r="M771" s="194">
        <v>0</v>
      </c>
      <c r="N771" s="194">
        <v>0</v>
      </c>
      <c r="O771" s="193">
        <f t="shared" si="159"/>
        <v>0</v>
      </c>
      <c r="P771" s="194">
        <v>0</v>
      </c>
      <c r="Q771" s="194">
        <v>0</v>
      </c>
      <c r="R771" s="194">
        <v>0</v>
      </c>
      <c r="S771" s="193">
        <f t="shared" si="160"/>
        <v>0</v>
      </c>
      <c r="T771" s="193">
        <f t="shared" si="161"/>
        <v>0</v>
      </c>
      <c r="U771" s="193">
        <f ca="1">OFFSET('Expenditure Study'!$B$7,'Operations Support'!$C771,'Operations Support'!$B771)*$G771</f>
        <v>0</v>
      </c>
      <c r="V771" s="199">
        <f ca="1">U771*'Expenditure Study'!$B$31</f>
        <v>0</v>
      </c>
      <c r="W771" s="199">
        <f ca="1">IF(A771=10298,1.51,1)*IF($B771&lt;3,$D771*'Expenditure Study'!$B$32*OFFSET('Expenditure Study'!$B$7,'Operations Support'!$C771,'Operations Support'!$B771),0)</f>
        <v>0</v>
      </c>
      <c r="X771" s="200">
        <f ca="1">W771*'Expenditure Study'!$B$31</f>
        <v>0</v>
      </c>
      <c r="Y771" s="199">
        <f ca="1">U771*'Expenditure Study'!$B$31</f>
        <v>0</v>
      </c>
      <c r="Z771" s="200">
        <f ca="1">W771*'Expenditure Study'!$B$31</f>
        <v>0</v>
      </c>
      <c r="AA771" s="195">
        <f t="shared" ca="1" si="162"/>
        <v>0</v>
      </c>
      <c r="AB771" s="195">
        <f t="shared" ca="1" si="163"/>
        <v>0</v>
      </c>
      <c r="AD771" s="196">
        <f>IFERROR($G771/SUMIF($A:$A,$A771,$G:$G)*SUMIF(Summary!$A$166:$A$242,$A771,Summary!$P$166:$P$242),0)</f>
        <v>0</v>
      </c>
      <c r="AE771" s="197">
        <f t="shared" ca="1" si="164"/>
        <v>0</v>
      </c>
      <c r="AF771" s="196">
        <f>IFERROR(G771/SUMIF(A:A,A771,G:G)*SUMIF(Summary!$A$166:$A$242,'Operations Support'!A771,Summary!$Q$166:$Q$242),0)</f>
        <v>0</v>
      </c>
      <c r="AG771" s="196">
        <f t="shared" ca="1" si="165"/>
        <v>0</v>
      </c>
      <c r="AI771" s="196">
        <f>IFERROR($G771/SUMIF($A:$A,$A771,$G:$G)*SUMIF(Summary!$A$247:$A$283,$A771,Summary!$P$247:$P$283),0)</f>
        <v>0</v>
      </c>
      <c r="AJ771" s="196">
        <f>IFERROR($G771/SUMIF($A:$A,$A771,$G:$G)*(SUMIF(Summary!$A$247:$A$283,$A771,Summary!$L$247:$L$283)+SUMIF(Summary!$A$297:$A$333,$A771,Summary!$L$297:$L$333))-AI771,0)</f>
        <v>0</v>
      </c>
      <c r="AK771" s="196">
        <f>IFERROR($G771/SUMIF($A:$A,$A771,$G:$G)*SUMIF(Summary!$A$247:$A$283,$A771,Summary!$Q$247:$Q$283),0)</f>
        <v>0</v>
      </c>
      <c r="AL771" s="196">
        <f>IFERROR($G771/SUMIF($A:$A,$A771,$G:$G)*(SUMIF(Summary!$A$247:$A$283,$A771,Summary!$L$247:$L$283)+SUMIF(Summary!$A$297:$A$333,$A771,Summary!$L$297:$L$333))-AK771,0)</f>
        <v>0</v>
      </c>
      <c r="AM771" s="198"/>
      <c r="AN771" s="196">
        <f t="shared" ca="1" si="166"/>
        <v>0</v>
      </c>
      <c r="AO771" s="196">
        <f t="shared" ca="1" si="167"/>
        <v>0</v>
      </c>
    </row>
    <row r="772" spans="1:41">
      <c r="A772" s="189">
        <v>3606</v>
      </c>
      <c r="B772" s="203">
        <v>2</v>
      </c>
      <c r="C772" s="191" t="s">
        <v>231</v>
      </c>
      <c r="D772" s="192">
        <f t="shared" si="154"/>
        <v>147</v>
      </c>
      <c r="E772" s="192">
        <f t="shared" si="155"/>
        <v>249</v>
      </c>
      <c r="F772" s="192">
        <f t="shared" si="156"/>
        <v>0</v>
      </c>
      <c r="G772" s="193">
        <f t="shared" si="157"/>
        <v>396</v>
      </c>
      <c r="H772" s="194">
        <v>33</v>
      </c>
      <c r="I772" s="194">
        <v>126</v>
      </c>
      <c r="J772" s="194">
        <v>0</v>
      </c>
      <c r="K772" s="193">
        <f t="shared" si="158"/>
        <v>159</v>
      </c>
      <c r="L772" s="194">
        <v>63</v>
      </c>
      <c r="M772" s="194">
        <v>45</v>
      </c>
      <c r="N772" s="194">
        <v>0</v>
      </c>
      <c r="O772" s="193">
        <f t="shared" si="159"/>
        <v>108</v>
      </c>
      <c r="P772" s="194">
        <v>51</v>
      </c>
      <c r="Q772" s="194">
        <v>78</v>
      </c>
      <c r="R772" s="194">
        <v>0</v>
      </c>
      <c r="S772" s="193">
        <f t="shared" si="160"/>
        <v>129</v>
      </c>
      <c r="T772" s="193">
        <f t="shared" si="161"/>
        <v>13.2</v>
      </c>
      <c r="U772" s="193">
        <f ca="1">OFFSET('Expenditure Study'!$B$7,'Operations Support'!$C772,'Operations Support'!$B772)*$G772</f>
        <v>1393.92</v>
      </c>
      <c r="V772" s="199">
        <f ca="1">U772*'Expenditure Study'!$B$31</f>
        <v>82357.227380736003</v>
      </c>
      <c r="W772" s="199">
        <f ca="1">IF(A772=10298,1.51,1)*IF($B772&lt;3,$D772*'Expenditure Study'!$B$32*OFFSET('Expenditure Study'!$B$7,'Operations Support'!$C772,'Operations Support'!$B772),0)</f>
        <v>51.744000000000007</v>
      </c>
      <c r="X772" s="200">
        <f ca="1">W772*'Expenditure Study'!$B$31</f>
        <v>3057.2001073152005</v>
      </c>
      <c r="Y772" s="199">
        <f ca="1">U772*'Expenditure Study'!$B$31</f>
        <v>82357.227380736003</v>
      </c>
      <c r="Z772" s="200">
        <f ca="1">W772*'Expenditure Study'!$B$31</f>
        <v>3057.2001073152005</v>
      </c>
      <c r="AA772" s="195">
        <f t="shared" ca="1" si="162"/>
        <v>85414.427488051209</v>
      </c>
      <c r="AB772" s="195">
        <f t="shared" ca="1" si="163"/>
        <v>85414.427488051209</v>
      </c>
      <c r="AD772" s="196">
        <f>IFERROR($G772/SUMIF($A:$A,$A772,$G:$G)*SUMIF(Summary!$A$166:$A$242,$A772,Summary!$P$166:$P$242),0)</f>
        <v>10540.109575774477</v>
      </c>
      <c r="AE772" s="197">
        <f t="shared" ca="1" si="164"/>
        <v>74874.317912276732</v>
      </c>
      <c r="AF772" s="196">
        <f>IFERROR(G772/SUMIF(A:A,A772,G:G)*SUMIF(Summary!$A$166:$A$242,'Operations Support'!A772,Summary!$Q$166:$Q$242),0)</f>
        <v>10563.756315930696</v>
      </c>
      <c r="AG772" s="196">
        <f t="shared" ca="1" si="165"/>
        <v>74850.671172120521</v>
      </c>
      <c r="AI772" s="196">
        <f>IFERROR($G772/SUMIF($A:$A,$A772,$G:$G)*SUMIF(Summary!$A$247:$A$283,$A772,Summary!$P$247:$P$283),0)</f>
        <v>1922.252961118739</v>
      </c>
      <c r="AJ772" s="196">
        <f>IFERROR($G772/SUMIF($A:$A,$A772,$G:$G)*(SUMIF(Summary!$A$247:$A$283,$A772,Summary!$L$247:$L$283)+SUMIF(Summary!$A$297:$A$333,$A772,Summary!$L$297:$L$333))-AI772,0)</f>
        <v>6569.170054344765</v>
      </c>
      <c r="AK772" s="196">
        <f>IFERROR($G772/SUMIF($A:$A,$A772,$G:$G)*SUMIF(Summary!$A$247:$A$283,$A772,Summary!$Q$247:$Q$283),0)</f>
        <v>1926.5655364254108</v>
      </c>
      <c r="AL772" s="196">
        <f>IFERROR($G772/SUMIF($A:$A,$A772,$G:$G)*(SUMIF(Summary!$A$247:$A$283,$A772,Summary!$L$247:$L$283)+SUMIF(Summary!$A$297:$A$333,$A772,Summary!$L$297:$L$333))-AK772,0)</f>
        <v>6564.8574790380935</v>
      </c>
      <c r="AM772" s="198"/>
      <c r="AN772" s="196">
        <f t="shared" ca="1" si="166"/>
        <v>81443.487966621498</v>
      </c>
      <c r="AO772" s="196">
        <f t="shared" ca="1" si="167"/>
        <v>81415.528651158616</v>
      </c>
    </row>
    <row r="773" spans="1:41">
      <c r="A773" s="189">
        <v>3606</v>
      </c>
      <c r="B773" s="203">
        <v>2</v>
      </c>
      <c r="C773" s="191" t="s">
        <v>232</v>
      </c>
      <c r="D773" s="192">
        <f t="shared" ref="D773:D836" si="168">H773+L773+P773</f>
        <v>0</v>
      </c>
      <c r="E773" s="192">
        <f t="shared" ref="E773:E836" si="169">I773+M773+Q773</f>
        <v>0</v>
      </c>
      <c r="F773" s="192">
        <f t="shared" ref="F773:F836" si="170">J773+N773+R773</f>
        <v>0</v>
      </c>
      <c r="G773" s="193">
        <f t="shared" ref="G773:G836" si="171">(SUM(D773:E773)-F773)*IF(A773=10298,1.51,1)</f>
        <v>0</v>
      </c>
      <c r="H773" s="194">
        <v>0</v>
      </c>
      <c r="I773" s="194">
        <v>0</v>
      </c>
      <c r="J773" s="194">
        <v>0</v>
      </c>
      <c r="K773" s="193">
        <f t="shared" ref="K773:K836" si="172">SUM(H773:I773)-J773</f>
        <v>0</v>
      </c>
      <c r="L773" s="194">
        <v>0</v>
      </c>
      <c r="M773" s="194">
        <v>0</v>
      </c>
      <c r="N773" s="194">
        <v>0</v>
      </c>
      <c r="O773" s="193">
        <f t="shared" ref="O773:O836" si="173">SUM(L773:M773)-N773</f>
        <v>0</v>
      </c>
      <c r="P773" s="194">
        <v>0</v>
      </c>
      <c r="Q773" s="194">
        <v>0</v>
      </c>
      <c r="R773" s="194">
        <v>0</v>
      </c>
      <c r="S773" s="193">
        <f t="shared" ref="S773:S836" si="174">SUM(P773:Q773)-R773</f>
        <v>0</v>
      </c>
      <c r="T773" s="193">
        <f t="shared" ref="T773:T836" si="175">IF(OR(B773=1,B773=2),G773/30,IF(OR(B773=3,B773=5),G773/24,IF(B773=4,G773/18,0)))</f>
        <v>0</v>
      </c>
      <c r="U773" s="193">
        <f ca="1">OFFSET('Expenditure Study'!$B$7,'Operations Support'!$C773,'Operations Support'!$B773)*$G773</f>
        <v>0</v>
      </c>
      <c r="V773" s="199">
        <f ca="1">U773*'Expenditure Study'!$B$31</f>
        <v>0</v>
      </c>
      <c r="W773" s="199">
        <f ca="1">IF(A773=10298,1.51,1)*IF($B773&lt;3,$D773*'Expenditure Study'!$B$32*OFFSET('Expenditure Study'!$B$7,'Operations Support'!$C773,'Operations Support'!$B773),0)</f>
        <v>0</v>
      </c>
      <c r="X773" s="200">
        <f ca="1">W773*'Expenditure Study'!$B$31</f>
        <v>0</v>
      </c>
      <c r="Y773" s="199">
        <f ca="1">U773*'Expenditure Study'!$B$31</f>
        <v>0</v>
      </c>
      <c r="Z773" s="200">
        <f ca="1">W773*'Expenditure Study'!$B$31</f>
        <v>0</v>
      </c>
      <c r="AA773" s="195">
        <f t="shared" ref="AA773:AA836" ca="1" si="176">V773+X773</f>
        <v>0</v>
      </c>
      <c r="AB773" s="195">
        <f t="shared" ref="AB773:AB836" ca="1" si="177">Y773+Z773</f>
        <v>0</v>
      </c>
      <c r="AD773" s="196">
        <f>IFERROR($G773/SUMIF($A:$A,$A773,$G:$G)*SUMIF(Summary!$A$166:$A$242,$A773,Summary!$P$166:$P$242),0)</f>
        <v>0</v>
      </c>
      <c r="AE773" s="197">
        <f t="shared" ca="1" si="164"/>
        <v>0</v>
      </c>
      <c r="AF773" s="196">
        <f>IFERROR(G773/SUMIF(A:A,A773,G:G)*SUMIF(Summary!$A$166:$A$242,'Operations Support'!A773,Summary!$Q$166:$Q$242),0)</f>
        <v>0</v>
      </c>
      <c r="AG773" s="196">
        <f t="shared" ca="1" si="165"/>
        <v>0</v>
      </c>
      <c r="AI773" s="196">
        <f>IFERROR($G773/SUMIF($A:$A,$A773,$G:$G)*SUMIF(Summary!$A$247:$A$283,$A773,Summary!$P$247:$P$283),0)</f>
        <v>0</v>
      </c>
      <c r="AJ773" s="196">
        <f>IFERROR($G773/SUMIF($A:$A,$A773,$G:$G)*(SUMIF(Summary!$A$247:$A$283,$A773,Summary!$L$247:$L$283)+SUMIF(Summary!$A$297:$A$333,$A773,Summary!$L$297:$L$333))-AI773,0)</f>
        <v>0</v>
      </c>
      <c r="AK773" s="196">
        <f>IFERROR($G773/SUMIF($A:$A,$A773,$G:$G)*SUMIF(Summary!$A$247:$A$283,$A773,Summary!$Q$247:$Q$283),0)</f>
        <v>0</v>
      </c>
      <c r="AL773" s="196">
        <f>IFERROR($G773/SUMIF($A:$A,$A773,$G:$G)*(SUMIF(Summary!$A$247:$A$283,$A773,Summary!$L$247:$L$283)+SUMIF(Summary!$A$297:$A$333,$A773,Summary!$L$297:$L$333))-AK773,0)</f>
        <v>0</v>
      </c>
      <c r="AM773" s="198"/>
      <c r="AN773" s="196">
        <f t="shared" ca="1" si="166"/>
        <v>0</v>
      </c>
      <c r="AO773" s="196">
        <f t="shared" ca="1" si="167"/>
        <v>0</v>
      </c>
    </row>
    <row r="774" spans="1:41">
      <c r="A774" s="189">
        <v>3606</v>
      </c>
      <c r="B774" s="203">
        <v>2</v>
      </c>
      <c r="C774" s="191" t="s">
        <v>233</v>
      </c>
      <c r="D774" s="192">
        <f t="shared" si="168"/>
        <v>5898</v>
      </c>
      <c r="E774" s="192">
        <f t="shared" si="169"/>
        <v>6239</v>
      </c>
      <c r="F774" s="192">
        <f t="shared" si="170"/>
        <v>0</v>
      </c>
      <c r="G774" s="193">
        <f t="shared" si="171"/>
        <v>12137</v>
      </c>
      <c r="H774" s="194">
        <v>2239</v>
      </c>
      <c r="I774" s="194">
        <v>2927</v>
      </c>
      <c r="J774" s="194">
        <v>0</v>
      </c>
      <c r="K774" s="193">
        <f t="shared" si="172"/>
        <v>5166</v>
      </c>
      <c r="L774" s="194">
        <v>2345</v>
      </c>
      <c r="M774" s="194">
        <v>2520</v>
      </c>
      <c r="N774" s="194">
        <v>0</v>
      </c>
      <c r="O774" s="193">
        <f t="shared" si="173"/>
        <v>4865</v>
      </c>
      <c r="P774" s="194">
        <v>1314</v>
      </c>
      <c r="Q774" s="194">
        <v>792</v>
      </c>
      <c r="R774" s="194">
        <v>0</v>
      </c>
      <c r="S774" s="193">
        <f t="shared" si="174"/>
        <v>2106</v>
      </c>
      <c r="T774" s="193">
        <f t="shared" si="175"/>
        <v>404.56666666666666</v>
      </c>
      <c r="U774" s="193">
        <f ca="1">OFFSET('Expenditure Study'!$B$7,'Operations Support'!$C774,'Operations Support'!$B774)*$G774</f>
        <v>19540.57</v>
      </c>
      <c r="V774" s="199">
        <f ca="1">U774*'Expenditure Study'!$B$31</f>
        <v>1154519.0302450559</v>
      </c>
      <c r="W774" s="199">
        <f ca="1">IF(A774=10298,1.51,1)*IF($B774&lt;3,$D774*'Expenditure Study'!$B$32*OFFSET('Expenditure Study'!$B$7,'Operations Support'!$C774,'Operations Support'!$B774),0)</f>
        <v>949.5780000000002</v>
      </c>
      <c r="X774" s="200">
        <f ca="1">W774*'Expenditure Study'!$B$31</f>
        <v>56104.088657702414</v>
      </c>
      <c r="Y774" s="199">
        <f ca="1">U774*'Expenditure Study'!$B$31</f>
        <v>1154519.0302450559</v>
      </c>
      <c r="Z774" s="200">
        <f ca="1">W774*'Expenditure Study'!$B$31</f>
        <v>56104.088657702414</v>
      </c>
      <c r="AA774" s="195">
        <f t="shared" ca="1" si="176"/>
        <v>1210623.1189027582</v>
      </c>
      <c r="AB774" s="195">
        <f t="shared" ca="1" si="177"/>
        <v>1210623.1189027582</v>
      </c>
      <c r="AD774" s="196">
        <f>IFERROR($G774/SUMIF($A:$A,$A774,$G:$G)*SUMIF(Summary!$A$166:$A$242,$A774,Summary!$P$166:$P$242),0)</f>
        <v>323043.7119221586</v>
      </c>
      <c r="AE774" s="197">
        <f t="shared" ref="AE774:AE837" ca="1" si="178">V774+X774-AD774</f>
        <v>887579.40698059963</v>
      </c>
      <c r="AF774" s="196">
        <f>IFERROR(G774/SUMIF(A:A,A774,G:G)*SUMIF(Summary!$A$166:$A$242,'Operations Support'!A774,Summary!$Q$166:$Q$242),0)</f>
        <v>323768.46062235063</v>
      </c>
      <c r="AG774" s="196">
        <f t="shared" ref="AG774:AG837" ca="1" si="179">Y774+Z774-AF774</f>
        <v>886854.65828040754</v>
      </c>
      <c r="AI774" s="196">
        <f>IFERROR($G774/SUMIF($A:$A,$A774,$G:$G)*SUMIF(Summary!$A$247:$A$283,$A774,Summary!$P$247:$P$283),0)</f>
        <v>58915.111588631647</v>
      </c>
      <c r="AJ774" s="196">
        <f>IFERROR($G774/SUMIF($A:$A,$A774,$G:$G)*(SUMIF(Summary!$A$247:$A$283,$A774,Summary!$L$247:$L$283)+SUMIF(Summary!$A$297:$A$333,$A774,Summary!$L$297:$L$333))-AI774,0)</f>
        <v>201338.42664035963</v>
      </c>
      <c r="AK774" s="196">
        <f>IFERROR($G774/SUMIF($A:$A,$A774,$G:$G)*SUMIF(Summary!$A$247:$A$283,$A774,Summary!$Q$247:$Q$283),0)</f>
        <v>59047.287665644464</v>
      </c>
      <c r="AL774" s="196">
        <f>IFERROR($G774/SUMIF($A:$A,$A774,$G:$G)*(SUMIF(Summary!$A$247:$A$283,$A774,Summary!$L$247:$L$283)+SUMIF(Summary!$A$297:$A$333,$A774,Summary!$L$297:$L$333))-AK774,0)</f>
        <v>201206.25056334681</v>
      </c>
      <c r="AM774" s="198"/>
      <c r="AN774" s="196">
        <f t="shared" ref="AN774:AN837" ca="1" si="180">AE774+AJ774</f>
        <v>1088917.8336209592</v>
      </c>
      <c r="AO774" s="196">
        <f t="shared" ref="AO774:AO837" ca="1" si="181">AG774+AL774</f>
        <v>1088060.9088437543</v>
      </c>
    </row>
    <row r="775" spans="1:41">
      <c r="A775" s="189">
        <v>3606</v>
      </c>
      <c r="B775" s="203">
        <v>2</v>
      </c>
      <c r="C775" s="191" t="s">
        <v>234</v>
      </c>
      <c r="D775" s="192">
        <f t="shared" si="168"/>
        <v>0</v>
      </c>
      <c r="E775" s="192">
        <f t="shared" si="169"/>
        <v>0</v>
      </c>
      <c r="F775" s="192">
        <f t="shared" si="170"/>
        <v>0</v>
      </c>
      <c r="G775" s="193">
        <f t="shared" si="171"/>
        <v>0</v>
      </c>
      <c r="H775" s="194">
        <v>0</v>
      </c>
      <c r="I775" s="194">
        <v>0</v>
      </c>
      <c r="J775" s="194">
        <v>0</v>
      </c>
      <c r="K775" s="193">
        <f t="shared" si="172"/>
        <v>0</v>
      </c>
      <c r="L775" s="194">
        <v>0</v>
      </c>
      <c r="M775" s="194">
        <v>0</v>
      </c>
      <c r="N775" s="194">
        <v>0</v>
      </c>
      <c r="O775" s="193">
        <f t="shared" si="173"/>
        <v>0</v>
      </c>
      <c r="P775" s="194">
        <v>0</v>
      </c>
      <c r="Q775" s="194">
        <v>0</v>
      </c>
      <c r="R775" s="194">
        <v>0</v>
      </c>
      <c r="S775" s="193">
        <f t="shared" si="174"/>
        <v>0</v>
      </c>
      <c r="T775" s="193">
        <f t="shared" si="175"/>
        <v>0</v>
      </c>
      <c r="U775" s="193">
        <f ca="1">OFFSET('Expenditure Study'!$B$7,'Operations Support'!$C775,'Operations Support'!$B775)*$G775</f>
        <v>0</v>
      </c>
      <c r="V775" s="199">
        <f ca="1">U775*'Expenditure Study'!$B$31</f>
        <v>0</v>
      </c>
      <c r="W775" s="199">
        <f ca="1">IF(A775=10298,1.51,1)*IF($B775&lt;3,$D775*'Expenditure Study'!$B$32*OFFSET('Expenditure Study'!$B$7,'Operations Support'!$C775,'Operations Support'!$B775),0)</f>
        <v>0</v>
      </c>
      <c r="X775" s="200">
        <f ca="1">W775*'Expenditure Study'!$B$31</f>
        <v>0</v>
      </c>
      <c r="Y775" s="199">
        <f ca="1">U775*'Expenditure Study'!$B$31</f>
        <v>0</v>
      </c>
      <c r="Z775" s="200">
        <f ca="1">W775*'Expenditure Study'!$B$31</f>
        <v>0</v>
      </c>
      <c r="AA775" s="195">
        <f t="shared" ca="1" si="176"/>
        <v>0</v>
      </c>
      <c r="AB775" s="195">
        <f t="shared" ca="1" si="177"/>
        <v>0</v>
      </c>
      <c r="AD775" s="196">
        <f>IFERROR($G775/SUMIF($A:$A,$A775,$G:$G)*SUMIF(Summary!$A$166:$A$242,$A775,Summary!$P$166:$P$242),0)</f>
        <v>0</v>
      </c>
      <c r="AE775" s="197">
        <f t="shared" ca="1" si="178"/>
        <v>0</v>
      </c>
      <c r="AF775" s="196">
        <f>IFERROR(G775/SUMIF(A:A,A775,G:G)*SUMIF(Summary!$A$166:$A$242,'Operations Support'!A775,Summary!$Q$166:$Q$242),0)</f>
        <v>0</v>
      </c>
      <c r="AG775" s="196">
        <f t="shared" ca="1" si="179"/>
        <v>0</v>
      </c>
      <c r="AI775" s="196">
        <f>IFERROR($G775/SUMIF($A:$A,$A775,$G:$G)*SUMIF(Summary!$A$247:$A$283,$A775,Summary!$P$247:$P$283),0)</f>
        <v>0</v>
      </c>
      <c r="AJ775" s="196">
        <f>IFERROR($G775/SUMIF($A:$A,$A775,$G:$G)*(SUMIF(Summary!$A$247:$A$283,$A775,Summary!$L$247:$L$283)+SUMIF(Summary!$A$297:$A$333,$A775,Summary!$L$297:$L$333))-AI775,0)</f>
        <v>0</v>
      </c>
      <c r="AK775" s="196">
        <f>IFERROR($G775/SUMIF($A:$A,$A775,$G:$G)*SUMIF(Summary!$A$247:$A$283,$A775,Summary!$Q$247:$Q$283),0)</f>
        <v>0</v>
      </c>
      <c r="AL775" s="196">
        <f>IFERROR($G775/SUMIF($A:$A,$A775,$G:$G)*(SUMIF(Summary!$A$247:$A$283,$A775,Summary!$L$247:$L$283)+SUMIF(Summary!$A$297:$A$333,$A775,Summary!$L$297:$L$333))-AK775,0)</f>
        <v>0</v>
      </c>
      <c r="AM775" s="198"/>
      <c r="AN775" s="196">
        <f t="shared" ca="1" si="180"/>
        <v>0</v>
      </c>
      <c r="AO775" s="196">
        <f t="shared" ca="1" si="181"/>
        <v>0</v>
      </c>
    </row>
    <row r="776" spans="1:41">
      <c r="A776" s="189">
        <v>3606</v>
      </c>
      <c r="B776" s="203">
        <v>2</v>
      </c>
      <c r="C776" s="191" t="s">
        <v>235</v>
      </c>
      <c r="D776" s="192">
        <f t="shared" si="168"/>
        <v>26223</v>
      </c>
      <c r="E776" s="192">
        <f t="shared" si="169"/>
        <v>13435</v>
      </c>
      <c r="F776" s="192">
        <f t="shared" si="170"/>
        <v>0</v>
      </c>
      <c r="G776" s="193">
        <f t="shared" si="171"/>
        <v>39658</v>
      </c>
      <c r="H776" s="194">
        <v>11082</v>
      </c>
      <c r="I776" s="194">
        <v>5835</v>
      </c>
      <c r="J776" s="194">
        <v>0</v>
      </c>
      <c r="K776" s="193">
        <f t="shared" si="172"/>
        <v>16917</v>
      </c>
      <c r="L776" s="194">
        <v>10950</v>
      </c>
      <c r="M776" s="194">
        <v>5706</v>
      </c>
      <c r="N776" s="194">
        <v>0</v>
      </c>
      <c r="O776" s="193">
        <f t="shared" si="173"/>
        <v>16656</v>
      </c>
      <c r="P776" s="194">
        <v>4191</v>
      </c>
      <c r="Q776" s="194">
        <v>1894</v>
      </c>
      <c r="R776" s="194">
        <v>0</v>
      </c>
      <c r="S776" s="193">
        <f t="shared" si="174"/>
        <v>6085</v>
      </c>
      <c r="T776" s="193">
        <f t="shared" si="175"/>
        <v>1321.9333333333334</v>
      </c>
      <c r="U776" s="193">
        <f ca="1">OFFSET('Expenditure Study'!$B$7,'Operations Support'!$C776,'Operations Support'!$B776)*$G776</f>
        <v>74160.460000000006</v>
      </c>
      <c r="V776" s="199">
        <f ca="1">U776*'Expenditure Study'!$B$31</f>
        <v>4381635.8663911689</v>
      </c>
      <c r="W776" s="199">
        <f ca="1">IF(A776=10298,1.51,1)*IF($B776&lt;3,$D776*'Expenditure Study'!$B$32*OFFSET('Expenditure Study'!$B$7,'Operations Support'!$C776,'Operations Support'!$B776),0)</f>
        <v>4903.7010000000009</v>
      </c>
      <c r="X776" s="200">
        <f ca="1">W776*'Expenditure Study'!$B$31</f>
        <v>289726.25277214084</v>
      </c>
      <c r="Y776" s="199">
        <f ca="1">U776*'Expenditure Study'!$B$31</f>
        <v>4381635.8663911689</v>
      </c>
      <c r="Z776" s="200">
        <f ca="1">W776*'Expenditure Study'!$B$31</f>
        <v>289726.25277214084</v>
      </c>
      <c r="AA776" s="195">
        <f t="shared" ca="1" si="176"/>
        <v>4671362.1191633102</v>
      </c>
      <c r="AB776" s="195">
        <f t="shared" ca="1" si="177"/>
        <v>4671362.1191633102</v>
      </c>
      <c r="AD776" s="196">
        <f>IFERROR($G776/SUMIF($A:$A,$A776,$G:$G)*SUMIF(Summary!$A$166:$A$242,$A776,Summary!$P$166:$P$242),0)</f>
        <v>1055554.7110001622</v>
      </c>
      <c r="AE776" s="197">
        <f t="shared" ca="1" si="178"/>
        <v>3615807.408163148</v>
      </c>
      <c r="AF776" s="196">
        <f>IFERROR(G776/SUMIF(A:A,A776,G:G)*SUMIF(Summary!$A$166:$A$242,'Operations Support'!A776,Summary!$Q$166:$Q$242),0)</f>
        <v>1057922.8484272209</v>
      </c>
      <c r="AG776" s="196">
        <f t="shared" ca="1" si="179"/>
        <v>3613439.270736089</v>
      </c>
      <c r="AI776" s="196">
        <f>IFERROR($G776/SUMIF($A:$A,$A776,$G:$G)*SUMIF(Summary!$A$247:$A$283,$A776,Summary!$P$247:$P$283),0)</f>
        <v>192506.83821223976</v>
      </c>
      <c r="AJ776" s="196">
        <f>IFERROR($G776/SUMIF($A:$A,$A776,$G:$G)*(SUMIF(Summary!$A$247:$A$283,$A776,Summary!$L$247:$L$283)+SUMIF(Summary!$A$297:$A$333,$A776,Summary!$L$297:$L$333))-AI776,0)</f>
        <v>657879.15660405217</v>
      </c>
      <c r="AK776" s="196">
        <f>IFERROR($G776/SUMIF($A:$A,$A776,$G:$G)*SUMIF(Summary!$A$247:$A$283,$A776,Summary!$Q$247:$Q$283),0)</f>
        <v>192938.72738272458</v>
      </c>
      <c r="AL776" s="196">
        <f>IFERROR($G776/SUMIF($A:$A,$A776,$G:$G)*(SUMIF(Summary!$A$247:$A$283,$A776,Summary!$L$247:$L$283)+SUMIF(Summary!$A$297:$A$333,$A776,Summary!$L$297:$L$333))-AK776,0)</f>
        <v>657447.26743356744</v>
      </c>
      <c r="AM776" s="198"/>
      <c r="AN776" s="196">
        <f t="shared" ca="1" si="180"/>
        <v>4273686.5647672005</v>
      </c>
      <c r="AO776" s="196">
        <f t="shared" ca="1" si="181"/>
        <v>4270886.5381696559</v>
      </c>
    </row>
    <row r="777" spans="1:41">
      <c r="A777" s="189">
        <v>3606</v>
      </c>
      <c r="B777" s="203">
        <v>2</v>
      </c>
      <c r="C777" s="191" t="s">
        <v>236</v>
      </c>
      <c r="D777" s="192">
        <f t="shared" si="168"/>
        <v>0</v>
      </c>
      <c r="E777" s="192">
        <f t="shared" si="169"/>
        <v>0</v>
      </c>
      <c r="F777" s="192">
        <f t="shared" si="170"/>
        <v>0</v>
      </c>
      <c r="G777" s="193">
        <f t="shared" si="171"/>
        <v>0</v>
      </c>
      <c r="H777" s="194">
        <v>0</v>
      </c>
      <c r="I777" s="194">
        <v>0</v>
      </c>
      <c r="J777" s="194">
        <v>0</v>
      </c>
      <c r="K777" s="193">
        <f t="shared" si="172"/>
        <v>0</v>
      </c>
      <c r="L777" s="194">
        <v>0</v>
      </c>
      <c r="M777" s="194">
        <v>0</v>
      </c>
      <c r="N777" s="194">
        <v>0</v>
      </c>
      <c r="O777" s="193">
        <f t="shared" si="173"/>
        <v>0</v>
      </c>
      <c r="P777" s="194">
        <v>0</v>
      </c>
      <c r="Q777" s="194">
        <v>0</v>
      </c>
      <c r="R777" s="194">
        <v>0</v>
      </c>
      <c r="S777" s="193">
        <f t="shared" si="174"/>
        <v>0</v>
      </c>
      <c r="T777" s="193">
        <f t="shared" si="175"/>
        <v>0</v>
      </c>
      <c r="U777" s="193">
        <f ca="1">OFFSET('Expenditure Study'!$B$7,'Operations Support'!$C777,'Operations Support'!$B777)*$G777</f>
        <v>0</v>
      </c>
      <c r="V777" s="199">
        <f ca="1">U777*'Expenditure Study'!$B$31</f>
        <v>0</v>
      </c>
      <c r="W777" s="199">
        <f ca="1">IF(A777=10298,1.51,1)*IF($B777&lt;3,$D777*'Expenditure Study'!$B$32*OFFSET('Expenditure Study'!$B$7,'Operations Support'!$C777,'Operations Support'!$B777),0)</f>
        <v>0</v>
      </c>
      <c r="X777" s="200">
        <f ca="1">W777*'Expenditure Study'!$B$31</f>
        <v>0</v>
      </c>
      <c r="Y777" s="199">
        <f ca="1">U777*'Expenditure Study'!$B$31</f>
        <v>0</v>
      </c>
      <c r="Z777" s="200">
        <f ca="1">W777*'Expenditure Study'!$B$31</f>
        <v>0</v>
      </c>
      <c r="AA777" s="195">
        <f t="shared" ca="1" si="176"/>
        <v>0</v>
      </c>
      <c r="AB777" s="195">
        <f t="shared" ca="1" si="177"/>
        <v>0</v>
      </c>
      <c r="AD777" s="196">
        <f>IFERROR($G777/SUMIF($A:$A,$A777,$G:$G)*SUMIF(Summary!$A$166:$A$242,$A777,Summary!$P$166:$P$242),0)</f>
        <v>0</v>
      </c>
      <c r="AE777" s="197">
        <f t="shared" ca="1" si="178"/>
        <v>0</v>
      </c>
      <c r="AF777" s="196">
        <f>IFERROR(G777/SUMIF(A:A,A777,G:G)*SUMIF(Summary!$A$166:$A$242,'Operations Support'!A777,Summary!$Q$166:$Q$242),0)</f>
        <v>0</v>
      </c>
      <c r="AG777" s="196">
        <f t="shared" ca="1" si="179"/>
        <v>0</v>
      </c>
      <c r="AI777" s="196">
        <f>IFERROR($G777/SUMIF($A:$A,$A777,$G:$G)*SUMIF(Summary!$A$247:$A$283,$A777,Summary!$P$247:$P$283),0)</f>
        <v>0</v>
      </c>
      <c r="AJ777" s="196">
        <f>IFERROR($G777/SUMIF($A:$A,$A777,$G:$G)*(SUMIF(Summary!$A$247:$A$283,$A777,Summary!$L$247:$L$283)+SUMIF(Summary!$A$297:$A$333,$A777,Summary!$L$297:$L$333))-AI777,0)</f>
        <v>0</v>
      </c>
      <c r="AK777" s="196">
        <f>IFERROR($G777/SUMIF($A:$A,$A777,$G:$G)*SUMIF(Summary!$A$247:$A$283,$A777,Summary!$Q$247:$Q$283),0)</f>
        <v>0</v>
      </c>
      <c r="AL777" s="196">
        <f>IFERROR($G777/SUMIF($A:$A,$A777,$G:$G)*(SUMIF(Summary!$A$247:$A$283,$A777,Summary!$L$247:$L$283)+SUMIF(Summary!$A$297:$A$333,$A777,Summary!$L$297:$L$333))-AK777,0)</f>
        <v>0</v>
      </c>
      <c r="AM777" s="198"/>
      <c r="AN777" s="196">
        <f t="shared" ca="1" si="180"/>
        <v>0</v>
      </c>
      <c r="AO777" s="196">
        <f t="shared" ca="1" si="181"/>
        <v>0</v>
      </c>
    </row>
    <row r="778" spans="1:41">
      <c r="A778" s="189">
        <v>3606</v>
      </c>
      <c r="B778" s="203">
        <v>2</v>
      </c>
      <c r="C778" s="191" t="s">
        <v>237</v>
      </c>
      <c r="D778" s="192">
        <f t="shared" si="168"/>
        <v>468</v>
      </c>
      <c r="E778" s="192">
        <f t="shared" si="169"/>
        <v>1287</v>
      </c>
      <c r="F778" s="192">
        <f t="shared" si="170"/>
        <v>0</v>
      </c>
      <c r="G778" s="193">
        <f t="shared" si="171"/>
        <v>1755</v>
      </c>
      <c r="H778" s="194">
        <v>207</v>
      </c>
      <c r="I778" s="194">
        <v>768</v>
      </c>
      <c r="J778" s="194">
        <v>0</v>
      </c>
      <c r="K778" s="193">
        <f t="shared" si="172"/>
        <v>975</v>
      </c>
      <c r="L778" s="194">
        <v>261</v>
      </c>
      <c r="M778" s="194">
        <v>519</v>
      </c>
      <c r="N778" s="194">
        <v>0</v>
      </c>
      <c r="O778" s="193">
        <f t="shared" si="173"/>
        <v>780</v>
      </c>
      <c r="P778" s="194">
        <v>0</v>
      </c>
      <c r="Q778" s="194">
        <v>0</v>
      </c>
      <c r="R778" s="194">
        <v>0</v>
      </c>
      <c r="S778" s="193">
        <f t="shared" si="174"/>
        <v>0</v>
      </c>
      <c r="T778" s="193">
        <f t="shared" si="175"/>
        <v>58.5</v>
      </c>
      <c r="U778" s="193">
        <f ca="1">OFFSET('Expenditure Study'!$B$7,'Operations Support'!$C778,'Operations Support'!$B778)*$G778</f>
        <v>4106.7</v>
      </c>
      <c r="V778" s="199">
        <f ca="1">U778*'Expenditure Study'!$B$31</f>
        <v>242636.89859135999</v>
      </c>
      <c r="W778" s="199">
        <f ca="1">IF(A778=10298,1.51,1)*IF($B778&lt;3,$D778*'Expenditure Study'!$B$32*OFFSET('Expenditure Study'!$B$7,'Operations Support'!$C778,'Operations Support'!$B778),0)</f>
        <v>109.512</v>
      </c>
      <c r="X778" s="200">
        <f ca="1">W778*'Expenditure Study'!$B$31</f>
        <v>6470.3172957695997</v>
      </c>
      <c r="Y778" s="199">
        <f ca="1">U778*'Expenditure Study'!$B$31</f>
        <v>242636.89859135999</v>
      </c>
      <c r="Z778" s="200">
        <f ca="1">W778*'Expenditure Study'!$B$31</f>
        <v>6470.3172957695997</v>
      </c>
      <c r="AA778" s="195">
        <f t="shared" ca="1" si="176"/>
        <v>249107.2158871296</v>
      </c>
      <c r="AB778" s="195">
        <f t="shared" ca="1" si="177"/>
        <v>249107.2158871296</v>
      </c>
      <c r="AD778" s="196">
        <f>IFERROR($G778/SUMIF($A:$A,$A778,$G:$G)*SUMIF(Summary!$A$166:$A$242,$A778,Summary!$P$166:$P$242),0)</f>
        <v>46711.84925627325</v>
      </c>
      <c r="AE778" s="197">
        <f t="shared" ca="1" si="178"/>
        <v>202395.36663085636</v>
      </c>
      <c r="AF778" s="196">
        <f>IFERROR(G778/SUMIF(A:A,A778,G:G)*SUMIF(Summary!$A$166:$A$242,'Operations Support'!A778,Summary!$Q$166:$Q$242),0)</f>
        <v>46816.647309238317</v>
      </c>
      <c r="AG778" s="196">
        <f t="shared" ca="1" si="179"/>
        <v>202290.56857789127</v>
      </c>
      <c r="AI778" s="196">
        <f>IFERROR($G778/SUMIF($A:$A,$A778,$G:$G)*SUMIF(Summary!$A$247:$A$283,$A778,Summary!$P$247:$P$283),0)</f>
        <v>8519.0756231398664</v>
      </c>
      <c r="AJ778" s="196">
        <f>IFERROR($G778/SUMIF($A:$A,$A778,$G:$G)*(SUMIF(Summary!$A$247:$A$283,$A778,Summary!$L$247:$L$283)+SUMIF(Summary!$A$297:$A$333,$A778,Summary!$L$297:$L$333))-AI778,0)</f>
        <v>29113.367286300661</v>
      </c>
      <c r="AK778" s="196">
        <f>IFERROR($G778/SUMIF($A:$A,$A778,$G:$G)*SUMIF(Summary!$A$247:$A$283,$A778,Summary!$Q$247:$Q$283),0)</f>
        <v>8538.1881727944328</v>
      </c>
      <c r="AL778" s="196">
        <f>IFERROR($G778/SUMIF($A:$A,$A778,$G:$G)*(SUMIF(Summary!$A$247:$A$283,$A778,Summary!$L$247:$L$283)+SUMIF(Summary!$A$297:$A$333,$A778,Summary!$L$297:$L$333))-AK778,0)</f>
        <v>29094.254736646093</v>
      </c>
      <c r="AM778" s="198"/>
      <c r="AN778" s="196">
        <f t="shared" ca="1" si="180"/>
        <v>231508.73391715702</v>
      </c>
      <c r="AO778" s="196">
        <f t="shared" ca="1" si="181"/>
        <v>231384.82331453735</v>
      </c>
    </row>
    <row r="779" spans="1:41">
      <c r="A779" s="189">
        <v>3606</v>
      </c>
      <c r="B779" s="203">
        <v>2</v>
      </c>
      <c r="C779" s="191" t="s">
        <v>238</v>
      </c>
      <c r="D779" s="192">
        <f t="shared" si="168"/>
        <v>7464</v>
      </c>
      <c r="E779" s="192">
        <f t="shared" si="169"/>
        <v>6114</v>
      </c>
      <c r="F779" s="192">
        <f t="shared" si="170"/>
        <v>0</v>
      </c>
      <c r="G779" s="193">
        <f t="shared" si="171"/>
        <v>13578</v>
      </c>
      <c r="H779" s="194">
        <v>3072</v>
      </c>
      <c r="I779" s="194">
        <v>3021</v>
      </c>
      <c r="J779" s="194">
        <v>0</v>
      </c>
      <c r="K779" s="193">
        <f t="shared" si="172"/>
        <v>6093</v>
      </c>
      <c r="L779" s="194">
        <v>2736</v>
      </c>
      <c r="M779" s="194">
        <v>2409</v>
      </c>
      <c r="N779" s="194">
        <v>0</v>
      </c>
      <c r="O779" s="193">
        <f t="shared" si="173"/>
        <v>5145</v>
      </c>
      <c r="P779" s="194">
        <v>1656</v>
      </c>
      <c r="Q779" s="194">
        <v>684</v>
      </c>
      <c r="R779" s="194">
        <v>0</v>
      </c>
      <c r="S779" s="193">
        <f t="shared" si="174"/>
        <v>2340</v>
      </c>
      <c r="T779" s="193">
        <f t="shared" si="175"/>
        <v>452.6</v>
      </c>
      <c r="U779" s="193">
        <f ca="1">OFFSET('Expenditure Study'!$B$7,'Operations Support'!$C779,'Operations Support'!$B779)*$G779</f>
        <v>32587.199999999997</v>
      </c>
      <c r="V779" s="199">
        <f ca="1">U779*'Expenditure Study'!$B$31</f>
        <v>1925355.4293657599</v>
      </c>
      <c r="W779" s="199">
        <f ca="1">IF(A779=10298,1.51,1)*IF($B779&lt;3,$D779*'Expenditure Study'!$B$32*OFFSET('Expenditure Study'!$B$7,'Operations Support'!$C779,'Operations Support'!$B779),0)</f>
        <v>1791.3600000000001</v>
      </c>
      <c r="X779" s="200">
        <f ca="1">W779*'Expenditure Study'!$B$31</f>
        <v>105839.246757888</v>
      </c>
      <c r="Y779" s="199">
        <f ca="1">U779*'Expenditure Study'!$B$31</f>
        <v>1925355.4293657599</v>
      </c>
      <c r="Z779" s="200">
        <f ca="1">W779*'Expenditure Study'!$B$31</f>
        <v>105839.246757888</v>
      </c>
      <c r="AA779" s="195">
        <f t="shared" ca="1" si="176"/>
        <v>2031194.676123648</v>
      </c>
      <c r="AB779" s="195">
        <f t="shared" ca="1" si="177"/>
        <v>2031194.676123648</v>
      </c>
      <c r="AD779" s="196">
        <f>IFERROR($G779/SUMIF($A:$A,$A779,$G:$G)*SUMIF(Summary!$A$166:$A$242,$A779,Summary!$P$166:$P$242),0)</f>
        <v>361397.9995451158</v>
      </c>
      <c r="AE779" s="197">
        <f t="shared" ca="1" si="178"/>
        <v>1669796.6765785322</v>
      </c>
      <c r="AF779" s="196">
        <f>IFERROR(G779/SUMIF(A:A,A779,G:G)*SUMIF(Summary!$A$166:$A$242,'Operations Support'!A779,Summary!$Q$166:$Q$242),0)</f>
        <v>362208.79610532068</v>
      </c>
      <c r="AG779" s="196">
        <f t="shared" ca="1" si="179"/>
        <v>1668985.8800183274</v>
      </c>
      <c r="AI779" s="196">
        <f>IFERROR($G779/SUMIF($A:$A,$A779,$G:$G)*SUMIF(Summary!$A$247:$A$283,$A779,Summary!$P$247:$P$283),0)</f>
        <v>65909.976530480402</v>
      </c>
      <c r="AJ779" s="196">
        <f>IFERROR($G779/SUMIF($A:$A,$A779,$G:$G)*(SUMIF(Summary!$A$247:$A$283,$A779,Summary!$L$247:$L$283)+SUMIF(Summary!$A$297:$A$333,$A779,Summary!$L$297:$L$333))-AI779,0)</f>
        <v>225242.90656033639</v>
      </c>
      <c r="AK779" s="196">
        <f>IFERROR($G779/SUMIF($A:$A,$A779,$G:$G)*SUMIF(Summary!$A$247:$A$283,$A779,Summary!$Q$247:$Q$283),0)</f>
        <v>66057.845589859149</v>
      </c>
      <c r="AL779" s="196">
        <f>IFERROR($G779/SUMIF($A:$A,$A779,$G:$G)*(SUMIF(Summary!$A$247:$A$283,$A779,Summary!$L$247:$L$283)+SUMIF(Summary!$A$297:$A$333,$A779,Summary!$L$297:$L$333))-AK779,0)</f>
        <v>225095.03750095764</v>
      </c>
      <c r="AM779" s="198"/>
      <c r="AN779" s="196">
        <f t="shared" ca="1" si="180"/>
        <v>1895039.5831388687</v>
      </c>
      <c r="AO779" s="196">
        <f t="shared" ca="1" si="181"/>
        <v>1894080.9175192851</v>
      </c>
    </row>
    <row r="780" spans="1:41" s="201" customFormat="1">
      <c r="A780" s="189">
        <v>3606</v>
      </c>
      <c r="B780" s="203">
        <v>2</v>
      </c>
      <c r="C780" s="191" t="s">
        <v>239</v>
      </c>
      <c r="D780" s="192">
        <f t="shared" si="168"/>
        <v>617</v>
      </c>
      <c r="E780" s="192">
        <f t="shared" si="169"/>
        <v>8156</v>
      </c>
      <c r="F780" s="192">
        <f t="shared" si="170"/>
        <v>0</v>
      </c>
      <c r="G780" s="193">
        <f t="shared" si="171"/>
        <v>8773</v>
      </c>
      <c r="H780" s="194">
        <v>269</v>
      </c>
      <c r="I780" s="194">
        <v>3859</v>
      </c>
      <c r="J780" s="194">
        <v>0</v>
      </c>
      <c r="K780" s="193">
        <f t="shared" si="172"/>
        <v>4128</v>
      </c>
      <c r="L780" s="194">
        <v>348</v>
      </c>
      <c r="M780" s="194">
        <v>3976</v>
      </c>
      <c r="N780" s="194">
        <v>0</v>
      </c>
      <c r="O780" s="193">
        <f t="shared" si="173"/>
        <v>4324</v>
      </c>
      <c r="P780" s="194">
        <v>0</v>
      </c>
      <c r="Q780" s="194">
        <v>321</v>
      </c>
      <c r="R780" s="194">
        <v>0</v>
      </c>
      <c r="S780" s="193">
        <f t="shared" si="174"/>
        <v>321</v>
      </c>
      <c r="T780" s="193">
        <f t="shared" si="175"/>
        <v>292.43333333333334</v>
      </c>
      <c r="U780" s="193">
        <f ca="1">OFFSET('Expenditure Study'!$B$7,'Operations Support'!$C780,'Operations Support'!$B780)*$G780</f>
        <v>18247.84</v>
      </c>
      <c r="V780" s="199">
        <f ca="1">U780*'Expenditure Study'!$B$31</f>
        <v>1078140.429929472</v>
      </c>
      <c r="W780" s="199">
        <f ca="1">IF(A780=10298,1.51,1)*IF($B780&lt;3,$D780*'Expenditure Study'!$B$32*OFFSET('Expenditure Study'!$B$7,'Operations Support'!$C780,'Operations Support'!$B780),0)</f>
        <v>128.33600000000001</v>
      </c>
      <c r="X780" s="200">
        <f ca="1">W780*'Expenditure Study'!$B$31</f>
        <v>7582.4990911488012</v>
      </c>
      <c r="Y780" s="199">
        <f ca="1">U780*'Expenditure Study'!$B$31</f>
        <v>1078140.429929472</v>
      </c>
      <c r="Z780" s="200">
        <f ca="1">W780*'Expenditure Study'!$B$31</f>
        <v>7582.4990911488012</v>
      </c>
      <c r="AA780" s="195">
        <f t="shared" ca="1" si="176"/>
        <v>1085722.9290206209</v>
      </c>
      <c r="AB780" s="195">
        <f t="shared" ca="1" si="177"/>
        <v>1085722.9290206209</v>
      </c>
      <c r="AD780" s="196">
        <f>IFERROR($G780/SUMIF($A:$A,$A780,$G:$G)*SUMIF(Summary!$A$166:$A$242,$A780,Summary!$P$166:$P$242),0)</f>
        <v>233506.01340472093</v>
      </c>
      <c r="AE780" s="197">
        <f t="shared" ca="1" si="178"/>
        <v>852216.91561589995</v>
      </c>
      <c r="AF780" s="196">
        <f>IFERROR(G780/SUMIF(A:A,A780,G:G)*SUMIF(Summary!$A$166:$A$242,'Operations Support'!A780,Summary!$Q$166:$Q$242),0)</f>
        <v>234029.88424156565</v>
      </c>
      <c r="AG780" s="196">
        <f t="shared" ca="1" si="179"/>
        <v>851693.04477905529</v>
      </c>
      <c r="AH780" s="180"/>
      <c r="AI780" s="196">
        <f>IFERROR($G780/SUMIF($A:$A,$A780,$G:$G)*SUMIF(Summary!$A$247:$A$283,$A780,Summary!$P$247:$P$283),0)</f>
        <v>42585.669767410851</v>
      </c>
      <c r="AJ780" s="196">
        <f>IFERROR($G780/SUMIF($A:$A,$A780,$G:$G)*(SUMIF(Summary!$A$247:$A$283,$A780,Summary!$L$247:$L$283)+SUMIF(Summary!$A$297:$A$333,$A780,Summary!$L$297:$L$333))-AI780,0)</f>
        <v>145533.65880496622</v>
      </c>
      <c r="AK780" s="196">
        <f>IFERROR($G780/SUMIF($A:$A,$A780,$G:$G)*SUMIF(Summary!$A$247:$A$283,$A780,Summary!$Q$247:$Q$283),0)</f>
        <v>42681.210735000321</v>
      </c>
      <c r="AL780" s="196">
        <f>IFERROR($G780/SUMIF($A:$A,$A780,$G:$G)*(SUMIF(Summary!$A$247:$A$283,$A780,Summary!$L$247:$L$283)+SUMIF(Summary!$A$297:$A$333,$A780,Summary!$L$297:$L$333))-AK780,0)</f>
        <v>145438.11783737675</v>
      </c>
      <c r="AM780" s="198"/>
      <c r="AN780" s="196">
        <f t="shared" ca="1" si="180"/>
        <v>997750.57442086621</v>
      </c>
      <c r="AO780" s="196">
        <f t="shared" ca="1" si="181"/>
        <v>997131.16261643206</v>
      </c>
    </row>
    <row r="781" spans="1:41" s="201" customFormat="1">
      <c r="A781" s="189">
        <v>3606</v>
      </c>
      <c r="B781" s="203">
        <v>2</v>
      </c>
      <c r="C781" s="191" t="s">
        <v>240</v>
      </c>
      <c r="D781" s="192">
        <f t="shared" si="168"/>
        <v>0</v>
      </c>
      <c r="E781" s="192">
        <f t="shared" si="169"/>
        <v>0</v>
      </c>
      <c r="F781" s="192">
        <f t="shared" si="170"/>
        <v>0</v>
      </c>
      <c r="G781" s="193">
        <f t="shared" si="171"/>
        <v>0</v>
      </c>
      <c r="H781" s="194">
        <v>0</v>
      </c>
      <c r="I781" s="194">
        <v>0</v>
      </c>
      <c r="J781" s="194">
        <v>0</v>
      </c>
      <c r="K781" s="193">
        <f t="shared" si="172"/>
        <v>0</v>
      </c>
      <c r="L781" s="194">
        <v>0</v>
      </c>
      <c r="M781" s="194">
        <v>0</v>
      </c>
      <c r="N781" s="194">
        <v>0</v>
      </c>
      <c r="O781" s="193">
        <f t="shared" si="173"/>
        <v>0</v>
      </c>
      <c r="P781" s="194">
        <v>0</v>
      </c>
      <c r="Q781" s="194">
        <v>0</v>
      </c>
      <c r="R781" s="194">
        <v>0</v>
      </c>
      <c r="S781" s="193">
        <f t="shared" si="174"/>
        <v>0</v>
      </c>
      <c r="T781" s="193">
        <f t="shared" si="175"/>
        <v>0</v>
      </c>
      <c r="U781" s="193">
        <f ca="1">OFFSET('Expenditure Study'!$B$7,'Operations Support'!$C781,'Operations Support'!$B781)*$G781</f>
        <v>0</v>
      </c>
      <c r="V781" s="199">
        <f ca="1">U781*'Expenditure Study'!$B$31</f>
        <v>0</v>
      </c>
      <c r="W781" s="199">
        <f ca="1">IF(A781=10298,1.51,1)*IF($B781&lt;3,$D781*'Expenditure Study'!$B$32*OFFSET('Expenditure Study'!$B$7,'Operations Support'!$C781,'Operations Support'!$B781),0)</f>
        <v>0</v>
      </c>
      <c r="X781" s="200">
        <f ca="1">W781*'Expenditure Study'!$B$31</f>
        <v>0</v>
      </c>
      <c r="Y781" s="199">
        <f ca="1">U781*'Expenditure Study'!$B$31</f>
        <v>0</v>
      </c>
      <c r="Z781" s="200">
        <f ca="1">W781*'Expenditure Study'!$B$31</f>
        <v>0</v>
      </c>
      <c r="AA781" s="195">
        <f t="shared" ca="1" si="176"/>
        <v>0</v>
      </c>
      <c r="AB781" s="195">
        <f t="shared" ca="1" si="177"/>
        <v>0</v>
      </c>
      <c r="AD781" s="196">
        <f>IFERROR($G781/SUMIF($A:$A,$A781,$G:$G)*SUMIF(Summary!$A$166:$A$242,$A781,Summary!$P$166:$P$242),0)</f>
        <v>0</v>
      </c>
      <c r="AE781" s="197">
        <f t="shared" ca="1" si="178"/>
        <v>0</v>
      </c>
      <c r="AF781" s="196">
        <f>IFERROR(G781/SUMIF(A:A,A781,G:G)*SUMIF(Summary!$A$166:$A$242,'Operations Support'!A781,Summary!$Q$166:$Q$242),0)</f>
        <v>0</v>
      </c>
      <c r="AG781" s="196">
        <f t="shared" ca="1" si="179"/>
        <v>0</v>
      </c>
      <c r="AH781" s="180"/>
      <c r="AI781" s="196">
        <f>IFERROR($G781/SUMIF($A:$A,$A781,$G:$G)*SUMIF(Summary!$A$247:$A$283,$A781,Summary!$P$247:$P$283),0)</f>
        <v>0</v>
      </c>
      <c r="AJ781" s="196">
        <f>IFERROR($G781/SUMIF($A:$A,$A781,$G:$G)*(SUMIF(Summary!$A$247:$A$283,$A781,Summary!$L$247:$L$283)+SUMIF(Summary!$A$297:$A$333,$A781,Summary!$L$297:$L$333))-AI781,0)</f>
        <v>0</v>
      </c>
      <c r="AK781" s="196">
        <f>IFERROR($G781/SUMIF($A:$A,$A781,$G:$G)*SUMIF(Summary!$A$247:$A$283,$A781,Summary!$Q$247:$Q$283),0)</f>
        <v>0</v>
      </c>
      <c r="AL781" s="196">
        <f>IFERROR($G781/SUMIF($A:$A,$A781,$G:$G)*(SUMIF(Summary!$A$247:$A$283,$A781,Summary!$L$247:$L$283)+SUMIF(Summary!$A$297:$A$333,$A781,Summary!$L$297:$L$333))-AK781,0)</f>
        <v>0</v>
      </c>
      <c r="AM781" s="198"/>
      <c r="AN781" s="196">
        <f t="shared" ca="1" si="180"/>
        <v>0</v>
      </c>
      <c r="AO781" s="196">
        <f t="shared" ca="1" si="181"/>
        <v>0</v>
      </c>
    </row>
    <row r="782" spans="1:41">
      <c r="A782" s="189">
        <v>3606</v>
      </c>
      <c r="B782" s="203">
        <v>3</v>
      </c>
      <c r="C782" s="191" t="s">
        <v>220</v>
      </c>
      <c r="D782" s="192">
        <f t="shared" si="168"/>
        <v>11483</v>
      </c>
      <c r="E782" s="192">
        <f t="shared" si="169"/>
        <v>4596</v>
      </c>
      <c r="F782" s="192">
        <f t="shared" si="170"/>
        <v>0</v>
      </c>
      <c r="G782" s="193">
        <f t="shared" si="171"/>
        <v>16079</v>
      </c>
      <c r="H782" s="194">
        <v>4564</v>
      </c>
      <c r="I782" s="194">
        <v>1752</v>
      </c>
      <c r="J782" s="194">
        <v>0</v>
      </c>
      <c r="K782" s="193">
        <f t="shared" si="172"/>
        <v>6316</v>
      </c>
      <c r="L782" s="194">
        <v>4053</v>
      </c>
      <c r="M782" s="194">
        <v>2037</v>
      </c>
      <c r="N782" s="194">
        <v>0</v>
      </c>
      <c r="O782" s="193">
        <f t="shared" si="173"/>
        <v>6090</v>
      </c>
      <c r="P782" s="194">
        <v>2866</v>
      </c>
      <c r="Q782" s="194">
        <v>807</v>
      </c>
      <c r="R782" s="194">
        <v>0</v>
      </c>
      <c r="S782" s="193">
        <f t="shared" si="174"/>
        <v>3673</v>
      </c>
      <c r="T782" s="193">
        <f t="shared" si="175"/>
        <v>669.95833333333337</v>
      </c>
      <c r="U782" s="193">
        <f ca="1">OFFSET('Expenditure Study'!$B$7,'Operations Support'!$C782,'Operations Support'!$B782)*$G782</f>
        <v>71712.34</v>
      </c>
      <c r="V782" s="199">
        <f ca="1">U782*'Expenditure Study'!$B$31</f>
        <v>4236993.1498110723</v>
      </c>
      <c r="W782" s="199">
        <f ca="1">IF(A782=10298,1.51,1)*IF($B782&lt;3,$D782*'Expenditure Study'!$B$32*OFFSET('Expenditure Study'!$B$7,'Operations Support'!$C782,'Operations Support'!$B782),0)</f>
        <v>0</v>
      </c>
      <c r="X782" s="200">
        <f ca="1">W782*'Expenditure Study'!$B$31</f>
        <v>0</v>
      </c>
      <c r="Y782" s="199">
        <f ca="1">U782*'Expenditure Study'!$B$31</f>
        <v>4236993.1498110723</v>
      </c>
      <c r="Z782" s="200">
        <f ca="1">W782*'Expenditure Study'!$B$31</f>
        <v>0</v>
      </c>
      <c r="AA782" s="195">
        <f t="shared" ca="1" si="176"/>
        <v>4236993.1498110723</v>
      </c>
      <c r="AB782" s="195">
        <f t="shared" ca="1" si="177"/>
        <v>4236993.1498110723</v>
      </c>
      <c r="AD782" s="196">
        <f>IFERROR($G782/SUMIF($A:$A,$A782,$G:$G)*SUMIF(Summary!$A$166:$A$242,$A782,Summary!$P$166:$P$242),0)</f>
        <v>427965.71179009543</v>
      </c>
      <c r="AE782" s="197">
        <f t="shared" ca="1" si="178"/>
        <v>3809027.4380209767</v>
      </c>
      <c r="AF782" s="196">
        <f>IFERROR(G782/SUMIF(A:A,A782,G:G)*SUMIF(Summary!$A$166:$A$242,'Operations Support'!A782,Summary!$Q$166:$Q$242),0)</f>
        <v>428925.85304002435</v>
      </c>
      <c r="AG782" s="196">
        <f t="shared" ca="1" si="179"/>
        <v>3808067.2967710481</v>
      </c>
      <c r="AI782" s="196">
        <f>IFERROR($G782/SUMIF($A:$A,$A782,$G:$G)*SUMIF(Summary!$A$247:$A$283,$A782,Summary!$P$247:$P$283),0)</f>
        <v>78050.266065222735</v>
      </c>
      <c r="AJ782" s="196">
        <f>IFERROR($G782/SUMIF($A:$A,$A782,$G:$G)*(SUMIF(Summary!$A$247:$A$283,$A782,Summary!$L$247:$L$283)+SUMIF(Summary!$A$297:$A$333,$A782,Summary!$L$297:$L$333))-AI782,0)</f>
        <v>266731.52854497341</v>
      </c>
      <c r="AK782" s="196">
        <f>IFERROR($G782/SUMIF($A:$A,$A782,$G:$G)*SUMIF(Summary!$A$247:$A$283,$A782,Summary!$Q$247:$Q$283),0)</f>
        <v>78225.371869151961</v>
      </c>
      <c r="AL782" s="196">
        <f>IFERROR($G782/SUMIF($A:$A,$A782,$G:$G)*(SUMIF(Summary!$A$247:$A$283,$A782,Summary!$L$247:$L$283)+SUMIF(Summary!$A$297:$A$333,$A782,Summary!$L$297:$L$333))-AK782,0)</f>
        <v>266556.4227410442</v>
      </c>
      <c r="AM782" s="198"/>
      <c r="AN782" s="196">
        <f t="shared" ca="1" si="180"/>
        <v>4075758.9665659503</v>
      </c>
      <c r="AO782" s="196">
        <f t="shared" ca="1" si="181"/>
        <v>4074623.7195120924</v>
      </c>
    </row>
    <row r="783" spans="1:41">
      <c r="A783" s="189">
        <v>3606</v>
      </c>
      <c r="B783" s="203">
        <v>3</v>
      </c>
      <c r="C783" s="191" t="s">
        <v>221</v>
      </c>
      <c r="D783" s="192">
        <f t="shared" si="168"/>
        <v>1844</v>
      </c>
      <c r="E783" s="192">
        <f t="shared" si="169"/>
        <v>202</v>
      </c>
      <c r="F783" s="192">
        <f t="shared" si="170"/>
        <v>0</v>
      </c>
      <c r="G783" s="193">
        <f t="shared" si="171"/>
        <v>2046</v>
      </c>
      <c r="H783" s="194">
        <v>759</v>
      </c>
      <c r="I783" s="194">
        <v>70</v>
      </c>
      <c r="J783" s="194">
        <v>0</v>
      </c>
      <c r="K783" s="193">
        <f t="shared" si="172"/>
        <v>829</v>
      </c>
      <c r="L783" s="194">
        <v>806</v>
      </c>
      <c r="M783" s="194">
        <v>112</v>
      </c>
      <c r="N783" s="194">
        <v>0</v>
      </c>
      <c r="O783" s="193">
        <f t="shared" si="173"/>
        <v>918</v>
      </c>
      <c r="P783" s="194">
        <v>279</v>
      </c>
      <c r="Q783" s="194">
        <v>20</v>
      </c>
      <c r="R783" s="194">
        <v>0</v>
      </c>
      <c r="S783" s="193">
        <f t="shared" si="174"/>
        <v>299</v>
      </c>
      <c r="T783" s="193">
        <f t="shared" si="175"/>
        <v>85.25</v>
      </c>
      <c r="U783" s="193">
        <f ca="1">OFFSET('Expenditure Study'!$B$7,'Operations Support'!$C783,'Operations Support'!$B783)*$G783</f>
        <v>14322</v>
      </c>
      <c r="V783" s="199">
        <f ca="1">U783*'Expenditure Study'!$B$31</f>
        <v>846189.31541759998</v>
      </c>
      <c r="W783" s="199">
        <f ca="1">IF(A783=10298,1.51,1)*IF($B783&lt;3,$D783*'Expenditure Study'!$B$32*OFFSET('Expenditure Study'!$B$7,'Operations Support'!$C783,'Operations Support'!$B783),0)</f>
        <v>0</v>
      </c>
      <c r="X783" s="200">
        <f ca="1">W783*'Expenditure Study'!$B$31</f>
        <v>0</v>
      </c>
      <c r="Y783" s="199">
        <f ca="1">U783*'Expenditure Study'!$B$31</f>
        <v>846189.31541759998</v>
      </c>
      <c r="Z783" s="200">
        <f ca="1">W783*'Expenditure Study'!$B$31</f>
        <v>0</v>
      </c>
      <c r="AA783" s="195">
        <f t="shared" ca="1" si="176"/>
        <v>846189.31541759998</v>
      </c>
      <c r="AB783" s="195">
        <f t="shared" ca="1" si="177"/>
        <v>846189.31541759998</v>
      </c>
      <c r="AD783" s="196">
        <f>IFERROR($G783/SUMIF($A:$A,$A783,$G:$G)*SUMIF(Summary!$A$166:$A$242,$A783,Summary!$P$166:$P$242),0)</f>
        <v>54457.232808168126</v>
      </c>
      <c r="AE783" s="197">
        <f t="shared" ca="1" si="178"/>
        <v>791732.08260943182</v>
      </c>
      <c r="AF783" s="196">
        <f>IFERROR(G783/SUMIF(A:A,A783,G:G)*SUMIF(Summary!$A$166:$A$242,'Operations Support'!A783,Summary!$Q$166:$Q$242),0)</f>
        <v>54579.407632308597</v>
      </c>
      <c r="AG783" s="196">
        <f t="shared" ca="1" si="179"/>
        <v>791609.90778529143</v>
      </c>
      <c r="AI783" s="196">
        <f>IFERROR($G783/SUMIF($A:$A,$A783,$G:$G)*SUMIF(Summary!$A$247:$A$283,$A783,Summary!$P$247:$P$283),0)</f>
        <v>9931.6402991134837</v>
      </c>
      <c r="AJ783" s="196">
        <f>IFERROR($G783/SUMIF($A:$A,$A783,$G:$G)*(SUMIF(Summary!$A$247:$A$283,$A783,Summary!$L$247:$L$283)+SUMIF(Summary!$A$297:$A$333,$A783,Summary!$L$297:$L$333))-AI783,0)</f>
        <v>33940.711947447955</v>
      </c>
      <c r="AK783" s="196">
        <f>IFERROR($G783/SUMIF($A:$A,$A783,$G:$G)*SUMIF(Summary!$A$247:$A$283,$A783,Summary!$Q$247:$Q$283),0)</f>
        <v>9953.9219381979547</v>
      </c>
      <c r="AL783" s="196">
        <f>IFERROR($G783/SUMIF($A:$A,$A783,$G:$G)*(SUMIF(Summary!$A$247:$A$283,$A783,Summary!$L$247:$L$283)+SUMIF(Summary!$A$297:$A$333,$A783,Summary!$L$297:$L$333))-AK783,0)</f>
        <v>33918.43030836348</v>
      </c>
      <c r="AM783" s="198"/>
      <c r="AN783" s="196">
        <f t="shared" ca="1" si="180"/>
        <v>825672.79455687979</v>
      </c>
      <c r="AO783" s="196">
        <f t="shared" ca="1" si="181"/>
        <v>825528.33809365495</v>
      </c>
    </row>
    <row r="784" spans="1:41">
      <c r="A784" s="189">
        <v>3606</v>
      </c>
      <c r="B784" s="203">
        <v>3</v>
      </c>
      <c r="C784" s="191" t="s">
        <v>222</v>
      </c>
      <c r="D784" s="192">
        <f t="shared" si="168"/>
        <v>890</v>
      </c>
      <c r="E784" s="192">
        <f t="shared" si="169"/>
        <v>68</v>
      </c>
      <c r="F784" s="192">
        <f t="shared" si="170"/>
        <v>0</v>
      </c>
      <c r="G784" s="193">
        <f t="shared" si="171"/>
        <v>958</v>
      </c>
      <c r="H784" s="194">
        <v>342</v>
      </c>
      <c r="I784" s="194">
        <v>14</v>
      </c>
      <c r="J784" s="194">
        <v>0</v>
      </c>
      <c r="K784" s="193">
        <f t="shared" si="172"/>
        <v>356</v>
      </c>
      <c r="L784" s="194">
        <v>410</v>
      </c>
      <c r="M784" s="194">
        <v>2</v>
      </c>
      <c r="N784" s="194">
        <v>0</v>
      </c>
      <c r="O784" s="193">
        <f t="shared" si="173"/>
        <v>412</v>
      </c>
      <c r="P784" s="194">
        <v>138</v>
      </c>
      <c r="Q784" s="194">
        <v>52</v>
      </c>
      <c r="R784" s="194">
        <v>0</v>
      </c>
      <c r="S784" s="193">
        <f t="shared" si="174"/>
        <v>190</v>
      </c>
      <c r="T784" s="193">
        <f t="shared" si="175"/>
        <v>39.916666666666664</v>
      </c>
      <c r="U784" s="193">
        <f ca="1">OFFSET('Expenditure Study'!$B$7,'Operations Support'!$C784,'Operations Support'!$B784)*$G784</f>
        <v>7194.58</v>
      </c>
      <c r="V784" s="199">
        <f ca="1">U784*'Expenditure Study'!$B$31</f>
        <v>425078.67092006397</v>
      </c>
      <c r="W784" s="199">
        <f ca="1">IF(A784=10298,1.51,1)*IF($B784&lt;3,$D784*'Expenditure Study'!$B$32*OFFSET('Expenditure Study'!$B$7,'Operations Support'!$C784,'Operations Support'!$B784),0)</f>
        <v>0</v>
      </c>
      <c r="X784" s="200">
        <f ca="1">W784*'Expenditure Study'!$B$31</f>
        <v>0</v>
      </c>
      <c r="Y784" s="199">
        <f ca="1">U784*'Expenditure Study'!$B$31</f>
        <v>425078.67092006397</v>
      </c>
      <c r="Z784" s="200">
        <f ca="1">W784*'Expenditure Study'!$B$31</f>
        <v>0</v>
      </c>
      <c r="AA784" s="195">
        <f t="shared" ca="1" si="176"/>
        <v>425078.67092006397</v>
      </c>
      <c r="AB784" s="195">
        <f t="shared" ca="1" si="177"/>
        <v>425078.67092006397</v>
      </c>
      <c r="AD784" s="196">
        <f>IFERROR($G784/SUMIF($A:$A,$A784,$G:$G)*SUMIF(Summary!$A$166:$A$242,$A784,Summary!$P$166:$P$242),0)</f>
        <v>25498.547913110982</v>
      </c>
      <c r="AE784" s="197">
        <f t="shared" ca="1" si="178"/>
        <v>399580.12300695298</v>
      </c>
      <c r="AF784" s="196">
        <f>IFERROR(G784/SUMIF(A:A,A784,G:G)*SUMIF(Summary!$A$166:$A$242,'Operations Support'!A784,Summary!$Q$166:$Q$242),0)</f>
        <v>25555.753915812136</v>
      </c>
      <c r="AG784" s="196">
        <f t="shared" ca="1" si="179"/>
        <v>399522.91700425185</v>
      </c>
      <c r="AI784" s="196">
        <f>IFERROR($G784/SUMIF($A:$A,$A784,$G:$G)*SUMIF(Summary!$A$247:$A$283,$A784,Summary!$P$247:$P$283),0)</f>
        <v>4650.298830181192</v>
      </c>
      <c r="AJ784" s="196">
        <f>IFERROR($G784/SUMIF($A:$A,$A784,$G:$G)*(SUMIF(Summary!$A$247:$A$283,$A784,Summary!$L$247:$L$283)+SUMIF(Summary!$A$297:$A$333,$A784,Summary!$L$297:$L$333))-AI784,0)</f>
        <v>15892.083111268395</v>
      </c>
      <c r="AK784" s="196">
        <f>IFERROR($G784/SUMIF($A:$A,$A784,$G:$G)*SUMIF(Summary!$A$247:$A$283,$A784,Summary!$Q$247:$Q$283),0)</f>
        <v>4660.7317775139982</v>
      </c>
      <c r="AL784" s="196">
        <f>IFERROR($G784/SUMIF($A:$A,$A784,$G:$G)*(SUMIF(Summary!$A$247:$A$283,$A784,Summary!$L$247:$L$283)+SUMIF(Summary!$A$297:$A$333,$A784,Summary!$L$297:$L$333))-AK784,0)</f>
        <v>15881.65016393559</v>
      </c>
      <c r="AM784" s="198"/>
      <c r="AN784" s="196">
        <f t="shared" ca="1" si="180"/>
        <v>415472.20611822139</v>
      </c>
      <c r="AO784" s="196">
        <f t="shared" ca="1" si="181"/>
        <v>415404.56716818747</v>
      </c>
    </row>
    <row r="785" spans="1:41">
      <c r="A785" s="189">
        <v>3606</v>
      </c>
      <c r="B785" s="203">
        <v>3</v>
      </c>
      <c r="C785" s="191" t="s">
        <v>223</v>
      </c>
      <c r="D785" s="192">
        <f t="shared" si="168"/>
        <v>5622</v>
      </c>
      <c r="E785" s="192">
        <f t="shared" si="169"/>
        <v>3039</v>
      </c>
      <c r="F785" s="192">
        <f t="shared" si="170"/>
        <v>0</v>
      </c>
      <c r="G785" s="193">
        <f t="shared" si="171"/>
        <v>8661</v>
      </c>
      <c r="H785" s="194">
        <v>1782</v>
      </c>
      <c r="I785" s="194">
        <v>1044</v>
      </c>
      <c r="J785" s="194">
        <v>0</v>
      </c>
      <c r="K785" s="193">
        <f t="shared" si="172"/>
        <v>2826</v>
      </c>
      <c r="L785" s="194">
        <v>2190</v>
      </c>
      <c r="M785" s="194">
        <v>1152</v>
      </c>
      <c r="N785" s="194">
        <v>0</v>
      </c>
      <c r="O785" s="193">
        <f t="shared" si="173"/>
        <v>3342</v>
      </c>
      <c r="P785" s="194">
        <v>1650</v>
      </c>
      <c r="Q785" s="194">
        <v>843</v>
      </c>
      <c r="R785" s="194">
        <v>0</v>
      </c>
      <c r="S785" s="193">
        <f t="shared" si="174"/>
        <v>2493</v>
      </c>
      <c r="T785" s="193">
        <f t="shared" si="175"/>
        <v>360.875</v>
      </c>
      <c r="U785" s="193">
        <f ca="1">OFFSET('Expenditure Study'!$B$7,'Operations Support'!$C785,'Operations Support'!$B785)*$G785</f>
        <v>19400.640000000003</v>
      </c>
      <c r="V785" s="199">
        <f ca="1">U785*'Expenditure Study'!$B$31</f>
        <v>1146251.5207557122</v>
      </c>
      <c r="W785" s="199">
        <f ca="1">IF(A785=10298,1.51,1)*IF($B785&lt;3,$D785*'Expenditure Study'!$B$32*OFFSET('Expenditure Study'!$B$7,'Operations Support'!$C785,'Operations Support'!$B785),0)</f>
        <v>0</v>
      </c>
      <c r="X785" s="200">
        <f ca="1">W785*'Expenditure Study'!$B$31</f>
        <v>0</v>
      </c>
      <c r="Y785" s="199">
        <f ca="1">U785*'Expenditure Study'!$B$31</f>
        <v>1146251.5207557122</v>
      </c>
      <c r="Z785" s="200">
        <f ca="1">W785*'Expenditure Study'!$B$31</f>
        <v>0</v>
      </c>
      <c r="AA785" s="195">
        <f t="shared" ca="1" si="176"/>
        <v>1146251.5207557122</v>
      </c>
      <c r="AB785" s="195">
        <f t="shared" ca="1" si="177"/>
        <v>1146251.5207557122</v>
      </c>
      <c r="AD785" s="196">
        <f>IFERROR($G785/SUMIF($A:$A,$A785,$G:$G)*SUMIF(Summary!$A$166:$A$242,$A785,Summary!$P$166:$P$242),0)</f>
        <v>230524.97231258269</v>
      </c>
      <c r="AE785" s="197">
        <f t="shared" ca="1" si="178"/>
        <v>915726.54844312952</v>
      </c>
      <c r="AF785" s="196">
        <f>IFERROR(G785/SUMIF(A:A,A785,G:G)*SUMIF(Summary!$A$166:$A$242,'Operations Support'!A785,Summary!$Q$166:$Q$242),0)</f>
        <v>231042.15518251457</v>
      </c>
      <c r="AG785" s="196">
        <f t="shared" ca="1" si="179"/>
        <v>915209.3655731976</v>
      </c>
      <c r="AI785" s="196">
        <f>IFERROR($G785/SUMIF($A:$A,$A785,$G:$G)*SUMIF(Summary!$A$247:$A$283,$A785,Summary!$P$247:$P$283),0)</f>
        <v>42042.002263256058</v>
      </c>
      <c r="AJ785" s="196">
        <f>IFERROR($G785/SUMIF($A:$A,$A785,$G:$G)*(SUMIF(Summary!$A$247:$A$283,$A785,Summary!$L$247:$L$283)+SUMIF(Summary!$A$297:$A$333,$A785,Summary!$L$297:$L$333))-AI785,0)</f>
        <v>143675.71171888892</v>
      </c>
      <c r="AK785" s="196">
        <f>IFERROR($G785/SUMIF($A:$A,$A785,$G:$G)*SUMIF(Summary!$A$247:$A$283,$A785,Summary!$Q$247:$Q$283),0)</f>
        <v>42136.323512576979</v>
      </c>
      <c r="AL785" s="196">
        <f>IFERROR($G785/SUMIF($A:$A,$A785,$G:$G)*(SUMIF(Summary!$A$247:$A$283,$A785,Summary!$L$247:$L$283)+SUMIF(Summary!$A$297:$A$333,$A785,Summary!$L$297:$L$333))-AK785,0)</f>
        <v>143581.390469568</v>
      </c>
      <c r="AM785" s="198"/>
      <c r="AN785" s="196">
        <f t="shared" ca="1" si="180"/>
        <v>1059402.2601620185</v>
      </c>
      <c r="AO785" s="196">
        <f t="shared" ca="1" si="181"/>
        <v>1058790.7560427657</v>
      </c>
    </row>
    <row r="786" spans="1:41">
      <c r="A786" s="189">
        <v>3606</v>
      </c>
      <c r="B786" s="203">
        <v>3</v>
      </c>
      <c r="C786" s="191" t="s">
        <v>224</v>
      </c>
      <c r="D786" s="192">
        <f t="shared" si="168"/>
        <v>307</v>
      </c>
      <c r="E786" s="192">
        <f t="shared" si="169"/>
        <v>207</v>
      </c>
      <c r="F786" s="192">
        <f t="shared" si="170"/>
        <v>0</v>
      </c>
      <c r="G786" s="193">
        <f t="shared" si="171"/>
        <v>514</v>
      </c>
      <c r="H786" s="194">
        <v>128</v>
      </c>
      <c r="I786" s="194">
        <v>108</v>
      </c>
      <c r="J786" s="194">
        <v>0</v>
      </c>
      <c r="K786" s="193">
        <f t="shared" si="172"/>
        <v>236</v>
      </c>
      <c r="L786" s="194">
        <v>129</v>
      </c>
      <c r="M786" s="194">
        <v>93</v>
      </c>
      <c r="N786" s="194">
        <v>0</v>
      </c>
      <c r="O786" s="193">
        <f t="shared" si="173"/>
        <v>222</v>
      </c>
      <c r="P786" s="194">
        <v>50</v>
      </c>
      <c r="Q786" s="194">
        <v>6</v>
      </c>
      <c r="R786" s="194">
        <v>0</v>
      </c>
      <c r="S786" s="193">
        <f t="shared" si="174"/>
        <v>56</v>
      </c>
      <c r="T786" s="193">
        <f t="shared" si="175"/>
        <v>21.416666666666668</v>
      </c>
      <c r="U786" s="193">
        <f ca="1">OFFSET('Expenditure Study'!$B$7,'Operations Support'!$C786,'Operations Support'!$B786)*$G786</f>
        <v>4713.38</v>
      </c>
      <c r="V786" s="199">
        <f ca="1">U786*'Expenditure Study'!$B$31</f>
        <v>278481.48271910404</v>
      </c>
      <c r="W786" s="199">
        <f ca="1">IF(A786=10298,1.51,1)*IF($B786&lt;3,$D786*'Expenditure Study'!$B$32*OFFSET('Expenditure Study'!$B$7,'Operations Support'!$C786,'Operations Support'!$B786),0)</f>
        <v>0</v>
      </c>
      <c r="X786" s="200">
        <f ca="1">W786*'Expenditure Study'!$B$31</f>
        <v>0</v>
      </c>
      <c r="Y786" s="199">
        <f ca="1">U786*'Expenditure Study'!$B$31</f>
        <v>278481.48271910404</v>
      </c>
      <c r="Z786" s="200">
        <f ca="1">W786*'Expenditure Study'!$B$31</f>
        <v>0</v>
      </c>
      <c r="AA786" s="195">
        <f t="shared" ca="1" si="176"/>
        <v>278481.48271910404</v>
      </c>
      <c r="AB786" s="195">
        <f t="shared" ca="1" si="177"/>
        <v>278481.48271910404</v>
      </c>
      <c r="AD786" s="196">
        <f>IFERROR($G786/SUMIF($A:$A,$A786,$G:$G)*SUMIF(Summary!$A$166:$A$242,$A786,Summary!$P$166:$P$242),0)</f>
        <v>13680.84929784869</v>
      </c>
      <c r="AE786" s="197">
        <f t="shared" ca="1" si="178"/>
        <v>264800.63342125533</v>
      </c>
      <c r="AF786" s="196">
        <f>IFERROR(G786/SUMIF(A:A,A786,G:G)*SUMIF(Summary!$A$166:$A$242,'Operations Support'!A786,Summary!$Q$166:$Q$242),0)</f>
        <v>13711.54228885954</v>
      </c>
      <c r="AG786" s="196">
        <f t="shared" ca="1" si="179"/>
        <v>264769.94043024449</v>
      </c>
      <c r="AI786" s="196">
        <f>IFERROR($G786/SUMIF($A:$A,$A786,$G:$G)*SUMIF(Summary!$A$247:$A$283,$A786,Summary!$P$247:$P$283),0)</f>
        <v>2495.0455101389693</v>
      </c>
      <c r="AJ786" s="196">
        <f>IFERROR($G786/SUMIF($A:$A,$A786,$G:$G)*(SUMIF(Summary!$A$247:$A$283,$A786,Summary!$L$247:$L$283)+SUMIF(Summary!$A$297:$A$333,$A786,Summary!$L$297:$L$333))-AI786,0)</f>
        <v>8526.6500200333576</v>
      </c>
      <c r="AK786" s="196">
        <f>IFERROR($G786/SUMIF($A:$A,$A786,$G:$G)*SUMIF(Summary!$A$247:$A$283,$A786,Summary!$Q$247:$Q$283),0)</f>
        <v>2500.6431457642957</v>
      </c>
      <c r="AL786" s="196">
        <f>IFERROR($G786/SUMIF($A:$A,$A786,$G:$G)*(SUMIF(Summary!$A$247:$A$283,$A786,Summary!$L$247:$L$283)+SUMIF(Summary!$A$297:$A$333,$A786,Summary!$L$297:$L$333))-AK786,0)</f>
        <v>8521.0523844080308</v>
      </c>
      <c r="AM786" s="198"/>
      <c r="AN786" s="196">
        <f t="shared" ca="1" si="180"/>
        <v>273327.28344128869</v>
      </c>
      <c r="AO786" s="196">
        <f t="shared" ca="1" si="181"/>
        <v>273290.99281465251</v>
      </c>
    </row>
    <row r="787" spans="1:41">
      <c r="A787" s="189">
        <v>3606</v>
      </c>
      <c r="B787" s="203">
        <v>3</v>
      </c>
      <c r="C787" s="191" t="s">
        <v>225</v>
      </c>
      <c r="D787" s="192">
        <f t="shared" si="168"/>
        <v>669</v>
      </c>
      <c r="E787" s="192">
        <f t="shared" si="169"/>
        <v>258</v>
      </c>
      <c r="F787" s="192">
        <f t="shared" si="170"/>
        <v>0</v>
      </c>
      <c r="G787" s="193">
        <f t="shared" si="171"/>
        <v>927</v>
      </c>
      <c r="H787" s="194">
        <v>192</v>
      </c>
      <c r="I787" s="194">
        <v>138</v>
      </c>
      <c r="J787" s="194">
        <v>0</v>
      </c>
      <c r="K787" s="193">
        <f t="shared" si="172"/>
        <v>330</v>
      </c>
      <c r="L787" s="194">
        <v>312</v>
      </c>
      <c r="M787" s="194">
        <v>120</v>
      </c>
      <c r="N787" s="194">
        <v>0</v>
      </c>
      <c r="O787" s="193">
        <f t="shared" si="173"/>
        <v>432</v>
      </c>
      <c r="P787" s="194">
        <v>165</v>
      </c>
      <c r="Q787" s="194">
        <v>0</v>
      </c>
      <c r="R787" s="194">
        <v>0</v>
      </c>
      <c r="S787" s="193">
        <f t="shared" si="174"/>
        <v>165</v>
      </c>
      <c r="T787" s="193">
        <f t="shared" si="175"/>
        <v>38.625</v>
      </c>
      <c r="U787" s="193">
        <f ca="1">OFFSET('Expenditure Study'!$B$7,'Operations Support'!$C787,'Operations Support'!$B787)*$G787</f>
        <v>6405.57</v>
      </c>
      <c r="V787" s="199">
        <f ca="1">U787*'Expenditure Study'!$B$31</f>
        <v>378461.45043705602</v>
      </c>
      <c r="W787" s="199">
        <f ca="1">IF(A787=10298,1.51,1)*IF($B787&lt;3,$D787*'Expenditure Study'!$B$32*OFFSET('Expenditure Study'!$B$7,'Operations Support'!$C787,'Operations Support'!$B787),0)</f>
        <v>0</v>
      </c>
      <c r="X787" s="200">
        <f ca="1">W787*'Expenditure Study'!$B$31</f>
        <v>0</v>
      </c>
      <c r="Y787" s="199">
        <f ca="1">U787*'Expenditure Study'!$B$31</f>
        <v>378461.45043705602</v>
      </c>
      <c r="Z787" s="200">
        <f ca="1">W787*'Expenditure Study'!$B$31</f>
        <v>0</v>
      </c>
      <c r="AA787" s="195">
        <f t="shared" ca="1" si="176"/>
        <v>378461.45043705602</v>
      </c>
      <c r="AB787" s="195">
        <f t="shared" ca="1" si="177"/>
        <v>378461.45043705602</v>
      </c>
      <c r="AD787" s="196">
        <f>IFERROR($G787/SUMIF($A:$A,$A787,$G:$G)*SUMIF(Summary!$A$166:$A$242,$A787,Summary!$P$166:$P$242),0)</f>
        <v>24673.438325108433</v>
      </c>
      <c r="AE787" s="197">
        <f t="shared" ca="1" si="178"/>
        <v>353788.01211194758</v>
      </c>
      <c r="AF787" s="196">
        <f>IFERROR(G787/SUMIF(A:A,A787,G:G)*SUMIF(Summary!$A$166:$A$242,'Operations Support'!A787,Summary!$Q$166:$Q$242),0)</f>
        <v>24728.793194110491</v>
      </c>
      <c r="AG787" s="196">
        <f t="shared" ca="1" si="179"/>
        <v>353732.65724294551</v>
      </c>
      <c r="AI787" s="196">
        <f>IFERROR($G787/SUMIF($A:$A,$A787,$G:$G)*SUMIF(Summary!$A$247:$A$283,$A787,Summary!$P$247:$P$283),0)</f>
        <v>4499.819431709775</v>
      </c>
      <c r="AJ787" s="196">
        <f>IFERROR($G787/SUMIF($A:$A,$A787,$G:$G)*(SUMIF(Summary!$A$247:$A$283,$A787,Summary!$L$247:$L$283)+SUMIF(Summary!$A$297:$A$333,$A787,Summary!$L$297:$L$333))-AI787,0)</f>
        <v>15377.829899943425</v>
      </c>
      <c r="AK787" s="196">
        <f>IFERROR($G787/SUMIF($A:$A,$A787,$G:$G)*SUMIF(Summary!$A$247:$A$283,$A787,Summary!$Q$247:$Q$283),0)</f>
        <v>4509.914778450393</v>
      </c>
      <c r="AL787" s="196">
        <f>IFERROR($G787/SUMIF($A:$A,$A787,$G:$G)*(SUMIF(Summary!$A$247:$A$283,$A787,Summary!$L$247:$L$283)+SUMIF(Summary!$A$297:$A$333,$A787,Summary!$L$297:$L$333))-AK787,0)</f>
        <v>15367.734553202807</v>
      </c>
      <c r="AM787" s="198"/>
      <c r="AN787" s="196">
        <f t="shared" ca="1" si="180"/>
        <v>369165.84201189101</v>
      </c>
      <c r="AO787" s="196">
        <f t="shared" ca="1" si="181"/>
        <v>369100.39179614832</v>
      </c>
    </row>
    <row r="788" spans="1:41">
      <c r="A788" s="189">
        <v>3606</v>
      </c>
      <c r="B788" s="203">
        <v>3</v>
      </c>
      <c r="C788" s="191" t="s">
        <v>226</v>
      </c>
      <c r="D788" s="192">
        <f t="shared" si="168"/>
        <v>171</v>
      </c>
      <c r="E788" s="192">
        <f t="shared" si="169"/>
        <v>105</v>
      </c>
      <c r="F788" s="192">
        <f t="shared" si="170"/>
        <v>0</v>
      </c>
      <c r="G788" s="193">
        <f t="shared" si="171"/>
        <v>276</v>
      </c>
      <c r="H788" s="194">
        <v>54</v>
      </c>
      <c r="I788" s="194">
        <v>0</v>
      </c>
      <c r="J788" s="194">
        <v>0</v>
      </c>
      <c r="K788" s="193">
        <f t="shared" si="172"/>
        <v>54</v>
      </c>
      <c r="L788" s="194">
        <v>54</v>
      </c>
      <c r="M788" s="194">
        <v>54</v>
      </c>
      <c r="N788" s="194">
        <v>0</v>
      </c>
      <c r="O788" s="193">
        <f t="shared" si="173"/>
        <v>108</v>
      </c>
      <c r="P788" s="194">
        <v>63</v>
      </c>
      <c r="Q788" s="194">
        <v>51</v>
      </c>
      <c r="R788" s="194">
        <v>0</v>
      </c>
      <c r="S788" s="193">
        <f t="shared" si="174"/>
        <v>114</v>
      </c>
      <c r="T788" s="193">
        <f t="shared" si="175"/>
        <v>11.5</v>
      </c>
      <c r="U788" s="193">
        <f ca="1">OFFSET('Expenditure Study'!$B$7,'Operations Support'!$C788,'Operations Support'!$B788)*$G788</f>
        <v>952.2</v>
      </c>
      <c r="V788" s="199">
        <f ca="1">U788*'Expenditure Study'!$B$31</f>
        <v>56259.004757760005</v>
      </c>
      <c r="W788" s="199">
        <f ca="1">IF(A788=10298,1.51,1)*IF($B788&lt;3,$D788*'Expenditure Study'!$B$32*OFFSET('Expenditure Study'!$B$7,'Operations Support'!$C788,'Operations Support'!$B788),0)</f>
        <v>0</v>
      </c>
      <c r="X788" s="200">
        <f ca="1">W788*'Expenditure Study'!$B$31</f>
        <v>0</v>
      </c>
      <c r="Y788" s="199">
        <f ca="1">U788*'Expenditure Study'!$B$31</f>
        <v>56259.004757760005</v>
      </c>
      <c r="Z788" s="200">
        <f ca="1">W788*'Expenditure Study'!$B$31</f>
        <v>0</v>
      </c>
      <c r="AA788" s="195">
        <f t="shared" ca="1" si="176"/>
        <v>56259.004757760005</v>
      </c>
      <c r="AB788" s="195">
        <f t="shared" ca="1" si="177"/>
        <v>56259.004757760005</v>
      </c>
      <c r="AD788" s="196">
        <f>IFERROR($G788/SUMIF($A:$A,$A788,$G:$G)*SUMIF(Summary!$A$166:$A$242,$A788,Summary!$P$166:$P$242),0)</f>
        <v>7346.1369770549381</v>
      </c>
      <c r="AE788" s="197">
        <f t="shared" ca="1" si="178"/>
        <v>48912.86778070507</v>
      </c>
      <c r="AF788" s="196">
        <f>IFERROR(G788/SUMIF(A:A,A788,G:G)*SUMIF(Summary!$A$166:$A$242,'Operations Support'!A788,Summary!$Q$166:$Q$242),0)</f>
        <v>7362.6180383759402</v>
      </c>
      <c r="AG788" s="196">
        <f t="shared" ca="1" si="179"/>
        <v>48896.386719384063</v>
      </c>
      <c r="AI788" s="196">
        <f>IFERROR($G788/SUMIF($A:$A,$A788,$G:$G)*SUMIF(Summary!$A$247:$A$283,$A788,Summary!$P$247:$P$283),0)</f>
        <v>1339.7520638100302</v>
      </c>
      <c r="AJ788" s="196">
        <f>IFERROR($G788/SUMIF($A:$A,$A788,$G:$G)*(SUMIF(Summary!$A$247:$A$283,$A788,Summary!$L$247:$L$283)+SUMIF(Summary!$A$297:$A$333,$A788,Summary!$L$297:$L$333))-AI788,0)</f>
        <v>4578.512462119078</v>
      </c>
      <c r="AK788" s="196">
        <f>IFERROR($G788/SUMIF($A:$A,$A788,$G:$G)*SUMIF(Summary!$A$247:$A$283,$A788,Summary!$Q$247:$Q$283),0)</f>
        <v>1342.7577981146801</v>
      </c>
      <c r="AL788" s="196">
        <f>IFERROR($G788/SUMIF($A:$A,$A788,$G:$G)*(SUMIF(Summary!$A$247:$A$283,$A788,Summary!$L$247:$L$283)+SUMIF(Summary!$A$297:$A$333,$A788,Summary!$L$297:$L$333))-AK788,0)</f>
        <v>4575.5067278144288</v>
      </c>
      <c r="AM788" s="198"/>
      <c r="AN788" s="196">
        <f t="shared" ca="1" si="180"/>
        <v>53491.380242824147</v>
      </c>
      <c r="AO788" s="196">
        <f t="shared" ca="1" si="181"/>
        <v>53471.89344719849</v>
      </c>
    </row>
    <row r="789" spans="1:41">
      <c r="A789" s="189">
        <v>3606</v>
      </c>
      <c r="B789" s="203">
        <v>3</v>
      </c>
      <c r="C789" s="191" t="s">
        <v>227</v>
      </c>
      <c r="D789" s="192">
        <f t="shared" si="168"/>
        <v>0</v>
      </c>
      <c r="E789" s="192">
        <f t="shared" si="169"/>
        <v>0</v>
      </c>
      <c r="F789" s="192">
        <f t="shared" si="170"/>
        <v>0</v>
      </c>
      <c r="G789" s="193">
        <f t="shared" si="171"/>
        <v>0</v>
      </c>
      <c r="H789" s="194">
        <v>0</v>
      </c>
      <c r="I789" s="194">
        <v>0</v>
      </c>
      <c r="J789" s="194">
        <v>0</v>
      </c>
      <c r="K789" s="193">
        <f t="shared" si="172"/>
        <v>0</v>
      </c>
      <c r="L789" s="194">
        <v>0</v>
      </c>
      <c r="M789" s="194">
        <v>0</v>
      </c>
      <c r="N789" s="194">
        <v>0</v>
      </c>
      <c r="O789" s="193">
        <f t="shared" si="173"/>
        <v>0</v>
      </c>
      <c r="P789" s="194">
        <v>0</v>
      </c>
      <c r="Q789" s="194">
        <v>0</v>
      </c>
      <c r="R789" s="194">
        <v>0</v>
      </c>
      <c r="S789" s="193">
        <f t="shared" si="174"/>
        <v>0</v>
      </c>
      <c r="T789" s="193">
        <f t="shared" si="175"/>
        <v>0</v>
      </c>
      <c r="U789" s="193">
        <f ca="1">OFFSET('Expenditure Study'!$B$7,'Operations Support'!$C789,'Operations Support'!$B789)*$G789</f>
        <v>0</v>
      </c>
      <c r="V789" s="199">
        <f ca="1">U789*'Expenditure Study'!$B$31</f>
        <v>0</v>
      </c>
      <c r="W789" s="199">
        <f ca="1">IF(A789=10298,1.51,1)*IF($B789&lt;3,$D789*'Expenditure Study'!$B$32*OFFSET('Expenditure Study'!$B$7,'Operations Support'!$C789,'Operations Support'!$B789),0)</f>
        <v>0</v>
      </c>
      <c r="X789" s="200">
        <f ca="1">W789*'Expenditure Study'!$B$31</f>
        <v>0</v>
      </c>
      <c r="Y789" s="199">
        <f ca="1">U789*'Expenditure Study'!$B$31</f>
        <v>0</v>
      </c>
      <c r="Z789" s="200">
        <f ca="1">W789*'Expenditure Study'!$B$31</f>
        <v>0</v>
      </c>
      <c r="AA789" s="195">
        <f t="shared" ca="1" si="176"/>
        <v>0</v>
      </c>
      <c r="AB789" s="195">
        <f t="shared" ca="1" si="177"/>
        <v>0</v>
      </c>
      <c r="AD789" s="196">
        <f>IFERROR($G789/SUMIF($A:$A,$A789,$G:$G)*SUMIF(Summary!$A$166:$A$242,$A789,Summary!$P$166:$P$242),0)</f>
        <v>0</v>
      </c>
      <c r="AE789" s="197">
        <f t="shared" ca="1" si="178"/>
        <v>0</v>
      </c>
      <c r="AF789" s="196">
        <f>IFERROR(G789/SUMIF(A:A,A789,G:G)*SUMIF(Summary!$A$166:$A$242,'Operations Support'!A789,Summary!$Q$166:$Q$242),0)</f>
        <v>0</v>
      </c>
      <c r="AG789" s="196">
        <f t="shared" ca="1" si="179"/>
        <v>0</v>
      </c>
      <c r="AI789" s="196">
        <f>IFERROR($G789/SUMIF($A:$A,$A789,$G:$G)*SUMIF(Summary!$A$247:$A$283,$A789,Summary!$P$247:$P$283),0)</f>
        <v>0</v>
      </c>
      <c r="AJ789" s="196">
        <f>IFERROR($G789/SUMIF($A:$A,$A789,$G:$G)*(SUMIF(Summary!$A$247:$A$283,$A789,Summary!$L$247:$L$283)+SUMIF(Summary!$A$297:$A$333,$A789,Summary!$L$297:$L$333))-AI789,0)</f>
        <v>0</v>
      </c>
      <c r="AK789" s="196">
        <f>IFERROR($G789/SUMIF($A:$A,$A789,$G:$G)*SUMIF(Summary!$A$247:$A$283,$A789,Summary!$Q$247:$Q$283),0)</f>
        <v>0</v>
      </c>
      <c r="AL789" s="196">
        <f>IFERROR($G789/SUMIF($A:$A,$A789,$G:$G)*(SUMIF(Summary!$A$247:$A$283,$A789,Summary!$L$247:$L$283)+SUMIF(Summary!$A$297:$A$333,$A789,Summary!$L$297:$L$333))-AK789,0)</f>
        <v>0</v>
      </c>
      <c r="AM789" s="198"/>
      <c r="AN789" s="196">
        <f t="shared" ca="1" si="180"/>
        <v>0</v>
      </c>
      <c r="AO789" s="196">
        <f t="shared" ca="1" si="181"/>
        <v>0</v>
      </c>
    </row>
    <row r="790" spans="1:41">
      <c r="A790" s="189">
        <v>3606</v>
      </c>
      <c r="B790" s="203">
        <v>3</v>
      </c>
      <c r="C790" s="191" t="s">
        <v>228</v>
      </c>
      <c r="D790" s="192">
        <f t="shared" si="168"/>
        <v>0</v>
      </c>
      <c r="E790" s="192">
        <f t="shared" si="169"/>
        <v>0</v>
      </c>
      <c r="F790" s="192">
        <f t="shared" si="170"/>
        <v>0</v>
      </c>
      <c r="G790" s="193">
        <f t="shared" si="171"/>
        <v>0</v>
      </c>
      <c r="H790" s="194">
        <v>0</v>
      </c>
      <c r="I790" s="194">
        <v>0</v>
      </c>
      <c r="J790" s="194">
        <v>0</v>
      </c>
      <c r="K790" s="193">
        <f t="shared" si="172"/>
        <v>0</v>
      </c>
      <c r="L790" s="194">
        <v>0</v>
      </c>
      <c r="M790" s="194">
        <v>0</v>
      </c>
      <c r="N790" s="194">
        <v>0</v>
      </c>
      <c r="O790" s="193">
        <f t="shared" si="173"/>
        <v>0</v>
      </c>
      <c r="P790" s="194">
        <v>0</v>
      </c>
      <c r="Q790" s="194">
        <v>0</v>
      </c>
      <c r="R790" s="194">
        <v>0</v>
      </c>
      <c r="S790" s="193">
        <f t="shared" si="174"/>
        <v>0</v>
      </c>
      <c r="T790" s="193">
        <f t="shared" si="175"/>
        <v>0</v>
      </c>
      <c r="U790" s="193">
        <f ca="1">OFFSET('Expenditure Study'!$B$7,'Operations Support'!$C790,'Operations Support'!$B790)*$G790</f>
        <v>0</v>
      </c>
      <c r="V790" s="199">
        <f ca="1">U790*'Expenditure Study'!$B$31</f>
        <v>0</v>
      </c>
      <c r="W790" s="199">
        <f ca="1">IF(A790=10298,1.51,1)*IF($B790&lt;3,$D790*'Expenditure Study'!$B$32*OFFSET('Expenditure Study'!$B$7,'Operations Support'!$C790,'Operations Support'!$B790),0)</f>
        <v>0</v>
      </c>
      <c r="X790" s="200">
        <f ca="1">W790*'Expenditure Study'!$B$31</f>
        <v>0</v>
      </c>
      <c r="Y790" s="199">
        <f ca="1">U790*'Expenditure Study'!$B$31</f>
        <v>0</v>
      </c>
      <c r="Z790" s="200">
        <f ca="1">W790*'Expenditure Study'!$B$31</f>
        <v>0</v>
      </c>
      <c r="AA790" s="195">
        <f t="shared" ca="1" si="176"/>
        <v>0</v>
      </c>
      <c r="AB790" s="195">
        <f t="shared" ca="1" si="177"/>
        <v>0</v>
      </c>
      <c r="AD790" s="196">
        <f>IFERROR($G790/SUMIF($A:$A,$A790,$G:$G)*SUMIF(Summary!$A$166:$A$242,$A790,Summary!$P$166:$P$242),0)</f>
        <v>0</v>
      </c>
      <c r="AE790" s="197">
        <f t="shared" ca="1" si="178"/>
        <v>0</v>
      </c>
      <c r="AF790" s="196">
        <f>IFERROR(G790/SUMIF(A:A,A790,G:G)*SUMIF(Summary!$A$166:$A$242,'Operations Support'!A790,Summary!$Q$166:$Q$242),0)</f>
        <v>0</v>
      </c>
      <c r="AG790" s="196">
        <f t="shared" ca="1" si="179"/>
        <v>0</v>
      </c>
      <c r="AI790" s="196">
        <f>IFERROR($G790/SUMIF($A:$A,$A790,$G:$G)*SUMIF(Summary!$A$247:$A$283,$A790,Summary!$P$247:$P$283),0)</f>
        <v>0</v>
      </c>
      <c r="AJ790" s="196">
        <f>IFERROR($G790/SUMIF($A:$A,$A790,$G:$G)*(SUMIF(Summary!$A$247:$A$283,$A790,Summary!$L$247:$L$283)+SUMIF(Summary!$A$297:$A$333,$A790,Summary!$L$297:$L$333))-AI790,0)</f>
        <v>0</v>
      </c>
      <c r="AK790" s="196">
        <f>IFERROR($G790/SUMIF($A:$A,$A790,$G:$G)*SUMIF(Summary!$A$247:$A$283,$A790,Summary!$Q$247:$Q$283),0)</f>
        <v>0</v>
      </c>
      <c r="AL790" s="196">
        <f>IFERROR($G790/SUMIF($A:$A,$A790,$G:$G)*(SUMIF(Summary!$A$247:$A$283,$A790,Summary!$L$247:$L$283)+SUMIF(Summary!$A$297:$A$333,$A790,Summary!$L$297:$L$333))-AK790,0)</f>
        <v>0</v>
      </c>
      <c r="AM790" s="198"/>
      <c r="AN790" s="196">
        <f t="shared" ca="1" si="180"/>
        <v>0</v>
      </c>
      <c r="AO790" s="196">
        <f t="shared" ca="1" si="181"/>
        <v>0</v>
      </c>
    </row>
    <row r="791" spans="1:41">
      <c r="A791" s="189">
        <v>3606</v>
      </c>
      <c r="B791" s="203">
        <v>3</v>
      </c>
      <c r="C791" s="191" t="s">
        <v>229</v>
      </c>
      <c r="D791" s="192">
        <f t="shared" si="168"/>
        <v>1407</v>
      </c>
      <c r="E791" s="192">
        <f t="shared" si="169"/>
        <v>417</v>
      </c>
      <c r="F791" s="192">
        <f t="shared" si="170"/>
        <v>0</v>
      </c>
      <c r="G791" s="193">
        <f t="shared" si="171"/>
        <v>1824</v>
      </c>
      <c r="H791" s="194">
        <v>493</v>
      </c>
      <c r="I791" s="194">
        <v>105</v>
      </c>
      <c r="J791" s="194">
        <v>0</v>
      </c>
      <c r="K791" s="193">
        <f t="shared" si="172"/>
        <v>598</v>
      </c>
      <c r="L791" s="194">
        <v>434</v>
      </c>
      <c r="M791" s="194">
        <v>177</v>
      </c>
      <c r="N791" s="194">
        <v>0</v>
      </c>
      <c r="O791" s="193">
        <f t="shared" si="173"/>
        <v>611</v>
      </c>
      <c r="P791" s="194">
        <v>480</v>
      </c>
      <c r="Q791" s="194">
        <v>135</v>
      </c>
      <c r="R791" s="194">
        <v>0</v>
      </c>
      <c r="S791" s="193">
        <f t="shared" si="174"/>
        <v>615</v>
      </c>
      <c r="T791" s="193">
        <f t="shared" si="175"/>
        <v>76</v>
      </c>
      <c r="U791" s="193">
        <f ca="1">OFFSET('Expenditure Study'!$B$7,'Operations Support'!$C791,'Operations Support'!$B791)*$G791</f>
        <v>6730.5599999999995</v>
      </c>
      <c r="V791" s="199">
        <f ca="1">U791*'Expenditure Study'!$B$31</f>
        <v>397662.89336524799</v>
      </c>
      <c r="W791" s="199">
        <f ca="1">IF(A791=10298,1.51,1)*IF($B791&lt;3,$D791*'Expenditure Study'!$B$32*OFFSET('Expenditure Study'!$B$7,'Operations Support'!$C791,'Operations Support'!$B791),0)</f>
        <v>0</v>
      </c>
      <c r="X791" s="200">
        <f ca="1">W791*'Expenditure Study'!$B$31</f>
        <v>0</v>
      </c>
      <c r="Y791" s="199">
        <f ca="1">U791*'Expenditure Study'!$B$31</f>
        <v>397662.89336524799</v>
      </c>
      <c r="Z791" s="200">
        <f ca="1">W791*'Expenditure Study'!$B$31</f>
        <v>0</v>
      </c>
      <c r="AA791" s="195">
        <f t="shared" ca="1" si="176"/>
        <v>397662.89336524799</v>
      </c>
      <c r="AB791" s="195">
        <f t="shared" ca="1" si="177"/>
        <v>397662.89336524799</v>
      </c>
      <c r="AD791" s="196">
        <f>IFERROR($G791/SUMIF($A:$A,$A791,$G:$G)*SUMIF(Summary!$A$166:$A$242,$A791,Summary!$P$166:$P$242),0)</f>
        <v>48548.383500536984</v>
      </c>
      <c r="AE791" s="197">
        <f t="shared" ca="1" si="178"/>
        <v>349114.50986471103</v>
      </c>
      <c r="AF791" s="196">
        <f>IFERROR(G791/SUMIF(A:A,A791,G:G)*SUMIF(Summary!$A$166:$A$242,'Operations Support'!A791,Summary!$Q$166:$Q$242),0)</f>
        <v>48657.301818832297</v>
      </c>
      <c r="AG791" s="196">
        <f t="shared" ca="1" si="179"/>
        <v>349005.5915464157</v>
      </c>
      <c r="AI791" s="196">
        <f>IFERROR($G791/SUMIF($A:$A,$A791,$G:$G)*SUMIF(Summary!$A$247:$A$283,$A791,Summary!$P$247:$P$283),0)</f>
        <v>8854.0136390923726</v>
      </c>
      <c r="AJ791" s="196">
        <f>IFERROR($G791/SUMIF($A:$A,$A791,$G:$G)*(SUMIF(Summary!$A$247:$A$283,$A791,Summary!$L$247:$L$283)+SUMIF(Summary!$A$297:$A$333,$A791,Summary!$L$297:$L$333))-AI791,0)</f>
        <v>30257.995401830427</v>
      </c>
      <c r="AK791" s="196">
        <f>IFERROR($G791/SUMIF($A:$A,$A791,$G:$G)*SUMIF(Summary!$A$247:$A$283,$A791,Summary!$Q$247:$Q$283),0)</f>
        <v>8873.8776223231034</v>
      </c>
      <c r="AL791" s="196">
        <f>IFERROR($G791/SUMIF($A:$A,$A791,$G:$G)*(SUMIF(Summary!$A$247:$A$283,$A791,Summary!$L$247:$L$283)+SUMIF(Summary!$A$297:$A$333,$A791,Summary!$L$297:$L$333))-AK791,0)</f>
        <v>30238.131418599696</v>
      </c>
      <c r="AM791" s="198"/>
      <c r="AN791" s="196">
        <f t="shared" ca="1" si="180"/>
        <v>379372.50526654144</v>
      </c>
      <c r="AO791" s="196">
        <f t="shared" ca="1" si="181"/>
        <v>379243.72296501539</v>
      </c>
    </row>
    <row r="792" spans="1:41">
      <c r="A792" s="189">
        <v>3606</v>
      </c>
      <c r="B792" s="203">
        <v>3</v>
      </c>
      <c r="C792" s="191" t="s">
        <v>230</v>
      </c>
      <c r="D792" s="192">
        <f t="shared" si="168"/>
        <v>0</v>
      </c>
      <c r="E792" s="192">
        <f t="shared" si="169"/>
        <v>0</v>
      </c>
      <c r="F792" s="192">
        <f t="shared" si="170"/>
        <v>0</v>
      </c>
      <c r="G792" s="193">
        <f t="shared" si="171"/>
        <v>0</v>
      </c>
      <c r="H792" s="194">
        <v>0</v>
      </c>
      <c r="I792" s="194">
        <v>0</v>
      </c>
      <c r="J792" s="194">
        <v>0</v>
      </c>
      <c r="K792" s="193">
        <f t="shared" si="172"/>
        <v>0</v>
      </c>
      <c r="L792" s="194">
        <v>0</v>
      </c>
      <c r="M792" s="194">
        <v>0</v>
      </c>
      <c r="N792" s="194">
        <v>0</v>
      </c>
      <c r="O792" s="193">
        <f t="shared" si="173"/>
        <v>0</v>
      </c>
      <c r="P792" s="194">
        <v>0</v>
      </c>
      <c r="Q792" s="194">
        <v>0</v>
      </c>
      <c r="R792" s="194">
        <v>0</v>
      </c>
      <c r="S792" s="193">
        <f t="shared" si="174"/>
        <v>0</v>
      </c>
      <c r="T792" s="193">
        <f t="shared" si="175"/>
        <v>0</v>
      </c>
      <c r="U792" s="193">
        <f ca="1">OFFSET('Expenditure Study'!$B$7,'Operations Support'!$C792,'Operations Support'!$B792)*$G792</f>
        <v>0</v>
      </c>
      <c r="V792" s="199">
        <f ca="1">U792*'Expenditure Study'!$B$31</f>
        <v>0</v>
      </c>
      <c r="W792" s="199">
        <f ca="1">IF(A792=10298,1.51,1)*IF($B792&lt;3,$D792*'Expenditure Study'!$B$32*OFFSET('Expenditure Study'!$B$7,'Operations Support'!$C792,'Operations Support'!$B792),0)</f>
        <v>0</v>
      </c>
      <c r="X792" s="200">
        <f ca="1">W792*'Expenditure Study'!$B$31</f>
        <v>0</v>
      </c>
      <c r="Y792" s="199">
        <f ca="1">U792*'Expenditure Study'!$B$31</f>
        <v>0</v>
      </c>
      <c r="Z792" s="200">
        <f ca="1">W792*'Expenditure Study'!$B$31</f>
        <v>0</v>
      </c>
      <c r="AA792" s="195">
        <f t="shared" ca="1" si="176"/>
        <v>0</v>
      </c>
      <c r="AB792" s="195">
        <f t="shared" ca="1" si="177"/>
        <v>0</v>
      </c>
      <c r="AD792" s="196">
        <f>IFERROR($G792/SUMIF($A:$A,$A792,$G:$G)*SUMIF(Summary!$A$166:$A$242,$A792,Summary!$P$166:$P$242),0)</f>
        <v>0</v>
      </c>
      <c r="AE792" s="197">
        <f t="shared" ca="1" si="178"/>
        <v>0</v>
      </c>
      <c r="AF792" s="196">
        <f>IFERROR(G792/SUMIF(A:A,A792,G:G)*SUMIF(Summary!$A$166:$A$242,'Operations Support'!A792,Summary!$Q$166:$Q$242),0)</f>
        <v>0</v>
      </c>
      <c r="AG792" s="196">
        <f t="shared" ca="1" si="179"/>
        <v>0</v>
      </c>
      <c r="AI792" s="196">
        <f>IFERROR($G792/SUMIF($A:$A,$A792,$G:$G)*SUMIF(Summary!$A$247:$A$283,$A792,Summary!$P$247:$P$283),0)</f>
        <v>0</v>
      </c>
      <c r="AJ792" s="196">
        <f>IFERROR($G792/SUMIF($A:$A,$A792,$G:$G)*(SUMIF(Summary!$A$247:$A$283,$A792,Summary!$L$247:$L$283)+SUMIF(Summary!$A$297:$A$333,$A792,Summary!$L$297:$L$333))-AI792,0)</f>
        <v>0</v>
      </c>
      <c r="AK792" s="196">
        <f>IFERROR($G792/SUMIF($A:$A,$A792,$G:$G)*SUMIF(Summary!$A$247:$A$283,$A792,Summary!$Q$247:$Q$283),0)</f>
        <v>0</v>
      </c>
      <c r="AL792" s="196">
        <f>IFERROR($G792/SUMIF($A:$A,$A792,$G:$G)*(SUMIF(Summary!$A$247:$A$283,$A792,Summary!$L$247:$L$283)+SUMIF(Summary!$A$297:$A$333,$A792,Summary!$L$297:$L$333))-AK792,0)</f>
        <v>0</v>
      </c>
      <c r="AM792" s="198"/>
      <c r="AN792" s="196">
        <f t="shared" ca="1" si="180"/>
        <v>0</v>
      </c>
      <c r="AO792" s="196">
        <f t="shared" ca="1" si="181"/>
        <v>0</v>
      </c>
    </row>
    <row r="793" spans="1:41">
      <c r="A793" s="189">
        <v>3606</v>
      </c>
      <c r="B793" s="203">
        <v>3</v>
      </c>
      <c r="C793" s="191" t="s">
        <v>231</v>
      </c>
      <c r="D793" s="192">
        <f t="shared" si="168"/>
        <v>0</v>
      </c>
      <c r="E793" s="192">
        <f t="shared" si="169"/>
        <v>0</v>
      </c>
      <c r="F793" s="192">
        <f t="shared" si="170"/>
        <v>0</v>
      </c>
      <c r="G793" s="193">
        <f t="shared" si="171"/>
        <v>0</v>
      </c>
      <c r="H793" s="194">
        <v>0</v>
      </c>
      <c r="I793" s="194">
        <v>0</v>
      </c>
      <c r="J793" s="194">
        <v>0</v>
      </c>
      <c r="K793" s="193">
        <f t="shared" si="172"/>
        <v>0</v>
      </c>
      <c r="L793" s="194">
        <v>0</v>
      </c>
      <c r="M793" s="194">
        <v>0</v>
      </c>
      <c r="N793" s="194">
        <v>0</v>
      </c>
      <c r="O793" s="193">
        <f t="shared" si="173"/>
        <v>0</v>
      </c>
      <c r="P793" s="194">
        <v>0</v>
      </c>
      <c r="Q793" s="194">
        <v>0</v>
      </c>
      <c r="R793" s="194">
        <v>0</v>
      </c>
      <c r="S793" s="193">
        <f t="shared" si="174"/>
        <v>0</v>
      </c>
      <c r="T793" s="193">
        <f t="shared" si="175"/>
        <v>0</v>
      </c>
      <c r="U793" s="193">
        <f ca="1">OFFSET('Expenditure Study'!$B$7,'Operations Support'!$C793,'Operations Support'!$B793)*$G793</f>
        <v>0</v>
      </c>
      <c r="V793" s="199">
        <f ca="1">U793*'Expenditure Study'!$B$31</f>
        <v>0</v>
      </c>
      <c r="W793" s="199">
        <f ca="1">IF(A793=10298,1.51,1)*IF($B793&lt;3,$D793*'Expenditure Study'!$B$32*OFFSET('Expenditure Study'!$B$7,'Operations Support'!$C793,'Operations Support'!$B793),0)</f>
        <v>0</v>
      </c>
      <c r="X793" s="200">
        <f ca="1">W793*'Expenditure Study'!$B$31</f>
        <v>0</v>
      </c>
      <c r="Y793" s="199">
        <f ca="1">U793*'Expenditure Study'!$B$31</f>
        <v>0</v>
      </c>
      <c r="Z793" s="200">
        <f ca="1">W793*'Expenditure Study'!$B$31</f>
        <v>0</v>
      </c>
      <c r="AA793" s="195">
        <f t="shared" ca="1" si="176"/>
        <v>0</v>
      </c>
      <c r="AB793" s="195">
        <f t="shared" ca="1" si="177"/>
        <v>0</v>
      </c>
      <c r="AD793" s="196">
        <f>IFERROR($G793/SUMIF($A:$A,$A793,$G:$G)*SUMIF(Summary!$A$166:$A$242,$A793,Summary!$P$166:$P$242),0)</f>
        <v>0</v>
      </c>
      <c r="AE793" s="197">
        <f t="shared" ca="1" si="178"/>
        <v>0</v>
      </c>
      <c r="AF793" s="196">
        <f>IFERROR(G793/SUMIF(A:A,A793,G:G)*SUMIF(Summary!$A$166:$A$242,'Operations Support'!A793,Summary!$Q$166:$Q$242),0)</f>
        <v>0</v>
      </c>
      <c r="AG793" s="196">
        <f t="shared" ca="1" si="179"/>
        <v>0</v>
      </c>
      <c r="AI793" s="196">
        <f>IFERROR($G793/SUMIF($A:$A,$A793,$G:$G)*SUMIF(Summary!$A$247:$A$283,$A793,Summary!$P$247:$P$283),0)</f>
        <v>0</v>
      </c>
      <c r="AJ793" s="196">
        <f>IFERROR($G793/SUMIF($A:$A,$A793,$G:$G)*(SUMIF(Summary!$A$247:$A$283,$A793,Summary!$L$247:$L$283)+SUMIF(Summary!$A$297:$A$333,$A793,Summary!$L$297:$L$333))-AI793,0)</f>
        <v>0</v>
      </c>
      <c r="AK793" s="196">
        <f>IFERROR($G793/SUMIF($A:$A,$A793,$G:$G)*SUMIF(Summary!$A$247:$A$283,$A793,Summary!$Q$247:$Q$283),0)</f>
        <v>0</v>
      </c>
      <c r="AL793" s="196">
        <f>IFERROR($G793/SUMIF($A:$A,$A793,$G:$G)*(SUMIF(Summary!$A$247:$A$283,$A793,Summary!$L$247:$L$283)+SUMIF(Summary!$A$297:$A$333,$A793,Summary!$L$297:$L$333))-AK793,0)</f>
        <v>0</v>
      </c>
      <c r="AM793" s="198"/>
      <c r="AN793" s="196">
        <f t="shared" ca="1" si="180"/>
        <v>0</v>
      </c>
      <c r="AO793" s="196">
        <f t="shared" ca="1" si="181"/>
        <v>0</v>
      </c>
    </row>
    <row r="794" spans="1:41">
      <c r="A794" s="189">
        <v>3606</v>
      </c>
      <c r="B794" s="203">
        <v>3</v>
      </c>
      <c r="C794" s="191" t="s">
        <v>232</v>
      </c>
      <c r="D794" s="192">
        <f t="shared" si="168"/>
        <v>0</v>
      </c>
      <c r="E794" s="192">
        <f t="shared" si="169"/>
        <v>0</v>
      </c>
      <c r="F794" s="192">
        <f t="shared" si="170"/>
        <v>0</v>
      </c>
      <c r="G794" s="193">
        <f t="shared" si="171"/>
        <v>0</v>
      </c>
      <c r="H794" s="194">
        <v>0</v>
      </c>
      <c r="I794" s="194">
        <v>0</v>
      </c>
      <c r="J794" s="194">
        <v>0</v>
      </c>
      <c r="K794" s="193">
        <f t="shared" si="172"/>
        <v>0</v>
      </c>
      <c r="L794" s="194">
        <v>0</v>
      </c>
      <c r="M794" s="194">
        <v>0</v>
      </c>
      <c r="N794" s="194">
        <v>0</v>
      </c>
      <c r="O794" s="193">
        <f t="shared" si="173"/>
        <v>0</v>
      </c>
      <c r="P794" s="194">
        <v>0</v>
      </c>
      <c r="Q794" s="194">
        <v>0</v>
      </c>
      <c r="R794" s="194">
        <v>0</v>
      </c>
      <c r="S794" s="193">
        <f t="shared" si="174"/>
        <v>0</v>
      </c>
      <c r="T794" s="193">
        <f t="shared" si="175"/>
        <v>0</v>
      </c>
      <c r="U794" s="193">
        <f ca="1">OFFSET('Expenditure Study'!$B$7,'Operations Support'!$C794,'Operations Support'!$B794)*$G794</f>
        <v>0</v>
      </c>
      <c r="V794" s="199">
        <f ca="1">U794*'Expenditure Study'!$B$31</f>
        <v>0</v>
      </c>
      <c r="W794" s="199">
        <f ca="1">IF(A794=10298,1.51,1)*IF($B794&lt;3,$D794*'Expenditure Study'!$B$32*OFFSET('Expenditure Study'!$B$7,'Operations Support'!$C794,'Operations Support'!$B794),0)</f>
        <v>0</v>
      </c>
      <c r="X794" s="200">
        <f ca="1">W794*'Expenditure Study'!$B$31</f>
        <v>0</v>
      </c>
      <c r="Y794" s="199">
        <f ca="1">U794*'Expenditure Study'!$B$31</f>
        <v>0</v>
      </c>
      <c r="Z794" s="200">
        <f ca="1">W794*'Expenditure Study'!$B$31</f>
        <v>0</v>
      </c>
      <c r="AA794" s="195">
        <f t="shared" ca="1" si="176"/>
        <v>0</v>
      </c>
      <c r="AB794" s="195">
        <f t="shared" ca="1" si="177"/>
        <v>0</v>
      </c>
      <c r="AD794" s="196">
        <f>IFERROR($G794/SUMIF($A:$A,$A794,$G:$G)*SUMIF(Summary!$A$166:$A$242,$A794,Summary!$P$166:$P$242),0)</f>
        <v>0</v>
      </c>
      <c r="AE794" s="197">
        <f t="shared" ca="1" si="178"/>
        <v>0</v>
      </c>
      <c r="AF794" s="196">
        <f>IFERROR(G794/SUMIF(A:A,A794,G:G)*SUMIF(Summary!$A$166:$A$242,'Operations Support'!A794,Summary!$Q$166:$Q$242),0)</f>
        <v>0</v>
      </c>
      <c r="AG794" s="196">
        <f t="shared" ca="1" si="179"/>
        <v>0</v>
      </c>
      <c r="AI794" s="196">
        <f>IFERROR($G794/SUMIF($A:$A,$A794,$G:$G)*SUMIF(Summary!$A$247:$A$283,$A794,Summary!$P$247:$P$283),0)</f>
        <v>0</v>
      </c>
      <c r="AJ794" s="196">
        <f>IFERROR($G794/SUMIF($A:$A,$A794,$G:$G)*(SUMIF(Summary!$A$247:$A$283,$A794,Summary!$L$247:$L$283)+SUMIF(Summary!$A$297:$A$333,$A794,Summary!$L$297:$L$333))-AI794,0)</f>
        <v>0</v>
      </c>
      <c r="AK794" s="196">
        <f>IFERROR($G794/SUMIF($A:$A,$A794,$G:$G)*SUMIF(Summary!$A$247:$A$283,$A794,Summary!$Q$247:$Q$283),0)</f>
        <v>0</v>
      </c>
      <c r="AL794" s="196">
        <f>IFERROR($G794/SUMIF($A:$A,$A794,$G:$G)*(SUMIF(Summary!$A$247:$A$283,$A794,Summary!$L$247:$L$283)+SUMIF(Summary!$A$297:$A$333,$A794,Summary!$L$297:$L$333))-AK794,0)</f>
        <v>0</v>
      </c>
      <c r="AM794" s="198"/>
      <c r="AN794" s="196">
        <f t="shared" ca="1" si="180"/>
        <v>0</v>
      </c>
      <c r="AO794" s="196">
        <f t="shared" ca="1" si="181"/>
        <v>0</v>
      </c>
    </row>
    <row r="795" spans="1:41">
      <c r="A795" s="189">
        <v>3606</v>
      </c>
      <c r="B795" s="203">
        <v>3</v>
      </c>
      <c r="C795" s="191" t="s">
        <v>233</v>
      </c>
      <c r="D795" s="192">
        <f t="shared" si="168"/>
        <v>1074</v>
      </c>
      <c r="E795" s="192">
        <f t="shared" si="169"/>
        <v>375</v>
      </c>
      <c r="F795" s="192">
        <f t="shared" si="170"/>
        <v>0</v>
      </c>
      <c r="G795" s="193">
        <f t="shared" si="171"/>
        <v>1449</v>
      </c>
      <c r="H795" s="194">
        <v>357</v>
      </c>
      <c r="I795" s="194">
        <v>219</v>
      </c>
      <c r="J795" s="194">
        <v>0</v>
      </c>
      <c r="K795" s="193">
        <f t="shared" si="172"/>
        <v>576</v>
      </c>
      <c r="L795" s="194">
        <v>462</v>
      </c>
      <c r="M795" s="194">
        <v>75</v>
      </c>
      <c r="N795" s="194">
        <v>0</v>
      </c>
      <c r="O795" s="193">
        <f t="shared" si="173"/>
        <v>537</v>
      </c>
      <c r="P795" s="194">
        <v>255</v>
      </c>
      <c r="Q795" s="194">
        <v>81</v>
      </c>
      <c r="R795" s="194">
        <v>0</v>
      </c>
      <c r="S795" s="193">
        <f t="shared" si="174"/>
        <v>336</v>
      </c>
      <c r="T795" s="193">
        <f t="shared" si="175"/>
        <v>60.375</v>
      </c>
      <c r="U795" s="193">
        <f ca="1">OFFSET('Expenditure Study'!$B$7,'Operations Support'!$C795,'Operations Support'!$B795)*$G795</f>
        <v>3796.38</v>
      </c>
      <c r="V795" s="199">
        <f ca="1">U795*'Expenditure Study'!$B$31</f>
        <v>224302.20592550401</v>
      </c>
      <c r="W795" s="199">
        <f ca="1">IF(A795=10298,1.51,1)*IF($B795&lt;3,$D795*'Expenditure Study'!$B$32*OFFSET('Expenditure Study'!$B$7,'Operations Support'!$C795,'Operations Support'!$B795),0)</f>
        <v>0</v>
      </c>
      <c r="X795" s="200">
        <f ca="1">W795*'Expenditure Study'!$B$31</f>
        <v>0</v>
      </c>
      <c r="Y795" s="199">
        <f ca="1">U795*'Expenditure Study'!$B$31</f>
        <v>224302.20592550401</v>
      </c>
      <c r="Z795" s="200">
        <f ca="1">W795*'Expenditure Study'!$B$31</f>
        <v>0</v>
      </c>
      <c r="AA795" s="195">
        <f t="shared" ca="1" si="176"/>
        <v>224302.20592550401</v>
      </c>
      <c r="AB795" s="195">
        <f t="shared" ca="1" si="177"/>
        <v>224302.20592550401</v>
      </c>
      <c r="AD795" s="196">
        <f>IFERROR($G795/SUMIF($A:$A,$A795,$G:$G)*SUMIF(Summary!$A$166:$A$242,$A795,Summary!$P$166:$P$242),0)</f>
        <v>38567.219129538425</v>
      </c>
      <c r="AE795" s="197">
        <f t="shared" ca="1" si="178"/>
        <v>185734.98679596558</v>
      </c>
      <c r="AF795" s="196">
        <f>IFERROR(G795/SUMIF(A:A,A795,G:G)*SUMIF(Summary!$A$166:$A$242,'Operations Support'!A795,Summary!$Q$166:$Q$242),0)</f>
        <v>38653.744701473683</v>
      </c>
      <c r="AG795" s="196">
        <f t="shared" ca="1" si="179"/>
        <v>185648.46122403032</v>
      </c>
      <c r="AI795" s="196">
        <f>IFERROR($G795/SUMIF($A:$A,$A795,$G:$G)*SUMIF(Summary!$A$247:$A$283,$A795,Summary!$P$247:$P$283),0)</f>
        <v>7033.6983350026585</v>
      </c>
      <c r="AJ795" s="196">
        <f>IFERROR($G795/SUMIF($A:$A,$A795,$G:$G)*(SUMIF(Summary!$A$247:$A$283,$A795,Summary!$L$247:$L$283)+SUMIF(Summary!$A$297:$A$333,$A795,Summary!$L$297:$L$333))-AI795,0)</f>
        <v>24037.190426125162</v>
      </c>
      <c r="AK795" s="196">
        <f>IFERROR($G795/SUMIF($A:$A,$A795,$G:$G)*SUMIF(Summary!$A$247:$A$283,$A795,Summary!$Q$247:$Q$283),0)</f>
        <v>7049.4784401020706</v>
      </c>
      <c r="AL795" s="196">
        <f>IFERROR($G795/SUMIF($A:$A,$A795,$G:$G)*(SUMIF(Summary!$A$247:$A$283,$A795,Summary!$L$247:$L$283)+SUMIF(Summary!$A$297:$A$333,$A795,Summary!$L$297:$L$333))-AK795,0)</f>
        <v>24021.410321025749</v>
      </c>
      <c r="AM795" s="198"/>
      <c r="AN795" s="196">
        <f t="shared" ca="1" si="180"/>
        <v>209772.17722209074</v>
      </c>
      <c r="AO795" s="196">
        <f t="shared" ca="1" si="181"/>
        <v>209669.87154505608</v>
      </c>
    </row>
    <row r="796" spans="1:41">
      <c r="A796" s="189">
        <v>3606</v>
      </c>
      <c r="B796" s="203">
        <v>3</v>
      </c>
      <c r="C796" s="191" t="s">
        <v>234</v>
      </c>
      <c r="D796" s="192">
        <f t="shared" si="168"/>
        <v>0</v>
      </c>
      <c r="E796" s="192">
        <f t="shared" si="169"/>
        <v>0</v>
      </c>
      <c r="F796" s="192">
        <f t="shared" si="170"/>
        <v>0</v>
      </c>
      <c r="G796" s="193">
        <f t="shared" si="171"/>
        <v>0</v>
      </c>
      <c r="H796" s="194">
        <v>0</v>
      </c>
      <c r="I796" s="194">
        <v>0</v>
      </c>
      <c r="J796" s="194">
        <v>0</v>
      </c>
      <c r="K796" s="193">
        <f t="shared" si="172"/>
        <v>0</v>
      </c>
      <c r="L796" s="194">
        <v>0</v>
      </c>
      <c r="M796" s="194">
        <v>0</v>
      </c>
      <c r="N796" s="194">
        <v>0</v>
      </c>
      <c r="O796" s="193">
        <f t="shared" si="173"/>
        <v>0</v>
      </c>
      <c r="P796" s="194">
        <v>0</v>
      </c>
      <c r="Q796" s="194">
        <v>0</v>
      </c>
      <c r="R796" s="194">
        <v>0</v>
      </c>
      <c r="S796" s="193">
        <f t="shared" si="174"/>
        <v>0</v>
      </c>
      <c r="T796" s="193">
        <f t="shared" si="175"/>
        <v>0</v>
      </c>
      <c r="U796" s="193">
        <f ca="1">OFFSET('Expenditure Study'!$B$7,'Operations Support'!$C796,'Operations Support'!$B796)*$G796</f>
        <v>0</v>
      </c>
      <c r="V796" s="199">
        <f ca="1">U796*'Expenditure Study'!$B$31</f>
        <v>0</v>
      </c>
      <c r="W796" s="199">
        <f ca="1">IF(A796=10298,1.51,1)*IF($B796&lt;3,$D796*'Expenditure Study'!$B$32*OFFSET('Expenditure Study'!$B$7,'Operations Support'!$C796,'Operations Support'!$B796),0)</f>
        <v>0</v>
      </c>
      <c r="X796" s="200">
        <f ca="1">W796*'Expenditure Study'!$B$31</f>
        <v>0</v>
      </c>
      <c r="Y796" s="199">
        <f ca="1">U796*'Expenditure Study'!$B$31</f>
        <v>0</v>
      </c>
      <c r="Z796" s="200">
        <f ca="1">W796*'Expenditure Study'!$B$31</f>
        <v>0</v>
      </c>
      <c r="AA796" s="195">
        <f t="shared" ca="1" si="176"/>
        <v>0</v>
      </c>
      <c r="AB796" s="195">
        <f t="shared" ca="1" si="177"/>
        <v>0</v>
      </c>
      <c r="AD796" s="196">
        <f>IFERROR($G796/SUMIF($A:$A,$A796,$G:$G)*SUMIF(Summary!$A$166:$A$242,$A796,Summary!$P$166:$P$242),0)</f>
        <v>0</v>
      </c>
      <c r="AE796" s="197">
        <f t="shared" ca="1" si="178"/>
        <v>0</v>
      </c>
      <c r="AF796" s="196">
        <f>IFERROR(G796/SUMIF(A:A,A796,G:G)*SUMIF(Summary!$A$166:$A$242,'Operations Support'!A796,Summary!$Q$166:$Q$242),0)</f>
        <v>0</v>
      </c>
      <c r="AG796" s="196">
        <f t="shared" ca="1" si="179"/>
        <v>0</v>
      </c>
      <c r="AI796" s="196">
        <f>IFERROR($G796/SUMIF($A:$A,$A796,$G:$G)*SUMIF(Summary!$A$247:$A$283,$A796,Summary!$P$247:$P$283),0)</f>
        <v>0</v>
      </c>
      <c r="AJ796" s="196">
        <f>IFERROR($G796/SUMIF($A:$A,$A796,$G:$G)*(SUMIF(Summary!$A$247:$A$283,$A796,Summary!$L$247:$L$283)+SUMIF(Summary!$A$297:$A$333,$A796,Summary!$L$297:$L$333))-AI796,0)</f>
        <v>0</v>
      </c>
      <c r="AK796" s="196">
        <f>IFERROR($G796/SUMIF($A:$A,$A796,$G:$G)*SUMIF(Summary!$A$247:$A$283,$A796,Summary!$Q$247:$Q$283),0)</f>
        <v>0</v>
      </c>
      <c r="AL796" s="196">
        <f>IFERROR($G796/SUMIF($A:$A,$A796,$G:$G)*(SUMIF(Summary!$A$247:$A$283,$A796,Summary!$L$247:$L$283)+SUMIF(Summary!$A$297:$A$333,$A796,Summary!$L$297:$L$333))-AK796,0)</f>
        <v>0</v>
      </c>
      <c r="AM796" s="198"/>
      <c r="AN796" s="196">
        <f t="shared" ca="1" si="180"/>
        <v>0</v>
      </c>
      <c r="AO796" s="196">
        <f t="shared" ca="1" si="181"/>
        <v>0</v>
      </c>
    </row>
    <row r="797" spans="1:41">
      <c r="A797" s="189">
        <v>3606</v>
      </c>
      <c r="B797" s="203">
        <v>3</v>
      </c>
      <c r="C797" s="191" t="s">
        <v>235</v>
      </c>
      <c r="D797" s="192">
        <f t="shared" si="168"/>
        <v>6628</v>
      </c>
      <c r="E797" s="192">
        <f t="shared" si="169"/>
        <v>210</v>
      </c>
      <c r="F797" s="192">
        <f t="shared" si="170"/>
        <v>0</v>
      </c>
      <c r="G797" s="193">
        <f t="shared" si="171"/>
        <v>6838</v>
      </c>
      <c r="H797" s="194">
        <v>2572</v>
      </c>
      <c r="I797" s="194">
        <v>81</v>
      </c>
      <c r="J797" s="194">
        <v>0</v>
      </c>
      <c r="K797" s="193">
        <f t="shared" si="172"/>
        <v>2653</v>
      </c>
      <c r="L797" s="194">
        <v>1545</v>
      </c>
      <c r="M797" s="194">
        <v>51</v>
      </c>
      <c r="N797" s="194">
        <v>0</v>
      </c>
      <c r="O797" s="193">
        <f t="shared" si="173"/>
        <v>1596</v>
      </c>
      <c r="P797" s="194">
        <v>2511</v>
      </c>
      <c r="Q797" s="194">
        <v>78</v>
      </c>
      <c r="R797" s="194">
        <v>0</v>
      </c>
      <c r="S797" s="193">
        <f t="shared" si="174"/>
        <v>2589</v>
      </c>
      <c r="T797" s="193">
        <f t="shared" si="175"/>
        <v>284.91666666666669</v>
      </c>
      <c r="U797" s="193">
        <f ca="1">OFFSET('Expenditure Study'!$B$7,'Operations Support'!$C797,'Operations Support'!$B797)*$G797</f>
        <v>21608.080000000002</v>
      </c>
      <c r="V797" s="199">
        <f ca="1">U797*'Expenditure Study'!$B$31</f>
        <v>1276674.0973808642</v>
      </c>
      <c r="W797" s="199">
        <f ca="1">IF(A797=10298,1.51,1)*IF($B797&lt;3,$D797*'Expenditure Study'!$B$32*OFFSET('Expenditure Study'!$B$7,'Operations Support'!$C797,'Operations Support'!$B797),0)</f>
        <v>0</v>
      </c>
      <c r="X797" s="200">
        <f ca="1">W797*'Expenditure Study'!$B$31</f>
        <v>0</v>
      </c>
      <c r="Y797" s="199">
        <f ca="1">U797*'Expenditure Study'!$B$31</f>
        <v>1276674.0973808642</v>
      </c>
      <c r="Z797" s="200">
        <f ca="1">W797*'Expenditure Study'!$B$31</f>
        <v>0</v>
      </c>
      <c r="AA797" s="195">
        <f t="shared" ca="1" si="176"/>
        <v>1276674.0973808642</v>
      </c>
      <c r="AB797" s="195">
        <f t="shared" ca="1" si="177"/>
        <v>1276674.0973808642</v>
      </c>
      <c r="AD797" s="196">
        <f>IFERROR($G797/SUMIF($A:$A,$A797,$G:$G)*SUMIF(Summary!$A$166:$A$242,$A797,Summary!$P$166:$P$242),0)</f>
        <v>182003.20525036837</v>
      </c>
      <c r="AE797" s="197">
        <f t="shared" ca="1" si="178"/>
        <v>1094670.8921304957</v>
      </c>
      <c r="AF797" s="196">
        <f>IFERROR(G797/SUMIF(A:A,A797,G:G)*SUMIF(Summary!$A$166:$A$242,'Operations Support'!A797,Summary!$Q$166:$Q$242),0)</f>
        <v>182411.52951599521</v>
      </c>
      <c r="AG797" s="196">
        <f t="shared" ca="1" si="179"/>
        <v>1094262.567864869</v>
      </c>
      <c r="AI797" s="196">
        <f>IFERROR($G797/SUMIF($A:$A,$A797,$G:$G)*SUMIF(Summary!$A$247:$A$283,$A797,Summary!$P$247:$P$283),0)</f>
        <v>33192.842798307924</v>
      </c>
      <c r="AJ797" s="196">
        <f>IFERROR($G797/SUMIF($A:$A,$A797,$G:$G)*(SUMIF(Summary!$A$247:$A$283,$A797,Summary!$L$247:$L$283)+SUMIF(Summary!$A$297:$A$333,$A797,Summary!$L$297:$L$333))-AI797,0)</f>
        <v>113434.30513032703</v>
      </c>
      <c r="AK797" s="196">
        <f>IFERROR($G797/SUMIF($A:$A,$A797,$G:$G)*SUMIF(Summary!$A$247:$A$283,$A797,Summary!$Q$247:$Q$283),0)</f>
        <v>33267.310954739791</v>
      </c>
      <c r="AL797" s="196">
        <f>IFERROR($G797/SUMIF($A:$A,$A797,$G:$G)*(SUMIF(Summary!$A$247:$A$283,$A797,Summary!$L$247:$L$283)+SUMIF(Summary!$A$297:$A$333,$A797,Summary!$L$297:$L$333))-AK797,0)</f>
        <v>113359.83697389516</v>
      </c>
      <c r="AM797" s="198"/>
      <c r="AN797" s="196">
        <f t="shared" ca="1" si="180"/>
        <v>1208105.1972608229</v>
      </c>
      <c r="AO797" s="196">
        <f t="shared" ca="1" si="181"/>
        <v>1207622.4048387641</v>
      </c>
    </row>
    <row r="798" spans="1:41">
      <c r="A798" s="189">
        <v>3606</v>
      </c>
      <c r="B798" s="203">
        <v>3</v>
      </c>
      <c r="C798" s="191" t="s">
        <v>236</v>
      </c>
      <c r="D798" s="192">
        <f t="shared" si="168"/>
        <v>0</v>
      </c>
      <c r="E798" s="192">
        <f t="shared" si="169"/>
        <v>0</v>
      </c>
      <c r="F798" s="192">
        <f t="shared" si="170"/>
        <v>0</v>
      </c>
      <c r="G798" s="193">
        <f t="shared" si="171"/>
        <v>0</v>
      </c>
      <c r="H798" s="194">
        <v>0</v>
      </c>
      <c r="I798" s="194">
        <v>0</v>
      </c>
      <c r="J798" s="194">
        <v>0</v>
      </c>
      <c r="K798" s="193">
        <f t="shared" si="172"/>
        <v>0</v>
      </c>
      <c r="L798" s="194">
        <v>0</v>
      </c>
      <c r="M798" s="194">
        <v>0</v>
      </c>
      <c r="N798" s="194">
        <v>0</v>
      </c>
      <c r="O798" s="193">
        <f t="shared" si="173"/>
        <v>0</v>
      </c>
      <c r="P798" s="194">
        <v>0</v>
      </c>
      <c r="Q798" s="194">
        <v>0</v>
      </c>
      <c r="R798" s="194">
        <v>0</v>
      </c>
      <c r="S798" s="193">
        <f t="shared" si="174"/>
        <v>0</v>
      </c>
      <c r="T798" s="193">
        <f t="shared" si="175"/>
        <v>0</v>
      </c>
      <c r="U798" s="193">
        <f ca="1">OFFSET('Expenditure Study'!$B$7,'Operations Support'!$C798,'Operations Support'!$B798)*$G798</f>
        <v>0</v>
      </c>
      <c r="V798" s="199">
        <f ca="1">U798*'Expenditure Study'!$B$31</f>
        <v>0</v>
      </c>
      <c r="W798" s="199">
        <f ca="1">IF(A798=10298,1.51,1)*IF($B798&lt;3,$D798*'Expenditure Study'!$B$32*OFFSET('Expenditure Study'!$B$7,'Operations Support'!$C798,'Operations Support'!$B798),0)</f>
        <v>0</v>
      </c>
      <c r="X798" s="200">
        <f ca="1">W798*'Expenditure Study'!$B$31</f>
        <v>0</v>
      </c>
      <c r="Y798" s="199">
        <f ca="1">U798*'Expenditure Study'!$B$31</f>
        <v>0</v>
      </c>
      <c r="Z798" s="200">
        <f ca="1">W798*'Expenditure Study'!$B$31</f>
        <v>0</v>
      </c>
      <c r="AA798" s="195">
        <f t="shared" ca="1" si="176"/>
        <v>0</v>
      </c>
      <c r="AB798" s="195">
        <f t="shared" ca="1" si="177"/>
        <v>0</v>
      </c>
      <c r="AD798" s="196">
        <f>IFERROR($G798/SUMIF($A:$A,$A798,$G:$G)*SUMIF(Summary!$A$166:$A$242,$A798,Summary!$P$166:$P$242),0)</f>
        <v>0</v>
      </c>
      <c r="AE798" s="197">
        <f t="shared" ca="1" si="178"/>
        <v>0</v>
      </c>
      <c r="AF798" s="196">
        <f>IFERROR(G798/SUMIF(A:A,A798,G:G)*SUMIF(Summary!$A$166:$A$242,'Operations Support'!A798,Summary!$Q$166:$Q$242),0)</f>
        <v>0</v>
      </c>
      <c r="AG798" s="196">
        <f t="shared" ca="1" si="179"/>
        <v>0</v>
      </c>
      <c r="AI798" s="196">
        <f>IFERROR($G798/SUMIF($A:$A,$A798,$G:$G)*SUMIF(Summary!$A$247:$A$283,$A798,Summary!$P$247:$P$283),0)</f>
        <v>0</v>
      </c>
      <c r="AJ798" s="196">
        <f>IFERROR($G798/SUMIF($A:$A,$A798,$G:$G)*(SUMIF(Summary!$A$247:$A$283,$A798,Summary!$L$247:$L$283)+SUMIF(Summary!$A$297:$A$333,$A798,Summary!$L$297:$L$333))-AI798,0)</f>
        <v>0</v>
      </c>
      <c r="AK798" s="196">
        <f>IFERROR($G798/SUMIF($A:$A,$A798,$G:$G)*SUMIF(Summary!$A$247:$A$283,$A798,Summary!$Q$247:$Q$283),0)</f>
        <v>0</v>
      </c>
      <c r="AL798" s="196">
        <f>IFERROR($G798/SUMIF($A:$A,$A798,$G:$G)*(SUMIF(Summary!$A$247:$A$283,$A798,Summary!$L$247:$L$283)+SUMIF(Summary!$A$297:$A$333,$A798,Summary!$L$297:$L$333))-AK798,0)</f>
        <v>0</v>
      </c>
      <c r="AM798" s="198"/>
      <c r="AN798" s="196">
        <f t="shared" ca="1" si="180"/>
        <v>0</v>
      </c>
      <c r="AO798" s="196">
        <f t="shared" ca="1" si="181"/>
        <v>0</v>
      </c>
    </row>
    <row r="799" spans="1:41">
      <c r="A799" s="189">
        <v>3606</v>
      </c>
      <c r="B799" s="203">
        <v>3</v>
      </c>
      <c r="C799" s="191" t="s">
        <v>237</v>
      </c>
      <c r="D799" s="192">
        <f t="shared" si="168"/>
        <v>0</v>
      </c>
      <c r="E799" s="192">
        <f t="shared" si="169"/>
        <v>0</v>
      </c>
      <c r="F799" s="192">
        <f t="shared" si="170"/>
        <v>0</v>
      </c>
      <c r="G799" s="193">
        <f t="shared" si="171"/>
        <v>0</v>
      </c>
      <c r="H799" s="194">
        <v>0</v>
      </c>
      <c r="I799" s="194">
        <v>0</v>
      </c>
      <c r="J799" s="194">
        <v>0</v>
      </c>
      <c r="K799" s="193">
        <f t="shared" si="172"/>
        <v>0</v>
      </c>
      <c r="L799" s="194">
        <v>0</v>
      </c>
      <c r="M799" s="194">
        <v>0</v>
      </c>
      <c r="N799" s="194">
        <v>0</v>
      </c>
      <c r="O799" s="193">
        <f t="shared" si="173"/>
        <v>0</v>
      </c>
      <c r="P799" s="194">
        <v>0</v>
      </c>
      <c r="Q799" s="194">
        <v>0</v>
      </c>
      <c r="R799" s="194">
        <v>0</v>
      </c>
      <c r="S799" s="193">
        <f t="shared" si="174"/>
        <v>0</v>
      </c>
      <c r="T799" s="193">
        <f t="shared" si="175"/>
        <v>0</v>
      </c>
      <c r="U799" s="193">
        <f ca="1">OFFSET('Expenditure Study'!$B$7,'Operations Support'!$C799,'Operations Support'!$B799)*$G799</f>
        <v>0</v>
      </c>
      <c r="V799" s="199">
        <f ca="1">U799*'Expenditure Study'!$B$31</f>
        <v>0</v>
      </c>
      <c r="W799" s="199">
        <f ca="1">IF(A799=10298,1.51,1)*IF($B799&lt;3,$D799*'Expenditure Study'!$B$32*OFFSET('Expenditure Study'!$B$7,'Operations Support'!$C799,'Operations Support'!$B799),0)</f>
        <v>0</v>
      </c>
      <c r="X799" s="200">
        <f ca="1">W799*'Expenditure Study'!$B$31</f>
        <v>0</v>
      </c>
      <c r="Y799" s="199">
        <f ca="1">U799*'Expenditure Study'!$B$31</f>
        <v>0</v>
      </c>
      <c r="Z799" s="200">
        <f ca="1">W799*'Expenditure Study'!$B$31</f>
        <v>0</v>
      </c>
      <c r="AA799" s="195">
        <f t="shared" ca="1" si="176"/>
        <v>0</v>
      </c>
      <c r="AB799" s="195">
        <f t="shared" ca="1" si="177"/>
        <v>0</v>
      </c>
      <c r="AD799" s="196">
        <f>IFERROR($G799/SUMIF($A:$A,$A799,$G:$G)*SUMIF(Summary!$A$166:$A$242,$A799,Summary!$P$166:$P$242),0)</f>
        <v>0</v>
      </c>
      <c r="AE799" s="197">
        <f t="shared" ca="1" si="178"/>
        <v>0</v>
      </c>
      <c r="AF799" s="196">
        <f>IFERROR(G799/SUMIF(A:A,A799,G:G)*SUMIF(Summary!$A$166:$A$242,'Operations Support'!A799,Summary!$Q$166:$Q$242),0)</f>
        <v>0</v>
      </c>
      <c r="AG799" s="196">
        <f t="shared" ca="1" si="179"/>
        <v>0</v>
      </c>
      <c r="AI799" s="196">
        <f>IFERROR($G799/SUMIF($A:$A,$A799,$G:$G)*SUMIF(Summary!$A$247:$A$283,$A799,Summary!$P$247:$P$283),0)</f>
        <v>0</v>
      </c>
      <c r="AJ799" s="196">
        <f>IFERROR($G799/SUMIF($A:$A,$A799,$G:$G)*(SUMIF(Summary!$A$247:$A$283,$A799,Summary!$L$247:$L$283)+SUMIF(Summary!$A$297:$A$333,$A799,Summary!$L$297:$L$333))-AI799,0)</f>
        <v>0</v>
      </c>
      <c r="AK799" s="196">
        <f>IFERROR($G799/SUMIF($A:$A,$A799,$G:$G)*SUMIF(Summary!$A$247:$A$283,$A799,Summary!$Q$247:$Q$283),0)</f>
        <v>0</v>
      </c>
      <c r="AL799" s="196">
        <f>IFERROR($G799/SUMIF($A:$A,$A799,$G:$G)*(SUMIF(Summary!$A$247:$A$283,$A799,Summary!$L$247:$L$283)+SUMIF(Summary!$A$297:$A$333,$A799,Summary!$L$297:$L$333))-AK799,0)</f>
        <v>0</v>
      </c>
      <c r="AM799" s="198"/>
      <c r="AN799" s="196">
        <f t="shared" ca="1" si="180"/>
        <v>0</v>
      </c>
      <c r="AO799" s="196">
        <f t="shared" ca="1" si="181"/>
        <v>0</v>
      </c>
    </row>
    <row r="800" spans="1:41">
      <c r="A800" s="189">
        <v>3606</v>
      </c>
      <c r="B800" s="203">
        <v>3</v>
      </c>
      <c r="C800" s="191" t="s">
        <v>238</v>
      </c>
      <c r="D800" s="192">
        <f t="shared" si="168"/>
        <v>492</v>
      </c>
      <c r="E800" s="192">
        <f t="shared" si="169"/>
        <v>346</v>
      </c>
      <c r="F800" s="192">
        <f t="shared" si="170"/>
        <v>0</v>
      </c>
      <c r="G800" s="193">
        <f t="shared" si="171"/>
        <v>838</v>
      </c>
      <c r="H800" s="194">
        <v>185</v>
      </c>
      <c r="I800" s="194">
        <v>90</v>
      </c>
      <c r="J800" s="194">
        <v>0</v>
      </c>
      <c r="K800" s="193">
        <f t="shared" si="172"/>
        <v>275</v>
      </c>
      <c r="L800" s="194">
        <v>211</v>
      </c>
      <c r="M800" s="194">
        <v>175</v>
      </c>
      <c r="N800" s="194">
        <v>0</v>
      </c>
      <c r="O800" s="193">
        <f t="shared" si="173"/>
        <v>386</v>
      </c>
      <c r="P800" s="194">
        <v>96</v>
      </c>
      <c r="Q800" s="194">
        <v>81</v>
      </c>
      <c r="R800" s="194">
        <v>0</v>
      </c>
      <c r="S800" s="193">
        <f t="shared" si="174"/>
        <v>177</v>
      </c>
      <c r="T800" s="193">
        <f t="shared" si="175"/>
        <v>34.916666666666664</v>
      </c>
      <c r="U800" s="193">
        <f ca="1">OFFSET('Expenditure Study'!$B$7,'Operations Support'!$C800,'Operations Support'!$B800)*$G800</f>
        <v>4893.92</v>
      </c>
      <c r="V800" s="199">
        <f ca="1">U800*'Expenditure Study'!$B$31</f>
        <v>289148.360180736</v>
      </c>
      <c r="W800" s="199">
        <f ca="1">IF(A800=10298,1.51,1)*IF($B800&lt;3,$D800*'Expenditure Study'!$B$32*OFFSET('Expenditure Study'!$B$7,'Operations Support'!$C800,'Operations Support'!$B800),0)</f>
        <v>0</v>
      </c>
      <c r="X800" s="200">
        <f ca="1">W800*'Expenditure Study'!$B$31</f>
        <v>0</v>
      </c>
      <c r="Y800" s="199">
        <f ca="1">U800*'Expenditure Study'!$B$31</f>
        <v>289148.360180736</v>
      </c>
      <c r="Z800" s="200">
        <f ca="1">W800*'Expenditure Study'!$B$31</f>
        <v>0</v>
      </c>
      <c r="AA800" s="195">
        <f t="shared" ca="1" si="176"/>
        <v>289148.360180736</v>
      </c>
      <c r="AB800" s="195">
        <f t="shared" ca="1" si="177"/>
        <v>289148.360180736</v>
      </c>
      <c r="AD800" s="196">
        <f>IFERROR($G800/SUMIF($A:$A,$A800,$G:$G)*SUMIF(Summary!$A$166:$A$242,$A800,Summary!$P$166:$P$242),0)</f>
        <v>22304.575314391444</v>
      </c>
      <c r="AE800" s="197">
        <f t="shared" ca="1" si="178"/>
        <v>266843.78486634453</v>
      </c>
      <c r="AF800" s="196">
        <f>IFERROR(G800/SUMIF(A:A,A800,G:G)*SUMIF(Summary!$A$166:$A$242,'Operations Support'!A800,Summary!$Q$166:$Q$242),0)</f>
        <v>22354.615638257383</v>
      </c>
      <c r="AG800" s="196">
        <f t="shared" ca="1" si="179"/>
        <v>266793.74454247858</v>
      </c>
      <c r="AI800" s="196">
        <f>IFERROR($G800/SUMIF($A:$A,$A800,$G:$G)*SUMIF(Summary!$A$247:$A$283,$A800,Summary!$P$247:$P$283),0)</f>
        <v>4067.7979328724832</v>
      </c>
      <c r="AJ800" s="196">
        <f>IFERROR($G800/SUMIF($A:$A,$A800,$G:$G)*(SUMIF(Summary!$A$247:$A$283,$A800,Summary!$L$247:$L$283)+SUMIF(Summary!$A$297:$A$333,$A800,Summary!$L$297:$L$333))-AI800,0)</f>
        <v>13901.42551904271</v>
      </c>
      <c r="AK800" s="196">
        <f>IFERROR($G800/SUMIF($A:$A,$A800,$G:$G)*SUMIF(Summary!$A$247:$A$283,$A800,Summary!$Q$247:$Q$283),0)</f>
        <v>4076.924039203268</v>
      </c>
      <c r="AL800" s="196">
        <f>IFERROR($G800/SUMIF($A:$A,$A800,$G:$G)*(SUMIF(Summary!$A$247:$A$283,$A800,Summary!$L$247:$L$283)+SUMIF(Summary!$A$297:$A$333,$A800,Summary!$L$297:$L$333))-AK800,0)</f>
        <v>13892.299412711925</v>
      </c>
      <c r="AM800" s="198"/>
      <c r="AN800" s="196">
        <f t="shared" ca="1" si="180"/>
        <v>280745.21038538724</v>
      </c>
      <c r="AO800" s="196">
        <f t="shared" ca="1" si="181"/>
        <v>280686.04395519051</v>
      </c>
    </row>
    <row r="801" spans="1:41">
      <c r="A801" s="189">
        <v>3606</v>
      </c>
      <c r="B801" s="203">
        <v>3</v>
      </c>
      <c r="C801" s="191" t="s">
        <v>239</v>
      </c>
      <c r="D801" s="192">
        <f t="shared" si="168"/>
        <v>0</v>
      </c>
      <c r="E801" s="192">
        <f t="shared" si="169"/>
        <v>0</v>
      </c>
      <c r="F801" s="192">
        <f t="shared" si="170"/>
        <v>0</v>
      </c>
      <c r="G801" s="193">
        <f t="shared" si="171"/>
        <v>0</v>
      </c>
      <c r="H801" s="194">
        <v>0</v>
      </c>
      <c r="I801" s="194">
        <v>0</v>
      </c>
      <c r="J801" s="194">
        <v>0</v>
      </c>
      <c r="K801" s="193">
        <f t="shared" si="172"/>
        <v>0</v>
      </c>
      <c r="L801" s="194">
        <v>0</v>
      </c>
      <c r="M801" s="194">
        <v>0</v>
      </c>
      <c r="N801" s="194">
        <v>0</v>
      </c>
      <c r="O801" s="193">
        <f t="shared" si="173"/>
        <v>0</v>
      </c>
      <c r="P801" s="194">
        <v>0</v>
      </c>
      <c r="Q801" s="194">
        <v>0</v>
      </c>
      <c r="R801" s="194">
        <v>0</v>
      </c>
      <c r="S801" s="193">
        <f t="shared" si="174"/>
        <v>0</v>
      </c>
      <c r="T801" s="193">
        <f t="shared" si="175"/>
        <v>0</v>
      </c>
      <c r="U801" s="193">
        <f ca="1">OFFSET('Expenditure Study'!$B$7,'Operations Support'!$C801,'Operations Support'!$B801)*$G801</f>
        <v>0</v>
      </c>
      <c r="V801" s="199">
        <f ca="1">U801*'Expenditure Study'!$B$31</f>
        <v>0</v>
      </c>
      <c r="W801" s="199">
        <f ca="1">IF(A801=10298,1.51,1)*IF($B801&lt;3,$D801*'Expenditure Study'!$B$32*OFFSET('Expenditure Study'!$B$7,'Operations Support'!$C801,'Operations Support'!$B801),0)</f>
        <v>0</v>
      </c>
      <c r="X801" s="200">
        <f ca="1">W801*'Expenditure Study'!$B$31</f>
        <v>0</v>
      </c>
      <c r="Y801" s="199">
        <f ca="1">U801*'Expenditure Study'!$B$31</f>
        <v>0</v>
      </c>
      <c r="Z801" s="200">
        <f ca="1">W801*'Expenditure Study'!$B$31</f>
        <v>0</v>
      </c>
      <c r="AA801" s="195">
        <f t="shared" ca="1" si="176"/>
        <v>0</v>
      </c>
      <c r="AB801" s="195">
        <f t="shared" ca="1" si="177"/>
        <v>0</v>
      </c>
      <c r="AD801" s="196">
        <f>IFERROR($G801/SUMIF($A:$A,$A801,$G:$G)*SUMIF(Summary!$A$166:$A$242,$A801,Summary!$P$166:$P$242),0)</f>
        <v>0</v>
      </c>
      <c r="AE801" s="197">
        <f t="shared" ca="1" si="178"/>
        <v>0</v>
      </c>
      <c r="AF801" s="196">
        <f>IFERROR(G801/SUMIF(A:A,A801,G:G)*SUMIF(Summary!$A$166:$A$242,'Operations Support'!A801,Summary!$Q$166:$Q$242),0)</f>
        <v>0</v>
      </c>
      <c r="AG801" s="196">
        <f t="shared" ca="1" si="179"/>
        <v>0</v>
      </c>
      <c r="AI801" s="196">
        <f>IFERROR($G801/SUMIF($A:$A,$A801,$G:$G)*SUMIF(Summary!$A$247:$A$283,$A801,Summary!$P$247:$P$283),0)</f>
        <v>0</v>
      </c>
      <c r="AJ801" s="196">
        <f>IFERROR($G801/SUMIF($A:$A,$A801,$G:$G)*(SUMIF(Summary!$A$247:$A$283,$A801,Summary!$L$247:$L$283)+SUMIF(Summary!$A$297:$A$333,$A801,Summary!$L$297:$L$333))-AI801,0)</f>
        <v>0</v>
      </c>
      <c r="AK801" s="196">
        <f>IFERROR($G801/SUMIF($A:$A,$A801,$G:$G)*SUMIF(Summary!$A$247:$A$283,$A801,Summary!$Q$247:$Q$283),0)</f>
        <v>0</v>
      </c>
      <c r="AL801" s="196">
        <f>IFERROR($G801/SUMIF($A:$A,$A801,$G:$G)*(SUMIF(Summary!$A$247:$A$283,$A801,Summary!$L$247:$L$283)+SUMIF(Summary!$A$297:$A$333,$A801,Summary!$L$297:$L$333))-AK801,0)</f>
        <v>0</v>
      </c>
      <c r="AM801" s="198"/>
      <c r="AN801" s="196">
        <f t="shared" ca="1" si="180"/>
        <v>0</v>
      </c>
      <c r="AO801" s="196">
        <f t="shared" ca="1" si="181"/>
        <v>0</v>
      </c>
    </row>
    <row r="802" spans="1:41">
      <c r="A802" s="189">
        <v>3606</v>
      </c>
      <c r="B802" s="203">
        <v>3</v>
      </c>
      <c r="C802" s="191" t="s">
        <v>240</v>
      </c>
      <c r="D802" s="192">
        <f t="shared" si="168"/>
        <v>0</v>
      </c>
      <c r="E802" s="192">
        <f t="shared" si="169"/>
        <v>0</v>
      </c>
      <c r="F802" s="192">
        <f t="shared" si="170"/>
        <v>0</v>
      </c>
      <c r="G802" s="193">
        <f t="shared" si="171"/>
        <v>0</v>
      </c>
      <c r="H802" s="194">
        <v>0</v>
      </c>
      <c r="I802" s="194">
        <v>0</v>
      </c>
      <c r="J802" s="194">
        <v>0</v>
      </c>
      <c r="K802" s="193">
        <f t="shared" si="172"/>
        <v>0</v>
      </c>
      <c r="L802" s="194">
        <v>0</v>
      </c>
      <c r="M802" s="194">
        <v>0</v>
      </c>
      <c r="N802" s="194">
        <v>0</v>
      </c>
      <c r="O802" s="193">
        <f t="shared" si="173"/>
        <v>0</v>
      </c>
      <c r="P802" s="194">
        <v>0</v>
      </c>
      <c r="Q802" s="194">
        <v>0</v>
      </c>
      <c r="R802" s="194">
        <v>0</v>
      </c>
      <c r="S802" s="193">
        <f t="shared" si="174"/>
        <v>0</v>
      </c>
      <c r="T802" s="193">
        <f t="shared" si="175"/>
        <v>0</v>
      </c>
      <c r="U802" s="193">
        <f ca="1">OFFSET('Expenditure Study'!$B$7,'Operations Support'!$C802,'Operations Support'!$B802)*$G802</f>
        <v>0</v>
      </c>
      <c r="V802" s="199">
        <f ca="1">U802*'Expenditure Study'!$B$31</f>
        <v>0</v>
      </c>
      <c r="W802" s="199">
        <f ca="1">IF(A802=10298,1.51,1)*IF($B802&lt;3,$D802*'Expenditure Study'!$B$32*OFFSET('Expenditure Study'!$B$7,'Operations Support'!$C802,'Operations Support'!$B802),0)</f>
        <v>0</v>
      </c>
      <c r="X802" s="200">
        <f ca="1">W802*'Expenditure Study'!$B$31</f>
        <v>0</v>
      </c>
      <c r="Y802" s="199">
        <f ca="1">U802*'Expenditure Study'!$B$31</f>
        <v>0</v>
      </c>
      <c r="Z802" s="200">
        <f ca="1">W802*'Expenditure Study'!$B$31</f>
        <v>0</v>
      </c>
      <c r="AA802" s="195">
        <f t="shared" ca="1" si="176"/>
        <v>0</v>
      </c>
      <c r="AB802" s="195">
        <f t="shared" ca="1" si="177"/>
        <v>0</v>
      </c>
      <c r="AD802" s="196">
        <f>IFERROR($G802/SUMIF($A:$A,$A802,$G:$G)*SUMIF(Summary!$A$166:$A$242,$A802,Summary!$P$166:$P$242),0)</f>
        <v>0</v>
      </c>
      <c r="AE802" s="197">
        <f t="shared" ca="1" si="178"/>
        <v>0</v>
      </c>
      <c r="AF802" s="196">
        <f>IFERROR(G802/SUMIF(A:A,A802,G:G)*SUMIF(Summary!$A$166:$A$242,'Operations Support'!A802,Summary!$Q$166:$Q$242),0)</f>
        <v>0</v>
      </c>
      <c r="AG802" s="196">
        <f t="shared" ca="1" si="179"/>
        <v>0</v>
      </c>
      <c r="AI802" s="196">
        <f>IFERROR($G802/SUMIF($A:$A,$A802,$G:$G)*SUMIF(Summary!$A$247:$A$283,$A802,Summary!$P$247:$P$283),0)</f>
        <v>0</v>
      </c>
      <c r="AJ802" s="196">
        <f>IFERROR($G802/SUMIF($A:$A,$A802,$G:$G)*(SUMIF(Summary!$A$247:$A$283,$A802,Summary!$L$247:$L$283)+SUMIF(Summary!$A$297:$A$333,$A802,Summary!$L$297:$L$333))-AI802,0)</f>
        <v>0</v>
      </c>
      <c r="AK802" s="196">
        <f>IFERROR($G802/SUMIF($A:$A,$A802,$G:$G)*SUMIF(Summary!$A$247:$A$283,$A802,Summary!$Q$247:$Q$283),0)</f>
        <v>0</v>
      </c>
      <c r="AL802" s="196">
        <f>IFERROR($G802/SUMIF($A:$A,$A802,$G:$G)*(SUMIF(Summary!$A$247:$A$283,$A802,Summary!$L$247:$L$283)+SUMIF(Summary!$A$297:$A$333,$A802,Summary!$L$297:$L$333))-AK802,0)</f>
        <v>0</v>
      </c>
      <c r="AM802" s="198"/>
      <c r="AN802" s="196">
        <f t="shared" ca="1" si="180"/>
        <v>0</v>
      </c>
      <c r="AO802" s="196">
        <f t="shared" ca="1" si="181"/>
        <v>0</v>
      </c>
    </row>
    <row r="803" spans="1:41" s="201" customFormat="1">
      <c r="A803" s="189">
        <v>3606</v>
      </c>
      <c r="B803" s="203">
        <v>4</v>
      </c>
      <c r="C803" s="191" t="s">
        <v>220</v>
      </c>
      <c r="D803" s="192">
        <f t="shared" si="168"/>
        <v>1320</v>
      </c>
      <c r="E803" s="192">
        <f t="shared" si="169"/>
        <v>27</v>
      </c>
      <c r="F803" s="192">
        <f t="shared" si="170"/>
        <v>0</v>
      </c>
      <c r="G803" s="193">
        <f t="shared" si="171"/>
        <v>1347</v>
      </c>
      <c r="H803" s="194">
        <v>495</v>
      </c>
      <c r="I803" s="194">
        <v>0</v>
      </c>
      <c r="J803" s="194">
        <v>0</v>
      </c>
      <c r="K803" s="193">
        <f t="shared" si="172"/>
        <v>495</v>
      </c>
      <c r="L803" s="194">
        <v>588</v>
      </c>
      <c r="M803" s="194">
        <v>27</v>
      </c>
      <c r="N803" s="194">
        <v>0</v>
      </c>
      <c r="O803" s="193">
        <f t="shared" si="173"/>
        <v>615</v>
      </c>
      <c r="P803" s="194">
        <v>237</v>
      </c>
      <c r="Q803" s="194">
        <v>0</v>
      </c>
      <c r="R803" s="194">
        <v>0</v>
      </c>
      <c r="S803" s="193">
        <f t="shared" si="174"/>
        <v>237</v>
      </c>
      <c r="T803" s="193">
        <f t="shared" si="175"/>
        <v>74.833333333333329</v>
      </c>
      <c r="U803" s="193">
        <f ca="1">OFFSET('Expenditure Study'!$B$7,'Operations Support'!$C803,'Operations Support'!$B803)*$G803</f>
        <v>19841.310000000001</v>
      </c>
      <c r="V803" s="199">
        <f ca="1">U803*'Expenditure Study'!$B$31</f>
        <v>1172287.706038848</v>
      </c>
      <c r="W803" s="199">
        <f ca="1">IF(A803=10298,1.51,1)*IF($B803&lt;3,$D803*'Expenditure Study'!$B$32*OFFSET('Expenditure Study'!$B$7,'Operations Support'!$C803,'Operations Support'!$B803),0)</f>
        <v>0</v>
      </c>
      <c r="X803" s="200">
        <f ca="1">W803*'Expenditure Study'!$B$31</f>
        <v>0</v>
      </c>
      <c r="Y803" s="199">
        <f ca="1">U803*'Expenditure Study'!$B$31</f>
        <v>1172287.706038848</v>
      </c>
      <c r="Z803" s="200">
        <f ca="1">W803*'Expenditure Study'!$B$31</f>
        <v>0</v>
      </c>
      <c r="AA803" s="195">
        <f t="shared" ca="1" si="176"/>
        <v>1172287.706038848</v>
      </c>
      <c r="AB803" s="195">
        <f t="shared" ca="1" si="177"/>
        <v>1172287.706038848</v>
      </c>
      <c r="AD803" s="196">
        <f>IFERROR($G803/SUMIF($A:$A,$A803,$G:$G)*SUMIF(Summary!$A$166:$A$242,$A803,Summary!$P$166:$P$242),0)</f>
        <v>35852.342420626817</v>
      </c>
      <c r="AE803" s="197">
        <f t="shared" ca="1" si="178"/>
        <v>1136435.3636182211</v>
      </c>
      <c r="AF803" s="196">
        <f>IFERROR(G803/SUMIF(A:A,A803,G:G)*SUMIF(Summary!$A$166:$A$242,'Operations Support'!A803,Summary!$Q$166:$Q$242),0)</f>
        <v>35932.777165552136</v>
      </c>
      <c r="AG803" s="196">
        <f t="shared" ca="1" si="179"/>
        <v>1136354.9288732959</v>
      </c>
      <c r="AH803" s="180"/>
      <c r="AI803" s="196">
        <f>IFERROR($G803/SUMIF($A:$A,$A803,$G:$G)*SUMIF(Summary!$A$247:$A$283,$A803,Summary!$P$247:$P$283),0)</f>
        <v>6538.5725722902553</v>
      </c>
      <c r="AJ803" s="196">
        <f>IFERROR($G803/SUMIF($A:$A,$A803,$G:$G)*(SUMIF(Summary!$A$247:$A$283,$A803,Summary!$L$247:$L$283)+SUMIF(Summary!$A$297:$A$333,$A803,Summary!$L$297:$L$333))-AI803,0)</f>
        <v>22345.13147273333</v>
      </c>
      <c r="AK803" s="196">
        <f>IFERROR($G803/SUMIF($A:$A,$A803,$G:$G)*SUMIF(Summary!$A$247:$A$283,$A803,Summary!$Q$247:$Q$283),0)</f>
        <v>6553.2418625379496</v>
      </c>
      <c r="AL803" s="196">
        <f>IFERROR($G803/SUMIF($A:$A,$A803,$G:$G)*(SUMIF(Summary!$A$247:$A$283,$A803,Summary!$L$247:$L$283)+SUMIF(Summary!$A$297:$A$333,$A803,Summary!$L$297:$L$333))-AK803,0)</f>
        <v>22330.462182485633</v>
      </c>
      <c r="AM803" s="198"/>
      <c r="AN803" s="196">
        <f t="shared" ca="1" si="180"/>
        <v>1158780.4950909545</v>
      </c>
      <c r="AO803" s="196">
        <f t="shared" ca="1" si="181"/>
        <v>1158685.3910557816</v>
      </c>
    </row>
    <row r="804" spans="1:41">
      <c r="A804" s="189">
        <v>3606</v>
      </c>
      <c r="B804" s="203">
        <v>4</v>
      </c>
      <c r="C804" s="191" t="s">
        <v>221</v>
      </c>
      <c r="D804" s="192">
        <f t="shared" si="168"/>
        <v>9</v>
      </c>
      <c r="E804" s="192">
        <f t="shared" si="169"/>
        <v>0</v>
      </c>
      <c r="F804" s="192">
        <f t="shared" si="170"/>
        <v>0</v>
      </c>
      <c r="G804" s="193">
        <f t="shared" si="171"/>
        <v>9</v>
      </c>
      <c r="H804" s="194">
        <v>9</v>
      </c>
      <c r="I804" s="194">
        <v>0</v>
      </c>
      <c r="J804" s="194">
        <v>0</v>
      </c>
      <c r="K804" s="193">
        <f t="shared" si="172"/>
        <v>9</v>
      </c>
      <c r="L804" s="194">
        <v>0</v>
      </c>
      <c r="M804" s="194">
        <v>0</v>
      </c>
      <c r="N804" s="194">
        <v>0</v>
      </c>
      <c r="O804" s="193">
        <f t="shared" si="173"/>
        <v>0</v>
      </c>
      <c r="P804" s="194">
        <v>0</v>
      </c>
      <c r="Q804" s="194">
        <v>0</v>
      </c>
      <c r="R804" s="194">
        <v>0</v>
      </c>
      <c r="S804" s="193">
        <f t="shared" si="174"/>
        <v>0</v>
      </c>
      <c r="T804" s="193">
        <f t="shared" si="175"/>
        <v>0.5</v>
      </c>
      <c r="U804" s="193">
        <f ca="1">OFFSET('Expenditure Study'!$B$7,'Operations Support'!$C804,'Operations Support'!$B804)*$G804</f>
        <v>195.66</v>
      </c>
      <c r="V804" s="199">
        <f ca="1">U804*'Expenditure Study'!$B$31</f>
        <v>11560.215155328</v>
      </c>
      <c r="W804" s="199">
        <f ca="1">IF(A804=10298,1.51,1)*IF($B804&lt;3,$D804*'Expenditure Study'!$B$32*OFFSET('Expenditure Study'!$B$7,'Operations Support'!$C804,'Operations Support'!$B804),0)</f>
        <v>0</v>
      </c>
      <c r="X804" s="200">
        <f ca="1">W804*'Expenditure Study'!$B$31</f>
        <v>0</v>
      </c>
      <c r="Y804" s="199">
        <f ca="1">U804*'Expenditure Study'!$B$31</f>
        <v>11560.215155328</v>
      </c>
      <c r="Z804" s="200">
        <f ca="1">W804*'Expenditure Study'!$B$31</f>
        <v>0</v>
      </c>
      <c r="AA804" s="195">
        <f t="shared" ca="1" si="176"/>
        <v>11560.215155328</v>
      </c>
      <c r="AB804" s="195">
        <f t="shared" ca="1" si="177"/>
        <v>11560.215155328</v>
      </c>
      <c r="AD804" s="196">
        <f>IFERROR($G804/SUMIF($A:$A,$A804,$G:$G)*SUMIF(Summary!$A$166:$A$242,$A804,Summary!$P$166:$P$242),0)</f>
        <v>239.5479449039654</v>
      </c>
      <c r="AE804" s="197">
        <f t="shared" ca="1" si="178"/>
        <v>11320.667210424035</v>
      </c>
      <c r="AF804" s="196">
        <f>IFERROR(G804/SUMIF(A:A,A804,G:G)*SUMIF(Summary!$A$166:$A$242,'Operations Support'!A804,Summary!$Q$166:$Q$242),0)</f>
        <v>240.08537081660674</v>
      </c>
      <c r="AG804" s="196">
        <f t="shared" ca="1" si="179"/>
        <v>11320.129784511393</v>
      </c>
      <c r="AI804" s="196">
        <f>IFERROR($G804/SUMIF($A:$A,$A804,$G:$G)*SUMIF(Summary!$A$247:$A$283,$A804,Summary!$P$247:$P$283),0)</f>
        <v>43.687567298153162</v>
      </c>
      <c r="AJ804" s="196">
        <f>IFERROR($G804/SUMIF($A:$A,$A804,$G:$G)*(SUMIF(Summary!$A$247:$A$283,$A804,Summary!$L$247:$L$283)+SUMIF(Summary!$A$297:$A$333,$A804,Summary!$L$297:$L$333))-AI804,0)</f>
        <v>149.29931941692647</v>
      </c>
      <c r="AK804" s="196">
        <f>IFERROR($G804/SUMIF($A:$A,$A804,$G:$G)*SUMIF(Summary!$A$247:$A$283,$A804,Summary!$Q$247:$Q$283),0)</f>
        <v>43.785580373304789</v>
      </c>
      <c r="AL804" s="196">
        <f>IFERROR($G804/SUMIF($A:$A,$A804,$G:$G)*(SUMIF(Summary!$A$247:$A$283,$A804,Summary!$L$247:$L$283)+SUMIF(Summary!$A$297:$A$333,$A804,Summary!$L$297:$L$333))-AK804,0)</f>
        <v>149.20130634177485</v>
      </c>
      <c r="AM804" s="198"/>
      <c r="AN804" s="196">
        <f t="shared" ca="1" si="180"/>
        <v>11469.966529840962</v>
      </c>
      <c r="AO804" s="196">
        <f t="shared" ca="1" si="181"/>
        <v>11469.331090853168</v>
      </c>
    </row>
    <row r="805" spans="1:41">
      <c r="A805" s="189">
        <v>3606</v>
      </c>
      <c r="B805" s="203">
        <v>4</v>
      </c>
      <c r="C805" s="191" t="s">
        <v>222</v>
      </c>
      <c r="D805" s="192">
        <f t="shared" si="168"/>
        <v>0</v>
      </c>
      <c r="E805" s="192">
        <f t="shared" si="169"/>
        <v>0</v>
      </c>
      <c r="F805" s="192">
        <f t="shared" si="170"/>
        <v>0</v>
      </c>
      <c r="G805" s="193">
        <f t="shared" si="171"/>
        <v>0</v>
      </c>
      <c r="H805" s="194">
        <v>0</v>
      </c>
      <c r="I805" s="194">
        <v>0</v>
      </c>
      <c r="J805" s="194">
        <v>0</v>
      </c>
      <c r="K805" s="193">
        <f t="shared" si="172"/>
        <v>0</v>
      </c>
      <c r="L805" s="194">
        <v>0</v>
      </c>
      <c r="M805" s="194">
        <v>0</v>
      </c>
      <c r="N805" s="194">
        <v>0</v>
      </c>
      <c r="O805" s="193">
        <f t="shared" si="173"/>
        <v>0</v>
      </c>
      <c r="P805" s="194">
        <v>0</v>
      </c>
      <c r="Q805" s="194">
        <v>0</v>
      </c>
      <c r="R805" s="194">
        <v>0</v>
      </c>
      <c r="S805" s="193">
        <f t="shared" si="174"/>
        <v>0</v>
      </c>
      <c r="T805" s="193">
        <f t="shared" si="175"/>
        <v>0</v>
      </c>
      <c r="U805" s="193">
        <f ca="1">OFFSET('Expenditure Study'!$B$7,'Operations Support'!$C805,'Operations Support'!$B805)*$G805</f>
        <v>0</v>
      </c>
      <c r="V805" s="199">
        <f ca="1">U805*'Expenditure Study'!$B$31</f>
        <v>0</v>
      </c>
      <c r="W805" s="199">
        <f ca="1">IF(A805=10298,1.51,1)*IF($B805&lt;3,$D805*'Expenditure Study'!$B$32*OFFSET('Expenditure Study'!$B$7,'Operations Support'!$C805,'Operations Support'!$B805),0)</f>
        <v>0</v>
      </c>
      <c r="X805" s="200">
        <f ca="1">W805*'Expenditure Study'!$B$31</f>
        <v>0</v>
      </c>
      <c r="Y805" s="199">
        <f ca="1">U805*'Expenditure Study'!$B$31</f>
        <v>0</v>
      </c>
      <c r="Z805" s="200">
        <f ca="1">W805*'Expenditure Study'!$B$31</f>
        <v>0</v>
      </c>
      <c r="AA805" s="195">
        <f t="shared" ca="1" si="176"/>
        <v>0</v>
      </c>
      <c r="AB805" s="195">
        <f t="shared" ca="1" si="177"/>
        <v>0</v>
      </c>
      <c r="AD805" s="196">
        <f>IFERROR($G805/SUMIF($A:$A,$A805,$G:$G)*SUMIF(Summary!$A$166:$A$242,$A805,Summary!$P$166:$P$242),0)</f>
        <v>0</v>
      </c>
      <c r="AE805" s="197">
        <f t="shared" ca="1" si="178"/>
        <v>0</v>
      </c>
      <c r="AF805" s="196">
        <f>IFERROR(G805/SUMIF(A:A,A805,G:G)*SUMIF(Summary!$A$166:$A$242,'Operations Support'!A805,Summary!$Q$166:$Q$242),0)</f>
        <v>0</v>
      </c>
      <c r="AG805" s="196">
        <f t="shared" ca="1" si="179"/>
        <v>0</v>
      </c>
      <c r="AI805" s="196">
        <f>IFERROR($G805/SUMIF($A:$A,$A805,$G:$G)*SUMIF(Summary!$A$247:$A$283,$A805,Summary!$P$247:$P$283),0)</f>
        <v>0</v>
      </c>
      <c r="AJ805" s="196">
        <f>IFERROR($G805/SUMIF($A:$A,$A805,$G:$G)*(SUMIF(Summary!$A$247:$A$283,$A805,Summary!$L$247:$L$283)+SUMIF(Summary!$A$297:$A$333,$A805,Summary!$L$297:$L$333))-AI805,0)</f>
        <v>0</v>
      </c>
      <c r="AK805" s="196">
        <f>IFERROR($G805/SUMIF($A:$A,$A805,$G:$G)*SUMIF(Summary!$A$247:$A$283,$A805,Summary!$Q$247:$Q$283),0)</f>
        <v>0</v>
      </c>
      <c r="AL805" s="196">
        <f>IFERROR($G805/SUMIF($A:$A,$A805,$G:$G)*(SUMIF(Summary!$A$247:$A$283,$A805,Summary!$L$247:$L$283)+SUMIF(Summary!$A$297:$A$333,$A805,Summary!$L$297:$L$333))-AK805,0)</f>
        <v>0</v>
      </c>
      <c r="AM805" s="198"/>
      <c r="AN805" s="196">
        <f t="shared" ca="1" si="180"/>
        <v>0</v>
      </c>
      <c r="AO805" s="196">
        <f t="shared" ca="1" si="181"/>
        <v>0</v>
      </c>
    </row>
    <row r="806" spans="1:41">
      <c r="A806" s="189">
        <v>3606</v>
      </c>
      <c r="B806" s="203">
        <v>4</v>
      </c>
      <c r="C806" s="191" t="s">
        <v>223</v>
      </c>
      <c r="D806" s="192">
        <f t="shared" si="168"/>
        <v>2615</v>
      </c>
      <c r="E806" s="192">
        <f t="shared" si="169"/>
        <v>381</v>
      </c>
      <c r="F806" s="192">
        <f t="shared" si="170"/>
        <v>3</v>
      </c>
      <c r="G806" s="193">
        <f t="shared" si="171"/>
        <v>2993</v>
      </c>
      <c r="H806" s="194">
        <v>735</v>
      </c>
      <c r="I806" s="194">
        <v>201</v>
      </c>
      <c r="J806" s="194">
        <v>3</v>
      </c>
      <c r="K806" s="193">
        <f t="shared" si="172"/>
        <v>933</v>
      </c>
      <c r="L806" s="194">
        <v>874</v>
      </c>
      <c r="M806" s="194">
        <v>72</v>
      </c>
      <c r="N806" s="194">
        <v>0</v>
      </c>
      <c r="O806" s="193">
        <f t="shared" si="173"/>
        <v>946</v>
      </c>
      <c r="P806" s="194">
        <v>1006</v>
      </c>
      <c r="Q806" s="194">
        <v>108</v>
      </c>
      <c r="R806" s="194">
        <v>0</v>
      </c>
      <c r="S806" s="193">
        <f t="shared" si="174"/>
        <v>1114</v>
      </c>
      <c r="T806" s="193">
        <f t="shared" si="175"/>
        <v>166.27777777777777</v>
      </c>
      <c r="U806" s="193">
        <f ca="1">OFFSET('Expenditure Study'!$B$7,'Operations Support'!$C806,'Operations Support'!$B806)*$G806</f>
        <v>23405.260000000002</v>
      </c>
      <c r="V806" s="199">
        <f ca="1">U806*'Expenditure Study'!$B$31</f>
        <v>1382857.2082510081</v>
      </c>
      <c r="W806" s="199">
        <f ca="1">IF(A806=10298,1.51,1)*IF($B806&lt;3,$D806*'Expenditure Study'!$B$32*OFFSET('Expenditure Study'!$B$7,'Operations Support'!$C806,'Operations Support'!$B806),0)</f>
        <v>0</v>
      </c>
      <c r="X806" s="200">
        <f ca="1">W806*'Expenditure Study'!$B$31</f>
        <v>0</v>
      </c>
      <c r="Y806" s="199">
        <f ca="1">U806*'Expenditure Study'!$B$31</f>
        <v>1382857.2082510081</v>
      </c>
      <c r="Z806" s="200">
        <f ca="1">W806*'Expenditure Study'!$B$31</f>
        <v>0</v>
      </c>
      <c r="AA806" s="195">
        <f t="shared" ca="1" si="176"/>
        <v>1382857.2082510081</v>
      </c>
      <c r="AB806" s="195">
        <f t="shared" ca="1" si="177"/>
        <v>1382857.2082510081</v>
      </c>
      <c r="AD806" s="196">
        <f>IFERROR($G806/SUMIF($A:$A,$A806,$G:$G)*SUMIF(Summary!$A$166:$A$242,$A806,Summary!$P$166:$P$242),0)</f>
        <v>79662.999899729824</v>
      </c>
      <c r="AE806" s="197">
        <f t="shared" ca="1" si="178"/>
        <v>1303194.2083512782</v>
      </c>
      <c r="AF806" s="196">
        <f>IFERROR(G806/SUMIF(A:A,A806,G:G)*SUMIF(Summary!$A$166:$A$242,'Operations Support'!A806,Summary!$Q$166:$Q$242),0)</f>
        <v>79841.723872678209</v>
      </c>
      <c r="AG806" s="196">
        <f t="shared" ca="1" si="179"/>
        <v>1303015.4843783299</v>
      </c>
      <c r="AI806" s="196">
        <f>IFERROR($G806/SUMIF($A:$A,$A806,$G:$G)*SUMIF(Summary!$A$247:$A$283,$A806,Summary!$P$247:$P$283),0)</f>
        <v>14528.543213708044</v>
      </c>
      <c r="AJ806" s="196">
        <f>IFERROR($G806/SUMIF($A:$A,$A806,$G:$G)*(SUMIF(Summary!$A$247:$A$283,$A806,Summary!$L$247:$L$283)+SUMIF(Summary!$A$297:$A$333,$A806,Summary!$L$297:$L$333))-AI806,0)</f>
        <v>49650.318112762325</v>
      </c>
      <c r="AK806" s="196">
        <f>IFERROR($G806/SUMIF($A:$A,$A806,$G:$G)*SUMIF(Summary!$A$247:$A$283,$A806,Summary!$Q$247:$Q$283),0)</f>
        <v>14561.138006366802</v>
      </c>
      <c r="AL806" s="196">
        <f>IFERROR($G806/SUMIF($A:$A,$A806,$G:$G)*(SUMIF(Summary!$A$247:$A$283,$A806,Summary!$L$247:$L$283)+SUMIF(Summary!$A$297:$A$333,$A806,Summary!$L$297:$L$333))-AK806,0)</f>
        <v>49617.723320103563</v>
      </c>
      <c r="AM806" s="198"/>
      <c r="AN806" s="196">
        <f t="shared" ca="1" si="180"/>
        <v>1352844.5264640406</v>
      </c>
      <c r="AO806" s="196">
        <f t="shared" ca="1" si="181"/>
        <v>1352633.2076984334</v>
      </c>
    </row>
    <row r="807" spans="1:41">
      <c r="A807" s="189">
        <v>3606</v>
      </c>
      <c r="B807" s="203">
        <v>4</v>
      </c>
      <c r="C807" s="191" t="s">
        <v>224</v>
      </c>
      <c r="D807" s="192">
        <f t="shared" si="168"/>
        <v>0</v>
      </c>
      <c r="E807" s="192">
        <f t="shared" si="169"/>
        <v>0</v>
      </c>
      <c r="F807" s="192">
        <f t="shared" si="170"/>
        <v>0</v>
      </c>
      <c r="G807" s="193">
        <f t="shared" si="171"/>
        <v>0</v>
      </c>
      <c r="H807" s="194">
        <v>0</v>
      </c>
      <c r="I807" s="194">
        <v>0</v>
      </c>
      <c r="J807" s="194">
        <v>0</v>
      </c>
      <c r="K807" s="193">
        <f t="shared" si="172"/>
        <v>0</v>
      </c>
      <c r="L807" s="194">
        <v>0</v>
      </c>
      <c r="M807" s="194">
        <v>0</v>
      </c>
      <c r="N807" s="194">
        <v>0</v>
      </c>
      <c r="O807" s="193">
        <f t="shared" si="173"/>
        <v>0</v>
      </c>
      <c r="P807" s="194">
        <v>0</v>
      </c>
      <c r="Q807" s="194">
        <v>0</v>
      </c>
      <c r="R807" s="194">
        <v>0</v>
      </c>
      <c r="S807" s="193">
        <f t="shared" si="174"/>
        <v>0</v>
      </c>
      <c r="T807" s="193">
        <f t="shared" si="175"/>
        <v>0</v>
      </c>
      <c r="U807" s="193">
        <f ca="1">OFFSET('Expenditure Study'!$B$7,'Operations Support'!$C807,'Operations Support'!$B807)*$G807</f>
        <v>0</v>
      </c>
      <c r="V807" s="199">
        <f ca="1">U807*'Expenditure Study'!$B$31</f>
        <v>0</v>
      </c>
      <c r="W807" s="199">
        <f ca="1">IF(A807=10298,1.51,1)*IF($B807&lt;3,$D807*'Expenditure Study'!$B$32*OFFSET('Expenditure Study'!$B$7,'Operations Support'!$C807,'Operations Support'!$B807),0)</f>
        <v>0</v>
      </c>
      <c r="X807" s="200">
        <f ca="1">W807*'Expenditure Study'!$B$31</f>
        <v>0</v>
      </c>
      <c r="Y807" s="199">
        <f ca="1">U807*'Expenditure Study'!$B$31</f>
        <v>0</v>
      </c>
      <c r="Z807" s="200">
        <f ca="1">W807*'Expenditure Study'!$B$31</f>
        <v>0</v>
      </c>
      <c r="AA807" s="195">
        <f t="shared" ca="1" si="176"/>
        <v>0</v>
      </c>
      <c r="AB807" s="195">
        <f t="shared" ca="1" si="177"/>
        <v>0</v>
      </c>
      <c r="AD807" s="196">
        <f>IFERROR($G807/SUMIF($A:$A,$A807,$G:$G)*SUMIF(Summary!$A$166:$A$242,$A807,Summary!$P$166:$P$242),0)</f>
        <v>0</v>
      </c>
      <c r="AE807" s="197">
        <f t="shared" ca="1" si="178"/>
        <v>0</v>
      </c>
      <c r="AF807" s="196">
        <f>IFERROR(G807/SUMIF(A:A,A807,G:G)*SUMIF(Summary!$A$166:$A$242,'Operations Support'!A807,Summary!$Q$166:$Q$242),0)</f>
        <v>0</v>
      </c>
      <c r="AG807" s="196">
        <f t="shared" ca="1" si="179"/>
        <v>0</v>
      </c>
      <c r="AI807" s="196">
        <f>IFERROR($G807/SUMIF($A:$A,$A807,$G:$G)*SUMIF(Summary!$A$247:$A$283,$A807,Summary!$P$247:$P$283),0)</f>
        <v>0</v>
      </c>
      <c r="AJ807" s="196">
        <f>IFERROR($G807/SUMIF($A:$A,$A807,$G:$G)*(SUMIF(Summary!$A$247:$A$283,$A807,Summary!$L$247:$L$283)+SUMIF(Summary!$A$297:$A$333,$A807,Summary!$L$297:$L$333))-AI807,0)</f>
        <v>0</v>
      </c>
      <c r="AK807" s="196">
        <f>IFERROR($G807/SUMIF($A:$A,$A807,$G:$G)*SUMIF(Summary!$A$247:$A$283,$A807,Summary!$Q$247:$Q$283),0)</f>
        <v>0</v>
      </c>
      <c r="AL807" s="196">
        <f>IFERROR($G807/SUMIF($A:$A,$A807,$G:$G)*(SUMIF(Summary!$A$247:$A$283,$A807,Summary!$L$247:$L$283)+SUMIF(Summary!$A$297:$A$333,$A807,Summary!$L$297:$L$333))-AK807,0)</f>
        <v>0</v>
      </c>
      <c r="AM807" s="198"/>
      <c r="AN807" s="196">
        <f t="shared" ca="1" si="180"/>
        <v>0</v>
      </c>
      <c r="AO807" s="196">
        <f t="shared" ca="1" si="181"/>
        <v>0</v>
      </c>
    </row>
    <row r="808" spans="1:41">
      <c r="A808" s="189">
        <v>3606</v>
      </c>
      <c r="B808" s="203">
        <v>4</v>
      </c>
      <c r="C808" s="191" t="s">
        <v>225</v>
      </c>
      <c r="D808" s="192">
        <f t="shared" si="168"/>
        <v>264</v>
      </c>
      <c r="E808" s="192">
        <f t="shared" si="169"/>
        <v>0</v>
      </c>
      <c r="F808" s="192">
        <f t="shared" si="170"/>
        <v>0</v>
      </c>
      <c r="G808" s="193">
        <f t="shared" si="171"/>
        <v>264</v>
      </c>
      <c r="H808" s="194">
        <v>116</v>
      </c>
      <c r="I808" s="194">
        <v>0</v>
      </c>
      <c r="J808" s="194">
        <v>0</v>
      </c>
      <c r="K808" s="193">
        <f t="shared" si="172"/>
        <v>116</v>
      </c>
      <c r="L808" s="194">
        <v>103</v>
      </c>
      <c r="M808" s="194">
        <v>0</v>
      </c>
      <c r="N808" s="194">
        <v>0</v>
      </c>
      <c r="O808" s="193">
        <f t="shared" si="173"/>
        <v>103</v>
      </c>
      <c r="P808" s="194">
        <v>45</v>
      </c>
      <c r="Q808" s="194">
        <v>0</v>
      </c>
      <c r="R808" s="194">
        <v>0</v>
      </c>
      <c r="S808" s="193">
        <f t="shared" si="174"/>
        <v>45</v>
      </c>
      <c r="T808" s="193">
        <f t="shared" si="175"/>
        <v>14.666666666666666</v>
      </c>
      <c r="U808" s="193">
        <f ca="1">OFFSET('Expenditure Study'!$B$7,'Operations Support'!$C808,'Operations Support'!$B808)*$G808</f>
        <v>4960.5599999999995</v>
      </c>
      <c r="V808" s="199">
        <f ca="1">U808*'Expenditure Study'!$B$31</f>
        <v>293085.663349248</v>
      </c>
      <c r="W808" s="199">
        <f ca="1">IF(A808=10298,1.51,1)*IF($B808&lt;3,$D808*'Expenditure Study'!$B$32*OFFSET('Expenditure Study'!$B$7,'Operations Support'!$C808,'Operations Support'!$B808),0)</f>
        <v>0</v>
      </c>
      <c r="X808" s="200">
        <f ca="1">W808*'Expenditure Study'!$B$31</f>
        <v>0</v>
      </c>
      <c r="Y808" s="199">
        <f ca="1">U808*'Expenditure Study'!$B$31</f>
        <v>293085.663349248</v>
      </c>
      <c r="Z808" s="200">
        <f ca="1">W808*'Expenditure Study'!$B$31</f>
        <v>0</v>
      </c>
      <c r="AA808" s="195">
        <f t="shared" ca="1" si="176"/>
        <v>293085.663349248</v>
      </c>
      <c r="AB808" s="195">
        <f t="shared" ca="1" si="177"/>
        <v>293085.663349248</v>
      </c>
      <c r="AD808" s="196">
        <f>IFERROR($G808/SUMIF($A:$A,$A808,$G:$G)*SUMIF(Summary!$A$166:$A$242,$A808,Summary!$P$166:$P$242),0)</f>
        <v>7026.7397171829844</v>
      </c>
      <c r="AE808" s="197">
        <f t="shared" ca="1" si="178"/>
        <v>286058.92363206501</v>
      </c>
      <c r="AF808" s="196">
        <f>IFERROR(G808/SUMIF(A:A,A808,G:G)*SUMIF(Summary!$A$166:$A$242,'Operations Support'!A808,Summary!$Q$166:$Q$242),0)</f>
        <v>7042.5042106204637</v>
      </c>
      <c r="AG808" s="196">
        <f t="shared" ca="1" si="179"/>
        <v>286043.15913862752</v>
      </c>
      <c r="AI808" s="196">
        <f>IFERROR($G808/SUMIF($A:$A,$A808,$G:$G)*SUMIF(Summary!$A$247:$A$283,$A808,Summary!$P$247:$P$283),0)</f>
        <v>1281.5019740791593</v>
      </c>
      <c r="AJ808" s="196">
        <f>IFERROR($G808/SUMIF($A:$A,$A808,$G:$G)*(SUMIF(Summary!$A$247:$A$283,$A808,Summary!$L$247:$L$283)+SUMIF(Summary!$A$297:$A$333,$A808,Summary!$L$297:$L$333))-AI808,0)</f>
        <v>4379.4467028965091</v>
      </c>
      <c r="AK808" s="196">
        <f>IFERROR($G808/SUMIF($A:$A,$A808,$G:$G)*SUMIF(Summary!$A$247:$A$283,$A808,Summary!$Q$247:$Q$283),0)</f>
        <v>1284.3770242836069</v>
      </c>
      <c r="AL808" s="196">
        <f>IFERROR($G808/SUMIF($A:$A,$A808,$G:$G)*(SUMIF(Summary!$A$247:$A$283,$A808,Summary!$L$247:$L$283)+SUMIF(Summary!$A$297:$A$333,$A808,Summary!$L$297:$L$333))-AK808,0)</f>
        <v>4376.5716526920614</v>
      </c>
      <c r="AM808" s="198"/>
      <c r="AN808" s="196">
        <f t="shared" ca="1" si="180"/>
        <v>290438.37033496151</v>
      </c>
      <c r="AO808" s="196">
        <f t="shared" ca="1" si="181"/>
        <v>290419.73079131957</v>
      </c>
    </row>
    <row r="809" spans="1:41">
      <c r="A809" s="189">
        <v>3606</v>
      </c>
      <c r="B809" s="203">
        <v>4</v>
      </c>
      <c r="C809" s="191" t="s">
        <v>226</v>
      </c>
      <c r="D809" s="192">
        <f t="shared" si="168"/>
        <v>0</v>
      </c>
      <c r="E809" s="192">
        <f t="shared" si="169"/>
        <v>0</v>
      </c>
      <c r="F809" s="192">
        <f t="shared" si="170"/>
        <v>0</v>
      </c>
      <c r="G809" s="193">
        <f t="shared" si="171"/>
        <v>0</v>
      </c>
      <c r="H809" s="194">
        <v>0</v>
      </c>
      <c r="I809" s="194">
        <v>0</v>
      </c>
      <c r="J809" s="194">
        <v>0</v>
      </c>
      <c r="K809" s="193">
        <f t="shared" si="172"/>
        <v>0</v>
      </c>
      <c r="L809" s="194">
        <v>0</v>
      </c>
      <c r="M809" s="194">
        <v>0</v>
      </c>
      <c r="N809" s="194">
        <v>0</v>
      </c>
      <c r="O809" s="193">
        <f t="shared" si="173"/>
        <v>0</v>
      </c>
      <c r="P809" s="194">
        <v>0</v>
      </c>
      <c r="Q809" s="194">
        <v>0</v>
      </c>
      <c r="R809" s="194">
        <v>0</v>
      </c>
      <c r="S809" s="193">
        <f t="shared" si="174"/>
        <v>0</v>
      </c>
      <c r="T809" s="193">
        <f t="shared" si="175"/>
        <v>0</v>
      </c>
      <c r="U809" s="193">
        <f ca="1">OFFSET('Expenditure Study'!$B$7,'Operations Support'!$C809,'Operations Support'!$B809)*$G809</f>
        <v>0</v>
      </c>
      <c r="V809" s="199">
        <f ca="1">U809*'Expenditure Study'!$B$31</f>
        <v>0</v>
      </c>
      <c r="W809" s="199">
        <f ca="1">IF(A809=10298,1.51,1)*IF($B809&lt;3,$D809*'Expenditure Study'!$B$32*OFFSET('Expenditure Study'!$B$7,'Operations Support'!$C809,'Operations Support'!$B809),0)</f>
        <v>0</v>
      </c>
      <c r="X809" s="200">
        <f ca="1">W809*'Expenditure Study'!$B$31</f>
        <v>0</v>
      </c>
      <c r="Y809" s="199">
        <f ca="1">U809*'Expenditure Study'!$B$31</f>
        <v>0</v>
      </c>
      <c r="Z809" s="200">
        <f ca="1">W809*'Expenditure Study'!$B$31</f>
        <v>0</v>
      </c>
      <c r="AA809" s="195">
        <f t="shared" ca="1" si="176"/>
        <v>0</v>
      </c>
      <c r="AB809" s="195">
        <f t="shared" ca="1" si="177"/>
        <v>0</v>
      </c>
      <c r="AD809" s="196">
        <f>IFERROR($G809/SUMIF($A:$A,$A809,$G:$G)*SUMIF(Summary!$A$166:$A$242,$A809,Summary!$P$166:$P$242),0)</f>
        <v>0</v>
      </c>
      <c r="AE809" s="197">
        <f t="shared" ca="1" si="178"/>
        <v>0</v>
      </c>
      <c r="AF809" s="196">
        <f>IFERROR(G809/SUMIF(A:A,A809,G:G)*SUMIF(Summary!$A$166:$A$242,'Operations Support'!A809,Summary!$Q$166:$Q$242),0)</f>
        <v>0</v>
      </c>
      <c r="AG809" s="196">
        <f t="shared" ca="1" si="179"/>
        <v>0</v>
      </c>
      <c r="AI809" s="196">
        <f>IFERROR($G809/SUMIF($A:$A,$A809,$G:$G)*SUMIF(Summary!$A$247:$A$283,$A809,Summary!$P$247:$P$283),0)</f>
        <v>0</v>
      </c>
      <c r="AJ809" s="196">
        <f>IFERROR($G809/SUMIF($A:$A,$A809,$G:$G)*(SUMIF(Summary!$A$247:$A$283,$A809,Summary!$L$247:$L$283)+SUMIF(Summary!$A$297:$A$333,$A809,Summary!$L$297:$L$333))-AI809,0)</f>
        <v>0</v>
      </c>
      <c r="AK809" s="196">
        <f>IFERROR($G809/SUMIF($A:$A,$A809,$G:$G)*SUMIF(Summary!$A$247:$A$283,$A809,Summary!$Q$247:$Q$283),0)</f>
        <v>0</v>
      </c>
      <c r="AL809" s="196">
        <f>IFERROR($G809/SUMIF($A:$A,$A809,$G:$G)*(SUMIF(Summary!$A$247:$A$283,$A809,Summary!$L$247:$L$283)+SUMIF(Summary!$A$297:$A$333,$A809,Summary!$L$297:$L$333))-AK809,0)</f>
        <v>0</v>
      </c>
      <c r="AM809" s="198"/>
      <c r="AN809" s="196">
        <f t="shared" ca="1" si="180"/>
        <v>0</v>
      </c>
      <c r="AO809" s="196">
        <f t="shared" ca="1" si="181"/>
        <v>0</v>
      </c>
    </row>
    <row r="810" spans="1:41">
      <c r="A810" s="189">
        <v>3606</v>
      </c>
      <c r="B810" s="203">
        <v>4</v>
      </c>
      <c r="C810" s="191" t="s">
        <v>227</v>
      </c>
      <c r="D810" s="192">
        <f t="shared" si="168"/>
        <v>0</v>
      </c>
      <c r="E810" s="192">
        <f t="shared" si="169"/>
        <v>0</v>
      </c>
      <c r="F810" s="192">
        <f t="shared" si="170"/>
        <v>0</v>
      </c>
      <c r="G810" s="193">
        <f t="shared" si="171"/>
        <v>0</v>
      </c>
      <c r="H810" s="194">
        <v>0</v>
      </c>
      <c r="I810" s="194">
        <v>0</v>
      </c>
      <c r="J810" s="194">
        <v>0</v>
      </c>
      <c r="K810" s="193">
        <f t="shared" si="172"/>
        <v>0</v>
      </c>
      <c r="L810" s="194">
        <v>0</v>
      </c>
      <c r="M810" s="194">
        <v>0</v>
      </c>
      <c r="N810" s="194">
        <v>0</v>
      </c>
      <c r="O810" s="193">
        <f t="shared" si="173"/>
        <v>0</v>
      </c>
      <c r="P810" s="194">
        <v>0</v>
      </c>
      <c r="Q810" s="194">
        <v>0</v>
      </c>
      <c r="R810" s="194">
        <v>0</v>
      </c>
      <c r="S810" s="193">
        <f t="shared" si="174"/>
        <v>0</v>
      </c>
      <c r="T810" s="193">
        <f t="shared" si="175"/>
        <v>0</v>
      </c>
      <c r="U810" s="193">
        <f ca="1">OFFSET('Expenditure Study'!$B$7,'Operations Support'!$C810,'Operations Support'!$B810)*$G810</f>
        <v>0</v>
      </c>
      <c r="V810" s="199">
        <f ca="1">U810*'Expenditure Study'!$B$31</f>
        <v>0</v>
      </c>
      <c r="W810" s="199">
        <f ca="1">IF(A810=10298,1.51,1)*IF($B810&lt;3,$D810*'Expenditure Study'!$B$32*OFFSET('Expenditure Study'!$B$7,'Operations Support'!$C810,'Operations Support'!$B810),0)</f>
        <v>0</v>
      </c>
      <c r="X810" s="200">
        <f ca="1">W810*'Expenditure Study'!$B$31</f>
        <v>0</v>
      </c>
      <c r="Y810" s="199">
        <f ca="1">U810*'Expenditure Study'!$B$31</f>
        <v>0</v>
      </c>
      <c r="Z810" s="200">
        <f ca="1">W810*'Expenditure Study'!$B$31</f>
        <v>0</v>
      </c>
      <c r="AA810" s="195">
        <f t="shared" ca="1" si="176"/>
        <v>0</v>
      </c>
      <c r="AB810" s="195">
        <f t="shared" ca="1" si="177"/>
        <v>0</v>
      </c>
      <c r="AD810" s="196">
        <f>IFERROR($G810/SUMIF($A:$A,$A810,$G:$G)*SUMIF(Summary!$A$166:$A$242,$A810,Summary!$P$166:$P$242),0)</f>
        <v>0</v>
      </c>
      <c r="AE810" s="197">
        <f t="shared" ca="1" si="178"/>
        <v>0</v>
      </c>
      <c r="AF810" s="196">
        <f>IFERROR(G810/SUMIF(A:A,A810,G:G)*SUMIF(Summary!$A$166:$A$242,'Operations Support'!A810,Summary!$Q$166:$Q$242),0)</f>
        <v>0</v>
      </c>
      <c r="AG810" s="196">
        <f t="shared" ca="1" si="179"/>
        <v>0</v>
      </c>
      <c r="AI810" s="196">
        <f>IFERROR($G810/SUMIF($A:$A,$A810,$G:$G)*SUMIF(Summary!$A$247:$A$283,$A810,Summary!$P$247:$P$283),0)</f>
        <v>0</v>
      </c>
      <c r="AJ810" s="196">
        <f>IFERROR($G810/SUMIF($A:$A,$A810,$G:$G)*(SUMIF(Summary!$A$247:$A$283,$A810,Summary!$L$247:$L$283)+SUMIF(Summary!$A$297:$A$333,$A810,Summary!$L$297:$L$333))-AI810,0)</f>
        <v>0</v>
      </c>
      <c r="AK810" s="196">
        <f>IFERROR($G810/SUMIF($A:$A,$A810,$G:$G)*SUMIF(Summary!$A$247:$A$283,$A810,Summary!$Q$247:$Q$283),0)</f>
        <v>0</v>
      </c>
      <c r="AL810" s="196">
        <f>IFERROR($G810/SUMIF($A:$A,$A810,$G:$G)*(SUMIF(Summary!$A$247:$A$283,$A810,Summary!$L$247:$L$283)+SUMIF(Summary!$A$297:$A$333,$A810,Summary!$L$297:$L$333))-AK810,0)</f>
        <v>0</v>
      </c>
      <c r="AM810" s="198"/>
      <c r="AN810" s="196">
        <f t="shared" ca="1" si="180"/>
        <v>0</v>
      </c>
      <c r="AO810" s="196">
        <f t="shared" ca="1" si="181"/>
        <v>0</v>
      </c>
    </row>
    <row r="811" spans="1:41">
      <c r="A811" s="189">
        <v>3606</v>
      </c>
      <c r="B811" s="203">
        <v>4</v>
      </c>
      <c r="C811" s="191" t="s">
        <v>228</v>
      </c>
      <c r="D811" s="192">
        <f t="shared" si="168"/>
        <v>0</v>
      </c>
      <c r="E811" s="192">
        <f t="shared" si="169"/>
        <v>0</v>
      </c>
      <c r="F811" s="192">
        <f t="shared" si="170"/>
        <v>0</v>
      </c>
      <c r="G811" s="193">
        <f t="shared" si="171"/>
        <v>0</v>
      </c>
      <c r="H811" s="194">
        <v>0</v>
      </c>
      <c r="I811" s="194">
        <v>0</v>
      </c>
      <c r="J811" s="194">
        <v>0</v>
      </c>
      <c r="K811" s="193">
        <f t="shared" si="172"/>
        <v>0</v>
      </c>
      <c r="L811" s="194">
        <v>0</v>
      </c>
      <c r="M811" s="194">
        <v>0</v>
      </c>
      <c r="N811" s="194">
        <v>0</v>
      </c>
      <c r="O811" s="193">
        <f t="shared" si="173"/>
        <v>0</v>
      </c>
      <c r="P811" s="194">
        <v>0</v>
      </c>
      <c r="Q811" s="194">
        <v>0</v>
      </c>
      <c r="R811" s="194">
        <v>0</v>
      </c>
      <c r="S811" s="193">
        <f t="shared" si="174"/>
        <v>0</v>
      </c>
      <c r="T811" s="193">
        <f t="shared" si="175"/>
        <v>0</v>
      </c>
      <c r="U811" s="193">
        <f ca="1">OFFSET('Expenditure Study'!$B$7,'Operations Support'!$C811,'Operations Support'!$B811)*$G811</f>
        <v>0</v>
      </c>
      <c r="V811" s="199">
        <f ca="1">U811*'Expenditure Study'!$B$31</f>
        <v>0</v>
      </c>
      <c r="W811" s="199">
        <f ca="1">IF(A811=10298,1.51,1)*IF($B811&lt;3,$D811*'Expenditure Study'!$B$32*OFFSET('Expenditure Study'!$B$7,'Operations Support'!$C811,'Operations Support'!$B811),0)</f>
        <v>0</v>
      </c>
      <c r="X811" s="200">
        <f ca="1">W811*'Expenditure Study'!$B$31</f>
        <v>0</v>
      </c>
      <c r="Y811" s="199">
        <f ca="1">U811*'Expenditure Study'!$B$31</f>
        <v>0</v>
      </c>
      <c r="Z811" s="200">
        <f ca="1">W811*'Expenditure Study'!$B$31</f>
        <v>0</v>
      </c>
      <c r="AA811" s="195">
        <f t="shared" ca="1" si="176"/>
        <v>0</v>
      </c>
      <c r="AB811" s="195">
        <f t="shared" ca="1" si="177"/>
        <v>0</v>
      </c>
      <c r="AD811" s="196">
        <f>IFERROR($G811/SUMIF($A:$A,$A811,$G:$G)*SUMIF(Summary!$A$166:$A$242,$A811,Summary!$P$166:$P$242),0)</f>
        <v>0</v>
      </c>
      <c r="AE811" s="197">
        <f t="shared" ca="1" si="178"/>
        <v>0</v>
      </c>
      <c r="AF811" s="196">
        <f>IFERROR(G811/SUMIF(A:A,A811,G:G)*SUMIF(Summary!$A$166:$A$242,'Operations Support'!A811,Summary!$Q$166:$Q$242),0)</f>
        <v>0</v>
      </c>
      <c r="AG811" s="196">
        <f t="shared" ca="1" si="179"/>
        <v>0</v>
      </c>
      <c r="AI811" s="196">
        <f>IFERROR($G811/SUMIF($A:$A,$A811,$G:$G)*SUMIF(Summary!$A$247:$A$283,$A811,Summary!$P$247:$P$283),0)</f>
        <v>0</v>
      </c>
      <c r="AJ811" s="196">
        <f>IFERROR($G811/SUMIF($A:$A,$A811,$G:$G)*(SUMIF(Summary!$A$247:$A$283,$A811,Summary!$L$247:$L$283)+SUMIF(Summary!$A$297:$A$333,$A811,Summary!$L$297:$L$333))-AI811,0)</f>
        <v>0</v>
      </c>
      <c r="AK811" s="196">
        <f>IFERROR($G811/SUMIF($A:$A,$A811,$G:$G)*SUMIF(Summary!$A$247:$A$283,$A811,Summary!$Q$247:$Q$283),0)</f>
        <v>0</v>
      </c>
      <c r="AL811" s="196">
        <f>IFERROR($G811/SUMIF($A:$A,$A811,$G:$G)*(SUMIF(Summary!$A$247:$A$283,$A811,Summary!$L$247:$L$283)+SUMIF(Summary!$A$297:$A$333,$A811,Summary!$L$297:$L$333))-AK811,0)</f>
        <v>0</v>
      </c>
      <c r="AM811" s="198"/>
      <c r="AN811" s="196">
        <f t="shared" ca="1" si="180"/>
        <v>0</v>
      </c>
      <c r="AO811" s="196">
        <f t="shared" ca="1" si="181"/>
        <v>0</v>
      </c>
    </row>
    <row r="812" spans="1:41">
      <c r="A812" s="189">
        <v>3606</v>
      </c>
      <c r="B812" s="203">
        <v>4</v>
      </c>
      <c r="C812" s="191" t="s">
        <v>229</v>
      </c>
      <c r="D812" s="192">
        <f t="shared" si="168"/>
        <v>0</v>
      </c>
      <c r="E812" s="192">
        <f t="shared" si="169"/>
        <v>0</v>
      </c>
      <c r="F812" s="192">
        <f t="shared" si="170"/>
        <v>0</v>
      </c>
      <c r="G812" s="193">
        <f t="shared" si="171"/>
        <v>0</v>
      </c>
      <c r="H812" s="194">
        <v>0</v>
      </c>
      <c r="I812" s="194">
        <v>0</v>
      </c>
      <c r="J812" s="194">
        <v>0</v>
      </c>
      <c r="K812" s="193">
        <f t="shared" si="172"/>
        <v>0</v>
      </c>
      <c r="L812" s="194">
        <v>0</v>
      </c>
      <c r="M812" s="194">
        <v>0</v>
      </c>
      <c r="N812" s="194">
        <v>0</v>
      </c>
      <c r="O812" s="193">
        <f t="shared" si="173"/>
        <v>0</v>
      </c>
      <c r="P812" s="194">
        <v>0</v>
      </c>
      <c r="Q812" s="194">
        <v>0</v>
      </c>
      <c r="R812" s="194">
        <v>0</v>
      </c>
      <c r="S812" s="193">
        <f t="shared" si="174"/>
        <v>0</v>
      </c>
      <c r="T812" s="193">
        <f t="shared" si="175"/>
        <v>0</v>
      </c>
      <c r="U812" s="193">
        <f ca="1">OFFSET('Expenditure Study'!$B$7,'Operations Support'!$C812,'Operations Support'!$B812)*$G812</f>
        <v>0</v>
      </c>
      <c r="V812" s="199">
        <f ca="1">U812*'Expenditure Study'!$B$31</f>
        <v>0</v>
      </c>
      <c r="W812" s="199">
        <f ca="1">IF(A812=10298,1.51,1)*IF($B812&lt;3,$D812*'Expenditure Study'!$B$32*OFFSET('Expenditure Study'!$B$7,'Operations Support'!$C812,'Operations Support'!$B812),0)</f>
        <v>0</v>
      </c>
      <c r="X812" s="200">
        <f ca="1">W812*'Expenditure Study'!$B$31</f>
        <v>0</v>
      </c>
      <c r="Y812" s="199">
        <f ca="1">U812*'Expenditure Study'!$B$31</f>
        <v>0</v>
      </c>
      <c r="Z812" s="200">
        <f ca="1">W812*'Expenditure Study'!$B$31</f>
        <v>0</v>
      </c>
      <c r="AA812" s="195">
        <f t="shared" ca="1" si="176"/>
        <v>0</v>
      </c>
      <c r="AB812" s="195">
        <f t="shared" ca="1" si="177"/>
        <v>0</v>
      </c>
      <c r="AD812" s="196">
        <f>IFERROR($G812/SUMIF($A:$A,$A812,$G:$G)*SUMIF(Summary!$A$166:$A$242,$A812,Summary!$P$166:$P$242),0)</f>
        <v>0</v>
      </c>
      <c r="AE812" s="197">
        <f t="shared" ca="1" si="178"/>
        <v>0</v>
      </c>
      <c r="AF812" s="196">
        <f>IFERROR(G812/SUMIF(A:A,A812,G:G)*SUMIF(Summary!$A$166:$A$242,'Operations Support'!A812,Summary!$Q$166:$Q$242),0)</f>
        <v>0</v>
      </c>
      <c r="AG812" s="196">
        <f t="shared" ca="1" si="179"/>
        <v>0</v>
      </c>
      <c r="AI812" s="196">
        <f>IFERROR($G812/SUMIF($A:$A,$A812,$G:$G)*SUMIF(Summary!$A$247:$A$283,$A812,Summary!$P$247:$P$283),0)</f>
        <v>0</v>
      </c>
      <c r="AJ812" s="196">
        <f>IFERROR($G812/SUMIF($A:$A,$A812,$G:$G)*(SUMIF(Summary!$A$247:$A$283,$A812,Summary!$L$247:$L$283)+SUMIF(Summary!$A$297:$A$333,$A812,Summary!$L$297:$L$333))-AI812,0)</f>
        <v>0</v>
      </c>
      <c r="AK812" s="196">
        <f>IFERROR($G812/SUMIF($A:$A,$A812,$G:$G)*SUMIF(Summary!$A$247:$A$283,$A812,Summary!$Q$247:$Q$283),0)</f>
        <v>0</v>
      </c>
      <c r="AL812" s="196">
        <f>IFERROR($G812/SUMIF($A:$A,$A812,$G:$G)*(SUMIF(Summary!$A$247:$A$283,$A812,Summary!$L$247:$L$283)+SUMIF(Summary!$A$297:$A$333,$A812,Summary!$L$297:$L$333))-AK812,0)</f>
        <v>0</v>
      </c>
      <c r="AM812" s="198"/>
      <c r="AN812" s="196">
        <f t="shared" ca="1" si="180"/>
        <v>0</v>
      </c>
      <c r="AO812" s="196">
        <f t="shared" ca="1" si="181"/>
        <v>0</v>
      </c>
    </row>
    <row r="813" spans="1:41">
      <c r="A813" s="189">
        <v>3606</v>
      </c>
      <c r="B813" s="203">
        <v>4</v>
      </c>
      <c r="C813" s="191" t="s">
        <v>230</v>
      </c>
      <c r="D813" s="192">
        <f t="shared" si="168"/>
        <v>0</v>
      </c>
      <c r="E813" s="192">
        <f t="shared" si="169"/>
        <v>0</v>
      </c>
      <c r="F813" s="192">
        <f t="shared" si="170"/>
        <v>0</v>
      </c>
      <c r="G813" s="193">
        <f t="shared" si="171"/>
        <v>0</v>
      </c>
      <c r="H813" s="194">
        <v>0</v>
      </c>
      <c r="I813" s="194">
        <v>0</v>
      </c>
      <c r="J813" s="194">
        <v>0</v>
      </c>
      <c r="K813" s="193">
        <f t="shared" si="172"/>
        <v>0</v>
      </c>
      <c r="L813" s="194">
        <v>0</v>
      </c>
      <c r="M813" s="194">
        <v>0</v>
      </c>
      <c r="N813" s="194">
        <v>0</v>
      </c>
      <c r="O813" s="193">
        <f t="shared" si="173"/>
        <v>0</v>
      </c>
      <c r="P813" s="194">
        <v>0</v>
      </c>
      <c r="Q813" s="194">
        <v>0</v>
      </c>
      <c r="R813" s="194">
        <v>0</v>
      </c>
      <c r="S813" s="193">
        <f t="shared" si="174"/>
        <v>0</v>
      </c>
      <c r="T813" s="193">
        <f t="shared" si="175"/>
        <v>0</v>
      </c>
      <c r="U813" s="193">
        <f ca="1">OFFSET('Expenditure Study'!$B$7,'Operations Support'!$C813,'Operations Support'!$B813)*$G813</f>
        <v>0</v>
      </c>
      <c r="V813" s="199">
        <f ca="1">U813*'Expenditure Study'!$B$31</f>
        <v>0</v>
      </c>
      <c r="W813" s="199">
        <f ca="1">IF(A813=10298,1.51,1)*IF($B813&lt;3,$D813*'Expenditure Study'!$B$32*OFFSET('Expenditure Study'!$B$7,'Operations Support'!$C813,'Operations Support'!$B813),0)</f>
        <v>0</v>
      </c>
      <c r="X813" s="200">
        <f ca="1">W813*'Expenditure Study'!$B$31</f>
        <v>0</v>
      </c>
      <c r="Y813" s="199">
        <f ca="1">U813*'Expenditure Study'!$B$31</f>
        <v>0</v>
      </c>
      <c r="Z813" s="200">
        <f ca="1">W813*'Expenditure Study'!$B$31</f>
        <v>0</v>
      </c>
      <c r="AA813" s="195">
        <f t="shared" ca="1" si="176"/>
        <v>0</v>
      </c>
      <c r="AB813" s="195">
        <f t="shared" ca="1" si="177"/>
        <v>0</v>
      </c>
      <c r="AD813" s="196">
        <f>IFERROR($G813/SUMIF($A:$A,$A813,$G:$G)*SUMIF(Summary!$A$166:$A$242,$A813,Summary!$P$166:$P$242),0)</f>
        <v>0</v>
      </c>
      <c r="AE813" s="197">
        <f t="shared" ca="1" si="178"/>
        <v>0</v>
      </c>
      <c r="AF813" s="196">
        <f>IFERROR(G813/SUMIF(A:A,A813,G:G)*SUMIF(Summary!$A$166:$A$242,'Operations Support'!A813,Summary!$Q$166:$Q$242),0)</f>
        <v>0</v>
      </c>
      <c r="AG813" s="196">
        <f t="shared" ca="1" si="179"/>
        <v>0</v>
      </c>
      <c r="AI813" s="196">
        <f>IFERROR($G813/SUMIF($A:$A,$A813,$G:$G)*SUMIF(Summary!$A$247:$A$283,$A813,Summary!$P$247:$P$283),0)</f>
        <v>0</v>
      </c>
      <c r="AJ813" s="196">
        <f>IFERROR($G813/SUMIF($A:$A,$A813,$G:$G)*(SUMIF(Summary!$A$247:$A$283,$A813,Summary!$L$247:$L$283)+SUMIF(Summary!$A$297:$A$333,$A813,Summary!$L$297:$L$333))-AI813,0)</f>
        <v>0</v>
      </c>
      <c r="AK813" s="196">
        <f>IFERROR($G813/SUMIF($A:$A,$A813,$G:$G)*SUMIF(Summary!$A$247:$A$283,$A813,Summary!$Q$247:$Q$283),0)</f>
        <v>0</v>
      </c>
      <c r="AL813" s="196">
        <f>IFERROR($G813/SUMIF($A:$A,$A813,$G:$G)*(SUMIF(Summary!$A$247:$A$283,$A813,Summary!$L$247:$L$283)+SUMIF(Summary!$A$297:$A$333,$A813,Summary!$L$297:$L$333))-AK813,0)</f>
        <v>0</v>
      </c>
      <c r="AM813" s="198"/>
      <c r="AN813" s="196">
        <f t="shared" ca="1" si="180"/>
        <v>0</v>
      </c>
      <c r="AO813" s="196">
        <f t="shared" ca="1" si="181"/>
        <v>0</v>
      </c>
    </row>
    <row r="814" spans="1:41">
      <c r="A814" s="189">
        <v>3606</v>
      </c>
      <c r="B814" s="203">
        <v>4</v>
      </c>
      <c r="C814" s="191" t="s">
        <v>231</v>
      </c>
      <c r="D814" s="192">
        <f t="shared" si="168"/>
        <v>0</v>
      </c>
      <c r="E814" s="192">
        <f t="shared" si="169"/>
        <v>0</v>
      </c>
      <c r="F814" s="192">
        <f t="shared" si="170"/>
        <v>0</v>
      </c>
      <c r="G814" s="193">
        <f t="shared" si="171"/>
        <v>0</v>
      </c>
      <c r="H814" s="194">
        <v>0</v>
      </c>
      <c r="I814" s="194">
        <v>0</v>
      </c>
      <c r="J814" s="194">
        <v>0</v>
      </c>
      <c r="K814" s="193">
        <f t="shared" si="172"/>
        <v>0</v>
      </c>
      <c r="L814" s="194">
        <v>0</v>
      </c>
      <c r="M814" s="194">
        <v>0</v>
      </c>
      <c r="N814" s="194">
        <v>0</v>
      </c>
      <c r="O814" s="193">
        <f t="shared" si="173"/>
        <v>0</v>
      </c>
      <c r="P814" s="194">
        <v>0</v>
      </c>
      <c r="Q814" s="194">
        <v>0</v>
      </c>
      <c r="R814" s="194">
        <v>0</v>
      </c>
      <c r="S814" s="193">
        <f t="shared" si="174"/>
        <v>0</v>
      </c>
      <c r="T814" s="193">
        <f t="shared" si="175"/>
        <v>0</v>
      </c>
      <c r="U814" s="193">
        <f ca="1">OFFSET('Expenditure Study'!$B$7,'Operations Support'!$C814,'Operations Support'!$B814)*$G814</f>
        <v>0</v>
      </c>
      <c r="V814" s="199">
        <f ca="1">U814*'Expenditure Study'!$B$31</f>
        <v>0</v>
      </c>
      <c r="W814" s="199">
        <f ca="1">IF(A814=10298,1.51,1)*IF($B814&lt;3,$D814*'Expenditure Study'!$B$32*OFFSET('Expenditure Study'!$B$7,'Operations Support'!$C814,'Operations Support'!$B814),0)</f>
        <v>0</v>
      </c>
      <c r="X814" s="200">
        <f ca="1">W814*'Expenditure Study'!$B$31</f>
        <v>0</v>
      </c>
      <c r="Y814" s="199">
        <f ca="1">U814*'Expenditure Study'!$B$31</f>
        <v>0</v>
      </c>
      <c r="Z814" s="200">
        <f ca="1">W814*'Expenditure Study'!$B$31</f>
        <v>0</v>
      </c>
      <c r="AA814" s="195">
        <f t="shared" ca="1" si="176"/>
        <v>0</v>
      </c>
      <c r="AB814" s="195">
        <f t="shared" ca="1" si="177"/>
        <v>0</v>
      </c>
      <c r="AD814" s="196">
        <f>IFERROR($G814/SUMIF($A:$A,$A814,$G:$G)*SUMIF(Summary!$A$166:$A$242,$A814,Summary!$P$166:$P$242),0)</f>
        <v>0</v>
      </c>
      <c r="AE814" s="197">
        <f t="shared" ca="1" si="178"/>
        <v>0</v>
      </c>
      <c r="AF814" s="196">
        <f>IFERROR(G814/SUMIF(A:A,A814,G:G)*SUMIF(Summary!$A$166:$A$242,'Operations Support'!A814,Summary!$Q$166:$Q$242),0)</f>
        <v>0</v>
      </c>
      <c r="AG814" s="196">
        <f t="shared" ca="1" si="179"/>
        <v>0</v>
      </c>
      <c r="AI814" s="196">
        <f>IFERROR($G814/SUMIF($A:$A,$A814,$G:$G)*SUMIF(Summary!$A$247:$A$283,$A814,Summary!$P$247:$P$283),0)</f>
        <v>0</v>
      </c>
      <c r="AJ814" s="196">
        <f>IFERROR($G814/SUMIF($A:$A,$A814,$G:$G)*(SUMIF(Summary!$A$247:$A$283,$A814,Summary!$L$247:$L$283)+SUMIF(Summary!$A$297:$A$333,$A814,Summary!$L$297:$L$333))-AI814,0)</f>
        <v>0</v>
      </c>
      <c r="AK814" s="196">
        <f>IFERROR($G814/SUMIF($A:$A,$A814,$G:$G)*SUMIF(Summary!$A$247:$A$283,$A814,Summary!$Q$247:$Q$283),0)</f>
        <v>0</v>
      </c>
      <c r="AL814" s="196">
        <f>IFERROR($G814/SUMIF($A:$A,$A814,$G:$G)*(SUMIF(Summary!$A$247:$A$283,$A814,Summary!$L$247:$L$283)+SUMIF(Summary!$A$297:$A$333,$A814,Summary!$L$297:$L$333))-AK814,0)</f>
        <v>0</v>
      </c>
      <c r="AM814" s="198"/>
      <c r="AN814" s="196">
        <f t="shared" ca="1" si="180"/>
        <v>0</v>
      </c>
      <c r="AO814" s="196">
        <f t="shared" ca="1" si="181"/>
        <v>0</v>
      </c>
    </row>
    <row r="815" spans="1:41">
      <c r="A815" s="189">
        <v>3606</v>
      </c>
      <c r="B815" s="203">
        <v>4</v>
      </c>
      <c r="C815" s="191" t="s">
        <v>232</v>
      </c>
      <c r="D815" s="192">
        <f t="shared" si="168"/>
        <v>0</v>
      </c>
      <c r="E815" s="192">
        <f t="shared" si="169"/>
        <v>0</v>
      </c>
      <c r="F815" s="192">
        <f t="shared" si="170"/>
        <v>0</v>
      </c>
      <c r="G815" s="193">
        <f t="shared" si="171"/>
        <v>0</v>
      </c>
      <c r="H815" s="194">
        <v>0</v>
      </c>
      <c r="I815" s="194">
        <v>0</v>
      </c>
      <c r="J815" s="194">
        <v>0</v>
      </c>
      <c r="K815" s="193">
        <f t="shared" si="172"/>
        <v>0</v>
      </c>
      <c r="L815" s="194">
        <v>0</v>
      </c>
      <c r="M815" s="194">
        <v>0</v>
      </c>
      <c r="N815" s="194">
        <v>0</v>
      </c>
      <c r="O815" s="193">
        <f t="shared" si="173"/>
        <v>0</v>
      </c>
      <c r="P815" s="194">
        <v>0</v>
      </c>
      <c r="Q815" s="194">
        <v>0</v>
      </c>
      <c r="R815" s="194">
        <v>0</v>
      </c>
      <c r="S815" s="193">
        <f t="shared" si="174"/>
        <v>0</v>
      </c>
      <c r="T815" s="193">
        <f t="shared" si="175"/>
        <v>0</v>
      </c>
      <c r="U815" s="193">
        <f ca="1">OFFSET('Expenditure Study'!$B$7,'Operations Support'!$C815,'Operations Support'!$B815)*$G815</f>
        <v>0</v>
      </c>
      <c r="V815" s="199">
        <f ca="1">U815*'Expenditure Study'!$B$31</f>
        <v>0</v>
      </c>
      <c r="W815" s="199">
        <f ca="1">IF(A815=10298,1.51,1)*IF($B815&lt;3,$D815*'Expenditure Study'!$B$32*OFFSET('Expenditure Study'!$B$7,'Operations Support'!$C815,'Operations Support'!$B815),0)</f>
        <v>0</v>
      </c>
      <c r="X815" s="200">
        <f ca="1">W815*'Expenditure Study'!$B$31</f>
        <v>0</v>
      </c>
      <c r="Y815" s="199">
        <f ca="1">U815*'Expenditure Study'!$B$31</f>
        <v>0</v>
      </c>
      <c r="Z815" s="200">
        <f ca="1">W815*'Expenditure Study'!$B$31</f>
        <v>0</v>
      </c>
      <c r="AA815" s="195">
        <f t="shared" ca="1" si="176"/>
        <v>0</v>
      </c>
      <c r="AB815" s="195">
        <f t="shared" ca="1" si="177"/>
        <v>0</v>
      </c>
      <c r="AD815" s="196">
        <f>IFERROR($G815/SUMIF($A:$A,$A815,$G:$G)*SUMIF(Summary!$A$166:$A$242,$A815,Summary!$P$166:$P$242),0)</f>
        <v>0</v>
      </c>
      <c r="AE815" s="197">
        <f t="shared" ca="1" si="178"/>
        <v>0</v>
      </c>
      <c r="AF815" s="196">
        <f>IFERROR(G815/SUMIF(A:A,A815,G:G)*SUMIF(Summary!$A$166:$A$242,'Operations Support'!A815,Summary!$Q$166:$Q$242),0)</f>
        <v>0</v>
      </c>
      <c r="AG815" s="196">
        <f t="shared" ca="1" si="179"/>
        <v>0</v>
      </c>
      <c r="AI815" s="196">
        <f>IFERROR($G815/SUMIF($A:$A,$A815,$G:$G)*SUMIF(Summary!$A$247:$A$283,$A815,Summary!$P$247:$P$283),0)</f>
        <v>0</v>
      </c>
      <c r="AJ815" s="196">
        <f>IFERROR($G815/SUMIF($A:$A,$A815,$G:$G)*(SUMIF(Summary!$A$247:$A$283,$A815,Summary!$L$247:$L$283)+SUMIF(Summary!$A$297:$A$333,$A815,Summary!$L$297:$L$333))-AI815,0)</f>
        <v>0</v>
      </c>
      <c r="AK815" s="196">
        <f>IFERROR($G815/SUMIF($A:$A,$A815,$G:$G)*SUMIF(Summary!$A$247:$A$283,$A815,Summary!$Q$247:$Q$283),0)</f>
        <v>0</v>
      </c>
      <c r="AL815" s="196">
        <f>IFERROR($G815/SUMIF($A:$A,$A815,$G:$G)*(SUMIF(Summary!$A$247:$A$283,$A815,Summary!$L$247:$L$283)+SUMIF(Summary!$A$297:$A$333,$A815,Summary!$L$297:$L$333))-AK815,0)</f>
        <v>0</v>
      </c>
      <c r="AM815" s="198"/>
      <c r="AN815" s="196">
        <f t="shared" ca="1" si="180"/>
        <v>0</v>
      </c>
      <c r="AO815" s="196">
        <f t="shared" ca="1" si="181"/>
        <v>0</v>
      </c>
    </row>
    <row r="816" spans="1:41">
      <c r="A816" s="189">
        <v>3606</v>
      </c>
      <c r="B816" s="203">
        <v>4</v>
      </c>
      <c r="C816" s="191" t="s">
        <v>233</v>
      </c>
      <c r="D816" s="192">
        <f t="shared" si="168"/>
        <v>0</v>
      </c>
      <c r="E816" s="192">
        <f t="shared" si="169"/>
        <v>0</v>
      </c>
      <c r="F816" s="192">
        <f t="shared" si="170"/>
        <v>0</v>
      </c>
      <c r="G816" s="193">
        <f t="shared" si="171"/>
        <v>0</v>
      </c>
      <c r="H816" s="194">
        <v>0</v>
      </c>
      <c r="I816" s="194">
        <v>0</v>
      </c>
      <c r="J816" s="194">
        <v>0</v>
      </c>
      <c r="K816" s="193">
        <f t="shared" si="172"/>
        <v>0</v>
      </c>
      <c r="L816" s="194">
        <v>0</v>
      </c>
      <c r="M816" s="194">
        <v>0</v>
      </c>
      <c r="N816" s="194">
        <v>0</v>
      </c>
      <c r="O816" s="193">
        <f t="shared" si="173"/>
        <v>0</v>
      </c>
      <c r="P816" s="194">
        <v>0</v>
      </c>
      <c r="Q816" s="194">
        <v>0</v>
      </c>
      <c r="R816" s="194">
        <v>0</v>
      </c>
      <c r="S816" s="193">
        <f t="shared" si="174"/>
        <v>0</v>
      </c>
      <c r="T816" s="193">
        <f t="shared" si="175"/>
        <v>0</v>
      </c>
      <c r="U816" s="193">
        <f ca="1">OFFSET('Expenditure Study'!$B$7,'Operations Support'!$C816,'Operations Support'!$B816)*$G816</f>
        <v>0</v>
      </c>
      <c r="V816" s="199">
        <f ca="1">U816*'Expenditure Study'!$B$31</f>
        <v>0</v>
      </c>
      <c r="W816" s="199">
        <f ca="1">IF(A816=10298,1.51,1)*IF($B816&lt;3,$D816*'Expenditure Study'!$B$32*OFFSET('Expenditure Study'!$B$7,'Operations Support'!$C816,'Operations Support'!$B816),0)</f>
        <v>0</v>
      </c>
      <c r="X816" s="200">
        <f ca="1">W816*'Expenditure Study'!$B$31</f>
        <v>0</v>
      </c>
      <c r="Y816" s="199">
        <f ca="1">U816*'Expenditure Study'!$B$31</f>
        <v>0</v>
      </c>
      <c r="Z816" s="200">
        <f ca="1">W816*'Expenditure Study'!$B$31</f>
        <v>0</v>
      </c>
      <c r="AA816" s="195">
        <f t="shared" ca="1" si="176"/>
        <v>0</v>
      </c>
      <c r="AB816" s="195">
        <f t="shared" ca="1" si="177"/>
        <v>0</v>
      </c>
      <c r="AD816" s="196">
        <f>IFERROR($G816/SUMIF($A:$A,$A816,$G:$G)*SUMIF(Summary!$A$166:$A$242,$A816,Summary!$P$166:$P$242),0)</f>
        <v>0</v>
      </c>
      <c r="AE816" s="197">
        <f t="shared" ca="1" si="178"/>
        <v>0</v>
      </c>
      <c r="AF816" s="196">
        <f>IFERROR(G816/SUMIF(A:A,A816,G:G)*SUMIF(Summary!$A$166:$A$242,'Operations Support'!A816,Summary!$Q$166:$Q$242),0)</f>
        <v>0</v>
      </c>
      <c r="AG816" s="196">
        <f t="shared" ca="1" si="179"/>
        <v>0</v>
      </c>
      <c r="AI816" s="196">
        <f>IFERROR($G816/SUMIF($A:$A,$A816,$G:$G)*SUMIF(Summary!$A$247:$A$283,$A816,Summary!$P$247:$P$283),0)</f>
        <v>0</v>
      </c>
      <c r="AJ816" s="196">
        <f>IFERROR($G816/SUMIF($A:$A,$A816,$G:$G)*(SUMIF(Summary!$A$247:$A$283,$A816,Summary!$L$247:$L$283)+SUMIF(Summary!$A$297:$A$333,$A816,Summary!$L$297:$L$333))-AI816,0)</f>
        <v>0</v>
      </c>
      <c r="AK816" s="196">
        <f>IFERROR($G816/SUMIF($A:$A,$A816,$G:$G)*SUMIF(Summary!$A$247:$A$283,$A816,Summary!$Q$247:$Q$283),0)</f>
        <v>0</v>
      </c>
      <c r="AL816" s="196">
        <f>IFERROR($G816/SUMIF($A:$A,$A816,$G:$G)*(SUMIF(Summary!$A$247:$A$283,$A816,Summary!$L$247:$L$283)+SUMIF(Summary!$A$297:$A$333,$A816,Summary!$L$297:$L$333))-AK816,0)</f>
        <v>0</v>
      </c>
      <c r="AM816" s="198"/>
      <c r="AN816" s="196">
        <f t="shared" ca="1" si="180"/>
        <v>0</v>
      </c>
      <c r="AO816" s="196">
        <f t="shared" ca="1" si="181"/>
        <v>0</v>
      </c>
    </row>
    <row r="817" spans="1:41">
      <c r="A817" s="189">
        <v>3606</v>
      </c>
      <c r="B817" s="203">
        <v>4</v>
      </c>
      <c r="C817" s="191" t="s">
        <v>234</v>
      </c>
      <c r="D817" s="192">
        <f t="shared" si="168"/>
        <v>0</v>
      </c>
      <c r="E817" s="192">
        <f t="shared" si="169"/>
        <v>0</v>
      </c>
      <c r="F817" s="192">
        <f t="shared" si="170"/>
        <v>0</v>
      </c>
      <c r="G817" s="193">
        <f t="shared" si="171"/>
        <v>0</v>
      </c>
      <c r="H817" s="194">
        <v>0</v>
      </c>
      <c r="I817" s="194">
        <v>0</v>
      </c>
      <c r="J817" s="194">
        <v>0</v>
      </c>
      <c r="K817" s="193">
        <f t="shared" si="172"/>
        <v>0</v>
      </c>
      <c r="L817" s="194">
        <v>0</v>
      </c>
      <c r="M817" s="194">
        <v>0</v>
      </c>
      <c r="N817" s="194">
        <v>0</v>
      </c>
      <c r="O817" s="193">
        <f t="shared" si="173"/>
        <v>0</v>
      </c>
      <c r="P817" s="194">
        <v>0</v>
      </c>
      <c r="Q817" s="194">
        <v>0</v>
      </c>
      <c r="R817" s="194">
        <v>0</v>
      </c>
      <c r="S817" s="193">
        <f t="shared" si="174"/>
        <v>0</v>
      </c>
      <c r="T817" s="193">
        <f t="shared" si="175"/>
        <v>0</v>
      </c>
      <c r="U817" s="193">
        <f ca="1">OFFSET('Expenditure Study'!$B$7,'Operations Support'!$C817,'Operations Support'!$B817)*$G817</f>
        <v>0</v>
      </c>
      <c r="V817" s="199">
        <f ca="1">U817*'Expenditure Study'!$B$31</f>
        <v>0</v>
      </c>
      <c r="W817" s="199">
        <f ca="1">IF(A817=10298,1.51,1)*IF($B817&lt;3,$D817*'Expenditure Study'!$B$32*OFFSET('Expenditure Study'!$B$7,'Operations Support'!$C817,'Operations Support'!$B817),0)</f>
        <v>0</v>
      </c>
      <c r="X817" s="200">
        <f ca="1">W817*'Expenditure Study'!$B$31</f>
        <v>0</v>
      </c>
      <c r="Y817" s="199">
        <f ca="1">U817*'Expenditure Study'!$B$31</f>
        <v>0</v>
      </c>
      <c r="Z817" s="200">
        <f ca="1">W817*'Expenditure Study'!$B$31</f>
        <v>0</v>
      </c>
      <c r="AA817" s="195">
        <f t="shared" ca="1" si="176"/>
        <v>0</v>
      </c>
      <c r="AB817" s="195">
        <f t="shared" ca="1" si="177"/>
        <v>0</v>
      </c>
      <c r="AD817" s="196">
        <f>IFERROR($G817/SUMIF($A:$A,$A817,$G:$G)*SUMIF(Summary!$A$166:$A$242,$A817,Summary!$P$166:$P$242),0)</f>
        <v>0</v>
      </c>
      <c r="AE817" s="197">
        <f t="shared" ca="1" si="178"/>
        <v>0</v>
      </c>
      <c r="AF817" s="196">
        <f>IFERROR(G817/SUMIF(A:A,A817,G:G)*SUMIF(Summary!$A$166:$A$242,'Operations Support'!A817,Summary!$Q$166:$Q$242),0)</f>
        <v>0</v>
      </c>
      <c r="AG817" s="196">
        <f t="shared" ca="1" si="179"/>
        <v>0</v>
      </c>
      <c r="AI817" s="196">
        <f>IFERROR($G817/SUMIF($A:$A,$A817,$G:$G)*SUMIF(Summary!$A$247:$A$283,$A817,Summary!$P$247:$P$283),0)</f>
        <v>0</v>
      </c>
      <c r="AJ817" s="196">
        <f>IFERROR($G817/SUMIF($A:$A,$A817,$G:$G)*(SUMIF(Summary!$A$247:$A$283,$A817,Summary!$L$247:$L$283)+SUMIF(Summary!$A$297:$A$333,$A817,Summary!$L$297:$L$333))-AI817,0)</f>
        <v>0</v>
      </c>
      <c r="AK817" s="196">
        <f>IFERROR($G817/SUMIF($A:$A,$A817,$G:$G)*SUMIF(Summary!$A$247:$A$283,$A817,Summary!$Q$247:$Q$283),0)</f>
        <v>0</v>
      </c>
      <c r="AL817" s="196">
        <f>IFERROR($G817/SUMIF($A:$A,$A817,$G:$G)*(SUMIF(Summary!$A$247:$A$283,$A817,Summary!$L$247:$L$283)+SUMIF(Summary!$A$297:$A$333,$A817,Summary!$L$297:$L$333))-AK817,0)</f>
        <v>0</v>
      </c>
      <c r="AM817" s="198"/>
      <c r="AN817" s="196">
        <f t="shared" ca="1" si="180"/>
        <v>0</v>
      </c>
      <c r="AO817" s="196">
        <f t="shared" ca="1" si="181"/>
        <v>0</v>
      </c>
    </row>
    <row r="818" spans="1:41">
      <c r="A818" s="189">
        <v>3606</v>
      </c>
      <c r="B818" s="203">
        <v>4</v>
      </c>
      <c r="C818" s="191" t="s">
        <v>235</v>
      </c>
      <c r="D818" s="192">
        <f t="shared" si="168"/>
        <v>21</v>
      </c>
      <c r="E818" s="192">
        <f t="shared" si="169"/>
        <v>0</v>
      </c>
      <c r="F818" s="192">
        <f t="shared" si="170"/>
        <v>0</v>
      </c>
      <c r="G818" s="193">
        <f t="shared" si="171"/>
        <v>21</v>
      </c>
      <c r="H818" s="194">
        <v>21</v>
      </c>
      <c r="I818" s="194">
        <v>0</v>
      </c>
      <c r="J818" s="194">
        <v>0</v>
      </c>
      <c r="K818" s="193">
        <f t="shared" si="172"/>
        <v>21</v>
      </c>
      <c r="L818" s="194">
        <v>0</v>
      </c>
      <c r="M818" s="194">
        <v>0</v>
      </c>
      <c r="N818" s="194">
        <v>0</v>
      </c>
      <c r="O818" s="193">
        <f t="shared" si="173"/>
        <v>0</v>
      </c>
      <c r="P818" s="194">
        <v>0</v>
      </c>
      <c r="Q818" s="194">
        <v>0</v>
      </c>
      <c r="R818" s="194">
        <v>0</v>
      </c>
      <c r="S818" s="193">
        <f t="shared" si="174"/>
        <v>0</v>
      </c>
      <c r="T818" s="193">
        <f t="shared" si="175"/>
        <v>1.1666666666666667</v>
      </c>
      <c r="U818" s="193">
        <f ca="1">OFFSET('Expenditure Study'!$B$7,'Operations Support'!$C818,'Operations Support'!$B818)*$G818</f>
        <v>799.26</v>
      </c>
      <c r="V818" s="199">
        <f ca="1">U818*'Expenditure Study'!$B$31</f>
        <v>47222.823086208002</v>
      </c>
      <c r="W818" s="199">
        <f ca="1">IF(A818=10298,1.51,1)*IF($B818&lt;3,$D818*'Expenditure Study'!$B$32*OFFSET('Expenditure Study'!$B$7,'Operations Support'!$C818,'Operations Support'!$B818),0)</f>
        <v>0</v>
      </c>
      <c r="X818" s="200">
        <f ca="1">W818*'Expenditure Study'!$B$31</f>
        <v>0</v>
      </c>
      <c r="Y818" s="199">
        <f ca="1">U818*'Expenditure Study'!$B$31</f>
        <v>47222.823086208002</v>
      </c>
      <c r="Z818" s="200">
        <f ca="1">W818*'Expenditure Study'!$B$31</f>
        <v>0</v>
      </c>
      <c r="AA818" s="195">
        <f t="shared" ca="1" si="176"/>
        <v>47222.823086208002</v>
      </c>
      <c r="AB818" s="195">
        <f t="shared" ca="1" si="177"/>
        <v>47222.823086208002</v>
      </c>
      <c r="AD818" s="196">
        <f>IFERROR($G818/SUMIF($A:$A,$A818,$G:$G)*SUMIF(Summary!$A$166:$A$242,$A818,Summary!$P$166:$P$242),0)</f>
        <v>558.94520477591914</v>
      </c>
      <c r="AE818" s="197">
        <f t="shared" ca="1" si="178"/>
        <v>46663.877881432083</v>
      </c>
      <c r="AF818" s="196">
        <f>IFERROR(G818/SUMIF(A:A,A818,G:G)*SUMIF(Summary!$A$166:$A$242,'Operations Support'!A818,Summary!$Q$166:$Q$242),0)</f>
        <v>560.19919857208231</v>
      </c>
      <c r="AG818" s="196">
        <f t="shared" ca="1" si="179"/>
        <v>46662.62388763592</v>
      </c>
      <c r="AI818" s="196">
        <f>IFERROR($G818/SUMIF($A:$A,$A818,$G:$G)*SUMIF(Summary!$A$247:$A$283,$A818,Summary!$P$247:$P$283),0)</f>
        <v>101.93765702902402</v>
      </c>
      <c r="AJ818" s="196">
        <f>IFERROR($G818/SUMIF($A:$A,$A818,$G:$G)*(SUMIF(Summary!$A$247:$A$283,$A818,Summary!$L$247:$L$283)+SUMIF(Summary!$A$297:$A$333,$A818,Summary!$L$297:$L$333))-AI818,0)</f>
        <v>348.3650786394951</v>
      </c>
      <c r="AK818" s="196">
        <f>IFERROR($G818/SUMIF($A:$A,$A818,$G:$G)*SUMIF(Summary!$A$247:$A$283,$A818,Summary!$Q$247:$Q$283),0)</f>
        <v>102.16635420437782</v>
      </c>
      <c r="AL818" s="196">
        <f>IFERROR($G818/SUMIF($A:$A,$A818,$G:$G)*(SUMIF(Summary!$A$247:$A$283,$A818,Summary!$L$247:$L$283)+SUMIF(Summary!$A$297:$A$333,$A818,Summary!$L$297:$L$333))-AK818,0)</f>
        <v>348.13638146414132</v>
      </c>
      <c r="AM818" s="198"/>
      <c r="AN818" s="196">
        <f t="shared" ca="1" si="180"/>
        <v>47012.242960071577</v>
      </c>
      <c r="AO818" s="196">
        <f t="shared" ca="1" si="181"/>
        <v>47010.760269100065</v>
      </c>
    </row>
    <row r="819" spans="1:41">
      <c r="A819" s="189">
        <v>3606</v>
      </c>
      <c r="B819" s="203">
        <v>4</v>
      </c>
      <c r="C819" s="191" t="s">
        <v>236</v>
      </c>
      <c r="D819" s="192">
        <f t="shared" si="168"/>
        <v>0</v>
      </c>
      <c r="E819" s="192">
        <f t="shared" si="169"/>
        <v>0</v>
      </c>
      <c r="F819" s="192">
        <f t="shared" si="170"/>
        <v>0</v>
      </c>
      <c r="G819" s="193">
        <f t="shared" si="171"/>
        <v>0</v>
      </c>
      <c r="H819" s="194">
        <v>0</v>
      </c>
      <c r="I819" s="194">
        <v>0</v>
      </c>
      <c r="J819" s="194">
        <v>0</v>
      </c>
      <c r="K819" s="193">
        <f t="shared" si="172"/>
        <v>0</v>
      </c>
      <c r="L819" s="194">
        <v>0</v>
      </c>
      <c r="M819" s="194">
        <v>0</v>
      </c>
      <c r="N819" s="194">
        <v>0</v>
      </c>
      <c r="O819" s="193">
        <f t="shared" si="173"/>
        <v>0</v>
      </c>
      <c r="P819" s="194">
        <v>0</v>
      </c>
      <c r="Q819" s="194">
        <v>0</v>
      </c>
      <c r="R819" s="194">
        <v>0</v>
      </c>
      <c r="S819" s="193">
        <f t="shared" si="174"/>
        <v>0</v>
      </c>
      <c r="T819" s="193">
        <f t="shared" si="175"/>
        <v>0</v>
      </c>
      <c r="U819" s="193">
        <f ca="1">OFFSET('Expenditure Study'!$B$7,'Operations Support'!$C819,'Operations Support'!$B819)*$G819</f>
        <v>0</v>
      </c>
      <c r="V819" s="199">
        <f ca="1">U819*'Expenditure Study'!$B$31</f>
        <v>0</v>
      </c>
      <c r="W819" s="199">
        <f ca="1">IF(A819=10298,1.51,1)*IF($B819&lt;3,$D819*'Expenditure Study'!$B$32*OFFSET('Expenditure Study'!$B$7,'Operations Support'!$C819,'Operations Support'!$B819),0)</f>
        <v>0</v>
      </c>
      <c r="X819" s="200">
        <f ca="1">W819*'Expenditure Study'!$B$31</f>
        <v>0</v>
      </c>
      <c r="Y819" s="199">
        <f ca="1">U819*'Expenditure Study'!$B$31</f>
        <v>0</v>
      </c>
      <c r="Z819" s="200">
        <f ca="1">W819*'Expenditure Study'!$B$31</f>
        <v>0</v>
      </c>
      <c r="AA819" s="195">
        <f t="shared" ca="1" si="176"/>
        <v>0</v>
      </c>
      <c r="AB819" s="195">
        <f t="shared" ca="1" si="177"/>
        <v>0</v>
      </c>
      <c r="AD819" s="196">
        <f>IFERROR($G819/SUMIF($A:$A,$A819,$G:$G)*SUMIF(Summary!$A$166:$A$242,$A819,Summary!$P$166:$P$242),0)</f>
        <v>0</v>
      </c>
      <c r="AE819" s="197">
        <f t="shared" ca="1" si="178"/>
        <v>0</v>
      </c>
      <c r="AF819" s="196">
        <f>IFERROR(G819/SUMIF(A:A,A819,G:G)*SUMIF(Summary!$A$166:$A$242,'Operations Support'!A819,Summary!$Q$166:$Q$242),0)</f>
        <v>0</v>
      </c>
      <c r="AG819" s="196">
        <f t="shared" ca="1" si="179"/>
        <v>0</v>
      </c>
      <c r="AI819" s="196">
        <f>IFERROR($G819/SUMIF($A:$A,$A819,$G:$G)*SUMIF(Summary!$A$247:$A$283,$A819,Summary!$P$247:$P$283),0)</f>
        <v>0</v>
      </c>
      <c r="AJ819" s="196">
        <f>IFERROR($G819/SUMIF($A:$A,$A819,$G:$G)*(SUMIF(Summary!$A$247:$A$283,$A819,Summary!$L$247:$L$283)+SUMIF(Summary!$A$297:$A$333,$A819,Summary!$L$297:$L$333))-AI819,0)</f>
        <v>0</v>
      </c>
      <c r="AK819" s="196">
        <f>IFERROR($G819/SUMIF($A:$A,$A819,$G:$G)*SUMIF(Summary!$A$247:$A$283,$A819,Summary!$Q$247:$Q$283),0)</f>
        <v>0</v>
      </c>
      <c r="AL819" s="196">
        <f>IFERROR($G819/SUMIF($A:$A,$A819,$G:$G)*(SUMIF(Summary!$A$247:$A$283,$A819,Summary!$L$247:$L$283)+SUMIF(Summary!$A$297:$A$333,$A819,Summary!$L$297:$L$333))-AK819,0)</f>
        <v>0</v>
      </c>
      <c r="AM819" s="198"/>
      <c r="AN819" s="196">
        <f t="shared" ca="1" si="180"/>
        <v>0</v>
      </c>
      <c r="AO819" s="196">
        <f t="shared" ca="1" si="181"/>
        <v>0</v>
      </c>
    </row>
    <row r="820" spans="1:41">
      <c r="A820" s="189">
        <v>3606</v>
      </c>
      <c r="B820" s="203">
        <v>4</v>
      </c>
      <c r="C820" s="191" t="s">
        <v>237</v>
      </c>
      <c r="D820" s="192">
        <f t="shared" si="168"/>
        <v>0</v>
      </c>
      <c r="E820" s="192">
        <f t="shared" si="169"/>
        <v>0</v>
      </c>
      <c r="F820" s="192">
        <f t="shared" si="170"/>
        <v>0</v>
      </c>
      <c r="G820" s="193">
        <f t="shared" si="171"/>
        <v>0</v>
      </c>
      <c r="H820" s="194">
        <v>0</v>
      </c>
      <c r="I820" s="194">
        <v>0</v>
      </c>
      <c r="J820" s="194">
        <v>0</v>
      </c>
      <c r="K820" s="193">
        <f t="shared" si="172"/>
        <v>0</v>
      </c>
      <c r="L820" s="194">
        <v>0</v>
      </c>
      <c r="M820" s="194">
        <v>0</v>
      </c>
      <c r="N820" s="194">
        <v>0</v>
      </c>
      <c r="O820" s="193">
        <f t="shared" si="173"/>
        <v>0</v>
      </c>
      <c r="P820" s="194">
        <v>0</v>
      </c>
      <c r="Q820" s="194">
        <v>0</v>
      </c>
      <c r="R820" s="194">
        <v>0</v>
      </c>
      <c r="S820" s="193">
        <f t="shared" si="174"/>
        <v>0</v>
      </c>
      <c r="T820" s="193">
        <f t="shared" si="175"/>
        <v>0</v>
      </c>
      <c r="U820" s="193">
        <f ca="1">OFFSET('Expenditure Study'!$B$7,'Operations Support'!$C820,'Operations Support'!$B820)*$G820</f>
        <v>0</v>
      </c>
      <c r="V820" s="199">
        <f ca="1">U820*'Expenditure Study'!$B$31</f>
        <v>0</v>
      </c>
      <c r="W820" s="199">
        <f ca="1">IF(A820=10298,1.51,1)*IF($B820&lt;3,$D820*'Expenditure Study'!$B$32*OFFSET('Expenditure Study'!$B$7,'Operations Support'!$C820,'Operations Support'!$B820),0)</f>
        <v>0</v>
      </c>
      <c r="X820" s="200">
        <f ca="1">W820*'Expenditure Study'!$B$31</f>
        <v>0</v>
      </c>
      <c r="Y820" s="199">
        <f ca="1">U820*'Expenditure Study'!$B$31</f>
        <v>0</v>
      </c>
      <c r="Z820" s="200">
        <f ca="1">W820*'Expenditure Study'!$B$31</f>
        <v>0</v>
      </c>
      <c r="AA820" s="195">
        <f t="shared" ca="1" si="176"/>
        <v>0</v>
      </c>
      <c r="AB820" s="195">
        <f t="shared" ca="1" si="177"/>
        <v>0</v>
      </c>
      <c r="AD820" s="196">
        <f>IFERROR($G820/SUMIF($A:$A,$A820,$G:$G)*SUMIF(Summary!$A$166:$A$242,$A820,Summary!$P$166:$P$242),0)</f>
        <v>0</v>
      </c>
      <c r="AE820" s="197">
        <f t="shared" ca="1" si="178"/>
        <v>0</v>
      </c>
      <c r="AF820" s="196">
        <f>IFERROR(G820/SUMIF(A:A,A820,G:G)*SUMIF(Summary!$A$166:$A$242,'Operations Support'!A820,Summary!$Q$166:$Q$242),0)</f>
        <v>0</v>
      </c>
      <c r="AG820" s="196">
        <f t="shared" ca="1" si="179"/>
        <v>0</v>
      </c>
      <c r="AI820" s="196">
        <f>IFERROR($G820/SUMIF($A:$A,$A820,$G:$G)*SUMIF(Summary!$A$247:$A$283,$A820,Summary!$P$247:$P$283),0)</f>
        <v>0</v>
      </c>
      <c r="AJ820" s="196">
        <f>IFERROR($G820/SUMIF($A:$A,$A820,$G:$G)*(SUMIF(Summary!$A$247:$A$283,$A820,Summary!$L$247:$L$283)+SUMIF(Summary!$A$297:$A$333,$A820,Summary!$L$297:$L$333))-AI820,0)</f>
        <v>0</v>
      </c>
      <c r="AK820" s="196">
        <f>IFERROR($G820/SUMIF($A:$A,$A820,$G:$G)*SUMIF(Summary!$A$247:$A$283,$A820,Summary!$Q$247:$Q$283),0)</f>
        <v>0</v>
      </c>
      <c r="AL820" s="196">
        <f>IFERROR($G820/SUMIF($A:$A,$A820,$G:$G)*(SUMIF(Summary!$A$247:$A$283,$A820,Summary!$L$247:$L$283)+SUMIF(Summary!$A$297:$A$333,$A820,Summary!$L$297:$L$333))-AK820,0)</f>
        <v>0</v>
      </c>
      <c r="AM820" s="198"/>
      <c r="AN820" s="196">
        <f t="shared" ca="1" si="180"/>
        <v>0</v>
      </c>
      <c r="AO820" s="196">
        <f t="shared" ca="1" si="181"/>
        <v>0</v>
      </c>
    </row>
    <row r="821" spans="1:41">
      <c r="A821" s="189">
        <v>3606</v>
      </c>
      <c r="B821" s="203">
        <v>4</v>
      </c>
      <c r="C821" s="191" t="s">
        <v>238</v>
      </c>
      <c r="D821" s="192">
        <f t="shared" si="168"/>
        <v>209</v>
      </c>
      <c r="E821" s="192">
        <f t="shared" si="169"/>
        <v>0</v>
      </c>
      <c r="F821" s="192">
        <f t="shared" si="170"/>
        <v>0</v>
      </c>
      <c r="G821" s="193">
        <f t="shared" si="171"/>
        <v>209</v>
      </c>
      <c r="H821" s="194">
        <v>81</v>
      </c>
      <c r="I821" s="194">
        <v>0</v>
      </c>
      <c r="J821" s="194">
        <v>0</v>
      </c>
      <c r="K821" s="193">
        <f t="shared" si="172"/>
        <v>81</v>
      </c>
      <c r="L821" s="194">
        <v>93</v>
      </c>
      <c r="M821" s="194">
        <v>0</v>
      </c>
      <c r="N821" s="194">
        <v>0</v>
      </c>
      <c r="O821" s="193">
        <f t="shared" si="173"/>
        <v>93</v>
      </c>
      <c r="P821" s="194">
        <v>35</v>
      </c>
      <c r="Q821" s="194">
        <v>0</v>
      </c>
      <c r="R821" s="194">
        <v>0</v>
      </c>
      <c r="S821" s="193">
        <f t="shared" si="174"/>
        <v>35</v>
      </c>
      <c r="T821" s="193">
        <f t="shared" si="175"/>
        <v>11.611111111111111</v>
      </c>
      <c r="U821" s="193">
        <f ca="1">OFFSET('Expenditure Study'!$B$7,'Operations Support'!$C821,'Operations Support'!$B821)*$G821</f>
        <v>3295.93</v>
      </c>
      <c r="V821" s="199">
        <f ca="1">U821*'Expenditure Study'!$B$31</f>
        <v>194734.02809414399</v>
      </c>
      <c r="W821" s="199">
        <f ca="1">IF(A821=10298,1.51,1)*IF($B821&lt;3,$D821*'Expenditure Study'!$B$32*OFFSET('Expenditure Study'!$B$7,'Operations Support'!$C821,'Operations Support'!$B821),0)</f>
        <v>0</v>
      </c>
      <c r="X821" s="200">
        <f ca="1">W821*'Expenditure Study'!$B$31</f>
        <v>0</v>
      </c>
      <c r="Y821" s="199">
        <f ca="1">U821*'Expenditure Study'!$B$31</f>
        <v>194734.02809414399</v>
      </c>
      <c r="Z821" s="200">
        <f ca="1">W821*'Expenditure Study'!$B$31</f>
        <v>0</v>
      </c>
      <c r="AA821" s="195">
        <f t="shared" ca="1" si="176"/>
        <v>194734.02809414399</v>
      </c>
      <c r="AB821" s="195">
        <f t="shared" ca="1" si="177"/>
        <v>194734.02809414399</v>
      </c>
      <c r="AD821" s="196">
        <f>IFERROR($G821/SUMIF($A:$A,$A821,$G:$G)*SUMIF(Summary!$A$166:$A$242,$A821,Summary!$P$166:$P$242),0)</f>
        <v>5562.835609436529</v>
      </c>
      <c r="AE821" s="197">
        <f t="shared" ca="1" si="178"/>
        <v>189171.19248470746</v>
      </c>
      <c r="AF821" s="196">
        <f>IFERROR(G821/SUMIF(A:A,A821,G:G)*SUMIF(Summary!$A$166:$A$242,'Operations Support'!A821,Summary!$Q$166:$Q$242),0)</f>
        <v>5575.3158334078671</v>
      </c>
      <c r="AG821" s="196">
        <f t="shared" ca="1" si="179"/>
        <v>189158.71226073612</v>
      </c>
      <c r="AI821" s="196">
        <f>IFERROR($G821/SUMIF($A:$A,$A821,$G:$G)*SUMIF(Summary!$A$247:$A$283,$A821,Summary!$P$247:$P$283),0)</f>
        <v>1014.522396146001</v>
      </c>
      <c r="AJ821" s="196">
        <f>IFERROR($G821/SUMIF($A:$A,$A821,$G:$G)*(SUMIF(Summary!$A$247:$A$283,$A821,Summary!$L$247:$L$283)+SUMIF(Summary!$A$297:$A$333,$A821,Summary!$L$297:$L$333))-AI821,0)</f>
        <v>3467.0619731264037</v>
      </c>
      <c r="AK821" s="196">
        <f>IFERROR($G821/SUMIF($A:$A,$A821,$G:$G)*SUMIF(Summary!$A$247:$A$283,$A821,Summary!$Q$247:$Q$283),0)</f>
        <v>1016.7984775578556</v>
      </c>
      <c r="AL821" s="196">
        <f>IFERROR($G821/SUMIF($A:$A,$A821,$G:$G)*(SUMIF(Summary!$A$247:$A$283,$A821,Summary!$L$247:$L$283)+SUMIF(Summary!$A$297:$A$333,$A821,Summary!$L$297:$L$333))-AK821,0)</f>
        <v>3464.7858917145491</v>
      </c>
      <c r="AM821" s="198"/>
      <c r="AN821" s="196">
        <f t="shared" ca="1" si="180"/>
        <v>192638.25445783386</v>
      </c>
      <c r="AO821" s="196">
        <f t="shared" ca="1" si="181"/>
        <v>192623.49815245066</v>
      </c>
    </row>
    <row r="822" spans="1:41">
      <c r="A822" s="189">
        <v>3606</v>
      </c>
      <c r="B822" s="203">
        <v>4</v>
      </c>
      <c r="C822" s="191" t="s">
        <v>239</v>
      </c>
      <c r="D822" s="192">
        <f t="shared" si="168"/>
        <v>0</v>
      </c>
      <c r="E822" s="192">
        <f t="shared" si="169"/>
        <v>0</v>
      </c>
      <c r="F822" s="192">
        <f t="shared" si="170"/>
        <v>0</v>
      </c>
      <c r="G822" s="193">
        <f t="shared" si="171"/>
        <v>0</v>
      </c>
      <c r="H822" s="194">
        <v>0</v>
      </c>
      <c r="I822" s="194">
        <v>0</v>
      </c>
      <c r="J822" s="194">
        <v>0</v>
      </c>
      <c r="K822" s="193">
        <f t="shared" si="172"/>
        <v>0</v>
      </c>
      <c r="L822" s="194">
        <v>0</v>
      </c>
      <c r="M822" s="194">
        <v>0</v>
      </c>
      <c r="N822" s="194">
        <v>0</v>
      </c>
      <c r="O822" s="193">
        <f t="shared" si="173"/>
        <v>0</v>
      </c>
      <c r="P822" s="194">
        <v>0</v>
      </c>
      <c r="Q822" s="194">
        <v>0</v>
      </c>
      <c r="R822" s="194">
        <v>0</v>
      </c>
      <c r="S822" s="193">
        <f t="shared" si="174"/>
        <v>0</v>
      </c>
      <c r="T822" s="193">
        <f t="shared" si="175"/>
        <v>0</v>
      </c>
      <c r="U822" s="193">
        <f ca="1">OFFSET('Expenditure Study'!$B$7,'Operations Support'!$C822,'Operations Support'!$B822)*$G822</f>
        <v>0</v>
      </c>
      <c r="V822" s="199">
        <f ca="1">U822*'Expenditure Study'!$B$31</f>
        <v>0</v>
      </c>
      <c r="W822" s="199">
        <f ca="1">IF(A822=10298,1.51,1)*IF($B822&lt;3,$D822*'Expenditure Study'!$B$32*OFFSET('Expenditure Study'!$B$7,'Operations Support'!$C822,'Operations Support'!$B822),0)</f>
        <v>0</v>
      </c>
      <c r="X822" s="200">
        <f ca="1">W822*'Expenditure Study'!$B$31</f>
        <v>0</v>
      </c>
      <c r="Y822" s="199">
        <f ca="1">U822*'Expenditure Study'!$B$31</f>
        <v>0</v>
      </c>
      <c r="Z822" s="200">
        <f ca="1">W822*'Expenditure Study'!$B$31</f>
        <v>0</v>
      </c>
      <c r="AA822" s="195">
        <f t="shared" ca="1" si="176"/>
        <v>0</v>
      </c>
      <c r="AB822" s="195">
        <f t="shared" ca="1" si="177"/>
        <v>0</v>
      </c>
      <c r="AD822" s="196">
        <f>IFERROR($G822/SUMIF($A:$A,$A822,$G:$G)*SUMIF(Summary!$A$166:$A$242,$A822,Summary!$P$166:$P$242),0)</f>
        <v>0</v>
      </c>
      <c r="AE822" s="197">
        <f t="shared" ca="1" si="178"/>
        <v>0</v>
      </c>
      <c r="AF822" s="196">
        <f>IFERROR(G822/SUMIF(A:A,A822,G:G)*SUMIF(Summary!$A$166:$A$242,'Operations Support'!A822,Summary!$Q$166:$Q$242),0)</f>
        <v>0</v>
      </c>
      <c r="AG822" s="196">
        <f t="shared" ca="1" si="179"/>
        <v>0</v>
      </c>
      <c r="AI822" s="196">
        <f>IFERROR($G822/SUMIF($A:$A,$A822,$G:$G)*SUMIF(Summary!$A$247:$A$283,$A822,Summary!$P$247:$P$283),0)</f>
        <v>0</v>
      </c>
      <c r="AJ822" s="196">
        <f>IFERROR($G822/SUMIF($A:$A,$A822,$G:$G)*(SUMIF(Summary!$A$247:$A$283,$A822,Summary!$L$247:$L$283)+SUMIF(Summary!$A$297:$A$333,$A822,Summary!$L$297:$L$333))-AI822,0)</f>
        <v>0</v>
      </c>
      <c r="AK822" s="196">
        <f>IFERROR($G822/SUMIF($A:$A,$A822,$G:$G)*SUMIF(Summary!$A$247:$A$283,$A822,Summary!$Q$247:$Q$283),0)</f>
        <v>0</v>
      </c>
      <c r="AL822" s="196">
        <f>IFERROR($G822/SUMIF($A:$A,$A822,$G:$G)*(SUMIF(Summary!$A$247:$A$283,$A822,Summary!$L$247:$L$283)+SUMIF(Summary!$A$297:$A$333,$A822,Summary!$L$297:$L$333))-AK822,0)</f>
        <v>0</v>
      </c>
      <c r="AM822" s="198"/>
      <c r="AN822" s="196">
        <f t="shared" ca="1" si="180"/>
        <v>0</v>
      </c>
      <c r="AO822" s="196">
        <f t="shared" ca="1" si="181"/>
        <v>0</v>
      </c>
    </row>
    <row r="823" spans="1:41">
      <c r="A823" s="189">
        <v>3606</v>
      </c>
      <c r="B823" s="203">
        <v>4</v>
      </c>
      <c r="C823" s="191" t="s">
        <v>240</v>
      </c>
      <c r="D823" s="192">
        <f t="shared" si="168"/>
        <v>0</v>
      </c>
      <c r="E823" s="192">
        <f t="shared" si="169"/>
        <v>0</v>
      </c>
      <c r="F823" s="192">
        <f t="shared" si="170"/>
        <v>0</v>
      </c>
      <c r="G823" s="193">
        <f t="shared" si="171"/>
        <v>0</v>
      </c>
      <c r="H823" s="194">
        <v>0</v>
      </c>
      <c r="I823" s="194">
        <v>0</v>
      </c>
      <c r="J823" s="194">
        <v>0</v>
      </c>
      <c r="K823" s="193">
        <f t="shared" si="172"/>
        <v>0</v>
      </c>
      <c r="L823" s="194">
        <v>0</v>
      </c>
      <c r="M823" s="194">
        <v>0</v>
      </c>
      <c r="N823" s="194">
        <v>0</v>
      </c>
      <c r="O823" s="193">
        <f t="shared" si="173"/>
        <v>0</v>
      </c>
      <c r="P823" s="194">
        <v>0</v>
      </c>
      <c r="Q823" s="194">
        <v>0</v>
      </c>
      <c r="R823" s="194">
        <v>0</v>
      </c>
      <c r="S823" s="193">
        <f t="shared" si="174"/>
        <v>0</v>
      </c>
      <c r="T823" s="193">
        <f t="shared" si="175"/>
        <v>0</v>
      </c>
      <c r="U823" s="193">
        <f ca="1">OFFSET('Expenditure Study'!$B$7,'Operations Support'!$C823,'Operations Support'!$B823)*$G823</f>
        <v>0</v>
      </c>
      <c r="V823" s="199">
        <f ca="1">U823*'Expenditure Study'!$B$31</f>
        <v>0</v>
      </c>
      <c r="W823" s="199">
        <f ca="1">IF(A823=10298,1.51,1)*IF($B823&lt;3,$D823*'Expenditure Study'!$B$32*OFFSET('Expenditure Study'!$B$7,'Operations Support'!$C823,'Operations Support'!$B823),0)</f>
        <v>0</v>
      </c>
      <c r="X823" s="200">
        <f ca="1">W823*'Expenditure Study'!$B$31</f>
        <v>0</v>
      </c>
      <c r="Y823" s="199">
        <f ca="1">U823*'Expenditure Study'!$B$31</f>
        <v>0</v>
      </c>
      <c r="Z823" s="200">
        <f ca="1">W823*'Expenditure Study'!$B$31</f>
        <v>0</v>
      </c>
      <c r="AA823" s="195">
        <f t="shared" ca="1" si="176"/>
        <v>0</v>
      </c>
      <c r="AB823" s="195">
        <f t="shared" ca="1" si="177"/>
        <v>0</v>
      </c>
      <c r="AD823" s="196">
        <f>IFERROR($G823/SUMIF($A:$A,$A823,$G:$G)*SUMIF(Summary!$A$166:$A$242,$A823,Summary!$P$166:$P$242),0)</f>
        <v>0</v>
      </c>
      <c r="AE823" s="197">
        <f t="shared" ca="1" si="178"/>
        <v>0</v>
      </c>
      <c r="AF823" s="196">
        <f>IFERROR(G823/SUMIF(A:A,A823,G:G)*SUMIF(Summary!$A$166:$A$242,'Operations Support'!A823,Summary!$Q$166:$Q$242),0)</f>
        <v>0</v>
      </c>
      <c r="AG823" s="196">
        <f t="shared" ca="1" si="179"/>
        <v>0</v>
      </c>
      <c r="AI823" s="196">
        <f>IFERROR($G823/SUMIF($A:$A,$A823,$G:$G)*SUMIF(Summary!$A$247:$A$283,$A823,Summary!$P$247:$P$283),0)</f>
        <v>0</v>
      </c>
      <c r="AJ823" s="196">
        <f>IFERROR($G823/SUMIF($A:$A,$A823,$G:$G)*(SUMIF(Summary!$A$247:$A$283,$A823,Summary!$L$247:$L$283)+SUMIF(Summary!$A$297:$A$333,$A823,Summary!$L$297:$L$333))-AI823,0)</f>
        <v>0</v>
      </c>
      <c r="AK823" s="196">
        <f>IFERROR($G823/SUMIF($A:$A,$A823,$G:$G)*SUMIF(Summary!$A$247:$A$283,$A823,Summary!$Q$247:$Q$283),0)</f>
        <v>0</v>
      </c>
      <c r="AL823" s="196">
        <f>IFERROR($G823/SUMIF($A:$A,$A823,$G:$G)*(SUMIF(Summary!$A$247:$A$283,$A823,Summary!$L$247:$L$283)+SUMIF(Summary!$A$297:$A$333,$A823,Summary!$L$297:$L$333))-AK823,0)</f>
        <v>0</v>
      </c>
      <c r="AM823" s="198"/>
      <c r="AN823" s="196">
        <f t="shared" ca="1" si="180"/>
        <v>0</v>
      </c>
      <c r="AO823" s="196">
        <f t="shared" ca="1" si="181"/>
        <v>0</v>
      </c>
    </row>
    <row r="824" spans="1:41">
      <c r="A824" s="189">
        <v>3606</v>
      </c>
      <c r="B824" s="203">
        <v>5</v>
      </c>
      <c r="C824" s="191" t="s">
        <v>220</v>
      </c>
      <c r="D824" s="192">
        <f t="shared" si="168"/>
        <v>0</v>
      </c>
      <c r="E824" s="192">
        <f t="shared" si="169"/>
        <v>0</v>
      </c>
      <c r="F824" s="192">
        <f t="shared" si="170"/>
        <v>0</v>
      </c>
      <c r="G824" s="193">
        <f t="shared" si="171"/>
        <v>0</v>
      </c>
      <c r="H824" s="194">
        <v>0</v>
      </c>
      <c r="I824" s="194">
        <v>0</v>
      </c>
      <c r="J824" s="194">
        <v>0</v>
      </c>
      <c r="K824" s="193">
        <f t="shared" si="172"/>
        <v>0</v>
      </c>
      <c r="L824" s="194">
        <v>0</v>
      </c>
      <c r="M824" s="194">
        <v>0</v>
      </c>
      <c r="N824" s="194">
        <v>0</v>
      </c>
      <c r="O824" s="193">
        <f t="shared" si="173"/>
        <v>0</v>
      </c>
      <c r="P824" s="194">
        <v>0</v>
      </c>
      <c r="Q824" s="194">
        <v>0</v>
      </c>
      <c r="R824" s="194">
        <v>0</v>
      </c>
      <c r="S824" s="193">
        <f t="shared" si="174"/>
        <v>0</v>
      </c>
      <c r="T824" s="193">
        <f t="shared" si="175"/>
        <v>0</v>
      </c>
      <c r="U824" s="193">
        <f ca="1">OFFSET('Expenditure Study'!$B$7,'Operations Support'!$C824,'Operations Support'!$B824)*$G824</f>
        <v>0</v>
      </c>
      <c r="V824" s="199">
        <f ca="1">U824*'Expenditure Study'!$B$31</f>
        <v>0</v>
      </c>
      <c r="W824" s="199">
        <f ca="1">IF(A824=10298,1.51,1)*IF($B824&lt;3,$D824*'Expenditure Study'!$B$32*OFFSET('Expenditure Study'!$B$7,'Operations Support'!$C824,'Operations Support'!$B824),0)</f>
        <v>0</v>
      </c>
      <c r="X824" s="200">
        <f ca="1">W824*'Expenditure Study'!$B$31</f>
        <v>0</v>
      </c>
      <c r="Y824" s="199">
        <f ca="1">U824*'Expenditure Study'!$B$31</f>
        <v>0</v>
      </c>
      <c r="Z824" s="200">
        <f ca="1">W824*'Expenditure Study'!$B$31</f>
        <v>0</v>
      </c>
      <c r="AA824" s="195">
        <f t="shared" ca="1" si="176"/>
        <v>0</v>
      </c>
      <c r="AB824" s="195">
        <f t="shared" ca="1" si="177"/>
        <v>0</v>
      </c>
      <c r="AD824" s="196">
        <f>IFERROR($G824/SUMIF($A:$A,$A824,$G:$G)*SUMIF(Summary!$A$166:$A$242,$A824,Summary!$P$166:$P$242),0)</f>
        <v>0</v>
      </c>
      <c r="AE824" s="197">
        <f t="shared" ca="1" si="178"/>
        <v>0</v>
      </c>
      <c r="AF824" s="196">
        <f>IFERROR(G824/SUMIF(A:A,A824,G:G)*SUMIF(Summary!$A$166:$A$242,'Operations Support'!A824,Summary!$Q$166:$Q$242),0)</f>
        <v>0</v>
      </c>
      <c r="AG824" s="196">
        <f t="shared" ca="1" si="179"/>
        <v>0</v>
      </c>
      <c r="AI824" s="196">
        <f>IFERROR($G824/SUMIF($A:$A,$A824,$G:$G)*SUMIF(Summary!$A$247:$A$283,$A824,Summary!$P$247:$P$283),0)</f>
        <v>0</v>
      </c>
      <c r="AJ824" s="196">
        <f>IFERROR($G824/SUMIF($A:$A,$A824,$G:$G)*(SUMIF(Summary!$A$247:$A$283,$A824,Summary!$L$247:$L$283)+SUMIF(Summary!$A$297:$A$333,$A824,Summary!$L$297:$L$333))-AI824,0)</f>
        <v>0</v>
      </c>
      <c r="AK824" s="196">
        <f>IFERROR($G824/SUMIF($A:$A,$A824,$G:$G)*SUMIF(Summary!$A$247:$A$283,$A824,Summary!$Q$247:$Q$283),0)</f>
        <v>0</v>
      </c>
      <c r="AL824" s="196">
        <f>IFERROR($G824/SUMIF($A:$A,$A824,$G:$G)*(SUMIF(Summary!$A$247:$A$283,$A824,Summary!$L$247:$L$283)+SUMIF(Summary!$A$297:$A$333,$A824,Summary!$L$297:$L$333))-AK824,0)</f>
        <v>0</v>
      </c>
      <c r="AM824" s="198"/>
      <c r="AN824" s="196">
        <f t="shared" ca="1" si="180"/>
        <v>0</v>
      </c>
      <c r="AO824" s="196">
        <f t="shared" ca="1" si="181"/>
        <v>0</v>
      </c>
    </row>
    <row r="825" spans="1:41" s="201" customFormat="1">
      <c r="A825" s="189">
        <v>3606</v>
      </c>
      <c r="B825" s="203">
        <v>5</v>
      </c>
      <c r="C825" s="191" t="s">
        <v>221</v>
      </c>
      <c r="D825" s="192">
        <f t="shared" si="168"/>
        <v>0</v>
      </c>
      <c r="E825" s="192">
        <f t="shared" si="169"/>
        <v>0</v>
      </c>
      <c r="F825" s="192">
        <f t="shared" si="170"/>
        <v>0</v>
      </c>
      <c r="G825" s="193">
        <f t="shared" si="171"/>
        <v>0</v>
      </c>
      <c r="H825" s="194">
        <v>0</v>
      </c>
      <c r="I825" s="194">
        <v>0</v>
      </c>
      <c r="J825" s="194">
        <v>0</v>
      </c>
      <c r="K825" s="193">
        <f t="shared" si="172"/>
        <v>0</v>
      </c>
      <c r="L825" s="194">
        <v>0</v>
      </c>
      <c r="M825" s="194">
        <v>0</v>
      </c>
      <c r="N825" s="194">
        <v>0</v>
      </c>
      <c r="O825" s="193">
        <f t="shared" si="173"/>
        <v>0</v>
      </c>
      <c r="P825" s="194">
        <v>0</v>
      </c>
      <c r="Q825" s="194">
        <v>0</v>
      </c>
      <c r="R825" s="194">
        <v>0</v>
      </c>
      <c r="S825" s="193">
        <f t="shared" si="174"/>
        <v>0</v>
      </c>
      <c r="T825" s="193">
        <f t="shared" si="175"/>
        <v>0</v>
      </c>
      <c r="U825" s="193">
        <f ca="1">OFFSET('Expenditure Study'!$B$7,'Operations Support'!$C825,'Operations Support'!$B825)*$G825</f>
        <v>0</v>
      </c>
      <c r="V825" s="199">
        <f ca="1">U825*'Expenditure Study'!$B$31</f>
        <v>0</v>
      </c>
      <c r="W825" s="199">
        <f ca="1">IF(A825=10298,1.51,1)*IF($B825&lt;3,$D825*'Expenditure Study'!$B$32*OFFSET('Expenditure Study'!$B$7,'Operations Support'!$C825,'Operations Support'!$B825),0)</f>
        <v>0</v>
      </c>
      <c r="X825" s="200">
        <f ca="1">W825*'Expenditure Study'!$B$31</f>
        <v>0</v>
      </c>
      <c r="Y825" s="199">
        <f ca="1">U825*'Expenditure Study'!$B$31</f>
        <v>0</v>
      </c>
      <c r="Z825" s="200">
        <f ca="1">W825*'Expenditure Study'!$B$31</f>
        <v>0</v>
      </c>
      <c r="AA825" s="195">
        <f t="shared" ca="1" si="176"/>
        <v>0</v>
      </c>
      <c r="AB825" s="195">
        <f t="shared" ca="1" si="177"/>
        <v>0</v>
      </c>
      <c r="AD825" s="196">
        <f>IFERROR($G825/SUMIF($A:$A,$A825,$G:$G)*SUMIF(Summary!$A$166:$A$242,$A825,Summary!$P$166:$P$242),0)</f>
        <v>0</v>
      </c>
      <c r="AE825" s="197">
        <f t="shared" ca="1" si="178"/>
        <v>0</v>
      </c>
      <c r="AF825" s="196">
        <f>IFERROR(G825/SUMIF(A:A,A825,G:G)*SUMIF(Summary!$A$166:$A$242,'Operations Support'!A825,Summary!$Q$166:$Q$242),0)</f>
        <v>0</v>
      </c>
      <c r="AG825" s="196">
        <f t="shared" ca="1" si="179"/>
        <v>0</v>
      </c>
      <c r="AH825" s="180"/>
      <c r="AI825" s="196">
        <f>IFERROR($G825/SUMIF($A:$A,$A825,$G:$G)*SUMIF(Summary!$A$247:$A$283,$A825,Summary!$P$247:$P$283),0)</f>
        <v>0</v>
      </c>
      <c r="AJ825" s="196">
        <f>IFERROR($G825/SUMIF($A:$A,$A825,$G:$G)*(SUMIF(Summary!$A$247:$A$283,$A825,Summary!$L$247:$L$283)+SUMIF(Summary!$A$297:$A$333,$A825,Summary!$L$297:$L$333))-AI825,0)</f>
        <v>0</v>
      </c>
      <c r="AK825" s="196">
        <f>IFERROR($G825/SUMIF($A:$A,$A825,$G:$G)*SUMIF(Summary!$A$247:$A$283,$A825,Summary!$Q$247:$Q$283),0)</f>
        <v>0</v>
      </c>
      <c r="AL825" s="196">
        <f>IFERROR($G825/SUMIF($A:$A,$A825,$G:$G)*(SUMIF(Summary!$A$247:$A$283,$A825,Summary!$L$247:$L$283)+SUMIF(Summary!$A$297:$A$333,$A825,Summary!$L$297:$L$333))-AK825,0)</f>
        <v>0</v>
      </c>
      <c r="AM825" s="198"/>
      <c r="AN825" s="196">
        <f t="shared" ca="1" si="180"/>
        <v>0</v>
      </c>
      <c r="AO825" s="196">
        <f t="shared" ca="1" si="181"/>
        <v>0</v>
      </c>
    </row>
    <row r="826" spans="1:41">
      <c r="A826" s="189">
        <v>3606</v>
      </c>
      <c r="B826" s="203">
        <v>5</v>
      </c>
      <c r="C826" s="191" t="s">
        <v>222</v>
      </c>
      <c r="D826" s="192">
        <f t="shared" si="168"/>
        <v>0</v>
      </c>
      <c r="E826" s="192">
        <f t="shared" si="169"/>
        <v>0</v>
      </c>
      <c r="F826" s="192">
        <f t="shared" si="170"/>
        <v>0</v>
      </c>
      <c r="G826" s="193">
        <f t="shared" si="171"/>
        <v>0</v>
      </c>
      <c r="H826" s="194">
        <v>0</v>
      </c>
      <c r="I826" s="194">
        <v>0</v>
      </c>
      <c r="J826" s="194">
        <v>0</v>
      </c>
      <c r="K826" s="193">
        <f t="shared" si="172"/>
        <v>0</v>
      </c>
      <c r="L826" s="194">
        <v>0</v>
      </c>
      <c r="M826" s="194">
        <v>0</v>
      </c>
      <c r="N826" s="194">
        <v>0</v>
      </c>
      <c r="O826" s="193">
        <f t="shared" si="173"/>
        <v>0</v>
      </c>
      <c r="P826" s="194">
        <v>0</v>
      </c>
      <c r="Q826" s="194">
        <v>0</v>
      </c>
      <c r="R826" s="194">
        <v>0</v>
      </c>
      <c r="S826" s="193">
        <f t="shared" si="174"/>
        <v>0</v>
      </c>
      <c r="T826" s="193">
        <f t="shared" si="175"/>
        <v>0</v>
      </c>
      <c r="U826" s="193">
        <f ca="1">OFFSET('Expenditure Study'!$B$7,'Operations Support'!$C826,'Operations Support'!$B826)*$G826</f>
        <v>0</v>
      </c>
      <c r="V826" s="199">
        <f ca="1">U826*'Expenditure Study'!$B$31</f>
        <v>0</v>
      </c>
      <c r="W826" s="199">
        <f ca="1">IF(A826=10298,1.51,1)*IF($B826&lt;3,$D826*'Expenditure Study'!$B$32*OFFSET('Expenditure Study'!$B$7,'Operations Support'!$C826,'Operations Support'!$B826),0)</f>
        <v>0</v>
      </c>
      <c r="X826" s="200">
        <f ca="1">W826*'Expenditure Study'!$B$31</f>
        <v>0</v>
      </c>
      <c r="Y826" s="199">
        <f ca="1">U826*'Expenditure Study'!$B$31</f>
        <v>0</v>
      </c>
      <c r="Z826" s="200">
        <f ca="1">W826*'Expenditure Study'!$B$31</f>
        <v>0</v>
      </c>
      <c r="AA826" s="195">
        <f t="shared" ca="1" si="176"/>
        <v>0</v>
      </c>
      <c r="AB826" s="195">
        <f t="shared" ca="1" si="177"/>
        <v>0</v>
      </c>
      <c r="AD826" s="196">
        <f>IFERROR($G826/SUMIF($A:$A,$A826,$G:$G)*SUMIF(Summary!$A$166:$A$242,$A826,Summary!$P$166:$P$242),0)</f>
        <v>0</v>
      </c>
      <c r="AE826" s="197">
        <f t="shared" ca="1" si="178"/>
        <v>0</v>
      </c>
      <c r="AF826" s="196">
        <f>IFERROR(G826/SUMIF(A:A,A826,G:G)*SUMIF(Summary!$A$166:$A$242,'Operations Support'!A826,Summary!$Q$166:$Q$242),0)</f>
        <v>0</v>
      </c>
      <c r="AG826" s="196">
        <f t="shared" ca="1" si="179"/>
        <v>0</v>
      </c>
      <c r="AI826" s="196">
        <f>IFERROR($G826/SUMIF($A:$A,$A826,$G:$G)*SUMIF(Summary!$A$247:$A$283,$A826,Summary!$P$247:$P$283),0)</f>
        <v>0</v>
      </c>
      <c r="AJ826" s="196">
        <f>IFERROR($G826/SUMIF($A:$A,$A826,$G:$G)*(SUMIF(Summary!$A$247:$A$283,$A826,Summary!$L$247:$L$283)+SUMIF(Summary!$A$297:$A$333,$A826,Summary!$L$297:$L$333))-AI826,0)</f>
        <v>0</v>
      </c>
      <c r="AK826" s="196">
        <f>IFERROR($G826/SUMIF($A:$A,$A826,$G:$G)*SUMIF(Summary!$A$247:$A$283,$A826,Summary!$Q$247:$Q$283),0)</f>
        <v>0</v>
      </c>
      <c r="AL826" s="196">
        <f>IFERROR($G826/SUMIF($A:$A,$A826,$G:$G)*(SUMIF(Summary!$A$247:$A$283,$A826,Summary!$L$247:$L$283)+SUMIF(Summary!$A$297:$A$333,$A826,Summary!$L$297:$L$333))-AK826,0)</f>
        <v>0</v>
      </c>
      <c r="AM826" s="198"/>
      <c r="AN826" s="196">
        <f t="shared" ca="1" si="180"/>
        <v>0</v>
      </c>
      <c r="AO826" s="196">
        <f t="shared" ca="1" si="181"/>
        <v>0</v>
      </c>
    </row>
    <row r="827" spans="1:41">
      <c r="A827" s="189">
        <v>3606</v>
      </c>
      <c r="B827" s="203">
        <v>5</v>
      </c>
      <c r="C827" s="191" t="s">
        <v>223</v>
      </c>
      <c r="D827" s="192">
        <f t="shared" si="168"/>
        <v>0</v>
      </c>
      <c r="E827" s="192">
        <f t="shared" si="169"/>
        <v>0</v>
      </c>
      <c r="F827" s="192">
        <f t="shared" si="170"/>
        <v>0</v>
      </c>
      <c r="G827" s="193">
        <f t="shared" si="171"/>
        <v>0</v>
      </c>
      <c r="H827" s="194">
        <v>0</v>
      </c>
      <c r="I827" s="194">
        <v>0</v>
      </c>
      <c r="J827" s="194">
        <v>0</v>
      </c>
      <c r="K827" s="193">
        <f t="shared" si="172"/>
        <v>0</v>
      </c>
      <c r="L827" s="194">
        <v>0</v>
      </c>
      <c r="M827" s="194">
        <v>0</v>
      </c>
      <c r="N827" s="194">
        <v>0</v>
      </c>
      <c r="O827" s="193">
        <f t="shared" si="173"/>
        <v>0</v>
      </c>
      <c r="P827" s="194">
        <v>0</v>
      </c>
      <c r="Q827" s="194">
        <v>0</v>
      </c>
      <c r="R827" s="194">
        <v>0</v>
      </c>
      <c r="S827" s="193">
        <f t="shared" si="174"/>
        <v>0</v>
      </c>
      <c r="T827" s="193">
        <f t="shared" si="175"/>
        <v>0</v>
      </c>
      <c r="U827" s="193">
        <f ca="1">OFFSET('Expenditure Study'!$B$7,'Operations Support'!$C827,'Operations Support'!$B827)*$G827</f>
        <v>0</v>
      </c>
      <c r="V827" s="199">
        <f ca="1">U827*'Expenditure Study'!$B$31</f>
        <v>0</v>
      </c>
      <c r="W827" s="199">
        <f ca="1">IF(A827=10298,1.51,1)*IF($B827&lt;3,$D827*'Expenditure Study'!$B$32*OFFSET('Expenditure Study'!$B$7,'Operations Support'!$C827,'Operations Support'!$B827),0)</f>
        <v>0</v>
      </c>
      <c r="X827" s="200">
        <f ca="1">W827*'Expenditure Study'!$B$31</f>
        <v>0</v>
      </c>
      <c r="Y827" s="199">
        <f ca="1">U827*'Expenditure Study'!$B$31</f>
        <v>0</v>
      </c>
      <c r="Z827" s="200">
        <f ca="1">W827*'Expenditure Study'!$B$31</f>
        <v>0</v>
      </c>
      <c r="AA827" s="195">
        <f t="shared" ca="1" si="176"/>
        <v>0</v>
      </c>
      <c r="AB827" s="195">
        <f t="shared" ca="1" si="177"/>
        <v>0</v>
      </c>
      <c r="AD827" s="196">
        <f>IFERROR($G827/SUMIF($A:$A,$A827,$G:$G)*SUMIF(Summary!$A$166:$A$242,$A827,Summary!$P$166:$P$242),0)</f>
        <v>0</v>
      </c>
      <c r="AE827" s="197">
        <f t="shared" ca="1" si="178"/>
        <v>0</v>
      </c>
      <c r="AF827" s="196">
        <f>IFERROR(G827/SUMIF(A:A,A827,G:G)*SUMIF(Summary!$A$166:$A$242,'Operations Support'!A827,Summary!$Q$166:$Q$242),0)</f>
        <v>0</v>
      </c>
      <c r="AG827" s="196">
        <f t="shared" ca="1" si="179"/>
        <v>0</v>
      </c>
      <c r="AI827" s="196">
        <f>IFERROR($G827/SUMIF($A:$A,$A827,$G:$G)*SUMIF(Summary!$A$247:$A$283,$A827,Summary!$P$247:$P$283),0)</f>
        <v>0</v>
      </c>
      <c r="AJ827" s="196">
        <f>IFERROR($G827/SUMIF($A:$A,$A827,$G:$G)*(SUMIF(Summary!$A$247:$A$283,$A827,Summary!$L$247:$L$283)+SUMIF(Summary!$A$297:$A$333,$A827,Summary!$L$297:$L$333))-AI827,0)</f>
        <v>0</v>
      </c>
      <c r="AK827" s="196">
        <f>IFERROR($G827/SUMIF($A:$A,$A827,$G:$G)*SUMIF(Summary!$A$247:$A$283,$A827,Summary!$Q$247:$Q$283),0)</f>
        <v>0</v>
      </c>
      <c r="AL827" s="196">
        <f>IFERROR($G827/SUMIF($A:$A,$A827,$G:$G)*(SUMIF(Summary!$A$247:$A$283,$A827,Summary!$L$247:$L$283)+SUMIF(Summary!$A$297:$A$333,$A827,Summary!$L$297:$L$333))-AK827,0)</f>
        <v>0</v>
      </c>
      <c r="AM827" s="198"/>
      <c r="AN827" s="196">
        <f t="shared" ca="1" si="180"/>
        <v>0</v>
      </c>
      <c r="AO827" s="196">
        <f t="shared" ca="1" si="181"/>
        <v>0</v>
      </c>
    </row>
    <row r="828" spans="1:41">
      <c r="A828" s="189">
        <v>3606</v>
      </c>
      <c r="B828" s="203">
        <v>5</v>
      </c>
      <c r="C828" s="191" t="s">
        <v>224</v>
      </c>
      <c r="D828" s="192">
        <f t="shared" si="168"/>
        <v>0</v>
      </c>
      <c r="E828" s="192">
        <f t="shared" si="169"/>
        <v>0</v>
      </c>
      <c r="F828" s="192">
        <f t="shared" si="170"/>
        <v>0</v>
      </c>
      <c r="G828" s="193">
        <f t="shared" si="171"/>
        <v>0</v>
      </c>
      <c r="H828" s="194">
        <v>0</v>
      </c>
      <c r="I828" s="194">
        <v>0</v>
      </c>
      <c r="J828" s="194">
        <v>0</v>
      </c>
      <c r="K828" s="193">
        <f t="shared" si="172"/>
        <v>0</v>
      </c>
      <c r="L828" s="194">
        <v>0</v>
      </c>
      <c r="M828" s="194">
        <v>0</v>
      </c>
      <c r="N828" s="194">
        <v>0</v>
      </c>
      <c r="O828" s="193">
        <f t="shared" si="173"/>
        <v>0</v>
      </c>
      <c r="P828" s="194">
        <v>0</v>
      </c>
      <c r="Q828" s="194">
        <v>0</v>
      </c>
      <c r="R828" s="194">
        <v>0</v>
      </c>
      <c r="S828" s="193">
        <f t="shared" si="174"/>
        <v>0</v>
      </c>
      <c r="T828" s="193">
        <f t="shared" si="175"/>
        <v>0</v>
      </c>
      <c r="U828" s="193">
        <f ca="1">OFFSET('Expenditure Study'!$B$7,'Operations Support'!$C828,'Operations Support'!$B828)*$G828</f>
        <v>0</v>
      </c>
      <c r="V828" s="199">
        <f ca="1">U828*'Expenditure Study'!$B$31</f>
        <v>0</v>
      </c>
      <c r="W828" s="199">
        <f ca="1">IF(A828=10298,1.51,1)*IF($B828&lt;3,$D828*'Expenditure Study'!$B$32*OFFSET('Expenditure Study'!$B$7,'Operations Support'!$C828,'Operations Support'!$B828),0)</f>
        <v>0</v>
      </c>
      <c r="X828" s="200">
        <f ca="1">W828*'Expenditure Study'!$B$31</f>
        <v>0</v>
      </c>
      <c r="Y828" s="199">
        <f ca="1">U828*'Expenditure Study'!$B$31</f>
        <v>0</v>
      </c>
      <c r="Z828" s="200">
        <f ca="1">W828*'Expenditure Study'!$B$31</f>
        <v>0</v>
      </c>
      <c r="AA828" s="195">
        <f t="shared" ca="1" si="176"/>
        <v>0</v>
      </c>
      <c r="AB828" s="195">
        <f t="shared" ca="1" si="177"/>
        <v>0</v>
      </c>
      <c r="AD828" s="196">
        <f>IFERROR($G828/SUMIF($A:$A,$A828,$G:$G)*SUMIF(Summary!$A$166:$A$242,$A828,Summary!$P$166:$P$242),0)</f>
        <v>0</v>
      </c>
      <c r="AE828" s="197">
        <f t="shared" ca="1" si="178"/>
        <v>0</v>
      </c>
      <c r="AF828" s="196">
        <f>IFERROR(G828/SUMIF(A:A,A828,G:G)*SUMIF(Summary!$A$166:$A$242,'Operations Support'!A828,Summary!$Q$166:$Q$242),0)</f>
        <v>0</v>
      </c>
      <c r="AG828" s="196">
        <f t="shared" ca="1" si="179"/>
        <v>0</v>
      </c>
      <c r="AI828" s="196">
        <f>IFERROR($G828/SUMIF($A:$A,$A828,$G:$G)*SUMIF(Summary!$A$247:$A$283,$A828,Summary!$P$247:$P$283),0)</f>
        <v>0</v>
      </c>
      <c r="AJ828" s="196">
        <f>IFERROR($G828/SUMIF($A:$A,$A828,$G:$G)*(SUMIF(Summary!$A$247:$A$283,$A828,Summary!$L$247:$L$283)+SUMIF(Summary!$A$297:$A$333,$A828,Summary!$L$297:$L$333))-AI828,0)</f>
        <v>0</v>
      </c>
      <c r="AK828" s="196">
        <f>IFERROR($G828/SUMIF($A:$A,$A828,$G:$G)*SUMIF(Summary!$A$247:$A$283,$A828,Summary!$Q$247:$Q$283),0)</f>
        <v>0</v>
      </c>
      <c r="AL828" s="196">
        <f>IFERROR($G828/SUMIF($A:$A,$A828,$G:$G)*(SUMIF(Summary!$A$247:$A$283,$A828,Summary!$L$247:$L$283)+SUMIF(Summary!$A$297:$A$333,$A828,Summary!$L$297:$L$333))-AK828,0)</f>
        <v>0</v>
      </c>
      <c r="AM828" s="198"/>
      <c r="AN828" s="196">
        <f t="shared" ca="1" si="180"/>
        <v>0</v>
      </c>
      <c r="AO828" s="196">
        <f t="shared" ca="1" si="181"/>
        <v>0</v>
      </c>
    </row>
    <row r="829" spans="1:41">
      <c r="A829" s="189">
        <v>3606</v>
      </c>
      <c r="B829" s="203">
        <v>5</v>
      </c>
      <c r="C829" s="191" t="s">
        <v>225</v>
      </c>
      <c r="D829" s="192">
        <f t="shared" si="168"/>
        <v>0</v>
      </c>
      <c r="E829" s="192">
        <f t="shared" si="169"/>
        <v>0</v>
      </c>
      <c r="F829" s="192">
        <f t="shared" si="170"/>
        <v>0</v>
      </c>
      <c r="G829" s="193">
        <f t="shared" si="171"/>
        <v>0</v>
      </c>
      <c r="H829" s="194">
        <v>0</v>
      </c>
      <c r="I829" s="194">
        <v>0</v>
      </c>
      <c r="J829" s="194">
        <v>0</v>
      </c>
      <c r="K829" s="193">
        <f t="shared" si="172"/>
        <v>0</v>
      </c>
      <c r="L829" s="194">
        <v>0</v>
      </c>
      <c r="M829" s="194">
        <v>0</v>
      </c>
      <c r="N829" s="194">
        <v>0</v>
      </c>
      <c r="O829" s="193">
        <f t="shared" si="173"/>
        <v>0</v>
      </c>
      <c r="P829" s="194">
        <v>0</v>
      </c>
      <c r="Q829" s="194">
        <v>0</v>
      </c>
      <c r="R829" s="194">
        <v>0</v>
      </c>
      <c r="S829" s="193">
        <f t="shared" si="174"/>
        <v>0</v>
      </c>
      <c r="T829" s="193">
        <f t="shared" si="175"/>
        <v>0</v>
      </c>
      <c r="U829" s="193">
        <f ca="1">OFFSET('Expenditure Study'!$B$7,'Operations Support'!$C829,'Operations Support'!$B829)*$G829</f>
        <v>0</v>
      </c>
      <c r="V829" s="199">
        <f ca="1">U829*'Expenditure Study'!$B$31</f>
        <v>0</v>
      </c>
      <c r="W829" s="199">
        <f ca="1">IF(A829=10298,1.51,1)*IF($B829&lt;3,$D829*'Expenditure Study'!$B$32*OFFSET('Expenditure Study'!$B$7,'Operations Support'!$C829,'Operations Support'!$B829),0)</f>
        <v>0</v>
      </c>
      <c r="X829" s="200">
        <f ca="1">W829*'Expenditure Study'!$B$31</f>
        <v>0</v>
      </c>
      <c r="Y829" s="199">
        <f ca="1">U829*'Expenditure Study'!$B$31</f>
        <v>0</v>
      </c>
      <c r="Z829" s="200">
        <f ca="1">W829*'Expenditure Study'!$B$31</f>
        <v>0</v>
      </c>
      <c r="AA829" s="195">
        <f t="shared" ca="1" si="176"/>
        <v>0</v>
      </c>
      <c r="AB829" s="195">
        <f t="shared" ca="1" si="177"/>
        <v>0</v>
      </c>
      <c r="AD829" s="196">
        <f>IFERROR($G829/SUMIF($A:$A,$A829,$G:$G)*SUMIF(Summary!$A$166:$A$242,$A829,Summary!$P$166:$P$242),0)</f>
        <v>0</v>
      </c>
      <c r="AE829" s="197">
        <f t="shared" ca="1" si="178"/>
        <v>0</v>
      </c>
      <c r="AF829" s="196">
        <f>IFERROR(G829/SUMIF(A:A,A829,G:G)*SUMIF(Summary!$A$166:$A$242,'Operations Support'!A829,Summary!$Q$166:$Q$242),0)</f>
        <v>0</v>
      </c>
      <c r="AG829" s="196">
        <f t="shared" ca="1" si="179"/>
        <v>0</v>
      </c>
      <c r="AI829" s="196">
        <f>IFERROR($G829/SUMIF($A:$A,$A829,$G:$G)*SUMIF(Summary!$A$247:$A$283,$A829,Summary!$P$247:$P$283),0)</f>
        <v>0</v>
      </c>
      <c r="AJ829" s="196">
        <f>IFERROR($G829/SUMIF($A:$A,$A829,$G:$G)*(SUMIF(Summary!$A$247:$A$283,$A829,Summary!$L$247:$L$283)+SUMIF(Summary!$A$297:$A$333,$A829,Summary!$L$297:$L$333))-AI829,0)</f>
        <v>0</v>
      </c>
      <c r="AK829" s="196">
        <f>IFERROR($G829/SUMIF($A:$A,$A829,$G:$G)*SUMIF(Summary!$A$247:$A$283,$A829,Summary!$Q$247:$Q$283),0)</f>
        <v>0</v>
      </c>
      <c r="AL829" s="196">
        <f>IFERROR($G829/SUMIF($A:$A,$A829,$G:$G)*(SUMIF(Summary!$A$247:$A$283,$A829,Summary!$L$247:$L$283)+SUMIF(Summary!$A$297:$A$333,$A829,Summary!$L$297:$L$333))-AK829,0)</f>
        <v>0</v>
      </c>
      <c r="AM829" s="198"/>
      <c r="AN829" s="196">
        <f t="shared" ca="1" si="180"/>
        <v>0</v>
      </c>
      <c r="AO829" s="196">
        <f t="shared" ca="1" si="181"/>
        <v>0</v>
      </c>
    </row>
    <row r="830" spans="1:41">
      <c r="A830" s="189">
        <v>3606</v>
      </c>
      <c r="B830" s="203">
        <v>5</v>
      </c>
      <c r="C830" s="191" t="s">
        <v>226</v>
      </c>
      <c r="D830" s="192">
        <f t="shared" si="168"/>
        <v>0</v>
      </c>
      <c r="E830" s="192">
        <f t="shared" si="169"/>
        <v>0</v>
      </c>
      <c r="F830" s="192">
        <f t="shared" si="170"/>
        <v>0</v>
      </c>
      <c r="G830" s="193">
        <f t="shared" si="171"/>
        <v>0</v>
      </c>
      <c r="H830" s="194">
        <v>0</v>
      </c>
      <c r="I830" s="194">
        <v>0</v>
      </c>
      <c r="J830" s="194">
        <v>0</v>
      </c>
      <c r="K830" s="193">
        <f t="shared" si="172"/>
        <v>0</v>
      </c>
      <c r="L830" s="194">
        <v>0</v>
      </c>
      <c r="M830" s="194">
        <v>0</v>
      </c>
      <c r="N830" s="194">
        <v>0</v>
      </c>
      <c r="O830" s="193">
        <f t="shared" si="173"/>
        <v>0</v>
      </c>
      <c r="P830" s="194">
        <v>0</v>
      </c>
      <c r="Q830" s="194">
        <v>0</v>
      </c>
      <c r="R830" s="194">
        <v>0</v>
      </c>
      <c r="S830" s="193">
        <f t="shared" si="174"/>
        <v>0</v>
      </c>
      <c r="T830" s="193">
        <f t="shared" si="175"/>
        <v>0</v>
      </c>
      <c r="U830" s="193">
        <f ca="1">OFFSET('Expenditure Study'!$B$7,'Operations Support'!$C830,'Operations Support'!$B830)*$G830</f>
        <v>0</v>
      </c>
      <c r="V830" s="199">
        <f ca="1">U830*'Expenditure Study'!$B$31</f>
        <v>0</v>
      </c>
      <c r="W830" s="199">
        <f ca="1">IF(A830=10298,1.51,1)*IF($B830&lt;3,$D830*'Expenditure Study'!$B$32*OFFSET('Expenditure Study'!$B$7,'Operations Support'!$C830,'Operations Support'!$B830),0)</f>
        <v>0</v>
      </c>
      <c r="X830" s="200">
        <f ca="1">W830*'Expenditure Study'!$B$31</f>
        <v>0</v>
      </c>
      <c r="Y830" s="199">
        <f ca="1">U830*'Expenditure Study'!$B$31</f>
        <v>0</v>
      </c>
      <c r="Z830" s="200">
        <f ca="1">W830*'Expenditure Study'!$B$31</f>
        <v>0</v>
      </c>
      <c r="AA830" s="195">
        <f t="shared" ca="1" si="176"/>
        <v>0</v>
      </c>
      <c r="AB830" s="195">
        <f t="shared" ca="1" si="177"/>
        <v>0</v>
      </c>
      <c r="AD830" s="196">
        <f>IFERROR($G830/SUMIF($A:$A,$A830,$G:$G)*SUMIF(Summary!$A$166:$A$242,$A830,Summary!$P$166:$P$242),0)</f>
        <v>0</v>
      </c>
      <c r="AE830" s="197">
        <f t="shared" ca="1" si="178"/>
        <v>0</v>
      </c>
      <c r="AF830" s="196">
        <f>IFERROR(G830/SUMIF(A:A,A830,G:G)*SUMIF(Summary!$A$166:$A$242,'Operations Support'!A830,Summary!$Q$166:$Q$242),0)</f>
        <v>0</v>
      </c>
      <c r="AG830" s="196">
        <f t="shared" ca="1" si="179"/>
        <v>0</v>
      </c>
      <c r="AI830" s="196">
        <f>IFERROR($G830/SUMIF($A:$A,$A830,$G:$G)*SUMIF(Summary!$A$247:$A$283,$A830,Summary!$P$247:$P$283),0)</f>
        <v>0</v>
      </c>
      <c r="AJ830" s="196">
        <f>IFERROR($G830/SUMIF($A:$A,$A830,$G:$G)*(SUMIF(Summary!$A$247:$A$283,$A830,Summary!$L$247:$L$283)+SUMIF(Summary!$A$297:$A$333,$A830,Summary!$L$297:$L$333))-AI830,0)</f>
        <v>0</v>
      </c>
      <c r="AK830" s="196">
        <f>IFERROR($G830/SUMIF($A:$A,$A830,$G:$G)*SUMIF(Summary!$A$247:$A$283,$A830,Summary!$Q$247:$Q$283),0)</f>
        <v>0</v>
      </c>
      <c r="AL830" s="196">
        <f>IFERROR($G830/SUMIF($A:$A,$A830,$G:$G)*(SUMIF(Summary!$A$247:$A$283,$A830,Summary!$L$247:$L$283)+SUMIF(Summary!$A$297:$A$333,$A830,Summary!$L$297:$L$333))-AK830,0)</f>
        <v>0</v>
      </c>
      <c r="AM830" s="198"/>
      <c r="AN830" s="196">
        <f t="shared" ca="1" si="180"/>
        <v>0</v>
      </c>
      <c r="AO830" s="196">
        <f t="shared" ca="1" si="181"/>
        <v>0</v>
      </c>
    </row>
    <row r="831" spans="1:41">
      <c r="A831" s="189">
        <v>3606</v>
      </c>
      <c r="B831" s="203">
        <v>5</v>
      </c>
      <c r="C831" s="191" t="s">
        <v>227</v>
      </c>
      <c r="D831" s="192">
        <f t="shared" si="168"/>
        <v>0</v>
      </c>
      <c r="E831" s="192">
        <f t="shared" si="169"/>
        <v>0</v>
      </c>
      <c r="F831" s="192">
        <f t="shared" si="170"/>
        <v>0</v>
      </c>
      <c r="G831" s="193">
        <f t="shared" si="171"/>
        <v>0</v>
      </c>
      <c r="H831" s="194">
        <v>0</v>
      </c>
      <c r="I831" s="194">
        <v>0</v>
      </c>
      <c r="J831" s="194">
        <v>0</v>
      </c>
      <c r="K831" s="193">
        <f t="shared" si="172"/>
        <v>0</v>
      </c>
      <c r="L831" s="194">
        <v>0</v>
      </c>
      <c r="M831" s="194">
        <v>0</v>
      </c>
      <c r="N831" s="194">
        <v>0</v>
      </c>
      <c r="O831" s="193">
        <f t="shared" si="173"/>
        <v>0</v>
      </c>
      <c r="P831" s="194">
        <v>0</v>
      </c>
      <c r="Q831" s="194">
        <v>0</v>
      </c>
      <c r="R831" s="194">
        <v>0</v>
      </c>
      <c r="S831" s="193">
        <f t="shared" si="174"/>
        <v>0</v>
      </c>
      <c r="T831" s="193">
        <f t="shared" si="175"/>
        <v>0</v>
      </c>
      <c r="U831" s="193">
        <f ca="1">OFFSET('Expenditure Study'!$B$7,'Operations Support'!$C831,'Operations Support'!$B831)*$G831</f>
        <v>0</v>
      </c>
      <c r="V831" s="199">
        <f ca="1">U831*'Expenditure Study'!$B$31</f>
        <v>0</v>
      </c>
      <c r="W831" s="199">
        <f ca="1">IF(A831=10298,1.51,1)*IF($B831&lt;3,$D831*'Expenditure Study'!$B$32*OFFSET('Expenditure Study'!$B$7,'Operations Support'!$C831,'Operations Support'!$B831),0)</f>
        <v>0</v>
      </c>
      <c r="X831" s="200">
        <f ca="1">W831*'Expenditure Study'!$B$31</f>
        <v>0</v>
      </c>
      <c r="Y831" s="199">
        <f ca="1">U831*'Expenditure Study'!$B$31</f>
        <v>0</v>
      </c>
      <c r="Z831" s="200">
        <f ca="1">W831*'Expenditure Study'!$B$31</f>
        <v>0</v>
      </c>
      <c r="AA831" s="195">
        <f t="shared" ca="1" si="176"/>
        <v>0</v>
      </c>
      <c r="AB831" s="195">
        <f t="shared" ca="1" si="177"/>
        <v>0</v>
      </c>
      <c r="AD831" s="196">
        <f>IFERROR($G831/SUMIF($A:$A,$A831,$G:$G)*SUMIF(Summary!$A$166:$A$242,$A831,Summary!$P$166:$P$242),0)</f>
        <v>0</v>
      </c>
      <c r="AE831" s="197">
        <f t="shared" ca="1" si="178"/>
        <v>0</v>
      </c>
      <c r="AF831" s="196">
        <f>IFERROR(G831/SUMIF(A:A,A831,G:G)*SUMIF(Summary!$A$166:$A$242,'Operations Support'!A831,Summary!$Q$166:$Q$242),0)</f>
        <v>0</v>
      </c>
      <c r="AG831" s="196">
        <f t="shared" ca="1" si="179"/>
        <v>0</v>
      </c>
      <c r="AI831" s="196">
        <f>IFERROR($G831/SUMIF($A:$A,$A831,$G:$G)*SUMIF(Summary!$A$247:$A$283,$A831,Summary!$P$247:$P$283),0)</f>
        <v>0</v>
      </c>
      <c r="AJ831" s="196">
        <f>IFERROR($G831/SUMIF($A:$A,$A831,$G:$G)*(SUMIF(Summary!$A$247:$A$283,$A831,Summary!$L$247:$L$283)+SUMIF(Summary!$A$297:$A$333,$A831,Summary!$L$297:$L$333))-AI831,0)</f>
        <v>0</v>
      </c>
      <c r="AK831" s="196">
        <f>IFERROR($G831/SUMIF($A:$A,$A831,$G:$G)*SUMIF(Summary!$A$247:$A$283,$A831,Summary!$Q$247:$Q$283),0)</f>
        <v>0</v>
      </c>
      <c r="AL831" s="196">
        <f>IFERROR($G831/SUMIF($A:$A,$A831,$G:$G)*(SUMIF(Summary!$A$247:$A$283,$A831,Summary!$L$247:$L$283)+SUMIF(Summary!$A$297:$A$333,$A831,Summary!$L$297:$L$333))-AK831,0)</f>
        <v>0</v>
      </c>
      <c r="AM831" s="198"/>
      <c r="AN831" s="196">
        <f t="shared" ca="1" si="180"/>
        <v>0</v>
      </c>
      <c r="AO831" s="196">
        <f t="shared" ca="1" si="181"/>
        <v>0</v>
      </c>
    </row>
    <row r="832" spans="1:41">
      <c r="A832" s="189">
        <v>3606</v>
      </c>
      <c r="B832" s="203">
        <v>5</v>
      </c>
      <c r="C832" s="191" t="s">
        <v>228</v>
      </c>
      <c r="D832" s="192">
        <f t="shared" si="168"/>
        <v>0</v>
      </c>
      <c r="E832" s="192">
        <f t="shared" si="169"/>
        <v>0</v>
      </c>
      <c r="F832" s="192">
        <f t="shared" si="170"/>
        <v>0</v>
      </c>
      <c r="G832" s="193">
        <f t="shared" si="171"/>
        <v>0</v>
      </c>
      <c r="H832" s="194">
        <v>0</v>
      </c>
      <c r="I832" s="194">
        <v>0</v>
      </c>
      <c r="J832" s="194">
        <v>0</v>
      </c>
      <c r="K832" s="193">
        <f t="shared" si="172"/>
        <v>0</v>
      </c>
      <c r="L832" s="194">
        <v>0</v>
      </c>
      <c r="M832" s="194">
        <v>0</v>
      </c>
      <c r="N832" s="194">
        <v>0</v>
      </c>
      <c r="O832" s="193">
        <f t="shared" si="173"/>
        <v>0</v>
      </c>
      <c r="P832" s="194">
        <v>0</v>
      </c>
      <c r="Q832" s="194">
        <v>0</v>
      </c>
      <c r="R832" s="194">
        <v>0</v>
      </c>
      <c r="S832" s="193">
        <f t="shared" si="174"/>
        <v>0</v>
      </c>
      <c r="T832" s="193">
        <f t="shared" si="175"/>
        <v>0</v>
      </c>
      <c r="U832" s="193">
        <f ca="1">OFFSET('Expenditure Study'!$B$7,'Operations Support'!$C832,'Operations Support'!$B832)*$G832</f>
        <v>0</v>
      </c>
      <c r="V832" s="199">
        <f ca="1">U832*'Expenditure Study'!$B$31</f>
        <v>0</v>
      </c>
      <c r="W832" s="199">
        <f ca="1">IF(A832=10298,1.51,1)*IF($B832&lt;3,$D832*'Expenditure Study'!$B$32*OFFSET('Expenditure Study'!$B$7,'Operations Support'!$C832,'Operations Support'!$B832),0)</f>
        <v>0</v>
      </c>
      <c r="X832" s="200">
        <f ca="1">W832*'Expenditure Study'!$B$31</f>
        <v>0</v>
      </c>
      <c r="Y832" s="199">
        <f ca="1">U832*'Expenditure Study'!$B$31</f>
        <v>0</v>
      </c>
      <c r="Z832" s="200">
        <f ca="1">W832*'Expenditure Study'!$B$31</f>
        <v>0</v>
      </c>
      <c r="AA832" s="195">
        <f t="shared" ca="1" si="176"/>
        <v>0</v>
      </c>
      <c r="AB832" s="195">
        <f t="shared" ca="1" si="177"/>
        <v>0</v>
      </c>
      <c r="AD832" s="196">
        <f>IFERROR($G832/SUMIF($A:$A,$A832,$G:$G)*SUMIF(Summary!$A$166:$A$242,$A832,Summary!$P$166:$P$242),0)</f>
        <v>0</v>
      </c>
      <c r="AE832" s="197">
        <f t="shared" ca="1" si="178"/>
        <v>0</v>
      </c>
      <c r="AF832" s="196">
        <f>IFERROR(G832/SUMIF(A:A,A832,G:G)*SUMIF(Summary!$A$166:$A$242,'Operations Support'!A832,Summary!$Q$166:$Q$242),0)</f>
        <v>0</v>
      </c>
      <c r="AG832" s="196">
        <f t="shared" ca="1" si="179"/>
        <v>0</v>
      </c>
      <c r="AI832" s="196">
        <f>IFERROR($G832/SUMIF($A:$A,$A832,$G:$G)*SUMIF(Summary!$A$247:$A$283,$A832,Summary!$P$247:$P$283),0)</f>
        <v>0</v>
      </c>
      <c r="AJ832" s="196">
        <f>IFERROR($G832/SUMIF($A:$A,$A832,$G:$G)*(SUMIF(Summary!$A$247:$A$283,$A832,Summary!$L$247:$L$283)+SUMIF(Summary!$A$297:$A$333,$A832,Summary!$L$297:$L$333))-AI832,0)</f>
        <v>0</v>
      </c>
      <c r="AK832" s="196">
        <f>IFERROR($G832/SUMIF($A:$A,$A832,$G:$G)*SUMIF(Summary!$A$247:$A$283,$A832,Summary!$Q$247:$Q$283),0)</f>
        <v>0</v>
      </c>
      <c r="AL832" s="196">
        <f>IFERROR($G832/SUMIF($A:$A,$A832,$G:$G)*(SUMIF(Summary!$A$247:$A$283,$A832,Summary!$L$247:$L$283)+SUMIF(Summary!$A$297:$A$333,$A832,Summary!$L$297:$L$333))-AK832,0)</f>
        <v>0</v>
      </c>
      <c r="AM832" s="198"/>
      <c r="AN832" s="196">
        <f t="shared" ca="1" si="180"/>
        <v>0</v>
      </c>
      <c r="AO832" s="196">
        <f t="shared" ca="1" si="181"/>
        <v>0</v>
      </c>
    </row>
    <row r="833" spans="1:41">
      <c r="A833" s="189">
        <v>3606</v>
      </c>
      <c r="B833" s="203">
        <v>5</v>
      </c>
      <c r="C833" s="191" t="s">
        <v>229</v>
      </c>
      <c r="D833" s="192">
        <f t="shared" si="168"/>
        <v>0</v>
      </c>
      <c r="E833" s="192">
        <f t="shared" si="169"/>
        <v>0</v>
      </c>
      <c r="F833" s="192">
        <f t="shared" si="170"/>
        <v>0</v>
      </c>
      <c r="G833" s="193">
        <f t="shared" si="171"/>
        <v>0</v>
      </c>
      <c r="H833" s="194">
        <v>0</v>
      </c>
      <c r="I833" s="194">
        <v>0</v>
      </c>
      <c r="J833" s="194">
        <v>0</v>
      </c>
      <c r="K833" s="193">
        <f t="shared" si="172"/>
        <v>0</v>
      </c>
      <c r="L833" s="194">
        <v>0</v>
      </c>
      <c r="M833" s="194">
        <v>0</v>
      </c>
      <c r="N833" s="194">
        <v>0</v>
      </c>
      <c r="O833" s="193">
        <f t="shared" si="173"/>
        <v>0</v>
      </c>
      <c r="P833" s="194">
        <v>0</v>
      </c>
      <c r="Q833" s="194">
        <v>0</v>
      </c>
      <c r="R833" s="194">
        <v>0</v>
      </c>
      <c r="S833" s="193">
        <f t="shared" si="174"/>
        <v>0</v>
      </c>
      <c r="T833" s="193">
        <f t="shared" si="175"/>
        <v>0</v>
      </c>
      <c r="U833" s="193">
        <f ca="1">OFFSET('Expenditure Study'!$B$7,'Operations Support'!$C833,'Operations Support'!$B833)*$G833</f>
        <v>0</v>
      </c>
      <c r="V833" s="199">
        <f ca="1">U833*'Expenditure Study'!$B$31</f>
        <v>0</v>
      </c>
      <c r="W833" s="199">
        <f ca="1">IF(A833=10298,1.51,1)*IF($B833&lt;3,$D833*'Expenditure Study'!$B$32*OFFSET('Expenditure Study'!$B$7,'Operations Support'!$C833,'Operations Support'!$B833),0)</f>
        <v>0</v>
      </c>
      <c r="X833" s="200">
        <f ca="1">W833*'Expenditure Study'!$B$31</f>
        <v>0</v>
      </c>
      <c r="Y833" s="199">
        <f ca="1">U833*'Expenditure Study'!$B$31</f>
        <v>0</v>
      </c>
      <c r="Z833" s="200">
        <f ca="1">W833*'Expenditure Study'!$B$31</f>
        <v>0</v>
      </c>
      <c r="AA833" s="195">
        <f t="shared" ca="1" si="176"/>
        <v>0</v>
      </c>
      <c r="AB833" s="195">
        <f t="shared" ca="1" si="177"/>
        <v>0</v>
      </c>
      <c r="AD833" s="196">
        <f>IFERROR($G833/SUMIF($A:$A,$A833,$G:$G)*SUMIF(Summary!$A$166:$A$242,$A833,Summary!$P$166:$P$242),0)</f>
        <v>0</v>
      </c>
      <c r="AE833" s="197">
        <f t="shared" ca="1" si="178"/>
        <v>0</v>
      </c>
      <c r="AF833" s="196">
        <f>IFERROR(G833/SUMIF(A:A,A833,G:G)*SUMIF(Summary!$A$166:$A$242,'Operations Support'!A833,Summary!$Q$166:$Q$242),0)</f>
        <v>0</v>
      </c>
      <c r="AG833" s="196">
        <f t="shared" ca="1" si="179"/>
        <v>0</v>
      </c>
      <c r="AI833" s="196">
        <f>IFERROR($G833/SUMIF($A:$A,$A833,$G:$G)*SUMIF(Summary!$A$247:$A$283,$A833,Summary!$P$247:$P$283),0)</f>
        <v>0</v>
      </c>
      <c r="AJ833" s="196">
        <f>IFERROR($G833/SUMIF($A:$A,$A833,$G:$G)*(SUMIF(Summary!$A$247:$A$283,$A833,Summary!$L$247:$L$283)+SUMIF(Summary!$A$297:$A$333,$A833,Summary!$L$297:$L$333))-AI833,0)</f>
        <v>0</v>
      </c>
      <c r="AK833" s="196">
        <f>IFERROR($G833/SUMIF($A:$A,$A833,$G:$G)*SUMIF(Summary!$A$247:$A$283,$A833,Summary!$Q$247:$Q$283),0)</f>
        <v>0</v>
      </c>
      <c r="AL833" s="196">
        <f>IFERROR($G833/SUMIF($A:$A,$A833,$G:$G)*(SUMIF(Summary!$A$247:$A$283,$A833,Summary!$L$247:$L$283)+SUMIF(Summary!$A$297:$A$333,$A833,Summary!$L$297:$L$333))-AK833,0)</f>
        <v>0</v>
      </c>
      <c r="AM833" s="198"/>
      <c r="AN833" s="196">
        <f t="shared" ca="1" si="180"/>
        <v>0</v>
      </c>
      <c r="AO833" s="196">
        <f t="shared" ca="1" si="181"/>
        <v>0</v>
      </c>
    </row>
    <row r="834" spans="1:41">
      <c r="A834" s="189">
        <v>3606</v>
      </c>
      <c r="B834" s="203">
        <v>5</v>
      </c>
      <c r="C834" s="191" t="s">
        <v>230</v>
      </c>
      <c r="D834" s="192">
        <f t="shared" si="168"/>
        <v>0</v>
      </c>
      <c r="E834" s="192">
        <f t="shared" si="169"/>
        <v>0</v>
      </c>
      <c r="F834" s="192">
        <f t="shared" si="170"/>
        <v>0</v>
      </c>
      <c r="G834" s="193">
        <f t="shared" si="171"/>
        <v>0</v>
      </c>
      <c r="H834" s="194">
        <v>0</v>
      </c>
      <c r="I834" s="194">
        <v>0</v>
      </c>
      <c r="J834" s="194">
        <v>0</v>
      </c>
      <c r="K834" s="193">
        <f t="shared" si="172"/>
        <v>0</v>
      </c>
      <c r="L834" s="194">
        <v>0</v>
      </c>
      <c r="M834" s="194">
        <v>0</v>
      </c>
      <c r="N834" s="194">
        <v>0</v>
      </c>
      <c r="O834" s="193">
        <f t="shared" si="173"/>
        <v>0</v>
      </c>
      <c r="P834" s="194">
        <v>0</v>
      </c>
      <c r="Q834" s="194">
        <v>0</v>
      </c>
      <c r="R834" s="194">
        <v>0</v>
      </c>
      <c r="S834" s="193">
        <f t="shared" si="174"/>
        <v>0</v>
      </c>
      <c r="T834" s="193">
        <f t="shared" si="175"/>
        <v>0</v>
      </c>
      <c r="U834" s="193">
        <f ca="1">OFFSET('Expenditure Study'!$B$7,'Operations Support'!$C834,'Operations Support'!$B834)*$G834</f>
        <v>0</v>
      </c>
      <c r="V834" s="199">
        <f ca="1">U834*'Expenditure Study'!$B$31</f>
        <v>0</v>
      </c>
      <c r="W834" s="199">
        <f ca="1">IF(A834=10298,1.51,1)*IF($B834&lt;3,$D834*'Expenditure Study'!$B$32*OFFSET('Expenditure Study'!$B$7,'Operations Support'!$C834,'Operations Support'!$B834),0)</f>
        <v>0</v>
      </c>
      <c r="X834" s="200">
        <f ca="1">W834*'Expenditure Study'!$B$31</f>
        <v>0</v>
      </c>
      <c r="Y834" s="199">
        <f ca="1">U834*'Expenditure Study'!$B$31</f>
        <v>0</v>
      </c>
      <c r="Z834" s="200">
        <f ca="1">W834*'Expenditure Study'!$B$31</f>
        <v>0</v>
      </c>
      <c r="AA834" s="195">
        <f t="shared" ca="1" si="176"/>
        <v>0</v>
      </c>
      <c r="AB834" s="195">
        <f t="shared" ca="1" si="177"/>
        <v>0</v>
      </c>
      <c r="AD834" s="196">
        <f>IFERROR($G834/SUMIF($A:$A,$A834,$G:$G)*SUMIF(Summary!$A$166:$A$242,$A834,Summary!$P$166:$P$242),0)</f>
        <v>0</v>
      </c>
      <c r="AE834" s="197">
        <f t="shared" ca="1" si="178"/>
        <v>0</v>
      </c>
      <c r="AF834" s="196">
        <f>IFERROR(G834/SUMIF(A:A,A834,G:G)*SUMIF(Summary!$A$166:$A$242,'Operations Support'!A834,Summary!$Q$166:$Q$242),0)</f>
        <v>0</v>
      </c>
      <c r="AG834" s="196">
        <f t="shared" ca="1" si="179"/>
        <v>0</v>
      </c>
      <c r="AI834" s="196">
        <f>IFERROR($G834/SUMIF($A:$A,$A834,$G:$G)*SUMIF(Summary!$A$247:$A$283,$A834,Summary!$P$247:$P$283),0)</f>
        <v>0</v>
      </c>
      <c r="AJ834" s="196">
        <f>IFERROR($G834/SUMIF($A:$A,$A834,$G:$G)*(SUMIF(Summary!$A$247:$A$283,$A834,Summary!$L$247:$L$283)+SUMIF(Summary!$A$297:$A$333,$A834,Summary!$L$297:$L$333))-AI834,0)</f>
        <v>0</v>
      </c>
      <c r="AK834" s="196">
        <f>IFERROR($G834/SUMIF($A:$A,$A834,$G:$G)*SUMIF(Summary!$A$247:$A$283,$A834,Summary!$Q$247:$Q$283),0)</f>
        <v>0</v>
      </c>
      <c r="AL834" s="196">
        <f>IFERROR($G834/SUMIF($A:$A,$A834,$G:$G)*(SUMIF(Summary!$A$247:$A$283,$A834,Summary!$L$247:$L$283)+SUMIF(Summary!$A$297:$A$333,$A834,Summary!$L$297:$L$333))-AK834,0)</f>
        <v>0</v>
      </c>
      <c r="AM834" s="198"/>
      <c r="AN834" s="196">
        <f t="shared" ca="1" si="180"/>
        <v>0</v>
      </c>
      <c r="AO834" s="196">
        <f t="shared" ca="1" si="181"/>
        <v>0</v>
      </c>
    </row>
    <row r="835" spans="1:41">
      <c r="A835" s="189">
        <v>3606</v>
      </c>
      <c r="B835" s="203">
        <v>5</v>
      </c>
      <c r="C835" s="191" t="s">
        <v>231</v>
      </c>
      <c r="D835" s="192">
        <f t="shared" si="168"/>
        <v>0</v>
      </c>
      <c r="E835" s="192">
        <f t="shared" si="169"/>
        <v>0</v>
      </c>
      <c r="F835" s="192">
        <f t="shared" si="170"/>
        <v>0</v>
      </c>
      <c r="G835" s="193">
        <f t="shared" si="171"/>
        <v>0</v>
      </c>
      <c r="H835" s="194">
        <v>0</v>
      </c>
      <c r="I835" s="194">
        <v>0</v>
      </c>
      <c r="J835" s="194">
        <v>0</v>
      </c>
      <c r="K835" s="193">
        <f t="shared" si="172"/>
        <v>0</v>
      </c>
      <c r="L835" s="194">
        <v>0</v>
      </c>
      <c r="M835" s="194">
        <v>0</v>
      </c>
      <c r="N835" s="194">
        <v>0</v>
      </c>
      <c r="O835" s="193">
        <f t="shared" si="173"/>
        <v>0</v>
      </c>
      <c r="P835" s="194">
        <v>0</v>
      </c>
      <c r="Q835" s="194">
        <v>0</v>
      </c>
      <c r="R835" s="194">
        <v>0</v>
      </c>
      <c r="S835" s="193">
        <f t="shared" si="174"/>
        <v>0</v>
      </c>
      <c r="T835" s="193">
        <f t="shared" si="175"/>
        <v>0</v>
      </c>
      <c r="U835" s="193">
        <f ca="1">OFFSET('Expenditure Study'!$B$7,'Operations Support'!$C835,'Operations Support'!$B835)*$G835</f>
        <v>0</v>
      </c>
      <c r="V835" s="199">
        <f ca="1">U835*'Expenditure Study'!$B$31</f>
        <v>0</v>
      </c>
      <c r="W835" s="199">
        <f ca="1">IF(A835=10298,1.51,1)*IF($B835&lt;3,$D835*'Expenditure Study'!$B$32*OFFSET('Expenditure Study'!$B$7,'Operations Support'!$C835,'Operations Support'!$B835),0)</f>
        <v>0</v>
      </c>
      <c r="X835" s="200">
        <f ca="1">W835*'Expenditure Study'!$B$31</f>
        <v>0</v>
      </c>
      <c r="Y835" s="199">
        <f ca="1">U835*'Expenditure Study'!$B$31</f>
        <v>0</v>
      </c>
      <c r="Z835" s="200">
        <f ca="1">W835*'Expenditure Study'!$B$31</f>
        <v>0</v>
      </c>
      <c r="AA835" s="195">
        <f t="shared" ca="1" si="176"/>
        <v>0</v>
      </c>
      <c r="AB835" s="195">
        <f t="shared" ca="1" si="177"/>
        <v>0</v>
      </c>
      <c r="AD835" s="196">
        <f>IFERROR($G835/SUMIF($A:$A,$A835,$G:$G)*SUMIF(Summary!$A$166:$A$242,$A835,Summary!$P$166:$P$242),0)</f>
        <v>0</v>
      </c>
      <c r="AE835" s="197">
        <f t="shared" ca="1" si="178"/>
        <v>0</v>
      </c>
      <c r="AF835" s="196">
        <f>IFERROR(G835/SUMIF(A:A,A835,G:G)*SUMIF(Summary!$A$166:$A$242,'Operations Support'!A835,Summary!$Q$166:$Q$242),0)</f>
        <v>0</v>
      </c>
      <c r="AG835" s="196">
        <f t="shared" ca="1" si="179"/>
        <v>0</v>
      </c>
      <c r="AI835" s="196">
        <f>IFERROR($G835/SUMIF($A:$A,$A835,$G:$G)*SUMIF(Summary!$A$247:$A$283,$A835,Summary!$P$247:$P$283),0)</f>
        <v>0</v>
      </c>
      <c r="AJ835" s="196">
        <f>IFERROR($G835/SUMIF($A:$A,$A835,$G:$G)*(SUMIF(Summary!$A$247:$A$283,$A835,Summary!$L$247:$L$283)+SUMIF(Summary!$A$297:$A$333,$A835,Summary!$L$297:$L$333))-AI835,0)</f>
        <v>0</v>
      </c>
      <c r="AK835" s="196">
        <f>IFERROR($G835/SUMIF($A:$A,$A835,$G:$G)*SUMIF(Summary!$A$247:$A$283,$A835,Summary!$Q$247:$Q$283),0)</f>
        <v>0</v>
      </c>
      <c r="AL835" s="196">
        <f>IFERROR($G835/SUMIF($A:$A,$A835,$G:$G)*(SUMIF(Summary!$A$247:$A$283,$A835,Summary!$L$247:$L$283)+SUMIF(Summary!$A$297:$A$333,$A835,Summary!$L$297:$L$333))-AK835,0)</f>
        <v>0</v>
      </c>
      <c r="AM835" s="198"/>
      <c r="AN835" s="196">
        <f t="shared" ca="1" si="180"/>
        <v>0</v>
      </c>
      <c r="AO835" s="196">
        <f t="shared" ca="1" si="181"/>
        <v>0</v>
      </c>
    </row>
    <row r="836" spans="1:41">
      <c r="A836" s="189">
        <v>3606</v>
      </c>
      <c r="B836" s="203">
        <v>5</v>
      </c>
      <c r="C836" s="191" t="s">
        <v>232</v>
      </c>
      <c r="D836" s="192">
        <f t="shared" si="168"/>
        <v>0</v>
      </c>
      <c r="E836" s="192">
        <f t="shared" si="169"/>
        <v>0</v>
      </c>
      <c r="F836" s="192">
        <f t="shared" si="170"/>
        <v>0</v>
      </c>
      <c r="G836" s="193">
        <f t="shared" si="171"/>
        <v>0</v>
      </c>
      <c r="H836" s="194">
        <v>0</v>
      </c>
      <c r="I836" s="194">
        <v>0</v>
      </c>
      <c r="J836" s="194">
        <v>0</v>
      </c>
      <c r="K836" s="193">
        <f t="shared" si="172"/>
        <v>0</v>
      </c>
      <c r="L836" s="194">
        <v>0</v>
      </c>
      <c r="M836" s="194">
        <v>0</v>
      </c>
      <c r="N836" s="194">
        <v>0</v>
      </c>
      <c r="O836" s="193">
        <f t="shared" si="173"/>
        <v>0</v>
      </c>
      <c r="P836" s="194">
        <v>0</v>
      </c>
      <c r="Q836" s="194">
        <v>0</v>
      </c>
      <c r="R836" s="194">
        <v>0</v>
      </c>
      <c r="S836" s="193">
        <f t="shared" si="174"/>
        <v>0</v>
      </c>
      <c r="T836" s="193">
        <f t="shared" si="175"/>
        <v>0</v>
      </c>
      <c r="U836" s="193">
        <f ca="1">OFFSET('Expenditure Study'!$B$7,'Operations Support'!$C836,'Operations Support'!$B836)*$G836</f>
        <v>0</v>
      </c>
      <c r="V836" s="199">
        <f ca="1">U836*'Expenditure Study'!$B$31</f>
        <v>0</v>
      </c>
      <c r="W836" s="199">
        <f ca="1">IF(A836=10298,1.51,1)*IF($B836&lt;3,$D836*'Expenditure Study'!$B$32*OFFSET('Expenditure Study'!$B$7,'Operations Support'!$C836,'Operations Support'!$B836),0)</f>
        <v>0</v>
      </c>
      <c r="X836" s="200">
        <f ca="1">W836*'Expenditure Study'!$B$31</f>
        <v>0</v>
      </c>
      <c r="Y836" s="199">
        <f ca="1">U836*'Expenditure Study'!$B$31</f>
        <v>0</v>
      </c>
      <c r="Z836" s="200">
        <f ca="1">W836*'Expenditure Study'!$B$31</f>
        <v>0</v>
      </c>
      <c r="AA836" s="195">
        <f t="shared" ca="1" si="176"/>
        <v>0</v>
      </c>
      <c r="AB836" s="195">
        <f t="shared" ca="1" si="177"/>
        <v>0</v>
      </c>
      <c r="AD836" s="196">
        <f>IFERROR($G836/SUMIF($A:$A,$A836,$G:$G)*SUMIF(Summary!$A$166:$A$242,$A836,Summary!$P$166:$P$242),0)</f>
        <v>0</v>
      </c>
      <c r="AE836" s="197">
        <f t="shared" ca="1" si="178"/>
        <v>0</v>
      </c>
      <c r="AF836" s="196">
        <f>IFERROR(G836/SUMIF(A:A,A836,G:G)*SUMIF(Summary!$A$166:$A$242,'Operations Support'!A836,Summary!$Q$166:$Q$242),0)</f>
        <v>0</v>
      </c>
      <c r="AG836" s="196">
        <f t="shared" ca="1" si="179"/>
        <v>0</v>
      </c>
      <c r="AI836" s="196">
        <f>IFERROR($G836/SUMIF($A:$A,$A836,$G:$G)*SUMIF(Summary!$A$247:$A$283,$A836,Summary!$P$247:$P$283),0)</f>
        <v>0</v>
      </c>
      <c r="AJ836" s="196">
        <f>IFERROR($G836/SUMIF($A:$A,$A836,$G:$G)*(SUMIF(Summary!$A$247:$A$283,$A836,Summary!$L$247:$L$283)+SUMIF(Summary!$A$297:$A$333,$A836,Summary!$L$297:$L$333))-AI836,0)</f>
        <v>0</v>
      </c>
      <c r="AK836" s="196">
        <f>IFERROR($G836/SUMIF($A:$A,$A836,$G:$G)*SUMIF(Summary!$A$247:$A$283,$A836,Summary!$Q$247:$Q$283),0)</f>
        <v>0</v>
      </c>
      <c r="AL836" s="196">
        <f>IFERROR($G836/SUMIF($A:$A,$A836,$G:$G)*(SUMIF(Summary!$A$247:$A$283,$A836,Summary!$L$247:$L$283)+SUMIF(Summary!$A$297:$A$333,$A836,Summary!$L$297:$L$333))-AK836,0)</f>
        <v>0</v>
      </c>
      <c r="AM836" s="198"/>
      <c r="AN836" s="196">
        <f t="shared" ca="1" si="180"/>
        <v>0</v>
      </c>
      <c r="AO836" s="196">
        <f t="shared" ca="1" si="181"/>
        <v>0</v>
      </c>
    </row>
    <row r="837" spans="1:41">
      <c r="A837" s="189">
        <v>3606</v>
      </c>
      <c r="B837" s="203">
        <v>5</v>
      </c>
      <c r="C837" s="191" t="s">
        <v>233</v>
      </c>
      <c r="D837" s="192">
        <f t="shared" ref="D837:D900" si="182">H837+L837+P837</f>
        <v>0</v>
      </c>
      <c r="E837" s="192">
        <f t="shared" ref="E837:E900" si="183">I837+M837+Q837</f>
        <v>0</v>
      </c>
      <c r="F837" s="192">
        <f t="shared" ref="F837:F900" si="184">J837+N837+R837</f>
        <v>0</v>
      </c>
      <c r="G837" s="193">
        <f t="shared" ref="G837:G900" si="185">(SUM(D837:E837)-F837)*IF(A837=10298,1.51,1)</f>
        <v>0</v>
      </c>
      <c r="H837" s="194">
        <v>0</v>
      </c>
      <c r="I837" s="194">
        <v>0</v>
      </c>
      <c r="J837" s="194">
        <v>0</v>
      </c>
      <c r="K837" s="193">
        <f t="shared" ref="K837:K900" si="186">SUM(H837:I837)-J837</f>
        <v>0</v>
      </c>
      <c r="L837" s="194">
        <v>0</v>
      </c>
      <c r="M837" s="194">
        <v>0</v>
      </c>
      <c r="N837" s="194">
        <v>0</v>
      </c>
      <c r="O837" s="193">
        <f t="shared" ref="O837:O900" si="187">SUM(L837:M837)-N837</f>
        <v>0</v>
      </c>
      <c r="P837" s="194">
        <v>0</v>
      </c>
      <c r="Q837" s="194">
        <v>0</v>
      </c>
      <c r="R837" s="194">
        <v>0</v>
      </c>
      <c r="S837" s="193">
        <f t="shared" ref="S837:S900" si="188">SUM(P837:Q837)-R837</f>
        <v>0</v>
      </c>
      <c r="T837" s="193">
        <f t="shared" ref="T837:T900" si="189">IF(OR(B837=1,B837=2),G837/30,IF(OR(B837=3,B837=5),G837/24,IF(B837=4,G837/18,0)))</f>
        <v>0</v>
      </c>
      <c r="U837" s="193">
        <f ca="1">OFFSET('Expenditure Study'!$B$7,'Operations Support'!$C837,'Operations Support'!$B837)*$G837</f>
        <v>0</v>
      </c>
      <c r="V837" s="199">
        <f ca="1">U837*'Expenditure Study'!$B$31</f>
        <v>0</v>
      </c>
      <c r="W837" s="199">
        <f ca="1">IF(A837=10298,1.51,1)*IF($B837&lt;3,$D837*'Expenditure Study'!$B$32*OFFSET('Expenditure Study'!$B$7,'Operations Support'!$C837,'Operations Support'!$B837),0)</f>
        <v>0</v>
      </c>
      <c r="X837" s="200">
        <f ca="1">W837*'Expenditure Study'!$B$31</f>
        <v>0</v>
      </c>
      <c r="Y837" s="199">
        <f ca="1">U837*'Expenditure Study'!$B$31</f>
        <v>0</v>
      </c>
      <c r="Z837" s="200">
        <f ca="1">W837*'Expenditure Study'!$B$31</f>
        <v>0</v>
      </c>
      <c r="AA837" s="195">
        <f t="shared" ref="AA837:AA900" ca="1" si="190">V837+X837</f>
        <v>0</v>
      </c>
      <c r="AB837" s="195">
        <f t="shared" ref="AB837:AB900" ca="1" si="191">Y837+Z837</f>
        <v>0</v>
      </c>
      <c r="AD837" s="196">
        <f>IFERROR($G837/SUMIF($A:$A,$A837,$G:$G)*SUMIF(Summary!$A$166:$A$242,$A837,Summary!$P$166:$P$242),0)</f>
        <v>0</v>
      </c>
      <c r="AE837" s="197">
        <f t="shared" ca="1" si="178"/>
        <v>0</v>
      </c>
      <c r="AF837" s="196">
        <f>IFERROR(G837/SUMIF(A:A,A837,G:G)*SUMIF(Summary!$A$166:$A$242,'Operations Support'!A837,Summary!$Q$166:$Q$242),0)</f>
        <v>0</v>
      </c>
      <c r="AG837" s="196">
        <f t="shared" ca="1" si="179"/>
        <v>0</v>
      </c>
      <c r="AI837" s="196">
        <f>IFERROR($G837/SUMIF($A:$A,$A837,$G:$G)*SUMIF(Summary!$A$247:$A$283,$A837,Summary!$P$247:$P$283),0)</f>
        <v>0</v>
      </c>
      <c r="AJ837" s="196">
        <f>IFERROR($G837/SUMIF($A:$A,$A837,$G:$G)*(SUMIF(Summary!$A$247:$A$283,$A837,Summary!$L$247:$L$283)+SUMIF(Summary!$A$297:$A$333,$A837,Summary!$L$297:$L$333))-AI837,0)</f>
        <v>0</v>
      </c>
      <c r="AK837" s="196">
        <f>IFERROR($G837/SUMIF($A:$A,$A837,$G:$G)*SUMIF(Summary!$A$247:$A$283,$A837,Summary!$Q$247:$Q$283),0)</f>
        <v>0</v>
      </c>
      <c r="AL837" s="196">
        <f>IFERROR($G837/SUMIF($A:$A,$A837,$G:$G)*(SUMIF(Summary!$A$247:$A$283,$A837,Summary!$L$247:$L$283)+SUMIF(Summary!$A$297:$A$333,$A837,Summary!$L$297:$L$333))-AK837,0)</f>
        <v>0</v>
      </c>
      <c r="AM837" s="198"/>
      <c r="AN837" s="196">
        <f t="shared" ca="1" si="180"/>
        <v>0</v>
      </c>
      <c r="AO837" s="196">
        <f t="shared" ca="1" si="181"/>
        <v>0</v>
      </c>
    </row>
    <row r="838" spans="1:41">
      <c r="A838" s="189">
        <v>3606</v>
      </c>
      <c r="B838" s="203">
        <v>5</v>
      </c>
      <c r="C838" s="191" t="s">
        <v>234</v>
      </c>
      <c r="D838" s="192">
        <f t="shared" si="182"/>
        <v>0</v>
      </c>
      <c r="E838" s="192">
        <f t="shared" si="183"/>
        <v>0</v>
      </c>
      <c r="F838" s="192">
        <f t="shared" si="184"/>
        <v>0</v>
      </c>
      <c r="G838" s="193">
        <f t="shared" si="185"/>
        <v>0</v>
      </c>
      <c r="H838" s="194">
        <v>0</v>
      </c>
      <c r="I838" s="194">
        <v>0</v>
      </c>
      <c r="J838" s="194">
        <v>0</v>
      </c>
      <c r="K838" s="193">
        <f t="shared" si="186"/>
        <v>0</v>
      </c>
      <c r="L838" s="194">
        <v>0</v>
      </c>
      <c r="M838" s="194">
        <v>0</v>
      </c>
      <c r="N838" s="194">
        <v>0</v>
      </c>
      <c r="O838" s="193">
        <f t="shared" si="187"/>
        <v>0</v>
      </c>
      <c r="P838" s="194">
        <v>0</v>
      </c>
      <c r="Q838" s="194">
        <v>0</v>
      </c>
      <c r="R838" s="194">
        <v>0</v>
      </c>
      <c r="S838" s="193">
        <f t="shared" si="188"/>
        <v>0</v>
      </c>
      <c r="T838" s="193">
        <f t="shared" si="189"/>
        <v>0</v>
      </c>
      <c r="U838" s="193">
        <f ca="1">OFFSET('Expenditure Study'!$B$7,'Operations Support'!$C838,'Operations Support'!$B838)*$G838</f>
        <v>0</v>
      </c>
      <c r="V838" s="199">
        <f ca="1">U838*'Expenditure Study'!$B$31</f>
        <v>0</v>
      </c>
      <c r="W838" s="199">
        <f ca="1">IF(A838=10298,1.51,1)*IF($B838&lt;3,$D838*'Expenditure Study'!$B$32*OFFSET('Expenditure Study'!$B$7,'Operations Support'!$C838,'Operations Support'!$B838),0)</f>
        <v>0</v>
      </c>
      <c r="X838" s="200">
        <f ca="1">W838*'Expenditure Study'!$B$31</f>
        <v>0</v>
      </c>
      <c r="Y838" s="199">
        <f ca="1">U838*'Expenditure Study'!$B$31</f>
        <v>0</v>
      </c>
      <c r="Z838" s="200">
        <f ca="1">W838*'Expenditure Study'!$B$31</f>
        <v>0</v>
      </c>
      <c r="AA838" s="195">
        <f t="shared" ca="1" si="190"/>
        <v>0</v>
      </c>
      <c r="AB838" s="195">
        <f t="shared" ca="1" si="191"/>
        <v>0</v>
      </c>
      <c r="AD838" s="196">
        <f>IFERROR($G838/SUMIF($A:$A,$A838,$G:$G)*SUMIF(Summary!$A$166:$A$242,$A838,Summary!$P$166:$P$242),0)</f>
        <v>0</v>
      </c>
      <c r="AE838" s="197">
        <f t="shared" ref="AE838:AE901" ca="1" si="192">V838+X838-AD838</f>
        <v>0</v>
      </c>
      <c r="AF838" s="196">
        <f>IFERROR(G838/SUMIF(A:A,A838,G:G)*SUMIF(Summary!$A$166:$A$242,'Operations Support'!A838,Summary!$Q$166:$Q$242),0)</f>
        <v>0</v>
      </c>
      <c r="AG838" s="196">
        <f t="shared" ref="AG838:AG901" ca="1" si="193">Y838+Z838-AF838</f>
        <v>0</v>
      </c>
      <c r="AI838" s="196">
        <f>IFERROR($G838/SUMIF($A:$A,$A838,$G:$G)*SUMIF(Summary!$A$247:$A$283,$A838,Summary!$P$247:$P$283),0)</f>
        <v>0</v>
      </c>
      <c r="AJ838" s="196">
        <f>IFERROR($G838/SUMIF($A:$A,$A838,$G:$G)*(SUMIF(Summary!$A$247:$A$283,$A838,Summary!$L$247:$L$283)+SUMIF(Summary!$A$297:$A$333,$A838,Summary!$L$297:$L$333))-AI838,0)</f>
        <v>0</v>
      </c>
      <c r="AK838" s="196">
        <f>IFERROR($G838/SUMIF($A:$A,$A838,$G:$G)*SUMIF(Summary!$A$247:$A$283,$A838,Summary!$Q$247:$Q$283),0)</f>
        <v>0</v>
      </c>
      <c r="AL838" s="196">
        <f>IFERROR($G838/SUMIF($A:$A,$A838,$G:$G)*(SUMIF(Summary!$A$247:$A$283,$A838,Summary!$L$247:$L$283)+SUMIF(Summary!$A$297:$A$333,$A838,Summary!$L$297:$L$333))-AK838,0)</f>
        <v>0</v>
      </c>
      <c r="AM838" s="198"/>
      <c r="AN838" s="196">
        <f t="shared" ref="AN838:AN901" ca="1" si="194">AE838+AJ838</f>
        <v>0</v>
      </c>
      <c r="AO838" s="196">
        <f t="shared" ref="AO838:AO901" ca="1" si="195">AG838+AL838</f>
        <v>0</v>
      </c>
    </row>
    <row r="839" spans="1:41">
      <c r="A839" s="189">
        <v>3606</v>
      </c>
      <c r="B839" s="203">
        <v>5</v>
      </c>
      <c r="C839" s="191" t="s">
        <v>235</v>
      </c>
      <c r="D839" s="192">
        <f t="shared" si="182"/>
        <v>0</v>
      </c>
      <c r="E839" s="192">
        <f t="shared" si="183"/>
        <v>0</v>
      </c>
      <c r="F839" s="192">
        <f t="shared" si="184"/>
        <v>0</v>
      </c>
      <c r="G839" s="193">
        <f t="shared" si="185"/>
        <v>0</v>
      </c>
      <c r="H839" s="194">
        <v>0</v>
      </c>
      <c r="I839" s="194">
        <v>0</v>
      </c>
      <c r="J839" s="194">
        <v>0</v>
      </c>
      <c r="K839" s="193">
        <f t="shared" si="186"/>
        <v>0</v>
      </c>
      <c r="L839" s="194">
        <v>0</v>
      </c>
      <c r="M839" s="194">
        <v>0</v>
      </c>
      <c r="N839" s="194">
        <v>0</v>
      </c>
      <c r="O839" s="193">
        <f t="shared" si="187"/>
        <v>0</v>
      </c>
      <c r="P839" s="194">
        <v>0</v>
      </c>
      <c r="Q839" s="194">
        <v>0</v>
      </c>
      <c r="R839" s="194">
        <v>0</v>
      </c>
      <c r="S839" s="193">
        <f t="shared" si="188"/>
        <v>0</v>
      </c>
      <c r="T839" s="193">
        <f t="shared" si="189"/>
        <v>0</v>
      </c>
      <c r="U839" s="193">
        <f ca="1">OFFSET('Expenditure Study'!$B$7,'Operations Support'!$C839,'Operations Support'!$B839)*$G839</f>
        <v>0</v>
      </c>
      <c r="V839" s="199">
        <f ca="1">U839*'Expenditure Study'!$B$31</f>
        <v>0</v>
      </c>
      <c r="W839" s="199">
        <f ca="1">IF(A839=10298,1.51,1)*IF($B839&lt;3,$D839*'Expenditure Study'!$B$32*OFFSET('Expenditure Study'!$B$7,'Operations Support'!$C839,'Operations Support'!$B839),0)</f>
        <v>0</v>
      </c>
      <c r="X839" s="200">
        <f ca="1">W839*'Expenditure Study'!$B$31</f>
        <v>0</v>
      </c>
      <c r="Y839" s="199">
        <f ca="1">U839*'Expenditure Study'!$B$31</f>
        <v>0</v>
      </c>
      <c r="Z839" s="200">
        <f ca="1">W839*'Expenditure Study'!$B$31</f>
        <v>0</v>
      </c>
      <c r="AA839" s="195">
        <f t="shared" ca="1" si="190"/>
        <v>0</v>
      </c>
      <c r="AB839" s="195">
        <f t="shared" ca="1" si="191"/>
        <v>0</v>
      </c>
      <c r="AD839" s="196">
        <f>IFERROR($G839/SUMIF($A:$A,$A839,$G:$G)*SUMIF(Summary!$A$166:$A$242,$A839,Summary!$P$166:$P$242),0)</f>
        <v>0</v>
      </c>
      <c r="AE839" s="197">
        <f t="shared" ca="1" si="192"/>
        <v>0</v>
      </c>
      <c r="AF839" s="196">
        <f>IFERROR(G839/SUMIF(A:A,A839,G:G)*SUMIF(Summary!$A$166:$A$242,'Operations Support'!A839,Summary!$Q$166:$Q$242),0)</f>
        <v>0</v>
      </c>
      <c r="AG839" s="196">
        <f t="shared" ca="1" si="193"/>
        <v>0</v>
      </c>
      <c r="AI839" s="196">
        <f>IFERROR($G839/SUMIF($A:$A,$A839,$G:$G)*SUMIF(Summary!$A$247:$A$283,$A839,Summary!$P$247:$P$283),0)</f>
        <v>0</v>
      </c>
      <c r="AJ839" s="196">
        <f>IFERROR($G839/SUMIF($A:$A,$A839,$G:$G)*(SUMIF(Summary!$A$247:$A$283,$A839,Summary!$L$247:$L$283)+SUMIF(Summary!$A$297:$A$333,$A839,Summary!$L$297:$L$333))-AI839,0)</f>
        <v>0</v>
      </c>
      <c r="AK839" s="196">
        <f>IFERROR($G839/SUMIF($A:$A,$A839,$G:$G)*SUMIF(Summary!$A$247:$A$283,$A839,Summary!$Q$247:$Q$283),0)</f>
        <v>0</v>
      </c>
      <c r="AL839" s="196">
        <f>IFERROR($G839/SUMIF($A:$A,$A839,$G:$G)*(SUMIF(Summary!$A$247:$A$283,$A839,Summary!$L$247:$L$283)+SUMIF(Summary!$A$297:$A$333,$A839,Summary!$L$297:$L$333))-AK839,0)</f>
        <v>0</v>
      </c>
      <c r="AM839" s="198"/>
      <c r="AN839" s="196">
        <f t="shared" ca="1" si="194"/>
        <v>0</v>
      </c>
      <c r="AO839" s="196">
        <f t="shared" ca="1" si="195"/>
        <v>0</v>
      </c>
    </row>
    <row r="840" spans="1:41">
      <c r="A840" s="189">
        <v>3606</v>
      </c>
      <c r="B840" s="203">
        <v>5</v>
      </c>
      <c r="C840" s="191" t="s">
        <v>236</v>
      </c>
      <c r="D840" s="192">
        <f t="shared" si="182"/>
        <v>0</v>
      </c>
      <c r="E840" s="192">
        <f t="shared" si="183"/>
        <v>0</v>
      </c>
      <c r="F840" s="192">
        <f t="shared" si="184"/>
        <v>0</v>
      </c>
      <c r="G840" s="193">
        <f t="shared" si="185"/>
        <v>0</v>
      </c>
      <c r="H840" s="194">
        <v>0</v>
      </c>
      <c r="I840" s="194">
        <v>0</v>
      </c>
      <c r="J840" s="194">
        <v>0</v>
      </c>
      <c r="K840" s="193">
        <f t="shared" si="186"/>
        <v>0</v>
      </c>
      <c r="L840" s="194">
        <v>0</v>
      </c>
      <c r="M840" s="194">
        <v>0</v>
      </c>
      <c r="N840" s="194">
        <v>0</v>
      </c>
      <c r="O840" s="193">
        <f t="shared" si="187"/>
        <v>0</v>
      </c>
      <c r="P840" s="194">
        <v>0</v>
      </c>
      <c r="Q840" s="194">
        <v>0</v>
      </c>
      <c r="R840" s="194">
        <v>0</v>
      </c>
      <c r="S840" s="193">
        <f t="shared" si="188"/>
        <v>0</v>
      </c>
      <c r="T840" s="193">
        <f t="shared" si="189"/>
        <v>0</v>
      </c>
      <c r="U840" s="193">
        <f ca="1">OFFSET('Expenditure Study'!$B$7,'Operations Support'!$C840,'Operations Support'!$B840)*$G840</f>
        <v>0</v>
      </c>
      <c r="V840" s="199">
        <f ca="1">U840*'Expenditure Study'!$B$31</f>
        <v>0</v>
      </c>
      <c r="W840" s="199">
        <f ca="1">IF(A840=10298,1.51,1)*IF($B840&lt;3,$D840*'Expenditure Study'!$B$32*OFFSET('Expenditure Study'!$B$7,'Operations Support'!$C840,'Operations Support'!$B840),0)</f>
        <v>0</v>
      </c>
      <c r="X840" s="200">
        <f ca="1">W840*'Expenditure Study'!$B$31</f>
        <v>0</v>
      </c>
      <c r="Y840" s="199">
        <f ca="1">U840*'Expenditure Study'!$B$31</f>
        <v>0</v>
      </c>
      <c r="Z840" s="200">
        <f ca="1">W840*'Expenditure Study'!$B$31</f>
        <v>0</v>
      </c>
      <c r="AA840" s="195">
        <f t="shared" ca="1" si="190"/>
        <v>0</v>
      </c>
      <c r="AB840" s="195">
        <f t="shared" ca="1" si="191"/>
        <v>0</v>
      </c>
      <c r="AD840" s="196">
        <f>IFERROR($G840/SUMIF($A:$A,$A840,$G:$G)*SUMIF(Summary!$A$166:$A$242,$A840,Summary!$P$166:$P$242),0)</f>
        <v>0</v>
      </c>
      <c r="AE840" s="197">
        <f t="shared" ca="1" si="192"/>
        <v>0</v>
      </c>
      <c r="AF840" s="196">
        <f>IFERROR(G840/SUMIF(A:A,A840,G:G)*SUMIF(Summary!$A$166:$A$242,'Operations Support'!A840,Summary!$Q$166:$Q$242),0)</f>
        <v>0</v>
      </c>
      <c r="AG840" s="196">
        <f t="shared" ca="1" si="193"/>
        <v>0</v>
      </c>
      <c r="AI840" s="196">
        <f>IFERROR($G840/SUMIF($A:$A,$A840,$G:$G)*SUMIF(Summary!$A$247:$A$283,$A840,Summary!$P$247:$P$283),0)</f>
        <v>0</v>
      </c>
      <c r="AJ840" s="196">
        <f>IFERROR($G840/SUMIF($A:$A,$A840,$G:$G)*(SUMIF(Summary!$A$247:$A$283,$A840,Summary!$L$247:$L$283)+SUMIF(Summary!$A$297:$A$333,$A840,Summary!$L$297:$L$333))-AI840,0)</f>
        <v>0</v>
      </c>
      <c r="AK840" s="196">
        <f>IFERROR($G840/SUMIF($A:$A,$A840,$G:$G)*SUMIF(Summary!$A$247:$A$283,$A840,Summary!$Q$247:$Q$283),0)</f>
        <v>0</v>
      </c>
      <c r="AL840" s="196">
        <f>IFERROR($G840/SUMIF($A:$A,$A840,$G:$G)*(SUMIF(Summary!$A$247:$A$283,$A840,Summary!$L$247:$L$283)+SUMIF(Summary!$A$297:$A$333,$A840,Summary!$L$297:$L$333))-AK840,0)</f>
        <v>0</v>
      </c>
      <c r="AM840" s="198"/>
      <c r="AN840" s="196">
        <f t="shared" ca="1" si="194"/>
        <v>0</v>
      </c>
      <c r="AO840" s="196">
        <f t="shared" ca="1" si="195"/>
        <v>0</v>
      </c>
    </row>
    <row r="841" spans="1:41">
      <c r="A841" s="189">
        <v>3606</v>
      </c>
      <c r="B841" s="203">
        <v>5</v>
      </c>
      <c r="C841" s="191" t="s">
        <v>237</v>
      </c>
      <c r="D841" s="192">
        <f t="shared" si="182"/>
        <v>0</v>
      </c>
      <c r="E841" s="192">
        <f t="shared" si="183"/>
        <v>0</v>
      </c>
      <c r="F841" s="192">
        <f t="shared" si="184"/>
        <v>0</v>
      </c>
      <c r="G841" s="193">
        <f t="shared" si="185"/>
        <v>0</v>
      </c>
      <c r="H841" s="194">
        <v>0</v>
      </c>
      <c r="I841" s="194">
        <v>0</v>
      </c>
      <c r="J841" s="194">
        <v>0</v>
      </c>
      <c r="K841" s="193">
        <f t="shared" si="186"/>
        <v>0</v>
      </c>
      <c r="L841" s="194">
        <v>0</v>
      </c>
      <c r="M841" s="194">
        <v>0</v>
      </c>
      <c r="N841" s="194">
        <v>0</v>
      </c>
      <c r="O841" s="193">
        <f t="shared" si="187"/>
        <v>0</v>
      </c>
      <c r="P841" s="194">
        <v>0</v>
      </c>
      <c r="Q841" s="194">
        <v>0</v>
      </c>
      <c r="R841" s="194">
        <v>0</v>
      </c>
      <c r="S841" s="193">
        <f t="shared" si="188"/>
        <v>0</v>
      </c>
      <c r="T841" s="193">
        <f t="shared" si="189"/>
        <v>0</v>
      </c>
      <c r="U841" s="193">
        <f ca="1">OFFSET('Expenditure Study'!$B$7,'Operations Support'!$C841,'Operations Support'!$B841)*$G841</f>
        <v>0</v>
      </c>
      <c r="V841" s="199">
        <f ca="1">U841*'Expenditure Study'!$B$31</f>
        <v>0</v>
      </c>
      <c r="W841" s="199">
        <f ca="1">IF(A841=10298,1.51,1)*IF($B841&lt;3,$D841*'Expenditure Study'!$B$32*OFFSET('Expenditure Study'!$B$7,'Operations Support'!$C841,'Operations Support'!$B841),0)</f>
        <v>0</v>
      </c>
      <c r="X841" s="200">
        <f ca="1">W841*'Expenditure Study'!$B$31</f>
        <v>0</v>
      </c>
      <c r="Y841" s="199">
        <f ca="1">U841*'Expenditure Study'!$B$31</f>
        <v>0</v>
      </c>
      <c r="Z841" s="200">
        <f ca="1">W841*'Expenditure Study'!$B$31</f>
        <v>0</v>
      </c>
      <c r="AA841" s="195">
        <f t="shared" ca="1" si="190"/>
        <v>0</v>
      </c>
      <c r="AB841" s="195">
        <f t="shared" ca="1" si="191"/>
        <v>0</v>
      </c>
      <c r="AD841" s="196">
        <f>IFERROR($G841/SUMIF($A:$A,$A841,$G:$G)*SUMIF(Summary!$A$166:$A$242,$A841,Summary!$P$166:$P$242),0)</f>
        <v>0</v>
      </c>
      <c r="AE841" s="197">
        <f t="shared" ca="1" si="192"/>
        <v>0</v>
      </c>
      <c r="AF841" s="196">
        <f>IFERROR(G841/SUMIF(A:A,A841,G:G)*SUMIF(Summary!$A$166:$A$242,'Operations Support'!A841,Summary!$Q$166:$Q$242),0)</f>
        <v>0</v>
      </c>
      <c r="AG841" s="196">
        <f t="shared" ca="1" si="193"/>
        <v>0</v>
      </c>
      <c r="AI841" s="196">
        <f>IFERROR($G841/SUMIF($A:$A,$A841,$G:$G)*SUMIF(Summary!$A$247:$A$283,$A841,Summary!$P$247:$P$283),0)</f>
        <v>0</v>
      </c>
      <c r="AJ841" s="196">
        <f>IFERROR($G841/SUMIF($A:$A,$A841,$G:$G)*(SUMIF(Summary!$A$247:$A$283,$A841,Summary!$L$247:$L$283)+SUMIF(Summary!$A$297:$A$333,$A841,Summary!$L$297:$L$333))-AI841,0)</f>
        <v>0</v>
      </c>
      <c r="AK841" s="196">
        <f>IFERROR($G841/SUMIF($A:$A,$A841,$G:$G)*SUMIF(Summary!$A$247:$A$283,$A841,Summary!$Q$247:$Q$283),0)</f>
        <v>0</v>
      </c>
      <c r="AL841" s="196">
        <f>IFERROR($G841/SUMIF($A:$A,$A841,$G:$G)*(SUMIF(Summary!$A$247:$A$283,$A841,Summary!$L$247:$L$283)+SUMIF(Summary!$A$297:$A$333,$A841,Summary!$L$297:$L$333))-AK841,0)</f>
        <v>0</v>
      </c>
      <c r="AM841" s="198"/>
      <c r="AN841" s="196">
        <f t="shared" ca="1" si="194"/>
        <v>0</v>
      </c>
      <c r="AO841" s="196">
        <f t="shared" ca="1" si="195"/>
        <v>0</v>
      </c>
    </row>
    <row r="842" spans="1:41">
      <c r="A842" s="189">
        <v>3606</v>
      </c>
      <c r="B842" s="203">
        <v>5</v>
      </c>
      <c r="C842" s="191" t="s">
        <v>238</v>
      </c>
      <c r="D842" s="192">
        <f t="shared" si="182"/>
        <v>0</v>
      </c>
      <c r="E842" s="192">
        <f t="shared" si="183"/>
        <v>0</v>
      </c>
      <c r="F842" s="192">
        <f t="shared" si="184"/>
        <v>0</v>
      </c>
      <c r="G842" s="193">
        <f t="shared" si="185"/>
        <v>0</v>
      </c>
      <c r="H842" s="194">
        <v>0</v>
      </c>
      <c r="I842" s="194">
        <v>0</v>
      </c>
      <c r="J842" s="194">
        <v>0</v>
      </c>
      <c r="K842" s="193">
        <f t="shared" si="186"/>
        <v>0</v>
      </c>
      <c r="L842" s="194">
        <v>0</v>
      </c>
      <c r="M842" s="194">
        <v>0</v>
      </c>
      <c r="N842" s="194">
        <v>0</v>
      </c>
      <c r="O842" s="193">
        <f t="shared" si="187"/>
        <v>0</v>
      </c>
      <c r="P842" s="194">
        <v>0</v>
      </c>
      <c r="Q842" s="194">
        <v>0</v>
      </c>
      <c r="R842" s="194">
        <v>0</v>
      </c>
      <c r="S842" s="193">
        <f t="shared" si="188"/>
        <v>0</v>
      </c>
      <c r="T842" s="193">
        <f t="shared" si="189"/>
        <v>0</v>
      </c>
      <c r="U842" s="193">
        <f ca="1">OFFSET('Expenditure Study'!$B$7,'Operations Support'!$C842,'Operations Support'!$B842)*$G842</f>
        <v>0</v>
      </c>
      <c r="V842" s="199">
        <f ca="1">U842*'Expenditure Study'!$B$31</f>
        <v>0</v>
      </c>
      <c r="W842" s="199">
        <f ca="1">IF(A842=10298,1.51,1)*IF($B842&lt;3,$D842*'Expenditure Study'!$B$32*OFFSET('Expenditure Study'!$B$7,'Operations Support'!$C842,'Operations Support'!$B842),0)</f>
        <v>0</v>
      </c>
      <c r="X842" s="200">
        <f ca="1">W842*'Expenditure Study'!$B$31</f>
        <v>0</v>
      </c>
      <c r="Y842" s="199">
        <f ca="1">U842*'Expenditure Study'!$B$31</f>
        <v>0</v>
      </c>
      <c r="Z842" s="200">
        <f ca="1">W842*'Expenditure Study'!$B$31</f>
        <v>0</v>
      </c>
      <c r="AA842" s="195">
        <f t="shared" ca="1" si="190"/>
        <v>0</v>
      </c>
      <c r="AB842" s="195">
        <f t="shared" ca="1" si="191"/>
        <v>0</v>
      </c>
      <c r="AD842" s="196">
        <f>IFERROR($G842/SUMIF($A:$A,$A842,$G:$G)*SUMIF(Summary!$A$166:$A$242,$A842,Summary!$P$166:$P$242),0)</f>
        <v>0</v>
      </c>
      <c r="AE842" s="197">
        <f t="shared" ca="1" si="192"/>
        <v>0</v>
      </c>
      <c r="AF842" s="196">
        <f>IFERROR(G842/SUMIF(A:A,A842,G:G)*SUMIF(Summary!$A$166:$A$242,'Operations Support'!A842,Summary!$Q$166:$Q$242),0)</f>
        <v>0</v>
      </c>
      <c r="AG842" s="196">
        <f t="shared" ca="1" si="193"/>
        <v>0</v>
      </c>
      <c r="AI842" s="196">
        <f>IFERROR($G842/SUMIF($A:$A,$A842,$G:$G)*SUMIF(Summary!$A$247:$A$283,$A842,Summary!$P$247:$P$283),0)</f>
        <v>0</v>
      </c>
      <c r="AJ842" s="196">
        <f>IFERROR($G842/SUMIF($A:$A,$A842,$G:$G)*(SUMIF(Summary!$A$247:$A$283,$A842,Summary!$L$247:$L$283)+SUMIF(Summary!$A$297:$A$333,$A842,Summary!$L$297:$L$333))-AI842,0)</f>
        <v>0</v>
      </c>
      <c r="AK842" s="196">
        <f>IFERROR($G842/SUMIF($A:$A,$A842,$G:$G)*SUMIF(Summary!$A$247:$A$283,$A842,Summary!$Q$247:$Q$283),0)</f>
        <v>0</v>
      </c>
      <c r="AL842" s="196">
        <f>IFERROR($G842/SUMIF($A:$A,$A842,$G:$G)*(SUMIF(Summary!$A$247:$A$283,$A842,Summary!$L$247:$L$283)+SUMIF(Summary!$A$297:$A$333,$A842,Summary!$L$297:$L$333))-AK842,0)</f>
        <v>0</v>
      </c>
      <c r="AM842" s="198"/>
      <c r="AN842" s="196">
        <f t="shared" ca="1" si="194"/>
        <v>0</v>
      </c>
      <c r="AO842" s="196">
        <f t="shared" ca="1" si="195"/>
        <v>0</v>
      </c>
    </row>
    <row r="843" spans="1:41">
      <c r="A843" s="189">
        <v>3606</v>
      </c>
      <c r="B843" s="203">
        <v>5</v>
      </c>
      <c r="C843" s="191" t="s">
        <v>239</v>
      </c>
      <c r="D843" s="192">
        <f t="shared" si="182"/>
        <v>0</v>
      </c>
      <c r="E843" s="192">
        <f t="shared" si="183"/>
        <v>0</v>
      </c>
      <c r="F843" s="192">
        <f t="shared" si="184"/>
        <v>0</v>
      </c>
      <c r="G843" s="193">
        <f t="shared" si="185"/>
        <v>0</v>
      </c>
      <c r="H843" s="194">
        <v>0</v>
      </c>
      <c r="I843" s="194">
        <v>0</v>
      </c>
      <c r="J843" s="194">
        <v>0</v>
      </c>
      <c r="K843" s="193">
        <f t="shared" si="186"/>
        <v>0</v>
      </c>
      <c r="L843" s="194">
        <v>0</v>
      </c>
      <c r="M843" s="194">
        <v>0</v>
      </c>
      <c r="N843" s="194">
        <v>0</v>
      </c>
      <c r="O843" s="193">
        <f t="shared" si="187"/>
        <v>0</v>
      </c>
      <c r="P843" s="194">
        <v>0</v>
      </c>
      <c r="Q843" s="194">
        <v>0</v>
      </c>
      <c r="R843" s="194">
        <v>0</v>
      </c>
      <c r="S843" s="193">
        <f t="shared" si="188"/>
        <v>0</v>
      </c>
      <c r="T843" s="193">
        <f t="shared" si="189"/>
        <v>0</v>
      </c>
      <c r="U843" s="193">
        <f ca="1">OFFSET('Expenditure Study'!$B$7,'Operations Support'!$C843,'Operations Support'!$B843)*$G843</f>
        <v>0</v>
      </c>
      <c r="V843" s="199">
        <f ca="1">U843*'Expenditure Study'!$B$31</f>
        <v>0</v>
      </c>
      <c r="W843" s="199">
        <f ca="1">IF(A843=10298,1.51,1)*IF($B843&lt;3,$D843*'Expenditure Study'!$B$32*OFFSET('Expenditure Study'!$B$7,'Operations Support'!$C843,'Operations Support'!$B843),0)</f>
        <v>0</v>
      </c>
      <c r="X843" s="200">
        <f ca="1">W843*'Expenditure Study'!$B$31</f>
        <v>0</v>
      </c>
      <c r="Y843" s="199">
        <f ca="1">U843*'Expenditure Study'!$B$31</f>
        <v>0</v>
      </c>
      <c r="Z843" s="200">
        <f ca="1">W843*'Expenditure Study'!$B$31</f>
        <v>0</v>
      </c>
      <c r="AA843" s="195">
        <f t="shared" ca="1" si="190"/>
        <v>0</v>
      </c>
      <c r="AB843" s="195">
        <f t="shared" ca="1" si="191"/>
        <v>0</v>
      </c>
      <c r="AD843" s="196">
        <f>IFERROR($G843/SUMIF($A:$A,$A843,$G:$G)*SUMIF(Summary!$A$166:$A$242,$A843,Summary!$P$166:$P$242),0)</f>
        <v>0</v>
      </c>
      <c r="AE843" s="197">
        <f t="shared" ca="1" si="192"/>
        <v>0</v>
      </c>
      <c r="AF843" s="196">
        <f>IFERROR(G843/SUMIF(A:A,A843,G:G)*SUMIF(Summary!$A$166:$A$242,'Operations Support'!A843,Summary!$Q$166:$Q$242),0)</f>
        <v>0</v>
      </c>
      <c r="AG843" s="196">
        <f t="shared" ca="1" si="193"/>
        <v>0</v>
      </c>
      <c r="AI843" s="196">
        <f>IFERROR($G843/SUMIF($A:$A,$A843,$G:$G)*SUMIF(Summary!$A$247:$A$283,$A843,Summary!$P$247:$P$283),0)</f>
        <v>0</v>
      </c>
      <c r="AJ843" s="196">
        <f>IFERROR($G843/SUMIF($A:$A,$A843,$G:$G)*(SUMIF(Summary!$A$247:$A$283,$A843,Summary!$L$247:$L$283)+SUMIF(Summary!$A$297:$A$333,$A843,Summary!$L$297:$L$333))-AI843,0)</f>
        <v>0</v>
      </c>
      <c r="AK843" s="196">
        <f>IFERROR($G843/SUMIF($A:$A,$A843,$G:$G)*SUMIF(Summary!$A$247:$A$283,$A843,Summary!$Q$247:$Q$283),0)</f>
        <v>0</v>
      </c>
      <c r="AL843" s="196">
        <f>IFERROR($G843/SUMIF($A:$A,$A843,$G:$G)*(SUMIF(Summary!$A$247:$A$283,$A843,Summary!$L$247:$L$283)+SUMIF(Summary!$A$297:$A$333,$A843,Summary!$L$297:$L$333))-AK843,0)</f>
        <v>0</v>
      </c>
      <c r="AM843" s="198"/>
      <c r="AN843" s="196">
        <f t="shared" ca="1" si="194"/>
        <v>0</v>
      </c>
      <c r="AO843" s="196">
        <f t="shared" ca="1" si="195"/>
        <v>0</v>
      </c>
    </row>
    <row r="844" spans="1:41">
      <c r="A844" s="189">
        <v>3606</v>
      </c>
      <c r="B844" s="203">
        <v>5</v>
      </c>
      <c r="C844" s="191" t="s">
        <v>240</v>
      </c>
      <c r="D844" s="192">
        <f t="shared" si="182"/>
        <v>0</v>
      </c>
      <c r="E844" s="192">
        <f t="shared" si="183"/>
        <v>0</v>
      </c>
      <c r="F844" s="192">
        <f t="shared" si="184"/>
        <v>0</v>
      </c>
      <c r="G844" s="193">
        <f t="shared" si="185"/>
        <v>0</v>
      </c>
      <c r="H844" s="194">
        <v>0</v>
      </c>
      <c r="I844" s="194">
        <v>0</v>
      </c>
      <c r="J844" s="194">
        <v>0</v>
      </c>
      <c r="K844" s="193">
        <f t="shared" si="186"/>
        <v>0</v>
      </c>
      <c r="L844" s="194">
        <v>0</v>
      </c>
      <c r="M844" s="194">
        <v>0</v>
      </c>
      <c r="N844" s="194">
        <v>0</v>
      </c>
      <c r="O844" s="193">
        <f t="shared" si="187"/>
        <v>0</v>
      </c>
      <c r="P844" s="194">
        <v>0</v>
      </c>
      <c r="Q844" s="194">
        <v>0</v>
      </c>
      <c r="R844" s="194">
        <v>0</v>
      </c>
      <c r="S844" s="193">
        <f t="shared" si="188"/>
        <v>0</v>
      </c>
      <c r="T844" s="193">
        <f t="shared" si="189"/>
        <v>0</v>
      </c>
      <c r="U844" s="193">
        <f ca="1">OFFSET('Expenditure Study'!$B$7,'Operations Support'!$C844,'Operations Support'!$B844)*$G844</f>
        <v>0</v>
      </c>
      <c r="V844" s="199">
        <f ca="1">U844*'Expenditure Study'!$B$31</f>
        <v>0</v>
      </c>
      <c r="W844" s="199">
        <f ca="1">IF(A844=10298,1.51,1)*IF($B844&lt;3,$D844*'Expenditure Study'!$B$32*OFFSET('Expenditure Study'!$B$7,'Operations Support'!$C844,'Operations Support'!$B844),0)</f>
        <v>0</v>
      </c>
      <c r="X844" s="200">
        <f ca="1">W844*'Expenditure Study'!$B$31</f>
        <v>0</v>
      </c>
      <c r="Y844" s="199">
        <f ca="1">U844*'Expenditure Study'!$B$31</f>
        <v>0</v>
      </c>
      <c r="Z844" s="200">
        <f ca="1">W844*'Expenditure Study'!$B$31</f>
        <v>0</v>
      </c>
      <c r="AA844" s="195">
        <f t="shared" ca="1" si="190"/>
        <v>0</v>
      </c>
      <c r="AB844" s="195">
        <f t="shared" ca="1" si="191"/>
        <v>0</v>
      </c>
      <c r="AD844" s="196">
        <f>IFERROR($G844/SUMIF($A:$A,$A844,$G:$G)*SUMIF(Summary!$A$166:$A$242,$A844,Summary!$P$166:$P$242),0)</f>
        <v>0</v>
      </c>
      <c r="AE844" s="197">
        <f t="shared" ca="1" si="192"/>
        <v>0</v>
      </c>
      <c r="AF844" s="196">
        <f>IFERROR(G844/SUMIF(A:A,A844,G:G)*SUMIF(Summary!$A$166:$A$242,'Operations Support'!A844,Summary!$Q$166:$Q$242),0)</f>
        <v>0</v>
      </c>
      <c r="AG844" s="196">
        <f t="shared" ca="1" si="193"/>
        <v>0</v>
      </c>
      <c r="AI844" s="196">
        <f>IFERROR($G844/SUMIF($A:$A,$A844,$G:$G)*SUMIF(Summary!$A$247:$A$283,$A844,Summary!$P$247:$P$283),0)</f>
        <v>0</v>
      </c>
      <c r="AJ844" s="196">
        <f>IFERROR($G844/SUMIF($A:$A,$A844,$G:$G)*(SUMIF(Summary!$A$247:$A$283,$A844,Summary!$L$247:$L$283)+SUMIF(Summary!$A$297:$A$333,$A844,Summary!$L$297:$L$333))-AI844,0)</f>
        <v>0</v>
      </c>
      <c r="AK844" s="196">
        <f>IFERROR($G844/SUMIF($A:$A,$A844,$G:$G)*SUMIF(Summary!$A$247:$A$283,$A844,Summary!$Q$247:$Q$283),0)</f>
        <v>0</v>
      </c>
      <c r="AL844" s="196">
        <f>IFERROR($G844/SUMIF($A:$A,$A844,$G:$G)*(SUMIF(Summary!$A$247:$A$283,$A844,Summary!$L$247:$L$283)+SUMIF(Summary!$A$297:$A$333,$A844,Summary!$L$297:$L$333))-AK844,0)</f>
        <v>0</v>
      </c>
      <c r="AM844" s="198"/>
      <c r="AN844" s="196">
        <f t="shared" ca="1" si="194"/>
        <v>0</v>
      </c>
      <c r="AO844" s="196">
        <f t="shared" ca="1" si="195"/>
        <v>0</v>
      </c>
    </row>
    <row r="845" spans="1:41">
      <c r="A845" s="189">
        <v>3615</v>
      </c>
      <c r="B845" s="202">
        <v>1</v>
      </c>
      <c r="C845" s="191" t="s">
        <v>220</v>
      </c>
      <c r="D845" s="192">
        <f t="shared" si="182"/>
        <v>57322</v>
      </c>
      <c r="E845" s="192">
        <f t="shared" si="183"/>
        <v>237479</v>
      </c>
      <c r="F845" s="192">
        <f t="shared" si="184"/>
        <v>0</v>
      </c>
      <c r="G845" s="193">
        <f t="shared" si="185"/>
        <v>294801</v>
      </c>
      <c r="H845" s="194">
        <v>22297</v>
      </c>
      <c r="I845" s="194">
        <v>99465</v>
      </c>
      <c r="J845" s="194">
        <v>0</v>
      </c>
      <c r="K845" s="193">
        <f t="shared" si="186"/>
        <v>121762</v>
      </c>
      <c r="L845" s="194">
        <v>30530</v>
      </c>
      <c r="M845" s="194">
        <v>128294</v>
      </c>
      <c r="N845" s="194">
        <v>0</v>
      </c>
      <c r="O845" s="193">
        <f t="shared" si="187"/>
        <v>158824</v>
      </c>
      <c r="P845" s="194">
        <v>4495</v>
      </c>
      <c r="Q845" s="194">
        <v>9720</v>
      </c>
      <c r="R845" s="194">
        <v>0</v>
      </c>
      <c r="S845" s="193">
        <f t="shared" si="188"/>
        <v>14215</v>
      </c>
      <c r="T845" s="193">
        <f t="shared" si="189"/>
        <v>9826.7000000000007</v>
      </c>
      <c r="U845" s="193">
        <f ca="1">OFFSET('Expenditure Study'!$B$7,'Operations Support'!$C845,'Operations Support'!$B845)*$G845</f>
        <v>294801</v>
      </c>
      <c r="V845" s="199">
        <f ca="1">U845*'Expenditure Study'!$B$31</f>
        <v>17417780.783020802</v>
      </c>
      <c r="W845" s="199">
        <f ca="1">IF(A845=10298,1.51,1)*IF($B845&lt;3,$D845*'Expenditure Study'!$B$32*OFFSET('Expenditure Study'!$B$7,'Operations Support'!$C845,'Operations Support'!$B845),0)</f>
        <v>5732.2000000000007</v>
      </c>
      <c r="X845" s="200">
        <f ca="1">W845*'Expenditure Study'!$B$31</f>
        <v>338676.60898176004</v>
      </c>
      <c r="Y845" s="199">
        <f ca="1">U845*'Expenditure Study'!$B$31</f>
        <v>17417780.783020802</v>
      </c>
      <c r="Z845" s="200">
        <f ca="1">W845*'Expenditure Study'!$B$31</f>
        <v>338676.60898176004</v>
      </c>
      <c r="AA845" s="195">
        <f t="shared" ca="1" si="190"/>
        <v>17756457.39200256</v>
      </c>
      <c r="AB845" s="195">
        <f t="shared" ca="1" si="191"/>
        <v>17756457.39200256</v>
      </c>
      <c r="AD845" s="196">
        <f>IFERROR($G845/SUMIF($A:$A,$A845,$G:$G)*SUMIF(Summary!$A$166:$A$242,$A845,Summary!$P$166:$P$242),0)</f>
        <v>7789621.1196815521</v>
      </c>
      <c r="AE845" s="197">
        <f t="shared" ca="1" si="192"/>
        <v>9966836.2723210081</v>
      </c>
      <c r="AF845" s="196">
        <f>IFERROR(G845/SUMIF(A:A,A845,G:G)*SUMIF(Summary!$A$166:$A$242,'Operations Support'!A845,Summary!$Q$166:$Q$242),0)</f>
        <v>7805106.5909772003</v>
      </c>
      <c r="AG845" s="196">
        <f t="shared" ca="1" si="193"/>
        <v>9951350.8010253608</v>
      </c>
      <c r="AI845" s="196">
        <f>IFERROR($G845/SUMIF($A:$A,$A845,$G:$G)*SUMIF(Summary!$A$247:$A$283,$A845,Summary!$P$247:$P$283),0)</f>
        <v>1420632.504401709</v>
      </c>
      <c r="AJ845" s="196">
        <f>IFERROR($G845/SUMIF($A:$A,$A845,$G:$G)*(SUMIF(Summary!$A$247:$A$283,$A845,Summary!$L$247:$L$283)+SUMIF(Summary!$A$297:$A$333,$A845,Summary!$L$297:$L$333))-AI845,0)</f>
        <v>5229451.8474557875</v>
      </c>
      <c r="AK845" s="196">
        <f>IFERROR($G845/SUMIF($A:$A,$A845,$G:$G)*SUMIF(Summary!$A$247:$A$283,$A845,Summary!$Q$247:$Q$283),0)</f>
        <v>1423456.6679304068</v>
      </c>
      <c r="AL845" s="196">
        <f>IFERROR($G845/SUMIF($A:$A,$A845,$G:$G)*(SUMIF(Summary!$A$247:$A$283,$A845,Summary!$L$247:$L$283)+SUMIF(Summary!$A$297:$A$333,$A845,Summary!$L$297:$L$333))-AK845,0)</f>
        <v>5226627.6839270899</v>
      </c>
      <c r="AM845" s="198"/>
      <c r="AN845" s="196">
        <f t="shared" ca="1" si="194"/>
        <v>15196288.119776797</v>
      </c>
      <c r="AO845" s="196">
        <f t="shared" ca="1" si="195"/>
        <v>15177978.48495245</v>
      </c>
    </row>
    <row r="846" spans="1:41">
      <c r="A846" s="189">
        <v>3615</v>
      </c>
      <c r="B846" s="203">
        <v>1</v>
      </c>
      <c r="C846" s="191" t="s">
        <v>221</v>
      </c>
      <c r="D846" s="192">
        <f t="shared" si="182"/>
        <v>15827</v>
      </c>
      <c r="E846" s="192">
        <f t="shared" si="183"/>
        <v>75055</v>
      </c>
      <c r="F846" s="192">
        <f t="shared" si="184"/>
        <v>0</v>
      </c>
      <c r="G846" s="193">
        <f t="shared" si="185"/>
        <v>90882</v>
      </c>
      <c r="H846" s="194">
        <v>7733</v>
      </c>
      <c r="I846" s="194">
        <v>33728</v>
      </c>
      <c r="J846" s="194">
        <v>0</v>
      </c>
      <c r="K846" s="193">
        <f t="shared" si="186"/>
        <v>41461</v>
      </c>
      <c r="L846" s="194">
        <v>7671</v>
      </c>
      <c r="M846" s="194">
        <v>36650</v>
      </c>
      <c r="N846" s="194">
        <v>0</v>
      </c>
      <c r="O846" s="193">
        <f t="shared" si="187"/>
        <v>44321</v>
      </c>
      <c r="P846" s="194">
        <v>423</v>
      </c>
      <c r="Q846" s="194">
        <v>4677</v>
      </c>
      <c r="R846" s="194">
        <v>0</v>
      </c>
      <c r="S846" s="193">
        <f t="shared" si="188"/>
        <v>5100</v>
      </c>
      <c r="T846" s="193">
        <f t="shared" si="189"/>
        <v>3029.4</v>
      </c>
      <c r="U846" s="193">
        <f ca="1">OFFSET('Expenditure Study'!$B$7,'Operations Support'!$C846,'Operations Support'!$B846)*$G846</f>
        <v>121781.88</v>
      </c>
      <c r="V846" s="199">
        <f ca="1">U846*'Expenditure Study'!$B$31</f>
        <v>7195260.8342039045</v>
      </c>
      <c r="W846" s="199">
        <f ca="1">IF(A846=10298,1.51,1)*IF($B846&lt;3,$D846*'Expenditure Study'!$B$32*OFFSET('Expenditure Study'!$B$7,'Operations Support'!$C846,'Operations Support'!$B846),0)</f>
        <v>2120.8180000000002</v>
      </c>
      <c r="X846" s="200">
        <f ca="1">W846*'Expenditure Study'!$B$31</f>
        <v>125304.67333789442</v>
      </c>
      <c r="Y846" s="199">
        <f ca="1">U846*'Expenditure Study'!$B$31</f>
        <v>7195260.8342039045</v>
      </c>
      <c r="Z846" s="200">
        <f ca="1">W846*'Expenditure Study'!$B$31</f>
        <v>125304.67333789442</v>
      </c>
      <c r="AA846" s="195">
        <f t="shared" ca="1" si="190"/>
        <v>7320565.507541799</v>
      </c>
      <c r="AB846" s="195">
        <f t="shared" ca="1" si="191"/>
        <v>7320565.507541799</v>
      </c>
      <c r="AD846" s="196">
        <f>IFERROR($G846/SUMIF($A:$A,$A846,$G:$G)*SUMIF(Summary!$A$166:$A$242,$A846,Summary!$P$166:$P$242),0)</f>
        <v>2401404.1560201589</v>
      </c>
      <c r="AE846" s="197">
        <f t="shared" ca="1" si="192"/>
        <v>4919161.3515216401</v>
      </c>
      <c r="AF846" s="196">
        <f>IFERROR(G846/SUMIF(A:A,A846,G:G)*SUMIF(Summary!$A$166:$A$242,'Operations Support'!A846,Summary!$Q$166:$Q$242),0)</f>
        <v>2406178.0563878343</v>
      </c>
      <c r="AG846" s="196">
        <f t="shared" ca="1" si="193"/>
        <v>4914387.4511539647</v>
      </c>
      <c r="AI846" s="196">
        <f>IFERROR($G846/SUMIF($A:$A,$A846,$G:$G)*SUMIF(Summary!$A$247:$A$283,$A846,Summary!$P$247:$P$283),0)</f>
        <v>437956.19168536097</v>
      </c>
      <c r="AJ846" s="196">
        <f>IFERROR($G846/SUMIF($A:$A,$A846,$G:$G)*(SUMIF(Summary!$A$247:$A$283,$A846,Summary!$L$247:$L$283)+SUMIF(Summary!$A$297:$A$333,$A846,Summary!$L$297:$L$333))-AI846,0)</f>
        <v>1612148.6792801819</v>
      </c>
      <c r="AK846" s="196">
        <f>IFERROR($G846/SUMIF($A:$A,$A846,$G:$G)*SUMIF(Summary!$A$247:$A$283,$A846,Summary!$Q$247:$Q$283),0)</f>
        <v>438826.83198106935</v>
      </c>
      <c r="AL846" s="196">
        <f>IFERROR($G846/SUMIF($A:$A,$A846,$G:$G)*(SUMIF(Summary!$A$247:$A$283,$A846,Summary!$L$247:$L$283)+SUMIF(Summary!$A$297:$A$333,$A846,Summary!$L$297:$L$333))-AK846,0)</f>
        <v>1611278.0389844733</v>
      </c>
      <c r="AM846" s="198"/>
      <c r="AN846" s="196">
        <f t="shared" ca="1" si="194"/>
        <v>6531310.0308018215</v>
      </c>
      <c r="AO846" s="196">
        <f t="shared" ca="1" si="195"/>
        <v>6525665.4901384376</v>
      </c>
    </row>
    <row r="847" spans="1:41" s="201" customFormat="1">
      <c r="A847" s="189">
        <v>3615</v>
      </c>
      <c r="B847" s="203">
        <v>1</v>
      </c>
      <c r="C847" s="191" t="s">
        <v>222</v>
      </c>
      <c r="D847" s="192">
        <f t="shared" si="182"/>
        <v>8326</v>
      </c>
      <c r="E847" s="192">
        <f t="shared" si="183"/>
        <v>41628</v>
      </c>
      <c r="F847" s="192">
        <f t="shared" si="184"/>
        <v>0</v>
      </c>
      <c r="G847" s="193">
        <f t="shared" si="185"/>
        <v>49954</v>
      </c>
      <c r="H847" s="194">
        <v>3335.5</v>
      </c>
      <c r="I847" s="194">
        <v>18012.5</v>
      </c>
      <c r="J847" s="194">
        <v>0</v>
      </c>
      <c r="K847" s="193">
        <f t="shared" si="186"/>
        <v>21348</v>
      </c>
      <c r="L847" s="194">
        <v>4515.5</v>
      </c>
      <c r="M847" s="194">
        <v>23028.5</v>
      </c>
      <c r="N847" s="194">
        <v>0</v>
      </c>
      <c r="O847" s="193">
        <f t="shared" si="187"/>
        <v>27544</v>
      </c>
      <c r="P847" s="194">
        <v>475</v>
      </c>
      <c r="Q847" s="194">
        <v>587</v>
      </c>
      <c r="R847" s="194">
        <v>0</v>
      </c>
      <c r="S847" s="193">
        <f t="shared" si="188"/>
        <v>1062</v>
      </c>
      <c r="T847" s="193">
        <f t="shared" si="189"/>
        <v>1665.1333333333334</v>
      </c>
      <c r="U847" s="193">
        <f ca="1">OFFSET('Expenditure Study'!$B$7,'Operations Support'!$C847,'Operations Support'!$B847)*$G847</f>
        <v>68436.98000000001</v>
      </c>
      <c r="V847" s="199">
        <f ca="1">U847*'Expenditure Study'!$B$31</f>
        <v>4043474.4627459846</v>
      </c>
      <c r="W847" s="199">
        <f ca="1">IF(A847=10298,1.51,1)*IF($B847&lt;3,$D847*'Expenditure Study'!$B$32*OFFSET('Expenditure Study'!$B$7,'Operations Support'!$C847,'Operations Support'!$B847),0)</f>
        <v>1140.662</v>
      </c>
      <c r="X847" s="200">
        <f ca="1">W847*'Expenditure Study'!$B$31</f>
        <v>67393.939177689608</v>
      </c>
      <c r="Y847" s="199">
        <f ca="1">U847*'Expenditure Study'!$B$31</f>
        <v>4043474.4627459846</v>
      </c>
      <c r="Z847" s="200">
        <f ca="1">W847*'Expenditure Study'!$B$31</f>
        <v>67393.939177689608</v>
      </c>
      <c r="AA847" s="195">
        <f t="shared" ca="1" si="190"/>
        <v>4110868.4019236742</v>
      </c>
      <c r="AB847" s="195">
        <f t="shared" ca="1" si="191"/>
        <v>4110868.4019236742</v>
      </c>
      <c r="AD847" s="196">
        <f>IFERROR($G847/SUMIF($A:$A,$A847,$G:$G)*SUMIF(Summary!$A$166:$A$242,$A847,Summary!$P$166:$P$242),0)</f>
        <v>1319950.5205632688</v>
      </c>
      <c r="AE847" s="197">
        <f t="shared" ca="1" si="192"/>
        <v>2790917.8813604051</v>
      </c>
      <c r="AF847" s="196">
        <f>IFERROR(G847/SUMIF(A:A,A847,G:G)*SUMIF(Summary!$A$166:$A$242,'Operations Support'!A847,Summary!$Q$166:$Q$242),0)</f>
        <v>1322574.5321273503</v>
      </c>
      <c r="AG847" s="196">
        <f t="shared" ca="1" si="193"/>
        <v>2788293.8697963236</v>
      </c>
      <c r="AH847" s="180"/>
      <c r="AI847" s="196">
        <f>IFERROR($G847/SUMIF($A:$A,$A847,$G:$G)*SUMIF(Summary!$A$247:$A$283,$A847,Summary!$P$247:$P$283),0)</f>
        <v>240726.03595266963</v>
      </c>
      <c r="AJ847" s="196">
        <f>IFERROR($G847/SUMIF($A:$A,$A847,$G:$G)*(SUMIF(Summary!$A$247:$A$283,$A847,Summary!$L$247:$L$283)+SUMIF(Summary!$A$297:$A$333,$A847,Summary!$L$297:$L$333))-AI847,0)</f>
        <v>886130.09314013994</v>
      </c>
      <c r="AK847" s="196">
        <f>IFERROR($G847/SUMIF($A:$A,$A847,$G:$G)*SUMIF(Summary!$A$247:$A$283,$A847,Summary!$Q$247:$Q$283),0)</f>
        <v>241204.59018047948</v>
      </c>
      <c r="AL847" s="196">
        <f>IFERROR($G847/SUMIF($A:$A,$A847,$G:$G)*(SUMIF(Summary!$A$247:$A$283,$A847,Summary!$L$247:$L$283)+SUMIF(Summary!$A$297:$A$333,$A847,Summary!$L$297:$L$333))-AK847,0)</f>
        <v>885651.53891233006</v>
      </c>
      <c r="AM847" s="198"/>
      <c r="AN847" s="196">
        <f t="shared" ca="1" si="194"/>
        <v>3677047.9745005453</v>
      </c>
      <c r="AO847" s="196">
        <f t="shared" ca="1" si="195"/>
        <v>3673945.4087086534</v>
      </c>
    </row>
    <row r="848" spans="1:41">
      <c r="A848" s="189">
        <v>3615</v>
      </c>
      <c r="B848" s="203">
        <v>1</v>
      </c>
      <c r="C848" s="191" t="s">
        <v>223</v>
      </c>
      <c r="D848" s="192">
        <f t="shared" si="182"/>
        <v>1161</v>
      </c>
      <c r="E848" s="192">
        <f t="shared" si="183"/>
        <v>3337</v>
      </c>
      <c r="F848" s="192">
        <f t="shared" si="184"/>
        <v>0</v>
      </c>
      <c r="G848" s="193">
        <f t="shared" si="185"/>
        <v>4498</v>
      </c>
      <c r="H848" s="194">
        <v>724</v>
      </c>
      <c r="I848" s="194">
        <v>1301</v>
      </c>
      <c r="J848" s="194">
        <v>0</v>
      </c>
      <c r="K848" s="193">
        <f t="shared" si="186"/>
        <v>2025</v>
      </c>
      <c r="L848" s="194">
        <v>353</v>
      </c>
      <c r="M848" s="194">
        <v>1889</v>
      </c>
      <c r="N848" s="194">
        <v>0</v>
      </c>
      <c r="O848" s="193">
        <f t="shared" si="187"/>
        <v>2242</v>
      </c>
      <c r="P848" s="194">
        <v>84</v>
      </c>
      <c r="Q848" s="194">
        <v>147</v>
      </c>
      <c r="R848" s="194">
        <v>0</v>
      </c>
      <c r="S848" s="193">
        <f t="shared" si="188"/>
        <v>231</v>
      </c>
      <c r="T848" s="193">
        <f t="shared" si="189"/>
        <v>149.93333333333334</v>
      </c>
      <c r="U848" s="193">
        <f ca="1">OFFSET('Expenditure Study'!$B$7,'Operations Support'!$C848,'Operations Support'!$B848)*$G848</f>
        <v>5667.4800000000005</v>
      </c>
      <c r="V848" s="199">
        <f ca="1">U848*'Expenditure Study'!$B$31</f>
        <v>334852.74552038405</v>
      </c>
      <c r="W848" s="199">
        <f ca="1">IF(A848=10298,1.51,1)*IF($B848&lt;3,$D848*'Expenditure Study'!$B$32*OFFSET('Expenditure Study'!$B$7,'Operations Support'!$C848,'Operations Support'!$B848),0)</f>
        <v>146.286</v>
      </c>
      <c r="X848" s="200">
        <f ca="1">W848*'Expenditure Study'!$B$31</f>
        <v>8643.042186508801</v>
      </c>
      <c r="Y848" s="199">
        <f ca="1">U848*'Expenditure Study'!$B$31</f>
        <v>334852.74552038405</v>
      </c>
      <c r="Z848" s="200">
        <f ca="1">W848*'Expenditure Study'!$B$31</f>
        <v>8643.042186508801</v>
      </c>
      <c r="AA848" s="195">
        <f t="shared" ca="1" si="190"/>
        <v>343495.78770689288</v>
      </c>
      <c r="AB848" s="195">
        <f t="shared" ca="1" si="191"/>
        <v>343495.78770689288</v>
      </c>
      <c r="AD848" s="196">
        <f>IFERROR($G848/SUMIF($A:$A,$A848,$G:$G)*SUMIF(Summary!$A$166:$A$242,$A848,Summary!$P$166:$P$242),0)</f>
        <v>118852.09275520647</v>
      </c>
      <c r="AE848" s="197">
        <f t="shared" ca="1" si="192"/>
        <v>224643.69495168643</v>
      </c>
      <c r="AF848" s="196">
        <f>IFERROR(G848/SUMIF(A:A,A848,G:G)*SUMIF(Summary!$A$166:$A$242,'Operations Support'!A848,Summary!$Q$166:$Q$242),0)</f>
        <v>119088.36620708698</v>
      </c>
      <c r="AG848" s="196">
        <f t="shared" ca="1" si="193"/>
        <v>224407.4214998059</v>
      </c>
      <c r="AI848" s="196">
        <f>IFERROR($G848/SUMIF($A:$A,$A848,$G:$G)*SUMIF(Summary!$A$247:$A$283,$A848,Summary!$P$247:$P$283),0)</f>
        <v>21675.655797635987</v>
      </c>
      <c r="AJ848" s="196">
        <f>IFERROR($G848/SUMIF($A:$A,$A848,$G:$G)*(SUMIF(Summary!$A$247:$A$283,$A848,Summary!$L$247:$L$283)+SUMIF(Summary!$A$297:$A$333,$A848,Summary!$L$297:$L$333))-AI848,0)</f>
        <v>79789.669674987977</v>
      </c>
      <c r="AK848" s="196">
        <f>IFERROR($G848/SUMIF($A:$A,$A848,$G:$G)*SUMIF(Summary!$A$247:$A$283,$A848,Summary!$Q$247:$Q$283),0)</f>
        <v>21718.746179120728</v>
      </c>
      <c r="AL848" s="196">
        <f>IFERROR($G848/SUMIF($A:$A,$A848,$G:$G)*(SUMIF(Summary!$A$247:$A$283,$A848,Summary!$L$247:$L$283)+SUMIF(Summary!$A$297:$A$333,$A848,Summary!$L$297:$L$333))-AK848,0)</f>
        <v>79746.579293503237</v>
      </c>
      <c r="AM848" s="198"/>
      <c r="AN848" s="196">
        <f t="shared" ca="1" si="194"/>
        <v>304433.36462667439</v>
      </c>
      <c r="AO848" s="196">
        <f t="shared" ca="1" si="195"/>
        <v>304154.00079330913</v>
      </c>
    </row>
    <row r="849" spans="1:41">
      <c r="A849" s="189">
        <v>3615</v>
      </c>
      <c r="B849" s="203">
        <v>1</v>
      </c>
      <c r="C849" s="191" t="s">
        <v>224</v>
      </c>
      <c r="D849" s="192">
        <f t="shared" si="182"/>
        <v>1092.8</v>
      </c>
      <c r="E849" s="192">
        <f t="shared" si="183"/>
        <v>2126.1999999999998</v>
      </c>
      <c r="F849" s="192">
        <f t="shared" si="184"/>
        <v>0</v>
      </c>
      <c r="G849" s="193">
        <f t="shared" si="185"/>
        <v>3219</v>
      </c>
      <c r="H849" s="194">
        <v>365.8</v>
      </c>
      <c r="I849" s="194">
        <v>730.2</v>
      </c>
      <c r="J849" s="194">
        <v>0</v>
      </c>
      <c r="K849" s="193">
        <f t="shared" si="186"/>
        <v>1096</v>
      </c>
      <c r="L849" s="194">
        <v>694</v>
      </c>
      <c r="M849" s="194">
        <v>1360</v>
      </c>
      <c r="N849" s="194">
        <v>0</v>
      </c>
      <c r="O849" s="193">
        <f t="shared" si="187"/>
        <v>2054</v>
      </c>
      <c r="P849" s="194">
        <v>33</v>
      </c>
      <c r="Q849" s="194">
        <v>36</v>
      </c>
      <c r="R849" s="194">
        <v>0</v>
      </c>
      <c r="S849" s="193">
        <f t="shared" si="188"/>
        <v>69</v>
      </c>
      <c r="T849" s="193">
        <f t="shared" si="189"/>
        <v>107.3</v>
      </c>
      <c r="U849" s="193">
        <f ca="1">OFFSET('Expenditure Study'!$B$7,'Operations Support'!$C849,'Operations Support'!$B849)*$G849</f>
        <v>4764.12</v>
      </c>
      <c r="V849" s="199">
        <f ca="1">U849*'Expenditure Study'!$B$31</f>
        <v>281479.36331289599</v>
      </c>
      <c r="W849" s="199">
        <f ca="1">IF(A849=10298,1.51,1)*IF($B849&lt;3,$D849*'Expenditure Study'!$B$32*OFFSET('Expenditure Study'!$B$7,'Operations Support'!$C849,'Operations Support'!$B849),0)</f>
        <v>161.73439999999999</v>
      </c>
      <c r="X849" s="200">
        <f ca="1">W849*'Expenditure Study'!$B$31</f>
        <v>9555.7827967795201</v>
      </c>
      <c r="Y849" s="199">
        <f ca="1">U849*'Expenditure Study'!$B$31</f>
        <v>281479.36331289599</v>
      </c>
      <c r="Z849" s="200">
        <f ca="1">W849*'Expenditure Study'!$B$31</f>
        <v>9555.7827967795201</v>
      </c>
      <c r="AA849" s="195">
        <f t="shared" ca="1" si="190"/>
        <v>291035.14610967552</v>
      </c>
      <c r="AB849" s="195">
        <f t="shared" ca="1" si="191"/>
        <v>291035.14610967552</v>
      </c>
      <c r="AD849" s="196">
        <f>IFERROR($G849/SUMIF($A:$A,$A849,$G:$G)*SUMIF(Summary!$A$166:$A$242,$A849,Summary!$P$166:$P$242),0)</f>
        <v>85056.666647178659</v>
      </c>
      <c r="AE849" s="197">
        <f t="shared" ca="1" si="192"/>
        <v>205978.47946249688</v>
      </c>
      <c r="AF849" s="196">
        <f>IFERROR(G849/SUMIF(A:A,A849,G:G)*SUMIF(Summary!$A$166:$A$242,'Operations Support'!A849,Summary!$Q$166:$Q$242),0)</f>
        <v>85225.756073946846</v>
      </c>
      <c r="AG849" s="196">
        <f t="shared" ca="1" si="193"/>
        <v>205809.39003572869</v>
      </c>
      <c r="AI849" s="196">
        <f>IFERROR($G849/SUMIF($A:$A,$A849,$G:$G)*SUMIF(Summary!$A$247:$A$283,$A849,Summary!$P$247:$P$283),0)</f>
        <v>15512.213430989381</v>
      </c>
      <c r="AJ849" s="196">
        <f>IFERROR($G849/SUMIF($A:$A,$A849,$G:$G)*(SUMIF(Summary!$A$247:$A$283,$A849,Summary!$L$247:$L$283)+SUMIF(Summary!$A$297:$A$333,$A849,Summary!$L$297:$L$333))-AI849,0)</f>
        <v>57101.588858111667</v>
      </c>
      <c r="AK849" s="196">
        <f>IFERROR($G849/SUMIF($A:$A,$A849,$G:$G)*SUMIF(Summary!$A$247:$A$283,$A849,Summary!$Q$247:$Q$283),0)</f>
        <v>15543.051122852294</v>
      </c>
      <c r="AL849" s="196">
        <f>IFERROR($G849/SUMIF($A:$A,$A849,$G:$G)*(SUMIF(Summary!$A$247:$A$283,$A849,Summary!$L$247:$L$283)+SUMIF(Summary!$A$297:$A$333,$A849,Summary!$L$297:$L$333))-AK849,0)</f>
        <v>57070.751166248752</v>
      </c>
      <c r="AM849" s="198"/>
      <c r="AN849" s="196">
        <f t="shared" ca="1" si="194"/>
        <v>263080.06832060852</v>
      </c>
      <c r="AO849" s="196">
        <f t="shared" ca="1" si="195"/>
        <v>262880.14120197744</v>
      </c>
    </row>
    <row r="850" spans="1:41">
      <c r="A850" s="189">
        <v>3615</v>
      </c>
      <c r="B850" s="203">
        <v>1</v>
      </c>
      <c r="C850" s="191" t="s">
        <v>225</v>
      </c>
      <c r="D850" s="192">
        <f t="shared" si="182"/>
        <v>2681</v>
      </c>
      <c r="E850" s="192">
        <f t="shared" si="183"/>
        <v>13529</v>
      </c>
      <c r="F850" s="192">
        <f t="shared" si="184"/>
        <v>0</v>
      </c>
      <c r="G850" s="193">
        <f t="shared" si="185"/>
        <v>16210</v>
      </c>
      <c r="H850" s="194">
        <v>1337</v>
      </c>
      <c r="I850" s="194">
        <v>6119</v>
      </c>
      <c r="J850" s="194">
        <v>0</v>
      </c>
      <c r="K850" s="193">
        <f t="shared" si="186"/>
        <v>7456</v>
      </c>
      <c r="L850" s="194">
        <v>1162</v>
      </c>
      <c r="M850" s="194">
        <v>6768</v>
      </c>
      <c r="N850" s="194">
        <v>0</v>
      </c>
      <c r="O850" s="193">
        <f t="shared" si="187"/>
        <v>7930</v>
      </c>
      <c r="P850" s="194">
        <v>182</v>
      </c>
      <c r="Q850" s="194">
        <v>642</v>
      </c>
      <c r="R850" s="194">
        <v>0</v>
      </c>
      <c r="S850" s="193">
        <f t="shared" si="188"/>
        <v>824</v>
      </c>
      <c r="T850" s="193">
        <f t="shared" si="189"/>
        <v>540.33333333333337</v>
      </c>
      <c r="U850" s="193">
        <f ca="1">OFFSET('Expenditure Study'!$B$7,'Operations Support'!$C850,'Operations Support'!$B850)*$G850</f>
        <v>28529.599999999999</v>
      </c>
      <c r="V850" s="199">
        <f ca="1">U850*'Expenditure Study'!$B$31</f>
        <v>1685619.5149516799</v>
      </c>
      <c r="W850" s="199">
        <f ca="1">IF(A850=10298,1.51,1)*IF($B850&lt;3,$D850*'Expenditure Study'!$B$32*OFFSET('Expenditure Study'!$B$7,'Operations Support'!$C850,'Operations Support'!$B850),0)</f>
        <v>471.85600000000005</v>
      </c>
      <c r="X850" s="200">
        <f ca="1">W850*'Expenditure Study'!$B$31</f>
        <v>27878.753359564802</v>
      </c>
      <c r="Y850" s="199">
        <f ca="1">U850*'Expenditure Study'!$B$31</f>
        <v>1685619.5149516799</v>
      </c>
      <c r="Z850" s="200">
        <f ca="1">W850*'Expenditure Study'!$B$31</f>
        <v>27878.753359564802</v>
      </c>
      <c r="AA850" s="195">
        <f t="shared" ca="1" si="190"/>
        <v>1713498.2683112447</v>
      </c>
      <c r="AB850" s="195">
        <f t="shared" ca="1" si="191"/>
        <v>1713498.2683112447</v>
      </c>
      <c r="AD850" s="196">
        <f>IFERROR($G850/SUMIF($A:$A,$A850,$G:$G)*SUMIF(Summary!$A$166:$A$242,$A850,Summary!$P$166:$P$242),0)</f>
        <v>428322.01502043061</v>
      </c>
      <c r="AE850" s="197">
        <f t="shared" ca="1" si="192"/>
        <v>1285176.2532908141</v>
      </c>
      <c r="AF850" s="196">
        <f>IFERROR(G850/SUMIF(A:A,A850,G:G)*SUMIF(Summary!$A$166:$A$242,'Operations Support'!A850,Summary!$Q$166:$Q$242),0)</f>
        <v>429173.50293839036</v>
      </c>
      <c r="AG850" s="196">
        <f t="shared" ca="1" si="193"/>
        <v>1284324.7653728542</v>
      </c>
      <c r="AI850" s="196">
        <f>IFERROR($G850/SUMIF($A:$A,$A850,$G:$G)*SUMIF(Summary!$A$247:$A$283,$A850,Summary!$P$247:$P$283),0)</f>
        <v>78115.246882987849</v>
      </c>
      <c r="AJ850" s="196">
        <f>IFERROR($G850/SUMIF($A:$A,$A850,$G:$G)*(SUMIF(Summary!$A$247:$A$283,$A850,Summary!$L$247:$L$283)+SUMIF(Summary!$A$297:$A$333,$A850,Summary!$L$297:$L$333))-AI850,0)</f>
        <v>287547.92028269346</v>
      </c>
      <c r="AK850" s="196">
        <f>IFERROR($G850/SUMIF($A:$A,$A850,$G:$G)*SUMIF(Summary!$A$247:$A$283,$A850,Summary!$Q$247:$Q$283),0)</f>
        <v>78270.53703057958</v>
      </c>
      <c r="AL850" s="196">
        <f>IFERROR($G850/SUMIF($A:$A,$A850,$G:$G)*(SUMIF(Summary!$A$247:$A$283,$A850,Summary!$L$247:$L$283)+SUMIF(Summary!$A$297:$A$333,$A850,Summary!$L$297:$L$333))-AK850,0)</f>
        <v>287392.63013510173</v>
      </c>
      <c r="AM850" s="198"/>
      <c r="AN850" s="196">
        <f t="shared" ca="1" si="194"/>
        <v>1572724.1735735075</v>
      </c>
      <c r="AO850" s="196">
        <f t="shared" ca="1" si="195"/>
        <v>1571717.3955079559</v>
      </c>
    </row>
    <row r="851" spans="1:41">
      <c r="A851" s="189">
        <v>3615</v>
      </c>
      <c r="B851" s="203">
        <v>1</v>
      </c>
      <c r="C851" s="191" t="s">
        <v>226</v>
      </c>
      <c r="D851" s="192">
        <f t="shared" si="182"/>
        <v>4863</v>
      </c>
      <c r="E851" s="192">
        <f t="shared" si="183"/>
        <v>9590</v>
      </c>
      <c r="F851" s="192">
        <f t="shared" si="184"/>
        <v>0</v>
      </c>
      <c r="G851" s="193">
        <f t="shared" si="185"/>
        <v>14453</v>
      </c>
      <c r="H851" s="194">
        <v>1986</v>
      </c>
      <c r="I851" s="194">
        <v>4379</v>
      </c>
      <c r="J851" s="194">
        <v>0</v>
      </c>
      <c r="K851" s="193">
        <f t="shared" si="186"/>
        <v>6365</v>
      </c>
      <c r="L851" s="194">
        <v>2322</v>
      </c>
      <c r="M851" s="194">
        <v>4950</v>
      </c>
      <c r="N851" s="194">
        <v>0</v>
      </c>
      <c r="O851" s="193">
        <f t="shared" si="187"/>
        <v>7272</v>
      </c>
      <c r="P851" s="194">
        <v>555</v>
      </c>
      <c r="Q851" s="194">
        <v>261</v>
      </c>
      <c r="R851" s="194">
        <v>0</v>
      </c>
      <c r="S851" s="193">
        <f t="shared" si="188"/>
        <v>816</v>
      </c>
      <c r="T851" s="193">
        <f t="shared" si="189"/>
        <v>481.76666666666665</v>
      </c>
      <c r="U851" s="193">
        <f ca="1">OFFSET('Expenditure Study'!$B$7,'Operations Support'!$C851,'Operations Support'!$B851)*$G851</f>
        <v>13730.349999999999</v>
      </c>
      <c r="V851" s="199">
        <f ca="1">U851*'Expenditure Study'!$B$31</f>
        <v>811232.75149727997</v>
      </c>
      <c r="W851" s="199">
        <f ca="1">IF(A851=10298,1.51,1)*IF($B851&lt;3,$D851*'Expenditure Study'!$B$32*OFFSET('Expenditure Study'!$B$7,'Operations Support'!$C851,'Operations Support'!$B851),0)</f>
        <v>461.98500000000001</v>
      </c>
      <c r="X851" s="200">
        <f ca="1">W851*'Expenditure Study'!$B$31</f>
        <v>27295.543281888</v>
      </c>
      <c r="Y851" s="199">
        <f ca="1">U851*'Expenditure Study'!$B$31</f>
        <v>811232.75149727997</v>
      </c>
      <c r="Z851" s="200">
        <f ca="1">W851*'Expenditure Study'!$B$31</f>
        <v>27295.543281888</v>
      </c>
      <c r="AA851" s="195">
        <f t="shared" ca="1" si="190"/>
        <v>838528.29477916798</v>
      </c>
      <c r="AB851" s="195">
        <f t="shared" ca="1" si="191"/>
        <v>838528.29477916798</v>
      </c>
      <c r="AD851" s="196">
        <f>IFERROR($G851/SUMIF($A:$A,$A851,$G:$G)*SUMIF(Summary!$A$166:$A$242,$A851,Summary!$P$166:$P$242),0)</f>
        <v>381896.24201667384</v>
      </c>
      <c r="AE851" s="197">
        <f t="shared" ca="1" si="192"/>
        <v>456632.05276249413</v>
      </c>
      <c r="AF851" s="196">
        <f>IFERROR(G851/SUMIF(A:A,A851,G:G)*SUMIF(Summary!$A$166:$A$242,'Operations Support'!A851,Summary!$Q$166:$Q$242),0)</f>
        <v>382655.43725901021</v>
      </c>
      <c r="AG851" s="196">
        <f t="shared" ca="1" si="193"/>
        <v>455872.85752015776</v>
      </c>
      <c r="AI851" s="196">
        <f>IFERROR($G851/SUMIF($A:$A,$A851,$G:$G)*SUMIF(Summary!$A$247:$A$283,$A851,Summary!$P$247:$P$283),0)</f>
        <v>69648.344429353689</v>
      </c>
      <c r="AJ851" s="196">
        <f>IFERROR($G851/SUMIF($A:$A,$A851,$G:$G)*(SUMIF(Summary!$A$247:$A$283,$A851,Summary!$L$247:$L$283)+SUMIF(Summary!$A$297:$A$333,$A851,Summary!$L$297:$L$333))-AI851,0)</f>
        <v>256380.63490720346</v>
      </c>
      <c r="AK851" s="196">
        <f>IFERROR($G851/SUMIF($A:$A,$A851,$G:$G)*SUMIF(Summary!$A$247:$A$283,$A851,Summary!$Q$247:$Q$283),0)</f>
        <v>69786.802696049766</v>
      </c>
      <c r="AL851" s="196">
        <f>IFERROR($G851/SUMIF($A:$A,$A851,$G:$G)*(SUMIF(Summary!$A$247:$A$283,$A851,Summary!$L$247:$L$283)+SUMIF(Summary!$A$297:$A$333,$A851,Summary!$L$297:$L$333))-AK851,0)</f>
        <v>256242.17664050739</v>
      </c>
      <c r="AM851" s="198"/>
      <c r="AN851" s="196">
        <f t="shared" ca="1" si="194"/>
        <v>713012.68766969757</v>
      </c>
      <c r="AO851" s="196">
        <f t="shared" ca="1" si="195"/>
        <v>712115.03416066512</v>
      </c>
    </row>
    <row r="852" spans="1:41">
      <c r="A852" s="189">
        <v>3615</v>
      </c>
      <c r="B852" s="203">
        <v>1</v>
      </c>
      <c r="C852" s="191" t="s">
        <v>227</v>
      </c>
      <c r="D852" s="192">
        <f t="shared" si="182"/>
        <v>0</v>
      </c>
      <c r="E852" s="192">
        <f t="shared" si="183"/>
        <v>0</v>
      </c>
      <c r="F852" s="192">
        <f t="shared" si="184"/>
        <v>0</v>
      </c>
      <c r="G852" s="193">
        <f t="shared" si="185"/>
        <v>0</v>
      </c>
      <c r="H852" s="194">
        <v>0</v>
      </c>
      <c r="I852" s="194">
        <v>0</v>
      </c>
      <c r="J852" s="194">
        <v>0</v>
      </c>
      <c r="K852" s="193">
        <f t="shared" si="186"/>
        <v>0</v>
      </c>
      <c r="L852" s="194">
        <v>0</v>
      </c>
      <c r="M852" s="194">
        <v>0</v>
      </c>
      <c r="N852" s="194">
        <v>0</v>
      </c>
      <c r="O852" s="193">
        <f t="shared" si="187"/>
        <v>0</v>
      </c>
      <c r="P852" s="194">
        <v>0</v>
      </c>
      <c r="Q852" s="194">
        <v>0</v>
      </c>
      <c r="R852" s="194">
        <v>0</v>
      </c>
      <c r="S852" s="193">
        <f t="shared" si="188"/>
        <v>0</v>
      </c>
      <c r="T852" s="193">
        <f t="shared" si="189"/>
        <v>0</v>
      </c>
      <c r="U852" s="193">
        <f ca="1">OFFSET('Expenditure Study'!$B$7,'Operations Support'!$C852,'Operations Support'!$B852)*$G852</f>
        <v>0</v>
      </c>
      <c r="V852" s="199">
        <f ca="1">U852*'Expenditure Study'!$B$31</f>
        <v>0</v>
      </c>
      <c r="W852" s="199">
        <f ca="1">IF(A852=10298,1.51,1)*IF($B852&lt;3,$D852*'Expenditure Study'!$B$32*OFFSET('Expenditure Study'!$B$7,'Operations Support'!$C852,'Operations Support'!$B852),0)</f>
        <v>0</v>
      </c>
      <c r="X852" s="200">
        <f ca="1">W852*'Expenditure Study'!$B$31</f>
        <v>0</v>
      </c>
      <c r="Y852" s="199">
        <f ca="1">U852*'Expenditure Study'!$B$31</f>
        <v>0</v>
      </c>
      <c r="Z852" s="200">
        <f ca="1">W852*'Expenditure Study'!$B$31</f>
        <v>0</v>
      </c>
      <c r="AA852" s="195">
        <f t="shared" ca="1" si="190"/>
        <v>0</v>
      </c>
      <c r="AB852" s="195">
        <f t="shared" ca="1" si="191"/>
        <v>0</v>
      </c>
      <c r="AD852" s="196">
        <f>IFERROR($G852/SUMIF($A:$A,$A852,$G:$G)*SUMIF(Summary!$A$166:$A$242,$A852,Summary!$P$166:$P$242),0)</f>
        <v>0</v>
      </c>
      <c r="AE852" s="197">
        <f t="shared" ca="1" si="192"/>
        <v>0</v>
      </c>
      <c r="AF852" s="196">
        <f>IFERROR(G852/SUMIF(A:A,A852,G:G)*SUMIF(Summary!$A$166:$A$242,'Operations Support'!A852,Summary!$Q$166:$Q$242),0)</f>
        <v>0</v>
      </c>
      <c r="AG852" s="196">
        <f t="shared" ca="1" si="193"/>
        <v>0</v>
      </c>
      <c r="AI852" s="196">
        <f>IFERROR($G852/SUMIF($A:$A,$A852,$G:$G)*SUMIF(Summary!$A$247:$A$283,$A852,Summary!$P$247:$P$283),0)</f>
        <v>0</v>
      </c>
      <c r="AJ852" s="196">
        <f>IFERROR($G852/SUMIF($A:$A,$A852,$G:$G)*(SUMIF(Summary!$A$247:$A$283,$A852,Summary!$L$247:$L$283)+SUMIF(Summary!$A$297:$A$333,$A852,Summary!$L$297:$L$333))-AI852,0)</f>
        <v>0</v>
      </c>
      <c r="AK852" s="196">
        <f>IFERROR($G852/SUMIF($A:$A,$A852,$G:$G)*SUMIF(Summary!$A$247:$A$283,$A852,Summary!$Q$247:$Q$283),0)</f>
        <v>0</v>
      </c>
      <c r="AL852" s="196">
        <f>IFERROR($G852/SUMIF($A:$A,$A852,$G:$G)*(SUMIF(Summary!$A$247:$A$283,$A852,Summary!$L$247:$L$283)+SUMIF(Summary!$A$297:$A$333,$A852,Summary!$L$297:$L$333))-AK852,0)</f>
        <v>0</v>
      </c>
      <c r="AM852" s="198"/>
      <c r="AN852" s="196">
        <f t="shared" ca="1" si="194"/>
        <v>0</v>
      </c>
      <c r="AO852" s="196">
        <f t="shared" ca="1" si="195"/>
        <v>0</v>
      </c>
    </row>
    <row r="853" spans="1:41">
      <c r="A853" s="189">
        <v>3615</v>
      </c>
      <c r="B853" s="203">
        <v>1</v>
      </c>
      <c r="C853" s="191" t="s">
        <v>228</v>
      </c>
      <c r="D853" s="192">
        <f t="shared" si="182"/>
        <v>57</v>
      </c>
      <c r="E853" s="192">
        <f t="shared" si="183"/>
        <v>1656</v>
      </c>
      <c r="F853" s="192">
        <f t="shared" si="184"/>
        <v>0</v>
      </c>
      <c r="G853" s="193">
        <f t="shared" si="185"/>
        <v>1713</v>
      </c>
      <c r="H853" s="194">
        <v>46</v>
      </c>
      <c r="I853" s="194">
        <v>720</v>
      </c>
      <c r="J853" s="194">
        <v>0</v>
      </c>
      <c r="K853" s="193">
        <f t="shared" si="186"/>
        <v>766</v>
      </c>
      <c r="L853" s="194">
        <v>11</v>
      </c>
      <c r="M853" s="194">
        <v>831</v>
      </c>
      <c r="N853" s="194">
        <v>0</v>
      </c>
      <c r="O853" s="193">
        <f t="shared" si="187"/>
        <v>842</v>
      </c>
      <c r="P853" s="194">
        <v>0</v>
      </c>
      <c r="Q853" s="194">
        <v>105</v>
      </c>
      <c r="R853" s="194">
        <v>0</v>
      </c>
      <c r="S853" s="193">
        <f t="shared" si="188"/>
        <v>105</v>
      </c>
      <c r="T853" s="193">
        <f t="shared" si="189"/>
        <v>57.1</v>
      </c>
      <c r="U853" s="193">
        <f ca="1">OFFSET('Expenditure Study'!$B$7,'Operations Support'!$C853,'Operations Support'!$B853)*$G853</f>
        <v>2706.54</v>
      </c>
      <c r="V853" s="199">
        <f ca="1">U853*'Expenditure Study'!$B$31</f>
        <v>159910.992162432</v>
      </c>
      <c r="W853" s="199">
        <f ca="1">IF(A853=10298,1.51,1)*IF($B853&lt;3,$D853*'Expenditure Study'!$B$32*OFFSET('Expenditure Study'!$B$7,'Operations Support'!$C853,'Operations Support'!$B853),0)</f>
        <v>9.0060000000000002</v>
      </c>
      <c r="X853" s="200">
        <f ca="1">W853*'Expenditure Study'!$B$31</f>
        <v>532.10312628480006</v>
      </c>
      <c r="Y853" s="199">
        <f ca="1">U853*'Expenditure Study'!$B$31</f>
        <v>159910.992162432</v>
      </c>
      <c r="Z853" s="200">
        <f ca="1">W853*'Expenditure Study'!$B$31</f>
        <v>532.10312628480006</v>
      </c>
      <c r="AA853" s="195">
        <f t="shared" ca="1" si="190"/>
        <v>160443.09528871681</v>
      </c>
      <c r="AB853" s="195">
        <f t="shared" ca="1" si="191"/>
        <v>160443.09528871681</v>
      </c>
      <c r="AD853" s="196">
        <f>IFERROR($G853/SUMIF($A:$A,$A853,$G:$G)*SUMIF(Summary!$A$166:$A$242,$A853,Summary!$P$166:$P$242),0)</f>
        <v>45263.14692967289</v>
      </c>
      <c r="AE853" s="197">
        <f t="shared" ca="1" si="192"/>
        <v>115179.94835904392</v>
      </c>
      <c r="AF853" s="196">
        <f>IFERROR(G853/SUMIF(A:A,A853,G:G)*SUMIF(Summary!$A$166:$A$242,'Operations Support'!A853,Summary!$Q$166:$Q$242),0)</f>
        <v>45353.128348763887</v>
      </c>
      <c r="AG853" s="196">
        <f t="shared" ca="1" si="193"/>
        <v>115089.96693995292</v>
      </c>
      <c r="AI853" s="196">
        <f>IFERROR($G853/SUMIF($A:$A,$A853,$G:$G)*SUMIF(Summary!$A$247:$A$283,$A853,Summary!$P$247:$P$283),0)</f>
        <v>8254.8684707315351</v>
      </c>
      <c r="AJ853" s="196">
        <f>IFERROR($G853/SUMIF($A:$A,$A853,$G:$G)*(SUMIF(Summary!$A$247:$A$283,$A853,Summary!$L$247:$L$283)+SUMIF(Summary!$A$297:$A$333,$A853,Summary!$L$297:$L$333))-AI853,0)</f>
        <v>30386.772821977414</v>
      </c>
      <c r="AK853" s="196">
        <f>IFERROR($G853/SUMIF($A:$A,$A853,$G:$G)*SUMIF(Summary!$A$247:$A$283,$A853,Summary!$Q$247:$Q$283),0)</f>
        <v>8271.2788361124512</v>
      </c>
      <c r="AL853" s="196">
        <f>IFERROR($G853/SUMIF($A:$A,$A853,$G:$G)*(SUMIF(Summary!$A$247:$A$283,$A853,Summary!$L$247:$L$283)+SUMIF(Summary!$A$297:$A$333,$A853,Summary!$L$297:$L$333))-AK853,0)</f>
        <v>30370.362456596496</v>
      </c>
      <c r="AM853" s="198"/>
      <c r="AN853" s="196">
        <f t="shared" ca="1" si="194"/>
        <v>145566.72118102133</v>
      </c>
      <c r="AO853" s="196">
        <f t="shared" ca="1" si="195"/>
        <v>145460.32939654941</v>
      </c>
    </row>
    <row r="854" spans="1:41">
      <c r="A854" s="189">
        <v>3615</v>
      </c>
      <c r="B854" s="203">
        <v>1</v>
      </c>
      <c r="C854" s="191" t="s">
        <v>229</v>
      </c>
      <c r="D854" s="192">
        <f t="shared" si="182"/>
        <v>0</v>
      </c>
      <c r="E854" s="192">
        <f t="shared" si="183"/>
        <v>0</v>
      </c>
      <c r="F854" s="192">
        <f t="shared" si="184"/>
        <v>0</v>
      </c>
      <c r="G854" s="193">
        <f t="shared" si="185"/>
        <v>0</v>
      </c>
      <c r="H854" s="194">
        <v>0</v>
      </c>
      <c r="I854" s="194">
        <v>0</v>
      </c>
      <c r="J854" s="194">
        <v>0</v>
      </c>
      <c r="K854" s="193">
        <f t="shared" si="186"/>
        <v>0</v>
      </c>
      <c r="L854" s="194">
        <v>0</v>
      </c>
      <c r="M854" s="194">
        <v>0</v>
      </c>
      <c r="N854" s="194">
        <v>0</v>
      </c>
      <c r="O854" s="193">
        <f t="shared" si="187"/>
        <v>0</v>
      </c>
      <c r="P854" s="194">
        <v>0</v>
      </c>
      <c r="Q854" s="194">
        <v>0</v>
      </c>
      <c r="R854" s="194">
        <v>0</v>
      </c>
      <c r="S854" s="193">
        <f t="shared" si="188"/>
        <v>0</v>
      </c>
      <c r="T854" s="193">
        <f t="shared" si="189"/>
        <v>0</v>
      </c>
      <c r="U854" s="193">
        <f ca="1">OFFSET('Expenditure Study'!$B$7,'Operations Support'!$C854,'Operations Support'!$B854)*$G854</f>
        <v>0</v>
      </c>
      <c r="V854" s="199">
        <f ca="1">U854*'Expenditure Study'!$B$31</f>
        <v>0</v>
      </c>
      <c r="W854" s="199">
        <f ca="1">IF(A854=10298,1.51,1)*IF($B854&lt;3,$D854*'Expenditure Study'!$B$32*OFFSET('Expenditure Study'!$B$7,'Operations Support'!$C854,'Operations Support'!$B854),0)</f>
        <v>0</v>
      </c>
      <c r="X854" s="200">
        <f ca="1">W854*'Expenditure Study'!$B$31</f>
        <v>0</v>
      </c>
      <c r="Y854" s="199">
        <f ca="1">U854*'Expenditure Study'!$B$31</f>
        <v>0</v>
      </c>
      <c r="Z854" s="200">
        <f ca="1">W854*'Expenditure Study'!$B$31</f>
        <v>0</v>
      </c>
      <c r="AA854" s="195">
        <f t="shared" ca="1" si="190"/>
        <v>0</v>
      </c>
      <c r="AB854" s="195">
        <f t="shared" ca="1" si="191"/>
        <v>0</v>
      </c>
      <c r="AD854" s="196">
        <f>IFERROR($G854/SUMIF($A:$A,$A854,$G:$G)*SUMIF(Summary!$A$166:$A$242,$A854,Summary!$P$166:$P$242),0)</f>
        <v>0</v>
      </c>
      <c r="AE854" s="197">
        <f t="shared" ca="1" si="192"/>
        <v>0</v>
      </c>
      <c r="AF854" s="196">
        <f>IFERROR(G854/SUMIF(A:A,A854,G:G)*SUMIF(Summary!$A$166:$A$242,'Operations Support'!A854,Summary!$Q$166:$Q$242),0)</f>
        <v>0</v>
      </c>
      <c r="AG854" s="196">
        <f t="shared" ca="1" si="193"/>
        <v>0</v>
      </c>
      <c r="AI854" s="196">
        <f>IFERROR($G854/SUMIF($A:$A,$A854,$G:$G)*SUMIF(Summary!$A$247:$A$283,$A854,Summary!$P$247:$P$283),0)</f>
        <v>0</v>
      </c>
      <c r="AJ854" s="196">
        <f>IFERROR($G854/SUMIF($A:$A,$A854,$G:$G)*(SUMIF(Summary!$A$247:$A$283,$A854,Summary!$L$247:$L$283)+SUMIF(Summary!$A$297:$A$333,$A854,Summary!$L$297:$L$333))-AI854,0)</f>
        <v>0</v>
      </c>
      <c r="AK854" s="196">
        <f>IFERROR($G854/SUMIF($A:$A,$A854,$G:$G)*SUMIF(Summary!$A$247:$A$283,$A854,Summary!$Q$247:$Q$283),0)</f>
        <v>0</v>
      </c>
      <c r="AL854" s="196">
        <f>IFERROR($G854/SUMIF($A:$A,$A854,$G:$G)*(SUMIF(Summary!$A$247:$A$283,$A854,Summary!$L$247:$L$283)+SUMIF(Summary!$A$297:$A$333,$A854,Summary!$L$297:$L$333))-AK854,0)</f>
        <v>0</v>
      </c>
      <c r="AM854" s="198"/>
      <c r="AN854" s="196">
        <f t="shared" ca="1" si="194"/>
        <v>0</v>
      </c>
      <c r="AO854" s="196">
        <f t="shared" ca="1" si="195"/>
        <v>0</v>
      </c>
    </row>
    <row r="855" spans="1:41">
      <c r="A855" s="189">
        <v>3615</v>
      </c>
      <c r="B855" s="203">
        <v>1</v>
      </c>
      <c r="C855" s="191" t="s">
        <v>230</v>
      </c>
      <c r="D855" s="192">
        <f t="shared" si="182"/>
        <v>0</v>
      </c>
      <c r="E855" s="192">
        <f t="shared" si="183"/>
        <v>0</v>
      </c>
      <c r="F855" s="192">
        <f t="shared" si="184"/>
        <v>0</v>
      </c>
      <c r="G855" s="193">
        <f t="shared" si="185"/>
        <v>0</v>
      </c>
      <c r="H855" s="194">
        <v>0</v>
      </c>
      <c r="I855" s="194">
        <v>0</v>
      </c>
      <c r="J855" s="194">
        <v>0</v>
      </c>
      <c r="K855" s="193">
        <f t="shared" si="186"/>
        <v>0</v>
      </c>
      <c r="L855" s="194">
        <v>0</v>
      </c>
      <c r="M855" s="194">
        <v>0</v>
      </c>
      <c r="N855" s="194">
        <v>0</v>
      </c>
      <c r="O855" s="193">
        <f t="shared" si="187"/>
        <v>0</v>
      </c>
      <c r="P855" s="194">
        <v>0</v>
      </c>
      <c r="Q855" s="194">
        <v>0</v>
      </c>
      <c r="R855" s="194">
        <v>0</v>
      </c>
      <c r="S855" s="193">
        <f t="shared" si="188"/>
        <v>0</v>
      </c>
      <c r="T855" s="193">
        <f t="shared" si="189"/>
        <v>0</v>
      </c>
      <c r="U855" s="193">
        <f ca="1">OFFSET('Expenditure Study'!$B$7,'Operations Support'!$C855,'Operations Support'!$B855)*$G855</f>
        <v>0</v>
      </c>
      <c r="V855" s="199">
        <f ca="1">U855*'Expenditure Study'!$B$31</f>
        <v>0</v>
      </c>
      <c r="W855" s="199">
        <f ca="1">IF(A855=10298,1.51,1)*IF($B855&lt;3,$D855*'Expenditure Study'!$B$32*OFFSET('Expenditure Study'!$B$7,'Operations Support'!$C855,'Operations Support'!$B855),0)</f>
        <v>0</v>
      </c>
      <c r="X855" s="200">
        <f ca="1">W855*'Expenditure Study'!$B$31</f>
        <v>0</v>
      </c>
      <c r="Y855" s="199">
        <f ca="1">U855*'Expenditure Study'!$B$31</f>
        <v>0</v>
      </c>
      <c r="Z855" s="200">
        <f ca="1">W855*'Expenditure Study'!$B$31</f>
        <v>0</v>
      </c>
      <c r="AA855" s="195">
        <f t="shared" ca="1" si="190"/>
        <v>0</v>
      </c>
      <c r="AB855" s="195">
        <f t="shared" ca="1" si="191"/>
        <v>0</v>
      </c>
      <c r="AD855" s="196">
        <f>IFERROR($G855/SUMIF($A:$A,$A855,$G:$G)*SUMIF(Summary!$A$166:$A$242,$A855,Summary!$P$166:$P$242),0)</f>
        <v>0</v>
      </c>
      <c r="AE855" s="197">
        <f t="shared" ca="1" si="192"/>
        <v>0</v>
      </c>
      <c r="AF855" s="196">
        <f>IFERROR(G855/SUMIF(A:A,A855,G:G)*SUMIF(Summary!$A$166:$A$242,'Operations Support'!A855,Summary!$Q$166:$Q$242),0)</f>
        <v>0</v>
      </c>
      <c r="AG855" s="196">
        <f t="shared" ca="1" si="193"/>
        <v>0</v>
      </c>
      <c r="AI855" s="196">
        <f>IFERROR($G855/SUMIF($A:$A,$A855,$G:$G)*SUMIF(Summary!$A$247:$A$283,$A855,Summary!$P$247:$P$283),0)</f>
        <v>0</v>
      </c>
      <c r="AJ855" s="196">
        <f>IFERROR($G855/SUMIF($A:$A,$A855,$G:$G)*(SUMIF(Summary!$A$247:$A$283,$A855,Summary!$L$247:$L$283)+SUMIF(Summary!$A$297:$A$333,$A855,Summary!$L$297:$L$333))-AI855,0)</f>
        <v>0</v>
      </c>
      <c r="AK855" s="196">
        <f>IFERROR($G855/SUMIF($A:$A,$A855,$G:$G)*SUMIF(Summary!$A$247:$A$283,$A855,Summary!$Q$247:$Q$283),0)</f>
        <v>0</v>
      </c>
      <c r="AL855" s="196">
        <f>IFERROR($G855/SUMIF($A:$A,$A855,$G:$G)*(SUMIF(Summary!$A$247:$A$283,$A855,Summary!$L$247:$L$283)+SUMIF(Summary!$A$297:$A$333,$A855,Summary!$L$297:$L$333))-AK855,0)</f>
        <v>0</v>
      </c>
      <c r="AM855" s="198"/>
      <c r="AN855" s="196">
        <f t="shared" ca="1" si="194"/>
        <v>0</v>
      </c>
      <c r="AO855" s="196">
        <f t="shared" ca="1" si="195"/>
        <v>0</v>
      </c>
    </row>
    <row r="856" spans="1:41">
      <c r="A856" s="189">
        <v>3615</v>
      </c>
      <c r="B856" s="203">
        <v>1</v>
      </c>
      <c r="C856" s="191" t="s">
        <v>231</v>
      </c>
      <c r="D856" s="192">
        <f t="shared" si="182"/>
        <v>0</v>
      </c>
      <c r="E856" s="192">
        <f t="shared" si="183"/>
        <v>8622</v>
      </c>
      <c r="F856" s="192">
        <f t="shared" si="184"/>
        <v>0</v>
      </c>
      <c r="G856" s="193">
        <f t="shared" si="185"/>
        <v>8622</v>
      </c>
      <c r="H856" s="194">
        <v>0</v>
      </c>
      <c r="I856" s="194">
        <v>3732</v>
      </c>
      <c r="J856" s="194">
        <v>0</v>
      </c>
      <c r="K856" s="193">
        <f t="shared" si="186"/>
        <v>3732</v>
      </c>
      <c r="L856" s="194">
        <v>0</v>
      </c>
      <c r="M856" s="194">
        <v>4410</v>
      </c>
      <c r="N856" s="194">
        <v>0</v>
      </c>
      <c r="O856" s="193">
        <f t="shared" si="187"/>
        <v>4410</v>
      </c>
      <c r="P856" s="194">
        <v>0</v>
      </c>
      <c r="Q856" s="194">
        <v>480</v>
      </c>
      <c r="R856" s="194">
        <v>0</v>
      </c>
      <c r="S856" s="193">
        <f t="shared" si="188"/>
        <v>480</v>
      </c>
      <c r="T856" s="193">
        <f t="shared" si="189"/>
        <v>287.39999999999998</v>
      </c>
      <c r="U856" s="193">
        <f ca="1">OFFSET('Expenditure Study'!$B$7,'Operations Support'!$C856,'Operations Support'!$B856)*$G856</f>
        <v>13105.44</v>
      </c>
      <c r="V856" s="199">
        <f ca="1">U856*'Expenditure Study'!$B$31</f>
        <v>774311.08098355203</v>
      </c>
      <c r="W856" s="199">
        <f ca="1">IF(A856=10298,1.51,1)*IF($B856&lt;3,$D856*'Expenditure Study'!$B$32*OFFSET('Expenditure Study'!$B$7,'Operations Support'!$C856,'Operations Support'!$B856),0)</f>
        <v>0</v>
      </c>
      <c r="X856" s="200">
        <f ca="1">W856*'Expenditure Study'!$B$31</f>
        <v>0</v>
      </c>
      <c r="Y856" s="199">
        <f ca="1">U856*'Expenditure Study'!$B$31</f>
        <v>774311.08098355203</v>
      </c>
      <c r="Z856" s="200">
        <f ca="1">W856*'Expenditure Study'!$B$31</f>
        <v>0</v>
      </c>
      <c r="AA856" s="195">
        <f t="shared" ca="1" si="190"/>
        <v>774311.08098355203</v>
      </c>
      <c r="AB856" s="195">
        <f t="shared" ca="1" si="191"/>
        <v>774311.08098355203</v>
      </c>
      <c r="AD856" s="196">
        <f>IFERROR($G856/SUMIF($A:$A,$A856,$G:$G)*SUMIF(Summary!$A$166:$A$242,$A856,Summary!$P$166:$P$242),0)</f>
        <v>227821.86388070034</v>
      </c>
      <c r="AE856" s="197">
        <f t="shared" ca="1" si="192"/>
        <v>546489.21710285172</v>
      </c>
      <c r="AF856" s="196">
        <f>IFERROR(G856/SUMIF(A:A,A856,G:G)*SUMIF(Summary!$A$166:$A$242,'Operations Support'!A856,Summary!$Q$166:$Q$242),0)</f>
        <v>228274.76510393593</v>
      </c>
      <c r="AG856" s="196">
        <f t="shared" ca="1" si="193"/>
        <v>546036.31587961607</v>
      </c>
      <c r="AI856" s="196">
        <f>IFERROR($G856/SUMIF($A:$A,$A856,$G:$G)*SUMIF(Summary!$A$247:$A$283,$A856,Summary!$P$247:$P$283),0)</f>
        <v>41549.022740599707</v>
      </c>
      <c r="AJ856" s="196">
        <f>IFERROR($G856/SUMIF($A:$A,$A856,$G:$G)*(SUMIF(Summary!$A$247:$A$283,$A856,Summary!$L$247:$L$283)+SUMIF(Summary!$A$297:$A$333,$A856,Summary!$L$297:$L$333))-AI856,0)</f>
        <v>152944.98264511925</v>
      </c>
      <c r="AK856" s="196">
        <f>IFERROR($G856/SUMIF($A:$A,$A856,$G:$G)*SUMIF(Summary!$A$247:$A$283,$A856,Summary!$Q$247:$Q$283),0)</f>
        <v>41631.620621693837</v>
      </c>
      <c r="AL856" s="196">
        <f>IFERROR($G856/SUMIF($A:$A,$A856,$G:$G)*(SUMIF(Summary!$A$247:$A$283,$A856,Summary!$L$247:$L$283)+SUMIF(Summary!$A$297:$A$333,$A856,Summary!$L$297:$L$333))-AK856,0)</f>
        <v>152862.3847640251</v>
      </c>
      <c r="AM856" s="198"/>
      <c r="AN856" s="196">
        <f t="shared" ca="1" si="194"/>
        <v>699434.19974797103</v>
      </c>
      <c r="AO856" s="196">
        <f t="shared" ca="1" si="195"/>
        <v>698898.70064364118</v>
      </c>
    </row>
    <row r="857" spans="1:41">
      <c r="A857" s="189">
        <v>3615</v>
      </c>
      <c r="B857" s="203">
        <v>1</v>
      </c>
      <c r="C857" s="191" t="s">
        <v>232</v>
      </c>
      <c r="D857" s="192">
        <f t="shared" si="182"/>
        <v>0</v>
      </c>
      <c r="E857" s="192">
        <f t="shared" si="183"/>
        <v>0</v>
      </c>
      <c r="F857" s="192">
        <f t="shared" si="184"/>
        <v>0</v>
      </c>
      <c r="G857" s="193">
        <f t="shared" si="185"/>
        <v>0</v>
      </c>
      <c r="H857" s="194">
        <v>0</v>
      </c>
      <c r="I857" s="194">
        <v>0</v>
      </c>
      <c r="J857" s="194">
        <v>0</v>
      </c>
      <c r="K857" s="193">
        <f t="shared" si="186"/>
        <v>0</v>
      </c>
      <c r="L857" s="194">
        <v>0</v>
      </c>
      <c r="M857" s="194">
        <v>0</v>
      </c>
      <c r="N857" s="194">
        <v>0</v>
      </c>
      <c r="O857" s="193">
        <f t="shared" si="187"/>
        <v>0</v>
      </c>
      <c r="P857" s="194">
        <v>0</v>
      </c>
      <c r="Q857" s="194">
        <v>0</v>
      </c>
      <c r="R857" s="194">
        <v>0</v>
      </c>
      <c r="S857" s="193">
        <f t="shared" si="188"/>
        <v>0</v>
      </c>
      <c r="T857" s="193">
        <f t="shared" si="189"/>
        <v>0</v>
      </c>
      <c r="U857" s="193">
        <f ca="1">OFFSET('Expenditure Study'!$B$7,'Operations Support'!$C857,'Operations Support'!$B857)*$G857</f>
        <v>0</v>
      </c>
      <c r="V857" s="199">
        <f ca="1">U857*'Expenditure Study'!$B$31</f>
        <v>0</v>
      </c>
      <c r="W857" s="199">
        <f ca="1">IF(A857=10298,1.51,1)*IF($B857&lt;3,$D857*'Expenditure Study'!$B$32*OFFSET('Expenditure Study'!$B$7,'Operations Support'!$C857,'Operations Support'!$B857),0)</f>
        <v>0</v>
      </c>
      <c r="X857" s="200">
        <f ca="1">W857*'Expenditure Study'!$B$31</f>
        <v>0</v>
      </c>
      <c r="Y857" s="199">
        <f ca="1">U857*'Expenditure Study'!$B$31</f>
        <v>0</v>
      </c>
      <c r="Z857" s="200">
        <f ca="1">W857*'Expenditure Study'!$B$31</f>
        <v>0</v>
      </c>
      <c r="AA857" s="195">
        <f t="shared" ca="1" si="190"/>
        <v>0</v>
      </c>
      <c r="AB857" s="195">
        <f t="shared" ca="1" si="191"/>
        <v>0</v>
      </c>
      <c r="AD857" s="196">
        <f>IFERROR($G857/SUMIF($A:$A,$A857,$G:$G)*SUMIF(Summary!$A$166:$A$242,$A857,Summary!$P$166:$P$242),0)</f>
        <v>0</v>
      </c>
      <c r="AE857" s="197">
        <f t="shared" ca="1" si="192"/>
        <v>0</v>
      </c>
      <c r="AF857" s="196">
        <f>IFERROR(G857/SUMIF(A:A,A857,G:G)*SUMIF(Summary!$A$166:$A$242,'Operations Support'!A857,Summary!$Q$166:$Q$242),0)</f>
        <v>0</v>
      </c>
      <c r="AG857" s="196">
        <f t="shared" ca="1" si="193"/>
        <v>0</v>
      </c>
      <c r="AI857" s="196">
        <f>IFERROR($G857/SUMIF($A:$A,$A857,$G:$G)*SUMIF(Summary!$A$247:$A$283,$A857,Summary!$P$247:$P$283),0)</f>
        <v>0</v>
      </c>
      <c r="AJ857" s="196">
        <f>IFERROR($G857/SUMIF($A:$A,$A857,$G:$G)*(SUMIF(Summary!$A$247:$A$283,$A857,Summary!$L$247:$L$283)+SUMIF(Summary!$A$297:$A$333,$A857,Summary!$L$297:$L$333))-AI857,0)</f>
        <v>0</v>
      </c>
      <c r="AK857" s="196">
        <f>IFERROR($G857/SUMIF($A:$A,$A857,$G:$G)*SUMIF(Summary!$A$247:$A$283,$A857,Summary!$Q$247:$Q$283),0)</f>
        <v>0</v>
      </c>
      <c r="AL857" s="196">
        <f>IFERROR($G857/SUMIF($A:$A,$A857,$G:$G)*(SUMIF(Summary!$A$247:$A$283,$A857,Summary!$L$247:$L$283)+SUMIF(Summary!$A$297:$A$333,$A857,Summary!$L$297:$L$333))-AK857,0)</f>
        <v>0</v>
      </c>
      <c r="AM857" s="198"/>
      <c r="AN857" s="196">
        <f t="shared" ca="1" si="194"/>
        <v>0</v>
      </c>
      <c r="AO857" s="196">
        <f t="shared" ca="1" si="195"/>
        <v>0</v>
      </c>
    </row>
    <row r="858" spans="1:41">
      <c r="A858" s="189">
        <v>3615</v>
      </c>
      <c r="B858" s="203">
        <v>1</v>
      </c>
      <c r="C858" s="191" t="s">
        <v>233</v>
      </c>
      <c r="D858" s="192">
        <f t="shared" si="182"/>
        <v>1957</v>
      </c>
      <c r="E858" s="192">
        <f t="shared" si="183"/>
        <v>9226</v>
      </c>
      <c r="F858" s="192">
        <f t="shared" si="184"/>
        <v>0</v>
      </c>
      <c r="G858" s="193">
        <f t="shared" si="185"/>
        <v>11183</v>
      </c>
      <c r="H858" s="194">
        <v>900</v>
      </c>
      <c r="I858" s="194">
        <v>4173</v>
      </c>
      <c r="J858" s="194">
        <v>0</v>
      </c>
      <c r="K858" s="193">
        <f t="shared" si="186"/>
        <v>5073</v>
      </c>
      <c r="L858" s="194">
        <v>906</v>
      </c>
      <c r="M858" s="194">
        <v>4250</v>
      </c>
      <c r="N858" s="194">
        <v>0</v>
      </c>
      <c r="O858" s="193">
        <f t="shared" si="187"/>
        <v>5156</v>
      </c>
      <c r="P858" s="194">
        <v>151</v>
      </c>
      <c r="Q858" s="194">
        <v>803</v>
      </c>
      <c r="R858" s="194">
        <v>0</v>
      </c>
      <c r="S858" s="193">
        <f t="shared" si="188"/>
        <v>954</v>
      </c>
      <c r="T858" s="193">
        <f t="shared" si="189"/>
        <v>372.76666666666665</v>
      </c>
      <c r="U858" s="193">
        <f ca="1">OFFSET('Expenditure Study'!$B$7,'Operations Support'!$C858,'Operations Support'!$B858)*$G858</f>
        <v>10735.68</v>
      </c>
      <c r="V858" s="199">
        <f ca="1">U858*'Expenditure Study'!$B$31</f>
        <v>634298.12245094404</v>
      </c>
      <c r="W858" s="199">
        <f ca="1">IF(A858=10298,1.51,1)*IF($B858&lt;3,$D858*'Expenditure Study'!$B$32*OFFSET('Expenditure Study'!$B$7,'Operations Support'!$C858,'Operations Support'!$B858),0)</f>
        <v>187.87200000000001</v>
      </c>
      <c r="X858" s="200">
        <f ca="1">W858*'Expenditure Study'!$B$31</f>
        <v>11100.0753432576</v>
      </c>
      <c r="Y858" s="199">
        <f ca="1">U858*'Expenditure Study'!$B$31</f>
        <v>634298.12245094404</v>
      </c>
      <c r="Z858" s="200">
        <f ca="1">W858*'Expenditure Study'!$B$31</f>
        <v>11100.0753432576</v>
      </c>
      <c r="AA858" s="195">
        <f t="shared" ca="1" si="190"/>
        <v>645398.19779420167</v>
      </c>
      <c r="AB858" s="195">
        <f t="shared" ca="1" si="191"/>
        <v>645398.19779420167</v>
      </c>
      <c r="AD858" s="196">
        <f>IFERROR($G858/SUMIF($A:$A,$A858,$G:$G)*SUMIF(Summary!$A$166:$A$242,$A858,Summary!$P$166:$P$242),0)</f>
        <v>295491.98605635262</v>
      </c>
      <c r="AE858" s="197">
        <f t="shared" ca="1" si="192"/>
        <v>349906.21173784905</v>
      </c>
      <c r="AF858" s="196">
        <f>IFERROR(G858/SUMIF(A:A,A858,G:G)*SUMIF(Summary!$A$166:$A$242,'Operations Support'!A858,Summary!$Q$166:$Q$242),0)</f>
        <v>296079.41291548545</v>
      </c>
      <c r="AG858" s="196">
        <f t="shared" ca="1" si="193"/>
        <v>349318.78487871622</v>
      </c>
      <c r="AI858" s="196">
        <f>IFERROR($G858/SUMIF($A:$A,$A858,$G:$G)*SUMIF(Summary!$A$247:$A$283,$A858,Summary!$P$247:$P$283),0)</f>
        <v>53890.364336363549</v>
      </c>
      <c r="AJ858" s="196">
        <f>IFERROR($G858/SUMIF($A:$A,$A858,$G:$G)*(SUMIF(Summary!$A$247:$A$283,$A858,Summary!$L$247:$L$283)+SUMIF(Summary!$A$297:$A$333,$A858,Summary!$L$297:$L$333))-AI858,0)</f>
        <v>198374.36104388407</v>
      </c>
      <c r="AK858" s="196">
        <f>IFERROR($G858/SUMIF($A:$A,$A858,$G:$G)*SUMIF(Summary!$A$247:$A$283,$A858,Summary!$Q$247:$Q$283),0)</f>
        <v>53997.496336395532</v>
      </c>
      <c r="AL858" s="196">
        <f>IFERROR($G858/SUMIF($A:$A,$A858,$G:$G)*(SUMIF(Summary!$A$247:$A$283,$A858,Summary!$L$247:$L$283)+SUMIF(Summary!$A$297:$A$333,$A858,Summary!$L$297:$L$333))-AK858,0)</f>
        <v>198267.2290438521</v>
      </c>
      <c r="AM858" s="198"/>
      <c r="AN858" s="196">
        <f t="shared" ca="1" si="194"/>
        <v>548280.57278173312</v>
      </c>
      <c r="AO858" s="196">
        <f t="shared" ca="1" si="195"/>
        <v>547586.01392256829</v>
      </c>
    </row>
    <row r="859" spans="1:41">
      <c r="A859" s="189">
        <v>3615</v>
      </c>
      <c r="B859" s="203">
        <v>1</v>
      </c>
      <c r="C859" s="191" t="s">
        <v>234</v>
      </c>
      <c r="D859" s="192">
        <f t="shared" si="182"/>
        <v>0</v>
      </c>
      <c r="E859" s="192">
        <f t="shared" si="183"/>
        <v>0</v>
      </c>
      <c r="F859" s="192">
        <f t="shared" si="184"/>
        <v>0</v>
      </c>
      <c r="G859" s="193">
        <f t="shared" si="185"/>
        <v>0</v>
      </c>
      <c r="H859" s="194">
        <v>0</v>
      </c>
      <c r="I859" s="194">
        <v>0</v>
      </c>
      <c r="J859" s="194">
        <v>0</v>
      </c>
      <c r="K859" s="193">
        <f t="shared" si="186"/>
        <v>0</v>
      </c>
      <c r="L859" s="194">
        <v>0</v>
      </c>
      <c r="M859" s="194">
        <v>0</v>
      </c>
      <c r="N859" s="194">
        <v>0</v>
      </c>
      <c r="O859" s="193">
        <f t="shared" si="187"/>
        <v>0</v>
      </c>
      <c r="P859" s="194">
        <v>0</v>
      </c>
      <c r="Q859" s="194">
        <v>0</v>
      </c>
      <c r="R859" s="194">
        <v>0</v>
      </c>
      <c r="S859" s="193">
        <f t="shared" si="188"/>
        <v>0</v>
      </c>
      <c r="T859" s="193">
        <f t="shared" si="189"/>
        <v>0</v>
      </c>
      <c r="U859" s="193">
        <f ca="1">OFFSET('Expenditure Study'!$B$7,'Operations Support'!$C859,'Operations Support'!$B859)*$G859</f>
        <v>0</v>
      </c>
      <c r="V859" s="199">
        <f ca="1">U859*'Expenditure Study'!$B$31</f>
        <v>0</v>
      </c>
      <c r="W859" s="199">
        <f ca="1">IF(A859=10298,1.51,1)*IF($B859&lt;3,$D859*'Expenditure Study'!$B$32*OFFSET('Expenditure Study'!$B$7,'Operations Support'!$C859,'Operations Support'!$B859),0)</f>
        <v>0</v>
      </c>
      <c r="X859" s="200">
        <f ca="1">W859*'Expenditure Study'!$B$31</f>
        <v>0</v>
      </c>
      <c r="Y859" s="199">
        <f ca="1">U859*'Expenditure Study'!$B$31</f>
        <v>0</v>
      </c>
      <c r="Z859" s="200">
        <f ca="1">W859*'Expenditure Study'!$B$31</f>
        <v>0</v>
      </c>
      <c r="AA859" s="195">
        <f t="shared" ca="1" si="190"/>
        <v>0</v>
      </c>
      <c r="AB859" s="195">
        <f t="shared" ca="1" si="191"/>
        <v>0</v>
      </c>
      <c r="AD859" s="196">
        <f>IFERROR($G859/SUMIF($A:$A,$A859,$G:$G)*SUMIF(Summary!$A$166:$A$242,$A859,Summary!$P$166:$P$242),0)</f>
        <v>0</v>
      </c>
      <c r="AE859" s="197">
        <f t="shared" ca="1" si="192"/>
        <v>0</v>
      </c>
      <c r="AF859" s="196">
        <f>IFERROR(G859/SUMIF(A:A,A859,G:G)*SUMIF(Summary!$A$166:$A$242,'Operations Support'!A859,Summary!$Q$166:$Q$242),0)</f>
        <v>0</v>
      </c>
      <c r="AG859" s="196">
        <f t="shared" ca="1" si="193"/>
        <v>0</v>
      </c>
      <c r="AI859" s="196">
        <f>IFERROR($G859/SUMIF($A:$A,$A859,$G:$G)*SUMIF(Summary!$A$247:$A$283,$A859,Summary!$P$247:$P$283),0)</f>
        <v>0</v>
      </c>
      <c r="AJ859" s="196">
        <f>IFERROR($G859/SUMIF($A:$A,$A859,$G:$G)*(SUMIF(Summary!$A$247:$A$283,$A859,Summary!$L$247:$L$283)+SUMIF(Summary!$A$297:$A$333,$A859,Summary!$L$297:$L$333))-AI859,0)</f>
        <v>0</v>
      </c>
      <c r="AK859" s="196">
        <f>IFERROR($G859/SUMIF($A:$A,$A859,$G:$G)*SUMIF(Summary!$A$247:$A$283,$A859,Summary!$Q$247:$Q$283),0)</f>
        <v>0</v>
      </c>
      <c r="AL859" s="196">
        <f>IFERROR($G859/SUMIF($A:$A,$A859,$G:$G)*(SUMIF(Summary!$A$247:$A$283,$A859,Summary!$L$247:$L$283)+SUMIF(Summary!$A$297:$A$333,$A859,Summary!$L$297:$L$333))-AK859,0)</f>
        <v>0</v>
      </c>
      <c r="AM859" s="198"/>
      <c r="AN859" s="196">
        <f t="shared" ca="1" si="194"/>
        <v>0</v>
      </c>
      <c r="AO859" s="196">
        <f t="shared" ca="1" si="195"/>
        <v>0</v>
      </c>
    </row>
    <row r="860" spans="1:41">
      <c r="A860" s="189">
        <v>3615</v>
      </c>
      <c r="B860" s="203">
        <v>1</v>
      </c>
      <c r="C860" s="191" t="s">
        <v>235</v>
      </c>
      <c r="D860" s="192">
        <f t="shared" si="182"/>
        <v>4932</v>
      </c>
      <c r="E860" s="192">
        <f t="shared" si="183"/>
        <v>22983</v>
      </c>
      <c r="F860" s="192">
        <f t="shared" si="184"/>
        <v>0</v>
      </c>
      <c r="G860" s="193">
        <f t="shared" si="185"/>
        <v>27915</v>
      </c>
      <c r="H860" s="194">
        <v>2454</v>
      </c>
      <c r="I860" s="194">
        <v>11304</v>
      </c>
      <c r="J860" s="194">
        <v>0</v>
      </c>
      <c r="K860" s="193">
        <f t="shared" si="186"/>
        <v>13758</v>
      </c>
      <c r="L860" s="194">
        <v>2169</v>
      </c>
      <c r="M860" s="194">
        <v>10497</v>
      </c>
      <c r="N860" s="194">
        <v>0</v>
      </c>
      <c r="O860" s="193">
        <f t="shared" si="187"/>
        <v>12666</v>
      </c>
      <c r="P860" s="194">
        <v>309</v>
      </c>
      <c r="Q860" s="194">
        <v>1182</v>
      </c>
      <c r="R860" s="194">
        <v>0</v>
      </c>
      <c r="S860" s="193">
        <f t="shared" si="188"/>
        <v>1491</v>
      </c>
      <c r="T860" s="193">
        <f t="shared" si="189"/>
        <v>930.5</v>
      </c>
      <c r="U860" s="193">
        <f ca="1">OFFSET('Expenditure Study'!$B$7,'Operations Support'!$C860,'Operations Support'!$B860)*$G860</f>
        <v>30706.500000000004</v>
      </c>
      <c r="V860" s="199">
        <f ca="1">U860*'Expenditure Study'!$B$31</f>
        <v>1814237.6912352003</v>
      </c>
      <c r="W860" s="199">
        <f ca="1">IF(A860=10298,1.51,1)*IF($B860&lt;3,$D860*'Expenditure Study'!$B$32*OFFSET('Expenditure Study'!$B$7,'Operations Support'!$C860,'Operations Support'!$B860),0)</f>
        <v>542.5200000000001</v>
      </c>
      <c r="X860" s="200">
        <f ca="1">W860*'Expenditure Study'!$B$31</f>
        <v>32053.807247616005</v>
      </c>
      <c r="Y860" s="199">
        <f ca="1">U860*'Expenditure Study'!$B$31</f>
        <v>1814237.6912352003</v>
      </c>
      <c r="Z860" s="200">
        <f ca="1">W860*'Expenditure Study'!$B$31</f>
        <v>32053.807247616005</v>
      </c>
      <c r="AA860" s="195">
        <f t="shared" ca="1" si="190"/>
        <v>1846291.4984828164</v>
      </c>
      <c r="AB860" s="195">
        <f t="shared" ca="1" si="191"/>
        <v>1846291.4984828164</v>
      </c>
      <c r="AD860" s="196">
        <f>IFERROR($G860/SUMIF($A:$A,$A860,$G:$G)*SUMIF(Summary!$A$166:$A$242,$A860,Summary!$P$166:$P$242),0)</f>
        <v>737606.97404659598</v>
      </c>
      <c r="AE860" s="197">
        <f t="shared" ca="1" si="192"/>
        <v>1108684.5244362205</v>
      </c>
      <c r="AF860" s="196">
        <f>IFERROR(G860/SUMIF(A:A,A860,G:G)*SUMIF(Summary!$A$166:$A$242,'Operations Support'!A860,Summary!$Q$166:$Q$242),0)</f>
        <v>739073.30873073207</v>
      </c>
      <c r="AG860" s="196">
        <f t="shared" ca="1" si="193"/>
        <v>1107218.1897520842</v>
      </c>
      <c r="AI860" s="196">
        <f>IFERROR($G860/SUMIF($A:$A,$A860,$G:$G)*SUMIF(Summary!$A$247:$A$283,$A860,Summary!$P$247:$P$283),0)</f>
        <v>134521.10528924156</v>
      </c>
      <c r="AJ860" s="196">
        <f>IFERROR($G860/SUMIF($A:$A,$A860,$G:$G)*(SUMIF(Summary!$A$247:$A$283,$A860,Summary!$L$247:$L$283)+SUMIF(Summary!$A$297:$A$333,$A860,Summary!$L$297:$L$333))-AI860,0)</f>
        <v>495181.99843870371</v>
      </c>
      <c r="AK860" s="196">
        <f>IFERROR($G860/SUMIF($A:$A,$A860,$G:$G)*SUMIF(Summary!$A$247:$A$283,$A860,Summary!$Q$247:$Q$283),0)</f>
        <v>134788.52814365385</v>
      </c>
      <c r="AL860" s="196">
        <f>IFERROR($G860/SUMIF($A:$A,$A860,$G:$G)*(SUMIF(Summary!$A$247:$A$283,$A860,Summary!$L$247:$L$283)+SUMIF(Summary!$A$297:$A$333,$A860,Summary!$L$297:$L$333))-AK860,0)</f>
        <v>494914.57558429136</v>
      </c>
      <c r="AM860" s="198"/>
      <c r="AN860" s="196">
        <f t="shared" ca="1" si="194"/>
        <v>1603866.5228749244</v>
      </c>
      <c r="AO860" s="196">
        <f t="shared" ca="1" si="195"/>
        <v>1602132.7653363757</v>
      </c>
    </row>
    <row r="861" spans="1:41">
      <c r="A861" s="189">
        <v>3615</v>
      </c>
      <c r="B861" s="203">
        <v>1</v>
      </c>
      <c r="C861" s="191" t="s">
        <v>236</v>
      </c>
      <c r="D861" s="192">
        <f t="shared" si="182"/>
        <v>0</v>
      </c>
      <c r="E861" s="192">
        <f t="shared" si="183"/>
        <v>0</v>
      </c>
      <c r="F861" s="192">
        <f t="shared" si="184"/>
        <v>0</v>
      </c>
      <c r="G861" s="193">
        <f t="shared" si="185"/>
        <v>0</v>
      </c>
      <c r="H861" s="194">
        <v>0</v>
      </c>
      <c r="I861" s="194">
        <v>0</v>
      </c>
      <c r="J861" s="194">
        <v>0</v>
      </c>
      <c r="K861" s="193">
        <f t="shared" si="186"/>
        <v>0</v>
      </c>
      <c r="L861" s="194">
        <v>0</v>
      </c>
      <c r="M861" s="194">
        <v>0</v>
      </c>
      <c r="N861" s="194">
        <v>0</v>
      </c>
      <c r="O861" s="193">
        <f t="shared" si="187"/>
        <v>0</v>
      </c>
      <c r="P861" s="194">
        <v>0</v>
      </c>
      <c r="Q861" s="194">
        <v>0</v>
      </c>
      <c r="R861" s="194">
        <v>0</v>
      </c>
      <c r="S861" s="193">
        <f t="shared" si="188"/>
        <v>0</v>
      </c>
      <c r="T861" s="193">
        <f t="shared" si="189"/>
        <v>0</v>
      </c>
      <c r="U861" s="193">
        <f ca="1">OFFSET('Expenditure Study'!$B$7,'Operations Support'!$C861,'Operations Support'!$B861)*$G861</f>
        <v>0</v>
      </c>
      <c r="V861" s="199">
        <f ca="1">U861*'Expenditure Study'!$B$31</f>
        <v>0</v>
      </c>
      <c r="W861" s="199">
        <f ca="1">IF(A861=10298,1.51,1)*IF($B861&lt;3,$D861*'Expenditure Study'!$B$32*OFFSET('Expenditure Study'!$B$7,'Operations Support'!$C861,'Operations Support'!$B861),0)</f>
        <v>0</v>
      </c>
      <c r="X861" s="200">
        <f ca="1">W861*'Expenditure Study'!$B$31</f>
        <v>0</v>
      </c>
      <c r="Y861" s="199">
        <f ca="1">U861*'Expenditure Study'!$B$31</f>
        <v>0</v>
      </c>
      <c r="Z861" s="200">
        <f ca="1">W861*'Expenditure Study'!$B$31</f>
        <v>0</v>
      </c>
      <c r="AA861" s="195">
        <f t="shared" ca="1" si="190"/>
        <v>0</v>
      </c>
      <c r="AB861" s="195">
        <f t="shared" ca="1" si="191"/>
        <v>0</v>
      </c>
      <c r="AD861" s="196">
        <f>IFERROR($G861/SUMIF($A:$A,$A861,$G:$G)*SUMIF(Summary!$A$166:$A$242,$A861,Summary!$P$166:$P$242),0)</f>
        <v>0</v>
      </c>
      <c r="AE861" s="197">
        <f t="shared" ca="1" si="192"/>
        <v>0</v>
      </c>
      <c r="AF861" s="196">
        <f>IFERROR(G861/SUMIF(A:A,A861,G:G)*SUMIF(Summary!$A$166:$A$242,'Operations Support'!A861,Summary!$Q$166:$Q$242),0)</f>
        <v>0</v>
      </c>
      <c r="AG861" s="196">
        <f t="shared" ca="1" si="193"/>
        <v>0</v>
      </c>
      <c r="AI861" s="196">
        <f>IFERROR($G861/SUMIF($A:$A,$A861,$G:$G)*SUMIF(Summary!$A$247:$A$283,$A861,Summary!$P$247:$P$283),0)</f>
        <v>0</v>
      </c>
      <c r="AJ861" s="196">
        <f>IFERROR($G861/SUMIF($A:$A,$A861,$G:$G)*(SUMIF(Summary!$A$247:$A$283,$A861,Summary!$L$247:$L$283)+SUMIF(Summary!$A$297:$A$333,$A861,Summary!$L$297:$L$333))-AI861,0)</f>
        <v>0</v>
      </c>
      <c r="AK861" s="196">
        <f>IFERROR($G861/SUMIF($A:$A,$A861,$G:$G)*SUMIF(Summary!$A$247:$A$283,$A861,Summary!$Q$247:$Q$283),0)</f>
        <v>0</v>
      </c>
      <c r="AL861" s="196">
        <f>IFERROR($G861/SUMIF($A:$A,$A861,$G:$G)*(SUMIF(Summary!$A$247:$A$283,$A861,Summary!$L$247:$L$283)+SUMIF(Summary!$A$297:$A$333,$A861,Summary!$L$297:$L$333))-AK861,0)</f>
        <v>0</v>
      </c>
      <c r="AM861" s="198"/>
      <c r="AN861" s="196">
        <f t="shared" ca="1" si="194"/>
        <v>0</v>
      </c>
      <c r="AO861" s="196">
        <f t="shared" ca="1" si="195"/>
        <v>0</v>
      </c>
    </row>
    <row r="862" spans="1:41">
      <c r="A862" s="189">
        <v>3615</v>
      </c>
      <c r="B862" s="203">
        <v>1</v>
      </c>
      <c r="C862" s="191" t="s">
        <v>237</v>
      </c>
      <c r="D862" s="192">
        <f t="shared" si="182"/>
        <v>0</v>
      </c>
      <c r="E862" s="192">
        <f t="shared" si="183"/>
        <v>0</v>
      </c>
      <c r="F862" s="192">
        <f t="shared" si="184"/>
        <v>0</v>
      </c>
      <c r="G862" s="193">
        <f t="shared" si="185"/>
        <v>0</v>
      </c>
      <c r="H862" s="194">
        <v>0</v>
      </c>
      <c r="I862" s="194">
        <v>0</v>
      </c>
      <c r="J862" s="194">
        <v>0</v>
      </c>
      <c r="K862" s="193">
        <f t="shared" si="186"/>
        <v>0</v>
      </c>
      <c r="L862" s="194">
        <v>0</v>
      </c>
      <c r="M862" s="194">
        <v>0</v>
      </c>
      <c r="N862" s="194">
        <v>0</v>
      </c>
      <c r="O862" s="193">
        <f t="shared" si="187"/>
        <v>0</v>
      </c>
      <c r="P862" s="194">
        <v>0</v>
      </c>
      <c r="Q862" s="194">
        <v>0</v>
      </c>
      <c r="R862" s="194">
        <v>0</v>
      </c>
      <c r="S862" s="193">
        <f t="shared" si="188"/>
        <v>0</v>
      </c>
      <c r="T862" s="193">
        <f t="shared" si="189"/>
        <v>0</v>
      </c>
      <c r="U862" s="193">
        <f ca="1">OFFSET('Expenditure Study'!$B$7,'Operations Support'!$C862,'Operations Support'!$B862)*$G862</f>
        <v>0</v>
      </c>
      <c r="V862" s="199">
        <f ca="1">U862*'Expenditure Study'!$B$31</f>
        <v>0</v>
      </c>
      <c r="W862" s="199">
        <f ca="1">IF(A862=10298,1.51,1)*IF($B862&lt;3,$D862*'Expenditure Study'!$B$32*OFFSET('Expenditure Study'!$B$7,'Operations Support'!$C862,'Operations Support'!$B862),0)</f>
        <v>0</v>
      </c>
      <c r="X862" s="200">
        <f ca="1">W862*'Expenditure Study'!$B$31</f>
        <v>0</v>
      </c>
      <c r="Y862" s="199">
        <f ca="1">U862*'Expenditure Study'!$B$31</f>
        <v>0</v>
      </c>
      <c r="Z862" s="200">
        <f ca="1">W862*'Expenditure Study'!$B$31</f>
        <v>0</v>
      </c>
      <c r="AA862" s="195">
        <f t="shared" ca="1" si="190"/>
        <v>0</v>
      </c>
      <c r="AB862" s="195">
        <f t="shared" ca="1" si="191"/>
        <v>0</v>
      </c>
      <c r="AD862" s="196">
        <f>IFERROR($G862/SUMIF($A:$A,$A862,$G:$G)*SUMIF(Summary!$A$166:$A$242,$A862,Summary!$P$166:$P$242),0)</f>
        <v>0</v>
      </c>
      <c r="AE862" s="197">
        <f t="shared" ca="1" si="192"/>
        <v>0</v>
      </c>
      <c r="AF862" s="196">
        <f>IFERROR(G862/SUMIF(A:A,A862,G:G)*SUMIF(Summary!$A$166:$A$242,'Operations Support'!A862,Summary!$Q$166:$Q$242),0)</f>
        <v>0</v>
      </c>
      <c r="AG862" s="196">
        <f t="shared" ca="1" si="193"/>
        <v>0</v>
      </c>
      <c r="AI862" s="196">
        <f>IFERROR($G862/SUMIF($A:$A,$A862,$G:$G)*SUMIF(Summary!$A$247:$A$283,$A862,Summary!$P$247:$P$283),0)</f>
        <v>0</v>
      </c>
      <c r="AJ862" s="196">
        <f>IFERROR($G862/SUMIF($A:$A,$A862,$G:$G)*(SUMIF(Summary!$A$247:$A$283,$A862,Summary!$L$247:$L$283)+SUMIF(Summary!$A$297:$A$333,$A862,Summary!$L$297:$L$333))-AI862,0)</f>
        <v>0</v>
      </c>
      <c r="AK862" s="196">
        <f>IFERROR($G862/SUMIF($A:$A,$A862,$G:$G)*SUMIF(Summary!$A$247:$A$283,$A862,Summary!$Q$247:$Q$283),0)</f>
        <v>0</v>
      </c>
      <c r="AL862" s="196">
        <f>IFERROR($G862/SUMIF($A:$A,$A862,$G:$G)*(SUMIF(Summary!$A$247:$A$283,$A862,Summary!$L$247:$L$283)+SUMIF(Summary!$A$297:$A$333,$A862,Summary!$L$297:$L$333))-AK862,0)</f>
        <v>0</v>
      </c>
      <c r="AM862" s="198"/>
      <c r="AN862" s="196">
        <f t="shared" ca="1" si="194"/>
        <v>0</v>
      </c>
      <c r="AO862" s="196">
        <f t="shared" ca="1" si="195"/>
        <v>0</v>
      </c>
    </row>
    <row r="863" spans="1:41">
      <c r="A863" s="189">
        <v>3615</v>
      </c>
      <c r="B863" s="203">
        <v>1</v>
      </c>
      <c r="C863" s="191" t="s">
        <v>238</v>
      </c>
      <c r="D863" s="192">
        <f t="shared" si="182"/>
        <v>871</v>
      </c>
      <c r="E863" s="192">
        <f t="shared" si="183"/>
        <v>4209</v>
      </c>
      <c r="F863" s="192">
        <f t="shared" si="184"/>
        <v>0</v>
      </c>
      <c r="G863" s="193">
        <f t="shared" si="185"/>
        <v>5080</v>
      </c>
      <c r="H863" s="194">
        <v>486</v>
      </c>
      <c r="I863" s="194">
        <v>1738</v>
      </c>
      <c r="J863" s="194">
        <v>0</v>
      </c>
      <c r="K863" s="193">
        <f t="shared" si="186"/>
        <v>2224</v>
      </c>
      <c r="L863" s="194">
        <v>382</v>
      </c>
      <c r="M863" s="194">
        <v>2319</v>
      </c>
      <c r="N863" s="194">
        <v>0</v>
      </c>
      <c r="O863" s="193">
        <f t="shared" si="187"/>
        <v>2701</v>
      </c>
      <c r="P863" s="194">
        <v>3</v>
      </c>
      <c r="Q863" s="194">
        <v>152</v>
      </c>
      <c r="R863" s="194">
        <v>0</v>
      </c>
      <c r="S863" s="193">
        <f t="shared" si="188"/>
        <v>155</v>
      </c>
      <c r="T863" s="193">
        <f t="shared" si="189"/>
        <v>169.33333333333334</v>
      </c>
      <c r="U863" s="193">
        <f ca="1">OFFSET('Expenditure Study'!$B$7,'Operations Support'!$C863,'Operations Support'!$B863)*$G863</f>
        <v>9042.4</v>
      </c>
      <c r="V863" s="199">
        <f ca="1">U863*'Expenditure Study'!$B$31</f>
        <v>534253.75406592002</v>
      </c>
      <c r="W863" s="199">
        <f ca="1">IF(A863=10298,1.51,1)*IF($B863&lt;3,$D863*'Expenditure Study'!$B$32*OFFSET('Expenditure Study'!$B$7,'Operations Support'!$C863,'Operations Support'!$B863),0)</f>
        <v>155.03800000000001</v>
      </c>
      <c r="X863" s="200">
        <f ca="1">W863*'Expenditure Study'!$B$31</f>
        <v>9160.1381848704004</v>
      </c>
      <c r="Y863" s="199">
        <f ca="1">U863*'Expenditure Study'!$B$31</f>
        <v>534253.75406592002</v>
      </c>
      <c r="Z863" s="200">
        <f ca="1">W863*'Expenditure Study'!$B$31</f>
        <v>9160.1381848704004</v>
      </c>
      <c r="AA863" s="195">
        <f t="shared" ca="1" si="190"/>
        <v>543413.89225079038</v>
      </c>
      <c r="AB863" s="195">
        <f t="shared" ca="1" si="191"/>
        <v>543413.89225079038</v>
      </c>
      <c r="AD863" s="196">
        <f>IFERROR($G863/SUMIF($A:$A,$A863,$G:$G)*SUMIF(Summary!$A$166:$A$242,$A863,Summary!$P$166:$P$242),0)</f>
        <v>134230.46491695172</v>
      </c>
      <c r="AE863" s="197">
        <f t="shared" ca="1" si="192"/>
        <v>409183.42733383866</v>
      </c>
      <c r="AF863" s="196">
        <f>IFERROR(G863/SUMIF(A:A,A863,G:G)*SUMIF(Summary!$A$166:$A$242,'Operations Support'!A863,Summary!$Q$166:$Q$242),0)</f>
        <v>134497.30998932899</v>
      </c>
      <c r="AG863" s="196">
        <f t="shared" ca="1" si="193"/>
        <v>408916.58226146142</v>
      </c>
      <c r="AI863" s="196">
        <f>IFERROR($G863/SUMIF($A:$A,$A863,$G:$G)*SUMIF(Summary!$A$247:$A$283,$A863,Summary!$P$247:$P$283),0)</f>
        <v>24480.287116938816</v>
      </c>
      <c r="AJ863" s="196">
        <f>IFERROR($G863/SUMIF($A:$A,$A863,$G:$G)*(SUMIF(Summary!$A$247:$A$283,$A863,Summary!$L$247:$L$283)+SUMIF(Summary!$A$297:$A$333,$A863,Summary!$L$297:$L$333))-AI863,0)</f>
        <v>90113.72208735859</v>
      </c>
      <c r="AK863" s="196">
        <f>IFERROR($G863/SUMIF($A:$A,$A863,$G:$G)*SUMIF(Summary!$A$247:$A$283,$A863,Summary!$Q$247:$Q$283),0)</f>
        <v>24528.952999095884</v>
      </c>
      <c r="AL863" s="196">
        <f>IFERROR($G863/SUMIF($A:$A,$A863,$G:$G)*(SUMIF(Summary!$A$247:$A$283,$A863,Summary!$L$247:$L$283)+SUMIF(Summary!$A$297:$A$333,$A863,Summary!$L$297:$L$333))-AK863,0)</f>
        <v>90065.056205201516</v>
      </c>
      <c r="AM863" s="198"/>
      <c r="AN863" s="196">
        <f t="shared" ca="1" si="194"/>
        <v>499297.14942119725</v>
      </c>
      <c r="AO863" s="196">
        <f t="shared" ca="1" si="195"/>
        <v>498981.63846666296</v>
      </c>
    </row>
    <row r="864" spans="1:41">
      <c r="A864" s="189">
        <v>3615</v>
      </c>
      <c r="B864" s="203">
        <v>1</v>
      </c>
      <c r="C864" s="191" t="s">
        <v>239</v>
      </c>
      <c r="D864" s="192">
        <f t="shared" si="182"/>
        <v>4</v>
      </c>
      <c r="E864" s="192">
        <f t="shared" si="183"/>
        <v>9</v>
      </c>
      <c r="F864" s="192">
        <f t="shared" si="184"/>
        <v>0</v>
      </c>
      <c r="G864" s="193">
        <f t="shared" si="185"/>
        <v>13</v>
      </c>
      <c r="H864" s="194">
        <v>0</v>
      </c>
      <c r="I864" s="194">
        <v>0</v>
      </c>
      <c r="J864" s="194">
        <v>0</v>
      </c>
      <c r="K864" s="193">
        <f t="shared" si="186"/>
        <v>0</v>
      </c>
      <c r="L864" s="194">
        <v>4</v>
      </c>
      <c r="M864" s="194">
        <v>9</v>
      </c>
      <c r="N864" s="194">
        <v>0</v>
      </c>
      <c r="O864" s="193">
        <f t="shared" si="187"/>
        <v>13</v>
      </c>
      <c r="P864" s="194">
        <v>0</v>
      </c>
      <c r="Q864" s="194">
        <v>0</v>
      </c>
      <c r="R864" s="194">
        <v>0</v>
      </c>
      <c r="S864" s="193">
        <f t="shared" si="188"/>
        <v>0</v>
      </c>
      <c r="T864" s="193">
        <f t="shared" si="189"/>
        <v>0.43333333333333335</v>
      </c>
      <c r="U864" s="193">
        <f ca="1">OFFSET('Expenditure Study'!$B$7,'Operations Support'!$C864,'Operations Support'!$B864)*$G864</f>
        <v>20.150000000000002</v>
      </c>
      <c r="V864" s="199">
        <f ca="1">U864*'Expenditure Study'!$B$31</f>
        <v>1190.52609312</v>
      </c>
      <c r="W864" s="199">
        <f ca="1">IF(A864=10298,1.51,1)*IF($B864&lt;3,$D864*'Expenditure Study'!$B$32*OFFSET('Expenditure Study'!$B$7,'Operations Support'!$C864,'Operations Support'!$B864),0)</f>
        <v>0.62000000000000011</v>
      </c>
      <c r="X864" s="200">
        <f ca="1">W864*'Expenditure Study'!$B$31</f>
        <v>36.631572096000006</v>
      </c>
      <c r="Y864" s="199">
        <f ca="1">U864*'Expenditure Study'!$B$31</f>
        <v>1190.52609312</v>
      </c>
      <c r="Z864" s="200">
        <f ca="1">W864*'Expenditure Study'!$B$31</f>
        <v>36.631572096000006</v>
      </c>
      <c r="AA864" s="195">
        <f t="shared" ca="1" si="190"/>
        <v>1227.1576652159999</v>
      </c>
      <c r="AB864" s="195">
        <f t="shared" ca="1" si="191"/>
        <v>1227.1576652159999</v>
      </c>
      <c r="AD864" s="196">
        <f>IFERROR($G864/SUMIF($A:$A,$A864,$G:$G)*SUMIF(Summary!$A$166:$A$242,$A864,Summary!$P$166:$P$242),0)</f>
        <v>343.50315825204177</v>
      </c>
      <c r="AE864" s="197">
        <f t="shared" ca="1" si="192"/>
        <v>883.65450696395817</v>
      </c>
      <c r="AF864" s="196">
        <f>IFERROR(G864/SUMIF(A:A,A864,G:G)*SUMIF(Summary!$A$166:$A$242,'Operations Support'!A864,Summary!$Q$166:$Q$242),0)</f>
        <v>344.18602950025132</v>
      </c>
      <c r="AG864" s="196">
        <f t="shared" ca="1" si="193"/>
        <v>882.97163571574856</v>
      </c>
      <c r="AI864" s="196">
        <f>IFERROR($G864/SUMIF($A:$A,$A864,$G:$G)*SUMIF(Summary!$A$247:$A$283,$A864,Summary!$P$247:$P$283),0)</f>
        <v>62.646404039410363</v>
      </c>
      <c r="AJ864" s="196">
        <f>IFERROR($G864/SUMIF($A:$A,$A864,$G:$G)*(SUMIF(Summary!$A$247:$A$283,$A864,Summary!$L$247:$L$283)+SUMIF(Summary!$A$297:$A$333,$A864,Summary!$L$297:$L$333))-AI864,0)</f>
        <v>230.60598171961846</v>
      </c>
      <c r="AK864" s="196">
        <f>IFERROR($G864/SUMIF($A:$A,$A864,$G:$G)*SUMIF(Summary!$A$247:$A$283,$A864,Summary!$Q$247:$Q$283),0)</f>
        <v>62.770942714221746</v>
      </c>
      <c r="AL864" s="196">
        <f>IFERROR($G864/SUMIF($A:$A,$A864,$G:$G)*(SUMIF(Summary!$A$247:$A$283,$A864,Summary!$L$247:$L$283)+SUMIF(Summary!$A$297:$A$333,$A864,Summary!$L$297:$L$333))-AK864,0)</f>
        <v>230.48144304480707</v>
      </c>
      <c r="AM864" s="198"/>
      <c r="AN864" s="196">
        <f t="shared" ca="1" si="194"/>
        <v>1114.2604886835766</v>
      </c>
      <c r="AO864" s="196">
        <f t="shared" ca="1" si="195"/>
        <v>1113.4530787605556</v>
      </c>
    </row>
    <row r="865" spans="1:41">
      <c r="A865" s="189">
        <v>3615</v>
      </c>
      <c r="B865" s="203">
        <v>1</v>
      </c>
      <c r="C865" s="191" t="s">
        <v>240</v>
      </c>
      <c r="D865" s="192">
        <f t="shared" si="182"/>
        <v>225</v>
      </c>
      <c r="E865" s="192">
        <f t="shared" si="183"/>
        <v>7851</v>
      </c>
      <c r="F865" s="192">
        <f t="shared" si="184"/>
        <v>0</v>
      </c>
      <c r="G865" s="193">
        <f t="shared" si="185"/>
        <v>8076</v>
      </c>
      <c r="H865" s="194">
        <v>60</v>
      </c>
      <c r="I865" s="194">
        <v>2667</v>
      </c>
      <c r="J865" s="194">
        <v>0</v>
      </c>
      <c r="K865" s="193">
        <f t="shared" si="186"/>
        <v>2727</v>
      </c>
      <c r="L865" s="194">
        <v>165</v>
      </c>
      <c r="M865" s="194">
        <v>5124</v>
      </c>
      <c r="N865" s="194">
        <v>0</v>
      </c>
      <c r="O865" s="193">
        <f t="shared" si="187"/>
        <v>5289</v>
      </c>
      <c r="P865" s="194">
        <v>0</v>
      </c>
      <c r="Q865" s="194">
        <v>60</v>
      </c>
      <c r="R865" s="194">
        <v>0</v>
      </c>
      <c r="S865" s="193">
        <f t="shared" si="188"/>
        <v>60</v>
      </c>
      <c r="T865" s="193">
        <f t="shared" si="189"/>
        <v>269.2</v>
      </c>
      <c r="U865" s="193">
        <f ca="1">OFFSET('Expenditure Study'!$B$7,'Operations Support'!$C865,'Operations Support'!$B865)*$G865</f>
        <v>8076</v>
      </c>
      <c r="V865" s="199">
        <f ca="1">U865*'Expenditure Study'!$B$31</f>
        <v>477155.76814080001</v>
      </c>
      <c r="W865" s="199">
        <f ca="1">IF(A865=10298,1.51,1)*IF($B865&lt;3,$D865*'Expenditure Study'!$B$32*OFFSET('Expenditure Study'!$B$7,'Operations Support'!$C865,'Operations Support'!$B865),0)</f>
        <v>22.5</v>
      </c>
      <c r="X865" s="200">
        <f ca="1">W865*'Expenditure Study'!$B$31</f>
        <v>1329.371568</v>
      </c>
      <c r="Y865" s="199">
        <f ca="1">U865*'Expenditure Study'!$B$31</f>
        <v>477155.76814080001</v>
      </c>
      <c r="Z865" s="200">
        <f ca="1">W865*'Expenditure Study'!$B$31</f>
        <v>1329.371568</v>
      </c>
      <c r="AA865" s="195">
        <f t="shared" ca="1" si="190"/>
        <v>478485.13970880001</v>
      </c>
      <c r="AB865" s="195">
        <f t="shared" ca="1" si="191"/>
        <v>478485.13970880001</v>
      </c>
      <c r="AD865" s="196">
        <f>IFERROR($G865/SUMIF($A:$A,$A865,$G:$G)*SUMIF(Summary!$A$166:$A$242,$A865,Summary!$P$166:$P$242),0)</f>
        <v>213394.73123411459</v>
      </c>
      <c r="AE865" s="197">
        <f t="shared" ca="1" si="192"/>
        <v>265090.40847468539</v>
      </c>
      <c r="AF865" s="196">
        <f>IFERROR(G865/SUMIF(A:A,A865,G:G)*SUMIF(Summary!$A$166:$A$242,'Operations Support'!A865,Summary!$Q$166:$Q$242),0)</f>
        <v>213818.95186492536</v>
      </c>
      <c r="AG865" s="196">
        <f t="shared" ca="1" si="193"/>
        <v>264666.18784387468</v>
      </c>
      <c r="AI865" s="196">
        <f>IFERROR($G865/SUMIF($A:$A,$A865,$G:$G)*SUMIF(Summary!$A$247:$A$283,$A865,Summary!$P$247:$P$283),0)</f>
        <v>38917.873770944469</v>
      </c>
      <c r="AJ865" s="196">
        <f>IFERROR($G865/SUMIF($A:$A,$A865,$G:$G)*(SUMIF(Summary!$A$247:$A$283,$A865,Summary!$L$247:$L$283)+SUMIF(Summary!$A$297:$A$333,$A865,Summary!$L$297:$L$333))-AI865,0)</f>
        <v>143259.53141289525</v>
      </c>
      <c r="AK865" s="196">
        <f>IFERROR($G865/SUMIF($A:$A,$A865,$G:$G)*SUMIF(Summary!$A$247:$A$283,$A865,Summary!$Q$247:$Q$283),0)</f>
        <v>38995.241027696524</v>
      </c>
      <c r="AL865" s="196">
        <f>IFERROR($G865/SUMIF($A:$A,$A865,$G:$G)*(SUMIF(Summary!$A$247:$A$283,$A865,Summary!$L$247:$L$283)+SUMIF(Summary!$A$297:$A$333,$A865,Summary!$L$297:$L$333))-AK865,0)</f>
        <v>143182.1641561432</v>
      </c>
      <c r="AM865" s="198"/>
      <c r="AN865" s="196">
        <f t="shared" ca="1" si="194"/>
        <v>408349.93988758064</v>
      </c>
      <c r="AO865" s="196">
        <f t="shared" ca="1" si="195"/>
        <v>407848.35200001788</v>
      </c>
    </row>
    <row r="866" spans="1:41">
      <c r="A866" s="189">
        <v>3615</v>
      </c>
      <c r="B866" s="203">
        <v>2</v>
      </c>
      <c r="C866" s="191" t="s">
        <v>220</v>
      </c>
      <c r="D866" s="192">
        <f t="shared" si="182"/>
        <v>47712</v>
      </c>
      <c r="E866" s="192">
        <f t="shared" si="183"/>
        <v>63009</v>
      </c>
      <c r="F866" s="192">
        <f t="shared" si="184"/>
        <v>0</v>
      </c>
      <c r="G866" s="193">
        <f t="shared" si="185"/>
        <v>110721</v>
      </c>
      <c r="H866" s="194">
        <v>20709</v>
      </c>
      <c r="I866" s="194">
        <v>28931</v>
      </c>
      <c r="J866" s="194">
        <v>0</v>
      </c>
      <c r="K866" s="193">
        <f t="shared" si="186"/>
        <v>49640</v>
      </c>
      <c r="L866" s="194">
        <v>20872</v>
      </c>
      <c r="M866" s="194">
        <v>27485</v>
      </c>
      <c r="N866" s="194">
        <v>0</v>
      </c>
      <c r="O866" s="193">
        <f t="shared" si="187"/>
        <v>48357</v>
      </c>
      <c r="P866" s="194">
        <v>6131</v>
      </c>
      <c r="Q866" s="194">
        <v>6593</v>
      </c>
      <c r="R866" s="194">
        <v>0</v>
      </c>
      <c r="S866" s="193">
        <f t="shared" si="188"/>
        <v>12724</v>
      </c>
      <c r="T866" s="193">
        <f t="shared" si="189"/>
        <v>3690.7</v>
      </c>
      <c r="U866" s="193">
        <f ca="1">OFFSET('Expenditure Study'!$B$7,'Operations Support'!$C866,'Operations Support'!$B866)*$G866</f>
        <v>203726.64</v>
      </c>
      <c r="V866" s="199">
        <f ca="1">U866*'Expenditure Study'!$B$31</f>
        <v>12036817.904896513</v>
      </c>
      <c r="W866" s="199">
        <f ca="1">IF(A866=10298,1.51,1)*IF($B866&lt;3,$D866*'Expenditure Study'!$B$32*OFFSET('Expenditure Study'!$B$7,'Operations Support'!$C866,'Operations Support'!$B866),0)</f>
        <v>8779.0079999999998</v>
      </c>
      <c r="X866" s="200">
        <f ca="1">W866*'Expenditure Study'!$B$31</f>
        <v>518691.7169086464</v>
      </c>
      <c r="Y866" s="199">
        <f ca="1">U866*'Expenditure Study'!$B$31</f>
        <v>12036817.904896513</v>
      </c>
      <c r="Z866" s="200">
        <f ca="1">W866*'Expenditure Study'!$B$31</f>
        <v>518691.7169086464</v>
      </c>
      <c r="AA866" s="195">
        <f t="shared" ca="1" si="190"/>
        <v>12555509.621805159</v>
      </c>
      <c r="AB866" s="195">
        <f t="shared" ca="1" si="191"/>
        <v>12555509.621805159</v>
      </c>
      <c r="AD866" s="196">
        <f>IFERROR($G866/SUMIF($A:$A,$A866,$G:$G)*SUMIF(Summary!$A$166:$A$242,$A866,Summary!$P$166:$P$242),0)</f>
        <v>2925616.3988326401</v>
      </c>
      <c r="AE866" s="197">
        <f t="shared" ca="1" si="192"/>
        <v>9629893.2229725197</v>
      </c>
      <c r="AF866" s="196">
        <f>IFERROR(G866/SUMIF(A:A,A866,G:G)*SUMIF(Summary!$A$166:$A$242,'Operations Support'!A866,Summary!$Q$166:$Q$242),0)</f>
        <v>2931432.4132536408</v>
      </c>
      <c r="AG866" s="196">
        <f t="shared" ca="1" si="193"/>
        <v>9624077.2085515186</v>
      </c>
      <c r="AI866" s="196">
        <f>IFERROR($G866/SUMIF($A:$A,$A866,$G:$G)*SUMIF(Summary!$A$247:$A$283,$A866,Summary!$P$247:$P$283),0)</f>
        <v>533559.42320365808</v>
      </c>
      <c r="AJ866" s="196">
        <f>IFERROR($G866/SUMIF($A:$A,$A866,$G:$G)*(SUMIF(Summary!$A$247:$A$283,$A866,Summary!$L$247:$L$283)+SUMIF(Summary!$A$297:$A$333,$A866,Summary!$L$297:$L$333))-AI866,0)</f>
        <v>1964071.1463059902</v>
      </c>
      <c r="AK866" s="196">
        <f>IFERROR($G866/SUMIF($A:$A,$A866,$G:$G)*SUMIF(Summary!$A$247:$A$283,$A866,Summary!$Q$247:$Q$283),0)</f>
        <v>534620.11909702665</v>
      </c>
      <c r="AL866" s="196">
        <f>IFERROR($G866/SUMIF($A:$A,$A866,$G:$G)*(SUMIF(Summary!$A$247:$A$283,$A866,Summary!$L$247:$L$283)+SUMIF(Summary!$A$297:$A$333,$A866,Summary!$L$297:$L$333))-AK866,0)</f>
        <v>1963010.4504126217</v>
      </c>
      <c r="AM866" s="198"/>
      <c r="AN866" s="196">
        <f t="shared" ca="1" si="194"/>
        <v>11593964.369278509</v>
      </c>
      <c r="AO866" s="196">
        <f t="shared" ca="1" si="195"/>
        <v>11587087.65896414</v>
      </c>
    </row>
    <row r="867" spans="1:41">
      <c r="A867" s="189">
        <v>3615</v>
      </c>
      <c r="B867" s="203">
        <v>2</v>
      </c>
      <c r="C867" s="191" t="s">
        <v>221</v>
      </c>
      <c r="D867" s="192">
        <f t="shared" si="182"/>
        <v>12919</v>
      </c>
      <c r="E867" s="192">
        <f t="shared" si="183"/>
        <v>16888</v>
      </c>
      <c r="F867" s="192">
        <f t="shared" si="184"/>
        <v>0</v>
      </c>
      <c r="G867" s="193">
        <f t="shared" si="185"/>
        <v>29807</v>
      </c>
      <c r="H867" s="194">
        <v>5742</v>
      </c>
      <c r="I867" s="194">
        <v>7334</v>
      </c>
      <c r="J867" s="194">
        <v>0</v>
      </c>
      <c r="K867" s="193">
        <f t="shared" si="186"/>
        <v>13076</v>
      </c>
      <c r="L867" s="194">
        <v>6174</v>
      </c>
      <c r="M867" s="194">
        <v>7589</v>
      </c>
      <c r="N867" s="194">
        <v>0</v>
      </c>
      <c r="O867" s="193">
        <f t="shared" si="187"/>
        <v>13763</v>
      </c>
      <c r="P867" s="194">
        <v>1003</v>
      </c>
      <c r="Q867" s="194">
        <v>1965</v>
      </c>
      <c r="R867" s="194">
        <v>0</v>
      </c>
      <c r="S867" s="193">
        <f t="shared" si="188"/>
        <v>2968</v>
      </c>
      <c r="T867" s="193">
        <f t="shared" si="189"/>
        <v>993.56666666666672</v>
      </c>
      <c r="U867" s="193">
        <f ca="1">OFFSET('Expenditure Study'!$B$7,'Operations Support'!$C867,'Operations Support'!$B867)*$G867</f>
        <v>78392.41</v>
      </c>
      <c r="V867" s="199">
        <f ca="1">U867*'Expenditure Study'!$B$31</f>
        <v>4631672.9333777279</v>
      </c>
      <c r="W867" s="199">
        <f ca="1">IF(A867=10298,1.51,1)*IF($B867&lt;3,$D867*'Expenditure Study'!$B$32*OFFSET('Expenditure Study'!$B$7,'Operations Support'!$C867,'Operations Support'!$B867),0)</f>
        <v>3397.6970000000001</v>
      </c>
      <c r="X867" s="200">
        <f ca="1">W867*'Expenditure Study'!$B$31</f>
        <v>200746.74615461761</v>
      </c>
      <c r="Y867" s="199">
        <f ca="1">U867*'Expenditure Study'!$B$31</f>
        <v>4631672.9333777279</v>
      </c>
      <c r="Z867" s="200">
        <f ca="1">W867*'Expenditure Study'!$B$31</f>
        <v>200746.74615461761</v>
      </c>
      <c r="AA867" s="195">
        <f t="shared" ca="1" si="190"/>
        <v>4832419.6795323454</v>
      </c>
      <c r="AB867" s="195">
        <f t="shared" ca="1" si="191"/>
        <v>4832419.6795323454</v>
      </c>
      <c r="AD867" s="196">
        <f>IFERROR($G867/SUMIF($A:$A,$A867,$G:$G)*SUMIF(Summary!$A$166:$A$242,$A867,Summary!$P$166:$P$242),0)</f>
        <v>787599.89523220074</v>
      </c>
      <c r="AE867" s="197">
        <f t="shared" ca="1" si="192"/>
        <v>4044819.7843001448</v>
      </c>
      <c r="AF867" s="196">
        <f>IFERROR(G867/SUMIF(A:A,A867,G:G)*SUMIF(Summary!$A$166:$A$242,'Operations Support'!A867,Summary!$Q$166:$Q$242),0)</f>
        <v>789165.61394723004</v>
      </c>
      <c r="AG867" s="196">
        <f t="shared" ca="1" si="193"/>
        <v>4043254.0655851155</v>
      </c>
      <c r="AI867" s="196">
        <f>IFERROR($G867/SUMIF($A:$A,$A867,$G:$G)*SUMIF(Summary!$A$247:$A$283,$A867,Summary!$P$247:$P$283),0)</f>
        <v>143638.56655405421</v>
      </c>
      <c r="AJ867" s="196">
        <f>IFERROR($G867/SUMIF($A:$A,$A867,$G:$G)*(SUMIF(Summary!$A$247:$A$283,$A867,Summary!$L$247:$L$283)+SUMIF(Summary!$A$297:$A$333,$A867,Summary!$L$297:$L$333))-AI867,0)</f>
        <v>528744.03823974356</v>
      </c>
      <c r="AK867" s="196">
        <f>IFERROR($G867/SUMIF($A:$A,$A867,$G:$G)*SUMIF(Summary!$A$247:$A$283,$A867,Summary!$Q$247:$Q$283),0)</f>
        <v>143924.11457560057</v>
      </c>
      <c r="AL867" s="196">
        <f>IFERROR($G867/SUMIF($A:$A,$A867,$G:$G)*(SUMIF(Summary!$A$247:$A$283,$A867,Summary!$L$247:$L$283)+SUMIF(Summary!$A$297:$A$333,$A867,Summary!$L$297:$L$333))-AK867,0)</f>
        <v>528458.49021819711</v>
      </c>
      <c r="AM867" s="198"/>
      <c r="AN867" s="196">
        <f t="shared" ca="1" si="194"/>
        <v>4573563.8225398883</v>
      </c>
      <c r="AO867" s="196">
        <f t="shared" ca="1" si="195"/>
        <v>4571712.5558033129</v>
      </c>
    </row>
    <row r="868" spans="1:41">
      <c r="A868" s="189">
        <v>3615</v>
      </c>
      <c r="B868" s="203">
        <v>2</v>
      </c>
      <c r="C868" s="191" t="s">
        <v>222</v>
      </c>
      <c r="D868" s="192">
        <f t="shared" si="182"/>
        <v>8712.5</v>
      </c>
      <c r="E868" s="192">
        <f t="shared" si="183"/>
        <v>14963.5</v>
      </c>
      <c r="F868" s="192">
        <f t="shared" si="184"/>
        <v>0</v>
      </c>
      <c r="G868" s="193">
        <f t="shared" si="185"/>
        <v>23676</v>
      </c>
      <c r="H868" s="194">
        <v>4505.5</v>
      </c>
      <c r="I868" s="194">
        <v>7118.5</v>
      </c>
      <c r="J868" s="194">
        <v>0</v>
      </c>
      <c r="K868" s="193">
        <f t="shared" si="186"/>
        <v>11624</v>
      </c>
      <c r="L868" s="194">
        <v>3864</v>
      </c>
      <c r="M868" s="194">
        <v>6714</v>
      </c>
      <c r="N868" s="194">
        <v>0</v>
      </c>
      <c r="O868" s="193">
        <f t="shared" si="187"/>
        <v>10578</v>
      </c>
      <c r="P868" s="194">
        <v>343</v>
      </c>
      <c r="Q868" s="194">
        <v>1131</v>
      </c>
      <c r="R868" s="194">
        <v>0</v>
      </c>
      <c r="S868" s="193">
        <f t="shared" si="188"/>
        <v>1474</v>
      </c>
      <c r="T868" s="193">
        <f t="shared" si="189"/>
        <v>789.2</v>
      </c>
      <c r="U868" s="193">
        <f ca="1">OFFSET('Expenditure Study'!$B$7,'Operations Support'!$C868,'Operations Support'!$B868)*$G868</f>
        <v>62978.16</v>
      </c>
      <c r="V868" s="199">
        <f ca="1">U868*'Expenditure Study'!$B$31</f>
        <v>3720950.0137313283</v>
      </c>
      <c r="W868" s="199">
        <f ca="1">IF(A868=10298,1.51,1)*IF($B868&lt;3,$D868*'Expenditure Study'!$B$32*OFFSET('Expenditure Study'!$B$7,'Operations Support'!$C868,'Operations Support'!$B868),0)</f>
        <v>2317.5250000000001</v>
      </c>
      <c r="X868" s="200">
        <f ca="1">W868*'Expenditure Study'!$B$31</f>
        <v>136926.74858352001</v>
      </c>
      <c r="Y868" s="199">
        <f ca="1">U868*'Expenditure Study'!$B$31</f>
        <v>3720950.0137313283</v>
      </c>
      <c r="Z868" s="200">
        <f ca="1">W868*'Expenditure Study'!$B$31</f>
        <v>136926.74858352001</v>
      </c>
      <c r="AA868" s="195">
        <f t="shared" ca="1" si="190"/>
        <v>3857876.7623148481</v>
      </c>
      <c r="AB868" s="195">
        <f t="shared" ca="1" si="191"/>
        <v>3857876.7623148481</v>
      </c>
      <c r="AD868" s="196">
        <f>IFERROR($G868/SUMIF($A:$A,$A868,$G:$G)*SUMIF(Summary!$A$166:$A$242,$A868,Summary!$P$166:$P$242),0)</f>
        <v>625598.52113656478</v>
      </c>
      <c r="AE868" s="197">
        <f t="shared" ca="1" si="192"/>
        <v>3232278.2411782835</v>
      </c>
      <c r="AF868" s="196">
        <f>IFERROR(G868/SUMIF(A:A,A868,G:G)*SUMIF(Summary!$A$166:$A$242,'Operations Support'!A868,Summary!$Q$166:$Q$242),0)</f>
        <v>626842.18726522697</v>
      </c>
      <c r="AG868" s="196">
        <f t="shared" ca="1" si="193"/>
        <v>3231034.5750496211</v>
      </c>
      <c r="AI868" s="196">
        <f>IFERROR($G868/SUMIF($A:$A,$A868,$G:$G)*SUMIF(Summary!$A$247:$A$283,$A868,Summary!$P$247:$P$283),0)</f>
        <v>114093.5586182369</v>
      </c>
      <c r="AJ868" s="196">
        <f>IFERROR($G868/SUMIF($A:$A,$A868,$G:$G)*(SUMIF(Summary!$A$247:$A$283,$A868,Summary!$L$247:$L$283)+SUMIF(Summary!$A$297:$A$333,$A868,Summary!$L$297:$L$333))-AI868,0)</f>
        <v>419986.70947643742</v>
      </c>
      <c r="AK868" s="196">
        <f>IFERROR($G868/SUMIF($A:$A,$A868,$G:$G)*SUMIF(Summary!$A$247:$A$283,$A868,Summary!$Q$247:$Q$283),0)</f>
        <v>114320.37228476263</v>
      </c>
      <c r="AL868" s="196">
        <f>IFERROR($G868/SUMIF($A:$A,$A868,$G:$G)*(SUMIF(Summary!$A$247:$A$283,$A868,Summary!$L$247:$L$283)+SUMIF(Summary!$A$297:$A$333,$A868,Summary!$L$297:$L$333))-AK868,0)</f>
        <v>419759.89580991172</v>
      </c>
      <c r="AM868" s="198"/>
      <c r="AN868" s="196">
        <f t="shared" ca="1" si="194"/>
        <v>3652264.9506547209</v>
      </c>
      <c r="AO868" s="196">
        <f t="shared" ca="1" si="195"/>
        <v>3650794.4708595327</v>
      </c>
    </row>
    <row r="869" spans="1:41" s="201" customFormat="1">
      <c r="A869" s="189">
        <v>3615</v>
      </c>
      <c r="B869" s="203">
        <v>2</v>
      </c>
      <c r="C869" s="191" t="s">
        <v>223</v>
      </c>
      <c r="D869" s="192">
        <f t="shared" si="182"/>
        <v>4400</v>
      </c>
      <c r="E869" s="192">
        <f t="shared" si="183"/>
        <v>13268</v>
      </c>
      <c r="F869" s="192">
        <f t="shared" si="184"/>
        <v>0</v>
      </c>
      <c r="G869" s="193">
        <f t="shared" si="185"/>
        <v>17668</v>
      </c>
      <c r="H869" s="194">
        <v>2173</v>
      </c>
      <c r="I869" s="194">
        <v>5478</v>
      </c>
      <c r="J869" s="194">
        <v>0</v>
      </c>
      <c r="K869" s="193">
        <f t="shared" si="186"/>
        <v>7651</v>
      </c>
      <c r="L869" s="194">
        <v>1843</v>
      </c>
      <c r="M869" s="194">
        <v>6395</v>
      </c>
      <c r="N869" s="194">
        <v>0</v>
      </c>
      <c r="O869" s="193">
        <f t="shared" si="187"/>
        <v>8238</v>
      </c>
      <c r="P869" s="194">
        <v>384</v>
      </c>
      <c r="Q869" s="194">
        <v>1395</v>
      </c>
      <c r="R869" s="194">
        <v>0</v>
      </c>
      <c r="S869" s="193">
        <f t="shared" si="188"/>
        <v>1779</v>
      </c>
      <c r="T869" s="193">
        <f t="shared" si="189"/>
        <v>588.93333333333328</v>
      </c>
      <c r="U869" s="193">
        <f ca="1">OFFSET('Expenditure Study'!$B$7,'Operations Support'!$C869,'Operations Support'!$B869)*$G869</f>
        <v>33569.199999999997</v>
      </c>
      <c r="V869" s="199">
        <f ca="1">U869*'Expenditure Study'!$B$31</f>
        <v>1983375.1129113599</v>
      </c>
      <c r="W869" s="199">
        <f ca="1">IF(A869=10298,1.51,1)*IF($B869&lt;3,$D869*'Expenditure Study'!$B$32*OFFSET('Expenditure Study'!$B$7,'Operations Support'!$C869,'Operations Support'!$B869),0)</f>
        <v>836</v>
      </c>
      <c r="X869" s="200">
        <f ca="1">W869*'Expenditure Study'!$B$31</f>
        <v>49393.539148800002</v>
      </c>
      <c r="Y869" s="199">
        <f ca="1">U869*'Expenditure Study'!$B$31</f>
        <v>1983375.1129113599</v>
      </c>
      <c r="Z869" s="200">
        <f ca="1">W869*'Expenditure Study'!$B$31</f>
        <v>49393.539148800002</v>
      </c>
      <c r="AA869" s="195">
        <f t="shared" ca="1" si="190"/>
        <v>2032768.6520601599</v>
      </c>
      <c r="AB869" s="195">
        <f t="shared" ca="1" si="191"/>
        <v>2032768.6520601599</v>
      </c>
      <c r="AD869" s="196">
        <f>IFERROR($G869/SUMIF($A:$A,$A869,$G:$G)*SUMIF(Summary!$A$166:$A$242,$A869,Summary!$P$166:$P$242),0)</f>
        <v>466847.21538439038</v>
      </c>
      <c r="AE869" s="197">
        <f t="shared" ca="1" si="192"/>
        <v>1565921.4366757695</v>
      </c>
      <c r="AF869" s="196">
        <f>IFERROR(G869/SUMIF(A:A,A869,G:G)*SUMIF(Summary!$A$166:$A$242,'Operations Support'!A869,Summary!$Q$166:$Q$242),0)</f>
        <v>467775.28993926471</v>
      </c>
      <c r="AG869" s="196">
        <f t="shared" ca="1" si="193"/>
        <v>1564993.3621208952</v>
      </c>
      <c r="AH869" s="180"/>
      <c r="AI869" s="196">
        <f>IFERROR($G869/SUMIF($A:$A,$A869,$G:$G)*SUMIF(Summary!$A$247:$A$283,$A869,Summary!$P$247:$P$283),0)</f>
        <v>85141.282043715575</v>
      </c>
      <c r="AJ869" s="196">
        <f>IFERROR($G869/SUMIF($A:$A,$A869,$G:$G)*(SUMIF(Summary!$A$247:$A$283,$A869,Summary!$L$247:$L$283)+SUMIF(Summary!$A$297:$A$333,$A869,Summary!$L$297:$L$333))-AI869,0)</f>
        <v>313411.26807863219</v>
      </c>
      <c r="AK869" s="196">
        <f>IFERROR($G869/SUMIF($A:$A,$A869,$G:$G)*SUMIF(Summary!$A$247:$A$283,$A869,Summary!$Q$247:$Q$283),0)</f>
        <v>85310.539682682313</v>
      </c>
      <c r="AL869" s="196">
        <f>IFERROR($G869/SUMIF($A:$A,$A869,$G:$G)*(SUMIF(Summary!$A$247:$A$283,$A869,Summary!$L$247:$L$283)+SUMIF(Summary!$A$297:$A$333,$A869,Summary!$L$297:$L$333))-AK869,0)</f>
        <v>313242.01043966546</v>
      </c>
      <c r="AM869" s="198"/>
      <c r="AN869" s="196">
        <f t="shared" ca="1" si="194"/>
        <v>1879332.7047544017</v>
      </c>
      <c r="AO869" s="196">
        <f t="shared" ca="1" si="195"/>
        <v>1878235.3725605607</v>
      </c>
    </row>
    <row r="870" spans="1:41">
      <c r="A870" s="189">
        <v>3615</v>
      </c>
      <c r="B870" s="203">
        <v>2</v>
      </c>
      <c r="C870" s="191" t="s">
        <v>224</v>
      </c>
      <c r="D870" s="192">
        <f t="shared" si="182"/>
        <v>4727.3999999999996</v>
      </c>
      <c r="E870" s="192">
        <f t="shared" si="183"/>
        <v>2265.6</v>
      </c>
      <c r="F870" s="192">
        <f t="shared" si="184"/>
        <v>0</v>
      </c>
      <c r="G870" s="193">
        <f t="shared" si="185"/>
        <v>6993</v>
      </c>
      <c r="H870" s="194">
        <v>2194.4</v>
      </c>
      <c r="I870" s="194">
        <v>1227.5999999999999</v>
      </c>
      <c r="J870" s="194">
        <v>0</v>
      </c>
      <c r="K870" s="193">
        <f t="shared" si="186"/>
        <v>3422</v>
      </c>
      <c r="L870" s="194">
        <v>1881</v>
      </c>
      <c r="M870" s="194">
        <v>960</v>
      </c>
      <c r="N870" s="194">
        <v>0</v>
      </c>
      <c r="O870" s="193">
        <f t="shared" si="187"/>
        <v>2841</v>
      </c>
      <c r="P870" s="194">
        <v>652</v>
      </c>
      <c r="Q870" s="194">
        <v>78</v>
      </c>
      <c r="R870" s="194">
        <v>0</v>
      </c>
      <c r="S870" s="193">
        <f t="shared" si="188"/>
        <v>730</v>
      </c>
      <c r="T870" s="193">
        <f t="shared" si="189"/>
        <v>233.1</v>
      </c>
      <c r="U870" s="193">
        <f ca="1">OFFSET('Expenditure Study'!$B$7,'Operations Support'!$C870,'Operations Support'!$B870)*$G870</f>
        <v>15874.11</v>
      </c>
      <c r="V870" s="199">
        <f ca="1">U870*'Expenditure Study'!$B$31</f>
        <v>937892.9111690881</v>
      </c>
      <c r="W870" s="199">
        <f ca="1">IF(A870=10298,1.51,1)*IF($B870&lt;3,$D870*'Expenditure Study'!$B$32*OFFSET('Expenditure Study'!$B$7,'Operations Support'!$C870,'Operations Support'!$B870),0)</f>
        <v>1073.1197999999999</v>
      </c>
      <c r="X870" s="200">
        <f ca="1">W870*'Expenditure Study'!$B$31</f>
        <v>63403.331163459836</v>
      </c>
      <c r="Y870" s="199">
        <f ca="1">U870*'Expenditure Study'!$B$31</f>
        <v>937892.9111690881</v>
      </c>
      <c r="Z870" s="200">
        <f ca="1">W870*'Expenditure Study'!$B$31</f>
        <v>63403.331163459836</v>
      </c>
      <c r="AA870" s="195">
        <f t="shared" ca="1" si="190"/>
        <v>1001296.2423325479</v>
      </c>
      <c r="AB870" s="195">
        <f t="shared" ca="1" si="191"/>
        <v>1001296.2423325479</v>
      </c>
      <c r="AD870" s="196">
        <f>IFERROR($G870/SUMIF($A:$A,$A870,$G:$G)*SUMIF(Summary!$A$166:$A$242,$A870,Summary!$P$166:$P$242),0)</f>
        <v>184778.27581973295</v>
      </c>
      <c r="AE870" s="197">
        <f t="shared" ca="1" si="192"/>
        <v>816517.96651281498</v>
      </c>
      <c r="AF870" s="196">
        <f>IFERROR(G870/SUMIF(A:A,A870,G:G)*SUMIF(Summary!$A$166:$A$242,'Operations Support'!A870,Summary!$Q$166:$Q$242),0)</f>
        <v>185145.60802271214</v>
      </c>
      <c r="AG870" s="196">
        <f t="shared" ca="1" si="193"/>
        <v>816150.63430983573</v>
      </c>
      <c r="AI870" s="196">
        <f>IFERROR($G870/SUMIF($A:$A,$A870,$G:$G)*SUMIF(Summary!$A$247:$A$283,$A870,Summary!$P$247:$P$283),0)</f>
        <v>33698.946419045897</v>
      </c>
      <c r="AJ870" s="196">
        <f>IFERROR($G870/SUMIF($A:$A,$A870,$G:$G)*(SUMIF(Summary!$A$247:$A$283,$A870,Summary!$L$247:$L$283)+SUMIF(Summary!$A$297:$A$333,$A870,Summary!$L$297:$L$333))-AI870,0)</f>
        <v>124048.27924348398</v>
      </c>
      <c r="AK870" s="196">
        <f>IFERROR($G870/SUMIF($A:$A,$A870,$G:$G)*SUMIF(Summary!$A$247:$A$283,$A870,Summary!$Q$247:$Q$283),0)</f>
        <v>33765.938646196359</v>
      </c>
      <c r="AL870" s="196">
        <f>IFERROR($G870/SUMIF($A:$A,$A870,$G:$G)*(SUMIF(Summary!$A$247:$A$283,$A870,Summary!$L$247:$L$283)+SUMIF(Summary!$A$297:$A$333,$A870,Summary!$L$297:$L$333))-AK870,0)</f>
        <v>123981.28701633352</v>
      </c>
      <c r="AM870" s="198"/>
      <c r="AN870" s="196">
        <f t="shared" ca="1" si="194"/>
        <v>940566.245756299</v>
      </c>
      <c r="AO870" s="196">
        <f t="shared" ca="1" si="195"/>
        <v>940131.92132616928</v>
      </c>
    </row>
    <row r="871" spans="1:41">
      <c r="A871" s="189">
        <v>3615</v>
      </c>
      <c r="B871" s="203">
        <v>2</v>
      </c>
      <c r="C871" s="191" t="s">
        <v>225</v>
      </c>
      <c r="D871" s="192">
        <f t="shared" si="182"/>
        <v>9012.5400000000009</v>
      </c>
      <c r="E871" s="192">
        <f t="shared" si="183"/>
        <v>15274.46</v>
      </c>
      <c r="F871" s="192">
        <f t="shared" si="184"/>
        <v>0</v>
      </c>
      <c r="G871" s="193">
        <f t="shared" si="185"/>
        <v>24287</v>
      </c>
      <c r="H871" s="194">
        <v>4273.54</v>
      </c>
      <c r="I871" s="194">
        <v>6976.46</v>
      </c>
      <c r="J871" s="194">
        <v>0</v>
      </c>
      <c r="K871" s="193">
        <f t="shared" si="186"/>
        <v>11250</v>
      </c>
      <c r="L871" s="194">
        <v>3964</v>
      </c>
      <c r="M871" s="194">
        <v>6893</v>
      </c>
      <c r="N871" s="194">
        <v>0</v>
      </c>
      <c r="O871" s="193">
        <f t="shared" si="187"/>
        <v>10857</v>
      </c>
      <c r="P871" s="194">
        <v>775</v>
      </c>
      <c r="Q871" s="194">
        <v>1405</v>
      </c>
      <c r="R871" s="194">
        <v>0</v>
      </c>
      <c r="S871" s="193">
        <f t="shared" si="188"/>
        <v>2180</v>
      </c>
      <c r="T871" s="193">
        <f t="shared" si="189"/>
        <v>809.56666666666672</v>
      </c>
      <c r="U871" s="193">
        <f ca="1">OFFSET('Expenditure Study'!$B$7,'Operations Support'!$C871,'Operations Support'!$B871)*$G871</f>
        <v>68003.599999999991</v>
      </c>
      <c r="V871" s="199">
        <f ca="1">U871*'Expenditure Study'!$B$31</f>
        <v>4017868.9938508794</v>
      </c>
      <c r="W871" s="199">
        <f ca="1">IF(A871=10298,1.51,1)*IF($B871&lt;3,$D871*'Expenditure Study'!$B$32*OFFSET('Expenditure Study'!$B$7,'Operations Support'!$C871,'Operations Support'!$B871),0)</f>
        <v>2523.5112000000004</v>
      </c>
      <c r="X871" s="200">
        <f ca="1">W871*'Expenditure Study'!$B$31</f>
        <v>149097.06848042499</v>
      </c>
      <c r="Y871" s="199">
        <f ca="1">U871*'Expenditure Study'!$B$31</f>
        <v>4017868.9938508794</v>
      </c>
      <c r="Z871" s="200">
        <f ca="1">W871*'Expenditure Study'!$B$31</f>
        <v>149097.06848042499</v>
      </c>
      <c r="AA871" s="195">
        <f t="shared" ca="1" si="190"/>
        <v>4166966.0623313044</v>
      </c>
      <c r="AB871" s="195">
        <f t="shared" ca="1" si="191"/>
        <v>4166966.0623313044</v>
      </c>
      <c r="AD871" s="196">
        <f>IFERROR($G871/SUMIF($A:$A,$A871,$G:$G)*SUMIF(Summary!$A$166:$A$242,$A871,Summary!$P$166:$P$242),0)</f>
        <v>641743.16957441077</v>
      </c>
      <c r="AE871" s="197">
        <f t="shared" ca="1" si="192"/>
        <v>3525222.8927568938</v>
      </c>
      <c r="AF871" s="196">
        <f>IFERROR(G871/SUMIF(A:A,A871,G:G)*SUMIF(Summary!$A$166:$A$242,'Operations Support'!A871,Summary!$Q$166:$Q$242),0)</f>
        <v>643018.93065173889</v>
      </c>
      <c r="AG871" s="196">
        <f t="shared" ca="1" si="193"/>
        <v>3523947.1316795656</v>
      </c>
      <c r="AI871" s="196">
        <f>IFERROR($G871/SUMIF($A:$A,$A871,$G:$G)*SUMIF(Summary!$A$247:$A$283,$A871,Summary!$P$247:$P$283),0)</f>
        <v>117037.9396080892</v>
      </c>
      <c r="AJ871" s="196">
        <f>IFERROR($G871/SUMIF($A:$A,$A871,$G:$G)*(SUMIF(Summary!$A$247:$A$283,$A871,Summary!$L$247:$L$283)+SUMIF(Summary!$A$297:$A$333,$A871,Summary!$L$297:$L$333))-AI871,0)</f>
        <v>430825.19061725942</v>
      </c>
      <c r="AK871" s="196">
        <f>IFERROR($G871/SUMIF($A:$A,$A871,$G:$G)*SUMIF(Summary!$A$247:$A$283,$A871,Summary!$Q$247:$Q$283),0)</f>
        <v>117270.60659233105</v>
      </c>
      <c r="AL871" s="196">
        <f>IFERROR($G871/SUMIF($A:$A,$A871,$G:$G)*(SUMIF(Summary!$A$247:$A$283,$A871,Summary!$L$247:$L$283)+SUMIF(Summary!$A$297:$A$333,$A871,Summary!$L$297:$L$333))-AK871,0)</f>
        <v>430592.52363301755</v>
      </c>
      <c r="AM871" s="198"/>
      <c r="AN871" s="196">
        <f t="shared" ca="1" si="194"/>
        <v>3956048.0833741534</v>
      </c>
      <c r="AO871" s="196">
        <f t="shared" ca="1" si="195"/>
        <v>3954539.6553125833</v>
      </c>
    </row>
    <row r="872" spans="1:41">
      <c r="A872" s="189">
        <v>3615</v>
      </c>
      <c r="B872" s="203">
        <v>2</v>
      </c>
      <c r="C872" s="191" t="s">
        <v>226</v>
      </c>
      <c r="D872" s="192">
        <f t="shared" si="182"/>
        <v>3348</v>
      </c>
      <c r="E872" s="192">
        <f t="shared" si="183"/>
        <v>7049</v>
      </c>
      <c r="F872" s="192">
        <f t="shared" si="184"/>
        <v>0</v>
      </c>
      <c r="G872" s="193">
        <f t="shared" si="185"/>
        <v>10397</v>
      </c>
      <c r="H872" s="194">
        <v>1566</v>
      </c>
      <c r="I872" s="194">
        <v>3256</v>
      </c>
      <c r="J872" s="194">
        <v>0</v>
      </c>
      <c r="K872" s="193">
        <f t="shared" si="186"/>
        <v>4822</v>
      </c>
      <c r="L872" s="194">
        <v>1407</v>
      </c>
      <c r="M872" s="194">
        <v>2989</v>
      </c>
      <c r="N872" s="194">
        <v>0</v>
      </c>
      <c r="O872" s="193">
        <f t="shared" si="187"/>
        <v>4396</v>
      </c>
      <c r="P872" s="194">
        <v>375</v>
      </c>
      <c r="Q872" s="194">
        <v>804</v>
      </c>
      <c r="R872" s="194">
        <v>0</v>
      </c>
      <c r="S872" s="193">
        <f t="shared" si="188"/>
        <v>1179</v>
      </c>
      <c r="T872" s="193">
        <f t="shared" si="189"/>
        <v>346.56666666666666</v>
      </c>
      <c r="U872" s="193">
        <f ca="1">OFFSET('Expenditure Study'!$B$7,'Operations Support'!$C872,'Operations Support'!$B872)*$G872</f>
        <v>18714.600000000002</v>
      </c>
      <c r="V872" s="199">
        <f ca="1">U872*'Expenditure Study'!$B$31</f>
        <v>1105718.0953996801</v>
      </c>
      <c r="W872" s="199">
        <f ca="1">IF(A872=10298,1.51,1)*IF($B872&lt;3,$D872*'Expenditure Study'!$B$32*OFFSET('Expenditure Study'!$B$7,'Operations Support'!$C872,'Operations Support'!$B872),0)</f>
        <v>602.64</v>
      </c>
      <c r="X872" s="200">
        <f ca="1">W872*'Expenditure Study'!$B$31</f>
        <v>35605.888077311996</v>
      </c>
      <c r="Y872" s="199">
        <f ca="1">U872*'Expenditure Study'!$B$31</f>
        <v>1105718.0953996801</v>
      </c>
      <c r="Z872" s="200">
        <f ca="1">W872*'Expenditure Study'!$B$31</f>
        <v>35605.888077311996</v>
      </c>
      <c r="AA872" s="195">
        <f t="shared" ca="1" si="190"/>
        <v>1141323.983476992</v>
      </c>
      <c r="AB872" s="195">
        <f t="shared" ca="1" si="191"/>
        <v>1141323.983476992</v>
      </c>
      <c r="AD872" s="196">
        <f>IFERROR($G872/SUMIF($A:$A,$A872,$G:$G)*SUMIF(Summary!$A$166:$A$242,$A872,Summary!$P$166:$P$242),0)</f>
        <v>274723.25664203684</v>
      </c>
      <c r="AE872" s="197">
        <f t="shared" ca="1" si="192"/>
        <v>866600.72683495516</v>
      </c>
      <c r="AF872" s="196">
        <f>IFERROR(G872/SUMIF(A:A,A872,G:G)*SUMIF(Summary!$A$166:$A$242,'Operations Support'!A872,Summary!$Q$166:$Q$242),0)</f>
        <v>275269.3960549318</v>
      </c>
      <c r="AG872" s="196">
        <f t="shared" ca="1" si="193"/>
        <v>866054.5874220602</v>
      </c>
      <c r="AI872" s="196">
        <f>IFERROR($G872/SUMIF($A:$A,$A872,$G:$G)*SUMIF(Summary!$A$247:$A$283,$A872,Summary!$P$247:$P$283),0)</f>
        <v>50102.666369057661</v>
      </c>
      <c r="AJ872" s="196">
        <f>IFERROR($G872/SUMIF($A:$A,$A872,$G:$G)*(SUMIF(Summary!$A$247:$A$283,$A872,Summary!$L$247:$L$283)+SUMIF(Summary!$A$297:$A$333,$A872,Summary!$L$297:$L$333))-AI872,0)</f>
        <v>184431.56861068253</v>
      </c>
      <c r="AK872" s="196">
        <f>IFERROR($G872/SUMIF($A:$A,$A872,$G:$G)*SUMIF(Summary!$A$247:$A$283,$A872,Summary!$Q$247:$Q$283),0)</f>
        <v>50202.268569212581</v>
      </c>
      <c r="AL872" s="196">
        <f>IFERROR($G872/SUMIF($A:$A,$A872,$G:$G)*(SUMIF(Summary!$A$247:$A$283,$A872,Summary!$L$247:$L$283)+SUMIF(Summary!$A$297:$A$333,$A872,Summary!$L$297:$L$333))-AK872,0)</f>
        <v>184331.96641052762</v>
      </c>
      <c r="AM872" s="198"/>
      <c r="AN872" s="196">
        <f t="shared" ca="1" si="194"/>
        <v>1051032.2954456378</v>
      </c>
      <c r="AO872" s="196">
        <f t="shared" ca="1" si="195"/>
        <v>1050386.5538325878</v>
      </c>
    </row>
    <row r="873" spans="1:41">
      <c r="A873" s="189">
        <v>3615</v>
      </c>
      <c r="B873" s="203">
        <v>2</v>
      </c>
      <c r="C873" s="191" t="s">
        <v>227</v>
      </c>
      <c r="D873" s="192">
        <f t="shared" si="182"/>
        <v>0</v>
      </c>
      <c r="E873" s="192">
        <f t="shared" si="183"/>
        <v>0</v>
      </c>
      <c r="F873" s="192">
        <f t="shared" si="184"/>
        <v>0</v>
      </c>
      <c r="G873" s="193">
        <f t="shared" si="185"/>
        <v>0</v>
      </c>
      <c r="H873" s="194">
        <v>0</v>
      </c>
      <c r="I873" s="194">
        <v>0</v>
      </c>
      <c r="J873" s="194">
        <v>0</v>
      </c>
      <c r="K873" s="193">
        <f t="shared" si="186"/>
        <v>0</v>
      </c>
      <c r="L873" s="194">
        <v>0</v>
      </c>
      <c r="M873" s="194">
        <v>0</v>
      </c>
      <c r="N873" s="194">
        <v>0</v>
      </c>
      <c r="O873" s="193">
        <f t="shared" si="187"/>
        <v>0</v>
      </c>
      <c r="P873" s="194">
        <v>0</v>
      </c>
      <c r="Q873" s="194">
        <v>0</v>
      </c>
      <c r="R873" s="194">
        <v>0</v>
      </c>
      <c r="S873" s="193">
        <f t="shared" si="188"/>
        <v>0</v>
      </c>
      <c r="T873" s="193">
        <f t="shared" si="189"/>
        <v>0</v>
      </c>
      <c r="U873" s="193">
        <f ca="1">OFFSET('Expenditure Study'!$B$7,'Operations Support'!$C873,'Operations Support'!$B873)*$G873</f>
        <v>0</v>
      </c>
      <c r="V873" s="199">
        <f ca="1">U873*'Expenditure Study'!$B$31</f>
        <v>0</v>
      </c>
      <c r="W873" s="199">
        <f ca="1">IF(A873=10298,1.51,1)*IF($B873&lt;3,$D873*'Expenditure Study'!$B$32*OFFSET('Expenditure Study'!$B$7,'Operations Support'!$C873,'Operations Support'!$B873),0)</f>
        <v>0</v>
      </c>
      <c r="X873" s="200">
        <f ca="1">W873*'Expenditure Study'!$B$31</f>
        <v>0</v>
      </c>
      <c r="Y873" s="199">
        <f ca="1">U873*'Expenditure Study'!$B$31</f>
        <v>0</v>
      </c>
      <c r="Z873" s="200">
        <f ca="1">W873*'Expenditure Study'!$B$31</f>
        <v>0</v>
      </c>
      <c r="AA873" s="195">
        <f t="shared" ca="1" si="190"/>
        <v>0</v>
      </c>
      <c r="AB873" s="195">
        <f t="shared" ca="1" si="191"/>
        <v>0</v>
      </c>
      <c r="AD873" s="196">
        <f>IFERROR($G873/SUMIF($A:$A,$A873,$G:$G)*SUMIF(Summary!$A$166:$A$242,$A873,Summary!$P$166:$P$242),0)</f>
        <v>0</v>
      </c>
      <c r="AE873" s="197">
        <f t="shared" ca="1" si="192"/>
        <v>0</v>
      </c>
      <c r="AF873" s="196">
        <f>IFERROR(G873/SUMIF(A:A,A873,G:G)*SUMIF(Summary!$A$166:$A$242,'Operations Support'!A873,Summary!$Q$166:$Q$242),0)</f>
        <v>0</v>
      </c>
      <c r="AG873" s="196">
        <f t="shared" ca="1" si="193"/>
        <v>0</v>
      </c>
      <c r="AI873" s="196">
        <f>IFERROR($G873/SUMIF($A:$A,$A873,$G:$G)*SUMIF(Summary!$A$247:$A$283,$A873,Summary!$P$247:$P$283),0)</f>
        <v>0</v>
      </c>
      <c r="AJ873" s="196">
        <f>IFERROR($G873/SUMIF($A:$A,$A873,$G:$G)*(SUMIF(Summary!$A$247:$A$283,$A873,Summary!$L$247:$L$283)+SUMIF(Summary!$A$297:$A$333,$A873,Summary!$L$297:$L$333))-AI873,0)</f>
        <v>0</v>
      </c>
      <c r="AK873" s="196">
        <f>IFERROR($G873/SUMIF($A:$A,$A873,$G:$G)*SUMIF(Summary!$A$247:$A$283,$A873,Summary!$Q$247:$Q$283),0)</f>
        <v>0</v>
      </c>
      <c r="AL873" s="196">
        <f>IFERROR($G873/SUMIF($A:$A,$A873,$G:$G)*(SUMIF(Summary!$A$247:$A$283,$A873,Summary!$L$247:$L$283)+SUMIF(Summary!$A$297:$A$333,$A873,Summary!$L$297:$L$333))-AK873,0)</f>
        <v>0</v>
      </c>
      <c r="AM873" s="198"/>
      <c r="AN873" s="196">
        <f t="shared" ca="1" si="194"/>
        <v>0</v>
      </c>
      <c r="AO873" s="196">
        <f t="shared" ca="1" si="195"/>
        <v>0</v>
      </c>
    </row>
    <row r="874" spans="1:41">
      <c r="A874" s="189">
        <v>3615</v>
      </c>
      <c r="B874" s="203">
        <v>2</v>
      </c>
      <c r="C874" s="191" t="s">
        <v>228</v>
      </c>
      <c r="D874" s="192">
        <f t="shared" si="182"/>
        <v>1266</v>
      </c>
      <c r="E874" s="192">
        <f t="shared" si="183"/>
        <v>4001</v>
      </c>
      <c r="F874" s="192">
        <f t="shared" si="184"/>
        <v>0</v>
      </c>
      <c r="G874" s="193">
        <f t="shared" si="185"/>
        <v>5267</v>
      </c>
      <c r="H874" s="194">
        <v>549</v>
      </c>
      <c r="I874" s="194">
        <v>1626</v>
      </c>
      <c r="J874" s="194">
        <v>0</v>
      </c>
      <c r="K874" s="193">
        <f t="shared" si="186"/>
        <v>2175</v>
      </c>
      <c r="L874" s="194">
        <v>717</v>
      </c>
      <c r="M874" s="194">
        <v>2129</v>
      </c>
      <c r="N874" s="194">
        <v>0</v>
      </c>
      <c r="O874" s="193">
        <f t="shared" si="187"/>
        <v>2846</v>
      </c>
      <c r="P874" s="194">
        <v>0</v>
      </c>
      <c r="Q874" s="194">
        <v>246</v>
      </c>
      <c r="R874" s="194">
        <v>0</v>
      </c>
      <c r="S874" s="193">
        <f t="shared" si="188"/>
        <v>246</v>
      </c>
      <c r="T874" s="193">
        <f t="shared" si="189"/>
        <v>175.56666666666666</v>
      </c>
      <c r="U874" s="193">
        <f ca="1">OFFSET('Expenditure Study'!$B$7,'Operations Support'!$C874,'Operations Support'!$B874)*$G874</f>
        <v>10059.969999999999</v>
      </c>
      <c r="V874" s="199">
        <f ca="1">U874*'Expenditure Study'!$B$31</f>
        <v>594375.02635257598</v>
      </c>
      <c r="W874" s="199">
        <f ca="1">IF(A874=10298,1.51,1)*IF($B874&lt;3,$D874*'Expenditure Study'!$B$32*OFFSET('Expenditure Study'!$B$7,'Operations Support'!$C874,'Operations Support'!$B874),0)</f>
        <v>241.80600000000001</v>
      </c>
      <c r="X874" s="200">
        <f ca="1">W874*'Expenditure Study'!$B$31</f>
        <v>14286.667616524801</v>
      </c>
      <c r="Y874" s="199">
        <f ca="1">U874*'Expenditure Study'!$B$31</f>
        <v>594375.02635257598</v>
      </c>
      <c r="Z874" s="200">
        <f ca="1">W874*'Expenditure Study'!$B$31</f>
        <v>14286.667616524801</v>
      </c>
      <c r="AA874" s="195">
        <f t="shared" ca="1" si="190"/>
        <v>608661.69396910083</v>
      </c>
      <c r="AB874" s="195">
        <f t="shared" ca="1" si="191"/>
        <v>608661.69396910083</v>
      </c>
      <c r="AD874" s="196">
        <f>IFERROR($G874/SUMIF($A:$A,$A874,$G:$G)*SUMIF(Summary!$A$166:$A$242,$A874,Summary!$P$166:$P$242),0)</f>
        <v>139171.62573180802</v>
      </c>
      <c r="AE874" s="197">
        <f t="shared" ca="1" si="192"/>
        <v>469490.06823729281</v>
      </c>
      <c r="AF874" s="196">
        <f>IFERROR(G874/SUMIF(A:A,A874,G:G)*SUMIF(Summary!$A$166:$A$242,'Operations Support'!A874,Summary!$Q$166:$Q$242),0)</f>
        <v>139448.29364444799</v>
      </c>
      <c r="AG874" s="196">
        <f t="shared" ca="1" si="193"/>
        <v>469213.40032465284</v>
      </c>
      <c r="AI874" s="196">
        <f>IFERROR($G874/SUMIF($A:$A,$A874,$G:$G)*SUMIF(Summary!$A$247:$A$283,$A874,Summary!$P$247:$P$283),0)</f>
        <v>25381.431544274954</v>
      </c>
      <c r="AJ874" s="196">
        <f>IFERROR($G874/SUMIF($A:$A,$A874,$G:$G)*(SUMIF(Summary!$A$247:$A$283,$A874,Summary!$L$247:$L$283)+SUMIF(Summary!$A$297:$A$333,$A874,Summary!$L$297:$L$333))-AI874,0)</f>
        <v>93430.900439786958</v>
      </c>
      <c r="AK874" s="196">
        <f>IFERROR($G874/SUMIF($A:$A,$A874,$G:$G)*SUMIF(Summary!$A$247:$A$283,$A874,Summary!$Q$247:$Q$283),0)</f>
        <v>25431.888867369689</v>
      </c>
      <c r="AL874" s="196">
        <f>IFERROR($G874/SUMIF($A:$A,$A874,$G:$G)*(SUMIF(Summary!$A$247:$A$283,$A874,Summary!$L$247:$L$283)+SUMIF(Summary!$A$297:$A$333,$A874,Summary!$L$297:$L$333))-AK874,0)</f>
        <v>93380.443116692215</v>
      </c>
      <c r="AM874" s="198"/>
      <c r="AN874" s="196">
        <f t="shared" ca="1" si="194"/>
        <v>562920.96867707977</v>
      </c>
      <c r="AO874" s="196">
        <f t="shared" ca="1" si="195"/>
        <v>562593.84344134503</v>
      </c>
    </row>
    <row r="875" spans="1:41">
      <c r="A875" s="189">
        <v>3615</v>
      </c>
      <c r="B875" s="203">
        <v>2</v>
      </c>
      <c r="C875" s="191" t="s">
        <v>229</v>
      </c>
      <c r="D875" s="192">
        <f t="shared" si="182"/>
        <v>0</v>
      </c>
      <c r="E875" s="192">
        <f t="shared" si="183"/>
        <v>0</v>
      </c>
      <c r="F875" s="192">
        <f t="shared" si="184"/>
        <v>0</v>
      </c>
      <c r="G875" s="193">
        <f t="shared" si="185"/>
        <v>0</v>
      </c>
      <c r="H875" s="194">
        <v>0</v>
      </c>
      <c r="I875" s="194">
        <v>0</v>
      </c>
      <c r="J875" s="194">
        <v>0</v>
      </c>
      <c r="K875" s="193">
        <f t="shared" si="186"/>
        <v>0</v>
      </c>
      <c r="L875" s="194">
        <v>0</v>
      </c>
      <c r="M875" s="194">
        <v>0</v>
      </c>
      <c r="N875" s="194">
        <v>0</v>
      </c>
      <c r="O875" s="193">
        <f t="shared" si="187"/>
        <v>0</v>
      </c>
      <c r="P875" s="194">
        <v>0</v>
      </c>
      <c r="Q875" s="194">
        <v>0</v>
      </c>
      <c r="R875" s="194">
        <v>0</v>
      </c>
      <c r="S875" s="193">
        <f t="shared" si="188"/>
        <v>0</v>
      </c>
      <c r="T875" s="193">
        <f t="shared" si="189"/>
        <v>0</v>
      </c>
      <c r="U875" s="193">
        <f ca="1">OFFSET('Expenditure Study'!$B$7,'Operations Support'!$C875,'Operations Support'!$B875)*$G875</f>
        <v>0</v>
      </c>
      <c r="V875" s="199">
        <f ca="1">U875*'Expenditure Study'!$B$31</f>
        <v>0</v>
      </c>
      <c r="W875" s="199">
        <f ca="1">IF(A875=10298,1.51,1)*IF($B875&lt;3,$D875*'Expenditure Study'!$B$32*OFFSET('Expenditure Study'!$B$7,'Operations Support'!$C875,'Operations Support'!$B875),0)</f>
        <v>0</v>
      </c>
      <c r="X875" s="200">
        <f ca="1">W875*'Expenditure Study'!$B$31</f>
        <v>0</v>
      </c>
      <c r="Y875" s="199">
        <f ca="1">U875*'Expenditure Study'!$B$31</f>
        <v>0</v>
      </c>
      <c r="Z875" s="200">
        <f ca="1">W875*'Expenditure Study'!$B$31</f>
        <v>0</v>
      </c>
      <c r="AA875" s="195">
        <f t="shared" ca="1" si="190"/>
        <v>0</v>
      </c>
      <c r="AB875" s="195">
        <f t="shared" ca="1" si="191"/>
        <v>0</v>
      </c>
      <c r="AD875" s="196">
        <f>IFERROR($G875/SUMIF($A:$A,$A875,$G:$G)*SUMIF(Summary!$A$166:$A$242,$A875,Summary!$P$166:$P$242),0)</f>
        <v>0</v>
      </c>
      <c r="AE875" s="197">
        <f t="shared" ca="1" si="192"/>
        <v>0</v>
      </c>
      <c r="AF875" s="196">
        <f>IFERROR(G875/SUMIF(A:A,A875,G:G)*SUMIF(Summary!$A$166:$A$242,'Operations Support'!A875,Summary!$Q$166:$Q$242),0)</f>
        <v>0</v>
      </c>
      <c r="AG875" s="196">
        <f t="shared" ca="1" si="193"/>
        <v>0</v>
      </c>
      <c r="AI875" s="196">
        <f>IFERROR($G875/SUMIF($A:$A,$A875,$G:$G)*SUMIF(Summary!$A$247:$A$283,$A875,Summary!$P$247:$P$283),0)</f>
        <v>0</v>
      </c>
      <c r="AJ875" s="196">
        <f>IFERROR($G875/SUMIF($A:$A,$A875,$G:$G)*(SUMIF(Summary!$A$247:$A$283,$A875,Summary!$L$247:$L$283)+SUMIF(Summary!$A$297:$A$333,$A875,Summary!$L$297:$L$333))-AI875,0)</f>
        <v>0</v>
      </c>
      <c r="AK875" s="196">
        <f>IFERROR($G875/SUMIF($A:$A,$A875,$G:$G)*SUMIF(Summary!$A$247:$A$283,$A875,Summary!$Q$247:$Q$283),0)</f>
        <v>0</v>
      </c>
      <c r="AL875" s="196">
        <f>IFERROR($G875/SUMIF($A:$A,$A875,$G:$G)*(SUMIF(Summary!$A$247:$A$283,$A875,Summary!$L$247:$L$283)+SUMIF(Summary!$A$297:$A$333,$A875,Summary!$L$297:$L$333))-AK875,0)</f>
        <v>0</v>
      </c>
      <c r="AM875" s="198"/>
      <c r="AN875" s="196">
        <f t="shared" ca="1" si="194"/>
        <v>0</v>
      </c>
      <c r="AO875" s="196">
        <f t="shared" ca="1" si="195"/>
        <v>0</v>
      </c>
    </row>
    <row r="876" spans="1:41">
      <c r="A876" s="189">
        <v>3615</v>
      </c>
      <c r="B876" s="203">
        <v>2</v>
      </c>
      <c r="C876" s="191" t="s">
        <v>230</v>
      </c>
      <c r="D876" s="192">
        <f t="shared" si="182"/>
        <v>0</v>
      </c>
      <c r="E876" s="192">
        <f t="shared" si="183"/>
        <v>0</v>
      </c>
      <c r="F876" s="192">
        <f t="shared" si="184"/>
        <v>0</v>
      </c>
      <c r="G876" s="193">
        <f t="shared" si="185"/>
        <v>0</v>
      </c>
      <c r="H876" s="194">
        <v>0</v>
      </c>
      <c r="I876" s="194">
        <v>0</v>
      </c>
      <c r="J876" s="194">
        <v>0</v>
      </c>
      <c r="K876" s="193">
        <f t="shared" si="186"/>
        <v>0</v>
      </c>
      <c r="L876" s="194">
        <v>0</v>
      </c>
      <c r="M876" s="194">
        <v>0</v>
      </c>
      <c r="N876" s="194">
        <v>0</v>
      </c>
      <c r="O876" s="193">
        <f t="shared" si="187"/>
        <v>0</v>
      </c>
      <c r="P876" s="194">
        <v>0</v>
      </c>
      <c r="Q876" s="194">
        <v>0</v>
      </c>
      <c r="R876" s="194">
        <v>0</v>
      </c>
      <c r="S876" s="193">
        <f t="shared" si="188"/>
        <v>0</v>
      </c>
      <c r="T876" s="193">
        <f t="shared" si="189"/>
        <v>0</v>
      </c>
      <c r="U876" s="193">
        <f ca="1">OFFSET('Expenditure Study'!$B$7,'Operations Support'!$C876,'Operations Support'!$B876)*$G876</f>
        <v>0</v>
      </c>
      <c r="V876" s="199">
        <f ca="1">U876*'Expenditure Study'!$B$31</f>
        <v>0</v>
      </c>
      <c r="W876" s="199">
        <f ca="1">IF(A876=10298,1.51,1)*IF($B876&lt;3,$D876*'Expenditure Study'!$B$32*OFFSET('Expenditure Study'!$B$7,'Operations Support'!$C876,'Operations Support'!$B876),0)</f>
        <v>0</v>
      </c>
      <c r="X876" s="200">
        <f ca="1">W876*'Expenditure Study'!$B$31</f>
        <v>0</v>
      </c>
      <c r="Y876" s="199">
        <f ca="1">U876*'Expenditure Study'!$B$31</f>
        <v>0</v>
      </c>
      <c r="Z876" s="200">
        <f ca="1">W876*'Expenditure Study'!$B$31</f>
        <v>0</v>
      </c>
      <c r="AA876" s="195">
        <f t="shared" ca="1" si="190"/>
        <v>0</v>
      </c>
      <c r="AB876" s="195">
        <f t="shared" ca="1" si="191"/>
        <v>0</v>
      </c>
      <c r="AD876" s="196">
        <f>IFERROR($G876/SUMIF($A:$A,$A876,$G:$G)*SUMIF(Summary!$A$166:$A$242,$A876,Summary!$P$166:$P$242),0)</f>
        <v>0</v>
      </c>
      <c r="AE876" s="197">
        <f t="shared" ca="1" si="192"/>
        <v>0</v>
      </c>
      <c r="AF876" s="196">
        <f>IFERROR(G876/SUMIF(A:A,A876,G:G)*SUMIF(Summary!$A$166:$A$242,'Operations Support'!A876,Summary!$Q$166:$Q$242),0)</f>
        <v>0</v>
      </c>
      <c r="AG876" s="196">
        <f t="shared" ca="1" si="193"/>
        <v>0</v>
      </c>
      <c r="AI876" s="196">
        <f>IFERROR($G876/SUMIF($A:$A,$A876,$G:$G)*SUMIF(Summary!$A$247:$A$283,$A876,Summary!$P$247:$P$283),0)</f>
        <v>0</v>
      </c>
      <c r="AJ876" s="196">
        <f>IFERROR($G876/SUMIF($A:$A,$A876,$G:$G)*(SUMIF(Summary!$A$247:$A$283,$A876,Summary!$L$247:$L$283)+SUMIF(Summary!$A$297:$A$333,$A876,Summary!$L$297:$L$333))-AI876,0)</f>
        <v>0</v>
      </c>
      <c r="AK876" s="196">
        <f>IFERROR($G876/SUMIF($A:$A,$A876,$G:$G)*SUMIF(Summary!$A$247:$A$283,$A876,Summary!$Q$247:$Q$283),0)</f>
        <v>0</v>
      </c>
      <c r="AL876" s="196">
        <f>IFERROR($G876/SUMIF($A:$A,$A876,$G:$G)*(SUMIF(Summary!$A$247:$A$283,$A876,Summary!$L$247:$L$283)+SUMIF(Summary!$A$297:$A$333,$A876,Summary!$L$297:$L$333))-AK876,0)</f>
        <v>0</v>
      </c>
      <c r="AM876" s="198"/>
      <c r="AN876" s="196">
        <f t="shared" ca="1" si="194"/>
        <v>0</v>
      </c>
      <c r="AO876" s="196">
        <f t="shared" ca="1" si="195"/>
        <v>0</v>
      </c>
    </row>
    <row r="877" spans="1:41">
      <c r="A877" s="189">
        <v>3615</v>
      </c>
      <c r="B877" s="203">
        <v>2</v>
      </c>
      <c r="C877" s="191" t="s">
        <v>231</v>
      </c>
      <c r="D877" s="192">
        <f t="shared" si="182"/>
        <v>0</v>
      </c>
      <c r="E877" s="192">
        <f t="shared" si="183"/>
        <v>0</v>
      </c>
      <c r="F877" s="192">
        <f t="shared" si="184"/>
        <v>0</v>
      </c>
      <c r="G877" s="193">
        <f t="shared" si="185"/>
        <v>0</v>
      </c>
      <c r="H877" s="194">
        <v>0</v>
      </c>
      <c r="I877" s="194">
        <v>0</v>
      </c>
      <c r="J877" s="194">
        <v>0</v>
      </c>
      <c r="K877" s="193">
        <f t="shared" si="186"/>
        <v>0</v>
      </c>
      <c r="L877" s="194">
        <v>0</v>
      </c>
      <c r="M877" s="194">
        <v>0</v>
      </c>
      <c r="N877" s="194">
        <v>0</v>
      </c>
      <c r="O877" s="193">
        <f t="shared" si="187"/>
        <v>0</v>
      </c>
      <c r="P877" s="194">
        <v>0</v>
      </c>
      <c r="Q877" s="194">
        <v>0</v>
      </c>
      <c r="R877" s="194">
        <v>0</v>
      </c>
      <c r="S877" s="193">
        <f t="shared" si="188"/>
        <v>0</v>
      </c>
      <c r="T877" s="193">
        <f t="shared" si="189"/>
        <v>0</v>
      </c>
      <c r="U877" s="193">
        <f ca="1">OFFSET('Expenditure Study'!$B$7,'Operations Support'!$C877,'Operations Support'!$B877)*$G877</f>
        <v>0</v>
      </c>
      <c r="V877" s="199">
        <f ca="1">U877*'Expenditure Study'!$B$31</f>
        <v>0</v>
      </c>
      <c r="W877" s="199">
        <f ca="1">IF(A877=10298,1.51,1)*IF($B877&lt;3,$D877*'Expenditure Study'!$B$32*OFFSET('Expenditure Study'!$B$7,'Operations Support'!$C877,'Operations Support'!$B877),0)</f>
        <v>0</v>
      </c>
      <c r="X877" s="200">
        <f ca="1">W877*'Expenditure Study'!$B$31</f>
        <v>0</v>
      </c>
      <c r="Y877" s="199">
        <f ca="1">U877*'Expenditure Study'!$B$31</f>
        <v>0</v>
      </c>
      <c r="Z877" s="200">
        <f ca="1">W877*'Expenditure Study'!$B$31</f>
        <v>0</v>
      </c>
      <c r="AA877" s="195">
        <f t="shared" ca="1" si="190"/>
        <v>0</v>
      </c>
      <c r="AB877" s="195">
        <f t="shared" ca="1" si="191"/>
        <v>0</v>
      </c>
      <c r="AD877" s="196">
        <f>IFERROR($G877/SUMIF($A:$A,$A877,$G:$G)*SUMIF(Summary!$A$166:$A$242,$A877,Summary!$P$166:$P$242),0)</f>
        <v>0</v>
      </c>
      <c r="AE877" s="197">
        <f t="shared" ca="1" si="192"/>
        <v>0</v>
      </c>
      <c r="AF877" s="196">
        <f>IFERROR(G877/SUMIF(A:A,A877,G:G)*SUMIF(Summary!$A$166:$A$242,'Operations Support'!A877,Summary!$Q$166:$Q$242),0)</f>
        <v>0</v>
      </c>
      <c r="AG877" s="196">
        <f t="shared" ca="1" si="193"/>
        <v>0</v>
      </c>
      <c r="AI877" s="196">
        <f>IFERROR($G877/SUMIF($A:$A,$A877,$G:$G)*SUMIF(Summary!$A$247:$A$283,$A877,Summary!$P$247:$P$283),0)</f>
        <v>0</v>
      </c>
      <c r="AJ877" s="196">
        <f>IFERROR($G877/SUMIF($A:$A,$A877,$G:$G)*(SUMIF(Summary!$A$247:$A$283,$A877,Summary!$L$247:$L$283)+SUMIF(Summary!$A$297:$A$333,$A877,Summary!$L$297:$L$333))-AI877,0)</f>
        <v>0</v>
      </c>
      <c r="AK877" s="196">
        <f>IFERROR($G877/SUMIF($A:$A,$A877,$G:$G)*SUMIF(Summary!$A$247:$A$283,$A877,Summary!$Q$247:$Q$283),0)</f>
        <v>0</v>
      </c>
      <c r="AL877" s="196">
        <f>IFERROR($G877/SUMIF($A:$A,$A877,$G:$G)*(SUMIF(Summary!$A$247:$A$283,$A877,Summary!$L$247:$L$283)+SUMIF(Summary!$A$297:$A$333,$A877,Summary!$L$297:$L$333))-AK877,0)</f>
        <v>0</v>
      </c>
      <c r="AM877" s="198"/>
      <c r="AN877" s="196">
        <f t="shared" ca="1" si="194"/>
        <v>0</v>
      </c>
      <c r="AO877" s="196">
        <f t="shared" ca="1" si="195"/>
        <v>0</v>
      </c>
    </row>
    <row r="878" spans="1:41">
      <c r="A878" s="189">
        <v>3615</v>
      </c>
      <c r="B878" s="203">
        <v>2</v>
      </c>
      <c r="C878" s="191" t="s">
        <v>232</v>
      </c>
      <c r="D878" s="192">
        <f t="shared" si="182"/>
        <v>0</v>
      </c>
      <c r="E878" s="192">
        <f t="shared" si="183"/>
        <v>0</v>
      </c>
      <c r="F878" s="192">
        <f t="shared" si="184"/>
        <v>0</v>
      </c>
      <c r="G878" s="193">
        <f t="shared" si="185"/>
        <v>0</v>
      </c>
      <c r="H878" s="194">
        <v>0</v>
      </c>
      <c r="I878" s="194">
        <v>0</v>
      </c>
      <c r="J878" s="194">
        <v>0</v>
      </c>
      <c r="K878" s="193">
        <f t="shared" si="186"/>
        <v>0</v>
      </c>
      <c r="L878" s="194">
        <v>0</v>
      </c>
      <c r="M878" s="194">
        <v>0</v>
      </c>
      <c r="N878" s="194">
        <v>0</v>
      </c>
      <c r="O878" s="193">
        <f t="shared" si="187"/>
        <v>0</v>
      </c>
      <c r="P878" s="194">
        <v>0</v>
      </c>
      <c r="Q878" s="194">
        <v>0</v>
      </c>
      <c r="R878" s="194">
        <v>0</v>
      </c>
      <c r="S878" s="193">
        <f t="shared" si="188"/>
        <v>0</v>
      </c>
      <c r="T878" s="193">
        <f t="shared" si="189"/>
        <v>0</v>
      </c>
      <c r="U878" s="193">
        <f ca="1">OFFSET('Expenditure Study'!$B$7,'Operations Support'!$C878,'Operations Support'!$B878)*$G878</f>
        <v>0</v>
      </c>
      <c r="V878" s="199">
        <f ca="1">U878*'Expenditure Study'!$B$31</f>
        <v>0</v>
      </c>
      <c r="W878" s="199">
        <f ca="1">IF(A878=10298,1.51,1)*IF($B878&lt;3,$D878*'Expenditure Study'!$B$32*OFFSET('Expenditure Study'!$B$7,'Operations Support'!$C878,'Operations Support'!$B878),0)</f>
        <v>0</v>
      </c>
      <c r="X878" s="200">
        <f ca="1">W878*'Expenditure Study'!$B$31</f>
        <v>0</v>
      </c>
      <c r="Y878" s="199">
        <f ca="1">U878*'Expenditure Study'!$B$31</f>
        <v>0</v>
      </c>
      <c r="Z878" s="200">
        <f ca="1">W878*'Expenditure Study'!$B$31</f>
        <v>0</v>
      </c>
      <c r="AA878" s="195">
        <f t="shared" ca="1" si="190"/>
        <v>0</v>
      </c>
      <c r="AB878" s="195">
        <f t="shared" ca="1" si="191"/>
        <v>0</v>
      </c>
      <c r="AD878" s="196">
        <f>IFERROR($G878/SUMIF($A:$A,$A878,$G:$G)*SUMIF(Summary!$A$166:$A$242,$A878,Summary!$P$166:$P$242),0)</f>
        <v>0</v>
      </c>
      <c r="AE878" s="197">
        <f t="shared" ca="1" si="192"/>
        <v>0</v>
      </c>
      <c r="AF878" s="196">
        <f>IFERROR(G878/SUMIF(A:A,A878,G:G)*SUMIF(Summary!$A$166:$A$242,'Operations Support'!A878,Summary!$Q$166:$Q$242),0)</f>
        <v>0</v>
      </c>
      <c r="AG878" s="196">
        <f t="shared" ca="1" si="193"/>
        <v>0</v>
      </c>
      <c r="AI878" s="196">
        <f>IFERROR($G878/SUMIF($A:$A,$A878,$G:$G)*SUMIF(Summary!$A$247:$A$283,$A878,Summary!$P$247:$P$283),0)</f>
        <v>0</v>
      </c>
      <c r="AJ878" s="196">
        <f>IFERROR($G878/SUMIF($A:$A,$A878,$G:$G)*(SUMIF(Summary!$A$247:$A$283,$A878,Summary!$L$247:$L$283)+SUMIF(Summary!$A$297:$A$333,$A878,Summary!$L$297:$L$333))-AI878,0)</f>
        <v>0</v>
      </c>
      <c r="AK878" s="196">
        <f>IFERROR($G878/SUMIF($A:$A,$A878,$G:$G)*SUMIF(Summary!$A$247:$A$283,$A878,Summary!$Q$247:$Q$283),0)</f>
        <v>0</v>
      </c>
      <c r="AL878" s="196">
        <f>IFERROR($G878/SUMIF($A:$A,$A878,$G:$G)*(SUMIF(Summary!$A$247:$A$283,$A878,Summary!$L$247:$L$283)+SUMIF(Summary!$A$297:$A$333,$A878,Summary!$L$297:$L$333))-AK878,0)</f>
        <v>0</v>
      </c>
      <c r="AM878" s="198"/>
      <c r="AN878" s="196">
        <f t="shared" ca="1" si="194"/>
        <v>0</v>
      </c>
      <c r="AO878" s="196">
        <f t="shared" ca="1" si="195"/>
        <v>0</v>
      </c>
    </row>
    <row r="879" spans="1:41">
      <c r="A879" s="189">
        <v>3615</v>
      </c>
      <c r="B879" s="203">
        <v>2</v>
      </c>
      <c r="C879" s="191" t="s">
        <v>233</v>
      </c>
      <c r="D879" s="192">
        <f t="shared" si="182"/>
        <v>9309</v>
      </c>
      <c r="E879" s="192">
        <f t="shared" si="183"/>
        <v>14965</v>
      </c>
      <c r="F879" s="192">
        <f t="shared" si="184"/>
        <v>0</v>
      </c>
      <c r="G879" s="193">
        <f t="shared" si="185"/>
        <v>24274</v>
      </c>
      <c r="H879" s="194">
        <v>3962</v>
      </c>
      <c r="I879" s="194">
        <v>6631</v>
      </c>
      <c r="J879" s="194">
        <v>0</v>
      </c>
      <c r="K879" s="193">
        <f t="shared" si="186"/>
        <v>10593</v>
      </c>
      <c r="L879" s="194">
        <v>4354</v>
      </c>
      <c r="M879" s="194">
        <v>6440</v>
      </c>
      <c r="N879" s="194">
        <v>0</v>
      </c>
      <c r="O879" s="193">
        <f t="shared" si="187"/>
        <v>10794</v>
      </c>
      <c r="P879" s="194">
        <v>993</v>
      </c>
      <c r="Q879" s="194">
        <v>1894</v>
      </c>
      <c r="R879" s="194">
        <v>0</v>
      </c>
      <c r="S879" s="193">
        <f t="shared" si="188"/>
        <v>2887</v>
      </c>
      <c r="T879" s="193">
        <f t="shared" si="189"/>
        <v>809.13333333333333</v>
      </c>
      <c r="U879" s="193">
        <f ca="1">OFFSET('Expenditure Study'!$B$7,'Operations Support'!$C879,'Operations Support'!$B879)*$G879</f>
        <v>39081.14</v>
      </c>
      <c r="V879" s="199">
        <f ca="1">U879*'Expenditure Study'!$B$31</f>
        <v>2309038.0604901118</v>
      </c>
      <c r="W879" s="199">
        <f ca="1">IF(A879=10298,1.51,1)*IF($B879&lt;3,$D879*'Expenditure Study'!$B$32*OFFSET('Expenditure Study'!$B$7,'Operations Support'!$C879,'Operations Support'!$B879),0)</f>
        <v>1498.7490000000003</v>
      </c>
      <c r="X879" s="200">
        <f ca="1">W879*'Expenditure Study'!$B$31</f>
        <v>88550.858140819211</v>
      </c>
      <c r="Y879" s="199">
        <f ca="1">U879*'Expenditure Study'!$B$31</f>
        <v>2309038.0604901118</v>
      </c>
      <c r="Z879" s="200">
        <f ca="1">W879*'Expenditure Study'!$B$31</f>
        <v>88550.858140819211</v>
      </c>
      <c r="AA879" s="195">
        <f t="shared" ca="1" si="190"/>
        <v>2397588.9186309311</v>
      </c>
      <c r="AB879" s="195">
        <f t="shared" ca="1" si="191"/>
        <v>2397588.9186309311</v>
      </c>
      <c r="AD879" s="196">
        <f>IFERROR($G879/SUMIF($A:$A,$A879,$G:$G)*SUMIF(Summary!$A$166:$A$242,$A879,Summary!$P$166:$P$242),0)</f>
        <v>641399.66641615867</v>
      </c>
      <c r="AE879" s="197">
        <f t="shared" ca="1" si="192"/>
        <v>1756189.2522147724</v>
      </c>
      <c r="AF879" s="196">
        <f>IFERROR(G879/SUMIF(A:A,A879,G:G)*SUMIF(Summary!$A$166:$A$242,'Operations Support'!A879,Summary!$Q$166:$Q$242),0)</f>
        <v>642674.74462223856</v>
      </c>
      <c r="AG879" s="196">
        <f t="shared" ca="1" si="193"/>
        <v>1754914.1740086926</v>
      </c>
      <c r="AI879" s="196">
        <f>IFERROR($G879/SUMIF($A:$A,$A879,$G:$G)*SUMIF(Summary!$A$247:$A$283,$A879,Summary!$P$247:$P$283),0)</f>
        <v>116975.29320404978</v>
      </c>
      <c r="AJ879" s="196">
        <f>IFERROR($G879/SUMIF($A:$A,$A879,$G:$G)*(SUMIF(Summary!$A$247:$A$283,$A879,Summary!$L$247:$L$283)+SUMIF(Summary!$A$297:$A$333,$A879,Summary!$L$297:$L$333))-AI879,0)</f>
        <v>430594.5846355398</v>
      </c>
      <c r="AK879" s="196">
        <f>IFERROR($G879/SUMIF($A:$A,$A879,$G:$G)*SUMIF(Summary!$A$247:$A$283,$A879,Summary!$Q$247:$Q$283),0)</f>
        <v>117207.83564961683</v>
      </c>
      <c r="AL879" s="196">
        <f>IFERROR($G879/SUMIF($A:$A,$A879,$G:$G)*(SUMIF(Summary!$A$247:$A$283,$A879,Summary!$L$247:$L$283)+SUMIF(Summary!$A$297:$A$333,$A879,Summary!$L$297:$L$333))-AK879,0)</f>
        <v>430362.04218997277</v>
      </c>
      <c r="AM879" s="198"/>
      <c r="AN879" s="196">
        <f t="shared" ca="1" si="194"/>
        <v>2186783.8368503121</v>
      </c>
      <c r="AO879" s="196">
        <f t="shared" ca="1" si="195"/>
        <v>2185276.2161986656</v>
      </c>
    </row>
    <row r="880" spans="1:41">
      <c r="A880" s="189">
        <v>3615</v>
      </c>
      <c r="B880" s="203">
        <v>2</v>
      </c>
      <c r="C880" s="191" t="s">
        <v>234</v>
      </c>
      <c r="D880" s="192">
        <f t="shared" si="182"/>
        <v>0</v>
      </c>
      <c r="E880" s="192">
        <f t="shared" si="183"/>
        <v>0</v>
      </c>
      <c r="F880" s="192">
        <f t="shared" si="184"/>
        <v>0</v>
      </c>
      <c r="G880" s="193">
        <f t="shared" si="185"/>
        <v>0</v>
      </c>
      <c r="H880" s="194">
        <v>0</v>
      </c>
      <c r="I880" s="194">
        <v>0</v>
      </c>
      <c r="J880" s="194">
        <v>0</v>
      </c>
      <c r="K880" s="193">
        <f t="shared" si="186"/>
        <v>0</v>
      </c>
      <c r="L880" s="194">
        <v>0</v>
      </c>
      <c r="M880" s="194">
        <v>0</v>
      </c>
      <c r="N880" s="194">
        <v>0</v>
      </c>
      <c r="O880" s="193">
        <f t="shared" si="187"/>
        <v>0</v>
      </c>
      <c r="P880" s="194">
        <v>0</v>
      </c>
      <c r="Q880" s="194">
        <v>0</v>
      </c>
      <c r="R880" s="194">
        <v>0</v>
      </c>
      <c r="S880" s="193">
        <f t="shared" si="188"/>
        <v>0</v>
      </c>
      <c r="T880" s="193">
        <f t="shared" si="189"/>
        <v>0</v>
      </c>
      <c r="U880" s="193">
        <f ca="1">OFFSET('Expenditure Study'!$B$7,'Operations Support'!$C880,'Operations Support'!$B880)*$G880</f>
        <v>0</v>
      </c>
      <c r="V880" s="199">
        <f ca="1">U880*'Expenditure Study'!$B$31</f>
        <v>0</v>
      </c>
      <c r="W880" s="199">
        <f ca="1">IF(A880=10298,1.51,1)*IF($B880&lt;3,$D880*'Expenditure Study'!$B$32*OFFSET('Expenditure Study'!$B$7,'Operations Support'!$C880,'Operations Support'!$B880),0)</f>
        <v>0</v>
      </c>
      <c r="X880" s="200">
        <f ca="1">W880*'Expenditure Study'!$B$31</f>
        <v>0</v>
      </c>
      <c r="Y880" s="199">
        <f ca="1">U880*'Expenditure Study'!$B$31</f>
        <v>0</v>
      </c>
      <c r="Z880" s="200">
        <f ca="1">W880*'Expenditure Study'!$B$31</f>
        <v>0</v>
      </c>
      <c r="AA880" s="195">
        <f t="shared" ca="1" si="190"/>
        <v>0</v>
      </c>
      <c r="AB880" s="195">
        <f t="shared" ca="1" si="191"/>
        <v>0</v>
      </c>
      <c r="AD880" s="196">
        <f>IFERROR($G880/SUMIF($A:$A,$A880,$G:$G)*SUMIF(Summary!$A$166:$A$242,$A880,Summary!$P$166:$P$242),0)</f>
        <v>0</v>
      </c>
      <c r="AE880" s="197">
        <f t="shared" ca="1" si="192"/>
        <v>0</v>
      </c>
      <c r="AF880" s="196">
        <f>IFERROR(G880/SUMIF(A:A,A880,G:G)*SUMIF(Summary!$A$166:$A$242,'Operations Support'!A880,Summary!$Q$166:$Q$242),0)</f>
        <v>0</v>
      </c>
      <c r="AG880" s="196">
        <f t="shared" ca="1" si="193"/>
        <v>0</v>
      </c>
      <c r="AI880" s="196">
        <f>IFERROR($G880/SUMIF($A:$A,$A880,$G:$G)*SUMIF(Summary!$A$247:$A$283,$A880,Summary!$P$247:$P$283),0)</f>
        <v>0</v>
      </c>
      <c r="AJ880" s="196">
        <f>IFERROR($G880/SUMIF($A:$A,$A880,$G:$G)*(SUMIF(Summary!$A$247:$A$283,$A880,Summary!$L$247:$L$283)+SUMIF(Summary!$A$297:$A$333,$A880,Summary!$L$297:$L$333))-AI880,0)</f>
        <v>0</v>
      </c>
      <c r="AK880" s="196">
        <f>IFERROR($G880/SUMIF($A:$A,$A880,$G:$G)*SUMIF(Summary!$A$247:$A$283,$A880,Summary!$Q$247:$Q$283),0)</f>
        <v>0</v>
      </c>
      <c r="AL880" s="196">
        <f>IFERROR($G880/SUMIF($A:$A,$A880,$G:$G)*(SUMIF(Summary!$A$247:$A$283,$A880,Summary!$L$247:$L$283)+SUMIF(Summary!$A$297:$A$333,$A880,Summary!$L$297:$L$333))-AK880,0)</f>
        <v>0</v>
      </c>
      <c r="AM880" s="198"/>
      <c r="AN880" s="196">
        <f t="shared" ca="1" si="194"/>
        <v>0</v>
      </c>
      <c r="AO880" s="196">
        <f t="shared" ca="1" si="195"/>
        <v>0</v>
      </c>
    </row>
    <row r="881" spans="1:41">
      <c r="A881" s="189">
        <v>3615</v>
      </c>
      <c r="B881" s="203">
        <v>2</v>
      </c>
      <c r="C881" s="191" t="s">
        <v>235</v>
      </c>
      <c r="D881" s="192">
        <f t="shared" si="182"/>
        <v>26117.5</v>
      </c>
      <c r="E881" s="192">
        <f t="shared" si="183"/>
        <v>25976.5</v>
      </c>
      <c r="F881" s="192">
        <f t="shared" si="184"/>
        <v>0</v>
      </c>
      <c r="G881" s="193">
        <f t="shared" si="185"/>
        <v>52094</v>
      </c>
      <c r="H881" s="194">
        <v>11859</v>
      </c>
      <c r="I881" s="194">
        <v>12208</v>
      </c>
      <c r="J881" s="194">
        <v>0</v>
      </c>
      <c r="K881" s="193">
        <f t="shared" si="186"/>
        <v>24067</v>
      </c>
      <c r="L881" s="194">
        <v>11260.5</v>
      </c>
      <c r="M881" s="194">
        <v>11286.5</v>
      </c>
      <c r="N881" s="194">
        <v>0</v>
      </c>
      <c r="O881" s="193">
        <f t="shared" si="187"/>
        <v>22547</v>
      </c>
      <c r="P881" s="194">
        <v>2998</v>
      </c>
      <c r="Q881" s="194">
        <v>2482</v>
      </c>
      <c r="R881" s="194">
        <v>0</v>
      </c>
      <c r="S881" s="193">
        <f t="shared" si="188"/>
        <v>5480</v>
      </c>
      <c r="T881" s="193">
        <f t="shared" si="189"/>
        <v>1736.4666666666667</v>
      </c>
      <c r="U881" s="193">
        <f ca="1">OFFSET('Expenditure Study'!$B$7,'Operations Support'!$C881,'Operations Support'!$B881)*$G881</f>
        <v>97415.78</v>
      </c>
      <c r="V881" s="199">
        <f ca="1">U881*'Expenditure Study'!$B$31</f>
        <v>5755634.1425130237</v>
      </c>
      <c r="W881" s="199">
        <f ca="1">IF(A881=10298,1.51,1)*IF($B881&lt;3,$D881*'Expenditure Study'!$B$32*OFFSET('Expenditure Study'!$B$7,'Operations Support'!$C881,'Operations Support'!$B881),0)</f>
        <v>4883.9724999999999</v>
      </c>
      <c r="X881" s="200">
        <f ca="1">W881*'Expenditure Study'!$B$31</f>
        <v>288560.63023972802</v>
      </c>
      <c r="Y881" s="199">
        <f ca="1">U881*'Expenditure Study'!$B$31</f>
        <v>5755634.1425130237</v>
      </c>
      <c r="Z881" s="200">
        <f ca="1">W881*'Expenditure Study'!$B$31</f>
        <v>288560.63023972802</v>
      </c>
      <c r="AA881" s="195">
        <f t="shared" ca="1" si="190"/>
        <v>6044194.7727527516</v>
      </c>
      <c r="AB881" s="195">
        <f t="shared" ca="1" si="191"/>
        <v>6044194.7727527516</v>
      </c>
      <c r="AD881" s="196">
        <f>IFERROR($G881/SUMIF($A:$A,$A881,$G:$G)*SUMIF(Summary!$A$166:$A$242,$A881,Summary!$P$166:$P$242),0)</f>
        <v>1376496.4250755282</v>
      </c>
      <c r="AE881" s="197">
        <f t="shared" ca="1" si="192"/>
        <v>4667698.3476772234</v>
      </c>
      <c r="AF881" s="196">
        <f>IFERROR(G881/SUMIF(A:A,A881,G:G)*SUMIF(Summary!$A$166:$A$242,'Operations Support'!A881,Summary!$Q$166:$Q$242),0)</f>
        <v>1379232.8477527765</v>
      </c>
      <c r="AG881" s="196">
        <f t="shared" ca="1" si="193"/>
        <v>4664961.9249999747</v>
      </c>
      <c r="AI881" s="196">
        <f>IFERROR($G881/SUMIF($A:$A,$A881,$G:$G)*SUMIF(Summary!$A$247:$A$283,$A881,Summary!$P$247:$P$283),0)</f>
        <v>251038.59784838796</v>
      </c>
      <c r="AJ881" s="196">
        <f>IFERROR($G881/SUMIF($A:$A,$A881,$G:$G)*(SUMIF(Summary!$A$247:$A$283,$A881,Summary!$L$247:$L$283)+SUMIF(Summary!$A$297:$A$333,$A881,Summary!$L$297:$L$333))-AI881,0)</f>
        <v>924091.38551552338</v>
      </c>
      <c r="AK881" s="196">
        <f>IFERROR($G881/SUMIF($A:$A,$A881,$G:$G)*SUMIF(Summary!$A$247:$A$283,$A881,Summary!$Q$247:$Q$283),0)</f>
        <v>251537.65305805136</v>
      </c>
      <c r="AL881" s="196">
        <f>IFERROR($G881/SUMIF($A:$A,$A881,$G:$G)*(SUMIF(Summary!$A$247:$A$283,$A881,Summary!$L$247:$L$283)+SUMIF(Summary!$A$297:$A$333,$A881,Summary!$L$297:$L$333))-AK881,0)</f>
        <v>923592.33030585991</v>
      </c>
      <c r="AM881" s="198"/>
      <c r="AN881" s="196">
        <f t="shared" ca="1" si="194"/>
        <v>5591789.7331927465</v>
      </c>
      <c r="AO881" s="196">
        <f t="shared" ca="1" si="195"/>
        <v>5588554.2553058341</v>
      </c>
    </row>
    <row r="882" spans="1:41">
      <c r="A882" s="189">
        <v>3615</v>
      </c>
      <c r="B882" s="203">
        <v>2</v>
      </c>
      <c r="C882" s="191" t="s">
        <v>236</v>
      </c>
      <c r="D882" s="192">
        <f t="shared" si="182"/>
        <v>0</v>
      </c>
      <c r="E882" s="192">
        <f t="shared" si="183"/>
        <v>0</v>
      </c>
      <c r="F882" s="192">
        <f t="shared" si="184"/>
        <v>0</v>
      </c>
      <c r="G882" s="193">
        <f t="shared" si="185"/>
        <v>0</v>
      </c>
      <c r="H882" s="194">
        <v>0</v>
      </c>
      <c r="I882" s="194">
        <v>0</v>
      </c>
      <c r="J882" s="194">
        <v>0</v>
      </c>
      <c r="K882" s="193">
        <f t="shared" si="186"/>
        <v>0</v>
      </c>
      <c r="L882" s="194">
        <v>0</v>
      </c>
      <c r="M882" s="194">
        <v>0</v>
      </c>
      <c r="N882" s="194">
        <v>0</v>
      </c>
      <c r="O882" s="193">
        <f t="shared" si="187"/>
        <v>0</v>
      </c>
      <c r="P882" s="194">
        <v>0</v>
      </c>
      <c r="Q882" s="194">
        <v>0</v>
      </c>
      <c r="R882" s="194">
        <v>0</v>
      </c>
      <c r="S882" s="193">
        <f t="shared" si="188"/>
        <v>0</v>
      </c>
      <c r="T882" s="193">
        <f t="shared" si="189"/>
        <v>0</v>
      </c>
      <c r="U882" s="193">
        <f ca="1">OFFSET('Expenditure Study'!$B$7,'Operations Support'!$C882,'Operations Support'!$B882)*$G882</f>
        <v>0</v>
      </c>
      <c r="V882" s="199">
        <f ca="1">U882*'Expenditure Study'!$B$31</f>
        <v>0</v>
      </c>
      <c r="W882" s="199">
        <f ca="1">IF(A882=10298,1.51,1)*IF($B882&lt;3,$D882*'Expenditure Study'!$B$32*OFFSET('Expenditure Study'!$B$7,'Operations Support'!$C882,'Operations Support'!$B882),0)</f>
        <v>0</v>
      </c>
      <c r="X882" s="200">
        <f ca="1">W882*'Expenditure Study'!$B$31</f>
        <v>0</v>
      </c>
      <c r="Y882" s="199">
        <f ca="1">U882*'Expenditure Study'!$B$31</f>
        <v>0</v>
      </c>
      <c r="Z882" s="200">
        <f ca="1">W882*'Expenditure Study'!$B$31</f>
        <v>0</v>
      </c>
      <c r="AA882" s="195">
        <f t="shared" ca="1" si="190"/>
        <v>0</v>
      </c>
      <c r="AB882" s="195">
        <f t="shared" ca="1" si="191"/>
        <v>0</v>
      </c>
      <c r="AD882" s="196">
        <f>IFERROR($G882/SUMIF($A:$A,$A882,$G:$G)*SUMIF(Summary!$A$166:$A$242,$A882,Summary!$P$166:$P$242),0)</f>
        <v>0</v>
      </c>
      <c r="AE882" s="197">
        <f t="shared" ca="1" si="192"/>
        <v>0</v>
      </c>
      <c r="AF882" s="196">
        <f>IFERROR(G882/SUMIF(A:A,A882,G:G)*SUMIF(Summary!$A$166:$A$242,'Operations Support'!A882,Summary!$Q$166:$Q$242),0)</f>
        <v>0</v>
      </c>
      <c r="AG882" s="196">
        <f t="shared" ca="1" si="193"/>
        <v>0</v>
      </c>
      <c r="AI882" s="196">
        <f>IFERROR($G882/SUMIF($A:$A,$A882,$G:$G)*SUMIF(Summary!$A$247:$A$283,$A882,Summary!$P$247:$P$283),0)</f>
        <v>0</v>
      </c>
      <c r="AJ882" s="196">
        <f>IFERROR($G882/SUMIF($A:$A,$A882,$G:$G)*(SUMIF(Summary!$A$247:$A$283,$A882,Summary!$L$247:$L$283)+SUMIF(Summary!$A$297:$A$333,$A882,Summary!$L$297:$L$333))-AI882,0)</f>
        <v>0</v>
      </c>
      <c r="AK882" s="196">
        <f>IFERROR($G882/SUMIF($A:$A,$A882,$G:$G)*SUMIF(Summary!$A$247:$A$283,$A882,Summary!$Q$247:$Q$283),0)</f>
        <v>0</v>
      </c>
      <c r="AL882" s="196">
        <f>IFERROR($G882/SUMIF($A:$A,$A882,$G:$G)*(SUMIF(Summary!$A$247:$A$283,$A882,Summary!$L$247:$L$283)+SUMIF(Summary!$A$297:$A$333,$A882,Summary!$L$297:$L$333))-AK882,0)</f>
        <v>0</v>
      </c>
      <c r="AM882" s="198"/>
      <c r="AN882" s="196">
        <f t="shared" ca="1" si="194"/>
        <v>0</v>
      </c>
      <c r="AO882" s="196">
        <f t="shared" ca="1" si="195"/>
        <v>0</v>
      </c>
    </row>
    <row r="883" spans="1:41">
      <c r="A883" s="189">
        <v>3615</v>
      </c>
      <c r="B883" s="203">
        <v>2</v>
      </c>
      <c r="C883" s="191" t="s">
        <v>237</v>
      </c>
      <c r="D883" s="192">
        <f t="shared" si="182"/>
        <v>81</v>
      </c>
      <c r="E883" s="192">
        <f t="shared" si="183"/>
        <v>3348</v>
      </c>
      <c r="F883" s="192">
        <f t="shared" si="184"/>
        <v>0</v>
      </c>
      <c r="G883" s="193">
        <f t="shared" si="185"/>
        <v>3429</v>
      </c>
      <c r="H883" s="194">
        <v>81</v>
      </c>
      <c r="I883" s="194">
        <v>1626</v>
      </c>
      <c r="J883" s="194">
        <v>0</v>
      </c>
      <c r="K883" s="193">
        <f t="shared" si="186"/>
        <v>1707</v>
      </c>
      <c r="L883" s="194">
        <v>0</v>
      </c>
      <c r="M883" s="194">
        <v>1722</v>
      </c>
      <c r="N883" s="194">
        <v>0</v>
      </c>
      <c r="O883" s="193">
        <f t="shared" si="187"/>
        <v>1722</v>
      </c>
      <c r="P883" s="194">
        <v>0</v>
      </c>
      <c r="Q883" s="194">
        <v>0</v>
      </c>
      <c r="R883" s="194">
        <v>0</v>
      </c>
      <c r="S883" s="193">
        <f t="shared" si="188"/>
        <v>0</v>
      </c>
      <c r="T883" s="193">
        <f t="shared" si="189"/>
        <v>114.3</v>
      </c>
      <c r="U883" s="193">
        <f ca="1">OFFSET('Expenditure Study'!$B$7,'Operations Support'!$C883,'Operations Support'!$B883)*$G883</f>
        <v>8023.86</v>
      </c>
      <c r="V883" s="199">
        <f ca="1">U883*'Expenditure Study'!$B$31</f>
        <v>474075.171093888</v>
      </c>
      <c r="W883" s="199">
        <f ca="1">IF(A883=10298,1.51,1)*IF($B883&lt;3,$D883*'Expenditure Study'!$B$32*OFFSET('Expenditure Study'!$B$7,'Operations Support'!$C883,'Operations Support'!$B883),0)</f>
        <v>18.953999999999997</v>
      </c>
      <c r="X883" s="200">
        <f ca="1">W883*'Expenditure Study'!$B$31</f>
        <v>1119.8626088831998</v>
      </c>
      <c r="Y883" s="199">
        <f ca="1">U883*'Expenditure Study'!$B$31</f>
        <v>474075.171093888</v>
      </c>
      <c r="Z883" s="200">
        <f ca="1">W883*'Expenditure Study'!$B$31</f>
        <v>1119.8626088831998</v>
      </c>
      <c r="AA883" s="195">
        <f t="shared" ca="1" si="190"/>
        <v>475195.03370277118</v>
      </c>
      <c r="AB883" s="195">
        <f t="shared" ca="1" si="191"/>
        <v>475195.03370277118</v>
      </c>
      <c r="AD883" s="196">
        <f>IFERROR($G883/SUMIF($A:$A,$A883,$G:$G)*SUMIF(Summary!$A$166:$A$242,$A883,Summary!$P$166:$P$242),0)</f>
        <v>90605.563818942421</v>
      </c>
      <c r="AE883" s="197">
        <f t="shared" ca="1" si="192"/>
        <v>384589.46988382877</v>
      </c>
      <c r="AF883" s="196">
        <f>IFERROR(G883/SUMIF(A:A,A883,G:G)*SUMIF(Summary!$A$166:$A$242,'Operations Support'!A883,Summary!$Q$166:$Q$242),0)</f>
        <v>90785.68424279707</v>
      </c>
      <c r="AG883" s="196">
        <f t="shared" ca="1" si="193"/>
        <v>384409.3494599741</v>
      </c>
      <c r="AI883" s="196">
        <f>IFERROR($G883/SUMIF($A:$A,$A883,$G:$G)*SUMIF(Summary!$A$247:$A$283,$A883,Summary!$P$247:$P$283),0)</f>
        <v>16524.193803933704</v>
      </c>
      <c r="AJ883" s="196">
        <f>IFERROR($G883/SUMIF($A:$A,$A883,$G:$G)*(SUMIF(Summary!$A$247:$A$283,$A883,Summary!$L$247:$L$283)+SUMIF(Summary!$A$297:$A$333,$A883,Summary!$L$297:$L$333))-AI883,0)</f>
        <v>60826.76240896705</v>
      </c>
      <c r="AK883" s="196">
        <f>IFERROR($G883/SUMIF($A:$A,$A883,$G:$G)*SUMIF(Summary!$A$247:$A$283,$A883,Summary!$Q$247:$Q$283),0)</f>
        <v>16557.043274389722</v>
      </c>
      <c r="AL883" s="196">
        <f>IFERROR($G883/SUMIF($A:$A,$A883,$G:$G)*(SUMIF(Summary!$A$247:$A$283,$A883,Summary!$L$247:$L$283)+SUMIF(Summary!$A$297:$A$333,$A883,Summary!$L$297:$L$333))-AK883,0)</f>
        <v>60793.912938511028</v>
      </c>
      <c r="AM883" s="198"/>
      <c r="AN883" s="196">
        <f t="shared" ca="1" si="194"/>
        <v>445416.23229279584</v>
      </c>
      <c r="AO883" s="196">
        <f t="shared" ca="1" si="195"/>
        <v>445203.26239848509</v>
      </c>
    </row>
    <row r="884" spans="1:41">
      <c r="A884" s="189">
        <v>3615</v>
      </c>
      <c r="B884" s="203">
        <v>2</v>
      </c>
      <c r="C884" s="191" t="s">
        <v>238</v>
      </c>
      <c r="D884" s="192">
        <f t="shared" si="182"/>
        <v>2677</v>
      </c>
      <c r="E884" s="192">
        <f t="shared" si="183"/>
        <v>3065</v>
      </c>
      <c r="F884" s="192">
        <f t="shared" si="184"/>
        <v>0</v>
      </c>
      <c r="G884" s="193">
        <f t="shared" si="185"/>
        <v>5742</v>
      </c>
      <c r="H884" s="194">
        <v>1228</v>
      </c>
      <c r="I884" s="194">
        <v>1472</v>
      </c>
      <c r="J884" s="194">
        <v>0</v>
      </c>
      <c r="K884" s="193">
        <f t="shared" si="186"/>
        <v>2700</v>
      </c>
      <c r="L884" s="194">
        <v>1290</v>
      </c>
      <c r="M884" s="194">
        <v>1455</v>
      </c>
      <c r="N884" s="194">
        <v>0</v>
      </c>
      <c r="O884" s="193">
        <f t="shared" si="187"/>
        <v>2745</v>
      </c>
      <c r="P884" s="194">
        <v>159</v>
      </c>
      <c r="Q884" s="194">
        <v>138</v>
      </c>
      <c r="R884" s="194">
        <v>0</v>
      </c>
      <c r="S884" s="193">
        <f t="shared" si="188"/>
        <v>297</v>
      </c>
      <c r="T884" s="193">
        <f t="shared" si="189"/>
        <v>191.4</v>
      </c>
      <c r="U884" s="193">
        <f ca="1">OFFSET('Expenditure Study'!$B$7,'Operations Support'!$C884,'Operations Support'!$B884)*$G884</f>
        <v>13780.8</v>
      </c>
      <c r="V884" s="199">
        <f ca="1">U884*'Expenditure Study'!$B$31</f>
        <v>814213.49796863995</v>
      </c>
      <c r="W884" s="199">
        <f ca="1">IF(A884=10298,1.51,1)*IF($B884&lt;3,$D884*'Expenditure Study'!$B$32*OFFSET('Expenditure Study'!$B$7,'Operations Support'!$C884,'Operations Support'!$B884),0)</f>
        <v>642.4799999999999</v>
      </c>
      <c r="X884" s="200">
        <f ca="1">W884*'Expenditure Study'!$B$31</f>
        <v>37959.762000383998</v>
      </c>
      <c r="Y884" s="199">
        <f ca="1">U884*'Expenditure Study'!$B$31</f>
        <v>814213.49796863995</v>
      </c>
      <c r="Z884" s="200">
        <f ca="1">W884*'Expenditure Study'!$B$31</f>
        <v>37959.762000383998</v>
      </c>
      <c r="AA884" s="195">
        <f t="shared" ca="1" si="190"/>
        <v>852173.25996902399</v>
      </c>
      <c r="AB884" s="195">
        <f t="shared" ca="1" si="191"/>
        <v>852173.25996902399</v>
      </c>
      <c r="AD884" s="196">
        <f>IFERROR($G884/SUMIF($A:$A,$A884,$G:$G)*SUMIF(Summary!$A$166:$A$242,$A884,Summary!$P$166:$P$242),0)</f>
        <v>151722.70266794032</v>
      </c>
      <c r="AE884" s="197">
        <f t="shared" ca="1" si="192"/>
        <v>700450.5573010837</v>
      </c>
      <c r="AF884" s="196">
        <f>IFERROR(G884/SUMIF(A:A,A884,G:G)*SUMIF(Summary!$A$166:$A$242,'Operations Support'!A884,Summary!$Q$166:$Q$242),0)</f>
        <v>152024.32164541871</v>
      </c>
      <c r="AG884" s="196">
        <f t="shared" ca="1" si="193"/>
        <v>700148.93832360534</v>
      </c>
      <c r="AI884" s="196">
        <f>IFERROR($G884/SUMIF($A:$A,$A884,$G:$G)*SUMIF(Summary!$A$247:$A$283,$A884,Summary!$P$247:$P$283),0)</f>
        <v>27670.434768791871</v>
      </c>
      <c r="AJ884" s="196">
        <f>IFERROR($G884/SUMIF($A:$A,$A884,$G:$G)*(SUMIF(Summary!$A$247:$A$283,$A884,Summary!$L$247:$L$283)+SUMIF(Summary!$A$297:$A$333,$A884,Summary!$L$297:$L$333))-AI884,0)</f>
        <v>101856.8882333884</v>
      </c>
      <c r="AK884" s="196">
        <f>IFERROR($G884/SUMIF($A:$A,$A884,$G:$G)*SUMIF(Summary!$A$247:$A$283,$A884,Summary!$Q$247:$Q$283),0)</f>
        <v>27725.442543466252</v>
      </c>
      <c r="AL884" s="196">
        <f>IFERROR($G884/SUMIF($A:$A,$A884,$G:$G)*(SUMIF(Summary!$A$247:$A$283,$A884,Summary!$L$247:$L$283)+SUMIF(Summary!$A$297:$A$333,$A884,Summary!$L$297:$L$333))-AK884,0)</f>
        <v>101801.880458714</v>
      </c>
      <c r="AM884" s="198"/>
      <c r="AN884" s="196">
        <f t="shared" ca="1" si="194"/>
        <v>802307.44553447212</v>
      </c>
      <c r="AO884" s="196">
        <f t="shared" ca="1" si="195"/>
        <v>801950.81878231931</v>
      </c>
    </row>
    <row r="885" spans="1:41">
      <c r="A885" s="189">
        <v>3615</v>
      </c>
      <c r="B885" s="203">
        <v>2</v>
      </c>
      <c r="C885" s="191" t="s">
        <v>239</v>
      </c>
      <c r="D885" s="192">
        <f t="shared" si="182"/>
        <v>1522</v>
      </c>
      <c r="E885" s="192">
        <f t="shared" si="183"/>
        <v>3579</v>
      </c>
      <c r="F885" s="192">
        <f t="shared" si="184"/>
        <v>0</v>
      </c>
      <c r="G885" s="193">
        <f t="shared" si="185"/>
        <v>5101</v>
      </c>
      <c r="H885" s="194">
        <v>633</v>
      </c>
      <c r="I885" s="194">
        <v>1691</v>
      </c>
      <c r="J885" s="194">
        <v>0</v>
      </c>
      <c r="K885" s="193">
        <f t="shared" si="186"/>
        <v>2324</v>
      </c>
      <c r="L885" s="194">
        <v>535</v>
      </c>
      <c r="M885" s="194">
        <v>1738</v>
      </c>
      <c r="N885" s="194">
        <v>0</v>
      </c>
      <c r="O885" s="193">
        <f t="shared" si="187"/>
        <v>2273</v>
      </c>
      <c r="P885" s="194">
        <v>354</v>
      </c>
      <c r="Q885" s="194">
        <v>150</v>
      </c>
      <c r="R885" s="194">
        <v>0</v>
      </c>
      <c r="S885" s="193">
        <f t="shared" si="188"/>
        <v>504</v>
      </c>
      <c r="T885" s="193">
        <f t="shared" si="189"/>
        <v>170.03333333333333</v>
      </c>
      <c r="U885" s="193">
        <f ca="1">OFFSET('Expenditure Study'!$B$7,'Operations Support'!$C885,'Operations Support'!$B885)*$G885</f>
        <v>10610.08</v>
      </c>
      <c r="V885" s="199">
        <f ca="1">U885*'Expenditure Study'!$B$31</f>
        <v>626877.27494246396</v>
      </c>
      <c r="W885" s="199">
        <f ca="1">IF(A885=10298,1.51,1)*IF($B885&lt;3,$D885*'Expenditure Study'!$B$32*OFFSET('Expenditure Study'!$B$7,'Operations Support'!$C885,'Operations Support'!$B885),0)</f>
        <v>316.57600000000002</v>
      </c>
      <c r="X885" s="200">
        <f ca="1">W885*'Expenditure Study'!$B$31</f>
        <v>18704.317044940803</v>
      </c>
      <c r="Y885" s="199">
        <f ca="1">U885*'Expenditure Study'!$B$31</f>
        <v>626877.27494246396</v>
      </c>
      <c r="Z885" s="200">
        <f ca="1">W885*'Expenditure Study'!$B$31</f>
        <v>18704.317044940803</v>
      </c>
      <c r="AA885" s="195">
        <f t="shared" ca="1" si="190"/>
        <v>645581.59198740474</v>
      </c>
      <c r="AB885" s="195">
        <f t="shared" ca="1" si="191"/>
        <v>645581.59198740474</v>
      </c>
      <c r="AD885" s="196">
        <f>IFERROR($G885/SUMIF($A:$A,$A885,$G:$G)*SUMIF(Summary!$A$166:$A$242,$A885,Summary!$P$166:$P$242),0)</f>
        <v>134785.3546341281</v>
      </c>
      <c r="AE885" s="197">
        <f t="shared" ca="1" si="192"/>
        <v>510796.23735327664</v>
      </c>
      <c r="AF885" s="196">
        <f>IFERROR(G885/SUMIF(A:A,A885,G:G)*SUMIF(Summary!$A$166:$A$242,'Operations Support'!A885,Summary!$Q$166:$Q$242),0)</f>
        <v>135053.30280621402</v>
      </c>
      <c r="AG885" s="196">
        <f t="shared" ca="1" si="193"/>
        <v>510528.28918119072</v>
      </c>
      <c r="AI885" s="196">
        <f>IFERROR($G885/SUMIF($A:$A,$A885,$G:$G)*SUMIF(Summary!$A$247:$A$283,$A885,Summary!$P$247:$P$283),0)</f>
        <v>24581.485154233254</v>
      </c>
      <c r="AJ885" s="196">
        <f>IFERROR($G885/SUMIF($A:$A,$A885,$G:$G)*(SUMIF(Summary!$A$247:$A$283,$A885,Summary!$L$247:$L$283)+SUMIF(Summary!$A$297:$A$333,$A885,Summary!$L$297:$L$333))-AI885,0)</f>
        <v>90486.239442444145</v>
      </c>
      <c r="AK885" s="196">
        <f>IFERROR($G885/SUMIF($A:$A,$A885,$G:$G)*SUMIF(Summary!$A$247:$A$283,$A885,Summary!$Q$247:$Q$283),0)</f>
        <v>24630.352214249629</v>
      </c>
      <c r="AL885" s="196">
        <f>IFERROR($G885/SUMIF($A:$A,$A885,$G:$G)*(SUMIF(Summary!$A$247:$A$283,$A885,Summary!$L$247:$L$283)+SUMIF(Summary!$A$297:$A$333,$A885,Summary!$L$297:$L$333))-AK885,0)</f>
        <v>90437.372382427769</v>
      </c>
      <c r="AM885" s="198"/>
      <c r="AN885" s="196">
        <f t="shared" ca="1" si="194"/>
        <v>601282.47679572075</v>
      </c>
      <c r="AO885" s="196">
        <f t="shared" ca="1" si="195"/>
        <v>600965.66156361846</v>
      </c>
    </row>
    <row r="886" spans="1:41">
      <c r="A886" s="189">
        <v>3615</v>
      </c>
      <c r="B886" s="203">
        <v>2</v>
      </c>
      <c r="C886" s="191" t="s">
        <v>240</v>
      </c>
      <c r="D886" s="192">
        <f t="shared" si="182"/>
        <v>0</v>
      </c>
      <c r="E886" s="192">
        <f t="shared" si="183"/>
        <v>0</v>
      </c>
      <c r="F886" s="192">
        <f t="shared" si="184"/>
        <v>0</v>
      </c>
      <c r="G886" s="193">
        <f t="shared" si="185"/>
        <v>0</v>
      </c>
      <c r="H886" s="194">
        <v>0</v>
      </c>
      <c r="I886" s="194">
        <v>0</v>
      </c>
      <c r="J886" s="194">
        <v>0</v>
      </c>
      <c r="K886" s="193">
        <f t="shared" si="186"/>
        <v>0</v>
      </c>
      <c r="L886" s="194">
        <v>0</v>
      </c>
      <c r="M886" s="194">
        <v>0</v>
      </c>
      <c r="N886" s="194">
        <v>0</v>
      </c>
      <c r="O886" s="193">
        <f t="shared" si="187"/>
        <v>0</v>
      </c>
      <c r="P886" s="194">
        <v>0</v>
      </c>
      <c r="Q886" s="194">
        <v>0</v>
      </c>
      <c r="R886" s="194">
        <v>0</v>
      </c>
      <c r="S886" s="193">
        <f t="shared" si="188"/>
        <v>0</v>
      </c>
      <c r="T886" s="193">
        <f t="shared" si="189"/>
        <v>0</v>
      </c>
      <c r="U886" s="193">
        <f ca="1">OFFSET('Expenditure Study'!$B$7,'Operations Support'!$C886,'Operations Support'!$B886)*$G886</f>
        <v>0</v>
      </c>
      <c r="V886" s="199">
        <f ca="1">U886*'Expenditure Study'!$B$31</f>
        <v>0</v>
      </c>
      <c r="W886" s="199">
        <f ca="1">IF(A886=10298,1.51,1)*IF($B886&lt;3,$D886*'Expenditure Study'!$B$32*OFFSET('Expenditure Study'!$B$7,'Operations Support'!$C886,'Operations Support'!$B886),0)</f>
        <v>0</v>
      </c>
      <c r="X886" s="200">
        <f ca="1">W886*'Expenditure Study'!$B$31</f>
        <v>0</v>
      </c>
      <c r="Y886" s="199">
        <f ca="1">U886*'Expenditure Study'!$B$31</f>
        <v>0</v>
      </c>
      <c r="Z886" s="200">
        <f ca="1">W886*'Expenditure Study'!$B$31</f>
        <v>0</v>
      </c>
      <c r="AA886" s="195">
        <f t="shared" ca="1" si="190"/>
        <v>0</v>
      </c>
      <c r="AB886" s="195">
        <f t="shared" ca="1" si="191"/>
        <v>0</v>
      </c>
      <c r="AD886" s="196">
        <f>IFERROR($G886/SUMIF($A:$A,$A886,$G:$G)*SUMIF(Summary!$A$166:$A$242,$A886,Summary!$P$166:$P$242),0)</f>
        <v>0</v>
      </c>
      <c r="AE886" s="197">
        <f t="shared" ca="1" si="192"/>
        <v>0</v>
      </c>
      <c r="AF886" s="196">
        <f>IFERROR(G886/SUMIF(A:A,A886,G:G)*SUMIF(Summary!$A$166:$A$242,'Operations Support'!A886,Summary!$Q$166:$Q$242),0)</f>
        <v>0</v>
      </c>
      <c r="AG886" s="196">
        <f t="shared" ca="1" si="193"/>
        <v>0</v>
      </c>
      <c r="AI886" s="196">
        <f>IFERROR($G886/SUMIF($A:$A,$A886,$G:$G)*SUMIF(Summary!$A$247:$A$283,$A886,Summary!$P$247:$P$283),0)</f>
        <v>0</v>
      </c>
      <c r="AJ886" s="196">
        <f>IFERROR($G886/SUMIF($A:$A,$A886,$G:$G)*(SUMIF(Summary!$A$247:$A$283,$A886,Summary!$L$247:$L$283)+SUMIF(Summary!$A$297:$A$333,$A886,Summary!$L$297:$L$333))-AI886,0)</f>
        <v>0</v>
      </c>
      <c r="AK886" s="196">
        <f>IFERROR($G886/SUMIF($A:$A,$A886,$G:$G)*SUMIF(Summary!$A$247:$A$283,$A886,Summary!$Q$247:$Q$283),0)</f>
        <v>0</v>
      </c>
      <c r="AL886" s="196">
        <f>IFERROR($G886/SUMIF($A:$A,$A886,$G:$G)*(SUMIF(Summary!$A$247:$A$283,$A886,Summary!$L$247:$L$283)+SUMIF(Summary!$A$297:$A$333,$A886,Summary!$L$297:$L$333))-AK886,0)</f>
        <v>0</v>
      </c>
      <c r="AM886" s="198"/>
      <c r="AN886" s="196">
        <f t="shared" ca="1" si="194"/>
        <v>0</v>
      </c>
      <c r="AO886" s="196">
        <f t="shared" ca="1" si="195"/>
        <v>0</v>
      </c>
    </row>
    <row r="887" spans="1:41">
      <c r="A887" s="189">
        <v>3615</v>
      </c>
      <c r="B887" s="203">
        <v>3</v>
      </c>
      <c r="C887" s="191" t="s">
        <v>220</v>
      </c>
      <c r="D887" s="192">
        <f t="shared" si="182"/>
        <v>12287.5</v>
      </c>
      <c r="E887" s="192">
        <f t="shared" si="183"/>
        <v>4312.5</v>
      </c>
      <c r="F887" s="192">
        <f t="shared" si="184"/>
        <v>0</v>
      </c>
      <c r="G887" s="193">
        <f t="shared" si="185"/>
        <v>16600</v>
      </c>
      <c r="H887" s="194">
        <v>5040.5</v>
      </c>
      <c r="I887" s="194">
        <v>1861.5</v>
      </c>
      <c r="J887" s="194">
        <v>0</v>
      </c>
      <c r="K887" s="193">
        <f t="shared" si="186"/>
        <v>6902</v>
      </c>
      <c r="L887" s="194">
        <v>5987</v>
      </c>
      <c r="M887" s="194">
        <v>1850</v>
      </c>
      <c r="N887" s="194">
        <v>0</v>
      </c>
      <c r="O887" s="193">
        <f t="shared" si="187"/>
        <v>7837</v>
      </c>
      <c r="P887" s="194">
        <v>1260</v>
      </c>
      <c r="Q887" s="194">
        <v>601</v>
      </c>
      <c r="R887" s="194">
        <v>0</v>
      </c>
      <c r="S887" s="193">
        <f t="shared" si="188"/>
        <v>1861</v>
      </c>
      <c r="T887" s="193">
        <f t="shared" si="189"/>
        <v>691.66666666666663</v>
      </c>
      <c r="U887" s="193">
        <f ca="1">OFFSET('Expenditure Study'!$B$7,'Operations Support'!$C887,'Operations Support'!$B887)*$G887</f>
        <v>74036</v>
      </c>
      <c r="V887" s="199">
        <f ca="1">U887*'Expenditure Study'!$B$31</f>
        <v>4374282.3737088004</v>
      </c>
      <c r="W887" s="199">
        <f ca="1">IF(A887=10298,1.51,1)*IF($B887&lt;3,$D887*'Expenditure Study'!$B$32*OFFSET('Expenditure Study'!$B$7,'Operations Support'!$C887,'Operations Support'!$B887),0)</f>
        <v>0</v>
      </c>
      <c r="X887" s="200">
        <f ca="1">W887*'Expenditure Study'!$B$31</f>
        <v>0</v>
      </c>
      <c r="Y887" s="199">
        <f ca="1">U887*'Expenditure Study'!$B$31</f>
        <v>4374282.3737088004</v>
      </c>
      <c r="Z887" s="200">
        <f ca="1">W887*'Expenditure Study'!$B$31</f>
        <v>0</v>
      </c>
      <c r="AA887" s="195">
        <f t="shared" ca="1" si="190"/>
        <v>4374282.3737088004</v>
      </c>
      <c r="AB887" s="195">
        <f t="shared" ca="1" si="191"/>
        <v>4374282.3737088004</v>
      </c>
      <c r="AD887" s="196">
        <f>IFERROR($G887/SUMIF($A:$A,$A887,$G:$G)*SUMIF(Summary!$A$166:$A$242,$A887,Summary!$P$166:$P$242),0)</f>
        <v>438627.10976799182</v>
      </c>
      <c r="AE887" s="197">
        <f t="shared" ca="1" si="192"/>
        <v>3935655.2639408084</v>
      </c>
      <c r="AF887" s="196">
        <f>IFERROR(G887/SUMIF(A:A,A887,G:G)*SUMIF(Summary!$A$166:$A$242,'Operations Support'!A887,Summary!$Q$166:$Q$242),0)</f>
        <v>439499.08382339787</v>
      </c>
      <c r="AG887" s="196">
        <f t="shared" ca="1" si="193"/>
        <v>3934783.2898854027</v>
      </c>
      <c r="AI887" s="196">
        <f>IFERROR($G887/SUMIF($A:$A,$A887,$G:$G)*SUMIF(Summary!$A$247:$A$283,$A887,Summary!$P$247:$P$283),0)</f>
        <v>79994.639004170152</v>
      </c>
      <c r="AJ887" s="196">
        <f>IFERROR($G887/SUMIF($A:$A,$A887,$G:$G)*(SUMIF(Summary!$A$247:$A$283,$A887,Summary!$L$247:$L$283)+SUMIF(Summary!$A$297:$A$333,$A887,Summary!$L$297:$L$333))-AI887,0)</f>
        <v>294466.099734282</v>
      </c>
      <c r="AK887" s="196">
        <f>IFERROR($G887/SUMIF($A:$A,$A887,$G:$G)*SUMIF(Summary!$A$247:$A$283,$A887,Summary!$Q$247:$Q$283),0)</f>
        <v>80153.66531200624</v>
      </c>
      <c r="AL887" s="196">
        <f>IFERROR($G887/SUMIF($A:$A,$A887,$G:$G)*(SUMIF(Summary!$A$247:$A$283,$A887,Summary!$L$247:$L$283)+SUMIF(Summary!$A$297:$A$333,$A887,Summary!$L$297:$L$333))-AK887,0)</f>
        <v>294307.07342644589</v>
      </c>
      <c r="AM887" s="198"/>
      <c r="AN887" s="196">
        <f t="shared" ca="1" si="194"/>
        <v>4230121.3636750905</v>
      </c>
      <c r="AO887" s="196">
        <f t="shared" ca="1" si="195"/>
        <v>4229090.3633118486</v>
      </c>
    </row>
    <row r="888" spans="1:41">
      <c r="A888" s="189">
        <v>3615</v>
      </c>
      <c r="B888" s="203">
        <v>3</v>
      </c>
      <c r="C888" s="191" t="s">
        <v>221</v>
      </c>
      <c r="D888" s="192">
        <f t="shared" si="182"/>
        <v>3653.5</v>
      </c>
      <c r="E888" s="192">
        <f t="shared" si="183"/>
        <v>558.5</v>
      </c>
      <c r="F888" s="192">
        <f t="shared" si="184"/>
        <v>0</v>
      </c>
      <c r="G888" s="193">
        <f t="shared" si="185"/>
        <v>4212</v>
      </c>
      <c r="H888" s="194">
        <v>1634</v>
      </c>
      <c r="I888" s="194">
        <v>183</v>
      </c>
      <c r="J888" s="194">
        <v>0</v>
      </c>
      <c r="K888" s="193">
        <f t="shared" si="186"/>
        <v>1817</v>
      </c>
      <c r="L888" s="194">
        <v>1792.5</v>
      </c>
      <c r="M888" s="194">
        <v>246.5</v>
      </c>
      <c r="N888" s="194">
        <v>0</v>
      </c>
      <c r="O888" s="193">
        <f t="shared" si="187"/>
        <v>2039</v>
      </c>
      <c r="P888" s="194">
        <v>227</v>
      </c>
      <c r="Q888" s="194">
        <v>129</v>
      </c>
      <c r="R888" s="194">
        <v>0</v>
      </c>
      <c r="S888" s="193">
        <f t="shared" si="188"/>
        <v>356</v>
      </c>
      <c r="T888" s="193">
        <f t="shared" si="189"/>
        <v>175.5</v>
      </c>
      <c r="U888" s="193">
        <f ca="1">OFFSET('Expenditure Study'!$B$7,'Operations Support'!$C888,'Operations Support'!$B888)*$G888</f>
        <v>29484</v>
      </c>
      <c r="V888" s="199">
        <f ca="1">U888*'Expenditure Study'!$B$31</f>
        <v>1742008.5027072001</v>
      </c>
      <c r="W888" s="199">
        <f ca="1">IF(A888=10298,1.51,1)*IF($B888&lt;3,$D888*'Expenditure Study'!$B$32*OFFSET('Expenditure Study'!$B$7,'Operations Support'!$C888,'Operations Support'!$B888),0)</f>
        <v>0</v>
      </c>
      <c r="X888" s="200">
        <f ca="1">W888*'Expenditure Study'!$B$31</f>
        <v>0</v>
      </c>
      <c r="Y888" s="199">
        <f ca="1">U888*'Expenditure Study'!$B$31</f>
        <v>1742008.5027072001</v>
      </c>
      <c r="Z888" s="200">
        <f ca="1">W888*'Expenditure Study'!$B$31</f>
        <v>0</v>
      </c>
      <c r="AA888" s="195">
        <f t="shared" ca="1" si="190"/>
        <v>1742008.5027072001</v>
      </c>
      <c r="AB888" s="195">
        <f t="shared" ca="1" si="191"/>
        <v>1742008.5027072001</v>
      </c>
      <c r="AD888" s="196">
        <f>IFERROR($G888/SUMIF($A:$A,$A888,$G:$G)*SUMIF(Summary!$A$166:$A$242,$A888,Summary!$P$166:$P$242),0)</f>
        <v>111295.02327366156</v>
      </c>
      <c r="AE888" s="197">
        <f t="shared" ca="1" si="192"/>
        <v>1630713.4794335386</v>
      </c>
      <c r="AF888" s="196">
        <f>IFERROR(G888/SUMIF(A:A,A888,G:G)*SUMIF(Summary!$A$166:$A$242,'Operations Support'!A888,Summary!$Q$166:$Q$242),0)</f>
        <v>111516.27355808145</v>
      </c>
      <c r="AG888" s="196">
        <f t="shared" ca="1" si="193"/>
        <v>1630492.2291491188</v>
      </c>
      <c r="AI888" s="196">
        <f>IFERROR($G888/SUMIF($A:$A,$A888,$G:$G)*SUMIF(Summary!$A$247:$A$283,$A888,Summary!$P$247:$P$283),0)</f>
        <v>20297.434908768959</v>
      </c>
      <c r="AJ888" s="196">
        <f>IFERROR($G888/SUMIF($A:$A,$A888,$G:$G)*(SUMIF(Summary!$A$247:$A$283,$A888,Summary!$L$247:$L$283)+SUMIF(Summary!$A$297:$A$333,$A888,Summary!$L$297:$L$333))-AI888,0)</f>
        <v>74716.338077156382</v>
      </c>
      <c r="AK888" s="196">
        <f>IFERROR($G888/SUMIF($A:$A,$A888,$G:$G)*SUMIF(Summary!$A$247:$A$283,$A888,Summary!$Q$247:$Q$283),0)</f>
        <v>20337.785439407849</v>
      </c>
      <c r="AL888" s="196">
        <f>IFERROR($G888/SUMIF($A:$A,$A888,$G:$G)*(SUMIF(Summary!$A$247:$A$283,$A888,Summary!$L$247:$L$283)+SUMIF(Summary!$A$297:$A$333,$A888,Summary!$L$297:$L$333))-AK888,0)</f>
        <v>74675.987546517499</v>
      </c>
      <c r="AM888" s="198"/>
      <c r="AN888" s="196">
        <f t="shared" ca="1" si="194"/>
        <v>1705429.817510695</v>
      </c>
      <c r="AO888" s="196">
        <f t="shared" ca="1" si="195"/>
        <v>1705168.2166956363</v>
      </c>
    </row>
    <row r="889" spans="1:41">
      <c r="A889" s="189">
        <v>3615</v>
      </c>
      <c r="B889" s="203">
        <v>3</v>
      </c>
      <c r="C889" s="191" t="s">
        <v>222</v>
      </c>
      <c r="D889" s="192">
        <f t="shared" si="182"/>
        <v>1072.5</v>
      </c>
      <c r="E889" s="192">
        <f t="shared" si="183"/>
        <v>641.5</v>
      </c>
      <c r="F889" s="192">
        <f t="shared" si="184"/>
        <v>0</v>
      </c>
      <c r="G889" s="193">
        <f t="shared" si="185"/>
        <v>1714</v>
      </c>
      <c r="H889" s="194">
        <v>464</v>
      </c>
      <c r="I889" s="194">
        <v>271</v>
      </c>
      <c r="J889" s="194">
        <v>0</v>
      </c>
      <c r="K889" s="193">
        <f t="shared" si="186"/>
        <v>735</v>
      </c>
      <c r="L889" s="194">
        <v>520.5</v>
      </c>
      <c r="M889" s="194">
        <v>310.5</v>
      </c>
      <c r="N889" s="194">
        <v>0</v>
      </c>
      <c r="O889" s="193">
        <f t="shared" si="187"/>
        <v>831</v>
      </c>
      <c r="P889" s="194">
        <v>88</v>
      </c>
      <c r="Q889" s="194">
        <v>60</v>
      </c>
      <c r="R889" s="194">
        <v>0</v>
      </c>
      <c r="S889" s="193">
        <f t="shared" si="188"/>
        <v>148</v>
      </c>
      <c r="T889" s="193">
        <f t="shared" si="189"/>
        <v>71.416666666666671</v>
      </c>
      <c r="U889" s="193">
        <f ca="1">OFFSET('Expenditure Study'!$B$7,'Operations Support'!$C889,'Operations Support'!$B889)*$G889</f>
        <v>12872.14</v>
      </c>
      <c r="V889" s="199">
        <f ca="1">U889*'Expenditure Study'!$B$31</f>
        <v>760526.97490291193</v>
      </c>
      <c r="W889" s="199">
        <f ca="1">IF(A889=10298,1.51,1)*IF($B889&lt;3,$D889*'Expenditure Study'!$B$32*OFFSET('Expenditure Study'!$B$7,'Operations Support'!$C889,'Operations Support'!$B889),0)</f>
        <v>0</v>
      </c>
      <c r="X889" s="200">
        <f ca="1">W889*'Expenditure Study'!$B$31</f>
        <v>0</v>
      </c>
      <c r="Y889" s="199">
        <f ca="1">U889*'Expenditure Study'!$B$31</f>
        <v>760526.97490291193</v>
      </c>
      <c r="Z889" s="200">
        <f ca="1">W889*'Expenditure Study'!$B$31</f>
        <v>0</v>
      </c>
      <c r="AA889" s="195">
        <f t="shared" ca="1" si="190"/>
        <v>760526.97490291193</v>
      </c>
      <c r="AB889" s="195">
        <f t="shared" ca="1" si="191"/>
        <v>760526.97490291193</v>
      </c>
      <c r="AD889" s="196">
        <f>IFERROR($G889/SUMIF($A:$A,$A889,$G:$G)*SUMIF(Summary!$A$166:$A$242,$A889,Summary!$P$166:$P$242),0)</f>
        <v>45289.570249538432</v>
      </c>
      <c r="AE889" s="197">
        <f t="shared" ca="1" si="192"/>
        <v>715237.40465337352</v>
      </c>
      <c r="AF889" s="196">
        <f>IFERROR(G889/SUMIF(A:A,A889,G:G)*SUMIF(Summary!$A$166:$A$242,'Operations Support'!A889,Summary!$Q$166:$Q$242),0)</f>
        <v>45379.604197186985</v>
      </c>
      <c r="AG889" s="196">
        <f t="shared" ca="1" si="193"/>
        <v>715147.37070572493</v>
      </c>
      <c r="AI889" s="196">
        <f>IFERROR($G889/SUMIF($A:$A,$A889,$G:$G)*SUMIF(Summary!$A$247:$A$283,$A889,Summary!$P$247:$P$283),0)</f>
        <v>8259.6874248884124</v>
      </c>
      <c r="AJ889" s="196">
        <f>IFERROR($G889/SUMIF($A:$A,$A889,$G:$G)*(SUMIF(Summary!$A$247:$A$283,$A889,Summary!$L$247:$L$283)+SUMIF(Summary!$A$297:$A$333,$A889,Summary!$L$297:$L$333))-AI889,0)</f>
        <v>30404.511743648152</v>
      </c>
      <c r="AK889" s="196">
        <f>IFERROR($G889/SUMIF($A:$A,$A889,$G:$G)*SUMIF(Summary!$A$247:$A$283,$A889,Summary!$Q$247:$Q$283),0)</f>
        <v>8276.1073701673904</v>
      </c>
      <c r="AL889" s="196">
        <f>IFERROR($G889/SUMIF($A:$A,$A889,$G:$G)*(SUMIF(Summary!$A$247:$A$283,$A889,Summary!$L$247:$L$283)+SUMIF(Summary!$A$297:$A$333,$A889,Summary!$L$297:$L$333))-AK889,0)</f>
        <v>30388.091798369176</v>
      </c>
      <c r="AM889" s="198"/>
      <c r="AN889" s="196">
        <f t="shared" ca="1" si="194"/>
        <v>745641.91639702162</v>
      </c>
      <c r="AO889" s="196">
        <f t="shared" ca="1" si="195"/>
        <v>745535.46250409412</v>
      </c>
    </row>
    <row r="890" spans="1:41">
      <c r="A890" s="189">
        <v>3615</v>
      </c>
      <c r="B890" s="203">
        <v>3</v>
      </c>
      <c r="C890" s="191" t="s">
        <v>223</v>
      </c>
      <c r="D890" s="192">
        <f t="shared" si="182"/>
        <v>4493</v>
      </c>
      <c r="E890" s="192">
        <f t="shared" si="183"/>
        <v>3999</v>
      </c>
      <c r="F890" s="192">
        <f t="shared" si="184"/>
        <v>0</v>
      </c>
      <c r="G890" s="193">
        <f t="shared" si="185"/>
        <v>8492</v>
      </c>
      <c r="H890" s="194">
        <v>1654</v>
      </c>
      <c r="I890" s="194">
        <v>1278</v>
      </c>
      <c r="J890" s="194">
        <v>0</v>
      </c>
      <c r="K890" s="193">
        <f t="shared" si="186"/>
        <v>2932</v>
      </c>
      <c r="L890" s="194">
        <v>1563</v>
      </c>
      <c r="M890" s="194">
        <v>1572</v>
      </c>
      <c r="N890" s="194">
        <v>0</v>
      </c>
      <c r="O890" s="193">
        <f t="shared" si="187"/>
        <v>3135</v>
      </c>
      <c r="P890" s="194">
        <v>1276</v>
      </c>
      <c r="Q890" s="194">
        <v>1149</v>
      </c>
      <c r="R890" s="194">
        <v>0</v>
      </c>
      <c r="S890" s="193">
        <f t="shared" si="188"/>
        <v>2425</v>
      </c>
      <c r="T890" s="193">
        <f t="shared" si="189"/>
        <v>353.83333333333331</v>
      </c>
      <c r="U890" s="193">
        <f ca="1">OFFSET('Expenditure Study'!$B$7,'Operations Support'!$C890,'Operations Support'!$B890)*$G890</f>
        <v>19022.080000000002</v>
      </c>
      <c r="V890" s="199">
        <f ca="1">U890*'Expenditure Study'!$B$31</f>
        <v>1123884.9918320642</v>
      </c>
      <c r="W890" s="199">
        <f ca="1">IF(A890=10298,1.51,1)*IF($B890&lt;3,$D890*'Expenditure Study'!$B$32*OFFSET('Expenditure Study'!$B$7,'Operations Support'!$C890,'Operations Support'!$B890),0)</f>
        <v>0</v>
      </c>
      <c r="X890" s="200">
        <f ca="1">W890*'Expenditure Study'!$B$31</f>
        <v>0</v>
      </c>
      <c r="Y890" s="199">
        <f ca="1">U890*'Expenditure Study'!$B$31</f>
        <v>1123884.9918320642</v>
      </c>
      <c r="Z890" s="200">
        <f ca="1">W890*'Expenditure Study'!$B$31</f>
        <v>0</v>
      </c>
      <c r="AA890" s="195">
        <f t="shared" ca="1" si="190"/>
        <v>1123884.9918320642</v>
      </c>
      <c r="AB890" s="195">
        <f t="shared" ca="1" si="191"/>
        <v>1123884.9918320642</v>
      </c>
      <c r="AD890" s="196">
        <f>IFERROR($G890/SUMIF($A:$A,$A890,$G:$G)*SUMIF(Summary!$A$166:$A$242,$A890,Summary!$P$166:$P$242),0)</f>
        <v>224386.83229817991</v>
      </c>
      <c r="AE890" s="197">
        <f t="shared" ca="1" si="192"/>
        <v>899498.15953388438</v>
      </c>
      <c r="AF890" s="196">
        <f>IFERROR(G890/SUMIF(A:A,A890,G:G)*SUMIF(Summary!$A$166:$A$242,'Operations Support'!A890,Summary!$Q$166:$Q$242),0)</f>
        <v>224832.90480893341</v>
      </c>
      <c r="AG890" s="196">
        <f t="shared" ca="1" si="193"/>
        <v>899052.08702313085</v>
      </c>
      <c r="AI890" s="196">
        <f>IFERROR($G890/SUMIF($A:$A,$A890,$G:$G)*SUMIF(Summary!$A$247:$A$283,$A890,Summary!$P$247:$P$283),0)</f>
        <v>40922.558700205605</v>
      </c>
      <c r="AJ890" s="196">
        <f>IFERROR($G890/SUMIF($A:$A,$A890,$G:$G)*(SUMIF(Summary!$A$247:$A$283,$A890,Summary!$L$247:$L$283)+SUMIF(Summary!$A$297:$A$333,$A890,Summary!$L$297:$L$333))-AI890,0)</f>
        <v>150638.92282792306</v>
      </c>
      <c r="AK890" s="196">
        <f>IFERROR($G890/SUMIF($A:$A,$A890,$G:$G)*SUMIF(Summary!$A$247:$A$283,$A890,Summary!$Q$247:$Q$283),0)</f>
        <v>41003.911194551627</v>
      </c>
      <c r="AL890" s="196">
        <f>IFERROR($G890/SUMIF($A:$A,$A890,$G:$G)*(SUMIF(Summary!$A$247:$A$283,$A890,Summary!$L$247:$L$283)+SUMIF(Summary!$A$297:$A$333,$A890,Summary!$L$297:$L$333))-AK890,0)</f>
        <v>150557.57033357705</v>
      </c>
      <c r="AM890" s="198"/>
      <c r="AN890" s="196">
        <f t="shared" ca="1" si="194"/>
        <v>1050137.0823618073</v>
      </c>
      <c r="AO890" s="196">
        <f t="shared" ca="1" si="195"/>
        <v>1049609.6573567078</v>
      </c>
    </row>
    <row r="891" spans="1:41" s="201" customFormat="1">
      <c r="A891" s="189">
        <v>3615</v>
      </c>
      <c r="B891" s="203">
        <v>3</v>
      </c>
      <c r="C891" s="191" t="s">
        <v>224</v>
      </c>
      <c r="D891" s="192">
        <f t="shared" si="182"/>
        <v>462.25</v>
      </c>
      <c r="E891" s="192">
        <f t="shared" si="183"/>
        <v>25.75</v>
      </c>
      <c r="F891" s="192">
        <f t="shared" si="184"/>
        <v>0</v>
      </c>
      <c r="G891" s="193">
        <f t="shared" si="185"/>
        <v>488</v>
      </c>
      <c r="H891" s="194">
        <v>228.25</v>
      </c>
      <c r="I891" s="194">
        <v>22.75</v>
      </c>
      <c r="J891" s="194">
        <v>0</v>
      </c>
      <c r="K891" s="193">
        <f t="shared" si="186"/>
        <v>251</v>
      </c>
      <c r="L891" s="194">
        <v>219</v>
      </c>
      <c r="M891" s="194">
        <v>3</v>
      </c>
      <c r="N891" s="194">
        <v>0</v>
      </c>
      <c r="O891" s="193">
        <f t="shared" si="187"/>
        <v>222</v>
      </c>
      <c r="P891" s="194">
        <v>15</v>
      </c>
      <c r="Q891" s="194">
        <v>0</v>
      </c>
      <c r="R891" s="194">
        <v>0</v>
      </c>
      <c r="S891" s="193">
        <f t="shared" si="188"/>
        <v>15</v>
      </c>
      <c r="T891" s="193">
        <f t="shared" si="189"/>
        <v>20.333333333333332</v>
      </c>
      <c r="U891" s="193">
        <f ca="1">OFFSET('Expenditure Study'!$B$7,'Operations Support'!$C891,'Operations Support'!$B891)*$G891</f>
        <v>4474.96</v>
      </c>
      <c r="V891" s="199">
        <f ca="1">U891*'Expenditure Study'!$B$31</f>
        <v>264394.87075276801</v>
      </c>
      <c r="W891" s="199">
        <f ca="1">IF(A891=10298,1.51,1)*IF($B891&lt;3,$D891*'Expenditure Study'!$B$32*OFFSET('Expenditure Study'!$B$7,'Operations Support'!$C891,'Operations Support'!$B891),0)</f>
        <v>0</v>
      </c>
      <c r="X891" s="200">
        <f ca="1">W891*'Expenditure Study'!$B$31</f>
        <v>0</v>
      </c>
      <c r="Y891" s="199">
        <f ca="1">U891*'Expenditure Study'!$B$31</f>
        <v>264394.87075276801</v>
      </c>
      <c r="Z891" s="200">
        <f ca="1">W891*'Expenditure Study'!$B$31</f>
        <v>0</v>
      </c>
      <c r="AA891" s="195">
        <f t="shared" ca="1" si="190"/>
        <v>264394.87075276801</v>
      </c>
      <c r="AB891" s="195">
        <f t="shared" ca="1" si="191"/>
        <v>264394.87075276801</v>
      </c>
      <c r="AD891" s="196">
        <f>IFERROR($G891/SUMIF($A:$A,$A891,$G:$G)*SUMIF(Summary!$A$166:$A$242,$A891,Summary!$P$166:$P$242),0)</f>
        <v>12894.580094384339</v>
      </c>
      <c r="AE891" s="197">
        <f t="shared" ca="1" si="192"/>
        <v>251500.29065838366</v>
      </c>
      <c r="AF891" s="196">
        <f>IFERROR(G891/SUMIF(A:A,A891,G:G)*SUMIF(Summary!$A$166:$A$242,'Operations Support'!A891,Summary!$Q$166:$Q$242),0)</f>
        <v>12920.214030470974</v>
      </c>
      <c r="AG891" s="196">
        <f t="shared" ca="1" si="193"/>
        <v>251474.65672229705</v>
      </c>
      <c r="AH891" s="180"/>
      <c r="AI891" s="196">
        <f>IFERROR($G891/SUMIF($A:$A,$A891,$G:$G)*SUMIF(Summary!$A$247:$A$283,$A891,Summary!$P$247:$P$283),0)</f>
        <v>2351.6496285563276</v>
      </c>
      <c r="AJ891" s="196">
        <f>IFERROR($G891/SUMIF($A:$A,$A891,$G:$G)*(SUMIF(Summary!$A$247:$A$283,$A891,Summary!$L$247:$L$283)+SUMIF(Summary!$A$297:$A$333,$A891,Summary!$L$297:$L$333))-AI891,0)</f>
        <v>8656.5937753210601</v>
      </c>
      <c r="AK891" s="196">
        <f>IFERROR($G891/SUMIF($A:$A,$A891,$G:$G)*SUMIF(Summary!$A$247:$A$283,$A891,Summary!$Q$247:$Q$283),0)</f>
        <v>2356.324618810786</v>
      </c>
      <c r="AL891" s="196">
        <f>IFERROR($G891/SUMIF($A:$A,$A891,$G:$G)*(SUMIF(Summary!$A$247:$A$283,$A891,Summary!$L$247:$L$283)+SUMIF(Summary!$A$297:$A$333,$A891,Summary!$L$297:$L$333))-AK891,0)</f>
        <v>8651.9187850666021</v>
      </c>
      <c r="AM891" s="198"/>
      <c r="AN891" s="196">
        <f t="shared" ca="1" si="194"/>
        <v>260156.88443370472</v>
      </c>
      <c r="AO891" s="196">
        <f t="shared" ca="1" si="195"/>
        <v>260126.57550736365</v>
      </c>
    </row>
    <row r="892" spans="1:41" s="201" customFormat="1">
      <c r="A892" s="189">
        <v>3615</v>
      </c>
      <c r="B892" s="203">
        <v>3</v>
      </c>
      <c r="C892" s="191" t="s">
        <v>225</v>
      </c>
      <c r="D892" s="192">
        <f t="shared" si="182"/>
        <v>4600.07</v>
      </c>
      <c r="E892" s="192">
        <f t="shared" si="183"/>
        <v>1182.9299999999998</v>
      </c>
      <c r="F892" s="192">
        <f t="shared" si="184"/>
        <v>0</v>
      </c>
      <c r="G892" s="193">
        <f t="shared" si="185"/>
        <v>5783</v>
      </c>
      <c r="H892" s="194">
        <v>1858.07</v>
      </c>
      <c r="I892" s="194">
        <v>600.92999999999995</v>
      </c>
      <c r="J892" s="194">
        <v>0</v>
      </c>
      <c r="K892" s="193">
        <f t="shared" si="186"/>
        <v>2459</v>
      </c>
      <c r="L892" s="194">
        <v>2208</v>
      </c>
      <c r="M892" s="194">
        <v>582</v>
      </c>
      <c r="N892" s="194">
        <v>0</v>
      </c>
      <c r="O892" s="193">
        <f t="shared" si="187"/>
        <v>2790</v>
      </c>
      <c r="P892" s="194">
        <v>534</v>
      </c>
      <c r="Q892" s="194">
        <v>0</v>
      </c>
      <c r="R892" s="194">
        <v>0</v>
      </c>
      <c r="S892" s="193">
        <f t="shared" si="188"/>
        <v>534</v>
      </c>
      <c r="T892" s="193">
        <f t="shared" si="189"/>
        <v>240.95833333333334</v>
      </c>
      <c r="U892" s="193">
        <f ca="1">OFFSET('Expenditure Study'!$B$7,'Operations Support'!$C892,'Operations Support'!$B892)*$G892</f>
        <v>39960.53</v>
      </c>
      <c r="V892" s="199">
        <f ca="1">U892*'Expenditure Study'!$B$31</f>
        <v>2360995.2188538238</v>
      </c>
      <c r="W892" s="199">
        <f ca="1">IF(A892=10298,1.51,1)*IF($B892&lt;3,$D892*'Expenditure Study'!$B$32*OFFSET('Expenditure Study'!$B$7,'Operations Support'!$C892,'Operations Support'!$B892),0)</f>
        <v>0</v>
      </c>
      <c r="X892" s="200">
        <f ca="1">W892*'Expenditure Study'!$B$31</f>
        <v>0</v>
      </c>
      <c r="Y892" s="199">
        <f ca="1">U892*'Expenditure Study'!$B$31</f>
        <v>2360995.2188538238</v>
      </c>
      <c r="Z892" s="200">
        <f ca="1">W892*'Expenditure Study'!$B$31</f>
        <v>0</v>
      </c>
      <c r="AA892" s="195">
        <f t="shared" ca="1" si="190"/>
        <v>2360995.2188538238</v>
      </c>
      <c r="AB892" s="195">
        <f t="shared" ca="1" si="191"/>
        <v>2360995.2188538238</v>
      </c>
      <c r="AD892" s="196">
        <f>IFERROR($G892/SUMIF($A:$A,$A892,$G:$G)*SUMIF(Summary!$A$166:$A$242,$A892,Summary!$P$166:$P$242),0)</f>
        <v>152806.05878242751</v>
      </c>
      <c r="AE892" s="197">
        <f t="shared" ca="1" si="192"/>
        <v>2208189.1600713963</v>
      </c>
      <c r="AF892" s="196">
        <f>IFERROR(G892/SUMIF(A:A,A892,G:G)*SUMIF(Summary!$A$166:$A$242,'Operations Support'!A892,Summary!$Q$166:$Q$242),0)</f>
        <v>153109.83143076565</v>
      </c>
      <c r="AG892" s="196">
        <f t="shared" ca="1" si="193"/>
        <v>2207885.387423058</v>
      </c>
      <c r="AH892" s="180"/>
      <c r="AI892" s="196">
        <f>IFERROR($G892/SUMIF($A:$A,$A892,$G:$G)*SUMIF(Summary!$A$247:$A$283,$A892,Summary!$P$247:$P$283),0)</f>
        <v>27868.011889223857</v>
      </c>
      <c r="AJ892" s="196">
        <f>IFERROR($G892/SUMIF($A:$A,$A892,$G:$G)*(SUMIF(Summary!$A$247:$A$283,$A892,Summary!$L$247:$L$283)+SUMIF(Summary!$A$297:$A$333,$A892,Summary!$L$297:$L$333))-AI892,0)</f>
        <v>102584.18402188872</v>
      </c>
      <c r="AK892" s="196">
        <f>IFERROR($G892/SUMIF($A:$A,$A892,$G:$G)*SUMIF(Summary!$A$247:$A$283,$A892,Summary!$Q$247:$Q$283),0)</f>
        <v>27923.412439718799</v>
      </c>
      <c r="AL892" s="196">
        <f>IFERROR($G892/SUMIF($A:$A,$A892,$G:$G)*(SUMIF(Summary!$A$247:$A$283,$A892,Summary!$L$247:$L$283)+SUMIF(Summary!$A$297:$A$333,$A892,Summary!$L$297:$L$333))-AK892,0)</f>
        <v>102528.78347139378</v>
      </c>
      <c r="AM892" s="198"/>
      <c r="AN892" s="196">
        <f t="shared" ca="1" si="194"/>
        <v>2310773.344093285</v>
      </c>
      <c r="AO892" s="196">
        <f t="shared" ca="1" si="195"/>
        <v>2310414.1708944519</v>
      </c>
    </row>
    <row r="893" spans="1:41">
      <c r="A893" s="189">
        <v>3615</v>
      </c>
      <c r="B893" s="203">
        <v>3</v>
      </c>
      <c r="C893" s="191" t="s">
        <v>226</v>
      </c>
      <c r="D893" s="192">
        <f t="shared" si="182"/>
        <v>799</v>
      </c>
      <c r="E893" s="192">
        <f t="shared" si="183"/>
        <v>917</v>
      </c>
      <c r="F893" s="192">
        <f t="shared" si="184"/>
        <v>0</v>
      </c>
      <c r="G893" s="193">
        <f t="shared" si="185"/>
        <v>1716</v>
      </c>
      <c r="H893" s="194">
        <v>301</v>
      </c>
      <c r="I893" s="194">
        <v>405</v>
      </c>
      <c r="J893" s="194">
        <v>0</v>
      </c>
      <c r="K893" s="193">
        <f t="shared" si="186"/>
        <v>706</v>
      </c>
      <c r="L893" s="194">
        <v>387</v>
      </c>
      <c r="M893" s="194">
        <v>392</v>
      </c>
      <c r="N893" s="194">
        <v>0</v>
      </c>
      <c r="O893" s="193">
        <f t="shared" si="187"/>
        <v>779</v>
      </c>
      <c r="P893" s="194">
        <v>111</v>
      </c>
      <c r="Q893" s="194">
        <v>120</v>
      </c>
      <c r="R893" s="194">
        <v>0</v>
      </c>
      <c r="S893" s="193">
        <f t="shared" si="188"/>
        <v>231</v>
      </c>
      <c r="T893" s="193">
        <f t="shared" si="189"/>
        <v>71.5</v>
      </c>
      <c r="U893" s="193">
        <f ca="1">OFFSET('Expenditure Study'!$B$7,'Operations Support'!$C893,'Operations Support'!$B893)*$G893</f>
        <v>5920.2000000000007</v>
      </c>
      <c r="V893" s="199">
        <f ca="1">U893*'Expenditure Study'!$B$31</f>
        <v>349784.24697216006</v>
      </c>
      <c r="W893" s="199">
        <f ca="1">IF(A893=10298,1.51,1)*IF($B893&lt;3,$D893*'Expenditure Study'!$B$32*OFFSET('Expenditure Study'!$B$7,'Operations Support'!$C893,'Operations Support'!$B893),0)</f>
        <v>0</v>
      </c>
      <c r="X893" s="200">
        <f ca="1">W893*'Expenditure Study'!$B$31</f>
        <v>0</v>
      </c>
      <c r="Y893" s="199">
        <f ca="1">U893*'Expenditure Study'!$B$31</f>
        <v>349784.24697216006</v>
      </c>
      <c r="Z893" s="200">
        <f ca="1">W893*'Expenditure Study'!$B$31</f>
        <v>0</v>
      </c>
      <c r="AA893" s="195">
        <f t="shared" ca="1" si="190"/>
        <v>349784.24697216006</v>
      </c>
      <c r="AB893" s="195">
        <f t="shared" ca="1" si="191"/>
        <v>349784.24697216006</v>
      </c>
      <c r="AD893" s="196">
        <f>IFERROR($G893/SUMIF($A:$A,$A893,$G:$G)*SUMIF(Summary!$A$166:$A$242,$A893,Summary!$P$166:$P$242),0)</f>
        <v>45342.416889269516</v>
      </c>
      <c r="AE893" s="197">
        <f t="shared" ca="1" si="192"/>
        <v>304441.83008289058</v>
      </c>
      <c r="AF893" s="196">
        <f>IFERROR(G893/SUMIF(A:A,A893,G:G)*SUMIF(Summary!$A$166:$A$242,'Operations Support'!A893,Summary!$Q$166:$Q$242),0)</f>
        <v>45432.555894033176</v>
      </c>
      <c r="AG893" s="196">
        <f t="shared" ca="1" si="193"/>
        <v>304351.6910781269</v>
      </c>
      <c r="AI893" s="196">
        <f>IFERROR($G893/SUMIF($A:$A,$A893,$G:$G)*SUMIF(Summary!$A$247:$A$283,$A893,Summary!$P$247:$P$283),0)</f>
        <v>8269.3253332021686</v>
      </c>
      <c r="AJ893" s="196">
        <f>IFERROR($G893/SUMIF($A:$A,$A893,$G:$G)*(SUMIF(Summary!$A$247:$A$283,$A893,Summary!$L$247:$L$283)+SUMIF(Summary!$A$297:$A$333,$A893,Summary!$L$297:$L$333))-AI893,0)</f>
        <v>30439.989586989628</v>
      </c>
      <c r="AK893" s="196">
        <f>IFERROR($G893/SUMIF($A:$A,$A893,$G:$G)*SUMIF(Summary!$A$247:$A$283,$A893,Summary!$Q$247:$Q$283),0)</f>
        <v>8285.7644382772705</v>
      </c>
      <c r="AL893" s="196">
        <f>IFERROR($G893/SUMIF($A:$A,$A893,$G:$G)*(SUMIF(Summary!$A$247:$A$283,$A893,Summary!$L$247:$L$283)+SUMIF(Summary!$A$297:$A$333,$A893,Summary!$L$297:$L$333))-AK893,0)</f>
        <v>30423.550481914528</v>
      </c>
      <c r="AM893" s="198"/>
      <c r="AN893" s="196">
        <f t="shared" ca="1" si="194"/>
        <v>334881.81966988021</v>
      </c>
      <c r="AO893" s="196">
        <f t="shared" ca="1" si="195"/>
        <v>334775.24156004144</v>
      </c>
    </row>
    <row r="894" spans="1:41">
      <c r="A894" s="189">
        <v>3615</v>
      </c>
      <c r="B894" s="203">
        <v>3</v>
      </c>
      <c r="C894" s="191" t="s">
        <v>227</v>
      </c>
      <c r="D894" s="192">
        <f t="shared" si="182"/>
        <v>0</v>
      </c>
      <c r="E894" s="192">
        <f t="shared" si="183"/>
        <v>0</v>
      </c>
      <c r="F894" s="192">
        <f t="shared" si="184"/>
        <v>0</v>
      </c>
      <c r="G894" s="193">
        <f t="shared" si="185"/>
        <v>0</v>
      </c>
      <c r="H894" s="194">
        <v>0</v>
      </c>
      <c r="I894" s="194">
        <v>0</v>
      </c>
      <c r="J894" s="194">
        <v>0</v>
      </c>
      <c r="K894" s="193">
        <f t="shared" si="186"/>
        <v>0</v>
      </c>
      <c r="L894" s="194">
        <v>0</v>
      </c>
      <c r="M894" s="194">
        <v>0</v>
      </c>
      <c r="N894" s="194">
        <v>0</v>
      </c>
      <c r="O894" s="193">
        <f t="shared" si="187"/>
        <v>0</v>
      </c>
      <c r="P894" s="194">
        <v>0</v>
      </c>
      <c r="Q894" s="194">
        <v>0</v>
      </c>
      <c r="R894" s="194">
        <v>0</v>
      </c>
      <c r="S894" s="193">
        <f t="shared" si="188"/>
        <v>0</v>
      </c>
      <c r="T894" s="193">
        <f t="shared" si="189"/>
        <v>0</v>
      </c>
      <c r="U894" s="193">
        <f ca="1">OFFSET('Expenditure Study'!$B$7,'Operations Support'!$C894,'Operations Support'!$B894)*$G894</f>
        <v>0</v>
      </c>
      <c r="V894" s="199">
        <f ca="1">U894*'Expenditure Study'!$B$31</f>
        <v>0</v>
      </c>
      <c r="W894" s="199">
        <f ca="1">IF(A894=10298,1.51,1)*IF($B894&lt;3,$D894*'Expenditure Study'!$B$32*OFFSET('Expenditure Study'!$B$7,'Operations Support'!$C894,'Operations Support'!$B894),0)</f>
        <v>0</v>
      </c>
      <c r="X894" s="200">
        <f ca="1">W894*'Expenditure Study'!$B$31</f>
        <v>0</v>
      </c>
      <c r="Y894" s="199">
        <f ca="1">U894*'Expenditure Study'!$B$31</f>
        <v>0</v>
      </c>
      <c r="Z894" s="200">
        <f ca="1">W894*'Expenditure Study'!$B$31</f>
        <v>0</v>
      </c>
      <c r="AA894" s="195">
        <f t="shared" ca="1" si="190"/>
        <v>0</v>
      </c>
      <c r="AB894" s="195">
        <f t="shared" ca="1" si="191"/>
        <v>0</v>
      </c>
      <c r="AD894" s="196">
        <f>IFERROR($G894/SUMIF($A:$A,$A894,$G:$G)*SUMIF(Summary!$A$166:$A$242,$A894,Summary!$P$166:$P$242),0)</f>
        <v>0</v>
      </c>
      <c r="AE894" s="197">
        <f t="shared" ca="1" si="192"/>
        <v>0</v>
      </c>
      <c r="AF894" s="196">
        <f>IFERROR(G894/SUMIF(A:A,A894,G:G)*SUMIF(Summary!$A$166:$A$242,'Operations Support'!A894,Summary!$Q$166:$Q$242),0)</f>
        <v>0</v>
      </c>
      <c r="AG894" s="196">
        <f t="shared" ca="1" si="193"/>
        <v>0</v>
      </c>
      <c r="AI894" s="196">
        <f>IFERROR($G894/SUMIF($A:$A,$A894,$G:$G)*SUMIF(Summary!$A$247:$A$283,$A894,Summary!$P$247:$P$283),0)</f>
        <v>0</v>
      </c>
      <c r="AJ894" s="196">
        <f>IFERROR($G894/SUMIF($A:$A,$A894,$G:$G)*(SUMIF(Summary!$A$247:$A$283,$A894,Summary!$L$247:$L$283)+SUMIF(Summary!$A$297:$A$333,$A894,Summary!$L$297:$L$333))-AI894,0)</f>
        <v>0</v>
      </c>
      <c r="AK894" s="196">
        <f>IFERROR($G894/SUMIF($A:$A,$A894,$G:$G)*SUMIF(Summary!$A$247:$A$283,$A894,Summary!$Q$247:$Q$283),0)</f>
        <v>0</v>
      </c>
      <c r="AL894" s="196">
        <f>IFERROR($G894/SUMIF($A:$A,$A894,$G:$G)*(SUMIF(Summary!$A$247:$A$283,$A894,Summary!$L$247:$L$283)+SUMIF(Summary!$A$297:$A$333,$A894,Summary!$L$297:$L$333))-AK894,0)</f>
        <v>0</v>
      </c>
      <c r="AM894" s="198"/>
      <c r="AN894" s="196">
        <f t="shared" ca="1" si="194"/>
        <v>0</v>
      </c>
      <c r="AO894" s="196">
        <f t="shared" ca="1" si="195"/>
        <v>0</v>
      </c>
    </row>
    <row r="895" spans="1:41">
      <c r="A895" s="189">
        <v>3615</v>
      </c>
      <c r="B895" s="203">
        <v>3</v>
      </c>
      <c r="C895" s="191" t="s">
        <v>228</v>
      </c>
      <c r="D895" s="192">
        <f t="shared" si="182"/>
        <v>2040</v>
      </c>
      <c r="E895" s="192">
        <f t="shared" si="183"/>
        <v>2807</v>
      </c>
      <c r="F895" s="192">
        <f t="shared" si="184"/>
        <v>0</v>
      </c>
      <c r="G895" s="193">
        <f t="shared" si="185"/>
        <v>4847</v>
      </c>
      <c r="H895" s="194">
        <v>682</v>
      </c>
      <c r="I895" s="194">
        <v>709</v>
      </c>
      <c r="J895" s="194">
        <v>0</v>
      </c>
      <c r="K895" s="193">
        <f t="shared" si="186"/>
        <v>1391</v>
      </c>
      <c r="L895" s="194">
        <v>868</v>
      </c>
      <c r="M895" s="194">
        <v>1630</v>
      </c>
      <c r="N895" s="194">
        <v>0</v>
      </c>
      <c r="O895" s="193">
        <f t="shared" si="187"/>
        <v>2498</v>
      </c>
      <c r="P895" s="194">
        <v>490</v>
      </c>
      <c r="Q895" s="194">
        <v>468</v>
      </c>
      <c r="R895" s="194">
        <v>0</v>
      </c>
      <c r="S895" s="193">
        <f t="shared" si="188"/>
        <v>958</v>
      </c>
      <c r="T895" s="193">
        <f t="shared" si="189"/>
        <v>201.95833333333334</v>
      </c>
      <c r="U895" s="193">
        <f ca="1">OFFSET('Expenditure Study'!$B$7,'Operations Support'!$C895,'Operations Support'!$B895)*$G895</f>
        <v>11826.68</v>
      </c>
      <c r="V895" s="199">
        <f ca="1">U895*'Expenditure Study'!$B$31</f>
        <v>698757.87270374398</v>
      </c>
      <c r="W895" s="199">
        <f ca="1">IF(A895=10298,1.51,1)*IF($B895&lt;3,$D895*'Expenditure Study'!$B$32*OFFSET('Expenditure Study'!$B$7,'Operations Support'!$C895,'Operations Support'!$B895),0)</f>
        <v>0</v>
      </c>
      <c r="X895" s="200">
        <f ca="1">W895*'Expenditure Study'!$B$31</f>
        <v>0</v>
      </c>
      <c r="Y895" s="199">
        <f ca="1">U895*'Expenditure Study'!$B$31</f>
        <v>698757.87270374398</v>
      </c>
      <c r="Z895" s="200">
        <f ca="1">W895*'Expenditure Study'!$B$31</f>
        <v>0</v>
      </c>
      <c r="AA895" s="195">
        <f t="shared" ca="1" si="190"/>
        <v>698757.87270374398</v>
      </c>
      <c r="AB895" s="195">
        <f t="shared" ca="1" si="191"/>
        <v>698757.87270374398</v>
      </c>
      <c r="AD895" s="196">
        <f>IFERROR($G895/SUMIF($A:$A,$A895,$G:$G)*SUMIF(Summary!$A$166:$A$242,$A895,Summary!$P$166:$P$242),0)</f>
        <v>128073.83138828051</v>
      </c>
      <c r="AE895" s="197">
        <f t="shared" ca="1" si="192"/>
        <v>570684.04131546349</v>
      </c>
      <c r="AF895" s="196">
        <f>IFERROR(G895/SUMIF(A:A,A895,G:G)*SUMIF(Summary!$A$166:$A$242,'Operations Support'!A895,Summary!$Q$166:$Q$242),0)</f>
        <v>128328.43730674755</v>
      </c>
      <c r="AG895" s="196">
        <f t="shared" ca="1" si="193"/>
        <v>570429.43539699644</v>
      </c>
      <c r="AI895" s="196">
        <f>IFERROR($G895/SUMIF($A:$A,$A895,$G:$G)*SUMIF(Summary!$A$247:$A$283,$A895,Summary!$P$247:$P$283),0)</f>
        <v>23357.470798386308</v>
      </c>
      <c r="AJ895" s="196">
        <f>IFERROR($G895/SUMIF($A:$A,$A895,$G:$G)*(SUMIF(Summary!$A$247:$A$283,$A895,Summary!$L$247:$L$283)+SUMIF(Summary!$A$297:$A$333,$A895,Summary!$L$297:$L$333))-AI895,0)</f>
        <v>85980.553338076192</v>
      </c>
      <c r="AK895" s="196">
        <f>IFERROR($G895/SUMIF($A:$A,$A895,$G:$G)*SUMIF(Summary!$A$247:$A$283,$A895,Summary!$Q$247:$Q$283),0)</f>
        <v>23403.904564294829</v>
      </c>
      <c r="AL895" s="196">
        <f>IFERROR($G895/SUMIF($A:$A,$A895,$G:$G)*(SUMIF(Summary!$A$247:$A$283,$A895,Summary!$L$247:$L$283)+SUMIF(Summary!$A$297:$A$333,$A895,Summary!$L$297:$L$333))-AK895,0)</f>
        <v>85934.119572167663</v>
      </c>
      <c r="AM895" s="198"/>
      <c r="AN895" s="196">
        <f t="shared" ca="1" si="194"/>
        <v>656664.59465353971</v>
      </c>
      <c r="AO895" s="196">
        <f t="shared" ca="1" si="195"/>
        <v>656363.55496916408</v>
      </c>
    </row>
    <row r="896" spans="1:41">
      <c r="A896" s="189">
        <v>3615</v>
      </c>
      <c r="B896" s="203">
        <v>3</v>
      </c>
      <c r="C896" s="191" t="s">
        <v>229</v>
      </c>
      <c r="D896" s="192">
        <f t="shared" si="182"/>
        <v>0</v>
      </c>
      <c r="E896" s="192">
        <f t="shared" si="183"/>
        <v>0</v>
      </c>
      <c r="F896" s="192">
        <f t="shared" si="184"/>
        <v>0</v>
      </c>
      <c r="G896" s="193">
        <f t="shared" si="185"/>
        <v>0</v>
      </c>
      <c r="H896" s="194">
        <v>0</v>
      </c>
      <c r="I896" s="194">
        <v>0</v>
      </c>
      <c r="J896" s="194">
        <v>0</v>
      </c>
      <c r="K896" s="193">
        <f t="shared" si="186"/>
        <v>0</v>
      </c>
      <c r="L896" s="194">
        <v>0</v>
      </c>
      <c r="M896" s="194">
        <v>0</v>
      </c>
      <c r="N896" s="194">
        <v>0</v>
      </c>
      <c r="O896" s="193">
        <f t="shared" si="187"/>
        <v>0</v>
      </c>
      <c r="P896" s="194">
        <v>0</v>
      </c>
      <c r="Q896" s="194">
        <v>0</v>
      </c>
      <c r="R896" s="194">
        <v>0</v>
      </c>
      <c r="S896" s="193">
        <f t="shared" si="188"/>
        <v>0</v>
      </c>
      <c r="T896" s="193">
        <f t="shared" si="189"/>
        <v>0</v>
      </c>
      <c r="U896" s="193">
        <f ca="1">OFFSET('Expenditure Study'!$B$7,'Operations Support'!$C896,'Operations Support'!$B896)*$G896</f>
        <v>0</v>
      </c>
      <c r="V896" s="199">
        <f ca="1">U896*'Expenditure Study'!$B$31</f>
        <v>0</v>
      </c>
      <c r="W896" s="199">
        <f ca="1">IF(A896=10298,1.51,1)*IF($B896&lt;3,$D896*'Expenditure Study'!$B$32*OFFSET('Expenditure Study'!$B$7,'Operations Support'!$C896,'Operations Support'!$B896),0)</f>
        <v>0</v>
      </c>
      <c r="X896" s="200">
        <f ca="1">W896*'Expenditure Study'!$B$31</f>
        <v>0</v>
      </c>
      <c r="Y896" s="199">
        <f ca="1">U896*'Expenditure Study'!$B$31</f>
        <v>0</v>
      </c>
      <c r="Z896" s="200">
        <f ca="1">W896*'Expenditure Study'!$B$31</f>
        <v>0</v>
      </c>
      <c r="AA896" s="195">
        <f t="shared" ca="1" si="190"/>
        <v>0</v>
      </c>
      <c r="AB896" s="195">
        <f t="shared" ca="1" si="191"/>
        <v>0</v>
      </c>
      <c r="AD896" s="196">
        <f>IFERROR($G896/SUMIF($A:$A,$A896,$G:$G)*SUMIF(Summary!$A$166:$A$242,$A896,Summary!$P$166:$P$242),0)</f>
        <v>0</v>
      </c>
      <c r="AE896" s="197">
        <f t="shared" ca="1" si="192"/>
        <v>0</v>
      </c>
      <c r="AF896" s="196">
        <f>IFERROR(G896/SUMIF(A:A,A896,G:G)*SUMIF(Summary!$A$166:$A$242,'Operations Support'!A896,Summary!$Q$166:$Q$242),0)</f>
        <v>0</v>
      </c>
      <c r="AG896" s="196">
        <f t="shared" ca="1" si="193"/>
        <v>0</v>
      </c>
      <c r="AI896" s="196">
        <f>IFERROR($G896/SUMIF($A:$A,$A896,$G:$G)*SUMIF(Summary!$A$247:$A$283,$A896,Summary!$P$247:$P$283),0)</f>
        <v>0</v>
      </c>
      <c r="AJ896" s="196">
        <f>IFERROR($G896/SUMIF($A:$A,$A896,$G:$G)*(SUMIF(Summary!$A$247:$A$283,$A896,Summary!$L$247:$L$283)+SUMIF(Summary!$A$297:$A$333,$A896,Summary!$L$297:$L$333))-AI896,0)</f>
        <v>0</v>
      </c>
      <c r="AK896" s="196">
        <f>IFERROR($G896/SUMIF($A:$A,$A896,$G:$G)*SUMIF(Summary!$A$247:$A$283,$A896,Summary!$Q$247:$Q$283),0)</f>
        <v>0</v>
      </c>
      <c r="AL896" s="196">
        <f>IFERROR($G896/SUMIF($A:$A,$A896,$G:$G)*(SUMIF(Summary!$A$247:$A$283,$A896,Summary!$L$247:$L$283)+SUMIF(Summary!$A$297:$A$333,$A896,Summary!$L$297:$L$333))-AK896,0)</f>
        <v>0</v>
      </c>
      <c r="AM896" s="198"/>
      <c r="AN896" s="196">
        <f t="shared" ca="1" si="194"/>
        <v>0</v>
      </c>
      <c r="AO896" s="196">
        <f t="shared" ca="1" si="195"/>
        <v>0</v>
      </c>
    </row>
    <row r="897" spans="1:41">
      <c r="A897" s="189">
        <v>3615</v>
      </c>
      <c r="B897" s="203">
        <v>3</v>
      </c>
      <c r="C897" s="191" t="s">
        <v>230</v>
      </c>
      <c r="D897" s="192">
        <f t="shared" si="182"/>
        <v>0</v>
      </c>
      <c r="E897" s="192">
        <f t="shared" si="183"/>
        <v>0</v>
      </c>
      <c r="F897" s="192">
        <f t="shared" si="184"/>
        <v>0</v>
      </c>
      <c r="G897" s="193">
        <f t="shared" si="185"/>
        <v>0</v>
      </c>
      <c r="H897" s="194">
        <v>0</v>
      </c>
      <c r="I897" s="194">
        <v>0</v>
      </c>
      <c r="J897" s="194">
        <v>0</v>
      </c>
      <c r="K897" s="193">
        <f t="shared" si="186"/>
        <v>0</v>
      </c>
      <c r="L897" s="194">
        <v>0</v>
      </c>
      <c r="M897" s="194">
        <v>0</v>
      </c>
      <c r="N897" s="194">
        <v>0</v>
      </c>
      <c r="O897" s="193">
        <f t="shared" si="187"/>
        <v>0</v>
      </c>
      <c r="P897" s="194">
        <v>0</v>
      </c>
      <c r="Q897" s="194">
        <v>0</v>
      </c>
      <c r="R897" s="194">
        <v>0</v>
      </c>
      <c r="S897" s="193">
        <f t="shared" si="188"/>
        <v>0</v>
      </c>
      <c r="T897" s="193">
        <f t="shared" si="189"/>
        <v>0</v>
      </c>
      <c r="U897" s="193">
        <f ca="1">OFFSET('Expenditure Study'!$B$7,'Operations Support'!$C897,'Operations Support'!$B897)*$G897</f>
        <v>0</v>
      </c>
      <c r="V897" s="199">
        <f ca="1">U897*'Expenditure Study'!$B$31</f>
        <v>0</v>
      </c>
      <c r="W897" s="199">
        <f ca="1">IF(A897=10298,1.51,1)*IF($B897&lt;3,$D897*'Expenditure Study'!$B$32*OFFSET('Expenditure Study'!$B$7,'Operations Support'!$C897,'Operations Support'!$B897),0)</f>
        <v>0</v>
      </c>
      <c r="X897" s="200">
        <f ca="1">W897*'Expenditure Study'!$B$31</f>
        <v>0</v>
      </c>
      <c r="Y897" s="199">
        <f ca="1">U897*'Expenditure Study'!$B$31</f>
        <v>0</v>
      </c>
      <c r="Z897" s="200">
        <f ca="1">W897*'Expenditure Study'!$B$31</f>
        <v>0</v>
      </c>
      <c r="AA897" s="195">
        <f t="shared" ca="1" si="190"/>
        <v>0</v>
      </c>
      <c r="AB897" s="195">
        <f t="shared" ca="1" si="191"/>
        <v>0</v>
      </c>
      <c r="AD897" s="196">
        <f>IFERROR($G897/SUMIF($A:$A,$A897,$G:$G)*SUMIF(Summary!$A$166:$A$242,$A897,Summary!$P$166:$P$242),0)</f>
        <v>0</v>
      </c>
      <c r="AE897" s="197">
        <f t="shared" ca="1" si="192"/>
        <v>0</v>
      </c>
      <c r="AF897" s="196">
        <f>IFERROR(G897/SUMIF(A:A,A897,G:G)*SUMIF(Summary!$A$166:$A$242,'Operations Support'!A897,Summary!$Q$166:$Q$242),0)</f>
        <v>0</v>
      </c>
      <c r="AG897" s="196">
        <f t="shared" ca="1" si="193"/>
        <v>0</v>
      </c>
      <c r="AI897" s="196">
        <f>IFERROR($G897/SUMIF($A:$A,$A897,$G:$G)*SUMIF(Summary!$A$247:$A$283,$A897,Summary!$P$247:$P$283),0)</f>
        <v>0</v>
      </c>
      <c r="AJ897" s="196">
        <f>IFERROR($G897/SUMIF($A:$A,$A897,$G:$G)*(SUMIF(Summary!$A$247:$A$283,$A897,Summary!$L$247:$L$283)+SUMIF(Summary!$A$297:$A$333,$A897,Summary!$L$297:$L$333))-AI897,0)</f>
        <v>0</v>
      </c>
      <c r="AK897" s="196">
        <f>IFERROR($G897/SUMIF($A:$A,$A897,$G:$G)*SUMIF(Summary!$A$247:$A$283,$A897,Summary!$Q$247:$Q$283),0)</f>
        <v>0</v>
      </c>
      <c r="AL897" s="196">
        <f>IFERROR($G897/SUMIF($A:$A,$A897,$G:$G)*(SUMIF(Summary!$A$247:$A$283,$A897,Summary!$L$247:$L$283)+SUMIF(Summary!$A$297:$A$333,$A897,Summary!$L$297:$L$333))-AK897,0)</f>
        <v>0</v>
      </c>
      <c r="AM897" s="198"/>
      <c r="AN897" s="196">
        <f t="shared" ca="1" si="194"/>
        <v>0</v>
      </c>
      <c r="AO897" s="196">
        <f t="shared" ca="1" si="195"/>
        <v>0</v>
      </c>
    </row>
    <row r="898" spans="1:41">
      <c r="A898" s="189">
        <v>3615</v>
      </c>
      <c r="B898" s="203">
        <v>3</v>
      </c>
      <c r="C898" s="191" t="s">
        <v>231</v>
      </c>
      <c r="D898" s="192">
        <f t="shared" si="182"/>
        <v>0</v>
      </c>
      <c r="E898" s="192">
        <f t="shared" si="183"/>
        <v>0</v>
      </c>
      <c r="F898" s="192">
        <f t="shared" si="184"/>
        <v>0</v>
      </c>
      <c r="G898" s="193">
        <f t="shared" si="185"/>
        <v>0</v>
      </c>
      <c r="H898" s="194">
        <v>0</v>
      </c>
      <c r="I898" s="194">
        <v>0</v>
      </c>
      <c r="J898" s="194">
        <v>0</v>
      </c>
      <c r="K898" s="193">
        <f t="shared" si="186"/>
        <v>0</v>
      </c>
      <c r="L898" s="194">
        <v>0</v>
      </c>
      <c r="M898" s="194">
        <v>0</v>
      </c>
      <c r="N898" s="194">
        <v>0</v>
      </c>
      <c r="O898" s="193">
        <f t="shared" si="187"/>
        <v>0</v>
      </c>
      <c r="P898" s="194">
        <v>0</v>
      </c>
      <c r="Q898" s="194">
        <v>0</v>
      </c>
      <c r="R898" s="194">
        <v>0</v>
      </c>
      <c r="S898" s="193">
        <f t="shared" si="188"/>
        <v>0</v>
      </c>
      <c r="T898" s="193">
        <f t="shared" si="189"/>
        <v>0</v>
      </c>
      <c r="U898" s="193">
        <f ca="1">OFFSET('Expenditure Study'!$B$7,'Operations Support'!$C898,'Operations Support'!$B898)*$G898</f>
        <v>0</v>
      </c>
      <c r="V898" s="199">
        <f ca="1">U898*'Expenditure Study'!$B$31</f>
        <v>0</v>
      </c>
      <c r="W898" s="199">
        <f ca="1">IF(A898=10298,1.51,1)*IF($B898&lt;3,$D898*'Expenditure Study'!$B$32*OFFSET('Expenditure Study'!$B$7,'Operations Support'!$C898,'Operations Support'!$B898),0)</f>
        <v>0</v>
      </c>
      <c r="X898" s="200">
        <f ca="1">W898*'Expenditure Study'!$B$31</f>
        <v>0</v>
      </c>
      <c r="Y898" s="199">
        <f ca="1">U898*'Expenditure Study'!$B$31</f>
        <v>0</v>
      </c>
      <c r="Z898" s="200">
        <f ca="1">W898*'Expenditure Study'!$B$31</f>
        <v>0</v>
      </c>
      <c r="AA898" s="195">
        <f t="shared" ca="1" si="190"/>
        <v>0</v>
      </c>
      <c r="AB898" s="195">
        <f t="shared" ca="1" si="191"/>
        <v>0</v>
      </c>
      <c r="AD898" s="196">
        <f>IFERROR($G898/SUMIF($A:$A,$A898,$G:$G)*SUMIF(Summary!$A$166:$A$242,$A898,Summary!$P$166:$P$242),0)</f>
        <v>0</v>
      </c>
      <c r="AE898" s="197">
        <f t="shared" ca="1" si="192"/>
        <v>0</v>
      </c>
      <c r="AF898" s="196">
        <f>IFERROR(G898/SUMIF(A:A,A898,G:G)*SUMIF(Summary!$A$166:$A$242,'Operations Support'!A898,Summary!$Q$166:$Q$242),0)</f>
        <v>0</v>
      </c>
      <c r="AG898" s="196">
        <f t="shared" ca="1" si="193"/>
        <v>0</v>
      </c>
      <c r="AI898" s="196">
        <f>IFERROR($G898/SUMIF($A:$A,$A898,$G:$G)*SUMIF(Summary!$A$247:$A$283,$A898,Summary!$P$247:$P$283),0)</f>
        <v>0</v>
      </c>
      <c r="AJ898" s="196">
        <f>IFERROR($G898/SUMIF($A:$A,$A898,$G:$G)*(SUMIF(Summary!$A$247:$A$283,$A898,Summary!$L$247:$L$283)+SUMIF(Summary!$A$297:$A$333,$A898,Summary!$L$297:$L$333))-AI898,0)</f>
        <v>0</v>
      </c>
      <c r="AK898" s="196">
        <f>IFERROR($G898/SUMIF($A:$A,$A898,$G:$G)*SUMIF(Summary!$A$247:$A$283,$A898,Summary!$Q$247:$Q$283),0)</f>
        <v>0</v>
      </c>
      <c r="AL898" s="196">
        <f>IFERROR($G898/SUMIF($A:$A,$A898,$G:$G)*(SUMIF(Summary!$A$247:$A$283,$A898,Summary!$L$247:$L$283)+SUMIF(Summary!$A$297:$A$333,$A898,Summary!$L$297:$L$333))-AK898,0)</f>
        <v>0</v>
      </c>
      <c r="AM898" s="198"/>
      <c r="AN898" s="196">
        <f t="shared" ca="1" si="194"/>
        <v>0</v>
      </c>
      <c r="AO898" s="196">
        <f t="shared" ca="1" si="195"/>
        <v>0</v>
      </c>
    </row>
    <row r="899" spans="1:41">
      <c r="A899" s="189">
        <v>3615</v>
      </c>
      <c r="B899" s="203">
        <v>3</v>
      </c>
      <c r="C899" s="191" t="s">
        <v>232</v>
      </c>
      <c r="D899" s="192">
        <f t="shared" si="182"/>
        <v>0</v>
      </c>
      <c r="E899" s="192">
        <f t="shared" si="183"/>
        <v>0</v>
      </c>
      <c r="F899" s="192">
        <f t="shared" si="184"/>
        <v>0</v>
      </c>
      <c r="G899" s="193">
        <f t="shared" si="185"/>
        <v>0</v>
      </c>
      <c r="H899" s="194">
        <v>0</v>
      </c>
      <c r="I899" s="194">
        <v>0</v>
      </c>
      <c r="J899" s="194">
        <v>0</v>
      </c>
      <c r="K899" s="193">
        <f t="shared" si="186"/>
        <v>0</v>
      </c>
      <c r="L899" s="194">
        <v>0</v>
      </c>
      <c r="M899" s="194">
        <v>0</v>
      </c>
      <c r="N899" s="194">
        <v>0</v>
      </c>
      <c r="O899" s="193">
        <f t="shared" si="187"/>
        <v>0</v>
      </c>
      <c r="P899" s="194">
        <v>0</v>
      </c>
      <c r="Q899" s="194">
        <v>0</v>
      </c>
      <c r="R899" s="194">
        <v>0</v>
      </c>
      <c r="S899" s="193">
        <f t="shared" si="188"/>
        <v>0</v>
      </c>
      <c r="T899" s="193">
        <f t="shared" si="189"/>
        <v>0</v>
      </c>
      <c r="U899" s="193">
        <f ca="1">OFFSET('Expenditure Study'!$B$7,'Operations Support'!$C899,'Operations Support'!$B899)*$G899</f>
        <v>0</v>
      </c>
      <c r="V899" s="199">
        <f ca="1">U899*'Expenditure Study'!$B$31</f>
        <v>0</v>
      </c>
      <c r="W899" s="199">
        <f ca="1">IF(A899=10298,1.51,1)*IF($B899&lt;3,$D899*'Expenditure Study'!$B$32*OFFSET('Expenditure Study'!$B$7,'Operations Support'!$C899,'Operations Support'!$B899),0)</f>
        <v>0</v>
      </c>
      <c r="X899" s="200">
        <f ca="1">W899*'Expenditure Study'!$B$31</f>
        <v>0</v>
      </c>
      <c r="Y899" s="199">
        <f ca="1">U899*'Expenditure Study'!$B$31</f>
        <v>0</v>
      </c>
      <c r="Z899" s="200">
        <f ca="1">W899*'Expenditure Study'!$B$31</f>
        <v>0</v>
      </c>
      <c r="AA899" s="195">
        <f t="shared" ca="1" si="190"/>
        <v>0</v>
      </c>
      <c r="AB899" s="195">
        <f t="shared" ca="1" si="191"/>
        <v>0</v>
      </c>
      <c r="AD899" s="196">
        <f>IFERROR($G899/SUMIF($A:$A,$A899,$G:$G)*SUMIF(Summary!$A$166:$A$242,$A899,Summary!$P$166:$P$242),0)</f>
        <v>0</v>
      </c>
      <c r="AE899" s="197">
        <f t="shared" ca="1" si="192"/>
        <v>0</v>
      </c>
      <c r="AF899" s="196">
        <f>IFERROR(G899/SUMIF(A:A,A899,G:G)*SUMIF(Summary!$A$166:$A$242,'Operations Support'!A899,Summary!$Q$166:$Q$242),0)</f>
        <v>0</v>
      </c>
      <c r="AG899" s="196">
        <f t="shared" ca="1" si="193"/>
        <v>0</v>
      </c>
      <c r="AI899" s="196">
        <f>IFERROR($G899/SUMIF($A:$A,$A899,$G:$G)*SUMIF(Summary!$A$247:$A$283,$A899,Summary!$P$247:$P$283),0)</f>
        <v>0</v>
      </c>
      <c r="AJ899" s="196">
        <f>IFERROR($G899/SUMIF($A:$A,$A899,$G:$G)*(SUMIF(Summary!$A$247:$A$283,$A899,Summary!$L$247:$L$283)+SUMIF(Summary!$A$297:$A$333,$A899,Summary!$L$297:$L$333))-AI899,0)</f>
        <v>0</v>
      </c>
      <c r="AK899" s="196">
        <f>IFERROR($G899/SUMIF($A:$A,$A899,$G:$G)*SUMIF(Summary!$A$247:$A$283,$A899,Summary!$Q$247:$Q$283),0)</f>
        <v>0</v>
      </c>
      <c r="AL899" s="196">
        <f>IFERROR($G899/SUMIF($A:$A,$A899,$G:$G)*(SUMIF(Summary!$A$247:$A$283,$A899,Summary!$L$247:$L$283)+SUMIF(Summary!$A$297:$A$333,$A899,Summary!$L$297:$L$333))-AK899,0)</f>
        <v>0</v>
      </c>
      <c r="AM899" s="198"/>
      <c r="AN899" s="196">
        <f t="shared" ca="1" si="194"/>
        <v>0</v>
      </c>
      <c r="AO899" s="196">
        <f t="shared" ca="1" si="195"/>
        <v>0</v>
      </c>
    </row>
    <row r="900" spans="1:41">
      <c r="A900" s="189">
        <v>3615</v>
      </c>
      <c r="B900" s="203">
        <v>3</v>
      </c>
      <c r="C900" s="191" t="s">
        <v>233</v>
      </c>
      <c r="D900" s="192">
        <f t="shared" si="182"/>
        <v>4508</v>
      </c>
      <c r="E900" s="192">
        <f t="shared" si="183"/>
        <v>2028</v>
      </c>
      <c r="F900" s="192">
        <f t="shared" si="184"/>
        <v>0</v>
      </c>
      <c r="G900" s="193">
        <f t="shared" si="185"/>
        <v>6536</v>
      </c>
      <c r="H900" s="194">
        <v>1581</v>
      </c>
      <c r="I900" s="194">
        <v>875</v>
      </c>
      <c r="J900" s="194">
        <v>0</v>
      </c>
      <c r="K900" s="193">
        <f t="shared" si="186"/>
        <v>2456</v>
      </c>
      <c r="L900" s="194">
        <v>2174</v>
      </c>
      <c r="M900" s="194">
        <v>754</v>
      </c>
      <c r="N900" s="194">
        <v>0</v>
      </c>
      <c r="O900" s="193">
        <f t="shared" si="187"/>
        <v>2928</v>
      </c>
      <c r="P900" s="194">
        <v>753</v>
      </c>
      <c r="Q900" s="194">
        <v>399</v>
      </c>
      <c r="R900" s="194">
        <v>0</v>
      </c>
      <c r="S900" s="193">
        <f t="shared" si="188"/>
        <v>1152</v>
      </c>
      <c r="T900" s="193">
        <f t="shared" si="189"/>
        <v>272.33333333333331</v>
      </c>
      <c r="U900" s="193">
        <f ca="1">OFFSET('Expenditure Study'!$B$7,'Operations Support'!$C900,'Operations Support'!$B900)*$G900</f>
        <v>17124.32</v>
      </c>
      <c r="V900" s="199">
        <f ca="1">U900*'Expenditure Study'!$B$31</f>
        <v>1011759.294637056</v>
      </c>
      <c r="W900" s="199">
        <f ca="1">IF(A900=10298,1.51,1)*IF($B900&lt;3,$D900*'Expenditure Study'!$B$32*OFFSET('Expenditure Study'!$B$7,'Operations Support'!$C900,'Operations Support'!$B900),0)</f>
        <v>0</v>
      </c>
      <c r="X900" s="200">
        <f ca="1">W900*'Expenditure Study'!$B$31</f>
        <v>0</v>
      </c>
      <c r="Y900" s="199">
        <f ca="1">U900*'Expenditure Study'!$B$31</f>
        <v>1011759.294637056</v>
      </c>
      <c r="Z900" s="200">
        <f ca="1">W900*'Expenditure Study'!$B$31</f>
        <v>0</v>
      </c>
      <c r="AA900" s="195">
        <f t="shared" ca="1" si="190"/>
        <v>1011759.294637056</v>
      </c>
      <c r="AB900" s="195">
        <f t="shared" ca="1" si="191"/>
        <v>1011759.294637056</v>
      </c>
      <c r="AD900" s="196">
        <f>IFERROR($G900/SUMIF($A:$A,$A900,$G:$G)*SUMIF(Summary!$A$166:$A$242,$A900,Summary!$P$166:$P$242),0)</f>
        <v>172702.81864118041</v>
      </c>
      <c r="AE900" s="197">
        <f t="shared" ca="1" si="192"/>
        <v>839056.47599587555</v>
      </c>
      <c r="AF900" s="196">
        <f>IFERROR(G900/SUMIF(A:A,A900,G:G)*SUMIF(Summary!$A$166:$A$242,'Operations Support'!A900,Summary!$Q$166:$Q$242),0)</f>
        <v>173046.14529335714</v>
      </c>
      <c r="AG900" s="196">
        <f t="shared" ca="1" si="193"/>
        <v>838713.14934369875</v>
      </c>
      <c r="AI900" s="196">
        <f>IFERROR($G900/SUMIF($A:$A,$A900,$G:$G)*SUMIF(Summary!$A$247:$A$283,$A900,Summary!$P$247:$P$283),0)</f>
        <v>31496.684369352781</v>
      </c>
      <c r="AJ900" s="196">
        <f>IFERROR($G900/SUMIF($A:$A,$A900,$G:$G)*(SUMIF(Summary!$A$247:$A$283,$A900,Summary!$L$247:$L$283)+SUMIF(Summary!$A$297:$A$333,$A900,Summary!$L$297:$L$333))-AI900,0)</f>
        <v>115941.59203995585</v>
      </c>
      <c r="AK900" s="196">
        <f>IFERROR($G900/SUMIF($A:$A,$A900,$G:$G)*SUMIF(Summary!$A$247:$A$283,$A900,Summary!$Q$247:$Q$283),0)</f>
        <v>31559.298583088723</v>
      </c>
      <c r="AL900" s="196">
        <f>IFERROR($G900/SUMIF($A:$A,$A900,$G:$G)*(SUMIF(Summary!$A$247:$A$283,$A900,Summary!$L$247:$L$283)+SUMIF(Summary!$A$297:$A$333,$A900,Summary!$L$297:$L$333))-AK900,0)</f>
        <v>115878.97782621991</v>
      </c>
      <c r="AM900" s="198"/>
      <c r="AN900" s="196">
        <f t="shared" ca="1" si="194"/>
        <v>954998.06803583144</v>
      </c>
      <c r="AO900" s="196">
        <f t="shared" ca="1" si="195"/>
        <v>954592.12716991862</v>
      </c>
    </row>
    <row r="901" spans="1:41">
      <c r="A901" s="189">
        <v>3615</v>
      </c>
      <c r="B901" s="203">
        <v>3</v>
      </c>
      <c r="C901" s="191" t="s">
        <v>234</v>
      </c>
      <c r="D901" s="192">
        <f t="shared" ref="D901:D964" si="196">H901+L901+P901</f>
        <v>0</v>
      </c>
      <c r="E901" s="192">
        <f t="shared" ref="E901:E964" si="197">I901+M901+Q901</f>
        <v>0</v>
      </c>
      <c r="F901" s="192">
        <f t="shared" ref="F901:F964" si="198">J901+N901+R901</f>
        <v>0</v>
      </c>
      <c r="G901" s="193">
        <f t="shared" ref="G901:G964" si="199">(SUM(D901:E901)-F901)*IF(A901=10298,1.51,1)</f>
        <v>0</v>
      </c>
      <c r="H901" s="194">
        <v>0</v>
      </c>
      <c r="I901" s="194">
        <v>0</v>
      </c>
      <c r="J901" s="194">
        <v>0</v>
      </c>
      <c r="K901" s="193">
        <f t="shared" ref="K901:K964" si="200">SUM(H901:I901)-J901</f>
        <v>0</v>
      </c>
      <c r="L901" s="194">
        <v>0</v>
      </c>
      <c r="M901" s="194">
        <v>0</v>
      </c>
      <c r="N901" s="194">
        <v>0</v>
      </c>
      <c r="O901" s="193">
        <f t="shared" ref="O901:O964" si="201">SUM(L901:M901)-N901</f>
        <v>0</v>
      </c>
      <c r="P901" s="194">
        <v>0</v>
      </c>
      <c r="Q901" s="194">
        <v>0</v>
      </c>
      <c r="R901" s="194">
        <v>0</v>
      </c>
      <c r="S901" s="193">
        <f t="shared" ref="S901:S964" si="202">SUM(P901:Q901)-R901</f>
        <v>0</v>
      </c>
      <c r="T901" s="193">
        <f t="shared" ref="T901:T964" si="203">IF(OR(B901=1,B901=2),G901/30,IF(OR(B901=3,B901=5),G901/24,IF(B901=4,G901/18,0)))</f>
        <v>0</v>
      </c>
      <c r="U901" s="193">
        <f ca="1">OFFSET('Expenditure Study'!$B$7,'Operations Support'!$C901,'Operations Support'!$B901)*$G901</f>
        <v>0</v>
      </c>
      <c r="V901" s="199">
        <f ca="1">U901*'Expenditure Study'!$B$31</f>
        <v>0</v>
      </c>
      <c r="W901" s="199">
        <f ca="1">IF(A901=10298,1.51,1)*IF($B901&lt;3,$D901*'Expenditure Study'!$B$32*OFFSET('Expenditure Study'!$B$7,'Operations Support'!$C901,'Operations Support'!$B901),0)</f>
        <v>0</v>
      </c>
      <c r="X901" s="200">
        <f ca="1">W901*'Expenditure Study'!$B$31</f>
        <v>0</v>
      </c>
      <c r="Y901" s="199">
        <f ca="1">U901*'Expenditure Study'!$B$31</f>
        <v>0</v>
      </c>
      <c r="Z901" s="200">
        <f ca="1">W901*'Expenditure Study'!$B$31</f>
        <v>0</v>
      </c>
      <c r="AA901" s="195">
        <f t="shared" ref="AA901:AA964" ca="1" si="204">V901+X901</f>
        <v>0</v>
      </c>
      <c r="AB901" s="195">
        <f t="shared" ref="AB901:AB964" ca="1" si="205">Y901+Z901</f>
        <v>0</v>
      </c>
      <c r="AD901" s="196">
        <f>IFERROR($G901/SUMIF($A:$A,$A901,$G:$G)*SUMIF(Summary!$A$166:$A$242,$A901,Summary!$P$166:$P$242),0)</f>
        <v>0</v>
      </c>
      <c r="AE901" s="197">
        <f t="shared" ca="1" si="192"/>
        <v>0</v>
      </c>
      <c r="AF901" s="196">
        <f>IFERROR(G901/SUMIF(A:A,A901,G:G)*SUMIF(Summary!$A$166:$A$242,'Operations Support'!A901,Summary!$Q$166:$Q$242),0)</f>
        <v>0</v>
      </c>
      <c r="AG901" s="196">
        <f t="shared" ca="1" si="193"/>
        <v>0</v>
      </c>
      <c r="AI901" s="196">
        <f>IFERROR($G901/SUMIF($A:$A,$A901,$G:$G)*SUMIF(Summary!$A$247:$A$283,$A901,Summary!$P$247:$P$283),0)</f>
        <v>0</v>
      </c>
      <c r="AJ901" s="196">
        <f>IFERROR($G901/SUMIF($A:$A,$A901,$G:$G)*(SUMIF(Summary!$A$247:$A$283,$A901,Summary!$L$247:$L$283)+SUMIF(Summary!$A$297:$A$333,$A901,Summary!$L$297:$L$333))-AI901,0)</f>
        <v>0</v>
      </c>
      <c r="AK901" s="196">
        <f>IFERROR($G901/SUMIF($A:$A,$A901,$G:$G)*SUMIF(Summary!$A$247:$A$283,$A901,Summary!$Q$247:$Q$283),0)</f>
        <v>0</v>
      </c>
      <c r="AL901" s="196">
        <f>IFERROR($G901/SUMIF($A:$A,$A901,$G:$G)*(SUMIF(Summary!$A$247:$A$283,$A901,Summary!$L$247:$L$283)+SUMIF(Summary!$A$297:$A$333,$A901,Summary!$L$297:$L$333))-AK901,0)</f>
        <v>0</v>
      </c>
      <c r="AM901" s="198"/>
      <c r="AN901" s="196">
        <f t="shared" ca="1" si="194"/>
        <v>0</v>
      </c>
      <c r="AO901" s="196">
        <f t="shared" ca="1" si="195"/>
        <v>0</v>
      </c>
    </row>
    <row r="902" spans="1:41">
      <c r="A902" s="189">
        <v>3615</v>
      </c>
      <c r="B902" s="203">
        <v>3</v>
      </c>
      <c r="C902" s="191" t="s">
        <v>235</v>
      </c>
      <c r="D902" s="192">
        <f t="shared" si="196"/>
        <v>3886</v>
      </c>
      <c r="E902" s="192">
        <f t="shared" si="197"/>
        <v>2186</v>
      </c>
      <c r="F902" s="192">
        <f t="shared" si="198"/>
        <v>0</v>
      </c>
      <c r="G902" s="193">
        <f t="shared" si="199"/>
        <v>6072</v>
      </c>
      <c r="H902" s="194">
        <v>1810</v>
      </c>
      <c r="I902" s="194">
        <v>783</v>
      </c>
      <c r="J902" s="194">
        <v>0</v>
      </c>
      <c r="K902" s="193">
        <f t="shared" si="200"/>
        <v>2593</v>
      </c>
      <c r="L902" s="194">
        <v>1889</v>
      </c>
      <c r="M902" s="194">
        <v>946</v>
      </c>
      <c r="N902" s="194">
        <v>0</v>
      </c>
      <c r="O902" s="193">
        <f t="shared" si="201"/>
        <v>2835</v>
      </c>
      <c r="P902" s="194">
        <v>187</v>
      </c>
      <c r="Q902" s="194">
        <v>457</v>
      </c>
      <c r="R902" s="194">
        <v>0</v>
      </c>
      <c r="S902" s="193">
        <f t="shared" si="202"/>
        <v>644</v>
      </c>
      <c r="T902" s="193">
        <f t="shared" si="203"/>
        <v>253</v>
      </c>
      <c r="U902" s="193">
        <f ca="1">OFFSET('Expenditure Study'!$B$7,'Operations Support'!$C902,'Operations Support'!$B902)*$G902</f>
        <v>19187.52</v>
      </c>
      <c r="V902" s="199">
        <f ca="1">U902*'Expenditure Study'!$B$31</f>
        <v>1133659.713263616</v>
      </c>
      <c r="W902" s="199">
        <f ca="1">IF(A902=10298,1.51,1)*IF($B902&lt;3,$D902*'Expenditure Study'!$B$32*OFFSET('Expenditure Study'!$B$7,'Operations Support'!$C902,'Operations Support'!$B902),0)</f>
        <v>0</v>
      </c>
      <c r="X902" s="200">
        <f ca="1">W902*'Expenditure Study'!$B$31</f>
        <v>0</v>
      </c>
      <c r="Y902" s="199">
        <f ca="1">U902*'Expenditure Study'!$B$31</f>
        <v>1133659.713263616</v>
      </c>
      <c r="Z902" s="200">
        <f ca="1">W902*'Expenditure Study'!$B$31</f>
        <v>0</v>
      </c>
      <c r="AA902" s="195">
        <f t="shared" ca="1" si="204"/>
        <v>1133659.713263616</v>
      </c>
      <c r="AB902" s="195">
        <f t="shared" ca="1" si="205"/>
        <v>1133659.713263616</v>
      </c>
      <c r="AD902" s="196">
        <f>IFERROR($G902/SUMIF($A:$A,$A902,$G:$G)*SUMIF(Summary!$A$166:$A$242,$A902,Summary!$P$166:$P$242),0)</f>
        <v>160442.39822356906</v>
      </c>
      <c r="AE902" s="197">
        <f t="shared" ref="AE902:AE965" ca="1" si="206">V902+X902-AD902</f>
        <v>973217.31504004693</v>
      </c>
      <c r="AF902" s="196">
        <f>IFERROR(G902/SUMIF(A:A,A902,G:G)*SUMIF(Summary!$A$166:$A$242,'Operations Support'!A902,Summary!$Q$166:$Q$242),0)</f>
        <v>160761.35162504046</v>
      </c>
      <c r="AG902" s="196">
        <f t="shared" ref="AG902:AG965" ca="1" si="207">Y902+Z902-AF902</f>
        <v>972898.36163857556</v>
      </c>
      <c r="AI902" s="196">
        <f>IFERROR($G902/SUMIF($A:$A,$A902,$G:$G)*SUMIF(Summary!$A$247:$A$283,$A902,Summary!$P$247:$P$283),0)</f>
        <v>29260.689640561519</v>
      </c>
      <c r="AJ902" s="196">
        <f>IFERROR($G902/SUMIF($A:$A,$A902,$G:$G)*(SUMIF(Summary!$A$247:$A$283,$A902,Summary!$L$247:$L$283)+SUMIF(Summary!$A$297:$A$333,$A902,Summary!$L$297:$L$333))-AI902,0)</f>
        <v>107710.73238473255</v>
      </c>
      <c r="AK902" s="196">
        <f>IFERROR($G902/SUMIF($A:$A,$A902,$G:$G)*SUMIF(Summary!$A$247:$A$283,$A902,Summary!$Q$247:$Q$283),0)</f>
        <v>29318.858781596497</v>
      </c>
      <c r="AL902" s="196">
        <f>IFERROR($G902/SUMIF($A:$A,$A902,$G:$G)*(SUMIF(Summary!$A$247:$A$283,$A902,Summary!$L$247:$L$283)+SUMIF(Summary!$A$297:$A$333,$A902,Summary!$L$297:$L$333))-AK902,0)</f>
        <v>107652.56324369757</v>
      </c>
      <c r="AM902" s="198"/>
      <c r="AN902" s="196">
        <f t="shared" ref="AN902:AN965" ca="1" si="208">AE902+AJ902</f>
        <v>1080928.0474247795</v>
      </c>
      <c r="AO902" s="196">
        <f t="shared" ref="AO902:AO965" ca="1" si="209">AG902+AL902</f>
        <v>1080550.9248822732</v>
      </c>
    </row>
    <row r="903" spans="1:41">
      <c r="A903" s="189">
        <v>3615</v>
      </c>
      <c r="B903" s="203">
        <v>3</v>
      </c>
      <c r="C903" s="191" t="s">
        <v>236</v>
      </c>
      <c r="D903" s="192">
        <f t="shared" si="196"/>
        <v>0</v>
      </c>
      <c r="E903" s="192">
        <f t="shared" si="197"/>
        <v>0</v>
      </c>
      <c r="F903" s="192">
        <f t="shared" si="198"/>
        <v>0</v>
      </c>
      <c r="G903" s="193">
        <f t="shared" si="199"/>
        <v>0</v>
      </c>
      <c r="H903" s="194">
        <v>0</v>
      </c>
      <c r="I903" s="194">
        <v>0</v>
      </c>
      <c r="J903" s="194">
        <v>0</v>
      </c>
      <c r="K903" s="193">
        <f t="shared" si="200"/>
        <v>0</v>
      </c>
      <c r="L903" s="194">
        <v>0</v>
      </c>
      <c r="M903" s="194">
        <v>0</v>
      </c>
      <c r="N903" s="194">
        <v>0</v>
      </c>
      <c r="O903" s="193">
        <f t="shared" si="201"/>
        <v>0</v>
      </c>
      <c r="P903" s="194">
        <v>0</v>
      </c>
      <c r="Q903" s="194">
        <v>0</v>
      </c>
      <c r="R903" s="194">
        <v>0</v>
      </c>
      <c r="S903" s="193">
        <f t="shared" si="202"/>
        <v>0</v>
      </c>
      <c r="T903" s="193">
        <f t="shared" si="203"/>
        <v>0</v>
      </c>
      <c r="U903" s="193">
        <f ca="1">OFFSET('Expenditure Study'!$B$7,'Operations Support'!$C903,'Operations Support'!$B903)*$G903</f>
        <v>0</v>
      </c>
      <c r="V903" s="199">
        <f ca="1">U903*'Expenditure Study'!$B$31</f>
        <v>0</v>
      </c>
      <c r="W903" s="199">
        <f ca="1">IF(A903=10298,1.51,1)*IF($B903&lt;3,$D903*'Expenditure Study'!$B$32*OFFSET('Expenditure Study'!$B$7,'Operations Support'!$C903,'Operations Support'!$B903),0)</f>
        <v>0</v>
      </c>
      <c r="X903" s="200">
        <f ca="1">W903*'Expenditure Study'!$B$31</f>
        <v>0</v>
      </c>
      <c r="Y903" s="199">
        <f ca="1">U903*'Expenditure Study'!$B$31</f>
        <v>0</v>
      </c>
      <c r="Z903" s="200">
        <f ca="1">W903*'Expenditure Study'!$B$31</f>
        <v>0</v>
      </c>
      <c r="AA903" s="195">
        <f t="shared" ca="1" si="204"/>
        <v>0</v>
      </c>
      <c r="AB903" s="195">
        <f t="shared" ca="1" si="205"/>
        <v>0</v>
      </c>
      <c r="AD903" s="196">
        <f>IFERROR($G903/SUMIF($A:$A,$A903,$G:$G)*SUMIF(Summary!$A$166:$A$242,$A903,Summary!$P$166:$P$242),0)</f>
        <v>0</v>
      </c>
      <c r="AE903" s="197">
        <f t="shared" ca="1" si="206"/>
        <v>0</v>
      </c>
      <c r="AF903" s="196">
        <f>IFERROR(G903/SUMIF(A:A,A903,G:G)*SUMIF(Summary!$A$166:$A$242,'Operations Support'!A903,Summary!$Q$166:$Q$242),0)</f>
        <v>0</v>
      </c>
      <c r="AG903" s="196">
        <f t="shared" ca="1" si="207"/>
        <v>0</v>
      </c>
      <c r="AI903" s="196">
        <f>IFERROR($G903/SUMIF($A:$A,$A903,$G:$G)*SUMIF(Summary!$A$247:$A$283,$A903,Summary!$P$247:$P$283),0)</f>
        <v>0</v>
      </c>
      <c r="AJ903" s="196">
        <f>IFERROR($G903/SUMIF($A:$A,$A903,$G:$G)*(SUMIF(Summary!$A$247:$A$283,$A903,Summary!$L$247:$L$283)+SUMIF(Summary!$A$297:$A$333,$A903,Summary!$L$297:$L$333))-AI903,0)</f>
        <v>0</v>
      </c>
      <c r="AK903" s="196">
        <f>IFERROR($G903/SUMIF($A:$A,$A903,$G:$G)*SUMIF(Summary!$A$247:$A$283,$A903,Summary!$Q$247:$Q$283),0)</f>
        <v>0</v>
      </c>
      <c r="AL903" s="196">
        <f>IFERROR($G903/SUMIF($A:$A,$A903,$G:$G)*(SUMIF(Summary!$A$247:$A$283,$A903,Summary!$L$247:$L$283)+SUMIF(Summary!$A$297:$A$333,$A903,Summary!$L$297:$L$333))-AK903,0)</f>
        <v>0</v>
      </c>
      <c r="AM903" s="198"/>
      <c r="AN903" s="196">
        <f t="shared" ca="1" si="208"/>
        <v>0</v>
      </c>
      <c r="AO903" s="196">
        <f t="shared" ca="1" si="209"/>
        <v>0</v>
      </c>
    </row>
    <row r="904" spans="1:41">
      <c r="A904" s="189">
        <v>3615</v>
      </c>
      <c r="B904" s="203">
        <v>3</v>
      </c>
      <c r="C904" s="191" t="s">
        <v>237</v>
      </c>
      <c r="D904" s="192">
        <f t="shared" si="196"/>
        <v>0</v>
      </c>
      <c r="E904" s="192">
        <f t="shared" si="197"/>
        <v>0</v>
      </c>
      <c r="F904" s="192">
        <f t="shared" si="198"/>
        <v>0</v>
      </c>
      <c r="G904" s="193">
        <f t="shared" si="199"/>
        <v>0</v>
      </c>
      <c r="H904" s="194">
        <v>0</v>
      </c>
      <c r="I904" s="194">
        <v>0</v>
      </c>
      <c r="J904" s="194">
        <v>0</v>
      </c>
      <c r="K904" s="193">
        <f t="shared" si="200"/>
        <v>0</v>
      </c>
      <c r="L904" s="194">
        <v>0</v>
      </c>
      <c r="M904" s="194">
        <v>0</v>
      </c>
      <c r="N904" s="194">
        <v>0</v>
      </c>
      <c r="O904" s="193">
        <f t="shared" si="201"/>
        <v>0</v>
      </c>
      <c r="P904" s="194">
        <v>0</v>
      </c>
      <c r="Q904" s="194">
        <v>0</v>
      </c>
      <c r="R904" s="194">
        <v>0</v>
      </c>
      <c r="S904" s="193">
        <f t="shared" si="202"/>
        <v>0</v>
      </c>
      <c r="T904" s="193">
        <f t="shared" si="203"/>
        <v>0</v>
      </c>
      <c r="U904" s="193">
        <f ca="1">OFFSET('Expenditure Study'!$B$7,'Operations Support'!$C904,'Operations Support'!$B904)*$G904</f>
        <v>0</v>
      </c>
      <c r="V904" s="199">
        <f ca="1">U904*'Expenditure Study'!$B$31</f>
        <v>0</v>
      </c>
      <c r="W904" s="199">
        <f ca="1">IF(A904=10298,1.51,1)*IF($B904&lt;3,$D904*'Expenditure Study'!$B$32*OFFSET('Expenditure Study'!$B$7,'Operations Support'!$C904,'Operations Support'!$B904),0)</f>
        <v>0</v>
      </c>
      <c r="X904" s="200">
        <f ca="1">W904*'Expenditure Study'!$B$31</f>
        <v>0</v>
      </c>
      <c r="Y904" s="199">
        <f ca="1">U904*'Expenditure Study'!$B$31</f>
        <v>0</v>
      </c>
      <c r="Z904" s="200">
        <f ca="1">W904*'Expenditure Study'!$B$31</f>
        <v>0</v>
      </c>
      <c r="AA904" s="195">
        <f t="shared" ca="1" si="204"/>
        <v>0</v>
      </c>
      <c r="AB904" s="195">
        <f t="shared" ca="1" si="205"/>
        <v>0</v>
      </c>
      <c r="AD904" s="196">
        <f>IFERROR($G904/SUMIF($A:$A,$A904,$G:$G)*SUMIF(Summary!$A$166:$A$242,$A904,Summary!$P$166:$P$242),0)</f>
        <v>0</v>
      </c>
      <c r="AE904" s="197">
        <f t="shared" ca="1" si="206"/>
        <v>0</v>
      </c>
      <c r="AF904" s="196">
        <f>IFERROR(G904/SUMIF(A:A,A904,G:G)*SUMIF(Summary!$A$166:$A$242,'Operations Support'!A904,Summary!$Q$166:$Q$242),0)</f>
        <v>0</v>
      </c>
      <c r="AG904" s="196">
        <f t="shared" ca="1" si="207"/>
        <v>0</v>
      </c>
      <c r="AI904" s="196">
        <f>IFERROR($G904/SUMIF($A:$A,$A904,$G:$G)*SUMIF(Summary!$A$247:$A$283,$A904,Summary!$P$247:$P$283),0)</f>
        <v>0</v>
      </c>
      <c r="AJ904" s="196">
        <f>IFERROR($G904/SUMIF($A:$A,$A904,$G:$G)*(SUMIF(Summary!$A$247:$A$283,$A904,Summary!$L$247:$L$283)+SUMIF(Summary!$A$297:$A$333,$A904,Summary!$L$297:$L$333))-AI904,0)</f>
        <v>0</v>
      </c>
      <c r="AK904" s="196">
        <f>IFERROR($G904/SUMIF($A:$A,$A904,$G:$G)*SUMIF(Summary!$A$247:$A$283,$A904,Summary!$Q$247:$Q$283),0)</f>
        <v>0</v>
      </c>
      <c r="AL904" s="196">
        <f>IFERROR($G904/SUMIF($A:$A,$A904,$G:$G)*(SUMIF(Summary!$A$247:$A$283,$A904,Summary!$L$247:$L$283)+SUMIF(Summary!$A$297:$A$333,$A904,Summary!$L$297:$L$333))-AK904,0)</f>
        <v>0</v>
      </c>
      <c r="AM904" s="198"/>
      <c r="AN904" s="196">
        <f t="shared" ca="1" si="208"/>
        <v>0</v>
      </c>
      <c r="AO904" s="196">
        <f t="shared" ca="1" si="209"/>
        <v>0</v>
      </c>
    </row>
    <row r="905" spans="1:41">
      <c r="A905" s="189">
        <v>3615</v>
      </c>
      <c r="B905" s="203">
        <v>3</v>
      </c>
      <c r="C905" s="191" t="s">
        <v>238</v>
      </c>
      <c r="D905" s="192">
        <f t="shared" si="196"/>
        <v>841</v>
      </c>
      <c r="E905" s="192">
        <f t="shared" si="197"/>
        <v>306</v>
      </c>
      <c r="F905" s="192">
        <f t="shared" si="198"/>
        <v>0</v>
      </c>
      <c r="G905" s="193">
        <f t="shared" si="199"/>
        <v>1147</v>
      </c>
      <c r="H905" s="194">
        <v>315</v>
      </c>
      <c r="I905" s="194">
        <v>195</v>
      </c>
      <c r="J905" s="194">
        <v>0</v>
      </c>
      <c r="K905" s="193">
        <f t="shared" si="200"/>
        <v>510</v>
      </c>
      <c r="L905" s="194">
        <v>372</v>
      </c>
      <c r="M905" s="194">
        <v>63</v>
      </c>
      <c r="N905" s="194">
        <v>0</v>
      </c>
      <c r="O905" s="193">
        <f t="shared" si="201"/>
        <v>435</v>
      </c>
      <c r="P905" s="194">
        <v>154</v>
      </c>
      <c r="Q905" s="194">
        <v>48</v>
      </c>
      <c r="R905" s="194">
        <v>0</v>
      </c>
      <c r="S905" s="193">
        <f t="shared" si="202"/>
        <v>202</v>
      </c>
      <c r="T905" s="193">
        <f t="shared" si="203"/>
        <v>47.791666666666664</v>
      </c>
      <c r="U905" s="193">
        <f ca="1">OFFSET('Expenditure Study'!$B$7,'Operations Support'!$C905,'Operations Support'!$B905)*$G905</f>
        <v>6698.48</v>
      </c>
      <c r="V905" s="199">
        <f ca="1">U905*'Expenditure Study'!$B$31</f>
        <v>395767.50492518395</v>
      </c>
      <c r="W905" s="199">
        <f ca="1">IF(A905=10298,1.51,1)*IF($B905&lt;3,$D905*'Expenditure Study'!$B$32*OFFSET('Expenditure Study'!$B$7,'Operations Support'!$C905,'Operations Support'!$B905),0)</f>
        <v>0</v>
      </c>
      <c r="X905" s="200">
        <f ca="1">W905*'Expenditure Study'!$B$31</f>
        <v>0</v>
      </c>
      <c r="Y905" s="199">
        <f ca="1">U905*'Expenditure Study'!$B$31</f>
        <v>395767.50492518395</v>
      </c>
      <c r="Z905" s="200">
        <f ca="1">W905*'Expenditure Study'!$B$31</f>
        <v>0</v>
      </c>
      <c r="AA905" s="195">
        <f t="shared" ca="1" si="204"/>
        <v>395767.50492518395</v>
      </c>
      <c r="AB905" s="195">
        <f t="shared" ca="1" si="205"/>
        <v>395767.50492518395</v>
      </c>
      <c r="AD905" s="196">
        <f>IFERROR($G905/SUMIF($A:$A,$A905,$G:$G)*SUMIF(Summary!$A$166:$A$242,$A905,Summary!$P$166:$P$242),0)</f>
        <v>30307.547885776305</v>
      </c>
      <c r="AE905" s="197">
        <f t="shared" ca="1" si="206"/>
        <v>365459.95703940763</v>
      </c>
      <c r="AF905" s="196">
        <f>IFERROR(G905/SUMIF(A:A,A905,G:G)*SUMIF(Summary!$A$166:$A$242,'Operations Support'!A905,Summary!$Q$166:$Q$242),0)</f>
        <v>30367.798141291409</v>
      </c>
      <c r="AG905" s="196">
        <f t="shared" ca="1" si="207"/>
        <v>365399.70678389253</v>
      </c>
      <c r="AI905" s="196">
        <f>IFERROR($G905/SUMIF($A:$A,$A905,$G:$G)*SUMIF(Summary!$A$247:$A$283,$A905,Summary!$P$247:$P$283),0)</f>
        <v>5527.3404179387453</v>
      </c>
      <c r="AJ905" s="196">
        <f>IFERROR($G905/SUMIF($A:$A,$A905,$G:$G)*(SUMIF(Summary!$A$247:$A$283,$A905,Summary!$L$247:$L$283)+SUMIF(Summary!$A$297:$A$333,$A905,Summary!$L$297:$L$333))-AI905,0)</f>
        <v>20346.543156338645</v>
      </c>
      <c r="AK905" s="196">
        <f>IFERROR($G905/SUMIF($A:$A,$A905,$G:$G)*SUMIF(Summary!$A$247:$A$283,$A905,Summary!$Q$247:$Q$283),0)</f>
        <v>5538.3285610163348</v>
      </c>
      <c r="AL905" s="196">
        <f>IFERROR($G905/SUMIF($A:$A,$A905,$G:$G)*(SUMIF(Summary!$A$247:$A$283,$A905,Summary!$L$247:$L$283)+SUMIF(Summary!$A$297:$A$333,$A905,Summary!$L$297:$L$333))-AK905,0)</f>
        <v>20335.555013261051</v>
      </c>
      <c r="AM905" s="198"/>
      <c r="AN905" s="196">
        <f t="shared" ca="1" si="208"/>
        <v>385806.50019574625</v>
      </c>
      <c r="AO905" s="196">
        <f t="shared" ca="1" si="209"/>
        <v>385735.26179715357</v>
      </c>
    </row>
    <row r="906" spans="1:41">
      <c r="A906" s="189">
        <v>3615</v>
      </c>
      <c r="B906" s="203">
        <v>3</v>
      </c>
      <c r="C906" s="191" t="s">
        <v>239</v>
      </c>
      <c r="D906" s="192">
        <f t="shared" si="196"/>
        <v>123</v>
      </c>
      <c r="E906" s="192">
        <f t="shared" si="197"/>
        <v>913</v>
      </c>
      <c r="F906" s="192">
        <f t="shared" si="198"/>
        <v>0</v>
      </c>
      <c r="G906" s="193">
        <f t="shared" si="199"/>
        <v>1036</v>
      </c>
      <c r="H906" s="194">
        <v>57</v>
      </c>
      <c r="I906" s="194">
        <v>377</v>
      </c>
      <c r="J906" s="194">
        <v>0</v>
      </c>
      <c r="K906" s="193">
        <f t="shared" si="200"/>
        <v>434</v>
      </c>
      <c r="L906" s="194">
        <v>36</v>
      </c>
      <c r="M906" s="194">
        <v>388</v>
      </c>
      <c r="N906" s="194">
        <v>0</v>
      </c>
      <c r="O906" s="193">
        <f t="shared" si="201"/>
        <v>424</v>
      </c>
      <c r="P906" s="194">
        <v>30</v>
      </c>
      <c r="Q906" s="194">
        <v>148</v>
      </c>
      <c r="R906" s="194">
        <v>0</v>
      </c>
      <c r="S906" s="193">
        <f t="shared" si="202"/>
        <v>178</v>
      </c>
      <c r="T906" s="193">
        <f t="shared" si="203"/>
        <v>43.166666666666664</v>
      </c>
      <c r="U906" s="193">
        <f ca="1">OFFSET('Expenditure Study'!$B$7,'Operations Support'!$C906,'Operations Support'!$B906)*$G906</f>
        <v>2817.92</v>
      </c>
      <c r="V906" s="199">
        <f ca="1">U906*'Expenditure Study'!$B$31</f>
        <v>166491.676839936</v>
      </c>
      <c r="W906" s="199">
        <f ca="1">IF(A906=10298,1.51,1)*IF($B906&lt;3,$D906*'Expenditure Study'!$B$32*OFFSET('Expenditure Study'!$B$7,'Operations Support'!$C906,'Operations Support'!$B906),0)</f>
        <v>0</v>
      </c>
      <c r="X906" s="200">
        <f ca="1">W906*'Expenditure Study'!$B$31</f>
        <v>0</v>
      </c>
      <c r="Y906" s="199">
        <f ca="1">U906*'Expenditure Study'!$B$31</f>
        <v>166491.676839936</v>
      </c>
      <c r="Z906" s="200">
        <f ca="1">W906*'Expenditure Study'!$B$31</f>
        <v>0</v>
      </c>
      <c r="AA906" s="195">
        <f t="shared" ca="1" si="204"/>
        <v>166491.676839936</v>
      </c>
      <c r="AB906" s="195">
        <f t="shared" ca="1" si="205"/>
        <v>166491.676839936</v>
      </c>
      <c r="AD906" s="196">
        <f>IFERROR($G906/SUMIF($A:$A,$A906,$G:$G)*SUMIF(Summary!$A$166:$A$242,$A906,Summary!$P$166:$P$242),0)</f>
        <v>27374.559380701179</v>
      </c>
      <c r="AE906" s="197">
        <f t="shared" ca="1" si="206"/>
        <v>139117.11745923481</v>
      </c>
      <c r="AF906" s="196">
        <f>IFERROR(G906/SUMIF(A:A,A906,G:G)*SUMIF(Summary!$A$166:$A$242,'Operations Support'!A906,Summary!$Q$166:$Q$242),0)</f>
        <v>27428.978966327726</v>
      </c>
      <c r="AG906" s="196">
        <f t="shared" ca="1" si="207"/>
        <v>139062.69787360827</v>
      </c>
      <c r="AI906" s="196">
        <f>IFERROR($G906/SUMIF($A:$A,$A906,$G:$G)*SUMIF(Summary!$A$247:$A$283,$A906,Summary!$P$247:$P$283),0)</f>
        <v>4992.4365065253187</v>
      </c>
      <c r="AJ906" s="196">
        <f>IFERROR($G906/SUMIF($A:$A,$A906,$G:$G)*(SUMIF(Summary!$A$247:$A$283,$A906,Summary!$L$247:$L$283)+SUMIF(Summary!$A$297:$A$333,$A906,Summary!$L$297:$L$333))-AI906,0)</f>
        <v>18377.522850886518</v>
      </c>
      <c r="AK906" s="196">
        <f>IFERROR($G906/SUMIF($A:$A,$A906,$G:$G)*SUMIF(Summary!$A$247:$A$283,$A906,Summary!$Q$247:$Q$283),0)</f>
        <v>5002.3612809179795</v>
      </c>
      <c r="AL906" s="196">
        <f>IFERROR($G906/SUMIF($A:$A,$A906,$G:$G)*(SUMIF(Summary!$A$247:$A$283,$A906,Summary!$L$247:$L$283)+SUMIF(Summary!$A$297:$A$333,$A906,Summary!$L$297:$L$333))-AK906,0)</f>
        <v>18367.598076493858</v>
      </c>
      <c r="AM906" s="198"/>
      <c r="AN906" s="196">
        <f t="shared" ca="1" si="208"/>
        <v>157494.64031012132</v>
      </c>
      <c r="AO906" s="196">
        <f t="shared" ca="1" si="209"/>
        <v>157430.29595010213</v>
      </c>
    </row>
    <row r="907" spans="1:41">
      <c r="A907" s="189">
        <v>3615</v>
      </c>
      <c r="B907" s="203">
        <v>3</v>
      </c>
      <c r="C907" s="191" t="s">
        <v>240</v>
      </c>
      <c r="D907" s="192">
        <f t="shared" si="196"/>
        <v>0</v>
      </c>
      <c r="E907" s="192">
        <f t="shared" si="197"/>
        <v>0</v>
      </c>
      <c r="F907" s="192">
        <f t="shared" si="198"/>
        <v>0</v>
      </c>
      <c r="G907" s="193">
        <f t="shared" si="199"/>
        <v>0</v>
      </c>
      <c r="H907" s="194">
        <v>0</v>
      </c>
      <c r="I907" s="194">
        <v>0</v>
      </c>
      <c r="J907" s="194">
        <v>0</v>
      </c>
      <c r="K907" s="193">
        <f t="shared" si="200"/>
        <v>0</v>
      </c>
      <c r="L907" s="194">
        <v>0</v>
      </c>
      <c r="M907" s="194">
        <v>0</v>
      </c>
      <c r="N907" s="194">
        <v>0</v>
      </c>
      <c r="O907" s="193">
        <f t="shared" si="201"/>
        <v>0</v>
      </c>
      <c r="P907" s="194">
        <v>0</v>
      </c>
      <c r="Q907" s="194">
        <v>0</v>
      </c>
      <c r="R907" s="194">
        <v>0</v>
      </c>
      <c r="S907" s="193">
        <f t="shared" si="202"/>
        <v>0</v>
      </c>
      <c r="T907" s="193">
        <f t="shared" si="203"/>
        <v>0</v>
      </c>
      <c r="U907" s="193">
        <f ca="1">OFFSET('Expenditure Study'!$B$7,'Operations Support'!$C907,'Operations Support'!$B907)*$G907</f>
        <v>0</v>
      </c>
      <c r="V907" s="199">
        <f ca="1">U907*'Expenditure Study'!$B$31</f>
        <v>0</v>
      </c>
      <c r="W907" s="199">
        <f ca="1">IF(A907=10298,1.51,1)*IF($B907&lt;3,$D907*'Expenditure Study'!$B$32*OFFSET('Expenditure Study'!$B$7,'Operations Support'!$C907,'Operations Support'!$B907),0)</f>
        <v>0</v>
      </c>
      <c r="X907" s="200">
        <f ca="1">W907*'Expenditure Study'!$B$31</f>
        <v>0</v>
      </c>
      <c r="Y907" s="199">
        <f ca="1">U907*'Expenditure Study'!$B$31</f>
        <v>0</v>
      </c>
      <c r="Z907" s="200">
        <f ca="1">W907*'Expenditure Study'!$B$31</f>
        <v>0</v>
      </c>
      <c r="AA907" s="195">
        <f t="shared" ca="1" si="204"/>
        <v>0</v>
      </c>
      <c r="AB907" s="195">
        <f t="shared" ca="1" si="205"/>
        <v>0</v>
      </c>
      <c r="AD907" s="196">
        <f>IFERROR($G907/SUMIF($A:$A,$A907,$G:$G)*SUMIF(Summary!$A$166:$A$242,$A907,Summary!$P$166:$P$242),0)</f>
        <v>0</v>
      </c>
      <c r="AE907" s="197">
        <f t="shared" ca="1" si="206"/>
        <v>0</v>
      </c>
      <c r="AF907" s="196">
        <f>IFERROR(G907/SUMIF(A:A,A907,G:G)*SUMIF(Summary!$A$166:$A$242,'Operations Support'!A907,Summary!$Q$166:$Q$242),0)</f>
        <v>0</v>
      </c>
      <c r="AG907" s="196">
        <f t="shared" ca="1" si="207"/>
        <v>0</v>
      </c>
      <c r="AI907" s="196">
        <f>IFERROR($G907/SUMIF($A:$A,$A907,$G:$G)*SUMIF(Summary!$A$247:$A$283,$A907,Summary!$P$247:$P$283),0)</f>
        <v>0</v>
      </c>
      <c r="AJ907" s="196">
        <f>IFERROR($G907/SUMIF($A:$A,$A907,$G:$G)*(SUMIF(Summary!$A$247:$A$283,$A907,Summary!$L$247:$L$283)+SUMIF(Summary!$A$297:$A$333,$A907,Summary!$L$297:$L$333))-AI907,0)</f>
        <v>0</v>
      </c>
      <c r="AK907" s="196">
        <f>IFERROR($G907/SUMIF($A:$A,$A907,$G:$G)*SUMIF(Summary!$A$247:$A$283,$A907,Summary!$Q$247:$Q$283),0)</f>
        <v>0</v>
      </c>
      <c r="AL907" s="196">
        <f>IFERROR($G907/SUMIF($A:$A,$A907,$G:$G)*(SUMIF(Summary!$A$247:$A$283,$A907,Summary!$L$247:$L$283)+SUMIF(Summary!$A$297:$A$333,$A907,Summary!$L$297:$L$333))-AK907,0)</f>
        <v>0</v>
      </c>
      <c r="AM907" s="198"/>
      <c r="AN907" s="196">
        <f t="shared" ca="1" si="208"/>
        <v>0</v>
      </c>
      <c r="AO907" s="196">
        <f t="shared" ca="1" si="209"/>
        <v>0</v>
      </c>
    </row>
    <row r="908" spans="1:41">
      <c r="A908" s="189">
        <v>3615</v>
      </c>
      <c r="B908" s="203">
        <v>4</v>
      </c>
      <c r="C908" s="191" t="s">
        <v>220</v>
      </c>
      <c r="D908" s="192">
        <f t="shared" si="196"/>
        <v>1499</v>
      </c>
      <c r="E908" s="192">
        <f t="shared" si="197"/>
        <v>69</v>
      </c>
      <c r="F908" s="192">
        <f t="shared" si="198"/>
        <v>15</v>
      </c>
      <c r="G908" s="193">
        <f t="shared" si="199"/>
        <v>1553</v>
      </c>
      <c r="H908" s="194">
        <v>648</v>
      </c>
      <c r="I908" s="194">
        <v>45</v>
      </c>
      <c r="J908" s="194">
        <v>10</v>
      </c>
      <c r="K908" s="193">
        <f t="shared" si="200"/>
        <v>683</v>
      </c>
      <c r="L908" s="194">
        <v>752</v>
      </c>
      <c r="M908" s="194">
        <v>24</v>
      </c>
      <c r="N908" s="194">
        <v>3</v>
      </c>
      <c r="O908" s="193">
        <f t="shared" si="201"/>
        <v>773</v>
      </c>
      <c r="P908" s="194">
        <v>99</v>
      </c>
      <c r="Q908" s="194">
        <v>0</v>
      </c>
      <c r="R908" s="194">
        <v>2</v>
      </c>
      <c r="S908" s="193">
        <f t="shared" si="202"/>
        <v>97</v>
      </c>
      <c r="T908" s="193">
        <f t="shared" si="203"/>
        <v>86.277777777777771</v>
      </c>
      <c r="U908" s="193">
        <f ca="1">OFFSET('Expenditure Study'!$B$7,'Operations Support'!$C908,'Operations Support'!$B908)*$G908</f>
        <v>22875.690000000002</v>
      </c>
      <c r="V908" s="199">
        <f ca="1">U908*'Expenditure Study'!$B$31</f>
        <v>1351568.5281947521</v>
      </c>
      <c r="W908" s="199">
        <f ca="1">IF(A908=10298,1.51,1)*IF($B908&lt;3,$D908*'Expenditure Study'!$B$32*OFFSET('Expenditure Study'!$B$7,'Operations Support'!$C908,'Operations Support'!$B908),0)</f>
        <v>0</v>
      </c>
      <c r="X908" s="200">
        <f ca="1">W908*'Expenditure Study'!$B$31</f>
        <v>0</v>
      </c>
      <c r="Y908" s="199">
        <f ca="1">U908*'Expenditure Study'!$B$31</f>
        <v>1351568.5281947521</v>
      </c>
      <c r="Z908" s="200">
        <f ca="1">W908*'Expenditure Study'!$B$31</f>
        <v>0</v>
      </c>
      <c r="AA908" s="195">
        <f t="shared" ca="1" si="204"/>
        <v>1351568.5281947521</v>
      </c>
      <c r="AB908" s="195">
        <f t="shared" ca="1" si="205"/>
        <v>1351568.5281947521</v>
      </c>
      <c r="AD908" s="196">
        <f>IFERROR($G908/SUMIF($A:$A,$A908,$G:$G)*SUMIF(Summary!$A$166:$A$242,$A908,Summary!$P$166:$P$242),0)</f>
        <v>41035.415751186229</v>
      </c>
      <c r="AE908" s="197">
        <f t="shared" ca="1" si="206"/>
        <v>1310533.1124435659</v>
      </c>
      <c r="AF908" s="196">
        <f>IFERROR(G908/SUMIF(A:A,A908,G:G)*SUMIF(Summary!$A$166:$A$242,'Operations Support'!A908,Summary!$Q$166:$Q$242),0)</f>
        <v>41116.992601068487</v>
      </c>
      <c r="AG908" s="196">
        <f t="shared" ca="1" si="207"/>
        <v>1310451.5355936836</v>
      </c>
      <c r="AI908" s="196">
        <f>IFERROR($G908/SUMIF($A:$A,$A908,$G:$G)*SUMIF(Summary!$A$247:$A$283,$A908,Summary!$P$247:$P$283),0)</f>
        <v>7483.8358056310999</v>
      </c>
      <c r="AJ908" s="196">
        <f>IFERROR($G908/SUMIF($A:$A,$A908,$G:$G)*(SUMIF(Summary!$A$247:$A$283,$A908,Summary!$L$247:$L$283)+SUMIF(Summary!$A$297:$A$333,$A908,Summary!$L$297:$L$333))-AI908,0)</f>
        <v>27548.545354659032</v>
      </c>
      <c r="AK908" s="196">
        <f>IFERROR($G908/SUMIF($A:$A,$A908,$G:$G)*SUMIF(Summary!$A$247:$A$283,$A908,Summary!$Q$247:$Q$283),0)</f>
        <v>7498.7133873220291</v>
      </c>
      <c r="AL908" s="196">
        <f>IFERROR($G908/SUMIF($A:$A,$A908,$G:$G)*(SUMIF(Summary!$A$247:$A$283,$A908,Summary!$L$247:$L$283)+SUMIF(Summary!$A$297:$A$333,$A908,Summary!$L$297:$L$333))-AK908,0)</f>
        <v>27533.667772968103</v>
      </c>
      <c r="AM908" s="198"/>
      <c r="AN908" s="196">
        <f t="shared" ca="1" si="208"/>
        <v>1338081.6577982248</v>
      </c>
      <c r="AO908" s="196">
        <f t="shared" ca="1" si="209"/>
        <v>1337985.2033666517</v>
      </c>
    </row>
    <row r="909" spans="1:41">
      <c r="A909" s="189">
        <v>3615</v>
      </c>
      <c r="B909" s="203">
        <v>4</v>
      </c>
      <c r="C909" s="191" t="s">
        <v>221</v>
      </c>
      <c r="D909" s="192">
        <f t="shared" si="196"/>
        <v>886</v>
      </c>
      <c r="E909" s="192">
        <f t="shared" si="197"/>
        <v>19</v>
      </c>
      <c r="F909" s="192">
        <f t="shared" si="198"/>
        <v>30</v>
      </c>
      <c r="G909" s="193">
        <f t="shared" si="199"/>
        <v>875</v>
      </c>
      <c r="H909" s="194">
        <v>408</v>
      </c>
      <c r="I909" s="194">
        <v>0</v>
      </c>
      <c r="J909" s="194">
        <v>21</v>
      </c>
      <c r="K909" s="193">
        <f t="shared" si="200"/>
        <v>387</v>
      </c>
      <c r="L909" s="194">
        <v>435</v>
      </c>
      <c r="M909" s="194">
        <v>4</v>
      </c>
      <c r="N909" s="194">
        <v>8</v>
      </c>
      <c r="O909" s="193">
        <f t="shared" si="201"/>
        <v>431</v>
      </c>
      <c r="P909" s="194">
        <v>43</v>
      </c>
      <c r="Q909" s="194">
        <v>15</v>
      </c>
      <c r="R909" s="194">
        <v>1</v>
      </c>
      <c r="S909" s="193">
        <f t="shared" si="202"/>
        <v>57</v>
      </c>
      <c r="T909" s="193">
        <f t="shared" si="203"/>
        <v>48.611111111111114</v>
      </c>
      <c r="U909" s="193">
        <f ca="1">OFFSET('Expenditure Study'!$B$7,'Operations Support'!$C909,'Operations Support'!$B909)*$G909</f>
        <v>19022.5</v>
      </c>
      <c r="V909" s="199">
        <f ca="1">U909*'Expenditure Study'!$B$31</f>
        <v>1123909.8067680001</v>
      </c>
      <c r="W909" s="199">
        <f ca="1">IF(A909=10298,1.51,1)*IF($B909&lt;3,$D909*'Expenditure Study'!$B$32*OFFSET('Expenditure Study'!$B$7,'Operations Support'!$C909,'Operations Support'!$B909),0)</f>
        <v>0</v>
      </c>
      <c r="X909" s="200">
        <f ca="1">W909*'Expenditure Study'!$B$31</f>
        <v>0</v>
      </c>
      <c r="Y909" s="199">
        <f ca="1">U909*'Expenditure Study'!$B$31</f>
        <v>1123909.8067680001</v>
      </c>
      <c r="Z909" s="200">
        <f ca="1">W909*'Expenditure Study'!$B$31</f>
        <v>0</v>
      </c>
      <c r="AA909" s="195">
        <f t="shared" ca="1" si="204"/>
        <v>1123909.8067680001</v>
      </c>
      <c r="AB909" s="195">
        <f t="shared" ca="1" si="205"/>
        <v>1123909.8067680001</v>
      </c>
      <c r="AD909" s="196">
        <f>IFERROR($G909/SUMIF($A:$A,$A909,$G:$G)*SUMIF(Summary!$A$166:$A$242,$A909,Summary!$P$166:$P$242),0)</f>
        <v>23120.404882348968</v>
      </c>
      <c r="AE909" s="197">
        <f t="shared" ca="1" si="206"/>
        <v>1100789.4018856511</v>
      </c>
      <c r="AF909" s="196">
        <f>IFERROR(G909/SUMIF(A:A,A909,G:G)*SUMIF(Summary!$A$166:$A$242,'Operations Support'!A909,Summary!$Q$166:$Q$242),0)</f>
        <v>23166.367370209227</v>
      </c>
      <c r="AG909" s="196">
        <f t="shared" ca="1" si="207"/>
        <v>1100743.4393977909</v>
      </c>
      <c r="AI909" s="196">
        <f>IFERROR($G909/SUMIF($A:$A,$A909,$G:$G)*SUMIF(Summary!$A$247:$A$283,$A909,Summary!$P$247:$P$283),0)</f>
        <v>4216.5848872680053</v>
      </c>
      <c r="AJ909" s="196">
        <f>IFERROR($G909/SUMIF($A:$A,$A909,$G:$G)*(SUMIF(Summary!$A$247:$A$283,$A909,Summary!$L$247:$L$283)+SUMIF(Summary!$A$297:$A$333,$A909,Summary!$L$297:$L$333))-AI909,0)</f>
        <v>15521.556461897397</v>
      </c>
      <c r="AK909" s="196">
        <f>IFERROR($G909/SUMIF($A:$A,$A909,$G:$G)*SUMIF(Summary!$A$247:$A$283,$A909,Summary!$Q$247:$Q$283),0)</f>
        <v>4224.9672980726182</v>
      </c>
      <c r="AL909" s="196">
        <f>IFERROR($G909/SUMIF($A:$A,$A909,$G:$G)*(SUMIF(Summary!$A$247:$A$283,$A909,Summary!$L$247:$L$283)+SUMIF(Summary!$A$297:$A$333,$A909,Summary!$L$297:$L$333))-AK909,0)</f>
        <v>15513.174051092785</v>
      </c>
      <c r="AM909" s="198"/>
      <c r="AN909" s="196">
        <f t="shared" ca="1" si="208"/>
        <v>1116310.9583475485</v>
      </c>
      <c r="AO909" s="196">
        <f t="shared" ca="1" si="209"/>
        <v>1116256.6134488836</v>
      </c>
    </row>
    <row r="910" spans="1:41">
      <c r="A910" s="189">
        <v>3615</v>
      </c>
      <c r="B910" s="203">
        <v>4</v>
      </c>
      <c r="C910" s="191" t="s">
        <v>222</v>
      </c>
      <c r="D910" s="192">
        <f t="shared" si="196"/>
        <v>0</v>
      </c>
      <c r="E910" s="192">
        <f t="shared" si="197"/>
        <v>0</v>
      </c>
      <c r="F910" s="192">
        <f t="shared" si="198"/>
        <v>0</v>
      </c>
      <c r="G910" s="193">
        <f t="shared" si="199"/>
        <v>0</v>
      </c>
      <c r="H910" s="194">
        <v>0</v>
      </c>
      <c r="I910" s="194">
        <v>0</v>
      </c>
      <c r="J910" s="194">
        <v>0</v>
      </c>
      <c r="K910" s="193">
        <f t="shared" si="200"/>
        <v>0</v>
      </c>
      <c r="L910" s="194">
        <v>0</v>
      </c>
      <c r="M910" s="194">
        <v>0</v>
      </c>
      <c r="N910" s="194">
        <v>0</v>
      </c>
      <c r="O910" s="193">
        <f t="shared" si="201"/>
        <v>0</v>
      </c>
      <c r="P910" s="194">
        <v>0</v>
      </c>
      <c r="Q910" s="194">
        <v>0</v>
      </c>
      <c r="R910" s="194">
        <v>0</v>
      </c>
      <c r="S910" s="193">
        <f t="shared" si="202"/>
        <v>0</v>
      </c>
      <c r="T910" s="193">
        <f t="shared" si="203"/>
        <v>0</v>
      </c>
      <c r="U910" s="193">
        <f ca="1">OFFSET('Expenditure Study'!$B$7,'Operations Support'!$C910,'Operations Support'!$B910)*$G910</f>
        <v>0</v>
      </c>
      <c r="V910" s="199">
        <f ca="1">U910*'Expenditure Study'!$B$31</f>
        <v>0</v>
      </c>
      <c r="W910" s="199">
        <f ca="1">IF(A910=10298,1.51,1)*IF($B910&lt;3,$D910*'Expenditure Study'!$B$32*OFFSET('Expenditure Study'!$B$7,'Operations Support'!$C910,'Operations Support'!$B910),0)</f>
        <v>0</v>
      </c>
      <c r="X910" s="200">
        <f ca="1">W910*'Expenditure Study'!$B$31</f>
        <v>0</v>
      </c>
      <c r="Y910" s="199">
        <f ca="1">U910*'Expenditure Study'!$B$31</f>
        <v>0</v>
      </c>
      <c r="Z910" s="200">
        <f ca="1">W910*'Expenditure Study'!$B$31</f>
        <v>0</v>
      </c>
      <c r="AA910" s="195">
        <f t="shared" ca="1" si="204"/>
        <v>0</v>
      </c>
      <c r="AB910" s="195">
        <f t="shared" ca="1" si="205"/>
        <v>0</v>
      </c>
      <c r="AD910" s="196">
        <f>IFERROR($G910/SUMIF($A:$A,$A910,$G:$G)*SUMIF(Summary!$A$166:$A$242,$A910,Summary!$P$166:$P$242),0)</f>
        <v>0</v>
      </c>
      <c r="AE910" s="197">
        <f t="shared" ca="1" si="206"/>
        <v>0</v>
      </c>
      <c r="AF910" s="196">
        <f>IFERROR(G910/SUMIF(A:A,A910,G:G)*SUMIF(Summary!$A$166:$A$242,'Operations Support'!A910,Summary!$Q$166:$Q$242),0)</f>
        <v>0</v>
      </c>
      <c r="AG910" s="196">
        <f t="shared" ca="1" si="207"/>
        <v>0</v>
      </c>
      <c r="AI910" s="196">
        <f>IFERROR($G910/SUMIF($A:$A,$A910,$G:$G)*SUMIF(Summary!$A$247:$A$283,$A910,Summary!$P$247:$P$283),0)</f>
        <v>0</v>
      </c>
      <c r="AJ910" s="196">
        <f>IFERROR($G910/SUMIF($A:$A,$A910,$G:$G)*(SUMIF(Summary!$A$247:$A$283,$A910,Summary!$L$247:$L$283)+SUMIF(Summary!$A$297:$A$333,$A910,Summary!$L$297:$L$333))-AI910,0)</f>
        <v>0</v>
      </c>
      <c r="AK910" s="196">
        <f>IFERROR($G910/SUMIF($A:$A,$A910,$G:$G)*SUMIF(Summary!$A$247:$A$283,$A910,Summary!$Q$247:$Q$283),0)</f>
        <v>0</v>
      </c>
      <c r="AL910" s="196">
        <f>IFERROR($G910/SUMIF($A:$A,$A910,$G:$G)*(SUMIF(Summary!$A$247:$A$283,$A910,Summary!$L$247:$L$283)+SUMIF(Summary!$A$297:$A$333,$A910,Summary!$L$297:$L$333))-AK910,0)</f>
        <v>0</v>
      </c>
      <c r="AM910" s="198"/>
      <c r="AN910" s="196">
        <f t="shared" ca="1" si="208"/>
        <v>0</v>
      </c>
      <c r="AO910" s="196">
        <f t="shared" ca="1" si="209"/>
        <v>0</v>
      </c>
    </row>
    <row r="911" spans="1:41">
      <c r="A911" s="189">
        <v>3615</v>
      </c>
      <c r="B911" s="203">
        <v>4</v>
      </c>
      <c r="C911" s="191" t="s">
        <v>223</v>
      </c>
      <c r="D911" s="192">
        <f t="shared" si="196"/>
        <v>2162</v>
      </c>
      <c r="E911" s="192">
        <f t="shared" si="197"/>
        <v>132</v>
      </c>
      <c r="F911" s="192">
        <f t="shared" si="198"/>
        <v>40</v>
      </c>
      <c r="G911" s="193">
        <f t="shared" si="199"/>
        <v>2254</v>
      </c>
      <c r="H911" s="194">
        <v>846</v>
      </c>
      <c r="I911" s="194">
        <v>21</v>
      </c>
      <c r="J911" s="194">
        <v>23</v>
      </c>
      <c r="K911" s="193">
        <f t="shared" si="200"/>
        <v>844</v>
      </c>
      <c r="L911" s="194">
        <v>942</v>
      </c>
      <c r="M911" s="194">
        <v>69</v>
      </c>
      <c r="N911" s="194">
        <v>12</v>
      </c>
      <c r="O911" s="193">
        <f t="shared" si="201"/>
        <v>999</v>
      </c>
      <c r="P911" s="194">
        <v>374</v>
      </c>
      <c r="Q911" s="194">
        <v>42</v>
      </c>
      <c r="R911" s="194">
        <v>5</v>
      </c>
      <c r="S911" s="193">
        <f t="shared" si="202"/>
        <v>411</v>
      </c>
      <c r="T911" s="193">
        <f t="shared" si="203"/>
        <v>125.22222222222223</v>
      </c>
      <c r="U911" s="193">
        <f ca="1">OFFSET('Expenditure Study'!$B$7,'Operations Support'!$C911,'Operations Support'!$B911)*$G911</f>
        <v>17626.28</v>
      </c>
      <c r="V911" s="199">
        <f ca="1">U911*'Expenditure Study'!$B$31</f>
        <v>1041416.6880714239</v>
      </c>
      <c r="W911" s="199">
        <f ca="1">IF(A911=10298,1.51,1)*IF($B911&lt;3,$D911*'Expenditure Study'!$B$32*OFFSET('Expenditure Study'!$B$7,'Operations Support'!$C911,'Operations Support'!$B911),0)</f>
        <v>0</v>
      </c>
      <c r="X911" s="200">
        <f ca="1">W911*'Expenditure Study'!$B$31</f>
        <v>0</v>
      </c>
      <c r="Y911" s="199">
        <f ca="1">U911*'Expenditure Study'!$B$31</f>
        <v>1041416.6880714239</v>
      </c>
      <c r="Z911" s="200">
        <f ca="1">W911*'Expenditure Study'!$B$31</f>
        <v>0</v>
      </c>
      <c r="AA911" s="195">
        <f t="shared" ca="1" si="204"/>
        <v>1041416.6880714239</v>
      </c>
      <c r="AB911" s="195">
        <f t="shared" ca="1" si="205"/>
        <v>1041416.6880714239</v>
      </c>
      <c r="AD911" s="196">
        <f>IFERROR($G911/SUMIF($A:$A,$A911,$G:$G)*SUMIF(Summary!$A$166:$A$242,$A911,Summary!$P$166:$P$242),0)</f>
        <v>59558.162976930937</v>
      </c>
      <c r="AE911" s="197">
        <f t="shared" ca="1" si="206"/>
        <v>981858.52509449294</v>
      </c>
      <c r="AF911" s="196">
        <f>IFERROR(G911/SUMIF(A:A,A911,G:G)*SUMIF(Summary!$A$166:$A$242,'Operations Support'!A911,Summary!$Q$166:$Q$242),0)</f>
        <v>59676.562345658967</v>
      </c>
      <c r="AG911" s="196">
        <f t="shared" ca="1" si="207"/>
        <v>981740.1257257649</v>
      </c>
      <c r="AI911" s="196">
        <f>IFERROR($G911/SUMIF($A:$A,$A911,$G:$G)*SUMIF(Summary!$A$247:$A$283,$A911,Summary!$P$247:$P$283),0)</f>
        <v>10861.922669602382</v>
      </c>
      <c r="AJ911" s="196">
        <f>IFERROR($G911/SUMIF($A:$A,$A911,$G:$G)*(SUMIF(Summary!$A$247:$A$283,$A911,Summary!$L$247:$L$283)+SUMIF(Summary!$A$297:$A$333,$A911,Summary!$L$297:$L$333))-AI911,0)</f>
        <v>39983.529445847686</v>
      </c>
      <c r="AK911" s="196">
        <f>IFERROR($G911/SUMIF($A:$A,$A911,$G:$G)*SUMIF(Summary!$A$247:$A$283,$A911,Summary!$Q$247:$Q$283),0)</f>
        <v>10883.515759835063</v>
      </c>
      <c r="AL911" s="196">
        <f>IFERROR($G911/SUMIF($A:$A,$A911,$G:$G)*(SUMIF(Summary!$A$247:$A$283,$A911,Summary!$L$247:$L$283)+SUMIF(Summary!$A$297:$A$333,$A911,Summary!$L$297:$L$333))-AK911,0)</f>
        <v>39961.936355615006</v>
      </c>
      <c r="AM911" s="198"/>
      <c r="AN911" s="196">
        <f t="shared" ca="1" si="208"/>
        <v>1021842.0545403407</v>
      </c>
      <c r="AO911" s="196">
        <f t="shared" ca="1" si="209"/>
        <v>1021702.0620813799</v>
      </c>
    </row>
    <row r="912" spans="1:41">
      <c r="A912" s="189">
        <v>3615</v>
      </c>
      <c r="B912" s="203">
        <v>4</v>
      </c>
      <c r="C912" s="191" t="s">
        <v>224</v>
      </c>
      <c r="D912" s="192">
        <f t="shared" si="196"/>
        <v>20</v>
      </c>
      <c r="E912" s="192">
        <f t="shared" si="197"/>
        <v>0</v>
      </c>
      <c r="F912" s="192">
        <f t="shared" si="198"/>
        <v>0</v>
      </c>
      <c r="G912" s="193">
        <f t="shared" si="199"/>
        <v>20</v>
      </c>
      <c r="H912" s="194">
        <v>20</v>
      </c>
      <c r="I912" s="194">
        <v>0</v>
      </c>
      <c r="J912" s="194">
        <v>0</v>
      </c>
      <c r="K912" s="193">
        <f t="shared" si="200"/>
        <v>20</v>
      </c>
      <c r="L912" s="194">
        <v>0</v>
      </c>
      <c r="M912" s="194">
        <v>0</v>
      </c>
      <c r="N912" s="194">
        <v>0</v>
      </c>
      <c r="O912" s="193">
        <f t="shared" si="201"/>
        <v>0</v>
      </c>
      <c r="P912" s="194">
        <v>0</v>
      </c>
      <c r="Q912" s="194">
        <v>0</v>
      </c>
      <c r="R912" s="194">
        <v>0</v>
      </c>
      <c r="S912" s="193">
        <f t="shared" si="202"/>
        <v>0</v>
      </c>
      <c r="T912" s="193">
        <f t="shared" si="203"/>
        <v>1.1111111111111112</v>
      </c>
      <c r="U912" s="193">
        <f ca="1">OFFSET('Expenditure Study'!$B$7,'Operations Support'!$C912,'Operations Support'!$B912)*$G912</f>
        <v>289.40000000000003</v>
      </c>
      <c r="V912" s="199">
        <f ca="1">U912*'Expenditure Study'!$B$31</f>
        <v>17098.672523520003</v>
      </c>
      <c r="W912" s="199">
        <f ca="1">IF(A912=10298,1.51,1)*IF($B912&lt;3,$D912*'Expenditure Study'!$B$32*OFFSET('Expenditure Study'!$B$7,'Operations Support'!$C912,'Operations Support'!$B912),0)</f>
        <v>0</v>
      </c>
      <c r="X912" s="200">
        <f ca="1">W912*'Expenditure Study'!$B$31</f>
        <v>0</v>
      </c>
      <c r="Y912" s="199">
        <f ca="1">U912*'Expenditure Study'!$B$31</f>
        <v>17098.672523520003</v>
      </c>
      <c r="Z912" s="200">
        <f ca="1">W912*'Expenditure Study'!$B$31</f>
        <v>0</v>
      </c>
      <c r="AA912" s="195">
        <f t="shared" ca="1" si="204"/>
        <v>17098.672523520003</v>
      </c>
      <c r="AB912" s="195">
        <f t="shared" ca="1" si="205"/>
        <v>17098.672523520003</v>
      </c>
      <c r="AD912" s="196">
        <f>IFERROR($G912/SUMIF($A:$A,$A912,$G:$G)*SUMIF(Summary!$A$166:$A$242,$A912,Summary!$P$166:$P$242),0)</f>
        <v>528.46639731083349</v>
      </c>
      <c r="AE912" s="197">
        <f t="shared" ca="1" si="206"/>
        <v>16570.20612620917</v>
      </c>
      <c r="AF912" s="196">
        <f>IFERROR(G912/SUMIF(A:A,A912,G:G)*SUMIF(Summary!$A$166:$A$242,'Operations Support'!A912,Summary!$Q$166:$Q$242),0)</f>
        <v>529.5169684619251</v>
      </c>
      <c r="AG912" s="196">
        <f t="shared" ca="1" si="207"/>
        <v>16569.155555058078</v>
      </c>
      <c r="AI912" s="196">
        <f>IFERROR($G912/SUMIF($A:$A,$A912,$G:$G)*SUMIF(Summary!$A$247:$A$283,$A912,Summary!$P$247:$P$283),0)</f>
        <v>96.379083137554403</v>
      </c>
      <c r="AJ912" s="196">
        <f>IFERROR($G912/SUMIF($A:$A,$A912,$G:$G)*(SUMIF(Summary!$A$247:$A$283,$A912,Summary!$L$247:$L$283)+SUMIF(Summary!$A$297:$A$333,$A912,Summary!$L$297:$L$333))-AI912,0)</f>
        <v>354.77843341479758</v>
      </c>
      <c r="AK912" s="196">
        <f>IFERROR($G912/SUMIF($A:$A,$A912,$G:$G)*SUMIF(Summary!$A$247:$A$283,$A912,Summary!$Q$247:$Q$283),0)</f>
        <v>96.570681098802694</v>
      </c>
      <c r="AL912" s="196">
        <f>IFERROR($G912/SUMIF($A:$A,$A912,$G:$G)*(SUMIF(Summary!$A$247:$A$283,$A912,Summary!$L$247:$L$283)+SUMIF(Summary!$A$297:$A$333,$A912,Summary!$L$297:$L$333))-AK912,0)</f>
        <v>354.58683545354927</v>
      </c>
      <c r="AM912" s="198"/>
      <c r="AN912" s="196">
        <f t="shared" ca="1" si="208"/>
        <v>16924.984559623968</v>
      </c>
      <c r="AO912" s="196">
        <f t="shared" ca="1" si="209"/>
        <v>16923.742390511627</v>
      </c>
    </row>
    <row r="913" spans="1:41">
      <c r="A913" s="189">
        <v>3615</v>
      </c>
      <c r="B913" s="203">
        <v>4</v>
      </c>
      <c r="C913" s="191" t="s">
        <v>225</v>
      </c>
      <c r="D913" s="192">
        <f t="shared" si="196"/>
        <v>1298</v>
      </c>
      <c r="E913" s="192">
        <f t="shared" si="197"/>
        <v>18</v>
      </c>
      <c r="F913" s="192">
        <f t="shared" si="198"/>
        <v>7</v>
      </c>
      <c r="G913" s="193">
        <f t="shared" si="199"/>
        <v>1309</v>
      </c>
      <c r="H913" s="194">
        <v>604</v>
      </c>
      <c r="I913" s="194">
        <v>3</v>
      </c>
      <c r="J913" s="194">
        <v>5</v>
      </c>
      <c r="K913" s="193">
        <f t="shared" si="200"/>
        <v>602</v>
      </c>
      <c r="L913" s="194">
        <v>637</v>
      </c>
      <c r="M913" s="194">
        <v>15</v>
      </c>
      <c r="N913" s="194">
        <v>1</v>
      </c>
      <c r="O913" s="193">
        <f t="shared" si="201"/>
        <v>651</v>
      </c>
      <c r="P913" s="194">
        <v>57</v>
      </c>
      <c r="Q913" s="194">
        <v>0</v>
      </c>
      <c r="R913" s="194">
        <v>1</v>
      </c>
      <c r="S913" s="193">
        <f t="shared" si="202"/>
        <v>56</v>
      </c>
      <c r="T913" s="193">
        <f t="shared" si="203"/>
        <v>72.722222222222229</v>
      </c>
      <c r="U913" s="193">
        <f ca="1">OFFSET('Expenditure Study'!$B$7,'Operations Support'!$C913,'Operations Support'!$B913)*$G913</f>
        <v>24596.11</v>
      </c>
      <c r="V913" s="199">
        <f ca="1">U913*'Expenditure Study'!$B$31</f>
        <v>1453216.414106688</v>
      </c>
      <c r="W913" s="199">
        <f ca="1">IF(A913=10298,1.51,1)*IF($B913&lt;3,$D913*'Expenditure Study'!$B$32*OFFSET('Expenditure Study'!$B$7,'Operations Support'!$C913,'Operations Support'!$B913),0)</f>
        <v>0</v>
      </c>
      <c r="X913" s="200">
        <f ca="1">W913*'Expenditure Study'!$B$31</f>
        <v>0</v>
      </c>
      <c r="Y913" s="199">
        <f ca="1">U913*'Expenditure Study'!$B$31</f>
        <v>1453216.414106688</v>
      </c>
      <c r="Z913" s="200">
        <f ca="1">W913*'Expenditure Study'!$B$31</f>
        <v>0</v>
      </c>
      <c r="AA913" s="195">
        <f t="shared" ca="1" si="204"/>
        <v>1453216.414106688</v>
      </c>
      <c r="AB913" s="195">
        <f t="shared" ca="1" si="205"/>
        <v>1453216.414106688</v>
      </c>
      <c r="AD913" s="196">
        <f>IFERROR($G913/SUMIF($A:$A,$A913,$G:$G)*SUMIF(Summary!$A$166:$A$242,$A913,Summary!$P$166:$P$242),0)</f>
        <v>34588.125703994054</v>
      </c>
      <c r="AE913" s="197">
        <f t="shared" ca="1" si="206"/>
        <v>1418628.288402694</v>
      </c>
      <c r="AF913" s="196">
        <f>IFERROR(G913/SUMIF(A:A,A913,G:G)*SUMIF(Summary!$A$166:$A$242,'Operations Support'!A913,Summary!$Q$166:$Q$242),0)</f>
        <v>34656.885585832999</v>
      </c>
      <c r="AG913" s="196">
        <f t="shared" ca="1" si="207"/>
        <v>1418559.5285208549</v>
      </c>
      <c r="AI913" s="196">
        <f>IFERROR($G913/SUMIF($A:$A,$A913,$G:$G)*SUMIF(Summary!$A$247:$A$283,$A913,Summary!$P$247:$P$283),0)</f>
        <v>6308.0109913529359</v>
      </c>
      <c r="AJ913" s="196">
        <f>IFERROR($G913/SUMIF($A:$A,$A913,$G:$G)*(SUMIF(Summary!$A$247:$A$283,$A913,Summary!$L$247:$L$283)+SUMIF(Summary!$A$297:$A$333,$A913,Summary!$L$297:$L$333))-AI913,0)</f>
        <v>23220.248466998499</v>
      </c>
      <c r="AK913" s="196">
        <f>IFERROR($G913/SUMIF($A:$A,$A913,$G:$G)*SUMIF(Summary!$A$247:$A$283,$A913,Summary!$Q$247:$Q$283),0)</f>
        <v>6320.5510779166361</v>
      </c>
      <c r="AL913" s="196">
        <f>IFERROR($G913/SUMIF($A:$A,$A913,$G:$G)*(SUMIF(Summary!$A$247:$A$283,$A913,Summary!$L$247:$L$283)+SUMIF(Summary!$A$297:$A$333,$A913,Summary!$L$297:$L$333))-AK913,0)</f>
        <v>23207.7083804348</v>
      </c>
      <c r="AM913" s="198"/>
      <c r="AN913" s="196">
        <f t="shared" ca="1" si="208"/>
        <v>1441848.5368696926</v>
      </c>
      <c r="AO913" s="196">
        <f t="shared" ca="1" si="209"/>
        <v>1441767.2369012898</v>
      </c>
    </row>
    <row r="914" spans="1:41" s="201" customFormat="1">
      <c r="A914" s="189">
        <v>3615</v>
      </c>
      <c r="B914" s="203">
        <v>4</v>
      </c>
      <c r="C914" s="191" t="s">
        <v>226</v>
      </c>
      <c r="D914" s="192">
        <f t="shared" si="196"/>
        <v>0</v>
      </c>
      <c r="E914" s="192">
        <f t="shared" si="197"/>
        <v>0</v>
      </c>
      <c r="F914" s="192">
        <f t="shared" si="198"/>
        <v>0</v>
      </c>
      <c r="G914" s="193">
        <f t="shared" si="199"/>
        <v>0</v>
      </c>
      <c r="H914" s="194">
        <v>0</v>
      </c>
      <c r="I914" s="194">
        <v>0</v>
      </c>
      <c r="J914" s="194">
        <v>0</v>
      </c>
      <c r="K914" s="193">
        <f t="shared" si="200"/>
        <v>0</v>
      </c>
      <c r="L914" s="194">
        <v>0</v>
      </c>
      <c r="M914" s="194">
        <v>0</v>
      </c>
      <c r="N914" s="194">
        <v>0</v>
      </c>
      <c r="O914" s="193">
        <f t="shared" si="201"/>
        <v>0</v>
      </c>
      <c r="P914" s="194">
        <v>0</v>
      </c>
      <c r="Q914" s="194">
        <v>0</v>
      </c>
      <c r="R914" s="194">
        <v>0</v>
      </c>
      <c r="S914" s="193">
        <f t="shared" si="202"/>
        <v>0</v>
      </c>
      <c r="T914" s="193">
        <f t="shared" si="203"/>
        <v>0</v>
      </c>
      <c r="U914" s="193">
        <f ca="1">OFFSET('Expenditure Study'!$B$7,'Operations Support'!$C914,'Operations Support'!$B914)*$G914</f>
        <v>0</v>
      </c>
      <c r="V914" s="199">
        <f ca="1">U914*'Expenditure Study'!$B$31</f>
        <v>0</v>
      </c>
      <c r="W914" s="199">
        <f ca="1">IF(A914=10298,1.51,1)*IF($B914&lt;3,$D914*'Expenditure Study'!$B$32*OFFSET('Expenditure Study'!$B$7,'Operations Support'!$C914,'Operations Support'!$B914),0)</f>
        <v>0</v>
      </c>
      <c r="X914" s="200">
        <f ca="1">W914*'Expenditure Study'!$B$31</f>
        <v>0</v>
      </c>
      <c r="Y914" s="199">
        <f ca="1">U914*'Expenditure Study'!$B$31</f>
        <v>0</v>
      </c>
      <c r="Z914" s="200">
        <f ca="1">W914*'Expenditure Study'!$B$31</f>
        <v>0</v>
      </c>
      <c r="AA914" s="195">
        <f t="shared" ca="1" si="204"/>
        <v>0</v>
      </c>
      <c r="AB914" s="195">
        <f t="shared" ca="1" si="205"/>
        <v>0</v>
      </c>
      <c r="AD914" s="196">
        <f>IFERROR($G914/SUMIF($A:$A,$A914,$G:$G)*SUMIF(Summary!$A$166:$A$242,$A914,Summary!$P$166:$P$242),0)</f>
        <v>0</v>
      </c>
      <c r="AE914" s="197">
        <f t="shared" ca="1" si="206"/>
        <v>0</v>
      </c>
      <c r="AF914" s="196">
        <f>IFERROR(G914/SUMIF(A:A,A914,G:G)*SUMIF(Summary!$A$166:$A$242,'Operations Support'!A914,Summary!$Q$166:$Q$242),0)</f>
        <v>0</v>
      </c>
      <c r="AG914" s="196">
        <f t="shared" ca="1" si="207"/>
        <v>0</v>
      </c>
      <c r="AH914" s="180"/>
      <c r="AI914" s="196">
        <f>IFERROR($G914/SUMIF($A:$A,$A914,$G:$G)*SUMIF(Summary!$A$247:$A$283,$A914,Summary!$P$247:$P$283),0)</f>
        <v>0</v>
      </c>
      <c r="AJ914" s="196">
        <f>IFERROR($G914/SUMIF($A:$A,$A914,$G:$G)*(SUMIF(Summary!$A$247:$A$283,$A914,Summary!$L$247:$L$283)+SUMIF(Summary!$A$297:$A$333,$A914,Summary!$L$297:$L$333))-AI914,0)</f>
        <v>0</v>
      </c>
      <c r="AK914" s="196">
        <f>IFERROR($G914/SUMIF($A:$A,$A914,$G:$G)*SUMIF(Summary!$A$247:$A$283,$A914,Summary!$Q$247:$Q$283),0)</f>
        <v>0</v>
      </c>
      <c r="AL914" s="196">
        <f>IFERROR($G914/SUMIF($A:$A,$A914,$G:$G)*(SUMIF(Summary!$A$247:$A$283,$A914,Summary!$L$247:$L$283)+SUMIF(Summary!$A$297:$A$333,$A914,Summary!$L$297:$L$333))-AK914,0)</f>
        <v>0</v>
      </c>
      <c r="AM914" s="198"/>
      <c r="AN914" s="196">
        <f t="shared" ca="1" si="208"/>
        <v>0</v>
      </c>
      <c r="AO914" s="196">
        <f t="shared" ca="1" si="209"/>
        <v>0</v>
      </c>
    </row>
    <row r="915" spans="1:41">
      <c r="A915" s="189">
        <v>3615</v>
      </c>
      <c r="B915" s="203">
        <v>4</v>
      </c>
      <c r="C915" s="191" t="s">
        <v>227</v>
      </c>
      <c r="D915" s="192">
        <f t="shared" si="196"/>
        <v>0</v>
      </c>
      <c r="E915" s="192">
        <f t="shared" si="197"/>
        <v>0</v>
      </c>
      <c r="F915" s="192">
        <f t="shared" si="198"/>
        <v>0</v>
      </c>
      <c r="G915" s="193">
        <f t="shared" si="199"/>
        <v>0</v>
      </c>
      <c r="H915" s="194">
        <v>0</v>
      </c>
      <c r="I915" s="194">
        <v>0</v>
      </c>
      <c r="J915" s="194">
        <v>0</v>
      </c>
      <c r="K915" s="193">
        <f t="shared" si="200"/>
        <v>0</v>
      </c>
      <c r="L915" s="194">
        <v>0</v>
      </c>
      <c r="M915" s="194">
        <v>0</v>
      </c>
      <c r="N915" s="194">
        <v>0</v>
      </c>
      <c r="O915" s="193">
        <f t="shared" si="201"/>
        <v>0</v>
      </c>
      <c r="P915" s="194">
        <v>0</v>
      </c>
      <c r="Q915" s="194">
        <v>0</v>
      </c>
      <c r="R915" s="194">
        <v>0</v>
      </c>
      <c r="S915" s="193">
        <f t="shared" si="202"/>
        <v>0</v>
      </c>
      <c r="T915" s="193">
        <f t="shared" si="203"/>
        <v>0</v>
      </c>
      <c r="U915" s="193">
        <f ca="1">OFFSET('Expenditure Study'!$B$7,'Operations Support'!$C915,'Operations Support'!$B915)*$G915</f>
        <v>0</v>
      </c>
      <c r="V915" s="199">
        <f ca="1">U915*'Expenditure Study'!$B$31</f>
        <v>0</v>
      </c>
      <c r="W915" s="199">
        <f ca="1">IF(A915=10298,1.51,1)*IF($B915&lt;3,$D915*'Expenditure Study'!$B$32*OFFSET('Expenditure Study'!$B$7,'Operations Support'!$C915,'Operations Support'!$B915),0)</f>
        <v>0</v>
      </c>
      <c r="X915" s="200">
        <f ca="1">W915*'Expenditure Study'!$B$31</f>
        <v>0</v>
      </c>
      <c r="Y915" s="199">
        <f ca="1">U915*'Expenditure Study'!$B$31</f>
        <v>0</v>
      </c>
      <c r="Z915" s="200">
        <f ca="1">W915*'Expenditure Study'!$B$31</f>
        <v>0</v>
      </c>
      <c r="AA915" s="195">
        <f t="shared" ca="1" si="204"/>
        <v>0</v>
      </c>
      <c r="AB915" s="195">
        <f t="shared" ca="1" si="205"/>
        <v>0</v>
      </c>
      <c r="AD915" s="196">
        <f>IFERROR($G915/SUMIF($A:$A,$A915,$G:$G)*SUMIF(Summary!$A$166:$A$242,$A915,Summary!$P$166:$P$242),0)</f>
        <v>0</v>
      </c>
      <c r="AE915" s="197">
        <f t="shared" ca="1" si="206"/>
        <v>0</v>
      </c>
      <c r="AF915" s="196">
        <f>IFERROR(G915/SUMIF(A:A,A915,G:G)*SUMIF(Summary!$A$166:$A$242,'Operations Support'!A915,Summary!$Q$166:$Q$242),0)</f>
        <v>0</v>
      </c>
      <c r="AG915" s="196">
        <f t="shared" ca="1" si="207"/>
        <v>0</v>
      </c>
      <c r="AI915" s="196">
        <f>IFERROR($G915/SUMIF($A:$A,$A915,$G:$G)*SUMIF(Summary!$A$247:$A$283,$A915,Summary!$P$247:$P$283),0)</f>
        <v>0</v>
      </c>
      <c r="AJ915" s="196">
        <f>IFERROR($G915/SUMIF($A:$A,$A915,$G:$G)*(SUMIF(Summary!$A$247:$A$283,$A915,Summary!$L$247:$L$283)+SUMIF(Summary!$A$297:$A$333,$A915,Summary!$L$297:$L$333))-AI915,0)</f>
        <v>0</v>
      </c>
      <c r="AK915" s="196">
        <f>IFERROR($G915/SUMIF($A:$A,$A915,$G:$G)*SUMIF(Summary!$A$247:$A$283,$A915,Summary!$Q$247:$Q$283),0)</f>
        <v>0</v>
      </c>
      <c r="AL915" s="196">
        <f>IFERROR($G915/SUMIF($A:$A,$A915,$G:$G)*(SUMIF(Summary!$A$247:$A$283,$A915,Summary!$L$247:$L$283)+SUMIF(Summary!$A$297:$A$333,$A915,Summary!$L$297:$L$333))-AK915,0)</f>
        <v>0</v>
      </c>
      <c r="AM915" s="198"/>
      <c r="AN915" s="196">
        <f t="shared" ca="1" si="208"/>
        <v>0</v>
      </c>
      <c r="AO915" s="196">
        <f t="shared" ca="1" si="209"/>
        <v>0</v>
      </c>
    </row>
    <row r="916" spans="1:41">
      <c r="A916" s="189">
        <v>3615</v>
      </c>
      <c r="B916" s="203">
        <v>4</v>
      </c>
      <c r="C916" s="191" t="s">
        <v>228</v>
      </c>
      <c r="D916" s="192">
        <f t="shared" si="196"/>
        <v>0</v>
      </c>
      <c r="E916" s="192">
        <f t="shared" si="197"/>
        <v>0</v>
      </c>
      <c r="F916" s="192">
        <f t="shared" si="198"/>
        <v>0</v>
      </c>
      <c r="G916" s="193">
        <f t="shared" si="199"/>
        <v>0</v>
      </c>
      <c r="H916" s="194">
        <v>0</v>
      </c>
      <c r="I916" s="194">
        <v>0</v>
      </c>
      <c r="J916" s="194">
        <v>0</v>
      </c>
      <c r="K916" s="193">
        <f t="shared" si="200"/>
        <v>0</v>
      </c>
      <c r="L916" s="194">
        <v>0</v>
      </c>
      <c r="M916" s="194">
        <v>0</v>
      </c>
      <c r="N916" s="194">
        <v>0</v>
      </c>
      <c r="O916" s="193">
        <f t="shared" si="201"/>
        <v>0</v>
      </c>
      <c r="P916" s="194">
        <v>0</v>
      </c>
      <c r="Q916" s="194">
        <v>0</v>
      </c>
      <c r="R916" s="194">
        <v>0</v>
      </c>
      <c r="S916" s="193">
        <f t="shared" si="202"/>
        <v>0</v>
      </c>
      <c r="T916" s="193">
        <f t="shared" si="203"/>
        <v>0</v>
      </c>
      <c r="U916" s="193">
        <f ca="1">OFFSET('Expenditure Study'!$B$7,'Operations Support'!$C916,'Operations Support'!$B916)*$G916</f>
        <v>0</v>
      </c>
      <c r="V916" s="199">
        <f ca="1">U916*'Expenditure Study'!$B$31</f>
        <v>0</v>
      </c>
      <c r="W916" s="199">
        <f ca="1">IF(A916=10298,1.51,1)*IF($B916&lt;3,$D916*'Expenditure Study'!$B$32*OFFSET('Expenditure Study'!$B$7,'Operations Support'!$C916,'Operations Support'!$B916),0)</f>
        <v>0</v>
      </c>
      <c r="X916" s="200">
        <f ca="1">W916*'Expenditure Study'!$B$31</f>
        <v>0</v>
      </c>
      <c r="Y916" s="199">
        <f ca="1">U916*'Expenditure Study'!$B$31</f>
        <v>0</v>
      </c>
      <c r="Z916" s="200">
        <f ca="1">W916*'Expenditure Study'!$B$31</f>
        <v>0</v>
      </c>
      <c r="AA916" s="195">
        <f t="shared" ca="1" si="204"/>
        <v>0</v>
      </c>
      <c r="AB916" s="195">
        <f t="shared" ca="1" si="205"/>
        <v>0</v>
      </c>
      <c r="AD916" s="196">
        <f>IFERROR($G916/SUMIF($A:$A,$A916,$G:$G)*SUMIF(Summary!$A$166:$A$242,$A916,Summary!$P$166:$P$242),0)</f>
        <v>0</v>
      </c>
      <c r="AE916" s="197">
        <f t="shared" ca="1" si="206"/>
        <v>0</v>
      </c>
      <c r="AF916" s="196">
        <f>IFERROR(G916/SUMIF(A:A,A916,G:G)*SUMIF(Summary!$A$166:$A$242,'Operations Support'!A916,Summary!$Q$166:$Q$242),0)</f>
        <v>0</v>
      </c>
      <c r="AG916" s="196">
        <f t="shared" ca="1" si="207"/>
        <v>0</v>
      </c>
      <c r="AI916" s="196">
        <f>IFERROR($G916/SUMIF($A:$A,$A916,$G:$G)*SUMIF(Summary!$A$247:$A$283,$A916,Summary!$P$247:$P$283),0)</f>
        <v>0</v>
      </c>
      <c r="AJ916" s="196">
        <f>IFERROR($G916/SUMIF($A:$A,$A916,$G:$G)*(SUMIF(Summary!$A$247:$A$283,$A916,Summary!$L$247:$L$283)+SUMIF(Summary!$A$297:$A$333,$A916,Summary!$L$297:$L$333))-AI916,0)</f>
        <v>0</v>
      </c>
      <c r="AK916" s="196">
        <f>IFERROR($G916/SUMIF($A:$A,$A916,$G:$G)*SUMIF(Summary!$A$247:$A$283,$A916,Summary!$Q$247:$Q$283),0)</f>
        <v>0</v>
      </c>
      <c r="AL916" s="196">
        <f>IFERROR($G916/SUMIF($A:$A,$A916,$G:$G)*(SUMIF(Summary!$A$247:$A$283,$A916,Summary!$L$247:$L$283)+SUMIF(Summary!$A$297:$A$333,$A916,Summary!$L$297:$L$333))-AK916,0)</f>
        <v>0</v>
      </c>
      <c r="AM916" s="198"/>
      <c r="AN916" s="196">
        <f t="shared" ca="1" si="208"/>
        <v>0</v>
      </c>
      <c r="AO916" s="196">
        <f t="shared" ca="1" si="209"/>
        <v>0</v>
      </c>
    </row>
    <row r="917" spans="1:41">
      <c r="A917" s="189">
        <v>3615</v>
      </c>
      <c r="B917" s="203">
        <v>4</v>
      </c>
      <c r="C917" s="191" t="s">
        <v>229</v>
      </c>
      <c r="D917" s="192">
        <f t="shared" si="196"/>
        <v>0</v>
      </c>
      <c r="E917" s="192">
        <f t="shared" si="197"/>
        <v>0</v>
      </c>
      <c r="F917" s="192">
        <f t="shared" si="198"/>
        <v>0</v>
      </c>
      <c r="G917" s="193">
        <f t="shared" si="199"/>
        <v>0</v>
      </c>
      <c r="H917" s="194">
        <v>0</v>
      </c>
      <c r="I917" s="194">
        <v>0</v>
      </c>
      <c r="J917" s="194">
        <v>0</v>
      </c>
      <c r="K917" s="193">
        <f t="shared" si="200"/>
        <v>0</v>
      </c>
      <c r="L917" s="194">
        <v>0</v>
      </c>
      <c r="M917" s="194">
        <v>0</v>
      </c>
      <c r="N917" s="194">
        <v>0</v>
      </c>
      <c r="O917" s="193">
        <f t="shared" si="201"/>
        <v>0</v>
      </c>
      <c r="P917" s="194">
        <v>0</v>
      </c>
      <c r="Q917" s="194">
        <v>0</v>
      </c>
      <c r="R917" s="194">
        <v>0</v>
      </c>
      <c r="S917" s="193">
        <f t="shared" si="202"/>
        <v>0</v>
      </c>
      <c r="T917" s="193">
        <f t="shared" si="203"/>
        <v>0</v>
      </c>
      <c r="U917" s="193">
        <f ca="1">OFFSET('Expenditure Study'!$B$7,'Operations Support'!$C917,'Operations Support'!$B917)*$G917</f>
        <v>0</v>
      </c>
      <c r="V917" s="199">
        <f ca="1">U917*'Expenditure Study'!$B$31</f>
        <v>0</v>
      </c>
      <c r="W917" s="199">
        <f ca="1">IF(A917=10298,1.51,1)*IF($B917&lt;3,$D917*'Expenditure Study'!$B$32*OFFSET('Expenditure Study'!$B$7,'Operations Support'!$C917,'Operations Support'!$B917),0)</f>
        <v>0</v>
      </c>
      <c r="X917" s="200">
        <f ca="1">W917*'Expenditure Study'!$B$31</f>
        <v>0</v>
      </c>
      <c r="Y917" s="199">
        <f ca="1">U917*'Expenditure Study'!$B$31</f>
        <v>0</v>
      </c>
      <c r="Z917" s="200">
        <f ca="1">W917*'Expenditure Study'!$B$31</f>
        <v>0</v>
      </c>
      <c r="AA917" s="195">
        <f t="shared" ca="1" si="204"/>
        <v>0</v>
      </c>
      <c r="AB917" s="195">
        <f t="shared" ca="1" si="205"/>
        <v>0</v>
      </c>
      <c r="AD917" s="196">
        <f>IFERROR($G917/SUMIF($A:$A,$A917,$G:$G)*SUMIF(Summary!$A$166:$A$242,$A917,Summary!$P$166:$P$242),0)</f>
        <v>0</v>
      </c>
      <c r="AE917" s="197">
        <f t="shared" ca="1" si="206"/>
        <v>0</v>
      </c>
      <c r="AF917" s="196">
        <f>IFERROR(G917/SUMIF(A:A,A917,G:G)*SUMIF(Summary!$A$166:$A$242,'Operations Support'!A917,Summary!$Q$166:$Q$242),0)</f>
        <v>0</v>
      </c>
      <c r="AG917" s="196">
        <f t="shared" ca="1" si="207"/>
        <v>0</v>
      </c>
      <c r="AI917" s="196">
        <f>IFERROR($G917/SUMIF($A:$A,$A917,$G:$G)*SUMIF(Summary!$A$247:$A$283,$A917,Summary!$P$247:$P$283),0)</f>
        <v>0</v>
      </c>
      <c r="AJ917" s="196">
        <f>IFERROR($G917/SUMIF($A:$A,$A917,$G:$G)*(SUMIF(Summary!$A$247:$A$283,$A917,Summary!$L$247:$L$283)+SUMIF(Summary!$A$297:$A$333,$A917,Summary!$L$297:$L$333))-AI917,0)</f>
        <v>0</v>
      </c>
      <c r="AK917" s="196">
        <f>IFERROR($G917/SUMIF($A:$A,$A917,$G:$G)*SUMIF(Summary!$A$247:$A$283,$A917,Summary!$Q$247:$Q$283),0)</f>
        <v>0</v>
      </c>
      <c r="AL917" s="196">
        <f>IFERROR($G917/SUMIF($A:$A,$A917,$G:$G)*(SUMIF(Summary!$A$247:$A$283,$A917,Summary!$L$247:$L$283)+SUMIF(Summary!$A$297:$A$333,$A917,Summary!$L$297:$L$333))-AK917,0)</f>
        <v>0</v>
      </c>
      <c r="AM917" s="198"/>
      <c r="AN917" s="196">
        <f t="shared" ca="1" si="208"/>
        <v>0</v>
      </c>
      <c r="AO917" s="196">
        <f t="shared" ca="1" si="209"/>
        <v>0</v>
      </c>
    </row>
    <row r="918" spans="1:41">
      <c r="A918" s="189">
        <v>3615</v>
      </c>
      <c r="B918" s="203">
        <v>4</v>
      </c>
      <c r="C918" s="191" t="s">
        <v>230</v>
      </c>
      <c r="D918" s="192">
        <f t="shared" si="196"/>
        <v>0</v>
      </c>
      <c r="E918" s="192">
        <f t="shared" si="197"/>
        <v>0</v>
      </c>
      <c r="F918" s="192">
        <f t="shared" si="198"/>
        <v>0</v>
      </c>
      <c r="G918" s="193">
        <f t="shared" si="199"/>
        <v>0</v>
      </c>
      <c r="H918" s="194">
        <v>0</v>
      </c>
      <c r="I918" s="194">
        <v>0</v>
      </c>
      <c r="J918" s="194">
        <v>0</v>
      </c>
      <c r="K918" s="193">
        <f t="shared" si="200"/>
        <v>0</v>
      </c>
      <c r="L918" s="194">
        <v>0</v>
      </c>
      <c r="M918" s="194">
        <v>0</v>
      </c>
      <c r="N918" s="194">
        <v>0</v>
      </c>
      <c r="O918" s="193">
        <f t="shared" si="201"/>
        <v>0</v>
      </c>
      <c r="P918" s="194">
        <v>0</v>
      </c>
      <c r="Q918" s="194">
        <v>0</v>
      </c>
      <c r="R918" s="194">
        <v>0</v>
      </c>
      <c r="S918" s="193">
        <f t="shared" si="202"/>
        <v>0</v>
      </c>
      <c r="T918" s="193">
        <f t="shared" si="203"/>
        <v>0</v>
      </c>
      <c r="U918" s="193">
        <f ca="1">OFFSET('Expenditure Study'!$B$7,'Operations Support'!$C918,'Operations Support'!$B918)*$G918</f>
        <v>0</v>
      </c>
      <c r="V918" s="199">
        <f ca="1">U918*'Expenditure Study'!$B$31</f>
        <v>0</v>
      </c>
      <c r="W918" s="199">
        <f ca="1">IF(A918=10298,1.51,1)*IF($B918&lt;3,$D918*'Expenditure Study'!$B$32*OFFSET('Expenditure Study'!$B$7,'Operations Support'!$C918,'Operations Support'!$B918),0)</f>
        <v>0</v>
      </c>
      <c r="X918" s="200">
        <f ca="1">W918*'Expenditure Study'!$B$31</f>
        <v>0</v>
      </c>
      <c r="Y918" s="199">
        <f ca="1">U918*'Expenditure Study'!$B$31</f>
        <v>0</v>
      </c>
      <c r="Z918" s="200">
        <f ca="1">W918*'Expenditure Study'!$B$31</f>
        <v>0</v>
      </c>
      <c r="AA918" s="195">
        <f t="shared" ca="1" si="204"/>
        <v>0</v>
      </c>
      <c r="AB918" s="195">
        <f t="shared" ca="1" si="205"/>
        <v>0</v>
      </c>
      <c r="AD918" s="196">
        <f>IFERROR($G918/SUMIF($A:$A,$A918,$G:$G)*SUMIF(Summary!$A$166:$A$242,$A918,Summary!$P$166:$P$242),0)</f>
        <v>0</v>
      </c>
      <c r="AE918" s="197">
        <f t="shared" ca="1" si="206"/>
        <v>0</v>
      </c>
      <c r="AF918" s="196">
        <f>IFERROR(G918/SUMIF(A:A,A918,G:G)*SUMIF(Summary!$A$166:$A$242,'Operations Support'!A918,Summary!$Q$166:$Q$242),0)</f>
        <v>0</v>
      </c>
      <c r="AG918" s="196">
        <f t="shared" ca="1" si="207"/>
        <v>0</v>
      </c>
      <c r="AI918" s="196">
        <f>IFERROR($G918/SUMIF($A:$A,$A918,$G:$G)*SUMIF(Summary!$A$247:$A$283,$A918,Summary!$P$247:$P$283),0)</f>
        <v>0</v>
      </c>
      <c r="AJ918" s="196">
        <f>IFERROR($G918/SUMIF($A:$A,$A918,$G:$G)*(SUMIF(Summary!$A$247:$A$283,$A918,Summary!$L$247:$L$283)+SUMIF(Summary!$A$297:$A$333,$A918,Summary!$L$297:$L$333))-AI918,0)</f>
        <v>0</v>
      </c>
      <c r="AK918" s="196">
        <f>IFERROR($G918/SUMIF($A:$A,$A918,$G:$G)*SUMIF(Summary!$A$247:$A$283,$A918,Summary!$Q$247:$Q$283),0)</f>
        <v>0</v>
      </c>
      <c r="AL918" s="196">
        <f>IFERROR($G918/SUMIF($A:$A,$A918,$G:$G)*(SUMIF(Summary!$A$247:$A$283,$A918,Summary!$L$247:$L$283)+SUMIF(Summary!$A$297:$A$333,$A918,Summary!$L$297:$L$333))-AK918,0)</f>
        <v>0</v>
      </c>
      <c r="AM918" s="198"/>
      <c r="AN918" s="196">
        <f t="shared" ca="1" si="208"/>
        <v>0</v>
      </c>
      <c r="AO918" s="196">
        <f t="shared" ca="1" si="209"/>
        <v>0</v>
      </c>
    </row>
    <row r="919" spans="1:41">
      <c r="A919" s="189">
        <v>3615</v>
      </c>
      <c r="B919" s="203">
        <v>4</v>
      </c>
      <c r="C919" s="191" t="s">
        <v>231</v>
      </c>
      <c r="D919" s="192">
        <f t="shared" si="196"/>
        <v>0</v>
      </c>
      <c r="E919" s="192">
        <f t="shared" si="197"/>
        <v>0</v>
      </c>
      <c r="F919" s="192">
        <f t="shared" si="198"/>
        <v>0</v>
      </c>
      <c r="G919" s="193">
        <f t="shared" si="199"/>
        <v>0</v>
      </c>
      <c r="H919" s="194">
        <v>0</v>
      </c>
      <c r="I919" s="194">
        <v>0</v>
      </c>
      <c r="J919" s="194">
        <v>0</v>
      </c>
      <c r="K919" s="193">
        <f t="shared" si="200"/>
        <v>0</v>
      </c>
      <c r="L919" s="194">
        <v>0</v>
      </c>
      <c r="M919" s="194">
        <v>0</v>
      </c>
      <c r="N919" s="194">
        <v>0</v>
      </c>
      <c r="O919" s="193">
        <f t="shared" si="201"/>
        <v>0</v>
      </c>
      <c r="P919" s="194">
        <v>0</v>
      </c>
      <c r="Q919" s="194">
        <v>0</v>
      </c>
      <c r="R919" s="194">
        <v>0</v>
      </c>
      <c r="S919" s="193">
        <f t="shared" si="202"/>
        <v>0</v>
      </c>
      <c r="T919" s="193">
        <f t="shared" si="203"/>
        <v>0</v>
      </c>
      <c r="U919" s="193">
        <f ca="1">OFFSET('Expenditure Study'!$B$7,'Operations Support'!$C919,'Operations Support'!$B919)*$G919</f>
        <v>0</v>
      </c>
      <c r="V919" s="199">
        <f ca="1">U919*'Expenditure Study'!$B$31</f>
        <v>0</v>
      </c>
      <c r="W919" s="199">
        <f ca="1">IF(A919=10298,1.51,1)*IF($B919&lt;3,$D919*'Expenditure Study'!$B$32*OFFSET('Expenditure Study'!$B$7,'Operations Support'!$C919,'Operations Support'!$B919),0)</f>
        <v>0</v>
      </c>
      <c r="X919" s="200">
        <f ca="1">W919*'Expenditure Study'!$B$31</f>
        <v>0</v>
      </c>
      <c r="Y919" s="199">
        <f ca="1">U919*'Expenditure Study'!$B$31</f>
        <v>0</v>
      </c>
      <c r="Z919" s="200">
        <f ca="1">W919*'Expenditure Study'!$B$31</f>
        <v>0</v>
      </c>
      <c r="AA919" s="195">
        <f t="shared" ca="1" si="204"/>
        <v>0</v>
      </c>
      <c r="AB919" s="195">
        <f t="shared" ca="1" si="205"/>
        <v>0</v>
      </c>
      <c r="AD919" s="196">
        <f>IFERROR($G919/SUMIF($A:$A,$A919,$G:$G)*SUMIF(Summary!$A$166:$A$242,$A919,Summary!$P$166:$P$242),0)</f>
        <v>0</v>
      </c>
      <c r="AE919" s="197">
        <f t="shared" ca="1" si="206"/>
        <v>0</v>
      </c>
      <c r="AF919" s="196">
        <f>IFERROR(G919/SUMIF(A:A,A919,G:G)*SUMIF(Summary!$A$166:$A$242,'Operations Support'!A919,Summary!$Q$166:$Q$242),0)</f>
        <v>0</v>
      </c>
      <c r="AG919" s="196">
        <f t="shared" ca="1" si="207"/>
        <v>0</v>
      </c>
      <c r="AI919" s="196">
        <f>IFERROR($G919/SUMIF($A:$A,$A919,$G:$G)*SUMIF(Summary!$A$247:$A$283,$A919,Summary!$P$247:$P$283),0)</f>
        <v>0</v>
      </c>
      <c r="AJ919" s="196">
        <f>IFERROR($G919/SUMIF($A:$A,$A919,$G:$G)*(SUMIF(Summary!$A$247:$A$283,$A919,Summary!$L$247:$L$283)+SUMIF(Summary!$A$297:$A$333,$A919,Summary!$L$297:$L$333))-AI919,0)</f>
        <v>0</v>
      </c>
      <c r="AK919" s="196">
        <f>IFERROR($G919/SUMIF($A:$A,$A919,$G:$G)*SUMIF(Summary!$A$247:$A$283,$A919,Summary!$Q$247:$Q$283),0)</f>
        <v>0</v>
      </c>
      <c r="AL919" s="196">
        <f>IFERROR($G919/SUMIF($A:$A,$A919,$G:$G)*(SUMIF(Summary!$A$247:$A$283,$A919,Summary!$L$247:$L$283)+SUMIF(Summary!$A$297:$A$333,$A919,Summary!$L$297:$L$333))-AK919,0)</f>
        <v>0</v>
      </c>
      <c r="AM919" s="198"/>
      <c r="AN919" s="196">
        <f t="shared" ca="1" si="208"/>
        <v>0</v>
      </c>
      <c r="AO919" s="196">
        <f t="shared" ca="1" si="209"/>
        <v>0</v>
      </c>
    </row>
    <row r="920" spans="1:41">
      <c r="A920" s="189">
        <v>3615</v>
      </c>
      <c r="B920" s="203">
        <v>4</v>
      </c>
      <c r="C920" s="191" t="s">
        <v>232</v>
      </c>
      <c r="D920" s="192">
        <f t="shared" si="196"/>
        <v>0</v>
      </c>
      <c r="E920" s="192">
        <f t="shared" si="197"/>
        <v>0</v>
      </c>
      <c r="F920" s="192">
        <f t="shared" si="198"/>
        <v>0</v>
      </c>
      <c r="G920" s="193">
        <f t="shared" si="199"/>
        <v>0</v>
      </c>
      <c r="H920" s="194">
        <v>0</v>
      </c>
      <c r="I920" s="194">
        <v>0</v>
      </c>
      <c r="J920" s="194">
        <v>0</v>
      </c>
      <c r="K920" s="193">
        <f t="shared" si="200"/>
        <v>0</v>
      </c>
      <c r="L920" s="194">
        <v>0</v>
      </c>
      <c r="M920" s="194">
        <v>0</v>
      </c>
      <c r="N920" s="194">
        <v>0</v>
      </c>
      <c r="O920" s="193">
        <f t="shared" si="201"/>
        <v>0</v>
      </c>
      <c r="P920" s="194">
        <v>0</v>
      </c>
      <c r="Q920" s="194">
        <v>0</v>
      </c>
      <c r="R920" s="194">
        <v>0</v>
      </c>
      <c r="S920" s="193">
        <f t="shared" si="202"/>
        <v>0</v>
      </c>
      <c r="T920" s="193">
        <f t="shared" si="203"/>
        <v>0</v>
      </c>
      <c r="U920" s="193">
        <f ca="1">OFFSET('Expenditure Study'!$B$7,'Operations Support'!$C920,'Operations Support'!$B920)*$G920</f>
        <v>0</v>
      </c>
      <c r="V920" s="199">
        <f ca="1">U920*'Expenditure Study'!$B$31</f>
        <v>0</v>
      </c>
      <c r="W920" s="199">
        <f ca="1">IF(A920=10298,1.51,1)*IF($B920&lt;3,$D920*'Expenditure Study'!$B$32*OFFSET('Expenditure Study'!$B$7,'Operations Support'!$C920,'Operations Support'!$B920),0)</f>
        <v>0</v>
      </c>
      <c r="X920" s="200">
        <f ca="1">W920*'Expenditure Study'!$B$31</f>
        <v>0</v>
      </c>
      <c r="Y920" s="199">
        <f ca="1">U920*'Expenditure Study'!$B$31</f>
        <v>0</v>
      </c>
      <c r="Z920" s="200">
        <f ca="1">W920*'Expenditure Study'!$B$31</f>
        <v>0</v>
      </c>
      <c r="AA920" s="195">
        <f t="shared" ca="1" si="204"/>
        <v>0</v>
      </c>
      <c r="AB920" s="195">
        <f t="shared" ca="1" si="205"/>
        <v>0</v>
      </c>
      <c r="AD920" s="196">
        <f>IFERROR($G920/SUMIF($A:$A,$A920,$G:$G)*SUMIF(Summary!$A$166:$A$242,$A920,Summary!$P$166:$P$242),0)</f>
        <v>0</v>
      </c>
      <c r="AE920" s="197">
        <f t="shared" ca="1" si="206"/>
        <v>0</v>
      </c>
      <c r="AF920" s="196">
        <f>IFERROR(G920/SUMIF(A:A,A920,G:G)*SUMIF(Summary!$A$166:$A$242,'Operations Support'!A920,Summary!$Q$166:$Q$242),0)</f>
        <v>0</v>
      </c>
      <c r="AG920" s="196">
        <f t="shared" ca="1" si="207"/>
        <v>0</v>
      </c>
      <c r="AI920" s="196">
        <f>IFERROR($G920/SUMIF($A:$A,$A920,$G:$G)*SUMIF(Summary!$A$247:$A$283,$A920,Summary!$P$247:$P$283),0)</f>
        <v>0</v>
      </c>
      <c r="AJ920" s="196">
        <f>IFERROR($G920/SUMIF($A:$A,$A920,$G:$G)*(SUMIF(Summary!$A$247:$A$283,$A920,Summary!$L$247:$L$283)+SUMIF(Summary!$A$297:$A$333,$A920,Summary!$L$297:$L$333))-AI920,0)</f>
        <v>0</v>
      </c>
      <c r="AK920" s="196">
        <f>IFERROR($G920/SUMIF($A:$A,$A920,$G:$G)*SUMIF(Summary!$A$247:$A$283,$A920,Summary!$Q$247:$Q$283),0)</f>
        <v>0</v>
      </c>
      <c r="AL920" s="196">
        <f>IFERROR($G920/SUMIF($A:$A,$A920,$G:$G)*(SUMIF(Summary!$A$247:$A$283,$A920,Summary!$L$247:$L$283)+SUMIF(Summary!$A$297:$A$333,$A920,Summary!$L$297:$L$333))-AK920,0)</f>
        <v>0</v>
      </c>
      <c r="AM920" s="198"/>
      <c r="AN920" s="196">
        <f t="shared" ca="1" si="208"/>
        <v>0</v>
      </c>
      <c r="AO920" s="196">
        <f t="shared" ca="1" si="209"/>
        <v>0</v>
      </c>
    </row>
    <row r="921" spans="1:41">
      <c r="A921" s="189">
        <v>3615</v>
      </c>
      <c r="B921" s="203">
        <v>4</v>
      </c>
      <c r="C921" s="191" t="s">
        <v>233</v>
      </c>
      <c r="D921" s="192">
        <f t="shared" si="196"/>
        <v>3</v>
      </c>
      <c r="E921" s="192">
        <f t="shared" si="197"/>
        <v>0</v>
      </c>
      <c r="F921" s="192">
        <f t="shared" si="198"/>
        <v>0</v>
      </c>
      <c r="G921" s="193">
        <f t="shared" si="199"/>
        <v>3</v>
      </c>
      <c r="H921" s="194">
        <v>0</v>
      </c>
      <c r="I921" s="194">
        <v>0</v>
      </c>
      <c r="J921" s="194">
        <v>0</v>
      </c>
      <c r="K921" s="193">
        <f t="shared" si="200"/>
        <v>0</v>
      </c>
      <c r="L921" s="194">
        <v>3</v>
      </c>
      <c r="M921" s="194">
        <v>0</v>
      </c>
      <c r="N921" s="194">
        <v>0</v>
      </c>
      <c r="O921" s="193">
        <f t="shared" si="201"/>
        <v>3</v>
      </c>
      <c r="P921" s="194">
        <v>0</v>
      </c>
      <c r="Q921" s="194">
        <v>0</v>
      </c>
      <c r="R921" s="194">
        <v>0</v>
      </c>
      <c r="S921" s="193">
        <f t="shared" si="202"/>
        <v>0</v>
      </c>
      <c r="T921" s="193">
        <f t="shared" si="203"/>
        <v>0.16666666666666666</v>
      </c>
      <c r="U921" s="193">
        <f ca="1">OFFSET('Expenditure Study'!$B$7,'Operations Support'!$C921,'Operations Support'!$B921)*$G921</f>
        <v>27.599999999999998</v>
      </c>
      <c r="V921" s="199">
        <f ca="1">U921*'Expenditure Study'!$B$31</f>
        <v>1630.6957900799998</v>
      </c>
      <c r="W921" s="199">
        <f ca="1">IF(A921=10298,1.51,1)*IF($B921&lt;3,$D921*'Expenditure Study'!$B$32*OFFSET('Expenditure Study'!$B$7,'Operations Support'!$C921,'Operations Support'!$B921),0)</f>
        <v>0</v>
      </c>
      <c r="X921" s="200">
        <f ca="1">W921*'Expenditure Study'!$B$31</f>
        <v>0</v>
      </c>
      <c r="Y921" s="199">
        <f ca="1">U921*'Expenditure Study'!$B$31</f>
        <v>1630.6957900799998</v>
      </c>
      <c r="Z921" s="200">
        <f ca="1">W921*'Expenditure Study'!$B$31</f>
        <v>0</v>
      </c>
      <c r="AA921" s="195">
        <f t="shared" ca="1" si="204"/>
        <v>1630.6957900799998</v>
      </c>
      <c r="AB921" s="195">
        <f t="shared" ca="1" si="205"/>
        <v>1630.6957900799998</v>
      </c>
      <c r="AD921" s="196">
        <f>IFERROR($G921/SUMIF($A:$A,$A921,$G:$G)*SUMIF(Summary!$A$166:$A$242,$A921,Summary!$P$166:$P$242),0)</f>
        <v>79.269959596625029</v>
      </c>
      <c r="AE921" s="197">
        <f t="shared" ca="1" si="206"/>
        <v>1551.4258304833747</v>
      </c>
      <c r="AF921" s="196">
        <f>IFERROR(G921/SUMIF(A:A,A921,G:G)*SUMIF(Summary!$A$166:$A$242,'Operations Support'!A921,Summary!$Q$166:$Q$242),0)</f>
        <v>79.427545269288771</v>
      </c>
      <c r="AG921" s="196">
        <f t="shared" ca="1" si="207"/>
        <v>1551.2682448107112</v>
      </c>
      <c r="AI921" s="196">
        <f>IFERROR($G921/SUMIF($A:$A,$A921,$G:$G)*SUMIF(Summary!$A$247:$A$283,$A921,Summary!$P$247:$P$283),0)</f>
        <v>14.456862470633162</v>
      </c>
      <c r="AJ921" s="196">
        <f>IFERROR($G921/SUMIF($A:$A,$A921,$G:$G)*(SUMIF(Summary!$A$247:$A$283,$A921,Summary!$L$247:$L$283)+SUMIF(Summary!$A$297:$A$333,$A921,Summary!$L$297:$L$333))-AI921,0)</f>
        <v>53.216765012219632</v>
      </c>
      <c r="AK921" s="196">
        <f>IFERROR($G921/SUMIF($A:$A,$A921,$G:$G)*SUMIF(Summary!$A$247:$A$283,$A921,Summary!$Q$247:$Q$283),0)</f>
        <v>14.485602164820405</v>
      </c>
      <c r="AL921" s="196">
        <f>IFERROR($G921/SUMIF($A:$A,$A921,$G:$G)*(SUMIF(Summary!$A$247:$A$283,$A921,Summary!$L$247:$L$283)+SUMIF(Summary!$A$297:$A$333,$A921,Summary!$L$297:$L$333))-AK921,0)</f>
        <v>53.188025318032388</v>
      </c>
      <c r="AM921" s="198"/>
      <c r="AN921" s="196">
        <f t="shared" ca="1" si="208"/>
        <v>1604.6425954955944</v>
      </c>
      <c r="AO921" s="196">
        <f t="shared" ca="1" si="209"/>
        <v>1604.4562701287437</v>
      </c>
    </row>
    <row r="922" spans="1:41">
      <c r="A922" s="189">
        <v>3615</v>
      </c>
      <c r="B922" s="203">
        <v>4</v>
      </c>
      <c r="C922" s="191" t="s">
        <v>234</v>
      </c>
      <c r="D922" s="192">
        <f t="shared" si="196"/>
        <v>0</v>
      </c>
      <c r="E922" s="192">
        <f t="shared" si="197"/>
        <v>0</v>
      </c>
      <c r="F922" s="192">
        <f t="shared" si="198"/>
        <v>0</v>
      </c>
      <c r="G922" s="193">
        <f t="shared" si="199"/>
        <v>0</v>
      </c>
      <c r="H922" s="194">
        <v>0</v>
      </c>
      <c r="I922" s="194">
        <v>0</v>
      </c>
      <c r="J922" s="194">
        <v>0</v>
      </c>
      <c r="K922" s="193">
        <f t="shared" si="200"/>
        <v>0</v>
      </c>
      <c r="L922" s="194">
        <v>0</v>
      </c>
      <c r="M922" s="194">
        <v>0</v>
      </c>
      <c r="N922" s="194">
        <v>0</v>
      </c>
      <c r="O922" s="193">
        <f t="shared" si="201"/>
        <v>0</v>
      </c>
      <c r="P922" s="194">
        <v>0</v>
      </c>
      <c r="Q922" s="194">
        <v>0</v>
      </c>
      <c r="R922" s="194">
        <v>0</v>
      </c>
      <c r="S922" s="193">
        <f t="shared" si="202"/>
        <v>0</v>
      </c>
      <c r="T922" s="193">
        <f t="shared" si="203"/>
        <v>0</v>
      </c>
      <c r="U922" s="193">
        <f ca="1">OFFSET('Expenditure Study'!$B$7,'Operations Support'!$C922,'Operations Support'!$B922)*$G922</f>
        <v>0</v>
      </c>
      <c r="V922" s="199">
        <f ca="1">U922*'Expenditure Study'!$B$31</f>
        <v>0</v>
      </c>
      <c r="W922" s="199">
        <f ca="1">IF(A922=10298,1.51,1)*IF($B922&lt;3,$D922*'Expenditure Study'!$B$32*OFFSET('Expenditure Study'!$B$7,'Operations Support'!$C922,'Operations Support'!$B922),0)</f>
        <v>0</v>
      </c>
      <c r="X922" s="200">
        <f ca="1">W922*'Expenditure Study'!$B$31</f>
        <v>0</v>
      </c>
      <c r="Y922" s="199">
        <f ca="1">U922*'Expenditure Study'!$B$31</f>
        <v>0</v>
      </c>
      <c r="Z922" s="200">
        <f ca="1">W922*'Expenditure Study'!$B$31</f>
        <v>0</v>
      </c>
      <c r="AA922" s="195">
        <f t="shared" ca="1" si="204"/>
        <v>0</v>
      </c>
      <c r="AB922" s="195">
        <f t="shared" ca="1" si="205"/>
        <v>0</v>
      </c>
      <c r="AD922" s="196">
        <f>IFERROR($G922/SUMIF($A:$A,$A922,$G:$G)*SUMIF(Summary!$A$166:$A$242,$A922,Summary!$P$166:$P$242),0)</f>
        <v>0</v>
      </c>
      <c r="AE922" s="197">
        <f t="shared" ca="1" si="206"/>
        <v>0</v>
      </c>
      <c r="AF922" s="196">
        <f>IFERROR(G922/SUMIF(A:A,A922,G:G)*SUMIF(Summary!$A$166:$A$242,'Operations Support'!A922,Summary!$Q$166:$Q$242),0)</f>
        <v>0</v>
      </c>
      <c r="AG922" s="196">
        <f t="shared" ca="1" si="207"/>
        <v>0</v>
      </c>
      <c r="AI922" s="196">
        <f>IFERROR($G922/SUMIF($A:$A,$A922,$G:$G)*SUMIF(Summary!$A$247:$A$283,$A922,Summary!$P$247:$P$283),0)</f>
        <v>0</v>
      </c>
      <c r="AJ922" s="196">
        <f>IFERROR($G922/SUMIF($A:$A,$A922,$G:$G)*(SUMIF(Summary!$A$247:$A$283,$A922,Summary!$L$247:$L$283)+SUMIF(Summary!$A$297:$A$333,$A922,Summary!$L$297:$L$333))-AI922,0)</f>
        <v>0</v>
      </c>
      <c r="AK922" s="196">
        <f>IFERROR($G922/SUMIF($A:$A,$A922,$G:$G)*SUMIF(Summary!$A$247:$A$283,$A922,Summary!$Q$247:$Q$283),0)</f>
        <v>0</v>
      </c>
      <c r="AL922" s="196">
        <f>IFERROR($G922/SUMIF($A:$A,$A922,$G:$G)*(SUMIF(Summary!$A$247:$A$283,$A922,Summary!$L$247:$L$283)+SUMIF(Summary!$A$297:$A$333,$A922,Summary!$L$297:$L$333))-AK922,0)</f>
        <v>0</v>
      </c>
      <c r="AM922" s="198"/>
      <c r="AN922" s="196">
        <f t="shared" ca="1" si="208"/>
        <v>0</v>
      </c>
      <c r="AO922" s="196">
        <f t="shared" ca="1" si="209"/>
        <v>0</v>
      </c>
    </row>
    <row r="923" spans="1:41">
      <c r="A923" s="189">
        <v>3615</v>
      </c>
      <c r="B923" s="203">
        <v>4</v>
      </c>
      <c r="C923" s="191" t="s">
        <v>235</v>
      </c>
      <c r="D923" s="192">
        <f t="shared" si="196"/>
        <v>47</v>
      </c>
      <c r="E923" s="192">
        <f t="shared" si="197"/>
        <v>108</v>
      </c>
      <c r="F923" s="192">
        <f t="shared" si="198"/>
        <v>0</v>
      </c>
      <c r="G923" s="193">
        <f t="shared" si="199"/>
        <v>155</v>
      </c>
      <c r="H923" s="194">
        <v>26</v>
      </c>
      <c r="I923" s="194">
        <v>54</v>
      </c>
      <c r="J923" s="194">
        <v>0</v>
      </c>
      <c r="K923" s="193">
        <f t="shared" si="200"/>
        <v>80</v>
      </c>
      <c r="L923" s="194">
        <v>21</v>
      </c>
      <c r="M923" s="194">
        <v>54</v>
      </c>
      <c r="N923" s="194">
        <v>0</v>
      </c>
      <c r="O923" s="193">
        <f t="shared" si="201"/>
        <v>75</v>
      </c>
      <c r="P923" s="194">
        <v>0</v>
      </c>
      <c r="Q923" s="194">
        <v>0</v>
      </c>
      <c r="R923" s="194">
        <v>0</v>
      </c>
      <c r="S923" s="193">
        <f t="shared" si="202"/>
        <v>0</v>
      </c>
      <c r="T923" s="193">
        <f t="shared" si="203"/>
        <v>8.6111111111111107</v>
      </c>
      <c r="U923" s="193">
        <f ca="1">OFFSET('Expenditure Study'!$B$7,'Operations Support'!$C923,'Operations Support'!$B923)*$G923</f>
        <v>5899.3</v>
      </c>
      <c r="V923" s="199">
        <f ca="1">U923*'Expenditure Study'!$B$31</f>
        <v>348549.40849344002</v>
      </c>
      <c r="W923" s="199">
        <f ca="1">IF(A923=10298,1.51,1)*IF($B923&lt;3,$D923*'Expenditure Study'!$B$32*OFFSET('Expenditure Study'!$B$7,'Operations Support'!$C923,'Operations Support'!$B923),0)</f>
        <v>0</v>
      </c>
      <c r="X923" s="200">
        <f ca="1">W923*'Expenditure Study'!$B$31</f>
        <v>0</v>
      </c>
      <c r="Y923" s="199">
        <f ca="1">U923*'Expenditure Study'!$B$31</f>
        <v>348549.40849344002</v>
      </c>
      <c r="Z923" s="200">
        <f ca="1">W923*'Expenditure Study'!$B$31</f>
        <v>0</v>
      </c>
      <c r="AA923" s="195">
        <f t="shared" ca="1" si="204"/>
        <v>348549.40849344002</v>
      </c>
      <c r="AB923" s="195">
        <f t="shared" ca="1" si="205"/>
        <v>348549.40849344002</v>
      </c>
      <c r="AD923" s="196">
        <f>IFERROR($G923/SUMIF($A:$A,$A923,$G:$G)*SUMIF(Summary!$A$166:$A$242,$A923,Summary!$P$166:$P$242),0)</f>
        <v>4095.6145791589602</v>
      </c>
      <c r="AE923" s="197">
        <f t="shared" ca="1" si="206"/>
        <v>344453.79391428106</v>
      </c>
      <c r="AF923" s="196">
        <f>IFERROR(G923/SUMIF(A:A,A923,G:G)*SUMIF(Summary!$A$166:$A$242,'Operations Support'!A923,Summary!$Q$166:$Q$242),0)</f>
        <v>4103.7565055799205</v>
      </c>
      <c r="AG923" s="196">
        <f t="shared" ca="1" si="207"/>
        <v>344445.6519878601</v>
      </c>
      <c r="AI923" s="196">
        <f>IFERROR($G923/SUMIF($A:$A,$A923,$G:$G)*SUMIF(Summary!$A$247:$A$283,$A923,Summary!$P$247:$P$283),0)</f>
        <v>746.93789431604671</v>
      </c>
      <c r="AJ923" s="196">
        <f>IFERROR($G923/SUMIF($A:$A,$A923,$G:$G)*(SUMIF(Summary!$A$247:$A$283,$A923,Summary!$L$247:$L$283)+SUMIF(Summary!$A$297:$A$333,$A923,Summary!$L$297:$L$333))-AI923,0)</f>
        <v>2749.5328589646815</v>
      </c>
      <c r="AK923" s="196">
        <f>IFERROR($G923/SUMIF($A:$A,$A923,$G:$G)*SUMIF(Summary!$A$247:$A$283,$A923,Summary!$Q$247:$Q$283),0)</f>
        <v>748.42277851572089</v>
      </c>
      <c r="AL923" s="196">
        <f>IFERROR($G923/SUMIF($A:$A,$A923,$G:$G)*(SUMIF(Summary!$A$247:$A$283,$A923,Summary!$L$247:$L$283)+SUMIF(Summary!$A$297:$A$333,$A923,Summary!$L$297:$L$333))-AK923,0)</f>
        <v>2748.0479747650074</v>
      </c>
      <c r="AM923" s="198"/>
      <c r="AN923" s="196">
        <f t="shared" ca="1" si="208"/>
        <v>347203.32677324576</v>
      </c>
      <c r="AO923" s="196">
        <f t="shared" ca="1" si="209"/>
        <v>347193.69996262511</v>
      </c>
    </row>
    <row r="924" spans="1:41">
      <c r="A924" s="189">
        <v>3615</v>
      </c>
      <c r="B924" s="203">
        <v>4</v>
      </c>
      <c r="C924" s="191" t="s">
        <v>236</v>
      </c>
      <c r="D924" s="192">
        <f t="shared" si="196"/>
        <v>0</v>
      </c>
      <c r="E924" s="192">
        <f t="shared" si="197"/>
        <v>0</v>
      </c>
      <c r="F924" s="192">
        <f t="shared" si="198"/>
        <v>0</v>
      </c>
      <c r="G924" s="193">
        <f t="shared" si="199"/>
        <v>0</v>
      </c>
      <c r="H924" s="194">
        <v>0</v>
      </c>
      <c r="I924" s="194">
        <v>0</v>
      </c>
      <c r="J924" s="194">
        <v>0</v>
      </c>
      <c r="K924" s="193">
        <f t="shared" si="200"/>
        <v>0</v>
      </c>
      <c r="L924" s="194">
        <v>0</v>
      </c>
      <c r="M924" s="194">
        <v>0</v>
      </c>
      <c r="N924" s="194">
        <v>0</v>
      </c>
      <c r="O924" s="193">
        <f t="shared" si="201"/>
        <v>0</v>
      </c>
      <c r="P924" s="194">
        <v>0</v>
      </c>
      <c r="Q924" s="194">
        <v>0</v>
      </c>
      <c r="R924" s="194">
        <v>0</v>
      </c>
      <c r="S924" s="193">
        <f t="shared" si="202"/>
        <v>0</v>
      </c>
      <c r="T924" s="193">
        <f t="shared" si="203"/>
        <v>0</v>
      </c>
      <c r="U924" s="193">
        <f ca="1">OFFSET('Expenditure Study'!$B$7,'Operations Support'!$C924,'Operations Support'!$B924)*$G924</f>
        <v>0</v>
      </c>
      <c r="V924" s="199">
        <f ca="1">U924*'Expenditure Study'!$B$31</f>
        <v>0</v>
      </c>
      <c r="W924" s="199">
        <f ca="1">IF(A924=10298,1.51,1)*IF($B924&lt;3,$D924*'Expenditure Study'!$B$32*OFFSET('Expenditure Study'!$B$7,'Operations Support'!$C924,'Operations Support'!$B924),0)</f>
        <v>0</v>
      </c>
      <c r="X924" s="200">
        <f ca="1">W924*'Expenditure Study'!$B$31</f>
        <v>0</v>
      </c>
      <c r="Y924" s="199">
        <f ca="1">U924*'Expenditure Study'!$B$31</f>
        <v>0</v>
      </c>
      <c r="Z924" s="200">
        <f ca="1">W924*'Expenditure Study'!$B$31</f>
        <v>0</v>
      </c>
      <c r="AA924" s="195">
        <f t="shared" ca="1" si="204"/>
        <v>0</v>
      </c>
      <c r="AB924" s="195">
        <f t="shared" ca="1" si="205"/>
        <v>0</v>
      </c>
      <c r="AD924" s="196">
        <f>IFERROR($G924/SUMIF($A:$A,$A924,$G:$G)*SUMIF(Summary!$A$166:$A$242,$A924,Summary!$P$166:$P$242),0)</f>
        <v>0</v>
      </c>
      <c r="AE924" s="197">
        <f t="shared" ca="1" si="206"/>
        <v>0</v>
      </c>
      <c r="AF924" s="196">
        <f>IFERROR(G924/SUMIF(A:A,A924,G:G)*SUMIF(Summary!$A$166:$A$242,'Operations Support'!A924,Summary!$Q$166:$Q$242),0)</f>
        <v>0</v>
      </c>
      <c r="AG924" s="196">
        <f t="shared" ca="1" si="207"/>
        <v>0</v>
      </c>
      <c r="AI924" s="196">
        <f>IFERROR($G924/SUMIF($A:$A,$A924,$G:$G)*SUMIF(Summary!$A$247:$A$283,$A924,Summary!$P$247:$P$283),0)</f>
        <v>0</v>
      </c>
      <c r="AJ924" s="196">
        <f>IFERROR($G924/SUMIF($A:$A,$A924,$G:$G)*(SUMIF(Summary!$A$247:$A$283,$A924,Summary!$L$247:$L$283)+SUMIF(Summary!$A$297:$A$333,$A924,Summary!$L$297:$L$333))-AI924,0)</f>
        <v>0</v>
      </c>
      <c r="AK924" s="196">
        <f>IFERROR($G924/SUMIF($A:$A,$A924,$G:$G)*SUMIF(Summary!$A$247:$A$283,$A924,Summary!$Q$247:$Q$283),0)</f>
        <v>0</v>
      </c>
      <c r="AL924" s="196">
        <f>IFERROR($G924/SUMIF($A:$A,$A924,$G:$G)*(SUMIF(Summary!$A$247:$A$283,$A924,Summary!$L$247:$L$283)+SUMIF(Summary!$A$297:$A$333,$A924,Summary!$L$297:$L$333))-AK924,0)</f>
        <v>0</v>
      </c>
      <c r="AM924" s="198"/>
      <c r="AN924" s="196">
        <f t="shared" ca="1" si="208"/>
        <v>0</v>
      </c>
      <c r="AO924" s="196">
        <f t="shared" ca="1" si="209"/>
        <v>0</v>
      </c>
    </row>
    <row r="925" spans="1:41">
      <c r="A925" s="189">
        <v>3615</v>
      </c>
      <c r="B925" s="203">
        <v>4</v>
      </c>
      <c r="C925" s="191" t="s">
        <v>237</v>
      </c>
      <c r="D925" s="192">
        <f t="shared" si="196"/>
        <v>0</v>
      </c>
      <c r="E925" s="192">
        <f t="shared" si="197"/>
        <v>0</v>
      </c>
      <c r="F925" s="192">
        <f t="shared" si="198"/>
        <v>0</v>
      </c>
      <c r="G925" s="193">
        <f t="shared" si="199"/>
        <v>0</v>
      </c>
      <c r="H925" s="194">
        <v>0</v>
      </c>
      <c r="I925" s="194">
        <v>0</v>
      </c>
      <c r="J925" s="194">
        <v>0</v>
      </c>
      <c r="K925" s="193">
        <f t="shared" si="200"/>
        <v>0</v>
      </c>
      <c r="L925" s="194">
        <v>0</v>
      </c>
      <c r="M925" s="194">
        <v>0</v>
      </c>
      <c r="N925" s="194">
        <v>0</v>
      </c>
      <c r="O925" s="193">
        <f t="shared" si="201"/>
        <v>0</v>
      </c>
      <c r="P925" s="194">
        <v>0</v>
      </c>
      <c r="Q925" s="194">
        <v>0</v>
      </c>
      <c r="R925" s="194">
        <v>0</v>
      </c>
      <c r="S925" s="193">
        <f t="shared" si="202"/>
        <v>0</v>
      </c>
      <c r="T925" s="193">
        <f t="shared" si="203"/>
        <v>0</v>
      </c>
      <c r="U925" s="193">
        <f ca="1">OFFSET('Expenditure Study'!$B$7,'Operations Support'!$C925,'Operations Support'!$B925)*$G925</f>
        <v>0</v>
      </c>
      <c r="V925" s="199">
        <f ca="1">U925*'Expenditure Study'!$B$31</f>
        <v>0</v>
      </c>
      <c r="W925" s="199">
        <f ca="1">IF(A925=10298,1.51,1)*IF($B925&lt;3,$D925*'Expenditure Study'!$B$32*OFFSET('Expenditure Study'!$B$7,'Operations Support'!$C925,'Operations Support'!$B925),0)</f>
        <v>0</v>
      </c>
      <c r="X925" s="200">
        <f ca="1">W925*'Expenditure Study'!$B$31</f>
        <v>0</v>
      </c>
      <c r="Y925" s="199">
        <f ca="1">U925*'Expenditure Study'!$B$31</f>
        <v>0</v>
      </c>
      <c r="Z925" s="200">
        <f ca="1">W925*'Expenditure Study'!$B$31</f>
        <v>0</v>
      </c>
      <c r="AA925" s="195">
        <f t="shared" ca="1" si="204"/>
        <v>0</v>
      </c>
      <c r="AB925" s="195">
        <f t="shared" ca="1" si="205"/>
        <v>0</v>
      </c>
      <c r="AD925" s="196">
        <f>IFERROR($G925/SUMIF($A:$A,$A925,$G:$G)*SUMIF(Summary!$A$166:$A$242,$A925,Summary!$P$166:$P$242),0)</f>
        <v>0</v>
      </c>
      <c r="AE925" s="197">
        <f t="shared" ca="1" si="206"/>
        <v>0</v>
      </c>
      <c r="AF925" s="196">
        <f>IFERROR(G925/SUMIF(A:A,A925,G:G)*SUMIF(Summary!$A$166:$A$242,'Operations Support'!A925,Summary!$Q$166:$Q$242),0)</f>
        <v>0</v>
      </c>
      <c r="AG925" s="196">
        <f t="shared" ca="1" si="207"/>
        <v>0</v>
      </c>
      <c r="AI925" s="196">
        <f>IFERROR($G925/SUMIF($A:$A,$A925,$G:$G)*SUMIF(Summary!$A$247:$A$283,$A925,Summary!$P$247:$P$283),0)</f>
        <v>0</v>
      </c>
      <c r="AJ925" s="196">
        <f>IFERROR($G925/SUMIF($A:$A,$A925,$G:$G)*(SUMIF(Summary!$A$247:$A$283,$A925,Summary!$L$247:$L$283)+SUMIF(Summary!$A$297:$A$333,$A925,Summary!$L$297:$L$333))-AI925,0)</f>
        <v>0</v>
      </c>
      <c r="AK925" s="196">
        <f>IFERROR($G925/SUMIF($A:$A,$A925,$G:$G)*SUMIF(Summary!$A$247:$A$283,$A925,Summary!$Q$247:$Q$283),0)</f>
        <v>0</v>
      </c>
      <c r="AL925" s="196">
        <f>IFERROR($G925/SUMIF($A:$A,$A925,$G:$G)*(SUMIF(Summary!$A$247:$A$283,$A925,Summary!$L$247:$L$283)+SUMIF(Summary!$A$297:$A$333,$A925,Summary!$L$297:$L$333))-AK925,0)</f>
        <v>0</v>
      </c>
      <c r="AM925" s="198"/>
      <c r="AN925" s="196">
        <f t="shared" ca="1" si="208"/>
        <v>0</v>
      </c>
      <c r="AO925" s="196">
        <f t="shared" ca="1" si="209"/>
        <v>0</v>
      </c>
    </row>
    <row r="926" spans="1:41">
      <c r="A926" s="189">
        <v>3615</v>
      </c>
      <c r="B926" s="203">
        <v>4</v>
      </c>
      <c r="C926" s="191" t="s">
        <v>238</v>
      </c>
      <c r="D926" s="192">
        <f t="shared" si="196"/>
        <v>0</v>
      </c>
      <c r="E926" s="192">
        <f t="shared" si="197"/>
        <v>0</v>
      </c>
      <c r="F926" s="192">
        <f t="shared" si="198"/>
        <v>0</v>
      </c>
      <c r="G926" s="193">
        <f t="shared" si="199"/>
        <v>0</v>
      </c>
      <c r="H926" s="194">
        <v>0</v>
      </c>
      <c r="I926" s="194">
        <v>0</v>
      </c>
      <c r="J926" s="194">
        <v>0</v>
      </c>
      <c r="K926" s="193">
        <f t="shared" si="200"/>
        <v>0</v>
      </c>
      <c r="L926" s="194">
        <v>0</v>
      </c>
      <c r="M926" s="194">
        <v>0</v>
      </c>
      <c r="N926" s="194">
        <v>0</v>
      </c>
      <c r="O926" s="193">
        <f t="shared" si="201"/>
        <v>0</v>
      </c>
      <c r="P926" s="194">
        <v>0</v>
      </c>
      <c r="Q926" s="194">
        <v>0</v>
      </c>
      <c r="R926" s="194">
        <v>0</v>
      </c>
      <c r="S926" s="193">
        <f t="shared" si="202"/>
        <v>0</v>
      </c>
      <c r="T926" s="193">
        <f t="shared" si="203"/>
        <v>0</v>
      </c>
      <c r="U926" s="193">
        <f ca="1">OFFSET('Expenditure Study'!$B$7,'Operations Support'!$C926,'Operations Support'!$B926)*$G926</f>
        <v>0</v>
      </c>
      <c r="V926" s="199">
        <f ca="1">U926*'Expenditure Study'!$B$31</f>
        <v>0</v>
      </c>
      <c r="W926" s="199">
        <f ca="1">IF(A926=10298,1.51,1)*IF($B926&lt;3,$D926*'Expenditure Study'!$B$32*OFFSET('Expenditure Study'!$B$7,'Operations Support'!$C926,'Operations Support'!$B926),0)</f>
        <v>0</v>
      </c>
      <c r="X926" s="200">
        <f ca="1">W926*'Expenditure Study'!$B$31</f>
        <v>0</v>
      </c>
      <c r="Y926" s="199">
        <f ca="1">U926*'Expenditure Study'!$B$31</f>
        <v>0</v>
      </c>
      <c r="Z926" s="200">
        <f ca="1">W926*'Expenditure Study'!$B$31</f>
        <v>0</v>
      </c>
      <c r="AA926" s="195">
        <f t="shared" ca="1" si="204"/>
        <v>0</v>
      </c>
      <c r="AB926" s="195">
        <f t="shared" ca="1" si="205"/>
        <v>0</v>
      </c>
      <c r="AD926" s="196">
        <f>IFERROR($G926/SUMIF($A:$A,$A926,$G:$G)*SUMIF(Summary!$A$166:$A$242,$A926,Summary!$P$166:$P$242),0)</f>
        <v>0</v>
      </c>
      <c r="AE926" s="197">
        <f t="shared" ca="1" si="206"/>
        <v>0</v>
      </c>
      <c r="AF926" s="196">
        <f>IFERROR(G926/SUMIF(A:A,A926,G:G)*SUMIF(Summary!$A$166:$A$242,'Operations Support'!A926,Summary!$Q$166:$Q$242),0)</f>
        <v>0</v>
      </c>
      <c r="AG926" s="196">
        <f t="shared" ca="1" si="207"/>
        <v>0</v>
      </c>
      <c r="AI926" s="196">
        <f>IFERROR($G926/SUMIF($A:$A,$A926,$G:$G)*SUMIF(Summary!$A$247:$A$283,$A926,Summary!$P$247:$P$283),0)</f>
        <v>0</v>
      </c>
      <c r="AJ926" s="196">
        <f>IFERROR($G926/SUMIF($A:$A,$A926,$G:$G)*(SUMIF(Summary!$A$247:$A$283,$A926,Summary!$L$247:$L$283)+SUMIF(Summary!$A$297:$A$333,$A926,Summary!$L$297:$L$333))-AI926,0)</f>
        <v>0</v>
      </c>
      <c r="AK926" s="196">
        <f>IFERROR($G926/SUMIF($A:$A,$A926,$G:$G)*SUMIF(Summary!$A$247:$A$283,$A926,Summary!$Q$247:$Q$283),0)</f>
        <v>0</v>
      </c>
      <c r="AL926" s="196">
        <f>IFERROR($G926/SUMIF($A:$A,$A926,$G:$G)*(SUMIF(Summary!$A$247:$A$283,$A926,Summary!$L$247:$L$283)+SUMIF(Summary!$A$297:$A$333,$A926,Summary!$L$297:$L$333))-AK926,0)</f>
        <v>0</v>
      </c>
      <c r="AM926" s="198"/>
      <c r="AN926" s="196">
        <f t="shared" ca="1" si="208"/>
        <v>0</v>
      </c>
      <c r="AO926" s="196">
        <f t="shared" ca="1" si="209"/>
        <v>0</v>
      </c>
    </row>
    <row r="927" spans="1:41">
      <c r="A927" s="189">
        <v>3615</v>
      </c>
      <c r="B927" s="203">
        <v>4</v>
      </c>
      <c r="C927" s="191" t="s">
        <v>239</v>
      </c>
      <c r="D927" s="192">
        <f t="shared" si="196"/>
        <v>0</v>
      </c>
      <c r="E927" s="192">
        <f t="shared" si="197"/>
        <v>0</v>
      </c>
      <c r="F927" s="192">
        <f t="shared" si="198"/>
        <v>0</v>
      </c>
      <c r="G927" s="193">
        <f t="shared" si="199"/>
        <v>0</v>
      </c>
      <c r="H927" s="194">
        <v>0</v>
      </c>
      <c r="I927" s="194">
        <v>0</v>
      </c>
      <c r="J927" s="194">
        <v>0</v>
      </c>
      <c r="K927" s="193">
        <f t="shared" si="200"/>
        <v>0</v>
      </c>
      <c r="L927" s="194">
        <v>0</v>
      </c>
      <c r="M927" s="194">
        <v>0</v>
      </c>
      <c r="N927" s="194">
        <v>0</v>
      </c>
      <c r="O927" s="193">
        <f t="shared" si="201"/>
        <v>0</v>
      </c>
      <c r="P927" s="194">
        <v>0</v>
      </c>
      <c r="Q927" s="194">
        <v>0</v>
      </c>
      <c r="R927" s="194">
        <v>0</v>
      </c>
      <c r="S927" s="193">
        <f t="shared" si="202"/>
        <v>0</v>
      </c>
      <c r="T927" s="193">
        <f t="shared" si="203"/>
        <v>0</v>
      </c>
      <c r="U927" s="193">
        <f ca="1">OFFSET('Expenditure Study'!$B$7,'Operations Support'!$C927,'Operations Support'!$B927)*$G927</f>
        <v>0</v>
      </c>
      <c r="V927" s="199">
        <f ca="1">U927*'Expenditure Study'!$B$31</f>
        <v>0</v>
      </c>
      <c r="W927" s="199">
        <f ca="1">IF(A927=10298,1.51,1)*IF($B927&lt;3,$D927*'Expenditure Study'!$B$32*OFFSET('Expenditure Study'!$B$7,'Operations Support'!$C927,'Operations Support'!$B927),0)</f>
        <v>0</v>
      </c>
      <c r="X927" s="200">
        <f ca="1">W927*'Expenditure Study'!$B$31</f>
        <v>0</v>
      </c>
      <c r="Y927" s="199">
        <f ca="1">U927*'Expenditure Study'!$B$31</f>
        <v>0</v>
      </c>
      <c r="Z927" s="200">
        <f ca="1">W927*'Expenditure Study'!$B$31</f>
        <v>0</v>
      </c>
      <c r="AA927" s="195">
        <f t="shared" ca="1" si="204"/>
        <v>0</v>
      </c>
      <c r="AB927" s="195">
        <f t="shared" ca="1" si="205"/>
        <v>0</v>
      </c>
      <c r="AD927" s="196">
        <f>IFERROR($G927/SUMIF($A:$A,$A927,$G:$G)*SUMIF(Summary!$A$166:$A$242,$A927,Summary!$P$166:$P$242),0)</f>
        <v>0</v>
      </c>
      <c r="AE927" s="197">
        <f t="shared" ca="1" si="206"/>
        <v>0</v>
      </c>
      <c r="AF927" s="196">
        <f>IFERROR(G927/SUMIF(A:A,A927,G:G)*SUMIF(Summary!$A$166:$A$242,'Operations Support'!A927,Summary!$Q$166:$Q$242),0)</f>
        <v>0</v>
      </c>
      <c r="AG927" s="196">
        <f t="shared" ca="1" si="207"/>
        <v>0</v>
      </c>
      <c r="AI927" s="196">
        <f>IFERROR($G927/SUMIF($A:$A,$A927,$G:$G)*SUMIF(Summary!$A$247:$A$283,$A927,Summary!$P$247:$P$283),0)</f>
        <v>0</v>
      </c>
      <c r="AJ927" s="196">
        <f>IFERROR($G927/SUMIF($A:$A,$A927,$G:$G)*(SUMIF(Summary!$A$247:$A$283,$A927,Summary!$L$247:$L$283)+SUMIF(Summary!$A$297:$A$333,$A927,Summary!$L$297:$L$333))-AI927,0)</f>
        <v>0</v>
      </c>
      <c r="AK927" s="196">
        <f>IFERROR($G927/SUMIF($A:$A,$A927,$G:$G)*SUMIF(Summary!$A$247:$A$283,$A927,Summary!$Q$247:$Q$283),0)</f>
        <v>0</v>
      </c>
      <c r="AL927" s="196">
        <f>IFERROR($G927/SUMIF($A:$A,$A927,$G:$G)*(SUMIF(Summary!$A$247:$A$283,$A927,Summary!$L$247:$L$283)+SUMIF(Summary!$A$297:$A$333,$A927,Summary!$L$297:$L$333))-AK927,0)</f>
        <v>0</v>
      </c>
      <c r="AM927" s="198"/>
      <c r="AN927" s="196">
        <f t="shared" ca="1" si="208"/>
        <v>0</v>
      </c>
      <c r="AO927" s="196">
        <f t="shared" ca="1" si="209"/>
        <v>0</v>
      </c>
    </row>
    <row r="928" spans="1:41">
      <c r="A928" s="189">
        <v>3615</v>
      </c>
      <c r="B928" s="203">
        <v>4</v>
      </c>
      <c r="C928" s="191" t="s">
        <v>240</v>
      </c>
      <c r="D928" s="192">
        <f t="shared" si="196"/>
        <v>0</v>
      </c>
      <c r="E928" s="192">
        <f t="shared" si="197"/>
        <v>0</v>
      </c>
      <c r="F928" s="192">
        <f t="shared" si="198"/>
        <v>0</v>
      </c>
      <c r="G928" s="193">
        <f t="shared" si="199"/>
        <v>0</v>
      </c>
      <c r="H928" s="194">
        <v>0</v>
      </c>
      <c r="I928" s="194">
        <v>0</v>
      </c>
      <c r="J928" s="194">
        <v>0</v>
      </c>
      <c r="K928" s="193">
        <f t="shared" si="200"/>
        <v>0</v>
      </c>
      <c r="L928" s="194">
        <v>0</v>
      </c>
      <c r="M928" s="194">
        <v>0</v>
      </c>
      <c r="N928" s="194">
        <v>0</v>
      </c>
      <c r="O928" s="193">
        <f t="shared" si="201"/>
        <v>0</v>
      </c>
      <c r="P928" s="194">
        <v>0</v>
      </c>
      <c r="Q928" s="194">
        <v>0</v>
      </c>
      <c r="R928" s="194">
        <v>0</v>
      </c>
      <c r="S928" s="193">
        <f t="shared" si="202"/>
        <v>0</v>
      </c>
      <c r="T928" s="193">
        <f t="shared" si="203"/>
        <v>0</v>
      </c>
      <c r="U928" s="193">
        <f ca="1">OFFSET('Expenditure Study'!$B$7,'Operations Support'!$C928,'Operations Support'!$B928)*$G928</f>
        <v>0</v>
      </c>
      <c r="V928" s="199">
        <f ca="1">U928*'Expenditure Study'!$B$31</f>
        <v>0</v>
      </c>
      <c r="W928" s="199">
        <f ca="1">IF(A928=10298,1.51,1)*IF($B928&lt;3,$D928*'Expenditure Study'!$B$32*OFFSET('Expenditure Study'!$B$7,'Operations Support'!$C928,'Operations Support'!$B928),0)</f>
        <v>0</v>
      </c>
      <c r="X928" s="200">
        <f ca="1">W928*'Expenditure Study'!$B$31</f>
        <v>0</v>
      </c>
      <c r="Y928" s="199">
        <f ca="1">U928*'Expenditure Study'!$B$31</f>
        <v>0</v>
      </c>
      <c r="Z928" s="200">
        <f ca="1">W928*'Expenditure Study'!$B$31</f>
        <v>0</v>
      </c>
      <c r="AA928" s="195">
        <f t="shared" ca="1" si="204"/>
        <v>0</v>
      </c>
      <c r="AB928" s="195">
        <f t="shared" ca="1" si="205"/>
        <v>0</v>
      </c>
      <c r="AD928" s="196">
        <f>IFERROR($G928/SUMIF($A:$A,$A928,$G:$G)*SUMIF(Summary!$A$166:$A$242,$A928,Summary!$P$166:$P$242),0)</f>
        <v>0</v>
      </c>
      <c r="AE928" s="197">
        <f t="shared" ca="1" si="206"/>
        <v>0</v>
      </c>
      <c r="AF928" s="196">
        <f>IFERROR(G928/SUMIF(A:A,A928,G:G)*SUMIF(Summary!$A$166:$A$242,'Operations Support'!A928,Summary!$Q$166:$Q$242),0)</f>
        <v>0</v>
      </c>
      <c r="AG928" s="196">
        <f t="shared" ca="1" si="207"/>
        <v>0</v>
      </c>
      <c r="AI928" s="196">
        <f>IFERROR($G928/SUMIF($A:$A,$A928,$G:$G)*SUMIF(Summary!$A$247:$A$283,$A928,Summary!$P$247:$P$283),0)</f>
        <v>0</v>
      </c>
      <c r="AJ928" s="196">
        <f>IFERROR($G928/SUMIF($A:$A,$A928,$G:$G)*(SUMIF(Summary!$A$247:$A$283,$A928,Summary!$L$247:$L$283)+SUMIF(Summary!$A$297:$A$333,$A928,Summary!$L$297:$L$333))-AI928,0)</f>
        <v>0</v>
      </c>
      <c r="AK928" s="196">
        <f>IFERROR($G928/SUMIF($A:$A,$A928,$G:$G)*SUMIF(Summary!$A$247:$A$283,$A928,Summary!$Q$247:$Q$283),0)</f>
        <v>0</v>
      </c>
      <c r="AL928" s="196">
        <f>IFERROR($G928/SUMIF($A:$A,$A928,$G:$G)*(SUMIF(Summary!$A$247:$A$283,$A928,Summary!$L$247:$L$283)+SUMIF(Summary!$A$297:$A$333,$A928,Summary!$L$297:$L$333))-AK928,0)</f>
        <v>0</v>
      </c>
      <c r="AM928" s="198"/>
      <c r="AN928" s="196">
        <f t="shared" ca="1" si="208"/>
        <v>0</v>
      </c>
      <c r="AO928" s="196">
        <f t="shared" ca="1" si="209"/>
        <v>0</v>
      </c>
    </row>
    <row r="929" spans="1:41">
      <c r="A929" s="189">
        <v>3615</v>
      </c>
      <c r="B929" s="203">
        <v>5</v>
      </c>
      <c r="C929" s="191" t="s">
        <v>220</v>
      </c>
      <c r="D929" s="192">
        <f t="shared" si="196"/>
        <v>0</v>
      </c>
      <c r="E929" s="192">
        <f t="shared" si="197"/>
        <v>0</v>
      </c>
      <c r="F929" s="192">
        <f t="shared" si="198"/>
        <v>0</v>
      </c>
      <c r="G929" s="193">
        <f t="shared" si="199"/>
        <v>0</v>
      </c>
      <c r="H929" s="194">
        <v>0</v>
      </c>
      <c r="I929" s="194">
        <v>0</v>
      </c>
      <c r="J929" s="194">
        <v>0</v>
      </c>
      <c r="K929" s="193">
        <f t="shared" si="200"/>
        <v>0</v>
      </c>
      <c r="L929" s="194">
        <v>0</v>
      </c>
      <c r="M929" s="194">
        <v>0</v>
      </c>
      <c r="N929" s="194">
        <v>0</v>
      </c>
      <c r="O929" s="193">
        <f t="shared" si="201"/>
        <v>0</v>
      </c>
      <c r="P929" s="194">
        <v>0</v>
      </c>
      <c r="Q929" s="194">
        <v>0</v>
      </c>
      <c r="R929" s="194">
        <v>0</v>
      </c>
      <c r="S929" s="193">
        <f t="shared" si="202"/>
        <v>0</v>
      </c>
      <c r="T929" s="193">
        <f t="shared" si="203"/>
        <v>0</v>
      </c>
      <c r="U929" s="193">
        <f ca="1">OFFSET('Expenditure Study'!$B$7,'Operations Support'!$C929,'Operations Support'!$B929)*$G929</f>
        <v>0</v>
      </c>
      <c r="V929" s="199">
        <f ca="1">U929*'Expenditure Study'!$B$31</f>
        <v>0</v>
      </c>
      <c r="W929" s="199">
        <f ca="1">IF(A929=10298,1.51,1)*IF($B929&lt;3,$D929*'Expenditure Study'!$B$32*OFFSET('Expenditure Study'!$B$7,'Operations Support'!$C929,'Operations Support'!$B929),0)</f>
        <v>0</v>
      </c>
      <c r="X929" s="200">
        <f ca="1">W929*'Expenditure Study'!$B$31</f>
        <v>0</v>
      </c>
      <c r="Y929" s="199">
        <f ca="1">U929*'Expenditure Study'!$B$31</f>
        <v>0</v>
      </c>
      <c r="Z929" s="200">
        <f ca="1">W929*'Expenditure Study'!$B$31</f>
        <v>0</v>
      </c>
      <c r="AA929" s="195">
        <f t="shared" ca="1" si="204"/>
        <v>0</v>
      </c>
      <c r="AB929" s="195">
        <f t="shared" ca="1" si="205"/>
        <v>0</v>
      </c>
      <c r="AD929" s="196">
        <f>IFERROR($G929/SUMIF($A:$A,$A929,$G:$G)*SUMIF(Summary!$A$166:$A$242,$A929,Summary!$P$166:$P$242),0)</f>
        <v>0</v>
      </c>
      <c r="AE929" s="197">
        <f t="shared" ca="1" si="206"/>
        <v>0</v>
      </c>
      <c r="AF929" s="196">
        <f>IFERROR(G929/SUMIF(A:A,A929,G:G)*SUMIF(Summary!$A$166:$A$242,'Operations Support'!A929,Summary!$Q$166:$Q$242),0)</f>
        <v>0</v>
      </c>
      <c r="AG929" s="196">
        <f t="shared" ca="1" si="207"/>
        <v>0</v>
      </c>
      <c r="AI929" s="196">
        <f>IFERROR($G929/SUMIF($A:$A,$A929,$G:$G)*SUMIF(Summary!$A$247:$A$283,$A929,Summary!$P$247:$P$283),0)</f>
        <v>0</v>
      </c>
      <c r="AJ929" s="196">
        <f>IFERROR($G929/SUMIF($A:$A,$A929,$G:$G)*(SUMIF(Summary!$A$247:$A$283,$A929,Summary!$L$247:$L$283)+SUMIF(Summary!$A$297:$A$333,$A929,Summary!$L$297:$L$333))-AI929,0)</f>
        <v>0</v>
      </c>
      <c r="AK929" s="196">
        <f>IFERROR($G929/SUMIF($A:$A,$A929,$G:$G)*SUMIF(Summary!$A$247:$A$283,$A929,Summary!$Q$247:$Q$283),0)</f>
        <v>0</v>
      </c>
      <c r="AL929" s="196">
        <f>IFERROR($G929/SUMIF($A:$A,$A929,$G:$G)*(SUMIF(Summary!$A$247:$A$283,$A929,Summary!$L$247:$L$283)+SUMIF(Summary!$A$297:$A$333,$A929,Summary!$L$297:$L$333))-AK929,0)</f>
        <v>0</v>
      </c>
      <c r="AM929" s="198"/>
      <c r="AN929" s="196">
        <f t="shared" ca="1" si="208"/>
        <v>0</v>
      </c>
      <c r="AO929" s="196">
        <f t="shared" ca="1" si="209"/>
        <v>0</v>
      </c>
    </row>
    <row r="930" spans="1:41">
      <c r="A930" s="189">
        <v>3615</v>
      </c>
      <c r="B930" s="203">
        <v>5</v>
      </c>
      <c r="C930" s="191" t="s">
        <v>221</v>
      </c>
      <c r="D930" s="192">
        <f t="shared" si="196"/>
        <v>0</v>
      </c>
      <c r="E930" s="192">
        <f t="shared" si="197"/>
        <v>0</v>
      </c>
      <c r="F930" s="192">
        <f t="shared" si="198"/>
        <v>0</v>
      </c>
      <c r="G930" s="193">
        <f t="shared" si="199"/>
        <v>0</v>
      </c>
      <c r="H930" s="194">
        <v>0</v>
      </c>
      <c r="I930" s="194">
        <v>0</v>
      </c>
      <c r="J930" s="194">
        <v>0</v>
      </c>
      <c r="K930" s="193">
        <f t="shared" si="200"/>
        <v>0</v>
      </c>
      <c r="L930" s="194">
        <v>0</v>
      </c>
      <c r="M930" s="194">
        <v>0</v>
      </c>
      <c r="N930" s="194">
        <v>0</v>
      </c>
      <c r="O930" s="193">
        <f t="shared" si="201"/>
        <v>0</v>
      </c>
      <c r="P930" s="194">
        <v>0</v>
      </c>
      <c r="Q930" s="194">
        <v>0</v>
      </c>
      <c r="R930" s="194">
        <v>0</v>
      </c>
      <c r="S930" s="193">
        <f t="shared" si="202"/>
        <v>0</v>
      </c>
      <c r="T930" s="193">
        <f t="shared" si="203"/>
        <v>0</v>
      </c>
      <c r="U930" s="193">
        <f ca="1">OFFSET('Expenditure Study'!$B$7,'Operations Support'!$C930,'Operations Support'!$B930)*$G930</f>
        <v>0</v>
      </c>
      <c r="V930" s="199">
        <f ca="1">U930*'Expenditure Study'!$B$31</f>
        <v>0</v>
      </c>
      <c r="W930" s="199">
        <f ca="1">IF(A930=10298,1.51,1)*IF($B930&lt;3,$D930*'Expenditure Study'!$B$32*OFFSET('Expenditure Study'!$B$7,'Operations Support'!$C930,'Operations Support'!$B930),0)</f>
        <v>0</v>
      </c>
      <c r="X930" s="200">
        <f ca="1">W930*'Expenditure Study'!$B$31</f>
        <v>0</v>
      </c>
      <c r="Y930" s="199">
        <f ca="1">U930*'Expenditure Study'!$B$31</f>
        <v>0</v>
      </c>
      <c r="Z930" s="200">
        <f ca="1">W930*'Expenditure Study'!$B$31</f>
        <v>0</v>
      </c>
      <c r="AA930" s="195">
        <f t="shared" ca="1" si="204"/>
        <v>0</v>
      </c>
      <c r="AB930" s="195">
        <f t="shared" ca="1" si="205"/>
        <v>0</v>
      </c>
      <c r="AD930" s="196">
        <f>IFERROR($G930/SUMIF($A:$A,$A930,$G:$G)*SUMIF(Summary!$A$166:$A$242,$A930,Summary!$P$166:$P$242),0)</f>
        <v>0</v>
      </c>
      <c r="AE930" s="197">
        <f t="shared" ca="1" si="206"/>
        <v>0</v>
      </c>
      <c r="AF930" s="196">
        <f>IFERROR(G930/SUMIF(A:A,A930,G:G)*SUMIF(Summary!$A$166:$A$242,'Operations Support'!A930,Summary!$Q$166:$Q$242),0)</f>
        <v>0</v>
      </c>
      <c r="AG930" s="196">
        <f t="shared" ca="1" si="207"/>
        <v>0</v>
      </c>
      <c r="AI930" s="196">
        <f>IFERROR($G930/SUMIF($A:$A,$A930,$G:$G)*SUMIF(Summary!$A$247:$A$283,$A930,Summary!$P$247:$P$283),0)</f>
        <v>0</v>
      </c>
      <c r="AJ930" s="196">
        <f>IFERROR($G930/SUMIF($A:$A,$A930,$G:$G)*(SUMIF(Summary!$A$247:$A$283,$A930,Summary!$L$247:$L$283)+SUMIF(Summary!$A$297:$A$333,$A930,Summary!$L$297:$L$333))-AI930,0)</f>
        <v>0</v>
      </c>
      <c r="AK930" s="196">
        <f>IFERROR($G930/SUMIF($A:$A,$A930,$G:$G)*SUMIF(Summary!$A$247:$A$283,$A930,Summary!$Q$247:$Q$283),0)</f>
        <v>0</v>
      </c>
      <c r="AL930" s="196">
        <f>IFERROR($G930/SUMIF($A:$A,$A930,$G:$G)*(SUMIF(Summary!$A$247:$A$283,$A930,Summary!$L$247:$L$283)+SUMIF(Summary!$A$297:$A$333,$A930,Summary!$L$297:$L$333))-AK930,0)</f>
        <v>0</v>
      </c>
      <c r="AM930" s="198"/>
      <c r="AN930" s="196">
        <f t="shared" ca="1" si="208"/>
        <v>0</v>
      </c>
      <c r="AO930" s="196">
        <f t="shared" ca="1" si="209"/>
        <v>0</v>
      </c>
    </row>
    <row r="931" spans="1:41">
      <c r="A931" s="189">
        <v>3615</v>
      </c>
      <c r="B931" s="203">
        <v>5</v>
      </c>
      <c r="C931" s="191" t="s">
        <v>222</v>
      </c>
      <c r="D931" s="192">
        <f t="shared" si="196"/>
        <v>0</v>
      </c>
      <c r="E931" s="192">
        <f t="shared" si="197"/>
        <v>0</v>
      </c>
      <c r="F931" s="192">
        <f t="shared" si="198"/>
        <v>0</v>
      </c>
      <c r="G931" s="193">
        <f t="shared" si="199"/>
        <v>0</v>
      </c>
      <c r="H931" s="194">
        <v>0</v>
      </c>
      <c r="I931" s="194">
        <v>0</v>
      </c>
      <c r="J931" s="194">
        <v>0</v>
      </c>
      <c r="K931" s="193">
        <f t="shared" si="200"/>
        <v>0</v>
      </c>
      <c r="L931" s="194">
        <v>0</v>
      </c>
      <c r="M931" s="194">
        <v>0</v>
      </c>
      <c r="N931" s="194">
        <v>0</v>
      </c>
      <c r="O931" s="193">
        <f t="shared" si="201"/>
        <v>0</v>
      </c>
      <c r="P931" s="194">
        <v>0</v>
      </c>
      <c r="Q931" s="194">
        <v>0</v>
      </c>
      <c r="R931" s="194">
        <v>0</v>
      </c>
      <c r="S931" s="193">
        <f t="shared" si="202"/>
        <v>0</v>
      </c>
      <c r="T931" s="193">
        <f t="shared" si="203"/>
        <v>0</v>
      </c>
      <c r="U931" s="193">
        <f ca="1">OFFSET('Expenditure Study'!$B$7,'Operations Support'!$C931,'Operations Support'!$B931)*$G931</f>
        <v>0</v>
      </c>
      <c r="V931" s="199">
        <f ca="1">U931*'Expenditure Study'!$B$31</f>
        <v>0</v>
      </c>
      <c r="W931" s="199">
        <f ca="1">IF(A931=10298,1.51,1)*IF($B931&lt;3,$D931*'Expenditure Study'!$B$32*OFFSET('Expenditure Study'!$B$7,'Operations Support'!$C931,'Operations Support'!$B931),0)</f>
        <v>0</v>
      </c>
      <c r="X931" s="200">
        <f ca="1">W931*'Expenditure Study'!$B$31</f>
        <v>0</v>
      </c>
      <c r="Y931" s="199">
        <f ca="1">U931*'Expenditure Study'!$B$31</f>
        <v>0</v>
      </c>
      <c r="Z931" s="200">
        <f ca="1">W931*'Expenditure Study'!$B$31</f>
        <v>0</v>
      </c>
      <c r="AA931" s="195">
        <f t="shared" ca="1" si="204"/>
        <v>0</v>
      </c>
      <c r="AB931" s="195">
        <f t="shared" ca="1" si="205"/>
        <v>0</v>
      </c>
      <c r="AD931" s="196">
        <f>IFERROR($G931/SUMIF($A:$A,$A931,$G:$G)*SUMIF(Summary!$A$166:$A$242,$A931,Summary!$P$166:$P$242),0)</f>
        <v>0</v>
      </c>
      <c r="AE931" s="197">
        <f t="shared" ca="1" si="206"/>
        <v>0</v>
      </c>
      <c r="AF931" s="196">
        <f>IFERROR(G931/SUMIF(A:A,A931,G:G)*SUMIF(Summary!$A$166:$A$242,'Operations Support'!A931,Summary!$Q$166:$Q$242),0)</f>
        <v>0</v>
      </c>
      <c r="AG931" s="196">
        <f t="shared" ca="1" si="207"/>
        <v>0</v>
      </c>
      <c r="AI931" s="196">
        <f>IFERROR($G931/SUMIF($A:$A,$A931,$G:$G)*SUMIF(Summary!$A$247:$A$283,$A931,Summary!$P$247:$P$283),0)</f>
        <v>0</v>
      </c>
      <c r="AJ931" s="196">
        <f>IFERROR($G931/SUMIF($A:$A,$A931,$G:$G)*(SUMIF(Summary!$A$247:$A$283,$A931,Summary!$L$247:$L$283)+SUMIF(Summary!$A$297:$A$333,$A931,Summary!$L$297:$L$333))-AI931,0)</f>
        <v>0</v>
      </c>
      <c r="AK931" s="196">
        <f>IFERROR($G931/SUMIF($A:$A,$A931,$G:$G)*SUMIF(Summary!$A$247:$A$283,$A931,Summary!$Q$247:$Q$283),0)</f>
        <v>0</v>
      </c>
      <c r="AL931" s="196">
        <f>IFERROR($G931/SUMIF($A:$A,$A931,$G:$G)*(SUMIF(Summary!$A$247:$A$283,$A931,Summary!$L$247:$L$283)+SUMIF(Summary!$A$297:$A$333,$A931,Summary!$L$297:$L$333))-AK931,0)</f>
        <v>0</v>
      </c>
      <c r="AM931" s="198"/>
      <c r="AN931" s="196">
        <f t="shared" ca="1" si="208"/>
        <v>0</v>
      </c>
      <c r="AO931" s="196">
        <f t="shared" ca="1" si="209"/>
        <v>0</v>
      </c>
    </row>
    <row r="932" spans="1:41">
      <c r="A932" s="189">
        <v>3615</v>
      </c>
      <c r="B932" s="203">
        <v>5</v>
      </c>
      <c r="C932" s="191" t="s">
        <v>223</v>
      </c>
      <c r="D932" s="192">
        <f t="shared" si="196"/>
        <v>0</v>
      </c>
      <c r="E932" s="192">
        <f t="shared" si="197"/>
        <v>0</v>
      </c>
      <c r="F932" s="192">
        <f t="shared" si="198"/>
        <v>0</v>
      </c>
      <c r="G932" s="193">
        <f t="shared" si="199"/>
        <v>0</v>
      </c>
      <c r="H932" s="194">
        <v>0</v>
      </c>
      <c r="I932" s="194">
        <v>0</v>
      </c>
      <c r="J932" s="194">
        <v>0</v>
      </c>
      <c r="K932" s="193">
        <f t="shared" si="200"/>
        <v>0</v>
      </c>
      <c r="L932" s="194">
        <v>0</v>
      </c>
      <c r="M932" s="194">
        <v>0</v>
      </c>
      <c r="N932" s="194">
        <v>0</v>
      </c>
      <c r="O932" s="193">
        <f t="shared" si="201"/>
        <v>0</v>
      </c>
      <c r="P932" s="194">
        <v>0</v>
      </c>
      <c r="Q932" s="194">
        <v>0</v>
      </c>
      <c r="R932" s="194">
        <v>0</v>
      </c>
      <c r="S932" s="193">
        <f t="shared" si="202"/>
        <v>0</v>
      </c>
      <c r="T932" s="193">
        <f t="shared" si="203"/>
        <v>0</v>
      </c>
      <c r="U932" s="193">
        <f ca="1">OFFSET('Expenditure Study'!$B$7,'Operations Support'!$C932,'Operations Support'!$B932)*$G932</f>
        <v>0</v>
      </c>
      <c r="V932" s="199">
        <f ca="1">U932*'Expenditure Study'!$B$31</f>
        <v>0</v>
      </c>
      <c r="W932" s="199">
        <f ca="1">IF(A932=10298,1.51,1)*IF($B932&lt;3,$D932*'Expenditure Study'!$B$32*OFFSET('Expenditure Study'!$B$7,'Operations Support'!$C932,'Operations Support'!$B932),0)</f>
        <v>0</v>
      </c>
      <c r="X932" s="200">
        <f ca="1">W932*'Expenditure Study'!$B$31</f>
        <v>0</v>
      </c>
      <c r="Y932" s="199">
        <f ca="1">U932*'Expenditure Study'!$B$31</f>
        <v>0</v>
      </c>
      <c r="Z932" s="200">
        <f ca="1">W932*'Expenditure Study'!$B$31</f>
        <v>0</v>
      </c>
      <c r="AA932" s="195">
        <f t="shared" ca="1" si="204"/>
        <v>0</v>
      </c>
      <c r="AB932" s="195">
        <f t="shared" ca="1" si="205"/>
        <v>0</v>
      </c>
      <c r="AD932" s="196">
        <f>IFERROR($G932/SUMIF($A:$A,$A932,$G:$G)*SUMIF(Summary!$A$166:$A$242,$A932,Summary!$P$166:$P$242),0)</f>
        <v>0</v>
      </c>
      <c r="AE932" s="197">
        <f t="shared" ca="1" si="206"/>
        <v>0</v>
      </c>
      <c r="AF932" s="196">
        <f>IFERROR(G932/SUMIF(A:A,A932,G:G)*SUMIF(Summary!$A$166:$A$242,'Operations Support'!A932,Summary!$Q$166:$Q$242),0)</f>
        <v>0</v>
      </c>
      <c r="AG932" s="196">
        <f t="shared" ca="1" si="207"/>
        <v>0</v>
      </c>
      <c r="AI932" s="196">
        <f>IFERROR($G932/SUMIF($A:$A,$A932,$G:$G)*SUMIF(Summary!$A$247:$A$283,$A932,Summary!$P$247:$P$283),0)</f>
        <v>0</v>
      </c>
      <c r="AJ932" s="196">
        <f>IFERROR($G932/SUMIF($A:$A,$A932,$G:$G)*(SUMIF(Summary!$A$247:$A$283,$A932,Summary!$L$247:$L$283)+SUMIF(Summary!$A$297:$A$333,$A932,Summary!$L$297:$L$333))-AI932,0)</f>
        <v>0</v>
      </c>
      <c r="AK932" s="196">
        <f>IFERROR($G932/SUMIF($A:$A,$A932,$G:$G)*SUMIF(Summary!$A$247:$A$283,$A932,Summary!$Q$247:$Q$283),0)</f>
        <v>0</v>
      </c>
      <c r="AL932" s="196">
        <f>IFERROR($G932/SUMIF($A:$A,$A932,$G:$G)*(SUMIF(Summary!$A$247:$A$283,$A932,Summary!$L$247:$L$283)+SUMIF(Summary!$A$297:$A$333,$A932,Summary!$L$297:$L$333))-AK932,0)</f>
        <v>0</v>
      </c>
      <c r="AM932" s="198"/>
      <c r="AN932" s="196">
        <f t="shared" ca="1" si="208"/>
        <v>0</v>
      </c>
      <c r="AO932" s="196">
        <f t="shared" ca="1" si="209"/>
        <v>0</v>
      </c>
    </row>
    <row r="933" spans="1:41">
      <c r="A933" s="189">
        <v>3615</v>
      </c>
      <c r="B933" s="203">
        <v>5</v>
      </c>
      <c r="C933" s="191" t="s">
        <v>224</v>
      </c>
      <c r="D933" s="192">
        <f t="shared" si="196"/>
        <v>0</v>
      </c>
      <c r="E933" s="192">
        <f t="shared" si="197"/>
        <v>0</v>
      </c>
      <c r="F933" s="192">
        <f t="shared" si="198"/>
        <v>0</v>
      </c>
      <c r="G933" s="193">
        <f t="shared" si="199"/>
        <v>0</v>
      </c>
      <c r="H933" s="194">
        <v>0</v>
      </c>
      <c r="I933" s="194">
        <v>0</v>
      </c>
      <c r="J933" s="194">
        <v>0</v>
      </c>
      <c r="K933" s="193">
        <f t="shared" si="200"/>
        <v>0</v>
      </c>
      <c r="L933" s="194">
        <v>0</v>
      </c>
      <c r="M933" s="194">
        <v>0</v>
      </c>
      <c r="N933" s="194">
        <v>0</v>
      </c>
      <c r="O933" s="193">
        <f t="shared" si="201"/>
        <v>0</v>
      </c>
      <c r="P933" s="194">
        <v>0</v>
      </c>
      <c r="Q933" s="194">
        <v>0</v>
      </c>
      <c r="R933" s="194">
        <v>0</v>
      </c>
      <c r="S933" s="193">
        <f t="shared" si="202"/>
        <v>0</v>
      </c>
      <c r="T933" s="193">
        <f t="shared" si="203"/>
        <v>0</v>
      </c>
      <c r="U933" s="193">
        <f ca="1">OFFSET('Expenditure Study'!$B$7,'Operations Support'!$C933,'Operations Support'!$B933)*$G933</f>
        <v>0</v>
      </c>
      <c r="V933" s="199">
        <f ca="1">U933*'Expenditure Study'!$B$31</f>
        <v>0</v>
      </c>
      <c r="W933" s="199">
        <f ca="1">IF(A933=10298,1.51,1)*IF($B933&lt;3,$D933*'Expenditure Study'!$B$32*OFFSET('Expenditure Study'!$B$7,'Operations Support'!$C933,'Operations Support'!$B933),0)</f>
        <v>0</v>
      </c>
      <c r="X933" s="200">
        <f ca="1">W933*'Expenditure Study'!$B$31</f>
        <v>0</v>
      </c>
      <c r="Y933" s="199">
        <f ca="1">U933*'Expenditure Study'!$B$31</f>
        <v>0</v>
      </c>
      <c r="Z933" s="200">
        <f ca="1">W933*'Expenditure Study'!$B$31</f>
        <v>0</v>
      </c>
      <c r="AA933" s="195">
        <f t="shared" ca="1" si="204"/>
        <v>0</v>
      </c>
      <c r="AB933" s="195">
        <f t="shared" ca="1" si="205"/>
        <v>0</v>
      </c>
      <c r="AD933" s="196">
        <f>IFERROR($G933/SUMIF($A:$A,$A933,$G:$G)*SUMIF(Summary!$A$166:$A$242,$A933,Summary!$P$166:$P$242),0)</f>
        <v>0</v>
      </c>
      <c r="AE933" s="197">
        <f t="shared" ca="1" si="206"/>
        <v>0</v>
      </c>
      <c r="AF933" s="196">
        <f>IFERROR(G933/SUMIF(A:A,A933,G:G)*SUMIF(Summary!$A$166:$A$242,'Operations Support'!A933,Summary!$Q$166:$Q$242),0)</f>
        <v>0</v>
      </c>
      <c r="AG933" s="196">
        <f t="shared" ca="1" si="207"/>
        <v>0</v>
      </c>
      <c r="AI933" s="196">
        <f>IFERROR($G933/SUMIF($A:$A,$A933,$G:$G)*SUMIF(Summary!$A$247:$A$283,$A933,Summary!$P$247:$P$283),0)</f>
        <v>0</v>
      </c>
      <c r="AJ933" s="196">
        <f>IFERROR($G933/SUMIF($A:$A,$A933,$G:$G)*(SUMIF(Summary!$A$247:$A$283,$A933,Summary!$L$247:$L$283)+SUMIF(Summary!$A$297:$A$333,$A933,Summary!$L$297:$L$333))-AI933,0)</f>
        <v>0</v>
      </c>
      <c r="AK933" s="196">
        <f>IFERROR($G933/SUMIF($A:$A,$A933,$G:$G)*SUMIF(Summary!$A$247:$A$283,$A933,Summary!$Q$247:$Q$283),0)</f>
        <v>0</v>
      </c>
      <c r="AL933" s="196">
        <f>IFERROR($G933/SUMIF($A:$A,$A933,$G:$G)*(SUMIF(Summary!$A$247:$A$283,$A933,Summary!$L$247:$L$283)+SUMIF(Summary!$A$297:$A$333,$A933,Summary!$L$297:$L$333))-AK933,0)</f>
        <v>0</v>
      </c>
      <c r="AM933" s="198"/>
      <c r="AN933" s="196">
        <f t="shared" ca="1" si="208"/>
        <v>0</v>
      </c>
      <c r="AO933" s="196">
        <f t="shared" ca="1" si="209"/>
        <v>0</v>
      </c>
    </row>
    <row r="934" spans="1:41">
      <c r="A934" s="189">
        <v>3615</v>
      </c>
      <c r="B934" s="203">
        <v>5</v>
      </c>
      <c r="C934" s="191" t="s">
        <v>225</v>
      </c>
      <c r="D934" s="192">
        <f t="shared" si="196"/>
        <v>0</v>
      </c>
      <c r="E934" s="192">
        <f t="shared" si="197"/>
        <v>0</v>
      </c>
      <c r="F934" s="192">
        <f t="shared" si="198"/>
        <v>0</v>
      </c>
      <c r="G934" s="193">
        <f t="shared" si="199"/>
        <v>0</v>
      </c>
      <c r="H934" s="194">
        <v>0</v>
      </c>
      <c r="I934" s="194">
        <v>0</v>
      </c>
      <c r="J934" s="194">
        <v>0</v>
      </c>
      <c r="K934" s="193">
        <f t="shared" si="200"/>
        <v>0</v>
      </c>
      <c r="L934" s="194">
        <v>0</v>
      </c>
      <c r="M934" s="194">
        <v>0</v>
      </c>
      <c r="N934" s="194">
        <v>0</v>
      </c>
      <c r="O934" s="193">
        <f t="shared" si="201"/>
        <v>0</v>
      </c>
      <c r="P934" s="194">
        <v>0</v>
      </c>
      <c r="Q934" s="194">
        <v>0</v>
      </c>
      <c r="R934" s="194">
        <v>0</v>
      </c>
      <c r="S934" s="193">
        <f t="shared" si="202"/>
        <v>0</v>
      </c>
      <c r="T934" s="193">
        <f t="shared" si="203"/>
        <v>0</v>
      </c>
      <c r="U934" s="193">
        <f ca="1">OFFSET('Expenditure Study'!$B$7,'Operations Support'!$C934,'Operations Support'!$B934)*$G934</f>
        <v>0</v>
      </c>
      <c r="V934" s="199">
        <f ca="1">U934*'Expenditure Study'!$B$31</f>
        <v>0</v>
      </c>
      <c r="W934" s="199">
        <f ca="1">IF(A934=10298,1.51,1)*IF($B934&lt;3,$D934*'Expenditure Study'!$B$32*OFFSET('Expenditure Study'!$B$7,'Operations Support'!$C934,'Operations Support'!$B934),0)</f>
        <v>0</v>
      </c>
      <c r="X934" s="200">
        <f ca="1">W934*'Expenditure Study'!$B$31</f>
        <v>0</v>
      </c>
      <c r="Y934" s="199">
        <f ca="1">U934*'Expenditure Study'!$B$31</f>
        <v>0</v>
      </c>
      <c r="Z934" s="200">
        <f ca="1">W934*'Expenditure Study'!$B$31</f>
        <v>0</v>
      </c>
      <c r="AA934" s="195">
        <f t="shared" ca="1" si="204"/>
        <v>0</v>
      </c>
      <c r="AB934" s="195">
        <f t="shared" ca="1" si="205"/>
        <v>0</v>
      </c>
      <c r="AD934" s="196">
        <f>IFERROR($G934/SUMIF($A:$A,$A934,$G:$G)*SUMIF(Summary!$A$166:$A$242,$A934,Summary!$P$166:$P$242),0)</f>
        <v>0</v>
      </c>
      <c r="AE934" s="197">
        <f t="shared" ca="1" si="206"/>
        <v>0</v>
      </c>
      <c r="AF934" s="196">
        <f>IFERROR(G934/SUMIF(A:A,A934,G:G)*SUMIF(Summary!$A$166:$A$242,'Operations Support'!A934,Summary!$Q$166:$Q$242),0)</f>
        <v>0</v>
      </c>
      <c r="AG934" s="196">
        <f t="shared" ca="1" si="207"/>
        <v>0</v>
      </c>
      <c r="AI934" s="196">
        <f>IFERROR($G934/SUMIF($A:$A,$A934,$G:$G)*SUMIF(Summary!$A$247:$A$283,$A934,Summary!$P$247:$P$283),0)</f>
        <v>0</v>
      </c>
      <c r="AJ934" s="196">
        <f>IFERROR($G934/SUMIF($A:$A,$A934,$G:$G)*(SUMIF(Summary!$A$247:$A$283,$A934,Summary!$L$247:$L$283)+SUMIF(Summary!$A$297:$A$333,$A934,Summary!$L$297:$L$333))-AI934,0)</f>
        <v>0</v>
      </c>
      <c r="AK934" s="196">
        <f>IFERROR($G934/SUMIF($A:$A,$A934,$G:$G)*SUMIF(Summary!$A$247:$A$283,$A934,Summary!$Q$247:$Q$283),0)</f>
        <v>0</v>
      </c>
      <c r="AL934" s="196">
        <f>IFERROR($G934/SUMIF($A:$A,$A934,$G:$G)*(SUMIF(Summary!$A$247:$A$283,$A934,Summary!$L$247:$L$283)+SUMIF(Summary!$A$297:$A$333,$A934,Summary!$L$297:$L$333))-AK934,0)</f>
        <v>0</v>
      </c>
      <c r="AM934" s="198"/>
      <c r="AN934" s="196">
        <f t="shared" ca="1" si="208"/>
        <v>0</v>
      </c>
      <c r="AO934" s="196">
        <f t="shared" ca="1" si="209"/>
        <v>0</v>
      </c>
    </row>
    <row r="935" spans="1:41">
      <c r="A935" s="189">
        <v>3615</v>
      </c>
      <c r="B935" s="203">
        <v>5</v>
      </c>
      <c r="C935" s="191" t="s">
        <v>226</v>
      </c>
      <c r="D935" s="192">
        <f t="shared" si="196"/>
        <v>0</v>
      </c>
      <c r="E935" s="192">
        <f t="shared" si="197"/>
        <v>0</v>
      </c>
      <c r="F935" s="192">
        <f t="shared" si="198"/>
        <v>0</v>
      </c>
      <c r="G935" s="193">
        <f t="shared" si="199"/>
        <v>0</v>
      </c>
      <c r="H935" s="194">
        <v>0</v>
      </c>
      <c r="I935" s="194">
        <v>0</v>
      </c>
      <c r="J935" s="194">
        <v>0</v>
      </c>
      <c r="K935" s="193">
        <f t="shared" si="200"/>
        <v>0</v>
      </c>
      <c r="L935" s="194">
        <v>0</v>
      </c>
      <c r="M935" s="194">
        <v>0</v>
      </c>
      <c r="N935" s="194">
        <v>0</v>
      </c>
      <c r="O935" s="193">
        <f t="shared" si="201"/>
        <v>0</v>
      </c>
      <c r="P935" s="194">
        <v>0</v>
      </c>
      <c r="Q935" s="194">
        <v>0</v>
      </c>
      <c r="R935" s="194">
        <v>0</v>
      </c>
      <c r="S935" s="193">
        <f t="shared" si="202"/>
        <v>0</v>
      </c>
      <c r="T935" s="193">
        <f t="shared" si="203"/>
        <v>0</v>
      </c>
      <c r="U935" s="193">
        <f ca="1">OFFSET('Expenditure Study'!$B$7,'Operations Support'!$C935,'Operations Support'!$B935)*$G935</f>
        <v>0</v>
      </c>
      <c r="V935" s="199">
        <f ca="1">U935*'Expenditure Study'!$B$31</f>
        <v>0</v>
      </c>
      <c r="W935" s="199">
        <f ca="1">IF(A935=10298,1.51,1)*IF($B935&lt;3,$D935*'Expenditure Study'!$B$32*OFFSET('Expenditure Study'!$B$7,'Operations Support'!$C935,'Operations Support'!$B935),0)</f>
        <v>0</v>
      </c>
      <c r="X935" s="200">
        <f ca="1">W935*'Expenditure Study'!$B$31</f>
        <v>0</v>
      </c>
      <c r="Y935" s="199">
        <f ca="1">U935*'Expenditure Study'!$B$31</f>
        <v>0</v>
      </c>
      <c r="Z935" s="200">
        <f ca="1">W935*'Expenditure Study'!$B$31</f>
        <v>0</v>
      </c>
      <c r="AA935" s="195">
        <f t="shared" ca="1" si="204"/>
        <v>0</v>
      </c>
      <c r="AB935" s="195">
        <f t="shared" ca="1" si="205"/>
        <v>0</v>
      </c>
      <c r="AD935" s="196">
        <f>IFERROR($G935/SUMIF($A:$A,$A935,$G:$G)*SUMIF(Summary!$A$166:$A$242,$A935,Summary!$P$166:$P$242),0)</f>
        <v>0</v>
      </c>
      <c r="AE935" s="197">
        <f t="shared" ca="1" si="206"/>
        <v>0</v>
      </c>
      <c r="AF935" s="196">
        <f>IFERROR(G935/SUMIF(A:A,A935,G:G)*SUMIF(Summary!$A$166:$A$242,'Operations Support'!A935,Summary!$Q$166:$Q$242),0)</f>
        <v>0</v>
      </c>
      <c r="AG935" s="196">
        <f t="shared" ca="1" si="207"/>
        <v>0</v>
      </c>
      <c r="AI935" s="196">
        <f>IFERROR($G935/SUMIF($A:$A,$A935,$G:$G)*SUMIF(Summary!$A$247:$A$283,$A935,Summary!$P$247:$P$283),0)</f>
        <v>0</v>
      </c>
      <c r="AJ935" s="196">
        <f>IFERROR($G935/SUMIF($A:$A,$A935,$G:$G)*(SUMIF(Summary!$A$247:$A$283,$A935,Summary!$L$247:$L$283)+SUMIF(Summary!$A$297:$A$333,$A935,Summary!$L$297:$L$333))-AI935,0)</f>
        <v>0</v>
      </c>
      <c r="AK935" s="196">
        <f>IFERROR($G935/SUMIF($A:$A,$A935,$G:$G)*SUMIF(Summary!$A$247:$A$283,$A935,Summary!$Q$247:$Q$283),0)</f>
        <v>0</v>
      </c>
      <c r="AL935" s="196">
        <f>IFERROR($G935/SUMIF($A:$A,$A935,$G:$G)*(SUMIF(Summary!$A$247:$A$283,$A935,Summary!$L$247:$L$283)+SUMIF(Summary!$A$297:$A$333,$A935,Summary!$L$297:$L$333))-AK935,0)</f>
        <v>0</v>
      </c>
      <c r="AM935" s="198"/>
      <c r="AN935" s="196">
        <f t="shared" ca="1" si="208"/>
        <v>0</v>
      </c>
      <c r="AO935" s="196">
        <f t="shared" ca="1" si="209"/>
        <v>0</v>
      </c>
    </row>
    <row r="936" spans="1:41" s="201" customFormat="1">
      <c r="A936" s="189">
        <v>3615</v>
      </c>
      <c r="B936" s="203">
        <v>5</v>
      </c>
      <c r="C936" s="191" t="s">
        <v>227</v>
      </c>
      <c r="D936" s="192">
        <f t="shared" si="196"/>
        <v>0</v>
      </c>
      <c r="E936" s="192">
        <f t="shared" si="197"/>
        <v>0</v>
      </c>
      <c r="F936" s="192">
        <f t="shared" si="198"/>
        <v>0</v>
      </c>
      <c r="G936" s="193">
        <f t="shared" si="199"/>
        <v>0</v>
      </c>
      <c r="H936" s="194">
        <v>0</v>
      </c>
      <c r="I936" s="194">
        <v>0</v>
      </c>
      <c r="J936" s="194">
        <v>0</v>
      </c>
      <c r="K936" s="193">
        <f t="shared" si="200"/>
        <v>0</v>
      </c>
      <c r="L936" s="194">
        <v>0</v>
      </c>
      <c r="M936" s="194">
        <v>0</v>
      </c>
      <c r="N936" s="194">
        <v>0</v>
      </c>
      <c r="O936" s="193">
        <f t="shared" si="201"/>
        <v>0</v>
      </c>
      <c r="P936" s="194">
        <v>0</v>
      </c>
      <c r="Q936" s="194">
        <v>0</v>
      </c>
      <c r="R936" s="194">
        <v>0</v>
      </c>
      <c r="S936" s="193">
        <f t="shared" si="202"/>
        <v>0</v>
      </c>
      <c r="T936" s="193">
        <f t="shared" si="203"/>
        <v>0</v>
      </c>
      <c r="U936" s="193">
        <f ca="1">OFFSET('Expenditure Study'!$B$7,'Operations Support'!$C936,'Operations Support'!$B936)*$G936</f>
        <v>0</v>
      </c>
      <c r="V936" s="199">
        <f ca="1">U936*'Expenditure Study'!$B$31</f>
        <v>0</v>
      </c>
      <c r="W936" s="199">
        <f ca="1">IF(A936=10298,1.51,1)*IF($B936&lt;3,$D936*'Expenditure Study'!$B$32*OFFSET('Expenditure Study'!$B$7,'Operations Support'!$C936,'Operations Support'!$B936),0)</f>
        <v>0</v>
      </c>
      <c r="X936" s="200">
        <f ca="1">W936*'Expenditure Study'!$B$31</f>
        <v>0</v>
      </c>
      <c r="Y936" s="199">
        <f ca="1">U936*'Expenditure Study'!$B$31</f>
        <v>0</v>
      </c>
      <c r="Z936" s="200">
        <f ca="1">W936*'Expenditure Study'!$B$31</f>
        <v>0</v>
      </c>
      <c r="AA936" s="195">
        <f t="shared" ca="1" si="204"/>
        <v>0</v>
      </c>
      <c r="AB936" s="195">
        <f t="shared" ca="1" si="205"/>
        <v>0</v>
      </c>
      <c r="AD936" s="196">
        <f>IFERROR($G936/SUMIF($A:$A,$A936,$G:$G)*SUMIF(Summary!$A$166:$A$242,$A936,Summary!$P$166:$P$242),0)</f>
        <v>0</v>
      </c>
      <c r="AE936" s="197">
        <f t="shared" ca="1" si="206"/>
        <v>0</v>
      </c>
      <c r="AF936" s="196">
        <f>IFERROR(G936/SUMIF(A:A,A936,G:G)*SUMIF(Summary!$A$166:$A$242,'Operations Support'!A936,Summary!$Q$166:$Q$242),0)</f>
        <v>0</v>
      </c>
      <c r="AG936" s="196">
        <f t="shared" ca="1" si="207"/>
        <v>0</v>
      </c>
      <c r="AH936" s="180"/>
      <c r="AI936" s="196">
        <f>IFERROR($G936/SUMIF($A:$A,$A936,$G:$G)*SUMIF(Summary!$A$247:$A$283,$A936,Summary!$P$247:$P$283),0)</f>
        <v>0</v>
      </c>
      <c r="AJ936" s="196">
        <f>IFERROR($G936/SUMIF($A:$A,$A936,$G:$G)*(SUMIF(Summary!$A$247:$A$283,$A936,Summary!$L$247:$L$283)+SUMIF(Summary!$A$297:$A$333,$A936,Summary!$L$297:$L$333))-AI936,0)</f>
        <v>0</v>
      </c>
      <c r="AK936" s="196">
        <f>IFERROR($G936/SUMIF($A:$A,$A936,$G:$G)*SUMIF(Summary!$A$247:$A$283,$A936,Summary!$Q$247:$Q$283),0)</f>
        <v>0</v>
      </c>
      <c r="AL936" s="196">
        <f>IFERROR($G936/SUMIF($A:$A,$A936,$G:$G)*(SUMIF(Summary!$A$247:$A$283,$A936,Summary!$L$247:$L$283)+SUMIF(Summary!$A$297:$A$333,$A936,Summary!$L$297:$L$333))-AK936,0)</f>
        <v>0</v>
      </c>
      <c r="AM936" s="198"/>
      <c r="AN936" s="196">
        <f t="shared" ca="1" si="208"/>
        <v>0</v>
      </c>
      <c r="AO936" s="196">
        <f t="shared" ca="1" si="209"/>
        <v>0</v>
      </c>
    </row>
    <row r="937" spans="1:41">
      <c r="A937" s="189">
        <v>3615</v>
      </c>
      <c r="B937" s="203">
        <v>5</v>
      </c>
      <c r="C937" s="191" t="s">
        <v>228</v>
      </c>
      <c r="D937" s="192">
        <f t="shared" si="196"/>
        <v>0</v>
      </c>
      <c r="E937" s="192">
        <f t="shared" si="197"/>
        <v>0</v>
      </c>
      <c r="F937" s="192">
        <f t="shared" si="198"/>
        <v>0</v>
      </c>
      <c r="G937" s="193">
        <f t="shared" si="199"/>
        <v>0</v>
      </c>
      <c r="H937" s="194">
        <v>0</v>
      </c>
      <c r="I937" s="194">
        <v>0</v>
      </c>
      <c r="J937" s="194">
        <v>0</v>
      </c>
      <c r="K937" s="193">
        <f t="shared" si="200"/>
        <v>0</v>
      </c>
      <c r="L937" s="194">
        <v>0</v>
      </c>
      <c r="M937" s="194">
        <v>0</v>
      </c>
      <c r="N937" s="194">
        <v>0</v>
      </c>
      <c r="O937" s="193">
        <f t="shared" si="201"/>
        <v>0</v>
      </c>
      <c r="P937" s="194">
        <v>0</v>
      </c>
      <c r="Q937" s="194">
        <v>0</v>
      </c>
      <c r="R937" s="194">
        <v>0</v>
      </c>
      <c r="S937" s="193">
        <f t="shared" si="202"/>
        <v>0</v>
      </c>
      <c r="T937" s="193">
        <f t="shared" si="203"/>
        <v>0</v>
      </c>
      <c r="U937" s="193">
        <f ca="1">OFFSET('Expenditure Study'!$B$7,'Operations Support'!$C937,'Operations Support'!$B937)*$G937</f>
        <v>0</v>
      </c>
      <c r="V937" s="199">
        <f ca="1">U937*'Expenditure Study'!$B$31</f>
        <v>0</v>
      </c>
      <c r="W937" s="199">
        <f ca="1">IF(A937=10298,1.51,1)*IF($B937&lt;3,$D937*'Expenditure Study'!$B$32*OFFSET('Expenditure Study'!$B$7,'Operations Support'!$C937,'Operations Support'!$B937),0)</f>
        <v>0</v>
      </c>
      <c r="X937" s="200">
        <f ca="1">W937*'Expenditure Study'!$B$31</f>
        <v>0</v>
      </c>
      <c r="Y937" s="199">
        <f ca="1">U937*'Expenditure Study'!$B$31</f>
        <v>0</v>
      </c>
      <c r="Z937" s="200">
        <f ca="1">W937*'Expenditure Study'!$B$31</f>
        <v>0</v>
      </c>
      <c r="AA937" s="195">
        <f t="shared" ca="1" si="204"/>
        <v>0</v>
      </c>
      <c r="AB937" s="195">
        <f t="shared" ca="1" si="205"/>
        <v>0</v>
      </c>
      <c r="AD937" s="196">
        <f>IFERROR($G937/SUMIF($A:$A,$A937,$G:$G)*SUMIF(Summary!$A$166:$A$242,$A937,Summary!$P$166:$P$242),0)</f>
        <v>0</v>
      </c>
      <c r="AE937" s="197">
        <f t="shared" ca="1" si="206"/>
        <v>0</v>
      </c>
      <c r="AF937" s="196">
        <f>IFERROR(G937/SUMIF(A:A,A937,G:G)*SUMIF(Summary!$A$166:$A$242,'Operations Support'!A937,Summary!$Q$166:$Q$242),0)</f>
        <v>0</v>
      </c>
      <c r="AG937" s="196">
        <f t="shared" ca="1" si="207"/>
        <v>0</v>
      </c>
      <c r="AI937" s="196">
        <f>IFERROR($G937/SUMIF($A:$A,$A937,$G:$G)*SUMIF(Summary!$A$247:$A$283,$A937,Summary!$P$247:$P$283),0)</f>
        <v>0</v>
      </c>
      <c r="AJ937" s="196">
        <f>IFERROR($G937/SUMIF($A:$A,$A937,$G:$G)*(SUMIF(Summary!$A$247:$A$283,$A937,Summary!$L$247:$L$283)+SUMIF(Summary!$A$297:$A$333,$A937,Summary!$L$297:$L$333))-AI937,0)</f>
        <v>0</v>
      </c>
      <c r="AK937" s="196">
        <f>IFERROR($G937/SUMIF($A:$A,$A937,$G:$G)*SUMIF(Summary!$A$247:$A$283,$A937,Summary!$Q$247:$Q$283),0)</f>
        <v>0</v>
      </c>
      <c r="AL937" s="196">
        <f>IFERROR($G937/SUMIF($A:$A,$A937,$G:$G)*(SUMIF(Summary!$A$247:$A$283,$A937,Summary!$L$247:$L$283)+SUMIF(Summary!$A$297:$A$333,$A937,Summary!$L$297:$L$333))-AK937,0)</f>
        <v>0</v>
      </c>
      <c r="AM937" s="198"/>
      <c r="AN937" s="196">
        <f t="shared" ca="1" si="208"/>
        <v>0</v>
      </c>
      <c r="AO937" s="196">
        <f t="shared" ca="1" si="209"/>
        <v>0</v>
      </c>
    </row>
    <row r="938" spans="1:41">
      <c r="A938" s="189">
        <v>3615</v>
      </c>
      <c r="B938" s="203">
        <v>5</v>
      </c>
      <c r="C938" s="191" t="s">
        <v>229</v>
      </c>
      <c r="D938" s="192">
        <f t="shared" si="196"/>
        <v>0</v>
      </c>
      <c r="E938" s="192">
        <f t="shared" si="197"/>
        <v>0</v>
      </c>
      <c r="F938" s="192">
        <f t="shared" si="198"/>
        <v>0</v>
      </c>
      <c r="G938" s="193">
        <f t="shared" si="199"/>
        <v>0</v>
      </c>
      <c r="H938" s="194">
        <v>0</v>
      </c>
      <c r="I938" s="194">
        <v>0</v>
      </c>
      <c r="J938" s="194">
        <v>0</v>
      </c>
      <c r="K938" s="193">
        <f t="shared" si="200"/>
        <v>0</v>
      </c>
      <c r="L938" s="194">
        <v>0</v>
      </c>
      <c r="M938" s="194">
        <v>0</v>
      </c>
      <c r="N938" s="194">
        <v>0</v>
      </c>
      <c r="O938" s="193">
        <f t="shared" si="201"/>
        <v>0</v>
      </c>
      <c r="P938" s="194">
        <v>0</v>
      </c>
      <c r="Q938" s="194">
        <v>0</v>
      </c>
      <c r="R938" s="194">
        <v>0</v>
      </c>
      <c r="S938" s="193">
        <f t="shared" si="202"/>
        <v>0</v>
      </c>
      <c r="T938" s="193">
        <f t="shared" si="203"/>
        <v>0</v>
      </c>
      <c r="U938" s="193">
        <f ca="1">OFFSET('Expenditure Study'!$B$7,'Operations Support'!$C938,'Operations Support'!$B938)*$G938</f>
        <v>0</v>
      </c>
      <c r="V938" s="199">
        <f ca="1">U938*'Expenditure Study'!$B$31</f>
        <v>0</v>
      </c>
      <c r="W938" s="199">
        <f ca="1">IF(A938=10298,1.51,1)*IF($B938&lt;3,$D938*'Expenditure Study'!$B$32*OFFSET('Expenditure Study'!$B$7,'Operations Support'!$C938,'Operations Support'!$B938),0)</f>
        <v>0</v>
      </c>
      <c r="X938" s="200">
        <f ca="1">W938*'Expenditure Study'!$B$31</f>
        <v>0</v>
      </c>
      <c r="Y938" s="199">
        <f ca="1">U938*'Expenditure Study'!$B$31</f>
        <v>0</v>
      </c>
      <c r="Z938" s="200">
        <f ca="1">W938*'Expenditure Study'!$B$31</f>
        <v>0</v>
      </c>
      <c r="AA938" s="195">
        <f t="shared" ca="1" si="204"/>
        <v>0</v>
      </c>
      <c r="AB938" s="195">
        <f t="shared" ca="1" si="205"/>
        <v>0</v>
      </c>
      <c r="AD938" s="196">
        <f>IFERROR($G938/SUMIF($A:$A,$A938,$G:$G)*SUMIF(Summary!$A$166:$A$242,$A938,Summary!$P$166:$P$242),0)</f>
        <v>0</v>
      </c>
      <c r="AE938" s="197">
        <f t="shared" ca="1" si="206"/>
        <v>0</v>
      </c>
      <c r="AF938" s="196">
        <f>IFERROR(G938/SUMIF(A:A,A938,G:G)*SUMIF(Summary!$A$166:$A$242,'Operations Support'!A938,Summary!$Q$166:$Q$242),0)</f>
        <v>0</v>
      </c>
      <c r="AG938" s="196">
        <f t="shared" ca="1" si="207"/>
        <v>0</v>
      </c>
      <c r="AI938" s="196">
        <f>IFERROR($G938/SUMIF($A:$A,$A938,$G:$G)*SUMIF(Summary!$A$247:$A$283,$A938,Summary!$P$247:$P$283),0)</f>
        <v>0</v>
      </c>
      <c r="AJ938" s="196">
        <f>IFERROR($G938/SUMIF($A:$A,$A938,$G:$G)*(SUMIF(Summary!$A$247:$A$283,$A938,Summary!$L$247:$L$283)+SUMIF(Summary!$A$297:$A$333,$A938,Summary!$L$297:$L$333))-AI938,0)</f>
        <v>0</v>
      </c>
      <c r="AK938" s="196">
        <f>IFERROR($G938/SUMIF($A:$A,$A938,$G:$G)*SUMIF(Summary!$A$247:$A$283,$A938,Summary!$Q$247:$Q$283),0)</f>
        <v>0</v>
      </c>
      <c r="AL938" s="196">
        <f>IFERROR($G938/SUMIF($A:$A,$A938,$G:$G)*(SUMIF(Summary!$A$247:$A$283,$A938,Summary!$L$247:$L$283)+SUMIF(Summary!$A$297:$A$333,$A938,Summary!$L$297:$L$333))-AK938,0)</f>
        <v>0</v>
      </c>
      <c r="AM938" s="198"/>
      <c r="AN938" s="196">
        <f t="shared" ca="1" si="208"/>
        <v>0</v>
      </c>
      <c r="AO938" s="196">
        <f t="shared" ca="1" si="209"/>
        <v>0</v>
      </c>
    </row>
    <row r="939" spans="1:41">
      <c r="A939" s="189">
        <v>3615</v>
      </c>
      <c r="B939" s="203">
        <v>5</v>
      </c>
      <c r="C939" s="191" t="s">
        <v>230</v>
      </c>
      <c r="D939" s="192">
        <f t="shared" si="196"/>
        <v>0</v>
      </c>
      <c r="E939" s="192">
        <f t="shared" si="197"/>
        <v>0</v>
      </c>
      <c r="F939" s="192">
        <f t="shared" si="198"/>
        <v>0</v>
      </c>
      <c r="G939" s="193">
        <f t="shared" si="199"/>
        <v>0</v>
      </c>
      <c r="H939" s="194">
        <v>0</v>
      </c>
      <c r="I939" s="194">
        <v>0</v>
      </c>
      <c r="J939" s="194">
        <v>0</v>
      </c>
      <c r="K939" s="193">
        <f t="shared" si="200"/>
        <v>0</v>
      </c>
      <c r="L939" s="194">
        <v>0</v>
      </c>
      <c r="M939" s="194">
        <v>0</v>
      </c>
      <c r="N939" s="194">
        <v>0</v>
      </c>
      <c r="O939" s="193">
        <f t="shared" si="201"/>
        <v>0</v>
      </c>
      <c r="P939" s="194">
        <v>0</v>
      </c>
      <c r="Q939" s="194">
        <v>0</v>
      </c>
      <c r="R939" s="194">
        <v>0</v>
      </c>
      <c r="S939" s="193">
        <f t="shared" si="202"/>
        <v>0</v>
      </c>
      <c r="T939" s="193">
        <f t="shared" si="203"/>
        <v>0</v>
      </c>
      <c r="U939" s="193">
        <f ca="1">OFFSET('Expenditure Study'!$B$7,'Operations Support'!$C939,'Operations Support'!$B939)*$G939</f>
        <v>0</v>
      </c>
      <c r="V939" s="199">
        <f ca="1">U939*'Expenditure Study'!$B$31</f>
        <v>0</v>
      </c>
      <c r="W939" s="199">
        <f ca="1">IF(A939=10298,1.51,1)*IF($B939&lt;3,$D939*'Expenditure Study'!$B$32*OFFSET('Expenditure Study'!$B$7,'Operations Support'!$C939,'Operations Support'!$B939),0)</f>
        <v>0</v>
      </c>
      <c r="X939" s="200">
        <f ca="1">W939*'Expenditure Study'!$B$31</f>
        <v>0</v>
      </c>
      <c r="Y939" s="199">
        <f ca="1">U939*'Expenditure Study'!$B$31</f>
        <v>0</v>
      </c>
      <c r="Z939" s="200">
        <f ca="1">W939*'Expenditure Study'!$B$31</f>
        <v>0</v>
      </c>
      <c r="AA939" s="195">
        <f t="shared" ca="1" si="204"/>
        <v>0</v>
      </c>
      <c r="AB939" s="195">
        <f t="shared" ca="1" si="205"/>
        <v>0</v>
      </c>
      <c r="AD939" s="196">
        <f>IFERROR($G939/SUMIF($A:$A,$A939,$G:$G)*SUMIF(Summary!$A$166:$A$242,$A939,Summary!$P$166:$P$242),0)</f>
        <v>0</v>
      </c>
      <c r="AE939" s="197">
        <f t="shared" ca="1" si="206"/>
        <v>0</v>
      </c>
      <c r="AF939" s="196">
        <f>IFERROR(G939/SUMIF(A:A,A939,G:G)*SUMIF(Summary!$A$166:$A$242,'Operations Support'!A939,Summary!$Q$166:$Q$242),0)</f>
        <v>0</v>
      </c>
      <c r="AG939" s="196">
        <f t="shared" ca="1" si="207"/>
        <v>0</v>
      </c>
      <c r="AI939" s="196">
        <f>IFERROR($G939/SUMIF($A:$A,$A939,$G:$G)*SUMIF(Summary!$A$247:$A$283,$A939,Summary!$P$247:$P$283),0)</f>
        <v>0</v>
      </c>
      <c r="AJ939" s="196">
        <f>IFERROR($G939/SUMIF($A:$A,$A939,$G:$G)*(SUMIF(Summary!$A$247:$A$283,$A939,Summary!$L$247:$L$283)+SUMIF(Summary!$A$297:$A$333,$A939,Summary!$L$297:$L$333))-AI939,0)</f>
        <v>0</v>
      </c>
      <c r="AK939" s="196">
        <f>IFERROR($G939/SUMIF($A:$A,$A939,$G:$G)*SUMIF(Summary!$A$247:$A$283,$A939,Summary!$Q$247:$Q$283),0)</f>
        <v>0</v>
      </c>
      <c r="AL939" s="196">
        <f>IFERROR($G939/SUMIF($A:$A,$A939,$G:$G)*(SUMIF(Summary!$A$247:$A$283,$A939,Summary!$L$247:$L$283)+SUMIF(Summary!$A$297:$A$333,$A939,Summary!$L$297:$L$333))-AK939,0)</f>
        <v>0</v>
      </c>
      <c r="AM939" s="198"/>
      <c r="AN939" s="196">
        <f t="shared" ca="1" si="208"/>
        <v>0</v>
      </c>
      <c r="AO939" s="196">
        <f t="shared" ca="1" si="209"/>
        <v>0</v>
      </c>
    </row>
    <row r="940" spans="1:41">
      <c r="A940" s="189">
        <v>3615</v>
      </c>
      <c r="B940" s="203">
        <v>5</v>
      </c>
      <c r="C940" s="191" t="s">
        <v>231</v>
      </c>
      <c r="D940" s="192">
        <f t="shared" si="196"/>
        <v>0</v>
      </c>
      <c r="E940" s="192">
        <f t="shared" si="197"/>
        <v>0</v>
      </c>
      <c r="F940" s="192">
        <f t="shared" si="198"/>
        <v>0</v>
      </c>
      <c r="G940" s="193">
        <f t="shared" si="199"/>
        <v>0</v>
      </c>
      <c r="H940" s="194">
        <v>0</v>
      </c>
      <c r="I940" s="194">
        <v>0</v>
      </c>
      <c r="J940" s="194">
        <v>0</v>
      </c>
      <c r="K940" s="193">
        <f t="shared" si="200"/>
        <v>0</v>
      </c>
      <c r="L940" s="194">
        <v>0</v>
      </c>
      <c r="M940" s="194">
        <v>0</v>
      </c>
      <c r="N940" s="194">
        <v>0</v>
      </c>
      <c r="O940" s="193">
        <f t="shared" si="201"/>
        <v>0</v>
      </c>
      <c r="P940" s="194">
        <v>0</v>
      </c>
      <c r="Q940" s="194">
        <v>0</v>
      </c>
      <c r="R940" s="194">
        <v>0</v>
      </c>
      <c r="S940" s="193">
        <f t="shared" si="202"/>
        <v>0</v>
      </c>
      <c r="T940" s="193">
        <f t="shared" si="203"/>
        <v>0</v>
      </c>
      <c r="U940" s="193">
        <f ca="1">OFFSET('Expenditure Study'!$B$7,'Operations Support'!$C940,'Operations Support'!$B940)*$G940</f>
        <v>0</v>
      </c>
      <c r="V940" s="199">
        <f ca="1">U940*'Expenditure Study'!$B$31</f>
        <v>0</v>
      </c>
      <c r="W940" s="199">
        <f ca="1">IF(A940=10298,1.51,1)*IF($B940&lt;3,$D940*'Expenditure Study'!$B$32*OFFSET('Expenditure Study'!$B$7,'Operations Support'!$C940,'Operations Support'!$B940),0)</f>
        <v>0</v>
      </c>
      <c r="X940" s="200">
        <f ca="1">W940*'Expenditure Study'!$B$31</f>
        <v>0</v>
      </c>
      <c r="Y940" s="199">
        <f ca="1">U940*'Expenditure Study'!$B$31</f>
        <v>0</v>
      </c>
      <c r="Z940" s="200">
        <f ca="1">W940*'Expenditure Study'!$B$31</f>
        <v>0</v>
      </c>
      <c r="AA940" s="195">
        <f t="shared" ca="1" si="204"/>
        <v>0</v>
      </c>
      <c r="AB940" s="195">
        <f t="shared" ca="1" si="205"/>
        <v>0</v>
      </c>
      <c r="AD940" s="196">
        <f>IFERROR($G940/SUMIF($A:$A,$A940,$G:$G)*SUMIF(Summary!$A$166:$A$242,$A940,Summary!$P$166:$P$242),0)</f>
        <v>0</v>
      </c>
      <c r="AE940" s="197">
        <f t="shared" ca="1" si="206"/>
        <v>0</v>
      </c>
      <c r="AF940" s="196">
        <f>IFERROR(G940/SUMIF(A:A,A940,G:G)*SUMIF(Summary!$A$166:$A$242,'Operations Support'!A940,Summary!$Q$166:$Q$242),0)</f>
        <v>0</v>
      </c>
      <c r="AG940" s="196">
        <f t="shared" ca="1" si="207"/>
        <v>0</v>
      </c>
      <c r="AI940" s="196">
        <f>IFERROR($G940/SUMIF($A:$A,$A940,$G:$G)*SUMIF(Summary!$A$247:$A$283,$A940,Summary!$P$247:$P$283),0)</f>
        <v>0</v>
      </c>
      <c r="AJ940" s="196">
        <f>IFERROR($G940/SUMIF($A:$A,$A940,$G:$G)*(SUMIF(Summary!$A$247:$A$283,$A940,Summary!$L$247:$L$283)+SUMIF(Summary!$A$297:$A$333,$A940,Summary!$L$297:$L$333))-AI940,0)</f>
        <v>0</v>
      </c>
      <c r="AK940" s="196">
        <f>IFERROR($G940/SUMIF($A:$A,$A940,$G:$G)*SUMIF(Summary!$A$247:$A$283,$A940,Summary!$Q$247:$Q$283),0)</f>
        <v>0</v>
      </c>
      <c r="AL940" s="196">
        <f>IFERROR($G940/SUMIF($A:$A,$A940,$G:$G)*(SUMIF(Summary!$A$247:$A$283,$A940,Summary!$L$247:$L$283)+SUMIF(Summary!$A$297:$A$333,$A940,Summary!$L$297:$L$333))-AK940,0)</f>
        <v>0</v>
      </c>
      <c r="AM940" s="198"/>
      <c r="AN940" s="196">
        <f t="shared" ca="1" si="208"/>
        <v>0</v>
      </c>
      <c r="AO940" s="196">
        <f t="shared" ca="1" si="209"/>
        <v>0</v>
      </c>
    </row>
    <row r="941" spans="1:41">
      <c r="A941" s="189">
        <v>3615</v>
      </c>
      <c r="B941" s="203">
        <v>5</v>
      </c>
      <c r="C941" s="191" t="s">
        <v>232</v>
      </c>
      <c r="D941" s="192">
        <f t="shared" si="196"/>
        <v>0</v>
      </c>
      <c r="E941" s="192">
        <f t="shared" si="197"/>
        <v>0</v>
      </c>
      <c r="F941" s="192">
        <f t="shared" si="198"/>
        <v>0</v>
      </c>
      <c r="G941" s="193">
        <f t="shared" si="199"/>
        <v>0</v>
      </c>
      <c r="H941" s="194">
        <v>0</v>
      </c>
      <c r="I941" s="194">
        <v>0</v>
      </c>
      <c r="J941" s="194">
        <v>0</v>
      </c>
      <c r="K941" s="193">
        <f t="shared" si="200"/>
        <v>0</v>
      </c>
      <c r="L941" s="194">
        <v>0</v>
      </c>
      <c r="M941" s="194">
        <v>0</v>
      </c>
      <c r="N941" s="194">
        <v>0</v>
      </c>
      <c r="O941" s="193">
        <f t="shared" si="201"/>
        <v>0</v>
      </c>
      <c r="P941" s="194">
        <v>0</v>
      </c>
      <c r="Q941" s="194">
        <v>0</v>
      </c>
      <c r="R941" s="194">
        <v>0</v>
      </c>
      <c r="S941" s="193">
        <f t="shared" si="202"/>
        <v>0</v>
      </c>
      <c r="T941" s="193">
        <f t="shared" si="203"/>
        <v>0</v>
      </c>
      <c r="U941" s="193">
        <f ca="1">OFFSET('Expenditure Study'!$B$7,'Operations Support'!$C941,'Operations Support'!$B941)*$G941</f>
        <v>0</v>
      </c>
      <c r="V941" s="199">
        <f ca="1">U941*'Expenditure Study'!$B$31</f>
        <v>0</v>
      </c>
      <c r="W941" s="199">
        <f ca="1">IF(A941=10298,1.51,1)*IF($B941&lt;3,$D941*'Expenditure Study'!$B$32*OFFSET('Expenditure Study'!$B$7,'Operations Support'!$C941,'Operations Support'!$B941),0)</f>
        <v>0</v>
      </c>
      <c r="X941" s="200">
        <f ca="1">W941*'Expenditure Study'!$B$31</f>
        <v>0</v>
      </c>
      <c r="Y941" s="199">
        <f ca="1">U941*'Expenditure Study'!$B$31</f>
        <v>0</v>
      </c>
      <c r="Z941" s="200">
        <f ca="1">W941*'Expenditure Study'!$B$31</f>
        <v>0</v>
      </c>
      <c r="AA941" s="195">
        <f t="shared" ca="1" si="204"/>
        <v>0</v>
      </c>
      <c r="AB941" s="195">
        <f t="shared" ca="1" si="205"/>
        <v>0</v>
      </c>
      <c r="AD941" s="196">
        <f>IFERROR($G941/SUMIF($A:$A,$A941,$G:$G)*SUMIF(Summary!$A$166:$A$242,$A941,Summary!$P$166:$P$242),0)</f>
        <v>0</v>
      </c>
      <c r="AE941" s="197">
        <f t="shared" ca="1" si="206"/>
        <v>0</v>
      </c>
      <c r="AF941" s="196">
        <f>IFERROR(G941/SUMIF(A:A,A941,G:G)*SUMIF(Summary!$A$166:$A$242,'Operations Support'!A941,Summary!$Q$166:$Q$242),0)</f>
        <v>0</v>
      </c>
      <c r="AG941" s="196">
        <f t="shared" ca="1" si="207"/>
        <v>0</v>
      </c>
      <c r="AI941" s="196">
        <f>IFERROR($G941/SUMIF($A:$A,$A941,$G:$G)*SUMIF(Summary!$A$247:$A$283,$A941,Summary!$P$247:$P$283),0)</f>
        <v>0</v>
      </c>
      <c r="AJ941" s="196">
        <f>IFERROR($G941/SUMIF($A:$A,$A941,$G:$G)*(SUMIF(Summary!$A$247:$A$283,$A941,Summary!$L$247:$L$283)+SUMIF(Summary!$A$297:$A$333,$A941,Summary!$L$297:$L$333))-AI941,0)</f>
        <v>0</v>
      </c>
      <c r="AK941" s="196">
        <f>IFERROR($G941/SUMIF($A:$A,$A941,$G:$G)*SUMIF(Summary!$A$247:$A$283,$A941,Summary!$Q$247:$Q$283),0)</f>
        <v>0</v>
      </c>
      <c r="AL941" s="196">
        <f>IFERROR($G941/SUMIF($A:$A,$A941,$G:$G)*(SUMIF(Summary!$A$247:$A$283,$A941,Summary!$L$247:$L$283)+SUMIF(Summary!$A$297:$A$333,$A941,Summary!$L$297:$L$333))-AK941,0)</f>
        <v>0</v>
      </c>
      <c r="AM941" s="198"/>
      <c r="AN941" s="196">
        <f t="shared" ca="1" si="208"/>
        <v>0</v>
      </c>
      <c r="AO941" s="196">
        <f t="shared" ca="1" si="209"/>
        <v>0</v>
      </c>
    </row>
    <row r="942" spans="1:41">
      <c r="A942" s="189">
        <v>3615</v>
      </c>
      <c r="B942" s="203">
        <v>5</v>
      </c>
      <c r="C942" s="191" t="s">
        <v>233</v>
      </c>
      <c r="D942" s="192">
        <f t="shared" si="196"/>
        <v>1346</v>
      </c>
      <c r="E942" s="192">
        <f t="shared" si="197"/>
        <v>2920</v>
      </c>
      <c r="F942" s="192">
        <f t="shared" si="198"/>
        <v>0</v>
      </c>
      <c r="G942" s="193">
        <f t="shared" si="199"/>
        <v>4266</v>
      </c>
      <c r="H942" s="194">
        <v>549</v>
      </c>
      <c r="I942" s="194">
        <v>990</v>
      </c>
      <c r="J942" s="194">
        <v>0</v>
      </c>
      <c r="K942" s="193">
        <f t="shared" si="200"/>
        <v>1539</v>
      </c>
      <c r="L942" s="194">
        <v>505</v>
      </c>
      <c r="M942" s="194">
        <v>981</v>
      </c>
      <c r="N942" s="194">
        <v>0</v>
      </c>
      <c r="O942" s="193">
        <f t="shared" si="201"/>
        <v>1486</v>
      </c>
      <c r="P942" s="194">
        <v>292</v>
      </c>
      <c r="Q942" s="194">
        <v>949</v>
      </c>
      <c r="R942" s="194">
        <v>0</v>
      </c>
      <c r="S942" s="193">
        <f t="shared" si="202"/>
        <v>1241</v>
      </c>
      <c r="T942" s="193">
        <f t="shared" si="203"/>
        <v>177.75</v>
      </c>
      <c r="U942" s="193">
        <f ca="1">OFFSET('Expenditure Study'!$B$7,'Operations Support'!$C942,'Operations Support'!$B942)*$G942</f>
        <v>13992.48</v>
      </c>
      <c r="V942" s="199">
        <f ca="1">U942*'Expenditure Study'!$B$31</f>
        <v>826720.22568038397</v>
      </c>
      <c r="W942" s="199">
        <f ca="1">IF(A942=10298,1.51,1)*IF($B942&lt;3,$D942*'Expenditure Study'!$B$32*OFFSET('Expenditure Study'!$B$7,'Operations Support'!$C942,'Operations Support'!$B942),0)</f>
        <v>0</v>
      </c>
      <c r="X942" s="200">
        <f ca="1">W942*'Expenditure Study'!$B$31</f>
        <v>0</v>
      </c>
      <c r="Y942" s="199">
        <f ca="1">U942*'Expenditure Study'!$B$31</f>
        <v>826720.22568038397</v>
      </c>
      <c r="Z942" s="200">
        <f ca="1">W942*'Expenditure Study'!$B$31</f>
        <v>0</v>
      </c>
      <c r="AA942" s="195">
        <f t="shared" ca="1" si="204"/>
        <v>826720.22568038397</v>
      </c>
      <c r="AB942" s="195">
        <f t="shared" ca="1" si="205"/>
        <v>826720.22568038397</v>
      </c>
      <c r="AD942" s="196">
        <f>IFERROR($G942/SUMIF($A:$A,$A942,$G:$G)*SUMIF(Summary!$A$166:$A$242,$A942,Summary!$P$166:$P$242),0)</f>
        <v>112721.8825464008</v>
      </c>
      <c r="AE942" s="197">
        <f t="shared" ca="1" si="206"/>
        <v>713998.3431339832</v>
      </c>
      <c r="AF942" s="196">
        <f>IFERROR(G942/SUMIF(A:A,A942,G:G)*SUMIF(Summary!$A$166:$A$242,'Operations Support'!A942,Summary!$Q$166:$Q$242),0)</f>
        <v>112945.96937292864</v>
      </c>
      <c r="AG942" s="196">
        <f t="shared" ca="1" si="207"/>
        <v>713774.25630745536</v>
      </c>
      <c r="AI942" s="196">
        <f>IFERROR($G942/SUMIF($A:$A,$A942,$G:$G)*SUMIF(Summary!$A$247:$A$283,$A942,Summary!$P$247:$P$283),0)</f>
        <v>20557.658433240354</v>
      </c>
      <c r="AJ942" s="196">
        <f>IFERROR($G942/SUMIF($A:$A,$A942,$G:$G)*(SUMIF(Summary!$A$247:$A$283,$A942,Summary!$L$247:$L$283)+SUMIF(Summary!$A$297:$A$333,$A942,Summary!$L$297:$L$333))-AI942,0)</f>
        <v>75674.239847376331</v>
      </c>
      <c r="AK942" s="196">
        <f>IFERROR($G942/SUMIF($A:$A,$A942,$G:$G)*SUMIF(Summary!$A$247:$A$283,$A942,Summary!$Q$247:$Q$283),0)</f>
        <v>20598.526278374615</v>
      </c>
      <c r="AL942" s="196">
        <f>IFERROR($G942/SUMIF($A:$A,$A942,$G:$G)*(SUMIF(Summary!$A$247:$A$283,$A942,Summary!$L$247:$L$283)+SUMIF(Summary!$A$297:$A$333,$A942,Summary!$L$297:$L$333))-AK942,0)</f>
        <v>75633.372002242075</v>
      </c>
      <c r="AM942" s="198"/>
      <c r="AN942" s="196">
        <f t="shared" ca="1" si="208"/>
        <v>789672.58298135956</v>
      </c>
      <c r="AO942" s="196">
        <f t="shared" ca="1" si="209"/>
        <v>789407.62830969738</v>
      </c>
    </row>
    <row r="943" spans="1:41">
      <c r="A943" s="189">
        <v>3615</v>
      </c>
      <c r="B943" s="203">
        <v>5</v>
      </c>
      <c r="C943" s="191" t="s">
        <v>234</v>
      </c>
      <c r="D943" s="192">
        <f t="shared" si="196"/>
        <v>0</v>
      </c>
      <c r="E943" s="192">
        <f t="shared" si="197"/>
        <v>0</v>
      </c>
      <c r="F943" s="192">
        <f t="shared" si="198"/>
        <v>0</v>
      </c>
      <c r="G943" s="193">
        <f t="shared" si="199"/>
        <v>0</v>
      </c>
      <c r="H943" s="194">
        <v>0</v>
      </c>
      <c r="I943" s="194">
        <v>0</v>
      </c>
      <c r="J943" s="194">
        <v>0</v>
      </c>
      <c r="K943" s="193">
        <f t="shared" si="200"/>
        <v>0</v>
      </c>
      <c r="L943" s="194">
        <v>0</v>
      </c>
      <c r="M943" s="194">
        <v>0</v>
      </c>
      <c r="N943" s="194">
        <v>0</v>
      </c>
      <c r="O943" s="193">
        <f t="shared" si="201"/>
        <v>0</v>
      </c>
      <c r="P943" s="194">
        <v>0</v>
      </c>
      <c r="Q943" s="194">
        <v>0</v>
      </c>
      <c r="R943" s="194">
        <v>0</v>
      </c>
      <c r="S943" s="193">
        <f t="shared" si="202"/>
        <v>0</v>
      </c>
      <c r="T943" s="193">
        <f t="shared" si="203"/>
        <v>0</v>
      </c>
      <c r="U943" s="193">
        <f ca="1">OFFSET('Expenditure Study'!$B$7,'Operations Support'!$C943,'Operations Support'!$B943)*$G943</f>
        <v>0</v>
      </c>
      <c r="V943" s="199">
        <f ca="1">U943*'Expenditure Study'!$B$31</f>
        <v>0</v>
      </c>
      <c r="W943" s="199">
        <f ca="1">IF(A943=10298,1.51,1)*IF($B943&lt;3,$D943*'Expenditure Study'!$B$32*OFFSET('Expenditure Study'!$B$7,'Operations Support'!$C943,'Operations Support'!$B943),0)</f>
        <v>0</v>
      </c>
      <c r="X943" s="200">
        <f ca="1">W943*'Expenditure Study'!$B$31</f>
        <v>0</v>
      </c>
      <c r="Y943" s="199">
        <f ca="1">U943*'Expenditure Study'!$B$31</f>
        <v>0</v>
      </c>
      <c r="Z943" s="200">
        <f ca="1">W943*'Expenditure Study'!$B$31</f>
        <v>0</v>
      </c>
      <c r="AA943" s="195">
        <f t="shared" ca="1" si="204"/>
        <v>0</v>
      </c>
      <c r="AB943" s="195">
        <f t="shared" ca="1" si="205"/>
        <v>0</v>
      </c>
      <c r="AD943" s="196">
        <f>IFERROR($G943/SUMIF($A:$A,$A943,$G:$G)*SUMIF(Summary!$A$166:$A$242,$A943,Summary!$P$166:$P$242),0)</f>
        <v>0</v>
      </c>
      <c r="AE943" s="197">
        <f t="shared" ca="1" si="206"/>
        <v>0</v>
      </c>
      <c r="AF943" s="196">
        <f>IFERROR(G943/SUMIF(A:A,A943,G:G)*SUMIF(Summary!$A$166:$A$242,'Operations Support'!A943,Summary!$Q$166:$Q$242),0)</f>
        <v>0</v>
      </c>
      <c r="AG943" s="196">
        <f t="shared" ca="1" si="207"/>
        <v>0</v>
      </c>
      <c r="AI943" s="196">
        <f>IFERROR($G943/SUMIF($A:$A,$A943,$G:$G)*SUMIF(Summary!$A$247:$A$283,$A943,Summary!$P$247:$P$283),0)</f>
        <v>0</v>
      </c>
      <c r="AJ943" s="196">
        <f>IFERROR($G943/SUMIF($A:$A,$A943,$G:$G)*(SUMIF(Summary!$A$247:$A$283,$A943,Summary!$L$247:$L$283)+SUMIF(Summary!$A$297:$A$333,$A943,Summary!$L$297:$L$333))-AI943,0)</f>
        <v>0</v>
      </c>
      <c r="AK943" s="196">
        <f>IFERROR($G943/SUMIF($A:$A,$A943,$G:$G)*SUMIF(Summary!$A$247:$A$283,$A943,Summary!$Q$247:$Q$283),0)</f>
        <v>0</v>
      </c>
      <c r="AL943" s="196">
        <f>IFERROR($G943/SUMIF($A:$A,$A943,$G:$G)*(SUMIF(Summary!$A$247:$A$283,$A943,Summary!$L$247:$L$283)+SUMIF(Summary!$A$297:$A$333,$A943,Summary!$L$297:$L$333))-AK943,0)</f>
        <v>0</v>
      </c>
      <c r="AM943" s="198"/>
      <c r="AN943" s="196">
        <f t="shared" ca="1" si="208"/>
        <v>0</v>
      </c>
      <c r="AO943" s="196">
        <f t="shared" ca="1" si="209"/>
        <v>0</v>
      </c>
    </row>
    <row r="944" spans="1:41">
      <c r="A944" s="189">
        <v>3615</v>
      </c>
      <c r="B944" s="203">
        <v>5</v>
      </c>
      <c r="C944" s="191" t="s">
        <v>235</v>
      </c>
      <c r="D944" s="192">
        <f t="shared" si="196"/>
        <v>0</v>
      </c>
      <c r="E944" s="192">
        <f t="shared" si="197"/>
        <v>0</v>
      </c>
      <c r="F944" s="192">
        <f t="shared" si="198"/>
        <v>0</v>
      </c>
      <c r="G944" s="193">
        <f t="shared" si="199"/>
        <v>0</v>
      </c>
      <c r="H944" s="194">
        <v>0</v>
      </c>
      <c r="I944" s="194">
        <v>0</v>
      </c>
      <c r="J944" s="194">
        <v>0</v>
      </c>
      <c r="K944" s="193">
        <f t="shared" si="200"/>
        <v>0</v>
      </c>
      <c r="L944" s="194">
        <v>0</v>
      </c>
      <c r="M944" s="194">
        <v>0</v>
      </c>
      <c r="N944" s="194">
        <v>0</v>
      </c>
      <c r="O944" s="193">
        <f t="shared" si="201"/>
        <v>0</v>
      </c>
      <c r="P944" s="194">
        <v>0</v>
      </c>
      <c r="Q944" s="194">
        <v>0</v>
      </c>
      <c r="R944" s="194">
        <v>0</v>
      </c>
      <c r="S944" s="193">
        <f t="shared" si="202"/>
        <v>0</v>
      </c>
      <c r="T944" s="193">
        <f t="shared" si="203"/>
        <v>0</v>
      </c>
      <c r="U944" s="193">
        <f ca="1">OFFSET('Expenditure Study'!$B$7,'Operations Support'!$C944,'Operations Support'!$B944)*$G944</f>
        <v>0</v>
      </c>
      <c r="V944" s="199">
        <f ca="1">U944*'Expenditure Study'!$B$31</f>
        <v>0</v>
      </c>
      <c r="W944" s="199">
        <f ca="1">IF(A944=10298,1.51,1)*IF($B944&lt;3,$D944*'Expenditure Study'!$B$32*OFFSET('Expenditure Study'!$B$7,'Operations Support'!$C944,'Operations Support'!$B944),0)</f>
        <v>0</v>
      </c>
      <c r="X944" s="200">
        <f ca="1">W944*'Expenditure Study'!$B$31</f>
        <v>0</v>
      </c>
      <c r="Y944" s="199">
        <f ca="1">U944*'Expenditure Study'!$B$31</f>
        <v>0</v>
      </c>
      <c r="Z944" s="200">
        <f ca="1">W944*'Expenditure Study'!$B$31</f>
        <v>0</v>
      </c>
      <c r="AA944" s="195">
        <f t="shared" ca="1" si="204"/>
        <v>0</v>
      </c>
      <c r="AB944" s="195">
        <f t="shared" ca="1" si="205"/>
        <v>0</v>
      </c>
      <c r="AD944" s="196">
        <f>IFERROR($G944/SUMIF($A:$A,$A944,$G:$G)*SUMIF(Summary!$A$166:$A$242,$A944,Summary!$P$166:$P$242),0)</f>
        <v>0</v>
      </c>
      <c r="AE944" s="197">
        <f t="shared" ca="1" si="206"/>
        <v>0</v>
      </c>
      <c r="AF944" s="196">
        <f>IFERROR(G944/SUMIF(A:A,A944,G:G)*SUMIF(Summary!$A$166:$A$242,'Operations Support'!A944,Summary!$Q$166:$Q$242),0)</f>
        <v>0</v>
      </c>
      <c r="AG944" s="196">
        <f t="shared" ca="1" si="207"/>
        <v>0</v>
      </c>
      <c r="AI944" s="196">
        <f>IFERROR($G944/SUMIF($A:$A,$A944,$G:$G)*SUMIF(Summary!$A$247:$A$283,$A944,Summary!$P$247:$P$283),0)</f>
        <v>0</v>
      </c>
      <c r="AJ944" s="196">
        <f>IFERROR($G944/SUMIF($A:$A,$A944,$G:$G)*(SUMIF(Summary!$A$247:$A$283,$A944,Summary!$L$247:$L$283)+SUMIF(Summary!$A$297:$A$333,$A944,Summary!$L$297:$L$333))-AI944,0)</f>
        <v>0</v>
      </c>
      <c r="AK944" s="196">
        <f>IFERROR($G944/SUMIF($A:$A,$A944,$G:$G)*SUMIF(Summary!$A$247:$A$283,$A944,Summary!$Q$247:$Q$283),0)</f>
        <v>0</v>
      </c>
      <c r="AL944" s="196">
        <f>IFERROR($G944/SUMIF($A:$A,$A944,$G:$G)*(SUMIF(Summary!$A$247:$A$283,$A944,Summary!$L$247:$L$283)+SUMIF(Summary!$A$297:$A$333,$A944,Summary!$L$297:$L$333))-AK944,0)</f>
        <v>0</v>
      </c>
      <c r="AM944" s="198"/>
      <c r="AN944" s="196">
        <f t="shared" ca="1" si="208"/>
        <v>0</v>
      </c>
      <c r="AO944" s="196">
        <f t="shared" ca="1" si="209"/>
        <v>0</v>
      </c>
    </row>
    <row r="945" spans="1:41">
      <c r="A945" s="189">
        <v>3615</v>
      </c>
      <c r="B945" s="203">
        <v>5</v>
      </c>
      <c r="C945" s="191" t="s">
        <v>236</v>
      </c>
      <c r="D945" s="192">
        <f t="shared" si="196"/>
        <v>0</v>
      </c>
      <c r="E945" s="192">
        <f t="shared" si="197"/>
        <v>0</v>
      </c>
      <c r="F945" s="192">
        <f t="shared" si="198"/>
        <v>0</v>
      </c>
      <c r="G945" s="193">
        <f t="shared" si="199"/>
        <v>0</v>
      </c>
      <c r="H945" s="194">
        <v>0</v>
      </c>
      <c r="I945" s="194">
        <v>0</v>
      </c>
      <c r="J945" s="194">
        <v>0</v>
      </c>
      <c r="K945" s="193">
        <f t="shared" si="200"/>
        <v>0</v>
      </c>
      <c r="L945" s="194">
        <v>0</v>
      </c>
      <c r="M945" s="194">
        <v>0</v>
      </c>
      <c r="N945" s="194">
        <v>0</v>
      </c>
      <c r="O945" s="193">
        <f t="shared" si="201"/>
        <v>0</v>
      </c>
      <c r="P945" s="194">
        <v>0</v>
      </c>
      <c r="Q945" s="194">
        <v>0</v>
      </c>
      <c r="R945" s="194">
        <v>0</v>
      </c>
      <c r="S945" s="193">
        <f t="shared" si="202"/>
        <v>0</v>
      </c>
      <c r="T945" s="193">
        <f t="shared" si="203"/>
        <v>0</v>
      </c>
      <c r="U945" s="193">
        <f ca="1">OFFSET('Expenditure Study'!$B$7,'Operations Support'!$C945,'Operations Support'!$B945)*$G945</f>
        <v>0</v>
      </c>
      <c r="V945" s="199">
        <f ca="1">U945*'Expenditure Study'!$B$31</f>
        <v>0</v>
      </c>
      <c r="W945" s="199">
        <f ca="1">IF(A945=10298,1.51,1)*IF($B945&lt;3,$D945*'Expenditure Study'!$B$32*OFFSET('Expenditure Study'!$B$7,'Operations Support'!$C945,'Operations Support'!$B945),0)</f>
        <v>0</v>
      </c>
      <c r="X945" s="200">
        <f ca="1">W945*'Expenditure Study'!$B$31</f>
        <v>0</v>
      </c>
      <c r="Y945" s="199">
        <f ca="1">U945*'Expenditure Study'!$B$31</f>
        <v>0</v>
      </c>
      <c r="Z945" s="200">
        <f ca="1">W945*'Expenditure Study'!$B$31</f>
        <v>0</v>
      </c>
      <c r="AA945" s="195">
        <f t="shared" ca="1" si="204"/>
        <v>0</v>
      </c>
      <c r="AB945" s="195">
        <f t="shared" ca="1" si="205"/>
        <v>0</v>
      </c>
      <c r="AD945" s="196">
        <f>IFERROR($G945/SUMIF($A:$A,$A945,$G:$G)*SUMIF(Summary!$A$166:$A$242,$A945,Summary!$P$166:$P$242),0)</f>
        <v>0</v>
      </c>
      <c r="AE945" s="197">
        <f t="shared" ca="1" si="206"/>
        <v>0</v>
      </c>
      <c r="AF945" s="196">
        <f>IFERROR(G945/SUMIF(A:A,A945,G:G)*SUMIF(Summary!$A$166:$A$242,'Operations Support'!A945,Summary!$Q$166:$Q$242),0)</f>
        <v>0</v>
      </c>
      <c r="AG945" s="196">
        <f t="shared" ca="1" si="207"/>
        <v>0</v>
      </c>
      <c r="AI945" s="196">
        <f>IFERROR($G945/SUMIF($A:$A,$A945,$G:$G)*SUMIF(Summary!$A$247:$A$283,$A945,Summary!$P$247:$P$283),0)</f>
        <v>0</v>
      </c>
      <c r="AJ945" s="196">
        <f>IFERROR($G945/SUMIF($A:$A,$A945,$G:$G)*(SUMIF(Summary!$A$247:$A$283,$A945,Summary!$L$247:$L$283)+SUMIF(Summary!$A$297:$A$333,$A945,Summary!$L$297:$L$333))-AI945,0)</f>
        <v>0</v>
      </c>
      <c r="AK945" s="196">
        <f>IFERROR($G945/SUMIF($A:$A,$A945,$G:$G)*SUMIF(Summary!$A$247:$A$283,$A945,Summary!$Q$247:$Q$283),0)</f>
        <v>0</v>
      </c>
      <c r="AL945" s="196">
        <f>IFERROR($G945/SUMIF($A:$A,$A945,$G:$G)*(SUMIF(Summary!$A$247:$A$283,$A945,Summary!$L$247:$L$283)+SUMIF(Summary!$A$297:$A$333,$A945,Summary!$L$297:$L$333))-AK945,0)</f>
        <v>0</v>
      </c>
      <c r="AM945" s="198"/>
      <c r="AN945" s="196">
        <f t="shared" ca="1" si="208"/>
        <v>0</v>
      </c>
      <c r="AO945" s="196">
        <f t="shared" ca="1" si="209"/>
        <v>0</v>
      </c>
    </row>
    <row r="946" spans="1:41">
      <c r="A946" s="189">
        <v>3615</v>
      </c>
      <c r="B946" s="203">
        <v>5</v>
      </c>
      <c r="C946" s="191" t="s">
        <v>237</v>
      </c>
      <c r="D946" s="192">
        <f t="shared" si="196"/>
        <v>0</v>
      </c>
      <c r="E946" s="192">
        <f t="shared" si="197"/>
        <v>0</v>
      </c>
      <c r="F946" s="192">
        <f t="shared" si="198"/>
        <v>0</v>
      </c>
      <c r="G946" s="193">
        <f t="shared" si="199"/>
        <v>0</v>
      </c>
      <c r="H946" s="194">
        <v>0</v>
      </c>
      <c r="I946" s="194">
        <v>0</v>
      </c>
      <c r="J946" s="194">
        <v>0</v>
      </c>
      <c r="K946" s="193">
        <f t="shared" si="200"/>
        <v>0</v>
      </c>
      <c r="L946" s="194">
        <v>0</v>
      </c>
      <c r="M946" s="194">
        <v>0</v>
      </c>
      <c r="N946" s="194">
        <v>0</v>
      </c>
      <c r="O946" s="193">
        <f t="shared" si="201"/>
        <v>0</v>
      </c>
      <c r="P946" s="194">
        <v>0</v>
      </c>
      <c r="Q946" s="194">
        <v>0</v>
      </c>
      <c r="R946" s="194">
        <v>0</v>
      </c>
      <c r="S946" s="193">
        <f t="shared" si="202"/>
        <v>0</v>
      </c>
      <c r="T946" s="193">
        <f t="shared" si="203"/>
        <v>0</v>
      </c>
      <c r="U946" s="193">
        <f ca="1">OFFSET('Expenditure Study'!$B$7,'Operations Support'!$C946,'Operations Support'!$B946)*$G946</f>
        <v>0</v>
      </c>
      <c r="V946" s="199">
        <f ca="1">U946*'Expenditure Study'!$B$31</f>
        <v>0</v>
      </c>
      <c r="W946" s="199">
        <f ca="1">IF(A946=10298,1.51,1)*IF($B946&lt;3,$D946*'Expenditure Study'!$B$32*OFFSET('Expenditure Study'!$B$7,'Operations Support'!$C946,'Operations Support'!$B946),0)</f>
        <v>0</v>
      </c>
      <c r="X946" s="200">
        <f ca="1">W946*'Expenditure Study'!$B$31</f>
        <v>0</v>
      </c>
      <c r="Y946" s="199">
        <f ca="1">U946*'Expenditure Study'!$B$31</f>
        <v>0</v>
      </c>
      <c r="Z946" s="200">
        <f ca="1">W946*'Expenditure Study'!$B$31</f>
        <v>0</v>
      </c>
      <c r="AA946" s="195">
        <f t="shared" ca="1" si="204"/>
        <v>0</v>
      </c>
      <c r="AB946" s="195">
        <f t="shared" ca="1" si="205"/>
        <v>0</v>
      </c>
      <c r="AD946" s="196">
        <f>IFERROR($G946/SUMIF($A:$A,$A946,$G:$G)*SUMIF(Summary!$A$166:$A$242,$A946,Summary!$P$166:$P$242),0)</f>
        <v>0</v>
      </c>
      <c r="AE946" s="197">
        <f t="shared" ca="1" si="206"/>
        <v>0</v>
      </c>
      <c r="AF946" s="196">
        <f>IFERROR(G946/SUMIF(A:A,A946,G:G)*SUMIF(Summary!$A$166:$A$242,'Operations Support'!A946,Summary!$Q$166:$Q$242),0)</f>
        <v>0</v>
      </c>
      <c r="AG946" s="196">
        <f t="shared" ca="1" si="207"/>
        <v>0</v>
      </c>
      <c r="AI946" s="196">
        <f>IFERROR($G946/SUMIF($A:$A,$A946,$G:$G)*SUMIF(Summary!$A$247:$A$283,$A946,Summary!$P$247:$P$283),0)</f>
        <v>0</v>
      </c>
      <c r="AJ946" s="196">
        <f>IFERROR($G946/SUMIF($A:$A,$A946,$G:$G)*(SUMIF(Summary!$A$247:$A$283,$A946,Summary!$L$247:$L$283)+SUMIF(Summary!$A$297:$A$333,$A946,Summary!$L$297:$L$333))-AI946,0)</f>
        <v>0</v>
      </c>
      <c r="AK946" s="196">
        <f>IFERROR($G946/SUMIF($A:$A,$A946,$G:$G)*SUMIF(Summary!$A$247:$A$283,$A946,Summary!$Q$247:$Q$283),0)</f>
        <v>0</v>
      </c>
      <c r="AL946" s="196">
        <f>IFERROR($G946/SUMIF($A:$A,$A946,$G:$G)*(SUMIF(Summary!$A$247:$A$283,$A946,Summary!$L$247:$L$283)+SUMIF(Summary!$A$297:$A$333,$A946,Summary!$L$297:$L$333))-AK946,0)</f>
        <v>0</v>
      </c>
      <c r="AM946" s="198"/>
      <c r="AN946" s="196">
        <f t="shared" ca="1" si="208"/>
        <v>0</v>
      </c>
      <c r="AO946" s="196">
        <f t="shared" ca="1" si="209"/>
        <v>0</v>
      </c>
    </row>
    <row r="947" spans="1:41">
      <c r="A947" s="189">
        <v>3615</v>
      </c>
      <c r="B947" s="203">
        <v>5</v>
      </c>
      <c r="C947" s="191" t="s">
        <v>238</v>
      </c>
      <c r="D947" s="192">
        <f t="shared" si="196"/>
        <v>0</v>
      </c>
      <c r="E947" s="192">
        <f t="shared" si="197"/>
        <v>0</v>
      </c>
      <c r="F947" s="192">
        <f t="shared" si="198"/>
        <v>0</v>
      </c>
      <c r="G947" s="193">
        <f t="shared" si="199"/>
        <v>0</v>
      </c>
      <c r="H947" s="194">
        <v>0</v>
      </c>
      <c r="I947" s="194">
        <v>0</v>
      </c>
      <c r="J947" s="194">
        <v>0</v>
      </c>
      <c r="K947" s="193">
        <f t="shared" si="200"/>
        <v>0</v>
      </c>
      <c r="L947" s="194">
        <v>0</v>
      </c>
      <c r="M947" s="194">
        <v>0</v>
      </c>
      <c r="N947" s="194">
        <v>0</v>
      </c>
      <c r="O947" s="193">
        <f t="shared" si="201"/>
        <v>0</v>
      </c>
      <c r="P947" s="194">
        <v>0</v>
      </c>
      <c r="Q947" s="194">
        <v>0</v>
      </c>
      <c r="R947" s="194">
        <v>0</v>
      </c>
      <c r="S947" s="193">
        <f t="shared" si="202"/>
        <v>0</v>
      </c>
      <c r="T947" s="193">
        <f t="shared" si="203"/>
        <v>0</v>
      </c>
      <c r="U947" s="193">
        <f ca="1">OFFSET('Expenditure Study'!$B$7,'Operations Support'!$C947,'Operations Support'!$B947)*$G947</f>
        <v>0</v>
      </c>
      <c r="V947" s="199">
        <f ca="1">U947*'Expenditure Study'!$B$31</f>
        <v>0</v>
      </c>
      <c r="W947" s="199">
        <f ca="1">IF(A947=10298,1.51,1)*IF($B947&lt;3,$D947*'Expenditure Study'!$B$32*OFFSET('Expenditure Study'!$B$7,'Operations Support'!$C947,'Operations Support'!$B947),0)</f>
        <v>0</v>
      </c>
      <c r="X947" s="200">
        <f ca="1">W947*'Expenditure Study'!$B$31</f>
        <v>0</v>
      </c>
      <c r="Y947" s="199">
        <f ca="1">U947*'Expenditure Study'!$B$31</f>
        <v>0</v>
      </c>
      <c r="Z947" s="200">
        <f ca="1">W947*'Expenditure Study'!$B$31</f>
        <v>0</v>
      </c>
      <c r="AA947" s="195">
        <f t="shared" ca="1" si="204"/>
        <v>0</v>
      </c>
      <c r="AB947" s="195">
        <f t="shared" ca="1" si="205"/>
        <v>0</v>
      </c>
      <c r="AD947" s="196">
        <f>IFERROR($G947/SUMIF($A:$A,$A947,$G:$G)*SUMIF(Summary!$A$166:$A$242,$A947,Summary!$P$166:$P$242),0)</f>
        <v>0</v>
      </c>
      <c r="AE947" s="197">
        <f t="shared" ca="1" si="206"/>
        <v>0</v>
      </c>
      <c r="AF947" s="196">
        <f>IFERROR(G947/SUMIF(A:A,A947,G:G)*SUMIF(Summary!$A$166:$A$242,'Operations Support'!A947,Summary!$Q$166:$Q$242),0)</f>
        <v>0</v>
      </c>
      <c r="AG947" s="196">
        <f t="shared" ca="1" si="207"/>
        <v>0</v>
      </c>
      <c r="AI947" s="196">
        <f>IFERROR($G947/SUMIF($A:$A,$A947,$G:$G)*SUMIF(Summary!$A$247:$A$283,$A947,Summary!$P$247:$P$283),0)</f>
        <v>0</v>
      </c>
      <c r="AJ947" s="196">
        <f>IFERROR($G947/SUMIF($A:$A,$A947,$G:$G)*(SUMIF(Summary!$A$247:$A$283,$A947,Summary!$L$247:$L$283)+SUMIF(Summary!$A$297:$A$333,$A947,Summary!$L$297:$L$333))-AI947,0)</f>
        <v>0</v>
      </c>
      <c r="AK947" s="196">
        <f>IFERROR($G947/SUMIF($A:$A,$A947,$G:$G)*SUMIF(Summary!$A$247:$A$283,$A947,Summary!$Q$247:$Q$283),0)</f>
        <v>0</v>
      </c>
      <c r="AL947" s="196">
        <f>IFERROR($G947/SUMIF($A:$A,$A947,$G:$G)*(SUMIF(Summary!$A$247:$A$283,$A947,Summary!$L$247:$L$283)+SUMIF(Summary!$A$297:$A$333,$A947,Summary!$L$297:$L$333))-AK947,0)</f>
        <v>0</v>
      </c>
      <c r="AM947" s="198"/>
      <c r="AN947" s="196">
        <f t="shared" ca="1" si="208"/>
        <v>0</v>
      </c>
      <c r="AO947" s="196">
        <f t="shared" ca="1" si="209"/>
        <v>0</v>
      </c>
    </row>
    <row r="948" spans="1:41">
      <c r="A948" s="189">
        <v>3615</v>
      </c>
      <c r="B948" s="203">
        <v>5</v>
      </c>
      <c r="C948" s="191" t="s">
        <v>239</v>
      </c>
      <c r="D948" s="192">
        <f t="shared" si="196"/>
        <v>0</v>
      </c>
      <c r="E948" s="192">
        <f t="shared" si="197"/>
        <v>0</v>
      </c>
      <c r="F948" s="192">
        <f t="shared" si="198"/>
        <v>0</v>
      </c>
      <c r="G948" s="193">
        <f t="shared" si="199"/>
        <v>0</v>
      </c>
      <c r="H948" s="194">
        <v>0</v>
      </c>
      <c r="I948" s="194">
        <v>0</v>
      </c>
      <c r="J948" s="194">
        <v>0</v>
      </c>
      <c r="K948" s="193">
        <f t="shared" si="200"/>
        <v>0</v>
      </c>
      <c r="L948" s="194">
        <v>0</v>
      </c>
      <c r="M948" s="194">
        <v>0</v>
      </c>
      <c r="N948" s="194">
        <v>0</v>
      </c>
      <c r="O948" s="193">
        <f t="shared" si="201"/>
        <v>0</v>
      </c>
      <c r="P948" s="194">
        <v>0</v>
      </c>
      <c r="Q948" s="194">
        <v>0</v>
      </c>
      <c r="R948" s="194">
        <v>0</v>
      </c>
      <c r="S948" s="193">
        <f t="shared" si="202"/>
        <v>0</v>
      </c>
      <c r="T948" s="193">
        <f t="shared" si="203"/>
        <v>0</v>
      </c>
      <c r="U948" s="193">
        <f ca="1">OFFSET('Expenditure Study'!$B$7,'Operations Support'!$C948,'Operations Support'!$B948)*$G948</f>
        <v>0</v>
      </c>
      <c r="V948" s="199">
        <f ca="1">U948*'Expenditure Study'!$B$31</f>
        <v>0</v>
      </c>
      <c r="W948" s="199">
        <f ca="1">IF(A948=10298,1.51,1)*IF($B948&lt;3,$D948*'Expenditure Study'!$B$32*OFFSET('Expenditure Study'!$B$7,'Operations Support'!$C948,'Operations Support'!$B948),0)</f>
        <v>0</v>
      </c>
      <c r="X948" s="200">
        <f ca="1">W948*'Expenditure Study'!$B$31</f>
        <v>0</v>
      </c>
      <c r="Y948" s="199">
        <f ca="1">U948*'Expenditure Study'!$B$31</f>
        <v>0</v>
      </c>
      <c r="Z948" s="200">
        <f ca="1">W948*'Expenditure Study'!$B$31</f>
        <v>0</v>
      </c>
      <c r="AA948" s="195">
        <f t="shared" ca="1" si="204"/>
        <v>0</v>
      </c>
      <c r="AB948" s="195">
        <f t="shared" ca="1" si="205"/>
        <v>0</v>
      </c>
      <c r="AD948" s="196">
        <f>IFERROR($G948/SUMIF($A:$A,$A948,$G:$G)*SUMIF(Summary!$A$166:$A$242,$A948,Summary!$P$166:$P$242),0)</f>
        <v>0</v>
      </c>
      <c r="AE948" s="197">
        <f t="shared" ca="1" si="206"/>
        <v>0</v>
      </c>
      <c r="AF948" s="196">
        <f>IFERROR(G948/SUMIF(A:A,A948,G:G)*SUMIF(Summary!$A$166:$A$242,'Operations Support'!A948,Summary!$Q$166:$Q$242),0)</f>
        <v>0</v>
      </c>
      <c r="AG948" s="196">
        <f t="shared" ca="1" si="207"/>
        <v>0</v>
      </c>
      <c r="AI948" s="196">
        <f>IFERROR($G948/SUMIF($A:$A,$A948,$G:$G)*SUMIF(Summary!$A$247:$A$283,$A948,Summary!$P$247:$P$283),0)</f>
        <v>0</v>
      </c>
      <c r="AJ948" s="196">
        <f>IFERROR($G948/SUMIF($A:$A,$A948,$G:$G)*(SUMIF(Summary!$A$247:$A$283,$A948,Summary!$L$247:$L$283)+SUMIF(Summary!$A$297:$A$333,$A948,Summary!$L$297:$L$333))-AI948,0)</f>
        <v>0</v>
      </c>
      <c r="AK948" s="196">
        <f>IFERROR($G948/SUMIF($A:$A,$A948,$G:$G)*SUMIF(Summary!$A$247:$A$283,$A948,Summary!$Q$247:$Q$283),0)</f>
        <v>0</v>
      </c>
      <c r="AL948" s="196">
        <f>IFERROR($G948/SUMIF($A:$A,$A948,$G:$G)*(SUMIF(Summary!$A$247:$A$283,$A948,Summary!$L$247:$L$283)+SUMIF(Summary!$A$297:$A$333,$A948,Summary!$L$297:$L$333))-AK948,0)</f>
        <v>0</v>
      </c>
      <c r="AM948" s="198"/>
      <c r="AN948" s="196">
        <f t="shared" ca="1" si="208"/>
        <v>0</v>
      </c>
      <c r="AO948" s="196">
        <f t="shared" ca="1" si="209"/>
        <v>0</v>
      </c>
    </row>
    <row r="949" spans="1:41">
      <c r="A949" s="189">
        <v>3615</v>
      </c>
      <c r="B949" s="593">
        <v>5</v>
      </c>
      <c r="C949" s="191" t="s">
        <v>240</v>
      </c>
      <c r="D949" s="192">
        <f t="shared" si="196"/>
        <v>0</v>
      </c>
      <c r="E949" s="192">
        <f t="shared" si="197"/>
        <v>0</v>
      </c>
      <c r="F949" s="192">
        <f t="shared" si="198"/>
        <v>0</v>
      </c>
      <c r="G949" s="193">
        <f t="shared" si="199"/>
        <v>0</v>
      </c>
      <c r="H949" s="194">
        <v>0</v>
      </c>
      <c r="I949" s="194">
        <v>0</v>
      </c>
      <c r="J949" s="194">
        <v>0</v>
      </c>
      <c r="K949" s="193">
        <f t="shared" si="200"/>
        <v>0</v>
      </c>
      <c r="L949" s="194">
        <v>0</v>
      </c>
      <c r="M949" s="194">
        <v>0</v>
      </c>
      <c r="N949" s="194">
        <v>0</v>
      </c>
      <c r="O949" s="193">
        <f t="shared" si="201"/>
        <v>0</v>
      </c>
      <c r="P949" s="194">
        <v>0</v>
      </c>
      <c r="Q949" s="194">
        <v>0</v>
      </c>
      <c r="R949" s="194">
        <v>0</v>
      </c>
      <c r="S949" s="193">
        <f t="shared" si="202"/>
        <v>0</v>
      </c>
      <c r="T949" s="193">
        <f t="shared" si="203"/>
        <v>0</v>
      </c>
      <c r="U949" s="193">
        <f ca="1">OFFSET('Expenditure Study'!$B$7,'Operations Support'!$C949,'Operations Support'!$B949)*$G949</f>
        <v>0</v>
      </c>
      <c r="V949" s="199">
        <f ca="1">U949*'Expenditure Study'!$B$31</f>
        <v>0</v>
      </c>
      <c r="W949" s="199">
        <f ca="1">IF(A949=10298,1.51,1)*IF($B949&lt;3,$D949*'Expenditure Study'!$B$32*OFFSET('Expenditure Study'!$B$7,'Operations Support'!$C949,'Operations Support'!$B949),0)</f>
        <v>0</v>
      </c>
      <c r="X949" s="200">
        <f ca="1">W949*'Expenditure Study'!$B$31</f>
        <v>0</v>
      </c>
      <c r="Y949" s="199">
        <f ca="1">U949*'Expenditure Study'!$B$31</f>
        <v>0</v>
      </c>
      <c r="Z949" s="200">
        <f ca="1">W949*'Expenditure Study'!$B$31</f>
        <v>0</v>
      </c>
      <c r="AA949" s="195">
        <f t="shared" ca="1" si="204"/>
        <v>0</v>
      </c>
      <c r="AB949" s="195">
        <f t="shared" ca="1" si="205"/>
        <v>0</v>
      </c>
      <c r="AD949" s="196">
        <f>IFERROR($G949/SUMIF($A:$A,$A949,$G:$G)*SUMIF(Summary!$A$166:$A$242,$A949,Summary!$P$166:$P$242),0)</f>
        <v>0</v>
      </c>
      <c r="AE949" s="197">
        <f t="shared" ca="1" si="206"/>
        <v>0</v>
      </c>
      <c r="AF949" s="196">
        <f>IFERROR(G949/SUMIF(A:A,A949,G:G)*SUMIF(Summary!$A$166:$A$242,'Operations Support'!A949,Summary!$Q$166:$Q$242),0)</f>
        <v>0</v>
      </c>
      <c r="AG949" s="196">
        <f t="shared" ca="1" si="207"/>
        <v>0</v>
      </c>
      <c r="AI949" s="196">
        <f>IFERROR($G949/SUMIF($A:$A,$A949,$G:$G)*SUMIF(Summary!$A$247:$A$283,$A949,Summary!$P$247:$P$283),0)</f>
        <v>0</v>
      </c>
      <c r="AJ949" s="196">
        <f>IFERROR($G949/SUMIF($A:$A,$A949,$G:$G)*(SUMIF(Summary!$A$247:$A$283,$A949,Summary!$L$247:$L$283)+SUMIF(Summary!$A$297:$A$333,$A949,Summary!$L$297:$L$333))-AI949,0)</f>
        <v>0</v>
      </c>
      <c r="AK949" s="196">
        <f>IFERROR($G949/SUMIF($A:$A,$A949,$G:$G)*SUMIF(Summary!$A$247:$A$283,$A949,Summary!$Q$247:$Q$283),0)</f>
        <v>0</v>
      </c>
      <c r="AL949" s="196">
        <f>IFERROR($G949/SUMIF($A:$A,$A949,$G:$G)*(SUMIF(Summary!$A$247:$A$283,$A949,Summary!$L$247:$L$283)+SUMIF(Summary!$A$297:$A$333,$A949,Summary!$L$297:$L$333))-AK949,0)</f>
        <v>0</v>
      </c>
      <c r="AM949" s="198"/>
      <c r="AN949" s="196">
        <f t="shared" ca="1" si="208"/>
        <v>0</v>
      </c>
      <c r="AO949" s="196">
        <f t="shared" ca="1" si="209"/>
        <v>0</v>
      </c>
    </row>
    <row r="950" spans="1:41">
      <c r="A950" s="189">
        <v>3624</v>
      </c>
      <c r="B950" s="203">
        <v>1</v>
      </c>
      <c r="C950" s="191" t="s">
        <v>220</v>
      </c>
      <c r="D950" s="192">
        <f t="shared" si="196"/>
        <v>37427</v>
      </c>
      <c r="E950" s="192">
        <f t="shared" si="197"/>
        <v>35152</v>
      </c>
      <c r="F950" s="192">
        <f t="shared" si="198"/>
        <v>0</v>
      </c>
      <c r="G950" s="193">
        <f t="shared" si="199"/>
        <v>72579</v>
      </c>
      <c r="H950" s="194">
        <v>15872</v>
      </c>
      <c r="I950" s="194">
        <v>14256</v>
      </c>
      <c r="J950" s="194">
        <v>0</v>
      </c>
      <c r="K950" s="193">
        <f t="shared" si="200"/>
        <v>30128</v>
      </c>
      <c r="L950" s="194">
        <v>16738</v>
      </c>
      <c r="M950" s="194">
        <v>19022</v>
      </c>
      <c r="N950" s="194">
        <v>0</v>
      </c>
      <c r="O950" s="193">
        <f t="shared" si="201"/>
        <v>35760</v>
      </c>
      <c r="P950" s="194">
        <v>4817</v>
      </c>
      <c r="Q950" s="194">
        <v>1874</v>
      </c>
      <c r="R950" s="194">
        <v>0</v>
      </c>
      <c r="S950" s="193">
        <f t="shared" si="202"/>
        <v>6691</v>
      </c>
      <c r="T950" s="193">
        <f t="shared" si="203"/>
        <v>2419.3000000000002</v>
      </c>
      <c r="U950" s="193">
        <f ca="1">OFFSET('Expenditure Study'!$B$7,'Operations Support'!$C950,'Operations Support'!$B950)*$G950</f>
        <v>72579</v>
      </c>
      <c r="V950" s="199">
        <f ca="1">U950*'Expenditure Study'!$B$31</f>
        <v>4288198.1792831998</v>
      </c>
      <c r="W950" s="199">
        <f ca="1">IF(A950=10298,1.51,1)*IF($B950&lt;3,$D950*'Expenditure Study'!$B$32*OFFSET('Expenditure Study'!$B$7,'Operations Support'!$C950,'Operations Support'!$B950),0)</f>
        <v>3742.7000000000003</v>
      </c>
      <c r="X950" s="200">
        <f ca="1">W950*'Expenditure Study'!$B$31</f>
        <v>221130.62078016001</v>
      </c>
      <c r="Y950" s="199">
        <f ca="1">U950*'Expenditure Study'!$B$31</f>
        <v>4288198.1792831998</v>
      </c>
      <c r="Z950" s="200">
        <f ca="1">W950*'Expenditure Study'!$B$31</f>
        <v>221130.62078016001</v>
      </c>
      <c r="AA950" s="195">
        <f t="shared" ca="1" si="204"/>
        <v>4509328.8000633596</v>
      </c>
      <c r="AB950" s="195">
        <f t="shared" ca="1" si="205"/>
        <v>4509328.8000633596</v>
      </c>
      <c r="AD950" s="196">
        <f>IFERROR($G950/SUMIF($A:$A,$A950,$G:$G)*SUMIF(Summary!$A$166:$A$242,$A950,Summary!$P$166:$P$242),0)</f>
        <v>1164589.4347255554</v>
      </c>
      <c r="AE950" s="197">
        <f t="shared" ca="1" si="206"/>
        <v>3344739.365337804</v>
      </c>
      <c r="AF950" s="196">
        <f>IFERROR(G950/SUMIF(A:A,A950,G:G)*SUMIF(Summary!$A$166:$A$242,'Operations Support'!A950,Summary!$Q$166:$Q$242),0)</f>
        <v>1165459.2830485234</v>
      </c>
      <c r="AG950" s="196">
        <f t="shared" ca="1" si="207"/>
        <v>3343869.517014836</v>
      </c>
      <c r="AI950" s="196">
        <f>IFERROR($G950/SUMIF($A:$A,$A950,$G:$G)*SUMIF(Summary!$A$247:$A$283,$A950,Summary!$P$247:$P$283),0)</f>
        <v>212392.05088855111</v>
      </c>
      <c r="AJ950" s="196">
        <f>IFERROR($G950/SUMIF($A:$A,$A950,$G:$G)*(SUMIF(Summary!$A$247:$A$283,$A950,Summary!$L$247:$L$283)+SUMIF(Summary!$A$297:$A$333,$A950,Summary!$L$297:$L$333))-AI950,0)</f>
        <v>1391746.750857553</v>
      </c>
      <c r="AK950" s="196">
        <f>IFERROR($G950/SUMIF($A:$A,$A950,$G:$G)*SUMIF(Summary!$A$247:$A$283,$A950,Summary!$Q$247:$Q$283),0)</f>
        <v>212550.6895158375</v>
      </c>
      <c r="AL950" s="196">
        <f>IFERROR($G950/SUMIF($A:$A,$A950,$G:$G)*(SUMIF(Summary!$A$247:$A$283,$A950,Summary!$L$247:$L$283)+SUMIF(Summary!$A$297:$A$333,$A950,Summary!$L$297:$L$333))-AK950,0)</f>
        <v>1391588.1122302667</v>
      </c>
      <c r="AM950" s="198"/>
      <c r="AN950" s="196">
        <f t="shared" ca="1" si="208"/>
        <v>4736486.1161953565</v>
      </c>
      <c r="AO950" s="196">
        <f t="shared" ca="1" si="209"/>
        <v>4735457.6292451024</v>
      </c>
    </row>
    <row r="951" spans="1:41">
      <c r="A951" s="189">
        <v>3624</v>
      </c>
      <c r="B951" s="203">
        <v>1</v>
      </c>
      <c r="C951" s="191" t="s">
        <v>221</v>
      </c>
      <c r="D951" s="192">
        <f t="shared" si="196"/>
        <v>13566</v>
      </c>
      <c r="E951" s="192">
        <f t="shared" si="197"/>
        <v>7361</v>
      </c>
      <c r="F951" s="192">
        <f t="shared" si="198"/>
        <v>0</v>
      </c>
      <c r="G951" s="193">
        <f t="shared" si="199"/>
        <v>20927</v>
      </c>
      <c r="H951" s="194">
        <v>5369.5</v>
      </c>
      <c r="I951" s="194">
        <v>3333.5</v>
      </c>
      <c r="J951" s="194">
        <v>0</v>
      </c>
      <c r="K951" s="193">
        <f t="shared" si="200"/>
        <v>8703</v>
      </c>
      <c r="L951" s="194">
        <v>6823</v>
      </c>
      <c r="M951" s="194">
        <v>3273</v>
      </c>
      <c r="N951" s="194">
        <v>0</v>
      </c>
      <c r="O951" s="193">
        <f t="shared" si="201"/>
        <v>10096</v>
      </c>
      <c r="P951" s="194">
        <v>1373.5</v>
      </c>
      <c r="Q951" s="194">
        <v>754.5</v>
      </c>
      <c r="R951" s="194">
        <v>0</v>
      </c>
      <c r="S951" s="193">
        <f t="shared" si="202"/>
        <v>2128</v>
      </c>
      <c r="T951" s="193">
        <f t="shared" si="203"/>
        <v>697.56666666666672</v>
      </c>
      <c r="U951" s="193">
        <f ca="1">OFFSET('Expenditure Study'!$B$7,'Operations Support'!$C951,'Operations Support'!$B951)*$G951</f>
        <v>28042.18</v>
      </c>
      <c r="V951" s="199">
        <f ca="1">U951*'Expenditure Study'!$B$31</f>
        <v>1656821.190966144</v>
      </c>
      <c r="W951" s="199">
        <f ca="1">IF(A951=10298,1.51,1)*IF($B951&lt;3,$D951*'Expenditure Study'!$B$32*OFFSET('Expenditure Study'!$B$7,'Operations Support'!$C951,'Operations Support'!$B951),0)</f>
        <v>1817.8440000000003</v>
      </c>
      <c r="X951" s="200">
        <f ca="1">W951*'Expenditure Study'!$B$31</f>
        <v>107404.00571819521</v>
      </c>
      <c r="Y951" s="199">
        <f ca="1">U951*'Expenditure Study'!$B$31</f>
        <v>1656821.190966144</v>
      </c>
      <c r="Z951" s="200">
        <f ca="1">W951*'Expenditure Study'!$B$31</f>
        <v>107404.00571819521</v>
      </c>
      <c r="AA951" s="195">
        <f t="shared" ca="1" si="204"/>
        <v>1764225.1966843391</v>
      </c>
      <c r="AB951" s="195">
        <f t="shared" ca="1" si="205"/>
        <v>1764225.1966843391</v>
      </c>
      <c r="AD951" s="196">
        <f>IFERROR($G951/SUMIF($A:$A,$A951,$G:$G)*SUMIF(Summary!$A$166:$A$242,$A951,Summary!$P$166:$P$242),0)</f>
        <v>335790.83619919943</v>
      </c>
      <c r="AE951" s="197">
        <f t="shared" ca="1" si="206"/>
        <v>1428434.3604851398</v>
      </c>
      <c r="AF951" s="196">
        <f>IFERROR(G951/SUMIF(A:A,A951,G:G)*SUMIF(Summary!$A$166:$A$242,'Operations Support'!A951,Summary!$Q$166:$Q$242),0)</f>
        <v>336041.64312482189</v>
      </c>
      <c r="AG951" s="196">
        <f t="shared" ca="1" si="207"/>
        <v>1428183.5535595173</v>
      </c>
      <c r="AI951" s="196">
        <f>IFERROR($G951/SUMIF($A:$A,$A951,$G:$G)*SUMIF(Summary!$A$247:$A$283,$A951,Summary!$P$247:$P$283),0)</f>
        <v>61239.868955823425</v>
      </c>
      <c r="AJ951" s="196">
        <f>IFERROR($G951/SUMIF($A:$A,$A951,$G:$G)*(SUMIF(Summary!$A$247:$A$283,$A951,Summary!$L$247:$L$283)+SUMIF(Summary!$A$297:$A$333,$A951,Summary!$L$297:$L$333))-AI951,0)</f>
        <v>401288.03448926011</v>
      </c>
      <c r="AK951" s="196">
        <f>IFERROR($G951/SUMIF($A:$A,$A951,$G:$G)*SUMIF(Summary!$A$247:$A$283,$A951,Summary!$Q$247:$Q$283),0)</f>
        <v>61285.609880239892</v>
      </c>
      <c r="AL951" s="196">
        <f>IFERROR($G951/SUMIF($A:$A,$A951,$G:$G)*(SUMIF(Summary!$A$247:$A$283,$A951,Summary!$L$247:$L$283)+SUMIF(Summary!$A$297:$A$333,$A951,Summary!$L$297:$L$333))-AK951,0)</f>
        <v>401242.29356484365</v>
      </c>
      <c r="AM951" s="198"/>
      <c r="AN951" s="196">
        <f t="shared" ca="1" si="208"/>
        <v>1829722.3949743998</v>
      </c>
      <c r="AO951" s="196">
        <f t="shared" ca="1" si="209"/>
        <v>1829425.847124361</v>
      </c>
    </row>
    <row r="952" spans="1:41">
      <c r="A952" s="189">
        <v>3624</v>
      </c>
      <c r="B952" s="203">
        <v>1</v>
      </c>
      <c r="C952" s="191" t="s">
        <v>222</v>
      </c>
      <c r="D952" s="192">
        <f t="shared" si="196"/>
        <v>6918</v>
      </c>
      <c r="E952" s="192">
        <f t="shared" si="197"/>
        <v>8738</v>
      </c>
      <c r="F952" s="192">
        <f t="shared" si="198"/>
        <v>0</v>
      </c>
      <c r="G952" s="193">
        <f t="shared" si="199"/>
        <v>15656</v>
      </c>
      <c r="H952" s="194">
        <v>3145.5</v>
      </c>
      <c r="I952" s="194">
        <v>3363.5</v>
      </c>
      <c r="J952" s="194">
        <v>0</v>
      </c>
      <c r="K952" s="193">
        <f t="shared" si="200"/>
        <v>6509</v>
      </c>
      <c r="L952" s="194">
        <v>3562.5</v>
      </c>
      <c r="M952" s="194">
        <v>4879.5</v>
      </c>
      <c r="N952" s="194">
        <v>0</v>
      </c>
      <c r="O952" s="193">
        <f t="shared" si="201"/>
        <v>8442</v>
      </c>
      <c r="P952" s="194">
        <v>210</v>
      </c>
      <c r="Q952" s="194">
        <v>495</v>
      </c>
      <c r="R952" s="194">
        <v>0</v>
      </c>
      <c r="S952" s="193">
        <f t="shared" si="202"/>
        <v>705</v>
      </c>
      <c r="T952" s="193">
        <f t="shared" si="203"/>
        <v>521.86666666666667</v>
      </c>
      <c r="U952" s="193">
        <f ca="1">OFFSET('Expenditure Study'!$B$7,'Operations Support'!$C952,'Operations Support'!$B952)*$G952</f>
        <v>21448.720000000001</v>
      </c>
      <c r="V952" s="199">
        <f ca="1">U952*'Expenditure Study'!$B$31</f>
        <v>1267258.6016885762</v>
      </c>
      <c r="W952" s="199">
        <f ca="1">IF(A952=10298,1.51,1)*IF($B952&lt;3,$D952*'Expenditure Study'!$B$32*OFFSET('Expenditure Study'!$B$7,'Operations Support'!$C952,'Operations Support'!$B952),0)</f>
        <v>947.76600000000019</v>
      </c>
      <c r="X952" s="200">
        <f ca="1">W952*'Expenditure Study'!$B$31</f>
        <v>55997.02993409281</v>
      </c>
      <c r="Y952" s="199">
        <f ca="1">U952*'Expenditure Study'!$B$31</f>
        <v>1267258.6016885762</v>
      </c>
      <c r="Z952" s="200">
        <f ca="1">W952*'Expenditure Study'!$B$31</f>
        <v>55997.02993409281</v>
      </c>
      <c r="AA952" s="195">
        <f t="shared" ca="1" si="204"/>
        <v>1323255.6316226691</v>
      </c>
      <c r="AB952" s="195">
        <f t="shared" ca="1" si="205"/>
        <v>1323255.6316226691</v>
      </c>
      <c r="AD952" s="196">
        <f>IFERROR($G952/SUMIF($A:$A,$A952,$G:$G)*SUMIF(Summary!$A$166:$A$242,$A952,Summary!$P$166:$P$242),0)</f>
        <v>251213.32878743569</v>
      </c>
      <c r="AE952" s="197">
        <f t="shared" ca="1" si="206"/>
        <v>1072042.3028352333</v>
      </c>
      <c r="AF952" s="196">
        <f>IFERROR(G952/SUMIF(A:A,A952,G:G)*SUMIF(Summary!$A$166:$A$242,'Operations Support'!A952,Summary!$Q$166:$Q$242),0)</f>
        <v>251400.9635763469</v>
      </c>
      <c r="AG952" s="196">
        <f t="shared" ca="1" si="207"/>
        <v>1071854.6680463222</v>
      </c>
      <c r="AI952" s="196">
        <f>IFERROR($G952/SUMIF($A:$A,$A952,$G:$G)*SUMIF(Summary!$A$247:$A$283,$A952,Summary!$P$247:$P$283),0)</f>
        <v>45815.042212088287</v>
      </c>
      <c r="AJ952" s="196">
        <f>IFERROR($G952/SUMIF($A:$A,$A952,$G:$G)*(SUMIF(Summary!$A$247:$A$283,$A952,Summary!$L$247:$L$283)+SUMIF(Summary!$A$297:$A$333,$A952,Summary!$L$297:$L$333))-AI952,0)</f>
        <v>300213.38309188397</v>
      </c>
      <c r="AK952" s="196">
        <f>IFERROR($G952/SUMIF($A:$A,$A952,$G:$G)*SUMIF(Summary!$A$247:$A$283,$A952,Summary!$Q$247:$Q$283),0)</f>
        <v>45849.262115211721</v>
      </c>
      <c r="AL952" s="196">
        <f>IFERROR($G952/SUMIF($A:$A,$A952,$G:$G)*(SUMIF(Summary!$A$247:$A$283,$A952,Summary!$L$247:$L$283)+SUMIF(Summary!$A$297:$A$333,$A952,Summary!$L$297:$L$333))-AK952,0)</f>
        <v>300179.16318876052</v>
      </c>
      <c r="AM952" s="198"/>
      <c r="AN952" s="196">
        <f t="shared" ca="1" si="208"/>
        <v>1372255.6859271172</v>
      </c>
      <c r="AO952" s="196">
        <f t="shared" ca="1" si="209"/>
        <v>1372033.8312350828</v>
      </c>
    </row>
    <row r="953" spans="1:41">
      <c r="A953" s="189">
        <v>3624</v>
      </c>
      <c r="B953" s="203">
        <v>1</v>
      </c>
      <c r="C953" s="191" t="s">
        <v>223</v>
      </c>
      <c r="D953" s="192">
        <f t="shared" si="196"/>
        <v>1393</v>
      </c>
      <c r="E953" s="192">
        <f t="shared" si="197"/>
        <v>3340</v>
      </c>
      <c r="F953" s="192">
        <f t="shared" si="198"/>
        <v>0</v>
      </c>
      <c r="G953" s="193">
        <f t="shared" si="199"/>
        <v>4733</v>
      </c>
      <c r="H953" s="194">
        <v>597</v>
      </c>
      <c r="I953" s="194">
        <v>1327</v>
      </c>
      <c r="J953" s="194">
        <v>0</v>
      </c>
      <c r="K953" s="193">
        <f t="shared" si="200"/>
        <v>1924</v>
      </c>
      <c r="L953" s="194">
        <v>658</v>
      </c>
      <c r="M953" s="194">
        <v>1743</v>
      </c>
      <c r="N953" s="194">
        <v>0</v>
      </c>
      <c r="O953" s="193">
        <f t="shared" si="201"/>
        <v>2401</v>
      </c>
      <c r="P953" s="194">
        <v>138</v>
      </c>
      <c r="Q953" s="194">
        <v>270</v>
      </c>
      <c r="R953" s="194">
        <v>0</v>
      </c>
      <c r="S953" s="193">
        <f t="shared" si="202"/>
        <v>408</v>
      </c>
      <c r="T953" s="193">
        <f t="shared" si="203"/>
        <v>157.76666666666668</v>
      </c>
      <c r="U953" s="193">
        <f ca="1">OFFSET('Expenditure Study'!$B$7,'Operations Support'!$C953,'Operations Support'!$B953)*$G953</f>
        <v>5963.58</v>
      </c>
      <c r="V953" s="199">
        <f ca="1">U953*'Expenditure Study'!$B$31</f>
        <v>352347.27535526402</v>
      </c>
      <c r="W953" s="199">
        <f ca="1">IF(A953=10298,1.51,1)*IF($B953&lt;3,$D953*'Expenditure Study'!$B$32*OFFSET('Expenditure Study'!$B$7,'Operations Support'!$C953,'Operations Support'!$B953),0)</f>
        <v>175.51800000000003</v>
      </c>
      <c r="X953" s="200">
        <f ca="1">W953*'Expenditure Study'!$B$31</f>
        <v>10370.161727654402</v>
      </c>
      <c r="Y953" s="199">
        <f ca="1">U953*'Expenditure Study'!$B$31</f>
        <v>352347.27535526402</v>
      </c>
      <c r="Z953" s="200">
        <f ca="1">W953*'Expenditure Study'!$B$31</f>
        <v>10370.161727654402</v>
      </c>
      <c r="AA953" s="195">
        <f t="shared" ca="1" si="204"/>
        <v>362717.43708291842</v>
      </c>
      <c r="AB953" s="195">
        <f t="shared" ca="1" si="205"/>
        <v>362717.43708291842</v>
      </c>
      <c r="AD953" s="196">
        <f>IFERROR($G953/SUMIF($A:$A,$A953,$G:$G)*SUMIF(Summary!$A$166:$A$242,$A953,Summary!$P$166:$P$242),0)</f>
        <v>75944.857252870017</v>
      </c>
      <c r="AE953" s="197">
        <f t="shared" ca="1" si="206"/>
        <v>286772.57983004837</v>
      </c>
      <c r="AF953" s="196">
        <f>IFERROR(G953/SUMIF(A:A,A953,G:G)*SUMIF(Summary!$A$166:$A$242,'Operations Support'!A953,Summary!$Q$166:$Q$242),0)</f>
        <v>76001.581541060921</v>
      </c>
      <c r="AG953" s="196">
        <f t="shared" ca="1" si="207"/>
        <v>286715.85554185748</v>
      </c>
      <c r="AI953" s="196">
        <f>IFERROR($G953/SUMIF($A:$A,$A953,$G:$G)*SUMIF(Summary!$A$247:$A$283,$A953,Summary!$P$247:$P$283),0)</f>
        <v>13850.446780136297</v>
      </c>
      <c r="AJ953" s="196">
        <f>IFERROR($G953/SUMIF($A:$A,$A953,$G:$G)*(SUMIF(Summary!$A$247:$A$283,$A953,Summary!$L$247:$L$283)+SUMIF(Summary!$A$297:$A$333,$A953,Summary!$L$297:$L$333))-AI953,0)</f>
        <v>90758.172085710714</v>
      </c>
      <c r="AK953" s="196">
        <f>IFERROR($G953/SUMIF($A:$A,$A953,$G:$G)*SUMIF(Summary!$A$247:$A$283,$A953,Summary!$Q$247:$Q$283),0)</f>
        <v>13860.791874763483</v>
      </c>
      <c r="AL953" s="196">
        <f>IFERROR($G953/SUMIF($A:$A,$A953,$G:$G)*(SUMIF(Summary!$A$247:$A$283,$A953,Summary!$L$247:$L$283)+SUMIF(Summary!$A$297:$A$333,$A953,Summary!$L$297:$L$333))-AK953,0)</f>
        <v>90747.826991083522</v>
      </c>
      <c r="AM953" s="198"/>
      <c r="AN953" s="196">
        <f t="shared" ca="1" si="208"/>
        <v>377530.75191575906</v>
      </c>
      <c r="AO953" s="196">
        <f t="shared" ca="1" si="209"/>
        <v>377463.68253294099</v>
      </c>
    </row>
    <row r="954" spans="1:41">
      <c r="A954" s="189">
        <v>3624</v>
      </c>
      <c r="B954" s="203">
        <v>1</v>
      </c>
      <c r="C954" s="191" t="s">
        <v>224</v>
      </c>
      <c r="D954" s="192">
        <f t="shared" si="196"/>
        <v>4725</v>
      </c>
      <c r="E954" s="192">
        <f t="shared" si="197"/>
        <v>1056</v>
      </c>
      <c r="F954" s="192">
        <f t="shared" si="198"/>
        <v>0</v>
      </c>
      <c r="G954" s="193">
        <f t="shared" si="199"/>
        <v>5781</v>
      </c>
      <c r="H954" s="194">
        <v>2026</v>
      </c>
      <c r="I954" s="194">
        <v>426</v>
      </c>
      <c r="J954" s="194">
        <v>0</v>
      </c>
      <c r="K954" s="193">
        <f t="shared" si="200"/>
        <v>2452</v>
      </c>
      <c r="L954" s="194">
        <v>2614</v>
      </c>
      <c r="M954" s="194">
        <v>568</v>
      </c>
      <c r="N954" s="194">
        <v>0</v>
      </c>
      <c r="O954" s="193">
        <f t="shared" si="201"/>
        <v>3182</v>
      </c>
      <c r="P954" s="194">
        <v>85</v>
      </c>
      <c r="Q954" s="194">
        <v>62</v>
      </c>
      <c r="R954" s="194">
        <v>0</v>
      </c>
      <c r="S954" s="193">
        <f t="shared" si="202"/>
        <v>147</v>
      </c>
      <c r="T954" s="193">
        <f t="shared" si="203"/>
        <v>192.7</v>
      </c>
      <c r="U954" s="193">
        <f ca="1">OFFSET('Expenditure Study'!$B$7,'Operations Support'!$C954,'Operations Support'!$B954)*$G954</f>
        <v>8555.8799999999992</v>
      </c>
      <c r="V954" s="199">
        <f ca="1">U954*'Expenditure Study'!$B$31</f>
        <v>505508.60494310397</v>
      </c>
      <c r="W954" s="199">
        <f ca="1">IF(A954=10298,1.51,1)*IF($B954&lt;3,$D954*'Expenditure Study'!$B$32*OFFSET('Expenditure Study'!$B$7,'Operations Support'!$C954,'Operations Support'!$B954),0)</f>
        <v>699.3</v>
      </c>
      <c r="X954" s="200">
        <f ca="1">W954*'Expenditure Study'!$B$31</f>
        <v>41316.868333439998</v>
      </c>
      <c r="Y954" s="199">
        <f ca="1">U954*'Expenditure Study'!$B$31</f>
        <v>505508.60494310397</v>
      </c>
      <c r="Z954" s="200">
        <f ca="1">W954*'Expenditure Study'!$B$31</f>
        <v>41316.868333439998</v>
      </c>
      <c r="AA954" s="195">
        <f t="shared" ca="1" si="204"/>
        <v>546825.47327654401</v>
      </c>
      <c r="AB954" s="195">
        <f t="shared" ca="1" si="205"/>
        <v>546825.47327654401</v>
      </c>
      <c r="AD954" s="196">
        <f>IFERROR($G954/SUMIF($A:$A,$A954,$G:$G)*SUMIF(Summary!$A$166:$A$242,$A954,Summary!$P$166:$P$242),0)</f>
        <v>92760.874662759685</v>
      </c>
      <c r="AE954" s="197">
        <f t="shared" ca="1" si="206"/>
        <v>454064.5986137843</v>
      </c>
      <c r="AF954" s="196">
        <f>IFERROR(G954/SUMIF(A:A,A954,G:G)*SUMIF(Summary!$A$166:$A$242,'Operations Support'!A954,Summary!$Q$166:$Q$242),0)</f>
        <v>92830.159072231821</v>
      </c>
      <c r="AG954" s="196">
        <f t="shared" ca="1" si="207"/>
        <v>453995.31420431216</v>
      </c>
      <c r="AI954" s="196">
        <f>IFERROR($G954/SUMIF($A:$A,$A954,$G:$G)*SUMIF(Summary!$A$247:$A$283,$A954,Summary!$P$247:$P$283),0)</f>
        <v>16917.268716663413</v>
      </c>
      <c r="AJ954" s="196">
        <f>IFERROR($G954/SUMIF($A:$A,$A954,$G:$G)*(SUMIF(Summary!$A$247:$A$283,$A954,Summary!$L$247:$L$283)+SUMIF(Summary!$A$297:$A$333,$A954,Summary!$L$297:$L$333))-AI954,0)</f>
        <v>110854.21357014443</v>
      </c>
      <c r="AK954" s="196">
        <f>IFERROR($G954/SUMIF($A:$A,$A954,$G:$G)*SUMIF(Summary!$A$247:$A$283,$A954,Summary!$Q$247:$Q$283),0)</f>
        <v>16929.90446397796</v>
      </c>
      <c r="AL954" s="196">
        <f>IFERROR($G954/SUMIF($A:$A,$A954,$G:$G)*(SUMIF(Summary!$A$247:$A$283,$A954,Summary!$L$247:$L$283)+SUMIF(Summary!$A$297:$A$333,$A954,Summary!$L$297:$L$333))-AK954,0)</f>
        <v>110841.57782282989</v>
      </c>
      <c r="AM954" s="198"/>
      <c r="AN954" s="196">
        <f t="shared" ca="1" si="208"/>
        <v>564918.81218392868</v>
      </c>
      <c r="AO954" s="196">
        <f t="shared" ca="1" si="209"/>
        <v>564836.89202714199</v>
      </c>
    </row>
    <row r="955" spans="1:41">
      <c r="A955" s="189">
        <v>3624</v>
      </c>
      <c r="B955" s="203">
        <v>1</v>
      </c>
      <c r="C955" s="191" t="s">
        <v>225</v>
      </c>
      <c r="D955" s="192">
        <f t="shared" si="196"/>
        <v>1411</v>
      </c>
      <c r="E955" s="192">
        <f t="shared" si="197"/>
        <v>2289</v>
      </c>
      <c r="F955" s="192">
        <f t="shared" si="198"/>
        <v>0</v>
      </c>
      <c r="G955" s="193">
        <f t="shared" si="199"/>
        <v>3700</v>
      </c>
      <c r="H955" s="194">
        <v>513</v>
      </c>
      <c r="I955" s="194">
        <v>1116</v>
      </c>
      <c r="J955" s="194">
        <v>0</v>
      </c>
      <c r="K955" s="193">
        <f t="shared" si="200"/>
        <v>1629</v>
      </c>
      <c r="L955" s="194">
        <v>886</v>
      </c>
      <c r="M955" s="194">
        <v>984</v>
      </c>
      <c r="N955" s="194">
        <v>0</v>
      </c>
      <c r="O955" s="193">
        <f t="shared" si="201"/>
        <v>1870</v>
      </c>
      <c r="P955" s="194">
        <v>12</v>
      </c>
      <c r="Q955" s="194">
        <v>189</v>
      </c>
      <c r="R955" s="194">
        <v>0</v>
      </c>
      <c r="S955" s="193">
        <f t="shared" si="202"/>
        <v>201</v>
      </c>
      <c r="T955" s="193">
        <f t="shared" si="203"/>
        <v>123.33333333333333</v>
      </c>
      <c r="U955" s="193">
        <f ca="1">OFFSET('Expenditure Study'!$B$7,'Operations Support'!$C955,'Operations Support'!$B955)*$G955</f>
        <v>6512</v>
      </c>
      <c r="V955" s="199">
        <f ca="1">U955*'Expenditure Study'!$B$31</f>
        <v>384749.67336960003</v>
      </c>
      <c r="W955" s="199">
        <f ca="1">IF(A955=10298,1.51,1)*IF($B955&lt;3,$D955*'Expenditure Study'!$B$32*OFFSET('Expenditure Study'!$B$7,'Operations Support'!$C955,'Operations Support'!$B955),0)</f>
        <v>248.33599999999998</v>
      </c>
      <c r="X955" s="200">
        <f ca="1">W955*'Expenditure Study'!$B$31</f>
        <v>14672.480787148799</v>
      </c>
      <c r="Y955" s="199">
        <f ca="1">U955*'Expenditure Study'!$B$31</f>
        <v>384749.67336960003</v>
      </c>
      <c r="Z955" s="200">
        <f ca="1">W955*'Expenditure Study'!$B$31</f>
        <v>14672.480787148799</v>
      </c>
      <c r="AA955" s="195">
        <f t="shared" ca="1" si="204"/>
        <v>399422.15415674885</v>
      </c>
      <c r="AB955" s="195">
        <f t="shared" ca="1" si="205"/>
        <v>399422.15415674885</v>
      </c>
      <c r="AD955" s="196">
        <f>IFERROR($G955/SUMIF($A:$A,$A955,$G:$G)*SUMIF(Summary!$A$166:$A$242,$A955,Summary!$P$166:$P$242),0)</f>
        <v>59369.527115068471</v>
      </c>
      <c r="AE955" s="197">
        <f t="shared" ca="1" si="206"/>
        <v>340052.62704168039</v>
      </c>
      <c r="AF955" s="196">
        <f>IFERROR(G955/SUMIF(A:A,A955,G:G)*SUMIF(Summary!$A$166:$A$242,'Operations Support'!A955,Summary!$Q$166:$Q$242),0)</f>
        <v>59413.871054706404</v>
      </c>
      <c r="AG955" s="196">
        <f t="shared" ca="1" si="207"/>
        <v>340008.28310204245</v>
      </c>
      <c r="AI955" s="196">
        <f>IFERROR($G955/SUMIF($A:$A,$A955,$G:$G)*SUMIF(Summary!$A$247:$A$283,$A955,Summary!$P$247:$P$283),0)</f>
        <v>10827.52019575413</v>
      </c>
      <c r="AJ955" s="196">
        <f>IFERROR($G955/SUMIF($A:$A,$A955,$G:$G)*(SUMIF(Summary!$A$247:$A$283,$A955,Summary!$L$247:$L$283)+SUMIF(Summary!$A$297:$A$333,$A955,Summary!$L$297:$L$333))-AI955,0)</f>
        <v>70949.764782828992</v>
      </c>
      <c r="AK955" s="196">
        <f>IFERROR($G955/SUMIF($A:$A,$A955,$G:$G)*SUMIF(Summary!$A$247:$A$283,$A955,Summary!$Q$247:$Q$283),0)</f>
        <v>10835.607423753409</v>
      </c>
      <c r="AL955" s="196">
        <f>IFERROR($G955/SUMIF($A:$A,$A955,$G:$G)*(SUMIF(Summary!$A$247:$A$283,$A955,Summary!$L$247:$L$283)+SUMIF(Summary!$A$297:$A$333,$A955,Summary!$L$297:$L$333))-AK955,0)</f>
        <v>70941.677554829716</v>
      </c>
      <c r="AM955" s="198"/>
      <c r="AN955" s="196">
        <f t="shared" ca="1" si="208"/>
        <v>411002.39182450937</v>
      </c>
      <c r="AO955" s="196">
        <f t="shared" ca="1" si="209"/>
        <v>410949.96065687214</v>
      </c>
    </row>
    <row r="956" spans="1:41">
      <c r="A956" s="189">
        <v>3624</v>
      </c>
      <c r="B956" s="203">
        <v>1</v>
      </c>
      <c r="C956" s="191" t="s">
        <v>226</v>
      </c>
      <c r="D956" s="192">
        <f t="shared" si="196"/>
        <v>2151</v>
      </c>
      <c r="E956" s="192">
        <f t="shared" si="197"/>
        <v>4484</v>
      </c>
      <c r="F956" s="192">
        <f t="shared" si="198"/>
        <v>0</v>
      </c>
      <c r="G956" s="193">
        <f t="shared" si="199"/>
        <v>6635</v>
      </c>
      <c r="H956" s="194">
        <v>900</v>
      </c>
      <c r="I956" s="194">
        <v>1968</v>
      </c>
      <c r="J956" s="194">
        <v>0</v>
      </c>
      <c r="K956" s="193">
        <f t="shared" si="200"/>
        <v>2868</v>
      </c>
      <c r="L956" s="194">
        <v>840</v>
      </c>
      <c r="M956" s="194">
        <v>2309</v>
      </c>
      <c r="N956" s="194">
        <v>0</v>
      </c>
      <c r="O956" s="193">
        <f t="shared" si="201"/>
        <v>3149</v>
      </c>
      <c r="P956" s="194">
        <v>411</v>
      </c>
      <c r="Q956" s="194">
        <v>207</v>
      </c>
      <c r="R956" s="194">
        <v>0</v>
      </c>
      <c r="S956" s="193">
        <f t="shared" si="202"/>
        <v>618</v>
      </c>
      <c r="T956" s="193">
        <f t="shared" si="203"/>
        <v>221.16666666666666</v>
      </c>
      <c r="U956" s="193">
        <f ca="1">OFFSET('Expenditure Study'!$B$7,'Operations Support'!$C956,'Operations Support'!$B956)*$G956</f>
        <v>6303.25</v>
      </c>
      <c r="V956" s="199">
        <f ca="1">U956*'Expenditure Study'!$B$31</f>
        <v>372416.05937760003</v>
      </c>
      <c r="W956" s="199">
        <f ca="1">IF(A956=10298,1.51,1)*IF($B956&lt;3,$D956*'Expenditure Study'!$B$32*OFFSET('Expenditure Study'!$B$7,'Operations Support'!$C956,'Operations Support'!$B956),0)</f>
        <v>204.345</v>
      </c>
      <c r="X956" s="200">
        <f ca="1">W956*'Expenditure Study'!$B$31</f>
        <v>12073.352580576</v>
      </c>
      <c r="Y956" s="199">
        <f ca="1">U956*'Expenditure Study'!$B$31</f>
        <v>372416.05937760003</v>
      </c>
      <c r="Z956" s="200">
        <f ca="1">W956*'Expenditure Study'!$B$31</f>
        <v>12073.352580576</v>
      </c>
      <c r="AA956" s="195">
        <f t="shared" ca="1" si="204"/>
        <v>384489.41195817606</v>
      </c>
      <c r="AB956" s="195">
        <f t="shared" ca="1" si="205"/>
        <v>384489.41195817606</v>
      </c>
      <c r="AD956" s="196">
        <f>IFERROR($G956/SUMIF($A:$A,$A956,$G:$G)*SUMIF(Summary!$A$166:$A$242,$A956,Summary!$P$166:$P$242),0)</f>
        <v>106464.00335364306</v>
      </c>
      <c r="AE956" s="197">
        <f t="shared" ca="1" si="206"/>
        <v>278025.408604533</v>
      </c>
      <c r="AF956" s="196">
        <f>IFERROR(G956/SUMIF(A:A,A956,G:G)*SUMIF(Summary!$A$166:$A$242,'Operations Support'!A956,Summary!$Q$166:$Q$242),0)</f>
        <v>106543.52282377757</v>
      </c>
      <c r="AG956" s="196">
        <f t="shared" ca="1" si="207"/>
        <v>277945.88913439849</v>
      </c>
      <c r="AI956" s="196">
        <f>IFERROR($G956/SUMIF($A:$A,$A956,$G:$G)*SUMIF(Summary!$A$247:$A$283,$A956,Summary!$P$247:$P$283),0)</f>
        <v>19416.377432115853</v>
      </c>
      <c r="AJ956" s="196">
        <f>IFERROR($G956/SUMIF($A:$A,$A956,$G:$G)*(SUMIF(Summary!$A$247:$A$283,$A956,Summary!$L$247:$L$283)+SUMIF(Summary!$A$297:$A$333,$A956,Summary!$L$297:$L$333))-AI956,0)</f>
        <v>127230.18630650551</v>
      </c>
      <c r="AK956" s="196">
        <f>IFERROR($G956/SUMIF($A:$A,$A956,$G:$G)*SUMIF(Summary!$A$247:$A$283,$A956,Summary!$Q$247:$Q$283),0)</f>
        <v>19430.879799082126</v>
      </c>
      <c r="AL956" s="196">
        <f>IFERROR($G956/SUMIF($A:$A,$A956,$G:$G)*(SUMIF(Summary!$A$247:$A$283,$A956,Summary!$L$247:$L$283)+SUMIF(Summary!$A$297:$A$333,$A956,Summary!$L$297:$L$333))-AK956,0)</f>
        <v>127215.68393953925</v>
      </c>
      <c r="AM956" s="198"/>
      <c r="AN956" s="196">
        <f t="shared" ca="1" si="208"/>
        <v>405255.59491103853</v>
      </c>
      <c r="AO956" s="196">
        <f t="shared" ca="1" si="209"/>
        <v>405161.57307393773</v>
      </c>
    </row>
    <row r="957" spans="1:41">
      <c r="A957" s="189">
        <v>3624</v>
      </c>
      <c r="B957" s="203">
        <v>1</v>
      </c>
      <c r="C957" s="191" t="s">
        <v>227</v>
      </c>
      <c r="D957" s="192">
        <f t="shared" si="196"/>
        <v>0</v>
      </c>
      <c r="E957" s="192">
        <f t="shared" si="197"/>
        <v>0</v>
      </c>
      <c r="F957" s="192">
        <f t="shared" si="198"/>
        <v>0</v>
      </c>
      <c r="G957" s="193">
        <f t="shared" si="199"/>
        <v>0</v>
      </c>
      <c r="H957" s="194">
        <v>0</v>
      </c>
      <c r="I957" s="194">
        <v>0</v>
      </c>
      <c r="J957" s="194">
        <v>0</v>
      </c>
      <c r="K957" s="193">
        <f t="shared" si="200"/>
        <v>0</v>
      </c>
      <c r="L957" s="194">
        <v>0</v>
      </c>
      <c r="M957" s="194">
        <v>0</v>
      </c>
      <c r="N957" s="194">
        <v>0</v>
      </c>
      <c r="O957" s="193">
        <f t="shared" si="201"/>
        <v>0</v>
      </c>
      <c r="P957" s="194">
        <v>0</v>
      </c>
      <c r="Q957" s="194">
        <v>0</v>
      </c>
      <c r="R957" s="194">
        <v>0</v>
      </c>
      <c r="S957" s="193">
        <f t="shared" si="202"/>
        <v>0</v>
      </c>
      <c r="T957" s="193">
        <f t="shared" si="203"/>
        <v>0</v>
      </c>
      <c r="U957" s="193">
        <f ca="1">OFFSET('Expenditure Study'!$B$7,'Operations Support'!$C957,'Operations Support'!$B957)*$G957</f>
        <v>0</v>
      </c>
      <c r="V957" s="199">
        <f ca="1">U957*'Expenditure Study'!$B$31</f>
        <v>0</v>
      </c>
      <c r="W957" s="199">
        <f ca="1">IF(A957=10298,1.51,1)*IF($B957&lt;3,$D957*'Expenditure Study'!$B$32*OFFSET('Expenditure Study'!$B$7,'Operations Support'!$C957,'Operations Support'!$B957),0)</f>
        <v>0</v>
      </c>
      <c r="X957" s="200">
        <f ca="1">W957*'Expenditure Study'!$B$31</f>
        <v>0</v>
      </c>
      <c r="Y957" s="199">
        <f ca="1">U957*'Expenditure Study'!$B$31</f>
        <v>0</v>
      </c>
      <c r="Z957" s="200">
        <f ca="1">W957*'Expenditure Study'!$B$31</f>
        <v>0</v>
      </c>
      <c r="AA957" s="195">
        <f t="shared" ca="1" si="204"/>
        <v>0</v>
      </c>
      <c r="AB957" s="195">
        <f t="shared" ca="1" si="205"/>
        <v>0</v>
      </c>
      <c r="AD957" s="196">
        <f>IFERROR($G957/SUMIF($A:$A,$A957,$G:$G)*SUMIF(Summary!$A$166:$A$242,$A957,Summary!$P$166:$P$242),0)</f>
        <v>0</v>
      </c>
      <c r="AE957" s="197">
        <f t="shared" ca="1" si="206"/>
        <v>0</v>
      </c>
      <c r="AF957" s="196">
        <f>IFERROR(G957/SUMIF(A:A,A957,G:G)*SUMIF(Summary!$A$166:$A$242,'Operations Support'!A957,Summary!$Q$166:$Q$242),0)</f>
        <v>0</v>
      </c>
      <c r="AG957" s="196">
        <f t="shared" ca="1" si="207"/>
        <v>0</v>
      </c>
      <c r="AI957" s="196">
        <f>IFERROR($G957/SUMIF($A:$A,$A957,$G:$G)*SUMIF(Summary!$A$247:$A$283,$A957,Summary!$P$247:$P$283),0)</f>
        <v>0</v>
      </c>
      <c r="AJ957" s="196">
        <f>IFERROR($G957/SUMIF($A:$A,$A957,$G:$G)*(SUMIF(Summary!$A$247:$A$283,$A957,Summary!$L$247:$L$283)+SUMIF(Summary!$A$297:$A$333,$A957,Summary!$L$297:$L$333))-AI957,0)</f>
        <v>0</v>
      </c>
      <c r="AK957" s="196">
        <f>IFERROR($G957/SUMIF($A:$A,$A957,$G:$G)*SUMIF(Summary!$A$247:$A$283,$A957,Summary!$Q$247:$Q$283),0)</f>
        <v>0</v>
      </c>
      <c r="AL957" s="196">
        <f>IFERROR($G957/SUMIF($A:$A,$A957,$G:$G)*(SUMIF(Summary!$A$247:$A$283,$A957,Summary!$L$247:$L$283)+SUMIF(Summary!$A$297:$A$333,$A957,Summary!$L$297:$L$333))-AK957,0)</f>
        <v>0</v>
      </c>
      <c r="AM957" s="198"/>
      <c r="AN957" s="196">
        <f t="shared" ca="1" si="208"/>
        <v>0</v>
      </c>
      <c r="AO957" s="196">
        <f t="shared" ca="1" si="209"/>
        <v>0</v>
      </c>
    </row>
    <row r="958" spans="1:41" s="201" customFormat="1">
      <c r="A958" s="189">
        <v>3624</v>
      </c>
      <c r="B958" s="203">
        <v>1</v>
      </c>
      <c r="C958" s="191" t="s">
        <v>228</v>
      </c>
      <c r="D958" s="192">
        <f t="shared" si="196"/>
        <v>309</v>
      </c>
      <c r="E958" s="192">
        <f t="shared" si="197"/>
        <v>255</v>
      </c>
      <c r="F958" s="192">
        <f t="shared" si="198"/>
        <v>0</v>
      </c>
      <c r="G958" s="193">
        <f t="shared" si="199"/>
        <v>564</v>
      </c>
      <c r="H958" s="194">
        <v>144</v>
      </c>
      <c r="I958" s="194">
        <v>27</v>
      </c>
      <c r="J958" s="194">
        <v>0</v>
      </c>
      <c r="K958" s="193">
        <f t="shared" si="200"/>
        <v>171</v>
      </c>
      <c r="L958" s="194">
        <v>93</v>
      </c>
      <c r="M958" s="194">
        <v>168</v>
      </c>
      <c r="N958" s="194">
        <v>0</v>
      </c>
      <c r="O958" s="193">
        <f t="shared" si="201"/>
        <v>261</v>
      </c>
      <c r="P958" s="194">
        <v>72</v>
      </c>
      <c r="Q958" s="194">
        <v>60</v>
      </c>
      <c r="R958" s="194">
        <v>0</v>
      </c>
      <c r="S958" s="193">
        <f t="shared" si="202"/>
        <v>132</v>
      </c>
      <c r="T958" s="193">
        <f t="shared" si="203"/>
        <v>18.8</v>
      </c>
      <c r="U958" s="193">
        <f ca="1">OFFSET('Expenditure Study'!$B$7,'Operations Support'!$C958,'Operations Support'!$B958)*$G958</f>
        <v>891.12</v>
      </c>
      <c r="V958" s="199">
        <f ca="1">U958*'Expenditure Study'!$B$31</f>
        <v>52650.204074496003</v>
      </c>
      <c r="W958" s="199">
        <f ca="1">IF(A958=10298,1.51,1)*IF($B958&lt;3,$D958*'Expenditure Study'!$B$32*OFFSET('Expenditure Study'!$B$7,'Operations Support'!$C958,'Operations Support'!$B958),0)</f>
        <v>48.822000000000003</v>
      </c>
      <c r="X958" s="200">
        <f ca="1">W958*'Expenditure Study'!$B$31</f>
        <v>2884.5590530176</v>
      </c>
      <c r="Y958" s="199">
        <f ca="1">U958*'Expenditure Study'!$B$31</f>
        <v>52650.204074496003</v>
      </c>
      <c r="Z958" s="200">
        <f ca="1">W958*'Expenditure Study'!$B$31</f>
        <v>2884.5590530176</v>
      </c>
      <c r="AA958" s="195">
        <f t="shared" ca="1" si="204"/>
        <v>55534.763127513601</v>
      </c>
      <c r="AB958" s="195">
        <f t="shared" ca="1" si="205"/>
        <v>55534.763127513601</v>
      </c>
      <c r="AD958" s="196">
        <f>IFERROR($G958/SUMIF($A:$A,$A958,$G:$G)*SUMIF(Summary!$A$166:$A$242,$A958,Summary!$P$166:$P$242),0)</f>
        <v>9049.8414305131409</v>
      </c>
      <c r="AE958" s="197">
        <f t="shared" ca="1" si="206"/>
        <v>46484.921697000464</v>
      </c>
      <c r="AF958" s="196">
        <f>IFERROR(G958/SUMIF(A:A,A958,G:G)*SUMIF(Summary!$A$166:$A$242,'Operations Support'!A958,Summary!$Q$166:$Q$242),0)</f>
        <v>9056.6008850957878</v>
      </c>
      <c r="AG958" s="196">
        <f t="shared" ca="1" si="207"/>
        <v>46478.162242417813</v>
      </c>
      <c r="AH958" s="180"/>
      <c r="AI958" s="196">
        <f>IFERROR($G958/SUMIF($A:$A,$A958,$G:$G)*SUMIF(Summary!$A$247:$A$283,$A958,Summary!$P$247:$P$283),0)</f>
        <v>1650.4652406500891</v>
      </c>
      <c r="AJ958" s="196">
        <f>IFERROR($G958/SUMIF($A:$A,$A958,$G:$G)*(SUMIF(Summary!$A$247:$A$283,$A958,Summary!$L$247:$L$283)+SUMIF(Summary!$A$297:$A$333,$A958,Summary!$L$297:$L$333))-AI958,0)</f>
        <v>10815.045226355556</v>
      </c>
      <c r="AK958" s="196">
        <f>IFERROR($G958/SUMIF($A:$A,$A958,$G:$G)*SUMIF(Summary!$A$247:$A$283,$A958,Summary!$Q$247:$Q$283),0)</f>
        <v>1651.6979964856548</v>
      </c>
      <c r="AL958" s="196">
        <f>IFERROR($G958/SUMIF($A:$A,$A958,$G:$G)*(SUMIF(Summary!$A$247:$A$283,$A958,Summary!$L$247:$L$283)+SUMIF(Summary!$A$297:$A$333,$A958,Summary!$L$297:$L$333))-AK958,0)</f>
        <v>10813.81247051999</v>
      </c>
      <c r="AM958" s="198"/>
      <c r="AN958" s="196">
        <f t="shared" ca="1" si="208"/>
        <v>57299.96692335602</v>
      </c>
      <c r="AO958" s="196">
        <f t="shared" ca="1" si="209"/>
        <v>57291.974712937801</v>
      </c>
    </row>
    <row r="959" spans="1:41">
      <c r="A959" s="189">
        <v>3624</v>
      </c>
      <c r="B959" s="203">
        <v>1</v>
      </c>
      <c r="C959" s="191" t="s">
        <v>229</v>
      </c>
      <c r="D959" s="192">
        <f t="shared" si="196"/>
        <v>0</v>
      </c>
      <c r="E959" s="192">
        <f t="shared" si="197"/>
        <v>0</v>
      </c>
      <c r="F959" s="192">
        <f t="shared" si="198"/>
        <v>0</v>
      </c>
      <c r="G959" s="193">
        <f t="shared" si="199"/>
        <v>0</v>
      </c>
      <c r="H959" s="194">
        <v>0</v>
      </c>
      <c r="I959" s="194">
        <v>0</v>
      </c>
      <c r="J959" s="194">
        <v>0</v>
      </c>
      <c r="K959" s="193">
        <f t="shared" si="200"/>
        <v>0</v>
      </c>
      <c r="L959" s="194">
        <v>0</v>
      </c>
      <c r="M959" s="194">
        <v>0</v>
      </c>
      <c r="N959" s="194">
        <v>0</v>
      </c>
      <c r="O959" s="193">
        <f t="shared" si="201"/>
        <v>0</v>
      </c>
      <c r="P959" s="194">
        <v>0</v>
      </c>
      <c r="Q959" s="194">
        <v>0</v>
      </c>
      <c r="R959" s="194">
        <v>0</v>
      </c>
      <c r="S959" s="193">
        <f t="shared" si="202"/>
        <v>0</v>
      </c>
      <c r="T959" s="193">
        <f t="shared" si="203"/>
        <v>0</v>
      </c>
      <c r="U959" s="193">
        <f ca="1">OFFSET('Expenditure Study'!$B$7,'Operations Support'!$C959,'Operations Support'!$B959)*$G959</f>
        <v>0</v>
      </c>
      <c r="V959" s="199">
        <f ca="1">U959*'Expenditure Study'!$B$31</f>
        <v>0</v>
      </c>
      <c r="W959" s="199">
        <f ca="1">IF(A959=10298,1.51,1)*IF($B959&lt;3,$D959*'Expenditure Study'!$B$32*OFFSET('Expenditure Study'!$B$7,'Operations Support'!$C959,'Operations Support'!$B959),0)</f>
        <v>0</v>
      </c>
      <c r="X959" s="200">
        <f ca="1">W959*'Expenditure Study'!$B$31</f>
        <v>0</v>
      </c>
      <c r="Y959" s="199">
        <f ca="1">U959*'Expenditure Study'!$B$31</f>
        <v>0</v>
      </c>
      <c r="Z959" s="200">
        <f ca="1">W959*'Expenditure Study'!$B$31</f>
        <v>0</v>
      </c>
      <c r="AA959" s="195">
        <f t="shared" ca="1" si="204"/>
        <v>0</v>
      </c>
      <c r="AB959" s="195">
        <f t="shared" ca="1" si="205"/>
        <v>0</v>
      </c>
      <c r="AD959" s="196">
        <f>IFERROR($G959/SUMIF($A:$A,$A959,$G:$G)*SUMIF(Summary!$A$166:$A$242,$A959,Summary!$P$166:$P$242),0)</f>
        <v>0</v>
      </c>
      <c r="AE959" s="197">
        <f t="shared" ca="1" si="206"/>
        <v>0</v>
      </c>
      <c r="AF959" s="196">
        <f>IFERROR(G959/SUMIF(A:A,A959,G:G)*SUMIF(Summary!$A$166:$A$242,'Operations Support'!A959,Summary!$Q$166:$Q$242),0)</f>
        <v>0</v>
      </c>
      <c r="AG959" s="196">
        <f t="shared" ca="1" si="207"/>
        <v>0</v>
      </c>
      <c r="AI959" s="196">
        <f>IFERROR($G959/SUMIF($A:$A,$A959,$G:$G)*SUMIF(Summary!$A$247:$A$283,$A959,Summary!$P$247:$P$283),0)</f>
        <v>0</v>
      </c>
      <c r="AJ959" s="196">
        <f>IFERROR($G959/SUMIF($A:$A,$A959,$G:$G)*(SUMIF(Summary!$A$247:$A$283,$A959,Summary!$L$247:$L$283)+SUMIF(Summary!$A$297:$A$333,$A959,Summary!$L$297:$L$333))-AI959,0)</f>
        <v>0</v>
      </c>
      <c r="AK959" s="196">
        <f>IFERROR($G959/SUMIF($A:$A,$A959,$G:$G)*SUMIF(Summary!$A$247:$A$283,$A959,Summary!$Q$247:$Q$283),0)</f>
        <v>0</v>
      </c>
      <c r="AL959" s="196">
        <f>IFERROR($G959/SUMIF($A:$A,$A959,$G:$G)*(SUMIF(Summary!$A$247:$A$283,$A959,Summary!$L$247:$L$283)+SUMIF(Summary!$A$297:$A$333,$A959,Summary!$L$297:$L$333))-AK959,0)</f>
        <v>0</v>
      </c>
      <c r="AM959" s="198"/>
      <c r="AN959" s="196">
        <f t="shared" ca="1" si="208"/>
        <v>0</v>
      </c>
      <c r="AO959" s="196">
        <f t="shared" ca="1" si="209"/>
        <v>0</v>
      </c>
    </row>
    <row r="960" spans="1:41">
      <c r="A960" s="189">
        <v>3624</v>
      </c>
      <c r="B960" s="203">
        <v>1</v>
      </c>
      <c r="C960" s="191" t="s">
        <v>230</v>
      </c>
      <c r="D960" s="192">
        <f t="shared" si="196"/>
        <v>0</v>
      </c>
      <c r="E960" s="192">
        <f t="shared" si="197"/>
        <v>0</v>
      </c>
      <c r="F960" s="192">
        <f t="shared" si="198"/>
        <v>0</v>
      </c>
      <c r="G960" s="193">
        <f t="shared" si="199"/>
        <v>0</v>
      </c>
      <c r="H960" s="194">
        <v>0</v>
      </c>
      <c r="I960" s="194">
        <v>0</v>
      </c>
      <c r="J960" s="194">
        <v>0</v>
      </c>
      <c r="K960" s="193">
        <f t="shared" si="200"/>
        <v>0</v>
      </c>
      <c r="L960" s="194">
        <v>0</v>
      </c>
      <c r="M960" s="194">
        <v>0</v>
      </c>
      <c r="N960" s="194">
        <v>0</v>
      </c>
      <c r="O960" s="193">
        <f t="shared" si="201"/>
        <v>0</v>
      </c>
      <c r="P960" s="194">
        <v>0</v>
      </c>
      <c r="Q960" s="194">
        <v>0</v>
      </c>
      <c r="R960" s="194">
        <v>0</v>
      </c>
      <c r="S960" s="193">
        <f t="shared" si="202"/>
        <v>0</v>
      </c>
      <c r="T960" s="193">
        <f t="shared" si="203"/>
        <v>0</v>
      </c>
      <c r="U960" s="193">
        <f ca="1">OFFSET('Expenditure Study'!$B$7,'Operations Support'!$C960,'Operations Support'!$B960)*$G960</f>
        <v>0</v>
      </c>
      <c r="V960" s="199">
        <f ca="1">U960*'Expenditure Study'!$B$31</f>
        <v>0</v>
      </c>
      <c r="W960" s="199">
        <f ca="1">IF(A960=10298,1.51,1)*IF($B960&lt;3,$D960*'Expenditure Study'!$B$32*OFFSET('Expenditure Study'!$B$7,'Operations Support'!$C960,'Operations Support'!$B960),0)</f>
        <v>0</v>
      </c>
      <c r="X960" s="200">
        <f ca="1">W960*'Expenditure Study'!$B$31</f>
        <v>0</v>
      </c>
      <c r="Y960" s="199">
        <f ca="1">U960*'Expenditure Study'!$B$31</f>
        <v>0</v>
      </c>
      <c r="Z960" s="200">
        <f ca="1">W960*'Expenditure Study'!$B$31</f>
        <v>0</v>
      </c>
      <c r="AA960" s="195">
        <f t="shared" ca="1" si="204"/>
        <v>0</v>
      </c>
      <c r="AB960" s="195">
        <f t="shared" ca="1" si="205"/>
        <v>0</v>
      </c>
      <c r="AD960" s="196">
        <f>IFERROR($G960/SUMIF($A:$A,$A960,$G:$G)*SUMIF(Summary!$A$166:$A$242,$A960,Summary!$P$166:$P$242),0)</f>
        <v>0</v>
      </c>
      <c r="AE960" s="197">
        <f t="shared" ca="1" si="206"/>
        <v>0</v>
      </c>
      <c r="AF960" s="196">
        <f>IFERROR(G960/SUMIF(A:A,A960,G:G)*SUMIF(Summary!$A$166:$A$242,'Operations Support'!A960,Summary!$Q$166:$Q$242),0)</f>
        <v>0</v>
      </c>
      <c r="AG960" s="196">
        <f t="shared" ca="1" si="207"/>
        <v>0</v>
      </c>
      <c r="AI960" s="196">
        <f>IFERROR($G960/SUMIF($A:$A,$A960,$G:$G)*SUMIF(Summary!$A$247:$A$283,$A960,Summary!$P$247:$P$283),0)</f>
        <v>0</v>
      </c>
      <c r="AJ960" s="196">
        <f>IFERROR($G960/SUMIF($A:$A,$A960,$G:$G)*(SUMIF(Summary!$A$247:$A$283,$A960,Summary!$L$247:$L$283)+SUMIF(Summary!$A$297:$A$333,$A960,Summary!$L$297:$L$333))-AI960,0)</f>
        <v>0</v>
      </c>
      <c r="AK960" s="196">
        <f>IFERROR($G960/SUMIF($A:$A,$A960,$G:$G)*SUMIF(Summary!$A$247:$A$283,$A960,Summary!$Q$247:$Q$283),0)</f>
        <v>0</v>
      </c>
      <c r="AL960" s="196">
        <f>IFERROR($G960/SUMIF($A:$A,$A960,$G:$G)*(SUMIF(Summary!$A$247:$A$283,$A960,Summary!$L$247:$L$283)+SUMIF(Summary!$A$297:$A$333,$A960,Summary!$L$297:$L$333))-AK960,0)</f>
        <v>0</v>
      </c>
      <c r="AM960" s="198"/>
      <c r="AN960" s="196">
        <f t="shared" ca="1" si="208"/>
        <v>0</v>
      </c>
      <c r="AO960" s="196">
        <f t="shared" ca="1" si="209"/>
        <v>0</v>
      </c>
    </row>
    <row r="961" spans="1:41">
      <c r="A961" s="189">
        <v>3624</v>
      </c>
      <c r="B961" s="203">
        <v>1</v>
      </c>
      <c r="C961" s="191" t="s">
        <v>231</v>
      </c>
      <c r="D961" s="192">
        <f t="shared" si="196"/>
        <v>0</v>
      </c>
      <c r="E961" s="192">
        <f t="shared" si="197"/>
        <v>51</v>
      </c>
      <c r="F961" s="192">
        <f t="shared" si="198"/>
        <v>0</v>
      </c>
      <c r="G961" s="193">
        <f t="shared" si="199"/>
        <v>51</v>
      </c>
      <c r="H961" s="194">
        <v>0</v>
      </c>
      <c r="I961" s="194">
        <v>0</v>
      </c>
      <c r="J961" s="194">
        <v>0</v>
      </c>
      <c r="K961" s="193">
        <f t="shared" si="200"/>
        <v>0</v>
      </c>
      <c r="L961" s="194">
        <v>0</v>
      </c>
      <c r="M961" s="194">
        <v>51</v>
      </c>
      <c r="N961" s="194">
        <v>0</v>
      </c>
      <c r="O961" s="193">
        <f t="shared" si="201"/>
        <v>51</v>
      </c>
      <c r="P961" s="194">
        <v>0</v>
      </c>
      <c r="Q961" s="194">
        <v>0</v>
      </c>
      <c r="R961" s="194">
        <v>0</v>
      </c>
      <c r="S961" s="193">
        <f t="shared" si="202"/>
        <v>0</v>
      </c>
      <c r="T961" s="193">
        <f t="shared" si="203"/>
        <v>1.7</v>
      </c>
      <c r="U961" s="193">
        <f ca="1">OFFSET('Expenditure Study'!$B$7,'Operations Support'!$C961,'Operations Support'!$B961)*$G961</f>
        <v>77.52</v>
      </c>
      <c r="V961" s="199">
        <f ca="1">U961*'Expenditure Study'!$B$31</f>
        <v>4580.1281756159997</v>
      </c>
      <c r="W961" s="199">
        <f ca="1">IF(A961=10298,1.51,1)*IF($B961&lt;3,$D961*'Expenditure Study'!$B$32*OFFSET('Expenditure Study'!$B$7,'Operations Support'!$C961,'Operations Support'!$B961),0)</f>
        <v>0</v>
      </c>
      <c r="X961" s="200">
        <f ca="1">W961*'Expenditure Study'!$B$31</f>
        <v>0</v>
      </c>
      <c r="Y961" s="199">
        <f ca="1">U961*'Expenditure Study'!$B$31</f>
        <v>4580.1281756159997</v>
      </c>
      <c r="Z961" s="200">
        <f ca="1">W961*'Expenditure Study'!$B$31</f>
        <v>0</v>
      </c>
      <c r="AA961" s="195">
        <f t="shared" ca="1" si="204"/>
        <v>4580.1281756159997</v>
      </c>
      <c r="AB961" s="195">
        <f t="shared" ca="1" si="205"/>
        <v>4580.1281756159997</v>
      </c>
      <c r="AD961" s="196">
        <f>IFERROR($G961/SUMIF($A:$A,$A961,$G:$G)*SUMIF(Summary!$A$166:$A$242,$A961,Summary!$P$166:$P$242),0)</f>
        <v>818.33672509959251</v>
      </c>
      <c r="AE961" s="197">
        <f t="shared" ca="1" si="206"/>
        <v>3761.7914505164072</v>
      </c>
      <c r="AF961" s="196">
        <f>IFERROR(G961/SUMIF(A:A,A961,G:G)*SUMIF(Summary!$A$166:$A$242,'Operations Support'!A961,Summary!$Q$166:$Q$242),0)</f>
        <v>818.94795237568292</v>
      </c>
      <c r="AG961" s="196">
        <f t="shared" ca="1" si="207"/>
        <v>3761.180223240317</v>
      </c>
      <c r="AI961" s="196">
        <f>IFERROR($G961/SUMIF($A:$A,$A961,$G:$G)*SUMIF(Summary!$A$247:$A$283,$A961,Summary!$P$247:$P$283),0)</f>
        <v>149.24419729282721</v>
      </c>
      <c r="AJ961" s="196">
        <f>IFERROR($G961/SUMIF($A:$A,$A961,$G:$G)*(SUMIF(Summary!$A$247:$A$283,$A961,Summary!$L$247:$L$283)+SUMIF(Summary!$A$297:$A$333,$A961,Summary!$L$297:$L$333))-AI961,0)</f>
        <v>977.95621727683215</v>
      </c>
      <c r="AK961" s="196">
        <f>IFERROR($G961/SUMIF($A:$A,$A961,$G:$G)*SUMIF(Summary!$A$247:$A$283,$A961,Summary!$Q$247:$Q$283),0)</f>
        <v>149.35566989497943</v>
      </c>
      <c r="AL961" s="196">
        <f>IFERROR($G961/SUMIF($A:$A,$A961,$G:$G)*(SUMIF(Summary!$A$247:$A$283,$A961,Summary!$L$247:$L$283)+SUMIF(Summary!$A$297:$A$333,$A961,Summary!$L$297:$L$333))-AK961,0)</f>
        <v>977.84474467467999</v>
      </c>
      <c r="AM961" s="198"/>
      <c r="AN961" s="196">
        <f t="shared" ca="1" si="208"/>
        <v>4739.7476677932391</v>
      </c>
      <c r="AO961" s="196">
        <f t="shared" ca="1" si="209"/>
        <v>4739.0249679149965</v>
      </c>
    </row>
    <row r="962" spans="1:41">
      <c r="A962" s="189">
        <v>3624</v>
      </c>
      <c r="B962" s="203">
        <v>1</v>
      </c>
      <c r="C962" s="191" t="s">
        <v>232</v>
      </c>
      <c r="D962" s="192">
        <f t="shared" si="196"/>
        <v>0</v>
      </c>
      <c r="E962" s="192">
        <f t="shared" si="197"/>
        <v>0</v>
      </c>
      <c r="F962" s="192">
        <f t="shared" si="198"/>
        <v>0</v>
      </c>
      <c r="G962" s="193">
        <f t="shared" si="199"/>
        <v>0</v>
      </c>
      <c r="H962" s="194">
        <v>0</v>
      </c>
      <c r="I962" s="194">
        <v>0</v>
      </c>
      <c r="J962" s="194">
        <v>0</v>
      </c>
      <c r="K962" s="193">
        <f t="shared" si="200"/>
        <v>0</v>
      </c>
      <c r="L962" s="194">
        <v>0</v>
      </c>
      <c r="M962" s="194">
        <v>0</v>
      </c>
      <c r="N962" s="194">
        <v>0</v>
      </c>
      <c r="O962" s="193">
        <f t="shared" si="201"/>
        <v>0</v>
      </c>
      <c r="P962" s="194">
        <v>0</v>
      </c>
      <c r="Q962" s="194">
        <v>0</v>
      </c>
      <c r="R962" s="194">
        <v>0</v>
      </c>
      <c r="S962" s="193">
        <f t="shared" si="202"/>
        <v>0</v>
      </c>
      <c r="T962" s="193">
        <f t="shared" si="203"/>
        <v>0</v>
      </c>
      <c r="U962" s="193">
        <f ca="1">OFFSET('Expenditure Study'!$B$7,'Operations Support'!$C962,'Operations Support'!$B962)*$G962</f>
        <v>0</v>
      </c>
      <c r="V962" s="199">
        <f ca="1">U962*'Expenditure Study'!$B$31</f>
        <v>0</v>
      </c>
      <c r="W962" s="199">
        <f ca="1">IF(A962=10298,1.51,1)*IF($B962&lt;3,$D962*'Expenditure Study'!$B$32*OFFSET('Expenditure Study'!$B$7,'Operations Support'!$C962,'Operations Support'!$B962),0)</f>
        <v>0</v>
      </c>
      <c r="X962" s="200">
        <f ca="1">W962*'Expenditure Study'!$B$31</f>
        <v>0</v>
      </c>
      <c r="Y962" s="199">
        <f ca="1">U962*'Expenditure Study'!$B$31</f>
        <v>0</v>
      </c>
      <c r="Z962" s="200">
        <f ca="1">W962*'Expenditure Study'!$B$31</f>
        <v>0</v>
      </c>
      <c r="AA962" s="195">
        <f t="shared" ca="1" si="204"/>
        <v>0</v>
      </c>
      <c r="AB962" s="195">
        <f t="shared" ca="1" si="205"/>
        <v>0</v>
      </c>
      <c r="AD962" s="196">
        <f>IFERROR($G962/SUMIF($A:$A,$A962,$G:$G)*SUMIF(Summary!$A$166:$A$242,$A962,Summary!$P$166:$P$242),0)</f>
        <v>0</v>
      </c>
      <c r="AE962" s="197">
        <f t="shared" ca="1" si="206"/>
        <v>0</v>
      </c>
      <c r="AF962" s="196">
        <f>IFERROR(G962/SUMIF(A:A,A962,G:G)*SUMIF(Summary!$A$166:$A$242,'Operations Support'!A962,Summary!$Q$166:$Q$242),0)</f>
        <v>0</v>
      </c>
      <c r="AG962" s="196">
        <f t="shared" ca="1" si="207"/>
        <v>0</v>
      </c>
      <c r="AI962" s="196">
        <f>IFERROR($G962/SUMIF($A:$A,$A962,$G:$G)*SUMIF(Summary!$A$247:$A$283,$A962,Summary!$P$247:$P$283),0)</f>
        <v>0</v>
      </c>
      <c r="AJ962" s="196">
        <f>IFERROR($G962/SUMIF($A:$A,$A962,$G:$G)*(SUMIF(Summary!$A$247:$A$283,$A962,Summary!$L$247:$L$283)+SUMIF(Summary!$A$297:$A$333,$A962,Summary!$L$297:$L$333))-AI962,0)</f>
        <v>0</v>
      </c>
      <c r="AK962" s="196">
        <f>IFERROR($G962/SUMIF($A:$A,$A962,$G:$G)*SUMIF(Summary!$A$247:$A$283,$A962,Summary!$Q$247:$Q$283),0)</f>
        <v>0</v>
      </c>
      <c r="AL962" s="196">
        <f>IFERROR($G962/SUMIF($A:$A,$A962,$G:$G)*(SUMIF(Summary!$A$247:$A$283,$A962,Summary!$L$247:$L$283)+SUMIF(Summary!$A$297:$A$333,$A962,Summary!$L$297:$L$333))-AK962,0)</f>
        <v>0</v>
      </c>
      <c r="AM962" s="198"/>
      <c r="AN962" s="196">
        <f t="shared" ca="1" si="208"/>
        <v>0</v>
      </c>
      <c r="AO962" s="196">
        <f t="shared" ca="1" si="209"/>
        <v>0</v>
      </c>
    </row>
    <row r="963" spans="1:41">
      <c r="A963" s="189">
        <v>3624</v>
      </c>
      <c r="B963" s="203">
        <v>1</v>
      </c>
      <c r="C963" s="191" t="s">
        <v>233</v>
      </c>
      <c r="D963" s="192">
        <f t="shared" si="196"/>
        <v>1092</v>
      </c>
      <c r="E963" s="192">
        <f t="shared" si="197"/>
        <v>2324</v>
      </c>
      <c r="F963" s="192">
        <f t="shared" si="198"/>
        <v>0</v>
      </c>
      <c r="G963" s="193">
        <f t="shared" si="199"/>
        <v>3416</v>
      </c>
      <c r="H963" s="194">
        <v>462</v>
      </c>
      <c r="I963" s="194">
        <v>924</v>
      </c>
      <c r="J963" s="194">
        <v>0</v>
      </c>
      <c r="K963" s="193">
        <f t="shared" si="200"/>
        <v>1386</v>
      </c>
      <c r="L963" s="194">
        <v>531</v>
      </c>
      <c r="M963" s="194">
        <v>1400</v>
      </c>
      <c r="N963" s="194">
        <v>0</v>
      </c>
      <c r="O963" s="193">
        <f t="shared" si="201"/>
        <v>1931</v>
      </c>
      <c r="P963" s="194">
        <v>99</v>
      </c>
      <c r="Q963" s="194">
        <v>0</v>
      </c>
      <c r="R963" s="194">
        <v>0</v>
      </c>
      <c r="S963" s="193">
        <f t="shared" si="202"/>
        <v>99</v>
      </c>
      <c r="T963" s="193">
        <f t="shared" si="203"/>
        <v>113.86666666666666</v>
      </c>
      <c r="U963" s="193">
        <f ca="1">OFFSET('Expenditure Study'!$B$7,'Operations Support'!$C963,'Operations Support'!$B963)*$G963</f>
        <v>3279.3599999999997</v>
      </c>
      <c r="V963" s="199">
        <f ca="1">U963*'Expenditure Study'!$B$31</f>
        <v>193755.01978828799</v>
      </c>
      <c r="W963" s="199">
        <f ca="1">IF(A963=10298,1.51,1)*IF($B963&lt;3,$D963*'Expenditure Study'!$B$32*OFFSET('Expenditure Study'!$B$7,'Operations Support'!$C963,'Operations Support'!$B963),0)</f>
        <v>104.83199999999999</v>
      </c>
      <c r="X963" s="200">
        <f ca="1">W963*'Expenditure Study'!$B$31</f>
        <v>6193.8080096255999</v>
      </c>
      <c r="Y963" s="199">
        <f ca="1">U963*'Expenditure Study'!$B$31</f>
        <v>193755.01978828799</v>
      </c>
      <c r="Z963" s="200">
        <f ca="1">W963*'Expenditure Study'!$B$31</f>
        <v>6193.8080096255999</v>
      </c>
      <c r="AA963" s="195">
        <f t="shared" ca="1" si="204"/>
        <v>199948.82779791357</v>
      </c>
      <c r="AB963" s="195">
        <f t="shared" ca="1" si="205"/>
        <v>199948.82779791357</v>
      </c>
      <c r="AD963" s="196">
        <f>IFERROR($G963/SUMIF($A:$A,$A963,$G:$G)*SUMIF(Summary!$A$166:$A$242,$A963,Summary!$P$166:$P$242),0)</f>
        <v>54812.514763533487</v>
      </c>
      <c r="AE963" s="197">
        <f t="shared" ca="1" si="206"/>
        <v>145136.31303438009</v>
      </c>
      <c r="AF963" s="196">
        <f>IFERROR(G963/SUMIF(A:A,A963,G:G)*SUMIF(Summary!$A$166:$A$242,'Operations Support'!A963,Summary!$Q$166:$Q$242),0)</f>
        <v>54853.455006182994</v>
      </c>
      <c r="AG963" s="196">
        <f t="shared" ca="1" si="207"/>
        <v>145095.37279173057</v>
      </c>
      <c r="AI963" s="196">
        <f>IFERROR($G963/SUMIF($A:$A,$A963,$G:$G)*SUMIF(Summary!$A$247:$A$283,$A963,Summary!$P$247:$P$283),0)</f>
        <v>9996.4348618097592</v>
      </c>
      <c r="AJ963" s="196">
        <f>IFERROR($G963/SUMIF($A:$A,$A963,$G:$G)*(SUMIF(Summary!$A$247:$A$283,$A963,Summary!$L$247:$L$283)+SUMIF(Summary!$A$297:$A$333,$A963,Summary!$L$297:$L$333))-AI963,0)</f>
        <v>65503.890945444291</v>
      </c>
      <c r="AK963" s="196">
        <f>IFERROR($G963/SUMIF($A:$A,$A963,$G:$G)*SUMIF(Summary!$A$247:$A$283,$A963,Summary!$Q$247:$Q$283),0)</f>
        <v>10003.901340416662</v>
      </c>
      <c r="AL963" s="196">
        <f>IFERROR($G963/SUMIF($A:$A,$A963,$G:$G)*(SUMIF(Summary!$A$247:$A$283,$A963,Summary!$L$247:$L$283)+SUMIF(Summary!$A$297:$A$333,$A963,Summary!$L$297:$L$333))-AK963,0)</f>
        <v>65496.424466837387</v>
      </c>
      <c r="AM963" s="198"/>
      <c r="AN963" s="196">
        <f t="shared" ca="1" si="208"/>
        <v>210640.20397982438</v>
      </c>
      <c r="AO963" s="196">
        <f t="shared" ca="1" si="209"/>
        <v>210591.79725856794</v>
      </c>
    </row>
    <row r="964" spans="1:41">
      <c r="A964" s="189">
        <v>3624</v>
      </c>
      <c r="B964" s="203">
        <v>1</v>
      </c>
      <c r="C964" s="191" t="s">
        <v>234</v>
      </c>
      <c r="D964" s="192">
        <f t="shared" si="196"/>
        <v>0</v>
      </c>
      <c r="E964" s="192">
        <f t="shared" si="197"/>
        <v>0</v>
      </c>
      <c r="F964" s="192">
        <f t="shared" si="198"/>
        <v>0</v>
      </c>
      <c r="G964" s="193">
        <f t="shared" si="199"/>
        <v>0</v>
      </c>
      <c r="H964" s="194">
        <v>0</v>
      </c>
      <c r="I964" s="194">
        <v>0</v>
      </c>
      <c r="J964" s="194">
        <v>0</v>
      </c>
      <c r="K964" s="193">
        <f t="shared" si="200"/>
        <v>0</v>
      </c>
      <c r="L964" s="194">
        <v>0</v>
      </c>
      <c r="M964" s="194">
        <v>0</v>
      </c>
      <c r="N964" s="194">
        <v>0</v>
      </c>
      <c r="O964" s="193">
        <f t="shared" si="201"/>
        <v>0</v>
      </c>
      <c r="P964" s="194">
        <v>0</v>
      </c>
      <c r="Q964" s="194">
        <v>0</v>
      </c>
      <c r="R964" s="194">
        <v>0</v>
      </c>
      <c r="S964" s="193">
        <f t="shared" si="202"/>
        <v>0</v>
      </c>
      <c r="T964" s="193">
        <f t="shared" si="203"/>
        <v>0</v>
      </c>
      <c r="U964" s="193">
        <f ca="1">OFFSET('Expenditure Study'!$B$7,'Operations Support'!$C964,'Operations Support'!$B964)*$G964</f>
        <v>0</v>
      </c>
      <c r="V964" s="199">
        <f ca="1">U964*'Expenditure Study'!$B$31</f>
        <v>0</v>
      </c>
      <c r="W964" s="199">
        <f ca="1">IF(A964=10298,1.51,1)*IF($B964&lt;3,$D964*'Expenditure Study'!$B$32*OFFSET('Expenditure Study'!$B$7,'Operations Support'!$C964,'Operations Support'!$B964),0)</f>
        <v>0</v>
      </c>
      <c r="X964" s="200">
        <f ca="1">W964*'Expenditure Study'!$B$31</f>
        <v>0</v>
      </c>
      <c r="Y964" s="199">
        <f ca="1">U964*'Expenditure Study'!$B$31</f>
        <v>0</v>
      </c>
      <c r="Z964" s="200">
        <f ca="1">W964*'Expenditure Study'!$B$31</f>
        <v>0</v>
      </c>
      <c r="AA964" s="195">
        <f t="shared" ca="1" si="204"/>
        <v>0</v>
      </c>
      <c r="AB964" s="195">
        <f t="shared" ca="1" si="205"/>
        <v>0</v>
      </c>
      <c r="AD964" s="196">
        <f>IFERROR($G964/SUMIF($A:$A,$A964,$G:$G)*SUMIF(Summary!$A$166:$A$242,$A964,Summary!$P$166:$P$242),0)</f>
        <v>0</v>
      </c>
      <c r="AE964" s="197">
        <f t="shared" ca="1" si="206"/>
        <v>0</v>
      </c>
      <c r="AF964" s="196">
        <f>IFERROR(G964/SUMIF(A:A,A964,G:G)*SUMIF(Summary!$A$166:$A$242,'Operations Support'!A964,Summary!$Q$166:$Q$242),0)</f>
        <v>0</v>
      </c>
      <c r="AG964" s="196">
        <f t="shared" ca="1" si="207"/>
        <v>0</v>
      </c>
      <c r="AI964" s="196">
        <f>IFERROR($G964/SUMIF($A:$A,$A964,$G:$G)*SUMIF(Summary!$A$247:$A$283,$A964,Summary!$P$247:$P$283),0)</f>
        <v>0</v>
      </c>
      <c r="AJ964" s="196">
        <f>IFERROR($G964/SUMIF($A:$A,$A964,$G:$G)*(SUMIF(Summary!$A$247:$A$283,$A964,Summary!$L$247:$L$283)+SUMIF(Summary!$A$297:$A$333,$A964,Summary!$L$297:$L$333))-AI964,0)</f>
        <v>0</v>
      </c>
      <c r="AK964" s="196">
        <f>IFERROR($G964/SUMIF($A:$A,$A964,$G:$G)*SUMIF(Summary!$A$247:$A$283,$A964,Summary!$Q$247:$Q$283),0)</f>
        <v>0</v>
      </c>
      <c r="AL964" s="196">
        <f>IFERROR($G964/SUMIF($A:$A,$A964,$G:$G)*(SUMIF(Summary!$A$247:$A$283,$A964,Summary!$L$247:$L$283)+SUMIF(Summary!$A$297:$A$333,$A964,Summary!$L$297:$L$333))-AK964,0)</f>
        <v>0</v>
      </c>
      <c r="AM964" s="198"/>
      <c r="AN964" s="196">
        <f t="shared" ca="1" si="208"/>
        <v>0</v>
      </c>
      <c r="AO964" s="196">
        <f t="shared" ca="1" si="209"/>
        <v>0</v>
      </c>
    </row>
    <row r="965" spans="1:41">
      <c r="A965" s="189">
        <v>3624</v>
      </c>
      <c r="B965" s="203">
        <v>1</v>
      </c>
      <c r="C965" s="191" t="s">
        <v>235</v>
      </c>
      <c r="D965" s="192">
        <f t="shared" ref="D965:D1028" si="210">H965+L965+P965</f>
        <v>4194</v>
      </c>
      <c r="E965" s="192">
        <f t="shared" ref="E965:E1028" si="211">I965+M965+Q965</f>
        <v>5493</v>
      </c>
      <c r="F965" s="192">
        <f t="shared" ref="F965:F1028" si="212">J965+N965+R965</f>
        <v>0</v>
      </c>
      <c r="G965" s="193">
        <f t="shared" ref="G965:G1028" si="213">(SUM(D965:E965)-F965)*IF(A965=10298,1.51,1)</f>
        <v>9687</v>
      </c>
      <c r="H965" s="194">
        <v>1854</v>
      </c>
      <c r="I965" s="194">
        <v>2127</v>
      </c>
      <c r="J965" s="194">
        <v>0</v>
      </c>
      <c r="K965" s="193">
        <f t="shared" ref="K965:K1028" si="214">SUM(H965:I965)-J965</f>
        <v>3981</v>
      </c>
      <c r="L965" s="194">
        <v>2082</v>
      </c>
      <c r="M965" s="194">
        <v>2961</v>
      </c>
      <c r="N965" s="194">
        <v>0</v>
      </c>
      <c r="O965" s="193">
        <f t="shared" ref="O965:O1028" si="215">SUM(L965:M965)-N965</f>
        <v>5043</v>
      </c>
      <c r="P965" s="194">
        <v>258</v>
      </c>
      <c r="Q965" s="194">
        <v>405</v>
      </c>
      <c r="R965" s="194">
        <v>0</v>
      </c>
      <c r="S965" s="193">
        <f t="shared" ref="S965:S1028" si="216">SUM(P965:Q965)-R965</f>
        <v>663</v>
      </c>
      <c r="T965" s="193">
        <f t="shared" ref="T965:T1028" si="217">IF(OR(B965=1,B965=2),G965/30,IF(OR(B965=3,B965=5),G965/24,IF(B965=4,G965/18,0)))</f>
        <v>322.89999999999998</v>
      </c>
      <c r="U965" s="193">
        <f ca="1">OFFSET('Expenditure Study'!$B$7,'Operations Support'!$C965,'Operations Support'!$B965)*$G965</f>
        <v>10655.7</v>
      </c>
      <c r="V965" s="199">
        <f ca="1">U965*'Expenditure Study'!$B$31</f>
        <v>629572.64965056011</v>
      </c>
      <c r="W965" s="199">
        <f ca="1">IF(A965=10298,1.51,1)*IF($B965&lt;3,$D965*'Expenditure Study'!$B$32*OFFSET('Expenditure Study'!$B$7,'Operations Support'!$C965,'Operations Support'!$B965),0)</f>
        <v>461.34000000000009</v>
      </c>
      <c r="X965" s="200">
        <f ca="1">W965*'Expenditure Study'!$B$31</f>
        <v>27257.434630272004</v>
      </c>
      <c r="Y965" s="199">
        <f ca="1">U965*'Expenditure Study'!$B$31</f>
        <v>629572.64965056011</v>
      </c>
      <c r="Z965" s="200">
        <f ca="1">W965*'Expenditure Study'!$B$31</f>
        <v>27257.434630272004</v>
      </c>
      <c r="AA965" s="195">
        <f t="shared" ref="AA965:AA1028" ca="1" si="218">V965+X965</f>
        <v>656830.08428083209</v>
      </c>
      <c r="AB965" s="195">
        <f t="shared" ref="AB965:AB1028" ca="1" si="219">Y965+Z965</f>
        <v>656830.08428083209</v>
      </c>
      <c r="AD965" s="196">
        <f>IFERROR($G965/SUMIF($A:$A,$A965,$G:$G)*SUMIF(Summary!$A$166:$A$242,$A965,Summary!$P$166:$P$242),0)</f>
        <v>155435.84031450492</v>
      </c>
      <c r="AE965" s="197">
        <f t="shared" ca="1" si="206"/>
        <v>501394.24396632717</v>
      </c>
      <c r="AF965" s="196">
        <f>IFERROR(G965/SUMIF(A:A,A965,G:G)*SUMIF(Summary!$A$166:$A$242,'Operations Support'!A965,Summary!$Q$166:$Q$242),0)</f>
        <v>155551.93754241648</v>
      </c>
      <c r="AG965" s="196">
        <f t="shared" ca="1" si="207"/>
        <v>501278.14673841558</v>
      </c>
      <c r="AI965" s="196">
        <f>IFERROR($G965/SUMIF($A:$A,$A965,$G:$G)*SUMIF(Summary!$A$247:$A$283,$A965,Summary!$P$247:$P$283),0)</f>
        <v>28347.618415208177</v>
      </c>
      <c r="AJ965" s="196">
        <f>IFERROR($G965/SUMIF($A:$A,$A965,$G:$G)*(SUMIF(Summary!$A$247:$A$283,$A965,Summary!$L$247:$L$283)+SUMIF(Summary!$A$297:$A$333,$A965,Summary!$L$297:$L$333))-AI965,0)</f>
        <v>185754.15444628766</v>
      </c>
      <c r="AK965" s="196">
        <f>IFERROR($G965/SUMIF($A:$A,$A965,$G:$G)*SUMIF(Summary!$A$247:$A$283,$A965,Summary!$Q$247:$Q$283),0)</f>
        <v>28368.791652405209</v>
      </c>
      <c r="AL965" s="196">
        <f>IFERROR($G965/SUMIF($A:$A,$A965,$G:$G)*(SUMIF(Summary!$A$247:$A$283,$A965,Summary!$L$247:$L$283)+SUMIF(Summary!$A$297:$A$333,$A965,Summary!$L$297:$L$333))-AK965,0)</f>
        <v>185732.98120909065</v>
      </c>
      <c r="AM965" s="198"/>
      <c r="AN965" s="196">
        <f t="shared" ca="1" si="208"/>
        <v>687148.39841261483</v>
      </c>
      <c r="AO965" s="196">
        <f t="shared" ca="1" si="209"/>
        <v>687011.12794750626</v>
      </c>
    </row>
    <row r="966" spans="1:41">
      <c r="A966" s="189">
        <v>3624</v>
      </c>
      <c r="B966" s="203">
        <v>1</v>
      </c>
      <c r="C966" s="191" t="s">
        <v>236</v>
      </c>
      <c r="D966" s="192">
        <f t="shared" si="210"/>
        <v>0</v>
      </c>
      <c r="E966" s="192">
        <f t="shared" si="211"/>
        <v>0</v>
      </c>
      <c r="F966" s="192">
        <f t="shared" si="212"/>
        <v>0</v>
      </c>
      <c r="G966" s="193">
        <f t="shared" si="213"/>
        <v>0</v>
      </c>
      <c r="H966" s="194">
        <v>0</v>
      </c>
      <c r="I966" s="194">
        <v>0</v>
      </c>
      <c r="J966" s="194">
        <v>0</v>
      </c>
      <c r="K966" s="193">
        <f t="shared" si="214"/>
        <v>0</v>
      </c>
      <c r="L966" s="194">
        <v>0</v>
      </c>
      <c r="M966" s="194">
        <v>0</v>
      </c>
      <c r="N966" s="194">
        <v>0</v>
      </c>
      <c r="O966" s="193">
        <f t="shared" si="215"/>
        <v>0</v>
      </c>
      <c r="P966" s="194">
        <v>0</v>
      </c>
      <c r="Q966" s="194">
        <v>0</v>
      </c>
      <c r="R966" s="194">
        <v>0</v>
      </c>
      <c r="S966" s="193">
        <f t="shared" si="216"/>
        <v>0</v>
      </c>
      <c r="T966" s="193">
        <f t="shared" si="217"/>
        <v>0</v>
      </c>
      <c r="U966" s="193">
        <f ca="1">OFFSET('Expenditure Study'!$B$7,'Operations Support'!$C966,'Operations Support'!$B966)*$G966</f>
        <v>0</v>
      </c>
      <c r="V966" s="199">
        <f ca="1">U966*'Expenditure Study'!$B$31</f>
        <v>0</v>
      </c>
      <c r="W966" s="199">
        <f ca="1">IF(A966=10298,1.51,1)*IF($B966&lt;3,$D966*'Expenditure Study'!$B$32*OFFSET('Expenditure Study'!$B$7,'Operations Support'!$C966,'Operations Support'!$B966),0)</f>
        <v>0</v>
      </c>
      <c r="X966" s="200">
        <f ca="1">W966*'Expenditure Study'!$B$31</f>
        <v>0</v>
      </c>
      <c r="Y966" s="199">
        <f ca="1">U966*'Expenditure Study'!$B$31</f>
        <v>0</v>
      </c>
      <c r="Z966" s="200">
        <f ca="1">W966*'Expenditure Study'!$B$31</f>
        <v>0</v>
      </c>
      <c r="AA966" s="195">
        <f t="shared" ca="1" si="218"/>
        <v>0</v>
      </c>
      <c r="AB966" s="195">
        <f t="shared" ca="1" si="219"/>
        <v>0</v>
      </c>
      <c r="AD966" s="196">
        <f>IFERROR($G966/SUMIF($A:$A,$A966,$G:$G)*SUMIF(Summary!$A$166:$A$242,$A966,Summary!$P$166:$P$242),0)</f>
        <v>0</v>
      </c>
      <c r="AE966" s="197">
        <f t="shared" ref="AE966:AE1029" ca="1" si="220">V966+X966-AD966</f>
        <v>0</v>
      </c>
      <c r="AF966" s="196">
        <f>IFERROR(G966/SUMIF(A:A,A966,G:G)*SUMIF(Summary!$A$166:$A$242,'Operations Support'!A966,Summary!$Q$166:$Q$242),0)</f>
        <v>0</v>
      </c>
      <c r="AG966" s="196">
        <f t="shared" ref="AG966:AG1029" ca="1" si="221">Y966+Z966-AF966</f>
        <v>0</v>
      </c>
      <c r="AI966" s="196">
        <f>IFERROR($G966/SUMIF($A:$A,$A966,$G:$G)*SUMIF(Summary!$A$247:$A$283,$A966,Summary!$P$247:$P$283),0)</f>
        <v>0</v>
      </c>
      <c r="AJ966" s="196">
        <f>IFERROR($G966/SUMIF($A:$A,$A966,$G:$G)*(SUMIF(Summary!$A$247:$A$283,$A966,Summary!$L$247:$L$283)+SUMIF(Summary!$A$297:$A$333,$A966,Summary!$L$297:$L$333))-AI966,0)</f>
        <v>0</v>
      </c>
      <c r="AK966" s="196">
        <f>IFERROR($G966/SUMIF($A:$A,$A966,$G:$G)*SUMIF(Summary!$A$247:$A$283,$A966,Summary!$Q$247:$Q$283),0)</f>
        <v>0</v>
      </c>
      <c r="AL966" s="196">
        <f>IFERROR($G966/SUMIF($A:$A,$A966,$G:$G)*(SUMIF(Summary!$A$247:$A$283,$A966,Summary!$L$247:$L$283)+SUMIF(Summary!$A$297:$A$333,$A966,Summary!$L$297:$L$333))-AK966,0)</f>
        <v>0</v>
      </c>
      <c r="AM966" s="198"/>
      <c r="AN966" s="196">
        <f t="shared" ref="AN966:AN1029" ca="1" si="222">AE966+AJ966</f>
        <v>0</v>
      </c>
      <c r="AO966" s="196">
        <f t="shared" ref="AO966:AO1029" ca="1" si="223">AG966+AL966</f>
        <v>0</v>
      </c>
    </row>
    <row r="967" spans="1:41">
      <c r="A967" s="189">
        <v>3624</v>
      </c>
      <c r="B967" s="203">
        <v>1</v>
      </c>
      <c r="C967" s="191" t="s">
        <v>237</v>
      </c>
      <c r="D967" s="192">
        <f t="shared" si="210"/>
        <v>0</v>
      </c>
      <c r="E967" s="192">
        <f t="shared" si="211"/>
        <v>0</v>
      </c>
      <c r="F967" s="192">
        <f t="shared" si="212"/>
        <v>0</v>
      </c>
      <c r="G967" s="193">
        <f t="shared" si="213"/>
        <v>0</v>
      </c>
      <c r="H967" s="194">
        <v>0</v>
      </c>
      <c r="I967" s="194">
        <v>0</v>
      </c>
      <c r="J967" s="194">
        <v>0</v>
      </c>
      <c r="K967" s="193">
        <f t="shared" si="214"/>
        <v>0</v>
      </c>
      <c r="L967" s="194">
        <v>0</v>
      </c>
      <c r="M967" s="194">
        <v>0</v>
      </c>
      <c r="N967" s="194">
        <v>0</v>
      </c>
      <c r="O967" s="193">
        <f t="shared" si="215"/>
        <v>0</v>
      </c>
      <c r="P967" s="194">
        <v>0</v>
      </c>
      <c r="Q967" s="194">
        <v>0</v>
      </c>
      <c r="R967" s="194">
        <v>0</v>
      </c>
      <c r="S967" s="193">
        <f t="shared" si="216"/>
        <v>0</v>
      </c>
      <c r="T967" s="193">
        <f t="shared" si="217"/>
        <v>0</v>
      </c>
      <c r="U967" s="193">
        <f ca="1">OFFSET('Expenditure Study'!$B$7,'Operations Support'!$C967,'Operations Support'!$B967)*$G967</f>
        <v>0</v>
      </c>
      <c r="V967" s="199">
        <f ca="1">U967*'Expenditure Study'!$B$31</f>
        <v>0</v>
      </c>
      <c r="W967" s="199">
        <f ca="1">IF(A967=10298,1.51,1)*IF($B967&lt;3,$D967*'Expenditure Study'!$B$32*OFFSET('Expenditure Study'!$B$7,'Operations Support'!$C967,'Operations Support'!$B967),0)</f>
        <v>0</v>
      </c>
      <c r="X967" s="200">
        <f ca="1">W967*'Expenditure Study'!$B$31</f>
        <v>0</v>
      </c>
      <c r="Y967" s="199">
        <f ca="1">U967*'Expenditure Study'!$B$31</f>
        <v>0</v>
      </c>
      <c r="Z967" s="200">
        <f ca="1">W967*'Expenditure Study'!$B$31</f>
        <v>0</v>
      </c>
      <c r="AA967" s="195">
        <f t="shared" ca="1" si="218"/>
        <v>0</v>
      </c>
      <c r="AB967" s="195">
        <f t="shared" ca="1" si="219"/>
        <v>0</v>
      </c>
      <c r="AD967" s="196">
        <f>IFERROR($G967/SUMIF($A:$A,$A967,$G:$G)*SUMIF(Summary!$A$166:$A$242,$A967,Summary!$P$166:$P$242),0)</f>
        <v>0</v>
      </c>
      <c r="AE967" s="197">
        <f t="shared" ca="1" si="220"/>
        <v>0</v>
      </c>
      <c r="AF967" s="196">
        <f>IFERROR(G967/SUMIF(A:A,A967,G:G)*SUMIF(Summary!$A$166:$A$242,'Operations Support'!A967,Summary!$Q$166:$Q$242),0)</f>
        <v>0</v>
      </c>
      <c r="AG967" s="196">
        <f t="shared" ca="1" si="221"/>
        <v>0</v>
      </c>
      <c r="AI967" s="196">
        <f>IFERROR($G967/SUMIF($A:$A,$A967,$G:$G)*SUMIF(Summary!$A$247:$A$283,$A967,Summary!$P$247:$P$283),0)</f>
        <v>0</v>
      </c>
      <c r="AJ967" s="196">
        <f>IFERROR($G967/SUMIF($A:$A,$A967,$G:$G)*(SUMIF(Summary!$A$247:$A$283,$A967,Summary!$L$247:$L$283)+SUMIF(Summary!$A$297:$A$333,$A967,Summary!$L$297:$L$333))-AI967,0)</f>
        <v>0</v>
      </c>
      <c r="AK967" s="196">
        <f>IFERROR($G967/SUMIF($A:$A,$A967,$G:$G)*SUMIF(Summary!$A$247:$A$283,$A967,Summary!$Q$247:$Q$283),0)</f>
        <v>0</v>
      </c>
      <c r="AL967" s="196">
        <f>IFERROR($G967/SUMIF($A:$A,$A967,$G:$G)*(SUMIF(Summary!$A$247:$A$283,$A967,Summary!$L$247:$L$283)+SUMIF(Summary!$A$297:$A$333,$A967,Summary!$L$297:$L$333))-AK967,0)</f>
        <v>0</v>
      </c>
      <c r="AM967" s="198"/>
      <c r="AN967" s="196">
        <f t="shared" ca="1" si="222"/>
        <v>0</v>
      </c>
      <c r="AO967" s="196">
        <f t="shared" ca="1" si="223"/>
        <v>0</v>
      </c>
    </row>
    <row r="968" spans="1:41">
      <c r="A968" s="189">
        <v>3624</v>
      </c>
      <c r="B968" s="203">
        <v>1</v>
      </c>
      <c r="C968" s="191" t="s">
        <v>238</v>
      </c>
      <c r="D968" s="192">
        <f t="shared" si="210"/>
        <v>300</v>
      </c>
      <c r="E968" s="192">
        <f t="shared" si="211"/>
        <v>1215</v>
      </c>
      <c r="F968" s="192">
        <f t="shared" si="212"/>
        <v>0</v>
      </c>
      <c r="G968" s="193">
        <f t="shared" si="213"/>
        <v>1515</v>
      </c>
      <c r="H968" s="194">
        <v>183</v>
      </c>
      <c r="I968" s="194">
        <v>411</v>
      </c>
      <c r="J968" s="194">
        <v>0</v>
      </c>
      <c r="K968" s="193">
        <f t="shared" si="214"/>
        <v>594</v>
      </c>
      <c r="L968" s="194">
        <v>114</v>
      </c>
      <c r="M968" s="194">
        <v>752</v>
      </c>
      <c r="N968" s="194">
        <v>0</v>
      </c>
      <c r="O968" s="193">
        <f t="shared" si="215"/>
        <v>866</v>
      </c>
      <c r="P968" s="194">
        <v>3</v>
      </c>
      <c r="Q968" s="194">
        <v>52</v>
      </c>
      <c r="R968" s="194">
        <v>0</v>
      </c>
      <c r="S968" s="193">
        <f t="shared" si="216"/>
        <v>55</v>
      </c>
      <c r="T968" s="193">
        <f t="shared" si="217"/>
        <v>50.5</v>
      </c>
      <c r="U968" s="193">
        <f ca="1">OFFSET('Expenditure Study'!$B$7,'Operations Support'!$C968,'Operations Support'!$B968)*$G968</f>
        <v>2696.7</v>
      </c>
      <c r="V968" s="199">
        <f ca="1">U968*'Expenditure Study'!$B$31</f>
        <v>159329.61366335998</v>
      </c>
      <c r="W968" s="199">
        <f ca="1">IF(A968=10298,1.51,1)*IF($B968&lt;3,$D968*'Expenditure Study'!$B$32*OFFSET('Expenditure Study'!$B$7,'Operations Support'!$C968,'Operations Support'!$B968),0)</f>
        <v>53.4</v>
      </c>
      <c r="X968" s="200">
        <f ca="1">W968*'Expenditure Study'!$B$31</f>
        <v>3155.0418547200002</v>
      </c>
      <c r="Y968" s="199">
        <f ca="1">U968*'Expenditure Study'!$B$31</f>
        <v>159329.61366335998</v>
      </c>
      <c r="Z968" s="200">
        <f ca="1">W968*'Expenditure Study'!$B$31</f>
        <v>3155.0418547200002</v>
      </c>
      <c r="AA968" s="195">
        <f t="shared" ca="1" si="218"/>
        <v>162484.65551807999</v>
      </c>
      <c r="AB968" s="195">
        <f t="shared" ca="1" si="219"/>
        <v>162484.65551807999</v>
      </c>
      <c r="AD968" s="196">
        <f>IFERROR($G968/SUMIF($A:$A,$A968,$G:$G)*SUMIF(Summary!$A$166:$A$242,$A968,Summary!$P$166:$P$242),0)</f>
        <v>24309.414480899661</v>
      </c>
      <c r="AE968" s="197">
        <f t="shared" ca="1" si="220"/>
        <v>138175.24103718033</v>
      </c>
      <c r="AF968" s="196">
        <f>IFERROR(G968/SUMIF(A:A,A968,G:G)*SUMIF(Summary!$A$166:$A$242,'Operations Support'!A968,Summary!$Q$166:$Q$242),0)</f>
        <v>24327.57152645411</v>
      </c>
      <c r="AG968" s="196">
        <f t="shared" ca="1" si="221"/>
        <v>138157.08399162587</v>
      </c>
      <c r="AI968" s="196">
        <f>IFERROR($G968/SUMIF($A:$A,$A968,$G:$G)*SUMIF(Summary!$A$247:$A$283,$A968,Summary!$P$247:$P$283),0)</f>
        <v>4433.4305666398668</v>
      </c>
      <c r="AJ968" s="196">
        <f>IFERROR($G968/SUMIF($A:$A,$A968,$G:$G)*(SUMIF(Summary!$A$247:$A$283,$A968,Summary!$L$247:$L$283)+SUMIF(Summary!$A$297:$A$333,$A968,Summary!$L$297:$L$333))-AI968,0)</f>
        <v>29051.052336752953</v>
      </c>
      <c r="AK968" s="196">
        <f>IFERROR($G968/SUMIF($A:$A,$A968,$G:$G)*SUMIF(Summary!$A$247:$A$283,$A968,Summary!$Q$247:$Q$283),0)</f>
        <v>4436.7419586449769</v>
      </c>
      <c r="AL968" s="196">
        <f>IFERROR($G968/SUMIF($A:$A,$A968,$G:$G)*(SUMIF(Summary!$A$247:$A$283,$A968,Summary!$L$247:$L$283)+SUMIF(Summary!$A$297:$A$333,$A968,Summary!$L$297:$L$333))-AK968,0)</f>
        <v>29047.740944747842</v>
      </c>
      <c r="AM968" s="198"/>
      <c r="AN968" s="196">
        <f t="shared" ca="1" si="222"/>
        <v>167226.29337393329</v>
      </c>
      <c r="AO968" s="196">
        <f t="shared" ca="1" si="223"/>
        <v>167204.82493637371</v>
      </c>
    </row>
    <row r="969" spans="1:41">
      <c r="A969" s="189">
        <v>3624</v>
      </c>
      <c r="B969" s="203">
        <v>1</v>
      </c>
      <c r="C969" s="191" t="s">
        <v>239</v>
      </c>
      <c r="D969" s="192">
        <f t="shared" si="210"/>
        <v>4</v>
      </c>
      <c r="E969" s="192">
        <f t="shared" si="211"/>
        <v>217</v>
      </c>
      <c r="F969" s="192">
        <f t="shared" si="212"/>
        <v>0</v>
      </c>
      <c r="G969" s="193">
        <f t="shared" si="213"/>
        <v>221</v>
      </c>
      <c r="H969" s="194">
        <v>0</v>
      </c>
      <c r="I969" s="194">
        <v>85</v>
      </c>
      <c r="J969" s="194">
        <v>0</v>
      </c>
      <c r="K969" s="193">
        <f t="shared" si="214"/>
        <v>85</v>
      </c>
      <c r="L969" s="194">
        <v>0</v>
      </c>
      <c r="M969" s="194">
        <v>125</v>
      </c>
      <c r="N969" s="194">
        <v>0</v>
      </c>
      <c r="O969" s="193">
        <f t="shared" si="215"/>
        <v>125</v>
      </c>
      <c r="P969" s="194">
        <v>4</v>
      </c>
      <c r="Q969" s="194">
        <v>7</v>
      </c>
      <c r="R969" s="194">
        <v>0</v>
      </c>
      <c r="S969" s="193">
        <f t="shared" si="216"/>
        <v>11</v>
      </c>
      <c r="T969" s="193">
        <f t="shared" si="217"/>
        <v>7.3666666666666663</v>
      </c>
      <c r="U969" s="193">
        <f ca="1">OFFSET('Expenditure Study'!$B$7,'Operations Support'!$C969,'Operations Support'!$B969)*$G969</f>
        <v>342.55</v>
      </c>
      <c r="V969" s="199">
        <f ca="1">U969*'Expenditure Study'!$B$31</f>
        <v>20238.94358304</v>
      </c>
      <c r="W969" s="199">
        <f ca="1">IF(A969=10298,1.51,1)*IF($B969&lt;3,$D969*'Expenditure Study'!$B$32*OFFSET('Expenditure Study'!$B$7,'Operations Support'!$C969,'Operations Support'!$B969),0)</f>
        <v>0.62000000000000011</v>
      </c>
      <c r="X969" s="200">
        <f ca="1">W969*'Expenditure Study'!$B$31</f>
        <v>36.631572096000006</v>
      </c>
      <c r="Y969" s="199">
        <f ca="1">U969*'Expenditure Study'!$B$31</f>
        <v>20238.94358304</v>
      </c>
      <c r="Z969" s="200">
        <f ca="1">W969*'Expenditure Study'!$B$31</f>
        <v>36.631572096000006</v>
      </c>
      <c r="AA969" s="195">
        <f t="shared" ca="1" si="218"/>
        <v>20275.575155136001</v>
      </c>
      <c r="AB969" s="195">
        <f t="shared" ca="1" si="219"/>
        <v>20275.575155136001</v>
      </c>
      <c r="AD969" s="196">
        <f>IFERROR($G969/SUMIF($A:$A,$A969,$G:$G)*SUMIF(Summary!$A$166:$A$242,$A969,Summary!$P$166:$P$242),0)</f>
        <v>3546.1258087649007</v>
      </c>
      <c r="AE969" s="197">
        <f t="shared" ca="1" si="220"/>
        <v>16729.449346371101</v>
      </c>
      <c r="AF969" s="196">
        <f>IFERROR(G969/SUMIF(A:A,A969,G:G)*SUMIF(Summary!$A$166:$A$242,'Operations Support'!A969,Summary!$Q$166:$Q$242),0)</f>
        <v>3548.7744602946259</v>
      </c>
      <c r="AG969" s="196">
        <f t="shared" ca="1" si="221"/>
        <v>16726.800694841375</v>
      </c>
      <c r="AI969" s="196">
        <f>IFERROR($G969/SUMIF($A:$A,$A969,$G:$G)*SUMIF(Summary!$A$247:$A$283,$A969,Summary!$P$247:$P$283),0)</f>
        <v>646.72485493558452</v>
      </c>
      <c r="AJ969" s="196">
        <f>IFERROR($G969/SUMIF($A:$A,$A969,$G:$G)*(SUMIF(Summary!$A$247:$A$283,$A969,Summary!$L$247:$L$283)+SUMIF(Summary!$A$297:$A$333,$A969,Summary!$L$297:$L$333))-AI969,0)</f>
        <v>4237.8102748662723</v>
      </c>
      <c r="AK969" s="196">
        <f>IFERROR($G969/SUMIF($A:$A,$A969,$G:$G)*SUMIF(Summary!$A$247:$A$283,$A969,Summary!$Q$247:$Q$283),0)</f>
        <v>647.20790287824411</v>
      </c>
      <c r="AL969" s="196">
        <f>IFERROR($G969/SUMIF($A:$A,$A969,$G:$G)*(SUMIF(Summary!$A$247:$A$283,$A969,Summary!$L$247:$L$283)+SUMIF(Summary!$A$297:$A$333,$A969,Summary!$L$297:$L$333))-AK969,0)</f>
        <v>4237.3272269236131</v>
      </c>
      <c r="AM969" s="198"/>
      <c r="AN969" s="196">
        <f t="shared" ca="1" si="222"/>
        <v>20967.259621237372</v>
      </c>
      <c r="AO969" s="196">
        <f t="shared" ca="1" si="223"/>
        <v>20964.127921764986</v>
      </c>
    </row>
    <row r="970" spans="1:41">
      <c r="A970" s="189">
        <v>3624</v>
      </c>
      <c r="B970" s="203">
        <v>1</v>
      </c>
      <c r="C970" s="191" t="s">
        <v>240</v>
      </c>
      <c r="D970" s="192">
        <f t="shared" si="210"/>
        <v>240</v>
      </c>
      <c r="E970" s="192">
        <f t="shared" si="211"/>
        <v>3669</v>
      </c>
      <c r="F970" s="192">
        <f t="shared" si="212"/>
        <v>0</v>
      </c>
      <c r="G970" s="193">
        <f t="shared" si="213"/>
        <v>3909</v>
      </c>
      <c r="H970" s="194">
        <v>24</v>
      </c>
      <c r="I970" s="194">
        <v>984</v>
      </c>
      <c r="J970" s="194">
        <v>0</v>
      </c>
      <c r="K970" s="193">
        <f t="shared" si="214"/>
        <v>1008</v>
      </c>
      <c r="L970" s="194">
        <v>216</v>
      </c>
      <c r="M970" s="194">
        <v>2592</v>
      </c>
      <c r="N970" s="194">
        <v>0</v>
      </c>
      <c r="O970" s="193">
        <f t="shared" si="215"/>
        <v>2808</v>
      </c>
      <c r="P970" s="194">
        <v>0</v>
      </c>
      <c r="Q970" s="194">
        <v>93</v>
      </c>
      <c r="R970" s="194">
        <v>0</v>
      </c>
      <c r="S970" s="193">
        <f t="shared" si="216"/>
        <v>93</v>
      </c>
      <c r="T970" s="193">
        <f t="shared" si="217"/>
        <v>130.30000000000001</v>
      </c>
      <c r="U970" s="193">
        <f ca="1">OFFSET('Expenditure Study'!$B$7,'Operations Support'!$C970,'Operations Support'!$B970)*$G970</f>
        <v>3909</v>
      </c>
      <c r="V970" s="199">
        <f ca="1">U970*'Expenditure Study'!$B$31</f>
        <v>230956.15374720001</v>
      </c>
      <c r="W970" s="199">
        <f ca="1">IF(A970=10298,1.51,1)*IF($B970&lt;3,$D970*'Expenditure Study'!$B$32*OFFSET('Expenditure Study'!$B$7,'Operations Support'!$C970,'Operations Support'!$B970),0)</f>
        <v>24</v>
      </c>
      <c r="X970" s="200">
        <f ca="1">W970*'Expenditure Study'!$B$31</f>
        <v>1417.9963392</v>
      </c>
      <c r="Y970" s="199">
        <f ca="1">U970*'Expenditure Study'!$B$31</f>
        <v>230956.15374720001</v>
      </c>
      <c r="Z970" s="200">
        <f ca="1">W970*'Expenditure Study'!$B$31</f>
        <v>1417.9963392</v>
      </c>
      <c r="AA970" s="195">
        <f t="shared" ca="1" si="218"/>
        <v>232374.15008640001</v>
      </c>
      <c r="AB970" s="195">
        <f t="shared" ca="1" si="219"/>
        <v>232374.15008640001</v>
      </c>
      <c r="AD970" s="196">
        <f>IFERROR($G970/SUMIF($A:$A,$A970,$G:$G)*SUMIF(Summary!$A$166:$A$242,$A970,Summary!$P$166:$P$242),0)</f>
        <v>62723.103106162882</v>
      </c>
      <c r="AE970" s="197">
        <f t="shared" ca="1" si="220"/>
        <v>169651.04698023712</v>
      </c>
      <c r="AF970" s="196">
        <f>IFERROR(G970/SUMIF(A:A,A970,G:G)*SUMIF(Summary!$A$166:$A$242,'Operations Support'!A970,Summary!$Q$166:$Q$242),0)</f>
        <v>62769.951879147928</v>
      </c>
      <c r="AG970" s="196">
        <f t="shared" ca="1" si="221"/>
        <v>169604.19820725208</v>
      </c>
      <c r="AI970" s="196">
        <f>IFERROR($G970/SUMIF($A:$A,$A970,$G:$G)*SUMIF(Summary!$A$247:$A$283,$A970,Summary!$P$247:$P$283),0)</f>
        <v>11439.128768973755</v>
      </c>
      <c r="AJ970" s="196">
        <f>IFERROR($G970/SUMIF($A:$A,$A970,$G:$G)*(SUMIF(Summary!$A$247:$A$283,$A970,Summary!$L$247:$L$283)+SUMIF(Summary!$A$297:$A$333,$A970,Summary!$L$297:$L$333))-AI970,0)</f>
        <v>74957.467712453654</v>
      </c>
      <c r="AK970" s="196">
        <f>IFERROR($G970/SUMIF($A:$A,$A970,$G:$G)*SUMIF(Summary!$A$247:$A$283,$A970,Summary!$Q$247:$Q$283),0)</f>
        <v>11447.672816068129</v>
      </c>
      <c r="AL970" s="196">
        <f>IFERROR($G970/SUMIF($A:$A,$A970,$G:$G)*(SUMIF(Summary!$A$247:$A$283,$A970,Summary!$L$247:$L$283)+SUMIF(Summary!$A$297:$A$333,$A970,Summary!$L$297:$L$333))-AK970,0)</f>
        <v>74948.923665359282</v>
      </c>
      <c r="AM970" s="198"/>
      <c r="AN970" s="196">
        <f t="shared" ca="1" si="222"/>
        <v>244608.51469269078</v>
      </c>
      <c r="AO970" s="196">
        <f t="shared" ca="1" si="223"/>
        <v>244553.12187261134</v>
      </c>
    </row>
    <row r="971" spans="1:41">
      <c r="A971" s="189">
        <v>3624</v>
      </c>
      <c r="B971" s="203">
        <v>2</v>
      </c>
      <c r="C971" s="191" t="s">
        <v>220</v>
      </c>
      <c r="D971" s="192">
        <f t="shared" si="210"/>
        <v>12132.75</v>
      </c>
      <c r="E971" s="192">
        <f t="shared" si="211"/>
        <v>2526.25</v>
      </c>
      <c r="F971" s="192">
        <f t="shared" si="212"/>
        <v>0</v>
      </c>
      <c r="G971" s="193">
        <f t="shared" si="213"/>
        <v>14659</v>
      </c>
      <c r="H971" s="194">
        <v>5165</v>
      </c>
      <c r="I971" s="194">
        <v>1126</v>
      </c>
      <c r="J971" s="194">
        <v>0</v>
      </c>
      <c r="K971" s="193">
        <f t="shared" si="214"/>
        <v>6291</v>
      </c>
      <c r="L971" s="194">
        <v>5622.75</v>
      </c>
      <c r="M971" s="194">
        <v>1202.25</v>
      </c>
      <c r="N971" s="194">
        <v>0</v>
      </c>
      <c r="O971" s="193">
        <f t="shared" si="215"/>
        <v>6825</v>
      </c>
      <c r="P971" s="194">
        <v>1345</v>
      </c>
      <c r="Q971" s="194">
        <v>198</v>
      </c>
      <c r="R971" s="194">
        <v>0</v>
      </c>
      <c r="S971" s="193">
        <f t="shared" si="216"/>
        <v>1543</v>
      </c>
      <c r="T971" s="193">
        <f t="shared" si="217"/>
        <v>488.63333333333333</v>
      </c>
      <c r="U971" s="193">
        <f ca="1">OFFSET('Expenditure Study'!$B$7,'Operations Support'!$C971,'Operations Support'!$B971)*$G971</f>
        <v>26972.560000000001</v>
      </c>
      <c r="V971" s="199">
        <f ca="1">U971*'Expenditure Study'!$B$31</f>
        <v>1593624.6391188481</v>
      </c>
      <c r="W971" s="199">
        <f ca="1">IF(A971=10298,1.51,1)*IF($B971&lt;3,$D971*'Expenditure Study'!$B$32*OFFSET('Expenditure Study'!$B$7,'Operations Support'!$C971,'Operations Support'!$B971),0)</f>
        <v>2232.4260000000004</v>
      </c>
      <c r="X971" s="200">
        <f ca="1">W971*'Expenditure Study'!$B$31</f>
        <v>131898.82898062083</v>
      </c>
      <c r="Y971" s="199">
        <f ca="1">U971*'Expenditure Study'!$B$31</f>
        <v>1593624.6391188481</v>
      </c>
      <c r="Z971" s="200">
        <f ca="1">W971*'Expenditure Study'!$B$31</f>
        <v>131898.82898062083</v>
      </c>
      <c r="AA971" s="195">
        <f t="shared" ca="1" si="218"/>
        <v>1725523.4680994689</v>
      </c>
      <c r="AB971" s="195">
        <f t="shared" ca="1" si="219"/>
        <v>1725523.4680994689</v>
      </c>
      <c r="AD971" s="196">
        <f>IFERROR($G971/SUMIF($A:$A,$A971,$G:$G)*SUMIF(Summary!$A$166:$A$242,$A971,Summary!$P$166:$P$242),0)</f>
        <v>235215.64810264562</v>
      </c>
      <c r="AE971" s="197">
        <f t="shared" ca="1" si="220"/>
        <v>1490307.8199968233</v>
      </c>
      <c r="AF971" s="196">
        <f>IFERROR(G971/SUMIF(A:A,A971,G:G)*SUMIF(Summary!$A$166:$A$242,'Operations Support'!A971,Summary!$Q$166:$Q$242),0)</f>
        <v>235391.33399755167</v>
      </c>
      <c r="AG971" s="196">
        <f t="shared" ca="1" si="221"/>
        <v>1490132.1341019173</v>
      </c>
      <c r="AI971" s="196">
        <f>IFERROR($G971/SUMIF($A:$A,$A971,$G:$G)*SUMIF(Summary!$A$247:$A$283,$A971,Summary!$P$247:$P$283),0)</f>
        <v>42897.464472853993</v>
      </c>
      <c r="AJ971" s="196">
        <f>IFERROR($G971/SUMIF($A:$A,$A971,$G:$G)*(SUMIF(Summary!$A$247:$A$283,$A971,Summary!$L$247:$L$283)+SUMIF(Summary!$A$297:$A$333,$A971,Summary!$L$297:$L$333))-AI971,0)</f>
        <v>281095.29782472708</v>
      </c>
      <c r="AK971" s="196">
        <f>IFERROR($G971/SUMIF($A:$A,$A971,$G:$G)*SUMIF(Summary!$A$247:$A$283,$A971,Summary!$Q$247:$Q$283),0)</f>
        <v>42929.505195892219</v>
      </c>
      <c r="AL971" s="196">
        <f>IFERROR($G971/SUMIF($A:$A,$A971,$G:$G)*(SUMIF(Summary!$A$247:$A$283,$A971,Summary!$L$247:$L$283)+SUMIF(Summary!$A$297:$A$333,$A971,Summary!$L$297:$L$333))-AK971,0)</f>
        <v>281063.25710168883</v>
      </c>
      <c r="AM971" s="198"/>
      <c r="AN971" s="196">
        <f t="shared" ca="1" si="222"/>
        <v>1771403.1178215505</v>
      </c>
      <c r="AO971" s="196">
        <f t="shared" ca="1" si="223"/>
        <v>1771195.391203606</v>
      </c>
    </row>
    <row r="972" spans="1:41">
      <c r="A972" s="189">
        <v>3624</v>
      </c>
      <c r="B972" s="203">
        <v>2</v>
      </c>
      <c r="C972" s="191" t="s">
        <v>221</v>
      </c>
      <c r="D972" s="192">
        <f t="shared" si="210"/>
        <v>6028</v>
      </c>
      <c r="E972" s="192">
        <f t="shared" si="211"/>
        <v>905</v>
      </c>
      <c r="F972" s="192">
        <f t="shared" si="212"/>
        <v>0</v>
      </c>
      <c r="G972" s="193">
        <f t="shared" si="213"/>
        <v>6933</v>
      </c>
      <c r="H972" s="194">
        <v>2805.5</v>
      </c>
      <c r="I972" s="194">
        <v>339.5</v>
      </c>
      <c r="J972" s="194">
        <v>0</v>
      </c>
      <c r="K972" s="193">
        <f t="shared" si="214"/>
        <v>3145</v>
      </c>
      <c r="L972" s="194">
        <v>2697</v>
      </c>
      <c r="M972" s="194">
        <v>398</v>
      </c>
      <c r="N972" s="194">
        <v>0</v>
      </c>
      <c r="O972" s="193">
        <f t="shared" si="215"/>
        <v>3095</v>
      </c>
      <c r="P972" s="194">
        <v>525.5</v>
      </c>
      <c r="Q972" s="194">
        <v>167.5</v>
      </c>
      <c r="R972" s="194">
        <v>0</v>
      </c>
      <c r="S972" s="193">
        <f t="shared" si="216"/>
        <v>693</v>
      </c>
      <c r="T972" s="193">
        <f t="shared" si="217"/>
        <v>231.1</v>
      </c>
      <c r="U972" s="193">
        <f ca="1">OFFSET('Expenditure Study'!$B$7,'Operations Support'!$C972,'Operations Support'!$B972)*$G972</f>
        <v>18233.79</v>
      </c>
      <c r="V972" s="199">
        <f ca="1">U972*'Expenditure Study'!$B$31</f>
        <v>1077310.3112392321</v>
      </c>
      <c r="W972" s="199">
        <f ca="1">IF(A972=10298,1.51,1)*IF($B972&lt;3,$D972*'Expenditure Study'!$B$32*OFFSET('Expenditure Study'!$B$7,'Operations Support'!$C972,'Operations Support'!$B972),0)</f>
        <v>1585.364</v>
      </c>
      <c r="X972" s="200">
        <f ca="1">W972*'Expenditure Study'!$B$31</f>
        <v>93668.347845811208</v>
      </c>
      <c r="Y972" s="199">
        <f ca="1">U972*'Expenditure Study'!$B$31</f>
        <v>1077310.3112392321</v>
      </c>
      <c r="Z972" s="200">
        <f ca="1">W972*'Expenditure Study'!$B$31</f>
        <v>93668.347845811208</v>
      </c>
      <c r="AA972" s="195">
        <f t="shared" ca="1" si="218"/>
        <v>1170978.6590850432</v>
      </c>
      <c r="AB972" s="195">
        <f t="shared" ca="1" si="219"/>
        <v>1170978.6590850432</v>
      </c>
      <c r="AD972" s="196">
        <f>IFERROR($G972/SUMIF($A:$A,$A972,$G:$G)*SUMIF(Summary!$A$166:$A$242,$A972,Summary!$P$166:$P$242),0)</f>
        <v>111245.65715912695</v>
      </c>
      <c r="AE972" s="197">
        <f t="shared" ca="1" si="220"/>
        <v>1059733.0019259164</v>
      </c>
      <c r="AF972" s="196">
        <f>IFERROR(G972/SUMIF(A:A,A972,G:G)*SUMIF(Summary!$A$166:$A$242,'Operations Support'!A972,Summary!$Q$166:$Q$242),0)</f>
        <v>111328.7481141296</v>
      </c>
      <c r="AG972" s="196">
        <f t="shared" ca="1" si="221"/>
        <v>1059649.9109709137</v>
      </c>
      <c r="AI972" s="196">
        <f>IFERROR($G972/SUMIF($A:$A,$A972,$G:$G)*SUMIF(Summary!$A$247:$A$283,$A972,Summary!$P$247:$P$283),0)</f>
        <v>20288.43176139551</v>
      </c>
      <c r="AJ972" s="196">
        <f>IFERROR($G972/SUMIF($A:$A,$A972,$G:$G)*(SUMIF(Summary!$A$247:$A$283,$A972,Summary!$L$247:$L$283)+SUMIF(Summary!$A$297:$A$333,$A972,Summary!$L$297:$L$333))-AI972,0)</f>
        <v>132944.51871333877</v>
      </c>
      <c r="AK972" s="196">
        <f>IFERROR($G972/SUMIF($A:$A,$A972,$G:$G)*SUMIF(Summary!$A$247:$A$283,$A972,Summary!$Q$247:$Q$283),0)</f>
        <v>20303.585478076318</v>
      </c>
      <c r="AL972" s="196">
        <f>IFERROR($G972/SUMIF($A:$A,$A972,$G:$G)*(SUMIF(Summary!$A$247:$A$283,$A972,Summary!$L$247:$L$283)+SUMIF(Summary!$A$297:$A$333,$A972,Summary!$L$297:$L$333))-AK972,0)</f>
        <v>132929.36499665794</v>
      </c>
      <c r="AM972" s="198"/>
      <c r="AN972" s="196">
        <f t="shared" ca="1" si="222"/>
        <v>1192677.5206392552</v>
      </c>
      <c r="AO972" s="196">
        <f t="shared" ca="1" si="223"/>
        <v>1192579.2759675717</v>
      </c>
    </row>
    <row r="973" spans="1:41">
      <c r="A973" s="189">
        <v>3624</v>
      </c>
      <c r="B973" s="203">
        <v>2</v>
      </c>
      <c r="C973" s="191" t="s">
        <v>222</v>
      </c>
      <c r="D973" s="192">
        <f t="shared" si="210"/>
        <v>5814</v>
      </c>
      <c r="E973" s="192">
        <f t="shared" si="211"/>
        <v>2190</v>
      </c>
      <c r="F973" s="192">
        <f t="shared" si="212"/>
        <v>0</v>
      </c>
      <c r="G973" s="193">
        <f t="shared" si="213"/>
        <v>8004</v>
      </c>
      <c r="H973" s="194">
        <v>2778.5</v>
      </c>
      <c r="I973" s="194">
        <v>1097.5</v>
      </c>
      <c r="J973" s="194">
        <v>0</v>
      </c>
      <c r="K973" s="193">
        <f t="shared" si="214"/>
        <v>3876</v>
      </c>
      <c r="L973" s="194">
        <v>2743.5</v>
      </c>
      <c r="M973" s="194">
        <v>847.5</v>
      </c>
      <c r="N973" s="194">
        <v>0</v>
      </c>
      <c r="O973" s="193">
        <f t="shared" si="215"/>
        <v>3591</v>
      </c>
      <c r="P973" s="194">
        <v>292</v>
      </c>
      <c r="Q973" s="194">
        <v>245</v>
      </c>
      <c r="R973" s="194">
        <v>0</v>
      </c>
      <c r="S973" s="193">
        <f t="shared" si="216"/>
        <v>537</v>
      </c>
      <c r="T973" s="193">
        <f t="shared" si="217"/>
        <v>266.8</v>
      </c>
      <c r="U973" s="193">
        <f ca="1">OFFSET('Expenditure Study'!$B$7,'Operations Support'!$C973,'Operations Support'!$B973)*$G973</f>
        <v>21290.639999999999</v>
      </c>
      <c r="V973" s="199">
        <f ca="1">U973*'Expenditure Study'!$B$31</f>
        <v>1257918.7324677119</v>
      </c>
      <c r="W973" s="199">
        <f ca="1">IF(A973=10298,1.51,1)*IF($B973&lt;3,$D973*'Expenditure Study'!$B$32*OFFSET('Expenditure Study'!$B$7,'Operations Support'!$C973,'Operations Support'!$B973),0)</f>
        <v>1546.5240000000001</v>
      </c>
      <c r="X973" s="200">
        <f ca="1">W973*'Expenditure Study'!$B$31</f>
        <v>91373.557103539206</v>
      </c>
      <c r="Y973" s="199">
        <f ca="1">U973*'Expenditure Study'!$B$31</f>
        <v>1257918.7324677119</v>
      </c>
      <c r="Z973" s="200">
        <f ca="1">W973*'Expenditure Study'!$B$31</f>
        <v>91373.557103539206</v>
      </c>
      <c r="AA973" s="195">
        <f t="shared" ca="1" si="218"/>
        <v>1349292.289571251</v>
      </c>
      <c r="AB973" s="195">
        <f t="shared" ca="1" si="219"/>
        <v>1349292.289571251</v>
      </c>
      <c r="AD973" s="196">
        <f>IFERROR($G973/SUMIF($A:$A,$A973,$G:$G)*SUMIF(Summary!$A$166:$A$242,$A973,Summary!$P$166:$P$242),0)</f>
        <v>128430.72838621838</v>
      </c>
      <c r="AE973" s="197">
        <f t="shared" ca="1" si="220"/>
        <v>1220861.5611850326</v>
      </c>
      <c r="AF973" s="196">
        <f>IFERROR(G973/SUMIF(A:A,A973,G:G)*SUMIF(Summary!$A$166:$A$242,'Operations Support'!A973,Summary!$Q$166:$Q$242),0)</f>
        <v>128526.65511401894</v>
      </c>
      <c r="AG973" s="196">
        <f t="shared" ca="1" si="221"/>
        <v>1220765.634457232</v>
      </c>
      <c r="AI973" s="196">
        <f>IFERROR($G973/SUMIF($A:$A,$A973,$G:$G)*SUMIF(Summary!$A$247:$A$283,$A973,Summary!$P$247:$P$283),0)</f>
        <v>23422.55990454488</v>
      </c>
      <c r="AJ973" s="196">
        <f>IFERROR($G973/SUMIF($A:$A,$A973,$G:$G)*(SUMIF(Summary!$A$247:$A$283,$A973,Summary!$L$247:$L$283)+SUMIF(Summary!$A$297:$A$333,$A973,Summary!$L$297:$L$333))-AI973,0)</f>
        <v>153481.59927615224</v>
      </c>
      <c r="AK973" s="196">
        <f>IFERROR($G973/SUMIF($A:$A,$A973,$G:$G)*SUMIF(Summary!$A$247:$A$283,$A973,Summary!$Q$247:$Q$283),0)</f>
        <v>23440.054545870888</v>
      </c>
      <c r="AL973" s="196">
        <f>IFERROR($G973/SUMIF($A:$A,$A973,$G:$G)*(SUMIF(Summary!$A$247:$A$283,$A973,Summary!$L$247:$L$283)+SUMIF(Summary!$A$297:$A$333,$A973,Summary!$L$297:$L$333))-AK973,0)</f>
        <v>153464.10463482622</v>
      </c>
      <c r="AM973" s="198"/>
      <c r="AN973" s="196">
        <f t="shared" ca="1" si="222"/>
        <v>1374343.1604611848</v>
      </c>
      <c r="AO973" s="196">
        <f t="shared" ca="1" si="223"/>
        <v>1374229.7390920583</v>
      </c>
    </row>
    <row r="974" spans="1:41">
      <c r="A974" s="189">
        <v>3624</v>
      </c>
      <c r="B974" s="203">
        <v>2</v>
      </c>
      <c r="C974" s="191" t="s">
        <v>223</v>
      </c>
      <c r="D974" s="192">
        <f t="shared" si="210"/>
        <v>7504</v>
      </c>
      <c r="E974" s="192">
        <f t="shared" si="211"/>
        <v>5153</v>
      </c>
      <c r="F974" s="192">
        <f t="shared" si="212"/>
        <v>0</v>
      </c>
      <c r="G974" s="193">
        <f t="shared" si="213"/>
        <v>12657</v>
      </c>
      <c r="H974" s="194">
        <v>3174</v>
      </c>
      <c r="I974" s="194">
        <v>2334</v>
      </c>
      <c r="J974" s="194">
        <v>0</v>
      </c>
      <c r="K974" s="193">
        <f t="shared" si="214"/>
        <v>5508</v>
      </c>
      <c r="L974" s="194">
        <v>3781</v>
      </c>
      <c r="M974" s="194">
        <v>2519</v>
      </c>
      <c r="N974" s="194">
        <v>0</v>
      </c>
      <c r="O974" s="193">
        <f t="shared" si="215"/>
        <v>6300</v>
      </c>
      <c r="P974" s="194">
        <v>549</v>
      </c>
      <c r="Q974" s="194">
        <v>300</v>
      </c>
      <c r="R974" s="194">
        <v>0</v>
      </c>
      <c r="S974" s="193">
        <f t="shared" si="216"/>
        <v>849</v>
      </c>
      <c r="T974" s="193">
        <f t="shared" si="217"/>
        <v>421.9</v>
      </c>
      <c r="U974" s="193">
        <f ca="1">OFFSET('Expenditure Study'!$B$7,'Operations Support'!$C974,'Operations Support'!$B974)*$G974</f>
        <v>24048.3</v>
      </c>
      <c r="V974" s="199">
        <f ca="1">U974*'Expenditure Study'!$B$31</f>
        <v>1420850.05683264</v>
      </c>
      <c r="W974" s="199">
        <f ca="1">IF(A974=10298,1.51,1)*IF($B974&lt;3,$D974*'Expenditure Study'!$B$32*OFFSET('Expenditure Study'!$B$7,'Operations Support'!$C974,'Operations Support'!$B974),0)</f>
        <v>1425.7600000000002</v>
      </c>
      <c r="X974" s="200">
        <f ca="1">W974*'Expenditure Study'!$B$31</f>
        <v>84238.435857408011</v>
      </c>
      <c r="Y974" s="199">
        <f ca="1">U974*'Expenditure Study'!$B$31</f>
        <v>1420850.05683264</v>
      </c>
      <c r="Z974" s="200">
        <f ca="1">W974*'Expenditure Study'!$B$31</f>
        <v>84238.435857408011</v>
      </c>
      <c r="AA974" s="195">
        <f t="shared" ca="1" si="218"/>
        <v>1505088.4926900479</v>
      </c>
      <c r="AB974" s="195">
        <f t="shared" ca="1" si="219"/>
        <v>1505088.4926900479</v>
      </c>
      <c r="AD974" s="196">
        <f>IFERROR($G974/SUMIF($A:$A,$A974,$G:$G)*SUMIF(Summary!$A$166:$A$242,$A974,Summary!$P$166:$P$242),0)</f>
        <v>203091.92018795179</v>
      </c>
      <c r="AE974" s="197">
        <f t="shared" ca="1" si="220"/>
        <v>1301996.5725020962</v>
      </c>
      <c r="AF974" s="196">
        <f>IFERROR(G974/SUMIF(A:A,A974,G:G)*SUMIF(Summary!$A$166:$A$242,'Operations Support'!A974,Summary!$Q$166:$Q$242),0)</f>
        <v>203243.61241605919</v>
      </c>
      <c r="AG974" s="196">
        <f t="shared" ca="1" si="221"/>
        <v>1301844.8802739887</v>
      </c>
      <c r="AI974" s="196">
        <f>IFERROR($G974/SUMIF($A:$A,$A974,$G:$G)*SUMIF(Summary!$A$247:$A$283,$A974,Summary!$P$247:$P$283),0)</f>
        <v>37038.898139908117</v>
      </c>
      <c r="AJ974" s="196">
        <f>IFERROR($G974/SUMIF($A:$A,$A974,$G:$G)*(SUMIF(Summary!$A$247:$A$283,$A974,Summary!$L$247:$L$283)+SUMIF(Summary!$A$297:$A$333,$A974,Summary!$L$297:$L$333))-AI974,0)</f>
        <v>242705.72239358557</v>
      </c>
      <c r="AK974" s="196">
        <f>IFERROR($G974/SUMIF($A:$A,$A974,$G:$G)*SUMIF(Summary!$A$247:$A$283,$A974,Summary!$Q$247:$Q$283),0)</f>
        <v>37066.563016877539</v>
      </c>
      <c r="AL974" s="196">
        <f>IFERROR($G974/SUMIF($A:$A,$A974,$G:$G)*(SUMIF(Summary!$A$247:$A$283,$A974,Summary!$L$247:$L$283)+SUMIF(Summary!$A$297:$A$333,$A974,Summary!$L$297:$L$333))-AK974,0)</f>
        <v>242678.05751661616</v>
      </c>
      <c r="AM974" s="198"/>
      <c r="AN974" s="196">
        <f t="shared" ca="1" si="222"/>
        <v>1544702.2948956818</v>
      </c>
      <c r="AO974" s="196">
        <f t="shared" ca="1" si="223"/>
        <v>1544522.9377906048</v>
      </c>
    </row>
    <row r="975" spans="1:41">
      <c r="A975" s="189">
        <v>3624</v>
      </c>
      <c r="B975" s="203">
        <v>2</v>
      </c>
      <c r="C975" s="191" t="s">
        <v>224</v>
      </c>
      <c r="D975" s="192">
        <f t="shared" si="210"/>
        <v>4275</v>
      </c>
      <c r="E975" s="192">
        <f t="shared" si="211"/>
        <v>926</v>
      </c>
      <c r="F975" s="192">
        <f t="shared" si="212"/>
        <v>0</v>
      </c>
      <c r="G975" s="193">
        <f t="shared" si="213"/>
        <v>5201</v>
      </c>
      <c r="H975" s="194">
        <v>1926</v>
      </c>
      <c r="I975" s="194">
        <v>486</v>
      </c>
      <c r="J975" s="194">
        <v>0</v>
      </c>
      <c r="K975" s="193">
        <f t="shared" si="214"/>
        <v>2412</v>
      </c>
      <c r="L975" s="194">
        <v>1694</v>
      </c>
      <c r="M975" s="194">
        <v>349</v>
      </c>
      <c r="N975" s="194">
        <v>0</v>
      </c>
      <c r="O975" s="193">
        <f t="shared" si="215"/>
        <v>2043</v>
      </c>
      <c r="P975" s="194">
        <v>655</v>
      </c>
      <c r="Q975" s="194">
        <v>91</v>
      </c>
      <c r="R975" s="194">
        <v>0</v>
      </c>
      <c r="S975" s="193">
        <f t="shared" si="216"/>
        <v>746</v>
      </c>
      <c r="T975" s="193">
        <f t="shared" si="217"/>
        <v>173.36666666666667</v>
      </c>
      <c r="U975" s="193">
        <f ca="1">OFFSET('Expenditure Study'!$B$7,'Operations Support'!$C975,'Operations Support'!$B975)*$G975</f>
        <v>11806.27</v>
      </c>
      <c r="V975" s="199">
        <f ca="1">U975*'Expenditure Study'!$B$31</f>
        <v>697551.98498361604</v>
      </c>
      <c r="W975" s="199">
        <f ca="1">IF(A975=10298,1.51,1)*IF($B975&lt;3,$D975*'Expenditure Study'!$B$32*OFFSET('Expenditure Study'!$B$7,'Operations Support'!$C975,'Operations Support'!$B975),0)</f>
        <v>970.42499999999995</v>
      </c>
      <c r="X975" s="200">
        <f ca="1">W975*'Expenditure Study'!$B$31</f>
        <v>57335.795727839999</v>
      </c>
      <c r="Y975" s="199">
        <f ca="1">U975*'Expenditure Study'!$B$31</f>
        <v>697551.98498361604</v>
      </c>
      <c r="Z975" s="200">
        <f ca="1">W975*'Expenditure Study'!$B$31</f>
        <v>57335.795727839999</v>
      </c>
      <c r="AA975" s="195">
        <f t="shared" ca="1" si="218"/>
        <v>754887.78071145609</v>
      </c>
      <c r="AB975" s="195">
        <f t="shared" ca="1" si="219"/>
        <v>754887.78071145609</v>
      </c>
      <c r="AD975" s="196">
        <f>IFERROR($G975/SUMIF($A:$A,$A975,$G:$G)*SUMIF(Summary!$A$166:$A$242,$A975,Summary!$P$166:$P$242),0)</f>
        <v>83454.30014201923</v>
      </c>
      <c r="AE975" s="197">
        <f t="shared" ca="1" si="220"/>
        <v>671433.48056943691</v>
      </c>
      <c r="AF975" s="196">
        <f>IFERROR(G975/SUMIF(A:A,A975,G:G)*SUMIF(Summary!$A$166:$A$242,'Operations Support'!A975,Summary!$Q$166:$Q$242),0)</f>
        <v>83516.633339331907</v>
      </c>
      <c r="AG975" s="196">
        <f t="shared" ca="1" si="221"/>
        <v>671371.14737212413</v>
      </c>
      <c r="AI975" s="196">
        <f>IFERROR($G975/SUMIF($A:$A,$A975,$G:$G)*SUMIF(Summary!$A$247:$A$283,$A975,Summary!$P$247:$P$283),0)</f>
        <v>15219.981767058711</v>
      </c>
      <c r="AJ975" s="196">
        <f>IFERROR($G975/SUMIF($A:$A,$A975,$G:$G)*(SUMIF(Summary!$A$247:$A$283,$A975,Summary!$L$247:$L$283)+SUMIF(Summary!$A$297:$A$333,$A975,Summary!$L$297:$L$333))-AI975,0)</f>
        <v>99732.358550133416</v>
      </c>
      <c r="AK975" s="196">
        <f>IFERROR($G975/SUMIF($A:$A,$A975,$G:$G)*SUMIF(Summary!$A$247:$A$283,$A975,Summary!$Q$247:$Q$283),0)</f>
        <v>15231.349786740942</v>
      </c>
      <c r="AL975" s="196">
        <f>IFERROR($G975/SUMIF($A:$A,$A975,$G:$G)*(SUMIF(Summary!$A$247:$A$283,$A975,Summary!$L$247:$L$283)+SUMIF(Summary!$A$297:$A$333,$A975,Summary!$L$297:$L$333))-AK975,0)</f>
        <v>99720.990530451178</v>
      </c>
      <c r="AM975" s="198"/>
      <c r="AN975" s="196">
        <f t="shared" ca="1" si="222"/>
        <v>771165.83911957033</v>
      </c>
      <c r="AO975" s="196">
        <f t="shared" ca="1" si="223"/>
        <v>771092.13790257531</v>
      </c>
    </row>
    <row r="976" spans="1:41">
      <c r="A976" s="189">
        <v>3624</v>
      </c>
      <c r="B976" s="203">
        <v>2</v>
      </c>
      <c r="C976" s="191" t="s">
        <v>225</v>
      </c>
      <c r="D976" s="192">
        <f t="shared" si="210"/>
        <v>1563</v>
      </c>
      <c r="E976" s="192">
        <f t="shared" si="211"/>
        <v>594</v>
      </c>
      <c r="F976" s="192">
        <f t="shared" si="212"/>
        <v>0</v>
      </c>
      <c r="G976" s="193">
        <f t="shared" si="213"/>
        <v>2157</v>
      </c>
      <c r="H976" s="194">
        <v>714</v>
      </c>
      <c r="I976" s="194">
        <v>285</v>
      </c>
      <c r="J976" s="194">
        <v>0</v>
      </c>
      <c r="K976" s="193">
        <f t="shared" si="214"/>
        <v>999</v>
      </c>
      <c r="L976" s="194">
        <v>696</v>
      </c>
      <c r="M976" s="194">
        <v>288</v>
      </c>
      <c r="N976" s="194">
        <v>0</v>
      </c>
      <c r="O976" s="193">
        <f t="shared" si="215"/>
        <v>984</v>
      </c>
      <c r="P976" s="194">
        <v>153</v>
      </c>
      <c r="Q976" s="194">
        <v>21</v>
      </c>
      <c r="R976" s="194">
        <v>0</v>
      </c>
      <c r="S976" s="193">
        <f t="shared" si="216"/>
        <v>174</v>
      </c>
      <c r="T976" s="193">
        <f t="shared" si="217"/>
        <v>71.900000000000006</v>
      </c>
      <c r="U976" s="193">
        <f ca="1">OFFSET('Expenditure Study'!$B$7,'Operations Support'!$C976,'Operations Support'!$B976)*$G976</f>
        <v>6039.5999999999995</v>
      </c>
      <c r="V976" s="199">
        <f ca="1">U976*'Expenditure Study'!$B$31</f>
        <v>356838.77875967999</v>
      </c>
      <c r="W976" s="199">
        <f ca="1">IF(A976=10298,1.51,1)*IF($B976&lt;3,$D976*'Expenditure Study'!$B$32*OFFSET('Expenditure Study'!$B$7,'Operations Support'!$C976,'Operations Support'!$B976),0)</f>
        <v>437.64</v>
      </c>
      <c r="X976" s="200">
        <f ca="1">W976*'Expenditure Study'!$B$31</f>
        <v>25857.163245312</v>
      </c>
      <c r="Y976" s="199">
        <f ca="1">U976*'Expenditure Study'!$B$31</f>
        <v>356838.77875967999</v>
      </c>
      <c r="Z976" s="200">
        <f ca="1">W976*'Expenditure Study'!$B$31</f>
        <v>25857.163245312</v>
      </c>
      <c r="AA976" s="195">
        <f t="shared" ca="1" si="218"/>
        <v>382695.94200499199</v>
      </c>
      <c r="AB976" s="195">
        <f t="shared" ca="1" si="219"/>
        <v>382695.94200499199</v>
      </c>
      <c r="AD976" s="196">
        <f>IFERROR($G976/SUMIF($A:$A,$A976,$G:$G)*SUMIF(Summary!$A$166:$A$242,$A976,Summary!$P$166:$P$242),0)</f>
        <v>34610.829726270997</v>
      </c>
      <c r="AE976" s="197">
        <f t="shared" ca="1" si="220"/>
        <v>348085.112278721</v>
      </c>
      <c r="AF976" s="196">
        <f>IFERROR(G976/SUMIF(A:A,A976,G:G)*SUMIF(Summary!$A$166:$A$242,'Operations Support'!A976,Summary!$Q$166:$Q$242),0)</f>
        <v>34636.681044595054</v>
      </c>
      <c r="AG976" s="196">
        <f t="shared" ca="1" si="221"/>
        <v>348059.26096039696</v>
      </c>
      <c r="AI976" s="196">
        <f>IFERROR($G976/SUMIF($A:$A,$A976,$G:$G)*SUMIF(Summary!$A$247:$A$283,$A976,Summary!$P$247:$P$283),0)</f>
        <v>6312.1516384436909</v>
      </c>
      <c r="AJ976" s="196">
        <f>IFERROR($G976/SUMIF($A:$A,$A976,$G:$G)*(SUMIF(Summary!$A$247:$A$283,$A976,Summary!$L$247:$L$283)+SUMIF(Summary!$A$297:$A$333,$A976,Summary!$L$297:$L$333))-AI976,0)</f>
        <v>41361.795307178952</v>
      </c>
      <c r="AK976" s="196">
        <f>IFERROR($G976/SUMIF($A:$A,$A976,$G:$G)*SUMIF(Summary!$A$247:$A$283,$A976,Summary!$Q$247:$Q$283),0)</f>
        <v>6316.866273793541</v>
      </c>
      <c r="AL976" s="196">
        <f>IFERROR($G976/SUMIF($A:$A,$A976,$G:$G)*(SUMIF(Summary!$A$247:$A$283,$A976,Summary!$L$247:$L$283)+SUMIF(Summary!$A$297:$A$333,$A976,Summary!$L$297:$L$333))-AK976,0)</f>
        <v>41357.080671829099</v>
      </c>
      <c r="AM976" s="198"/>
      <c r="AN976" s="196">
        <f t="shared" ca="1" si="222"/>
        <v>389446.90758589993</v>
      </c>
      <c r="AO976" s="196">
        <f t="shared" ca="1" si="223"/>
        <v>389416.34163222607</v>
      </c>
    </row>
    <row r="977" spans="1:41">
      <c r="A977" s="189">
        <v>3624</v>
      </c>
      <c r="B977" s="203">
        <v>2</v>
      </c>
      <c r="C977" s="191" t="s">
        <v>226</v>
      </c>
      <c r="D977" s="192">
        <f t="shared" si="210"/>
        <v>2634</v>
      </c>
      <c r="E977" s="192">
        <f t="shared" si="211"/>
        <v>2533</v>
      </c>
      <c r="F977" s="192">
        <f t="shared" si="212"/>
        <v>0</v>
      </c>
      <c r="G977" s="193">
        <f t="shared" si="213"/>
        <v>5167</v>
      </c>
      <c r="H977" s="194">
        <v>1095</v>
      </c>
      <c r="I977" s="194">
        <v>1159</v>
      </c>
      <c r="J977" s="194">
        <v>0</v>
      </c>
      <c r="K977" s="193">
        <f t="shared" si="214"/>
        <v>2254</v>
      </c>
      <c r="L977" s="194">
        <v>750</v>
      </c>
      <c r="M977" s="194">
        <v>1224</v>
      </c>
      <c r="N977" s="194">
        <v>0</v>
      </c>
      <c r="O977" s="193">
        <f t="shared" si="215"/>
        <v>1974</v>
      </c>
      <c r="P977" s="194">
        <v>789</v>
      </c>
      <c r="Q977" s="194">
        <v>150</v>
      </c>
      <c r="R977" s="194">
        <v>0</v>
      </c>
      <c r="S977" s="193">
        <f t="shared" si="216"/>
        <v>939</v>
      </c>
      <c r="T977" s="193">
        <f t="shared" si="217"/>
        <v>172.23333333333332</v>
      </c>
      <c r="U977" s="193">
        <f ca="1">OFFSET('Expenditure Study'!$B$7,'Operations Support'!$C977,'Operations Support'!$B977)*$G977</f>
        <v>9300.6</v>
      </c>
      <c r="V977" s="199">
        <f ca="1">U977*'Expenditure Study'!$B$31</f>
        <v>549509.03134848003</v>
      </c>
      <c r="W977" s="199">
        <f ca="1">IF(A977=10298,1.51,1)*IF($B977&lt;3,$D977*'Expenditure Study'!$B$32*OFFSET('Expenditure Study'!$B$7,'Operations Support'!$C977,'Operations Support'!$B977),0)</f>
        <v>474.12000000000006</v>
      </c>
      <c r="X977" s="200">
        <f ca="1">W977*'Expenditure Study'!$B$31</f>
        <v>28012.517680896002</v>
      </c>
      <c r="Y977" s="199">
        <f ca="1">U977*'Expenditure Study'!$B$31</f>
        <v>549509.03134848003</v>
      </c>
      <c r="Z977" s="200">
        <f ca="1">W977*'Expenditure Study'!$B$31</f>
        <v>28012.517680896002</v>
      </c>
      <c r="AA977" s="195">
        <f t="shared" ca="1" si="218"/>
        <v>577521.54902937601</v>
      </c>
      <c r="AB977" s="195">
        <f t="shared" ca="1" si="219"/>
        <v>577521.54902937601</v>
      </c>
      <c r="AD977" s="196">
        <f>IFERROR($G977/SUMIF($A:$A,$A977,$G:$G)*SUMIF(Summary!$A$166:$A$242,$A977,Summary!$P$166:$P$242),0)</f>
        <v>82908.742325286163</v>
      </c>
      <c r="AE977" s="197">
        <f t="shared" ca="1" si="220"/>
        <v>494612.80670408986</v>
      </c>
      <c r="AF977" s="196">
        <f>IFERROR(G977/SUMIF(A:A,A977,G:G)*SUMIF(Summary!$A$166:$A$242,'Operations Support'!A977,Summary!$Q$166:$Q$242),0)</f>
        <v>82970.668037748095</v>
      </c>
      <c r="AG977" s="196">
        <f t="shared" ca="1" si="221"/>
        <v>494550.88099162793</v>
      </c>
      <c r="AI977" s="196">
        <f>IFERROR($G977/SUMIF($A:$A,$A977,$G:$G)*SUMIF(Summary!$A$247:$A$283,$A977,Summary!$P$247:$P$283),0)</f>
        <v>15120.485635530158</v>
      </c>
      <c r="AJ977" s="196">
        <f>IFERROR($G977/SUMIF($A:$A,$A977,$G:$G)*(SUMIF(Summary!$A$247:$A$283,$A977,Summary!$L$247:$L$283)+SUMIF(Summary!$A$297:$A$333,$A977,Summary!$L$297:$L$333))-AI977,0)</f>
        <v>99080.387738615507</v>
      </c>
      <c r="AK977" s="196">
        <f>IFERROR($G977/SUMIF($A:$A,$A977,$G:$G)*SUMIF(Summary!$A$247:$A$283,$A977,Summary!$Q$247:$Q$283),0)</f>
        <v>15131.779340144287</v>
      </c>
      <c r="AL977" s="196">
        <f>IFERROR($G977/SUMIF($A:$A,$A977,$G:$G)*(SUMIF(Summary!$A$247:$A$283,$A977,Summary!$L$247:$L$283)+SUMIF(Summary!$A$297:$A$333,$A977,Summary!$L$297:$L$333))-AK977,0)</f>
        <v>99069.094034001377</v>
      </c>
      <c r="AM977" s="198"/>
      <c r="AN977" s="196">
        <f t="shared" ca="1" si="222"/>
        <v>593693.19444270537</v>
      </c>
      <c r="AO977" s="196">
        <f t="shared" ca="1" si="223"/>
        <v>593619.97502562928</v>
      </c>
    </row>
    <row r="978" spans="1:41">
      <c r="A978" s="189">
        <v>3624</v>
      </c>
      <c r="B978" s="203">
        <v>2</v>
      </c>
      <c r="C978" s="191" t="s">
        <v>227</v>
      </c>
      <c r="D978" s="192">
        <f t="shared" si="210"/>
        <v>0</v>
      </c>
      <c r="E978" s="192">
        <f t="shared" si="211"/>
        <v>0</v>
      </c>
      <c r="F978" s="192">
        <f t="shared" si="212"/>
        <v>0</v>
      </c>
      <c r="G978" s="193">
        <f t="shared" si="213"/>
        <v>0</v>
      </c>
      <c r="H978" s="194">
        <v>0</v>
      </c>
      <c r="I978" s="194">
        <v>0</v>
      </c>
      <c r="J978" s="194">
        <v>0</v>
      </c>
      <c r="K978" s="193">
        <f t="shared" si="214"/>
        <v>0</v>
      </c>
      <c r="L978" s="194">
        <v>0</v>
      </c>
      <c r="M978" s="194">
        <v>0</v>
      </c>
      <c r="N978" s="194">
        <v>0</v>
      </c>
      <c r="O978" s="193">
        <f t="shared" si="215"/>
        <v>0</v>
      </c>
      <c r="P978" s="194">
        <v>0</v>
      </c>
      <c r="Q978" s="194">
        <v>0</v>
      </c>
      <c r="R978" s="194">
        <v>0</v>
      </c>
      <c r="S978" s="193">
        <f t="shared" si="216"/>
        <v>0</v>
      </c>
      <c r="T978" s="193">
        <f t="shared" si="217"/>
        <v>0</v>
      </c>
      <c r="U978" s="193">
        <f ca="1">OFFSET('Expenditure Study'!$B$7,'Operations Support'!$C978,'Operations Support'!$B978)*$G978</f>
        <v>0</v>
      </c>
      <c r="V978" s="199">
        <f ca="1">U978*'Expenditure Study'!$B$31</f>
        <v>0</v>
      </c>
      <c r="W978" s="199">
        <f ca="1">IF(A978=10298,1.51,1)*IF($B978&lt;3,$D978*'Expenditure Study'!$B$32*OFFSET('Expenditure Study'!$B$7,'Operations Support'!$C978,'Operations Support'!$B978),0)</f>
        <v>0</v>
      </c>
      <c r="X978" s="200">
        <f ca="1">W978*'Expenditure Study'!$B$31</f>
        <v>0</v>
      </c>
      <c r="Y978" s="199">
        <f ca="1">U978*'Expenditure Study'!$B$31</f>
        <v>0</v>
      </c>
      <c r="Z978" s="200">
        <f ca="1">W978*'Expenditure Study'!$B$31</f>
        <v>0</v>
      </c>
      <c r="AA978" s="195">
        <f t="shared" ca="1" si="218"/>
        <v>0</v>
      </c>
      <c r="AB978" s="195">
        <f t="shared" ca="1" si="219"/>
        <v>0</v>
      </c>
      <c r="AD978" s="196">
        <f>IFERROR($G978/SUMIF($A:$A,$A978,$G:$G)*SUMIF(Summary!$A$166:$A$242,$A978,Summary!$P$166:$P$242),0)</f>
        <v>0</v>
      </c>
      <c r="AE978" s="197">
        <f t="shared" ca="1" si="220"/>
        <v>0</v>
      </c>
      <c r="AF978" s="196">
        <f>IFERROR(G978/SUMIF(A:A,A978,G:G)*SUMIF(Summary!$A$166:$A$242,'Operations Support'!A978,Summary!$Q$166:$Q$242),0)</f>
        <v>0</v>
      </c>
      <c r="AG978" s="196">
        <f t="shared" ca="1" si="221"/>
        <v>0</v>
      </c>
      <c r="AI978" s="196">
        <f>IFERROR($G978/SUMIF($A:$A,$A978,$G:$G)*SUMIF(Summary!$A$247:$A$283,$A978,Summary!$P$247:$P$283),0)</f>
        <v>0</v>
      </c>
      <c r="AJ978" s="196">
        <f>IFERROR($G978/SUMIF($A:$A,$A978,$G:$G)*(SUMIF(Summary!$A$247:$A$283,$A978,Summary!$L$247:$L$283)+SUMIF(Summary!$A$297:$A$333,$A978,Summary!$L$297:$L$333))-AI978,0)</f>
        <v>0</v>
      </c>
      <c r="AK978" s="196">
        <f>IFERROR($G978/SUMIF($A:$A,$A978,$G:$G)*SUMIF(Summary!$A$247:$A$283,$A978,Summary!$Q$247:$Q$283),0)</f>
        <v>0</v>
      </c>
      <c r="AL978" s="196">
        <f>IFERROR($G978/SUMIF($A:$A,$A978,$G:$G)*(SUMIF(Summary!$A$247:$A$283,$A978,Summary!$L$247:$L$283)+SUMIF(Summary!$A$297:$A$333,$A978,Summary!$L$297:$L$333))-AK978,0)</f>
        <v>0</v>
      </c>
      <c r="AM978" s="198"/>
      <c r="AN978" s="196">
        <f t="shared" ca="1" si="222"/>
        <v>0</v>
      </c>
      <c r="AO978" s="196">
        <f t="shared" ca="1" si="223"/>
        <v>0</v>
      </c>
    </row>
    <row r="979" spans="1:41">
      <c r="A979" s="189">
        <v>3624</v>
      </c>
      <c r="B979" s="203">
        <v>2</v>
      </c>
      <c r="C979" s="191" t="s">
        <v>228</v>
      </c>
      <c r="D979" s="192">
        <f t="shared" si="210"/>
        <v>1478</v>
      </c>
      <c r="E979" s="192">
        <f t="shared" si="211"/>
        <v>1395</v>
      </c>
      <c r="F979" s="192">
        <f t="shared" si="212"/>
        <v>0</v>
      </c>
      <c r="G979" s="193">
        <f t="shared" si="213"/>
        <v>2873</v>
      </c>
      <c r="H979" s="194">
        <v>497</v>
      </c>
      <c r="I979" s="194">
        <v>900</v>
      </c>
      <c r="J979" s="194">
        <v>0</v>
      </c>
      <c r="K979" s="193">
        <f t="shared" si="214"/>
        <v>1397</v>
      </c>
      <c r="L979" s="194">
        <v>924</v>
      </c>
      <c r="M979" s="194">
        <v>495</v>
      </c>
      <c r="N979" s="194">
        <v>0</v>
      </c>
      <c r="O979" s="193">
        <f t="shared" si="215"/>
        <v>1419</v>
      </c>
      <c r="P979" s="194">
        <v>57</v>
      </c>
      <c r="Q979" s="194">
        <v>0</v>
      </c>
      <c r="R979" s="194">
        <v>0</v>
      </c>
      <c r="S979" s="193">
        <f t="shared" si="216"/>
        <v>57</v>
      </c>
      <c r="T979" s="193">
        <f t="shared" si="217"/>
        <v>95.766666666666666</v>
      </c>
      <c r="U979" s="193">
        <f ca="1">OFFSET('Expenditure Study'!$B$7,'Operations Support'!$C979,'Operations Support'!$B979)*$G979</f>
        <v>5487.4299999999994</v>
      </c>
      <c r="V979" s="199">
        <f ca="1">U979*'Expenditure Study'!$B$31</f>
        <v>324214.81881734397</v>
      </c>
      <c r="W979" s="199">
        <f ca="1">IF(A979=10298,1.51,1)*IF($B979&lt;3,$D979*'Expenditure Study'!$B$32*OFFSET('Expenditure Study'!$B$7,'Operations Support'!$C979,'Operations Support'!$B979),0)</f>
        <v>282.298</v>
      </c>
      <c r="X979" s="200">
        <f ca="1">W979*'Expenditure Study'!$B$31</f>
        <v>16679.0637734784</v>
      </c>
      <c r="Y979" s="199">
        <f ca="1">U979*'Expenditure Study'!$B$31</f>
        <v>324214.81881734397</v>
      </c>
      <c r="Z979" s="200">
        <f ca="1">W979*'Expenditure Study'!$B$31</f>
        <v>16679.0637734784</v>
      </c>
      <c r="AA979" s="195">
        <f t="shared" ca="1" si="218"/>
        <v>340893.88259082235</v>
      </c>
      <c r="AB979" s="195">
        <f t="shared" ca="1" si="219"/>
        <v>340893.88259082235</v>
      </c>
      <c r="AD979" s="196">
        <f>IFERROR($G979/SUMIF($A:$A,$A979,$G:$G)*SUMIF(Summary!$A$166:$A$242,$A979,Summary!$P$166:$P$242),0)</f>
        <v>46099.635513943707</v>
      </c>
      <c r="AE979" s="197">
        <f t="shared" ca="1" si="220"/>
        <v>294794.24707687867</v>
      </c>
      <c r="AF979" s="196">
        <f>IFERROR(G979/SUMIF(A:A,A979,G:G)*SUMIF(Summary!$A$166:$A$242,'Operations Support'!A979,Summary!$Q$166:$Q$242),0)</f>
        <v>46134.067983830137</v>
      </c>
      <c r="AG979" s="196">
        <f t="shared" ca="1" si="221"/>
        <v>294759.81460699224</v>
      </c>
      <c r="AI979" s="196">
        <f>IFERROR($G979/SUMIF($A:$A,$A979,$G:$G)*SUMIF(Summary!$A$247:$A$283,$A979,Summary!$P$247:$P$283),0)</f>
        <v>8407.4231141625987</v>
      </c>
      <c r="AJ979" s="196">
        <f>IFERROR($G979/SUMIF($A:$A,$A979,$G:$G)*(SUMIF(Summary!$A$247:$A$283,$A979,Summary!$L$247:$L$283)+SUMIF(Summary!$A$297:$A$333,$A979,Summary!$L$297:$L$333))-AI979,0)</f>
        <v>55091.533573261542</v>
      </c>
      <c r="AK979" s="196">
        <f>IFERROR($G979/SUMIF($A:$A,$A979,$G:$G)*SUMIF(Summary!$A$247:$A$283,$A979,Summary!$Q$247:$Q$283),0)</f>
        <v>8413.7027374171739</v>
      </c>
      <c r="AL979" s="196">
        <f>IFERROR($G979/SUMIF($A:$A,$A979,$G:$G)*(SUMIF(Summary!$A$247:$A$283,$A979,Summary!$L$247:$L$283)+SUMIF(Summary!$A$297:$A$333,$A979,Summary!$L$297:$L$333))-AK979,0)</f>
        <v>55085.253950006969</v>
      </c>
      <c r="AM979" s="198"/>
      <c r="AN979" s="196">
        <f t="shared" ca="1" si="222"/>
        <v>349885.78065014019</v>
      </c>
      <c r="AO979" s="196">
        <f t="shared" ca="1" si="223"/>
        <v>349845.06855699921</v>
      </c>
    </row>
    <row r="980" spans="1:41" s="201" customFormat="1">
      <c r="A980" s="189">
        <v>3624</v>
      </c>
      <c r="B980" s="203">
        <v>2</v>
      </c>
      <c r="C980" s="191" t="s">
        <v>229</v>
      </c>
      <c r="D980" s="192">
        <f t="shared" si="210"/>
        <v>0</v>
      </c>
      <c r="E980" s="192">
        <f t="shared" si="211"/>
        <v>0</v>
      </c>
      <c r="F980" s="192">
        <f t="shared" si="212"/>
        <v>0</v>
      </c>
      <c r="G980" s="193">
        <f t="shared" si="213"/>
        <v>0</v>
      </c>
      <c r="H980" s="194">
        <v>0</v>
      </c>
      <c r="I980" s="194">
        <v>0</v>
      </c>
      <c r="J980" s="194">
        <v>0</v>
      </c>
      <c r="K980" s="193">
        <f t="shared" si="214"/>
        <v>0</v>
      </c>
      <c r="L980" s="194">
        <v>0</v>
      </c>
      <c r="M980" s="194">
        <v>0</v>
      </c>
      <c r="N980" s="194">
        <v>0</v>
      </c>
      <c r="O980" s="193">
        <f t="shared" si="215"/>
        <v>0</v>
      </c>
      <c r="P980" s="194">
        <v>0</v>
      </c>
      <c r="Q980" s="194">
        <v>0</v>
      </c>
      <c r="R980" s="194">
        <v>0</v>
      </c>
      <c r="S980" s="193">
        <f t="shared" si="216"/>
        <v>0</v>
      </c>
      <c r="T980" s="193">
        <f t="shared" si="217"/>
        <v>0</v>
      </c>
      <c r="U980" s="193">
        <f ca="1">OFFSET('Expenditure Study'!$B$7,'Operations Support'!$C980,'Operations Support'!$B980)*$G980</f>
        <v>0</v>
      </c>
      <c r="V980" s="199">
        <f ca="1">U980*'Expenditure Study'!$B$31</f>
        <v>0</v>
      </c>
      <c r="W980" s="199">
        <f ca="1">IF(A980=10298,1.51,1)*IF($B980&lt;3,$D980*'Expenditure Study'!$B$32*OFFSET('Expenditure Study'!$B$7,'Operations Support'!$C980,'Operations Support'!$B980),0)</f>
        <v>0</v>
      </c>
      <c r="X980" s="200">
        <f ca="1">W980*'Expenditure Study'!$B$31</f>
        <v>0</v>
      </c>
      <c r="Y980" s="199">
        <f ca="1">U980*'Expenditure Study'!$B$31</f>
        <v>0</v>
      </c>
      <c r="Z980" s="200">
        <f ca="1">W980*'Expenditure Study'!$B$31</f>
        <v>0</v>
      </c>
      <c r="AA980" s="195">
        <f t="shared" ca="1" si="218"/>
        <v>0</v>
      </c>
      <c r="AB980" s="195">
        <f t="shared" ca="1" si="219"/>
        <v>0</v>
      </c>
      <c r="AD980" s="196">
        <f>IFERROR($G980/SUMIF($A:$A,$A980,$G:$G)*SUMIF(Summary!$A$166:$A$242,$A980,Summary!$P$166:$P$242),0)</f>
        <v>0</v>
      </c>
      <c r="AE980" s="197">
        <f t="shared" ca="1" si="220"/>
        <v>0</v>
      </c>
      <c r="AF980" s="196">
        <f>IFERROR(G980/SUMIF(A:A,A980,G:G)*SUMIF(Summary!$A$166:$A$242,'Operations Support'!A980,Summary!$Q$166:$Q$242),0)</f>
        <v>0</v>
      </c>
      <c r="AG980" s="196">
        <f t="shared" ca="1" si="221"/>
        <v>0</v>
      </c>
      <c r="AH980" s="180"/>
      <c r="AI980" s="196">
        <f>IFERROR($G980/SUMIF($A:$A,$A980,$G:$G)*SUMIF(Summary!$A$247:$A$283,$A980,Summary!$P$247:$P$283),0)</f>
        <v>0</v>
      </c>
      <c r="AJ980" s="196">
        <f>IFERROR($G980/SUMIF($A:$A,$A980,$G:$G)*(SUMIF(Summary!$A$247:$A$283,$A980,Summary!$L$247:$L$283)+SUMIF(Summary!$A$297:$A$333,$A980,Summary!$L$297:$L$333))-AI980,0)</f>
        <v>0</v>
      </c>
      <c r="AK980" s="196">
        <f>IFERROR($G980/SUMIF($A:$A,$A980,$G:$G)*SUMIF(Summary!$A$247:$A$283,$A980,Summary!$Q$247:$Q$283),0)</f>
        <v>0</v>
      </c>
      <c r="AL980" s="196">
        <f>IFERROR($G980/SUMIF($A:$A,$A980,$G:$G)*(SUMIF(Summary!$A$247:$A$283,$A980,Summary!$L$247:$L$283)+SUMIF(Summary!$A$297:$A$333,$A980,Summary!$L$297:$L$333))-AK980,0)</f>
        <v>0</v>
      </c>
      <c r="AM980" s="198"/>
      <c r="AN980" s="196">
        <f t="shared" ca="1" si="222"/>
        <v>0</v>
      </c>
      <c r="AO980" s="196">
        <f t="shared" ca="1" si="223"/>
        <v>0</v>
      </c>
    </row>
    <row r="981" spans="1:41">
      <c r="A981" s="189">
        <v>3624</v>
      </c>
      <c r="B981" s="203">
        <v>2</v>
      </c>
      <c r="C981" s="191" t="s">
        <v>230</v>
      </c>
      <c r="D981" s="192">
        <f t="shared" si="210"/>
        <v>0</v>
      </c>
      <c r="E981" s="192">
        <f t="shared" si="211"/>
        <v>0</v>
      </c>
      <c r="F981" s="192">
        <f t="shared" si="212"/>
        <v>0</v>
      </c>
      <c r="G981" s="193">
        <f t="shared" si="213"/>
        <v>0</v>
      </c>
      <c r="H981" s="194">
        <v>0</v>
      </c>
      <c r="I981" s="194">
        <v>0</v>
      </c>
      <c r="J981" s="194">
        <v>0</v>
      </c>
      <c r="K981" s="193">
        <f t="shared" si="214"/>
        <v>0</v>
      </c>
      <c r="L981" s="194">
        <v>0</v>
      </c>
      <c r="M981" s="194">
        <v>0</v>
      </c>
      <c r="N981" s="194">
        <v>0</v>
      </c>
      <c r="O981" s="193">
        <f t="shared" si="215"/>
        <v>0</v>
      </c>
      <c r="P981" s="194">
        <v>0</v>
      </c>
      <c r="Q981" s="194">
        <v>0</v>
      </c>
      <c r="R981" s="194">
        <v>0</v>
      </c>
      <c r="S981" s="193">
        <f t="shared" si="216"/>
        <v>0</v>
      </c>
      <c r="T981" s="193">
        <f t="shared" si="217"/>
        <v>0</v>
      </c>
      <c r="U981" s="193">
        <f ca="1">OFFSET('Expenditure Study'!$B$7,'Operations Support'!$C981,'Operations Support'!$B981)*$G981</f>
        <v>0</v>
      </c>
      <c r="V981" s="199">
        <f ca="1">U981*'Expenditure Study'!$B$31</f>
        <v>0</v>
      </c>
      <c r="W981" s="199">
        <f ca="1">IF(A981=10298,1.51,1)*IF($B981&lt;3,$D981*'Expenditure Study'!$B$32*OFFSET('Expenditure Study'!$B$7,'Operations Support'!$C981,'Operations Support'!$B981),0)</f>
        <v>0</v>
      </c>
      <c r="X981" s="200">
        <f ca="1">W981*'Expenditure Study'!$B$31</f>
        <v>0</v>
      </c>
      <c r="Y981" s="199">
        <f ca="1">U981*'Expenditure Study'!$B$31</f>
        <v>0</v>
      </c>
      <c r="Z981" s="200">
        <f ca="1">W981*'Expenditure Study'!$B$31</f>
        <v>0</v>
      </c>
      <c r="AA981" s="195">
        <f t="shared" ca="1" si="218"/>
        <v>0</v>
      </c>
      <c r="AB981" s="195">
        <f t="shared" ca="1" si="219"/>
        <v>0</v>
      </c>
      <c r="AD981" s="196">
        <f>IFERROR($G981/SUMIF($A:$A,$A981,$G:$G)*SUMIF(Summary!$A$166:$A$242,$A981,Summary!$P$166:$P$242),0)</f>
        <v>0</v>
      </c>
      <c r="AE981" s="197">
        <f t="shared" ca="1" si="220"/>
        <v>0</v>
      </c>
      <c r="AF981" s="196">
        <f>IFERROR(G981/SUMIF(A:A,A981,G:G)*SUMIF(Summary!$A$166:$A$242,'Operations Support'!A981,Summary!$Q$166:$Q$242),0)</f>
        <v>0</v>
      </c>
      <c r="AG981" s="196">
        <f t="shared" ca="1" si="221"/>
        <v>0</v>
      </c>
      <c r="AI981" s="196">
        <f>IFERROR($G981/SUMIF($A:$A,$A981,$G:$G)*SUMIF(Summary!$A$247:$A$283,$A981,Summary!$P$247:$P$283),0)</f>
        <v>0</v>
      </c>
      <c r="AJ981" s="196">
        <f>IFERROR($G981/SUMIF($A:$A,$A981,$G:$G)*(SUMIF(Summary!$A$247:$A$283,$A981,Summary!$L$247:$L$283)+SUMIF(Summary!$A$297:$A$333,$A981,Summary!$L$297:$L$333))-AI981,0)</f>
        <v>0</v>
      </c>
      <c r="AK981" s="196">
        <f>IFERROR($G981/SUMIF($A:$A,$A981,$G:$G)*SUMIF(Summary!$A$247:$A$283,$A981,Summary!$Q$247:$Q$283),0)</f>
        <v>0</v>
      </c>
      <c r="AL981" s="196">
        <f>IFERROR($G981/SUMIF($A:$A,$A981,$G:$G)*(SUMIF(Summary!$A$247:$A$283,$A981,Summary!$L$247:$L$283)+SUMIF(Summary!$A$297:$A$333,$A981,Summary!$L$297:$L$333))-AK981,0)</f>
        <v>0</v>
      </c>
      <c r="AM981" s="198"/>
      <c r="AN981" s="196">
        <f t="shared" ca="1" si="222"/>
        <v>0</v>
      </c>
      <c r="AO981" s="196">
        <f t="shared" ca="1" si="223"/>
        <v>0</v>
      </c>
    </row>
    <row r="982" spans="1:41">
      <c r="A982" s="189">
        <v>3624</v>
      </c>
      <c r="B982" s="203">
        <v>2</v>
      </c>
      <c r="C982" s="191" t="s">
        <v>231</v>
      </c>
      <c r="D982" s="192">
        <f t="shared" si="210"/>
        <v>0</v>
      </c>
      <c r="E982" s="192">
        <f t="shared" si="211"/>
        <v>0</v>
      </c>
      <c r="F982" s="192">
        <f t="shared" si="212"/>
        <v>0</v>
      </c>
      <c r="G982" s="193">
        <f t="shared" si="213"/>
        <v>0</v>
      </c>
      <c r="H982" s="194">
        <v>0</v>
      </c>
      <c r="I982" s="194">
        <v>0</v>
      </c>
      <c r="J982" s="194">
        <v>0</v>
      </c>
      <c r="K982" s="193">
        <f t="shared" si="214"/>
        <v>0</v>
      </c>
      <c r="L982" s="194">
        <v>0</v>
      </c>
      <c r="M982" s="194">
        <v>0</v>
      </c>
      <c r="N982" s="194">
        <v>0</v>
      </c>
      <c r="O982" s="193">
        <f t="shared" si="215"/>
        <v>0</v>
      </c>
      <c r="P982" s="194">
        <v>0</v>
      </c>
      <c r="Q982" s="194">
        <v>0</v>
      </c>
      <c r="R982" s="194">
        <v>0</v>
      </c>
      <c r="S982" s="193">
        <f t="shared" si="216"/>
        <v>0</v>
      </c>
      <c r="T982" s="193">
        <f t="shared" si="217"/>
        <v>0</v>
      </c>
      <c r="U982" s="193">
        <f ca="1">OFFSET('Expenditure Study'!$B$7,'Operations Support'!$C982,'Operations Support'!$B982)*$G982</f>
        <v>0</v>
      </c>
      <c r="V982" s="199">
        <f ca="1">U982*'Expenditure Study'!$B$31</f>
        <v>0</v>
      </c>
      <c r="W982" s="199">
        <f ca="1">IF(A982=10298,1.51,1)*IF($B982&lt;3,$D982*'Expenditure Study'!$B$32*OFFSET('Expenditure Study'!$B$7,'Operations Support'!$C982,'Operations Support'!$B982),0)</f>
        <v>0</v>
      </c>
      <c r="X982" s="200">
        <f ca="1">W982*'Expenditure Study'!$B$31</f>
        <v>0</v>
      </c>
      <c r="Y982" s="199">
        <f ca="1">U982*'Expenditure Study'!$B$31</f>
        <v>0</v>
      </c>
      <c r="Z982" s="200">
        <f ca="1">W982*'Expenditure Study'!$B$31</f>
        <v>0</v>
      </c>
      <c r="AA982" s="195">
        <f t="shared" ca="1" si="218"/>
        <v>0</v>
      </c>
      <c r="AB982" s="195">
        <f t="shared" ca="1" si="219"/>
        <v>0</v>
      </c>
      <c r="AD982" s="196">
        <f>IFERROR($G982/SUMIF($A:$A,$A982,$G:$G)*SUMIF(Summary!$A$166:$A$242,$A982,Summary!$P$166:$P$242),0)</f>
        <v>0</v>
      </c>
      <c r="AE982" s="197">
        <f t="shared" ca="1" si="220"/>
        <v>0</v>
      </c>
      <c r="AF982" s="196">
        <f>IFERROR(G982/SUMIF(A:A,A982,G:G)*SUMIF(Summary!$A$166:$A$242,'Operations Support'!A982,Summary!$Q$166:$Q$242),0)</f>
        <v>0</v>
      </c>
      <c r="AG982" s="196">
        <f t="shared" ca="1" si="221"/>
        <v>0</v>
      </c>
      <c r="AI982" s="196">
        <f>IFERROR($G982/SUMIF($A:$A,$A982,$G:$G)*SUMIF(Summary!$A$247:$A$283,$A982,Summary!$P$247:$P$283),0)</f>
        <v>0</v>
      </c>
      <c r="AJ982" s="196">
        <f>IFERROR($G982/SUMIF($A:$A,$A982,$G:$G)*(SUMIF(Summary!$A$247:$A$283,$A982,Summary!$L$247:$L$283)+SUMIF(Summary!$A$297:$A$333,$A982,Summary!$L$297:$L$333))-AI982,0)</f>
        <v>0</v>
      </c>
      <c r="AK982" s="196">
        <f>IFERROR($G982/SUMIF($A:$A,$A982,$G:$G)*SUMIF(Summary!$A$247:$A$283,$A982,Summary!$Q$247:$Q$283),0)</f>
        <v>0</v>
      </c>
      <c r="AL982" s="196">
        <f>IFERROR($G982/SUMIF($A:$A,$A982,$G:$G)*(SUMIF(Summary!$A$247:$A$283,$A982,Summary!$L$247:$L$283)+SUMIF(Summary!$A$297:$A$333,$A982,Summary!$L$297:$L$333))-AK982,0)</f>
        <v>0</v>
      </c>
      <c r="AM982" s="198"/>
      <c r="AN982" s="196">
        <f t="shared" ca="1" si="222"/>
        <v>0</v>
      </c>
      <c r="AO982" s="196">
        <f t="shared" ca="1" si="223"/>
        <v>0</v>
      </c>
    </row>
    <row r="983" spans="1:41">
      <c r="A983" s="189">
        <v>3624</v>
      </c>
      <c r="B983" s="203">
        <v>2</v>
      </c>
      <c r="C983" s="191" t="s">
        <v>232</v>
      </c>
      <c r="D983" s="192">
        <f t="shared" si="210"/>
        <v>0</v>
      </c>
      <c r="E983" s="192">
        <f t="shared" si="211"/>
        <v>0</v>
      </c>
      <c r="F983" s="192">
        <f t="shared" si="212"/>
        <v>0</v>
      </c>
      <c r="G983" s="193">
        <f t="shared" si="213"/>
        <v>0</v>
      </c>
      <c r="H983" s="194">
        <v>0</v>
      </c>
      <c r="I983" s="194">
        <v>0</v>
      </c>
      <c r="J983" s="194">
        <v>0</v>
      </c>
      <c r="K983" s="193">
        <f t="shared" si="214"/>
        <v>0</v>
      </c>
      <c r="L983" s="194">
        <v>0</v>
      </c>
      <c r="M983" s="194">
        <v>0</v>
      </c>
      <c r="N983" s="194">
        <v>0</v>
      </c>
      <c r="O983" s="193">
        <f t="shared" si="215"/>
        <v>0</v>
      </c>
      <c r="P983" s="194">
        <v>0</v>
      </c>
      <c r="Q983" s="194">
        <v>0</v>
      </c>
      <c r="R983" s="194">
        <v>0</v>
      </c>
      <c r="S983" s="193">
        <f t="shared" si="216"/>
        <v>0</v>
      </c>
      <c r="T983" s="193">
        <f t="shared" si="217"/>
        <v>0</v>
      </c>
      <c r="U983" s="193">
        <f ca="1">OFFSET('Expenditure Study'!$B$7,'Operations Support'!$C983,'Operations Support'!$B983)*$G983</f>
        <v>0</v>
      </c>
      <c r="V983" s="199">
        <f ca="1">U983*'Expenditure Study'!$B$31</f>
        <v>0</v>
      </c>
      <c r="W983" s="199">
        <f ca="1">IF(A983=10298,1.51,1)*IF($B983&lt;3,$D983*'Expenditure Study'!$B$32*OFFSET('Expenditure Study'!$B$7,'Operations Support'!$C983,'Operations Support'!$B983),0)</f>
        <v>0</v>
      </c>
      <c r="X983" s="200">
        <f ca="1">W983*'Expenditure Study'!$B$31</f>
        <v>0</v>
      </c>
      <c r="Y983" s="199">
        <f ca="1">U983*'Expenditure Study'!$B$31</f>
        <v>0</v>
      </c>
      <c r="Z983" s="200">
        <f ca="1">W983*'Expenditure Study'!$B$31</f>
        <v>0</v>
      </c>
      <c r="AA983" s="195">
        <f t="shared" ca="1" si="218"/>
        <v>0</v>
      </c>
      <c r="AB983" s="195">
        <f t="shared" ca="1" si="219"/>
        <v>0</v>
      </c>
      <c r="AD983" s="196">
        <f>IFERROR($G983/SUMIF($A:$A,$A983,$G:$G)*SUMIF(Summary!$A$166:$A$242,$A983,Summary!$P$166:$P$242),0)</f>
        <v>0</v>
      </c>
      <c r="AE983" s="197">
        <f t="shared" ca="1" si="220"/>
        <v>0</v>
      </c>
      <c r="AF983" s="196">
        <f>IFERROR(G983/SUMIF(A:A,A983,G:G)*SUMIF(Summary!$A$166:$A$242,'Operations Support'!A983,Summary!$Q$166:$Q$242),0)</f>
        <v>0</v>
      </c>
      <c r="AG983" s="196">
        <f t="shared" ca="1" si="221"/>
        <v>0</v>
      </c>
      <c r="AI983" s="196">
        <f>IFERROR($G983/SUMIF($A:$A,$A983,$G:$G)*SUMIF(Summary!$A$247:$A$283,$A983,Summary!$P$247:$P$283),0)</f>
        <v>0</v>
      </c>
      <c r="AJ983" s="196">
        <f>IFERROR($G983/SUMIF($A:$A,$A983,$G:$G)*(SUMIF(Summary!$A$247:$A$283,$A983,Summary!$L$247:$L$283)+SUMIF(Summary!$A$297:$A$333,$A983,Summary!$L$297:$L$333))-AI983,0)</f>
        <v>0</v>
      </c>
      <c r="AK983" s="196">
        <f>IFERROR($G983/SUMIF($A:$A,$A983,$G:$G)*SUMIF(Summary!$A$247:$A$283,$A983,Summary!$Q$247:$Q$283),0)</f>
        <v>0</v>
      </c>
      <c r="AL983" s="196">
        <f>IFERROR($G983/SUMIF($A:$A,$A983,$G:$G)*(SUMIF(Summary!$A$247:$A$283,$A983,Summary!$L$247:$L$283)+SUMIF(Summary!$A$297:$A$333,$A983,Summary!$L$297:$L$333))-AK983,0)</f>
        <v>0</v>
      </c>
      <c r="AM983" s="198"/>
      <c r="AN983" s="196">
        <f t="shared" ca="1" si="222"/>
        <v>0</v>
      </c>
      <c r="AO983" s="196">
        <f t="shared" ca="1" si="223"/>
        <v>0</v>
      </c>
    </row>
    <row r="984" spans="1:41">
      <c r="A984" s="189">
        <v>3624</v>
      </c>
      <c r="B984" s="203">
        <v>2</v>
      </c>
      <c r="C984" s="191" t="s">
        <v>233</v>
      </c>
      <c r="D984" s="192">
        <f t="shared" si="210"/>
        <v>3886</v>
      </c>
      <c r="E984" s="192">
        <f t="shared" si="211"/>
        <v>2151</v>
      </c>
      <c r="F984" s="192">
        <f t="shared" si="212"/>
        <v>0</v>
      </c>
      <c r="G984" s="193">
        <f t="shared" si="213"/>
        <v>6037</v>
      </c>
      <c r="H984" s="194">
        <v>1929</v>
      </c>
      <c r="I984" s="194">
        <v>966</v>
      </c>
      <c r="J984" s="194">
        <v>0</v>
      </c>
      <c r="K984" s="193">
        <f t="shared" si="214"/>
        <v>2895</v>
      </c>
      <c r="L984" s="194">
        <v>1594</v>
      </c>
      <c r="M984" s="194">
        <v>1125</v>
      </c>
      <c r="N984" s="194">
        <v>0</v>
      </c>
      <c r="O984" s="193">
        <f t="shared" si="215"/>
        <v>2719</v>
      </c>
      <c r="P984" s="194">
        <v>363</v>
      </c>
      <c r="Q984" s="194">
        <v>60</v>
      </c>
      <c r="R984" s="194">
        <v>0</v>
      </c>
      <c r="S984" s="193">
        <f t="shared" si="216"/>
        <v>423</v>
      </c>
      <c r="T984" s="193">
        <f t="shared" si="217"/>
        <v>201.23333333333332</v>
      </c>
      <c r="U984" s="193">
        <f ca="1">OFFSET('Expenditure Study'!$B$7,'Operations Support'!$C984,'Operations Support'!$B984)*$G984</f>
        <v>9719.57</v>
      </c>
      <c r="V984" s="199">
        <f ca="1">U984*'Expenditure Study'!$B$31</f>
        <v>574263.111608256</v>
      </c>
      <c r="W984" s="199">
        <f ca="1">IF(A984=10298,1.51,1)*IF($B984&lt;3,$D984*'Expenditure Study'!$B$32*OFFSET('Expenditure Study'!$B$7,'Operations Support'!$C984,'Operations Support'!$B984),0)</f>
        <v>625.64600000000007</v>
      </c>
      <c r="X984" s="200">
        <f ca="1">W984*'Expenditure Study'!$B$31</f>
        <v>36965.155734796805</v>
      </c>
      <c r="Y984" s="199">
        <f ca="1">U984*'Expenditure Study'!$B$31</f>
        <v>574263.111608256</v>
      </c>
      <c r="Z984" s="200">
        <f ca="1">W984*'Expenditure Study'!$B$31</f>
        <v>36965.155734796805</v>
      </c>
      <c r="AA984" s="195">
        <f t="shared" ca="1" si="218"/>
        <v>611228.26734305278</v>
      </c>
      <c r="AB984" s="195">
        <f t="shared" ca="1" si="219"/>
        <v>611228.26734305278</v>
      </c>
      <c r="AD984" s="196">
        <f>IFERROR($G984/SUMIF($A:$A,$A984,$G:$G)*SUMIF(Summary!$A$166:$A$242,$A984,Summary!$P$166:$P$242),0)</f>
        <v>96868.604106396859</v>
      </c>
      <c r="AE984" s="197">
        <f t="shared" ca="1" si="220"/>
        <v>514359.66323665594</v>
      </c>
      <c r="AF984" s="196">
        <f>IFERROR(G984/SUMIF(A:A,A984,G:G)*SUMIF(Summary!$A$166:$A$242,'Operations Support'!A984,Summary!$Q$166:$Q$242),0)</f>
        <v>96940.956637098003</v>
      </c>
      <c r="AG984" s="196">
        <f t="shared" ca="1" si="221"/>
        <v>514287.31070595479</v>
      </c>
      <c r="AI984" s="196">
        <f>IFERROR($G984/SUMIF($A:$A,$A984,$G:$G)*SUMIF(Summary!$A$247:$A$283,$A984,Summary!$P$247:$P$283),0)</f>
        <v>17666.416059937212</v>
      </c>
      <c r="AJ984" s="196">
        <f>IFERROR($G984/SUMIF($A:$A,$A984,$G:$G)*(SUMIF(Summary!$A$247:$A$283,$A984,Summary!$L$247:$L$283)+SUMIF(Summary!$A$297:$A$333,$A984,Summary!$L$297:$L$333))-AI984,0)</f>
        <v>115763.17026863206</v>
      </c>
      <c r="AK984" s="196">
        <f>IFERROR($G984/SUMIF($A:$A,$A984,$G:$G)*SUMIF(Summary!$A$247:$A$283,$A984,Summary!$Q$247:$Q$283),0)</f>
        <v>17679.611355999819</v>
      </c>
      <c r="AL984" s="196">
        <f>IFERROR($G984/SUMIF($A:$A,$A984,$G:$G)*(SUMIF(Summary!$A$247:$A$283,$A984,Summary!$L$247:$L$283)+SUMIF(Summary!$A$297:$A$333,$A984,Summary!$L$297:$L$333))-AK984,0)</f>
        <v>115749.97497256946</v>
      </c>
      <c r="AM984" s="198"/>
      <c r="AN984" s="196">
        <f t="shared" ca="1" si="222"/>
        <v>630122.833505288</v>
      </c>
      <c r="AO984" s="196">
        <f t="shared" ca="1" si="223"/>
        <v>630037.28567852429</v>
      </c>
    </row>
    <row r="985" spans="1:41">
      <c r="A985" s="189">
        <v>3624</v>
      </c>
      <c r="B985" s="203">
        <v>2</v>
      </c>
      <c r="C985" s="191" t="s">
        <v>234</v>
      </c>
      <c r="D985" s="192">
        <f t="shared" si="210"/>
        <v>0</v>
      </c>
      <c r="E985" s="192">
        <f t="shared" si="211"/>
        <v>0</v>
      </c>
      <c r="F985" s="192">
        <f t="shared" si="212"/>
        <v>0</v>
      </c>
      <c r="G985" s="193">
        <f t="shared" si="213"/>
        <v>0</v>
      </c>
      <c r="H985" s="194">
        <v>0</v>
      </c>
      <c r="I985" s="194">
        <v>0</v>
      </c>
      <c r="J985" s="194">
        <v>0</v>
      </c>
      <c r="K985" s="193">
        <f t="shared" si="214"/>
        <v>0</v>
      </c>
      <c r="L985" s="194">
        <v>0</v>
      </c>
      <c r="M985" s="194">
        <v>0</v>
      </c>
      <c r="N985" s="194">
        <v>0</v>
      </c>
      <c r="O985" s="193">
        <f t="shared" si="215"/>
        <v>0</v>
      </c>
      <c r="P985" s="194">
        <v>0</v>
      </c>
      <c r="Q985" s="194">
        <v>0</v>
      </c>
      <c r="R985" s="194">
        <v>0</v>
      </c>
      <c r="S985" s="193">
        <f t="shared" si="216"/>
        <v>0</v>
      </c>
      <c r="T985" s="193">
        <f t="shared" si="217"/>
        <v>0</v>
      </c>
      <c r="U985" s="193">
        <f ca="1">OFFSET('Expenditure Study'!$B$7,'Operations Support'!$C985,'Operations Support'!$B985)*$G985</f>
        <v>0</v>
      </c>
      <c r="V985" s="199">
        <f ca="1">U985*'Expenditure Study'!$B$31</f>
        <v>0</v>
      </c>
      <c r="W985" s="199">
        <f ca="1">IF(A985=10298,1.51,1)*IF($B985&lt;3,$D985*'Expenditure Study'!$B$32*OFFSET('Expenditure Study'!$B$7,'Operations Support'!$C985,'Operations Support'!$B985),0)</f>
        <v>0</v>
      </c>
      <c r="X985" s="200">
        <f ca="1">W985*'Expenditure Study'!$B$31</f>
        <v>0</v>
      </c>
      <c r="Y985" s="199">
        <f ca="1">U985*'Expenditure Study'!$B$31</f>
        <v>0</v>
      </c>
      <c r="Z985" s="200">
        <f ca="1">W985*'Expenditure Study'!$B$31</f>
        <v>0</v>
      </c>
      <c r="AA985" s="195">
        <f t="shared" ca="1" si="218"/>
        <v>0</v>
      </c>
      <c r="AB985" s="195">
        <f t="shared" ca="1" si="219"/>
        <v>0</v>
      </c>
      <c r="AD985" s="196">
        <f>IFERROR($G985/SUMIF($A:$A,$A985,$G:$G)*SUMIF(Summary!$A$166:$A$242,$A985,Summary!$P$166:$P$242),0)</f>
        <v>0</v>
      </c>
      <c r="AE985" s="197">
        <f t="shared" ca="1" si="220"/>
        <v>0</v>
      </c>
      <c r="AF985" s="196">
        <f>IFERROR(G985/SUMIF(A:A,A985,G:G)*SUMIF(Summary!$A$166:$A$242,'Operations Support'!A985,Summary!$Q$166:$Q$242),0)</f>
        <v>0</v>
      </c>
      <c r="AG985" s="196">
        <f t="shared" ca="1" si="221"/>
        <v>0</v>
      </c>
      <c r="AI985" s="196">
        <f>IFERROR($G985/SUMIF($A:$A,$A985,$G:$G)*SUMIF(Summary!$A$247:$A$283,$A985,Summary!$P$247:$P$283),0)</f>
        <v>0</v>
      </c>
      <c r="AJ985" s="196">
        <f>IFERROR($G985/SUMIF($A:$A,$A985,$G:$G)*(SUMIF(Summary!$A$247:$A$283,$A985,Summary!$L$247:$L$283)+SUMIF(Summary!$A$297:$A$333,$A985,Summary!$L$297:$L$333))-AI985,0)</f>
        <v>0</v>
      </c>
      <c r="AK985" s="196">
        <f>IFERROR($G985/SUMIF($A:$A,$A985,$G:$G)*SUMIF(Summary!$A$247:$A$283,$A985,Summary!$Q$247:$Q$283),0)</f>
        <v>0</v>
      </c>
      <c r="AL985" s="196">
        <f>IFERROR($G985/SUMIF($A:$A,$A985,$G:$G)*(SUMIF(Summary!$A$247:$A$283,$A985,Summary!$L$247:$L$283)+SUMIF(Summary!$A$297:$A$333,$A985,Summary!$L$297:$L$333))-AK985,0)</f>
        <v>0</v>
      </c>
      <c r="AM985" s="198"/>
      <c r="AN985" s="196">
        <f t="shared" ca="1" si="222"/>
        <v>0</v>
      </c>
      <c r="AO985" s="196">
        <f t="shared" ca="1" si="223"/>
        <v>0</v>
      </c>
    </row>
    <row r="986" spans="1:41">
      <c r="A986" s="189">
        <v>3624</v>
      </c>
      <c r="B986" s="203">
        <v>2</v>
      </c>
      <c r="C986" s="191" t="s">
        <v>235</v>
      </c>
      <c r="D986" s="192">
        <f t="shared" si="210"/>
        <v>13134</v>
      </c>
      <c r="E986" s="192">
        <f t="shared" si="211"/>
        <v>5976</v>
      </c>
      <c r="F986" s="192">
        <f t="shared" si="212"/>
        <v>0</v>
      </c>
      <c r="G986" s="193">
        <f t="shared" si="213"/>
        <v>19110</v>
      </c>
      <c r="H986" s="194">
        <v>5661</v>
      </c>
      <c r="I986" s="194">
        <v>2643</v>
      </c>
      <c r="J986" s="194">
        <v>0</v>
      </c>
      <c r="K986" s="193">
        <f t="shared" si="214"/>
        <v>8304</v>
      </c>
      <c r="L986" s="194">
        <v>5973</v>
      </c>
      <c r="M986" s="194">
        <v>2607</v>
      </c>
      <c r="N986" s="194">
        <v>0</v>
      </c>
      <c r="O986" s="193">
        <f t="shared" si="215"/>
        <v>8580</v>
      </c>
      <c r="P986" s="194">
        <v>1500</v>
      </c>
      <c r="Q986" s="194">
        <v>726</v>
      </c>
      <c r="R986" s="194">
        <v>0</v>
      </c>
      <c r="S986" s="193">
        <f t="shared" si="216"/>
        <v>2226</v>
      </c>
      <c r="T986" s="193">
        <f t="shared" si="217"/>
        <v>637</v>
      </c>
      <c r="U986" s="193">
        <f ca="1">OFFSET('Expenditure Study'!$B$7,'Operations Support'!$C986,'Operations Support'!$B986)*$G986</f>
        <v>35735.700000000004</v>
      </c>
      <c r="V986" s="199">
        <f ca="1">U986*'Expenditure Study'!$B$31</f>
        <v>2111378.8241145601</v>
      </c>
      <c r="W986" s="199">
        <f ca="1">IF(A986=10298,1.51,1)*IF($B986&lt;3,$D986*'Expenditure Study'!$B$32*OFFSET('Expenditure Study'!$B$7,'Operations Support'!$C986,'Operations Support'!$B986),0)</f>
        <v>2456.0580000000004</v>
      </c>
      <c r="X986" s="200">
        <f ca="1">W986*'Expenditure Study'!$B$31</f>
        <v>145111.71886928641</v>
      </c>
      <c r="Y986" s="199">
        <f ca="1">U986*'Expenditure Study'!$B$31</f>
        <v>2111378.8241145601</v>
      </c>
      <c r="Z986" s="200">
        <f ca="1">W986*'Expenditure Study'!$B$31</f>
        <v>145111.71886928641</v>
      </c>
      <c r="AA986" s="195">
        <f t="shared" ca="1" si="218"/>
        <v>2256490.5429838467</v>
      </c>
      <c r="AB986" s="195">
        <f t="shared" ca="1" si="219"/>
        <v>2256490.5429838467</v>
      </c>
      <c r="AD986" s="196">
        <f>IFERROR($G986/SUMIF($A:$A,$A986,$G:$G)*SUMIF(Summary!$A$166:$A$242,$A986,Summary!$P$166:$P$242),0)</f>
        <v>306635.58464025904</v>
      </c>
      <c r="AE986" s="197">
        <f t="shared" ca="1" si="220"/>
        <v>1949854.9583435878</v>
      </c>
      <c r="AF986" s="196">
        <f>IFERROR(G986/SUMIF(A:A,A986,G:G)*SUMIF(Summary!$A$166:$A$242,'Operations Support'!A986,Summary!$Q$166:$Q$242),0)</f>
        <v>306864.61509606469</v>
      </c>
      <c r="AG986" s="196">
        <f t="shared" ca="1" si="221"/>
        <v>1949625.927887782</v>
      </c>
      <c r="AI986" s="196">
        <f>IFERROR($G986/SUMIF($A:$A,$A986,$G:$G)*SUMIF(Summary!$A$247:$A$283,$A986,Summary!$P$247:$P$283),0)</f>
        <v>55922.678632665251</v>
      </c>
      <c r="AJ986" s="196">
        <f>IFERROR($G986/SUMIF($A:$A,$A986,$G:$G)*(SUMIF(Summary!$A$247:$A$283,$A986,Summary!$L$247:$L$283)+SUMIF(Summary!$A$297:$A$333,$A986,Summary!$L$297:$L$333))-AI986,0)</f>
        <v>366445.94729725999</v>
      </c>
      <c r="AK986" s="196">
        <f>IFERROR($G986/SUMIF($A:$A,$A986,$G:$G)*SUMIF(Summary!$A$247:$A$283,$A986,Summary!$Q$247:$Q$283),0)</f>
        <v>55964.448072412881</v>
      </c>
      <c r="AL986" s="196">
        <f>IFERROR($G986/SUMIF($A:$A,$A986,$G:$G)*(SUMIF(Summary!$A$247:$A$283,$A986,Summary!$L$247:$L$283)+SUMIF(Summary!$A$297:$A$333,$A986,Summary!$L$297:$L$333))-AK986,0)</f>
        <v>366404.17785751238</v>
      </c>
      <c r="AM986" s="198"/>
      <c r="AN986" s="196">
        <f t="shared" ca="1" si="222"/>
        <v>2316300.905640848</v>
      </c>
      <c r="AO986" s="196">
        <f t="shared" ca="1" si="223"/>
        <v>2316030.1057452941</v>
      </c>
    </row>
    <row r="987" spans="1:41">
      <c r="A987" s="189">
        <v>3624</v>
      </c>
      <c r="B987" s="203">
        <v>2</v>
      </c>
      <c r="C987" s="191" t="s">
        <v>236</v>
      </c>
      <c r="D987" s="192">
        <f t="shared" si="210"/>
        <v>0</v>
      </c>
      <c r="E987" s="192">
        <f t="shared" si="211"/>
        <v>0</v>
      </c>
      <c r="F987" s="192">
        <f t="shared" si="212"/>
        <v>0</v>
      </c>
      <c r="G987" s="193">
        <f t="shared" si="213"/>
        <v>0</v>
      </c>
      <c r="H987" s="194">
        <v>0</v>
      </c>
      <c r="I987" s="194">
        <v>0</v>
      </c>
      <c r="J987" s="194">
        <v>0</v>
      </c>
      <c r="K987" s="193">
        <f t="shared" si="214"/>
        <v>0</v>
      </c>
      <c r="L987" s="194">
        <v>0</v>
      </c>
      <c r="M987" s="194">
        <v>0</v>
      </c>
      <c r="N987" s="194">
        <v>0</v>
      </c>
      <c r="O987" s="193">
        <f t="shared" si="215"/>
        <v>0</v>
      </c>
      <c r="P987" s="194">
        <v>0</v>
      </c>
      <c r="Q987" s="194">
        <v>0</v>
      </c>
      <c r="R987" s="194">
        <v>0</v>
      </c>
      <c r="S987" s="193">
        <f t="shared" si="216"/>
        <v>0</v>
      </c>
      <c r="T987" s="193">
        <f t="shared" si="217"/>
        <v>0</v>
      </c>
      <c r="U987" s="193">
        <f ca="1">OFFSET('Expenditure Study'!$B$7,'Operations Support'!$C987,'Operations Support'!$B987)*$G987</f>
        <v>0</v>
      </c>
      <c r="V987" s="199">
        <f ca="1">U987*'Expenditure Study'!$B$31</f>
        <v>0</v>
      </c>
      <c r="W987" s="199">
        <f ca="1">IF(A987=10298,1.51,1)*IF($B987&lt;3,$D987*'Expenditure Study'!$B$32*OFFSET('Expenditure Study'!$B$7,'Operations Support'!$C987,'Operations Support'!$B987),0)</f>
        <v>0</v>
      </c>
      <c r="X987" s="200">
        <f ca="1">W987*'Expenditure Study'!$B$31</f>
        <v>0</v>
      </c>
      <c r="Y987" s="199">
        <f ca="1">U987*'Expenditure Study'!$B$31</f>
        <v>0</v>
      </c>
      <c r="Z987" s="200">
        <f ca="1">W987*'Expenditure Study'!$B$31</f>
        <v>0</v>
      </c>
      <c r="AA987" s="195">
        <f t="shared" ca="1" si="218"/>
        <v>0</v>
      </c>
      <c r="AB987" s="195">
        <f t="shared" ca="1" si="219"/>
        <v>0</v>
      </c>
      <c r="AD987" s="196">
        <f>IFERROR($G987/SUMIF($A:$A,$A987,$G:$G)*SUMIF(Summary!$A$166:$A$242,$A987,Summary!$P$166:$P$242),0)</f>
        <v>0</v>
      </c>
      <c r="AE987" s="197">
        <f t="shared" ca="1" si="220"/>
        <v>0</v>
      </c>
      <c r="AF987" s="196">
        <f>IFERROR(G987/SUMIF(A:A,A987,G:G)*SUMIF(Summary!$A$166:$A$242,'Operations Support'!A987,Summary!$Q$166:$Q$242),0)</f>
        <v>0</v>
      </c>
      <c r="AG987" s="196">
        <f t="shared" ca="1" si="221"/>
        <v>0</v>
      </c>
      <c r="AI987" s="196">
        <f>IFERROR($G987/SUMIF($A:$A,$A987,$G:$G)*SUMIF(Summary!$A$247:$A$283,$A987,Summary!$P$247:$P$283),0)</f>
        <v>0</v>
      </c>
      <c r="AJ987" s="196">
        <f>IFERROR($G987/SUMIF($A:$A,$A987,$G:$G)*(SUMIF(Summary!$A$247:$A$283,$A987,Summary!$L$247:$L$283)+SUMIF(Summary!$A$297:$A$333,$A987,Summary!$L$297:$L$333))-AI987,0)</f>
        <v>0</v>
      </c>
      <c r="AK987" s="196">
        <f>IFERROR($G987/SUMIF($A:$A,$A987,$G:$G)*SUMIF(Summary!$A$247:$A$283,$A987,Summary!$Q$247:$Q$283),0)</f>
        <v>0</v>
      </c>
      <c r="AL987" s="196">
        <f>IFERROR($G987/SUMIF($A:$A,$A987,$G:$G)*(SUMIF(Summary!$A$247:$A$283,$A987,Summary!$L$247:$L$283)+SUMIF(Summary!$A$297:$A$333,$A987,Summary!$L$297:$L$333))-AK987,0)</f>
        <v>0</v>
      </c>
      <c r="AM987" s="198"/>
      <c r="AN987" s="196">
        <f t="shared" ca="1" si="222"/>
        <v>0</v>
      </c>
      <c r="AO987" s="196">
        <f t="shared" ca="1" si="223"/>
        <v>0</v>
      </c>
    </row>
    <row r="988" spans="1:41">
      <c r="A988" s="189">
        <v>3624</v>
      </c>
      <c r="B988" s="203">
        <v>2</v>
      </c>
      <c r="C988" s="191" t="s">
        <v>237</v>
      </c>
      <c r="D988" s="192">
        <f t="shared" si="210"/>
        <v>633</v>
      </c>
      <c r="E988" s="192">
        <f t="shared" si="211"/>
        <v>1875</v>
      </c>
      <c r="F988" s="192">
        <f t="shared" si="212"/>
        <v>0</v>
      </c>
      <c r="G988" s="193">
        <f t="shared" si="213"/>
        <v>2508</v>
      </c>
      <c r="H988" s="194">
        <v>270</v>
      </c>
      <c r="I988" s="194">
        <v>1053</v>
      </c>
      <c r="J988" s="194">
        <v>0</v>
      </c>
      <c r="K988" s="193">
        <f t="shared" si="214"/>
        <v>1323</v>
      </c>
      <c r="L988" s="194">
        <v>363</v>
      </c>
      <c r="M988" s="194">
        <v>822</v>
      </c>
      <c r="N988" s="194">
        <v>0</v>
      </c>
      <c r="O988" s="193">
        <f t="shared" si="215"/>
        <v>1185</v>
      </c>
      <c r="P988" s="194">
        <v>0</v>
      </c>
      <c r="Q988" s="194">
        <v>0</v>
      </c>
      <c r="R988" s="194">
        <v>0</v>
      </c>
      <c r="S988" s="193">
        <f t="shared" si="216"/>
        <v>0</v>
      </c>
      <c r="T988" s="193">
        <f t="shared" si="217"/>
        <v>83.6</v>
      </c>
      <c r="U988" s="193">
        <f ca="1">OFFSET('Expenditure Study'!$B$7,'Operations Support'!$C988,'Operations Support'!$B988)*$G988</f>
        <v>5868.7199999999993</v>
      </c>
      <c r="V988" s="199">
        <f ca="1">U988*'Expenditure Study'!$B$31</f>
        <v>346742.64482457598</v>
      </c>
      <c r="W988" s="199">
        <f ca="1">IF(A988=10298,1.51,1)*IF($B988&lt;3,$D988*'Expenditure Study'!$B$32*OFFSET('Expenditure Study'!$B$7,'Operations Support'!$C988,'Operations Support'!$B988),0)</f>
        <v>148.12200000000001</v>
      </c>
      <c r="X988" s="200">
        <f ca="1">W988*'Expenditure Study'!$B$31</f>
        <v>8751.5189064576007</v>
      </c>
      <c r="Y988" s="199">
        <f ca="1">U988*'Expenditure Study'!$B$31</f>
        <v>346742.64482457598</v>
      </c>
      <c r="Z988" s="200">
        <f ca="1">W988*'Expenditure Study'!$B$31</f>
        <v>8751.5189064576007</v>
      </c>
      <c r="AA988" s="195">
        <f t="shared" ca="1" si="218"/>
        <v>355494.16373103356</v>
      </c>
      <c r="AB988" s="195">
        <f t="shared" ca="1" si="219"/>
        <v>355494.16373103356</v>
      </c>
      <c r="AD988" s="196">
        <f>IFERROR($G988/SUMIF($A:$A,$A988,$G:$G)*SUMIF(Summary!$A$166:$A$242,$A988,Summary!$P$166:$P$242),0)</f>
        <v>40242.911893132899</v>
      </c>
      <c r="AE988" s="197">
        <f t="shared" ca="1" si="220"/>
        <v>315251.25183790067</v>
      </c>
      <c r="AF988" s="196">
        <f>IFERROR(G988/SUMIF(A:A,A988,G:G)*SUMIF(Summary!$A$166:$A$242,'Operations Support'!A988,Summary!$Q$166:$Q$242),0)</f>
        <v>40272.969893298286</v>
      </c>
      <c r="AG988" s="196">
        <f t="shared" ca="1" si="221"/>
        <v>315221.19383773528</v>
      </c>
      <c r="AI988" s="196">
        <f>IFERROR($G988/SUMIF($A:$A,$A988,$G:$G)*SUMIF(Summary!$A$247:$A$283,$A988,Summary!$P$247:$P$283),0)</f>
        <v>7339.3028786355017</v>
      </c>
      <c r="AJ988" s="196">
        <f>IFERROR($G988/SUMIF($A:$A,$A988,$G:$G)*(SUMIF(Summary!$A$247:$A$283,$A988,Summary!$L$247:$L$283)+SUMIF(Summary!$A$297:$A$333,$A988,Summary!$L$297:$L$333))-AI988,0)</f>
        <v>48092.435155495979</v>
      </c>
      <c r="AK988" s="196">
        <f>IFERROR($G988/SUMIF($A:$A,$A988,$G:$G)*SUMIF(Summary!$A$247:$A$283,$A988,Summary!$Q$247:$Q$283),0)</f>
        <v>7344.7847077766346</v>
      </c>
      <c r="AL988" s="196">
        <f>IFERROR($G988/SUMIF($A:$A,$A988,$G:$G)*(SUMIF(Summary!$A$247:$A$283,$A988,Summary!$L$247:$L$283)+SUMIF(Summary!$A$297:$A$333,$A988,Summary!$L$297:$L$333))-AK988,0)</f>
        <v>48086.953326354844</v>
      </c>
      <c r="AM988" s="198"/>
      <c r="AN988" s="196">
        <f t="shared" ca="1" si="222"/>
        <v>363343.68699339667</v>
      </c>
      <c r="AO988" s="196">
        <f t="shared" ca="1" si="223"/>
        <v>363308.14716409013</v>
      </c>
    </row>
    <row r="989" spans="1:41">
      <c r="A989" s="189">
        <v>3624</v>
      </c>
      <c r="B989" s="203">
        <v>2</v>
      </c>
      <c r="C989" s="191" t="s">
        <v>238</v>
      </c>
      <c r="D989" s="192">
        <f t="shared" si="210"/>
        <v>541</v>
      </c>
      <c r="E989" s="192">
        <f t="shared" si="211"/>
        <v>257</v>
      </c>
      <c r="F989" s="192">
        <f t="shared" si="212"/>
        <v>0</v>
      </c>
      <c r="G989" s="193">
        <f t="shared" si="213"/>
        <v>798</v>
      </c>
      <c r="H989" s="194">
        <v>168</v>
      </c>
      <c r="I989" s="194">
        <v>224</v>
      </c>
      <c r="J989" s="194">
        <v>0</v>
      </c>
      <c r="K989" s="193">
        <f t="shared" si="214"/>
        <v>392</v>
      </c>
      <c r="L989" s="194">
        <v>346</v>
      </c>
      <c r="M989" s="194">
        <v>5</v>
      </c>
      <c r="N989" s="194">
        <v>0</v>
      </c>
      <c r="O989" s="193">
        <f t="shared" si="215"/>
        <v>351</v>
      </c>
      <c r="P989" s="194">
        <v>27</v>
      </c>
      <c r="Q989" s="194">
        <v>28</v>
      </c>
      <c r="R989" s="194">
        <v>0</v>
      </c>
      <c r="S989" s="193">
        <f t="shared" si="216"/>
        <v>55</v>
      </c>
      <c r="T989" s="193">
        <f t="shared" si="217"/>
        <v>26.6</v>
      </c>
      <c r="U989" s="193">
        <f ca="1">OFFSET('Expenditure Study'!$B$7,'Operations Support'!$C989,'Operations Support'!$B989)*$G989</f>
        <v>1915.1999999999998</v>
      </c>
      <c r="V989" s="199">
        <f ca="1">U989*'Expenditure Study'!$B$31</f>
        <v>113156.10786815999</v>
      </c>
      <c r="W989" s="199">
        <f ca="1">IF(A989=10298,1.51,1)*IF($B989&lt;3,$D989*'Expenditure Study'!$B$32*OFFSET('Expenditure Study'!$B$7,'Operations Support'!$C989,'Operations Support'!$B989),0)</f>
        <v>129.84</v>
      </c>
      <c r="X989" s="200">
        <f ca="1">W989*'Expenditure Study'!$B$31</f>
        <v>7671.3601950720004</v>
      </c>
      <c r="Y989" s="199">
        <f ca="1">U989*'Expenditure Study'!$B$31</f>
        <v>113156.10786815999</v>
      </c>
      <c r="Z989" s="200">
        <f ca="1">W989*'Expenditure Study'!$B$31</f>
        <v>7671.3601950720004</v>
      </c>
      <c r="AA989" s="195">
        <f t="shared" ca="1" si="218"/>
        <v>120827.46806323199</v>
      </c>
      <c r="AB989" s="195">
        <f t="shared" ca="1" si="219"/>
        <v>120827.46806323199</v>
      </c>
      <c r="AD989" s="196">
        <f>IFERROR($G989/SUMIF($A:$A,$A989,$G:$G)*SUMIF(Summary!$A$166:$A$242,$A989,Summary!$P$166:$P$242),0)</f>
        <v>12804.56287508774</v>
      </c>
      <c r="AE989" s="197">
        <f t="shared" ca="1" si="220"/>
        <v>108022.90518814426</v>
      </c>
      <c r="AF989" s="196">
        <f>IFERROR(G989/SUMIF(A:A,A989,G:G)*SUMIF(Summary!$A$166:$A$242,'Operations Support'!A989,Summary!$Q$166:$Q$242),0)</f>
        <v>12814.126784231274</v>
      </c>
      <c r="AG989" s="196">
        <f t="shared" ca="1" si="221"/>
        <v>108013.34127900071</v>
      </c>
      <c r="AI989" s="196">
        <f>IFERROR($G989/SUMIF($A:$A,$A989,$G:$G)*SUMIF(Summary!$A$247:$A$283,$A989,Summary!$P$247:$P$283),0)</f>
        <v>2335.2327341112959</v>
      </c>
      <c r="AJ989" s="196">
        <f>IFERROR($G989/SUMIF($A:$A,$A989,$G:$G)*(SUMIF(Summary!$A$247:$A$283,$A989,Summary!$L$247:$L$283)+SUMIF(Summary!$A$297:$A$333,$A989,Summary!$L$297:$L$333))-AI989,0)</f>
        <v>15302.138458566902</v>
      </c>
      <c r="AK989" s="196">
        <f>IFERROR($G989/SUMIF($A:$A,$A989,$G:$G)*SUMIF(Summary!$A$247:$A$283,$A989,Summary!$Q$247:$Q$283),0)</f>
        <v>2336.9769524743838</v>
      </c>
      <c r="AL989" s="196">
        <f>IFERROR($G989/SUMIF($A:$A,$A989,$G:$G)*(SUMIF(Summary!$A$247:$A$283,$A989,Summary!$L$247:$L$283)+SUMIF(Summary!$A$297:$A$333,$A989,Summary!$L$297:$L$333))-AK989,0)</f>
        <v>15300.394240203814</v>
      </c>
      <c r="AM989" s="198"/>
      <c r="AN989" s="196">
        <f t="shared" ca="1" si="222"/>
        <v>123325.04364671116</v>
      </c>
      <c r="AO989" s="196">
        <f t="shared" ca="1" si="223"/>
        <v>123313.73551920452</v>
      </c>
    </row>
    <row r="990" spans="1:41">
      <c r="A990" s="189">
        <v>3624</v>
      </c>
      <c r="B990" s="203">
        <v>2</v>
      </c>
      <c r="C990" s="191" t="s">
        <v>239</v>
      </c>
      <c r="D990" s="192">
        <f t="shared" si="210"/>
        <v>1238</v>
      </c>
      <c r="E990" s="192">
        <f t="shared" si="211"/>
        <v>6406</v>
      </c>
      <c r="F990" s="192">
        <f t="shared" si="212"/>
        <v>0</v>
      </c>
      <c r="G990" s="193">
        <f t="shared" si="213"/>
        <v>7644</v>
      </c>
      <c r="H990" s="194">
        <v>729</v>
      </c>
      <c r="I990" s="194">
        <v>2689</v>
      </c>
      <c r="J990" s="194">
        <v>0</v>
      </c>
      <c r="K990" s="193">
        <f t="shared" si="214"/>
        <v>3418</v>
      </c>
      <c r="L990" s="194">
        <v>397</v>
      </c>
      <c r="M990" s="194">
        <v>3065</v>
      </c>
      <c r="N990" s="194">
        <v>0</v>
      </c>
      <c r="O990" s="193">
        <f t="shared" si="215"/>
        <v>3462</v>
      </c>
      <c r="P990" s="194">
        <v>112</v>
      </c>
      <c r="Q990" s="194">
        <v>652</v>
      </c>
      <c r="R990" s="194">
        <v>0</v>
      </c>
      <c r="S990" s="193">
        <f t="shared" si="216"/>
        <v>764</v>
      </c>
      <c r="T990" s="193">
        <f t="shared" si="217"/>
        <v>254.8</v>
      </c>
      <c r="U990" s="193">
        <f ca="1">OFFSET('Expenditure Study'!$B$7,'Operations Support'!$C990,'Operations Support'!$B990)*$G990</f>
        <v>15899.52</v>
      </c>
      <c r="V990" s="199">
        <f ca="1">U990*'Expenditure Study'!$B$31</f>
        <v>939394.21479321609</v>
      </c>
      <c r="W990" s="199">
        <f ca="1">IF(A990=10298,1.51,1)*IF($B990&lt;3,$D990*'Expenditure Study'!$B$32*OFFSET('Expenditure Study'!$B$7,'Operations Support'!$C990,'Operations Support'!$B990),0)</f>
        <v>257.50400000000002</v>
      </c>
      <c r="X990" s="200">
        <f ca="1">W990*'Expenditure Study'!$B$31</f>
        <v>15214.155388723202</v>
      </c>
      <c r="Y990" s="199">
        <f ca="1">U990*'Expenditure Study'!$B$31</f>
        <v>939394.21479321609</v>
      </c>
      <c r="Z990" s="200">
        <f ca="1">W990*'Expenditure Study'!$B$31</f>
        <v>15214.155388723202</v>
      </c>
      <c r="AA990" s="195">
        <f t="shared" ca="1" si="218"/>
        <v>954608.37018193933</v>
      </c>
      <c r="AB990" s="195">
        <f t="shared" ca="1" si="219"/>
        <v>954608.37018193933</v>
      </c>
      <c r="AD990" s="196">
        <f>IFERROR($G990/SUMIF($A:$A,$A990,$G:$G)*SUMIF(Summary!$A$166:$A$242,$A990,Summary!$P$166:$P$242),0)</f>
        <v>122654.23385610362</v>
      </c>
      <c r="AE990" s="197">
        <f t="shared" ca="1" si="220"/>
        <v>831954.13632583572</v>
      </c>
      <c r="AF990" s="196">
        <f>IFERROR(G990/SUMIF(A:A,A990,G:G)*SUMIF(Summary!$A$166:$A$242,'Operations Support'!A990,Summary!$Q$166:$Q$242),0)</f>
        <v>122745.84603842588</v>
      </c>
      <c r="AG990" s="196">
        <f t="shared" ca="1" si="221"/>
        <v>831862.52414351341</v>
      </c>
      <c r="AI990" s="196">
        <f>IFERROR($G990/SUMIF($A:$A,$A990,$G:$G)*SUMIF(Summary!$A$247:$A$283,$A990,Summary!$P$247:$P$283),0)</f>
        <v>22369.071453066099</v>
      </c>
      <c r="AJ990" s="196">
        <f>IFERROR($G990/SUMIF($A:$A,$A990,$G:$G)*(SUMIF(Summary!$A$247:$A$283,$A990,Summary!$L$247:$L$283)+SUMIF(Summary!$A$297:$A$333,$A990,Summary!$L$297:$L$333))-AI990,0)</f>
        <v>146578.378918904</v>
      </c>
      <c r="AK990" s="196">
        <f>IFERROR($G990/SUMIF($A:$A,$A990,$G:$G)*SUMIF(Summary!$A$247:$A$283,$A990,Summary!$Q$247:$Q$283),0)</f>
        <v>22385.779228965152</v>
      </c>
      <c r="AL990" s="196">
        <f>IFERROR($G990/SUMIF($A:$A,$A990,$G:$G)*(SUMIF(Summary!$A$247:$A$283,$A990,Summary!$L$247:$L$283)+SUMIF(Summary!$A$297:$A$333,$A990,Summary!$L$297:$L$333))-AK990,0)</f>
        <v>146561.67114300496</v>
      </c>
      <c r="AM990" s="198"/>
      <c r="AN990" s="196">
        <f t="shared" ca="1" si="222"/>
        <v>978532.51524473971</v>
      </c>
      <c r="AO990" s="196">
        <f t="shared" ca="1" si="223"/>
        <v>978424.19528651843</v>
      </c>
    </row>
    <row r="991" spans="1:41">
      <c r="A991" s="189">
        <v>3624</v>
      </c>
      <c r="B991" s="203">
        <v>2</v>
      </c>
      <c r="C991" s="191" t="s">
        <v>240</v>
      </c>
      <c r="D991" s="192">
        <f t="shared" si="210"/>
        <v>0</v>
      </c>
      <c r="E991" s="192">
        <f t="shared" si="211"/>
        <v>0</v>
      </c>
      <c r="F991" s="192">
        <f t="shared" si="212"/>
        <v>0</v>
      </c>
      <c r="G991" s="193">
        <f t="shared" si="213"/>
        <v>0</v>
      </c>
      <c r="H991" s="194">
        <v>0</v>
      </c>
      <c r="I991" s="194">
        <v>0</v>
      </c>
      <c r="J991" s="194">
        <v>0</v>
      </c>
      <c r="K991" s="193">
        <f t="shared" si="214"/>
        <v>0</v>
      </c>
      <c r="L991" s="194">
        <v>0</v>
      </c>
      <c r="M991" s="194">
        <v>0</v>
      </c>
      <c r="N991" s="194">
        <v>0</v>
      </c>
      <c r="O991" s="193">
        <f t="shared" si="215"/>
        <v>0</v>
      </c>
      <c r="P991" s="194">
        <v>0</v>
      </c>
      <c r="Q991" s="194">
        <v>0</v>
      </c>
      <c r="R991" s="194">
        <v>0</v>
      </c>
      <c r="S991" s="193">
        <f t="shared" si="216"/>
        <v>0</v>
      </c>
      <c r="T991" s="193">
        <f t="shared" si="217"/>
        <v>0</v>
      </c>
      <c r="U991" s="193">
        <f ca="1">OFFSET('Expenditure Study'!$B$7,'Operations Support'!$C991,'Operations Support'!$B991)*$G991</f>
        <v>0</v>
      </c>
      <c r="V991" s="199">
        <f ca="1">U991*'Expenditure Study'!$B$31</f>
        <v>0</v>
      </c>
      <c r="W991" s="199">
        <f ca="1">IF(A991=10298,1.51,1)*IF($B991&lt;3,$D991*'Expenditure Study'!$B$32*OFFSET('Expenditure Study'!$B$7,'Operations Support'!$C991,'Operations Support'!$B991),0)</f>
        <v>0</v>
      </c>
      <c r="X991" s="200">
        <f ca="1">W991*'Expenditure Study'!$B$31</f>
        <v>0</v>
      </c>
      <c r="Y991" s="199">
        <f ca="1">U991*'Expenditure Study'!$B$31</f>
        <v>0</v>
      </c>
      <c r="Z991" s="200">
        <f ca="1">W991*'Expenditure Study'!$B$31</f>
        <v>0</v>
      </c>
      <c r="AA991" s="195">
        <f t="shared" ca="1" si="218"/>
        <v>0</v>
      </c>
      <c r="AB991" s="195">
        <f t="shared" ca="1" si="219"/>
        <v>0</v>
      </c>
      <c r="AD991" s="196">
        <f>IFERROR($G991/SUMIF($A:$A,$A991,$G:$G)*SUMIF(Summary!$A$166:$A$242,$A991,Summary!$P$166:$P$242),0)</f>
        <v>0</v>
      </c>
      <c r="AE991" s="197">
        <f t="shared" ca="1" si="220"/>
        <v>0</v>
      </c>
      <c r="AF991" s="196">
        <f>IFERROR(G991/SUMIF(A:A,A991,G:G)*SUMIF(Summary!$A$166:$A$242,'Operations Support'!A991,Summary!$Q$166:$Q$242),0)</f>
        <v>0</v>
      </c>
      <c r="AG991" s="196">
        <f t="shared" ca="1" si="221"/>
        <v>0</v>
      </c>
      <c r="AI991" s="196">
        <f>IFERROR($G991/SUMIF($A:$A,$A991,$G:$G)*SUMIF(Summary!$A$247:$A$283,$A991,Summary!$P$247:$P$283),0)</f>
        <v>0</v>
      </c>
      <c r="AJ991" s="196">
        <f>IFERROR($G991/SUMIF($A:$A,$A991,$G:$G)*(SUMIF(Summary!$A$247:$A$283,$A991,Summary!$L$247:$L$283)+SUMIF(Summary!$A$297:$A$333,$A991,Summary!$L$297:$L$333))-AI991,0)</f>
        <v>0</v>
      </c>
      <c r="AK991" s="196">
        <f>IFERROR($G991/SUMIF($A:$A,$A991,$G:$G)*SUMIF(Summary!$A$247:$A$283,$A991,Summary!$Q$247:$Q$283),0)</f>
        <v>0</v>
      </c>
      <c r="AL991" s="196">
        <f>IFERROR($G991/SUMIF($A:$A,$A991,$G:$G)*(SUMIF(Summary!$A$247:$A$283,$A991,Summary!$L$247:$L$283)+SUMIF(Summary!$A$297:$A$333,$A991,Summary!$L$297:$L$333))-AK991,0)</f>
        <v>0</v>
      </c>
      <c r="AM991" s="198"/>
      <c r="AN991" s="196">
        <f t="shared" ca="1" si="222"/>
        <v>0</v>
      </c>
      <c r="AO991" s="196">
        <f t="shared" ca="1" si="223"/>
        <v>0</v>
      </c>
    </row>
    <row r="992" spans="1:41">
      <c r="A992" s="189">
        <v>3624</v>
      </c>
      <c r="B992" s="203">
        <v>3</v>
      </c>
      <c r="C992" s="191" t="s">
        <v>220</v>
      </c>
      <c r="D992" s="192">
        <f t="shared" si="210"/>
        <v>2383</v>
      </c>
      <c r="E992" s="192">
        <f t="shared" si="211"/>
        <v>507</v>
      </c>
      <c r="F992" s="192">
        <f t="shared" si="212"/>
        <v>0</v>
      </c>
      <c r="G992" s="193">
        <f t="shared" si="213"/>
        <v>2890</v>
      </c>
      <c r="H992" s="194">
        <v>1015</v>
      </c>
      <c r="I992" s="194">
        <v>135</v>
      </c>
      <c r="J992" s="194">
        <v>0</v>
      </c>
      <c r="K992" s="193">
        <f t="shared" si="214"/>
        <v>1150</v>
      </c>
      <c r="L992" s="194">
        <v>1049</v>
      </c>
      <c r="M992" s="194">
        <v>336</v>
      </c>
      <c r="N992" s="194">
        <v>0</v>
      </c>
      <c r="O992" s="193">
        <f t="shared" si="215"/>
        <v>1385</v>
      </c>
      <c r="P992" s="194">
        <v>319</v>
      </c>
      <c r="Q992" s="194">
        <v>36</v>
      </c>
      <c r="R992" s="194">
        <v>0</v>
      </c>
      <c r="S992" s="193">
        <f t="shared" si="216"/>
        <v>355</v>
      </c>
      <c r="T992" s="193">
        <f t="shared" si="217"/>
        <v>120.41666666666667</v>
      </c>
      <c r="U992" s="193">
        <f ca="1">OFFSET('Expenditure Study'!$B$7,'Operations Support'!$C992,'Operations Support'!$B992)*$G992</f>
        <v>12889.4</v>
      </c>
      <c r="V992" s="199">
        <f ca="1">U992*'Expenditure Study'!$B$31</f>
        <v>761546.75060351996</v>
      </c>
      <c r="W992" s="199">
        <f ca="1">IF(A992=10298,1.51,1)*IF($B992&lt;3,$D992*'Expenditure Study'!$B$32*OFFSET('Expenditure Study'!$B$7,'Operations Support'!$C992,'Operations Support'!$B992),0)</f>
        <v>0</v>
      </c>
      <c r="X992" s="200">
        <f ca="1">W992*'Expenditure Study'!$B$31</f>
        <v>0</v>
      </c>
      <c r="Y992" s="199">
        <f ca="1">U992*'Expenditure Study'!$B$31</f>
        <v>761546.75060351996</v>
      </c>
      <c r="Z992" s="200">
        <f ca="1">W992*'Expenditure Study'!$B$31</f>
        <v>0</v>
      </c>
      <c r="AA992" s="195">
        <f t="shared" ca="1" si="218"/>
        <v>761546.75060351996</v>
      </c>
      <c r="AB992" s="195">
        <f t="shared" ca="1" si="219"/>
        <v>761546.75060351996</v>
      </c>
      <c r="AD992" s="196">
        <f>IFERROR($G992/SUMIF($A:$A,$A992,$G:$G)*SUMIF(Summary!$A$166:$A$242,$A992,Summary!$P$166:$P$242),0)</f>
        <v>46372.414422310241</v>
      </c>
      <c r="AE992" s="197">
        <f t="shared" ca="1" si="220"/>
        <v>715174.33618120977</v>
      </c>
      <c r="AF992" s="196">
        <f>IFERROR(G992/SUMIF(A:A,A992,G:G)*SUMIF(Summary!$A$166:$A$242,'Operations Support'!A992,Summary!$Q$166:$Q$242),0)</f>
        <v>46407.050634622028</v>
      </c>
      <c r="AG992" s="196">
        <f t="shared" ca="1" si="221"/>
        <v>715139.69996889797</v>
      </c>
      <c r="AI992" s="196">
        <f>IFERROR($G992/SUMIF($A:$A,$A992,$G:$G)*SUMIF(Summary!$A$247:$A$283,$A992,Summary!$P$247:$P$283),0)</f>
        <v>8457.1711799268742</v>
      </c>
      <c r="AJ992" s="196">
        <f>IFERROR($G992/SUMIF($A:$A,$A992,$G:$G)*(SUMIF(Summary!$A$247:$A$283,$A992,Summary!$L$247:$L$283)+SUMIF(Summary!$A$297:$A$333,$A992,Summary!$L$297:$L$333))-AI992,0)</f>
        <v>55417.518979020482</v>
      </c>
      <c r="AK992" s="196">
        <f>IFERROR($G992/SUMIF($A:$A,$A992,$G:$G)*SUMIF(Summary!$A$247:$A$283,$A992,Summary!$Q$247:$Q$283),0)</f>
        <v>8463.4879607154999</v>
      </c>
      <c r="AL992" s="196">
        <f>IFERROR($G992/SUMIF($A:$A,$A992,$G:$G)*(SUMIF(Summary!$A$247:$A$283,$A992,Summary!$L$247:$L$283)+SUMIF(Summary!$A$297:$A$333,$A992,Summary!$L$297:$L$333))-AK992,0)</f>
        <v>55411.202198231855</v>
      </c>
      <c r="AM992" s="198"/>
      <c r="AN992" s="196">
        <f t="shared" ca="1" si="222"/>
        <v>770591.85516023031</v>
      </c>
      <c r="AO992" s="196">
        <f t="shared" ca="1" si="223"/>
        <v>770550.9021671298</v>
      </c>
    </row>
    <row r="993" spans="1:41">
      <c r="A993" s="189">
        <v>3624</v>
      </c>
      <c r="B993" s="203">
        <v>3</v>
      </c>
      <c r="C993" s="191" t="s">
        <v>221</v>
      </c>
      <c r="D993" s="192">
        <f t="shared" si="210"/>
        <v>1882</v>
      </c>
      <c r="E993" s="192">
        <f t="shared" si="211"/>
        <v>60</v>
      </c>
      <c r="F993" s="192">
        <f t="shared" si="212"/>
        <v>0</v>
      </c>
      <c r="G993" s="193">
        <f t="shared" si="213"/>
        <v>1942</v>
      </c>
      <c r="H993" s="194">
        <v>755</v>
      </c>
      <c r="I993" s="194">
        <v>27</v>
      </c>
      <c r="J993" s="194">
        <v>0</v>
      </c>
      <c r="K993" s="193">
        <f t="shared" si="214"/>
        <v>782</v>
      </c>
      <c r="L993" s="194">
        <v>875</v>
      </c>
      <c r="M993" s="194">
        <v>33</v>
      </c>
      <c r="N993" s="194">
        <v>0</v>
      </c>
      <c r="O993" s="193">
        <f t="shared" si="215"/>
        <v>908</v>
      </c>
      <c r="P993" s="194">
        <v>252</v>
      </c>
      <c r="Q993" s="194">
        <v>0</v>
      </c>
      <c r="R993" s="194">
        <v>0</v>
      </c>
      <c r="S993" s="193">
        <f t="shared" si="216"/>
        <v>252</v>
      </c>
      <c r="T993" s="193">
        <f t="shared" si="217"/>
        <v>80.916666666666671</v>
      </c>
      <c r="U993" s="193">
        <f ca="1">OFFSET('Expenditure Study'!$B$7,'Operations Support'!$C993,'Operations Support'!$B993)*$G993</f>
        <v>13594</v>
      </c>
      <c r="V993" s="199">
        <f ca="1">U993*'Expenditure Study'!$B$31</f>
        <v>803176.75979519996</v>
      </c>
      <c r="W993" s="199">
        <f ca="1">IF(A993=10298,1.51,1)*IF($B993&lt;3,$D993*'Expenditure Study'!$B$32*OFFSET('Expenditure Study'!$B$7,'Operations Support'!$C993,'Operations Support'!$B993),0)</f>
        <v>0</v>
      </c>
      <c r="X993" s="200">
        <f ca="1">W993*'Expenditure Study'!$B$31</f>
        <v>0</v>
      </c>
      <c r="Y993" s="199">
        <f ca="1">U993*'Expenditure Study'!$B$31</f>
        <v>803176.75979519996</v>
      </c>
      <c r="Z993" s="200">
        <f ca="1">W993*'Expenditure Study'!$B$31</f>
        <v>0</v>
      </c>
      <c r="AA993" s="195">
        <f t="shared" ca="1" si="218"/>
        <v>803176.75979519996</v>
      </c>
      <c r="AB993" s="195">
        <f t="shared" ca="1" si="219"/>
        <v>803176.75979519996</v>
      </c>
      <c r="AD993" s="196">
        <f>IFERROR($G993/SUMIF($A:$A,$A993,$G:$G)*SUMIF(Summary!$A$166:$A$242,$A993,Summary!$P$166:$P$242),0)</f>
        <v>31160.978826341343</v>
      </c>
      <c r="AE993" s="197">
        <f t="shared" ca="1" si="220"/>
        <v>772015.78096885863</v>
      </c>
      <c r="AF993" s="196">
        <f>IFERROR(G993/SUMIF(A:A,A993,G:G)*SUMIF(Summary!$A$166:$A$242,'Operations Support'!A993,Summary!$Q$166:$Q$242),0)</f>
        <v>31184.253402226983</v>
      </c>
      <c r="AG993" s="196">
        <f t="shared" ca="1" si="221"/>
        <v>771992.50639297301</v>
      </c>
      <c r="AI993" s="196">
        <f>IFERROR($G993/SUMIF($A:$A,$A993,$G:$G)*SUMIF(Summary!$A$247:$A$283,$A993,Summary!$P$247:$P$283),0)</f>
        <v>5682.9849243660865</v>
      </c>
      <c r="AJ993" s="196">
        <f>IFERROR($G993/SUMIF($A:$A,$A993,$G:$G)*(SUMIF(Summary!$A$247:$A$283,$A993,Summary!$L$247:$L$283)+SUMIF(Summary!$A$297:$A$333,$A993,Summary!$L$297:$L$333))-AI993,0)</f>
        <v>37239.038704933482</v>
      </c>
      <c r="AK993" s="196">
        <f>IFERROR($G993/SUMIF($A:$A,$A993,$G:$G)*SUMIF(Summary!$A$247:$A$283,$A993,Summary!$Q$247:$Q$283),0)</f>
        <v>5687.2296261970596</v>
      </c>
      <c r="AL993" s="196">
        <f>IFERROR($G993/SUMIF($A:$A,$A993,$G:$G)*(SUMIF(Summary!$A$247:$A$283,$A993,Summary!$L$247:$L$283)+SUMIF(Summary!$A$297:$A$333,$A993,Summary!$L$297:$L$333))-AK993,0)</f>
        <v>37234.794003102506</v>
      </c>
      <c r="AM993" s="198"/>
      <c r="AN993" s="196">
        <f t="shared" ca="1" si="222"/>
        <v>809254.81967379211</v>
      </c>
      <c r="AO993" s="196">
        <f t="shared" ca="1" si="223"/>
        <v>809227.30039607547</v>
      </c>
    </row>
    <row r="994" spans="1:41">
      <c r="A994" s="189">
        <v>3624</v>
      </c>
      <c r="B994" s="203">
        <v>3</v>
      </c>
      <c r="C994" s="191" t="s">
        <v>222</v>
      </c>
      <c r="D994" s="192">
        <f t="shared" si="210"/>
        <v>1118.5</v>
      </c>
      <c r="E994" s="192">
        <f t="shared" si="211"/>
        <v>372.5</v>
      </c>
      <c r="F994" s="192">
        <f t="shared" si="212"/>
        <v>0</v>
      </c>
      <c r="G994" s="193">
        <f t="shared" si="213"/>
        <v>1491</v>
      </c>
      <c r="H994" s="194">
        <v>482</v>
      </c>
      <c r="I994" s="194">
        <v>135</v>
      </c>
      <c r="J994" s="194">
        <v>0</v>
      </c>
      <c r="K994" s="193">
        <f t="shared" si="214"/>
        <v>617</v>
      </c>
      <c r="L994" s="194">
        <v>501.5</v>
      </c>
      <c r="M994" s="194">
        <v>192.5</v>
      </c>
      <c r="N994" s="194">
        <v>0</v>
      </c>
      <c r="O994" s="193">
        <f t="shared" si="215"/>
        <v>694</v>
      </c>
      <c r="P994" s="194">
        <v>135</v>
      </c>
      <c r="Q994" s="194">
        <v>45</v>
      </c>
      <c r="R994" s="194">
        <v>0</v>
      </c>
      <c r="S994" s="193">
        <f t="shared" si="216"/>
        <v>180</v>
      </c>
      <c r="T994" s="193">
        <f t="shared" si="217"/>
        <v>62.125</v>
      </c>
      <c r="U994" s="193">
        <f ca="1">OFFSET('Expenditure Study'!$B$7,'Operations Support'!$C994,'Operations Support'!$B994)*$G994</f>
        <v>11197.41</v>
      </c>
      <c r="V994" s="199">
        <f ca="1">U994*'Expenditure Study'!$B$31</f>
        <v>661578.599521728</v>
      </c>
      <c r="W994" s="199">
        <f ca="1">IF(A994=10298,1.51,1)*IF($B994&lt;3,$D994*'Expenditure Study'!$B$32*OFFSET('Expenditure Study'!$B$7,'Operations Support'!$C994,'Operations Support'!$B994),0)</f>
        <v>0</v>
      </c>
      <c r="X994" s="200">
        <f ca="1">W994*'Expenditure Study'!$B$31</f>
        <v>0</v>
      </c>
      <c r="Y994" s="199">
        <f ca="1">U994*'Expenditure Study'!$B$31</f>
        <v>661578.599521728</v>
      </c>
      <c r="Z994" s="200">
        <f ca="1">W994*'Expenditure Study'!$B$31</f>
        <v>0</v>
      </c>
      <c r="AA994" s="195">
        <f t="shared" ca="1" si="218"/>
        <v>661578.599521728</v>
      </c>
      <c r="AB994" s="195">
        <f t="shared" ca="1" si="219"/>
        <v>661578.599521728</v>
      </c>
      <c r="AD994" s="196">
        <f>IFERROR($G994/SUMIF($A:$A,$A994,$G:$G)*SUMIF(Summary!$A$166:$A$242,$A994,Summary!$P$166:$P$242),0)</f>
        <v>23924.314845558674</v>
      </c>
      <c r="AE994" s="197">
        <f t="shared" ca="1" si="220"/>
        <v>637654.28467616928</v>
      </c>
      <c r="AF994" s="196">
        <f>IFERROR(G994/SUMIF(A:A,A994,G:G)*SUMIF(Summary!$A$166:$A$242,'Operations Support'!A994,Summary!$Q$166:$Q$242),0)</f>
        <v>23942.184254747906</v>
      </c>
      <c r="AG994" s="196">
        <f t="shared" ca="1" si="221"/>
        <v>637636.41526698007</v>
      </c>
      <c r="AI994" s="196">
        <f>IFERROR($G994/SUMIF($A:$A,$A994,$G:$G)*SUMIF(Summary!$A$247:$A$283,$A994,Summary!$P$247:$P$283),0)</f>
        <v>4363.1980032079482</v>
      </c>
      <c r="AJ994" s="196">
        <f>IFERROR($G994/SUMIF($A:$A,$A994,$G:$G)*(SUMIF(Summary!$A$247:$A$283,$A994,Summary!$L$247:$L$283)+SUMIF(Summary!$A$297:$A$333,$A994,Summary!$L$297:$L$333))-AI994,0)</f>
        <v>28590.837646269738</v>
      </c>
      <c r="AK994" s="196">
        <f>IFERROR($G994/SUMIF($A:$A,$A994,$G:$G)*SUMIF(Summary!$A$247:$A$283,$A994,Summary!$Q$247:$Q$283),0)</f>
        <v>4366.4569375179281</v>
      </c>
      <c r="AL994" s="196">
        <f>IFERROR($G994/SUMIF($A:$A,$A994,$G:$G)*(SUMIF(Summary!$A$247:$A$283,$A994,Summary!$L$247:$L$283)+SUMIF(Summary!$A$297:$A$333,$A994,Summary!$L$297:$L$333))-AK994,0)</f>
        <v>28587.578711959759</v>
      </c>
      <c r="AM994" s="198"/>
      <c r="AN994" s="196">
        <f t="shared" ca="1" si="222"/>
        <v>666245.12232243898</v>
      </c>
      <c r="AO994" s="196">
        <f t="shared" ca="1" si="223"/>
        <v>666223.99397893983</v>
      </c>
    </row>
    <row r="995" spans="1:41">
      <c r="A995" s="189">
        <v>3624</v>
      </c>
      <c r="B995" s="203">
        <v>3</v>
      </c>
      <c r="C995" s="191" t="s">
        <v>223</v>
      </c>
      <c r="D995" s="192">
        <f t="shared" si="210"/>
        <v>3607</v>
      </c>
      <c r="E995" s="192">
        <f t="shared" si="211"/>
        <v>2815</v>
      </c>
      <c r="F995" s="192">
        <f t="shared" si="212"/>
        <v>0</v>
      </c>
      <c r="G995" s="193">
        <f t="shared" si="213"/>
        <v>6422</v>
      </c>
      <c r="H995" s="194">
        <v>1063</v>
      </c>
      <c r="I995" s="194">
        <v>813</v>
      </c>
      <c r="J995" s="194">
        <v>0</v>
      </c>
      <c r="K995" s="193">
        <f t="shared" si="214"/>
        <v>1876</v>
      </c>
      <c r="L995" s="194">
        <v>1283</v>
      </c>
      <c r="M995" s="194">
        <v>909</v>
      </c>
      <c r="N995" s="194">
        <v>0</v>
      </c>
      <c r="O995" s="193">
        <f t="shared" si="215"/>
        <v>2192</v>
      </c>
      <c r="P995" s="194">
        <v>1261</v>
      </c>
      <c r="Q995" s="194">
        <v>1093</v>
      </c>
      <c r="R995" s="194">
        <v>0</v>
      </c>
      <c r="S995" s="193">
        <f t="shared" si="216"/>
        <v>2354</v>
      </c>
      <c r="T995" s="193">
        <f t="shared" si="217"/>
        <v>267.58333333333331</v>
      </c>
      <c r="U995" s="193">
        <f ca="1">OFFSET('Expenditure Study'!$B$7,'Operations Support'!$C995,'Operations Support'!$B995)*$G995</f>
        <v>14385.28</v>
      </c>
      <c r="V995" s="199">
        <f ca="1">U995*'Expenditure Study'!$B$31</f>
        <v>849928.09909862408</v>
      </c>
      <c r="W995" s="199">
        <f ca="1">IF(A995=10298,1.51,1)*IF($B995&lt;3,$D995*'Expenditure Study'!$B$32*OFFSET('Expenditure Study'!$B$7,'Operations Support'!$C995,'Operations Support'!$B995),0)</f>
        <v>0</v>
      </c>
      <c r="X995" s="200">
        <f ca="1">W995*'Expenditure Study'!$B$31</f>
        <v>0</v>
      </c>
      <c r="Y995" s="199">
        <f ca="1">U995*'Expenditure Study'!$B$31</f>
        <v>849928.09909862408</v>
      </c>
      <c r="Z995" s="200">
        <f ca="1">W995*'Expenditure Study'!$B$31</f>
        <v>0</v>
      </c>
      <c r="AA995" s="195">
        <f t="shared" ca="1" si="218"/>
        <v>849928.09909862408</v>
      </c>
      <c r="AB995" s="195">
        <f t="shared" ca="1" si="219"/>
        <v>849928.09909862408</v>
      </c>
      <c r="AD995" s="196">
        <f>IFERROR($G995/SUMIF($A:$A,$A995,$G:$G)*SUMIF(Summary!$A$166:$A$242,$A995,Summary!$P$166:$P$242),0)</f>
        <v>103046.24408999181</v>
      </c>
      <c r="AE995" s="197">
        <f t="shared" ca="1" si="220"/>
        <v>746881.85500863229</v>
      </c>
      <c r="AF995" s="196">
        <f>IFERROR(G995/SUMIF(A:A,A995,G:G)*SUMIF(Summary!$A$166:$A$242,'Operations Support'!A995,Summary!$Q$166:$Q$242),0)</f>
        <v>103123.210787385</v>
      </c>
      <c r="AG995" s="196">
        <f t="shared" ca="1" si="221"/>
        <v>746804.88831123908</v>
      </c>
      <c r="AI995" s="196">
        <f>IFERROR($G995/SUMIF($A:$A,$A995,$G:$G)*SUMIF(Summary!$A$247:$A$283,$A995,Summary!$P$247:$P$283),0)</f>
        <v>18793.063431657574</v>
      </c>
      <c r="AJ995" s="196">
        <f>IFERROR($G995/SUMIF($A:$A,$A995,$G:$G)*(SUMIF(Summary!$A$247:$A$283,$A995,Summary!$L$247:$L$283)+SUMIF(Summary!$A$297:$A$333,$A995,Summary!$L$297:$L$333))-AI995,0)</f>
        <v>123145.78092846698</v>
      </c>
      <c r="AK995" s="196">
        <f>IFERROR($G995/SUMIF($A:$A,$A995,$G:$G)*SUMIF(Summary!$A$247:$A$283,$A995,Summary!$Q$247:$Q$283),0)</f>
        <v>18807.100236579565</v>
      </c>
      <c r="AL995" s="196">
        <f>IFERROR($G995/SUMIF($A:$A,$A995,$G:$G)*(SUMIF(Summary!$A$247:$A$283,$A995,Summary!$L$247:$L$283)+SUMIF(Summary!$A$297:$A$333,$A995,Summary!$L$297:$L$333))-AK995,0)</f>
        <v>123131.74412354498</v>
      </c>
      <c r="AM995" s="198"/>
      <c r="AN995" s="196">
        <f t="shared" ca="1" si="222"/>
        <v>870027.63593709923</v>
      </c>
      <c r="AO995" s="196">
        <f t="shared" ca="1" si="223"/>
        <v>869936.63243478409</v>
      </c>
    </row>
    <row r="996" spans="1:41">
      <c r="A996" s="189">
        <v>3624</v>
      </c>
      <c r="B996" s="203">
        <v>3</v>
      </c>
      <c r="C996" s="191" t="s">
        <v>224</v>
      </c>
      <c r="D996" s="192">
        <f t="shared" si="210"/>
        <v>530</v>
      </c>
      <c r="E996" s="192">
        <f t="shared" si="211"/>
        <v>51</v>
      </c>
      <c r="F996" s="192">
        <f t="shared" si="212"/>
        <v>0</v>
      </c>
      <c r="G996" s="193">
        <f t="shared" si="213"/>
        <v>581</v>
      </c>
      <c r="H996" s="194">
        <v>231</v>
      </c>
      <c r="I996" s="194">
        <v>21</v>
      </c>
      <c r="J996" s="194">
        <v>0</v>
      </c>
      <c r="K996" s="193">
        <f t="shared" si="214"/>
        <v>252</v>
      </c>
      <c r="L996" s="194">
        <v>214</v>
      </c>
      <c r="M996" s="194">
        <v>30</v>
      </c>
      <c r="N996" s="194">
        <v>0</v>
      </c>
      <c r="O996" s="193">
        <f t="shared" si="215"/>
        <v>244</v>
      </c>
      <c r="P996" s="194">
        <v>85</v>
      </c>
      <c r="Q996" s="194">
        <v>0</v>
      </c>
      <c r="R996" s="194">
        <v>0</v>
      </c>
      <c r="S996" s="193">
        <f t="shared" si="216"/>
        <v>85</v>
      </c>
      <c r="T996" s="193">
        <f t="shared" si="217"/>
        <v>24.208333333333332</v>
      </c>
      <c r="U996" s="193">
        <f ca="1">OFFSET('Expenditure Study'!$B$7,'Operations Support'!$C996,'Operations Support'!$B996)*$G996</f>
        <v>5327.7699999999995</v>
      </c>
      <c r="V996" s="199">
        <f ca="1">U996*'Expenditure Study'!$B$31</f>
        <v>314781.59817081597</v>
      </c>
      <c r="W996" s="199">
        <f ca="1">IF(A996=10298,1.51,1)*IF($B996&lt;3,$D996*'Expenditure Study'!$B$32*OFFSET('Expenditure Study'!$B$7,'Operations Support'!$C996,'Operations Support'!$B996),0)</f>
        <v>0</v>
      </c>
      <c r="X996" s="200">
        <f ca="1">W996*'Expenditure Study'!$B$31</f>
        <v>0</v>
      </c>
      <c r="Y996" s="199">
        <f ca="1">U996*'Expenditure Study'!$B$31</f>
        <v>314781.59817081597</v>
      </c>
      <c r="Z996" s="200">
        <f ca="1">W996*'Expenditure Study'!$B$31</f>
        <v>0</v>
      </c>
      <c r="AA996" s="195">
        <f t="shared" ca="1" si="218"/>
        <v>314781.59817081597</v>
      </c>
      <c r="AB996" s="195">
        <f t="shared" ca="1" si="219"/>
        <v>314781.59817081597</v>
      </c>
      <c r="AD996" s="196">
        <f>IFERROR($G996/SUMIF($A:$A,$A996,$G:$G)*SUMIF(Summary!$A$166:$A$242,$A996,Summary!$P$166:$P$242),0)</f>
        <v>9322.6203388796712</v>
      </c>
      <c r="AE996" s="197">
        <f t="shared" ca="1" si="220"/>
        <v>305458.97783193632</v>
      </c>
      <c r="AF996" s="196">
        <f>IFERROR(G996/SUMIF(A:A,A996,G:G)*SUMIF(Summary!$A$166:$A$242,'Operations Support'!A996,Summary!$Q$166:$Q$242),0)</f>
        <v>9329.5835358876811</v>
      </c>
      <c r="AG996" s="196">
        <f t="shared" ca="1" si="221"/>
        <v>305452.01463492826</v>
      </c>
      <c r="AI996" s="196">
        <f>IFERROR($G996/SUMIF($A:$A,$A996,$G:$G)*SUMIF(Summary!$A$247:$A$283,$A996,Summary!$P$247:$P$283),0)</f>
        <v>1700.2133064143648</v>
      </c>
      <c r="AJ996" s="196">
        <f>IFERROR($G996/SUMIF($A:$A,$A996,$G:$G)*(SUMIF(Summary!$A$247:$A$283,$A996,Summary!$L$247:$L$283)+SUMIF(Summary!$A$297:$A$333,$A996,Summary!$L$297:$L$333))-AI996,0)</f>
        <v>11141.030632114498</v>
      </c>
      <c r="AK996" s="196">
        <f>IFERROR($G996/SUMIF($A:$A,$A996,$G:$G)*SUMIF(Summary!$A$247:$A$283,$A996,Summary!$Q$247:$Q$283),0)</f>
        <v>1701.4832197839812</v>
      </c>
      <c r="AL996" s="196">
        <f>IFERROR($G996/SUMIF($A:$A,$A996,$G:$G)*(SUMIF(Summary!$A$247:$A$283,$A996,Summary!$L$247:$L$283)+SUMIF(Summary!$A$297:$A$333,$A996,Summary!$L$297:$L$333))-AK996,0)</f>
        <v>11139.760718744883</v>
      </c>
      <c r="AM996" s="198"/>
      <c r="AN996" s="196">
        <f t="shared" ca="1" si="222"/>
        <v>316600.00846405083</v>
      </c>
      <c r="AO996" s="196">
        <f t="shared" ca="1" si="223"/>
        <v>316591.77535367315</v>
      </c>
    </row>
    <row r="997" spans="1:41">
      <c r="A997" s="189">
        <v>3624</v>
      </c>
      <c r="B997" s="203">
        <v>3</v>
      </c>
      <c r="C997" s="191" t="s">
        <v>225</v>
      </c>
      <c r="D997" s="192">
        <f t="shared" si="210"/>
        <v>262</v>
      </c>
      <c r="E997" s="192">
        <f t="shared" si="211"/>
        <v>0</v>
      </c>
      <c r="F997" s="192">
        <f t="shared" si="212"/>
        <v>0</v>
      </c>
      <c r="G997" s="193">
        <f t="shared" si="213"/>
        <v>262</v>
      </c>
      <c r="H997" s="194">
        <v>138</v>
      </c>
      <c r="I997" s="194">
        <v>0</v>
      </c>
      <c r="J997" s="194">
        <v>0</v>
      </c>
      <c r="K997" s="193">
        <f t="shared" si="214"/>
        <v>138</v>
      </c>
      <c r="L997" s="194">
        <v>124</v>
      </c>
      <c r="M997" s="194">
        <v>0</v>
      </c>
      <c r="N997" s="194">
        <v>0</v>
      </c>
      <c r="O997" s="193">
        <f t="shared" si="215"/>
        <v>124</v>
      </c>
      <c r="P997" s="194">
        <v>0</v>
      </c>
      <c r="Q997" s="194">
        <v>0</v>
      </c>
      <c r="R997" s="194">
        <v>0</v>
      </c>
      <c r="S997" s="193">
        <f t="shared" si="216"/>
        <v>0</v>
      </c>
      <c r="T997" s="193">
        <f t="shared" si="217"/>
        <v>10.916666666666666</v>
      </c>
      <c r="U997" s="193">
        <f ca="1">OFFSET('Expenditure Study'!$B$7,'Operations Support'!$C997,'Operations Support'!$B997)*$G997</f>
        <v>1810.42</v>
      </c>
      <c r="V997" s="199">
        <f ca="1">U997*'Expenditure Study'!$B$31</f>
        <v>106965.37218393601</v>
      </c>
      <c r="W997" s="199">
        <f ca="1">IF(A997=10298,1.51,1)*IF($B997&lt;3,$D997*'Expenditure Study'!$B$32*OFFSET('Expenditure Study'!$B$7,'Operations Support'!$C997,'Operations Support'!$B997),0)</f>
        <v>0</v>
      </c>
      <c r="X997" s="200">
        <f ca="1">W997*'Expenditure Study'!$B$31</f>
        <v>0</v>
      </c>
      <c r="Y997" s="199">
        <f ca="1">U997*'Expenditure Study'!$B$31</f>
        <v>106965.37218393601</v>
      </c>
      <c r="Z997" s="200">
        <f ca="1">W997*'Expenditure Study'!$B$31</f>
        <v>0</v>
      </c>
      <c r="AA997" s="195">
        <f t="shared" ca="1" si="218"/>
        <v>106965.37218393601</v>
      </c>
      <c r="AB997" s="195">
        <f t="shared" ca="1" si="219"/>
        <v>106965.37218393601</v>
      </c>
      <c r="AD997" s="196">
        <f>IFERROR($G997/SUMIF($A:$A,$A997,$G:$G)*SUMIF(Summary!$A$166:$A$242,$A997,Summary!$P$166:$P$242),0)</f>
        <v>4204.004352472416</v>
      </c>
      <c r="AE997" s="197">
        <f t="shared" ca="1" si="220"/>
        <v>102761.36783146359</v>
      </c>
      <c r="AF997" s="196">
        <f>IFERROR(G997/SUMIF(A:A,A997,G:G)*SUMIF(Summary!$A$166:$A$242,'Operations Support'!A997,Summary!$Q$166:$Q$242),0)</f>
        <v>4207.1443827927233</v>
      </c>
      <c r="AG997" s="196">
        <f t="shared" ca="1" si="221"/>
        <v>102758.22780114328</v>
      </c>
      <c r="AI997" s="196">
        <f>IFERROR($G997/SUMIF($A:$A,$A997,$G:$G)*SUMIF(Summary!$A$247:$A$283,$A997,Summary!$P$247:$P$283),0)</f>
        <v>766.70548413177892</v>
      </c>
      <c r="AJ997" s="196">
        <f>IFERROR($G997/SUMIF($A:$A,$A997,$G:$G)*(SUMIF(Summary!$A$247:$A$283,$A997,Summary!$L$247:$L$283)+SUMIF(Summary!$A$297:$A$333,$A997,Summary!$L$297:$L$333))-AI997,0)</f>
        <v>5024.0103711084312</v>
      </c>
      <c r="AK997" s="196">
        <f>IFERROR($G997/SUMIF($A:$A,$A997,$G:$G)*SUMIF(Summary!$A$247:$A$283,$A997,Summary!$Q$247:$Q$283),0)</f>
        <v>767.27814730361979</v>
      </c>
      <c r="AL997" s="196">
        <f>IFERROR($G997/SUMIF($A:$A,$A997,$G:$G)*(SUMIF(Summary!$A$247:$A$283,$A997,Summary!$L$247:$L$283)+SUMIF(Summary!$A$297:$A$333,$A997,Summary!$L$297:$L$333))-AK997,0)</f>
        <v>5023.4377079365895</v>
      </c>
      <c r="AM997" s="198"/>
      <c r="AN997" s="196">
        <f t="shared" ca="1" si="222"/>
        <v>107785.37820257203</v>
      </c>
      <c r="AO997" s="196">
        <f t="shared" ca="1" si="223"/>
        <v>107781.66550907987</v>
      </c>
    </row>
    <row r="998" spans="1:41">
      <c r="A998" s="189">
        <v>3624</v>
      </c>
      <c r="B998" s="203">
        <v>3</v>
      </c>
      <c r="C998" s="191" t="s">
        <v>226</v>
      </c>
      <c r="D998" s="192">
        <f t="shared" si="210"/>
        <v>380</v>
      </c>
      <c r="E998" s="192">
        <f t="shared" si="211"/>
        <v>303</v>
      </c>
      <c r="F998" s="192">
        <f t="shared" si="212"/>
        <v>0</v>
      </c>
      <c r="G998" s="193">
        <f t="shared" si="213"/>
        <v>683</v>
      </c>
      <c r="H998" s="194">
        <v>199</v>
      </c>
      <c r="I998" s="194">
        <v>33</v>
      </c>
      <c r="J998" s="194">
        <v>0</v>
      </c>
      <c r="K998" s="193">
        <f t="shared" si="214"/>
        <v>232</v>
      </c>
      <c r="L998" s="194">
        <v>138</v>
      </c>
      <c r="M998" s="194">
        <v>123</v>
      </c>
      <c r="N998" s="194">
        <v>0</v>
      </c>
      <c r="O998" s="193">
        <f t="shared" si="215"/>
        <v>261</v>
      </c>
      <c r="P998" s="194">
        <v>43</v>
      </c>
      <c r="Q998" s="194">
        <v>147</v>
      </c>
      <c r="R998" s="194">
        <v>0</v>
      </c>
      <c r="S998" s="193">
        <f t="shared" si="216"/>
        <v>190</v>
      </c>
      <c r="T998" s="193">
        <f t="shared" si="217"/>
        <v>28.458333333333332</v>
      </c>
      <c r="U998" s="193">
        <f ca="1">OFFSET('Expenditure Study'!$B$7,'Operations Support'!$C998,'Operations Support'!$B998)*$G998</f>
        <v>2356.35</v>
      </c>
      <c r="V998" s="199">
        <f ca="1">U998*'Expenditure Study'!$B$31</f>
        <v>139220.65307808001</v>
      </c>
      <c r="W998" s="199">
        <f ca="1">IF(A998=10298,1.51,1)*IF($B998&lt;3,$D998*'Expenditure Study'!$B$32*OFFSET('Expenditure Study'!$B$7,'Operations Support'!$C998,'Operations Support'!$B998),0)</f>
        <v>0</v>
      </c>
      <c r="X998" s="200">
        <f ca="1">W998*'Expenditure Study'!$B$31</f>
        <v>0</v>
      </c>
      <c r="Y998" s="199">
        <f ca="1">U998*'Expenditure Study'!$B$31</f>
        <v>139220.65307808001</v>
      </c>
      <c r="Z998" s="200">
        <f ca="1">W998*'Expenditure Study'!$B$31</f>
        <v>0</v>
      </c>
      <c r="AA998" s="195">
        <f t="shared" ca="1" si="218"/>
        <v>139220.65307808001</v>
      </c>
      <c r="AB998" s="195">
        <f t="shared" ca="1" si="219"/>
        <v>139220.65307808001</v>
      </c>
      <c r="AD998" s="196">
        <f>IFERROR($G998/SUMIF($A:$A,$A998,$G:$G)*SUMIF(Summary!$A$166:$A$242,$A998,Summary!$P$166:$P$242),0)</f>
        <v>10959.293789078856</v>
      </c>
      <c r="AE998" s="197">
        <f t="shared" ca="1" si="220"/>
        <v>128261.35928900115</v>
      </c>
      <c r="AF998" s="196">
        <f>IFERROR(G998/SUMIF(A:A,A998,G:G)*SUMIF(Summary!$A$166:$A$242,'Operations Support'!A998,Summary!$Q$166:$Q$242),0)</f>
        <v>10967.479440639047</v>
      </c>
      <c r="AG998" s="196">
        <f t="shared" ca="1" si="221"/>
        <v>128253.17363744097</v>
      </c>
      <c r="AI998" s="196">
        <f>IFERROR($G998/SUMIF($A:$A,$A998,$G:$G)*SUMIF(Summary!$A$247:$A$283,$A998,Summary!$P$247:$P$283),0)</f>
        <v>1998.7017010000191</v>
      </c>
      <c r="AJ998" s="196">
        <f>IFERROR($G998/SUMIF($A:$A,$A998,$G:$G)*(SUMIF(Summary!$A$247:$A$283,$A998,Summary!$L$247:$L$283)+SUMIF(Summary!$A$297:$A$333,$A998,Summary!$L$297:$L$333))-AI998,0)</f>
        <v>13096.943066668162</v>
      </c>
      <c r="AK998" s="196">
        <f>IFERROR($G998/SUMIF($A:$A,$A998,$G:$G)*SUMIF(Summary!$A$247:$A$283,$A998,Summary!$Q$247:$Q$283),0)</f>
        <v>2000.1945595739401</v>
      </c>
      <c r="AL998" s="196">
        <f>IFERROR($G998/SUMIF($A:$A,$A998,$G:$G)*(SUMIF(Summary!$A$247:$A$283,$A998,Summary!$L$247:$L$283)+SUMIF(Summary!$A$297:$A$333,$A998,Summary!$L$297:$L$333))-AK998,0)</f>
        <v>13095.450208094242</v>
      </c>
      <c r="AM998" s="198"/>
      <c r="AN998" s="196">
        <f t="shared" ca="1" si="222"/>
        <v>141358.30235566932</v>
      </c>
      <c r="AO998" s="196">
        <f t="shared" ca="1" si="223"/>
        <v>141348.62384553521</v>
      </c>
    </row>
    <row r="999" spans="1:41">
      <c r="A999" s="189">
        <v>3624</v>
      </c>
      <c r="B999" s="203">
        <v>3</v>
      </c>
      <c r="C999" s="191" t="s">
        <v>227</v>
      </c>
      <c r="D999" s="192">
        <f t="shared" si="210"/>
        <v>0</v>
      </c>
      <c r="E999" s="192">
        <f t="shared" si="211"/>
        <v>0</v>
      </c>
      <c r="F999" s="192">
        <f t="shared" si="212"/>
        <v>0</v>
      </c>
      <c r="G999" s="193">
        <f t="shared" si="213"/>
        <v>0</v>
      </c>
      <c r="H999" s="194">
        <v>0</v>
      </c>
      <c r="I999" s="194">
        <v>0</v>
      </c>
      <c r="J999" s="194">
        <v>0</v>
      </c>
      <c r="K999" s="193">
        <f t="shared" si="214"/>
        <v>0</v>
      </c>
      <c r="L999" s="194">
        <v>0</v>
      </c>
      <c r="M999" s="194">
        <v>0</v>
      </c>
      <c r="N999" s="194">
        <v>0</v>
      </c>
      <c r="O999" s="193">
        <f t="shared" si="215"/>
        <v>0</v>
      </c>
      <c r="P999" s="194">
        <v>0</v>
      </c>
      <c r="Q999" s="194">
        <v>0</v>
      </c>
      <c r="R999" s="194">
        <v>0</v>
      </c>
      <c r="S999" s="193">
        <f t="shared" si="216"/>
        <v>0</v>
      </c>
      <c r="T999" s="193">
        <f t="shared" si="217"/>
        <v>0</v>
      </c>
      <c r="U999" s="193">
        <f ca="1">OFFSET('Expenditure Study'!$B$7,'Operations Support'!$C999,'Operations Support'!$B999)*$G999</f>
        <v>0</v>
      </c>
      <c r="V999" s="199">
        <f ca="1">U999*'Expenditure Study'!$B$31</f>
        <v>0</v>
      </c>
      <c r="W999" s="199">
        <f ca="1">IF(A999=10298,1.51,1)*IF($B999&lt;3,$D999*'Expenditure Study'!$B$32*OFFSET('Expenditure Study'!$B$7,'Operations Support'!$C999,'Operations Support'!$B999),0)</f>
        <v>0</v>
      </c>
      <c r="X999" s="200">
        <f ca="1">W999*'Expenditure Study'!$B$31</f>
        <v>0</v>
      </c>
      <c r="Y999" s="199">
        <f ca="1">U999*'Expenditure Study'!$B$31</f>
        <v>0</v>
      </c>
      <c r="Z999" s="200">
        <f ca="1">W999*'Expenditure Study'!$B$31</f>
        <v>0</v>
      </c>
      <c r="AA999" s="195">
        <f t="shared" ca="1" si="218"/>
        <v>0</v>
      </c>
      <c r="AB999" s="195">
        <f t="shared" ca="1" si="219"/>
        <v>0</v>
      </c>
      <c r="AD999" s="196">
        <f>IFERROR($G999/SUMIF($A:$A,$A999,$G:$G)*SUMIF(Summary!$A$166:$A$242,$A999,Summary!$P$166:$P$242),0)</f>
        <v>0</v>
      </c>
      <c r="AE999" s="197">
        <f t="shared" ca="1" si="220"/>
        <v>0</v>
      </c>
      <c r="AF999" s="196">
        <f>IFERROR(G999/SUMIF(A:A,A999,G:G)*SUMIF(Summary!$A$166:$A$242,'Operations Support'!A999,Summary!$Q$166:$Q$242),0)</f>
        <v>0</v>
      </c>
      <c r="AG999" s="196">
        <f t="shared" ca="1" si="221"/>
        <v>0</v>
      </c>
      <c r="AI999" s="196">
        <f>IFERROR($G999/SUMIF($A:$A,$A999,$G:$G)*SUMIF(Summary!$A$247:$A$283,$A999,Summary!$P$247:$P$283),0)</f>
        <v>0</v>
      </c>
      <c r="AJ999" s="196">
        <f>IFERROR($G999/SUMIF($A:$A,$A999,$G:$G)*(SUMIF(Summary!$A$247:$A$283,$A999,Summary!$L$247:$L$283)+SUMIF(Summary!$A$297:$A$333,$A999,Summary!$L$297:$L$333))-AI999,0)</f>
        <v>0</v>
      </c>
      <c r="AK999" s="196">
        <f>IFERROR($G999/SUMIF($A:$A,$A999,$G:$G)*SUMIF(Summary!$A$247:$A$283,$A999,Summary!$Q$247:$Q$283),0)</f>
        <v>0</v>
      </c>
      <c r="AL999" s="196">
        <f>IFERROR($G999/SUMIF($A:$A,$A999,$G:$G)*(SUMIF(Summary!$A$247:$A$283,$A999,Summary!$L$247:$L$283)+SUMIF(Summary!$A$297:$A$333,$A999,Summary!$L$297:$L$333))-AK999,0)</f>
        <v>0</v>
      </c>
      <c r="AM999" s="198"/>
      <c r="AN999" s="196">
        <f t="shared" ca="1" si="222"/>
        <v>0</v>
      </c>
      <c r="AO999" s="196">
        <f t="shared" ca="1" si="223"/>
        <v>0</v>
      </c>
    </row>
    <row r="1000" spans="1:41">
      <c r="A1000" s="189">
        <v>3624</v>
      </c>
      <c r="B1000" s="203">
        <v>3</v>
      </c>
      <c r="C1000" s="191" t="s">
        <v>228</v>
      </c>
      <c r="D1000" s="192">
        <f t="shared" si="210"/>
        <v>1192</v>
      </c>
      <c r="E1000" s="192">
        <f t="shared" si="211"/>
        <v>1713</v>
      </c>
      <c r="F1000" s="192">
        <f t="shared" si="212"/>
        <v>0</v>
      </c>
      <c r="G1000" s="193">
        <f t="shared" si="213"/>
        <v>2905</v>
      </c>
      <c r="H1000" s="194">
        <v>412</v>
      </c>
      <c r="I1000" s="194">
        <v>997</v>
      </c>
      <c r="J1000" s="194">
        <v>0</v>
      </c>
      <c r="K1000" s="193">
        <f t="shared" si="214"/>
        <v>1409</v>
      </c>
      <c r="L1000" s="194">
        <v>636</v>
      </c>
      <c r="M1000" s="194">
        <v>500</v>
      </c>
      <c r="N1000" s="194">
        <v>0</v>
      </c>
      <c r="O1000" s="193">
        <f t="shared" si="215"/>
        <v>1136</v>
      </c>
      <c r="P1000" s="194">
        <v>144</v>
      </c>
      <c r="Q1000" s="194">
        <v>216</v>
      </c>
      <c r="R1000" s="194">
        <v>0</v>
      </c>
      <c r="S1000" s="193">
        <f t="shared" si="216"/>
        <v>360</v>
      </c>
      <c r="T1000" s="193">
        <f t="shared" si="217"/>
        <v>121.04166666666667</v>
      </c>
      <c r="U1000" s="193">
        <f ca="1">OFFSET('Expenditure Study'!$B$7,'Operations Support'!$C1000,'Operations Support'!$B1000)*$G1000</f>
        <v>7088.2</v>
      </c>
      <c r="V1000" s="199">
        <f ca="1">U1000*'Expenditure Study'!$B$31</f>
        <v>418793.40214656002</v>
      </c>
      <c r="W1000" s="199">
        <f ca="1">IF(A1000=10298,1.51,1)*IF($B1000&lt;3,$D1000*'Expenditure Study'!$B$32*OFFSET('Expenditure Study'!$B$7,'Operations Support'!$C1000,'Operations Support'!$B1000),0)</f>
        <v>0</v>
      </c>
      <c r="X1000" s="200">
        <f ca="1">W1000*'Expenditure Study'!$B$31</f>
        <v>0</v>
      </c>
      <c r="Y1000" s="199">
        <f ca="1">U1000*'Expenditure Study'!$B$31</f>
        <v>418793.40214656002</v>
      </c>
      <c r="Z1000" s="200">
        <f ca="1">W1000*'Expenditure Study'!$B$31</f>
        <v>0</v>
      </c>
      <c r="AA1000" s="195">
        <f t="shared" ca="1" si="218"/>
        <v>418793.40214656002</v>
      </c>
      <c r="AB1000" s="195">
        <f t="shared" ca="1" si="219"/>
        <v>418793.40214656002</v>
      </c>
      <c r="AD1000" s="196">
        <f>IFERROR($G1000/SUMIF($A:$A,$A1000,$G:$G)*SUMIF(Summary!$A$166:$A$242,$A1000,Summary!$P$166:$P$242),0)</f>
        <v>46613.101694398356</v>
      </c>
      <c r="AE1000" s="197">
        <f t="shared" ca="1" si="220"/>
        <v>372180.3004521617</v>
      </c>
      <c r="AF1000" s="196">
        <f>IFERROR(G1000/SUMIF(A:A,A1000,G:G)*SUMIF(Summary!$A$166:$A$242,'Operations Support'!A1000,Summary!$Q$166:$Q$242),0)</f>
        <v>46647.917679438411</v>
      </c>
      <c r="AG1000" s="196">
        <f t="shared" ca="1" si="221"/>
        <v>372145.4844671216</v>
      </c>
      <c r="AI1000" s="196">
        <f>IFERROR($G1000/SUMIF($A:$A,$A1000,$G:$G)*SUMIF(Summary!$A$247:$A$283,$A1000,Summary!$P$247:$P$283),0)</f>
        <v>8501.0665320718235</v>
      </c>
      <c r="AJ1000" s="196">
        <f>IFERROR($G1000/SUMIF($A:$A,$A1000,$G:$G)*(SUMIF(Summary!$A$247:$A$283,$A1000,Summary!$L$247:$L$283)+SUMIF(Summary!$A$297:$A$333,$A1000,Summary!$L$297:$L$333))-AI1000,0)</f>
        <v>55705.153160572496</v>
      </c>
      <c r="AK1000" s="196">
        <f>IFERROR($G1000/SUMIF($A:$A,$A1000,$G:$G)*SUMIF(Summary!$A$247:$A$283,$A1000,Summary!$Q$247:$Q$283),0)</f>
        <v>8507.4160989199063</v>
      </c>
      <c r="AL1000" s="196">
        <f>IFERROR($G1000/SUMIF($A:$A,$A1000,$G:$G)*(SUMIF(Summary!$A$247:$A$283,$A1000,Summary!$L$247:$L$283)+SUMIF(Summary!$A$297:$A$333,$A1000,Summary!$L$297:$L$333))-AK1000,0)</f>
        <v>55698.803593724413</v>
      </c>
      <c r="AM1000" s="198"/>
      <c r="AN1000" s="196">
        <f t="shared" ca="1" si="222"/>
        <v>427885.45361273421</v>
      </c>
      <c r="AO1000" s="196">
        <f t="shared" ca="1" si="223"/>
        <v>427844.28806084604</v>
      </c>
    </row>
    <row r="1001" spans="1:41">
      <c r="A1001" s="189">
        <v>3624</v>
      </c>
      <c r="B1001" s="203">
        <v>3</v>
      </c>
      <c r="C1001" s="191" t="s">
        <v>229</v>
      </c>
      <c r="D1001" s="192">
        <f t="shared" si="210"/>
        <v>0</v>
      </c>
      <c r="E1001" s="192">
        <f t="shared" si="211"/>
        <v>0</v>
      </c>
      <c r="F1001" s="192">
        <f t="shared" si="212"/>
        <v>0</v>
      </c>
      <c r="G1001" s="193">
        <f t="shared" si="213"/>
        <v>0</v>
      </c>
      <c r="H1001" s="194">
        <v>0</v>
      </c>
      <c r="I1001" s="194">
        <v>0</v>
      </c>
      <c r="J1001" s="194">
        <v>0</v>
      </c>
      <c r="K1001" s="193">
        <f t="shared" si="214"/>
        <v>0</v>
      </c>
      <c r="L1001" s="194">
        <v>0</v>
      </c>
      <c r="M1001" s="194">
        <v>0</v>
      </c>
      <c r="N1001" s="194">
        <v>0</v>
      </c>
      <c r="O1001" s="193">
        <f t="shared" si="215"/>
        <v>0</v>
      </c>
      <c r="P1001" s="194">
        <v>0</v>
      </c>
      <c r="Q1001" s="194">
        <v>0</v>
      </c>
      <c r="R1001" s="194">
        <v>0</v>
      </c>
      <c r="S1001" s="193">
        <f t="shared" si="216"/>
        <v>0</v>
      </c>
      <c r="T1001" s="193">
        <f t="shared" si="217"/>
        <v>0</v>
      </c>
      <c r="U1001" s="193">
        <f ca="1">OFFSET('Expenditure Study'!$B$7,'Operations Support'!$C1001,'Operations Support'!$B1001)*$G1001</f>
        <v>0</v>
      </c>
      <c r="V1001" s="199">
        <f ca="1">U1001*'Expenditure Study'!$B$31</f>
        <v>0</v>
      </c>
      <c r="W1001" s="199">
        <f ca="1">IF(A1001=10298,1.51,1)*IF($B1001&lt;3,$D1001*'Expenditure Study'!$B$32*OFFSET('Expenditure Study'!$B$7,'Operations Support'!$C1001,'Operations Support'!$B1001),0)</f>
        <v>0</v>
      </c>
      <c r="X1001" s="200">
        <f ca="1">W1001*'Expenditure Study'!$B$31</f>
        <v>0</v>
      </c>
      <c r="Y1001" s="199">
        <f ca="1">U1001*'Expenditure Study'!$B$31</f>
        <v>0</v>
      </c>
      <c r="Z1001" s="200">
        <f ca="1">W1001*'Expenditure Study'!$B$31</f>
        <v>0</v>
      </c>
      <c r="AA1001" s="195">
        <f t="shared" ca="1" si="218"/>
        <v>0</v>
      </c>
      <c r="AB1001" s="195">
        <f t="shared" ca="1" si="219"/>
        <v>0</v>
      </c>
      <c r="AD1001" s="196">
        <f>IFERROR($G1001/SUMIF($A:$A,$A1001,$G:$G)*SUMIF(Summary!$A$166:$A$242,$A1001,Summary!$P$166:$P$242),0)</f>
        <v>0</v>
      </c>
      <c r="AE1001" s="197">
        <f t="shared" ca="1" si="220"/>
        <v>0</v>
      </c>
      <c r="AF1001" s="196">
        <f>IFERROR(G1001/SUMIF(A:A,A1001,G:G)*SUMIF(Summary!$A$166:$A$242,'Operations Support'!A1001,Summary!$Q$166:$Q$242),0)</f>
        <v>0</v>
      </c>
      <c r="AG1001" s="196">
        <f t="shared" ca="1" si="221"/>
        <v>0</v>
      </c>
      <c r="AI1001" s="196">
        <f>IFERROR($G1001/SUMIF($A:$A,$A1001,$G:$G)*SUMIF(Summary!$A$247:$A$283,$A1001,Summary!$P$247:$P$283),0)</f>
        <v>0</v>
      </c>
      <c r="AJ1001" s="196">
        <f>IFERROR($G1001/SUMIF($A:$A,$A1001,$G:$G)*(SUMIF(Summary!$A$247:$A$283,$A1001,Summary!$L$247:$L$283)+SUMIF(Summary!$A$297:$A$333,$A1001,Summary!$L$297:$L$333))-AI1001,0)</f>
        <v>0</v>
      </c>
      <c r="AK1001" s="196">
        <f>IFERROR($G1001/SUMIF($A:$A,$A1001,$G:$G)*SUMIF(Summary!$A$247:$A$283,$A1001,Summary!$Q$247:$Q$283),0)</f>
        <v>0</v>
      </c>
      <c r="AL1001" s="196">
        <f>IFERROR($G1001/SUMIF($A:$A,$A1001,$G:$G)*(SUMIF(Summary!$A$247:$A$283,$A1001,Summary!$L$247:$L$283)+SUMIF(Summary!$A$297:$A$333,$A1001,Summary!$L$297:$L$333))-AK1001,0)</f>
        <v>0</v>
      </c>
      <c r="AM1001" s="198"/>
      <c r="AN1001" s="196">
        <f t="shared" ca="1" si="222"/>
        <v>0</v>
      </c>
      <c r="AO1001" s="196">
        <f t="shared" ca="1" si="223"/>
        <v>0</v>
      </c>
    </row>
    <row r="1002" spans="1:41" s="201" customFormat="1">
      <c r="A1002" s="189">
        <v>3624</v>
      </c>
      <c r="B1002" s="203">
        <v>3</v>
      </c>
      <c r="C1002" s="191" t="s">
        <v>230</v>
      </c>
      <c r="D1002" s="192">
        <f t="shared" si="210"/>
        <v>0</v>
      </c>
      <c r="E1002" s="192">
        <f t="shared" si="211"/>
        <v>0</v>
      </c>
      <c r="F1002" s="192">
        <f t="shared" si="212"/>
        <v>0</v>
      </c>
      <c r="G1002" s="193">
        <f t="shared" si="213"/>
        <v>0</v>
      </c>
      <c r="H1002" s="194">
        <v>0</v>
      </c>
      <c r="I1002" s="194">
        <v>0</v>
      </c>
      <c r="J1002" s="194">
        <v>0</v>
      </c>
      <c r="K1002" s="193">
        <f t="shared" si="214"/>
        <v>0</v>
      </c>
      <c r="L1002" s="194">
        <v>0</v>
      </c>
      <c r="M1002" s="194">
        <v>0</v>
      </c>
      <c r="N1002" s="194">
        <v>0</v>
      </c>
      <c r="O1002" s="193">
        <f t="shared" si="215"/>
        <v>0</v>
      </c>
      <c r="P1002" s="194">
        <v>0</v>
      </c>
      <c r="Q1002" s="194">
        <v>0</v>
      </c>
      <c r="R1002" s="194">
        <v>0</v>
      </c>
      <c r="S1002" s="193">
        <f t="shared" si="216"/>
        <v>0</v>
      </c>
      <c r="T1002" s="193">
        <f t="shared" si="217"/>
        <v>0</v>
      </c>
      <c r="U1002" s="193">
        <f ca="1">OFFSET('Expenditure Study'!$B$7,'Operations Support'!$C1002,'Operations Support'!$B1002)*$G1002</f>
        <v>0</v>
      </c>
      <c r="V1002" s="199">
        <f ca="1">U1002*'Expenditure Study'!$B$31</f>
        <v>0</v>
      </c>
      <c r="W1002" s="199">
        <f ca="1">IF(A1002=10298,1.51,1)*IF($B1002&lt;3,$D1002*'Expenditure Study'!$B$32*OFFSET('Expenditure Study'!$B$7,'Operations Support'!$C1002,'Operations Support'!$B1002),0)</f>
        <v>0</v>
      </c>
      <c r="X1002" s="200">
        <f ca="1">W1002*'Expenditure Study'!$B$31</f>
        <v>0</v>
      </c>
      <c r="Y1002" s="199">
        <f ca="1">U1002*'Expenditure Study'!$B$31</f>
        <v>0</v>
      </c>
      <c r="Z1002" s="200">
        <f ca="1">W1002*'Expenditure Study'!$B$31</f>
        <v>0</v>
      </c>
      <c r="AA1002" s="195">
        <f t="shared" ca="1" si="218"/>
        <v>0</v>
      </c>
      <c r="AB1002" s="195">
        <f t="shared" ca="1" si="219"/>
        <v>0</v>
      </c>
      <c r="AD1002" s="196">
        <f>IFERROR($G1002/SUMIF($A:$A,$A1002,$G:$G)*SUMIF(Summary!$A$166:$A$242,$A1002,Summary!$P$166:$P$242),0)</f>
        <v>0</v>
      </c>
      <c r="AE1002" s="197">
        <f t="shared" ca="1" si="220"/>
        <v>0</v>
      </c>
      <c r="AF1002" s="196">
        <f>IFERROR(G1002/SUMIF(A:A,A1002,G:G)*SUMIF(Summary!$A$166:$A$242,'Operations Support'!A1002,Summary!$Q$166:$Q$242),0)</f>
        <v>0</v>
      </c>
      <c r="AG1002" s="196">
        <f t="shared" ca="1" si="221"/>
        <v>0</v>
      </c>
      <c r="AH1002" s="180"/>
      <c r="AI1002" s="196">
        <f>IFERROR($G1002/SUMIF($A:$A,$A1002,$G:$G)*SUMIF(Summary!$A$247:$A$283,$A1002,Summary!$P$247:$P$283),0)</f>
        <v>0</v>
      </c>
      <c r="AJ1002" s="196">
        <f>IFERROR($G1002/SUMIF($A:$A,$A1002,$G:$G)*(SUMIF(Summary!$A$247:$A$283,$A1002,Summary!$L$247:$L$283)+SUMIF(Summary!$A$297:$A$333,$A1002,Summary!$L$297:$L$333))-AI1002,0)</f>
        <v>0</v>
      </c>
      <c r="AK1002" s="196">
        <f>IFERROR($G1002/SUMIF($A:$A,$A1002,$G:$G)*SUMIF(Summary!$A$247:$A$283,$A1002,Summary!$Q$247:$Q$283),0)</f>
        <v>0</v>
      </c>
      <c r="AL1002" s="196">
        <f>IFERROR($G1002/SUMIF($A:$A,$A1002,$G:$G)*(SUMIF(Summary!$A$247:$A$283,$A1002,Summary!$L$247:$L$283)+SUMIF(Summary!$A$297:$A$333,$A1002,Summary!$L$297:$L$333))-AK1002,0)</f>
        <v>0</v>
      </c>
      <c r="AM1002" s="198"/>
      <c r="AN1002" s="196">
        <f t="shared" ca="1" si="222"/>
        <v>0</v>
      </c>
      <c r="AO1002" s="196">
        <f t="shared" ca="1" si="223"/>
        <v>0</v>
      </c>
    </row>
    <row r="1003" spans="1:41" s="201" customFormat="1">
      <c r="A1003" s="189">
        <v>3624</v>
      </c>
      <c r="B1003" s="203">
        <v>3</v>
      </c>
      <c r="C1003" s="191" t="s">
        <v>231</v>
      </c>
      <c r="D1003" s="192">
        <f t="shared" si="210"/>
        <v>0</v>
      </c>
      <c r="E1003" s="192">
        <f t="shared" si="211"/>
        <v>0</v>
      </c>
      <c r="F1003" s="192">
        <f t="shared" si="212"/>
        <v>0</v>
      </c>
      <c r="G1003" s="193">
        <f t="shared" si="213"/>
        <v>0</v>
      </c>
      <c r="H1003" s="194">
        <v>0</v>
      </c>
      <c r="I1003" s="194">
        <v>0</v>
      </c>
      <c r="J1003" s="194">
        <v>0</v>
      </c>
      <c r="K1003" s="193">
        <f t="shared" si="214"/>
        <v>0</v>
      </c>
      <c r="L1003" s="194">
        <v>0</v>
      </c>
      <c r="M1003" s="194">
        <v>0</v>
      </c>
      <c r="N1003" s="194">
        <v>0</v>
      </c>
      <c r="O1003" s="193">
        <f t="shared" si="215"/>
        <v>0</v>
      </c>
      <c r="P1003" s="194">
        <v>0</v>
      </c>
      <c r="Q1003" s="194">
        <v>0</v>
      </c>
      <c r="R1003" s="194">
        <v>0</v>
      </c>
      <c r="S1003" s="193">
        <f t="shared" si="216"/>
        <v>0</v>
      </c>
      <c r="T1003" s="193">
        <f t="shared" si="217"/>
        <v>0</v>
      </c>
      <c r="U1003" s="193">
        <f ca="1">OFFSET('Expenditure Study'!$B$7,'Operations Support'!$C1003,'Operations Support'!$B1003)*$G1003</f>
        <v>0</v>
      </c>
      <c r="V1003" s="199">
        <f ca="1">U1003*'Expenditure Study'!$B$31</f>
        <v>0</v>
      </c>
      <c r="W1003" s="199">
        <f ca="1">IF(A1003=10298,1.51,1)*IF($B1003&lt;3,$D1003*'Expenditure Study'!$B$32*OFFSET('Expenditure Study'!$B$7,'Operations Support'!$C1003,'Operations Support'!$B1003),0)</f>
        <v>0</v>
      </c>
      <c r="X1003" s="200">
        <f ca="1">W1003*'Expenditure Study'!$B$31</f>
        <v>0</v>
      </c>
      <c r="Y1003" s="199">
        <f ca="1">U1003*'Expenditure Study'!$B$31</f>
        <v>0</v>
      </c>
      <c r="Z1003" s="200">
        <f ca="1">W1003*'Expenditure Study'!$B$31</f>
        <v>0</v>
      </c>
      <c r="AA1003" s="195">
        <f t="shared" ca="1" si="218"/>
        <v>0</v>
      </c>
      <c r="AB1003" s="195">
        <f t="shared" ca="1" si="219"/>
        <v>0</v>
      </c>
      <c r="AD1003" s="196">
        <f>IFERROR($G1003/SUMIF($A:$A,$A1003,$G:$G)*SUMIF(Summary!$A$166:$A$242,$A1003,Summary!$P$166:$P$242),0)</f>
        <v>0</v>
      </c>
      <c r="AE1003" s="197">
        <f t="shared" ca="1" si="220"/>
        <v>0</v>
      </c>
      <c r="AF1003" s="196">
        <f>IFERROR(G1003/SUMIF(A:A,A1003,G:G)*SUMIF(Summary!$A$166:$A$242,'Operations Support'!A1003,Summary!$Q$166:$Q$242),0)</f>
        <v>0</v>
      </c>
      <c r="AG1003" s="196">
        <f t="shared" ca="1" si="221"/>
        <v>0</v>
      </c>
      <c r="AH1003" s="180"/>
      <c r="AI1003" s="196">
        <f>IFERROR($G1003/SUMIF($A:$A,$A1003,$G:$G)*SUMIF(Summary!$A$247:$A$283,$A1003,Summary!$P$247:$P$283),0)</f>
        <v>0</v>
      </c>
      <c r="AJ1003" s="196">
        <f>IFERROR($G1003/SUMIF($A:$A,$A1003,$G:$G)*(SUMIF(Summary!$A$247:$A$283,$A1003,Summary!$L$247:$L$283)+SUMIF(Summary!$A$297:$A$333,$A1003,Summary!$L$297:$L$333))-AI1003,0)</f>
        <v>0</v>
      </c>
      <c r="AK1003" s="196">
        <f>IFERROR($G1003/SUMIF($A:$A,$A1003,$G:$G)*SUMIF(Summary!$A$247:$A$283,$A1003,Summary!$Q$247:$Q$283),0)</f>
        <v>0</v>
      </c>
      <c r="AL1003" s="196">
        <f>IFERROR($G1003/SUMIF($A:$A,$A1003,$G:$G)*(SUMIF(Summary!$A$247:$A$283,$A1003,Summary!$L$247:$L$283)+SUMIF(Summary!$A$297:$A$333,$A1003,Summary!$L$297:$L$333))-AK1003,0)</f>
        <v>0</v>
      </c>
      <c r="AM1003" s="198"/>
      <c r="AN1003" s="196">
        <f t="shared" ca="1" si="222"/>
        <v>0</v>
      </c>
      <c r="AO1003" s="196">
        <f t="shared" ca="1" si="223"/>
        <v>0</v>
      </c>
    </row>
    <row r="1004" spans="1:41">
      <c r="A1004" s="189">
        <v>3624</v>
      </c>
      <c r="B1004" s="203">
        <v>3</v>
      </c>
      <c r="C1004" s="191" t="s">
        <v>232</v>
      </c>
      <c r="D1004" s="192">
        <f t="shared" si="210"/>
        <v>0</v>
      </c>
      <c r="E1004" s="192">
        <f t="shared" si="211"/>
        <v>0</v>
      </c>
      <c r="F1004" s="192">
        <f t="shared" si="212"/>
        <v>0</v>
      </c>
      <c r="G1004" s="193">
        <f t="shared" si="213"/>
        <v>0</v>
      </c>
      <c r="H1004" s="194">
        <v>0</v>
      </c>
      <c r="I1004" s="194">
        <v>0</v>
      </c>
      <c r="J1004" s="194">
        <v>0</v>
      </c>
      <c r="K1004" s="193">
        <f t="shared" si="214"/>
        <v>0</v>
      </c>
      <c r="L1004" s="194">
        <v>0</v>
      </c>
      <c r="M1004" s="194">
        <v>0</v>
      </c>
      <c r="N1004" s="194">
        <v>0</v>
      </c>
      <c r="O1004" s="193">
        <f t="shared" si="215"/>
        <v>0</v>
      </c>
      <c r="P1004" s="194">
        <v>0</v>
      </c>
      <c r="Q1004" s="194">
        <v>0</v>
      </c>
      <c r="R1004" s="194">
        <v>0</v>
      </c>
      <c r="S1004" s="193">
        <f t="shared" si="216"/>
        <v>0</v>
      </c>
      <c r="T1004" s="193">
        <f t="shared" si="217"/>
        <v>0</v>
      </c>
      <c r="U1004" s="193">
        <f ca="1">OFFSET('Expenditure Study'!$B$7,'Operations Support'!$C1004,'Operations Support'!$B1004)*$G1004</f>
        <v>0</v>
      </c>
      <c r="V1004" s="199">
        <f ca="1">U1004*'Expenditure Study'!$B$31</f>
        <v>0</v>
      </c>
      <c r="W1004" s="199">
        <f ca="1">IF(A1004=10298,1.51,1)*IF($B1004&lt;3,$D1004*'Expenditure Study'!$B$32*OFFSET('Expenditure Study'!$B$7,'Operations Support'!$C1004,'Operations Support'!$B1004),0)</f>
        <v>0</v>
      </c>
      <c r="X1004" s="200">
        <f ca="1">W1004*'Expenditure Study'!$B$31</f>
        <v>0</v>
      </c>
      <c r="Y1004" s="199">
        <f ca="1">U1004*'Expenditure Study'!$B$31</f>
        <v>0</v>
      </c>
      <c r="Z1004" s="200">
        <f ca="1">W1004*'Expenditure Study'!$B$31</f>
        <v>0</v>
      </c>
      <c r="AA1004" s="195">
        <f t="shared" ca="1" si="218"/>
        <v>0</v>
      </c>
      <c r="AB1004" s="195">
        <f t="shared" ca="1" si="219"/>
        <v>0</v>
      </c>
      <c r="AD1004" s="196">
        <f>IFERROR($G1004/SUMIF($A:$A,$A1004,$G:$G)*SUMIF(Summary!$A$166:$A$242,$A1004,Summary!$P$166:$P$242),0)</f>
        <v>0</v>
      </c>
      <c r="AE1004" s="197">
        <f t="shared" ca="1" si="220"/>
        <v>0</v>
      </c>
      <c r="AF1004" s="196">
        <f>IFERROR(G1004/SUMIF(A:A,A1004,G:G)*SUMIF(Summary!$A$166:$A$242,'Operations Support'!A1004,Summary!$Q$166:$Q$242),0)</f>
        <v>0</v>
      </c>
      <c r="AG1004" s="196">
        <f t="shared" ca="1" si="221"/>
        <v>0</v>
      </c>
      <c r="AI1004" s="196">
        <f>IFERROR($G1004/SUMIF($A:$A,$A1004,$G:$G)*SUMIF(Summary!$A$247:$A$283,$A1004,Summary!$P$247:$P$283),0)</f>
        <v>0</v>
      </c>
      <c r="AJ1004" s="196">
        <f>IFERROR($G1004/SUMIF($A:$A,$A1004,$G:$G)*(SUMIF(Summary!$A$247:$A$283,$A1004,Summary!$L$247:$L$283)+SUMIF(Summary!$A$297:$A$333,$A1004,Summary!$L$297:$L$333))-AI1004,0)</f>
        <v>0</v>
      </c>
      <c r="AK1004" s="196">
        <f>IFERROR($G1004/SUMIF($A:$A,$A1004,$G:$G)*SUMIF(Summary!$A$247:$A$283,$A1004,Summary!$Q$247:$Q$283),0)</f>
        <v>0</v>
      </c>
      <c r="AL1004" s="196">
        <f>IFERROR($G1004/SUMIF($A:$A,$A1004,$G:$G)*(SUMIF(Summary!$A$247:$A$283,$A1004,Summary!$L$247:$L$283)+SUMIF(Summary!$A$297:$A$333,$A1004,Summary!$L$297:$L$333))-AK1004,0)</f>
        <v>0</v>
      </c>
      <c r="AM1004" s="198"/>
      <c r="AN1004" s="196">
        <f t="shared" ca="1" si="222"/>
        <v>0</v>
      </c>
      <c r="AO1004" s="196">
        <f t="shared" ca="1" si="223"/>
        <v>0</v>
      </c>
    </row>
    <row r="1005" spans="1:41">
      <c r="A1005" s="189">
        <v>3624</v>
      </c>
      <c r="B1005" s="203">
        <v>3</v>
      </c>
      <c r="C1005" s="191" t="s">
        <v>233</v>
      </c>
      <c r="D1005" s="192">
        <f t="shared" si="210"/>
        <v>1514</v>
      </c>
      <c r="E1005" s="192">
        <f t="shared" si="211"/>
        <v>1758</v>
      </c>
      <c r="F1005" s="192">
        <f t="shared" si="212"/>
        <v>0</v>
      </c>
      <c r="G1005" s="193">
        <f t="shared" si="213"/>
        <v>3272</v>
      </c>
      <c r="H1005" s="194">
        <v>607</v>
      </c>
      <c r="I1005" s="194">
        <v>591</v>
      </c>
      <c r="J1005" s="194">
        <v>0</v>
      </c>
      <c r="K1005" s="193">
        <f t="shared" si="214"/>
        <v>1198</v>
      </c>
      <c r="L1005" s="194">
        <v>394</v>
      </c>
      <c r="M1005" s="194">
        <v>816</v>
      </c>
      <c r="N1005" s="194">
        <v>0</v>
      </c>
      <c r="O1005" s="193">
        <f t="shared" si="215"/>
        <v>1210</v>
      </c>
      <c r="P1005" s="194">
        <v>513</v>
      </c>
      <c r="Q1005" s="194">
        <v>351</v>
      </c>
      <c r="R1005" s="194">
        <v>0</v>
      </c>
      <c r="S1005" s="193">
        <f t="shared" si="216"/>
        <v>864</v>
      </c>
      <c r="T1005" s="193">
        <f t="shared" si="217"/>
        <v>136.33333333333334</v>
      </c>
      <c r="U1005" s="193">
        <f ca="1">OFFSET('Expenditure Study'!$B$7,'Operations Support'!$C1005,'Operations Support'!$B1005)*$G1005</f>
        <v>8572.6400000000012</v>
      </c>
      <c r="V1005" s="199">
        <f ca="1">U1005*'Expenditure Study'!$B$31</f>
        <v>506498.83905331208</v>
      </c>
      <c r="W1005" s="199">
        <f ca="1">IF(A1005=10298,1.51,1)*IF($B1005&lt;3,$D1005*'Expenditure Study'!$B$32*OFFSET('Expenditure Study'!$B$7,'Operations Support'!$C1005,'Operations Support'!$B1005),0)</f>
        <v>0</v>
      </c>
      <c r="X1005" s="200">
        <f ca="1">W1005*'Expenditure Study'!$B$31</f>
        <v>0</v>
      </c>
      <c r="Y1005" s="199">
        <f ca="1">U1005*'Expenditure Study'!$B$31</f>
        <v>506498.83905331208</v>
      </c>
      <c r="Z1005" s="200">
        <f ca="1">W1005*'Expenditure Study'!$B$31</f>
        <v>0</v>
      </c>
      <c r="AA1005" s="195">
        <f t="shared" ca="1" si="218"/>
        <v>506498.83905331208</v>
      </c>
      <c r="AB1005" s="195">
        <f t="shared" ca="1" si="219"/>
        <v>506498.83905331208</v>
      </c>
      <c r="AD1005" s="196">
        <f>IFERROR($G1005/SUMIF($A:$A,$A1005,$G:$G)*SUMIF(Summary!$A$166:$A$242,$A1005,Summary!$P$166:$P$242),0)</f>
        <v>52501.916951487576</v>
      </c>
      <c r="AE1005" s="197">
        <f t="shared" ca="1" si="220"/>
        <v>453996.92210182449</v>
      </c>
      <c r="AF1005" s="196">
        <f>IFERROR(G1005/SUMIF(A:A,A1005,G:G)*SUMIF(Summary!$A$166:$A$242,'Operations Support'!A1005,Summary!$Q$166:$Q$242),0)</f>
        <v>52541.13137594577</v>
      </c>
      <c r="AG1005" s="196">
        <f t="shared" ca="1" si="221"/>
        <v>453957.70767736633</v>
      </c>
      <c r="AI1005" s="196">
        <f>IFERROR($G1005/SUMIF($A:$A,$A1005,$G:$G)*SUMIF(Summary!$A$247:$A$283,$A1005,Summary!$P$247:$P$283),0)</f>
        <v>9575.0394812182458</v>
      </c>
      <c r="AJ1005" s="196">
        <f>IFERROR($G1005/SUMIF($A:$A,$A1005,$G:$G)*(SUMIF(Summary!$A$247:$A$283,$A1005,Summary!$L$247:$L$283)+SUMIF(Summary!$A$297:$A$333,$A1005,Summary!$L$297:$L$333))-AI1005,0)</f>
        <v>62742.602802544992</v>
      </c>
      <c r="AK1005" s="196">
        <f>IFERROR($G1005/SUMIF($A:$A,$A1005,$G:$G)*SUMIF(Summary!$A$247:$A$283,$A1005,Summary!$Q$247:$Q$283),0)</f>
        <v>9582.1912136543651</v>
      </c>
      <c r="AL1005" s="196">
        <f>IFERROR($G1005/SUMIF($A:$A,$A1005,$G:$G)*(SUMIF(Summary!$A$247:$A$283,$A1005,Summary!$L$247:$L$283)+SUMIF(Summary!$A$297:$A$333,$A1005,Summary!$L$297:$L$333))-AK1005,0)</f>
        <v>62735.451070108873</v>
      </c>
      <c r="AM1005" s="198"/>
      <c r="AN1005" s="196">
        <f t="shared" ca="1" si="222"/>
        <v>516739.52490436949</v>
      </c>
      <c r="AO1005" s="196">
        <f t="shared" ca="1" si="223"/>
        <v>516693.15874747519</v>
      </c>
    </row>
    <row r="1006" spans="1:41">
      <c r="A1006" s="189">
        <v>3624</v>
      </c>
      <c r="B1006" s="203">
        <v>3</v>
      </c>
      <c r="C1006" s="191" t="s">
        <v>234</v>
      </c>
      <c r="D1006" s="192">
        <f t="shared" si="210"/>
        <v>0</v>
      </c>
      <c r="E1006" s="192">
        <f t="shared" si="211"/>
        <v>0</v>
      </c>
      <c r="F1006" s="192">
        <f t="shared" si="212"/>
        <v>0</v>
      </c>
      <c r="G1006" s="193">
        <f t="shared" si="213"/>
        <v>0</v>
      </c>
      <c r="H1006" s="194">
        <v>0</v>
      </c>
      <c r="I1006" s="194">
        <v>0</v>
      </c>
      <c r="J1006" s="194">
        <v>0</v>
      </c>
      <c r="K1006" s="193">
        <f t="shared" si="214"/>
        <v>0</v>
      </c>
      <c r="L1006" s="194">
        <v>0</v>
      </c>
      <c r="M1006" s="194">
        <v>0</v>
      </c>
      <c r="N1006" s="194">
        <v>0</v>
      </c>
      <c r="O1006" s="193">
        <f t="shared" si="215"/>
        <v>0</v>
      </c>
      <c r="P1006" s="194">
        <v>0</v>
      </c>
      <c r="Q1006" s="194">
        <v>0</v>
      </c>
      <c r="R1006" s="194">
        <v>0</v>
      </c>
      <c r="S1006" s="193">
        <f t="shared" si="216"/>
        <v>0</v>
      </c>
      <c r="T1006" s="193">
        <f t="shared" si="217"/>
        <v>0</v>
      </c>
      <c r="U1006" s="193">
        <f ca="1">OFFSET('Expenditure Study'!$B$7,'Operations Support'!$C1006,'Operations Support'!$B1006)*$G1006</f>
        <v>0</v>
      </c>
      <c r="V1006" s="199">
        <f ca="1">U1006*'Expenditure Study'!$B$31</f>
        <v>0</v>
      </c>
      <c r="W1006" s="199">
        <f ca="1">IF(A1006=10298,1.51,1)*IF($B1006&lt;3,$D1006*'Expenditure Study'!$B$32*OFFSET('Expenditure Study'!$B$7,'Operations Support'!$C1006,'Operations Support'!$B1006),0)</f>
        <v>0</v>
      </c>
      <c r="X1006" s="200">
        <f ca="1">W1006*'Expenditure Study'!$B$31</f>
        <v>0</v>
      </c>
      <c r="Y1006" s="199">
        <f ca="1">U1006*'Expenditure Study'!$B$31</f>
        <v>0</v>
      </c>
      <c r="Z1006" s="200">
        <f ca="1">W1006*'Expenditure Study'!$B$31</f>
        <v>0</v>
      </c>
      <c r="AA1006" s="195">
        <f t="shared" ca="1" si="218"/>
        <v>0</v>
      </c>
      <c r="AB1006" s="195">
        <f t="shared" ca="1" si="219"/>
        <v>0</v>
      </c>
      <c r="AD1006" s="196">
        <f>IFERROR($G1006/SUMIF($A:$A,$A1006,$G:$G)*SUMIF(Summary!$A$166:$A$242,$A1006,Summary!$P$166:$P$242),0)</f>
        <v>0</v>
      </c>
      <c r="AE1006" s="197">
        <f t="shared" ca="1" si="220"/>
        <v>0</v>
      </c>
      <c r="AF1006" s="196">
        <f>IFERROR(G1006/SUMIF(A:A,A1006,G:G)*SUMIF(Summary!$A$166:$A$242,'Operations Support'!A1006,Summary!$Q$166:$Q$242),0)</f>
        <v>0</v>
      </c>
      <c r="AG1006" s="196">
        <f t="shared" ca="1" si="221"/>
        <v>0</v>
      </c>
      <c r="AI1006" s="196">
        <f>IFERROR($G1006/SUMIF($A:$A,$A1006,$G:$G)*SUMIF(Summary!$A$247:$A$283,$A1006,Summary!$P$247:$P$283),0)</f>
        <v>0</v>
      </c>
      <c r="AJ1006" s="196">
        <f>IFERROR($G1006/SUMIF($A:$A,$A1006,$G:$G)*(SUMIF(Summary!$A$247:$A$283,$A1006,Summary!$L$247:$L$283)+SUMIF(Summary!$A$297:$A$333,$A1006,Summary!$L$297:$L$333))-AI1006,0)</f>
        <v>0</v>
      </c>
      <c r="AK1006" s="196">
        <f>IFERROR($G1006/SUMIF($A:$A,$A1006,$G:$G)*SUMIF(Summary!$A$247:$A$283,$A1006,Summary!$Q$247:$Q$283),0)</f>
        <v>0</v>
      </c>
      <c r="AL1006" s="196">
        <f>IFERROR($G1006/SUMIF($A:$A,$A1006,$G:$G)*(SUMIF(Summary!$A$247:$A$283,$A1006,Summary!$L$247:$L$283)+SUMIF(Summary!$A$297:$A$333,$A1006,Summary!$L$297:$L$333))-AK1006,0)</f>
        <v>0</v>
      </c>
      <c r="AM1006" s="198"/>
      <c r="AN1006" s="196">
        <f t="shared" ca="1" si="222"/>
        <v>0</v>
      </c>
      <c r="AO1006" s="196">
        <f t="shared" ca="1" si="223"/>
        <v>0</v>
      </c>
    </row>
    <row r="1007" spans="1:41">
      <c r="A1007" s="189">
        <v>3624</v>
      </c>
      <c r="B1007" s="203">
        <v>3</v>
      </c>
      <c r="C1007" s="191" t="s">
        <v>235</v>
      </c>
      <c r="D1007" s="192">
        <f t="shared" si="210"/>
        <v>2205</v>
      </c>
      <c r="E1007" s="192">
        <f t="shared" si="211"/>
        <v>576</v>
      </c>
      <c r="F1007" s="192">
        <f t="shared" si="212"/>
        <v>0</v>
      </c>
      <c r="G1007" s="193">
        <f t="shared" si="213"/>
        <v>2781</v>
      </c>
      <c r="H1007" s="194">
        <v>828</v>
      </c>
      <c r="I1007" s="194">
        <v>237</v>
      </c>
      <c r="J1007" s="194">
        <v>0</v>
      </c>
      <c r="K1007" s="193">
        <f t="shared" si="214"/>
        <v>1065</v>
      </c>
      <c r="L1007" s="194">
        <v>876</v>
      </c>
      <c r="M1007" s="194">
        <v>267</v>
      </c>
      <c r="N1007" s="194">
        <v>0</v>
      </c>
      <c r="O1007" s="193">
        <f t="shared" si="215"/>
        <v>1143</v>
      </c>
      <c r="P1007" s="194">
        <v>501</v>
      </c>
      <c r="Q1007" s="194">
        <v>72</v>
      </c>
      <c r="R1007" s="194">
        <v>0</v>
      </c>
      <c r="S1007" s="193">
        <f t="shared" si="216"/>
        <v>573</v>
      </c>
      <c r="T1007" s="193">
        <f t="shared" si="217"/>
        <v>115.875</v>
      </c>
      <c r="U1007" s="193">
        <f ca="1">OFFSET('Expenditure Study'!$B$7,'Operations Support'!$C1007,'Operations Support'!$B1007)*$G1007</f>
        <v>8787.9600000000009</v>
      </c>
      <c r="V1007" s="199">
        <f ca="1">U1007*'Expenditure Study'!$B$31</f>
        <v>519220.62954316806</v>
      </c>
      <c r="W1007" s="199">
        <f ca="1">IF(A1007=10298,1.51,1)*IF($B1007&lt;3,$D1007*'Expenditure Study'!$B$32*OFFSET('Expenditure Study'!$B$7,'Operations Support'!$C1007,'Operations Support'!$B1007),0)</f>
        <v>0</v>
      </c>
      <c r="X1007" s="200">
        <f ca="1">W1007*'Expenditure Study'!$B$31</f>
        <v>0</v>
      </c>
      <c r="Y1007" s="199">
        <f ca="1">U1007*'Expenditure Study'!$B$31</f>
        <v>519220.62954316806</v>
      </c>
      <c r="Z1007" s="200">
        <f ca="1">W1007*'Expenditure Study'!$B$31</f>
        <v>0</v>
      </c>
      <c r="AA1007" s="195">
        <f t="shared" ca="1" si="218"/>
        <v>519220.62954316806</v>
      </c>
      <c r="AB1007" s="195">
        <f t="shared" ca="1" si="219"/>
        <v>519220.62954316806</v>
      </c>
      <c r="AD1007" s="196">
        <f>IFERROR($G1007/SUMIF($A:$A,$A1007,$G:$G)*SUMIF(Summary!$A$166:$A$242,$A1007,Summary!$P$166:$P$242),0)</f>
        <v>44623.4202451366</v>
      </c>
      <c r="AE1007" s="197">
        <f t="shared" ca="1" si="220"/>
        <v>474597.20929803146</v>
      </c>
      <c r="AF1007" s="196">
        <f>IFERROR(G1007/SUMIF(A:A,A1007,G:G)*SUMIF(Summary!$A$166:$A$242,'Operations Support'!A1007,Summary!$Q$166:$Q$242),0)</f>
        <v>44656.750108956352</v>
      </c>
      <c r="AG1007" s="196">
        <f t="shared" ca="1" si="221"/>
        <v>474563.8794342117</v>
      </c>
      <c r="AI1007" s="196">
        <f>IFERROR($G1007/SUMIF($A:$A,$A1007,$G:$G)*SUMIF(Summary!$A$247:$A$283,$A1007,Summary!$P$247:$P$283),0)</f>
        <v>8138.1982876735765</v>
      </c>
      <c r="AJ1007" s="196">
        <f>IFERROR($G1007/SUMIF($A:$A,$A1007,$G:$G)*(SUMIF(Summary!$A$247:$A$283,$A1007,Summary!$L$247:$L$283)+SUMIF(Summary!$A$297:$A$333,$A1007,Summary!$L$297:$L$333))-AI1007,0)</f>
        <v>53327.377259742541</v>
      </c>
      <c r="AK1007" s="196">
        <f>IFERROR($G1007/SUMIF($A:$A,$A1007,$G:$G)*SUMIF(Summary!$A$247:$A$283,$A1007,Summary!$Q$247:$Q$283),0)</f>
        <v>8144.2768230968186</v>
      </c>
      <c r="AL1007" s="196">
        <f>IFERROR($G1007/SUMIF($A:$A,$A1007,$G:$G)*(SUMIF(Summary!$A$247:$A$283,$A1007,Summary!$L$247:$L$283)+SUMIF(Summary!$A$297:$A$333,$A1007,Summary!$L$297:$L$333))-AK1007,0)</f>
        <v>53321.298724319298</v>
      </c>
      <c r="AM1007" s="198"/>
      <c r="AN1007" s="196">
        <f t="shared" ca="1" si="222"/>
        <v>527924.58655777399</v>
      </c>
      <c r="AO1007" s="196">
        <f t="shared" ca="1" si="223"/>
        <v>527885.17815853097</v>
      </c>
    </row>
    <row r="1008" spans="1:41">
      <c r="A1008" s="189">
        <v>3624</v>
      </c>
      <c r="B1008" s="203">
        <v>3</v>
      </c>
      <c r="C1008" s="191" t="s">
        <v>236</v>
      </c>
      <c r="D1008" s="192">
        <f t="shared" si="210"/>
        <v>0</v>
      </c>
      <c r="E1008" s="192">
        <f t="shared" si="211"/>
        <v>0</v>
      </c>
      <c r="F1008" s="192">
        <f t="shared" si="212"/>
        <v>0</v>
      </c>
      <c r="G1008" s="193">
        <f t="shared" si="213"/>
        <v>0</v>
      </c>
      <c r="H1008" s="194">
        <v>0</v>
      </c>
      <c r="I1008" s="194">
        <v>0</v>
      </c>
      <c r="J1008" s="194">
        <v>0</v>
      </c>
      <c r="K1008" s="193">
        <f t="shared" si="214"/>
        <v>0</v>
      </c>
      <c r="L1008" s="194">
        <v>0</v>
      </c>
      <c r="M1008" s="194">
        <v>0</v>
      </c>
      <c r="N1008" s="194">
        <v>0</v>
      </c>
      <c r="O1008" s="193">
        <f t="shared" si="215"/>
        <v>0</v>
      </c>
      <c r="P1008" s="194">
        <v>0</v>
      </c>
      <c r="Q1008" s="194">
        <v>0</v>
      </c>
      <c r="R1008" s="194">
        <v>0</v>
      </c>
      <c r="S1008" s="193">
        <f t="shared" si="216"/>
        <v>0</v>
      </c>
      <c r="T1008" s="193">
        <f t="shared" si="217"/>
        <v>0</v>
      </c>
      <c r="U1008" s="193">
        <f ca="1">OFFSET('Expenditure Study'!$B$7,'Operations Support'!$C1008,'Operations Support'!$B1008)*$G1008</f>
        <v>0</v>
      </c>
      <c r="V1008" s="199">
        <f ca="1">U1008*'Expenditure Study'!$B$31</f>
        <v>0</v>
      </c>
      <c r="W1008" s="199">
        <f ca="1">IF(A1008=10298,1.51,1)*IF($B1008&lt;3,$D1008*'Expenditure Study'!$B$32*OFFSET('Expenditure Study'!$B$7,'Operations Support'!$C1008,'Operations Support'!$B1008),0)</f>
        <v>0</v>
      </c>
      <c r="X1008" s="200">
        <f ca="1">W1008*'Expenditure Study'!$B$31</f>
        <v>0</v>
      </c>
      <c r="Y1008" s="199">
        <f ca="1">U1008*'Expenditure Study'!$B$31</f>
        <v>0</v>
      </c>
      <c r="Z1008" s="200">
        <f ca="1">W1008*'Expenditure Study'!$B$31</f>
        <v>0</v>
      </c>
      <c r="AA1008" s="195">
        <f t="shared" ca="1" si="218"/>
        <v>0</v>
      </c>
      <c r="AB1008" s="195">
        <f t="shared" ca="1" si="219"/>
        <v>0</v>
      </c>
      <c r="AD1008" s="196">
        <f>IFERROR($G1008/SUMIF($A:$A,$A1008,$G:$G)*SUMIF(Summary!$A$166:$A$242,$A1008,Summary!$P$166:$P$242),0)</f>
        <v>0</v>
      </c>
      <c r="AE1008" s="197">
        <f t="shared" ca="1" si="220"/>
        <v>0</v>
      </c>
      <c r="AF1008" s="196">
        <f>IFERROR(G1008/SUMIF(A:A,A1008,G:G)*SUMIF(Summary!$A$166:$A$242,'Operations Support'!A1008,Summary!$Q$166:$Q$242),0)</f>
        <v>0</v>
      </c>
      <c r="AG1008" s="196">
        <f t="shared" ca="1" si="221"/>
        <v>0</v>
      </c>
      <c r="AI1008" s="196">
        <f>IFERROR($G1008/SUMIF($A:$A,$A1008,$G:$G)*SUMIF(Summary!$A$247:$A$283,$A1008,Summary!$P$247:$P$283),0)</f>
        <v>0</v>
      </c>
      <c r="AJ1008" s="196">
        <f>IFERROR($G1008/SUMIF($A:$A,$A1008,$G:$G)*(SUMIF(Summary!$A$247:$A$283,$A1008,Summary!$L$247:$L$283)+SUMIF(Summary!$A$297:$A$333,$A1008,Summary!$L$297:$L$333))-AI1008,0)</f>
        <v>0</v>
      </c>
      <c r="AK1008" s="196">
        <f>IFERROR($G1008/SUMIF($A:$A,$A1008,$G:$G)*SUMIF(Summary!$A$247:$A$283,$A1008,Summary!$Q$247:$Q$283),0)</f>
        <v>0</v>
      </c>
      <c r="AL1008" s="196">
        <f>IFERROR($G1008/SUMIF($A:$A,$A1008,$G:$G)*(SUMIF(Summary!$A$247:$A$283,$A1008,Summary!$L$247:$L$283)+SUMIF(Summary!$A$297:$A$333,$A1008,Summary!$L$297:$L$333))-AK1008,0)</f>
        <v>0</v>
      </c>
      <c r="AM1008" s="198"/>
      <c r="AN1008" s="196">
        <f t="shared" ca="1" si="222"/>
        <v>0</v>
      </c>
      <c r="AO1008" s="196">
        <f t="shared" ca="1" si="223"/>
        <v>0</v>
      </c>
    </row>
    <row r="1009" spans="1:41">
      <c r="A1009" s="189">
        <v>3624</v>
      </c>
      <c r="B1009" s="203">
        <v>3</v>
      </c>
      <c r="C1009" s="191" t="s">
        <v>237</v>
      </c>
      <c r="D1009" s="192">
        <f t="shared" si="210"/>
        <v>0</v>
      </c>
      <c r="E1009" s="192">
        <f t="shared" si="211"/>
        <v>0</v>
      </c>
      <c r="F1009" s="192">
        <f t="shared" si="212"/>
        <v>0</v>
      </c>
      <c r="G1009" s="193">
        <f t="shared" si="213"/>
        <v>0</v>
      </c>
      <c r="H1009" s="194">
        <v>0</v>
      </c>
      <c r="I1009" s="194">
        <v>0</v>
      </c>
      <c r="J1009" s="194">
        <v>0</v>
      </c>
      <c r="K1009" s="193">
        <f t="shared" si="214"/>
        <v>0</v>
      </c>
      <c r="L1009" s="194">
        <v>0</v>
      </c>
      <c r="M1009" s="194">
        <v>0</v>
      </c>
      <c r="N1009" s="194">
        <v>0</v>
      </c>
      <c r="O1009" s="193">
        <f t="shared" si="215"/>
        <v>0</v>
      </c>
      <c r="P1009" s="194">
        <v>0</v>
      </c>
      <c r="Q1009" s="194">
        <v>0</v>
      </c>
      <c r="R1009" s="194">
        <v>0</v>
      </c>
      <c r="S1009" s="193">
        <f t="shared" si="216"/>
        <v>0</v>
      </c>
      <c r="T1009" s="193">
        <f t="shared" si="217"/>
        <v>0</v>
      </c>
      <c r="U1009" s="193">
        <f ca="1">OFFSET('Expenditure Study'!$B$7,'Operations Support'!$C1009,'Operations Support'!$B1009)*$G1009</f>
        <v>0</v>
      </c>
      <c r="V1009" s="199">
        <f ca="1">U1009*'Expenditure Study'!$B$31</f>
        <v>0</v>
      </c>
      <c r="W1009" s="199">
        <f ca="1">IF(A1009=10298,1.51,1)*IF($B1009&lt;3,$D1009*'Expenditure Study'!$B$32*OFFSET('Expenditure Study'!$B$7,'Operations Support'!$C1009,'Operations Support'!$B1009),0)</f>
        <v>0</v>
      </c>
      <c r="X1009" s="200">
        <f ca="1">W1009*'Expenditure Study'!$B$31</f>
        <v>0</v>
      </c>
      <c r="Y1009" s="199">
        <f ca="1">U1009*'Expenditure Study'!$B$31</f>
        <v>0</v>
      </c>
      <c r="Z1009" s="200">
        <f ca="1">W1009*'Expenditure Study'!$B$31</f>
        <v>0</v>
      </c>
      <c r="AA1009" s="195">
        <f t="shared" ca="1" si="218"/>
        <v>0</v>
      </c>
      <c r="AB1009" s="195">
        <f t="shared" ca="1" si="219"/>
        <v>0</v>
      </c>
      <c r="AD1009" s="196">
        <f>IFERROR($G1009/SUMIF($A:$A,$A1009,$G:$G)*SUMIF(Summary!$A$166:$A$242,$A1009,Summary!$P$166:$P$242),0)</f>
        <v>0</v>
      </c>
      <c r="AE1009" s="197">
        <f t="shared" ca="1" si="220"/>
        <v>0</v>
      </c>
      <c r="AF1009" s="196">
        <f>IFERROR(G1009/SUMIF(A:A,A1009,G:G)*SUMIF(Summary!$A$166:$A$242,'Operations Support'!A1009,Summary!$Q$166:$Q$242),0)</f>
        <v>0</v>
      </c>
      <c r="AG1009" s="196">
        <f t="shared" ca="1" si="221"/>
        <v>0</v>
      </c>
      <c r="AI1009" s="196">
        <f>IFERROR($G1009/SUMIF($A:$A,$A1009,$G:$G)*SUMIF(Summary!$A$247:$A$283,$A1009,Summary!$P$247:$P$283),0)</f>
        <v>0</v>
      </c>
      <c r="AJ1009" s="196">
        <f>IFERROR($G1009/SUMIF($A:$A,$A1009,$G:$G)*(SUMIF(Summary!$A$247:$A$283,$A1009,Summary!$L$247:$L$283)+SUMIF(Summary!$A$297:$A$333,$A1009,Summary!$L$297:$L$333))-AI1009,0)</f>
        <v>0</v>
      </c>
      <c r="AK1009" s="196">
        <f>IFERROR($G1009/SUMIF($A:$A,$A1009,$G:$G)*SUMIF(Summary!$A$247:$A$283,$A1009,Summary!$Q$247:$Q$283),0)</f>
        <v>0</v>
      </c>
      <c r="AL1009" s="196">
        <f>IFERROR($G1009/SUMIF($A:$A,$A1009,$G:$G)*(SUMIF(Summary!$A$247:$A$283,$A1009,Summary!$L$247:$L$283)+SUMIF(Summary!$A$297:$A$333,$A1009,Summary!$L$297:$L$333))-AK1009,0)</f>
        <v>0</v>
      </c>
      <c r="AM1009" s="198"/>
      <c r="AN1009" s="196">
        <f t="shared" ca="1" si="222"/>
        <v>0</v>
      </c>
      <c r="AO1009" s="196">
        <f t="shared" ca="1" si="223"/>
        <v>0</v>
      </c>
    </row>
    <row r="1010" spans="1:41">
      <c r="A1010" s="189">
        <v>3624</v>
      </c>
      <c r="B1010" s="203">
        <v>3</v>
      </c>
      <c r="C1010" s="191" t="s">
        <v>238</v>
      </c>
      <c r="D1010" s="192">
        <f t="shared" si="210"/>
        <v>6</v>
      </c>
      <c r="E1010" s="192">
        <f t="shared" si="211"/>
        <v>0</v>
      </c>
      <c r="F1010" s="192">
        <f t="shared" si="212"/>
        <v>0</v>
      </c>
      <c r="G1010" s="193">
        <f t="shared" si="213"/>
        <v>6</v>
      </c>
      <c r="H1010" s="194">
        <v>3</v>
      </c>
      <c r="I1010" s="194">
        <v>0</v>
      </c>
      <c r="J1010" s="194">
        <v>0</v>
      </c>
      <c r="K1010" s="193">
        <f t="shared" si="214"/>
        <v>3</v>
      </c>
      <c r="L1010" s="194">
        <v>3</v>
      </c>
      <c r="M1010" s="194">
        <v>0</v>
      </c>
      <c r="N1010" s="194">
        <v>0</v>
      </c>
      <c r="O1010" s="193">
        <f t="shared" si="215"/>
        <v>3</v>
      </c>
      <c r="P1010" s="194">
        <v>0</v>
      </c>
      <c r="Q1010" s="194">
        <v>0</v>
      </c>
      <c r="R1010" s="194">
        <v>0</v>
      </c>
      <c r="S1010" s="193">
        <f t="shared" si="216"/>
        <v>0</v>
      </c>
      <c r="T1010" s="193">
        <f t="shared" si="217"/>
        <v>0.25</v>
      </c>
      <c r="U1010" s="193">
        <f ca="1">OFFSET('Expenditure Study'!$B$7,'Operations Support'!$C1010,'Operations Support'!$B1010)*$G1010</f>
        <v>35.04</v>
      </c>
      <c r="V1010" s="199">
        <f ca="1">U1010*'Expenditure Study'!$B$31</f>
        <v>2070.274655232</v>
      </c>
      <c r="W1010" s="199">
        <f ca="1">IF(A1010=10298,1.51,1)*IF($B1010&lt;3,$D1010*'Expenditure Study'!$B$32*OFFSET('Expenditure Study'!$B$7,'Operations Support'!$C1010,'Operations Support'!$B1010),0)</f>
        <v>0</v>
      </c>
      <c r="X1010" s="200">
        <f ca="1">W1010*'Expenditure Study'!$B$31</f>
        <v>0</v>
      </c>
      <c r="Y1010" s="199">
        <f ca="1">U1010*'Expenditure Study'!$B$31</f>
        <v>2070.274655232</v>
      </c>
      <c r="Z1010" s="200">
        <f ca="1">W1010*'Expenditure Study'!$B$31</f>
        <v>0</v>
      </c>
      <c r="AA1010" s="195">
        <f t="shared" ca="1" si="218"/>
        <v>2070.274655232</v>
      </c>
      <c r="AB1010" s="195">
        <f t="shared" ca="1" si="219"/>
        <v>2070.274655232</v>
      </c>
      <c r="AD1010" s="196">
        <f>IFERROR($G1010/SUMIF($A:$A,$A1010,$G:$G)*SUMIF(Summary!$A$166:$A$242,$A1010,Summary!$P$166:$P$242),0)</f>
        <v>96.27490883524618</v>
      </c>
      <c r="AE1010" s="197">
        <f t="shared" ca="1" si="220"/>
        <v>1973.9997463967538</v>
      </c>
      <c r="AF1010" s="196">
        <f>IFERROR(G1010/SUMIF(A:A,A1010,G:G)*SUMIF(Summary!$A$166:$A$242,'Operations Support'!A1010,Summary!$Q$166:$Q$242),0)</f>
        <v>96.346817926550926</v>
      </c>
      <c r="AG1010" s="196">
        <f t="shared" ca="1" si="221"/>
        <v>1973.927837305449</v>
      </c>
      <c r="AI1010" s="196">
        <f>IFERROR($G1010/SUMIF($A:$A,$A1010,$G:$G)*SUMIF(Summary!$A$247:$A$283,$A1010,Summary!$P$247:$P$283),0)</f>
        <v>17.558140857979669</v>
      </c>
      <c r="AJ1010" s="196">
        <f>IFERROR($G1010/SUMIF($A:$A,$A1010,$G:$G)*(SUMIF(Summary!$A$247:$A$283,$A1010,Summary!$L$247:$L$283)+SUMIF(Summary!$A$297:$A$333,$A1010,Summary!$L$297:$L$333))-AI1010,0)</f>
        <v>115.05367262080377</v>
      </c>
      <c r="AK1010" s="196">
        <f>IFERROR($G1010/SUMIF($A:$A,$A1010,$G:$G)*SUMIF(Summary!$A$247:$A$283,$A1010,Summary!$Q$247:$Q$283),0)</f>
        <v>17.571255281762284</v>
      </c>
      <c r="AL1010" s="196">
        <f>IFERROR($G1010/SUMIF($A:$A,$A1010,$G:$G)*(SUMIF(Summary!$A$247:$A$283,$A1010,Summary!$L$247:$L$283)+SUMIF(Summary!$A$297:$A$333,$A1010,Summary!$L$297:$L$333))-AK1010,0)</f>
        <v>115.04055819702114</v>
      </c>
      <c r="AM1010" s="198"/>
      <c r="AN1010" s="196">
        <f t="shared" ca="1" si="222"/>
        <v>2089.0534190175576</v>
      </c>
      <c r="AO1010" s="196">
        <f t="shared" ca="1" si="223"/>
        <v>2088.9683955024702</v>
      </c>
    </row>
    <row r="1011" spans="1:41">
      <c r="A1011" s="189">
        <v>3624</v>
      </c>
      <c r="B1011" s="203">
        <v>3</v>
      </c>
      <c r="C1011" s="191" t="s">
        <v>239</v>
      </c>
      <c r="D1011" s="192">
        <f t="shared" si="210"/>
        <v>318.95</v>
      </c>
      <c r="E1011" s="192">
        <f t="shared" si="211"/>
        <v>68.05</v>
      </c>
      <c r="F1011" s="192">
        <f t="shared" si="212"/>
        <v>0</v>
      </c>
      <c r="G1011" s="193">
        <f t="shared" si="213"/>
        <v>387</v>
      </c>
      <c r="H1011" s="194">
        <v>147.19999999999999</v>
      </c>
      <c r="I1011" s="194">
        <v>4.8</v>
      </c>
      <c r="J1011" s="194">
        <v>0</v>
      </c>
      <c r="K1011" s="193">
        <f t="shared" si="214"/>
        <v>152</v>
      </c>
      <c r="L1011" s="194">
        <v>110.25</v>
      </c>
      <c r="M1011" s="194">
        <v>30.75</v>
      </c>
      <c r="N1011" s="194">
        <v>0</v>
      </c>
      <c r="O1011" s="193">
        <f t="shared" si="215"/>
        <v>141</v>
      </c>
      <c r="P1011" s="194">
        <v>61.5</v>
      </c>
      <c r="Q1011" s="194">
        <v>32.5</v>
      </c>
      <c r="R1011" s="194">
        <v>0</v>
      </c>
      <c r="S1011" s="193">
        <f t="shared" si="216"/>
        <v>94</v>
      </c>
      <c r="T1011" s="193">
        <f t="shared" si="217"/>
        <v>16.125</v>
      </c>
      <c r="U1011" s="193">
        <f ca="1">OFFSET('Expenditure Study'!$B$7,'Operations Support'!$C1011,'Operations Support'!$B1011)*$G1011</f>
        <v>1052.6400000000001</v>
      </c>
      <c r="V1011" s="199">
        <f ca="1">U1011*'Expenditure Study'!$B$31</f>
        <v>62193.319437312006</v>
      </c>
      <c r="W1011" s="199">
        <f ca="1">IF(A1011=10298,1.51,1)*IF($B1011&lt;3,$D1011*'Expenditure Study'!$B$32*OFFSET('Expenditure Study'!$B$7,'Operations Support'!$C1011,'Operations Support'!$B1011),0)</f>
        <v>0</v>
      </c>
      <c r="X1011" s="200">
        <f ca="1">W1011*'Expenditure Study'!$B$31</f>
        <v>0</v>
      </c>
      <c r="Y1011" s="199">
        <f ca="1">U1011*'Expenditure Study'!$B$31</f>
        <v>62193.319437312006</v>
      </c>
      <c r="Z1011" s="200">
        <f ca="1">W1011*'Expenditure Study'!$B$31</f>
        <v>0</v>
      </c>
      <c r="AA1011" s="195">
        <f t="shared" ca="1" si="218"/>
        <v>62193.319437312006</v>
      </c>
      <c r="AB1011" s="195">
        <f t="shared" ca="1" si="219"/>
        <v>62193.319437312006</v>
      </c>
      <c r="AD1011" s="196">
        <f>IFERROR($G1011/SUMIF($A:$A,$A1011,$G:$G)*SUMIF(Summary!$A$166:$A$242,$A1011,Summary!$P$166:$P$242),0)</f>
        <v>6209.7316198733779</v>
      </c>
      <c r="AE1011" s="197">
        <f t="shared" ca="1" si="220"/>
        <v>55983.587817438631</v>
      </c>
      <c r="AF1011" s="196">
        <f>IFERROR(G1011/SUMIF(A:A,A1011,G:G)*SUMIF(Summary!$A$166:$A$242,'Operations Support'!A1011,Summary!$Q$166:$Q$242),0)</f>
        <v>6214.3697562625348</v>
      </c>
      <c r="AG1011" s="196">
        <f t="shared" ca="1" si="221"/>
        <v>55978.949681049475</v>
      </c>
      <c r="AI1011" s="196">
        <f>IFERROR($G1011/SUMIF($A:$A,$A1011,$G:$G)*SUMIF(Summary!$A$247:$A$283,$A1011,Summary!$P$247:$P$283),0)</f>
        <v>1132.5000853396887</v>
      </c>
      <c r="AJ1011" s="196">
        <f>IFERROR($G1011/SUMIF($A:$A,$A1011,$G:$G)*(SUMIF(Summary!$A$247:$A$283,$A1011,Summary!$L$247:$L$283)+SUMIF(Summary!$A$297:$A$333,$A1011,Summary!$L$297:$L$333))-AI1011,0)</f>
        <v>7420.9618840418425</v>
      </c>
      <c r="AK1011" s="196">
        <f>IFERROR($G1011/SUMIF($A:$A,$A1011,$G:$G)*SUMIF(Summary!$A$247:$A$283,$A1011,Summary!$Q$247:$Q$283),0)</f>
        <v>1133.3459656736673</v>
      </c>
      <c r="AL1011" s="196">
        <f>IFERROR($G1011/SUMIF($A:$A,$A1011,$G:$G)*(SUMIF(Summary!$A$247:$A$283,$A1011,Summary!$L$247:$L$283)+SUMIF(Summary!$A$297:$A$333,$A1011,Summary!$L$297:$L$333))-AK1011,0)</f>
        <v>7420.1160037078644</v>
      </c>
      <c r="AM1011" s="198"/>
      <c r="AN1011" s="196">
        <f t="shared" ca="1" si="222"/>
        <v>63404.549701480471</v>
      </c>
      <c r="AO1011" s="196">
        <f t="shared" ca="1" si="223"/>
        <v>63399.065684757341</v>
      </c>
    </row>
    <row r="1012" spans="1:41">
      <c r="A1012" s="189">
        <v>3624</v>
      </c>
      <c r="B1012" s="203">
        <v>3</v>
      </c>
      <c r="C1012" s="191" t="s">
        <v>240</v>
      </c>
      <c r="D1012" s="192">
        <f t="shared" si="210"/>
        <v>0</v>
      </c>
      <c r="E1012" s="192">
        <f t="shared" si="211"/>
        <v>0</v>
      </c>
      <c r="F1012" s="192">
        <f t="shared" si="212"/>
        <v>0</v>
      </c>
      <c r="G1012" s="193">
        <f t="shared" si="213"/>
        <v>0</v>
      </c>
      <c r="H1012" s="194">
        <v>0</v>
      </c>
      <c r="I1012" s="194">
        <v>0</v>
      </c>
      <c r="J1012" s="194">
        <v>0</v>
      </c>
      <c r="K1012" s="193">
        <f t="shared" si="214"/>
        <v>0</v>
      </c>
      <c r="L1012" s="194">
        <v>0</v>
      </c>
      <c r="M1012" s="194">
        <v>0</v>
      </c>
      <c r="N1012" s="194">
        <v>0</v>
      </c>
      <c r="O1012" s="193">
        <f t="shared" si="215"/>
        <v>0</v>
      </c>
      <c r="P1012" s="194">
        <v>0</v>
      </c>
      <c r="Q1012" s="194">
        <v>0</v>
      </c>
      <c r="R1012" s="194">
        <v>0</v>
      </c>
      <c r="S1012" s="193">
        <f t="shared" si="216"/>
        <v>0</v>
      </c>
      <c r="T1012" s="193">
        <f t="shared" si="217"/>
        <v>0</v>
      </c>
      <c r="U1012" s="193">
        <f ca="1">OFFSET('Expenditure Study'!$B$7,'Operations Support'!$C1012,'Operations Support'!$B1012)*$G1012</f>
        <v>0</v>
      </c>
      <c r="V1012" s="199">
        <f ca="1">U1012*'Expenditure Study'!$B$31</f>
        <v>0</v>
      </c>
      <c r="W1012" s="199">
        <f ca="1">IF(A1012=10298,1.51,1)*IF($B1012&lt;3,$D1012*'Expenditure Study'!$B$32*OFFSET('Expenditure Study'!$B$7,'Operations Support'!$C1012,'Operations Support'!$B1012),0)</f>
        <v>0</v>
      </c>
      <c r="X1012" s="200">
        <f ca="1">W1012*'Expenditure Study'!$B$31</f>
        <v>0</v>
      </c>
      <c r="Y1012" s="199">
        <f ca="1">U1012*'Expenditure Study'!$B$31</f>
        <v>0</v>
      </c>
      <c r="Z1012" s="200">
        <f ca="1">W1012*'Expenditure Study'!$B$31</f>
        <v>0</v>
      </c>
      <c r="AA1012" s="195">
        <f t="shared" ca="1" si="218"/>
        <v>0</v>
      </c>
      <c r="AB1012" s="195">
        <f t="shared" ca="1" si="219"/>
        <v>0</v>
      </c>
      <c r="AD1012" s="196">
        <f>IFERROR($G1012/SUMIF($A:$A,$A1012,$G:$G)*SUMIF(Summary!$A$166:$A$242,$A1012,Summary!$P$166:$P$242),0)</f>
        <v>0</v>
      </c>
      <c r="AE1012" s="197">
        <f t="shared" ca="1" si="220"/>
        <v>0</v>
      </c>
      <c r="AF1012" s="196">
        <f>IFERROR(G1012/SUMIF(A:A,A1012,G:G)*SUMIF(Summary!$A$166:$A$242,'Operations Support'!A1012,Summary!$Q$166:$Q$242),0)</f>
        <v>0</v>
      </c>
      <c r="AG1012" s="196">
        <f t="shared" ca="1" si="221"/>
        <v>0</v>
      </c>
      <c r="AI1012" s="196">
        <f>IFERROR($G1012/SUMIF($A:$A,$A1012,$G:$G)*SUMIF(Summary!$A$247:$A$283,$A1012,Summary!$P$247:$P$283),0)</f>
        <v>0</v>
      </c>
      <c r="AJ1012" s="196">
        <f>IFERROR($G1012/SUMIF($A:$A,$A1012,$G:$G)*(SUMIF(Summary!$A$247:$A$283,$A1012,Summary!$L$247:$L$283)+SUMIF(Summary!$A$297:$A$333,$A1012,Summary!$L$297:$L$333))-AI1012,0)</f>
        <v>0</v>
      </c>
      <c r="AK1012" s="196">
        <f>IFERROR($G1012/SUMIF($A:$A,$A1012,$G:$G)*SUMIF(Summary!$A$247:$A$283,$A1012,Summary!$Q$247:$Q$283),0)</f>
        <v>0</v>
      </c>
      <c r="AL1012" s="196">
        <f>IFERROR($G1012/SUMIF($A:$A,$A1012,$G:$G)*(SUMIF(Summary!$A$247:$A$283,$A1012,Summary!$L$247:$L$283)+SUMIF(Summary!$A$297:$A$333,$A1012,Summary!$L$297:$L$333))-AK1012,0)</f>
        <v>0</v>
      </c>
      <c r="AM1012" s="198"/>
      <c r="AN1012" s="196">
        <f t="shared" ca="1" si="222"/>
        <v>0</v>
      </c>
      <c r="AO1012" s="196">
        <f t="shared" ca="1" si="223"/>
        <v>0</v>
      </c>
    </row>
    <row r="1013" spans="1:41">
      <c r="A1013" s="189">
        <v>3624</v>
      </c>
      <c r="B1013" s="203">
        <v>4</v>
      </c>
      <c r="C1013" s="191" t="s">
        <v>220</v>
      </c>
      <c r="D1013" s="192">
        <f t="shared" si="210"/>
        <v>587</v>
      </c>
      <c r="E1013" s="192">
        <f t="shared" si="211"/>
        <v>132</v>
      </c>
      <c r="F1013" s="192">
        <f t="shared" si="212"/>
        <v>0</v>
      </c>
      <c r="G1013" s="193">
        <f t="shared" si="213"/>
        <v>719</v>
      </c>
      <c r="H1013" s="194">
        <v>162</v>
      </c>
      <c r="I1013" s="194">
        <v>87</v>
      </c>
      <c r="J1013" s="194">
        <v>0</v>
      </c>
      <c r="K1013" s="193">
        <f t="shared" si="214"/>
        <v>249</v>
      </c>
      <c r="L1013" s="194">
        <v>222</v>
      </c>
      <c r="M1013" s="194">
        <v>45</v>
      </c>
      <c r="N1013" s="194">
        <v>0</v>
      </c>
      <c r="O1013" s="193">
        <f t="shared" si="215"/>
        <v>267</v>
      </c>
      <c r="P1013" s="194">
        <v>203</v>
      </c>
      <c r="Q1013" s="194">
        <v>0</v>
      </c>
      <c r="R1013" s="194">
        <v>0</v>
      </c>
      <c r="S1013" s="193">
        <f t="shared" si="216"/>
        <v>203</v>
      </c>
      <c r="T1013" s="193">
        <f t="shared" si="217"/>
        <v>39.944444444444443</v>
      </c>
      <c r="U1013" s="193">
        <f ca="1">OFFSET('Expenditure Study'!$B$7,'Operations Support'!$C1013,'Operations Support'!$B1013)*$G1013</f>
        <v>10590.87</v>
      </c>
      <c r="V1013" s="199">
        <f ca="1">U1013*'Expenditure Study'!$B$31</f>
        <v>625742.287039296</v>
      </c>
      <c r="W1013" s="199">
        <f ca="1">IF(A1013=10298,1.51,1)*IF($B1013&lt;3,$D1013*'Expenditure Study'!$B$32*OFFSET('Expenditure Study'!$B$7,'Operations Support'!$C1013,'Operations Support'!$B1013),0)</f>
        <v>0</v>
      </c>
      <c r="X1013" s="200">
        <f ca="1">W1013*'Expenditure Study'!$B$31</f>
        <v>0</v>
      </c>
      <c r="Y1013" s="199">
        <f ca="1">U1013*'Expenditure Study'!$B$31</f>
        <v>625742.287039296</v>
      </c>
      <c r="Z1013" s="200">
        <f ca="1">W1013*'Expenditure Study'!$B$31</f>
        <v>0</v>
      </c>
      <c r="AA1013" s="195">
        <f t="shared" ca="1" si="218"/>
        <v>625742.287039296</v>
      </c>
      <c r="AB1013" s="195">
        <f t="shared" ca="1" si="219"/>
        <v>625742.287039296</v>
      </c>
      <c r="AD1013" s="196">
        <f>IFERROR($G1013/SUMIF($A:$A,$A1013,$G:$G)*SUMIF(Summary!$A$166:$A$242,$A1013,Summary!$P$166:$P$242),0)</f>
        <v>11536.943242090334</v>
      </c>
      <c r="AE1013" s="197">
        <f t="shared" ca="1" si="220"/>
        <v>614205.34379720571</v>
      </c>
      <c r="AF1013" s="196">
        <f>IFERROR(G1013/SUMIF(A:A,A1013,G:G)*SUMIF(Summary!$A$166:$A$242,'Operations Support'!A1013,Summary!$Q$166:$Q$242),0)</f>
        <v>11545.560348198353</v>
      </c>
      <c r="AG1013" s="196">
        <f t="shared" ca="1" si="221"/>
        <v>614196.7266910976</v>
      </c>
      <c r="AI1013" s="196">
        <f>IFERROR($G1013/SUMIF($A:$A,$A1013,$G:$G)*SUMIF(Summary!$A$247:$A$283,$A1013,Summary!$P$247:$P$283),0)</f>
        <v>2104.050546147897</v>
      </c>
      <c r="AJ1013" s="196">
        <f>IFERROR($G1013/SUMIF($A:$A,$A1013,$G:$G)*(SUMIF(Summary!$A$247:$A$283,$A1013,Summary!$L$247:$L$283)+SUMIF(Summary!$A$297:$A$333,$A1013,Summary!$L$297:$L$333))-AI1013,0)</f>
        <v>13787.265102392987</v>
      </c>
      <c r="AK1013" s="196">
        <f>IFERROR($G1013/SUMIF($A:$A,$A1013,$G:$G)*SUMIF(Summary!$A$247:$A$283,$A1013,Summary!$Q$247:$Q$283),0)</f>
        <v>2105.622091264514</v>
      </c>
      <c r="AL1013" s="196">
        <f>IFERROR($G1013/SUMIF($A:$A,$A1013,$G:$G)*(SUMIF(Summary!$A$247:$A$283,$A1013,Summary!$L$247:$L$283)+SUMIF(Summary!$A$297:$A$333,$A1013,Summary!$L$297:$L$333))-AK1013,0)</f>
        <v>13785.693557276369</v>
      </c>
      <c r="AM1013" s="198"/>
      <c r="AN1013" s="196">
        <f t="shared" ca="1" si="222"/>
        <v>627992.60889959871</v>
      </c>
      <c r="AO1013" s="196">
        <f t="shared" ca="1" si="223"/>
        <v>627982.42024837399</v>
      </c>
    </row>
    <row r="1014" spans="1:41">
      <c r="A1014" s="189">
        <v>3624</v>
      </c>
      <c r="B1014" s="203">
        <v>4</v>
      </c>
      <c r="C1014" s="191" t="s">
        <v>221</v>
      </c>
      <c r="D1014" s="192">
        <f t="shared" si="210"/>
        <v>6</v>
      </c>
      <c r="E1014" s="192">
        <f t="shared" si="211"/>
        <v>0</v>
      </c>
      <c r="F1014" s="192">
        <f t="shared" si="212"/>
        <v>0</v>
      </c>
      <c r="G1014" s="193">
        <f t="shared" si="213"/>
        <v>6</v>
      </c>
      <c r="H1014" s="194">
        <v>3</v>
      </c>
      <c r="I1014" s="194">
        <v>0</v>
      </c>
      <c r="J1014" s="194">
        <v>0</v>
      </c>
      <c r="K1014" s="193">
        <f t="shared" si="214"/>
        <v>3</v>
      </c>
      <c r="L1014" s="194">
        <v>3</v>
      </c>
      <c r="M1014" s="194">
        <v>0</v>
      </c>
      <c r="N1014" s="194">
        <v>0</v>
      </c>
      <c r="O1014" s="193">
        <f t="shared" si="215"/>
        <v>3</v>
      </c>
      <c r="P1014" s="194">
        <v>0</v>
      </c>
      <c r="Q1014" s="194">
        <v>0</v>
      </c>
      <c r="R1014" s="194">
        <v>0</v>
      </c>
      <c r="S1014" s="193">
        <f t="shared" si="216"/>
        <v>0</v>
      </c>
      <c r="T1014" s="193">
        <f t="shared" si="217"/>
        <v>0.33333333333333331</v>
      </c>
      <c r="U1014" s="193">
        <f ca="1">OFFSET('Expenditure Study'!$B$7,'Operations Support'!$C1014,'Operations Support'!$B1014)*$G1014</f>
        <v>130.44</v>
      </c>
      <c r="V1014" s="199">
        <f ca="1">U1014*'Expenditure Study'!$B$31</f>
        <v>7706.8101035520003</v>
      </c>
      <c r="W1014" s="199">
        <f ca="1">IF(A1014=10298,1.51,1)*IF($B1014&lt;3,$D1014*'Expenditure Study'!$B$32*OFFSET('Expenditure Study'!$B$7,'Operations Support'!$C1014,'Operations Support'!$B1014),0)</f>
        <v>0</v>
      </c>
      <c r="X1014" s="200">
        <f ca="1">W1014*'Expenditure Study'!$B$31</f>
        <v>0</v>
      </c>
      <c r="Y1014" s="199">
        <f ca="1">U1014*'Expenditure Study'!$B$31</f>
        <v>7706.8101035520003</v>
      </c>
      <c r="Z1014" s="200">
        <f ca="1">W1014*'Expenditure Study'!$B$31</f>
        <v>0</v>
      </c>
      <c r="AA1014" s="195">
        <f t="shared" ca="1" si="218"/>
        <v>7706.8101035520003</v>
      </c>
      <c r="AB1014" s="195">
        <f t="shared" ca="1" si="219"/>
        <v>7706.8101035520003</v>
      </c>
      <c r="AD1014" s="196">
        <f>IFERROR($G1014/SUMIF($A:$A,$A1014,$G:$G)*SUMIF(Summary!$A$166:$A$242,$A1014,Summary!$P$166:$P$242),0)</f>
        <v>96.27490883524618</v>
      </c>
      <c r="AE1014" s="197">
        <f t="shared" ca="1" si="220"/>
        <v>7610.5351947167537</v>
      </c>
      <c r="AF1014" s="196">
        <f>IFERROR(G1014/SUMIF(A:A,A1014,G:G)*SUMIF(Summary!$A$166:$A$242,'Operations Support'!A1014,Summary!$Q$166:$Q$242),0)</f>
        <v>96.346817926550926</v>
      </c>
      <c r="AG1014" s="196">
        <f t="shared" ca="1" si="221"/>
        <v>7610.4632856254493</v>
      </c>
      <c r="AI1014" s="196">
        <f>IFERROR($G1014/SUMIF($A:$A,$A1014,$G:$G)*SUMIF(Summary!$A$247:$A$283,$A1014,Summary!$P$247:$P$283),0)</f>
        <v>17.558140857979669</v>
      </c>
      <c r="AJ1014" s="196">
        <f>IFERROR($G1014/SUMIF($A:$A,$A1014,$G:$G)*(SUMIF(Summary!$A$247:$A$283,$A1014,Summary!$L$247:$L$283)+SUMIF(Summary!$A$297:$A$333,$A1014,Summary!$L$297:$L$333))-AI1014,0)</f>
        <v>115.05367262080377</v>
      </c>
      <c r="AK1014" s="196">
        <f>IFERROR($G1014/SUMIF($A:$A,$A1014,$G:$G)*SUMIF(Summary!$A$247:$A$283,$A1014,Summary!$Q$247:$Q$283),0)</f>
        <v>17.571255281762284</v>
      </c>
      <c r="AL1014" s="196">
        <f>IFERROR($G1014/SUMIF($A:$A,$A1014,$G:$G)*(SUMIF(Summary!$A$247:$A$283,$A1014,Summary!$L$247:$L$283)+SUMIF(Summary!$A$297:$A$333,$A1014,Summary!$L$297:$L$333))-AK1014,0)</f>
        <v>115.04055819702114</v>
      </c>
      <c r="AM1014" s="198"/>
      <c r="AN1014" s="196">
        <f t="shared" ca="1" si="222"/>
        <v>7725.5888673375575</v>
      </c>
      <c r="AO1014" s="196">
        <f t="shared" ca="1" si="223"/>
        <v>7725.5038438224701</v>
      </c>
    </row>
    <row r="1015" spans="1:41">
      <c r="A1015" s="189">
        <v>3624</v>
      </c>
      <c r="B1015" s="203">
        <v>4</v>
      </c>
      <c r="C1015" s="191" t="s">
        <v>222</v>
      </c>
      <c r="D1015" s="192">
        <f t="shared" si="210"/>
        <v>0</v>
      </c>
      <c r="E1015" s="192">
        <f t="shared" si="211"/>
        <v>0</v>
      </c>
      <c r="F1015" s="192">
        <f t="shared" si="212"/>
        <v>0</v>
      </c>
      <c r="G1015" s="193">
        <f t="shared" si="213"/>
        <v>0</v>
      </c>
      <c r="H1015" s="194">
        <v>0</v>
      </c>
      <c r="I1015" s="194">
        <v>0</v>
      </c>
      <c r="J1015" s="194">
        <v>0</v>
      </c>
      <c r="K1015" s="193">
        <f t="shared" si="214"/>
        <v>0</v>
      </c>
      <c r="L1015" s="194">
        <v>0</v>
      </c>
      <c r="M1015" s="194">
        <v>0</v>
      </c>
      <c r="N1015" s="194">
        <v>0</v>
      </c>
      <c r="O1015" s="193">
        <f t="shared" si="215"/>
        <v>0</v>
      </c>
      <c r="P1015" s="194">
        <v>0</v>
      </c>
      <c r="Q1015" s="194">
        <v>0</v>
      </c>
      <c r="R1015" s="194">
        <v>0</v>
      </c>
      <c r="S1015" s="193">
        <f t="shared" si="216"/>
        <v>0</v>
      </c>
      <c r="T1015" s="193">
        <f t="shared" si="217"/>
        <v>0</v>
      </c>
      <c r="U1015" s="193">
        <f ca="1">OFFSET('Expenditure Study'!$B$7,'Operations Support'!$C1015,'Operations Support'!$B1015)*$G1015</f>
        <v>0</v>
      </c>
      <c r="V1015" s="199">
        <f ca="1">U1015*'Expenditure Study'!$B$31</f>
        <v>0</v>
      </c>
      <c r="W1015" s="199">
        <f ca="1">IF(A1015=10298,1.51,1)*IF($B1015&lt;3,$D1015*'Expenditure Study'!$B$32*OFFSET('Expenditure Study'!$B$7,'Operations Support'!$C1015,'Operations Support'!$B1015),0)</f>
        <v>0</v>
      </c>
      <c r="X1015" s="200">
        <f ca="1">W1015*'Expenditure Study'!$B$31</f>
        <v>0</v>
      </c>
      <c r="Y1015" s="199">
        <f ca="1">U1015*'Expenditure Study'!$B$31</f>
        <v>0</v>
      </c>
      <c r="Z1015" s="200">
        <f ca="1">W1015*'Expenditure Study'!$B$31</f>
        <v>0</v>
      </c>
      <c r="AA1015" s="195">
        <f t="shared" ca="1" si="218"/>
        <v>0</v>
      </c>
      <c r="AB1015" s="195">
        <f t="shared" ca="1" si="219"/>
        <v>0</v>
      </c>
      <c r="AD1015" s="196">
        <f>IFERROR($G1015/SUMIF($A:$A,$A1015,$G:$G)*SUMIF(Summary!$A$166:$A$242,$A1015,Summary!$P$166:$P$242),0)</f>
        <v>0</v>
      </c>
      <c r="AE1015" s="197">
        <f t="shared" ca="1" si="220"/>
        <v>0</v>
      </c>
      <c r="AF1015" s="196">
        <f>IFERROR(G1015/SUMIF(A:A,A1015,G:G)*SUMIF(Summary!$A$166:$A$242,'Operations Support'!A1015,Summary!$Q$166:$Q$242),0)</f>
        <v>0</v>
      </c>
      <c r="AG1015" s="196">
        <f t="shared" ca="1" si="221"/>
        <v>0</v>
      </c>
      <c r="AI1015" s="196">
        <f>IFERROR($G1015/SUMIF($A:$A,$A1015,$G:$G)*SUMIF(Summary!$A$247:$A$283,$A1015,Summary!$P$247:$P$283),0)</f>
        <v>0</v>
      </c>
      <c r="AJ1015" s="196">
        <f>IFERROR($G1015/SUMIF($A:$A,$A1015,$G:$G)*(SUMIF(Summary!$A$247:$A$283,$A1015,Summary!$L$247:$L$283)+SUMIF(Summary!$A$297:$A$333,$A1015,Summary!$L$297:$L$333))-AI1015,0)</f>
        <v>0</v>
      </c>
      <c r="AK1015" s="196">
        <f>IFERROR($G1015/SUMIF($A:$A,$A1015,$G:$G)*SUMIF(Summary!$A$247:$A$283,$A1015,Summary!$Q$247:$Q$283),0)</f>
        <v>0</v>
      </c>
      <c r="AL1015" s="196">
        <f>IFERROR($G1015/SUMIF($A:$A,$A1015,$G:$G)*(SUMIF(Summary!$A$247:$A$283,$A1015,Summary!$L$247:$L$283)+SUMIF(Summary!$A$297:$A$333,$A1015,Summary!$L$297:$L$333))-AK1015,0)</f>
        <v>0</v>
      </c>
      <c r="AM1015" s="198"/>
      <c r="AN1015" s="196">
        <f t="shared" ca="1" si="222"/>
        <v>0</v>
      </c>
      <c r="AO1015" s="196">
        <f t="shared" ca="1" si="223"/>
        <v>0</v>
      </c>
    </row>
    <row r="1016" spans="1:41">
      <c r="A1016" s="189">
        <v>3624</v>
      </c>
      <c r="B1016" s="203">
        <v>4</v>
      </c>
      <c r="C1016" s="191" t="s">
        <v>223</v>
      </c>
      <c r="D1016" s="192">
        <f t="shared" si="210"/>
        <v>590</v>
      </c>
      <c r="E1016" s="192">
        <f t="shared" si="211"/>
        <v>70</v>
      </c>
      <c r="F1016" s="192">
        <f t="shared" si="212"/>
        <v>0</v>
      </c>
      <c r="G1016" s="193">
        <f t="shared" si="213"/>
        <v>660</v>
      </c>
      <c r="H1016" s="194">
        <v>156</v>
      </c>
      <c r="I1016" s="194">
        <v>24</v>
      </c>
      <c r="J1016" s="194">
        <v>0</v>
      </c>
      <c r="K1016" s="193">
        <f t="shared" si="214"/>
        <v>180</v>
      </c>
      <c r="L1016" s="194">
        <v>214</v>
      </c>
      <c r="M1016" s="194">
        <v>0</v>
      </c>
      <c r="N1016" s="194">
        <v>0</v>
      </c>
      <c r="O1016" s="193">
        <f t="shared" si="215"/>
        <v>214</v>
      </c>
      <c r="P1016" s="194">
        <v>220</v>
      </c>
      <c r="Q1016" s="194">
        <v>46</v>
      </c>
      <c r="R1016" s="194">
        <v>0</v>
      </c>
      <c r="S1016" s="193">
        <f t="shared" si="216"/>
        <v>266</v>
      </c>
      <c r="T1016" s="193">
        <f t="shared" si="217"/>
        <v>36.666666666666664</v>
      </c>
      <c r="U1016" s="193">
        <f ca="1">OFFSET('Expenditure Study'!$B$7,'Operations Support'!$C1016,'Operations Support'!$B1016)*$G1016</f>
        <v>5161.2</v>
      </c>
      <c r="V1016" s="199">
        <f ca="1">U1016*'Expenditure Study'!$B$31</f>
        <v>304940.11274496</v>
      </c>
      <c r="W1016" s="199">
        <f ca="1">IF(A1016=10298,1.51,1)*IF($B1016&lt;3,$D1016*'Expenditure Study'!$B$32*OFFSET('Expenditure Study'!$B$7,'Operations Support'!$C1016,'Operations Support'!$B1016),0)</f>
        <v>0</v>
      </c>
      <c r="X1016" s="200">
        <f ca="1">W1016*'Expenditure Study'!$B$31</f>
        <v>0</v>
      </c>
      <c r="Y1016" s="199">
        <f ca="1">U1016*'Expenditure Study'!$B$31</f>
        <v>304940.11274496</v>
      </c>
      <c r="Z1016" s="200">
        <f ca="1">W1016*'Expenditure Study'!$B$31</f>
        <v>0</v>
      </c>
      <c r="AA1016" s="195">
        <f t="shared" ca="1" si="218"/>
        <v>304940.11274496</v>
      </c>
      <c r="AB1016" s="195">
        <f t="shared" ca="1" si="219"/>
        <v>304940.11274496</v>
      </c>
      <c r="AD1016" s="196">
        <f>IFERROR($G1016/SUMIF($A:$A,$A1016,$G:$G)*SUMIF(Summary!$A$166:$A$242,$A1016,Summary!$P$166:$P$242),0)</f>
        <v>10590.239971877078</v>
      </c>
      <c r="AE1016" s="197">
        <f t="shared" ca="1" si="220"/>
        <v>294349.87277308293</v>
      </c>
      <c r="AF1016" s="196">
        <f>IFERROR(G1016/SUMIF(A:A,A1016,G:G)*SUMIF(Summary!$A$166:$A$242,'Operations Support'!A1016,Summary!$Q$166:$Q$242),0)</f>
        <v>10598.149971920602</v>
      </c>
      <c r="AG1016" s="196">
        <f t="shared" ca="1" si="221"/>
        <v>294341.96277303941</v>
      </c>
      <c r="AI1016" s="196">
        <f>IFERROR($G1016/SUMIF($A:$A,$A1016,$G:$G)*SUMIF(Summary!$A$247:$A$283,$A1016,Summary!$P$247:$P$283),0)</f>
        <v>1931.3954943777635</v>
      </c>
      <c r="AJ1016" s="196">
        <f>IFERROR($G1016/SUMIF($A:$A,$A1016,$G:$G)*(SUMIF(Summary!$A$247:$A$283,$A1016,Summary!$L$247:$L$283)+SUMIF(Summary!$A$297:$A$333,$A1016,Summary!$L$297:$L$333))-AI1016,0)</f>
        <v>12655.903988288414</v>
      </c>
      <c r="AK1016" s="196">
        <f>IFERROR($G1016/SUMIF($A:$A,$A1016,$G:$G)*SUMIF(Summary!$A$247:$A$283,$A1016,Summary!$Q$247:$Q$283),0)</f>
        <v>1932.8380809938512</v>
      </c>
      <c r="AL1016" s="196">
        <f>IFERROR($G1016/SUMIF($A:$A,$A1016,$G:$G)*(SUMIF(Summary!$A$247:$A$283,$A1016,Summary!$L$247:$L$283)+SUMIF(Summary!$A$297:$A$333,$A1016,Summary!$L$297:$L$333))-AK1016,0)</f>
        <v>12654.461401672326</v>
      </c>
      <c r="AM1016" s="198"/>
      <c r="AN1016" s="196">
        <f t="shared" ca="1" si="222"/>
        <v>307005.77676137135</v>
      </c>
      <c r="AO1016" s="196">
        <f t="shared" ca="1" si="223"/>
        <v>306996.42417471175</v>
      </c>
    </row>
    <row r="1017" spans="1:41">
      <c r="A1017" s="189">
        <v>3624</v>
      </c>
      <c r="B1017" s="203">
        <v>4</v>
      </c>
      <c r="C1017" s="191" t="s">
        <v>224</v>
      </c>
      <c r="D1017" s="192">
        <f t="shared" si="210"/>
        <v>107</v>
      </c>
      <c r="E1017" s="192">
        <f t="shared" si="211"/>
        <v>9</v>
      </c>
      <c r="F1017" s="192">
        <f t="shared" si="212"/>
        <v>0</v>
      </c>
      <c r="G1017" s="193">
        <f t="shared" si="213"/>
        <v>116</v>
      </c>
      <c r="H1017" s="194">
        <v>50</v>
      </c>
      <c r="I1017" s="194">
        <v>0</v>
      </c>
      <c r="J1017" s="194">
        <v>0</v>
      </c>
      <c r="K1017" s="193">
        <f t="shared" si="214"/>
        <v>50</v>
      </c>
      <c r="L1017" s="194">
        <v>32</v>
      </c>
      <c r="M1017" s="194">
        <v>9</v>
      </c>
      <c r="N1017" s="194">
        <v>0</v>
      </c>
      <c r="O1017" s="193">
        <f t="shared" si="215"/>
        <v>41</v>
      </c>
      <c r="P1017" s="194">
        <v>25</v>
      </c>
      <c r="Q1017" s="194">
        <v>0</v>
      </c>
      <c r="R1017" s="194">
        <v>0</v>
      </c>
      <c r="S1017" s="193">
        <f t="shared" si="216"/>
        <v>25</v>
      </c>
      <c r="T1017" s="193">
        <f t="shared" si="217"/>
        <v>6.4444444444444446</v>
      </c>
      <c r="U1017" s="193">
        <f ca="1">OFFSET('Expenditure Study'!$B$7,'Operations Support'!$C1017,'Operations Support'!$B1017)*$G1017</f>
        <v>1678.52</v>
      </c>
      <c r="V1017" s="199">
        <f ca="1">U1017*'Expenditure Study'!$B$31</f>
        <v>99172.300636415996</v>
      </c>
      <c r="W1017" s="199">
        <f ca="1">IF(A1017=10298,1.51,1)*IF($B1017&lt;3,$D1017*'Expenditure Study'!$B$32*OFFSET('Expenditure Study'!$B$7,'Operations Support'!$C1017,'Operations Support'!$B1017),0)</f>
        <v>0</v>
      </c>
      <c r="X1017" s="200">
        <f ca="1">W1017*'Expenditure Study'!$B$31</f>
        <v>0</v>
      </c>
      <c r="Y1017" s="199">
        <f ca="1">U1017*'Expenditure Study'!$B$31</f>
        <v>99172.300636415996</v>
      </c>
      <c r="Z1017" s="200">
        <f ca="1">W1017*'Expenditure Study'!$B$31</f>
        <v>0</v>
      </c>
      <c r="AA1017" s="195">
        <f t="shared" ca="1" si="218"/>
        <v>99172.300636415996</v>
      </c>
      <c r="AB1017" s="195">
        <f t="shared" ca="1" si="219"/>
        <v>99172.300636415996</v>
      </c>
      <c r="AD1017" s="196">
        <f>IFERROR($G1017/SUMIF($A:$A,$A1017,$G:$G)*SUMIF(Summary!$A$166:$A$242,$A1017,Summary!$P$166:$P$242),0)</f>
        <v>1861.3149041480926</v>
      </c>
      <c r="AE1017" s="197">
        <f t="shared" ca="1" si="220"/>
        <v>97310.985732267902</v>
      </c>
      <c r="AF1017" s="196">
        <f>IFERROR(G1017/SUMIF(A:A,A1017,G:G)*SUMIF(Summary!$A$166:$A$242,'Operations Support'!A1017,Summary!$Q$166:$Q$242),0)</f>
        <v>1862.7051465799846</v>
      </c>
      <c r="AG1017" s="196">
        <f t="shared" ca="1" si="221"/>
        <v>97309.595489836007</v>
      </c>
      <c r="AI1017" s="196">
        <f>IFERROR($G1017/SUMIF($A:$A,$A1017,$G:$G)*SUMIF(Summary!$A$247:$A$283,$A1017,Summary!$P$247:$P$283),0)</f>
        <v>339.45738992094027</v>
      </c>
      <c r="AJ1017" s="196">
        <f>IFERROR($G1017/SUMIF($A:$A,$A1017,$G:$G)*(SUMIF(Summary!$A$247:$A$283,$A1017,Summary!$L$247:$L$283)+SUMIF(Summary!$A$297:$A$333,$A1017,Summary!$L$297:$L$333))-AI1017,0)</f>
        <v>2224.3710040022061</v>
      </c>
      <c r="AK1017" s="196">
        <f>IFERROR($G1017/SUMIF($A:$A,$A1017,$G:$G)*SUMIF(Summary!$A$247:$A$283,$A1017,Summary!$Q$247:$Q$283),0)</f>
        <v>339.71093544740415</v>
      </c>
      <c r="AL1017" s="196">
        <f>IFERROR($G1017/SUMIF($A:$A,$A1017,$G:$G)*(SUMIF(Summary!$A$247:$A$283,$A1017,Summary!$L$247:$L$283)+SUMIF(Summary!$A$297:$A$333,$A1017,Summary!$L$297:$L$333))-AK1017,0)</f>
        <v>2224.1174584757423</v>
      </c>
      <c r="AM1017" s="198"/>
      <c r="AN1017" s="196">
        <f t="shared" ca="1" si="222"/>
        <v>99535.356736270114</v>
      </c>
      <c r="AO1017" s="196">
        <f t="shared" ca="1" si="223"/>
        <v>99533.712948311746</v>
      </c>
    </row>
    <row r="1018" spans="1:41">
      <c r="A1018" s="189">
        <v>3624</v>
      </c>
      <c r="B1018" s="203">
        <v>4</v>
      </c>
      <c r="C1018" s="191" t="s">
        <v>225</v>
      </c>
      <c r="D1018" s="192">
        <f t="shared" si="210"/>
        <v>0</v>
      </c>
      <c r="E1018" s="192">
        <f t="shared" si="211"/>
        <v>0</v>
      </c>
      <c r="F1018" s="192">
        <f t="shared" si="212"/>
        <v>0</v>
      </c>
      <c r="G1018" s="193">
        <f t="shared" si="213"/>
        <v>0</v>
      </c>
      <c r="H1018" s="194">
        <v>0</v>
      </c>
      <c r="I1018" s="194">
        <v>0</v>
      </c>
      <c r="J1018" s="194">
        <v>0</v>
      </c>
      <c r="K1018" s="193">
        <f t="shared" si="214"/>
        <v>0</v>
      </c>
      <c r="L1018" s="194">
        <v>0</v>
      </c>
      <c r="M1018" s="194">
        <v>0</v>
      </c>
      <c r="N1018" s="194">
        <v>0</v>
      </c>
      <c r="O1018" s="193">
        <f t="shared" si="215"/>
        <v>0</v>
      </c>
      <c r="P1018" s="194">
        <v>0</v>
      </c>
      <c r="Q1018" s="194">
        <v>0</v>
      </c>
      <c r="R1018" s="194">
        <v>0</v>
      </c>
      <c r="S1018" s="193">
        <f t="shared" si="216"/>
        <v>0</v>
      </c>
      <c r="T1018" s="193">
        <f t="shared" si="217"/>
        <v>0</v>
      </c>
      <c r="U1018" s="193">
        <f ca="1">OFFSET('Expenditure Study'!$B$7,'Operations Support'!$C1018,'Operations Support'!$B1018)*$G1018</f>
        <v>0</v>
      </c>
      <c r="V1018" s="199">
        <f ca="1">U1018*'Expenditure Study'!$B$31</f>
        <v>0</v>
      </c>
      <c r="W1018" s="199">
        <f ca="1">IF(A1018=10298,1.51,1)*IF($B1018&lt;3,$D1018*'Expenditure Study'!$B$32*OFFSET('Expenditure Study'!$B$7,'Operations Support'!$C1018,'Operations Support'!$B1018),0)</f>
        <v>0</v>
      </c>
      <c r="X1018" s="200">
        <f ca="1">W1018*'Expenditure Study'!$B$31</f>
        <v>0</v>
      </c>
      <c r="Y1018" s="199">
        <f ca="1">U1018*'Expenditure Study'!$B$31</f>
        <v>0</v>
      </c>
      <c r="Z1018" s="200">
        <f ca="1">W1018*'Expenditure Study'!$B$31</f>
        <v>0</v>
      </c>
      <c r="AA1018" s="195">
        <f t="shared" ca="1" si="218"/>
        <v>0</v>
      </c>
      <c r="AB1018" s="195">
        <f t="shared" ca="1" si="219"/>
        <v>0</v>
      </c>
      <c r="AD1018" s="196">
        <f>IFERROR($G1018/SUMIF($A:$A,$A1018,$G:$G)*SUMIF(Summary!$A$166:$A$242,$A1018,Summary!$P$166:$P$242),0)</f>
        <v>0</v>
      </c>
      <c r="AE1018" s="197">
        <f t="shared" ca="1" si="220"/>
        <v>0</v>
      </c>
      <c r="AF1018" s="196">
        <f>IFERROR(G1018/SUMIF(A:A,A1018,G:G)*SUMIF(Summary!$A$166:$A$242,'Operations Support'!A1018,Summary!$Q$166:$Q$242),0)</f>
        <v>0</v>
      </c>
      <c r="AG1018" s="196">
        <f t="shared" ca="1" si="221"/>
        <v>0</v>
      </c>
      <c r="AI1018" s="196">
        <f>IFERROR($G1018/SUMIF($A:$A,$A1018,$G:$G)*SUMIF(Summary!$A$247:$A$283,$A1018,Summary!$P$247:$P$283),0)</f>
        <v>0</v>
      </c>
      <c r="AJ1018" s="196">
        <f>IFERROR($G1018/SUMIF($A:$A,$A1018,$G:$G)*(SUMIF(Summary!$A$247:$A$283,$A1018,Summary!$L$247:$L$283)+SUMIF(Summary!$A$297:$A$333,$A1018,Summary!$L$297:$L$333))-AI1018,0)</f>
        <v>0</v>
      </c>
      <c r="AK1018" s="196">
        <f>IFERROR($G1018/SUMIF($A:$A,$A1018,$G:$G)*SUMIF(Summary!$A$247:$A$283,$A1018,Summary!$Q$247:$Q$283),0)</f>
        <v>0</v>
      </c>
      <c r="AL1018" s="196">
        <f>IFERROR($G1018/SUMIF($A:$A,$A1018,$G:$G)*(SUMIF(Summary!$A$247:$A$283,$A1018,Summary!$L$247:$L$283)+SUMIF(Summary!$A$297:$A$333,$A1018,Summary!$L$297:$L$333))-AK1018,0)</f>
        <v>0</v>
      </c>
      <c r="AM1018" s="198"/>
      <c r="AN1018" s="196">
        <f t="shared" ca="1" si="222"/>
        <v>0</v>
      </c>
      <c r="AO1018" s="196">
        <f t="shared" ca="1" si="223"/>
        <v>0</v>
      </c>
    </row>
    <row r="1019" spans="1:41">
      <c r="A1019" s="189">
        <v>3624</v>
      </c>
      <c r="B1019" s="203">
        <v>4</v>
      </c>
      <c r="C1019" s="191" t="s">
        <v>226</v>
      </c>
      <c r="D1019" s="192">
        <f t="shared" si="210"/>
        <v>0</v>
      </c>
      <c r="E1019" s="192">
        <f t="shared" si="211"/>
        <v>0</v>
      </c>
      <c r="F1019" s="192">
        <f t="shared" si="212"/>
        <v>0</v>
      </c>
      <c r="G1019" s="193">
        <f t="shared" si="213"/>
        <v>0</v>
      </c>
      <c r="H1019" s="194">
        <v>0</v>
      </c>
      <c r="I1019" s="194">
        <v>0</v>
      </c>
      <c r="J1019" s="194">
        <v>0</v>
      </c>
      <c r="K1019" s="193">
        <f t="shared" si="214"/>
        <v>0</v>
      </c>
      <c r="L1019" s="194">
        <v>0</v>
      </c>
      <c r="M1019" s="194">
        <v>0</v>
      </c>
      <c r="N1019" s="194">
        <v>0</v>
      </c>
      <c r="O1019" s="193">
        <f t="shared" si="215"/>
        <v>0</v>
      </c>
      <c r="P1019" s="194">
        <v>0</v>
      </c>
      <c r="Q1019" s="194">
        <v>0</v>
      </c>
      <c r="R1019" s="194">
        <v>0</v>
      </c>
      <c r="S1019" s="193">
        <f t="shared" si="216"/>
        <v>0</v>
      </c>
      <c r="T1019" s="193">
        <f t="shared" si="217"/>
        <v>0</v>
      </c>
      <c r="U1019" s="193">
        <f ca="1">OFFSET('Expenditure Study'!$B$7,'Operations Support'!$C1019,'Operations Support'!$B1019)*$G1019</f>
        <v>0</v>
      </c>
      <c r="V1019" s="199">
        <f ca="1">U1019*'Expenditure Study'!$B$31</f>
        <v>0</v>
      </c>
      <c r="W1019" s="199">
        <f ca="1">IF(A1019=10298,1.51,1)*IF($B1019&lt;3,$D1019*'Expenditure Study'!$B$32*OFFSET('Expenditure Study'!$B$7,'Operations Support'!$C1019,'Operations Support'!$B1019),0)</f>
        <v>0</v>
      </c>
      <c r="X1019" s="200">
        <f ca="1">W1019*'Expenditure Study'!$B$31</f>
        <v>0</v>
      </c>
      <c r="Y1019" s="199">
        <f ca="1">U1019*'Expenditure Study'!$B$31</f>
        <v>0</v>
      </c>
      <c r="Z1019" s="200">
        <f ca="1">W1019*'Expenditure Study'!$B$31</f>
        <v>0</v>
      </c>
      <c r="AA1019" s="195">
        <f t="shared" ca="1" si="218"/>
        <v>0</v>
      </c>
      <c r="AB1019" s="195">
        <f t="shared" ca="1" si="219"/>
        <v>0</v>
      </c>
      <c r="AD1019" s="196">
        <f>IFERROR($G1019/SUMIF($A:$A,$A1019,$G:$G)*SUMIF(Summary!$A$166:$A$242,$A1019,Summary!$P$166:$P$242),0)</f>
        <v>0</v>
      </c>
      <c r="AE1019" s="197">
        <f t="shared" ca="1" si="220"/>
        <v>0</v>
      </c>
      <c r="AF1019" s="196">
        <f>IFERROR(G1019/SUMIF(A:A,A1019,G:G)*SUMIF(Summary!$A$166:$A$242,'Operations Support'!A1019,Summary!$Q$166:$Q$242),0)</f>
        <v>0</v>
      </c>
      <c r="AG1019" s="196">
        <f t="shared" ca="1" si="221"/>
        <v>0</v>
      </c>
      <c r="AI1019" s="196">
        <f>IFERROR($G1019/SUMIF($A:$A,$A1019,$G:$G)*SUMIF(Summary!$A$247:$A$283,$A1019,Summary!$P$247:$P$283),0)</f>
        <v>0</v>
      </c>
      <c r="AJ1019" s="196">
        <f>IFERROR($G1019/SUMIF($A:$A,$A1019,$G:$G)*(SUMIF(Summary!$A$247:$A$283,$A1019,Summary!$L$247:$L$283)+SUMIF(Summary!$A$297:$A$333,$A1019,Summary!$L$297:$L$333))-AI1019,0)</f>
        <v>0</v>
      </c>
      <c r="AK1019" s="196">
        <f>IFERROR($G1019/SUMIF($A:$A,$A1019,$G:$G)*SUMIF(Summary!$A$247:$A$283,$A1019,Summary!$Q$247:$Q$283),0)</f>
        <v>0</v>
      </c>
      <c r="AL1019" s="196">
        <f>IFERROR($G1019/SUMIF($A:$A,$A1019,$G:$G)*(SUMIF(Summary!$A$247:$A$283,$A1019,Summary!$L$247:$L$283)+SUMIF(Summary!$A$297:$A$333,$A1019,Summary!$L$297:$L$333))-AK1019,0)</f>
        <v>0</v>
      </c>
      <c r="AM1019" s="198"/>
      <c r="AN1019" s="196">
        <f t="shared" ca="1" si="222"/>
        <v>0</v>
      </c>
      <c r="AO1019" s="196">
        <f t="shared" ca="1" si="223"/>
        <v>0</v>
      </c>
    </row>
    <row r="1020" spans="1:41">
      <c r="A1020" s="189">
        <v>3624</v>
      </c>
      <c r="B1020" s="203">
        <v>4</v>
      </c>
      <c r="C1020" s="191" t="s">
        <v>227</v>
      </c>
      <c r="D1020" s="192">
        <f t="shared" si="210"/>
        <v>0</v>
      </c>
      <c r="E1020" s="192">
        <f t="shared" si="211"/>
        <v>0</v>
      </c>
      <c r="F1020" s="192">
        <f t="shared" si="212"/>
        <v>0</v>
      </c>
      <c r="G1020" s="193">
        <f t="shared" si="213"/>
        <v>0</v>
      </c>
      <c r="H1020" s="194">
        <v>0</v>
      </c>
      <c r="I1020" s="194">
        <v>0</v>
      </c>
      <c r="J1020" s="194">
        <v>0</v>
      </c>
      <c r="K1020" s="193">
        <f t="shared" si="214"/>
        <v>0</v>
      </c>
      <c r="L1020" s="194">
        <v>0</v>
      </c>
      <c r="M1020" s="194">
        <v>0</v>
      </c>
      <c r="N1020" s="194">
        <v>0</v>
      </c>
      <c r="O1020" s="193">
        <f t="shared" si="215"/>
        <v>0</v>
      </c>
      <c r="P1020" s="194">
        <v>0</v>
      </c>
      <c r="Q1020" s="194">
        <v>0</v>
      </c>
      <c r="R1020" s="194">
        <v>0</v>
      </c>
      <c r="S1020" s="193">
        <f t="shared" si="216"/>
        <v>0</v>
      </c>
      <c r="T1020" s="193">
        <f t="shared" si="217"/>
        <v>0</v>
      </c>
      <c r="U1020" s="193">
        <f ca="1">OFFSET('Expenditure Study'!$B$7,'Operations Support'!$C1020,'Operations Support'!$B1020)*$G1020</f>
        <v>0</v>
      </c>
      <c r="V1020" s="199">
        <f ca="1">U1020*'Expenditure Study'!$B$31</f>
        <v>0</v>
      </c>
      <c r="W1020" s="199">
        <f ca="1">IF(A1020=10298,1.51,1)*IF($B1020&lt;3,$D1020*'Expenditure Study'!$B$32*OFFSET('Expenditure Study'!$B$7,'Operations Support'!$C1020,'Operations Support'!$B1020),0)</f>
        <v>0</v>
      </c>
      <c r="X1020" s="200">
        <f ca="1">W1020*'Expenditure Study'!$B$31</f>
        <v>0</v>
      </c>
      <c r="Y1020" s="199">
        <f ca="1">U1020*'Expenditure Study'!$B$31</f>
        <v>0</v>
      </c>
      <c r="Z1020" s="200">
        <f ca="1">W1020*'Expenditure Study'!$B$31</f>
        <v>0</v>
      </c>
      <c r="AA1020" s="195">
        <f t="shared" ca="1" si="218"/>
        <v>0</v>
      </c>
      <c r="AB1020" s="195">
        <f t="shared" ca="1" si="219"/>
        <v>0</v>
      </c>
      <c r="AD1020" s="196">
        <f>IFERROR($G1020/SUMIF($A:$A,$A1020,$G:$G)*SUMIF(Summary!$A$166:$A$242,$A1020,Summary!$P$166:$P$242),0)</f>
        <v>0</v>
      </c>
      <c r="AE1020" s="197">
        <f t="shared" ca="1" si="220"/>
        <v>0</v>
      </c>
      <c r="AF1020" s="196">
        <f>IFERROR(G1020/SUMIF(A:A,A1020,G:G)*SUMIF(Summary!$A$166:$A$242,'Operations Support'!A1020,Summary!$Q$166:$Q$242),0)</f>
        <v>0</v>
      </c>
      <c r="AG1020" s="196">
        <f t="shared" ca="1" si="221"/>
        <v>0</v>
      </c>
      <c r="AI1020" s="196">
        <f>IFERROR($G1020/SUMIF($A:$A,$A1020,$G:$G)*SUMIF(Summary!$A$247:$A$283,$A1020,Summary!$P$247:$P$283),0)</f>
        <v>0</v>
      </c>
      <c r="AJ1020" s="196">
        <f>IFERROR($G1020/SUMIF($A:$A,$A1020,$G:$G)*(SUMIF(Summary!$A$247:$A$283,$A1020,Summary!$L$247:$L$283)+SUMIF(Summary!$A$297:$A$333,$A1020,Summary!$L$297:$L$333))-AI1020,0)</f>
        <v>0</v>
      </c>
      <c r="AK1020" s="196">
        <f>IFERROR($G1020/SUMIF($A:$A,$A1020,$G:$G)*SUMIF(Summary!$A$247:$A$283,$A1020,Summary!$Q$247:$Q$283),0)</f>
        <v>0</v>
      </c>
      <c r="AL1020" s="196">
        <f>IFERROR($G1020/SUMIF($A:$A,$A1020,$G:$G)*(SUMIF(Summary!$A$247:$A$283,$A1020,Summary!$L$247:$L$283)+SUMIF(Summary!$A$297:$A$333,$A1020,Summary!$L$297:$L$333))-AK1020,0)</f>
        <v>0</v>
      </c>
      <c r="AM1020" s="198"/>
      <c r="AN1020" s="196">
        <f t="shared" ca="1" si="222"/>
        <v>0</v>
      </c>
      <c r="AO1020" s="196">
        <f t="shared" ca="1" si="223"/>
        <v>0</v>
      </c>
    </row>
    <row r="1021" spans="1:41">
      <c r="A1021" s="189">
        <v>3624</v>
      </c>
      <c r="B1021" s="203">
        <v>4</v>
      </c>
      <c r="C1021" s="191" t="s">
        <v>228</v>
      </c>
      <c r="D1021" s="192">
        <f t="shared" si="210"/>
        <v>144</v>
      </c>
      <c r="E1021" s="192">
        <f t="shared" si="211"/>
        <v>0</v>
      </c>
      <c r="F1021" s="192">
        <f t="shared" si="212"/>
        <v>0</v>
      </c>
      <c r="G1021" s="193">
        <f t="shared" si="213"/>
        <v>144</v>
      </c>
      <c r="H1021" s="194">
        <v>144</v>
      </c>
      <c r="I1021" s="194">
        <v>0</v>
      </c>
      <c r="J1021" s="194">
        <v>0</v>
      </c>
      <c r="K1021" s="193">
        <f t="shared" si="214"/>
        <v>144</v>
      </c>
      <c r="L1021" s="194">
        <v>0</v>
      </c>
      <c r="M1021" s="194">
        <v>0</v>
      </c>
      <c r="N1021" s="194">
        <v>0</v>
      </c>
      <c r="O1021" s="193">
        <f t="shared" si="215"/>
        <v>0</v>
      </c>
      <c r="P1021" s="194">
        <v>0</v>
      </c>
      <c r="Q1021" s="194">
        <v>0</v>
      </c>
      <c r="R1021" s="194">
        <v>0</v>
      </c>
      <c r="S1021" s="193">
        <f t="shared" si="216"/>
        <v>0</v>
      </c>
      <c r="T1021" s="193">
        <f t="shared" si="217"/>
        <v>8</v>
      </c>
      <c r="U1021" s="193">
        <f ca="1">OFFSET('Expenditure Study'!$B$7,'Operations Support'!$C1021,'Operations Support'!$B1021)*$G1021</f>
        <v>4186.08</v>
      </c>
      <c r="V1021" s="199">
        <f ca="1">U1021*'Expenditure Study'!$B$31</f>
        <v>247326.92148326401</v>
      </c>
      <c r="W1021" s="199">
        <f ca="1">IF(A1021=10298,1.51,1)*IF($B1021&lt;3,$D1021*'Expenditure Study'!$B$32*OFFSET('Expenditure Study'!$B$7,'Operations Support'!$C1021,'Operations Support'!$B1021),0)</f>
        <v>0</v>
      </c>
      <c r="X1021" s="200">
        <f ca="1">W1021*'Expenditure Study'!$B$31</f>
        <v>0</v>
      </c>
      <c r="Y1021" s="199">
        <f ca="1">U1021*'Expenditure Study'!$B$31</f>
        <v>247326.92148326401</v>
      </c>
      <c r="Z1021" s="200">
        <f ca="1">W1021*'Expenditure Study'!$B$31</f>
        <v>0</v>
      </c>
      <c r="AA1021" s="195">
        <f t="shared" ca="1" si="218"/>
        <v>247326.92148326401</v>
      </c>
      <c r="AB1021" s="195">
        <f t="shared" ca="1" si="219"/>
        <v>247326.92148326401</v>
      </c>
      <c r="AD1021" s="196">
        <f>IFERROR($G1021/SUMIF($A:$A,$A1021,$G:$G)*SUMIF(Summary!$A$166:$A$242,$A1021,Summary!$P$166:$P$242),0)</f>
        <v>2310.5978120459081</v>
      </c>
      <c r="AE1021" s="197">
        <f t="shared" ca="1" si="220"/>
        <v>245016.3236712181</v>
      </c>
      <c r="AF1021" s="196">
        <f>IFERROR(G1021/SUMIF(A:A,A1021,G:G)*SUMIF(Summary!$A$166:$A$242,'Operations Support'!A1021,Summary!$Q$166:$Q$242),0)</f>
        <v>2312.3236302372225</v>
      </c>
      <c r="AG1021" s="196">
        <f t="shared" ca="1" si="221"/>
        <v>245014.59785302679</v>
      </c>
      <c r="AI1021" s="196">
        <f>IFERROR($G1021/SUMIF($A:$A,$A1021,$G:$G)*SUMIF(Summary!$A$247:$A$283,$A1021,Summary!$P$247:$P$283),0)</f>
        <v>421.39538059151209</v>
      </c>
      <c r="AJ1021" s="196">
        <f>IFERROR($G1021/SUMIF($A:$A,$A1021,$G:$G)*(SUMIF(Summary!$A$247:$A$283,$A1021,Summary!$L$247:$L$283)+SUMIF(Summary!$A$297:$A$333,$A1021,Summary!$L$297:$L$333))-AI1021,0)</f>
        <v>2761.2881428992905</v>
      </c>
      <c r="AK1021" s="196">
        <f>IFERROR($G1021/SUMIF($A:$A,$A1021,$G:$G)*SUMIF(Summary!$A$247:$A$283,$A1021,Summary!$Q$247:$Q$283),0)</f>
        <v>421.71012676229486</v>
      </c>
      <c r="AL1021" s="196">
        <f>IFERROR($G1021/SUMIF($A:$A,$A1021,$G:$G)*(SUMIF(Summary!$A$247:$A$283,$A1021,Summary!$L$247:$L$283)+SUMIF(Summary!$A$297:$A$333,$A1021,Summary!$L$297:$L$333))-AK1021,0)</f>
        <v>2760.9733967285079</v>
      </c>
      <c r="AM1021" s="198"/>
      <c r="AN1021" s="196">
        <f t="shared" ca="1" si="222"/>
        <v>247777.61181411738</v>
      </c>
      <c r="AO1021" s="196">
        <f t="shared" ca="1" si="223"/>
        <v>247775.5712497553</v>
      </c>
    </row>
    <row r="1022" spans="1:41">
      <c r="A1022" s="189">
        <v>3624</v>
      </c>
      <c r="B1022" s="203">
        <v>4</v>
      </c>
      <c r="C1022" s="191" t="s">
        <v>229</v>
      </c>
      <c r="D1022" s="192">
        <f t="shared" si="210"/>
        <v>0</v>
      </c>
      <c r="E1022" s="192">
        <f t="shared" si="211"/>
        <v>0</v>
      </c>
      <c r="F1022" s="192">
        <f t="shared" si="212"/>
        <v>0</v>
      </c>
      <c r="G1022" s="193">
        <f t="shared" si="213"/>
        <v>0</v>
      </c>
      <c r="H1022" s="194">
        <v>0</v>
      </c>
      <c r="I1022" s="194">
        <v>0</v>
      </c>
      <c r="J1022" s="194">
        <v>0</v>
      </c>
      <c r="K1022" s="193">
        <f t="shared" si="214"/>
        <v>0</v>
      </c>
      <c r="L1022" s="194">
        <v>0</v>
      </c>
      <c r="M1022" s="194">
        <v>0</v>
      </c>
      <c r="N1022" s="194">
        <v>0</v>
      </c>
      <c r="O1022" s="193">
        <f t="shared" si="215"/>
        <v>0</v>
      </c>
      <c r="P1022" s="194">
        <v>0</v>
      </c>
      <c r="Q1022" s="194">
        <v>0</v>
      </c>
      <c r="R1022" s="194">
        <v>0</v>
      </c>
      <c r="S1022" s="193">
        <f t="shared" si="216"/>
        <v>0</v>
      </c>
      <c r="T1022" s="193">
        <f t="shared" si="217"/>
        <v>0</v>
      </c>
      <c r="U1022" s="193">
        <f ca="1">OFFSET('Expenditure Study'!$B$7,'Operations Support'!$C1022,'Operations Support'!$B1022)*$G1022</f>
        <v>0</v>
      </c>
      <c r="V1022" s="199">
        <f ca="1">U1022*'Expenditure Study'!$B$31</f>
        <v>0</v>
      </c>
      <c r="W1022" s="199">
        <f ca="1">IF(A1022=10298,1.51,1)*IF($B1022&lt;3,$D1022*'Expenditure Study'!$B$32*OFFSET('Expenditure Study'!$B$7,'Operations Support'!$C1022,'Operations Support'!$B1022),0)</f>
        <v>0</v>
      </c>
      <c r="X1022" s="200">
        <f ca="1">W1022*'Expenditure Study'!$B$31</f>
        <v>0</v>
      </c>
      <c r="Y1022" s="199">
        <f ca="1">U1022*'Expenditure Study'!$B$31</f>
        <v>0</v>
      </c>
      <c r="Z1022" s="200">
        <f ca="1">W1022*'Expenditure Study'!$B$31</f>
        <v>0</v>
      </c>
      <c r="AA1022" s="195">
        <f t="shared" ca="1" si="218"/>
        <v>0</v>
      </c>
      <c r="AB1022" s="195">
        <f t="shared" ca="1" si="219"/>
        <v>0</v>
      </c>
      <c r="AD1022" s="196">
        <f>IFERROR($G1022/SUMIF($A:$A,$A1022,$G:$G)*SUMIF(Summary!$A$166:$A$242,$A1022,Summary!$P$166:$P$242),0)</f>
        <v>0</v>
      </c>
      <c r="AE1022" s="197">
        <f t="shared" ca="1" si="220"/>
        <v>0</v>
      </c>
      <c r="AF1022" s="196">
        <f>IFERROR(G1022/SUMIF(A:A,A1022,G:G)*SUMIF(Summary!$A$166:$A$242,'Operations Support'!A1022,Summary!$Q$166:$Q$242),0)</f>
        <v>0</v>
      </c>
      <c r="AG1022" s="196">
        <f t="shared" ca="1" si="221"/>
        <v>0</v>
      </c>
      <c r="AI1022" s="196">
        <f>IFERROR($G1022/SUMIF($A:$A,$A1022,$G:$G)*SUMIF(Summary!$A$247:$A$283,$A1022,Summary!$P$247:$P$283),0)</f>
        <v>0</v>
      </c>
      <c r="AJ1022" s="196">
        <f>IFERROR($G1022/SUMIF($A:$A,$A1022,$G:$G)*(SUMIF(Summary!$A$247:$A$283,$A1022,Summary!$L$247:$L$283)+SUMIF(Summary!$A$297:$A$333,$A1022,Summary!$L$297:$L$333))-AI1022,0)</f>
        <v>0</v>
      </c>
      <c r="AK1022" s="196">
        <f>IFERROR($G1022/SUMIF($A:$A,$A1022,$G:$G)*SUMIF(Summary!$A$247:$A$283,$A1022,Summary!$Q$247:$Q$283),0)</f>
        <v>0</v>
      </c>
      <c r="AL1022" s="196">
        <f>IFERROR($G1022/SUMIF($A:$A,$A1022,$G:$G)*(SUMIF(Summary!$A$247:$A$283,$A1022,Summary!$L$247:$L$283)+SUMIF(Summary!$A$297:$A$333,$A1022,Summary!$L$297:$L$333))-AK1022,0)</f>
        <v>0</v>
      </c>
      <c r="AM1022" s="198"/>
      <c r="AN1022" s="196">
        <f t="shared" ca="1" si="222"/>
        <v>0</v>
      </c>
      <c r="AO1022" s="196">
        <f t="shared" ca="1" si="223"/>
        <v>0</v>
      </c>
    </row>
    <row r="1023" spans="1:41">
      <c r="A1023" s="189">
        <v>3624</v>
      </c>
      <c r="B1023" s="203">
        <v>4</v>
      </c>
      <c r="C1023" s="191" t="s">
        <v>230</v>
      </c>
      <c r="D1023" s="192">
        <f t="shared" si="210"/>
        <v>0</v>
      </c>
      <c r="E1023" s="192">
        <f t="shared" si="211"/>
        <v>0</v>
      </c>
      <c r="F1023" s="192">
        <f t="shared" si="212"/>
        <v>0</v>
      </c>
      <c r="G1023" s="193">
        <f t="shared" si="213"/>
        <v>0</v>
      </c>
      <c r="H1023" s="194">
        <v>0</v>
      </c>
      <c r="I1023" s="194">
        <v>0</v>
      </c>
      <c r="J1023" s="194">
        <v>0</v>
      </c>
      <c r="K1023" s="193">
        <f t="shared" si="214"/>
        <v>0</v>
      </c>
      <c r="L1023" s="194">
        <v>0</v>
      </c>
      <c r="M1023" s="194">
        <v>0</v>
      </c>
      <c r="N1023" s="194">
        <v>0</v>
      </c>
      <c r="O1023" s="193">
        <f t="shared" si="215"/>
        <v>0</v>
      </c>
      <c r="P1023" s="194">
        <v>0</v>
      </c>
      <c r="Q1023" s="194">
        <v>0</v>
      </c>
      <c r="R1023" s="194">
        <v>0</v>
      </c>
      <c r="S1023" s="193">
        <f t="shared" si="216"/>
        <v>0</v>
      </c>
      <c r="T1023" s="193">
        <f t="shared" si="217"/>
        <v>0</v>
      </c>
      <c r="U1023" s="193">
        <f ca="1">OFFSET('Expenditure Study'!$B$7,'Operations Support'!$C1023,'Operations Support'!$B1023)*$G1023</f>
        <v>0</v>
      </c>
      <c r="V1023" s="199">
        <f ca="1">U1023*'Expenditure Study'!$B$31</f>
        <v>0</v>
      </c>
      <c r="W1023" s="199">
        <f ca="1">IF(A1023=10298,1.51,1)*IF($B1023&lt;3,$D1023*'Expenditure Study'!$B$32*OFFSET('Expenditure Study'!$B$7,'Operations Support'!$C1023,'Operations Support'!$B1023),0)</f>
        <v>0</v>
      </c>
      <c r="X1023" s="200">
        <f ca="1">W1023*'Expenditure Study'!$B$31</f>
        <v>0</v>
      </c>
      <c r="Y1023" s="199">
        <f ca="1">U1023*'Expenditure Study'!$B$31</f>
        <v>0</v>
      </c>
      <c r="Z1023" s="200">
        <f ca="1">W1023*'Expenditure Study'!$B$31</f>
        <v>0</v>
      </c>
      <c r="AA1023" s="195">
        <f t="shared" ca="1" si="218"/>
        <v>0</v>
      </c>
      <c r="AB1023" s="195">
        <f t="shared" ca="1" si="219"/>
        <v>0</v>
      </c>
      <c r="AD1023" s="196">
        <f>IFERROR($G1023/SUMIF($A:$A,$A1023,$G:$G)*SUMIF(Summary!$A$166:$A$242,$A1023,Summary!$P$166:$P$242),0)</f>
        <v>0</v>
      </c>
      <c r="AE1023" s="197">
        <f t="shared" ca="1" si="220"/>
        <v>0</v>
      </c>
      <c r="AF1023" s="196">
        <f>IFERROR(G1023/SUMIF(A:A,A1023,G:G)*SUMIF(Summary!$A$166:$A$242,'Operations Support'!A1023,Summary!$Q$166:$Q$242),0)</f>
        <v>0</v>
      </c>
      <c r="AG1023" s="196">
        <f t="shared" ca="1" si="221"/>
        <v>0</v>
      </c>
      <c r="AI1023" s="196">
        <f>IFERROR($G1023/SUMIF($A:$A,$A1023,$G:$G)*SUMIF(Summary!$A$247:$A$283,$A1023,Summary!$P$247:$P$283),0)</f>
        <v>0</v>
      </c>
      <c r="AJ1023" s="196">
        <f>IFERROR($G1023/SUMIF($A:$A,$A1023,$G:$G)*(SUMIF(Summary!$A$247:$A$283,$A1023,Summary!$L$247:$L$283)+SUMIF(Summary!$A$297:$A$333,$A1023,Summary!$L$297:$L$333))-AI1023,0)</f>
        <v>0</v>
      </c>
      <c r="AK1023" s="196">
        <f>IFERROR($G1023/SUMIF($A:$A,$A1023,$G:$G)*SUMIF(Summary!$A$247:$A$283,$A1023,Summary!$Q$247:$Q$283),0)</f>
        <v>0</v>
      </c>
      <c r="AL1023" s="196">
        <f>IFERROR($G1023/SUMIF($A:$A,$A1023,$G:$G)*(SUMIF(Summary!$A$247:$A$283,$A1023,Summary!$L$247:$L$283)+SUMIF(Summary!$A$297:$A$333,$A1023,Summary!$L$297:$L$333))-AK1023,0)</f>
        <v>0</v>
      </c>
      <c r="AM1023" s="198"/>
      <c r="AN1023" s="196">
        <f t="shared" ca="1" si="222"/>
        <v>0</v>
      </c>
      <c r="AO1023" s="196">
        <f t="shared" ca="1" si="223"/>
        <v>0</v>
      </c>
    </row>
    <row r="1024" spans="1:41">
      <c r="A1024" s="189">
        <v>3624</v>
      </c>
      <c r="B1024" s="203">
        <v>4</v>
      </c>
      <c r="C1024" s="191" t="s">
        <v>231</v>
      </c>
      <c r="D1024" s="192">
        <f t="shared" si="210"/>
        <v>0</v>
      </c>
      <c r="E1024" s="192">
        <f t="shared" si="211"/>
        <v>0</v>
      </c>
      <c r="F1024" s="192">
        <f t="shared" si="212"/>
        <v>0</v>
      </c>
      <c r="G1024" s="193">
        <f t="shared" si="213"/>
        <v>0</v>
      </c>
      <c r="H1024" s="194">
        <v>0</v>
      </c>
      <c r="I1024" s="194">
        <v>0</v>
      </c>
      <c r="J1024" s="194">
        <v>0</v>
      </c>
      <c r="K1024" s="193">
        <f t="shared" si="214"/>
        <v>0</v>
      </c>
      <c r="L1024" s="194">
        <v>0</v>
      </c>
      <c r="M1024" s="194">
        <v>0</v>
      </c>
      <c r="N1024" s="194">
        <v>0</v>
      </c>
      <c r="O1024" s="193">
        <f t="shared" si="215"/>
        <v>0</v>
      </c>
      <c r="P1024" s="194">
        <v>0</v>
      </c>
      <c r="Q1024" s="194">
        <v>0</v>
      </c>
      <c r="R1024" s="194">
        <v>0</v>
      </c>
      <c r="S1024" s="193">
        <f t="shared" si="216"/>
        <v>0</v>
      </c>
      <c r="T1024" s="193">
        <f t="shared" si="217"/>
        <v>0</v>
      </c>
      <c r="U1024" s="193">
        <f ca="1">OFFSET('Expenditure Study'!$B$7,'Operations Support'!$C1024,'Operations Support'!$B1024)*$G1024</f>
        <v>0</v>
      </c>
      <c r="V1024" s="199">
        <f ca="1">U1024*'Expenditure Study'!$B$31</f>
        <v>0</v>
      </c>
      <c r="W1024" s="199">
        <f ca="1">IF(A1024=10298,1.51,1)*IF($B1024&lt;3,$D1024*'Expenditure Study'!$B$32*OFFSET('Expenditure Study'!$B$7,'Operations Support'!$C1024,'Operations Support'!$B1024),0)</f>
        <v>0</v>
      </c>
      <c r="X1024" s="200">
        <f ca="1">W1024*'Expenditure Study'!$B$31</f>
        <v>0</v>
      </c>
      <c r="Y1024" s="199">
        <f ca="1">U1024*'Expenditure Study'!$B$31</f>
        <v>0</v>
      </c>
      <c r="Z1024" s="200">
        <f ca="1">W1024*'Expenditure Study'!$B$31</f>
        <v>0</v>
      </c>
      <c r="AA1024" s="195">
        <f t="shared" ca="1" si="218"/>
        <v>0</v>
      </c>
      <c r="AB1024" s="195">
        <f t="shared" ca="1" si="219"/>
        <v>0</v>
      </c>
      <c r="AD1024" s="196">
        <f>IFERROR($G1024/SUMIF($A:$A,$A1024,$G:$G)*SUMIF(Summary!$A$166:$A$242,$A1024,Summary!$P$166:$P$242),0)</f>
        <v>0</v>
      </c>
      <c r="AE1024" s="197">
        <f t="shared" ca="1" si="220"/>
        <v>0</v>
      </c>
      <c r="AF1024" s="196">
        <f>IFERROR(G1024/SUMIF(A:A,A1024,G:G)*SUMIF(Summary!$A$166:$A$242,'Operations Support'!A1024,Summary!$Q$166:$Q$242),0)</f>
        <v>0</v>
      </c>
      <c r="AG1024" s="196">
        <f t="shared" ca="1" si="221"/>
        <v>0</v>
      </c>
      <c r="AI1024" s="196">
        <f>IFERROR($G1024/SUMIF($A:$A,$A1024,$G:$G)*SUMIF(Summary!$A$247:$A$283,$A1024,Summary!$P$247:$P$283),0)</f>
        <v>0</v>
      </c>
      <c r="AJ1024" s="196">
        <f>IFERROR($G1024/SUMIF($A:$A,$A1024,$G:$G)*(SUMIF(Summary!$A$247:$A$283,$A1024,Summary!$L$247:$L$283)+SUMIF(Summary!$A$297:$A$333,$A1024,Summary!$L$297:$L$333))-AI1024,0)</f>
        <v>0</v>
      </c>
      <c r="AK1024" s="196">
        <f>IFERROR($G1024/SUMIF($A:$A,$A1024,$G:$G)*SUMIF(Summary!$A$247:$A$283,$A1024,Summary!$Q$247:$Q$283),0)</f>
        <v>0</v>
      </c>
      <c r="AL1024" s="196">
        <f>IFERROR($G1024/SUMIF($A:$A,$A1024,$G:$G)*(SUMIF(Summary!$A$247:$A$283,$A1024,Summary!$L$247:$L$283)+SUMIF(Summary!$A$297:$A$333,$A1024,Summary!$L$297:$L$333))-AK1024,0)</f>
        <v>0</v>
      </c>
      <c r="AM1024" s="198"/>
      <c r="AN1024" s="196">
        <f t="shared" ca="1" si="222"/>
        <v>0</v>
      </c>
      <c r="AO1024" s="196">
        <f t="shared" ca="1" si="223"/>
        <v>0</v>
      </c>
    </row>
    <row r="1025" spans="1:41" s="201" customFormat="1">
      <c r="A1025" s="189">
        <v>3624</v>
      </c>
      <c r="B1025" s="203">
        <v>4</v>
      </c>
      <c r="C1025" s="191" t="s">
        <v>232</v>
      </c>
      <c r="D1025" s="192">
        <f t="shared" si="210"/>
        <v>0</v>
      </c>
      <c r="E1025" s="192">
        <f t="shared" si="211"/>
        <v>0</v>
      </c>
      <c r="F1025" s="192">
        <f t="shared" si="212"/>
        <v>0</v>
      </c>
      <c r="G1025" s="193">
        <f t="shared" si="213"/>
        <v>0</v>
      </c>
      <c r="H1025" s="194">
        <v>0</v>
      </c>
      <c r="I1025" s="194">
        <v>0</v>
      </c>
      <c r="J1025" s="194">
        <v>0</v>
      </c>
      <c r="K1025" s="193">
        <f t="shared" si="214"/>
        <v>0</v>
      </c>
      <c r="L1025" s="194">
        <v>0</v>
      </c>
      <c r="M1025" s="194">
        <v>0</v>
      </c>
      <c r="N1025" s="194">
        <v>0</v>
      </c>
      <c r="O1025" s="193">
        <f t="shared" si="215"/>
        <v>0</v>
      </c>
      <c r="P1025" s="194">
        <v>0</v>
      </c>
      <c r="Q1025" s="194">
        <v>0</v>
      </c>
      <c r="R1025" s="194">
        <v>0</v>
      </c>
      <c r="S1025" s="193">
        <f t="shared" si="216"/>
        <v>0</v>
      </c>
      <c r="T1025" s="193">
        <f t="shared" si="217"/>
        <v>0</v>
      </c>
      <c r="U1025" s="193">
        <f ca="1">OFFSET('Expenditure Study'!$B$7,'Operations Support'!$C1025,'Operations Support'!$B1025)*$G1025</f>
        <v>0</v>
      </c>
      <c r="V1025" s="199">
        <f ca="1">U1025*'Expenditure Study'!$B$31</f>
        <v>0</v>
      </c>
      <c r="W1025" s="199">
        <f ca="1">IF(A1025=10298,1.51,1)*IF($B1025&lt;3,$D1025*'Expenditure Study'!$B$32*OFFSET('Expenditure Study'!$B$7,'Operations Support'!$C1025,'Operations Support'!$B1025),0)</f>
        <v>0</v>
      </c>
      <c r="X1025" s="200">
        <f ca="1">W1025*'Expenditure Study'!$B$31</f>
        <v>0</v>
      </c>
      <c r="Y1025" s="199">
        <f ca="1">U1025*'Expenditure Study'!$B$31</f>
        <v>0</v>
      </c>
      <c r="Z1025" s="200">
        <f ca="1">W1025*'Expenditure Study'!$B$31</f>
        <v>0</v>
      </c>
      <c r="AA1025" s="195">
        <f t="shared" ca="1" si="218"/>
        <v>0</v>
      </c>
      <c r="AB1025" s="195">
        <f t="shared" ca="1" si="219"/>
        <v>0</v>
      </c>
      <c r="AD1025" s="196">
        <f>IFERROR($G1025/SUMIF($A:$A,$A1025,$G:$G)*SUMIF(Summary!$A$166:$A$242,$A1025,Summary!$P$166:$P$242),0)</f>
        <v>0</v>
      </c>
      <c r="AE1025" s="197">
        <f t="shared" ca="1" si="220"/>
        <v>0</v>
      </c>
      <c r="AF1025" s="196">
        <f>IFERROR(G1025/SUMIF(A:A,A1025,G:G)*SUMIF(Summary!$A$166:$A$242,'Operations Support'!A1025,Summary!$Q$166:$Q$242),0)</f>
        <v>0</v>
      </c>
      <c r="AG1025" s="196">
        <f t="shared" ca="1" si="221"/>
        <v>0</v>
      </c>
      <c r="AH1025" s="180"/>
      <c r="AI1025" s="196">
        <f>IFERROR($G1025/SUMIF($A:$A,$A1025,$G:$G)*SUMIF(Summary!$A$247:$A$283,$A1025,Summary!$P$247:$P$283),0)</f>
        <v>0</v>
      </c>
      <c r="AJ1025" s="196">
        <f>IFERROR($G1025/SUMIF($A:$A,$A1025,$G:$G)*(SUMIF(Summary!$A$247:$A$283,$A1025,Summary!$L$247:$L$283)+SUMIF(Summary!$A$297:$A$333,$A1025,Summary!$L$297:$L$333))-AI1025,0)</f>
        <v>0</v>
      </c>
      <c r="AK1025" s="196">
        <f>IFERROR($G1025/SUMIF($A:$A,$A1025,$G:$G)*SUMIF(Summary!$A$247:$A$283,$A1025,Summary!$Q$247:$Q$283),0)</f>
        <v>0</v>
      </c>
      <c r="AL1025" s="196">
        <f>IFERROR($G1025/SUMIF($A:$A,$A1025,$G:$G)*(SUMIF(Summary!$A$247:$A$283,$A1025,Summary!$L$247:$L$283)+SUMIF(Summary!$A$297:$A$333,$A1025,Summary!$L$297:$L$333))-AK1025,0)</f>
        <v>0</v>
      </c>
      <c r="AM1025" s="198"/>
      <c r="AN1025" s="196">
        <f t="shared" ca="1" si="222"/>
        <v>0</v>
      </c>
      <c r="AO1025" s="196">
        <f t="shared" ca="1" si="223"/>
        <v>0</v>
      </c>
    </row>
    <row r="1026" spans="1:41">
      <c r="A1026" s="189">
        <v>3624</v>
      </c>
      <c r="B1026" s="203">
        <v>4</v>
      </c>
      <c r="C1026" s="191" t="s">
        <v>233</v>
      </c>
      <c r="D1026" s="192">
        <f t="shared" si="210"/>
        <v>0</v>
      </c>
      <c r="E1026" s="192">
        <f t="shared" si="211"/>
        <v>0</v>
      </c>
      <c r="F1026" s="192">
        <f t="shared" si="212"/>
        <v>0</v>
      </c>
      <c r="G1026" s="193">
        <f t="shared" si="213"/>
        <v>0</v>
      </c>
      <c r="H1026" s="194">
        <v>0</v>
      </c>
      <c r="I1026" s="194">
        <v>0</v>
      </c>
      <c r="J1026" s="194">
        <v>0</v>
      </c>
      <c r="K1026" s="193">
        <f t="shared" si="214"/>
        <v>0</v>
      </c>
      <c r="L1026" s="194">
        <v>0</v>
      </c>
      <c r="M1026" s="194">
        <v>0</v>
      </c>
      <c r="N1026" s="194">
        <v>0</v>
      </c>
      <c r="O1026" s="193">
        <f t="shared" si="215"/>
        <v>0</v>
      </c>
      <c r="P1026" s="194">
        <v>0</v>
      </c>
      <c r="Q1026" s="194">
        <v>0</v>
      </c>
      <c r="R1026" s="194">
        <v>0</v>
      </c>
      <c r="S1026" s="193">
        <f t="shared" si="216"/>
        <v>0</v>
      </c>
      <c r="T1026" s="193">
        <f t="shared" si="217"/>
        <v>0</v>
      </c>
      <c r="U1026" s="193">
        <f ca="1">OFFSET('Expenditure Study'!$B$7,'Operations Support'!$C1026,'Operations Support'!$B1026)*$G1026</f>
        <v>0</v>
      </c>
      <c r="V1026" s="199">
        <f ca="1">U1026*'Expenditure Study'!$B$31</f>
        <v>0</v>
      </c>
      <c r="W1026" s="199">
        <f ca="1">IF(A1026=10298,1.51,1)*IF($B1026&lt;3,$D1026*'Expenditure Study'!$B$32*OFFSET('Expenditure Study'!$B$7,'Operations Support'!$C1026,'Operations Support'!$B1026),0)</f>
        <v>0</v>
      </c>
      <c r="X1026" s="200">
        <f ca="1">W1026*'Expenditure Study'!$B$31</f>
        <v>0</v>
      </c>
      <c r="Y1026" s="199">
        <f ca="1">U1026*'Expenditure Study'!$B$31</f>
        <v>0</v>
      </c>
      <c r="Z1026" s="200">
        <f ca="1">W1026*'Expenditure Study'!$B$31</f>
        <v>0</v>
      </c>
      <c r="AA1026" s="195">
        <f t="shared" ca="1" si="218"/>
        <v>0</v>
      </c>
      <c r="AB1026" s="195">
        <f t="shared" ca="1" si="219"/>
        <v>0</v>
      </c>
      <c r="AD1026" s="196">
        <f>IFERROR($G1026/SUMIF($A:$A,$A1026,$G:$G)*SUMIF(Summary!$A$166:$A$242,$A1026,Summary!$P$166:$P$242),0)</f>
        <v>0</v>
      </c>
      <c r="AE1026" s="197">
        <f t="shared" ca="1" si="220"/>
        <v>0</v>
      </c>
      <c r="AF1026" s="196">
        <f>IFERROR(G1026/SUMIF(A:A,A1026,G:G)*SUMIF(Summary!$A$166:$A$242,'Operations Support'!A1026,Summary!$Q$166:$Q$242),0)</f>
        <v>0</v>
      </c>
      <c r="AG1026" s="196">
        <f t="shared" ca="1" si="221"/>
        <v>0</v>
      </c>
      <c r="AI1026" s="196">
        <f>IFERROR($G1026/SUMIF($A:$A,$A1026,$G:$G)*SUMIF(Summary!$A$247:$A$283,$A1026,Summary!$P$247:$P$283),0)</f>
        <v>0</v>
      </c>
      <c r="AJ1026" s="196">
        <f>IFERROR($G1026/SUMIF($A:$A,$A1026,$G:$G)*(SUMIF(Summary!$A$247:$A$283,$A1026,Summary!$L$247:$L$283)+SUMIF(Summary!$A$297:$A$333,$A1026,Summary!$L$297:$L$333))-AI1026,0)</f>
        <v>0</v>
      </c>
      <c r="AK1026" s="196">
        <f>IFERROR($G1026/SUMIF($A:$A,$A1026,$G:$G)*SUMIF(Summary!$A$247:$A$283,$A1026,Summary!$Q$247:$Q$283),0)</f>
        <v>0</v>
      </c>
      <c r="AL1026" s="196">
        <f>IFERROR($G1026/SUMIF($A:$A,$A1026,$G:$G)*(SUMIF(Summary!$A$247:$A$283,$A1026,Summary!$L$247:$L$283)+SUMIF(Summary!$A$297:$A$333,$A1026,Summary!$L$297:$L$333))-AK1026,0)</f>
        <v>0</v>
      </c>
      <c r="AM1026" s="198"/>
      <c r="AN1026" s="196">
        <f t="shared" ca="1" si="222"/>
        <v>0</v>
      </c>
      <c r="AO1026" s="196">
        <f t="shared" ca="1" si="223"/>
        <v>0</v>
      </c>
    </row>
    <row r="1027" spans="1:41">
      <c r="A1027" s="189">
        <v>3624</v>
      </c>
      <c r="B1027" s="203">
        <v>4</v>
      </c>
      <c r="C1027" s="191" t="s">
        <v>234</v>
      </c>
      <c r="D1027" s="192">
        <f t="shared" si="210"/>
        <v>0</v>
      </c>
      <c r="E1027" s="192">
        <f t="shared" si="211"/>
        <v>0</v>
      </c>
      <c r="F1027" s="192">
        <f t="shared" si="212"/>
        <v>0</v>
      </c>
      <c r="G1027" s="193">
        <f t="shared" si="213"/>
        <v>0</v>
      </c>
      <c r="H1027" s="194">
        <v>0</v>
      </c>
      <c r="I1027" s="194">
        <v>0</v>
      </c>
      <c r="J1027" s="194">
        <v>0</v>
      </c>
      <c r="K1027" s="193">
        <f t="shared" si="214"/>
        <v>0</v>
      </c>
      <c r="L1027" s="194">
        <v>0</v>
      </c>
      <c r="M1027" s="194">
        <v>0</v>
      </c>
      <c r="N1027" s="194">
        <v>0</v>
      </c>
      <c r="O1027" s="193">
        <f t="shared" si="215"/>
        <v>0</v>
      </c>
      <c r="P1027" s="194">
        <v>0</v>
      </c>
      <c r="Q1027" s="194">
        <v>0</v>
      </c>
      <c r="R1027" s="194">
        <v>0</v>
      </c>
      <c r="S1027" s="193">
        <f t="shared" si="216"/>
        <v>0</v>
      </c>
      <c r="T1027" s="193">
        <f t="shared" si="217"/>
        <v>0</v>
      </c>
      <c r="U1027" s="193">
        <f ca="1">OFFSET('Expenditure Study'!$B$7,'Operations Support'!$C1027,'Operations Support'!$B1027)*$G1027</f>
        <v>0</v>
      </c>
      <c r="V1027" s="199">
        <f ca="1">U1027*'Expenditure Study'!$B$31</f>
        <v>0</v>
      </c>
      <c r="W1027" s="199">
        <f ca="1">IF(A1027=10298,1.51,1)*IF($B1027&lt;3,$D1027*'Expenditure Study'!$B$32*OFFSET('Expenditure Study'!$B$7,'Operations Support'!$C1027,'Operations Support'!$B1027),0)</f>
        <v>0</v>
      </c>
      <c r="X1027" s="200">
        <f ca="1">W1027*'Expenditure Study'!$B$31</f>
        <v>0</v>
      </c>
      <c r="Y1027" s="199">
        <f ca="1">U1027*'Expenditure Study'!$B$31</f>
        <v>0</v>
      </c>
      <c r="Z1027" s="200">
        <f ca="1">W1027*'Expenditure Study'!$B$31</f>
        <v>0</v>
      </c>
      <c r="AA1027" s="195">
        <f t="shared" ca="1" si="218"/>
        <v>0</v>
      </c>
      <c r="AB1027" s="195">
        <f t="shared" ca="1" si="219"/>
        <v>0</v>
      </c>
      <c r="AD1027" s="196">
        <f>IFERROR($G1027/SUMIF($A:$A,$A1027,$G:$G)*SUMIF(Summary!$A$166:$A$242,$A1027,Summary!$P$166:$P$242),0)</f>
        <v>0</v>
      </c>
      <c r="AE1027" s="197">
        <f t="shared" ca="1" si="220"/>
        <v>0</v>
      </c>
      <c r="AF1027" s="196">
        <f>IFERROR(G1027/SUMIF(A:A,A1027,G:G)*SUMIF(Summary!$A$166:$A$242,'Operations Support'!A1027,Summary!$Q$166:$Q$242),0)</f>
        <v>0</v>
      </c>
      <c r="AG1027" s="196">
        <f t="shared" ca="1" si="221"/>
        <v>0</v>
      </c>
      <c r="AI1027" s="196">
        <f>IFERROR($G1027/SUMIF($A:$A,$A1027,$G:$G)*SUMIF(Summary!$A$247:$A$283,$A1027,Summary!$P$247:$P$283),0)</f>
        <v>0</v>
      </c>
      <c r="AJ1027" s="196">
        <f>IFERROR($G1027/SUMIF($A:$A,$A1027,$G:$G)*(SUMIF(Summary!$A$247:$A$283,$A1027,Summary!$L$247:$L$283)+SUMIF(Summary!$A$297:$A$333,$A1027,Summary!$L$297:$L$333))-AI1027,0)</f>
        <v>0</v>
      </c>
      <c r="AK1027" s="196">
        <f>IFERROR($G1027/SUMIF($A:$A,$A1027,$G:$G)*SUMIF(Summary!$A$247:$A$283,$A1027,Summary!$Q$247:$Q$283),0)</f>
        <v>0</v>
      </c>
      <c r="AL1027" s="196">
        <f>IFERROR($G1027/SUMIF($A:$A,$A1027,$G:$G)*(SUMIF(Summary!$A$247:$A$283,$A1027,Summary!$L$247:$L$283)+SUMIF(Summary!$A$297:$A$333,$A1027,Summary!$L$297:$L$333))-AK1027,0)</f>
        <v>0</v>
      </c>
      <c r="AM1027" s="198"/>
      <c r="AN1027" s="196">
        <f t="shared" ca="1" si="222"/>
        <v>0</v>
      </c>
      <c r="AO1027" s="196">
        <f t="shared" ca="1" si="223"/>
        <v>0</v>
      </c>
    </row>
    <row r="1028" spans="1:41">
      <c r="A1028" s="189">
        <v>3624</v>
      </c>
      <c r="B1028" s="203">
        <v>4</v>
      </c>
      <c r="C1028" s="191" t="s">
        <v>235</v>
      </c>
      <c r="D1028" s="192">
        <f t="shared" si="210"/>
        <v>0</v>
      </c>
      <c r="E1028" s="192">
        <f t="shared" si="211"/>
        <v>0</v>
      </c>
      <c r="F1028" s="192">
        <f t="shared" si="212"/>
        <v>0</v>
      </c>
      <c r="G1028" s="193">
        <f t="shared" si="213"/>
        <v>0</v>
      </c>
      <c r="H1028" s="194">
        <v>0</v>
      </c>
      <c r="I1028" s="194">
        <v>0</v>
      </c>
      <c r="J1028" s="194">
        <v>0</v>
      </c>
      <c r="K1028" s="193">
        <f t="shared" si="214"/>
        <v>0</v>
      </c>
      <c r="L1028" s="194">
        <v>0</v>
      </c>
      <c r="M1028" s="194">
        <v>0</v>
      </c>
      <c r="N1028" s="194">
        <v>0</v>
      </c>
      <c r="O1028" s="193">
        <f t="shared" si="215"/>
        <v>0</v>
      </c>
      <c r="P1028" s="194">
        <v>0</v>
      </c>
      <c r="Q1028" s="194">
        <v>0</v>
      </c>
      <c r="R1028" s="194">
        <v>0</v>
      </c>
      <c r="S1028" s="193">
        <f t="shared" si="216"/>
        <v>0</v>
      </c>
      <c r="T1028" s="193">
        <f t="shared" si="217"/>
        <v>0</v>
      </c>
      <c r="U1028" s="193">
        <f ca="1">OFFSET('Expenditure Study'!$B$7,'Operations Support'!$C1028,'Operations Support'!$B1028)*$G1028</f>
        <v>0</v>
      </c>
      <c r="V1028" s="199">
        <f ca="1">U1028*'Expenditure Study'!$B$31</f>
        <v>0</v>
      </c>
      <c r="W1028" s="199">
        <f ca="1">IF(A1028=10298,1.51,1)*IF($B1028&lt;3,$D1028*'Expenditure Study'!$B$32*OFFSET('Expenditure Study'!$B$7,'Operations Support'!$C1028,'Operations Support'!$B1028),0)</f>
        <v>0</v>
      </c>
      <c r="X1028" s="200">
        <f ca="1">W1028*'Expenditure Study'!$B$31</f>
        <v>0</v>
      </c>
      <c r="Y1028" s="199">
        <f ca="1">U1028*'Expenditure Study'!$B$31</f>
        <v>0</v>
      </c>
      <c r="Z1028" s="200">
        <f ca="1">W1028*'Expenditure Study'!$B$31</f>
        <v>0</v>
      </c>
      <c r="AA1028" s="195">
        <f t="shared" ca="1" si="218"/>
        <v>0</v>
      </c>
      <c r="AB1028" s="195">
        <f t="shared" ca="1" si="219"/>
        <v>0</v>
      </c>
      <c r="AD1028" s="196">
        <f>IFERROR($G1028/SUMIF($A:$A,$A1028,$G:$G)*SUMIF(Summary!$A$166:$A$242,$A1028,Summary!$P$166:$P$242),0)</f>
        <v>0</v>
      </c>
      <c r="AE1028" s="197">
        <f t="shared" ca="1" si="220"/>
        <v>0</v>
      </c>
      <c r="AF1028" s="196">
        <f>IFERROR(G1028/SUMIF(A:A,A1028,G:G)*SUMIF(Summary!$A$166:$A$242,'Operations Support'!A1028,Summary!$Q$166:$Q$242),0)</f>
        <v>0</v>
      </c>
      <c r="AG1028" s="196">
        <f t="shared" ca="1" si="221"/>
        <v>0</v>
      </c>
      <c r="AI1028" s="196">
        <f>IFERROR($G1028/SUMIF($A:$A,$A1028,$G:$G)*SUMIF(Summary!$A$247:$A$283,$A1028,Summary!$P$247:$P$283),0)</f>
        <v>0</v>
      </c>
      <c r="AJ1028" s="196">
        <f>IFERROR($G1028/SUMIF($A:$A,$A1028,$G:$G)*(SUMIF(Summary!$A$247:$A$283,$A1028,Summary!$L$247:$L$283)+SUMIF(Summary!$A$297:$A$333,$A1028,Summary!$L$297:$L$333))-AI1028,0)</f>
        <v>0</v>
      </c>
      <c r="AK1028" s="196">
        <f>IFERROR($G1028/SUMIF($A:$A,$A1028,$G:$G)*SUMIF(Summary!$A$247:$A$283,$A1028,Summary!$Q$247:$Q$283),0)</f>
        <v>0</v>
      </c>
      <c r="AL1028" s="196">
        <f>IFERROR($G1028/SUMIF($A:$A,$A1028,$G:$G)*(SUMIF(Summary!$A$247:$A$283,$A1028,Summary!$L$247:$L$283)+SUMIF(Summary!$A$297:$A$333,$A1028,Summary!$L$297:$L$333))-AK1028,0)</f>
        <v>0</v>
      </c>
      <c r="AM1028" s="198"/>
      <c r="AN1028" s="196">
        <f t="shared" ca="1" si="222"/>
        <v>0</v>
      </c>
      <c r="AO1028" s="196">
        <f t="shared" ca="1" si="223"/>
        <v>0</v>
      </c>
    </row>
    <row r="1029" spans="1:41">
      <c r="A1029" s="189">
        <v>3624</v>
      </c>
      <c r="B1029" s="203">
        <v>4</v>
      </c>
      <c r="C1029" s="191" t="s">
        <v>236</v>
      </c>
      <c r="D1029" s="192">
        <f t="shared" ref="D1029:D1092" si="224">H1029+L1029+P1029</f>
        <v>0</v>
      </c>
      <c r="E1029" s="192">
        <f t="shared" ref="E1029:E1092" si="225">I1029+M1029+Q1029</f>
        <v>0</v>
      </c>
      <c r="F1029" s="192">
        <f t="shared" ref="F1029:F1092" si="226">J1029+N1029+R1029</f>
        <v>0</v>
      </c>
      <c r="G1029" s="193">
        <f t="shared" ref="G1029:G1092" si="227">(SUM(D1029:E1029)-F1029)*IF(A1029=10298,1.51,1)</f>
        <v>0</v>
      </c>
      <c r="H1029" s="194">
        <v>0</v>
      </c>
      <c r="I1029" s="194">
        <v>0</v>
      </c>
      <c r="J1029" s="194">
        <v>0</v>
      </c>
      <c r="K1029" s="193">
        <f t="shared" ref="K1029:K1092" si="228">SUM(H1029:I1029)-J1029</f>
        <v>0</v>
      </c>
      <c r="L1029" s="194">
        <v>0</v>
      </c>
      <c r="M1029" s="194">
        <v>0</v>
      </c>
      <c r="N1029" s="194">
        <v>0</v>
      </c>
      <c r="O1029" s="193">
        <f t="shared" ref="O1029:O1092" si="229">SUM(L1029:M1029)-N1029</f>
        <v>0</v>
      </c>
      <c r="P1029" s="194">
        <v>0</v>
      </c>
      <c r="Q1029" s="194">
        <v>0</v>
      </c>
      <c r="R1029" s="194">
        <v>0</v>
      </c>
      <c r="S1029" s="193">
        <f t="shared" ref="S1029:S1092" si="230">SUM(P1029:Q1029)-R1029</f>
        <v>0</v>
      </c>
      <c r="T1029" s="193">
        <f t="shared" ref="T1029:T1092" si="231">IF(OR(B1029=1,B1029=2),G1029/30,IF(OR(B1029=3,B1029=5),G1029/24,IF(B1029=4,G1029/18,0)))</f>
        <v>0</v>
      </c>
      <c r="U1029" s="193">
        <f ca="1">OFFSET('Expenditure Study'!$B$7,'Operations Support'!$C1029,'Operations Support'!$B1029)*$G1029</f>
        <v>0</v>
      </c>
      <c r="V1029" s="199">
        <f ca="1">U1029*'Expenditure Study'!$B$31</f>
        <v>0</v>
      </c>
      <c r="W1029" s="199">
        <f ca="1">IF(A1029=10298,1.51,1)*IF($B1029&lt;3,$D1029*'Expenditure Study'!$B$32*OFFSET('Expenditure Study'!$B$7,'Operations Support'!$C1029,'Operations Support'!$B1029),0)</f>
        <v>0</v>
      </c>
      <c r="X1029" s="200">
        <f ca="1">W1029*'Expenditure Study'!$B$31</f>
        <v>0</v>
      </c>
      <c r="Y1029" s="199">
        <f ca="1">U1029*'Expenditure Study'!$B$31</f>
        <v>0</v>
      </c>
      <c r="Z1029" s="200">
        <f ca="1">W1029*'Expenditure Study'!$B$31</f>
        <v>0</v>
      </c>
      <c r="AA1029" s="195">
        <f t="shared" ref="AA1029:AA1092" ca="1" si="232">V1029+X1029</f>
        <v>0</v>
      </c>
      <c r="AB1029" s="195">
        <f t="shared" ref="AB1029:AB1092" ca="1" si="233">Y1029+Z1029</f>
        <v>0</v>
      </c>
      <c r="AD1029" s="196">
        <f>IFERROR($G1029/SUMIF($A:$A,$A1029,$G:$G)*SUMIF(Summary!$A$166:$A$242,$A1029,Summary!$P$166:$P$242),0)</f>
        <v>0</v>
      </c>
      <c r="AE1029" s="197">
        <f t="shared" ca="1" si="220"/>
        <v>0</v>
      </c>
      <c r="AF1029" s="196">
        <f>IFERROR(G1029/SUMIF(A:A,A1029,G:G)*SUMIF(Summary!$A$166:$A$242,'Operations Support'!A1029,Summary!$Q$166:$Q$242),0)</f>
        <v>0</v>
      </c>
      <c r="AG1029" s="196">
        <f t="shared" ca="1" si="221"/>
        <v>0</v>
      </c>
      <c r="AI1029" s="196">
        <f>IFERROR($G1029/SUMIF($A:$A,$A1029,$G:$G)*SUMIF(Summary!$A$247:$A$283,$A1029,Summary!$P$247:$P$283),0)</f>
        <v>0</v>
      </c>
      <c r="AJ1029" s="196">
        <f>IFERROR($G1029/SUMIF($A:$A,$A1029,$G:$G)*(SUMIF(Summary!$A$247:$A$283,$A1029,Summary!$L$247:$L$283)+SUMIF(Summary!$A$297:$A$333,$A1029,Summary!$L$297:$L$333))-AI1029,0)</f>
        <v>0</v>
      </c>
      <c r="AK1029" s="196">
        <f>IFERROR($G1029/SUMIF($A:$A,$A1029,$G:$G)*SUMIF(Summary!$A$247:$A$283,$A1029,Summary!$Q$247:$Q$283),0)</f>
        <v>0</v>
      </c>
      <c r="AL1029" s="196">
        <f>IFERROR($G1029/SUMIF($A:$A,$A1029,$G:$G)*(SUMIF(Summary!$A$247:$A$283,$A1029,Summary!$L$247:$L$283)+SUMIF(Summary!$A$297:$A$333,$A1029,Summary!$L$297:$L$333))-AK1029,0)</f>
        <v>0</v>
      </c>
      <c r="AM1029" s="198"/>
      <c r="AN1029" s="196">
        <f t="shared" ca="1" si="222"/>
        <v>0</v>
      </c>
      <c r="AO1029" s="196">
        <f t="shared" ca="1" si="223"/>
        <v>0</v>
      </c>
    </row>
    <row r="1030" spans="1:41">
      <c r="A1030" s="189">
        <v>3624</v>
      </c>
      <c r="B1030" s="203">
        <v>4</v>
      </c>
      <c r="C1030" s="191" t="s">
        <v>237</v>
      </c>
      <c r="D1030" s="192">
        <f t="shared" si="224"/>
        <v>0</v>
      </c>
      <c r="E1030" s="192">
        <f t="shared" si="225"/>
        <v>0</v>
      </c>
      <c r="F1030" s="192">
        <f t="shared" si="226"/>
        <v>0</v>
      </c>
      <c r="G1030" s="193">
        <f t="shared" si="227"/>
        <v>0</v>
      </c>
      <c r="H1030" s="194">
        <v>0</v>
      </c>
      <c r="I1030" s="194">
        <v>0</v>
      </c>
      <c r="J1030" s="194">
        <v>0</v>
      </c>
      <c r="K1030" s="193">
        <f t="shared" si="228"/>
        <v>0</v>
      </c>
      <c r="L1030" s="194">
        <v>0</v>
      </c>
      <c r="M1030" s="194">
        <v>0</v>
      </c>
      <c r="N1030" s="194">
        <v>0</v>
      </c>
      <c r="O1030" s="193">
        <f t="shared" si="229"/>
        <v>0</v>
      </c>
      <c r="P1030" s="194">
        <v>0</v>
      </c>
      <c r="Q1030" s="194">
        <v>0</v>
      </c>
      <c r="R1030" s="194">
        <v>0</v>
      </c>
      <c r="S1030" s="193">
        <f t="shared" si="230"/>
        <v>0</v>
      </c>
      <c r="T1030" s="193">
        <f t="shared" si="231"/>
        <v>0</v>
      </c>
      <c r="U1030" s="193">
        <f ca="1">OFFSET('Expenditure Study'!$B$7,'Operations Support'!$C1030,'Operations Support'!$B1030)*$G1030</f>
        <v>0</v>
      </c>
      <c r="V1030" s="199">
        <f ca="1">U1030*'Expenditure Study'!$B$31</f>
        <v>0</v>
      </c>
      <c r="W1030" s="199">
        <f ca="1">IF(A1030=10298,1.51,1)*IF($B1030&lt;3,$D1030*'Expenditure Study'!$B$32*OFFSET('Expenditure Study'!$B$7,'Operations Support'!$C1030,'Operations Support'!$B1030),0)</f>
        <v>0</v>
      </c>
      <c r="X1030" s="200">
        <f ca="1">W1030*'Expenditure Study'!$B$31</f>
        <v>0</v>
      </c>
      <c r="Y1030" s="199">
        <f ca="1">U1030*'Expenditure Study'!$B$31</f>
        <v>0</v>
      </c>
      <c r="Z1030" s="200">
        <f ca="1">W1030*'Expenditure Study'!$B$31</f>
        <v>0</v>
      </c>
      <c r="AA1030" s="195">
        <f t="shared" ca="1" si="232"/>
        <v>0</v>
      </c>
      <c r="AB1030" s="195">
        <f t="shared" ca="1" si="233"/>
        <v>0</v>
      </c>
      <c r="AD1030" s="196">
        <f>IFERROR($G1030/SUMIF($A:$A,$A1030,$G:$G)*SUMIF(Summary!$A$166:$A$242,$A1030,Summary!$P$166:$P$242),0)</f>
        <v>0</v>
      </c>
      <c r="AE1030" s="197">
        <f t="shared" ref="AE1030:AE1093" ca="1" si="234">V1030+X1030-AD1030</f>
        <v>0</v>
      </c>
      <c r="AF1030" s="196">
        <f>IFERROR(G1030/SUMIF(A:A,A1030,G:G)*SUMIF(Summary!$A$166:$A$242,'Operations Support'!A1030,Summary!$Q$166:$Q$242),0)</f>
        <v>0</v>
      </c>
      <c r="AG1030" s="196">
        <f t="shared" ref="AG1030:AG1093" ca="1" si="235">Y1030+Z1030-AF1030</f>
        <v>0</v>
      </c>
      <c r="AI1030" s="196">
        <f>IFERROR($G1030/SUMIF($A:$A,$A1030,$G:$G)*SUMIF(Summary!$A$247:$A$283,$A1030,Summary!$P$247:$P$283),0)</f>
        <v>0</v>
      </c>
      <c r="AJ1030" s="196">
        <f>IFERROR($G1030/SUMIF($A:$A,$A1030,$G:$G)*(SUMIF(Summary!$A$247:$A$283,$A1030,Summary!$L$247:$L$283)+SUMIF(Summary!$A$297:$A$333,$A1030,Summary!$L$297:$L$333))-AI1030,0)</f>
        <v>0</v>
      </c>
      <c r="AK1030" s="196">
        <f>IFERROR($G1030/SUMIF($A:$A,$A1030,$G:$G)*SUMIF(Summary!$A$247:$A$283,$A1030,Summary!$Q$247:$Q$283),0)</f>
        <v>0</v>
      </c>
      <c r="AL1030" s="196">
        <f>IFERROR($G1030/SUMIF($A:$A,$A1030,$G:$G)*(SUMIF(Summary!$A$247:$A$283,$A1030,Summary!$L$247:$L$283)+SUMIF(Summary!$A$297:$A$333,$A1030,Summary!$L$297:$L$333))-AK1030,0)</f>
        <v>0</v>
      </c>
      <c r="AM1030" s="198"/>
      <c r="AN1030" s="196">
        <f t="shared" ref="AN1030:AN1093" ca="1" si="236">AE1030+AJ1030</f>
        <v>0</v>
      </c>
      <c r="AO1030" s="196">
        <f t="shared" ref="AO1030:AO1093" ca="1" si="237">AG1030+AL1030</f>
        <v>0</v>
      </c>
    </row>
    <row r="1031" spans="1:41">
      <c r="A1031" s="189">
        <v>3624</v>
      </c>
      <c r="B1031" s="203">
        <v>4</v>
      </c>
      <c r="C1031" s="191" t="s">
        <v>238</v>
      </c>
      <c r="D1031" s="192">
        <f t="shared" si="224"/>
        <v>0</v>
      </c>
      <c r="E1031" s="192">
        <f t="shared" si="225"/>
        <v>0</v>
      </c>
      <c r="F1031" s="192">
        <f t="shared" si="226"/>
        <v>0</v>
      </c>
      <c r="G1031" s="193">
        <f t="shared" si="227"/>
        <v>0</v>
      </c>
      <c r="H1031" s="194">
        <v>0</v>
      </c>
      <c r="I1031" s="194">
        <v>0</v>
      </c>
      <c r="J1031" s="194">
        <v>0</v>
      </c>
      <c r="K1031" s="193">
        <f t="shared" si="228"/>
        <v>0</v>
      </c>
      <c r="L1031" s="194">
        <v>0</v>
      </c>
      <c r="M1031" s="194">
        <v>0</v>
      </c>
      <c r="N1031" s="194">
        <v>0</v>
      </c>
      <c r="O1031" s="193">
        <f t="shared" si="229"/>
        <v>0</v>
      </c>
      <c r="P1031" s="194">
        <v>0</v>
      </c>
      <c r="Q1031" s="194">
        <v>0</v>
      </c>
      <c r="R1031" s="194">
        <v>0</v>
      </c>
      <c r="S1031" s="193">
        <f t="shared" si="230"/>
        <v>0</v>
      </c>
      <c r="T1031" s="193">
        <f t="shared" si="231"/>
        <v>0</v>
      </c>
      <c r="U1031" s="193">
        <f ca="1">OFFSET('Expenditure Study'!$B$7,'Operations Support'!$C1031,'Operations Support'!$B1031)*$G1031</f>
        <v>0</v>
      </c>
      <c r="V1031" s="199">
        <f ca="1">U1031*'Expenditure Study'!$B$31</f>
        <v>0</v>
      </c>
      <c r="W1031" s="199">
        <f ca="1">IF(A1031=10298,1.51,1)*IF($B1031&lt;3,$D1031*'Expenditure Study'!$B$32*OFFSET('Expenditure Study'!$B$7,'Operations Support'!$C1031,'Operations Support'!$B1031),0)</f>
        <v>0</v>
      </c>
      <c r="X1031" s="200">
        <f ca="1">W1031*'Expenditure Study'!$B$31</f>
        <v>0</v>
      </c>
      <c r="Y1031" s="199">
        <f ca="1">U1031*'Expenditure Study'!$B$31</f>
        <v>0</v>
      </c>
      <c r="Z1031" s="200">
        <f ca="1">W1031*'Expenditure Study'!$B$31</f>
        <v>0</v>
      </c>
      <c r="AA1031" s="195">
        <f t="shared" ca="1" si="232"/>
        <v>0</v>
      </c>
      <c r="AB1031" s="195">
        <f t="shared" ca="1" si="233"/>
        <v>0</v>
      </c>
      <c r="AD1031" s="196">
        <f>IFERROR($G1031/SUMIF($A:$A,$A1031,$G:$G)*SUMIF(Summary!$A$166:$A$242,$A1031,Summary!$P$166:$P$242),0)</f>
        <v>0</v>
      </c>
      <c r="AE1031" s="197">
        <f t="shared" ca="1" si="234"/>
        <v>0</v>
      </c>
      <c r="AF1031" s="196">
        <f>IFERROR(G1031/SUMIF(A:A,A1031,G:G)*SUMIF(Summary!$A$166:$A$242,'Operations Support'!A1031,Summary!$Q$166:$Q$242),0)</f>
        <v>0</v>
      </c>
      <c r="AG1031" s="196">
        <f t="shared" ca="1" si="235"/>
        <v>0</v>
      </c>
      <c r="AI1031" s="196">
        <f>IFERROR($G1031/SUMIF($A:$A,$A1031,$G:$G)*SUMIF(Summary!$A$247:$A$283,$A1031,Summary!$P$247:$P$283),0)</f>
        <v>0</v>
      </c>
      <c r="AJ1031" s="196">
        <f>IFERROR($G1031/SUMIF($A:$A,$A1031,$G:$G)*(SUMIF(Summary!$A$247:$A$283,$A1031,Summary!$L$247:$L$283)+SUMIF(Summary!$A$297:$A$333,$A1031,Summary!$L$297:$L$333))-AI1031,0)</f>
        <v>0</v>
      </c>
      <c r="AK1031" s="196">
        <f>IFERROR($G1031/SUMIF($A:$A,$A1031,$G:$G)*SUMIF(Summary!$A$247:$A$283,$A1031,Summary!$Q$247:$Q$283),0)</f>
        <v>0</v>
      </c>
      <c r="AL1031" s="196">
        <f>IFERROR($G1031/SUMIF($A:$A,$A1031,$G:$G)*(SUMIF(Summary!$A$247:$A$283,$A1031,Summary!$L$247:$L$283)+SUMIF(Summary!$A$297:$A$333,$A1031,Summary!$L$297:$L$333))-AK1031,0)</f>
        <v>0</v>
      </c>
      <c r="AM1031" s="198"/>
      <c r="AN1031" s="196">
        <f t="shared" ca="1" si="236"/>
        <v>0</v>
      </c>
      <c r="AO1031" s="196">
        <f t="shared" ca="1" si="237"/>
        <v>0</v>
      </c>
    </row>
    <row r="1032" spans="1:41">
      <c r="A1032" s="189">
        <v>3624</v>
      </c>
      <c r="B1032" s="203">
        <v>4</v>
      </c>
      <c r="C1032" s="191" t="s">
        <v>239</v>
      </c>
      <c r="D1032" s="192">
        <f t="shared" si="224"/>
        <v>0</v>
      </c>
      <c r="E1032" s="192">
        <f t="shared" si="225"/>
        <v>0</v>
      </c>
      <c r="F1032" s="192">
        <f t="shared" si="226"/>
        <v>0</v>
      </c>
      <c r="G1032" s="193">
        <f t="shared" si="227"/>
        <v>0</v>
      </c>
      <c r="H1032" s="194">
        <v>0</v>
      </c>
      <c r="I1032" s="194">
        <v>0</v>
      </c>
      <c r="J1032" s="194">
        <v>0</v>
      </c>
      <c r="K1032" s="193">
        <f t="shared" si="228"/>
        <v>0</v>
      </c>
      <c r="L1032" s="194">
        <v>0</v>
      </c>
      <c r="M1032" s="194">
        <v>0</v>
      </c>
      <c r="N1032" s="194">
        <v>0</v>
      </c>
      <c r="O1032" s="193">
        <f t="shared" si="229"/>
        <v>0</v>
      </c>
      <c r="P1032" s="194">
        <v>0</v>
      </c>
      <c r="Q1032" s="194">
        <v>0</v>
      </c>
      <c r="R1032" s="194">
        <v>0</v>
      </c>
      <c r="S1032" s="193">
        <f t="shared" si="230"/>
        <v>0</v>
      </c>
      <c r="T1032" s="193">
        <f t="shared" si="231"/>
        <v>0</v>
      </c>
      <c r="U1032" s="193">
        <f ca="1">OFFSET('Expenditure Study'!$B$7,'Operations Support'!$C1032,'Operations Support'!$B1032)*$G1032</f>
        <v>0</v>
      </c>
      <c r="V1032" s="199">
        <f ca="1">U1032*'Expenditure Study'!$B$31</f>
        <v>0</v>
      </c>
      <c r="W1032" s="199">
        <f ca="1">IF(A1032=10298,1.51,1)*IF($B1032&lt;3,$D1032*'Expenditure Study'!$B$32*OFFSET('Expenditure Study'!$B$7,'Operations Support'!$C1032,'Operations Support'!$B1032),0)</f>
        <v>0</v>
      </c>
      <c r="X1032" s="200">
        <f ca="1">W1032*'Expenditure Study'!$B$31</f>
        <v>0</v>
      </c>
      <c r="Y1032" s="199">
        <f ca="1">U1032*'Expenditure Study'!$B$31</f>
        <v>0</v>
      </c>
      <c r="Z1032" s="200">
        <f ca="1">W1032*'Expenditure Study'!$B$31</f>
        <v>0</v>
      </c>
      <c r="AA1032" s="195">
        <f t="shared" ca="1" si="232"/>
        <v>0</v>
      </c>
      <c r="AB1032" s="195">
        <f t="shared" ca="1" si="233"/>
        <v>0</v>
      </c>
      <c r="AD1032" s="196">
        <f>IFERROR($G1032/SUMIF($A:$A,$A1032,$G:$G)*SUMIF(Summary!$A$166:$A$242,$A1032,Summary!$P$166:$P$242),0)</f>
        <v>0</v>
      </c>
      <c r="AE1032" s="197">
        <f t="shared" ca="1" si="234"/>
        <v>0</v>
      </c>
      <c r="AF1032" s="196">
        <f>IFERROR(G1032/SUMIF(A:A,A1032,G:G)*SUMIF(Summary!$A$166:$A$242,'Operations Support'!A1032,Summary!$Q$166:$Q$242),0)</f>
        <v>0</v>
      </c>
      <c r="AG1032" s="196">
        <f t="shared" ca="1" si="235"/>
        <v>0</v>
      </c>
      <c r="AI1032" s="196">
        <f>IFERROR($G1032/SUMIF($A:$A,$A1032,$G:$G)*SUMIF(Summary!$A$247:$A$283,$A1032,Summary!$P$247:$P$283),0)</f>
        <v>0</v>
      </c>
      <c r="AJ1032" s="196">
        <f>IFERROR($G1032/SUMIF($A:$A,$A1032,$G:$G)*(SUMIF(Summary!$A$247:$A$283,$A1032,Summary!$L$247:$L$283)+SUMIF(Summary!$A$297:$A$333,$A1032,Summary!$L$297:$L$333))-AI1032,0)</f>
        <v>0</v>
      </c>
      <c r="AK1032" s="196">
        <f>IFERROR($G1032/SUMIF($A:$A,$A1032,$G:$G)*SUMIF(Summary!$A$247:$A$283,$A1032,Summary!$Q$247:$Q$283),0)</f>
        <v>0</v>
      </c>
      <c r="AL1032" s="196">
        <f>IFERROR($G1032/SUMIF($A:$A,$A1032,$G:$G)*(SUMIF(Summary!$A$247:$A$283,$A1032,Summary!$L$247:$L$283)+SUMIF(Summary!$A$297:$A$333,$A1032,Summary!$L$297:$L$333))-AK1032,0)</f>
        <v>0</v>
      </c>
      <c r="AM1032" s="198"/>
      <c r="AN1032" s="196">
        <f t="shared" ca="1" si="236"/>
        <v>0</v>
      </c>
      <c r="AO1032" s="196">
        <f t="shared" ca="1" si="237"/>
        <v>0</v>
      </c>
    </row>
    <row r="1033" spans="1:41">
      <c r="A1033" s="189">
        <v>3624</v>
      </c>
      <c r="B1033" s="203">
        <v>4</v>
      </c>
      <c r="C1033" s="191" t="s">
        <v>240</v>
      </c>
      <c r="D1033" s="192">
        <f t="shared" si="224"/>
        <v>0</v>
      </c>
      <c r="E1033" s="192">
        <f t="shared" si="225"/>
        <v>0</v>
      </c>
      <c r="F1033" s="192">
        <f t="shared" si="226"/>
        <v>0</v>
      </c>
      <c r="G1033" s="193">
        <f t="shared" si="227"/>
        <v>0</v>
      </c>
      <c r="H1033" s="194">
        <v>0</v>
      </c>
      <c r="I1033" s="194">
        <v>0</v>
      </c>
      <c r="J1033" s="194">
        <v>0</v>
      </c>
      <c r="K1033" s="193">
        <f t="shared" si="228"/>
        <v>0</v>
      </c>
      <c r="L1033" s="194">
        <v>0</v>
      </c>
      <c r="M1033" s="194">
        <v>0</v>
      </c>
      <c r="N1033" s="194">
        <v>0</v>
      </c>
      <c r="O1033" s="193">
        <f t="shared" si="229"/>
        <v>0</v>
      </c>
      <c r="P1033" s="194">
        <v>0</v>
      </c>
      <c r="Q1033" s="194">
        <v>0</v>
      </c>
      <c r="R1033" s="194">
        <v>0</v>
      </c>
      <c r="S1033" s="193">
        <f t="shared" si="230"/>
        <v>0</v>
      </c>
      <c r="T1033" s="193">
        <f t="shared" si="231"/>
        <v>0</v>
      </c>
      <c r="U1033" s="193">
        <f ca="1">OFFSET('Expenditure Study'!$B$7,'Operations Support'!$C1033,'Operations Support'!$B1033)*$G1033</f>
        <v>0</v>
      </c>
      <c r="V1033" s="199">
        <f ca="1">U1033*'Expenditure Study'!$B$31</f>
        <v>0</v>
      </c>
      <c r="W1033" s="199">
        <f ca="1">IF(A1033=10298,1.51,1)*IF($B1033&lt;3,$D1033*'Expenditure Study'!$B$32*OFFSET('Expenditure Study'!$B$7,'Operations Support'!$C1033,'Operations Support'!$B1033),0)</f>
        <v>0</v>
      </c>
      <c r="X1033" s="200">
        <f ca="1">W1033*'Expenditure Study'!$B$31</f>
        <v>0</v>
      </c>
      <c r="Y1033" s="199">
        <f ca="1">U1033*'Expenditure Study'!$B$31</f>
        <v>0</v>
      </c>
      <c r="Z1033" s="200">
        <f ca="1">W1033*'Expenditure Study'!$B$31</f>
        <v>0</v>
      </c>
      <c r="AA1033" s="195">
        <f t="shared" ca="1" si="232"/>
        <v>0</v>
      </c>
      <c r="AB1033" s="195">
        <f t="shared" ca="1" si="233"/>
        <v>0</v>
      </c>
      <c r="AD1033" s="196">
        <f>IFERROR($G1033/SUMIF($A:$A,$A1033,$G:$G)*SUMIF(Summary!$A$166:$A$242,$A1033,Summary!$P$166:$P$242),0)</f>
        <v>0</v>
      </c>
      <c r="AE1033" s="197">
        <f t="shared" ca="1" si="234"/>
        <v>0</v>
      </c>
      <c r="AF1033" s="196">
        <f>IFERROR(G1033/SUMIF(A:A,A1033,G:G)*SUMIF(Summary!$A$166:$A$242,'Operations Support'!A1033,Summary!$Q$166:$Q$242),0)</f>
        <v>0</v>
      </c>
      <c r="AG1033" s="196">
        <f t="shared" ca="1" si="235"/>
        <v>0</v>
      </c>
      <c r="AI1033" s="196">
        <f>IFERROR($G1033/SUMIF($A:$A,$A1033,$G:$G)*SUMIF(Summary!$A$247:$A$283,$A1033,Summary!$P$247:$P$283),0)</f>
        <v>0</v>
      </c>
      <c r="AJ1033" s="196">
        <f>IFERROR($G1033/SUMIF($A:$A,$A1033,$G:$G)*(SUMIF(Summary!$A$247:$A$283,$A1033,Summary!$L$247:$L$283)+SUMIF(Summary!$A$297:$A$333,$A1033,Summary!$L$297:$L$333))-AI1033,0)</f>
        <v>0</v>
      </c>
      <c r="AK1033" s="196">
        <f>IFERROR($G1033/SUMIF($A:$A,$A1033,$G:$G)*SUMIF(Summary!$A$247:$A$283,$A1033,Summary!$Q$247:$Q$283),0)</f>
        <v>0</v>
      </c>
      <c r="AL1033" s="196">
        <f>IFERROR($G1033/SUMIF($A:$A,$A1033,$G:$G)*(SUMIF(Summary!$A$247:$A$283,$A1033,Summary!$L$247:$L$283)+SUMIF(Summary!$A$297:$A$333,$A1033,Summary!$L$297:$L$333))-AK1033,0)</f>
        <v>0</v>
      </c>
      <c r="AM1033" s="198"/>
      <c r="AN1033" s="196">
        <f t="shared" ca="1" si="236"/>
        <v>0</v>
      </c>
      <c r="AO1033" s="196">
        <f t="shared" ca="1" si="237"/>
        <v>0</v>
      </c>
    </row>
    <row r="1034" spans="1:41">
      <c r="A1034" s="189">
        <v>3624</v>
      </c>
      <c r="B1034" s="203">
        <v>5</v>
      </c>
      <c r="C1034" s="191" t="s">
        <v>220</v>
      </c>
      <c r="D1034" s="192">
        <f t="shared" si="224"/>
        <v>0</v>
      </c>
      <c r="E1034" s="192">
        <f t="shared" si="225"/>
        <v>0</v>
      </c>
      <c r="F1034" s="192">
        <f t="shared" si="226"/>
        <v>0</v>
      </c>
      <c r="G1034" s="193">
        <f t="shared" si="227"/>
        <v>0</v>
      </c>
      <c r="H1034" s="194">
        <v>0</v>
      </c>
      <c r="I1034" s="194">
        <v>0</v>
      </c>
      <c r="J1034" s="194">
        <v>0</v>
      </c>
      <c r="K1034" s="193">
        <f t="shared" si="228"/>
        <v>0</v>
      </c>
      <c r="L1034" s="194">
        <v>0</v>
      </c>
      <c r="M1034" s="194">
        <v>0</v>
      </c>
      <c r="N1034" s="194">
        <v>0</v>
      </c>
      <c r="O1034" s="193">
        <f t="shared" si="229"/>
        <v>0</v>
      </c>
      <c r="P1034" s="194">
        <v>0</v>
      </c>
      <c r="Q1034" s="194">
        <v>0</v>
      </c>
      <c r="R1034" s="194">
        <v>0</v>
      </c>
      <c r="S1034" s="193">
        <f t="shared" si="230"/>
        <v>0</v>
      </c>
      <c r="T1034" s="193">
        <f t="shared" si="231"/>
        <v>0</v>
      </c>
      <c r="U1034" s="193">
        <f ca="1">OFFSET('Expenditure Study'!$B$7,'Operations Support'!$C1034,'Operations Support'!$B1034)*$G1034</f>
        <v>0</v>
      </c>
      <c r="V1034" s="199">
        <f ca="1">U1034*'Expenditure Study'!$B$31</f>
        <v>0</v>
      </c>
      <c r="W1034" s="199">
        <f ca="1">IF(A1034=10298,1.51,1)*IF($B1034&lt;3,$D1034*'Expenditure Study'!$B$32*OFFSET('Expenditure Study'!$B$7,'Operations Support'!$C1034,'Operations Support'!$B1034),0)</f>
        <v>0</v>
      </c>
      <c r="X1034" s="200">
        <f ca="1">W1034*'Expenditure Study'!$B$31</f>
        <v>0</v>
      </c>
      <c r="Y1034" s="199">
        <f ca="1">U1034*'Expenditure Study'!$B$31</f>
        <v>0</v>
      </c>
      <c r="Z1034" s="200">
        <f ca="1">W1034*'Expenditure Study'!$B$31</f>
        <v>0</v>
      </c>
      <c r="AA1034" s="195">
        <f t="shared" ca="1" si="232"/>
        <v>0</v>
      </c>
      <c r="AB1034" s="195">
        <f t="shared" ca="1" si="233"/>
        <v>0</v>
      </c>
      <c r="AD1034" s="196">
        <f>IFERROR($G1034/SUMIF($A:$A,$A1034,$G:$G)*SUMIF(Summary!$A$166:$A$242,$A1034,Summary!$P$166:$P$242),0)</f>
        <v>0</v>
      </c>
      <c r="AE1034" s="197">
        <f t="shared" ca="1" si="234"/>
        <v>0</v>
      </c>
      <c r="AF1034" s="196">
        <f>IFERROR(G1034/SUMIF(A:A,A1034,G:G)*SUMIF(Summary!$A$166:$A$242,'Operations Support'!A1034,Summary!$Q$166:$Q$242),0)</f>
        <v>0</v>
      </c>
      <c r="AG1034" s="196">
        <f t="shared" ca="1" si="235"/>
        <v>0</v>
      </c>
      <c r="AI1034" s="196">
        <f>IFERROR($G1034/SUMIF($A:$A,$A1034,$G:$G)*SUMIF(Summary!$A$247:$A$283,$A1034,Summary!$P$247:$P$283),0)</f>
        <v>0</v>
      </c>
      <c r="AJ1034" s="196">
        <f>IFERROR($G1034/SUMIF($A:$A,$A1034,$G:$G)*(SUMIF(Summary!$A$247:$A$283,$A1034,Summary!$L$247:$L$283)+SUMIF(Summary!$A$297:$A$333,$A1034,Summary!$L$297:$L$333))-AI1034,0)</f>
        <v>0</v>
      </c>
      <c r="AK1034" s="196">
        <f>IFERROR($G1034/SUMIF($A:$A,$A1034,$G:$G)*SUMIF(Summary!$A$247:$A$283,$A1034,Summary!$Q$247:$Q$283),0)</f>
        <v>0</v>
      </c>
      <c r="AL1034" s="196">
        <f>IFERROR($G1034/SUMIF($A:$A,$A1034,$G:$G)*(SUMIF(Summary!$A$247:$A$283,$A1034,Summary!$L$247:$L$283)+SUMIF(Summary!$A$297:$A$333,$A1034,Summary!$L$297:$L$333))-AK1034,0)</f>
        <v>0</v>
      </c>
      <c r="AM1034" s="198"/>
      <c r="AN1034" s="196">
        <f t="shared" ca="1" si="236"/>
        <v>0</v>
      </c>
      <c r="AO1034" s="196">
        <f t="shared" ca="1" si="237"/>
        <v>0</v>
      </c>
    </row>
    <row r="1035" spans="1:41">
      <c r="A1035" s="189">
        <v>3624</v>
      </c>
      <c r="B1035" s="203">
        <v>5</v>
      </c>
      <c r="C1035" s="191" t="s">
        <v>221</v>
      </c>
      <c r="D1035" s="192">
        <f t="shared" si="224"/>
        <v>0</v>
      </c>
      <c r="E1035" s="192">
        <f t="shared" si="225"/>
        <v>0</v>
      </c>
      <c r="F1035" s="192">
        <f t="shared" si="226"/>
        <v>0</v>
      </c>
      <c r="G1035" s="193">
        <f t="shared" si="227"/>
        <v>0</v>
      </c>
      <c r="H1035" s="194">
        <v>0</v>
      </c>
      <c r="I1035" s="194">
        <v>0</v>
      </c>
      <c r="J1035" s="194">
        <v>0</v>
      </c>
      <c r="K1035" s="193">
        <f t="shared" si="228"/>
        <v>0</v>
      </c>
      <c r="L1035" s="194">
        <v>0</v>
      </c>
      <c r="M1035" s="194">
        <v>0</v>
      </c>
      <c r="N1035" s="194">
        <v>0</v>
      </c>
      <c r="O1035" s="193">
        <f t="shared" si="229"/>
        <v>0</v>
      </c>
      <c r="P1035" s="194">
        <v>0</v>
      </c>
      <c r="Q1035" s="194">
        <v>0</v>
      </c>
      <c r="R1035" s="194">
        <v>0</v>
      </c>
      <c r="S1035" s="193">
        <f t="shared" si="230"/>
        <v>0</v>
      </c>
      <c r="T1035" s="193">
        <f t="shared" si="231"/>
        <v>0</v>
      </c>
      <c r="U1035" s="193">
        <f ca="1">OFFSET('Expenditure Study'!$B$7,'Operations Support'!$C1035,'Operations Support'!$B1035)*$G1035</f>
        <v>0</v>
      </c>
      <c r="V1035" s="199">
        <f ca="1">U1035*'Expenditure Study'!$B$31</f>
        <v>0</v>
      </c>
      <c r="W1035" s="199">
        <f ca="1">IF(A1035=10298,1.51,1)*IF($B1035&lt;3,$D1035*'Expenditure Study'!$B$32*OFFSET('Expenditure Study'!$B$7,'Operations Support'!$C1035,'Operations Support'!$B1035),0)</f>
        <v>0</v>
      </c>
      <c r="X1035" s="200">
        <f ca="1">W1035*'Expenditure Study'!$B$31</f>
        <v>0</v>
      </c>
      <c r="Y1035" s="199">
        <f ca="1">U1035*'Expenditure Study'!$B$31</f>
        <v>0</v>
      </c>
      <c r="Z1035" s="200">
        <f ca="1">W1035*'Expenditure Study'!$B$31</f>
        <v>0</v>
      </c>
      <c r="AA1035" s="195">
        <f t="shared" ca="1" si="232"/>
        <v>0</v>
      </c>
      <c r="AB1035" s="195">
        <f t="shared" ca="1" si="233"/>
        <v>0</v>
      </c>
      <c r="AD1035" s="196">
        <f>IFERROR($G1035/SUMIF($A:$A,$A1035,$G:$G)*SUMIF(Summary!$A$166:$A$242,$A1035,Summary!$P$166:$P$242),0)</f>
        <v>0</v>
      </c>
      <c r="AE1035" s="197">
        <f t="shared" ca="1" si="234"/>
        <v>0</v>
      </c>
      <c r="AF1035" s="196">
        <f>IFERROR(G1035/SUMIF(A:A,A1035,G:G)*SUMIF(Summary!$A$166:$A$242,'Operations Support'!A1035,Summary!$Q$166:$Q$242),0)</f>
        <v>0</v>
      </c>
      <c r="AG1035" s="196">
        <f t="shared" ca="1" si="235"/>
        <v>0</v>
      </c>
      <c r="AI1035" s="196">
        <f>IFERROR($G1035/SUMIF($A:$A,$A1035,$G:$G)*SUMIF(Summary!$A$247:$A$283,$A1035,Summary!$P$247:$P$283),0)</f>
        <v>0</v>
      </c>
      <c r="AJ1035" s="196">
        <f>IFERROR($G1035/SUMIF($A:$A,$A1035,$G:$G)*(SUMIF(Summary!$A$247:$A$283,$A1035,Summary!$L$247:$L$283)+SUMIF(Summary!$A$297:$A$333,$A1035,Summary!$L$297:$L$333))-AI1035,0)</f>
        <v>0</v>
      </c>
      <c r="AK1035" s="196">
        <f>IFERROR($G1035/SUMIF($A:$A,$A1035,$G:$G)*SUMIF(Summary!$A$247:$A$283,$A1035,Summary!$Q$247:$Q$283),0)</f>
        <v>0</v>
      </c>
      <c r="AL1035" s="196">
        <f>IFERROR($G1035/SUMIF($A:$A,$A1035,$G:$G)*(SUMIF(Summary!$A$247:$A$283,$A1035,Summary!$L$247:$L$283)+SUMIF(Summary!$A$297:$A$333,$A1035,Summary!$L$297:$L$333))-AK1035,0)</f>
        <v>0</v>
      </c>
      <c r="AM1035" s="198"/>
      <c r="AN1035" s="196">
        <f t="shared" ca="1" si="236"/>
        <v>0</v>
      </c>
      <c r="AO1035" s="196">
        <f t="shared" ca="1" si="237"/>
        <v>0</v>
      </c>
    </row>
    <row r="1036" spans="1:41">
      <c r="A1036" s="189">
        <v>3624</v>
      </c>
      <c r="B1036" s="203">
        <v>5</v>
      </c>
      <c r="C1036" s="191" t="s">
        <v>222</v>
      </c>
      <c r="D1036" s="192">
        <f t="shared" si="224"/>
        <v>0</v>
      </c>
      <c r="E1036" s="192">
        <f t="shared" si="225"/>
        <v>0</v>
      </c>
      <c r="F1036" s="192">
        <f t="shared" si="226"/>
        <v>0</v>
      </c>
      <c r="G1036" s="193">
        <f t="shared" si="227"/>
        <v>0</v>
      </c>
      <c r="H1036" s="194">
        <v>0</v>
      </c>
      <c r="I1036" s="194">
        <v>0</v>
      </c>
      <c r="J1036" s="194">
        <v>0</v>
      </c>
      <c r="K1036" s="193">
        <f t="shared" si="228"/>
        <v>0</v>
      </c>
      <c r="L1036" s="194">
        <v>0</v>
      </c>
      <c r="M1036" s="194">
        <v>0</v>
      </c>
      <c r="N1036" s="194">
        <v>0</v>
      </c>
      <c r="O1036" s="193">
        <f t="shared" si="229"/>
        <v>0</v>
      </c>
      <c r="P1036" s="194">
        <v>0</v>
      </c>
      <c r="Q1036" s="194">
        <v>0</v>
      </c>
      <c r="R1036" s="194">
        <v>0</v>
      </c>
      <c r="S1036" s="193">
        <f t="shared" si="230"/>
        <v>0</v>
      </c>
      <c r="T1036" s="193">
        <f t="shared" si="231"/>
        <v>0</v>
      </c>
      <c r="U1036" s="193">
        <f ca="1">OFFSET('Expenditure Study'!$B$7,'Operations Support'!$C1036,'Operations Support'!$B1036)*$G1036</f>
        <v>0</v>
      </c>
      <c r="V1036" s="199">
        <f ca="1">U1036*'Expenditure Study'!$B$31</f>
        <v>0</v>
      </c>
      <c r="W1036" s="199">
        <f ca="1">IF(A1036=10298,1.51,1)*IF($B1036&lt;3,$D1036*'Expenditure Study'!$B$32*OFFSET('Expenditure Study'!$B$7,'Operations Support'!$C1036,'Operations Support'!$B1036),0)</f>
        <v>0</v>
      </c>
      <c r="X1036" s="200">
        <f ca="1">W1036*'Expenditure Study'!$B$31</f>
        <v>0</v>
      </c>
      <c r="Y1036" s="199">
        <f ca="1">U1036*'Expenditure Study'!$B$31</f>
        <v>0</v>
      </c>
      <c r="Z1036" s="200">
        <f ca="1">W1036*'Expenditure Study'!$B$31</f>
        <v>0</v>
      </c>
      <c r="AA1036" s="195">
        <f t="shared" ca="1" si="232"/>
        <v>0</v>
      </c>
      <c r="AB1036" s="195">
        <f t="shared" ca="1" si="233"/>
        <v>0</v>
      </c>
      <c r="AD1036" s="196">
        <f>IFERROR($G1036/SUMIF($A:$A,$A1036,$G:$G)*SUMIF(Summary!$A$166:$A$242,$A1036,Summary!$P$166:$P$242),0)</f>
        <v>0</v>
      </c>
      <c r="AE1036" s="197">
        <f t="shared" ca="1" si="234"/>
        <v>0</v>
      </c>
      <c r="AF1036" s="196">
        <f>IFERROR(G1036/SUMIF(A:A,A1036,G:G)*SUMIF(Summary!$A$166:$A$242,'Operations Support'!A1036,Summary!$Q$166:$Q$242),0)</f>
        <v>0</v>
      </c>
      <c r="AG1036" s="196">
        <f t="shared" ca="1" si="235"/>
        <v>0</v>
      </c>
      <c r="AI1036" s="196">
        <f>IFERROR($G1036/SUMIF($A:$A,$A1036,$G:$G)*SUMIF(Summary!$A$247:$A$283,$A1036,Summary!$P$247:$P$283),0)</f>
        <v>0</v>
      </c>
      <c r="AJ1036" s="196">
        <f>IFERROR($G1036/SUMIF($A:$A,$A1036,$G:$G)*(SUMIF(Summary!$A$247:$A$283,$A1036,Summary!$L$247:$L$283)+SUMIF(Summary!$A$297:$A$333,$A1036,Summary!$L$297:$L$333))-AI1036,0)</f>
        <v>0</v>
      </c>
      <c r="AK1036" s="196">
        <f>IFERROR($G1036/SUMIF($A:$A,$A1036,$G:$G)*SUMIF(Summary!$A$247:$A$283,$A1036,Summary!$Q$247:$Q$283),0)</f>
        <v>0</v>
      </c>
      <c r="AL1036" s="196">
        <f>IFERROR($G1036/SUMIF($A:$A,$A1036,$G:$G)*(SUMIF(Summary!$A$247:$A$283,$A1036,Summary!$L$247:$L$283)+SUMIF(Summary!$A$297:$A$333,$A1036,Summary!$L$297:$L$333))-AK1036,0)</f>
        <v>0</v>
      </c>
      <c r="AM1036" s="198"/>
      <c r="AN1036" s="196">
        <f t="shared" ca="1" si="236"/>
        <v>0</v>
      </c>
      <c r="AO1036" s="196">
        <f t="shared" ca="1" si="237"/>
        <v>0</v>
      </c>
    </row>
    <row r="1037" spans="1:41">
      <c r="A1037" s="189">
        <v>3624</v>
      </c>
      <c r="B1037" s="203">
        <v>5</v>
      </c>
      <c r="C1037" s="191" t="s">
        <v>223</v>
      </c>
      <c r="D1037" s="192">
        <f t="shared" si="224"/>
        <v>0</v>
      </c>
      <c r="E1037" s="192">
        <f t="shared" si="225"/>
        <v>0</v>
      </c>
      <c r="F1037" s="192">
        <f t="shared" si="226"/>
        <v>0</v>
      </c>
      <c r="G1037" s="193">
        <f t="shared" si="227"/>
        <v>0</v>
      </c>
      <c r="H1037" s="194">
        <v>0</v>
      </c>
      <c r="I1037" s="194">
        <v>0</v>
      </c>
      <c r="J1037" s="194">
        <v>0</v>
      </c>
      <c r="K1037" s="193">
        <f t="shared" si="228"/>
        <v>0</v>
      </c>
      <c r="L1037" s="194">
        <v>0</v>
      </c>
      <c r="M1037" s="194">
        <v>0</v>
      </c>
      <c r="N1037" s="194">
        <v>0</v>
      </c>
      <c r="O1037" s="193">
        <f t="shared" si="229"/>
        <v>0</v>
      </c>
      <c r="P1037" s="194">
        <v>0</v>
      </c>
      <c r="Q1037" s="194">
        <v>0</v>
      </c>
      <c r="R1037" s="194">
        <v>0</v>
      </c>
      <c r="S1037" s="193">
        <f t="shared" si="230"/>
        <v>0</v>
      </c>
      <c r="T1037" s="193">
        <f t="shared" si="231"/>
        <v>0</v>
      </c>
      <c r="U1037" s="193">
        <f ca="1">OFFSET('Expenditure Study'!$B$7,'Operations Support'!$C1037,'Operations Support'!$B1037)*$G1037</f>
        <v>0</v>
      </c>
      <c r="V1037" s="199">
        <f ca="1">U1037*'Expenditure Study'!$B$31</f>
        <v>0</v>
      </c>
      <c r="W1037" s="199">
        <f ca="1">IF(A1037=10298,1.51,1)*IF($B1037&lt;3,$D1037*'Expenditure Study'!$B$32*OFFSET('Expenditure Study'!$B$7,'Operations Support'!$C1037,'Operations Support'!$B1037),0)</f>
        <v>0</v>
      </c>
      <c r="X1037" s="200">
        <f ca="1">W1037*'Expenditure Study'!$B$31</f>
        <v>0</v>
      </c>
      <c r="Y1037" s="199">
        <f ca="1">U1037*'Expenditure Study'!$B$31</f>
        <v>0</v>
      </c>
      <c r="Z1037" s="200">
        <f ca="1">W1037*'Expenditure Study'!$B$31</f>
        <v>0</v>
      </c>
      <c r="AA1037" s="195">
        <f t="shared" ca="1" si="232"/>
        <v>0</v>
      </c>
      <c r="AB1037" s="195">
        <f t="shared" ca="1" si="233"/>
        <v>0</v>
      </c>
      <c r="AD1037" s="196">
        <f>IFERROR($G1037/SUMIF($A:$A,$A1037,$G:$G)*SUMIF(Summary!$A$166:$A$242,$A1037,Summary!$P$166:$P$242),0)</f>
        <v>0</v>
      </c>
      <c r="AE1037" s="197">
        <f t="shared" ca="1" si="234"/>
        <v>0</v>
      </c>
      <c r="AF1037" s="196">
        <f>IFERROR(G1037/SUMIF(A:A,A1037,G:G)*SUMIF(Summary!$A$166:$A$242,'Operations Support'!A1037,Summary!$Q$166:$Q$242),0)</f>
        <v>0</v>
      </c>
      <c r="AG1037" s="196">
        <f t="shared" ca="1" si="235"/>
        <v>0</v>
      </c>
      <c r="AI1037" s="196">
        <f>IFERROR($G1037/SUMIF($A:$A,$A1037,$G:$G)*SUMIF(Summary!$A$247:$A$283,$A1037,Summary!$P$247:$P$283),0)</f>
        <v>0</v>
      </c>
      <c r="AJ1037" s="196">
        <f>IFERROR($G1037/SUMIF($A:$A,$A1037,$G:$G)*(SUMIF(Summary!$A$247:$A$283,$A1037,Summary!$L$247:$L$283)+SUMIF(Summary!$A$297:$A$333,$A1037,Summary!$L$297:$L$333))-AI1037,0)</f>
        <v>0</v>
      </c>
      <c r="AK1037" s="196">
        <f>IFERROR($G1037/SUMIF($A:$A,$A1037,$G:$G)*SUMIF(Summary!$A$247:$A$283,$A1037,Summary!$Q$247:$Q$283),0)</f>
        <v>0</v>
      </c>
      <c r="AL1037" s="196">
        <f>IFERROR($G1037/SUMIF($A:$A,$A1037,$G:$G)*(SUMIF(Summary!$A$247:$A$283,$A1037,Summary!$L$247:$L$283)+SUMIF(Summary!$A$297:$A$333,$A1037,Summary!$L$297:$L$333))-AK1037,0)</f>
        <v>0</v>
      </c>
      <c r="AM1037" s="198"/>
      <c r="AN1037" s="196">
        <f t="shared" ca="1" si="236"/>
        <v>0</v>
      </c>
      <c r="AO1037" s="196">
        <f t="shared" ca="1" si="237"/>
        <v>0</v>
      </c>
    </row>
    <row r="1038" spans="1:41">
      <c r="A1038" s="189">
        <v>3624</v>
      </c>
      <c r="B1038" s="203">
        <v>5</v>
      </c>
      <c r="C1038" s="191" t="s">
        <v>224</v>
      </c>
      <c r="D1038" s="192">
        <f t="shared" si="224"/>
        <v>0</v>
      </c>
      <c r="E1038" s="192">
        <f t="shared" si="225"/>
        <v>0</v>
      </c>
      <c r="F1038" s="192">
        <f t="shared" si="226"/>
        <v>0</v>
      </c>
      <c r="G1038" s="193">
        <f t="shared" si="227"/>
        <v>0</v>
      </c>
      <c r="H1038" s="194">
        <v>0</v>
      </c>
      <c r="I1038" s="194">
        <v>0</v>
      </c>
      <c r="J1038" s="194">
        <v>0</v>
      </c>
      <c r="K1038" s="193">
        <f t="shared" si="228"/>
        <v>0</v>
      </c>
      <c r="L1038" s="194">
        <v>0</v>
      </c>
      <c r="M1038" s="194">
        <v>0</v>
      </c>
      <c r="N1038" s="194">
        <v>0</v>
      </c>
      <c r="O1038" s="193">
        <f t="shared" si="229"/>
        <v>0</v>
      </c>
      <c r="P1038" s="194">
        <v>0</v>
      </c>
      <c r="Q1038" s="194">
        <v>0</v>
      </c>
      <c r="R1038" s="194">
        <v>0</v>
      </c>
      <c r="S1038" s="193">
        <f t="shared" si="230"/>
        <v>0</v>
      </c>
      <c r="T1038" s="193">
        <f t="shared" si="231"/>
        <v>0</v>
      </c>
      <c r="U1038" s="193">
        <f ca="1">OFFSET('Expenditure Study'!$B$7,'Operations Support'!$C1038,'Operations Support'!$B1038)*$G1038</f>
        <v>0</v>
      </c>
      <c r="V1038" s="199">
        <f ca="1">U1038*'Expenditure Study'!$B$31</f>
        <v>0</v>
      </c>
      <c r="W1038" s="199">
        <f ca="1">IF(A1038=10298,1.51,1)*IF($B1038&lt;3,$D1038*'Expenditure Study'!$B$32*OFFSET('Expenditure Study'!$B$7,'Operations Support'!$C1038,'Operations Support'!$B1038),0)</f>
        <v>0</v>
      </c>
      <c r="X1038" s="200">
        <f ca="1">W1038*'Expenditure Study'!$B$31</f>
        <v>0</v>
      </c>
      <c r="Y1038" s="199">
        <f ca="1">U1038*'Expenditure Study'!$B$31</f>
        <v>0</v>
      </c>
      <c r="Z1038" s="200">
        <f ca="1">W1038*'Expenditure Study'!$B$31</f>
        <v>0</v>
      </c>
      <c r="AA1038" s="195">
        <f t="shared" ca="1" si="232"/>
        <v>0</v>
      </c>
      <c r="AB1038" s="195">
        <f t="shared" ca="1" si="233"/>
        <v>0</v>
      </c>
      <c r="AD1038" s="196">
        <f>IFERROR($G1038/SUMIF($A:$A,$A1038,$G:$G)*SUMIF(Summary!$A$166:$A$242,$A1038,Summary!$P$166:$P$242),0)</f>
        <v>0</v>
      </c>
      <c r="AE1038" s="197">
        <f t="shared" ca="1" si="234"/>
        <v>0</v>
      </c>
      <c r="AF1038" s="196">
        <f>IFERROR(G1038/SUMIF(A:A,A1038,G:G)*SUMIF(Summary!$A$166:$A$242,'Operations Support'!A1038,Summary!$Q$166:$Q$242),0)</f>
        <v>0</v>
      </c>
      <c r="AG1038" s="196">
        <f t="shared" ca="1" si="235"/>
        <v>0</v>
      </c>
      <c r="AI1038" s="196">
        <f>IFERROR($G1038/SUMIF($A:$A,$A1038,$G:$G)*SUMIF(Summary!$A$247:$A$283,$A1038,Summary!$P$247:$P$283),0)</f>
        <v>0</v>
      </c>
      <c r="AJ1038" s="196">
        <f>IFERROR($G1038/SUMIF($A:$A,$A1038,$G:$G)*(SUMIF(Summary!$A$247:$A$283,$A1038,Summary!$L$247:$L$283)+SUMIF(Summary!$A$297:$A$333,$A1038,Summary!$L$297:$L$333))-AI1038,0)</f>
        <v>0</v>
      </c>
      <c r="AK1038" s="196">
        <f>IFERROR($G1038/SUMIF($A:$A,$A1038,$G:$G)*SUMIF(Summary!$A$247:$A$283,$A1038,Summary!$Q$247:$Q$283),0)</f>
        <v>0</v>
      </c>
      <c r="AL1038" s="196">
        <f>IFERROR($G1038/SUMIF($A:$A,$A1038,$G:$G)*(SUMIF(Summary!$A$247:$A$283,$A1038,Summary!$L$247:$L$283)+SUMIF(Summary!$A$297:$A$333,$A1038,Summary!$L$297:$L$333))-AK1038,0)</f>
        <v>0</v>
      </c>
      <c r="AM1038" s="198"/>
      <c r="AN1038" s="196">
        <f t="shared" ca="1" si="236"/>
        <v>0</v>
      </c>
      <c r="AO1038" s="196">
        <f t="shared" ca="1" si="237"/>
        <v>0</v>
      </c>
    </row>
    <row r="1039" spans="1:41">
      <c r="A1039" s="189">
        <v>3624</v>
      </c>
      <c r="B1039" s="203">
        <v>5</v>
      </c>
      <c r="C1039" s="191" t="s">
        <v>225</v>
      </c>
      <c r="D1039" s="192">
        <f t="shared" si="224"/>
        <v>0</v>
      </c>
      <c r="E1039" s="192">
        <f t="shared" si="225"/>
        <v>0</v>
      </c>
      <c r="F1039" s="192">
        <f t="shared" si="226"/>
        <v>0</v>
      </c>
      <c r="G1039" s="193">
        <f t="shared" si="227"/>
        <v>0</v>
      </c>
      <c r="H1039" s="194">
        <v>0</v>
      </c>
      <c r="I1039" s="194">
        <v>0</v>
      </c>
      <c r="J1039" s="194">
        <v>0</v>
      </c>
      <c r="K1039" s="193">
        <f t="shared" si="228"/>
        <v>0</v>
      </c>
      <c r="L1039" s="194">
        <v>0</v>
      </c>
      <c r="M1039" s="194">
        <v>0</v>
      </c>
      <c r="N1039" s="194">
        <v>0</v>
      </c>
      <c r="O1039" s="193">
        <f t="shared" si="229"/>
        <v>0</v>
      </c>
      <c r="P1039" s="194">
        <v>0</v>
      </c>
      <c r="Q1039" s="194">
        <v>0</v>
      </c>
      <c r="R1039" s="194">
        <v>0</v>
      </c>
      <c r="S1039" s="193">
        <f t="shared" si="230"/>
        <v>0</v>
      </c>
      <c r="T1039" s="193">
        <f t="shared" si="231"/>
        <v>0</v>
      </c>
      <c r="U1039" s="193">
        <f ca="1">OFFSET('Expenditure Study'!$B$7,'Operations Support'!$C1039,'Operations Support'!$B1039)*$G1039</f>
        <v>0</v>
      </c>
      <c r="V1039" s="199">
        <f ca="1">U1039*'Expenditure Study'!$B$31</f>
        <v>0</v>
      </c>
      <c r="W1039" s="199">
        <f ca="1">IF(A1039=10298,1.51,1)*IF($B1039&lt;3,$D1039*'Expenditure Study'!$B$32*OFFSET('Expenditure Study'!$B$7,'Operations Support'!$C1039,'Operations Support'!$B1039),0)</f>
        <v>0</v>
      </c>
      <c r="X1039" s="200">
        <f ca="1">W1039*'Expenditure Study'!$B$31</f>
        <v>0</v>
      </c>
      <c r="Y1039" s="199">
        <f ca="1">U1039*'Expenditure Study'!$B$31</f>
        <v>0</v>
      </c>
      <c r="Z1039" s="200">
        <f ca="1">W1039*'Expenditure Study'!$B$31</f>
        <v>0</v>
      </c>
      <c r="AA1039" s="195">
        <f t="shared" ca="1" si="232"/>
        <v>0</v>
      </c>
      <c r="AB1039" s="195">
        <f t="shared" ca="1" si="233"/>
        <v>0</v>
      </c>
      <c r="AD1039" s="196">
        <f>IFERROR($G1039/SUMIF($A:$A,$A1039,$G:$G)*SUMIF(Summary!$A$166:$A$242,$A1039,Summary!$P$166:$P$242),0)</f>
        <v>0</v>
      </c>
      <c r="AE1039" s="197">
        <f t="shared" ca="1" si="234"/>
        <v>0</v>
      </c>
      <c r="AF1039" s="196">
        <f>IFERROR(G1039/SUMIF(A:A,A1039,G:G)*SUMIF(Summary!$A$166:$A$242,'Operations Support'!A1039,Summary!$Q$166:$Q$242),0)</f>
        <v>0</v>
      </c>
      <c r="AG1039" s="196">
        <f t="shared" ca="1" si="235"/>
        <v>0</v>
      </c>
      <c r="AI1039" s="196">
        <f>IFERROR($G1039/SUMIF($A:$A,$A1039,$G:$G)*SUMIF(Summary!$A$247:$A$283,$A1039,Summary!$P$247:$P$283),0)</f>
        <v>0</v>
      </c>
      <c r="AJ1039" s="196">
        <f>IFERROR($G1039/SUMIF($A:$A,$A1039,$G:$G)*(SUMIF(Summary!$A$247:$A$283,$A1039,Summary!$L$247:$L$283)+SUMIF(Summary!$A$297:$A$333,$A1039,Summary!$L$297:$L$333))-AI1039,0)</f>
        <v>0</v>
      </c>
      <c r="AK1039" s="196">
        <f>IFERROR($G1039/SUMIF($A:$A,$A1039,$G:$G)*SUMIF(Summary!$A$247:$A$283,$A1039,Summary!$Q$247:$Q$283),0)</f>
        <v>0</v>
      </c>
      <c r="AL1039" s="196">
        <f>IFERROR($G1039/SUMIF($A:$A,$A1039,$G:$G)*(SUMIF(Summary!$A$247:$A$283,$A1039,Summary!$L$247:$L$283)+SUMIF(Summary!$A$297:$A$333,$A1039,Summary!$L$297:$L$333))-AK1039,0)</f>
        <v>0</v>
      </c>
      <c r="AM1039" s="198"/>
      <c r="AN1039" s="196">
        <f t="shared" ca="1" si="236"/>
        <v>0</v>
      </c>
      <c r="AO1039" s="196">
        <f t="shared" ca="1" si="237"/>
        <v>0</v>
      </c>
    </row>
    <row r="1040" spans="1:41">
      <c r="A1040" s="189">
        <v>3624</v>
      </c>
      <c r="B1040" s="203">
        <v>5</v>
      </c>
      <c r="C1040" s="191" t="s">
        <v>226</v>
      </c>
      <c r="D1040" s="192">
        <f t="shared" si="224"/>
        <v>0</v>
      </c>
      <c r="E1040" s="192">
        <f t="shared" si="225"/>
        <v>0</v>
      </c>
      <c r="F1040" s="192">
        <f t="shared" si="226"/>
        <v>0</v>
      </c>
      <c r="G1040" s="193">
        <f t="shared" si="227"/>
        <v>0</v>
      </c>
      <c r="H1040" s="194">
        <v>0</v>
      </c>
      <c r="I1040" s="194">
        <v>0</v>
      </c>
      <c r="J1040" s="194">
        <v>0</v>
      </c>
      <c r="K1040" s="193">
        <f t="shared" si="228"/>
        <v>0</v>
      </c>
      <c r="L1040" s="194">
        <v>0</v>
      </c>
      <c r="M1040" s="194">
        <v>0</v>
      </c>
      <c r="N1040" s="194">
        <v>0</v>
      </c>
      <c r="O1040" s="193">
        <f t="shared" si="229"/>
        <v>0</v>
      </c>
      <c r="P1040" s="194">
        <v>0</v>
      </c>
      <c r="Q1040" s="194">
        <v>0</v>
      </c>
      <c r="R1040" s="194">
        <v>0</v>
      </c>
      <c r="S1040" s="193">
        <f t="shared" si="230"/>
        <v>0</v>
      </c>
      <c r="T1040" s="193">
        <f t="shared" si="231"/>
        <v>0</v>
      </c>
      <c r="U1040" s="193">
        <f ca="1">OFFSET('Expenditure Study'!$B$7,'Operations Support'!$C1040,'Operations Support'!$B1040)*$G1040</f>
        <v>0</v>
      </c>
      <c r="V1040" s="199">
        <f ca="1">U1040*'Expenditure Study'!$B$31</f>
        <v>0</v>
      </c>
      <c r="W1040" s="199">
        <f ca="1">IF(A1040=10298,1.51,1)*IF($B1040&lt;3,$D1040*'Expenditure Study'!$B$32*OFFSET('Expenditure Study'!$B$7,'Operations Support'!$C1040,'Operations Support'!$B1040),0)</f>
        <v>0</v>
      </c>
      <c r="X1040" s="200">
        <f ca="1">W1040*'Expenditure Study'!$B$31</f>
        <v>0</v>
      </c>
      <c r="Y1040" s="199">
        <f ca="1">U1040*'Expenditure Study'!$B$31</f>
        <v>0</v>
      </c>
      <c r="Z1040" s="200">
        <f ca="1">W1040*'Expenditure Study'!$B$31</f>
        <v>0</v>
      </c>
      <c r="AA1040" s="195">
        <f t="shared" ca="1" si="232"/>
        <v>0</v>
      </c>
      <c r="AB1040" s="195">
        <f t="shared" ca="1" si="233"/>
        <v>0</v>
      </c>
      <c r="AD1040" s="196">
        <f>IFERROR($G1040/SUMIF($A:$A,$A1040,$G:$G)*SUMIF(Summary!$A$166:$A$242,$A1040,Summary!$P$166:$P$242),0)</f>
        <v>0</v>
      </c>
      <c r="AE1040" s="197">
        <f t="shared" ca="1" si="234"/>
        <v>0</v>
      </c>
      <c r="AF1040" s="196">
        <f>IFERROR(G1040/SUMIF(A:A,A1040,G:G)*SUMIF(Summary!$A$166:$A$242,'Operations Support'!A1040,Summary!$Q$166:$Q$242),0)</f>
        <v>0</v>
      </c>
      <c r="AG1040" s="196">
        <f t="shared" ca="1" si="235"/>
        <v>0</v>
      </c>
      <c r="AI1040" s="196">
        <f>IFERROR($G1040/SUMIF($A:$A,$A1040,$G:$G)*SUMIF(Summary!$A$247:$A$283,$A1040,Summary!$P$247:$P$283),0)</f>
        <v>0</v>
      </c>
      <c r="AJ1040" s="196">
        <f>IFERROR($G1040/SUMIF($A:$A,$A1040,$G:$G)*(SUMIF(Summary!$A$247:$A$283,$A1040,Summary!$L$247:$L$283)+SUMIF(Summary!$A$297:$A$333,$A1040,Summary!$L$297:$L$333))-AI1040,0)</f>
        <v>0</v>
      </c>
      <c r="AK1040" s="196">
        <f>IFERROR($G1040/SUMIF($A:$A,$A1040,$G:$G)*SUMIF(Summary!$A$247:$A$283,$A1040,Summary!$Q$247:$Q$283),0)</f>
        <v>0</v>
      </c>
      <c r="AL1040" s="196">
        <f>IFERROR($G1040/SUMIF($A:$A,$A1040,$G:$G)*(SUMIF(Summary!$A$247:$A$283,$A1040,Summary!$L$247:$L$283)+SUMIF(Summary!$A$297:$A$333,$A1040,Summary!$L$297:$L$333))-AK1040,0)</f>
        <v>0</v>
      </c>
      <c r="AM1040" s="198"/>
      <c r="AN1040" s="196">
        <f t="shared" ca="1" si="236"/>
        <v>0</v>
      </c>
      <c r="AO1040" s="196">
        <f t="shared" ca="1" si="237"/>
        <v>0</v>
      </c>
    </row>
    <row r="1041" spans="1:41">
      <c r="A1041" s="189">
        <v>3624</v>
      </c>
      <c r="B1041" s="203">
        <v>5</v>
      </c>
      <c r="C1041" s="191" t="s">
        <v>227</v>
      </c>
      <c r="D1041" s="192">
        <f t="shared" si="224"/>
        <v>0</v>
      </c>
      <c r="E1041" s="192">
        <f t="shared" si="225"/>
        <v>0</v>
      </c>
      <c r="F1041" s="192">
        <f t="shared" si="226"/>
        <v>0</v>
      </c>
      <c r="G1041" s="193">
        <f t="shared" si="227"/>
        <v>0</v>
      </c>
      <c r="H1041" s="194">
        <v>0</v>
      </c>
      <c r="I1041" s="194">
        <v>0</v>
      </c>
      <c r="J1041" s="194">
        <v>0</v>
      </c>
      <c r="K1041" s="193">
        <f t="shared" si="228"/>
        <v>0</v>
      </c>
      <c r="L1041" s="194">
        <v>0</v>
      </c>
      <c r="M1041" s="194">
        <v>0</v>
      </c>
      <c r="N1041" s="194">
        <v>0</v>
      </c>
      <c r="O1041" s="193">
        <f t="shared" si="229"/>
        <v>0</v>
      </c>
      <c r="P1041" s="194">
        <v>0</v>
      </c>
      <c r="Q1041" s="194">
        <v>0</v>
      </c>
      <c r="R1041" s="194">
        <v>0</v>
      </c>
      <c r="S1041" s="193">
        <f t="shared" si="230"/>
        <v>0</v>
      </c>
      <c r="T1041" s="193">
        <f t="shared" si="231"/>
        <v>0</v>
      </c>
      <c r="U1041" s="193">
        <f ca="1">OFFSET('Expenditure Study'!$B$7,'Operations Support'!$C1041,'Operations Support'!$B1041)*$G1041</f>
        <v>0</v>
      </c>
      <c r="V1041" s="199">
        <f ca="1">U1041*'Expenditure Study'!$B$31</f>
        <v>0</v>
      </c>
      <c r="W1041" s="199">
        <f ca="1">IF(A1041=10298,1.51,1)*IF($B1041&lt;3,$D1041*'Expenditure Study'!$B$32*OFFSET('Expenditure Study'!$B$7,'Operations Support'!$C1041,'Operations Support'!$B1041),0)</f>
        <v>0</v>
      </c>
      <c r="X1041" s="200">
        <f ca="1">W1041*'Expenditure Study'!$B$31</f>
        <v>0</v>
      </c>
      <c r="Y1041" s="199">
        <f ca="1">U1041*'Expenditure Study'!$B$31</f>
        <v>0</v>
      </c>
      <c r="Z1041" s="200">
        <f ca="1">W1041*'Expenditure Study'!$B$31</f>
        <v>0</v>
      </c>
      <c r="AA1041" s="195">
        <f t="shared" ca="1" si="232"/>
        <v>0</v>
      </c>
      <c r="AB1041" s="195">
        <f t="shared" ca="1" si="233"/>
        <v>0</v>
      </c>
      <c r="AD1041" s="196">
        <f>IFERROR($G1041/SUMIF($A:$A,$A1041,$G:$G)*SUMIF(Summary!$A$166:$A$242,$A1041,Summary!$P$166:$P$242),0)</f>
        <v>0</v>
      </c>
      <c r="AE1041" s="197">
        <f t="shared" ca="1" si="234"/>
        <v>0</v>
      </c>
      <c r="AF1041" s="196">
        <f>IFERROR(G1041/SUMIF(A:A,A1041,G:G)*SUMIF(Summary!$A$166:$A$242,'Operations Support'!A1041,Summary!$Q$166:$Q$242),0)</f>
        <v>0</v>
      </c>
      <c r="AG1041" s="196">
        <f t="shared" ca="1" si="235"/>
        <v>0</v>
      </c>
      <c r="AI1041" s="196">
        <f>IFERROR($G1041/SUMIF($A:$A,$A1041,$G:$G)*SUMIF(Summary!$A$247:$A$283,$A1041,Summary!$P$247:$P$283),0)</f>
        <v>0</v>
      </c>
      <c r="AJ1041" s="196">
        <f>IFERROR($G1041/SUMIF($A:$A,$A1041,$G:$G)*(SUMIF(Summary!$A$247:$A$283,$A1041,Summary!$L$247:$L$283)+SUMIF(Summary!$A$297:$A$333,$A1041,Summary!$L$297:$L$333))-AI1041,0)</f>
        <v>0</v>
      </c>
      <c r="AK1041" s="196">
        <f>IFERROR($G1041/SUMIF($A:$A,$A1041,$G:$G)*SUMIF(Summary!$A$247:$A$283,$A1041,Summary!$Q$247:$Q$283),0)</f>
        <v>0</v>
      </c>
      <c r="AL1041" s="196">
        <f>IFERROR($G1041/SUMIF($A:$A,$A1041,$G:$G)*(SUMIF(Summary!$A$247:$A$283,$A1041,Summary!$L$247:$L$283)+SUMIF(Summary!$A$297:$A$333,$A1041,Summary!$L$297:$L$333))-AK1041,0)</f>
        <v>0</v>
      </c>
      <c r="AM1041" s="198"/>
      <c r="AN1041" s="196">
        <f t="shared" ca="1" si="236"/>
        <v>0</v>
      </c>
      <c r="AO1041" s="196">
        <f t="shared" ca="1" si="237"/>
        <v>0</v>
      </c>
    </row>
    <row r="1042" spans="1:41">
      <c r="A1042" s="189">
        <v>3624</v>
      </c>
      <c r="B1042" s="203">
        <v>5</v>
      </c>
      <c r="C1042" s="191" t="s">
        <v>228</v>
      </c>
      <c r="D1042" s="192">
        <f t="shared" si="224"/>
        <v>0</v>
      </c>
      <c r="E1042" s="192">
        <f t="shared" si="225"/>
        <v>0</v>
      </c>
      <c r="F1042" s="192">
        <f t="shared" si="226"/>
        <v>0</v>
      </c>
      <c r="G1042" s="193">
        <f t="shared" si="227"/>
        <v>0</v>
      </c>
      <c r="H1042" s="194">
        <v>0</v>
      </c>
      <c r="I1042" s="194">
        <v>0</v>
      </c>
      <c r="J1042" s="194">
        <v>0</v>
      </c>
      <c r="K1042" s="193">
        <f t="shared" si="228"/>
        <v>0</v>
      </c>
      <c r="L1042" s="194">
        <v>0</v>
      </c>
      <c r="M1042" s="194">
        <v>0</v>
      </c>
      <c r="N1042" s="194">
        <v>0</v>
      </c>
      <c r="O1042" s="193">
        <f t="shared" si="229"/>
        <v>0</v>
      </c>
      <c r="P1042" s="194">
        <v>0</v>
      </c>
      <c r="Q1042" s="194">
        <v>0</v>
      </c>
      <c r="R1042" s="194">
        <v>0</v>
      </c>
      <c r="S1042" s="193">
        <f t="shared" si="230"/>
        <v>0</v>
      </c>
      <c r="T1042" s="193">
        <f t="shared" si="231"/>
        <v>0</v>
      </c>
      <c r="U1042" s="193">
        <f ca="1">OFFSET('Expenditure Study'!$B$7,'Operations Support'!$C1042,'Operations Support'!$B1042)*$G1042</f>
        <v>0</v>
      </c>
      <c r="V1042" s="199">
        <f ca="1">U1042*'Expenditure Study'!$B$31</f>
        <v>0</v>
      </c>
      <c r="W1042" s="199">
        <f ca="1">IF(A1042=10298,1.51,1)*IF($B1042&lt;3,$D1042*'Expenditure Study'!$B$32*OFFSET('Expenditure Study'!$B$7,'Operations Support'!$C1042,'Operations Support'!$B1042),0)</f>
        <v>0</v>
      </c>
      <c r="X1042" s="200">
        <f ca="1">W1042*'Expenditure Study'!$B$31</f>
        <v>0</v>
      </c>
      <c r="Y1042" s="199">
        <f ca="1">U1042*'Expenditure Study'!$B$31</f>
        <v>0</v>
      </c>
      <c r="Z1042" s="200">
        <f ca="1">W1042*'Expenditure Study'!$B$31</f>
        <v>0</v>
      </c>
      <c r="AA1042" s="195">
        <f t="shared" ca="1" si="232"/>
        <v>0</v>
      </c>
      <c r="AB1042" s="195">
        <f t="shared" ca="1" si="233"/>
        <v>0</v>
      </c>
      <c r="AD1042" s="196">
        <f>IFERROR($G1042/SUMIF($A:$A,$A1042,$G:$G)*SUMIF(Summary!$A$166:$A$242,$A1042,Summary!$P$166:$P$242),0)</f>
        <v>0</v>
      </c>
      <c r="AE1042" s="197">
        <f t="shared" ca="1" si="234"/>
        <v>0</v>
      </c>
      <c r="AF1042" s="196">
        <f>IFERROR(G1042/SUMIF(A:A,A1042,G:G)*SUMIF(Summary!$A$166:$A$242,'Operations Support'!A1042,Summary!$Q$166:$Q$242),0)</f>
        <v>0</v>
      </c>
      <c r="AG1042" s="196">
        <f t="shared" ca="1" si="235"/>
        <v>0</v>
      </c>
      <c r="AI1042" s="196">
        <f>IFERROR($G1042/SUMIF($A:$A,$A1042,$G:$G)*SUMIF(Summary!$A$247:$A$283,$A1042,Summary!$P$247:$P$283),0)</f>
        <v>0</v>
      </c>
      <c r="AJ1042" s="196">
        <f>IFERROR($G1042/SUMIF($A:$A,$A1042,$G:$G)*(SUMIF(Summary!$A$247:$A$283,$A1042,Summary!$L$247:$L$283)+SUMIF(Summary!$A$297:$A$333,$A1042,Summary!$L$297:$L$333))-AI1042,0)</f>
        <v>0</v>
      </c>
      <c r="AK1042" s="196">
        <f>IFERROR($G1042/SUMIF($A:$A,$A1042,$G:$G)*SUMIF(Summary!$A$247:$A$283,$A1042,Summary!$Q$247:$Q$283),0)</f>
        <v>0</v>
      </c>
      <c r="AL1042" s="196">
        <f>IFERROR($G1042/SUMIF($A:$A,$A1042,$G:$G)*(SUMIF(Summary!$A$247:$A$283,$A1042,Summary!$L$247:$L$283)+SUMIF(Summary!$A$297:$A$333,$A1042,Summary!$L$297:$L$333))-AK1042,0)</f>
        <v>0</v>
      </c>
      <c r="AM1042" s="198"/>
      <c r="AN1042" s="196">
        <f t="shared" ca="1" si="236"/>
        <v>0</v>
      </c>
      <c r="AO1042" s="196">
        <f t="shared" ca="1" si="237"/>
        <v>0</v>
      </c>
    </row>
    <row r="1043" spans="1:41">
      <c r="A1043" s="189">
        <v>3624</v>
      </c>
      <c r="B1043" s="203">
        <v>5</v>
      </c>
      <c r="C1043" s="191" t="s">
        <v>229</v>
      </c>
      <c r="D1043" s="192">
        <f t="shared" si="224"/>
        <v>0</v>
      </c>
      <c r="E1043" s="192">
        <f t="shared" si="225"/>
        <v>0</v>
      </c>
      <c r="F1043" s="192">
        <f t="shared" si="226"/>
        <v>0</v>
      </c>
      <c r="G1043" s="193">
        <f t="shared" si="227"/>
        <v>0</v>
      </c>
      <c r="H1043" s="194">
        <v>0</v>
      </c>
      <c r="I1043" s="194">
        <v>0</v>
      </c>
      <c r="J1043" s="194">
        <v>0</v>
      </c>
      <c r="K1043" s="193">
        <f t="shared" si="228"/>
        <v>0</v>
      </c>
      <c r="L1043" s="194">
        <v>0</v>
      </c>
      <c r="M1043" s="194">
        <v>0</v>
      </c>
      <c r="N1043" s="194">
        <v>0</v>
      </c>
      <c r="O1043" s="193">
        <f t="shared" si="229"/>
        <v>0</v>
      </c>
      <c r="P1043" s="194">
        <v>0</v>
      </c>
      <c r="Q1043" s="194">
        <v>0</v>
      </c>
      <c r="R1043" s="194">
        <v>0</v>
      </c>
      <c r="S1043" s="193">
        <f t="shared" si="230"/>
        <v>0</v>
      </c>
      <c r="T1043" s="193">
        <f t="shared" si="231"/>
        <v>0</v>
      </c>
      <c r="U1043" s="193">
        <f ca="1">OFFSET('Expenditure Study'!$B$7,'Operations Support'!$C1043,'Operations Support'!$B1043)*$G1043</f>
        <v>0</v>
      </c>
      <c r="V1043" s="199">
        <f ca="1">U1043*'Expenditure Study'!$B$31</f>
        <v>0</v>
      </c>
      <c r="W1043" s="199">
        <f ca="1">IF(A1043=10298,1.51,1)*IF($B1043&lt;3,$D1043*'Expenditure Study'!$B$32*OFFSET('Expenditure Study'!$B$7,'Operations Support'!$C1043,'Operations Support'!$B1043),0)</f>
        <v>0</v>
      </c>
      <c r="X1043" s="200">
        <f ca="1">W1043*'Expenditure Study'!$B$31</f>
        <v>0</v>
      </c>
      <c r="Y1043" s="199">
        <f ca="1">U1043*'Expenditure Study'!$B$31</f>
        <v>0</v>
      </c>
      <c r="Z1043" s="200">
        <f ca="1">W1043*'Expenditure Study'!$B$31</f>
        <v>0</v>
      </c>
      <c r="AA1043" s="195">
        <f t="shared" ca="1" si="232"/>
        <v>0</v>
      </c>
      <c r="AB1043" s="195">
        <f t="shared" ca="1" si="233"/>
        <v>0</v>
      </c>
      <c r="AD1043" s="196">
        <f>IFERROR($G1043/SUMIF($A:$A,$A1043,$G:$G)*SUMIF(Summary!$A$166:$A$242,$A1043,Summary!$P$166:$P$242),0)</f>
        <v>0</v>
      </c>
      <c r="AE1043" s="197">
        <f t="shared" ca="1" si="234"/>
        <v>0</v>
      </c>
      <c r="AF1043" s="196">
        <f>IFERROR(G1043/SUMIF(A:A,A1043,G:G)*SUMIF(Summary!$A$166:$A$242,'Operations Support'!A1043,Summary!$Q$166:$Q$242),0)</f>
        <v>0</v>
      </c>
      <c r="AG1043" s="196">
        <f t="shared" ca="1" si="235"/>
        <v>0</v>
      </c>
      <c r="AI1043" s="196">
        <f>IFERROR($G1043/SUMIF($A:$A,$A1043,$G:$G)*SUMIF(Summary!$A$247:$A$283,$A1043,Summary!$P$247:$P$283),0)</f>
        <v>0</v>
      </c>
      <c r="AJ1043" s="196">
        <f>IFERROR($G1043/SUMIF($A:$A,$A1043,$G:$G)*(SUMIF(Summary!$A$247:$A$283,$A1043,Summary!$L$247:$L$283)+SUMIF(Summary!$A$297:$A$333,$A1043,Summary!$L$297:$L$333))-AI1043,0)</f>
        <v>0</v>
      </c>
      <c r="AK1043" s="196">
        <f>IFERROR($G1043/SUMIF($A:$A,$A1043,$G:$G)*SUMIF(Summary!$A$247:$A$283,$A1043,Summary!$Q$247:$Q$283),0)</f>
        <v>0</v>
      </c>
      <c r="AL1043" s="196">
        <f>IFERROR($G1043/SUMIF($A:$A,$A1043,$G:$G)*(SUMIF(Summary!$A$247:$A$283,$A1043,Summary!$L$247:$L$283)+SUMIF(Summary!$A$297:$A$333,$A1043,Summary!$L$297:$L$333))-AK1043,0)</f>
        <v>0</v>
      </c>
      <c r="AM1043" s="198"/>
      <c r="AN1043" s="196">
        <f t="shared" ca="1" si="236"/>
        <v>0</v>
      </c>
      <c r="AO1043" s="196">
        <f t="shared" ca="1" si="237"/>
        <v>0</v>
      </c>
    </row>
    <row r="1044" spans="1:41">
      <c r="A1044" s="189">
        <v>3624</v>
      </c>
      <c r="B1044" s="203">
        <v>5</v>
      </c>
      <c r="C1044" s="191" t="s">
        <v>230</v>
      </c>
      <c r="D1044" s="192">
        <f t="shared" si="224"/>
        <v>0</v>
      </c>
      <c r="E1044" s="192">
        <f t="shared" si="225"/>
        <v>0</v>
      </c>
      <c r="F1044" s="192">
        <f t="shared" si="226"/>
        <v>0</v>
      </c>
      <c r="G1044" s="193">
        <f t="shared" si="227"/>
        <v>0</v>
      </c>
      <c r="H1044" s="194">
        <v>0</v>
      </c>
      <c r="I1044" s="194">
        <v>0</v>
      </c>
      <c r="J1044" s="194">
        <v>0</v>
      </c>
      <c r="K1044" s="193">
        <f t="shared" si="228"/>
        <v>0</v>
      </c>
      <c r="L1044" s="194">
        <v>0</v>
      </c>
      <c r="M1044" s="194">
        <v>0</v>
      </c>
      <c r="N1044" s="194">
        <v>0</v>
      </c>
      <c r="O1044" s="193">
        <f t="shared" si="229"/>
        <v>0</v>
      </c>
      <c r="P1044" s="194">
        <v>0</v>
      </c>
      <c r="Q1044" s="194">
        <v>0</v>
      </c>
      <c r="R1044" s="194">
        <v>0</v>
      </c>
      <c r="S1044" s="193">
        <f t="shared" si="230"/>
        <v>0</v>
      </c>
      <c r="T1044" s="193">
        <f t="shared" si="231"/>
        <v>0</v>
      </c>
      <c r="U1044" s="193">
        <f ca="1">OFFSET('Expenditure Study'!$B$7,'Operations Support'!$C1044,'Operations Support'!$B1044)*$G1044</f>
        <v>0</v>
      </c>
      <c r="V1044" s="199">
        <f ca="1">U1044*'Expenditure Study'!$B$31</f>
        <v>0</v>
      </c>
      <c r="W1044" s="199">
        <f ca="1">IF(A1044=10298,1.51,1)*IF($B1044&lt;3,$D1044*'Expenditure Study'!$B$32*OFFSET('Expenditure Study'!$B$7,'Operations Support'!$C1044,'Operations Support'!$B1044),0)</f>
        <v>0</v>
      </c>
      <c r="X1044" s="200">
        <f ca="1">W1044*'Expenditure Study'!$B$31</f>
        <v>0</v>
      </c>
      <c r="Y1044" s="199">
        <f ca="1">U1044*'Expenditure Study'!$B$31</f>
        <v>0</v>
      </c>
      <c r="Z1044" s="200">
        <f ca="1">W1044*'Expenditure Study'!$B$31</f>
        <v>0</v>
      </c>
      <c r="AA1044" s="195">
        <f t="shared" ca="1" si="232"/>
        <v>0</v>
      </c>
      <c r="AB1044" s="195">
        <f t="shared" ca="1" si="233"/>
        <v>0</v>
      </c>
      <c r="AD1044" s="196">
        <f>IFERROR($G1044/SUMIF($A:$A,$A1044,$G:$G)*SUMIF(Summary!$A$166:$A$242,$A1044,Summary!$P$166:$P$242),0)</f>
        <v>0</v>
      </c>
      <c r="AE1044" s="197">
        <f t="shared" ca="1" si="234"/>
        <v>0</v>
      </c>
      <c r="AF1044" s="196">
        <f>IFERROR(G1044/SUMIF(A:A,A1044,G:G)*SUMIF(Summary!$A$166:$A$242,'Operations Support'!A1044,Summary!$Q$166:$Q$242),0)</f>
        <v>0</v>
      </c>
      <c r="AG1044" s="196">
        <f t="shared" ca="1" si="235"/>
        <v>0</v>
      </c>
      <c r="AI1044" s="196">
        <f>IFERROR($G1044/SUMIF($A:$A,$A1044,$G:$G)*SUMIF(Summary!$A$247:$A$283,$A1044,Summary!$P$247:$P$283),0)</f>
        <v>0</v>
      </c>
      <c r="AJ1044" s="196">
        <f>IFERROR($G1044/SUMIF($A:$A,$A1044,$G:$G)*(SUMIF(Summary!$A$247:$A$283,$A1044,Summary!$L$247:$L$283)+SUMIF(Summary!$A$297:$A$333,$A1044,Summary!$L$297:$L$333))-AI1044,0)</f>
        <v>0</v>
      </c>
      <c r="AK1044" s="196">
        <f>IFERROR($G1044/SUMIF($A:$A,$A1044,$G:$G)*SUMIF(Summary!$A$247:$A$283,$A1044,Summary!$Q$247:$Q$283),0)</f>
        <v>0</v>
      </c>
      <c r="AL1044" s="196">
        <f>IFERROR($G1044/SUMIF($A:$A,$A1044,$G:$G)*(SUMIF(Summary!$A$247:$A$283,$A1044,Summary!$L$247:$L$283)+SUMIF(Summary!$A$297:$A$333,$A1044,Summary!$L$297:$L$333))-AK1044,0)</f>
        <v>0</v>
      </c>
      <c r="AM1044" s="198"/>
      <c r="AN1044" s="196">
        <f t="shared" ca="1" si="236"/>
        <v>0</v>
      </c>
      <c r="AO1044" s="196">
        <f t="shared" ca="1" si="237"/>
        <v>0</v>
      </c>
    </row>
    <row r="1045" spans="1:41">
      <c r="A1045" s="189">
        <v>3624</v>
      </c>
      <c r="B1045" s="203">
        <v>5</v>
      </c>
      <c r="C1045" s="191" t="s">
        <v>231</v>
      </c>
      <c r="D1045" s="192">
        <f t="shared" si="224"/>
        <v>0</v>
      </c>
      <c r="E1045" s="192">
        <f t="shared" si="225"/>
        <v>0</v>
      </c>
      <c r="F1045" s="192">
        <f t="shared" si="226"/>
        <v>0</v>
      </c>
      <c r="G1045" s="193">
        <f t="shared" si="227"/>
        <v>0</v>
      </c>
      <c r="H1045" s="194">
        <v>0</v>
      </c>
      <c r="I1045" s="194">
        <v>0</v>
      </c>
      <c r="J1045" s="194">
        <v>0</v>
      </c>
      <c r="K1045" s="193">
        <f t="shared" si="228"/>
        <v>0</v>
      </c>
      <c r="L1045" s="194">
        <v>0</v>
      </c>
      <c r="M1045" s="194">
        <v>0</v>
      </c>
      <c r="N1045" s="194">
        <v>0</v>
      </c>
      <c r="O1045" s="193">
        <f t="shared" si="229"/>
        <v>0</v>
      </c>
      <c r="P1045" s="194">
        <v>0</v>
      </c>
      <c r="Q1045" s="194">
        <v>0</v>
      </c>
      <c r="R1045" s="194">
        <v>0</v>
      </c>
      <c r="S1045" s="193">
        <f t="shared" si="230"/>
        <v>0</v>
      </c>
      <c r="T1045" s="193">
        <f t="shared" si="231"/>
        <v>0</v>
      </c>
      <c r="U1045" s="193">
        <f ca="1">OFFSET('Expenditure Study'!$B$7,'Operations Support'!$C1045,'Operations Support'!$B1045)*$G1045</f>
        <v>0</v>
      </c>
      <c r="V1045" s="199">
        <f ca="1">U1045*'Expenditure Study'!$B$31</f>
        <v>0</v>
      </c>
      <c r="W1045" s="199">
        <f ca="1">IF(A1045=10298,1.51,1)*IF($B1045&lt;3,$D1045*'Expenditure Study'!$B$32*OFFSET('Expenditure Study'!$B$7,'Operations Support'!$C1045,'Operations Support'!$B1045),0)</f>
        <v>0</v>
      </c>
      <c r="X1045" s="200">
        <f ca="1">W1045*'Expenditure Study'!$B$31</f>
        <v>0</v>
      </c>
      <c r="Y1045" s="199">
        <f ca="1">U1045*'Expenditure Study'!$B$31</f>
        <v>0</v>
      </c>
      <c r="Z1045" s="200">
        <f ca="1">W1045*'Expenditure Study'!$B$31</f>
        <v>0</v>
      </c>
      <c r="AA1045" s="195">
        <f t="shared" ca="1" si="232"/>
        <v>0</v>
      </c>
      <c r="AB1045" s="195">
        <f t="shared" ca="1" si="233"/>
        <v>0</v>
      </c>
      <c r="AD1045" s="196">
        <f>IFERROR($G1045/SUMIF($A:$A,$A1045,$G:$G)*SUMIF(Summary!$A$166:$A$242,$A1045,Summary!$P$166:$P$242),0)</f>
        <v>0</v>
      </c>
      <c r="AE1045" s="197">
        <f t="shared" ca="1" si="234"/>
        <v>0</v>
      </c>
      <c r="AF1045" s="196">
        <f>IFERROR(G1045/SUMIF(A:A,A1045,G:G)*SUMIF(Summary!$A$166:$A$242,'Operations Support'!A1045,Summary!$Q$166:$Q$242),0)</f>
        <v>0</v>
      </c>
      <c r="AG1045" s="196">
        <f t="shared" ca="1" si="235"/>
        <v>0</v>
      </c>
      <c r="AI1045" s="196">
        <f>IFERROR($G1045/SUMIF($A:$A,$A1045,$G:$G)*SUMIF(Summary!$A$247:$A$283,$A1045,Summary!$P$247:$P$283),0)</f>
        <v>0</v>
      </c>
      <c r="AJ1045" s="196">
        <f>IFERROR($G1045/SUMIF($A:$A,$A1045,$G:$G)*(SUMIF(Summary!$A$247:$A$283,$A1045,Summary!$L$247:$L$283)+SUMIF(Summary!$A$297:$A$333,$A1045,Summary!$L$297:$L$333))-AI1045,0)</f>
        <v>0</v>
      </c>
      <c r="AK1045" s="196">
        <f>IFERROR($G1045/SUMIF($A:$A,$A1045,$G:$G)*SUMIF(Summary!$A$247:$A$283,$A1045,Summary!$Q$247:$Q$283),0)</f>
        <v>0</v>
      </c>
      <c r="AL1045" s="196">
        <f>IFERROR($G1045/SUMIF($A:$A,$A1045,$G:$G)*(SUMIF(Summary!$A$247:$A$283,$A1045,Summary!$L$247:$L$283)+SUMIF(Summary!$A$297:$A$333,$A1045,Summary!$L$297:$L$333))-AK1045,0)</f>
        <v>0</v>
      </c>
      <c r="AM1045" s="198"/>
      <c r="AN1045" s="196">
        <f t="shared" ca="1" si="236"/>
        <v>0</v>
      </c>
      <c r="AO1045" s="196">
        <f t="shared" ca="1" si="237"/>
        <v>0</v>
      </c>
    </row>
    <row r="1046" spans="1:41">
      <c r="A1046" s="189">
        <v>3624</v>
      </c>
      <c r="B1046" s="203">
        <v>5</v>
      </c>
      <c r="C1046" s="191" t="s">
        <v>232</v>
      </c>
      <c r="D1046" s="192">
        <f t="shared" si="224"/>
        <v>0</v>
      </c>
      <c r="E1046" s="192">
        <f t="shared" si="225"/>
        <v>0</v>
      </c>
      <c r="F1046" s="192">
        <f t="shared" si="226"/>
        <v>0</v>
      </c>
      <c r="G1046" s="193">
        <f t="shared" si="227"/>
        <v>0</v>
      </c>
      <c r="H1046" s="194">
        <v>0</v>
      </c>
      <c r="I1046" s="194">
        <v>0</v>
      </c>
      <c r="J1046" s="194">
        <v>0</v>
      </c>
      <c r="K1046" s="193">
        <f t="shared" si="228"/>
        <v>0</v>
      </c>
      <c r="L1046" s="194">
        <v>0</v>
      </c>
      <c r="M1046" s="194">
        <v>0</v>
      </c>
      <c r="N1046" s="194">
        <v>0</v>
      </c>
      <c r="O1046" s="193">
        <f t="shared" si="229"/>
        <v>0</v>
      </c>
      <c r="P1046" s="194">
        <v>0</v>
      </c>
      <c r="Q1046" s="194">
        <v>0</v>
      </c>
      <c r="R1046" s="194">
        <v>0</v>
      </c>
      <c r="S1046" s="193">
        <f t="shared" si="230"/>
        <v>0</v>
      </c>
      <c r="T1046" s="193">
        <f t="shared" si="231"/>
        <v>0</v>
      </c>
      <c r="U1046" s="193">
        <f ca="1">OFFSET('Expenditure Study'!$B$7,'Operations Support'!$C1046,'Operations Support'!$B1046)*$G1046</f>
        <v>0</v>
      </c>
      <c r="V1046" s="199">
        <f ca="1">U1046*'Expenditure Study'!$B$31</f>
        <v>0</v>
      </c>
      <c r="W1046" s="199">
        <f ca="1">IF(A1046=10298,1.51,1)*IF($B1046&lt;3,$D1046*'Expenditure Study'!$B$32*OFFSET('Expenditure Study'!$B$7,'Operations Support'!$C1046,'Operations Support'!$B1046),0)</f>
        <v>0</v>
      </c>
      <c r="X1046" s="200">
        <f ca="1">W1046*'Expenditure Study'!$B$31</f>
        <v>0</v>
      </c>
      <c r="Y1046" s="199">
        <f ca="1">U1046*'Expenditure Study'!$B$31</f>
        <v>0</v>
      </c>
      <c r="Z1046" s="200">
        <f ca="1">W1046*'Expenditure Study'!$B$31</f>
        <v>0</v>
      </c>
      <c r="AA1046" s="195">
        <f t="shared" ca="1" si="232"/>
        <v>0</v>
      </c>
      <c r="AB1046" s="195">
        <f t="shared" ca="1" si="233"/>
        <v>0</v>
      </c>
      <c r="AD1046" s="196">
        <f>IFERROR($G1046/SUMIF($A:$A,$A1046,$G:$G)*SUMIF(Summary!$A$166:$A$242,$A1046,Summary!$P$166:$P$242),0)</f>
        <v>0</v>
      </c>
      <c r="AE1046" s="197">
        <f t="shared" ca="1" si="234"/>
        <v>0</v>
      </c>
      <c r="AF1046" s="196">
        <f>IFERROR(G1046/SUMIF(A:A,A1046,G:G)*SUMIF(Summary!$A$166:$A$242,'Operations Support'!A1046,Summary!$Q$166:$Q$242),0)</f>
        <v>0</v>
      </c>
      <c r="AG1046" s="196">
        <f t="shared" ca="1" si="235"/>
        <v>0</v>
      </c>
      <c r="AI1046" s="196">
        <f>IFERROR($G1046/SUMIF($A:$A,$A1046,$G:$G)*SUMIF(Summary!$A$247:$A$283,$A1046,Summary!$P$247:$P$283),0)</f>
        <v>0</v>
      </c>
      <c r="AJ1046" s="196">
        <f>IFERROR($G1046/SUMIF($A:$A,$A1046,$G:$G)*(SUMIF(Summary!$A$247:$A$283,$A1046,Summary!$L$247:$L$283)+SUMIF(Summary!$A$297:$A$333,$A1046,Summary!$L$297:$L$333))-AI1046,0)</f>
        <v>0</v>
      </c>
      <c r="AK1046" s="196">
        <f>IFERROR($G1046/SUMIF($A:$A,$A1046,$G:$G)*SUMIF(Summary!$A$247:$A$283,$A1046,Summary!$Q$247:$Q$283),0)</f>
        <v>0</v>
      </c>
      <c r="AL1046" s="196">
        <f>IFERROR($G1046/SUMIF($A:$A,$A1046,$G:$G)*(SUMIF(Summary!$A$247:$A$283,$A1046,Summary!$L$247:$L$283)+SUMIF(Summary!$A$297:$A$333,$A1046,Summary!$L$297:$L$333))-AK1046,0)</f>
        <v>0</v>
      </c>
      <c r="AM1046" s="198"/>
      <c r="AN1046" s="196">
        <f t="shared" ca="1" si="236"/>
        <v>0</v>
      </c>
      <c r="AO1046" s="196">
        <f t="shared" ca="1" si="237"/>
        <v>0</v>
      </c>
    </row>
    <row r="1047" spans="1:41" s="201" customFormat="1">
      <c r="A1047" s="189">
        <v>3624</v>
      </c>
      <c r="B1047" s="203">
        <v>5</v>
      </c>
      <c r="C1047" s="191" t="s">
        <v>233</v>
      </c>
      <c r="D1047" s="192">
        <f t="shared" si="224"/>
        <v>0</v>
      </c>
      <c r="E1047" s="192">
        <f t="shared" si="225"/>
        <v>0</v>
      </c>
      <c r="F1047" s="192">
        <f t="shared" si="226"/>
        <v>0</v>
      </c>
      <c r="G1047" s="193">
        <f t="shared" si="227"/>
        <v>0</v>
      </c>
      <c r="H1047" s="194">
        <v>0</v>
      </c>
      <c r="I1047" s="194">
        <v>0</v>
      </c>
      <c r="J1047" s="194">
        <v>0</v>
      </c>
      <c r="K1047" s="193">
        <f t="shared" si="228"/>
        <v>0</v>
      </c>
      <c r="L1047" s="194">
        <v>0</v>
      </c>
      <c r="M1047" s="194">
        <v>0</v>
      </c>
      <c r="N1047" s="194">
        <v>0</v>
      </c>
      <c r="O1047" s="193">
        <f t="shared" si="229"/>
        <v>0</v>
      </c>
      <c r="P1047" s="194">
        <v>0</v>
      </c>
      <c r="Q1047" s="194">
        <v>0</v>
      </c>
      <c r="R1047" s="194">
        <v>0</v>
      </c>
      <c r="S1047" s="193">
        <f t="shared" si="230"/>
        <v>0</v>
      </c>
      <c r="T1047" s="193">
        <f t="shared" si="231"/>
        <v>0</v>
      </c>
      <c r="U1047" s="193">
        <f ca="1">OFFSET('Expenditure Study'!$B$7,'Operations Support'!$C1047,'Operations Support'!$B1047)*$G1047</f>
        <v>0</v>
      </c>
      <c r="V1047" s="199">
        <f ca="1">U1047*'Expenditure Study'!$B$31</f>
        <v>0</v>
      </c>
      <c r="W1047" s="199">
        <f ca="1">IF(A1047=10298,1.51,1)*IF($B1047&lt;3,$D1047*'Expenditure Study'!$B$32*OFFSET('Expenditure Study'!$B$7,'Operations Support'!$C1047,'Operations Support'!$B1047),0)</f>
        <v>0</v>
      </c>
      <c r="X1047" s="200">
        <f ca="1">W1047*'Expenditure Study'!$B$31</f>
        <v>0</v>
      </c>
      <c r="Y1047" s="199">
        <f ca="1">U1047*'Expenditure Study'!$B$31</f>
        <v>0</v>
      </c>
      <c r="Z1047" s="200">
        <f ca="1">W1047*'Expenditure Study'!$B$31</f>
        <v>0</v>
      </c>
      <c r="AA1047" s="195">
        <f t="shared" ca="1" si="232"/>
        <v>0</v>
      </c>
      <c r="AB1047" s="195">
        <f t="shared" ca="1" si="233"/>
        <v>0</v>
      </c>
      <c r="AD1047" s="196">
        <f>IFERROR($G1047/SUMIF($A:$A,$A1047,$G:$G)*SUMIF(Summary!$A$166:$A$242,$A1047,Summary!$P$166:$P$242),0)</f>
        <v>0</v>
      </c>
      <c r="AE1047" s="197">
        <f t="shared" ca="1" si="234"/>
        <v>0</v>
      </c>
      <c r="AF1047" s="196">
        <f>IFERROR(G1047/SUMIF(A:A,A1047,G:G)*SUMIF(Summary!$A$166:$A$242,'Operations Support'!A1047,Summary!$Q$166:$Q$242),0)</f>
        <v>0</v>
      </c>
      <c r="AG1047" s="196">
        <f t="shared" ca="1" si="235"/>
        <v>0</v>
      </c>
      <c r="AH1047" s="180"/>
      <c r="AI1047" s="196">
        <f>IFERROR($G1047/SUMIF($A:$A,$A1047,$G:$G)*SUMIF(Summary!$A$247:$A$283,$A1047,Summary!$P$247:$P$283),0)</f>
        <v>0</v>
      </c>
      <c r="AJ1047" s="196">
        <f>IFERROR($G1047/SUMIF($A:$A,$A1047,$G:$G)*(SUMIF(Summary!$A$247:$A$283,$A1047,Summary!$L$247:$L$283)+SUMIF(Summary!$A$297:$A$333,$A1047,Summary!$L$297:$L$333))-AI1047,0)</f>
        <v>0</v>
      </c>
      <c r="AK1047" s="196">
        <f>IFERROR($G1047/SUMIF($A:$A,$A1047,$G:$G)*SUMIF(Summary!$A$247:$A$283,$A1047,Summary!$Q$247:$Q$283),0)</f>
        <v>0</v>
      </c>
      <c r="AL1047" s="196">
        <f>IFERROR($G1047/SUMIF($A:$A,$A1047,$G:$G)*(SUMIF(Summary!$A$247:$A$283,$A1047,Summary!$L$247:$L$283)+SUMIF(Summary!$A$297:$A$333,$A1047,Summary!$L$297:$L$333))-AK1047,0)</f>
        <v>0</v>
      </c>
      <c r="AM1047" s="198"/>
      <c r="AN1047" s="196">
        <f t="shared" ca="1" si="236"/>
        <v>0</v>
      </c>
      <c r="AO1047" s="196">
        <f t="shared" ca="1" si="237"/>
        <v>0</v>
      </c>
    </row>
    <row r="1048" spans="1:41">
      <c r="A1048" s="189">
        <v>3624</v>
      </c>
      <c r="B1048" s="203">
        <v>5</v>
      </c>
      <c r="C1048" s="191" t="s">
        <v>234</v>
      </c>
      <c r="D1048" s="192">
        <f t="shared" si="224"/>
        <v>0</v>
      </c>
      <c r="E1048" s="192">
        <f t="shared" si="225"/>
        <v>0</v>
      </c>
      <c r="F1048" s="192">
        <f t="shared" si="226"/>
        <v>0</v>
      </c>
      <c r="G1048" s="193">
        <f t="shared" si="227"/>
        <v>0</v>
      </c>
      <c r="H1048" s="194">
        <v>0</v>
      </c>
      <c r="I1048" s="194">
        <v>0</v>
      </c>
      <c r="J1048" s="194">
        <v>0</v>
      </c>
      <c r="K1048" s="193">
        <f t="shared" si="228"/>
        <v>0</v>
      </c>
      <c r="L1048" s="194">
        <v>0</v>
      </c>
      <c r="M1048" s="194">
        <v>0</v>
      </c>
      <c r="N1048" s="194">
        <v>0</v>
      </c>
      <c r="O1048" s="193">
        <f t="shared" si="229"/>
        <v>0</v>
      </c>
      <c r="P1048" s="194">
        <v>0</v>
      </c>
      <c r="Q1048" s="194">
        <v>0</v>
      </c>
      <c r="R1048" s="194">
        <v>0</v>
      </c>
      <c r="S1048" s="193">
        <f t="shared" si="230"/>
        <v>0</v>
      </c>
      <c r="T1048" s="193">
        <f t="shared" si="231"/>
        <v>0</v>
      </c>
      <c r="U1048" s="193">
        <f ca="1">OFFSET('Expenditure Study'!$B$7,'Operations Support'!$C1048,'Operations Support'!$B1048)*$G1048</f>
        <v>0</v>
      </c>
      <c r="V1048" s="199">
        <f ca="1">U1048*'Expenditure Study'!$B$31</f>
        <v>0</v>
      </c>
      <c r="W1048" s="199">
        <f ca="1">IF(A1048=10298,1.51,1)*IF($B1048&lt;3,$D1048*'Expenditure Study'!$B$32*OFFSET('Expenditure Study'!$B$7,'Operations Support'!$C1048,'Operations Support'!$B1048),0)</f>
        <v>0</v>
      </c>
      <c r="X1048" s="200">
        <f ca="1">W1048*'Expenditure Study'!$B$31</f>
        <v>0</v>
      </c>
      <c r="Y1048" s="199">
        <f ca="1">U1048*'Expenditure Study'!$B$31</f>
        <v>0</v>
      </c>
      <c r="Z1048" s="200">
        <f ca="1">W1048*'Expenditure Study'!$B$31</f>
        <v>0</v>
      </c>
      <c r="AA1048" s="195">
        <f t="shared" ca="1" si="232"/>
        <v>0</v>
      </c>
      <c r="AB1048" s="195">
        <f t="shared" ca="1" si="233"/>
        <v>0</v>
      </c>
      <c r="AD1048" s="196">
        <f>IFERROR($G1048/SUMIF($A:$A,$A1048,$G:$G)*SUMIF(Summary!$A$166:$A$242,$A1048,Summary!$P$166:$P$242),0)</f>
        <v>0</v>
      </c>
      <c r="AE1048" s="197">
        <f t="shared" ca="1" si="234"/>
        <v>0</v>
      </c>
      <c r="AF1048" s="196">
        <f>IFERROR(G1048/SUMIF(A:A,A1048,G:G)*SUMIF(Summary!$A$166:$A$242,'Operations Support'!A1048,Summary!$Q$166:$Q$242),0)</f>
        <v>0</v>
      </c>
      <c r="AG1048" s="196">
        <f t="shared" ca="1" si="235"/>
        <v>0</v>
      </c>
      <c r="AI1048" s="196">
        <f>IFERROR($G1048/SUMIF($A:$A,$A1048,$G:$G)*SUMIF(Summary!$A$247:$A$283,$A1048,Summary!$P$247:$P$283),0)</f>
        <v>0</v>
      </c>
      <c r="AJ1048" s="196">
        <f>IFERROR($G1048/SUMIF($A:$A,$A1048,$G:$G)*(SUMIF(Summary!$A$247:$A$283,$A1048,Summary!$L$247:$L$283)+SUMIF(Summary!$A$297:$A$333,$A1048,Summary!$L$297:$L$333))-AI1048,0)</f>
        <v>0</v>
      </c>
      <c r="AK1048" s="196">
        <f>IFERROR($G1048/SUMIF($A:$A,$A1048,$G:$G)*SUMIF(Summary!$A$247:$A$283,$A1048,Summary!$Q$247:$Q$283),0)</f>
        <v>0</v>
      </c>
      <c r="AL1048" s="196">
        <f>IFERROR($G1048/SUMIF($A:$A,$A1048,$G:$G)*(SUMIF(Summary!$A$247:$A$283,$A1048,Summary!$L$247:$L$283)+SUMIF(Summary!$A$297:$A$333,$A1048,Summary!$L$297:$L$333))-AK1048,0)</f>
        <v>0</v>
      </c>
      <c r="AM1048" s="198"/>
      <c r="AN1048" s="196">
        <f t="shared" ca="1" si="236"/>
        <v>0</v>
      </c>
      <c r="AO1048" s="196">
        <f t="shared" ca="1" si="237"/>
        <v>0</v>
      </c>
    </row>
    <row r="1049" spans="1:41">
      <c r="A1049" s="189">
        <v>3624</v>
      </c>
      <c r="B1049" s="203">
        <v>5</v>
      </c>
      <c r="C1049" s="191" t="s">
        <v>235</v>
      </c>
      <c r="D1049" s="192">
        <f t="shared" si="224"/>
        <v>0</v>
      </c>
      <c r="E1049" s="192">
        <f t="shared" si="225"/>
        <v>0</v>
      </c>
      <c r="F1049" s="192">
        <f t="shared" si="226"/>
        <v>0</v>
      </c>
      <c r="G1049" s="193">
        <f t="shared" si="227"/>
        <v>0</v>
      </c>
      <c r="H1049" s="194">
        <v>0</v>
      </c>
      <c r="I1049" s="194">
        <v>0</v>
      </c>
      <c r="J1049" s="194">
        <v>0</v>
      </c>
      <c r="K1049" s="193">
        <f t="shared" si="228"/>
        <v>0</v>
      </c>
      <c r="L1049" s="194">
        <v>0</v>
      </c>
      <c r="M1049" s="194">
        <v>0</v>
      </c>
      <c r="N1049" s="194">
        <v>0</v>
      </c>
      <c r="O1049" s="193">
        <f t="shared" si="229"/>
        <v>0</v>
      </c>
      <c r="P1049" s="194">
        <v>0</v>
      </c>
      <c r="Q1049" s="194">
        <v>0</v>
      </c>
      <c r="R1049" s="194">
        <v>0</v>
      </c>
      <c r="S1049" s="193">
        <f t="shared" si="230"/>
        <v>0</v>
      </c>
      <c r="T1049" s="193">
        <f t="shared" si="231"/>
        <v>0</v>
      </c>
      <c r="U1049" s="193">
        <f ca="1">OFFSET('Expenditure Study'!$B$7,'Operations Support'!$C1049,'Operations Support'!$B1049)*$G1049</f>
        <v>0</v>
      </c>
      <c r="V1049" s="199">
        <f ca="1">U1049*'Expenditure Study'!$B$31</f>
        <v>0</v>
      </c>
      <c r="W1049" s="199">
        <f ca="1">IF(A1049=10298,1.51,1)*IF($B1049&lt;3,$D1049*'Expenditure Study'!$B$32*OFFSET('Expenditure Study'!$B$7,'Operations Support'!$C1049,'Operations Support'!$B1049),0)</f>
        <v>0</v>
      </c>
      <c r="X1049" s="200">
        <f ca="1">W1049*'Expenditure Study'!$B$31</f>
        <v>0</v>
      </c>
      <c r="Y1049" s="199">
        <f ca="1">U1049*'Expenditure Study'!$B$31</f>
        <v>0</v>
      </c>
      <c r="Z1049" s="200">
        <f ca="1">W1049*'Expenditure Study'!$B$31</f>
        <v>0</v>
      </c>
      <c r="AA1049" s="195">
        <f t="shared" ca="1" si="232"/>
        <v>0</v>
      </c>
      <c r="AB1049" s="195">
        <f t="shared" ca="1" si="233"/>
        <v>0</v>
      </c>
      <c r="AD1049" s="196">
        <f>IFERROR($G1049/SUMIF($A:$A,$A1049,$G:$G)*SUMIF(Summary!$A$166:$A$242,$A1049,Summary!$P$166:$P$242),0)</f>
        <v>0</v>
      </c>
      <c r="AE1049" s="197">
        <f t="shared" ca="1" si="234"/>
        <v>0</v>
      </c>
      <c r="AF1049" s="196">
        <f>IFERROR(G1049/SUMIF(A:A,A1049,G:G)*SUMIF(Summary!$A$166:$A$242,'Operations Support'!A1049,Summary!$Q$166:$Q$242),0)</f>
        <v>0</v>
      </c>
      <c r="AG1049" s="196">
        <f t="shared" ca="1" si="235"/>
        <v>0</v>
      </c>
      <c r="AI1049" s="196">
        <f>IFERROR($G1049/SUMIF($A:$A,$A1049,$G:$G)*SUMIF(Summary!$A$247:$A$283,$A1049,Summary!$P$247:$P$283),0)</f>
        <v>0</v>
      </c>
      <c r="AJ1049" s="196">
        <f>IFERROR($G1049/SUMIF($A:$A,$A1049,$G:$G)*(SUMIF(Summary!$A$247:$A$283,$A1049,Summary!$L$247:$L$283)+SUMIF(Summary!$A$297:$A$333,$A1049,Summary!$L$297:$L$333))-AI1049,0)</f>
        <v>0</v>
      </c>
      <c r="AK1049" s="196">
        <f>IFERROR($G1049/SUMIF($A:$A,$A1049,$G:$G)*SUMIF(Summary!$A$247:$A$283,$A1049,Summary!$Q$247:$Q$283),0)</f>
        <v>0</v>
      </c>
      <c r="AL1049" s="196">
        <f>IFERROR($G1049/SUMIF($A:$A,$A1049,$G:$G)*(SUMIF(Summary!$A$247:$A$283,$A1049,Summary!$L$247:$L$283)+SUMIF(Summary!$A$297:$A$333,$A1049,Summary!$L$297:$L$333))-AK1049,0)</f>
        <v>0</v>
      </c>
      <c r="AM1049" s="198"/>
      <c r="AN1049" s="196">
        <f t="shared" ca="1" si="236"/>
        <v>0</v>
      </c>
      <c r="AO1049" s="196">
        <f t="shared" ca="1" si="237"/>
        <v>0</v>
      </c>
    </row>
    <row r="1050" spans="1:41">
      <c r="A1050" s="189">
        <v>3624</v>
      </c>
      <c r="B1050" s="203">
        <v>5</v>
      </c>
      <c r="C1050" s="191" t="s">
        <v>236</v>
      </c>
      <c r="D1050" s="192">
        <f t="shared" si="224"/>
        <v>0</v>
      </c>
      <c r="E1050" s="192">
        <f t="shared" si="225"/>
        <v>0</v>
      </c>
      <c r="F1050" s="192">
        <f t="shared" si="226"/>
        <v>0</v>
      </c>
      <c r="G1050" s="193">
        <f t="shared" si="227"/>
        <v>0</v>
      </c>
      <c r="H1050" s="194">
        <v>0</v>
      </c>
      <c r="I1050" s="194">
        <v>0</v>
      </c>
      <c r="J1050" s="194">
        <v>0</v>
      </c>
      <c r="K1050" s="193">
        <f t="shared" si="228"/>
        <v>0</v>
      </c>
      <c r="L1050" s="194">
        <v>0</v>
      </c>
      <c r="M1050" s="194">
        <v>0</v>
      </c>
      <c r="N1050" s="194">
        <v>0</v>
      </c>
      <c r="O1050" s="193">
        <f t="shared" si="229"/>
        <v>0</v>
      </c>
      <c r="P1050" s="194">
        <v>0</v>
      </c>
      <c r="Q1050" s="194">
        <v>0</v>
      </c>
      <c r="R1050" s="194">
        <v>0</v>
      </c>
      <c r="S1050" s="193">
        <f t="shared" si="230"/>
        <v>0</v>
      </c>
      <c r="T1050" s="193">
        <f t="shared" si="231"/>
        <v>0</v>
      </c>
      <c r="U1050" s="193">
        <f ca="1">OFFSET('Expenditure Study'!$B$7,'Operations Support'!$C1050,'Operations Support'!$B1050)*$G1050</f>
        <v>0</v>
      </c>
      <c r="V1050" s="199">
        <f ca="1">U1050*'Expenditure Study'!$B$31</f>
        <v>0</v>
      </c>
      <c r="W1050" s="199">
        <f ca="1">IF(A1050=10298,1.51,1)*IF($B1050&lt;3,$D1050*'Expenditure Study'!$B$32*OFFSET('Expenditure Study'!$B$7,'Operations Support'!$C1050,'Operations Support'!$B1050),0)</f>
        <v>0</v>
      </c>
      <c r="X1050" s="200">
        <f ca="1">W1050*'Expenditure Study'!$B$31</f>
        <v>0</v>
      </c>
      <c r="Y1050" s="199">
        <f ca="1">U1050*'Expenditure Study'!$B$31</f>
        <v>0</v>
      </c>
      <c r="Z1050" s="200">
        <f ca="1">W1050*'Expenditure Study'!$B$31</f>
        <v>0</v>
      </c>
      <c r="AA1050" s="195">
        <f t="shared" ca="1" si="232"/>
        <v>0</v>
      </c>
      <c r="AB1050" s="195">
        <f t="shared" ca="1" si="233"/>
        <v>0</v>
      </c>
      <c r="AD1050" s="196">
        <f>IFERROR($G1050/SUMIF($A:$A,$A1050,$G:$G)*SUMIF(Summary!$A$166:$A$242,$A1050,Summary!$P$166:$P$242),0)</f>
        <v>0</v>
      </c>
      <c r="AE1050" s="197">
        <f t="shared" ca="1" si="234"/>
        <v>0</v>
      </c>
      <c r="AF1050" s="196">
        <f>IFERROR(G1050/SUMIF(A:A,A1050,G:G)*SUMIF(Summary!$A$166:$A$242,'Operations Support'!A1050,Summary!$Q$166:$Q$242),0)</f>
        <v>0</v>
      </c>
      <c r="AG1050" s="196">
        <f t="shared" ca="1" si="235"/>
        <v>0</v>
      </c>
      <c r="AI1050" s="196">
        <f>IFERROR($G1050/SUMIF($A:$A,$A1050,$G:$G)*SUMIF(Summary!$A$247:$A$283,$A1050,Summary!$P$247:$P$283),0)</f>
        <v>0</v>
      </c>
      <c r="AJ1050" s="196">
        <f>IFERROR($G1050/SUMIF($A:$A,$A1050,$G:$G)*(SUMIF(Summary!$A$247:$A$283,$A1050,Summary!$L$247:$L$283)+SUMIF(Summary!$A$297:$A$333,$A1050,Summary!$L$297:$L$333))-AI1050,0)</f>
        <v>0</v>
      </c>
      <c r="AK1050" s="196">
        <f>IFERROR($G1050/SUMIF($A:$A,$A1050,$G:$G)*SUMIF(Summary!$A$247:$A$283,$A1050,Summary!$Q$247:$Q$283),0)</f>
        <v>0</v>
      </c>
      <c r="AL1050" s="196">
        <f>IFERROR($G1050/SUMIF($A:$A,$A1050,$G:$G)*(SUMIF(Summary!$A$247:$A$283,$A1050,Summary!$L$247:$L$283)+SUMIF(Summary!$A$297:$A$333,$A1050,Summary!$L$297:$L$333))-AK1050,0)</f>
        <v>0</v>
      </c>
      <c r="AM1050" s="198"/>
      <c r="AN1050" s="196">
        <f t="shared" ca="1" si="236"/>
        <v>0</v>
      </c>
      <c r="AO1050" s="196">
        <f t="shared" ca="1" si="237"/>
        <v>0</v>
      </c>
    </row>
    <row r="1051" spans="1:41">
      <c r="A1051" s="189">
        <v>3624</v>
      </c>
      <c r="B1051" s="203">
        <v>5</v>
      </c>
      <c r="C1051" s="191" t="s">
        <v>237</v>
      </c>
      <c r="D1051" s="192">
        <f t="shared" si="224"/>
        <v>0</v>
      </c>
      <c r="E1051" s="192">
        <f t="shared" si="225"/>
        <v>0</v>
      </c>
      <c r="F1051" s="192">
        <f t="shared" si="226"/>
        <v>0</v>
      </c>
      <c r="G1051" s="193">
        <f t="shared" si="227"/>
        <v>0</v>
      </c>
      <c r="H1051" s="194">
        <v>0</v>
      </c>
      <c r="I1051" s="194">
        <v>0</v>
      </c>
      <c r="J1051" s="194">
        <v>0</v>
      </c>
      <c r="K1051" s="193">
        <f t="shared" si="228"/>
        <v>0</v>
      </c>
      <c r="L1051" s="194">
        <v>0</v>
      </c>
      <c r="M1051" s="194">
        <v>0</v>
      </c>
      <c r="N1051" s="194">
        <v>0</v>
      </c>
      <c r="O1051" s="193">
        <f t="shared" si="229"/>
        <v>0</v>
      </c>
      <c r="P1051" s="194">
        <v>0</v>
      </c>
      <c r="Q1051" s="194">
        <v>0</v>
      </c>
      <c r="R1051" s="194">
        <v>0</v>
      </c>
      <c r="S1051" s="193">
        <f t="shared" si="230"/>
        <v>0</v>
      </c>
      <c r="T1051" s="193">
        <f t="shared" si="231"/>
        <v>0</v>
      </c>
      <c r="U1051" s="193">
        <f ca="1">OFFSET('Expenditure Study'!$B$7,'Operations Support'!$C1051,'Operations Support'!$B1051)*$G1051</f>
        <v>0</v>
      </c>
      <c r="V1051" s="199">
        <f ca="1">U1051*'Expenditure Study'!$B$31</f>
        <v>0</v>
      </c>
      <c r="W1051" s="199">
        <f ca="1">IF(A1051=10298,1.51,1)*IF($B1051&lt;3,$D1051*'Expenditure Study'!$B$32*OFFSET('Expenditure Study'!$B$7,'Operations Support'!$C1051,'Operations Support'!$B1051),0)</f>
        <v>0</v>
      </c>
      <c r="X1051" s="200">
        <f ca="1">W1051*'Expenditure Study'!$B$31</f>
        <v>0</v>
      </c>
      <c r="Y1051" s="199">
        <f ca="1">U1051*'Expenditure Study'!$B$31</f>
        <v>0</v>
      </c>
      <c r="Z1051" s="200">
        <f ca="1">W1051*'Expenditure Study'!$B$31</f>
        <v>0</v>
      </c>
      <c r="AA1051" s="195">
        <f t="shared" ca="1" si="232"/>
        <v>0</v>
      </c>
      <c r="AB1051" s="195">
        <f t="shared" ca="1" si="233"/>
        <v>0</v>
      </c>
      <c r="AD1051" s="196">
        <f>IFERROR($G1051/SUMIF($A:$A,$A1051,$G:$G)*SUMIF(Summary!$A$166:$A$242,$A1051,Summary!$P$166:$P$242),0)</f>
        <v>0</v>
      </c>
      <c r="AE1051" s="197">
        <f t="shared" ca="1" si="234"/>
        <v>0</v>
      </c>
      <c r="AF1051" s="196">
        <f>IFERROR(G1051/SUMIF(A:A,A1051,G:G)*SUMIF(Summary!$A$166:$A$242,'Operations Support'!A1051,Summary!$Q$166:$Q$242),0)</f>
        <v>0</v>
      </c>
      <c r="AG1051" s="196">
        <f t="shared" ca="1" si="235"/>
        <v>0</v>
      </c>
      <c r="AI1051" s="196">
        <f>IFERROR($G1051/SUMIF($A:$A,$A1051,$G:$G)*SUMIF(Summary!$A$247:$A$283,$A1051,Summary!$P$247:$P$283),0)</f>
        <v>0</v>
      </c>
      <c r="AJ1051" s="196">
        <f>IFERROR($G1051/SUMIF($A:$A,$A1051,$G:$G)*(SUMIF(Summary!$A$247:$A$283,$A1051,Summary!$L$247:$L$283)+SUMIF(Summary!$A$297:$A$333,$A1051,Summary!$L$297:$L$333))-AI1051,0)</f>
        <v>0</v>
      </c>
      <c r="AK1051" s="196">
        <f>IFERROR($G1051/SUMIF($A:$A,$A1051,$G:$G)*SUMIF(Summary!$A$247:$A$283,$A1051,Summary!$Q$247:$Q$283),0)</f>
        <v>0</v>
      </c>
      <c r="AL1051" s="196">
        <f>IFERROR($G1051/SUMIF($A:$A,$A1051,$G:$G)*(SUMIF(Summary!$A$247:$A$283,$A1051,Summary!$L$247:$L$283)+SUMIF(Summary!$A$297:$A$333,$A1051,Summary!$L$297:$L$333))-AK1051,0)</f>
        <v>0</v>
      </c>
      <c r="AM1051" s="198"/>
      <c r="AN1051" s="196">
        <f t="shared" ca="1" si="236"/>
        <v>0</v>
      </c>
      <c r="AO1051" s="196">
        <f t="shared" ca="1" si="237"/>
        <v>0</v>
      </c>
    </row>
    <row r="1052" spans="1:41">
      <c r="A1052" s="189">
        <v>3624</v>
      </c>
      <c r="B1052" s="203">
        <v>5</v>
      </c>
      <c r="C1052" s="191" t="s">
        <v>238</v>
      </c>
      <c r="D1052" s="192">
        <f t="shared" si="224"/>
        <v>0</v>
      </c>
      <c r="E1052" s="192">
        <f t="shared" si="225"/>
        <v>0</v>
      </c>
      <c r="F1052" s="192">
        <f t="shared" si="226"/>
        <v>0</v>
      </c>
      <c r="G1052" s="193">
        <f t="shared" si="227"/>
        <v>0</v>
      </c>
      <c r="H1052" s="194">
        <v>0</v>
      </c>
      <c r="I1052" s="194">
        <v>0</v>
      </c>
      <c r="J1052" s="194">
        <v>0</v>
      </c>
      <c r="K1052" s="193">
        <f t="shared" si="228"/>
        <v>0</v>
      </c>
      <c r="L1052" s="194">
        <v>0</v>
      </c>
      <c r="M1052" s="194">
        <v>0</v>
      </c>
      <c r="N1052" s="194">
        <v>0</v>
      </c>
      <c r="O1052" s="193">
        <f t="shared" si="229"/>
        <v>0</v>
      </c>
      <c r="P1052" s="194">
        <v>0</v>
      </c>
      <c r="Q1052" s="194">
        <v>0</v>
      </c>
      <c r="R1052" s="194">
        <v>0</v>
      </c>
      <c r="S1052" s="193">
        <f t="shared" si="230"/>
        <v>0</v>
      </c>
      <c r="T1052" s="193">
        <f t="shared" si="231"/>
        <v>0</v>
      </c>
      <c r="U1052" s="193">
        <f ca="1">OFFSET('Expenditure Study'!$B$7,'Operations Support'!$C1052,'Operations Support'!$B1052)*$G1052</f>
        <v>0</v>
      </c>
      <c r="V1052" s="199">
        <f ca="1">U1052*'Expenditure Study'!$B$31</f>
        <v>0</v>
      </c>
      <c r="W1052" s="199">
        <f ca="1">IF(A1052=10298,1.51,1)*IF($B1052&lt;3,$D1052*'Expenditure Study'!$B$32*OFFSET('Expenditure Study'!$B$7,'Operations Support'!$C1052,'Operations Support'!$B1052),0)</f>
        <v>0</v>
      </c>
      <c r="X1052" s="200">
        <f ca="1">W1052*'Expenditure Study'!$B$31</f>
        <v>0</v>
      </c>
      <c r="Y1052" s="199">
        <f ca="1">U1052*'Expenditure Study'!$B$31</f>
        <v>0</v>
      </c>
      <c r="Z1052" s="200">
        <f ca="1">W1052*'Expenditure Study'!$B$31</f>
        <v>0</v>
      </c>
      <c r="AA1052" s="195">
        <f t="shared" ca="1" si="232"/>
        <v>0</v>
      </c>
      <c r="AB1052" s="195">
        <f t="shared" ca="1" si="233"/>
        <v>0</v>
      </c>
      <c r="AD1052" s="196">
        <f>IFERROR($G1052/SUMIF($A:$A,$A1052,$G:$G)*SUMIF(Summary!$A$166:$A$242,$A1052,Summary!$P$166:$P$242),0)</f>
        <v>0</v>
      </c>
      <c r="AE1052" s="197">
        <f t="shared" ca="1" si="234"/>
        <v>0</v>
      </c>
      <c r="AF1052" s="196">
        <f>IFERROR(G1052/SUMIF(A:A,A1052,G:G)*SUMIF(Summary!$A$166:$A$242,'Operations Support'!A1052,Summary!$Q$166:$Q$242),0)</f>
        <v>0</v>
      </c>
      <c r="AG1052" s="196">
        <f t="shared" ca="1" si="235"/>
        <v>0</v>
      </c>
      <c r="AI1052" s="196">
        <f>IFERROR($G1052/SUMIF($A:$A,$A1052,$G:$G)*SUMIF(Summary!$A$247:$A$283,$A1052,Summary!$P$247:$P$283),0)</f>
        <v>0</v>
      </c>
      <c r="AJ1052" s="196">
        <f>IFERROR($G1052/SUMIF($A:$A,$A1052,$G:$G)*(SUMIF(Summary!$A$247:$A$283,$A1052,Summary!$L$247:$L$283)+SUMIF(Summary!$A$297:$A$333,$A1052,Summary!$L$297:$L$333))-AI1052,0)</f>
        <v>0</v>
      </c>
      <c r="AK1052" s="196">
        <f>IFERROR($G1052/SUMIF($A:$A,$A1052,$G:$G)*SUMIF(Summary!$A$247:$A$283,$A1052,Summary!$Q$247:$Q$283),0)</f>
        <v>0</v>
      </c>
      <c r="AL1052" s="196">
        <f>IFERROR($G1052/SUMIF($A:$A,$A1052,$G:$G)*(SUMIF(Summary!$A$247:$A$283,$A1052,Summary!$L$247:$L$283)+SUMIF(Summary!$A$297:$A$333,$A1052,Summary!$L$297:$L$333))-AK1052,0)</f>
        <v>0</v>
      </c>
      <c r="AM1052" s="198"/>
      <c r="AN1052" s="196">
        <f t="shared" ca="1" si="236"/>
        <v>0</v>
      </c>
      <c r="AO1052" s="196">
        <f t="shared" ca="1" si="237"/>
        <v>0</v>
      </c>
    </row>
    <row r="1053" spans="1:41">
      <c r="A1053" s="189">
        <v>3624</v>
      </c>
      <c r="B1053" s="203">
        <v>5</v>
      </c>
      <c r="C1053" s="191" t="s">
        <v>239</v>
      </c>
      <c r="D1053" s="192">
        <f t="shared" si="224"/>
        <v>0</v>
      </c>
      <c r="E1053" s="192">
        <f t="shared" si="225"/>
        <v>0</v>
      </c>
      <c r="F1053" s="192">
        <f t="shared" si="226"/>
        <v>0</v>
      </c>
      <c r="G1053" s="193">
        <f t="shared" si="227"/>
        <v>0</v>
      </c>
      <c r="H1053" s="194">
        <v>0</v>
      </c>
      <c r="I1053" s="194">
        <v>0</v>
      </c>
      <c r="J1053" s="194">
        <v>0</v>
      </c>
      <c r="K1053" s="193">
        <f t="shared" si="228"/>
        <v>0</v>
      </c>
      <c r="L1053" s="194">
        <v>0</v>
      </c>
      <c r="M1053" s="194">
        <v>0</v>
      </c>
      <c r="N1053" s="194">
        <v>0</v>
      </c>
      <c r="O1053" s="193">
        <f t="shared" si="229"/>
        <v>0</v>
      </c>
      <c r="P1053" s="194">
        <v>0</v>
      </c>
      <c r="Q1053" s="194">
        <v>0</v>
      </c>
      <c r="R1053" s="194">
        <v>0</v>
      </c>
      <c r="S1053" s="193">
        <f t="shared" si="230"/>
        <v>0</v>
      </c>
      <c r="T1053" s="193">
        <f t="shared" si="231"/>
        <v>0</v>
      </c>
      <c r="U1053" s="193">
        <f ca="1">OFFSET('Expenditure Study'!$B$7,'Operations Support'!$C1053,'Operations Support'!$B1053)*$G1053</f>
        <v>0</v>
      </c>
      <c r="V1053" s="199">
        <f ca="1">U1053*'Expenditure Study'!$B$31</f>
        <v>0</v>
      </c>
      <c r="W1053" s="199">
        <f ca="1">IF(A1053=10298,1.51,1)*IF($B1053&lt;3,$D1053*'Expenditure Study'!$B$32*OFFSET('Expenditure Study'!$B$7,'Operations Support'!$C1053,'Operations Support'!$B1053),0)</f>
        <v>0</v>
      </c>
      <c r="X1053" s="200">
        <f ca="1">W1053*'Expenditure Study'!$B$31</f>
        <v>0</v>
      </c>
      <c r="Y1053" s="199">
        <f ca="1">U1053*'Expenditure Study'!$B$31</f>
        <v>0</v>
      </c>
      <c r="Z1053" s="200">
        <f ca="1">W1053*'Expenditure Study'!$B$31</f>
        <v>0</v>
      </c>
      <c r="AA1053" s="195">
        <f t="shared" ca="1" si="232"/>
        <v>0</v>
      </c>
      <c r="AB1053" s="195">
        <f t="shared" ca="1" si="233"/>
        <v>0</v>
      </c>
      <c r="AD1053" s="196">
        <f>IFERROR($G1053/SUMIF($A:$A,$A1053,$G:$G)*SUMIF(Summary!$A$166:$A$242,$A1053,Summary!$P$166:$P$242),0)</f>
        <v>0</v>
      </c>
      <c r="AE1053" s="197">
        <f t="shared" ca="1" si="234"/>
        <v>0</v>
      </c>
      <c r="AF1053" s="196">
        <f>IFERROR(G1053/SUMIF(A:A,A1053,G:G)*SUMIF(Summary!$A$166:$A$242,'Operations Support'!A1053,Summary!$Q$166:$Q$242),0)</f>
        <v>0</v>
      </c>
      <c r="AG1053" s="196">
        <f t="shared" ca="1" si="235"/>
        <v>0</v>
      </c>
      <c r="AI1053" s="196">
        <f>IFERROR($G1053/SUMIF($A:$A,$A1053,$G:$G)*SUMIF(Summary!$A$247:$A$283,$A1053,Summary!$P$247:$P$283),0)</f>
        <v>0</v>
      </c>
      <c r="AJ1053" s="196">
        <f>IFERROR($G1053/SUMIF($A:$A,$A1053,$G:$G)*(SUMIF(Summary!$A$247:$A$283,$A1053,Summary!$L$247:$L$283)+SUMIF(Summary!$A$297:$A$333,$A1053,Summary!$L$297:$L$333))-AI1053,0)</f>
        <v>0</v>
      </c>
      <c r="AK1053" s="196">
        <f>IFERROR($G1053/SUMIF($A:$A,$A1053,$G:$G)*SUMIF(Summary!$A$247:$A$283,$A1053,Summary!$Q$247:$Q$283),0)</f>
        <v>0</v>
      </c>
      <c r="AL1053" s="196">
        <f>IFERROR($G1053/SUMIF($A:$A,$A1053,$G:$G)*(SUMIF(Summary!$A$247:$A$283,$A1053,Summary!$L$247:$L$283)+SUMIF(Summary!$A$297:$A$333,$A1053,Summary!$L$297:$L$333))-AK1053,0)</f>
        <v>0</v>
      </c>
      <c r="AM1053" s="198"/>
      <c r="AN1053" s="196">
        <f t="shared" ca="1" si="236"/>
        <v>0</v>
      </c>
      <c r="AO1053" s="196">
        <f t="shared" ca="1" si="237"/>
        <v>0</v>
      </c>
    </row>
    <row r="1054" spans="1:41">
      <c r="A1054" s="189">
        <v>3624</v>
      </c>
      <c r="B1054" s="203">
        <v>5</v>
      </c>
      <c r="C1054" s="191" t="s">
        <v>240</v>
      </c>
      <c r="D1054" s="192">
        <f t="shared" si="224"/>
        <v>0</v>
      </c>
      <c r="E1054" s="192">
        <f t="shared" si="225"/>
        <v>0</v>
      </c>
      <c r="F1054" s="192">
        <f t="shared" si="226"/>
        <v>0</v>
      </c>
      <c r="G1054" s="193">
        <f t="shared" si="227"/>
        <v>0</v>
      </c>
      <c r="H1054" s="194">
        <v>0</v>
      </c>
      <c r="I1054" s="194">
        <v>0</v>
      </c>
      <c r="J1054" s="194">
        <v>0</v>
      </c>
      <c r="K1054" s="193">
        <f t="shared" si="228"/>
        <v>0</v>
      </c>
      <c r="L1054" s="194">
        <v>0</v>
      </c>
      <c r="M1054" s="194">
        <v>0</v>
      </c>
      <c r="N1054" s="194">
        <v>0</v>
      </c>
      <c r="O1054" s="193">
        <f t="shared" si="229"/>
        <v>0</v>
      </c>
      <c r="P1054" s="194">
        <v>0</v>
      </c>
      <c r="Q1054" s="194">
        <v>0</v>
      </c>
      <c r="R1054" s="194">
        <v>0</v>
      </c>
      <c r="S1054" s="193">
        <f t="shared" si="230"/>
        <v>0</v>
      </c>
      <c r="T1054" s="193">
        <f t="shared" si="231"/>
        <v>0</v>
      </c>
      <c r="U1054" s="193">
        <f ca="1">OFFSET('Expenditure Study'!$B$7,'Operations Support'!$C1054,'Operations Support'!$B1054)*$G1054</f>
        <v>0</v>
      </c>
      <c r="V1054" s="199">
        <f ca="1">U1054*'Expenditure Study'!$B$31</f>
        <v>0</v>
      </c>
      <c r="W1054" s="199">
        <f ca="1">IF(A1054=10298,1.51,1)*IF($B1054&lt;3,$D1054*'Expenditure Study'!$B$32*OFFSET('Expenditure Study'!$B$7,'Operations Support'!$C1054,'Operations Support'!$B1054),0)</f>
        <v>0</v>
      </c>
      <c r="X1054" s="200">
        <f ca="1">W1054*'Expenditure Study'!$B$31</f>
        <v>0</v>
      </c>
      <c r="Y1054" s="199">
        <f ca="1">U1054*'Expenditure Study'!$B$31</f>
        <v>0</v>
      </c>
      <c r="Z1054" s="200">
        <f ca="1">W1054*'Expenditure Study'!$B$31</f>
        <v>0</v>
      </c>
      <c r="AA1054" s="195">
        <f t="shared" ca="1" si="232"/>
        <v>0</v>
      </c>
      <c r="AB1054" s="195">
        <f t="shared" ca="1" si="233"/>
        <v>0</v>
      </c>
      <c r="AD1054" s="196">
        <f>IFERROR($G1054/SUMIF($A:$A,$A1054,$G:$G)*SUMIF(Summary!$A$166:$A$242,$A1054,Summary!$P$166:$P$242),0)</f>
        <v>0</v>
      </c>
      <c r="AE1054" s="197">
        <f t="shared" ca="1" si="234"/>
        <v>0</v>
      </c>
      <c r="AF1054" s="196">
        <f>IFERROR(G1054/SUMIF(A:A,A1054,G:G)*SUMIF(Summary!$A$166:$A$242,'Operations Support'!A1054,Summary!$Q$166:$Q$242),0)</f>
        <v>0</v>
      </c>
      <c r="AG1054" s="196">
        <f t="shared" ca="1" si="235"/>
        <v>0</v>
      </c>
      <c r="AI1054" s="196">
        <f>IFERROR($G1054/SUMIF($A:$A,$A1054,$G:$G)*SUMIF(Summary!$A$247:$A$283,$A1054,Summary!$P$247:$P$283),0)</f>
        <v>0</v>
      </c>
      <c r="AJ1054" s="196">
        <f>IFERROR($G1054/SUMIF($A:$A,$A1054,$G:$G)*(SUMIF(Summary!$A$247:$A$283,$A1054,Summary!$L$247:$L$283)+SUMIF(Summary!$A$297:$A$333,$A1054,Summary!$L$297:$L$333))-AI1054,0)</f>
        <v>0</v>
      </c>
      <c r="AK1054" s="196">
        <f>IFERROR($G1054/SUMIF($A:$A,$A1054,$G:$G)*SUMIF(Summary!$A$247:$A$283,$A1054,Summary!$Q$247:$Q$283),0)</f>
        <v>0</v>
      </c>
      <c r="AL1054" s="196">
        <f>IFERROR($G1054/SUMIF($A:$A,$A1054,$G:$G)*(SUMIF(Summary!$A$247:$A$283,$A1054,Summary!$L$247:$L$283)+SUMIF(Summary!$A$297:$A$333,$A1054,Summary!$L$297:$L$333))-AK1054,0)</f>
        <v>0</v>
      </c>
      <c r="AM1054" s="198"/>
      <c r="AN1054" s="196">
        <f t="shared" ca="1" si="236"/>
        <v>0</v>
      </c>
      <c r="AO1054" s="196">
        <f t="shared" ca="1" si="237"/>
        <v>0</v>
      </c>
    </row>
    <row r="1055" spans="1:41">
      <c r="A1055" s="189">
        <v>3625</v>
      </c>
      <c r="B1055" s="202">
        <v>1</v>
      </c>
      <c r="C1055" s="191" t="s">
        <v>220</v>
      </c>
      <c r="D1055" s="192">
        <f t="shared" si="224"/>
        <v>6353</v>
      </c>
      <c r="E1055" s="192">
        <f t="shared" si="225"/>
        <v>2180</v>
      </c>
      <c r="F1055" s="192">
        <f t="shared" si="226"/>
        <v>0</v>
      </c>
      <c r="G1055" s="193">
        <f t="shared" si="227"/>
        <v>8533</v>
      </c>
      <c r="H1055" s="194">
        <v>2450</v>
      </c>
      <c r="I1055" s="194">
        <v>798</v>
      </c>
      <c r="J1055" s="194">
        <v>0</v>
      </c>
      <c r="K1055" s="193">
        <f t="shared" si="228"/>
        <v>3248</v>
      </c>
      <c r="L1055" s="194">
        <v>3024</v>
      </c>
      <c r="M1055" s="194">
        <v>1346</v>
      </c>
      <c r="N1055" s="194">
        <v>0</v>
      </c>
      <c r="O1055" s="193">
        <f t="shared" si="229"/>
        <v>4370</v>
      </c>
      <c r="P1055" s="194">
        <v>879</v>
      </c>
      <c r="Q1055" s="194">
        <v>36</v>
      </c>
      <c r="R1055" s="194">
        <v>0</v>
      </c>
      <c r="S1055" s="193">
        <f t="shared" si="230"/>
        <v>915</v>
      </c>
      <c r="T1055" s="193">
        <f t="shared" si="231"/>
        <v>284.43333333333334</v>
      </c>
      <c r="U1055" s="193">
        <f ca="1">OFFSET('Expenditure Study'!$B$7,'Operations Support'!$C1055,'Operations Support'!$B1055)*$G1055</f>
        <v>8533</v>
      </c>
      <c r="V1055" s="199">
        <f ca="1">U1055*'Expenditure Study'!$B$31</f>
        <v>504156.78176640003</v>
      </c>
      <c r="W1055" s="199">
        <f ca="1">IF(A1055=10298,1.51,1)*IF($B1055&lt;3,$D1055*'Expenditure Study'!$B$32*OFFSET('Expenditure Study'!$B$7,'Operations Support'!$C1055,'Operations Support'!$B1055),0)</f>
        <v>635.30000000000007</v>
      </c>
      <c r="X1055" s="200">
        <f ca="1">W1055*'Expenditure Study'!$B$31</f>
        <v>37535.544762240002</v>
      </c>
      <c r="Y1055" s="199">
        <f ca="1">U1055*'Expenditure Study'!$B$31</f>
        <v>504156.78176640003</v>
      </c>
      <c r="Z1055" s="200">
        <f ca="1">W1055*'Expenditure Study'!$B$31</f>
        <v>37535.544762240002</v>
      </c>
      <c r="AA1055" s="195">
        <f t="shared" ca="1" si="232"/>
        <v>541692.32652864</v>
      </c>
      <c r="AB1055" s="195">
        <f t="shared" ca="1" si="233"/>
        <v>541692.32652864</v>
      </c>
      <c r="AD1055" s="196">
        <f>IFERROR($G1055/SUMIF($A:$A,$A1055,$G:$G)*SUMIF(Summary!$A$166:$A$242,$A1055,Summary!$P$166:$P$242),0)</f>
        <v>253388.33818530786</v>
      </c>
      <c r="AE1055" s="197">
        <f t="shared" ca="1" si="234"/>
        <v>288303.98834333214</v>
      </c>
      <c r="AF1055" s="196">
        <f>IFERROR(G1055/SUMIF(A:A,A1055,G:G)*SUMIF(Summary!$A$166:$A$242,'Operations Support'!A1055,Summary!$Q$166:$Q$242),0)</f>
        <v>253875.20855949886</v>
      </c>
      <c r="AG1055" s="196">
        <f t="shared" ca="1" si="235"/>
        <v>287817.11796914111</v>
      </c>
      <c r="AI1055" s="196">
        <f>IFERROR($G1055/SUMIF($A:$A,$A1055,$G:$G)*SUMIF(Summary!$A$247:$A$283,$A1055,Summary!$P$247:$P$283),0)</f>
        <v>46211.709649505668</v>
      </c>
      <c r="AJ1055" s="196">
        <f>IFERROR($G1055/SUMIF($A:$A,$A1055,$G:$G)*(SUMIF(Summary!$A$247:$A$283,$A1055,Summary!$L$247:$L$283)+SUMIF(Summary!$A$297:$A$333,$A1055,Summary!$L$297:$L$333))-AI1055,0)</f>
        <v>659658.76774991024</v>
      </c>
      <c r="AK1055" s="196">
        <f>IFERROR($G1055/SUMIF($A:$A,$A1055,$G:$G)*SUMIF(Summary!$A$247:$A$283,$A1055,Summary!$Q$247:$Q$283),0)</f>
        <v>46300.502656043347</v>
      </c>
      <c r="AL1055" s="196">
        <f>IFERROR($G1055/SUMIF($A:$A,$A1055,$G:$G)*(SUMIF(Summary!$A$247:$A$283,$A1055,Summary!$L$247:$L$283)+SUMIF(Summary!$A$297:$A$333,$A1055,Summary!$L$297:$L$333))-AK1055,0)</f>
        <v>659569.97474337253</v>
      </c>
      <c r="AM1055" s="198"/>
      <c r="AN1055" s="196">
        <f t="shared" ca="1" si="236"/>
        <v>947962.75609324244</v>
      </c>
      <c r="AO1055" s="196">
        <f t="shared" ca="1" si="237"/>
        <v>947387.09271251364</v>
      </c>
    </row>
    <row r="1056" spans="1:41">
      <c r="A1056" s="189">
        <v>3625</v>
      </c>
      <c r="B1056" s="203">
        <v>1</v>
      </c>
      <c r="C1056" s="191" t="s">
        <v>221</v>
      </c>
      <c r="D1056" s="192">
        <f t="shared" si="224"/>
        <v>1241</v>
      </c>
      <c r="E1056" s="192">
        <f t="shared" si="225"/>
        <v>1203</v>
      </c>
      <c r="F1056" s="192">
        <f t="shared" si="226"/>
        <v>0</v>
      </c>
      <c r="G1056" s="193">
        <f t="shared" si="227"/>
        <v>2444</v>
      </c>
      <c r="H1056" s="194">
        <v>477</v>
      </c>
      <c r="I1056" s="194">
        <v>495</v>
      </c>
      <c r="J1056" s="194">
        <v>0</v>
      </c>
      <c r="K1056" s="193">
        <f t="shared" si="228"/>
        <v>972</v>
      </c>
      <c r="L1056" s="194">
        <v>571</v>
      </c>
      <c r="M1056" s="194">
        <v>708</v>
      </c>
      <c r="N1056" s="194">
        <v>0</v>
      </c>
      <c r="O1056" s="193">
        <f t="shared" si="229"/>
        <v>1279</v>
      </c>
      <c r="P1056" s="194">
        <v>193</v>
      </c>
      <c r="Q1056" s="194">
        <v>0</v>
      </c>
      <c r="R1056" s="194">
        <v>0</v>
      </c>
      <c r="S1056" s="193">
        <f t="shared" si="230"/>
        <v>193</v>
      </c>
      <c r="T1056" s="193">
        <f t="shared" si="231"/>
        <v>81.466666666666669</v>
      </c>
      <c r="U1056" s="193">
        <f ca="1">OFFSET('Expenditure Study'!$B$7,'Operations Support'!$C1056,'Operations Support'!$B1056)*$G1056</f>
        <v>3274.96</v>
      </c>
      <c r="V1056" s="199">
        <f ca="1">U1056*'Expenditure Study'!$B$31</f>
        <v>193495.05379276801</v>
      </c>
      <c r="W1056" s="199">
        <f ca="1">IF(A1056=10298,1.51,1)*IF($B1056&lt;3,$D1056*'Expenditure Study'!$B$32*OFFSET('Expenditure Study'!$B$7,'Operations Support'!$C1056,'Operations Support'!$B1056),0)</f>
        <v>166.29400000000001</v>
      </c>
      <c r="X1056" s="200">
        <f ca="1">W1056*'Expenditure Study'!$B$31</f>
        <v>9825.1784679552002</v>
      </c>
      <c r="Y1056" s="199">
        <f ca="1">U1056*'Expenditure Study'!$B$31</f>
        <v>193495.05379276801</v>
      </c>
      <c r="Z1056" s="200">
        <f ca="1">W1056*'Expenditure Study'!$B$31</f>
        <v>9825.1784679552002</v>
      </c>
      <c r="AA1056" s="195">
        <f t="shared" ca="1" si="232"/>
        <v>203320.23226072322</v>
      </c>
      <c r="AB1056" s="195">
        <f t="shared" ca="1" si="233"/>
        <v>203320.23226072322</v>
      </c>
      <c r="AD1056" s="196">
        <f>IFERROR($G1056/SUMIF($A:$A,$A1056,$G:$G)*SUMIF(Summary!$A$166:$A$242,$A1056,Summary!$P$166:$P$242),0)</f>
        <v>72574.838688022079</v>
      </c>
      <c r="AE1056" s="197">
        <f t="shared" ca="1" si="234"/>
        <v>130745.39357270114</v>
      </c>
      <c r="AF1056" s="196">
        <f>IFERROR(G1056/SUMIF(A:A,A1056,G:G)*SUMIF(Summary!$A$166:$A$242,'Operations Support'!A1056,Summary!$Q$166:$Q$242),0)</f>
        <v>72714.286853324171</v>
      </c>
      <c r="AG1056" s="196">
        <f t="shared" ca="1" si="235"/>
        <v>130605.94540739905</v>
      </c>
      <c r="AI1056" s="196">
        <f>IFERROR($G1056/SUMIF($A:$A,$A1056,$G:$G)*SUMIF(Summary!$A$247:$A$283,$A1056,Summary!$P$247:$P$283),0)</f>
        <v>13235.83949178388</v>
      </c>
      <c r="AJ1056" s="196">
        <f>IFERROR($G1056/SUMIF($A:$A,$A1056,$G:$G)*(SUMIF(Summary!$A$247:$A$283,$A1056,Summary!$L$247:$L$283)+SUMIF(Summary!$A$297:$A$333,$A1056,Summary!$L$297:$L$333))-AI1056,0)</f>
        <v>188937.77433268257</v>
      </c>
      <c r="AK1056" s="196">
        <f>IFERROR($G1056/SUMIF($A:$A,$A1056,$G:$G)*SUMIF(Summary!$A$247:$A$283,$A1056,Summary!$Q$247:$Q$283),0)</f>
        <v>13261.271357244806</v>
      </c>
      <c r="AL1056" s="196">
        <f>IFERROR($G1056/SUMIF($A:$A,$A1056,$G:$G)*(SUMIF(Summary!$A$247:$A$283,$A1056,Summary!$L$247:$L$283)+SUMIF(Summary!$A$297:$A$333,$A1056,Summary!$L$297:$L$333))-AK1056,0)</f>
        <v>188912.34246722164</v>
      </c>
      <c r="AM1056" s="198"/>
      <c r="AN1056" s="196">
        <f t="shared" ca="1" si="236"/>
        <v>319683.16790538374</v>
      </c>
      <c r="AO1056" s="196">
        <f t="shared" ca="1" si="237"/>
        <v>319518.2878746207</v>
      </c>
    </row>
    <row r="1057" spans="1:41">
      <c r="A1057" s="189">
        <v>3625</v>
      </c>
      <c r="B1057" s="203">
        <v>1</v>
      </c>
      <c r="C1057" s="191" t="s">
        <v>222</v>
      </c>
      <c r="D1057" s="192">
        <f t="shared" si="224"/>
        <v>1043</v>
      </c>
      <c r="E1057" s="192">
        <f t="shared" si="225"/>
        <v>343</v>
      </c>
      <c r="F1057" s="192">
        <f t="shared" si="226"/>
        <v>0</v>
      </c>
      <c r="G1057" s="193">
        <f t="shared" si="227"/>
        <v>1386</v>
      </c>
      <c r="H1057" s="194">
        <v>363</v>
      </c>
      <c r="I1057" s="194">
        <v>152</v>
      </c>
      <c r="J1057" s="194">
        <v>0</v>
      </c>
      <c r="K1057" s="193">
        <f t="shared" si="228"/>
        <v>515</v>
      </c>
      <c r="L1057" s="194">
        <v>525</v>
      </c>
      <c r="M1057" s="194">
        <v>191</v>
      </c>
      <c r="N1057" s="194">
        <v>0</v>
      </c>
      <c r="O1057" s="193">
        <f t="shared" si="229"/>
        <v>716</v>
      </c>
      <c r="P1057" s="194">
        <v>155</v>
      </c>
      <c r="Q1057" s="194">
        <v>0</v>
      </c>
      <c r="R1057" s="194">
        <v>0</v>
      </c>
      <c r="S1057" s="193">
        <f t="shared" si="230"/>
        <v>155</v>
      </c>
      <c r="T1057" s="193">
        <f t="shared" si="231"/>
        <v>46.2</v>
      </c>
      <c r="U1057" s="193">
        <f ca="1">OFFSET('Expenditure Study'!$B$7,'Operations Support'!$C1057,'Operations Support'!$B1057)*$G1057</f>
        <v>1898.8200000000002</v>
      </c>
      <c r="V1057" s="199">
        <f ca="1">U1057*'Expenditure Study'!$B$31</f>
        <v>112188.325366656</v>
      </c>
      <c r="W1057" s="199">
        <f ca="1">IF(A1057=10298,1.51,1)*IF($B1057&lt;3,$D1057*'Expenditure Study'!$B$32*OFFSET('Expenditure Study'!$B$7,'Operations Support'!$C1057,'Operations Support'!$B1057),0)</f>
        <v>142.89100000000002</v>
      </c>
      <c r="X1057" s="200">
        <f ca="1">W1057*'Expenditure Study'!$B$31</f>
        <v>8442.4547876928009</v>
      </c>
      <c r="Y1057" s="199">
        <f ca="1">U1057*'Expenditure Study'!$B$31</f>
        <v>112188.325366656</v>
      </c>
      <c r="Z1057" s="200">
        <f ca="1">W1057*'Expenditure Study'!$B$31</f>
        <v>8442.4547876928009</v>
      </c>
      <c r="AA1057" s="195">
        <f t="shared" ca="1" si="232"/>
        <v>120630.7801543488</v>
      </c>
      <c r="AB1057" s="195">
        <f t="shared" ca="1" si="233"/>
        <v>120630.7801543488</v>
      </c>
      <c r="AD1057" s="196">
        <f>IFERROR($G1057/SUMIF($A:$A,$A1057,$G:$G)*SUMIF(Summary!$A$166:$A$242,$A1057,Summary!$P$166:$P$242),0)</f>
        <v>41157.416702781753</v>
      </c>
      <c r="AE1057" s="197">
        <f t="shared" ca="1" si="234"/>
        <v>79473.363451567042</v>
      </c>
      <c r="AF1057" s="196">
        <f>IFERROR(G1057/SUMIF(A:A,A1057,G:G)*SUMIF(Summary!$A$166:$A$242,'Operations Support'!A1057,Summary!$Q$166:$Q$242),0)</f>
        <v>41236.498190960439</v>
      </c>
      <c r="AG1057" s="196">
        <f t="shared" ca="1" si="235"/>
        <v>79394.281963388363</v>
      </c>
      <c r="AI1057" s="196">
        <f>IFERROR($G1057/SUMIF($A:$A,$A1057,$G:$G)*SUMIF(Summary!$A$247:$A$283,$A1057,Summary!$P$247:$P$283),0)</f>
        <v>7506.0857347023148</v>
      </c>
      <c r="AJ1057" s="196">
        <f>IFERROR($G1057/SUMIF($A:$A,$A1057,$G:$G)*(SUMIF(Summary!$A$247:$A$283,$A1057,Summary!$L$247:$L$283)+SUMIF(Summary!$A$297:$A$333,$A1057,Summary!$L$297:$L$333))-AI1057,0)</f>
        <v>107147.19935560478</v>
      </c>
      <c r="AK1057" s="196">
        <f>IFERROR($G1057/SUMIF($A:$A,$A1057,$G:$G)*SUMIF(Summary!$A$247:$A$283,$A1057,Summary!$Q$247:$Q$283),0)</f>
        <v>7520.5082246895672</v>
      </c>
      <c r="AL1057" s="196">
        <f>IFERROR($G1057/SUMIF($A:$A,$A1057,$G:$G)*(SUMIF(Summary!$A$247:$A$283,$A1057,Summary!$L$247:$L$283)+SUMIF(Summary!$A$297:$A$333,$A1057,Summary!$L$297:$L$333))-AK1057,0)</f>
        <v>107132.77686561753</v>
      </c>
      <c r="AM1057" s="198"/>
      <c r="AN1057" s="196">
        <f t="shared" ca="1" si="236"/>
        <v>186620.56280717184</v>
      </c>
      <c r="AO1057" s="196">
        <f t="shared" ca="1" si="237"/>
        <v>186527.05882900589</v>
      </c>
    </row>
    <row r="1058" spans="1:41">
      <c r="A1058" s="189">
        <v>3625</v>
      </c>
      <c r="B1058" s="203">
        <v>1</v>
      </c>
      <c r="C1058" s="191" t="s">
        <v>223</v>
      </c>
      <c r="D1058" s="192">
        <f t="shared" si="224"/>
        <v>21</v>
      </c>
      <c r="E1058" s="192">
        <f t="shared" si="225"/>
        <v>42</v>
      </c>
      <c r="F1058" s="192">
        <f t="shared" si="226"/>
        <v>0</v>
      </c>
      <c r="G1058" s="193">
        <f t="shared" si="227"/>
        <v>63</v>
      </c>
      <c r="H1058" s="194">
        <v>15</v>
      </c>
      <c r="I1058" s="194">
        <v>12</v>
      </c>
      <c r="J1058" s="194">
        <v>0</v>
      </c>
      <c r="K1058" s="193">
        <f t="shared" si="228"/>
        <v>27</v>
      </c>
      <c r="L1058" s="194">
        <v>3</v>
      </c>
      <c r="M1058" s="194">
        <v>24</v>
      </c>
      <c r="N1058" s="194">
        <v>0</v>
      </c>
      <c r="O1058" s="193">
        <f t="shared" si="229"/>
        <v>27</v>
      </c>
      <c r="P1058" s="194">
        <v>3</v>
      </c>
      <c r="Q1058" s="194">
        <v>6</v>
      </c>
      <c r="R1058" s="194">
        <v>0</v>
      </c>
      <c r="S1058" s="193">
        <f t="shared" si="230"/>
        <v>9</v>
      </c>
      <c r="T1058" s="193">
        <f t="shared" si="231"/>
        <v>2.1</v>
      </c>
      <c r="U1058" s="193">
        <f ca="1">OFFSET('Expenditure Study'!$B$7,'Operations Support'!$C1058,'Operations Support'!$B1058)*$G1058</f>
        <v>79.38</v>
      </c>
      <c r="V1058" s="199">
        <f ca="1">U1058*'Expenditure Study'!$B$31</f>
        <v>4690.0228919040001</v>
      </c>
      <c r="W1058" s="199">
        <f ca="1">IF(A1058=10298,1.51,1)*IF($B1058&lt;3,$D1058*'Expenditure Study'!$B$32*OFFSET('Expenditure Study'!$B$7,'Operations Support'!$C1058,'Operations Support'!$B1058),0)</f>
        <v>2.6460000000000004</v>
      </c>
      <c r="X1058" s="200">
        <f ca="1">W1058*'Expenditure Study'!$B$31</f>
        <v>156.33409639680002</v>
      </c>
      <c r="Y1058" s="199">
        <f ca="1">U1058*'Expenditure Study'!$B$31</f>
        <v>4690.0228919040001</v>
      </c>
      <c r="Z1058" s="200">
        <f ca="1">W1058*'Expenditure Study'!$B$31</f>
        <v>156.33409639680002</v>
      </c>
      <c r="AA1058" s="195">
        <f t="shared" ca="1" si="232"/>
        <v>4846.3569883008004</v>
      </c>
      <c r="AB1058" s="195">
        <f t="shared" ca="1" si="233"/>
        <v>4846.3569883008004</v>
      </c>
      <c r="AD1058" s="196">
        <f>IFERROR($G1058/SUMIF($A:$A,$A1058,$G:$G)*SUMIF(Summary!$A$166:$A$242,$A1058,Summary!$P$166:$P$242),0)</f>
        <v>1870.7916683082613</v>
      </c>
      <c r="AE1058" s="197">
        <f t="shared" ca="1" si="234"/>
        <v>2975.5653199925391</v>
      </c>
      <c r="AF1058" s="196">
        <f>IFERROR(G1058/SUMIF(A:A,A1058,G:G)*SUMIF(Summary!$A$166:$A$242,'Operations Support'!A1058,Summary!$Q$166:$Q$242),0)</f>
        <v>1874.3862814072925</v>
      </c>
      <c r="AG1058" s="196">
        <f t="shared" ca="1" si="235"/>
        <v>2971.9707068935077</v>
      </c>
      <c r="AI1058" s="196">
        <f>IFERROR($G1058/SUMIF($A:$A,$A1058,$G:$G)*SUMIF(Summary!$A$247:$A$283,$A1058,Summary!$P$247:$P$283),0)</f>
        <v>341.18571521374156</v>
      </c>
      <c r="AJ1058" s="196">
        <f>IFERROR($G1058/SUMIF($A:$A,$A1058,$G:$G)*(SUMIF(Summary!$A$247:$A$283,$A1058,Summary!$L$247:$L$283)+SUMIF(Summary!$A$297:$A$333,$A1058,Summary!$L$297:$L$333))-AI1058,0)</f>
        <v>4870.3272434365799</v>
      </c>
      <c r="AK1058" s="196">
        <f>IFERROR($G1058/SUMIF($A:$A,$A1058,$G:$G)*SUMIF(Summary!$A$247:$A$283,$A1058,Summary!$Q$247:$Q$283),0)</f>
        <v>341.84128294043484</v>
      </c>
      <c r="AL1058" s="196">
        <f>IFERROR($G1058/SUMIF($A:$A,$A1058,$G:$G)*(SUMIF(Summary!$A$247:$A$283,$A1058,Summary!$L$247:$L$283)+SUMIF(Summary!$A$297:$A$333,$A1058,Summary!$L$297:$L$333))-AK1058,0)</f>
        <v>4869.6716757098866</v>
      </c>
      <c r="AM1058" s="198"/>
      <c r="AN1058" s="196">
        <f t="shared" ca="1" si="236"/>
        <v>7845.892563429119</v>
      </c>
      <c r="AO1058" s="196">
        <f t="shared" ca="1" si="237"/>
        <v>7841.6423826033943</v>
      </c>
    </row>
    <row r="1059" spans="1:41">
      <c r="A1059" s="189">
        <v>3625</v>
      </c>
      <c r="B1059" s="203">
        <v>1</v>
      </c>
      <c r="C1059" s="191" t="s">
        <v>224</v>
      </c>
      <c r="D1059" s="192">
        <f t="shared" si="224"/>
        <v>562</v>
      </c>
      <c r="E1059" s="192">
        <f t="shared" si="225"/>
        <v>33</v>
      </c>
      <c r="F1059" s="192">
        <f t="shared" si="226"/>
        <v>0</v>
      </c>
      <c r="G1059" s="193">
        <f t="shared" si="227"/>
        <v>595</v>
      </c>
      <c r="H1059" s="194">
        <v>245</v>
      </c>
      <c r="I1059" s="194">
        <v>21</v>
      </c>
      <c r="J1059" s="194">
        <v>0</v>
      </c>
      <c r="K1059" s="193">
        <f t="shared" si="228"/>
        <v>266</v>
      </c>
      <c r="L1059" s="194">
        <v>314</v>
      </c>
      <c r="M1059" s="194">
        <v>12</v>
      </c>
      <c r="N1059" s="194">
        <v>0</v>
      </c>
      <c r="O1059" s="193">
        <f t="shared" si="229"/>
        <v>326</v>
      </c>
      <c r="P1059" s="194">
        <v>3</v>
      </c>
      <c r="Q1059" s="194">
        <v>0</v>
      </c>
      <c r="R1059" s="194">
        <v>0</v>
      </c>
      <c r="S1059" s="193">
        <f t="shared" si="230"/>
        <v>3</v>
      </c>
      <c r="T1059" s="193">
        <f t="shared" si="231"/>
        <v>19.833333333333332</v>
      </c>
      <c r="U1059" s="193">
        <f ca="1">OFFSET('Expenditure Study'!$B$7,'Operations Support'!$C1059,'Operations Support'!$B1059)*$G1059</f>
        <v>880.6</v>
      </c>
      <c r="V1059" s="199">
        <f ca="1">U1059*'Expenditure Study'!$B$31</f>
        <v>52028.649012480004</v>
      </c>
      <c r="W1059" s="199">
        <f ca="1">IF(A1059=10298,1.51,1)*IF($B1059&lt;3,$D1059*'Expenditure Study'!$B$32*OFFSET('Expenditure Study'!$B$7,'Operations Support'!$C1059,'Operations Support'!$B1059),0)</f>
        <v>83.176000000000002</v>
      </c>
      <c r="X1059" s="200">
        <f ca="1">W1059*'Expenditure Study'!$B$31</f>
        <v>4914.3026462207999</v>
      </c>
      <c r="Y1059" s="199">
        <f ca="1">U1059*'Expenditure Study'!$B$31</f>
        <v>52028.649012480004</v>
      </c>
      <c r="Z1059" s="200">
        <f ca="1">W1059*'Expenditure Study'!$B$31</f>
        <v>4914.3026462207999</v>
      </c>
      <c r="AA1059" s="195">
        <f t="shared" ca="1" si="232"/>
        <v>56942.951658700804</v>
      </c>
      <c r="AB1059" s="195">
        <f t="shared" ca="1" si="233"/>
        <v>56942.951658700804</v>
      </c>
      <c r="AD1059" s="196">
        <f>IFERROR($G1059/SUMIF($A:$A,$A1059,$G:$G)*SUMIF(Summary!$A$166:$A$242,$A1059,Summary!$P$166:$P$242),0)</f>
        <v>17668.587978466912</v>
      </c>
      <c r="AE1059" s="197">
        <f t="shared" ca="1" si="234"/>
        <v>39274.363680233888</v>
      </c>
      <c r="AF1059" s="196">
        <f>IFERROR(G1059/SUMIF(A:A,A1059,G:G)*SUMIF(Summary!$A$166:$A$242,'Operations Support'!A1059,Summary!$Q$166:$Q$242),0)</f>
        <v>17702.537102179984</v>
      </c>
      <c r="AG1059" s="196">
        <f t="shared" ca="1" si="235"/>
        <v>39240.414556520816</v>
      </c>
      <c r="AI1059" s="196">
        <f>IFERROR($G1059/SUMIF($A:$A,$A1059,$G:$G)*SUMIF(Summary!$A$247:$A$283,$A1059,Summary!$P$247:$P$283),0)</f>
        <v>3222.3095325742261</v>
      </c>
      <c r="AJ1059" s="196">
        <f>IFERROR($G1059/SUMIF($A:$A,$A1059,$G:$G)*(SUMIF(Summary!$A$247:$A$283,$A1059,Summary!$L$247:$L$283)+SUMIF(Summary!$A$297:$A$333,$A1059,Summary!$L$297:$L$333))-AI1059,0)</f>
        <v>45997.53507690104</v>
      </c>
      <c r="AK1059" s="196">
        <f>IFERROR($G1059/SUMIF($A:$A,$A1059,$G:$G)*SUMIF(Summary!$A$247:$A$283,$A1059,Summary!$Q$247:$Q$283),0)</f>
        <v>3228.5010055485513</v>
      </c>
      <c r="AL1059" s="196">
        <f>IFERROR($G1059/SUMIF($A:$A,$A1059,$G:$G)*(SUMIF(Summary!$A$247:$A$283,$A1059,Summary!$L$247:$L$283)+SUMIF(Summary!$A$297:$A$333,$A1059,Summary!$L$297:$L$333))-AK1059,0)</f>
        <v>45991.343603926711</v>
      </c>
      <c r="AM1059" s="198"/>
      <c r="AN1059" s="196">
        <f t="shared" ca="1" si="236"/>
        <v>85271.898757134928</v>
      </c>
      <c r="AO1059" s="196">
        <f t="shared" ca="1" si="237"/>
        <v>85231.758160447527</v>
      </c>
    </row>
    <row r="1060" spans="1:41">
      <c r="A1060" s="189">
        <v>3625</v>
      </c>
      <c r="B1060" s="203">
        <v>1</v>
      </c>
      <c r="C1060" s="191" t="s">
        <v>225</v>
      </c>
      <c r="D1060" s="192">
        <f t="shared" si="224"/>
        <v>36</v>
      </c>
      <c r="E1060" s="192">
        <f t="shared" si="225"/>
        <v>0</v>
      </c>
      <c r="F1060" s="192">
        <f t="shared" si="226"/>
        <v>0</v>
      </c>
      <c r="G1060" s="193">
        <f t="shared" si="227"/>
        <v>36</v>
      </c>
      <c r="H1060" s="194">
        <v>12</v>
      </c>
      <c r="I1060" s="194">
        <v>0</v>
      </c>
      <c r="J1060" s="194">
        <v>0</v>
      </c>
      <c r="K1060" s="193">
        <f t="shared" si="228"/>
        <v>12</v>
      </c>
      <c r="L1060" s="194">
        <v>24</v>
      </c>
      <c r="M1060" s="194">
        <v>0</v>
      </c>
      <c r="N1060" s="194">
        <v>0</v>
      </c>
      <c r="O1060" s="193">
        <f t="shared" si="229"/>
        <v>24</v>
      </c>
      <c r="P1060" s="194">
        <v>0</v>
      </c>
      <c r="Q1060" s="194">
        <v>0</v>
      </c>
      <c r="R1060" s="194">
        <v>0</v>
      </c>
      <c r="S1060" s="193">
        <f t="shared" si="230"/>
        <v>0</v>
      </c>
      <c r="T1060" s="193">
        <f t="shared" si="231"/>
        <v>1.2</v>
      </c>
      <c r="U1060" s="193">
        <f ca="1">OFFSET('Expenditure Study'!$B$7,'Operations Support'!$C1060,'Operations Support'!$B1060)*$G1060</f>
        <v>63.36</v>
      </c>
      <c r="V1060" s="199">
        <f ca="1">U1060*'Expenditure Study'!$B$31</f>
        <v>3743.5103354880002</v>
      </c>
      <c r="W1060" s="199">
        <f ca="1">IF(A1060=10298,1.51,1)*IF($B1060&lt;3,$D1060*'Expenditure Study'!$B$32*OFFSET('Expenditure Study'!$B$7,'Operations Support'!$C1060,'Operations Support'!$B1060),0)</f>
        <v>6.3360000000000003</v>
      </c>
      <c r="X1060" s="200">
        <f ca="1">W1060*'Expenditure Study'!$B$31</f>
        <v>374.35103354880005</v>
      </c>
      <c r="Y1060" s="199">
        <f ca="1">U1060*'Expenditure Study'!$B$31</f>
        <v>3743.5103354880002</v>
      </c>
      <c r="Z1060" s="200">
        <f ca="1">W1060*'Expenditure Study'!$B$31</f>
        <v>374.35103354880005</v>
      </c>
      <c r="AA1060" s="195">
        <f t="shared" ca="1" si="232"/>
        <v>4117.8613690368002</v>
      </c>
      <c r="AB1060" s="195">
        <f t="shared" ca="1" si="233"/>
        <v>4117.8613690368002</v>
      </c>
      <c r="AD1060" s="196">
        <f>IFERROR($G1060/SUMIF($A:$A,$A1060,$G:$G)*SUMIF(Summary!$A$166:$A$242,$A1060,Summary!$P$166:$P$242),0)</f>
        <v>1069.0238104618636</v>
      </c>
      <c r="AE1060" s="197">
        <f t="shared" ca="1" si="234"/>
        <v>3048.8375585749363</v>
      </c>
      <c r="AF1060" s="196">
        <f>IFERROR(G1060/SUMIF(A:A,A1060,G:G)*SUMIF(Summary!$A$166:$A$242,'Operations Support'!A1060,Summary!$Q$166:$Q$242),0)</f>
        <v>1071.0778750898814</v>
      </c>
      <c r="AG1060" s="196">
        <f t="shared" ca="1" si="235"/>
        <v>3046.7834939469185</v>
      </c>
      <c r="AI1060" s="196">
        <f>IFERROR($G1060/SUMIF($A:$A,$A1060,$G:$G)*SUMIF(Summary!$A$247:$A$283,$A1060,Summary!$P$247:$P$283),0)</f>
        <v>194.96326583642374</v>
      </c>
      <c r="AJ1060" s="196">
        <f>IFERROR($G1060/SUMIF($A:$A,$A1060,$G:$G)*(SUMIF(Summary!$A$247:$A$283,$A1060,Summary!$L$247:$L$283)+SUMIF(Summary!$A$297:$A$333,$A1060,Summary!$L$297:$L$333))-AI1060,0)</f>
        <v>2783.044139106617</v>
      </c>
      <c r="AK1060" s="196">
        <f>IFERROR($G1060/SUMIF($A:$A,$A1060,$G:$G)*SUMIF(Summary!$A$247:$A$283,$A1060,Summary!$Q$247:$Q$283),0)</f>
        <v>195.33787596596278</v>
      </c>
      <c r="AL1060" s="196">
        <f>IFERROR($G1060/SUMIF($A:$A,$A1060,$G:$G)*(SUMIF(Summary!$A$247:$A$283,$A1060,Summary!$L$247:$L$283)+SUMIF(Summary!$A$297:$A$333,$A1060,Summary!$L$297:$L$333))-AK1060,0)</f>
        <v>2782.6695289770782</v>
      </c>
      <c r="AM1060" s="198"/>
      <c r="AN1060" s="196">
        <f t="shared" ca="1" si="236"/>
        <v>5831.8816976815533</v>
      </c>
      <c r="AO1060" s="196">
        <f t="shared" ca="1" si="237"/>
        <v>5829.4530229239972</v>
      </c>
    </row>
    <row r="1061" spans="1:41">
      <c r="A1061" s="189">
        <v>3625</v>
      </c>
      <c r="B1061" s="203">
        <v>1</v>
      </c>
      <c r="C1061" s="191" t="s">
        <v>226</v>
      </c>
      <c r="D1061" s="192">
        <f t="shared" si="224"/>
        <v>0</v>
      </c>
      <c r="E1061" s="192">
        <f t="shared" si="225"/>
        <v>123</v>
      </c>
      <c r="F1061" s="192">
        <f t="shared" si="226"/>
        <v>0</v>
      </c>
      <c r="G1061" s="193">
        <f t="shared" si="227"/>
        <v>123</v>
      </c>
      <c r="H1061" s="194">
        <v>0</v>
      </c>
      <c r="I1061" s="194">
        <v>57</v>
      </c>
      <c r="J1061" s="194">
        <v>0</v>
      </c>
      <c r="K1061" s="193">
        <f t="shared" si="228"/>
        <v>57</v>
      </c>
      <c r="L1061" s="194">
        <v>0</v>
      </c>
      <c r="M1061" s="194">
        <v>66</v>
      </c>
      <c r="N1061" s="194">
        <v>0</v>
      </c>
      <c r="O1061" s="193">
        <f t="shared" si="229"/>
        <v>66</v>
      </c>
      <c r="P1061" s="194">
        <v>0</v>
      </c>
      <c r="Q1061" s="194">
        <v>0</v>
      </c>
      <c r="R1061" s="194">
        <v>0</v>
      </c>
      <c r="S1061" s="193">
        <f t="shared" si="230"/>
        <v>0</v>
      </c>
      <c r="T1061" s="193">
        <f t="shared" si="231"/>
        <v>4.0999999999999996</v>
      </c>
      <c r="U1061" s="193">
        <f ca="1">OFFSET('Expenditure Study'!$B$7,'Operations Support'!$C1061,'Operations Support'!$B1061)*$G1061</f>
        <v>116.85</v>
      </c>
      <c r="V1061" s="199">
        <f ca="1">U1061*'Expenditure Study'!$B$31</f>
        <v>6903.8696764799997</v>
      </c>
      <c r="W1061" s="199">
        <f ca="1">IF(A1061=10298,1.51,1)*IF($B1061&lt;3,$D1061*'Expenditure Study'!$B$32*OFFSET('Expenditure Study'!$B$7,'Operations Support'!$C1061,'Operations Support'!$B1061),0)</f>
        <v>0</v>
      </c>
      <c r="X1061" s="200">
        <f ca="1">W1061*'Expenditure Study'!$B$31</f>
        <v>0</v>
      </c>
      <c r="Y1061" s="199">
        <f ca="1">U1061*'Expenditure Study'!$B$31</f>
        <v>6903.8696764799997</v>
      </c>
      <c r="Z1061" s="200">
        <f ca="1">W1061*'Expenditure Study'!$B$31</f>
        <v>0</v>
      </c>
      <c r="AA1061" s="195">
        <f t="shared" ca="1" si="232"/>
        <v>6903.8696764799997</v>
      </c>
      <c r="AB1061" s="195">
        <f t="shared" ca="1" si="233"/>
        <v>6903.8696764799997</v>
      </c>
      <c r="AD1061" s="196">
        <f>IFERROR($G1061/SUMIF($A:$A,$A1061,$G:$G)*SUMIF(Summary!$A$166:$A$242,$A1061,Summary!$P$166:$P$242),0)</f>
        <v>3652.4980190780343</v>
      </c>
      <c r="AE1061" s="197">
        <f t="shared" ca="1" si="234"/>
        <v>3251.3716574019654</v>
      </c>
      <c r="AF1061" s="196">
        <f>IFERROR(G1061/SUMIF(A:A,A1061,G:G)*SUMIF(Summary!$A$166:$A$242,'Operations Support'!A1061,Summary!$Q$166:$Q$242),0)</f>
        <v>3659.5160732237619</v>
      </c>
      <c r="AG1061" s="196">
        <f t="shared" ca="1" si="235"/>
        <v>3244.3536032562379</v>
      </c>
      <c r="AI1061" s="196">
        <f>IFERROR($G1061/SUMIF($A:$A,$A1061,$G:$G)*SUMIF(Summary!$A$247:$A$283,$A1061,Summary!$P$247:$P$283),0)</f>
        <v>666.12449160778124</v>
      </c>
      <c r="AJ1061" s="196">
        <f>IFERROR($G1061/SUMIF($A:$A,$A1061,$G:$G)*(SUMIF(Summary!$A$247:$A$283,$A1061,Summary!$L$247:$L$283)+SUMIF(Summary!$A$297:$A$333,$A1061,Summary!$L$297:$L$333))-AI1061,0)</f>
        <v>9508.7341419476088</v>
      </c>
      <c r="AK1061" s="196">
        <f>IFERROR($G1061/SUMIF($A:$A,$A1061,$G:$G)*SUMIF(Summary!$A$247:$A$283,$A1061,Summary!$Q$247:$Q$283),0)</f>
        <v>667.40440955037286</v>
      </c>
      <c r="AL1061" s="196">
        <f>IFERROR($G1061/SUMIF($A:$A,$A1061,$G:$G)*(SUMIF(Summary!$A$247:$A$283,$A1061,Summary!$L$247:$L$283)+SUMIF(Summary!$A$297:$A$333,$A1061,Summary!$L$297:$L$333))-AK1061,0)</f>
        <v>9507.4542240050177</v>
      </c>
      <c r="AM1061" s="198"/>
      <c r="AN1061" s="196">
        <f t="shared" ca="1" si="236"/>
        <v>12760.105799349574</v>
      </c>
      <c r="AO1061" s="196">
        <f t="shared" ca="1" si="237"/>
        <v>12751.807827261255</v>
      </c>
    </row>
    <row r="1062" spans="1:41">
      <c r="A1062" s="189">
        <v>3625</v>
      </c>
      <c r="B1062" s="203">
        <v>1</v>
      </c>
      <c r="C1062" s="191" t="s">
        <v>227</v>
      </c>
      <c r="D1062" s="192">
        <f t="shared" si="224"/>
        <v>0</v>
      </c>
      <c r="E1062" s="192">
        <f t="shared" si="225"/>
        <v>0</v>
      </c>
      <c r="F1062" s="192">
        <f t="shared" si="226"/>
        <v>0</v>
      </c>
      <c r="G1062" s="193">
        <f t="shared" si="227"/>
        <v>0</v>
      </c>
      <c r="H1062" s="194">
        <v>0</v>
      </c>
      <c r="I1062" s="194">
        <v>0</v>
      </c>
      <c r="J1062" s="194">
        <v>0</v>
      </c>
      <c r="K1062" s="193">
        <f t="shared" si="228"/>
        <v>0</v>
      </c>
      <c r="L1062" s="194">
        <v>0</v>
      </c>
      <c r="M1062" s="194">
        <v>0</v>
      </c>
      <c r="N1062" s="194">
        <v>0</v>
      </c>
      <c r="O1062" s="193">
        <f t="shared" si="229"/>
        <v>0</v>
      </c>
      <c r="P1062" s="194">
        <v>0</v>
      </c>
      <c r="Q1062" s="194">
        <v>0</v>
      </c>
      <c r="R1062" s="194">
        <v>0</v>
      </c>
      <c r="S1062" s="193">
        <f t="shared" si="230"/>
        <v>0</v>
      </c>
      <c r="T1062" s="193">
        <f t="shared" si="231"/>
        <v>0</v>
      </c>
      <c r="U1062" s="193">
        <f ca="1">OFFSET('Expenditure Study'!$B$7,'Operations Support'!$C1062,'Operations Support'!$B1062)*$G1062</f>
        <v>0</v>
      </c>
      <c r="V1062" s="199">
        <f ca="1">U1062*'Expenditure Study'!$B$31</f>
        <v>0</v>
      </c>
      <c r="W1062" s="199">
        <f ca="1">IF(A1062=10298,1.51,1)*IF($B1062&lt;3,$D1062*'Expenditure Study'!$B$32*OFFSET('Expenditure Study'!$B$7,'Operations Support'!$C1062,'Operations Support'!$B1062),0)</f>
        <v>0</v>
      </c>
      <c r="X1062" s="200">
        <f ca="1">W1062*'Expenditure Study'!$B$31</f>
        <v>0</v>
      </c>
      <c r="Y1062" s="199">
        <f ca="1">U1062*'Expenditure Study'!$B$31</f>
        <v>0</v>
      </c>
      <c r="Z1062" s="200">
        <f ca="1">W1062*'Expenditure Study'!$B$31</f>
        <v>0</v>
      </c>
      <c r="AA1062" s="195">
        <f t="shared" ca="1" si="232"/>
        <v>0</v>
      </c>
      <c r="AB1062" s="195">
        <f t="shared" ca="1" si="233"/>
        <v>0</v>
      </c>
      <c r="AD1062" s="196">
        <f>IFERROR($G1062/SUMIF($A:$A,$A1062,$G:$G)*SUMIF(Summary!$A$166:$A$242,$A1062,Summary!$P$166:$P$242),0)</f>
        <v>0</v>
      </c>
      <c r="AE1062" s="197">
        <f t="shared" ca="1" si="234"/>
        <v>0</v>
      </c>
      <c r="AF1062" s="196">
        <f>IFERROR(G1062/SUMIF(A:A,A1062,G:G)*SUMIF(Summary!$A$166:$A$242,'Operations Support'!A1062,Summary!$Q$166:$Q$242),0)</f>
        <v>0</v>
      </c>
      <c r="AG1062" s="196">
        <f t="shared" ca="1" si="235"/>
        <v>0</v>
      </c>
      <c r="AI1062" s="196">
        <f>IFERROR($G1062/SUMIF($A:$A,$A1062,$G:$G)*SUMIF(Summary!$A$247:$A$283,$A1062,Summary!$P$247:$P$283),0)</f>
        <v>0</v>
      </c>
      <c r="AJ1062" s="196">
        <f>IFERROR($G1062/SUMIF($A:$A,$A1062,$G:$G)*(SUMIF(Summary!$A$247:$A$283,$A1062,Summary!$L$247:$L$283)+SUMIF(Summary!$A$297:$A$333,$A1062,Summary!$L$297:$L$333))-AI1062,0)</f>
        <v>0</v>
      </c>
      <c r="AK1062" s="196">
        <f>IFERROR($G1062/SUMIF($A:$A,$A1062,$G:$G)*SUMIF(Summary!$A$247:$A$283,$A1062,Summary!$Q$247:$Q$283),0)</f>
        <v>0</v>
      </c>
      <c r="AL1062" s="196">
        <f>IFERROR($G1062/SUMIF($A:$A,$A1062,$G:$G)*(SUMIF(Summary!$A$247:$A$283,$A1062,Summary!$L$247:$L$283)+SUMIF(Summary!$A$297:$A$333,$A1062,Summary!$L$297:$L$333))-AK1062,0)</f>
        <v>0</v>
      </c>
      <c r="AM1062" s="198"/>
      <c r="AN1062" s="196">
        <f t="shared" ca="1" si="236"/>
        <v>0</v>
      </c>
      <c r="AO1062" s="196">
        <f t="shared" ca="1" si="237"/>
        <v>0</v>
      </c>
    </row>
    <row r="1063" spans="1:41">
      <c r="A1063" s="189">
        <v>3625</v>
      </c>
      <c r="B1063" s="203">
        <v>1</v>
      </c>
      <c r="C1063" s="191" t="s">
        <v>228</v>
      </c>
      <c r="D1063" s="192">
        <f t="shared" si="224"/>
        <v>0</v>
      </c>
      <c r="E1063" s="192">
        <f t="shared" si="225"/>
        <v>0</v>
      </c>
      <c r="F1063" s="192">
        <f t="shared" si="226"/>
        <v>0</v>
      </c>
      <c r="G1063" s="193">
        <f t="shared" si="227"/>
        <v>0</v>
      </c>
      <c r="H1063" s="194">
        <v>0</v>
      </c>
      <c r="I1063" s="194">
        <v>0</v>
      </c>
      <c r="J1063" s="194">
        <v>0</v>
      </c>
      <c r="K1063" s="193">
        <f t="shared" si="228"/>
        <v>0</v>
      </c>
      <c r="L1063" s="194">
        <v>0</v>
      </c>
      <c r="M1063" s="194">
        <v>0</v>
      </c>
      <c r="N1063" s="194">
        <v>0</v>
      </c>
      <c r="O1063" s="193">
        <f t="shared" si="229"/>
        <v>0</v>
      </c>
      <c r="P1063" s="194">
        <v>0</v>
      </c>
      <c r="Q1063" s="194">
        <v>0</v>
      </c>
      <c r="R1063" s="194">
        <v>0</v>
      </c>
      <c r="S1063" s="193">
        <f t="shared" si="230"/>
        <v>0</v>
      </c>
      <c r="T1063" s="193">
        <f t="shared" si="231"/>
        <v>0</v>
      </c>
      <c r="U1063" s="193">
        <f ca="1">OFFSET('Expenditure Study'!$B$7,'Operations Support'!$C1063,'Operations Support'!$B1063)*$G1063</f>
        <v>0</v>
      </c>
      <c r="V1063" s="199">
        <f ca="1">U1063*'Expenditure Study'!$B$31</f>
        <v>0</v>
      </c>
      <c r="W1063" s="199">
        <f ca="1">IF(A1063=10298,1.51,1)*IF($B1063&lt;3,$D1063*'Expenditure Study'!$B$32*OFFSET('Expenditure Study'!$B$7,'Operations Support'!$C1063,'Operations Support'!$B1063),0)</f>
        <v>0</v>
      </c>
      <c r="X1063" s="200">
        <f ca="1">W1063*'Expenditure Study'!$B$31</f>
        <v>0</v>
      </c>
      <c r="Y1063" s="199">
        <f ca="1">U1063*'Expenditure Study'!$B$31</f>
        <v>0</v>
      </c>
      <c r="Z1063" s="200">
        <f ca="1">W1063*'Expenditure Study'!$B$31</f>
        <v>0</v>
      </c>
      <c r="AA1063" s="195">
        <f t="shared" ca="1" si="232"/>
        <v>0</v>
      </c>
      <c r="AB1063" s="195">
        <f t="shared" ca="1" si="233"/>
        <v>0</v>
      </c>
      <c r="AD1063" s="196">
        <f>IFERROR($G1063/SUMIF($A:$A,$A1063,$G:$G)*SUMIF(Summary!$A$166:$A$242,$A1063,Summary!$P$166:$P$242),0)</f>
        <v>0</v>
      </c>
      <c r="AE1063" s="197">
        <f t="shared" ca="1" si="234"/>
        <v>0</v>
      </c>
      <c r="AF1063" s="196">
        <f>IFERROR(G1063/SUMIF(A:A,A1063,G:G)*SUMIF(Summary!$A$166:$A$242,'Operations Support'!A1063,Summary!$Q$166:$Q$242),0)</f>
        <v>0</v>
      </c>
      <c r="AG1063" s="196">
        <f t="shared" ca="1" si="235"/>
        <v>0</v>
      </c>
      <c r="AI1063" s="196">
        <f>IFERROR($G1063/SUMIF($A:$A,$A1063,$G:$G)*SUMIF(Summary!$A$247:$A$283,$A1063,Summary!$P$247:$P$283),0)</f>
        <v>0</v>
      </c>
      <c r="AJ1063" s="196">
        <f>IFERROR($G1063/SUMIF($A:$A,$A1063,$G:$G)*(SUMIF(Summary!$A$247:$A$283,$A1063,Summary!$L$247:$L$283)+SUMIF(Summary!$A$297:$A$333,$A1063,Summary!$L$297:$L$333))-AI1063,0)</f>
        <v>0</v>
      </c>
      <c r="AK1063" s="196">
        <f>IFERROR($G1063/SUMIF($A:$A,$A1063,$G:$G)*SUMIF(Summary!$A$247:$A$283,$A1063,Summary!$Q$247:$Q$283),0)</f>
        <v>0</v>
      </c>
      <c r="AL1063" s="196">
        <f>IFERROR($G1063/SUMIF($A:$A,$A1063,$G:$G)*(SUMIF(Summary!$A$247:$A$283,$A1063,Summary!$L$247:$L$283)+SUMIF(Summary!$A$297:$A$333,$A1063,Summary!$L$297:$L$333))-AK1063,0)</f>
        <v>0</v>
      </c>
      <c r="AM1063" s="198"/>
      <c r="AN1063" s="196">
        <f t="shared" ca="1" si="236"/>
        <v>0</v>
      </c>
      <c r="AO1063" s="196">
        <f t="shared" ca="1" si="237"/>
        <v>0</v>
      </c>
    </row>
    <row r="1064" spans="1:41">
      <c r="A1064" s="189">
        <v>3625</v>
      </c>
      <c r="B1064" s="203">
        <v>1</v>
      </c>
      <c r="C1064" s="191" t="s">
        <v>229</v>
      </c>
      <c r="D1064" s="192">
        <f t="shared" si="224"/>
        <v>0</v>
      </c>
      <c r="E1064" s="192">
        <f t="shared" si="225"/>
        <v>0</v>
      </c>
      <c r="F1064" s="192">
        <f t="shared" si="226"/>
        <v>0</v>
      </c>
      <c r="G1064" s="193">
        <f t="shared" si="227"/>
        <v>0</v>
      </c>
      <c r="H1064" s="194">
        <v>0</v>
      </c>
      <c r="I1064" s="194">
        <v>0</v>
      </c>
      <c r="J1064" s="194">
        <v>0</v>
      </c>
      <c r="K1064" s="193">
        <f t="shared" si="228"/>
        <v>0</v>
      </c>
      <c r="L1064" s="194">
        <v>0</v>
      </c>
      <c r="M1064" s="194">
        <v>0</v>
      </c>
      <c r="N1064" s="194">
        <v>0</v>
      </c>
      <c r="O1064" s="193">
        <f t="shared" si="229"/>
        <v>0</v>
      </c>
      <c r="P1064" s="194">
        <v>0</v>
      </c>
      <c r="Q1064" s="194">
        <v>0</v>
      </c>
      <c r="R1064" s="194">
        <v>0</v>
      </c>
      <c r="S1064" s="193">
        <f t="shared" si="230"/>
        <v>0</v>
      </c>
      <c r="T1064" s="193">
        <f t="shared" si="231"/>
        <v>0</v>
      </c>
      <c r="U1064" s="193">
        <f ca="1">OFFSET('Expenditure Study'!$B$7,'Operations Support'!$C1064,'Operations Support'!$B1064)*$G1064</f>
        <v>0</v>
      </c>
      <c r="V1064" s="199">
        <f ca="1">U1064*'Expenditure Study'!$B$31</f>
        <v>0</v>
      </c>
      <c r="W1064" s="199">
        <f ca="1">IF(A1064=10298,1.51,1)*IF($B1064&lt;3,$D1064*'Expenditure Study'!$B$32*OFFSET('Expenditure Study'!$B$7,'Operations Support'!$C1064,'Operations Support'!$B1064),0)</f>
        <v>0</v>
      </c>
      <c r="X1064" s="200">
        <f ca="1">W1064*'Expenditure Study'!$B$31</f>
        <v>0</v>
      </c>
      <c r="Y1064" s="199">
        <f ca="1">U1064*'Expenditure Study'!$B$31</f>
        <v>0</v>
      </c>
      <c r="Z1064" s="200">
        <f ca="1">W1064*'Expenditure Study'!$B$31</f>
        <v>0</v>
      </c>
      <c r="AA1064" s="195">
        <f t="shared" ca="1" si="232"/>
        <v>0</v>
      </c>
      <c r="AB1064" s="195">
        <f t="shared" ca="1" si="233"/>
        <v>0</v>
      </c>
      <c r="AD1064" s="196">
        <f>IFERROR($G1064/SUMIF($A:$A,$A1064,$G:$G)*SUMIF(Summary!$A$166:$A$242,$A1064,Summary!$P$166:$P$242),0)</f>
        <v>0</v>
      </c>
      <c r="AE1064" s="197">
        <f t="shared" ca="1" si="234"/>
        <v>0</v>
      </c>
      <c r="AF1064" s="196">
        <f>IFERROR(G1064/SUMIF(A:A,A1064,G:G)*SUMIF(Summary!$A$166:$A$242,'Operations Support'!A1064,Summary!$Q$166:$Q$242),0)</f>
        <v>0</v>
      </c>
      <c r="AG1064" s="196">
        <f t="shared" ca="1" si="235"/>
        <v>0</v>
      </c>
      <c r="AI1064" s="196">
        <f>IFERROR($G1064/SUMIF($A:$A,$A1064,$G:$G)*SUMIF(Summary!$A$247:$A$283,$A1064,Summary!$P$247:$P$283),0)</f>
        <v>0</v>
      </c>
      <c r="AJ1064" s="196">
        <f>IFERROR($G1064/SUMIF($A:$A,$A1064,$G:$G)*(SUMIF(Summary!$A$247:$A$283,$A1064,Summary!$L$247:$L$283)+SUMIF(Summary!$A$297:$A$333,$A1064,Summary!$L$297:$L$333))-AI1064,0)</f>
        <v>0</v>
      </c>
      <c r="AK1064" s="196">
        <f>IFERROR($G1064/SUMIF($A:$A,$A1064,$G:$G)*SUMIF(Summary!$A$247:$A$283,$A1064,Summary!$Q$247:$Q$283),0)</f>
        <v>0</v>
      </c>
      <c r="AL1064" s="196">
        <f>IFERROR($G1064/SUMIF($A:$A,$A1064,$G:$G)*(SUMIF(Summary!$A$247:$A$283,$A1064,Summary!$L$247:$L$283)+SUMIF(Summary!$A$297:$A$333,$A1064,Summary!$L$297:$L$333))-AK1064,0)</f>
        <v>0</v>
      </c>
      <c r="AM1064" s="198"/>
      <c r="AN1064" s="196">
        <f t="shared" ca="1" si="236"/>
        <v>0</v>
      </c>
      <c r="AO1064" s="196">
        <f t="shared" ca="1" si="237"/>
        <v>0</v>
      </c>
    </row>
    <row r="1065" spans="1:41">
      <c r="A1065" s="189">
        <v>3625</v>
      </c>
      <c r="B1065" s="203">
        <v>1</v>
      </c>
      <c r="C1065" s="191" t="s">
        <v>230</v>
      </c>
      <c r="D1065" s="192">
        <f t="shared" si="224"/>
        <v>0</v>
      </c>
      <c r="E1065" s="192">
        <f t="shared" si="225"/>
        <v>0</v>
      </c>
      <c r="F1065" s="192">
        <f t="shared" si="226"/>
        <v>0</v>
      </c>
      <c r="G1065" s="193">
        <f t="shared" si="227"/>
        <v>0</v>
      </c>
      <c r="H1065" s="194">
        <v>0</v>
      </c>
      <c r="I1065" s="194">
        <v>0</v>
      </c>
      <c r="J1065" s="194">
        <v>0</v>
      </c>
      <c r="K1065" s="193">
        <f t="shared" si="228"/>
        <v>0</v>
      </c>
      <c r="L1065" s="194">
        <v>0</v>
      </c>
      <c r="M1065" s="194">
        <v>0</v>
      </c>
      <c r="N1065" s="194">
        <v>0</v>
      </c>
      <c r="O1065" s="193">
        <f t="shared" si="229"/>
        <v>0</v>
      </c>
      <c r="P1065" s="194">
        <v>0</v>
      </c>
      <c r="Q1065" s="194">
        <v>0</v>
      </c>
      <c r="R1065" s="194">
        <v>0</v>
      </c>
      <c r="S1065" s="193">
        <f t="shared" si="230"/>
        <v>0</v>
      </c>
      <c r="T1065" s="193">
        <f t="shared" si="231"/>
        <v>0</v>
      </c>
      <c r="U1065" s="193">
        <f ca="1">OFFSET('Expenditure Study'!$B$7,'Operations Support'!$C1065,'Operations Support'!$B1065)*$G1065</f>
        <v>0</v>
      </c>
      <c r="V1065" s="199">
        <f ca="1">U1065*'Expenditure Study'!$B$31</f>
        <v>0</v>
      </c>
      <c r="W1065" s="199">
        <f ca="1">IF(A1065=10298,1.51,1)*IF($B1065&lt;3,$D1065*'Expenditure Study'!$B$32*OFFSET('Expenditure Study'!$B$7,'Operations Support'!$C1065,'Operations Support'!$B1065),0)</f>
        <v>0</v>
      </c>
      <c r="X1065" s="200">
        <f ca="1">W1065*'Expenditure Study'!$B$31</f>
        <v>0</v>
      </c>
      <c r="Y1065" s="199">
        <f ca="1">U1065*'Expenditure Study'!$B$31</f>
        <v>0</v>
      </c>
      <c r="Z1065" s="200">
        <f ca="1">W1065*'Expenditure Study'!$B$31</f>
        <v>0</v>
      </c>
      <c r="AA1065" s="195">
        <f t="shared" ca="1" si="232"/>
        <v>0</v>
      </c>
      <c r="AB1065" s="195">
        <f t="shared" ca="1" si="233"/>
        <v>0</v>
      </c>
      <c r="AD1065" s="196">
        <f>IFERROR($G1065/SUMIF($A:$A,$A1065,$G:$G)*SUMIF(Summary!$A$166:$A$242,$A1065,Summary!$P$166:$P$242),0)</f>
        <v>0</v>
      </c>
      <c r="AE1065" s="197">
        <f t="shared" ca="1" si="234"/>
        <v>0</v>
      </c>
      <c r="AF1065" s="196">
        <f>IFERROR(G1065/SUMIF(A:A,A1065,G:G)*SUMIF(Summary!$A$166:$A$242,'Operations Support'!A1065,Summary!$Q$166:$Q$242),0)</f>
        <v>0</v>
      </c>
      <c r="AG1065" s="196">
        <f t="shared" ca="1" si="235"/>
        <v>0</v>
      </c>
      <c r="AI1065" s="196">
        <f>IFERROR($G1065/SUMIF($A:$A,$A1065,$G:$G)*SUMIF(Summary!$A$247:$A$283,$A1065,Summary!$P$247:$P$283),0)</f>
        <v>0</v>
      </c>
      <c r="AJ1065" s="196">
        <f>IFERROR($G1065/SUMIF($A:$A,$A1065,$G:$G)*(SUMIF(Summary!$A$247:$A$283,$A1065,Summary!$L$247:$L$283)+SUMIF(Summary!$A$297:$A$333,$A1065,Summary!$L$297:$L$333))-AI1065,0)</f>
        <v>0</v>
      </c>
      <c r="AK1065" s="196">
        <f>IFERROR($G1065/SUMIF($A:$A,$A1065,$G:$G)*SUMIF(Summary!$A$247:$A$283,$A1065,Summary!$Q$247:$Q$283),0)</f>
        <v>0</v>
      </c>
      <c r="AL1065" s="196">
        <f>IFERROR($G1065/SUMIF($A:$A,$A1065,$G:$G)*(SUMIF(Summary!$A$247:$A$283,$A1065,Summary!$L$247:$L$283)+SUMIF(Summary!$A$297:$A$333,$A1065,Summary!$L$297:$L$333))-AK1065,0)</f>
        <v>0</v>
      </c>
      <c r="AM1065" s="198"/>
      <c r="AN1065" s="196">
        <f t="shared" ca="1" si="236"/>
        <v>0</v>
      </c>
      <c r="AO1065" s="196">
        <f t="shared" ca="1" si="237"/>
        <v>0</v>
      </c>
    </row>
    <row r="1066" spans="1:41">
      <c r="A1066" s="189">
        <v>3625</v>
      </c>
      <c r="B1066" s="203">
        <v>1</v>
      </c>
      <c r="C1066" s="191" t="s">
        <v>231</v>
      </c>
      <c r="D1066" s="192">
        <f t="shared" si="224"/>
        <v>54</v>
      </c>
      <c r="E1066" s="192">
        <f t="shared" si="225"/>
        <v>54</v>
      </c>
      <c r="F1066" s="192">
        <f t="shared" si="226"/>
        <v>0</v>
      </c>
      <c r="G1066" s="193">
        <f t="shared" si="227"/>
        <v>108</v>
      </c>
      <c r="H1066" s="194">
        <v>0</v>
      </c>
      <c r="I1066" s="194">
        <v>6</v>
      </c>
      <c r="J1066" s="194">
        <v>0</v>
      </c>
      <c r="K1066" s="193">
        <f t="shared" si="228"/>
        <v>6</v>
      </c>
      <c r="L1066" s="194">
        <v>54</v>
      </c>
      <c r="M1066" s="194">
        <v>48</v>
      </c>
      <c r="N1066" s="194">
        <v>0</v>
      </c>
      <c r="O1066" s="193">
        <f t="shared" si="229"/>
        <v>102</v>
      </c>
      <c r="P1066" s="194">
        <v>0</v>
      </c>
      <c r="Q1066" s="194">
        <v>0</v>
      </c>
      <c r="R1066" s="194">
        <v>0</v>
      </c>
      <c r="S1066" s="193">
        <f t="shared" si="230"/>
        <v>0</v>
      </c>
      <c r="T1066" s="193">
        <f t="shared" si="231"/>
        <v>3.6</v>
      </c>
      <c r="U1066" s="193">
        <f ca="1">OFFSET('Expenditure Study'!$B$7,'Operations Support'!$C1066,'Operations Support'!$B1066)*$G1066</f>
        <v>164.16</v>
      </c>
      <c r="V1066" s="199">
        <f ca="1">U1066*'Expenditure Study'!$B$31</f>
        <v>9699.0949601280008</v>
      </c>
      <c r="W1066" s="199">
        <f ca="1">IF(A1066=10298,1.51,1)*IF($B1066&lt;3,$D1066*'Expenditure Study'!$B$32*OFFSET('Expenditure Study'!$B$7,'Operations Support'!$C1066,'Operations Support'!$B1066),0)</f>
        <v>8.2080000000000002</v>
      </c>
      <c r="X1066" s="200">
        <f ca="1">W1066*'Expenditure Study'!$B$31</f>
        <v>484.9547480064</v>
      </c>
      <c r="Y1066" s="199">
        <f ca="1">U1066*'Expenditure Study'!$B$31</f>
        <v>9699.0949601280008</v>
      </c>
      <c r="Z1066" s="200">
        <f ca="1">W1066*'Expenditure Study'!$B$31</f>
        <v>484.9547480064</v>
      </c>
      <c r="AA1066" s="195">
        <f t="shared" ca="1" si="232"/>
        <v>10184.0497081344</v>
      </c>
      <c r="AB1066" s="195">
        <f t="shared" ca="1" si="233"/>
        <v>10184.0497081344</v>
      </c>
      <c r="AD1066" s="196">
        <f>IFERROR($G1066/SUMIF($A:$A,$A1066,$G:$G)*SUMIF(Summary!$A$166:$A$242,$A1066,Summary!$P$166:$P$242),0)</f>
        <v>3207.0714313855906</v>
      </c>
      <c r="AE1066" s="197">
        <f t="shared" ca="1" si="234"/>
        <v>6976.9782767488095</v>
      </c>
      <c r="AF1066" s="196">
        <f>IFERROR(G1066/SUMIF(A:A,A1066,G:G)*SUMIF(Summary!$A$166:$A$242,'Operations Support'!A1066,Summary!$Q$166:$Q$242),0)</f>
        <v>3213.2336252696441</v>
      </c>
      <c r="AG1066" s="196">
        <f t="shared" ca="1" si="235"/>
        <v>6970.816082864756</v>
      </c>
      <c r="AI1066" s="196">
        <f>IFERROR($G1066/SUMIF($A:$A,$A1066,$G:$G)*SUMIF(Summary!$A$247:$A$283,$A1066,Summary!$P$247:$P$283),0)</f>
        <v>584.88979750927126</v>
      </c>
      <c r="AJ1066" s="196">
        <f>IFERROR($G1066/SUMIF($A:$A,$A1066,$G:$G)*(SUMIF(Summary!$A$247:$A$283,$A1066,Summary!$L$247:$L$283)+SUMIF(Summary!$A$297:$A$333,$A1066,Summary!$L$297:$L$333))-AI1066,0)</f>
        <v>8349.1324173198518</v>
      </c>
      <c r="AK1066" s="196">
        <f>IFERROR($G1066/SUMIF($A:$A,$A1066,$G:$G)*SUMIF(Summary!$A$247:$A$283,$A1066,Summary!$Q$247:$Q$283),0)</f>
        <v>586.01362789788834</v>
      </c>
      <c r="AL1066" s="196">
        <f>IFERROR($G1066/SUMIF($A:$A,$A1066,$G:$G)*(SUMIF(Summary!$A$247:$A$283,$A1066,Summary!$L$247:$L$283)+SUMIF(Summary!$A$297:$A$333,$A1066,Summary!$L$297:$L$333))-AK1066,0)</f>
        <v>8348.0085869312352</v>
      </c>
      <c r="AM1066" s="198"/>
      <c r="AN1066" s="196">
        <f t="shared" ca="1" si="236"/>
        <v>15326.110694068662</v>
      </c>
      <c r="AO1066" s="196">
        <f t="shared" ca="1" si="237"/>
        <v>15318.824669795991</v>
      </c>
    </row>
    <row r="1067" spans="1:41">
      <c r="A1067" s="189">
        <v>3625</v>
      </c>
      <c r="B1067" s="203">
        <v>1</v>
      </c>
      <c r="C1067" s="191" t="s">
        <v>232</v>
      </c>
      <c r="D1067" s="192">
        <f t="shared" si="224"/>
        <v>3</v>
      </c>
      <c r="E1067" s="192">
        <f t="shared" si="225"/>
        <v>3</v>
      </c>
      <c r="F1067" s="192">
        <f t="shared" si="226"/>
        <v>0</v>
      </c>
      <c r="G1067" s="193">
        <f t="shared" si="227"/>
        <v>6</v>
      </c>
      <c r="H1067" s="194">
        <v>0</v>
      </c>
      <c r="I1067" s="194">
        <v>0</v>
      </c>
      <c r="J1067" s="194">
        <v>0</v>
      </c>
      <c r="K1067" s="193">
        <f t="shared" si="228"/>
        <v>0</v>
      </c>
      <c r="L1067" s="194">
        <v>3</v>
      </c>
      <c r="M1067" s="194">
        <v>3</v>
      </c>
      <c r="N1067" s="194">
        <v>0</v>
      </c>
      <c r="O1067" s="193">
        <f t="shared" si="229"/>
        <v>6</v>
      </c>
      <c r="P1067" s="194">
        <v>0</v>
      </c>
      <c r="Q1067" s="194">
        <v>0</v>
      </c>
      <c r="R1067" s="194">
        <v>0</v>
      </c>
      <c r="S1067" s="193">
        <f t="shared" si="230"/>
        <v>0</v>
      </c>
      <c r="T1067" s="193">
        <f t="shared" si="231"/>
        <v>0.2</v>
      </c>
      <c r="U1067" s="193">
        <f ca="1">OFFSET('Expenditure Study'!$B$7,'Operations Support'!$C1067,'Operations Support'!$B1067)*$G1067</f>
        <v>9.7200000000000006</v>
      </c>
      <c r="V1067" s="199">
        <f ca="1">U1067*'Expenditure Study'!$B$31</f>
        <v>574.28851737600007</v>
      </c>
      <c r="W1067" s="199">
        <f ca="1">IF(A1067=10298,1.51,1)*IF($B1067&lt;3,$D1067*'Expenditure Study'!$B$32*OFFSET('Expenditure Study'!$B$7,'Operations Support'!$C1067,'Operations Support'!$B1067),0)</f>
        <v>0.4860000000000001</v>
      </c>
      <c r="X1067" s="200">
        <f ca="1">W1067*'Expenditure Study'!$B$31</f>
        <v>28.714425868800006</v>
      </c>
      <c r="Y1067" s="199">
        <f ca="1">U1067*'Expenditure Study'!$B$31</f>
        <v>574.28851737600007</v>
      </c>
      <c r="Z1067" s="200">
        <f ca="1">W1067*'Expenditure Study'!$B$31</f>
        <v>28.714425868800006</v>
      </c>
      <c r="AA1067" s="195">
        <f t="shared" ca="1" si="232"/>
        <v>603.00294324480012</v>
      </c>
      <c r="AB1067" s="195">
        <f t="shared" ca="1" si="233"/>
        <v>603.00294324480012</v>
      </c>
      <c r="AD1067" s="196">
        <f>IFERROR($G1067/SUMIF($A:$A,$A1067,$G:$G)*SUMIF(Summary!$A$166:$A$242,$A1067,Summary!$P$166:$P$242),0)</f>
        <v>178.17063507697728</v>
      </c>
      <c r="AE1067" s="197">
        <f t="shared" ca="1" si="234"/>
        <v>424.83230816782282</v>
      </c>
      <c r="AF1067" s="196">
        <f>IFERROR(G1067/SUMIF(A:A,A1067,G:G)*SUMIF(Summary!$A$166:$A$242,'Operations Support'!A1067,Summary!$Q$166:$Q$242),0)</f>
        <v>178.5129791816469</v>
      </c>
      <c r="AG1067" s="196">
        <f t="shared" ca="1" si="235"/>
        <v>424.48996406315325</v>
      </c>
      <c r="AI1067" s="196">
        <f>IFERROR($G1067/SUMIF($A:$A,$A1067,$G:$G)*SUMIF(Summary!$A$247:$A$283,$A1067,Summary!$P$247:$P$283),0)</f>
        <v>32.493877639403955</v>
      </c>
      <c r="AJ1067" s="196">
        <f>IFERROR($G1067/SUMIF($A:$A,$A1067,$G:$G)*(SUMIF(Summary!$A$247:$A$283,$A1067,Summary!$L$247:$L$283)+SUMIF(Summary!$A$297:$A$333,$A1067,Summary!$L$297:$L$333))-AI1067,0)</f>
        <v>463.84068985110287</v>
      </c>
      <c r="AK1067" s="196">
        <f>IFERROR($G1067/SUMIF($A:$A,$A1067,$G:$G)*SUMIF(Summary!$A$247:$A$283,$A1067,Summary!$Q$247:$Q$283),0)</f>
        <v>32.556312660993797</v>
      </c>
      <c r="AL1067" s="196">
        <f>IFERROR($G1067/SUMIF($A:$A,$A1067,$G:$G)*(SUMIF(Summary!$A$247:$A$283,$A1067,Summary!$L$247:$L$283)+SUMIF(Summary!$A$297:$A$333,$A1067,Summary!$L$297:$L$333))-AK1067,0)</f>
        <v>463.778254829513</v>
      </c>
      <c r="AM1067" s="198"/>
      <c r="AN1067" s="196">
        <f t="shared" ca="1" si="236"/>
        <v>888.67299801892568</v>
      </c>
      <c r="AO1067" s="196">
        <f t="shared" ca="1" si="237"/>
        <v>888.26821889266625</v>
      </c>
    </row>
    <row r="1068" spans="1:41">
      <c r="A1068" s="189">
        <v>3625</v>
      </c>
      <c r="B1068" s="203">
        <v>1</v>
      </c>
      <c r="C1068" s="191" t="s">
        <v>233</v>
      </c>
      <c r="D1068" s="192">
        <f t="shared" si="224"/>
        <v>213</v>
      </c>
      <c r="E1068" s="192">
        <f t="shared" si="225"/>
        <v>90</v>
      </c>
      <c r="F1068" s="192">
        <f t="shared" si="226"/>
        <v>0</v>
      </c>
      <c r="G1068" s="193">
        <f t="shared" si="227"/>
        <v>303</v>
      </c>
      <c r="H1068" s="194">
        <v>93</v>
      </c>
      <c r="I1068" s="194">
        <v>48</v>
      </c>
      <c r="J1068" s="194">
        <v>0</v>
      </c>
      <c r="K1068" s="193">
        <f t="shared" si="228"/>
        <v>141</v>
      </c>
      <c r="L1068" s="194">
        <v>117</v>
      </c>
      <c r="M1068" s="194">
        <v>27</v>
      </c>
      <c r="N1068" s="194">
        <v>0</v>
      </c>
      <c r="O1068" s="193">
        <f t="shared" si="229"/>
        <v>144</v>
      </c>
      <c r="P1068" s="194">
        <v>3</v>
      </c>
      <c r="Q1068" s="194">
        <v>15</v>
      </c>
      <c r="R1068" s="194">
        <v>0</v>
      </c>
      <c r="S1068" s="193">
        <f t="shared" si="230"/>
        <v>18</v>
      </c>
      <c r="T1068" s="193">
        <f t="shared" si="231"/>
        <v>10.1</v>
      </c>
      <c r="U1068" s="193">
        <f ca="1">OFFSET('Expenditure Study'!$B$7,'Operations Support'!$C1068,'Operations Support'!$B1068)*$G1068</f>
        <v>290.88</v>
      </c>
      <c r="V1068" s="199">
        <f ca="1">U1068*'Expenditure Study'!$B$31</f>
        <v>17186.115631103999</v>
      </c>
      <c r="W1068" s="199">
        <f ca="1">IF(A1068=10298,1.51,1)*IF($B1068&lt;3,$D1068*'Expenditure Study'!$B$32*OFFSET('Expenditure Study'!$B$7,'Operations Support'!$C1068,'Operations Support'!$B1068),0)</f>
        <v>20.448</v>
      </c>
      <c r="X1068" s="200">
        <f ca="1">W1068*'Expenditure Study'!$B$31</f>
        <v>1208.1328809984</v>
      </c>
      <c r="Y1068" s="199">
        <f ca="1">U1068*'Expenditure Study'!$B$31</f>
        <v>17186.115631103999</v>
      </c>
      <c r="Z1068" s="200">
        <f ca="1">W1068*'Expenditure Study'!$B$31</f>
        <v>1208.1328809984</v>
      </c>
      <c r="AA1068" s="195">
        <f t="shared" ca="1" si="232"/>
        <v>18394.2485121024</v>
      </c>
      <c r="AB1068" s="195">
        <f t="shared" ca="1" si="233"/>
        <v>18394.2485121024</v>
      </c>
      <c r="AD1068" s="196">
        <f>IFERROR($G1068/SUMIF($A:$A,$A1068,$G:$G)*SUMIF(Summary!$A$166:$A$242,$A1068,Summary!$P$166:$P$242),0)</f>
        <v>8997.6170713873526</v>
      </c>
      <c r="AE1068" s="197">
        <f t="shared" ca="1" si="234"/>
        <v>9396.6314407150476</v>
      </c>
      <c r="AF1068" s="196">
        <f>IFERROR(G1068/SUMIF(A:A,A1068,G:G)*SUMIF(Summary!$A$166:$A$242,'Operations Support'!A1068,Summary!$Q$166:$Q$242),0)</f>
        <v>9014.9054486731675</v>
      </c>
      <c r="AG1068" s="196">
        <f t="shared" ca="1" si="235"/>
        <v>9379.3430634292326</v>
      </c>
      <c r="AI1068" s="196">
        <f>IFERROR($G1068/SUMIF($A:$A,$A1068,$G:$G)*SUMIF(Summary!$A$247:$A$283,$A1068,Summary!$P$247:$P$283),0)</f>
        <v>1640.9408207898998</v>
      </c>
      <c r="AJ1068" s="196">
        <f>IFERROR($G1068/SUMIF($A:$A,$A1068,$G:$G)*(SUMIF(Summary!$A$247:$A$283,$A1068,Summary!$L$247:$L$283)+SUMIF(Summary!$A$297:$A$333,$A1068,Summary!$L$297:$L$333))-AI1068,0)</f>
        <v>23423.954837480695</v>
      </c>
      <c r="AK1068" s="196">
        <f>IFERROR($G1068/SUMIF($A:$A,$A1068,$G:$G)*SUMIF(Summary!$A$247:$A$283,$A1068,Summary!$Q$247:$Q$283),0)</f>
        <v>1644.0937893801868</v>
      </c>
      <c r="AL1068" s="196">
        <f>IFERROR($G1068/SUMIF($A:$A,$A1068,$G:$G)*(SUMIF(Summary!$A$247:$A$283,$A1068,Summary!$L$247:$L$283)+SUMIF(Summary!$A$297:$A$333,$A1068,Summary!$L$297:$L$333))-AK1068,0)</f>
        <v>23420.801868890409</v>
      </c>
      <c r="AM1068" s="198"/>
      <c r="AN1068" s="196">
        <f t="shared" ca="1" si="236"/>
        <v>32820.58627819574</v>
      </c>
      <c r="AO1068" s="196">
        <f t="shared" ca="1" si="237"/>
        <v>32800.144932319643</v>
      </c>
    </row>
    <row r="1069" spans="1:41" s="201" customFormat="1">
      <c r="A1069" s="189">
        <v>3625</v>
      </c>
      <c r="B1069" s="203">
        <v>1</v>
      </c>
      <c r="C1069" s="191" t="s">
        <v>234</v>
      </c>
      <c r="D1069" s="192">
        <f t="shared" si="224"/>
        <v>0</v>
      </c>
      <c r="E1069" s="192">
        <f t="shared" si="225"/>
        <v>0</v>
      </c>
      <c r="F1069" s="192">
        <f t="shared" si="226"/>
        <v>0</v>
      </c>
      <c r="G1069" s="193">
        <f t="shared" si="227"/>
        <v>0</v>
      </c>
      <c r="H1069" s="194">
        <v>0</v>
      </c>
      <c r="I1069" s="194">
        <v>0</v>
      </c>
      <c r="J1069" s="194">
        <v>0</v>
      </c>
      <c r="K1069" s="193">
        <f t="shared" si="228"/>
        <v>0</v>
      </c>
      <c r="L1069" s="194">
        <v>0</v>
      </c>
      <c r="M1069" s="194">
        <v>0</v>
      </c>
      <c r="N1069" s="194">
        <v>0</v>
      </c>
      <c r="O1069" s="193">
        <f t="shared" si="229"/>
        <v>0</v>
      </c>
      <c r="P1069" s="194">
        <v>0</v>
      </c>
      <c r="Q1069" s="194">
        <v>0</v>
      </c>
      <c r="R1069" s="194">
        <v>0</v>
      </c>
      <c r="S1069" s="193">
        <f t="shared" si="230"/>
        <v>0</v>
      </c>
      <c r="T1069" s="193">
        <f t="shared" si="231"/>
        <v>0</v>
      </c>
      <c r="U1069" s="193">
        <f ca="1">OFFSET('Expenditure Study'!$B$7,'Operations Support'!$C1069,'Operations Support'!$B1069)*$G1069</f>
        <v>0</v>
      </c>
      <c r="V1069" s="199">
        <f ca="1">U1069*'Expenditure Study'!$B$31</f>
        <v>0</v>
      </c>
      <c r="W1069" s="199">
        <f ca="1">IF(A1069=10298,1.51,1)*IF($B1069&lt;3,$D1069*'Expenditure Study'!$B$32*OFFSET('Expenditure Study'!$B$7,'Operations Support'!$C1069,'Operations Support'!$B1069),0)</f>
        <v>0</v>
      </c>
      <c r="X1069" s="200">
        <f ca="1">W1069*'Expenditure Study'!$B$31</f>
        <v>0</v>
      </c>
      <c r="Y1069" s="199">
        <f ca="1">U1069*'Expenditure Study'!$B$31</f>
        <v>0</v>
      </c>
      <c r="Z1069" s="200">
        <f ca="1">W1069*'Expenditure Study'!$B$31</f>
        <v>0</v>
      </c>
      <c r="AA1069" s="195">
        <f t="shared" ca="1" si="232"/>
        <v>0</v>
      </c>
      <c r="AB1069" s="195">
        <f t="shared" ca="1" si="233"/>
        <v>0</v>
      </c>
      <c r="AD1069" s="196">
        <f>IFERROR($G1069/SUMIF($A:$A,$A1069,$G:$G)*SUMIF(Summary!$A$166:$A$242,$A1069,Summary!$P$166:$P$242),0)</f>
        <v>0</v>
      </c>
      <c r="AE1069" s="197">
        <f t="shared" ca="1" si="234"/>
        <v>0</v>
      </c>
      <c r="AF1069" s="196">
        <f>IFERROR(G1069/SUMIF(A:A,A1069,G:G)*SUMIF(Summary!$A$166:$A$242,'Operations Support'!A1069,Summary!$Q$166:$Q$242),0)</f>
        <v>0</v>
      </c>
      <c r="AG1069" s="196">
        <f t="shared" ca="1" si="235"/>
        <v>0</v>
      </c>
      <c r="AH1069" s="180"/>
      <c r="AI1069" s="196">
        <f>IFERROR($G1069/SUMIF($A:$A,$A1069,$G:$G)*SUMIF(Summary!$A$247:$A$283,$A1069,Summary!$P$247:$P$283),0)</f>
        <v>0</v>
      </c>
      <c r="AJ1069" s="196">
        <f>IFERROR($G1069/SUMIF($A:$A,$A1069,$G:$G)*(SUMIF(Summary!$A$247:$A$283,$A1069,Summary!$L$247:$L$283)+SUMIF(Summary!$A$297:$A$333,$A1069,Summary!$L$297:$L$333))-AI1069,0)</f>
        <v>0</v>
      </c>
      <c r="AK1069" s="196">
        <f>IFERROR($G1069/SUMIF($A:$A,$A1069,$G:$G)*SUMIF(Summary!$A$247:$A$283,$A1069,Summary!$Q$247:$Q$283),0)</f>
        <v>0</v>
      </c>
      <c r="AL1069" s="196">
        <f>IFERROR($G1069/SUMIF($A:$A,$A1069,$G:$G)*(SUMIF(Summary!$A$247:$A$283,$A1069,Summary!$L$247:$L$283)+SUMIF(Summary!$A$297:$A$333,$A1069,Summary!$L$297:$L$333))-AK1069,0)</f>
        <v>0</v>
      </c>
      <c r="AM1069" s="198"/>
      <c r="AN1069" s="196">
        <f t="shared" ca="1" si="236"/>
        <v>0</v>
      </c>
      <c r="AO1069" s="196">
        <f t="shared" ca="1" si="237"/>
        <v>0</v>
      </c>
    </row>
    <row r="1070" spans="1:41">
      <c r="A1070" s="189">
        <v>3625</v>
      </c>
      <c r="B1070" s="203">
        <v>1</v>
      </c>
      <c r="C1070" s="191" t="s">
        <v>235</v>
      </c>
      <c r="D1070" s="192">
        <f t="shared" si="224"/>
        <v>240</v>
      </c>
      <c r="E1070" s="192">
        <f t="shared" si="225"/>
        <v>219</v>
      </c>
      <c r="F1070" s="192">
        <f t="shared" si="226"/>
        <v>0</v>
      </c>
      <c r="G1070" s="193">
        <f t="shared" si="227"/>
        <v>459</v>
      </c>
      <c r="H1070" s="194">
        <v>138</v>
      </c>
      <c r="I1070" s="194">
        <v>99</v>
      </c>
      <c r="J1070" s="194">
        <v>0</v>
      </c>
      <c r="K1070" s="193">
        <f t="shared" si="228"/>
        <v>237</v>
      </c>
      <c r="L1070" s="194">
        <v>99</v>
      </c>
      <c r="M1070" s="194">
        <v>117</v>
      </c>
      <c r="N1070" s="194">
        <v>0</v>
      </c>
      <c r="O1070" s="193">
        <f t="shared" si="229"/>
        <v>216</v>
      </c>
      <c r="P1070" s="194">
        <v>3</v>
      </c>
      <c r="Q1070" s="194">
        <v>3</v>
      </c>
      <c r="R1070" s="194">
        <v>0</v>
      </c>
      <c r="S1070" s="193">
        <f t="shared" si="230"/>
        <v>6</v>
      </c>
      <c r="T1070" s="193">
        <f t="shared" si="231"/>
        <v>15.3</v>
      </c>
      <c r="U1070" s="193">
        <f ca="1">OFFSET('Expenditure Study'!$B$7,'Operations Support'!$C1070,'Operations Support'!$B1070)*$G1070</f>
        <v>504.90000000000003</v>
      </c>
      <c r="V1070" s="199">
        <f ca="1">U1070*'Expenditure Study'!$B$31</f>
        <v>29831.097985920002</v>
      </c>
      <c r="W1070" s="199">
        <f ca="1">IF(A1070=10298,1.51,1)*IF($B1070&lt;3,$D1070*'Expenditure Study'!$B$32*OFFSET('Expenditure Study'!$B$7,'Operations Support'!$C1070,'Operations Support'!$B1070),0)</f>
        <v>26.400000000000002</v>
      </c>
      <c r="X1070" s="200">
        <f ca="1">W1070*'Expenditure Study'!$B$31</f>
        <v>1559.7959731200001</v>
      </c>
      <c r="Y1070" s="199">
        <f ca="1">U1070*'Expenditure Study'!$B$31</f>
        <v>29831.097985920002</v>
      </c>
      <c r="Z1070" s="200">
        <f ca="1">W1070*'Expenditure Study'!$B$31</f>
        <v>1559.7959731200001</v>
      </c>
      <c r="AA1070" s="195">
        <f t="shared" ca="1" si="232"/>
        <v>31390.89395904</v>
      </c>
      <c r="AB1070" s="195">
        <f t="shared" ca="1" si="233"/>
        <v>31390.89395904</v>
      </c>
      <c r="AD1070" s="196">
        <f>IFERROR($G1070/SUMIF($A:$A,$A1070,$G:$G)*SUMIF(Summary!$A$166:$A$242,$A1070,Summary!$P$166:$P$242),0)</f>
        <v>13630.053583388762</v>
      </c>
      <c r="AE1070" s="197">
        <f t="shared" ca="1" si="234"/>
        <v>17760.840375651238</v>
      </c>
      <c r="AF1070" s="196">
        <f>IFERROR(G1070/SUMIF(A:A,A1070,G:G)*SUMIF(Summary!$A$166:$A$242,'Operations Support'!A1070,Summary!$Q$166:$Q$242),0)</f>
        <v>13656.242907395988</v>
      </c>
      <c r="AG1070" s="196">
        <f t="shared" ca="1" si="235"/>
        <v>17734.65105164401</v>
      </c>
      <c r="AI1070" s="196">
        <f>IFERROR($G1070/SUMIF($A:$A,$A1070,$G:$G)*SUMIF(Summary!$A$247:$A$283,$A1070,Summary!$P$247:$P$283),0)</f>
        <v>2485.7816394144029</v>
      </c>
      <c r="AJ1070" s="196">
        <f>IFERROR($G1070/SUMIF($A:$A,$A1070,$G:$G)*(SUMIF(Summary!$A$247:$A$283,$A1070,Summary!$L$247:$L$283)+SUMIF(Summary!$A$297:$A$333,$A1070,Summary!$L$297:$L$333))-AI1070,0)</f>
        <v>35483.812773609374</v>
      </c>
      <c r="AK1070" s="196">
        <f>IFERROR($G1070/SUMIF($A:$A,$A1070,$G:$G)*SUMIF(Summary!$A$247:$A$283,$A1070,Summary!$Q$247:$Q$283),0)</f>
        <v>2490.5579185660254</v>
      </c>
      <c r="AL1070" s="196">
        <f>IFERROR($G1070/SUMIF($A:$A,$A1070,$G:$G)*(SUMIF(Summary!$A$247:$A$283,$A1070,Summary!$L$247:$L$283)+SUMIF(Summary!$A$297:$A$333,$A1070,Summary!$L$297:$L$333))-AK1070,0)</f>
        <v>35479.036494457752</v>
      </c>
      <c r="AM1070" s="198"/>
      <c r="AN1070" s="196">
        <f t="shared" ca="1" si="236"/>
        <v>53244.653149260615</v>
      </c>
      <c r="AO1070" s="196">
        <f t="shared" ca="1" si="237"/>
        <v>53213.687546101763</v>
      </c>
    </row>
    <row r="1071" spans="1:41">
      <c r="A1071" s="189">
        <v>3625</v>
      </c>
      <c r="B1071" s="203">
        <v>1</v>
      </c>
      <c r="C1071" s="191" t="s">
        <v>236</v>
      </c>
      <c r="D1071" s="192">
        <f t="shared" si="224"/>
        <v>0</v>
      </c>
      <c r="E1071" s="192">
        <f t="shared" si="225"/>
        <v>0</v>
      </c>
      <c r="F1071" s="192">
        <f t="shared" si="226"/>
        <v>0</v>
      </c>
      <c r="G1071" s="193">
        <f t="shared" si="227"/>
        <v>0</v>
      </c>
      <c r="H1071" s="194">
        <v>0</v>
      </c>
      <c r="I1071" s="194">
        <v>0</v>
      </c>
      <c r="J1071" s="194">
        <v>0</v>
      </c>
      <c r="K1071" s="193">
        <f t="shared" si="228"/>
        <v>0</v>
      </c>
      <c r="L1071" s="194">
        <v>0</v>
      </c>
      <c r="M1071" s="194">
        <v>0</v>
      </c>
      <c r="N1071" s="194">
        <v>0</v>
      </c>
      <c r="O1071" s="193">
        <f t="shared" si="229"/>
        <v>0</v>
      </c>
      <c r="P1071" s="194">
        <v>0</v>
      </c>
      <c r="Q1071" s="194">
        <v>0</v>
      </c>
      <c r="R1071" s="194">
        <v>0</v>
      </c>
      <c r="S1071" s="193">
        <f t="shared" si="230"/>
        <v>0</v>
      </c>
      <c r="T1071" s="193">
        <f t="shared" si="231"/>
        <v>0</v>
      </c>
      <c r="U1071" s="193">
        <f ca="1">OFFSET('Expenditure Study'!$B$7,'Operations Support'!$C1071,'Operations Support'!$B1071)*$G1071</f>
        <v>0</v>
      </c>
      <c r="V1071" s="199">
        <f ca="1">U1071*'Expenditure Study'!$B$31</f>
        <v>0</v>
      </c>
      <c r="W1071" s="199">
        <f ca="1">IF(A1071=10298,1.51,1)*IF($B1071&lt;3,$D1071*'Expenditure Study'!$B$32*OFFSET('Expenditure Study'!$B$7,'Operations Support'!$C1071,'Operations Support'!$B1071),0)</f>
        <v>0</v>
      </c>
      <c r="X1071" s="200">
        <f ca="1">W1071*'Expenditure Study'!$B$31</f>
        <v>0</v>
      </c>
      <c r="Y1071" s="199">
        <f ca="1">U1071*'Expenditure Study'!$B$31</f>
        <v>0</v>
      </c>
      <c r="Z1071" s="200">
        <f ca="1">W1071*'Expenditure Study'!$B$31</f>
        <v>0</v>
      </c>
      <c r="AA1071" s="195">
        <f t="shared" ca="1" si="232"/>
        <v>0</v>
      </c>
      <c r="AB1071" s="195">
        <f t="shared" ca="1" si="233"/>
        <v>0</v>
      </c>
      <c r="AD1071" s="196">
        <f>IFERROR($G1071/SUMIF($A:$A,$A1071,$G:$G)*SUMIF(Summary!$A$166:$A$242,$A1071,Summary!$P$166:$P$242),0)</f>
        <v>0</v>
      </c>
      <c r="AE1071" s="197">
        <f t="shared" ca="1" si="234"/>
        <v>0</v>
      </c>
      <c r="AF1071" s="196">
        <f>IFERROR(G1071/SUMIF(A:A,A1071,G:G)*SUMIF(Summary!$A$166:$A$242,'Operations Support'!A1071,Summary!$Q$166:$Q$242),0)</f>
        <v>0</v>
      </c>
      <c r="AG1071" s="196">
        <f t="shared" ca="1" si="235"/>
        <v>0</v>
      </c>
      <c r="AI1071" s="196">
        <f>IFERROR($G1071/SUMIF($A:$A,$A1071,$G:$G)*SUMIF(Summary!$A$247:$A$283,$A1071,Summary!$P$247:$P$283),0)</f>
        <v>0</v>
      </c>
      <c r="AJ1071" s="196">
        <f>IFERROR($G1071/SUMIF($A:$A,$A1071,$G:$G)*(SUMIF(Summary!$A$247:$A$283,$A1071,Summary!$L$247:$L$283)+SUMIF(Summary!$A$297:$A$333,$A1071,Summary!$L$297:$L$333))-AI1071,0)</f>
        <v>0</v>
      </c>
      <c r="AK1071" s="196">
        <f>IFERROR($G1071/SUMIF($A:$A,$A1071,$G:$G)*SUMIF(Summary!$A$247:$A$283,$A1071,Summary!$Q$247:$Q$283),0)</f>
        <v>0</v>
      </c>
      <c r="AL1071" s="196">
        <f>IFERROR($G1071/SUMIF($A:$A,$A1071,$G:$G)*(SUMIF(Summary!$A$247:$A$283,$A1071,Summary!$L$247:$L$283)+SUMIF(Summary!$A$297:$A$333,$A1071,Summary!$L$297:$L$333))-AK1071,0)</f>
        <v>0</v>
      </c>
      <c r="AM1071" s="198"/>
      <c r="AN1071" s="196">
        <f t="shared" ca="1" si="236"/>
        <v>0</v>
      </c>
      <c r="AO1071" s="196">
        <f t="shared" ca="1" si="237"/>
        <v>0</v>
      </c>
    </row>
    <row r="1072" spans="1:41">
      <c r="A1072" s="189">
        <v>3625</v>
      </c>
      <c r="B1072" s="203">
        <v>1</v>
      </c>
      <c r="C1072" s="191" t="s">
        <v>237</v>
      </c>
      <c r="D1072" s="192">
        <f t="shared" si="224"/>
        <v>0</v>
      </c>
      <c r="E1072" s="192">
        <f t="shared" si="225"/>
        <v>0</v>
      </c>
      <c r="F1072" s="192">
        <f t="shared" si="226"/>
        <v>0</v>
      </c>
      <c r="G1072" s="193">
        <f t="shared" si="227"/>
        <v>0</v>
      </c>
      <c r="H1072" s="194">
        <v>0</v>
      </c>
      <c r="I1072" s="194">
        <v>0</v>
      </c>
      <c r="J1072" s="194">
        <v>0</v>
      </c>
      <c r="K1072" s="193">
        <f t="shared" si="228"/>
        <v>0</v>
      </c>
      <c r="L1072" s="194">
        <v>0</v>
      </c>
      <c r="M1072" s="194">
        <v>0</v>
      </c>
      <c r="N1072" s="194">
        <v>0</v>
      </c>
      <c r="O1072" s="193">
        <f t="shared" si="229"/>
        <v>0</v>
      </c>
      <c r="P1072" s="194">
        <v>0</v>
      </c>
      <c r="Q1072" s="194">
        <v>0</v>
      </c>
      <c r="R1072" s="194">
        <v>0</v>
      </c>
      <c r="S1072" s="193">
        <f t="shared" si="230"/>
        <v>0</v>
      </c>
      <c r="T1072" s="193">
        <f t="shared" si="231"/>
        <v>0</v>
      </c>
      <c r="U1072" s="193">
        <f ca="1">OFFSET('Expenditure Study'!$B$7,'Operations Support'!$C1072,'Operations Support'!$B1072)*$G1072</f>
        <v>0</v>
      </c>
      <c r="V1072" s="199">
        <f ca="1">U1072*'Expenditure Study'!$B$31</f>
        <v>0</v>
      </c>
      <c r="W1072" s="199">
        <f ca="1">IF(A1072=10298,1.51,1)*IF($B1072&lt;3,$D1072*'Expenditure Study'!$B$32*OFFSET('Expenditure Study'!$B$7,'Operations Support'!$C1072,'Operations Support'!$B1072),0)</f>
        <v>0</v>
      </c>
      <c r="X1072" s="200">
        <f ca="1">W1072*'Expenditure Study'!$B$31</f>
        <v>0</v>
      </c>
      <c r="Y1072" s="199">
        <f ca="1">U1072*'Expenditure Study'!$B$31</f>
        <v>0</v>
      </c>
      <c r="Z1072" s="200">
        <f ca="1">W1072*'Expenditure Study'!$B$31</f>
        <v>0</v>
      </c>
      <c r="AA1072" s="195">
        <f t="shared" ca="1" si="232"/>
        <v>0</v>
      </c>
      <c r="AB1072" s="195">
        <f t="shared" ca="1" si="233"/>
        <v>0</v>
      </c>
      <c r="AD1072" s="196">
        <f>IFERROR($G1072/SUMIF($A:$A,$A1072,$G:$G)*SUMIF(Summary!$A$166:$A$242,$A1072,Summary!$P$166:$P$242),0)</f>
        <v>0</v>
      </c>
      <c r="AE1072" s="197">
        <f t="shared" ca="1" si="234"/>
        <v>0</v>
      </c>
      <c r="AF1072" s="196">
        <f>IFERROR(G1072/SUMIF(A:A,A1072,G:G)*SUMIF(Summary!$A$166:$A$242,'Operations Support'!A1072,Summary!$Q$166:$Q$242),0)</f>
        <v>0</v>
      </c>
      <c r="AG1072" s="196">
        <f t="shared" ca="1" si="235"/>
        <v>0</v>
      </c>
      <c r="AI1072" s="196">
        <f>IFERROR($G1072/SUMIF($A:$A,$A1072,$G:$G)*SUMIF(Summary!$A$247:$A$283,$A1072,Summary!$P$247:$P$283),0)</f>
        <v>0</v>
      </c>
      <c r="AJ1072" s="196">
        <f>IFERROR($G1072/SUMIF($A:$A,$A1072,$G:$G)*(SUMIF(Summary!$A$247:$A$283,$A1072,Summary!$L$247:$L$283)+SUMIF(Summary!$A$297:$A$333,$A1072,Summary!$L$297:$L$333))-AI1072,0)</f>
        <v>0</v>
      </c>
      <c r="AK1072" s="196">
        <f>IFERROR($G1072/SUMIF($A:$A,$A1072,$G:$G)*SUMIF(Summary!$A$247:$A$283,$A1072,Summary!$Q$247:$Q$283),0)</f>
        <v>0</v>
      </c>
      <c r="AL1072" s="196">
        <f>IFERROR($G1072/SUMIF($A:$A,$A1072,$G:$G)*(SUMIF(Summary!$A$247:$A$283,$A1072,Summary!$L$247:$L$283)+SUMIF(Summary!$A$297:$A$333,$A1072,Summary!$L$297:$L$333))-AK1072,0)</f>
        <v>0</v>
      </c>
      <c r="AM1072" s="198"/>
      <c r="AN1072" s="196">
        <f t="shared" ca="1" si="236"/>
        <v>0</v>
      </c>
      <c r="AO1072" s="196">
        <f t="shared" ca="1" si="237"/>
        <v>0</v>
      </c>
    </row>
    <row r="1073" spans="1:41">
      <c r="A1073" s="189">
        <v>3625</v>
      </c>
      <c r="B1073" s="203">
        <v>1</v>
      </c>
      <c r="C1073" s="191" t="s">
        <v>238</v>
      </c>
      <c r="D1073" s="192">
        <f t="shared" si="224"/>
        <v>249</v>
      </c>
      <c r="E1073" s="192">
        <f t="shared" si="225"/>
        <v>162</v>
      </c>
      <c r="F1073" s="192">
        <f t="shared" si="226"/>
        <v>0</v>
      </c>
      <c r="G1073" s="193">
        <f t="shared" si="227"/>
        <v>411</v>
      </c>
      <c r="H1073" s="194">
        <v>198</v>
      </c>
      <c r="I1073" s="194">
        <v>57</v>
      </c>
      <c r="J1073" s="194">
        <v>0</v>
      </c>
      <c r="K1073" s="193">
        <f t="shared" si="228"/>
        <v>255</v>
      </c>
      <c r="L1073" s="194">
        <v>3</v>
      </c>
      <c r="M1073" s="194">
        <v>105</v>
      </c>
      <c r="N1073" s="194">
        <v>0</v>
      </c>
      <c r="O1073" s="193">
        <f t="shared" si="229"/>
        <v>108</v>
      </c>
      <c r="P1073" s="194">
        <v>48</v>
      </c>
      <c r="Q1073" s="194">
        <v>0</v>
      </c>
      <c r="R1073" s="194">
        <v>0</v>
      </c>
      <c r="S1073" s="193">
        <f t="shared" si="230"/>
        <v>48</v>
      </c>
      <c r="T1073" s="193">
        <f t="shared" si="231"/>
        <v>13.7</v>
      </c>
      <c r="U1073" s="193">
        <f ca="1">OFFSET('Expenditure Study'!$B$7,'Operations Support'!$C1073,'Operations Support'!$B1073)*$G1073</f>
        <v>731.58</v>
      </c>
      <c r="V1073" s="199">
        <f ca="1">U1073*'Expenditure Study'!$B$31</f>
        <v>43224.073409664001</v>
      </c>
      <c r="W1073" s="199">
        <f ca="1">IF(A1073=10298,1.51,1)*IF($B1073&lt;3,$D1073*'Expenditure Study'!$B$32*OFFSET('Expenditure Study'!$B$7,'Operations Support'!$C1073,'Operations Support'!$B1073),0)</f>
        <v>44.322000000000003</v>
      </c>
      <c r="X1073" s="200">
        <f ca="1">W1073*'Expenditure Study'!$B$31</f>
        <v>2618.6847394176002</v>
      </c>
      <c r="Y1073" s="199">
        <f ca="1">U1073*'Expenditure Study'!$B$31</f>
        <v>43224.073409664001</v>
      </c>
      <c r="Z1073" s="200">
        <f ca="1">W1073*'Expenditure Study'!$B$31</f>
        <v>2618.6847394176002</v>
      </c>
      <c r="AA1073" s="195">
        <f t="shared" ca="1" si="232"/>
        <v>45842.758149081601</v>
      </c>
      <c r="AB1073" s="195">
        <f t="shared" ca="1" si="233"/>
        <v>45842.758149081601</v>
      </c>
      <c r="AD1073" s="196">
        <f>IFERROR($G1073/SUMIF($A:$A,$A1073,$G:$G)*SUMIF(Summary!$A$166:$A$242,$A1073,Summary!$P$166:$P$242),0)</f>
        <v>12204.688502772944</v>
      </c>
      <c r="AE1073" s="197">
        <f t="shared" ca="1" si="234"/>
        <v>33638.069646308657</v>
      </c>
      <c r="AF1073" s="196">
        <f>IFERROR(G1073/SUMIF(A:A,A1073,G:G)*SUMIF(Summary!$A$166:$A$242,'Operations Support'!A1073,Summary!$Q$166:$Q$242),0)</f>
        <v>12228.139073942813</v>
      </c>
      <c r="AG1073" s="196">
        <f t="shared" ca="1" si="235"/>
        <v>33614.619075138791</v>
      </c>
      <c r="AI1073" s="196">
        <f>IFERROR($G1073/SUMIF($A:$A,$A1073,$G:$G)*SUMIF(Summary!$A$247:$A$283,$A1073,Summary!$P$247:$P$283),0)</f>
        <v>2225.8306182991714</v>
      </c>
      <c r="AJ1073" s="196">
        <f>IFERROR($G1073/SUMIF($A:$A,$A1073,$G:$G)*(SUMIF(Summary!$A$247:$A$283,$A1073,Summary!$L$247:$L$283)+SUMIF(Summary!$A$297:$A$333,$A1073,Summary!$L$297:$L$333))-AI1073,0)</f>
        <v>31773.08725480055</v>
      </c>
      <c r="AK1073" s="196">
        <f>IFERROR($G1073/SUMIF($A:$A,$A1073,$G:$G)*SUMIF(Summary!$A$247:$A$283,$A1073,Summary!$Q$247:$Q$283),0)</f>
        <v>2230.107417278075</v>
      </c>
      <c r="AL1073" s="196">
        <f>IFERROR($G1073/SUMIF($A:$A,$A1073,$G:$G)*(SUMIF(Summary!$A$247:$A$283,$A1073,Summary!$L$247:$L$283)+SUMIF(Summary!$A$297:$A$333,$A1073,Summary!$L$297:$L$333))-AK1073,0)</f>
        <v>31768.810455821647</v>
      </c>
      <c r="AM1073" s="198"/>
      <c r="AN1073" s="196">
        <f t="shared" ca="1" si="236"/>
        <v>65411.156901109207</v>
      </c>
      <c r="AO1073" s="196">
        <f t="shared" ca="1" si="237"/>
        <v>65383.429530960435</v>
      </c>
    </row>
    <row r="1074" spans="1:41">
      <c r="A1074" s="189">
        <v>3625</v>
      </c>
      <c r="B1074" s="203">
        <v>1</v>
      </c>
      <c r="C1074" s="191" t="s">
        <v>239</v>
      </c>
      <c r="D1074" s="192">
        <f t="shared" si="224"/>
        <v>0</v>
      </c>
      <c r="E1074" s="192">
        <f t="shared" si="225"/>
        <v>6</v>
      </c>
      <c r="F1074" s="192">
        <f t="shared" si="226"/>
        <v>0</v>
      </c>
      <c r="G1074" s="193">
        <f t="shared" si="227"/>
        <v>6</v>
      </c>
      <c r="H1074" s="194">
        <v>0</v>
      </c>
      <c r="I1074" s="194">
        <v>0</v>
      </c>
      <c r="J1074" s="194">
        <v>0</v>
      </c>
      <c r="K1074" s="193">
        <f t="shared" si="228"/>
        <v>0</v>
      </c>
      <c r="L1074" s="194">
        <v>0</v>
      </c>
      <c r="M1074" s="194">
        <v>6</v>
      </c>
      <c r="N1074" s="194">
        <v>0</v>
      </c>
      <c r="O1074" s="193">
        <f t="shared" si="229"/>
        <v>6</v>
      </c>
      <c r="P1074" s="194">
        <v>0</v>
      </c>
      <c r="Q1074" s="194">
        <v>0</v>
      </c>
      <c r="R1074" s="194">
        <v>0</v>
      </c>
      <c r="S1074" s="193">
        <f t="shared" si="230"/>
        <v>0</v>
      </c>
      <c r="T1074" s="193">
        <f t="shared" si="231"/>
        <v>0.2</v>
      </c>
      <c r="U1074" s="193">
        <f ca="1">OFFSET('Expenditure Study'!$B$7,'Operations Support'!$C1074,'Operations Support'!$B1074)*$G1074</f>
        <v>9.3000000000000007</v>
      </c>
      <c r="V1074" s="199">
        <f ca="1">U1074*'Expenditure Study'!$B$31</f>
        <v>549.47358144000009</v>
      </c>
      <c r="W1074" s="199">
        <f ca="1">IF(A1074=10298,1.51,1)*IF($B1074&lt;3,$D1074*'Expenditure Study'!$B$32*OFFSET('Expenditure Study'!$B$7,'Operations Support'!$C1074,'Operations Support'!$B1074),0)</f>
        <v>0</v>
      </c>
      <c r="X1074" s="200">
        <f ca="1">W1074*'Expenditure Study'!$B$31</f>
        <v>0</v>
      </c>
      <c r="Y1074" s="199">
        <f ca="1">U1074*'Expenditure Study'!$B$31</f>
        <v>549.47358144000009</v>
      </c>
      <c r="Z1074" s="200">
        <f ca="1">W1074*'Expenditure Study'!$B$31</f>
        <v>0</v>
      </c>
      <c r="AA1074" s="195">
        <f t="shared" ca="1" si="232"/>
        <v>549.47358144000009</v>
      </c>
      <c r="AB1074" s="195">
        <f t="shared" ca="1" si="233"/>
        <v>549.47358144000009</v>
      </c>
      <c r="AD1074" s="196">
        <f>IFERROR($G1074/SUMIF($A:$A,$A1074,$G:$G)*SUMIF(Summary!$A$166:$A$242,$A1074,Summary!$P$166:$P$242),0)</f>
        <v>178.17063507697728</v>
      </c>
      <c r="AE1074" s="197">
        <f t="shared" ca="1" si="234"/>
        <v>371.30294636302278</v>
      </c>
      <c r="AF1074" s="196">
        <f>IFERROR(G1074/SUMIF(A:A,A1074,G:G)*SUMIF(Summary!$A$166:$A$242,'Operations Support'!A1074,Summary!$Q$166:$Q$242),0)</f>
        <v>178.5129791816469</v>
      </c>
      <c r="AG1074" s="196">
        <f t="shared" ca="1" si="235"/>
        <v>370.96060225835322</v>
      </c>
      <c r="AI1074" s="196">
        <f>IFERROR($G1074/SUMIF($A:$A,$A1074,$G:$G)*SUMIF(Summary!$A$247:$A$283,$A1074,Summary!$P$247:$P$283),0)</f>
        <v>32.493877639403955</v>
      </c>
      <c r="AJ1074" s="196">
        <f>IFERROR($G1074/SUMIF($A:$A,$A1074,$G:$G)*(SUMIF(Summary!$A$247:$A$283,$A1074,Summary!$L$247:$L$283)+SUMIF(Summary!$A$297:$A$333,$A1074,Summary!$L$297:$L$333))-AI1074,0)</f>
        <v>463.84068985110287</v>
      </c>
      <c r="AK1074" s="196">
        <f>IFERROR($G1074/SUMIF($A:$A,$A1074,$G:$G)*SUMIF(Summary!$A$247:$A$283,$A1074,Summary!$Q$247:$Q$283),0)</f>
        <v>32.556312660993797</v>
      </c>
      <c r="AL1074" s="196">
        <f>IFERROR($G1074/SUMIF($A:$A,$A1074,$G:$G)*(SUMIF(Summary!$A$247:$A$283,$A1074,Summary!$L$247:$L$283)+SUMIF(Summary!$A$297:$A$333,$A1074,Summary!$L$297:$L$333))-AK1074,0)</f>
        <v>463.778254829513</v>
      </c>
      <c r="AM1074" s="198"/>
      <c r="AN1074" s="196">
        <f t="shared" ca="1" si="236"/>
        <v>835.14363621412565</v>
      </c>
      <c r="AO1074" s="196">
        <f t="shared" ca="1" si="237"/>
        <v>834.73885708786622</v>
      </c>
    </row>
    <row r="1075" spans="1:41">
      <c r="A1075" s="189">
        <v>3625</v>
      </c>
      <c r="B1075" s="203">
        <v>1</v>
      </c>
      <c r="C1075" s="191" t="s">
        <v>240</v>
      </c>
      <c r="D1075" s="192">
        <f t="shared" si="224"/>
        <v>105</v>
      </c>
      <c r="E1075" s="192">
        <f t="shared" si="225"/>
        <v>1236</v>
      </c>
      <c r="F1075" s="192">
        <f t="shared" si="226"/>
        <v>0</v>
      </c>
      <c r="G1075" s="193">
        <f t="shared" si="227"/>
        <v>1341</v>
      </c>
      <c r="H1075" s="194">
        <v>0</v>
      </c>
      <c r="I1075" s="194">
        <v>444</v>
      </c>
      <c r="J1075" s="194">
        <v>0</v>
      </c>
      <c r="K1075" s="193">
        <f t="shared" si="228"/>
        <v>444</v>
      </c>
      <c r="L1075" s="194">
        <v>48</v>
      </c>
      <c r="M1075" s="194">
        <v>651</v>
      </c>
      <c r="N1075" s="194">
        <v>0</v>
      </c>
      <c r="O1075" s="193">
        <f t="shared" si="229"/>
        <v>699</v>
      </c>
      <c r="P1075" s="194">
        <v>57</v>
      </c>
      <c r="Q1075" s="194">
        <v>141</v>
      </c>
      <c r="R1075" s="194">
        <v>0</v>
      </c>
      <c r="S1075" s="193">
        <f t="shared" si="230"/>
        <v>198</v>
      </c>
      <c r="T1075" s="193">
        <f t="shared" si="231"/>
        <v>44.7</v>
      </c>
      <c r="U1075" s="193">
        <f ca="1">OFFSET('Expenditure Study'!$B$7,'Operations Support'!$C1075,'Operations Support'!$B1075)*$G1075</f>
        <v>1341</v>
      </c>
      <c r="V1075" s="199">
        <f ca="1">U1075*'Expenditure Study'!$B$31</f>
        <v>79230.545452799997</v>
      </c>
      <c r="W1075" s="199">
        <f ca="1">IF(A1075=10298,1.51,1)*IF($B1075&lt;3,$D1075*'Expenditure Study'!$B$32*OFFSET('Expenditure Study'!$B$7,'Operations Support'!$C1075,'Operations Support'!$B1075),0)</f>
        <v>10.5</v>
      </c>
      <c r="X1075" s="200">
        <f ca="1">W1075*'Expenditure Study'!$B$31</f>
        <v>620.37339840000004</v>
      </c>
      <c r="Y1075" s="199">
        <f ca="1">U1075*'Expenditure Study'!$B$31</f>
        <v>79230.545452799997</v>
      </c>
      <c r="Z1075" s="200">
        <f ca="1">W1075*'Expenditure Study'!$B$31</f>
        <v>620.37339840000004</v>
      </c>
      <c r="AA1075" s="195">
        <f t="shared" ca="1" si="232"/>
        <v>79850.918851199996</v>
      </c>
      <c r="AB1075" s="195">
        <f t="shared" ca="1" si="233"/>
        <v>79850.918851199996</v>
      </c>
      <c r="AD1075" s="196">
        <f>IFERROR($G1075/SUMIF($A:$A,$A1075,$G:$G)*SUMIF(Summary!$A$166:$A$242,$A1075,Summary!$P$166:$P$242),0)</f>
        <v>39821.136939704418</v>
      </c>
      <c r="AE1075" s="197">
        <f t="shared" ca="1" si="234"/>
        <v>40029.781911495578</v>
      </c>
      <c r="AF1075" s="196">
        <f>IFERROR(G1075/SUMIF(A:A,A1075,G:G)*SUMIF(Summary!$A$166:$A$242,'Operations Support'!A1075,Summary!$Q$166:$Q$242),0)</f>
        <v>39897.650847098084</v>
      </c>
      <c r="AG1075" s="196">
        <f t="shared" ca="1" si="235"/>
        <v>39953.268004101912</v>
      </c>
      <c r="AI1075" s="196">
        <f>IFERROR($G1075/SUMIF($A:$A,$A1075,$G:$G)*SUMIF(Summary!$A$247:$A$283,$A1075,Summary!$P$247:$P$283),0)</f>
        <v>7262.3816524067852</v>
      </c>
      <c r="AJ1075" s="196">
        <f>IFERROR($G1075/SUMIF($A:$A,$A1075,$G:$G)*(SUMIF(Summary!$A$247:$A$283,$A1075,Summary!$L$247:$L$283)+SUMIF(Summary!$A$297:$A$333,$A1075,Summary!$L$297:$L$333))-AI1075,0)</f>
        <v>103668.39418172151</v>
      </c>
      <c r="AK1075" s="196">
        <f>IFERROR($G1075/SUMIF($A:$A,$A1075,$G:$G)*SUMIF(Summary!$A$247:$A$283,$A1075,Summary!$Q$247:$Q$283),0)</f>
        <v>7276.3358797321143</v>
      </c>
      <c r="AL1075" s="196">
        <f>IFERROR($G1075/SUMIF($A:$A,$A1075,$G:$G)*(SUMIF(Summary!$A$247:$A$283,$A1075,Summary!$L$247:$L$283)+SUMIF(Summary!$A$297:$A$333,$A1075,Summary!$L$297:$L$333))-AK1075,0)</f>
        <v>103654.43995439618</v>
      </c>
      <c r="AM1075" s="198"/>
      <c r="AN1075" s="196">
        <f t="shared" ca="1" si="236"/>
        <v>143698.1760932171</v>
      </c>
      <c r="AO1075" s="196">
        <f t="shared" ca="1" si="237"/>
        <v>143607.7079584981</v>
      </c>
    </row>
    <row r="1076" spans="1:41">
      <c r="A1076" s="189">
        <v>3625</v>
      </c>
      <c r="B1076" s="203">
        <v>2</v>
      </c>
      <c r="C1076" s="191" t="s">
        <v>220</v>
      </c>
      <c r="D1076" s="192">
        <f t="shared" si="224"/>
        <v>1804</v>
      </c>
      <c r="E1076" s="192">
        <f t="shared" si="225"/>
        <v>375</v>
      </c>
      <c r="F1076" s="192">
        <f t="shared" si="226"/>
        <v>0</v>
      </c>
      <c r="G1076" s="193">
        <f t="shared" si="227"/>
        <v>2179</v>
      </c>
      <c r="H1076" s="194">
        <v>533</v>
      </c>
      <c r="I1076" s="194">
        <v>264</v>
      </c>
      <c r="J1076" s="194">
        <v>0</v>
      </c>
      <c r="K1076" s="193">
        <f t="shared" si="228"/>
        <v>797</v>
      </c>
      <c r="L1076" s="194">
        <v>962</v>
      </c>
      <c r="M1076" s="194">
        <v>111</v>
      </c>
      <c r="N1076" s="194">
        <v>0</v>
      </c>
      <c r="O1076" s="193">
        <f t="shared" si="229"/>
        <v>1073</v>
      </c>
      <c r="P1076" s="194">
        <v>309</v>
      </c>
      <c r="Q1076" s="194">
        <v>0</v>
      </c>
      <c r="R1076" s="194">
        <v>0</v>
      </c>
      <c r="S1076" s="193">
        <f t="shared" si="230"/>
        <v>309</v>
      </c>
      <c r="T1076" s="193">
        <f t="shared" si="231"/>
        <v>72.63333333333334</v>
      </c>
      <c r="U1076" s="193">
        <f ca="1">OFFSET('Expenditure Study'!$B$7,'Operations Support'!$C1076,'Operations Support'!$B1076)*$G1076</f>
        <v>4009.36</v>
      </c>
      <c r="V1076" s="199">
        <f ca="1">U1076*'Expenditure Study'!$B$31</f>
        <v>236885.74177228802</v>
      </c>
      <c r="W1076" s="199">
        <f ca="1">IF(A1076=10298,1.51,1)*IF($B1076&lt;3,$D1076*'Expenditure Study'!$B$32*OFFSET('Expenditure Study'!$B$7,'Operations Support'!$C1076,'Operations Support'!$B1076),0)</f>
        <v>331.93600000000004</v>
      </c>
      <c r="X1076" s="200">
        <f ca="1">W1076*'Expenditure Study'!$B$31</f>
        <v>19611.834702028802</v>
      </c>
      <c r="Y1076" s="199">
        <f ca="1">U1076*'Expenditure Study'!$B$31</f>
        <v>236885.74177228802</v>
      </c>
      <c r="Z1076" s="200">
        <f ca="1">W1076*'Expenditure Study'!$B$31</f>
        <v>19611.834702028802</v>
      </c>
      <c r="AA1076" s="195">
        <f t="shared" ca="1" si="232"/>
        <v>256497.57647431683</v>
      </c>
      <c r="AB1076" s="195">
        <f t="shared" ca="1" si="233"/>
        <v>256497.57647431683</v>
      </c>
      <c r="AD1076" s="196">
        <f>IFERROR($G1076/SUMIF($A:$A,$A1076,$G:$G)*SUMIF(Summary!$A$166:$A$242,$A1076,Summary!$P$166:$P$242),0)</f>
        <v>64705.63563878891</v>
      </c>
      <c r="AE1076" s="197">
        <f t="shared" ca="1" si="234"/>
        <v>191791.9408355279</v>
      </c>
      <c r="AF1076" s="196">
        <f>IFERROR(G1076/SUMIF(A:A,A1076,G:G)*SUMIF(Summary!$A$166:$A$242,'Operations Support'!A1076,Summary!$Q$166:$Q$242),0)</f>
        <v>64829.963606134763</v>
      </c>
      <c r="AG1076" s="196">
        <f t="shared" ca="1" si="235"/>
        <v>191667.61286818207</v>
      </c>
      <c r="AI1076" s="196">
        <f>IFERROR($G1076/SUMIF($A:$A,$A1076,$G:$G)*SUMIF(Summary!$A$247:$A$283,$A1076,Summary!$P$247:$P$283),0)</f>
        <v>11800.693229376871</v>
      </c>
      <c r="AJ1076" s="196">
        <f>IFERROR($G1076/SUMIF($A:$A,$A1076,$G:$G)*(SUMIF(Summary!$A$247:$A$283,$A1076,Summary!$L$247:$L$283)+SUMIF(Summary!$A$297:$A$333,$A1076,Summary!$L$297:$L$333))-AI1076,0)</f>
        <v>168451.4771975922</v>
      </c>
      <c r="AK1076" s="196">
        <f>IFERROR($G1076/SUMIF($A:$A,$A1076,$G:$G)*SUMIF(Summary!$A$247:$A$283,$A1076,Summary!$Q$247:$Q$283),0)</f>
        <v>11823.367548050914</v>
      </c>
      <c r="AL1076" s="196">
        <f>IFERROR($G1076/SUMIF($A:$A,$A1076,$G:$G)*(SUMIF(Summary!$A$247:$A$283,$A1076,Summary!$L$247:$L$283)+SUMIF(Summary!$A$297:$A$333,$A1076,Summary!$L$297:$L$333))-AK1076,0)</f>
        <v>168428.80287891816</v>
      </c>
      <c r="AM1076" s="198"/>
      <c r="AN1076" s="196">
        <f t="shared" ca="1" si="236"/>
        <v>360243.41803312011</v>
      </c>
      <c r="AO1076" s="196">
        <f t="shared" ca="1" si="237"/>
        <v>360096.41574710025</v>
      </c>
    </row>
    <row r="1077" spans="1:41">
      <c r="A1077" s="189">
        <v>3625</v>
      </c>
      <c r="B1077" s="203">
        <v>2</v>
      </c>
      <c r="C1077" s="191" t="s">
        <v>221</v>
      </c>
      <c r="D1077" s="192">
        <f t="shared" si="224"/>
        <v>986</v>
      </c>
      <c r="E1077" s="192">
        <f t="shared" si="225"/>
        <v>186</v>
      </c>
      <c r="F1077" s="192">
        <f t="shared" si="226"/>
        <v>0</v>
      </c>
      <c r="G1077" s="193">
        <f t="shared" si="227"/>
        <v>1172</v>
      </c>
      <c r="H1077" s="194">
        <v>413</v>
      </c>
      <c r="I1077" s="194">
        <v>129</v>
      </c>
      <c r="J1077" s="194">
        <v>0</v>
      </c>
      <c r="K1077" s="193">
        <f t="shared" si="228"/>
        <v>542</v>
      </c>
      <c r="L1077" s="194">
        <v>464</v>
      </c>
      <c r="M1077" s="194">
        <v>51</v>
      </c>
      <c r="N1077" s="194">
        <v>0</v>
      </c>
      <c r="O1077" s="193">
        <f t="shared" si="229"/>
        <v>515</v>
      </c>
      <c r="P1077" s="194">
        <v>109</v>
      </c>
      <c r="Q1077" s="194">
        <v>6</v>
      </c>
      <c r="R1077" s="194">
        <v>0</v>
      </c>
      <c r="S1077" s="193">
        <f t="shared" si="230"/>
        <v>115</v>
      </c>
      <c r="T1077" s="193">
        <f t="shared" si="231"/>
        <v>39.06666666666667</v>
      </c>
      <c r="U1077" s="193">
        <f ca="1">OFFSET('Expenditure Study'!$B$7,'Operations Support'!$C1077,'Operations Support'!$B1077)*$G1077</f>
        <v>3082.3599999999997</v>
      </c>
      <c r="V1077" s="199">
        <f ca="1">U1077*'Expenditure Study'!$B$31</f>
        <v>182115.63317068797</v>
      </c>
      <c r="W1077" s="199">
        <f ca="1">IF(A1077=10298,1.51,1)*IF($B1077&lt;3,$D1077*'Expenditure Study'!$B$32*OFFSET('Expenditure Study'!$B$7,'Operations Support'!$C1077,'Operations Support'!$B1077),0)</f>
        <v>259.31799999999998</v>
      </c>
      <c r="X1077" s="200">
        <f ca="1">W1077*'Expenditure Study'!$B$31</f>
        <v>15321.332278694399</v>
      </c>
      <c r="Y1077" s="199">
        <f ca="1">U1077*'Expenditure Study'!$B$31</f>
        <v>182115.63317068797</v>
      </c>
      <c r="Z1077" s="200">
        <f ca="1">W1077*'Expenditure Study'!$B$31</f>
        <v>15321.332278694399</v>
      </c>
      <c r="AA1077" s="195">
        <f t="shared" ca="1" si="232"/>
        <v>197436.96544938238</v>
      </c>
      <c r="AB1077" s="195">
        <f t="shared" ca="1" si="233"/>
        <v>197436.96544938238</v>
      </c>
      <c r="AD1077" s="196">
        <f>IFERROR($G1077/SUMIF($A:$A,$A1077,$G:$G)*SUMIF(Summary!$A$166:$A$242,$A1077,Summary!$P$166:$P$242),0)</f>
        <v>34802.664051702894</v>
      </c>
      <c r="AE1077" s="197">
        <f t="shared" ca="1" si="234"/>
        <v>162634.30139767949</v>
      </c>
      <c r="AF1077" s="196">
        <f>IFERROR(G1077/SUMIF(A:A,A1077,G:G)*SUMIF(Summary!$A$166:$A$242,'Operations Support'!A1077,Summary!$Q$166:$Q$242),0)</f>
        <v>34869.53526681503</v>
      </c>
      <c r="AG1077" s="196">
        <f t="shared" ca="1" si="235"/>
        <v>162567.43018256733</v>
      </c>
      <c r="AI1077" s="196">
        <f>IFERROR($G1077/SUMIF($A:$A,$A1077,$G:$G)*SUMIF(Summary!$A$247:$A$283,$A1077,Summary!$P$247:$P$283),0)</f>
        <v>6347.1374322302399</v>
      </c>
      <c r="AJ1077" s="196">
        <f>IFERROR($G1077/SUMIF($A:$A,$A1077,$G:$G)*(SUMIF(Summary!$A$247:$A$283,$A1077,Summary!$L$247:$L$283)+SUMIF(Summary!$A$297:$A$333,$A1077,Summary!$L$297:$L$333))-AI1077,0)</f>
        <v>90603.54808424876</v>
      </c>
      <c r="AK1077" s="196">
        <f>IFERROR($G1077/SUMIF($A:$A,$A1077,$G:$G)*SUMIF(Summary!$A$247:$A$283,$A1077,Summary!$Q$247:$Q$283),0)</f>
        <v>6359.3330731141214</v>
      </c>
      <c r="AL1077" s="196">
        <f>IFERROR($G1077/SUMIF($A:$A,$A1077,$G:$G)*(SUMIF(Summary!$A$247:$A$283,$A1077,Summary!$L$247:$L$283)+SUMIF(Summary!$A$297:$A$333,$A1077,Summary!$L$297:$L$333))-AK1077,0)</f>
        <v>90591.352443364885</v>
      </c>
      <c r="AM1077" s="198"/>
      <c r="AN1077" s="196">
        <f t="shared" ca="1" si="236"/>
        <v>253237.84948192825</v>
      </c>
      <c r="AO1077" s="196">
        <f t="shared" ca="1" si="237"/>
        <v>253158.78262593222</v>
      </c>
    </row>
    <row r="1078" spans="1:41">
      <c r="A1078" s="189">
        <v>3625</v>
      </c>
      <c r="B1078" s="203">
        <v>2</v>
      </c>
      <c r="C1078" s="191" t="s">
        <v>222</v>
      </c>
      <c r="D1078" s="192">
        <f t="shared" si="224"/>
        <v>293</v>
      </c>
      <c r="E1078" s="192">
        <f t="shared" si="225"/>
        <v>44</v>
      </c>
      <c r="F1078" s="192">
        <f t="shared" si="226"/>
        <v>0</v>
      </c>
      <c r="G1078" s="193">
        <f t="shared" si="227"/>
        <v>337</v>
      </c>
      <c r="H1078" s="194">
        <v>115</v>
      </c>
      <c r="I1078" s="194">
        <v>24</v>
      </c>
      <c r="J1078" s="194">
        <v>0</v>
      </c>
      <c r="K1078" s="193">
        <f t="shared" si="228"/>
        <v>139</v>
      </c>
      <c r="L1078" s="194">
        <v>139</v>
      </c>
      <c r="M1078" s="194">
        <v>20</v>
      </c>
      <c r="N1078" s="194">
        <v>0</v>
      </c>
      <c r="O1078" s="193">
        <f t="shared" si="229"/>
        <v>159</v>
      </c>
      <c r="P1078" s="194">
        <v>39</v>
      </c>
      <c r="Q1078" s="194">
        <v>0</v>
      </c>
      <c r="R1078" s="194">
        <v>0</v>
      </c>
      <c r="S1078" s="193">
        <f t="shared" si="230"/>
        <v>39</v>
      </c>
      <c r="T1078" s="193">
        <f t="shared" si="231"/>
        <v>11.233333333333333</v>
      </c>
      <c r="U1078" s="193">
        <f ca="1">OFFSET('Expenditure Study'!$B$7,'Operations Support'!$C1078,'Operations Support'!$B1078)*$G1078</f>
        <v>896.42000000000007</v>
      </c>
      <c r="V1078" s="199">
        <f ca="1">U1078*'Expenditure Study'!$B$31</f>
        <v>52963.344932736007</v>
      </c>
      <c r="W1078" s="199">
        <f ca="1">IF(A1078=10298,1.51,1)*IF($B1078&lt;3,$D1078*'Expenditure Study'!$B$32*OFFSET('Expenditure Study'!$B$7,'Operations Support'!$C1078,'Operations Support'!$B1078),0)</f>
        <v>77.938000000000002</v>
      </c>
      <c r="X1078" s="200">
        <f ca="1">W1078*'Expenditure Study'!$B$31</f>
        <v>4604.8249451904003</v>
      </c>
      <c r="Y1078" s="199">
        <f ca="1">U1078*'Expenditure Study'!$B$31</f>
        <v>52963.344932736007</v>
      </c>
      <c r="Z1078" s="200">
        <f ca="1">W1078*'Expenditure Study'!$B$31</f>
        <v>4604.8249451904003</v>
      </c>
      <c r="AA1078" s="195">
        <f t="shared" ca="1" si="232"/>
        <v>57568.169877926404</v>
      </c>
      <c r="AB1078" s="195">
        <f t="shared" ca="1" si="233"/>
        <v>57568.169877926404</v>
      </c>
      <c r="AD1078" s="196">
        <f>IFERROR($G1078/SUMIF($A:$A,$A1078,$G:$G)*SUMIF(Summary!$A$166:$A$242,$A1078,Summary!$P$166:$P$242),0)</f>
        <v>10007.250670156891</v>
      </c>
      <c r="AE1078" s="197">
        <f t="shared" ca="1" si="234"/>
        <v>47560.919207769512</v>
      </c>
      <c r="AF1078" s="196">
        <f>IFERROR(G1078/SUMIF(A:A,A1078,G:G)*SUMIF(Summary!$A$166:$A$242,'Operations Support'!A1078,Summary!$Q$166:$Q$242),0)</f>
        <v>10026.478997369168</v>
      </c>
      <c r="AG1078" s="196">
        <f t="shared" ca="1" si="235"/>
        <v>47541.690880557238</v>
      </c>
      <c r="AI1078" s="196">
        <f>IFERROR($G1078/SUMIF($A:$A,$A1078,$G:$G)*SUMIF(Summary!$A$247:$A$283,$A1078,Summary!$P$247:$P$283),0)</f>
        <v>1825.0727940798558</v>
      </c>
      <c r="AJ1078" s="196">
        <f>IFERROR($G1078/SUMIF($A:$A,$A1078,$G:$G)*(SUMIF(Summary!$A$247:$A$283,$A1078,Summary!$L$247:$L$283)+SUMIF(Summary!$A$297:$A$333,$A1078,Summary!$L$297:$L$333))-AI1078,0)</f>
        <v>26052.385413303611</v>
      </c>
      <c r="AK1078" s="196">
        <f>IFERROR($G1078/SUMIF($A:$A,$A1078,$G:$G)*SUMIF(Summary!$A$247:$A$283,$A1078,Summary!$Q$247:$Q$283),0)</f>
        <v>1828.5795611258184</v>
      </c>
      <c r="AL1078" s="196">
        <f>IFERROR($G1078/SUMIF($A:$A,$A1078,$G:$G)*(SUMIF(Summary!$A$247:$A$283,$A1078,Summary!$L$247:$L$283)+SUMIF(Summary!$A$297:$A$333,$A1078,Summary!$L$297:$L$333))-AK1078,0)</f>
        <v>26048.87864625765</v>
      </c>
      <c r="AM1078" s="198"/>
      <c r="AN1078" s="196">
        <f t="shared" ca="1" si="236"/>
        <v>73613.304621073126</v>
      </c>
      <c r="AO1078" s="196">
        <f t="shared" ca="1" si="237"/>
        <v>73590.569526814885</v>
      </c>
    </row>
    <row r="1079" spans="1:41">
      <c r="A1079" s="189">
        <v>3625</v>
      </c>
      <c r="B1079" s="203">
        <v>2</v>
      </c>
      <c r="C1079" s="191" t="s">
        <v>223</v>
      </c>
      <c r="D1079" s="192">
        <f t="shared" si="224"/>
        <v>516</v>
      </c>
      <c r="E1079" s="192">
        <f t="shared" si="225"/>
        <v>306</v>
      </c>
      <c r="F1079" s="192">
        <f t="shared" si="226"/>
        <v>0</v>
      </c>
      <c r="G1079" s="193">
        <f t="shared" si="227"/>
        <v>822</v>
      </c>
      <c r="H1079" s="194">
        <v>240</v>
      </c>
      <c r="I1079" s="194">
        <v>141</v>
      </c>
      <c r="J1079" s="194">
        <v>0</v>
      </c>
      <c r="K1079" s="193">
        <f t="shared" si="228"/>
        <v>381</v>
      </c>
      <c r="L1079" s="194">
        <v>201</v>
      </c>
      <c r="M1079" s="194">
        <v>120</v>
      </c>
      <c r="N1079" s="194">
        <v>0</v>
      </c>
      <c r="O1079" s="193">
        <f t="shared" si="229"/>
        <v>321</v>
      </c>
      <c r="P1079" s="194">
        <v>75</v>
      </c>
      <c r="Q1079" s="194">
        <v>45</v>
      </c>
      <c r="R1079" s="194">
        <v>0</v>
      </c>
      <c r="S1079" s="193">
        <f t="shared" si="230"/>
        <v>120</v>
      </c>
      <c r="T1079" s="193">
        <f t="shared" si="231"/>
        <v>27.4</v>
      </c>
      <c r="U1079" s="193">
        <f ca="1">OFFSET('Expenditure Study'!$B$7,'Operations Support'!$C1079,'Operations Support'!$B1079)*$G1079</f>
        <v>1561.8</v>
      </c>
      <c r="V1079" s="199">
        <f ca="1">U1079*'Expenditure Study'!$B$31</f>
        <v>92276.111773440003</v>
      </c>
      <c r="W1079" s="199">
        <f ca="1">IF(A1079=10298,1.51,1)*IF($B1079&lt;3,$D1079*'Expenditure Study'!$B$32*OFFSET('Expenditure Study'!$B$7,'Operations Support'!$C1079,'Operations Support'!$B1079),0)</f>
        <v>98.039999999999992</v>
      </c>
      <c r="X1079" s="200">
        <f ca="1">W1079*'Expenditure Study'!$B$31</f>
        <v>5792.5150456319998</v>
      </c>
      <c r="Y1079" s="199">
        <f ca="1">U1079*'Expenditure Study'!$B$31</f>
        <v>92276.111773440003</v>
      </c>
      <c r="Z1079" s="200">
        <f ca="1">W1079*'Expenditure Study'!$B$31</f>
        <v>5792.5150456319998</v>
      </c>
      <c r="AA1079" s="195">
        <f t="shared" ca="1" si="232"/>
        <v>98068.626819072</v>
      </c>
      <c r="AB1079" s="195">
        <f t="shared" ca="1" si="233"/>
        <v>98068.626819072</v>
      </c>
      <c r="AD1079" s="196">
        <f>IFERROR($G1079/SUMIF($A:$A,$A1079,$G:$G)*SUMIF(Summary!$A$166:$A$242,$A1079,Summary!$P$166:$P$242),0)</f>
        <v>24409.377005545888</v>
      </c>
      <c r="AE1079" s="197">
        <f t="shared" ca="1" si="234"/>
        <v>73659.249813526112</v>
      </c>
      <c r="AF1079" s="196">
        <f>IFERROR(G1079/SUMIF(A:A,A1079,G:G)*SUMIF(Summary!$A$166:$A$242,'Operations Support'!A1079,Summary!$Q$166:$Q$242),0)</f>
        <v>24456.278147885627</v>
      </c>
      <c r="AG1079" s="196">
        <f t="shared" ca="1" si="235"/>
        <v>73612.348671186366</v>
      </c>
      <c r="AI1079" s="196">
        <f>IFERROR($G1079/SUMIF($A:$A,$A1079,$G:$G)*SUMIF(Summary!$A$247:$A$283,$A1079,Summary!$P$247:$P$283),0)</f>
        <v>4451.6612365983428</v>
      </c>
      <c r="AJ1079" s="196">
        <f>IFERROR($G1079/SUMIF($A:$A,$A1079,$G:$G)*(SUMIF(Summary!$A$247:$A$283,$A1079,Summary!$L$247:$L$283)+SUMIF(Summary!$A$297:$A$333,$A1079,Summary!$L$297:$L$333))-AI1079,0)</f>
        <v>63546.1745096011</v>
      </c>
      <c r="AK1079" s="196">
        <f>IFERROR($G1079/SUMIF($A:$A,$A1079,$G:$G)*SUMIF(Summary!$A$247:$A$283,$A1079,Summary!$Q$247:$Q$283),0)</f>
        <v>4460.21483455615</v>
      </c>
      <c r="AL1079" s="196">
        <f>IFERROR($G1079/SUMIF($A:$A,$A1079,$G:$G)*(SUMIF(Summary!$A$247:$A$283,$A1079,Summary!$L$247:$L$283)+SUMIF(Summary!$A$297:$A$333,$A1079,Summary!$L$297:$L$333))-AK1079,0)</f>
        <v>63537.620911643295</v>
      </c>
      <c r="AM1079" s="198"/>
      <c r="AN1079" s="196">
        <f t="shared" ca="1" si="236"/>
        <v>137205.4243231272</v>
      </c>
      <c r="AO1079" s="196">
        <f t="shared" ca="1" si="237"/>
        <v>137149.96958282965</v>
      </c>
    </row>
    <row r="1080" spans="1:41">
      <c r="A1080" s="189">
        <v>3625</v>
      </c>
      <c r="B1080" s="203">
        <v>2</v>
      </c>
      <c r="C1080" s="191" t="s">
        <v>224</v>
      </c>
      <c r="D1080" s="192">
        <f t="shared" si="224"/>
        <v>1046</v>
      </c>
      <c r="E1080" s="192">
        <f t="shared" si="225"/>
        <v>105</v>
      </c>
      <c r="F1080" s="192">
        <f t="shared" si="226"/>
        <v>0</v>
      </c>
      <c r="G1080" s="193">
        <f t="shared" si="227"/>
        <v>1151</v>
      </c>
      <c r="H1080" s="194">
        <v>548</v>
      </c>
      <c r="I1080" s="194">
        <v>15</v>
      </c>
      <c r="J1080" s="194">
        <v>0</v>
      </c>
      <c r="K1080" s="193">
        <f t="shared" si="228"/>
        <v>563</v>
      </c>
      <c r="L1080" s="194">
        <v>387</v>
      </c>
      <c r="M1080" s="194">
        <v>90</v>
      </c>
      <c r="N1080" s="194">
        <v>0</v>
      </c>
      <c r="O1080" s="193">
        <f t="shared" si="229"/>
        <v>477</v>
      </c>
      <c r="P1080" s="194">
        <v>111</v>
      </c>
      <c r="Q1080" s="194">
        <v>0</v>
      </c>
      <c r="R1080" s="194">
        <v>0</v>
      </c>
      <c r="S1080" s="193">
        <f t="shared" si="230"/>
        <v>111</v>
      </c>
      <c r="T1080" s="193">
        <f t="shared" si="231"/>
        <v>38.366666666666667</v>
      </c>
      <c r="U1080" s="193">
        <f ca="1">OFFSET('Expenditure Study'!$B$7,'Operations Support'!$C1080,'Operations Support'!$B1080)*$G1080</f>
        <v>2612.77</v>
      </c>
      <c r="V1080" s="199">
        <f ca="1">U1080*'Expenditure Study'!$B$31</f>
        <v>154370.762298816</v>
      </c>
      <c r="W1080" s="199">
        <f ca="1">IF(A1080=10298,1.51,1)*IF($B1080&lt;3,$D1080*'Expenditure Study'!$B$32*OFFSET('Expenditure Study'!$B$7,'Operations Support'!$C1080,'Operations Support'!$B1080),0)</f>
        <v>237.44200000000001</v>
      </c>
      <c r="X1080" s="200">
        <f ca="1">W1080*'Expenditure Study'!$B$31</f>
        <v>14028.828615513601</v>
      </c>
      <c r="Y1080" s="199">
        <f ca="1">U1080*'Expenditure Study'!$B$31</f>
        <v>154370.762298816</v>
      </c>
      <c r="Z1080" s="200">
        <f ca="1">W1080*'Expenditure Study'!$B$31</f>
        <v>14028.828615513601</v>
      </c>
      <c r="AA1080" s="195">
        <f t="shared" ca="1" si="232"/>
        <v>168399.5909143296</v>
      </c>
      <c r="AB1080" s="195">
        <f t="shared" ca="1" si="233"/>
        <v>168399.5909143296</v>
      </c>
      <c r="AD1080" s="196">
        <f>IFERROR($G1080/SUMIF($A:$A,$A1080,$G:$G)*SUMIF(Summary!$A$166:$A$242,$A1080,Summary!$P$166:$P$242),0)</f>
        <v>34179.066828933472</v>
      </c>
      <c r="AE1080" s="197">
        <f t="shared" ca="1" si="234"/>
        <v>134220.52408539614</v>
      </c>
      <c r="AF1080" s="196">
        <f>IFERROR(G1080/SUMIF(A:A,A1080,G:G)*SUMIF(Summary!$A$166:$A$242,'Operations Support'!A1080,Summary!$Q$166:$Q$242),0)</f>
        <v>34244.739839679263</v>
      </c>
      <c r="AG1080" s="196">
        <f t="shared" ca="1" si="235"/>
        <v>134154.85107465033</v>
      </c>
      <c r="AI1080" s="196">
        <f>IFERROR($G1080/SUMIF($A:$A,$A1080,$G:$G)*SUMIF(Summary!$A$247:$A$283,$A1080,Summary!$P$247:$P$283),0)</f>
        <v>6233.4088604923263</v>
      </c>
      <c r="AJ1080" s="196">
        <f>IFERROR($G1080/SUMIF($A:$A,$A1080,$G:$G)*(SUMIF(Summary!$A$247:$A$283,$A1080,Summary!$L$247:$L$283)+SUMIF(Summary!$A$297:$A$333,$A1080,Summary!$L$297:$L$333))-AI1080,0)</f>
        <v>88980.105669769895</v>
      </c>
      <c r="AK1080" s="196">
        <f>IFERROR($G1080/SUMIF($A:$A,$A1080,$G:$G)*SUMIF(Summary!$A$247:$A$283,$A1080,Summary!$Q$247:$Q$283),0)</f>
        <v>6245.385978800643</v>
      </c>
      <c r="AL1080" s="196">
        <f>IFERROR($G1080/SUMIF($A:$A,$A1080,$G:$G)*(SUMIF(Summary!$A$247:$A$283,$A1080,Summary!$L$247:$L$283)+SUMIF(Summary!$A$297:$A$333,$A1080,Summary!$L$297:$L$333))-AK1080,0)</f>
        <v>88968.128551461588</v>
      </c>
      <c r="AM1080" s="198"/>
      <c r="AN1080" s="196">
        <f t="shared" ca="1" si="236"/>
        <v>223200.62975516604</v>
      </c>
      <c r="AO1080" s="196">
        <f t="shared" ca="1" si="237"/>
        <v>223122.97962611192</v>
      </c>
    </row>
    <row r="1081" spans="1:41">
      <c r="A1081" s="189">
        <v>3625</v>
      </c>
      <c r="B1081" s="203">
        <v>2</v>
      </c>
      <c r="C1081" s="191" t="s">
        <v>225</v>
      </c>
      <c r="D1081" s="192">
        <f t="shared" si="224"/>
        <v>60</v>
      </c>
      <c r="E1081" s="192">
        <f t="shared" si="225"/>
        <v>0</v>
      </c>
      <c r="F1081" s="192">
        <f t="shared" si="226"/>
        <v>0</v>
      </c>
      <c r="G1081" s="193">
        <f t="shared" si="227"/>
        <v>60</v>
      </c>
      <c r="H1081" s="194">
        <v>42</v>
      </c>
      <c r="I1081" s="194">
        <v>0</v>
      </c>
      <c r="J1081" s="194">
        <v>0</v>
      </c>
      <c r="K1081" s="193">
        <f t="shared" si="228"/>
        <v>42</v>
      </c>
      <c r="L1081" s="194">
        <v>18</v>
      </c>
      <c r="M1081" s="194">
        <v>0</v>
      </c>
      <c r="N1081" s="194">
        <v>0</v>
      </c>
      <c r="O1081" s="193">
        <f t="shared" si="229"/>
        <v>18</v>
      </c>
      <c r="P1081" s="194">
        <v>0</v>
      </c>
      <c r="Q1081" s="194">
        <v>0</v>
      </c>
      <c r="R1081" s="194">
        <v>0</v>
      </c>
      <c r="S1081" s="193">
        <f t="shared" si="230"/>
        <v>0</v>
      </c>
      <c r="T1081" s="193">
        <f t="shared" si="231"/>
        <v>2</v>
      </c>
      <c r="U1081" s="193">
        <f ca="1">OFFSET('Expenditure Study'!$B$7,'Operations Support'!$C1081,'Operations Support'!$B1081)*$G1081</f>
        <v>168</v>
      </c>
      <c r="V1081" s="199">
        <f ca="1">U1081*'Expenditure Study'!$B$31</f>
        <v>9925.9743744000007</v>
      </c>
      <c r="W1081" s="199">
        <f ca="1">IF(A1081=10298,1.51,1)*IF($B1081&lt;3,$D1081*'Expenditure Study'!$B$32*OFFSET('Expenditure Study'!$B$7,'Operations Support'!$C1081,'Operations Support'!$B1081),0)</f>
        <v>16.799999999999997</v>
      </c>
      <c r="X1081" s="200">
        <f ca="1">W1081*'Expenditure Study'!$B$31</f>
        <v>992.59743743999979</v>
      </c>
      <c r="Y1081" s="199">
        <f ca="1">U1081*'Expenditure Study'!$B$31</f>
        <v>9925.9743744000007</v>
      </c>
      <c r="Z1081" s="200">
        <f ca="1">W1081*'Expenditure Study'!$B$31</f>
        <v>992.59743743999979</v>
      </c>
      <c r="AA1081" s="195">
        <f t="shared" ca="1" si="232"/>
        <v>10918.57181184</v>
      </c>
      <c r="AB1081" s="195">
        <f t="shared" ca="1" si="233"/>
        <v>10918.57181184</v>
      </c>
      <c r="AD1081" s="196">
        <f>IFERROR($G1081/SUMIF($A:$A,$A1081,$G:$G)*SUMIF(Summary!$A$166:$A$242,$A1081,Summary!$P$166:$P$242),0)</f>
        <v>1781.7063507697726</v>
      </c>
      <c r="AE1081" s="197">
        <f t="shared" ca="1" si="234"/>
        <v>9136.865461070227</v>
      </c>
      <c r="AF1081" s="196">
        <f>IFERROR(G1081/SUMIF(A:A,A1081,G:G)*SUMIF(Summary!$A$166:$A$242,'Operations Support'!A1081,Summary!$Q$166:$Q$242),0)</f>
        <v>1785.1297918164689</v>
      </c>
      <c r="AG1081" s="196">
        <f t="shared" ca="1" si="235"/>
        <v>9133.4420200235309</v>
      </c>
      <c r="AI1081" s="196">
        <f>IFERROR($G1081/SUMIF($A:$A,$A1081,$G:$G)*SUMIF(Summary!$A$247:$A$283,$A1081,Summary!$P$247:$P$283),0)</f>
        <v>324.93877639403956</v>
      </c>
      <c r="AJ1081" s="196">
        <f>IFERROR($G1081/SUMIF($A:$A,$A1081,$G:$G)*(SUMIF(Summary!$A$247:$A$283,$A1081,Summary!$L$247:$L$283)+SUMIF(Summary!$A$297:$A$333,$A1081,Summary!$L$297:$L$333))-AI1081,0)</f>
        <v>4638.4068985110289</v>
      </c>
      <c r="AK1081" s="196">
        <f>IFERROR($G1081/SUMIF($A:$A,$A1081,$G:$G)*SUMIF(Summary!$A$247:$A$283,$A1081,Summary!$Q$247:$Q$283),0)</f>
        <v>325.56312660993797</v>
      </c>
      <c r="AL1081" s="196">
        <f>IFERROR($G1081/SUMIF($A:$A,$A1081,$G:$G)*(SUMIF(Summary!$A$247:$A$283,$A1081,Summary!$L$247:$L$283)+SUMIF(Summary!$A$297:$A$333,$A1081,Summary!$L$297:$L$333))-AK1081,0)</f>
        <v>4637.7825482951303</v>
      </c>
      <c r="AM1081" s="198"/>
      <c r="AN1081" s="196">
        <f t="shared" ca="1" si="236"/>
        <v>13775.272359581257</v>
      </c>
      <c r="AO1081" s="196">
        <f t="shared" ca="1" si="237"/>
        <v>13771.224568318661</v>
      </c>
    </row>
    <row r="1082" spans="1:41">
      <c r="A1082" s="189">
        <v>3625</v>
      </c>
      <c r="B1082" s="203">
        <v>2</v>
      </c>
      <c r="C1082" s="191" t="s">
        <v>226</v>
      </c>
      <c r="D1082" s="192">
        <f t="shared" si="224"/>
        <v>0</v>
      </c>
      <c r="E1082" s="192">
        <f t="shared" si="225"/>
        <v>15</v>
      </c>
      <c r="F1082" s="192">
        <f t="shared" si="226"/>
        <v>0</v>
      </c>
      <c r="G1082" s="193">
        <f t="shared" si="227"/>
        <v>15</v>
      </c>
      <c r="H1082" s="194">
        <v>0</v>
      </c>
      <c r="I1082" s="194">
        <v>0</v>
      </c>
      <c r="J1082" s="194">
        <v>0</v>
      </c>
      <c r="K1082" s="193">
        <f t="shared" si="228"/>
        <v>0</v>
      </c>
      <c r="L1082" s="194">
        <v>0</v>
      </c>
      <c r="M1082" s="194">
        <v>15</v>
      </c>
      <c r="N1082" s="194">
        <v>0</v>
      </c>
      <c r="O1082" s="193">
        <f t="shared" si="229"/>
        <v>15</v>
      </c>
      <c r="P1082" s="194">
        <v>0</v>
      </c>
      <c r="Q1082" s="194">
        <v>0</v>
      </c>
      <c r="R1082" s="194">
        <v>0</v>
      </c>
      <c r="S1082" s="193">
        <f t="shared" si="230"/>
        <v>0</v>
      </c>
      <c r="T1082" s="193">
        <f t="shared" si="231"/>
        <v>0.5</v>
      </c>
      <c r="U1082" s="193">
        <f ca="1">OFFSET('Expenditure Study'!$B$7,'Operations Support'!$C1082,'Operations Support'!$B1082)*$G1082</f>
        <v>27</v>
      </c>
      <c r="V1082" s="199">
        <f ca="1">U1082*'Expenditure Study'!$B$31</f>
        <v>1595.2458816000001</v>
      </c>
      <c r="W1082" s="199">
        <f ca="1">IF(A1082=10298,1.51,1)*IF($B1082&lt;3,$D1082*'Expenditure Study'!$B$32*OFFSET('Expenditure Study'!$B$7,'Operations Support'!$C1082,'Operations Support'!$B1082),0)</f>
        <v>0</v>
      </c>
      <c r="X1082" s="200">
        <f ca="1">W1082*'Expenditure Study'!$B$31</f>
        <v>0</v>
      </c>
      <c r="Y1082" s="199">
        <f ca="1">U1082*'Expenditure Study'!$B$31</f>
        <v>1595.2458816000001</v>
      </c>
      <c r="Z1082" s="200">
        <f ca="1">W1082*'Expenditure Study'!$B$31</f>
        <v>0</v>
      </c>
      <c r="AA1082" s="195">
        <f t="shared" ca="1" si="232"/>
        <v>1595.2458816000001</v>
      </c>
      <c r="AB1082" s="195">
        <f t="shared" ca="1" si="233"/>
        <v>1595.2458816000001</v>
      </c>
      <c r="AD1082" s="196">
        <f>IFERROR($G1082/SUMIF($A:$A,$A1082,$G:$G)*SUMIF(Summary!$A$166:$A$242,$A1082,Summary!$P$166:$P$242),0)</f>
        <v>445.42658769244315</v>
      </c>
      <c r="AE1082" s="197">
        <f t="shared" ca="1" si="234"/>
        <v>1149.819293907557</v>
      </c>
      <c r="AF1082" s="196">
        <f>IFERROR(G1082/SUMIF(A:A,A1082,G:G)*SUMIF(Summary!$A$166:$A$242,'Operations Support'!A1082,Summary!$Q$166:$Q$242),0)</f>
        <v>446.28244795411723</v>
      </c>
      <c r="AG1082" s="196">
        <f t="shared" ca="1" si="235"/>
        <v>1148.9634336458828</v>
      </c>
      <c r="AI1082" s="196">
        <f>IFERROR($G1082/SUMIF($A:$A,$A1082,$G:$G)*SUMIF(Summary!$A$247:$A$283,$A1082,Summary!$P$247:$P$283),0)</f>
        <v>81.234694098509891</v>
      </c>
      <c r="AJ1082" s="196">
        <f>IFERROR($G1082/SUMIF($A:$A,$A1082,$G:$G)*(SUMIF(Summary!$A$247:$A$283,$A1082,Summary!$L$247:$L$283)+SUMIF(Summary!$A$297:$A$333,$A1082,Summary!$L$297:$L$333))-AI1082,0)</f>
        <v>1159.6017246277572</v>
      </c>
      <c r="AK1082" s="196">
        <f>IFERROR($G1082/SUMIF($A:$A,$A1082,$G:$G)*SUMIF(Summary!$A$247:$A$283,$A1082,Summary!$Q$247:$Q$283),0)</f>
        <v>81.390781652484492</v>
      </c>
      <c r="AL1082" s="196">
        <f>IFERROR($G1082/SUMIF($A:$A,$A1082,$G:$G)*(SUMIF(Summary!$A$247:$A$283,$A1082,Summary!$L$247:$L$283)+SUMIF(Summary!$A$297:$A$333,$A1082,Summary!$L$297:$L$333))-AK1082,0)</f>
        <v>1159.4456370737826</v>
      </c>
      <c r="AM1082" s="198"/>
      <c r="AN1082" s="196">
        <f t="shared" ca="1" si="236"/>
        <v>2309.421018535314</v>
      </c>
      <c r="AO1082" s="196">
        <f t="shared" ca="1" si="237"/>
        <v>2308.4090707196656</v>
      </c>
    </row>
    <row r="1083" spans="1:41">
      <c r="A1083" s="189">
        <v>3625</v>
      </c>
      <c r="B1083" s="203">
        <v>2</v>
      </c>
      <c r="C1083" s="191" t="s">
        <v>227</v>
      </c>
      <c r="D1083" s="192">
        <f t="shared" si="224"/>
        <v>0</v>
      </c>
      <c r="E1083" s="192">
        <f t="shared" si="225"/>
        <v>0</v>
      </c>
      <c r="F1083" s="192">
        <f t="shared" si="226"/>
        <v>0</v>
      </c>
      <c r="G1083" s="193">
        <f t="shared" si="227"/>
        <v>0</v>
      </c>
      <c r="H1083" s="194">
        <v>0</v>
      </c>
      <c r="I1083" s="194">
        <v>0</v>
      </c>
      <c r="J1083" s="194">
        <v>0</v>
      </c>
      <c r="K1083" s="193">
        <f t="shared" si="228"/>
        <v>0</v>
      </c>
      <c r="L1083" s="194">
        <v>0</v>
      </c>
      <c r="M1083" s="194">
        <v>0</v>
      </c>
      <c r="N1083" s="194">
        <v>0</v>
      </c>
      <c r="O1083" s="193">
        <f t="shared" si="229"/>
        <v>0</v>
      </c>
      <c r="P1083" s="194">
        <v>0</v>
      </c>
      <c r="Q1083" s="194">
        <v>0</v>
      </c>
      <c r="R1083" s="194">
        <v>0</v>
      </c>
      <c r="S1083" s="193">
        <f t="shared" si="230"/>
        <v>0</v>
      </c>
      <c r="T1083" s="193">
        <f t="shared" si="231"/>
        <v>0</v>
      </c>
      <c r="U1083" s="193">
        <f ca="1">OFFSET('Expenditure Study'!$B$7,'Operations Support'!$C1083,'Operations Support'!$B1083)*$G1083</f>
        <v>0</v>
      </c>
      <c r="V1083" s="199">
        <f ca="1">U1083*'Expenditure Study'!$B$31</f>
        <v>0</v>
      </c>
      <c r="W1083" s="199">
        <f ca="1">IF(A1083=10298,1.51,1)*IF($B1083&lt;3,$D1083*'Expenditure Study'!$B$32*OFFSET('Expenditure Study'!$B$7,'Operations Support'!$C1083,'Operations Support'!$B1083),0)</f>
        <v>0</v>
      </c>
      <c r="X1083" s="200">
        <f ca="1">W1083*'Expenditure Study'!$B$31</f>
        <v>0</v>
      </c>
      <c r="Y1083" s="199">
        <f ca="1">U1083*'Expenditure Study'!$B$31</f>
        <v>0</v>
      </c>
      <c r="Z1083" s="200">
        <f ca="1">W1083*'Expenditure Study'!$B$31</f>
        <v>0</v>
      </c>
      <c r="AA1083" s="195">
        <f t="shared" ca="1" si="232"/>
        <v>0</v>
      </c>
      <c r="AB1083" s="195">
        <f t="shared" ca="1" si="233"/>
        <v>0</v>
      </c>
      <c r="AD1083" s="196">
        <f>IFERROR($G1083/SUMIF($A:$A,$A1083,$G:$G)*SUMIF(Summary!$A$166:$A$242,$A1083,Summary!$P$166:$P$242),0)</f>
        <v>0</v>
      </c>
      <c r="AE1083" s="197">
        <f t="shared" ca="1" si="234"/>
        <v>0</v>
      </c>
      <c r="AF1083" s="196">
        <f>IFERROR(G1083/SUMIF(A:A,A1083,G:G)*SUMIF(Summary!$A$166:$A$242,'Operations Support'!A1083,Summary!$Q$166:$Q$242),0)</f>
        <v>0</v>
      </c>
      <c r="AG1083" s="196">
        <f t="shared" ca="1" si="235"/>
        <v>0</v>
      </c>
      <c r="AI1083" s="196">
        <f>IFERROR($G1083/SUMIF($A:$A,$A1083,$G:$G)*SUMIF(Summary!$A$247:$A$283,$A1083,Summary!$P$247:$P$283),0)</f>
        <v>0</v>
      </c>
      <c r="AJ1083" s="196">
        <f>IFERROR($G1083/SUMIF($A:$A,$A1083,$G:$G)*(SUMIF(Summary!$A$247:$A$283,$A1083,Summary!$L$247:$L$283)+SUMIF(Summary!$A$297:$A$333,$A1083,Summary!$L$297:$L$333))-AI1083,0)</f>
        <v>0</v>
      </c>
      <c r="AK1083" s="196">
        <f>IFERROR($G1083/SUMIF($A:$A,$A1083,$G:$G)*SUMIF(Summary!$A$247:$A$283,$A1083,Summary!$Q$247:$Q$283),0)</f>
        <v>0</v>
      </c>
      <c r="AL1083" s="196">
        <f>IFERROR($G1083/SUMIF($A:$A,$A1083,$G:$G)*(SUMIF(Summary!$A$247:$A$283,$A1083,Summary!$L$247:$L$283)+SUMIF(Summary!$A$297:$A$333,$A1083,Summary!$L$297:$L$333))-AK1083,0)</f>
        <v>0</v>
      </c>
      <c r="AM1083" s="198"/>
      <c r="AN1083" s="196">
        <f t="shared" ca="1" si="236"/>
        <v>0</v>
      </c>
      <c r="AO1083" s="196">
        <f t="shared" ca="1" si="237"/>
        <v>0</v>
      </c>
    </row>
    <row r="1084" spans="1:41">
      <c r="A1084" s="189">
        <v>3625</v>
      </c>
      <c r="B1084" s="203">
        <v>2</v>
      </c>
      <c r="C1084" s="191" t="s">
        <v>228</v>
      </c>
      <c r="D1084" s="192">
        <f t="shared" si="224"/>
        <v>0</v>
      </c>
      <c r="E1084" s="192">
        <f t="shared" si="225"/>
        <v>0</v>
      </c>
      <c r="F1084" s="192">
        <f t="shared" si="226"/>
        <v>0</v>
      </c>
      <c r="G1084" s="193">
        <f t="shared" si="227"/>
        <v>0</v>
      </c>
      <c r="H1084" s="194">
        <v>0</v>
      </c>
      <c r="I1084" s="194">
        <v>0</v>
      </c>
      <c r="J1084" s="194">
        <v>0</v>
      </c>
      <c r="K1084" s="193">
        <f t="shared" si="228"/>
        <v>0</v>
      </c>
      <c r="L1084" s="194">
        <v>0</v>
      </c>
      <c r="M1084" s="194">
        <v>0</v>
      </c>
      <c r="N1084" s="194">
        <v>0</v>
      </c>
      <c r="O1084" s="193">
        <f t="shared" si="229"/>
        <v>0</v>
      </c>
      <c r="P1084" s="194">
        <v>0</v>
      </c>
      <c r="Q1084" s="194">
        <v>0</v>
      </c>
      <c r="R1084" s="194">
        <v>0</v>
      </c>
      <c r="S1084" s="193">
        <f t="shared" si="230"/>
        <v>0</v>
      </c>
      <c r="T1084" s="193">
        <f t="shared" si="231"/>
        <v>0</v>
      </c>
      <c r="U1084" s="193">
        <f ca="1">OFFSET('Expenditure Study'!$B$7,'Operations Support'!$C1084,'Operations Support'!$B1084)*$G1084</f>
        <v>0</v>
      </c>
      <c r="V1084" s="199">
        <f ca="1">U1084*'Expenditure Study'!$B$31</f>
        <v>0</v>
      </c>
      <c r="W1084" s="199">
        <f ca="1">IF(A1084=10298,1.51,1)*IF($B1084&lt;3,$D1084*'Expenditure Study'!$B$32*OFFSET('Expenditure Study'!$B$7,'Operations Support'!$C1084,'Operations Support'!$B1084),0)</f>
        <v>0</v>
      </c>
      <c r="X1084" s="200">
        <f ca="1">W1084*'Expenditure Study'!$B$31</f>
        <v>0</v>
      </c>
      <c r="Y1084" s="199">
        <f ca="1">U1084*'Expenditure Study'!$B$31</f>
        <v>0</v>
      </c>
      <c r="Z1084" s="200">
        <f ca="1">W1084*'Expenditure Study'!$B$31</f>
        <v>0</v>
      </c>
      <c r="AA1084" s="195">
        <f t="shared" ca="1" si="232"/>
        <v>0</v>
      </c>
      <c r="AB1084" s="195">
        <f t="shared" ca="1" si="233"/>
        <v>0</v>
      </c>
      <c r="AD1084" s="196">
        <f>IFERROR($G1084/SUMIF($A:$A,$A1084,$G:$G)*SUMIF(Summary!$A$166:$A$242,$A1084,Summary!$P$166:$P$242),0)</f>
        <v>0</v>
      </c>
      <c r="AE1084" s="197">
        <f t="shared" ca="1" si="234"/>
        <v>0</v>
      </c>
      <c r="AF1084" s="196">
        <f>IFERROR(G1084/SUMIF(A:A,A1084,G:G)*SUMIF(Summary!$A$166:$A$242,'Operations Support'!A1084,Summary!$Q$166:$Q$242),0)</f>
        <v>0</v>
      </c>
      <c r="AG1084" s="196">
        <f t="shared" ca="1" si="235"/>
        <v>0</v>
      </c>
      <c r="AI1084" s="196">
        <f>IFERROR($G1084/SUMIF($A:$A,$A1084,$G:$G)*SUMIF(Summary!$A$247:$A$283,$A1084,Summary!$P$247:$P$283),0)</f>
        <v>0</v>
      </c>
      <c r="AJ1084" s="196">
        <f>IFERROR($G1084/SUMIF($A:$A,$A1084,$G:$G)*(SUMIF(Summary!$A$247:$A$283,$A1084,Summary!$L$247:$L$283)+SUMIF(Summary!$A$297:$A$333,$A1084,Summary!$L$297:$L$333))-AI1084,0)</f>
        <v>0</v>
      </c>
      <c r="AK1084" s="196">
        <f>IFERROR($G1084/SUMIF($A:$A,$A1084,$G:$G)*SUMIF(Summary!$A$247:$A$283,$A1084,Summary!$Q$247:$Q$283),0)</f>
        <v>0</v>
      </c>
      <c r="AL1084" s="196">
        <f>IFERROR($G1084/SUMIF($A:$A,$A1084,$G:$G)*(SUMIF(Summary!$A$247:$A$283,$A1084,Summary!$L$247:$L$283)+SUMIF(Summary!$A$297:$A$333,$A1084,Summary!$L$297:$L$333))-AK1084,0)</f>
        <v>0</v>
      </c>
      <c r="AM1084" s="198"/>
      <c r="AN1084" s="196">
        <f t="shared" ca="1" si="236"/>
        <v>0</v>
      </c>
      <c r="AO1084" s="196">
        <f t="shared" ca="1" si="237"/>
        <v>0</v>
      </c>
    </row>
    <row r="1085" spans="1:41">
      <c r="A1085" s="189">
        <v>3625</v>
      </c>
      <c r="B1085" s="203">
        <v>2</v>
      </c>
      <c r="C1085" s="191" t="s">
        <v>229</v>
      </c>
      <c r="D1085" s="192">
        <f t="shared" si="224"/>
        <v>0</v>
      </c>
      <c r="E1085" s="192">
        <f t="shared" si="225"/>
        <v>0</v>
      </c>
      <c r="F1085" s="192">
        <f t="shared" si="226"/>
        <v>0</v>
      </c>
      <c r="G1085" s="193">
        <f t="shared" si="227"/>
        <v>0</v>
      </c>
      <c r="H1085" s="194">
        <v>0</v>
      </c>
      <c r="I1085" s="194">
        <v>0</v>
      </c>
      <c r="J1085" s="194">
        <v>0</v>
      </c>
      <c r="K1085" s="193">
        <f t="shared" si="228"/>
        <v>0</v>
      </c>
      <c r="L1085" s="194">
        <v>0</v>
      </c>
      <c r="M1085" s="194">
        <v>0</v>
      </c>
      <c r="N1085" s="194">
        <v>0</v>
      </c>
      <c r="O1085" s="193">
        <f t="shared" si="229"/>
        <v>0</v>
      </c>
      <c r="P1085" s="194">
        <v>0</v>
      </c>
      <c r="Q1085" s="194">
        <v>0</v>
      </c>
      <c r="R1085" s="194">
        <v>0</v>
      </c>
      <c r="S1085" s="193">
        <f t="shared" si="230"/>
        <v>0</v>
      </c>
      <c r="T1085" s="193">
        <f t="shared" si="231"/>
        <v>0</v>
      </c>
      <c r="U1085" s="193">
        <f ca="1">OFFSET('Expenditure Study'!$B$7,'Operations Support'!$C1085,'Operations Support'!$B1085)*$G1085</f>
        <v>0</v>
      </c>
      <c r="V1085" s="199">
        <f ca="1">U1085*'Expenditure Study'!$B$31</f>
        <v>0</v>
      </c>
      <c r="W1085" s="199">
        <f ca="1">IF(A1085=10298,1.51,1)*IF($B1085&lt;3,$D1085*'Expenditure Study'!$B$32*OFFSET('Expenditure Study'!$B$7,'Operations Support'!$C1085,'Operations Support'!$B1085),0)</f>
        <v>0</v>
      </c>
      <c r="X1085" s="200">
        <f ca="1">W1085*'Expenditure Study'!$B$31</f>
        <v>0</v>
      </c>
      <c r="Y1085" s="199">
        <f ca="1">U1085*'Expenditure Study'!$B$31</f>
        <v>0</v>
      </c>
      <c r="Z1085" s="200">
        <f ca="1">W1085*'Expenditure Study'!$B$31</f>
        <v>0</v>
      </c>
      <c r="AA1085" s="195">
        <f t="shared" ca="1" si="232"/>
        <v>0</v>
      </c>
      <c r="AB1085" s="195">
        <f t="shared" ca="1" si="233"/>
        <v>0</v>
      </c>
      <c r="AD1085" s="196">
        <f>IFERROR($G1085/SUMIF($A:$A,$A1085,$G:$G)*SUMIF(Summary!$A$166:$A$242,$A1085,Summary!$P$166:$P$242),0)</f>
        <v>0</v>
      </c>
      <c r="AE1085" s="197">
        <f t="shared" ca="1" si="234"/>
        <v>0</v>
      </c>
      <c r="AF1085" s="196">
        <f>IFERROR(G1085/SUMIF(A:A,A1085,G:G)*SUMIF(Summary!$A$166:$A$242,'Operations Support'!A1085,Summary!$Q$166:$Q$242),0)</f>
        <v>0</v>
      </c>
      <c r="AG1085" s="196">
        <f t="shared" ca="1" si="235"/>
        <v>0</v>
      </c>
      <c r="AI1085" s="196">
        <f>IFERROR($G1085/SUMIF($A:$A,$A1085,$G:$G)*SUMIF(Summary!$A$247:$A$283,$A1085,Summary!$P$247:$P$283),0)</f>
        <v>0</v>
      </c>
      <c r="AJ1085" s="196">
        <f>IFERROR($G1085/SUMIF($A:$A,$A1085,$G:$G)*(SUMIF(Summary!$A$247:$A$283,$A1085,Summary!$L$247:$L$283)+SUMIF(Summary!$A$297:$A$333,$A1085,Summary!$L$297:$L$333))-AI1085,0)</f>
        <v>0</v>
      </c>
      <c r="AK1085" s="196">
        <f>IFERROR($G1085/SUMIF($A:$A,$A1085,$G:$G)*SUMIF(Summary!$A$247:$A$283,$A1085,Summary!$Q$247:$Q$283),0)</f>
        <v>0</v>
      </c>
      <c r="AL1085" s="196">
        <f>IFERROR($G1085/SUMIF($A:$A,$A1085,$G:$G)*(SUMIF(Summary!$A$247:$A$283,$A1085,Summary!$L$247:$L$283)+SUMIF(Summary!$A$297:$A$333,$A1085,Summary!$L$297:$L$333))-AK1085,0)</f>
        <v>0</v>
      </c>
      <c r="AM1085" s="198"/>
      <c r="AN1085" s="196">
        <f t="shared" ca="1" si="236"/>
        <v>0</v>
      </c>
      <c r="AO1085" s="196">
        <f t="shared" ca="1" si="237"/>
        <v>0</v>
      </c>
    </row>
    <row r="1086" spans="1:41">
      <c r="A1086" s="189">
        <v>3625</v>
      </c>
      <c r="B1086" s="203">
        <v>2</v>
      </c>
      <c r="C1086" s="191" t="s">
        <v>230</v>
      </c>
      <c r="D1086" s="192">
        <f t="shared" si="224"/>
        <v>0</v>
      </c>
      <c r="E1086" s="192">
        <f t="shared" si="225"/>
        <v>0</v>
      </c>
      <c r="F1086" s="192">
        <f t="shared" si="226"/>
        <v>0</v>
      </c>
      <c r="G1086" s="193">
        <f t="shared" si="227"/>
        <v>0</v>
      </c>
      <c r="H1086" s="194">
        <v>0</v>
      </c>
      <c r="I1086" s="194">
        <v>0</v>
      </c>
      <c r="J1086" s="194">
        <v>0</v>
      </c>
      <c r="K1086" s="193">
        <f t="shared" si="228"/>
        <v>0</v>
      </c>
      <c r="L1086" s="194">
        <v>0</v>
      </c>
      <c r="M1086" s="194">
        <v>0</v>
      </c>
      <c r="N1086" s="194">
        <v>0</v>
      </c>
      <c r="O1086" s="193">
        <f t="shared" si="229"/>
        <v>0</v>
      </c>
      <c r="P1086" s="194">
        <v>0</v>
      </c>
      <c r="Q1086" s="194">
        <v>0</v>
      </c>
      <c r="R1086" s="194">
        <v>0</v>
      </c>
      <c r="S1086" s="193">
        <f t="shared" si="230"/>
        <v>0</v>
      </c>
      <c r="T1086" s="193">
        <f t="shared" si="231"/>
        <v>0</v>
      </c>
      <c r="U1086" s="193">
        <f ca="1">OFFSET('Expenditure Study'!$B$7,'Operations Support'!$C1086,'Operations Support'!$B1086)*$G1086</f>
        <v>0</v>
      </c>
      <c r="V1086" s="199">
        <f ca="1">U1086*'Expenditure Study'!$B$31</f>
        <v>0</v>
      </c>
      <c r="W1086" s="199">
        <f ca="1">IF(A1086=10298,1.51,1)*IF($B1086&lt;3,$D1086*'Expenditure Study'!$B$32*OFFSET('Expenditure Study'!$B$7,'Operations Support'!$C1086,'Operations Support'!$B1086),0)</f>
        <v>0</v>
      </c>
      <c r="X1086" s="200">
        <f ca="1">W1086*'Expenditure Study'!$B$31</f>
        <v>0</v>
      </c>
      <c r="Y1086" s="199">
        <f ca="1">U1086*'Expenditure Study'!$B$31</f>
        <v>0</v>
      </c>
      <c r="Z1086" s="200">
        <f ca="1">W1086*'Expenditure Study'!$B$31</f>
        <v>0</v>
      </c>
      <c r="AA1086" s="195">
        <f t="shared" ca="1" si="232"/>
        <v>0</v>
      </c>
      <c r="AB1086" s="195">
        <f t="shared" ca="1" si="233"/>
        <v>0</v>
      </c>
      <c r="AD1086" s="196">
        <f>IFERROR($G1086/SUMIF($A:$A,$A1086,$G:$G)*SUMIF(Summary!$A$166:$A$242,$A1086,Summary!$P$166:$P$242),0)</f>
        <v>0</v>
      </c>
      <c r="AE1086" s="197">
        <f t="shared" ca="1" si="234"/>
        <v>0</v>
      </c>
      <c r="AF1086" s="196">
        <f>IFERROR(G1086/SUMIF(A:A,A1086,G:G)*SUMIF(Summary!$A$166:$A$242,'Operations Support'!A1086,Summary!$Q$166:$Q$242),0)</f>
        <v>0</v>
      </c>
      <c r="AG1086" s="196">
        <f t="shared" ca="1" si="235"/>
        <v>0</v>
      </c>
      <c r="AI1086" s="196">
        <f>IFERROR($G1086/SUMIF($A:$A,$A1086,$G:$G)*SUMIF(Summary!$A$247:$A$283,$A1086,Summary!$P$247:$P$283),0)</f>
        <v>0</v>
      </c>
      <c r="AJ1086" s="196">
        <f>IFERROR($G1086/SUMIF($A:$A,$A1086,$G:$G)*(SUMIF(Summary!$A$247:$A$283,$A1086,Summary!$L$247:$L$283)+SUMIF(Summary!$A$297:$A$333,$A1086,Summary!$L$297:$L$333))-AI1086,0)</f>
        <v>0</v>
      </c>
      <c r="AK1086" s="196">
        <f>IFERROR($G1086/SUMIF($A:$A,$A1086,$G:$G)*SUMIF(Summary!$A$247:$A$283,$A1086,Summary!$Q$247:$Q$283),0)</f>
        <v>0</v>
      </c>
      <c r="AL1086" s="196">
        <f>IFERROR($G1086/SUMIF($A:$A,$A1086,$G:$G)*(SUMIF(Summary!$A$247:$A$283,$A1086,Summary!$L$247:$L$283)+SUMIF(Summary!$A$297:$A$333,$A1086,Summary!$L$297:$L$333))-AK1086,0)</f>
        <v>0</v>
      </c>
      <c r="AM1086" s="198"/>
      <c r="AN1086" s="196">
        <f t="shared" ca="1" si="236"/>
        <v>0</v>
      </c>
      <c r="AO1086" s="196">
        <f t="shared" ca="1" si="237"/>
        <v>0</v>
      </c>
    </row>
    <row r="1087" spans="1:41">
      <c r="A1087" s="189">
        <v>3625</v>
      </c>
      <c r="B1087" s="203">
        <v>2</v>
      </c>
      <c r="C1087" s="191" t="s">
        <v>231</v>
      </c>
      <c r="D1087" s="192">
        <f t="shared" si="224"/>
        <v>0</v>
      </c>
      <c r="E1087" s="192">
        <f t="shared" si="225"/>
        <v>0</v>
      </c>
      <c r="F1087" s="192">
        <f t="shared" si="226"/>
        <v>0</v>
      </c>
      <c r="G1087" s="193">
        <f t="shared" si="227"/>
        <v>0</v>
      </c>
      <c r="H1087" s="194">
        <v>0</v>
      </c>
      <c r="I1087" s="194">
        <v>0</v>
      </c>
      <c r="J1087" s="194">
        <v>0</v>
      </c>
      <c r="K1087" s="193">
        <f t="shared" si="228"/>
        <v>0</v>
      </c>
      <c r="L1087" s="194">
        <v>0</v>
      </c>
      <c r="M1087" s="194">
        <v>0</v>
      </c>
      <c r="N1087" s="194">
        <v>0</v>
      </c>
      <c r="O1087" s="193">
        <f t="shared" si="229"/>
        <v>0</v>
      </c>
      <c r="P1087" s="194">
        <v>0</v>
      </c>
      <c r="Q1087" s="194">
        <v>0</v>
      </c>
      <c r="R1087" s="194">
        <v>0</v>
      </c>
      <c r="S1087" s="193">
        <f t="shared" si="230"/>
        <v>0</v>
      </c>
      <c r="T1087" s="193">
        <f t="shared" si="231"/>
        <v>0</v>
      </c>
      <c r="U1087" s="193">
        <f ca="1">OFFSET('Expenditure Study'!$B$7,'Operations Support'!$C1087,'Operations Support'!$B1087)*$G1087</f>
        <v>0</v>
      </c>
      <c r="V1087" s="199">
        <f ca="1">U1087*'Expenditure Study'!$B$31</f>
        <v>0</v>
      </c>
      <c r="W1087" s="199">
        <f ca="1">IF(A1087=10298,1.51,1)*IF($B1087&lt;3,$D1087*'Expenditure Study'!$B$32*OFFSET('Expenditure Study'!$B$7,'Operations Support'!$C1087,'Operations Support'!$B1087),0)</f>
        <v>0</v>
      </c>
      <c r="X1087" s="200">
        <f ca="1">W1087*'Expenditure Study'!$B$31</f>
        <v>0</v>
      </c>
      <c r="Y1087" s="199">
        <f ca="1">U1087*'Expenditure Study'!$B$31</f>
        <v>0</v>
      </c>
      <c r="Z1087" s="200">
        <f ca="1">W1087*'Expenditure Study'!$B$31</f>
        <v>0</v>
      </c>
      <c r="AA1087" s="195">
        <f t="shared" ca="1" si="232"/>
        <v>0</v>
      </c>
      <c r="AB1087" s="195">
        <f t="shared" ca="1" si="233"/>
        <v>0</v>
      </c>
      <c r="AD1087" s="196">
        <f>IFERROR($G1087/SUMIF($A:$A,$A1087,$G:$G)*SUMIF(Summary!$A$166:$A$242,$A1087,Summary!$P$166:$P$242),0)</f>
        <v>0</v>
      </c>
      <c r="AE1087" s="197">
        <f t="shared" ca="1" si="234"/>
        <v>0</v>
      </c>
      <c r="AF1087" s="196">
        <f>IFERROR(G1087/SUMIF(A:A,A1087,G:G)*SUMIF(Summary!$A$166:$A$242,'Operations Support'!A1087,Summary!$Q$166:$Q$242),0)</f>
        <v>0</v>
      </c>
      <c r="AG1087" s="196">
        <f t="shared" ca="1" si="235"/>
        <v>0</v>
      </c>
      <c r="AI1087" s="196">
        <f>IFERROR($G1087/SUMIF($A:$A,$A1087,$G:$G)*SUMIF(Summary!$A$247:$A$283,$A1087,Summary!$P$247:$P$283),0)</f>
        <v>0</v>
      </c>
      <c r="AJ1087" s="196">
        <f>IFERROR($G1087/SUMIF($A:$A,$A1087,$G:$G)*(SUMIF(Summary!$A$247:$A$283,$A1087,Summary!$L$247:$L$283)+SUMIF(Summary!$A$297:$A$333,$A1087,Summary!$L$297:$L$333))-AI1087,0)</f>
        <v>0</v>
      </c>
      <c r="AK1087" s="196">
        <f>IFERROR($G1087/SUMIF($A:$A,$A1087,$G:$G)*SUMIF(Summary!$A$247:$A$283,$A1087,Summary!$Q$247:$Q$283),0)</f>
        <v>0</v>
      </c>
      <c r="AL1087" s="196">
        <f>IFERROR($G1087/SUMIF($A:$A,$A1087,$G:$G)*(SUMIF(Summary!$A$247:$A$283,$A1087,Summary!$L$247:$L$283)+SUMIF(Summary!$A$297:$A$333,$A1087,Summary!$L$297:$L$333))-AK1087,0)</f>
        <v>0</v>
      </c>
      <c r="AM1087" s="198"/>
      <c r="AN1087" s="196">
        <f t="shared" ca="1" si="236"/>
        <v>0</v>
      </c>
      <c r="AO1087" s="196">
        <f t="shared" ca="1" si="237"/>
        <v>0</v>
      </c>
    </row>
    <row r="1088" spans="1:41">
      <c r="A1088" s="189">
        <v>3625</v>
      </c>
      <c r="B1088" s="203">
        <v>2</v>
      </c>
      <c r="C1088" s="191" t="s">
        <v>232</v>
      </c>
      <c r="D1088" s="192">
        <f t="shared" si="224"/>
        <v>48</v>
      </c>
      <c r="E1088" s="192">
        <f t="shared" si="225"/>
        <v>24</v>
      </c>
      <c r="F1088" s="192">
        <f t="shared" si="226"/>
        <v>0</v>
      </c>
      <c r="G1088" s="193">
        <f t="shared" si="227"/>
        <v>72</v>
      </c>
      <c r="H1088" s="194">
        <v>0</v>
      </c>
      <c r="I1088" s="194">
        <v>6</v>
      </c>
      <c r="J1088" s="194">
        <v>0</v>
      </c>
      <c r="K1088" s="193">
        <f t="shared" si="228"/>
        <v>6</v>
      </c>
      <c r="L1088" s="194">
        <v>48</v>
      </c>
      <c r="M1088" s="194">
        <v>18</v>
      </c>
      <c r="N1088" s="194">
        <v>0</v>
      </c>
      <c r="O1088" s="193">
        <f t="shared" si="229"/>
        <v>66</v>
      </c>
      <c r="P1088" s="194">
        <v>0</v>
      </c>
      <c r="Q1088" s="194">
        <v>0</v>
      </c>
      <c r="R1088" s="194">
        <v>0</v>
      </c>
      <c r="S1088" s="193">
        <f t="shared" si="230"/>
        <v>0</v>
      </c>
      <c r="T1088" s="193">
        <f t="shared" si="231"/>
        <v>2.4</v>
      </c>
      <c r="U1088" s="193">
        <f ca="1">OFFSET('Expenditure Study'!$B$7,'Operations Support'!$C1088,'Operations Support'!$B1088)*$G1088</f>
        <v>141.84</v>
      </c>
      <c r="V1088" s="199">
        <f ca="1">U1088*'Expenditure Study'!$B$31</f>
        <v>8380.3583646719999</v>
      </c>
      <c r="W1088" s="199">
        <f ca="1">IF(A1088=10298,1.51,1)*IF($B1088&lt;3,$D1088*'Expenditure Study'!$B$32*OFFSET('Expenditure Study'!$B$7,'Operations Support'!$C1088,'Operations Support'!$B1088),0)</f>
        <v>9.4560000000000013</v>
      </c>
      <c r="X1088" s="200">
        <f ca="1">W1088*'Expenditure Study'!$B$31</f>
        <v>558.69055764480004</v>
      </c>
      <c r="Y1088" s="199">
        <f ca="1">U1088*'Expenditure Study'!$B$31</f>
        <v>8380.3583646719999</v>
      </c>
      <c r="Z1088" s="200">
        <f ca="1">W1088*'Expenditure Study'!$B$31</f>
        <v>558.69055764480004</v>
      </c>
      <c r="AA1088" s="195">
        <f t="shared" ca="1" si="232"/>
        <v>8939.0489223168006</v>
      </c>
      <c r="AB1088" s="195">
        <f t="shared" ca="1" si="233"/>
        <v>8939.0489223168006</v>
      </c>
      <c r="AD1088" s="196">
        <f>IFERROR($G1088/SUMIF($A:$A,$A1088,$G:$G)*SUMIF(Summary!$A$166:$A$242,$A1088,Summary!$P$166:$P$242),0)</f>
        <v>2138.0476209237272</v>
      </c>
      <c r="AE1088" s="197">
        <f t="shared" ca="1" si="234"/>
        <v>6801.0013013930729</v>
      </c>
      <c r="AF1088" s="196">
        <f>IFERROR(G1088/SUMIF(A:A,A1088,G:G)*SUMIF(Summary!$A$166:$A$242,'Operations Support'!A1088,Summary!$Q$166:$Q$242),0)</f>
        <v>2142.1557501797629</v>
      </c>
      <c r="AG1088" s="196">
        <f t="shared" ca="1" si="235"/>
        <v>6796.8931721370373</v>
      </c>
      <c r="AI1088" s="196">
        <f>IFERROR($G1088/SUMIF($A:$A,$A1088,$G:$G)*SUMIF(Summary!$A$247:$A$283,$A1088,Summary!$P$247:$P$283),0)</f>
        <v>389.92653167284749</v>
      </c>
      <c r="AJ1088" s="196">
        <f>IFERROR($G1088/SUMIF($A:$A,$A1088,$G:$G)*(SUMIF(Summary!$A$247:$A$283,$A1088,Summary!$L$247:$L$283)+SUMIF(Summary!$A$297:$A$333,$A1088,Summary!$L$297:$L$333))-AI1088,0)</f>
        <v>5566.0882782132339</v>
      </c>
      <c r="AK1088" s="196">
        <f>IFERROR($G1088/SUMIF($A:$A,$A1088,$G:$G)*SUMIF(Summary!$A$247:$A$283,$A1088,Summary!$Q$247:$Q$283),0)</f>
        <v>390.67575193192556</v>
      </c>
      <c r="AL1088" s="196">
        <f>IFERROR($G1088/SUMIF($A:$A,$A1088,$G:$G)*(SUMIF(Summary!$A$247:$A$283,$A1088,Summary!$L$247:$L$283)+SUMIF(Summary!$A$297:$A$333,$A1088,Summary!$L$297:$L$333))-AK1088,0)</f>
        <v>5565.3390579541565</v>
      </c>
      <c r="AM1088" s="198"/>
      <c r="AN1088" s="196">
        <f t="shared" ca="1" si="236"/>
        <v>12367.089579606307</v>
      </c>
      <c r="AO1088" s="196">
        <f t="shared" ca="1" si="237"/>
        <v>12362.232230091195</v>
      </c>
    </row>
    <row r="1089" spans="1:41">
      <c r="A1089" s="189">
        <v>3625</v>
      </c>
      <c r="B1089" s="203">
        <v>2</v>
      </c>
      <c r="C1089" s="191" t="s">
        <v>233</v>
      </c>
      <c r="D1089" s="192">
        <f t="shared" si="224"/>
        <v>228</v>
      </c>
      <c r="E1089" s="192">
        <f t="shared" si="225"/>
        <v>111</v>
      </c>
      <c r="F1089" s="192">
        <f t="shared" si="226"/>
        <v>0</v>
      </c>
      <c r="G1089" s="193">
        <f t="shared" si="227"/>
        <v>339</v>
      </c>
      <c r="H1089" s="194">
        <v>96</v>
      </c>
      <c r="I1089" s="194">
        <v>27</v>
      </c>
      <c r="J1089" s="194">
        <v>0</v>
      </c>
      <c r="K1089" s="193">
        <f t="shared" si="228"/>
        <v>123</v>
      </c>
      <c r="L1089" s="194">
        <v>117</v>
      </c>
      <c r="M1089" s="194">
        <v>84</v>
      </c>
      <c r="N1089" s="194">
        <v>0</v>
      </c>
      <c r="O1089" s="193">
        <f t="shared" si="229"/>
        <v>201</v>
      </c>
      <c r="P1089" s="194">
        <v>15</v>
      </c>
      <c r="Q1089" s="194">
        <v>0</v>
      </c>
      <c r="R1089" s="194">
        <v>0</v>
      </c>
      <c r="S1089" s="193">
        <f t="shared" si="230"/>
        <v>15</v>
      </c>
      <c r="T1089" s="193">
        <f t="shared" si="231"/>
        <v>11.3</v>
      </c>
      <c r="U1089" s="193">
        <f ca="1">OFFSET('Expenditure Study'!$B$7,'Operations Support'!$C1089,'Operations Support'!$B1089)*$G1089</f>
        <v>545.79000000000008</v>
      </c>
      <c r="V1089" s="199">
        <f ca="1">U1089*'Expenditure Study'!$B$31</f>
        <v>32247.009248832004</v>
      </c>
      <c r="W1089" s="199">
        <f ca="1">IF(A1089=10298,1.51,1)*IF($B1089&lt;3,$D1089*'Expenditure Study'!$B$32*OFFSET('Expenditure Study'!$B$7,'Operations Support'!$C1089,'Operations Support'!$B1089),0)</f>
        <v>36.708000000000006</v>
      </c>
      <c r="X1089" s="200">
        <f ca="1">W1089*'Expenditure Study'!$B$31</f>
        <v>2168.8254008064005</v>
      </c>
      <c r="Y1089" s="199">
        <f ca="1">U1089*'Expenditure Study'!$B$31</f>
        <v>32247.009248832004</v>
      </c>
      <c r="Z1089" s="200">
        <f ca="1">W1089*'Expenditure Study'!$B$31</f>
        <v>2168.8254008064005</v>
      </c>
      <c r="AA1089" s="195">
        <f t="shared" ca="1" si="232"/>
        <v>34415.834649638404</v>
      </c>
      <c r="AB1089" s="195">
        <f t="shared" ca="1" si="233"/>
        <v>34415.834649638404</v>
      </c>
      <c r="AD1089" s="196">
        <f>IFERROR($G1089/SUMIF($A:$A,$A1089,$G:$G)*SUMIF(Summary!$A$166:$A$242,$A1089,Summary!$P$166:$P$242),0)</f>
        <v>10066.640881849216</v>
      </c>
      <c r="AE1089" s="197">
        <f t="shared" ca="1" si="234"/>
        <v>24349.193767789187</v>
      </c>
      <c r="AF1089" s="196">
        <f>IFERROR(G1089/SUMIF(A:A,A1089,G:G)*SUMIF(Summary!$A$166:$A$242,'Operations Support'!A1089,Summary!$Q$166:$Q$242),0)</f>
        <v>10085.98332376305</v>
      </c>
      <c r="AG1089" s="196">
        <f t="shared" ca="1" si="235"/>
        <v>24329.851325875352</v>
      </c>
      <c r="AI1089" s="196">
        <f>IFERROR($G1089/SUMIF($A:$A,$A1089,$G:$G)*SUMIF(Summary!$A$247:$A$283,$A1089,Summary!$P$247:$P$283),0)</f>
        <v>1835.9040866263238</v>
      </c>
      <c r="AJ1089" s="196">
        <f>IFERROR($G1089/SUMIF($A:$A,$A1089,$G:$G)*(SUMIF(Summary!$A$247:$A$283,$A1089,Summary!$L$247:$L$283)+SUMIF(Summary!$A$297:$A$333,$A1089,Summary!$L$297:$L$333))-AI1089,0)</f>
        <v>26206.998976587314</v>
      </c>
      <c r="AK1089" s="196">
        <f>IFERROR($G1089/SUMIF($A:$A,$A1089,$G:$G)*SUMIF(Summary!$A$247:$A$283,$A1089,Summary!$Q$247:$Q$283),0)</f>
        <v>1839.4316653461494</v>
      </c>
      <c r="AL1089" s="196">
        <f>IFERROR($G1089/SUMIF($A:$A,$A1089,$G:$G)*(SUMIF(Summary!$A$247:$A$283,$A1089,Summary!$L$247:$L$283)+SUMIF(Summary!$A$297:$A$333,$A1089,Summary!$L$297:$L$333))-AK1089,0)</f>
        <v>26203.471397867488</v>
      </c>
      <c r="AM1089" s="198"/>
      <c r="AN1089" s="196">
        <f t="shared" ca="1" si="236"/>
        <v>50556.192744376502</v>
      </c>
      <c r="AO1089" s="196">
        <f t="shared" ca="1" si="237"/>
        <v>50533.322723742836</v>
      </c>
    </row>
    <row r="1090" spans="1:41">
      <c r="A1090" s="189">
        <v>3625</v>
      </c>
      <c r="B1090" s="203">
        <v>2</v>
      </c>
      <c r="C1090" s="191" t="s">
        <v>234</v>
      </c>
      <c r="D1090" s="192">
        <f t="shared" si="224"/>
        <v>0</v>
      </c>
      <c r="E1090" s="192">
        <f t="shared" si="225"/>
        <v>0</v>
      </c>
      <c r="F1090" s="192">
        <f t="shared" si="226"/>
        <v>0</v>
      </c>
      <c r="G1090" s="193">
        <f t="shared" si="227"/>
        <v>0</v>
      </c>
      <c r="H1090" s="194">
        <v>0</v>
      </c>
      <c r="I1090" s="194">
        <v>0</v>
      </c>
      <c r="J1090" s="194">
        <v>0</v>
      </c>
      <c r="K1090" s="193">
        <f t="shared" si="228"/>
        <v>0</v>
      </c>
      <c r="L1090" s="194">
        <v>0</v>
      </c>
      <c r="M1090" s="194">
        <v>0</v>
      </c>
      <c r="N1090" s="194">
        <v>0</v>
      </c>
      <c r="O1090" s="193">
        <f t="shared" si="229"/>
        <v>0</v>
      </c>
      <c r="P1090" s="194">
        <v>0</v>
      </c>
      <c r="Q1090" s="194">
        <v>0</v>
      </c>
      <c r="R1090" s="194">
        <v>0</v>
      </c>
      <c r="S1090" s="193">
        <f t="shared" si="230"/>
        <v>0</v>
      </c>
      <c r="T1090" s="193">
        <f t="shared" si="231"/>
        <v>0</v>
      </c>
      <c r="U1090" s="193">
        <f ca="1">OFFSET('Expenditure Study'!$B$7,'Operations Support'!$C1090,'Operations Support'!$B1090)*$G1090</f>
        <v>0</v>
      </c>
      <c r="V1090" s="199">
        <f ca="1">U1090*'Expenditure Study'!$B$31</f>
        <v>0</v>
      </c>
      <c r="W1090" s="199">
        <f ca="1">IF(A1090=10298,1.51,1)*IF($B1090&lt;3,$D1090*'Expenditure Study'!$B$32*OFFSET('Expenditure Study'!$B$7,'Operations Support'!$C1090,'Operations Support'!$B1090),0)</f>
        <v>0</v>
      </c>
      <c r="X1090" s="200">
        <f ca="1">W1090*'Expenditure Study'!$B$31</f>
        <v>0</v>
      </c>
      <c r="Y1090" s="199">
        <f ca="1">U1090*'Expenditure Study'!$B$31</f>
        <v>0</v>
      </c>
      <c r="Z1090" s="200">
        <f ca="1">W1090*'Expenditure Study'!$B$31</f>
        <v>0</v>
      </c>
      <c r="AA1090" s="195">
        <f t="shared" ca="1" si="232"/>
        <v>0</v>
      </c>
      <c r="AB1090" s="195">
        <f t="shared" ca="1" si="233"/>
        <v>0</v>
      </c>
      <c r="AD1090" s="196">
        <f>IFERROR($G1090/SUMIF($A:$A,$A1090,$G:$G)*SUMIF(Summary!$A$166:$A$242,$A1090,Summary!$P$166:$P$242),0)</f>
        <v>0</v>
      </c>
      <c r="AE1090" s="197">
        <f t="shared" ca="1" si="234"/>
        <v>0</v>
      </c>
      <c r="AF1090" s="196">
        <f>IFERROR(G1090/SUMIF(A:A,A1090,G:G)*SUMIF(Summary!$A$166:$A$242,'Operations Support'!A1090,Summary!$Q$166:$Q$242),0)</f>
        <v>0</v>
      </c>
      <c r="AG1090" s="196">
        <f t="shared" ca="1" si="235"/>
        <v>0</v>
      </c>
      <c r="AI1090" s="196">
        <f>IFERROR($G1090/SUMIF($A:$A,$A1090,$G:$G)*SUMIF(Summary!$A$247:$A$283,$A1090,Summary!$P$247:$P$283),0)</f>
        <v>0</v>
      </c>
      <c r="AJ1090" s="196">
        <f>IFERROR($G1090/SUMIF($A:$A,$A1090,$G:$G)*(SUMIF(Summary!$A$247:$A$283,$A1090,Summary!$L$247:$L$283)+SUMIF(Summary!$A$297:$A$333,$A1090,Summary!$L$297:$L$333))-AI1090,0)</f>
        <v>0</v>
      </c>
      <c r="AK1090" s="196">
        <f>IFERROR($G1090/SUMIF($A:$A,$A1090,$G:$G)*SUMIF(Summary!$A$247:$A$283,$A1090,Summary!$Q$247:$Q$283),0)</f>
        <v>0</v>
      </c>
      <c r="AL1090" s="196">
        <f>IFERROR($G1090/SUMIF($A:$A,$A1090,$G:$G)*(SUMIF(Summary!$A$247:$A$283,$A1090,Summary!$L$247:$L$283)+SUMIF(Summary!$A$297:$A$333,$A1090,Summary!$L$297:$L$333))-AK1090,0)</f>
        <v>0</v>
      </c>
      <c r="AM1090" s="198"/>
      <c r="AN1090" s="196">
        <f t="shared" ca="1" si="236"/>
        <v>0</v>
      </c>
      <c r="AO1090" s="196">
        <f t="shared" ca="1" si="237"/>
        <v>0</v>
      </c>
    </row>
    <row r="1091" spans="1:41" s="201" customFormat="1">
      <c r="A1091" s="189">
        <v>3625</v>
      </c>
      <c r="B1091" s="203">
        <v>2</v>
      </c>
      <c r="C1091" s="191" t="s">
        <v>235</v>
      </c>
      <c r="D1091" s="192">
        <f t="shared" si="224"/>
        <v>492</v>
      </c>
      <c r="E1091" s="192">
        <f t="shared" si="225"/>
        <v>429</v>
      </c>
      <c r="F1091" s="192">
        <f t="shared" si="226"/>
        <v>0</v>
      </c>
      <c r="G1091" s="193">
        <f t="shared" si="227"/>
        <v>921</v>
      </c>
      <c r="H1091" s="194">
        <v>279</v>
      </c>
      <c r="I1091" s="194">
        <v>141</v>
      </c>
      <c r="J1091" s="194">
        <v>0</v>
      </c>
      <c r="K1091" s="193">
        <f t="shared" si="228"/>
        <v>420</v>
      </c>
      <c r="L1091" s="194">
        <v>165</v>
      </c>
      <c r="M1091" s="194">
        <v>213</v>
      </c>
      <c r="N1091" s="194">
        <v>0</v>
      </c>
      <c r="O1091" s="193">
        <f t="shared" si="229"/>
        <v>378</v>
      </c>
      <c r="P1091" s="194">
        <v>48</v>
      </c>
      <c r="Q1091" s="194">
        <v>75</v>
      </c>
      <c r="R1091" s="194">
        <v>0</v>
      </c>
      <c r="S1091" s="193">
        <f t="shared" si="230"/>
        <v>123</v>
      </c>
      <c r="T1091" s="193">
        <f t="shared" si="231"/>
        <v>30.7</v>
      </c>
      <c r="U1091" s="193">
        <f ca="1">OFFSET('Expenditure Study'!$B$7,'Operations Support'!$C1091,'Operations Support'!$B1091)*$G1091</f>
        <v>1722.2700000000002</v>
      </c>
      <c r="V1091" s="199">
        <f ca="1">U1091*'Expenditure Study'!$B$31</f>
        <v>101757.18979641602</v>
      </c>
      <c r="W1091" s="199">
        <f ca="1">IF(A1091=10298,1.51,1)*IF($B1091&lt;3,$D1091*'Expenditure Study'!$B$32*OFFSET('Expenditure Study'!$B$7,'Operations Support'!$C1091,'Operations Support'!$B1091),0)</f>
        <v>92.004000000000005</v>
      </c>
      <c r="X1091" s="200">
        <f ca="1">W1091*'Expenditure Study'!$B$31</f>
        <v>5435.8889663232003</v>
      </c>
      <c r="Y1091" s="199">
        <f ca="1">U1091*'Expenditure Study'!$B$31</f>
        <v>101757.18979641602</v>
      </c>
      <c r="Z1091" s="200">
        <f ca="1">W1091*'Expenditure Study'!$B$31</f>
        <v>5435.8889663232003</v>
      </c>
      <c r="AA1091" s="195">
        <f t="shared" ca="1" si="232"/>
        <v>107193.07876273921</v>
      </c>
      <c r="AB1091" s="195">
        <f t="shared" ca="1" si="233"/>
        <v>107193.07876273921</v>
      </c>
      <c r="AD1091" s="196">
        <f>IFERROR($G1091/SUMIF($A:$A,$A1091,$G:$G)*SUMIF(Summary!$A$166:$A$242,$A1091,Summary!$P$166:$P$242),0)</f>
        <v>27349.192484316009</v>
      </c>
      <c r="AE1091" s="197">
        <f t="shared" ca="1" si="234"/>
        <v>79843.886278423204</v>
      </c>
      <c r="AF1091" s="196">
        <f>IFERROR(G1091/SUMIF(A:A,A1091,G:G)*SUMIF(Summary!$A$166:$A$242,'Operations Support'!A1091,Summary!$Q$166:$Q$242),0)</f>
        <v>27401.742304382798</v>
      </c>
      <c r="AG1091" s="196">
        <f t="shared" ca="1" si="235"/>
        <v>79791.336458356411</v>
      </c>
      <c r="AH1091" s="180"/>
      <c r="AI1091" s="196">
        <f>IFERROR($G1091/SUMIF($A:$A,$A1091,$G:$G)*SUMIF(Summary!$A$247:$A$283,$A1091,Summary!$P$247:$P$283),0)</f>
        <v>4987.8102176485072</v>
      </c>
      <c r="AJ1091" s="196">
        <f>IFERROR($G1091/SUMIF($A:$A,$A1091,$G:$G)*(SUMIF(Summary!$A$247:$A$283,$A1091,Summary!$L$247:$L$283)+SUMIF(Summary!$A$297:$A$333,$A1091,Summary!$L$297:$L$333))-AI1091,0)</f>
        <v>71199.545892144291</v>
      </c>
      <c r="AK1091" s="196">
        <f>IFERROR($G1091/SUMIF($A:$A,$A1091,$G:$G)*SUMIF(Summary!$A$247:$A$283,$A1091,Summary!$Q$247:$Q$283),0)</f>
        <v>4997.3939934625478</v>
      </c>
      <c r="AL1091" s="196">
        <f>IFERROR($G1091/SUMIF($A:$A,$A1091,$G:$G)*(SUMIF(Summary!$A$247:$A$283,$A1091,Summary!$L$247:$L$283)+SUMIF(Summary!$A$297:$A$333,$A1091,Summary!$L$297:$L$333))-AK1091,0)</f>
        <v>71189.962116330251</v>
      </c>
      <c r="AM1091" s="198"/>
      <c r="AN1091" s="196">
        <f t="shared" ca="1" si="236"/>
        <v>151043.43217056751</v>
      </c>
      <c r="AO1091" s="196">
        <f t="shared" ca="1" si="237"/>
        <v>150981.29857468666</v>
      </c>
    </row>
    <row r="1092" spans="1:41">
      <c r="A1092" s="189">
        <v>3625</v>
      </c>
      <c r="B1092" s="203">
        <v>2</v>
      </c>
      <c r="C1092" s="191" t="s">
        <v>236</v>
      </c>
      <c r="D1092" s="192">
        <f t="shared" si="224"/>
        <v>0</v>
      </c>
      <c r="E1092" s="192">
        <f t="shared" si="225"/>
        <v>0</v>
      </c>
      <c r="F1092" s="192">
        <f t="shared" si="226"/>
        <v>0</v>
      </c>
      <c r="G1092" s="193">
        <f t="shared" si="227"/>
        <v>0</v>
      </c>
      <c r="H1092" s="194">
        <v>0</v>
      </c>
      <c r="I1092" s="194">
        <v>0</v>
      </c>
      <c r="J1092" s="194">
        <v>0</v>
      </c>
      <c r="K1092" s="193">
        <f t="shared" si="228"/>
        <v>0</v>
      </c>
      <c r="L1092" s="194">
        <v>0</v>
      </c>
      <c r="M1092" s="194">
        <v>0</v>
      </c>
      <c r="N1092" s="194">
        <v>0</v>
      </c>
      <c r="O1092" s="193">
        <f t="shared" si="229"/>
        <v>0</v>
      </c>
      <c r="P1092" s="194">
        <v>0</v>
      </c>
      <c r="Q1092" s="194">
        <v>0</v>
      </c>
      <c r="R1092" s="194">
        <v>0</v>
      </c>
      <c r="S1092" s="193">
        <f t="shared" si="230"/>
        <v>0</v>
      </c>
      <c r="T1092" s="193">
        <f t="shared" si="231"/>
        <v>0</v>
      </c>
      <c r="U1092" s="193">
        <f ca="1">OFFSET('Expenditure Study'!$B$7,'Operations Support'!$C1092,'Operations Support'!$B1092)*$G1092</f>
        <v>0</v>
      </c>
      <c r="V1092" s="199">
        <f ca="1">U1092*'Expenditure Study'!$B$31</f>
        <v>0</v>
      </c>
      <c r="W1092" s="199">
        <f ca="1">IF(A1092=10298,1.51,1)*IF($B1092&lt;3,$D1092*'Expenditure Study'!$B$32*OFFSET('Expenditure Study'!$B$7,'Operations Support'!$C1092,'Operations Support'!$B1092),0)</f>
        <v>0</v>
      </c>
      <c r="X1092" s="200">
        <f ca="1">W1092*'Expenditure Study'!$B$31</f>
        <v>0</v>
      </c>
      <c r="Y1092" s="199">
        <f ca="1">U1092*'Expenditure Study'!$B$31</f>
        <v>0</v>
      </c>
      <c r="Z1092" s="200">
        <f ca="1">W1092*'Expenditure Study'!$B$31</f>
        <v>0</v>
      </c>
      <c r="AA1092" s="195">
        <f t="shared" ca="1" si="232"/>
        <v>0</v>
      </c>
      <c r="AB1092" s="195">
        <f t="shared" ca="1" si="233"/>
        <v>0</v>
      </c>
      <c r="AD1092" s="196">
        <f>IFERROR($G1092/SUMIF($A:$A,$A1092,$G:$G)*SUMIF(Summary!$A$166:$A$242,$A1092,Summary!$P$166:$P$242),0)</f>
        <v>0</v>
      </c>
      <c r="AE1092" s="197">
        <f t="shared" ca="1" si="234"/>
        <v>0</v>
      </c>
      <c r="AF1092" s="196">
        <f>IFERROR(G1092/SUMIF(A:A,A1092,G:G)*SUMIF(Summary!$A$166:$A$242,'Operations Support'!A1092,Summary!$Q$166:$Q$242),0)</f>
        <v>0</v>
      </c>
      <c r="AG1092" s="196">
        <f t="shared" ca="1" si="235"/>
        <v>0</v>
      </c>
      <c r="AI1092" s="196">
        <f>IFERROR($G1092/SUMIF($A:$A,$A1092,$G:$G)*SUMIF(Summary!$A$247:$A$283,$A1092,Summary!$P$247:$P$283),0)</f>
        <v>0</v>
      </c>
      <c r="AJ1092" s="196">
        <f>IFERROR($G1092/SUMIF($A:$A,$A1092,$G:$G)*(SUMIF(Summary!$A$247:$A$283,$A1092,Summary!$L$247:$L$283)+SUMIF(Summary!$A$297:$A$333,$A1092,Summary!$L$297:$L$333))-AI1092,0)</f>
        <v>0</v>
      </c>
      <c r="AK1092" s="196">
        <f>IFERROR($G1092/SUMIF($A:$A,$A1092,$G:$G)*SUMIF(Summary!$A$247:$A$283,$A1092,Summary!$Q$247:$Q$283),0)</f>
        <v>0</v>
      </c>
      <c r="AL1092" s="196">
        <f>IFERROR($G1092/SUMIF($A:$A,$A1092,$G:$G)*(SUMIF(Summary!$A$247:$A$283,$A1092,Summary!$L$247:$L$283)+SUMIF(Summary!$A$297:$A$333,$A1092,Summary!$L$297:$L$333))-AK1092,0)</f>
        <v>0</v>
      </c>
      <c r="AM1092" s="198"/>
      <c r="AN1092" s="196">
        <f t="shared" ca="1" si="236"/>
        <v>0</v>
      </c>
      <c r="AO1092" s="196">
        <f t="shared" ca="1" si="237"/>
        <v>0</v>
      </c>
    </row>
    <row r="1093" spans="1:41">
      <c r="A1093" s="189">
        <v>3625</v>
      </c>
      <c r="B1093" s="203">
        <v>2</v>
      </c>
      <c r="C1093" s="191" t="s">
        <v>237</v>
      </c>
      <c r="D1093" s="192">
        <f t="shared" ref="D1093:D1156" si="238">H1093+L1093+P1093</f>
        <v>0</v>
      </c>
      <c r="E1093" s="192">
        <f t="shared" ref="E1093:E1156" si="239">I1093+M1093+Q1093</f>
        <v>90</v>
      </c>
      <c r="F1093" s="192">
        <f t="shared" ref="F1093:F1156" si="240">J1093+N1093+R1093</f>
        <v>0</v>
      </c>
      <c r="G1093" s="193">
        <f t="shared" ref="G1093:G1156" si="241">(SUM(D1093:E1093)-F1093)*IF(A1093=10298,1.51,1)</f>
        <v>90</v>
      </c>
      <c r="H1093" s="194">
        <v>0</v>
      </c>
      <c r="I1093" s="194">
        <v>48</v>
      </c>
      <c r="J1093" s="194">
        <v>0</v>
      </c>
      <c r="K1093" s="193">
        <f t="shared" ref="K1093:K1156" si="242">SUM(H1093:I1093)-J1093</f>
        <v>48</v>
      </c>
      <c r="L1093" s="194">
        <v>0</v>
      </c>
      <c r="M1093" s="194">
        <v>42</v>
      </c>
      <c r="N1093" s="194">
        <v>0</v>
      </c>
      <c r="O1093" s="193">
        <f t="shared" ref="O1093:O1156" si="243">SUM(L1093:M1093)-N1093</f>
        <v>42</v>
      </c>
      <c r="P1093" s="194">
        <v>0</v>
      </c>
      <c r="Q1093" s="194">
        <v>0</v>
      </c>
      <c r="R1093" s="194">
        <v>0</v>
      </c>
      <c r="S1093" s="193">
        <f t="shared" ref="S1093:S1156" si="244">SUM(P1093:Q1093)-R1093</f>
        <v>0</v>
      </c>
      <c r="T1093" s="193">
        <f t="shared" ref="T1093:T1156" si="245">IF(OR(B1093=1,B1093=2),G1093/30,IF(OR(B1093=3,B1093=5),G1093/24,IF(B1093=4,G1093/18,0)))</f>
        <v>3</v>
      </c>
      <c r="U1093" s="193">
        <f ca="1">OFFSET('Expenditure Study'!$B$7,'Operations Support'!$C1093,'Operations Support'!$B1093)*$G1093</f>
        <v>210.6</v>
      </c>
      <c r="V1093" s="199">
        <f ca="1">U1093*'Expenditure Study'!$B$31</f>
        <v>12442.91787648</v>
      </c>
      <c r="W1093" s="199">
        <f ca="1">IF(A1093=10298,1.51,1)*IF($B1093&lt;3,$D1093*'Expenditure Study'!$B$32*OFFSET('Expenditure Study'!$B$7,'Operations Support'!$C1093,'Operations Support'!$B1093),0)</f>
        <v>0</v>
      </c>
      <c r="X1093" s="200">
        <f ca="1">W1093*'Expenditure Study'!$B$31</f>
        <v>0</v>
      </c>
      <c r="Y1093" s="199">
        <f ca="1">U1093*'Expenditure Study'!$B$31</f>
        <v>12442.91787648</v>
      </c>
      <c r="Z1093" s="200">
        <f ca="1">W1093*'Expenditure Study'!$B$31</f>
        <v>0</v>
      </c>
      <c r="AA1093" s="195">
        <f t="shared" ref="AA1093:AA1156" ca="1" si="246">V1093+X1093</f>
        <v>12442.91787648</v>
      </c>
      <c r="AB1093" s="195">
        <f t="shared" ref="AB1093:AB1156" ca="1" si="247">Y1093+Z1093</f>
        <v>12442.91787648</v>
      </c>
      <c r="AD1093" s="196">
        <f>IFERROR($G1093/SUMIF($A:$A,$A1093,$G:$G)*SUMIF(Summary!$A$166:$A$242,$A1093,Summary!$P$166:$P$242),0)</f>
        <v>2672.5595261546591</v>
      </c>
      <c r="AE1093" s="197">
        <f t="shared" ca="1" si="234"/>
        <v>9770.3583503253412</v>
      </c>
      <c r="AF1093" s="196">
        <f>IFERROR(G1093/SUMIF(A:A,A1093,G:G)*SUMIF(Summary!$A$166:$A$242,'Operations Support'!A1093,Summary!$Q$166:$Q$242),0)</f>
        <v>2677.6946877247037</v>
      </c>
      <c r="AG1093" s="196">
        <f t="shared" ca="1" si="235"/>
        <v>9765.2231887552953</v>
      </c>
      <c r="AI1093" s="196">
        <f>IFERROR($G1093/SUMIF($A:$A,$A1093,$G:$G)*SUMIF(Summary!$A$247:$A$283,$A1093,Summary!$P$247:$P$283),0)</f>
        <v>487.4081645910594</v>
      </c>
      <c r="AJ1093" s="196">
        <f>IFERROR($G1093/SUMIF($A:$A,$A1093,$G:$G)*(SUMIF(Summary!$A$247:$A$283,$A1093,Summary!$L$247:$L$283)+SUMIF(Summary!$A$297:$A$333,$A1093,Summary!$L$297:$L$333))-AI1093,0)</f>
        <v>6957.6103477665438</v>
      </c>
      <c r="AK1093" s="196">
        <f>IFERROR($G1093/SUMIF($A:$A,$A1093,$G:$G)*SUMIF(Summary!$A$247:$A$283,$A1093,Summary!$Q$247:$Q$283),0)</f>
        <v>488.34468991490695</v>
      </c>
      <c r="AL1093" s="196">
        <f>IFERROR($G1093/SUMIF($A:$A,$A1093,$G:$G)*(SUMIF(Summary!$A$247:$A$283,$A1093,Summary!$L$247:$L$283)+SUMIF(Summary!$A$297:$A$333,$A1093,Summary!$L$297:$L$333))-AK1093,0)</f>
        <v>6956.6738224426963</v>
      </c>
      <c r="AM1093" s="198"/>
      <c r="AN1093" s="196">
        <f t="shared" ca="1" si="236"/>
        <v>16727.968698091885</v>
      </c>
      <c r="AO1093" s="196">
        <f t="shared" ca="1" si="237"/>
        <v>16721.897011197991</v>
      </c>
    </row>
    <row r="1094" spans="1:41">
      <c r="A1094" s="189">
        <v>3625</v>
      </c>
      <c r="B1094" s="203">
        <v>2</v>
      </c>
      <c r="C1094" s="191" t="s">
        <v>238</v>
      </c>
      <c r="D1094" s="192">
        <f t="shared" si="238"/>
        <v>162</v>
      </c>
      <c r="E1094" s="192">
        <f t="shared" si="239"/>
        <v>90</v>
      </c>
      <c r="F1094" s="192">
        <f t="shared" si="240"/>
        <v>0</v>
      </c>
      <c r="G1094" s="193">
        <f t="shared" si="241"/>
        <v>252</v>
      </c>
      <c r="H1094" s="194">
        <v>57</v>
      </c>
      <c r="I1094" s="194">
        <v>72</v>
      </c>
      <c r="J1094" s="194">
        <v>0</v>
      </c>
      <c r="K1094" s="193">
        <f t="shared" si="242"/>
        <v>129</v>
      </c>
      <c r="L1094" s="194">
        <v>27</v>
      </c>
      <c r="M1094" s="194">
        <v>18</v>
      </c>
      <c r="N1094" s="194">
        <v>0</v>
      </c>
      <c r="O1094" s="193">
        <f t="shared" si="243"/>
        <v>45</v>
      </c>
      <c r="P1094" s="194">
        <v>78</v>
      </c>
      <c r="Q1094" s="194">
        <v>0</v>
      </c>
      <c r="R1094" s="194">
        <v>0</v>
      </c>
      <c r="S1094" s="193">
        <f t="shared" si="244"/>
        <v>78</v>
      </c>
      <c r="T1094" s="193">
        <f t="shared" si="245"/>
        <v>8.4</v>
      </c>
      <c r="U1094" s="193">
        <f ca="1">OFFSET('Expenditure Study'!$B$7,'Operations Support'!$C1094,'Operations Support'!$B1094)*$G1094</f>
        <v>604.79999999999995</v>
      </c>
      <c r="V1094" s="199">
        <f ca="1">U1094*'Expenditure Study'!$B$31</f>
        <v>35733.507747839998</v>
      </c>
      <c r="W1094" s="199">
        <f ca="1">IF(A1094=10298,1.51,1)*IF($B1094&lt;3,$D1094*'Expenditure Study'!$B$32*OFFSET('Expenditure Study'!$B$7,'Operations Support'!$C1094,'Operations Support'!$B1094),0)</f>
        <v>38.879999999999995</v>
      </c>
      <c r="X1094" s="200">
        <f ca="1">W1094*'Expenditure Study'!$B$31</f>
        <v>2297.1540695039998</v>
      </c>
      <c r="Y1094" s="199">
        <f ca="1">U1094*'Expenditure Study'!$B$31</f>
        <v>35733.507747839998</v>
      </c>
      <c r="Z1094" s="200">
        <f ca="1">W1094*'Expenditure Study'!$B$31</f>
        <v>2297.1540695039998</v>
      </c>
      <c r="AA1094" s="195">
        <f t="shared" ca="1" si="246"/>
        <v>38030.661817344</v>
      </c>
      <c r="AB1094" s="195">
        <f t="shared" ca="1" si="247"/>
        <v>38030.661817344</v>
      </c>
      <c r="AD1094" s="196">
        <f>IFERROR($G1094/SUMIF($A:$A,$A1094,$G:$G)*SUMIF(Summary!$A$166:$A$242,$A1094,Summary!$P$166:$P$242),0)</f>
        <v>7483.166673233045</v>
      </c>
      <c r="AE1094" s="197">
        <f t="shared" ref="AE1094:AE1157" ca="1" si="248">V1094+X1094-AD1094</f>
        <v>30547.495144110955</v>
      </c>
      <c r="AF1094" s="196">
        <f>IFERROR(G1094/SUMIF(A:A,A1094,G:G)*SUMIF(Summary!$A$166:$A$242,'Operations Support'!A1094,Summary!$Q$166:$Q$242),0)</f>
        <v>7497.5451256291699</v>
      </c>
      <c r="AG1094" s="196">
        <f t="shared" ref="AG1094:AG1157" ca="1" si="249">Y1094+Z1094-AF1094</f>
        <v>30533.116691714829</v>
      </c>
      <c r="AI1094" s="196">
        <f>IFERROR($G1094/SUMIF($A:$A,$A1094,$G:$G)*SUMIF(Summary!$A$247:$A$283,$A1094,Summary!$P$247:$P$283),0)</f>
        <v>1364.7428608549662</v>
      </c>
      <c r="AJ1094" s="196">
        <f>IFERROR($G1094/SUMIF($A:$A,$A1094,$G:$G)*(SUMIF(Summary!$A$247:$A$283,$A1094,Summary!$L$247:$L$283)+SUMIF(Summary!$A$297:$A$333,$A1094,Summary!$L$297:$L$333))-AI1094,0)</f>
        <v>19481.30897374632</v>
      </c>
      <c r="AK1094" s="196">
        <f>IFERROR($G1094/SUMIF($A:$A,$A1094,$G:$G)*SUMIF(Summary!$A$247:$A$283,$A1094,Summary!$Q$247:$Q$283),0)</f>
        <v>1367.3651317617393</v>
      </c>
      <c r="AL1094" s="196">
        <f>IFERROR($G1094/SUMIF($A:$A,$A1094,$G:$G)*(SUMIF(Summary!$A$247:$A$283,$A1094,Summary!$L$247:$L$283)+SUMIF(Summary!$A$297:$A$333,$A1094,Summary!$L$297:$L$333))-AK1094,0)</f>
        <v>19478.686702839546</v>
      </c>
      <c r="AM1094" s="198"/>
      <c r="AN1094" s="196">
        <f t="shared" ref="AN1094:AN1157" ca="1" si="250">AE1094+AJ1094</f>
        <v>50028.804117857275</v>
      </c>
      <c r="AO1094" s="196">
        <f t="shared" ref="AO1094:AO1157" ca="1" si="251">AG1094+AL1094</f>
        <v>50011.803394554372</v>
      </c>
    </row>
    <row r="1095" spans="1:41">
      <c r="A1095" s="189">
        <v>3625</v>
      </c>
      <c r="B1095" s="203">
        <v>2</v>
      </c>
      <c r="C1095" s="191" t="s">
        <v>239</v>
      </c>
      <c r="D1095" s="192">
        <f t="shared" si="238"/>
        <v>48</v>
      </c>
      <c r="E1095" s="192">
        <f t="shared" si="239"/>
        <v>440</v>
      </c>
      <c r="F1095" s="192">
        <f t="shared" si="240"/>
        <v>0</v>
      </c>
      <c r="G1095" s="193">
        <f t="shared" si="241"/>
        <v>488</v>
      </c>
      <c r="H1095" s="194">
        <v>48</v>
      </c>
      <c r="I1095" s="194">
        <v>122</v>
      </c>
      <c r="J1095" s="194">
        <v>0</v>
      </c>
      <c r="K1095" s="193">
        <f t="shared" si="242"/>
        <v>170</v>
      </c>
      <c r="L1095" s="194">
        <v>0</v>
      </c>
      <c r="M1095" s="194">
        <v>213</v>
      </c>
      <c r="N1095" s="194">
        <v>0</v>
      </c>
      <c r="O1095" s="193">
        <f t="shared" si="243"/>
        <v>213</v>
      </c>
      <c r="P1095" s="194">
        <v>0</v>
      </c>
      <c r="Q1095" s="194">
        <v>105</v>
      </c>
      <c r="R1095" s="194">
        <v>0</v>
      </c>
      <c r="S1095" s="193">
        <f t="shared" si="244"/>
        <v>105</v>
      </c>
      <c r="T1095" s="193">
        <f t="shared" si="245"/>
        <v>16.266666666666666</v>
      </c>
      <c r="U1095" s="193">
        <f ca="1">OFFSET('Expenditure Study'!$B$7,'Operations Support'!$C1095,'Operations Support'!$B1095)*$G1095</f>
        <v>1015.0400000000001</v>
      </c>
      <c r="V1095" s="199">
        <f ca="1">U1095*'Expenditure Study'!$B$31</f>
        <v>59971.791839232006</v>
      </c>
      <c r="W1095" s="199">
        <f ca="1">IF(A1095=10298,1.51,1)*IF($B1095&lt;3,$D1095*'Expenditure Study'!$B$32*OFFSET('Expenditure Study'!$B$7,'Operations Support'!$C1095,'Operations Support'!$B1095),0)</f>
        <v>9.9840000000000018</v>
      </c>
      <c r="X1095" s="200">
        <f ca="1">W1095*'Expenditure Study'!$B$31</f>
        <v>589.88647710720011</v>
      </c>
      <c r="Y1095" s="199">
        <f ca="1">U1095*'Expenditure Study'!$B$31</f>
        <v>59971.791839232006</v>
      </c>
      <c r="Z1095" s="200">
        <f ca="1">W1095*'Expenditure Study'!$B$31</f>
        <v>589.88647710720011</v>
      </c>
      <c r="AA1095" s="195">
        <f t="shared" ca="1" si="246"/>
        <v>60561.678316339203</v>
      </c>
      <c r="AB1095" s="195">
        <f t="shared" ca="1" si="247"/>
        <v>60561.678316339203</v>
      </c>
      <c r="AD1095" s="196">
        <f>IFERROR($G1095/SUMIF($A:$A,$A1095,$G:$G)*SUMIF(Summary!$A$166:$A$242,$A1095,Summary!$P$166:$P$242),0)</f>
        <v>14491.211652927486</v>
      </c>
      <c r="AE1095" s="197">
        <f t="shared" ca="1" si="248"/>
        <v>46070.466663411717</v>
      </c>
      <c r="AF1095" s="196">
        <f>IFERROR(G1095/SUMIF(A:A,A1095,G:G)*SUMIF(Summary!$A$166:$A$242,'Operations Support'!A1095,Summary!$Q$166:$Q$242),0)</f>
        <v>14519.055640107283</v>
      </c>
      <c r="AG1095" s="196">
        <f t="shared" ca="1" si="249"/>
        <v>46042.62267623192</v>
      </c>
      <c r="AI1095" s="196">
        <f>IFERROR($G1095/SUMIF($A:$A,$A1095,$G:$G)*SUMIF(Summary!$A$247:$A$283,$A1095,Summary!$P$247:$P$283),0)</f>
        <v>2642.8353813381891</v>
      </c>
      <c r="AJ1095" s="196">
        <f>IFERROR($G1095/SUMIF($A:$A,$A1095,$G:$G)*(SUMIF(Summary!$A$247:$A$283,$A1095,Summary!$L$247:$L$283)+SUMIF(Summary!$A$297:$A$333,$A1095,Summary!$L$297:$L$333))-AI1095,0)</f>
        <v>37725.709441223036</v>
      </c>
      <c r="AK1095" s="196">
        <f>IFERROR($G1095/SUMIF($A:$A,$A1095,$G:$G)*SUMIF(Summary!$A$247:$A$283,$A1095,Summary!$Q$247:$Q$283),0)</f>
        <v>2647.9134297608289</v>
      </c>
      <c r="AL1095" s="196">
        <f>IFERROR($G1095/SUMIF($A:$A,$A1095,$G:$G)*(SUMIF(Summary!$A$247:$A$283,$A1095,Summary!$L$247:$L$283)+SUMIF(Summary!$A$297:$A$333,$A1095,Summary!$L$297:$L$333))-AK1095,0)</f>
        <v>37720.631392800395</v>
      </c>
      <c r="AM1095" s="198"/>
      <c r="AN1095" s="196">
        <f t="shared" ca="1" si="250"/>
        <v>83796.176104634753</v>
      </c>
      <c r="AO1095" s="196">
        <f t="shared" ca="1" si="251"/>
        <v>83763.254069032322</v>
      </c>
    </row>
    <row r="1096" spans="1:41">
      <c r="A1096" s="189">
        <v>3625</v>
      </c>
      <c r="B1096" s="203">
        <v>2</v>
      </c>
      <c r="C1096" s="191" t="s">
        <v>240</v>
      </c>
      <c r="D1096" s="192">
        <f t="shared" si="238"/>
        <v>0</v>
      </c>
      <c r="E1096" s="192">
        <f t="shared" si="239"/>
        <v>0</v>
      </c>
      <c r="F1096" s="192">
        <f t="shared" si="240"/>
        <v>0</v>
      </c>
      <c r="G1096" s="193">
        <f t="shared" si="241"/>
        <v>0</v>
      </c>
      <c r="H1096" s="194">
        <v>0</v>
      </c>
      <c r="I1096" s="194">
        <v>0</v>
      </c>
      <c r="J1096" s="194">
        <v>0</v>
      </c>
      <c r="K1096" s="193">
        <f t="shared" si="242"/>
        <v>0</v>
      </c>
      <c r="L1096" s="194">
        <v>0</v>
      </c>
      <c r="M1096" s="194">
        <v>0</v>
      </c>
      <c r="N1096" s="194">
        <v>0</v>
      </c>
      <c r="O1096" s="193">
        <f t="shared" si="243"/>
        <v>0</v>
      </c>
      <c r="P1096" s="194">
        <v>0</v>
      </c>
      <c r="Q1096" s="194">
        <v>0</v>
      </c>
      <c r="R1096" s="194">
        <v>0</v>
      </c>
      <c r="S1096" s="193">
        <f t="shared" si="244"/>
        <v>0</v>
      </c>
      <c r="T1096" s="193">
        <f t="shared" si="245"/>
        <v>0</v>
      </c>
      <c r="U1096" s="193">
        <f ca="1">OFFSET('Expenditure Study'!$B$7,'Operations Support'!$C1096,'Operations Support'!$B1096)*$G1096</f>
        <v>0</v>
      </c>
      <c r="V1096" s="199">
        <f ca="1">U1096*'Expenditure Study'!$B$31</f>
        <v>0</v>
      </c>
      <c r="W1096" s="199">
        <f ca="1">IF(A1096=10298,1.51,1)*IF($B1096&lt;3,$D1096*'Expenditure Study'!$B$32*OFFSET('Expenditure Study'!$B$7,'Operations Support'!$C1096,'Operations Support'!$B1096),0)</f>
        <v>0</v>
      </c>
      <c r="X1096" s="200">
        <f ca="1">W1096*'Expenditure Study'!$B$31</f>
        <v>0</v>
      </c>
      <c r="Y1096" s="199">
        <f ca="1">U1096*'Expenditure Study'!$B$31</f>
        <v>0</v>
      </c>
      <c r="Z1096" s="200">
        <f ca="1">W1096*'Expenditure Study'!$B$31</f>
        <v>0</v>
      </c>
      <c r="AA1096" s="195">
        <f t="shared" ca="1" si="246"/>
        <v>0</v>
      </c>
      <c r="AB1096" s="195">
        <f t="shared" ca="1" si="247"/>
        <v>0</v>
      </c>
      <c r="AD1096" s="196">
        <f>IFERROR($G1096/SUMIF($A:$A,$A1096,$G:$G)*SUMIF(Summary!$A$166:$A$242,$A1096,Summary!$P$166:$P$242),0)</f>
        <v>0</v>
      </c>
      <c r="AE1096" s="197">
        <f t="shared" ca="1" si="248"/>
        <v>0</v>
      </c>
      <c r="AF1096" s="196">
        <f>IFERROR(G1096/SUMIF(A:A,A1096,G:G)*SUMIF(Summary!$A$166:$A$242,'Operations Support'!A1096,Summary!$Q$166:$Q$242),0)</f>
        <v>0</v>
      </c>
      <c r="AG1096" s="196">
        <f t="shared" ca="1" si="249"/>
        <v>0</v>
      </c>
      <c r="AI1096" s="196">
        <f>IFERROR($G1096/SUMIF($A:$A,$A1096,$G:$G)*SUMIF(Summary!$A$247:$A$283,$A1096,Summary!$P$247:$P$283),0)</f>
        <v>0</v>
      </c>
      <c r="AJ1096" s="196">
        <f>IFERROR($G1096/SUMIF($A:$A,$A1096,$G:$G)*(SUMIF(Summary!$A$247:$A$283,$A1096,Summary!$L$247:$L$283)+SUMIF(Summary!$A$297:$A$333,$A1096,Summary!$L$297:$L$333))-AI1096,0)</f>
        <v>0</v>
      </c>
      <c r="AK1096" s="196">
        <f>IFERROR($G1096/SUMIF($A:$A,$A1096,$G:$G)*SUMIF(Summary!$A$247:$A$283,$A1096,Summary!$Q$247:$Q$283),0)</f>
        <v>0</v>
      </c>
      <c r="AL1096" s="196">
        <f>IFERROR($G1096/SUMIF($A:$A,$A1096,$G:$G)*(SUMIF(Summary!$A$247:$A$283,$A1096,Summary!$L$247:$L$283)+SUMIF(Summary!$A$297:$A$333,$A1096,Summary!$L$297:$L$333))-AK1096,0)</f>
        <v>0</v>
      </c>
      <c r="AM1096" s="198"/>
      <c r="AN1096" s="196">
        <f t="shared" ca="1" si="250"/>
        <v>0</v>
      </c>
      <c r="AO1096" s="196">
        <f t="shared" ca="1" si="251"/>
        <v>0</v>
      </c>
    </row>
    <row r="1097" spans="1:41">
      <c r="A1097" s="189">
        <v>3625</v>
      </c>
      <c r="B1097" s="203">
        <v>3</v>
      </c>
      <c r="C1097" s="191" t="s">
        <v>220</v>
      </c>
      <c r="D1097" s="192">
        <f t="shared" si="238"/>
        <v>902</v>
      </c>
      <c r="E1097" s="192">
        <f t="shared" si="239"/>
        <v>294</v>
      </c>
      <c r="F1097" s="192">
        <f t="shared" si="240"/>
        <v>0</v>
      </c>
      <c r="G1097" s="193">
        <f t="shared" si="241"/>
        <v>1196</v>
      </c>
      <c r="H1097" s="194">
        <v>404</v>
      </c>
      <c r="I1097" s="194">
        <v>36</v>
      </c>
      <c r="J1097" s="194">
        <v>0</v>
      </c>
      <c r="K1097" s="193">
        <f t="shared" si="242"/>
        <v>440</v>
      </c>
      <c r="L1097" s="194">
        <v>294</v>
      </c>
      <c r="M1097" s="194">
        <v>174</v>
      </c>
      <c r="N1097" s="194">
        <v>0</v>
      </c>
      <c r="O1097" s="193">
        <f t="shared" si="243"/>
        <v>468</v>
      </c>
      <c r="P1097" s="194">
        <v>204</v>
      </c>
      <c r="Q1097" s="194">
        <v>84</v>
      </c>
      <c r="R1097" s="194">
        <v>0</v>
      </c>
      <c r="S1097" s="193">
        <f t="shared" si="244"/>
        <v>288</v>
      </c>
      <c r="T1097" s="193">
        <f t="shared" si="245"/>
        <v>49.833333333333336</v>
      </c>
      <c r="U1097" s="193">
        <f ca="1">OFFSET('Expenditure Study'!$B$7,'Operations Support'!$C1097,'Operations Support'!$B1097)*$G1097</f>
        <v>5334.16</v>
      </c>
      <c r="V1097" s="199">
        <f ca="1">U1097*'Expenditure Study'!$B$31</f>
        <v>315159.13969612797</v>
      </c>
      <c r="W1097" s="199">
        <f ca="1">IF(A1097=10298,1.51,1)*IF($B1097&lt;3,$D1097*'Expenditure Study'!$B$32*OFFSET('Expenditure Study'!$B$7,'Operations Support'!$C1097,'Operations Support'!$B1097),0)</f>
        <v>0</v>
      </c>
      <c r="X1097" s="200">
        <f ca="1">W1097*'Expenditure Study'!$B$31</f>
        <v>0</v>
      </c>
      <c r="Y1097" s="199">
        <f ca="1">U1097*'Expenditure Study'!$B$31</f>
        <v>315159.13969612797</v>
      </c>
      <c r="Z1097" s="200">
        <f ca="1">W1097*'Expenditure Study'!$B$31</f>
        <v>0</v>
      </c>
      <c r="AA1097" s="195">
        <f t="shared" ca="1" si="246"/>
        <v>315159.13969612797</v>
      </c>
      <c r="AB1097" s="195">
        <f t="shared" ca="1" si="247"/>
        <v>315159.13969612797</v>
      </c>
      <c r="AD1097" s="196">
        <f>IFERROR($G1097/SUMIF($A:$A,$A1097,$G:$G)*SUMIF(Summary!$A$166:$A$242,$A1097,Summary!$P$166:$P$242),0)</f>
        <v>35515.346592010806</v>
      </c>
      <c r="AE1097" s="197">
        <f t="shared" ca="1" si="248"/>
        <v>279643.79310411715</v>
      </c>
      <c r="AF1097" s="196">
        <f>IFERROR(G1097/SUMIF(A:A,A1097,G:G)*SUMIF(Summary!$A$166:$A$242,'Operations Support'!A1097,Summary!$Q$166:$Q$242),0)</f>
        <v>35583.587183541618</v>
      </c>
      <c r="AG1097" s="196">
        <f t="shared" ca="1" si="249"/>
        <v>279575.55251258635</v>
      </c>
      <c r="AI1097" s="196">
        <f>IFERROR($G1097/SUMIF($A:$A,$A1097,$G:$G)*SUMIF(Summary!$A$247:$A$283,$A1097,Summary!$P$247:$P$283),0)</f>
        <v>6477.1129427878559</v>
      </c>
      <c r="AJ1097" s="196">
        <f>IFERROR($G1097/SUMIF($A:$A,$A1097,$G:$G)*(SUMIF(Summary!$A$247:$A$283,$A1097,Summary!$L$247:$L$283)+SUMIF(Summary!$A$297:$A$333,$A1097,Summary!$L$297:$L$333))-AI1097,0)</f>
        <v>92458.910843653168</v>
      </c>
      <c r="AK1097" s="196">
        <f>IFERROR($G1097/SUMIF($A:$A,$A1097,$G:$G)*SUMIF(Summary!$A$247:$A$283,$A1097,Summary!$Q$247:$Q$283),0)</f>
        <v>6489.5583237580968</v>
      </c>
      <c r="AL1097" s="196">
        <f>IFERROR($G1097/SUMIF($A:$A,$A1097,$G:$G)*(SUMIF(Summary!$A$247:$A$283,$A1097,Summary!$L$247:$L$283)+SUMIF(Summary!$A$297:$A$333,$A1097,Summary!$L$297:$L$333))-AK1097,0)</f>
        <v>92446.465462682929</v>
      </c>
      <c r="AM1097" s="198"/>
      <c r="AN1097" s="196">
        <f t="shared" ca="1" si="250"/>
        <v>372102.70394777029</v>
      </c>
      <c r="AO1097" s="196">
        <f t="shared" ca="1" si="251"/>
        <v>372022.01797526929</v>
      </c>
    </row>
    <row r="1098" spans="1:41">
      <c r="A1098" s="189">
        <v>3625</v>
      </c>
      <c r="B1098" s="203">
        <v>3</v>
      </c>
      <c r="C1098" s="191" t="s">
        <v>221</v>
      </c>
      <c r="D1098" s="192">
        <f t="shared" si="238"/>
        <v>295</v>
      </c>
      <c r="E1098" s="192">
        <f t="shared" si="239"/>
        <v>12</v>
      </c>
      <c r="F1098" s="192">
        <f t="shared" si="240"/>
        <v>0</v>
      </c>
      <c r="G1098" s="193">
        <f t="shared" si="241"/>
        <v>307</v>
      </c>
      <c r="H1098" s="194">
        <v>130</v>
      </c>
      <c r="I1098" s="194">
        <v>0</v>
      </c>
      <c r="J1098" s="194">
        <v>0</v>
      </c>
      <c r="K1098" s="193">
        <f t="shared" si="242"/>
        <v>130</v>
      </c>
      <c r="L1098" s="194">
        <v>104</v>
      </c>
      <c r="M1098" s="194">
        <v>12</v>
      </c>
      <c r="N1098" s="194">
        <v>0</v>
      </c>
      <c r="O1098" s="193">
        <f t="shared" si="243"/>
        <v>116</v>
      </c>
      <c r="P1098" s="194">
        <v>61</v>
      </c>
      <c r="Q1098" s="194">
        <v>0</v>
      </c>
      <c r="R1098" s="194">
        <v>0</v>
      </c>
      <c r="S1098" s="193">
        <f t="shared" si="244"/>
        <v>61</v>
      </c>
      <c r="T1098" s="193">
        <f t="shared" si="245"/>
        <v>12.791666666666666</v>
      </c>
      <c r="U1098" s="193">
        <f ca="1">OFFSET('Expenditure Study'!$B$7,'Operations Support'!$C1098,'Operations Support'!$B1098)*$G1098</f>
        <v>2149</v>
      </c>
      <c r="V1098" s="199">
        <f ca="1">U1098*'Expenditure Study'!$B$31</f>
        <v>126969.75553920001</v>
      </c>
      <c r="W1098" s="199">
        <f ca="1">IF(A1098=10298,1.51,1)*IF($B1098&lt;3,$D1098*'Expenditure Study'!$B$32*OFFSET('Expenditure Study'!$B$7,'Operations Support'!$C1098,'Operations Support'!$B1098),0)</f>
        <v>0</v>
      </c>
      <c r="X1098" s="200">
        <f ca="1">W1098*'Expenditure Study'!$B$31</f>
        <v>0</v>
      </c>
      <c r="Y1098" s="199">
        <f ca="1">U1098*'Expenditure Study'!$B$31</f>
        <v>126969.75553920001</v>
      </c>
      <c r="Z1098" s="200">
        <f ca="1">W1098*'Expenditure Study'!$B$31</f>
        <v>0</v>
      </c>
      <c r="AA1098" s="195">
        <f t="shared" ca="1" si="246"/>
        <v>126969.75553920001</v>
      </c>
      <c r="AB1098" s="195">
        <f t="shared" ca="1" si="247"/>
        <v>126969.75553920001</v>
      </c>
      <c r="AD1098" s="196">
        <f>IFERROR($G1098/SUMIF($A:$A,$A1098,$G:$G)*SUMIF(Summary!$A$166:$A$242,$A1098,Summary!$P$166:$P$242),0)</f>
        <v>9116.3974947720035</v>
      </c>
      <c r="AE1098" s="197">
        <f t="shared" ca="1" si="248"/>
        <v>117853.35804442801</v>
      </c>
      <c r="AF1098" s="196">
        <f>IFERROR(G1098/SUMIF(A:A,A1098,G:G)*SUMIF(Summary!$A$166:$A$242,'Operations Support'!A1098,Summary!$Q$166:$Q$242),0)</f>
        <v>9133.914101460934</v>
      </c>
      <c r="AG1098" s="196">
        <f t="shared" ca="1" si="249"/>
        <v>117835.84143773907</v>
      </c>
      <c r="AI1098" s="196">
        <f>IFERROR($G1098/SUMIF($A:$A,$A1098,$G:$G)*SUMIF(Summary!$A$247:$A$283,$A1098,Summary!$P$247:$P$283),0)</f>
        <v>1662.6034058828359</v>
      </c>
      <c r="AJ1098" s="196">
        <f>IFERROR($G1098/SUMIF($A:$A,$A1098,$G:$G)*(SUMIF(Summary!$A$247:$A$283,$A1098,Summary!$L$247:$L$283)+SUMIF(Summary!$A$297:$A$333,$A1098,Summary!$L$297:$L$333))-AI1098,0)</f>
        <v>23733.181964048097</v>
      </c>
      <c r="AK1098" s="196">
        <f>IFERROR($G1098/SUMIF($A:$A,$A1098,$G:$G)*SUMIF(Summary!$A$247:$A$283,$A1098,Summary!$Q$247:$Q$283),0)</f>
        <v>1665.7979978208493</v>
      </c>
      <c r="AL1098" s="196">
        <f>IFERROR($G1098/SUMIF($A:$A,$A1098,$G:$G)*(SUMIF(Summary!$A$247:$A$283,$A1098,Summary!$L$247:$L$283)+SUMIF(Summary!$A$297:$A$333,$A1098,Summary!$L$297:$L$333))-AK1098,0)</f>
        <v>23729.987372110085</v>
      </c>
      <c r="AM1098" s="198"/>
      <c r="AN1098" s="196">
        <f t="shared" ca="1" si="250"/>
        <v>141586.54000847612</v>
      </c>
      <c r="AO1098" s="196">
        <f t="shared" ca="1" si="251"/>
        <v>141565.82880984916</v>
      </c>
    </row>
    <row r="1099" spans="1:41">
      <c r="A1099" s="189">
        <v>3625</v>
      </c>
      <c r="B1099" s="203">
        <v>3</v>
      </c>
      <c r="C1099" s="191" t="s">
        <v>222</v>
      </c>
      <c r="D1099" s="192">
        <f t="shared" si="238"/>
        <v>30</v>
      </c>
      <c r="E1099" s="192">
        <f t="shared" si="239"/>
        <v>0</v>
      </c>
      <c r="F1099" s="192">
        <f t="shared" si="240"/>
        <v>0</v>
      </c>
      <c r="G1099" s="193">
        <f t="shared" si="241"/>
        <v>30</v>
      </c>
      <c r="H1099" s="194">
        <v>12</v>
      </c>
      <c r="I1099" s="194">
        <v>0</v>
      </c>
      <c r="J1099" s="194">
        <v>0</v>
      </c>
      <c r="K1099" s="193">
        <f t="shared" si="242"/>
        <v>12</v>
      </c>
      <c r="L1099" s="194">
        <v>15</v>
      </c>
      <c r="M1099" s="194">
        <v>0</v>
      </c>
      <c r="N1099" s="194">
        <v>0</v>
      </c>
      <c r="O1099" s="193">
        <f t="shared" si="243"/>
        <v>15</v>
      </c>
      <c r="P1099" s="194">
        <v>3</v>
      </c>
      <c r="Q1099" s="194">
        <v>0</v>
      </c>
      <c r="R1099" s="194">
        <v>0</v>
      </c>
      <c r="S1099" s="193">
        <f t="shared" si="244"/>
        <v>3</v>
      </c>
      <c r="T1099" s="193">
        <f t="shared" si="245"/>
        <v>1.25</v>
      </c>
      <c r="U1099" s="193">
        <f ca="1">OFFSET('Expenditure Study'!$B$7,'Operations Support'!$C1099,'Operations Support'!$B1099)*$G1099</f>
        <v>225.29999999999998</v>
      </c>
      <c r="V1099" s="199">
        <f ca="1">U1099*'Expenditure Study'!$B$31</f>
        <v>13311.44063424</v>
      </c>
      <c r="W1099" s="199">
        <f ca="1">IF(A1099=10298,1.51,1)*IF($B1099&lt;3,$D1099*'Expenditure Study'!$B$32*OFFSET('Expenditure Study'!$B$7,'Operations Support'!$C1099,'Operations Support'!$B1099),0)</f>
        <v>0</v>
      </c>
      <c r="X1099" s="200">
        <f ca="1">W1099*'Expenditure Study'!$B$31</f>
        <v>0</v>
      </c>
      <c r="Y1099" s="199">
        <f ca="1">U1099*'Expenditure Study'!$B$31</f>
        <v>13311.44063424</v>
      </c>
      <c r="Z1099" s="200">
        <f ca="1">W1099*'Expenditure Study'!$B$31</f>
        <v>0</v>
      </c>
      <c r="AA1099" s="195">
        <f t="shared" ca="1" si="246"/>
        <v>13311.44063424</v>
      </c>
      <c r="AB1099" s="195">
        <f t="shared" ca="1" si="247"/>
        <v>13311.44063424</v>
      </c>
      <c r="AD1099" s="196">
        <f>IFERROR($G1099/SUMIF($A:$A,$A1099,$G:$G)*SUMIF(Summary!$A$166:$A$242,$A1099,Summary!$P$166:$P$242),0)</f>
        <v>890.8531753848863</v>
      </c>
      <c r="AE1099" s="197">
        <f t="shared" ca="1" si="248"/>
        <v>12420.587458855114</v>
      </c>
      <c r="AF1099" s="196">
        <f>IFERROR(G1099/SUMIF(A:A,A1099,G:G)*SUMIF(Summary!$A$166:$A$242,'Operations Support'!A1099,Summary!$Q$166:$Q$242),0)</f>
        <v>892.56489590823446</v>
      </c>
      <c r="AG1099" s="196">
        <f t="shared" ca="1" si="249"/>
        <v>12418.875738331766</v>
      </c>
      <c r="AI1099" s="196">
        <f>IFERROR($G1099/SUMIF($A:$A,$A1099,$G:$G)*SUMIF(Summary!$A$247:$A$283,$A1099,Summary!$P$247:$P$283),0)</f>
        <v>162.46938819701978</v>
      </c>
      <c r="AJ1099" s="196">
        <f>IFERROR($G1099/SUMIF($A:$A,$A1099,$G:$G)*(SUMIF(Summary!$A$247:$A$283,$A1099,Summary!$L$247:$L$283)+SUMIF(Summary!$A$297:$A$333,$A1099,Summary!$L$297:$L$333))-AI1099,0)</f>
        <v>2319.2034492555144</v>
      </c>
      <c r="AK1099" s="196">
        <f>IFERROR($G1099/SUMIF($A:$A,$A1099,$G:$G)*SUMIF(Summary!$A$247:$A$283,$A1099,Summary!$Q$247:$Q$283),0)</f>
        <v>162.78156330496898</v>
      </c>
      <c r="AL1099" s="196">
        <f>IFERROR($G1099/SUMIF($A:$A,$A1099,$G:$G)*(SUMIF(Summary!$A$247:$A$283,$A1099,Summary!$L$247:$L$283)+SUMIF(Summary!$A$297:$A$333,$A1099,Summary!$L$297:$L$333))-AK1099,0)</f>
        <v>2318.8912741475651</v>
      </c>
      <c r="AM1099" s="198"/>
      <c r="AN1099" s="196">
        <f t="shared" ca="1" si="250"/>
        <v>14739.790908110628</v>
      </c>
      <c r="AO1099" s="196">
        <f t="shared" ca="1" si="251"/>
        <v>14737.767012479331</v>
      </c>
    </row>
    <row r="1100" spans="1:41">
      <c r="A1100" s="189">
        <v>3625</v>
      </c>
      <c r="B1100" s="203">
        <v>3</v>
      </c>
      <c r="C1100" s="191" t="s">
        <v>223</v>
      </c>
      <c r="D1100" s="192">
        <f t="shared" si="238"/>
        <v>1433</v>
      </c>
      <c r="E1100" s="192">
        <f t="shared" si="239"/>
        <v>849</v>
      </c>
      <c r="F1100" s="192">
        <f t="shared" si="240"/>
        <v>0</v>
      </c>
      <c r="G1100" s="193">
        <f t="shared" si="241"/>
        <v>2282</v>
      </c>
      <c r="H1100" s="194">
        <v>393</v>
      </c>
      <c r="I1100" s="194">
        <v>430</v>
      </c>
      <c r="J1100" s="194">
        <v>0</v>
      </c>
      <c r="K1100" s="193">
        <f t="shared" si="242"/>
        <v>823</v>
      </c>
      <c r="L1100" s="194">
        <v>383</v>
      </c>
      <c r="M1100" s="194">
        <v>305</v>
      </c>
      <c r="N1100" s="194">
        <v>0</v>
      </c>
      <c r="O1100" s="193">
        <f t="shared" si="243"/>
        <v>688</v>
      </c>
      <c r="P1100" s="194">
        <v>657</v>
      </c>
      <c r="Q1100" s="194">
        <v>114</v>
      </c>
      <c r="R1100" s="194">
        <v>0</v>
      </c>
      <c r="S1100" s="193">
        <f t="shared" si="244"/>
        <v>771</v>
      </c>
      <c r="T1100" s="193">
        <f t="shared" si="245"/>
        <v>95.083333333333329</v>
      </c>
      <c r="U1100" s="193">
        <f ca="1">OFFSET('Expenditure Study'!$B$7,'Operations Support'!$C1100,'Operations Support'!$B1100)*$G1100</f>
        <v>5111.68</v>
      </c>
      <c r="V1100" s="199">
        <f ca="1">U1100*'Expenditure Study'!$B$31</f>
        <v>302014.31363174401</v>
      </c>
      <c r="W1100" s="199">
        <f ca="1">IF(A1100=10298,1.51,1)*IF($B1100&lt;3,$D1100*'Expenditure Study'!$B$32*OFFSET('Expenditure Study'!$B$7,'Operations Support'!$C1100,'Operations Support'!$B1100),0)</f>
        <v>0</v>
      </c>
      <c r="X1100" s="200">
        <f ca="1">W1100*'Expenditure Study'!$B$31</f>
        <v>0</v>
      </c>
      <c r="Y1100" s="199">
        <f ca="1">U1100*'Expenditure Study'!$B$31</f>
        <v>302014.31363174401</v>
      </c>
      <c r="Z1100" s="200">
        <f ca="1">W1100*'Expenditure Study'!$B$31</f>
        <v>0</v>
      </c>
      <c r="AA1100" s="195">
        <f t="shared" ca="1" si="246"/>
        <v>302014.31363174401</v>
      </c>
      <c r="AB1100" s="195">
        <f t="shared" ca="1" si="247"/>
        <v>302014.31363174401</v>
      </c>
      <c r="AD1100" s="196">
        <f>IFERROR($G1100/SUMIF($A:$A,$A1100,$G:$G)*SUMIF(Summary!$A$166:$A$242,$A1100,Summary!$P$166:$P$242),0)</f>
        <v>67764.2315409437</v>
      </c>
      <c r="AE1100" s="197">
        <f t="shared" ca="1" si="248"/>
        <v>234250.08209080031</v>
      </c>
      <c r="AF1100" s="196">
        <f>IFERROR(G1100/SUMIF(A:A,A1100,G:G)*SUMIF(Summary!$A$166:$A$242,'Operations Support'!A1100,Summary!$Q$166:$Q$242),0)</f>
        <v>67894.43641541971</v>
      </c>
      <c r="AG1100" s="196">
        <f t="shared" ca="1" si="249"/>
        <v>234119.8772163243</v>
      </c>
      <c r="AI1100" s="196">
        <f>IFERROR($G1100/SUMIF($A:$A,$A1100,$G:$G)*SUMIF(Summary!$A$247:$A$283,$A1100,Summary!$P$247:$P$283),0)</f>
        <v>12358.504795519973</v>
      </c>
      <c r="AJ1100" s="196">
        <f>IFERROR($G1100/SUMIF($A:$A,$A1100,$G:$G)*(SUMIF(Summary!$A$247:$A$283,$A1100,Summary!$L$247:$L$283)+SUMIF(Summary!$A$297:$A$333,$A1100,Summary!$L$297:$L$333))-AI1100,0)</f>
        <v>176414.0757067028</v>
      </c>
      <c r="AK1100" s="196">
        <f>IFERROR($G1100/SUMIF($A:$A,$A1100,$G:$G)*SUMIF(Summary!$A$247:$A$283,$A1100,Summary!$Q$247:$Q$283),0)</f>
        <v>12382.250915397975</v>
      </c>
      <c r="AL1100" s="196">
        <f>IFERROR($G1100/SUMIF($A:$A,$A1100,$G:$G)*(SUMIF(Summary!$A$247:$A$283,$A1100,Summary!$L$247:$L$283)+SUMIF(Summary!$A$297:$A$333,$A1100,Summary!$L$297:$L$333))-AK1100,0)</f>
        <v>176390.32958682481</v>
      </c>
      <c r="AM1100" s="198"/>
      <c r="AN1100" s="196">
        <f t="shared" ca="1" si="250"/>
        <v>410664.15779750311</v>
      </c>
      <c r="AO1100" s="196">
        <f t="shared" ca="1" si="251"/>
        <v>410510.20680314908</v>
      </c>
    </row>
    <row r="1101" spans="1:41">
      <c r="A1101" s="189">
        <v>3625</v>
      </c>
      <c r="B1101" s="203">
        <v>3</v>
      </c>
      <c r="C1101" s="191" t="s">
        <v>224</v>
      </c>
      <c r="D1101" s="192">
        <f t="shared" si="238"/>
        <v>477</v>
      </c>
      <c r="E1101" s="192">
        <f t="shared" si="239"/>
        <v>39</v>
      </c>
      <c r="F1101" s="192">
        <f t="shared" si="240"/>
        <v>0</v>
      </c>
      <c r="G1101" s="193">
        <f t="shared" si="241"/>
        <v>516</v>
      </c>
      <c r="H1101" s="194">
        <v>158</v>
      </c>
      <c r="I1101" s="194">
        <v>21</v>
      </c>
      <c r="J1101" s="194">
        <v>0</v>
      </c>
      <c r="K1101" s="193">
        <f t="shared" si="242"/>
        <v>179</v>
      </c>
      <c r="L1101" s="194">
        <v>168</v>
      </c>
      <c r="M1101" s="194">
        <v>18</v>
      </c>
      <c r="N1101" s="194">
        <v>0</v>
      </c>
      <c r="O1101" s="193">
        <f t="shared" si="243"/>
        <v>186</v>
      </c>
      <c r="P1101" s="194">
        <v>151</v>
      </c>
      <c r="Q1101" s="194">
        <v>0</v>
      </c>
      <c r="R1101" s="194">
        <v>0</v>
      </c>
      <c r="S1101" s="193">
        <f t="shared" si="244"/>
        <v>151</v>
      </c>
      <c r="T1101" s="193">
        <f t="shared" si="245"/>
        <v>21.5</v>
      </c>
      <c r="U1101" s="193">
        <f ca="1">OFFSET('Expenditure Study'!$B$7,'Operations Support'!$C1101,'Operations Support'!$B1101)*$G1101</f>
        <v>4731.72</v>
      </c>
      <c r="V1101" s="199">
        <f ca="1">U1101*'Expenditure Study'!$B$31</f>
        <v>279565.06825497601</v>
      </c>
      <c r="W1101" s="199">
        <f ca="1">IF(A1101=10298,1.51,1)*IF($B1101&lt;3,$D1101*'Expenditure Study'!$B$32*OFFSET('Expenditure Study'!$B$7,'Operations Support'!$C1101,'Operations Support'!$B1101),0)</f>
        <v>0</v>
      </c>
      <c r="X1101" s="200">
        <f ca="1">W1101*'Expenditure Study'!$B$31</f>
        <v>0</v>
      </c>
      <c r="Y1101" s="199">
        <f ca="1">U1101*'Expenditure Study'!$B$31</f>
        <v>279565.06825497601</v>
      </c>
      <c r="Z1101" s="200">
        <f ca="1">W1101*'Expenditure Study'!$B$31</f>
        <v>0</v>
      </c>
      <c r="AA1101" s="195">
        <f t="shared" ca="1" si="246"/>
        <v>279565.06825497601</v>
      </c>
      <c r="AB1101" s="195">
        <f t="shared" ca="1" si="247"/>
        <v>279565.06825497601</v>
      </c>
      <c r="AD1101" s="196">
        <f>IFERROR($G1101/SUMIF($A:$A,$A1101,$G:$G)*SUMIF(Summary!$A$166:$A$242,$A1101,Summary!$P$166:$P$242),0)</f>
        <v>15322.674616620045</v>
      </c>
      <c r="AE1101" s="197">
        <f t="shared" ca="1" si="248"/>
        <v>264242.39363835595</v>
      </c>
      <c r="AF1101" s="196">
        <f>IFERROR(G1101/SUMIF(A:A,A1101,G:G)*SUMIF(Summary!$A$166:$A$242,'Operations Support'!A1101,Summary!$Q$166:$Q$242),0)</f>
        <v>15352.116209621634</v>
      </c>
      <c r="AG1101" s="196">
        <f t="shared" ca="1" si="249"/>
        <v>264212.95204535435</v>
      </c>
      <c r="AI1101" s="196">
        <f>IFERROR($G1101/SUMIF($A:$A,$A1101,$G:$G)*SUMIF(Summary!$A$247:$A$283,$A1101,Summary!$P$247:$P$283),0)</f>
        <v>2794.4734769887405</v>
      </c>
      <c r="AJ1101" s="196">
        <f>IFERROR($G1101/SUMIF($A:$A,$A1101,$G:$G)*(SUMIF(Summary!$A$247:$A$283,$A1101,Summary!$L$247:$L$283)+SUMIF(Summary!$A$297:$A$333,$A1101,Summary!$L$297:$L$333))-AI1101,0)</f>
        <v>39890.299327194843</v>
      </c>
      <c r="AK1101" s="196">
        <f>IFERROR($G1101/SUMIF($A:$A,$A1101,$G:$G)*SUMIF(Summary!$A$247:$A$283,$A1101,Summary!$Q$247:$Q$283),0)</f>
        <v>2799.8428888454664</v>
      </c>
      <c r="AL1101" s="196">
        <f>IFERROR($G1101/SUMIF($A:$A,$A1101,$G:$G)*(SUMIF(Summary!$A$247:$A$283,$A1101,Summary!$L$247:$L$283)+SUMIF(Summary!$A$297:$A$333,$A1101,Summary!$L$297:$L$333))-AK1101,0)</f>
        <v>39884.929915338122</v>
      </c>
      <c r="AM1101" s="198"/>
      <c r="AN1101" s="196">
        <f t="shared" ca="1" si="250"/>
        <v>304132.69296555081</v>
      </c>
      <c r="AO1101" s="196">
        <f t="shared" ca="1" si="251"/>
        <v>304097.88196069247</v>
      </c>
    </row>
    <row r="1102" spans="1:41">
      <c r="A1102" s="189">
        <v>3625</v>
      </c>
      <c r="B1102" s="203">
        <v>3</v>
      </c>
      <c r="C1102" s="191" t="s">
        <v>225</v>
      </c>
      <c r="D1102" s="192">
        <f t="shared" si="238"/>
        <v>0</v>
      </c>
      <c r="E1102" s="192">
        <f t="shared" si="239"/>
        <v>0</v>
      </c>
      <c r="F1102" s="192">
        <f t="shared" si="240"/>
        <v>0</v>
      </c>
      <c r="G1102" s="193">
        <f t="shared" si="241"/>
        <v>0</v>
      </c>
      <c r="H1102" s="194">
        <v>0</v>
      </c>
      <c r="I1102" s="194">
        <v>0</v>
      </c>
      <c r="J1102" s="194">
        <v>0</v>
      </c>
      <c r="K1102" s="193">
        <f t="shared" si="242"/>
        <v>0</v>
      </c>
      <c r="L1102" s="194">
        <v>0</v>
      </c>
      <c r="M1102" s="194">
        <v>0</v>
      </c>
      <c r="N1102" s="194">
        <v>0</v>
      </c>
      <c r="O1102" s="193">
        <f t="shared" si="243"/>
        <v>0</v>
      </c>
      <c r="P1102" s="194">
        <v>0</v>
      </c>
      <c r="Q1102" s="194">
        <v>0</v>
      </c>
      <c r="R1102" s="194">
        <v>0</v>
      </c>
      <c r="S1102" s="193">
        <f t="shared" si="244"/>
        <v>0</v>
      </c>
      <c r="T1102" s="193">
        <f t="shared" si="245"/>
        <v>0</v>
      </c>
      <c r="U1102" s="193">
        <f ca="1">OFFSET('Expenditure Study'!$B$7,'Operations Support'!$C1102,'Operations Support'!$B1102)*$G1102</f>
        <v>0</v>
      </c>
      <c r="V1102" s="199">
        <f ca="1">U1102*'Expenditure Study'!$B$31</f>
        <v>0</v>
      </c>
      <c r="W1102" s="199">
        <f ca="1">IF(A1102=10298,1.51,1)*IF($B1102&lt;3,$D1102*'Expenditure Study'!$B$32*OFFSET('Expenditure Study'!$B$7,'Operations Support'!$C1102,'Operations Support'!$B1102),0)</f>
        <v>0</v>
      </c>
      <c r="X1102" s="200">
        <f ca="1">W1102*'Expenditure Study'!$B$31</f>
        <v>0</v>
      </c>
      <c r="Y1102" s="199">
        <f ca="1">U1102*'Expenditure Study'!$B$31</f>
        <v>0</v>
      </c>
      <c r="Z1102" s="200">
        <f ca="1">W1102*'Expenditure Study'!$B$31</f>
        <v>0</v>
      </c>
      <c r="AA1102" s="195">
        <f t="shared" ca="1" si="246"/>
        <v>0</v>
      </c>
      <c r="AB1102" s="195">
        <f t="shared" ca="1" si="247"/>
        <v>0</v>
      </c>
      <c r="AD1102" s="196">
        <f>IFERROR($G1102/SUMIF($A:$A,$A1102,$G:$G)*SUMIF(Summary!$A$166:$A$242,$A1102,Summary!$P$166:$P$242),0)</f>
        <v>0</v>
      </c>
      <c r="AE1102" s="197">
        <f t="shared" ca="1" si="248"/>
        <v>0</v>
      </c>
      <c r="AF1102" s="196">
        <f>IFERROR(G1102/SUMIF(A:A,A1102,G:G)*SUMIF(Summary!$A$166:$A$242,'Operations Support'!A1102,Summary!$Q$166:$Q$242),0)</f>
        <v>0</v>
      </c>
      <c r="AG1102" s="196">
        <f t="shared" ca="1" si="249"/>
        <v>0</v>
      </c>
      <c r="AI1102" s="196">
        <f>IFERROR($G1102/SUMIF($A:$A,$A1102,$G:$G)*SUMIF(Summary!$A$247:$A$283,$A1102,Summary!$P$247:$P$283),0)</f>
        <v>0</v>
      </c>
      <c r="AJ1102" s="196">
        <f>IFERROR($G1102/SUMIF($A:$A,$A1102,$G:$G)*(SUMIF(Summary!$A$247:$A$283,$A1102,Summary!$L$247:$L$283)+SUMIF(Summary!$A$297:$A$333,$A1102,Summary!$L$297:$L$333))-AI1102,0)</f>
        <v>0</v>
      </c>
      <c r="AK1102" s="196">
        <f>IFERROR($G1102/SUMIF($A:$A,$A1102,$G:$G)*SUMIF(Summary!$A$247:$A$283,$A1102,Summary!$Q$247:$Q$283),0)</f>
        <v>0</v>
      </c>
      <c r="AL1102" s="196">
        <f>IFERROR($G1102/SUMIF($A:$A,$A1102,$G:$G)*(SUMIF(Summary!$A$247:$A$283,$A1102,Summary!$L$247:$L$283)+SUMIF(Summary!$A$297:$A$333,$A1102,Summary!$L$297:$L$333))-AK1102,0)</f>
        <v>0</v>
      </c>
      <c r="AM1102" s="198"/>
      <c r="AN1102" s="196">
        <f t="shared" ca="1" si="250"/>
        <v>0</v>
      </c>
      <c r="AO1102" s="196">
        <f t="shared" ca="1" si="251"/>
        <v>0</v>
      </c>
    </row>
    <row r="1103" spans="1:41">
      <c r="A1103" s="189">
        <v>3625</v>
      </c>
      <c r="B1103" s="203">
        <v>3</v>
      </c>
      <c r="C1103" s="191" t="s">
        <v>226</v>
      </c>
      <c r="D1103" s="192">
        <f t="shared" si="238"/>
        <v>48</v>
      </c>
      <c r="E1103" s="192">
        <f t="shared" si="239"/>
        <v>27</v>
      </c>
      <c r="F1103" s="192">
        <f t="shared" si="240"/>
        <v>0</v>
      </c>
      <c r="G1103" s="193">
        <f t="shared" si="241"/>
        <v>75</v>
      </c>
      <c r="H1103" s="194">
        <v>30</v>
      </c>
      <c r="I1103" s="194">
        <v>0</v>
      </c>
      <c r="J1103" s="194">
        <v>0</v>
      </c>
      <c r="K1103" s="193">
        <f t="shared" si="242"/>
        <v>30</v>
      </c>
      <c r="L1103" s="194">
        <v>0</v>
      </c>
      <c r="M1103" s="194">
        <v>27</v>
      </c>
      <c r="N1103" s="194">
        <v>0</v>
      </c>
      <c r="O1103" s="193">
        <f t="shared" si="243"/>
        <v>27</v>
      </c>
      <c r="P1103" s="194">
        <v>18</v>
      </c>
      <c r="Q1103" s="194">
        <v>0</v>
      </c>
      <c r="R1103" s="194">
        <v>0</v>
      </c>
      <c r="S1103" s="193">
        <f t="shared" si="244"/>
        <v>18</v>
      </c>
      <c r="T1103" s="193">
        <f t="shared" si="245"/>
        <v>3.125</v>
      </c>
      <c r="U1103" s="193">
        <f ca="1">OFFSET('Expenditure Study'!$B$7,'Operations Support'!$C1103,'Operations Support'!$B1103)*$G1103</f>
        <v>258.75</v>
      </c>
      <c r="V1103" s="199">
        <f ca="1">U1103*'Expenditure Study'!$B$31</f>
        <v>15287.773032000001</v>
      </c>
      <c r="W1103" s="199">
        <f ca="1">IF(A1103=10298,1.51,1)*IF($B1103&lt;3,$D1103*'Expenditure Study'!$B$32*OFFSET('Expenditure Study'!$B$7,'Operations Support'!$C1103,'Operations Support'!$B1103),0)</f>
        <v>0</v>
      </c>
      <c r="X1103" s="200">
        <f ca="1">W1103*'Expenditure Study'!$B$31</f>
        <v>0</v>
      </c>
      <c r="Y1103" s="199">
        <f ca="1">U1103*'Expenditure Study'!$B$31</f>
        <v>15287.773032000001</v>
      </c>
      <c r="Z1103" s="200">
        <f ca="1">W1103*'Expenditure Study'!$B$31</f>
        <v>0</v>
      </c>
      <c r="AA1103" s="195">
        <f t="shared" ca="1" si="246"/>
        <v>15287.773032000001</v>
      </c>
      <c r="AB1103" s="195">
        <f t="shared" ca="1" si="247"/>
        <v>15287.773032000001</v>
      </c>
      <c r="AD1103" s="196">
        <f>IFERROR($G1103/SUMIF($A:$A,$A1103,$G:$G)*SUMIF(Summary!$A$166:$A$242,$A1103,Summary!$P$166:$P$242),0)</f>
        <v>2227.1329384622163</v>
      </c>
      <c r="AE1103" s="197">
        <f t="shared" ca="1" si="248"/>
        <v>13060.640093537784</v>
      </c>
      <c r="AF1103" s="196">
        <f>IFERROR(G1103/SUMIF(A:A,A1103,G:G)*SUMIF(Summary!$A$166:$A$242,'Operations Support'!A1103,Summary!$Q$166:$Q$242),0)</f>
        <v>2231.4122397705864</v>
      </c>
      <c r="AG1103" s="196">
        <f t="shared" ca="1" si="249"/>
        <v>13056.360792229414</v>
      </c>
      <c r="AI1103" s="196">
        <f>IFERROR($G1103/SUMIF($A:$A,$A1103,$G:$G)*SUMIF(Summary!$A$247:$A$283,$A1103,Summary!$P$247:$P$283),0)</f>
        <v>406.17347049254954</v>
      </c>
      <c r="AJ1103" s="196">
        <f>IFERROR($G1103/SUMIF($A:$A,$A1103,$G:$G)*(SUMIF(Summary!$A$247:$A$283,$A1103,Summary!$L$247:$L$283)+SUMIF(Summary!$A$297:$A$333,$A1103,Summary!$L$297:$L$333))-AI1103,0)</f>
        <v>5798.0086231387868</v>
      </c>
      <c r="AK1103" s="196">
        <f>IFERROR($G1103/SUMIF($A:$A,$A1103,$G:$G)*SUMIF(Summary!$A$247:$A$283,$A1103,Summary!$Q$247:$Q$283),0)</f>
        <v>406.95390826242249</v>
      </c>
      <c r="AL1103" s="196">
        <f>IFERROR($G1103/SUMIF($A:$A,$A1103,$G:$G)*(SUMIF(Summary!$A$247:$A$283,$A1103,Summary!$L$247:$L$283)+SUMIF(Summary!$A$297:$A$333,$A1103,Summary!$L$297:$L$333))-AK1103,0)</f>
        <v>5797.2281853689137</v>
      </c>
      <c r="AM1103" s="198"/>
      <c r="AN1103" s="196">
        <f t="shared" ca="1" si="250"/>
        <v>18858.648716676573</v>
      </c>
      <c r="AO1103" s="196">
        <f t="shared" ca="1" si="251"/>
        <v>18853.588977598327</v>
      </c>
    </row>
    <row r="1104" spans="1:41">
      <c r="A1104" s="189">
        <v>3625</v>
      </c>
      <c r="B1104" s="203">
        <v>3</v>
      </c>
      <c r="C1104" s="191" t="s">
        <v>227</v>
      </c>
      <c r="D1104" s="192">
        <f t="shared" si="238"/>
        <v>0</v>
      </c>
      <c r="E1104" s="192">
        <f t="shared" si="239"/>
        <v>0</v>
      </c>
      <c r="F1104" s="192">
        <f t="shared" si="240"/>
        <v>0</v>
      </c>
      <c r="G1104" s="193">
        <f t="shared" si="241"/>
        <v>0</v>
      </c>
      <c r="H1104" s="194">
        <v>0</v>
      </c>
      <c r="I1104" s="194">
        <v>0</v>
      </c>
      <c r="J1104" s="194">
        <v>0</v>
      </c>
      <c r="K1104" s="193">
        <f t="shared" si="242"/>
        <v>0</v>
      </c>
      <c r="L1104" s="194">
        <v>0</v>
      </c>
      <c r="M1104" s="194">
        <v>0</v>
      </c>
      <c r="N1104" s="194">
        <v>0</v>
      </c>
      <c r="O1104" s="193">
        <f t="shared" si="243"/>
        <v>0</v>
      </c>
      <c r="P1104" s="194">
        <v>0</v>
      </c>
      <c r="Q1104" s="194">
        <v>0</v>
      </c>
      <c r="R1104" s="194">
        <v>0</v>
      </c>
      <c r="S1104" s="193">
        <f t="shared" si="244"/>
        <v>0</v>
      </c>
      <c r="T1104" s="193">
        <f t="shared" si="245"/>
        <v>0</v>
      </c>
      <c r="U1104" s="193">
        <f ca="1">OFFSET('Expenditure Study'!$B$7,'Operations Support'!$C1104,'Operations Support'!$B1104)*$G1104</f>
        <v>0</v>
      </c>
      <c r="V1104" s="199">
        <f ca="1">U1104*'Expenditure Study'!$B$31</f>
        <v>0</v>
      </c>
      <c r="W1104" s="199">
        <f ca="1">IF(A1104=10298,1.51,1)*IF($B1104&lt;3,$D1104*'Expenditure Study'!$B$32*OFFSET('Expenditure Study'!$B$7,'Operations Support'!$C1104,'Operations Support'!$B1104),0)</f>
        <v>0</v>
      </c>
      <c r="X1104" s="200">
        <f ca="1">W1104*'Expenditure Study'!$B$31</f>
        <v>0</v>
      </c>
      <c r="Y1104" s="199">
        <f ca="1">U1104*'Expenditure Study'!$B$31</f>
        <v>0</v>
      </c>
      <c r="Z1104" s="200">
        <f ca="1">W1104*'Expenditure Study'!$B$31</f>
        <v>0</v>
      </c>
      <c r="AA1104" s="195">
        <f t="shared" ca="1" si="246"/>
        <v>0</v>
      </c>
      <c r="AB1104" s="195">
        <f t="shared" ca="1" si="247"/>
        <v>0</v>
      </c>
      <c r="AD1104" s="196">
        <f>IFERROR($G1104/SUMIF($A:$A,$A1104,$G:$G)*SUMIF(Summary!$A$166:$A$242,$A1104,Summary!$P$166:$P$242),0)</f>
        <v>0</v>
      </c>
      <c r="AE1104" s="197">
        <f t="shared" ca="1" si="248"/>
        <v>0</v>
      </c>
      <c r="AF1104" s="196">
        <f>IFERROR(G1104/SUMIF(A:A,A1104,G:G)*SUMIF(Summary!$A$166:$A$242,'Operations Support'!A1104,Summary!$Q$166:$Q$242),0)</f>
        <v>0</v>
      </c>
      <c r="AG1104" s="196">
        <f t="shared" ca="1" si="249"/>
        <v>0</v>
      </c>
      <c r="AI1104" s="196">
        <f>IFERROR($G1104/SUMIF($A:$A,$A1104,$G:$G)*SUMIF(Summary!$A$247:$A$283,$A1104,Summary!$P$247:$P$283),0)</f>
        <v>0</v>
      </c>
      <c r="AJ1104" s="196">
        <f>IFERROR($G1104/SUMIF($A:$A,$A1104,$G:$G)*(SUMIF(Summary!$A$247:$A$283,$A1104,Summary!$L$247:$L$283)+SUMIF(Summary!$A$297:$A$333,$A1104,Summary!$L$297:$L$333))-AI1104,0)</f>
        <v>0</v>
      </c>
      <c r="AK1104" s="196">
        <f>IFERROR($G1104/SUMIF($A:$A,$A1104,$G:$G)*SUMIF(Summary!$A$247:$A$283,$A1104,Summary!$Q$247:$Q$283),0)</f>
        <v>0</v>
      </c>
      <c r="AL1104" s="196">
        <f>IFERROR($G1104/SUMIF($A:$A,$A1104,$G:$G)*(SUMIF(Summary!$A$247:$A$283,$A1104,Summary!$L$247:$L$283)+SUMIF(Summary!$A$297:$A$333,$A1104,Summary!$L$297:$L$333))-AK1104,0)</f>
        <v>0</v>
      </c>
      <c r="AM1104" s="198"/>
      <c r="AN1104" s="196">
        <f t="shared" ca="1" si="250"/>
        <v>0</v>
      </c>
      <c r="AO1104" s="196">
        <f t="shared" ca="1" si="251"/>
        <v>0</v>
      </c>
    </row>
    <row r="1105" spans="1:41">
      <c r="A1105" s="189">
        <v>3625</v>
      </c>
      <c r="B1105" s="203">
        <v>3</v>
      </c>
      <c r="C1105" s="191" t="s">
        <v>228</v>
      </c>
      <c r="D1105" s="192">
        <f t="shared" si="238"/>
        <v>0</v>
      </c>
      <c r="E1105" s="192">
        <f t="shared" si="239"/>
        <v>0</v>
      </c>
      <c r="F1105" s="192">
        <f t="shared" si="240"/>
        <v>0</v>
      </c>
      <c r="G1105" s="193">
        <f t="shared" si="241"/>
        <v>0</v>
      </c>
      <c r="H1105" s="194">
        <v>0</v>
      </c>
      <c r="I1105" s="194">
        <v>0</v>
      </c>
      <c r="J1105" s="194">
        <v>0</v>
      </c>
      <c r="K1105" s="193">
        <f t="shared" si="242"/>
        <v>0</v>
      </c>
      <c r="L1105" s="194">
        <v>0</v>
      </c>
      <c r="M1105" s="194">
        <v>0</v>
      </c>
      <c r="N1105" s="194">
        <v>0</v>
      </c>
      <c r="O1105" s="193">
        <f t="shared" si="243"/>
        <v>0</v>
      </c>
      <c r="P1105" s="194">
        <v>0</v>
      </c>
      <c r="Q1105" s="194">
        <v>0</v>
      </c>
      <c r="R1105" s="194">
        <v>0</v>
      </c>
      <c r="S1105" s="193">
        <f t="shared" si="244"/>
        <v>0</v>
      </c>
      <c r="T1105" s="193">
        <f t="shared" si="245"/>
        <v>0</v>
      </c>
      <c r="U1105" s="193">
        <f ca="1">OFFSET('Expenditure Study'!$B$7,'Operations Support'!$C1105,'Operations Support'!$B1105)*$G1105</f>
        <v>0</v>
      </c>
      <c r="V1105" s="199">
        <f ca="1">U1105*'Expenditure Study'!$B$31</f>
        <v>0</v>
      </c>
      <c r="W1105" s="199">
        <f ca="1">IF(A1105=10298,1.51,1)*IF($B1105&lt;3,$D1105*'Expenditure Study'!$B$32*OFFSET('Expenditure Study'!$B$7,'Operations Support'!$C1105,'Operations Support'!$B1105),0)</f>
        <v>0</v>
      </c>
      <c r="X1105" s="200">
        <f ca="1">W1105*'Expenditure Study'!$B$31</f>
        <v>0</v>
      </c>
      <c r="Y1105" s="199">
        <f ca="1">U1105*'Expenditure Study'!$B$31</f>
        <v>0</v>
      </c>
      <c r="Z1105" s="200">
        <f ca="1">W1105*'Expenditure Study'!$B$31</f>
        <v>0</v>
      </c>
      <c r="AA1105" s="195">
        <f t="shared" ca="1" si="246"/>
        <v>0</v>
      </c>
      <c r="AB1105" s="195">
        <f t="shared" ca="1" si="247"/>
        <v>0</v>
      </c>
      <c r="AD1105" s="196">
        <f>IFERROR($G1105/SUMIF($A:$A,$A1105,$G:$G)*SUMIF(Summary!$A$166:$A$242,$A1105,Summary!$P$166:$P$242),0)</f>
        <v>0</v>
      </c>
      <c r="AE1105" s="197">
        <f t="shared" ca="1" si="248"/>
        <v>0</v>
      </c>
      <c r="AF1105" s="196">
        <f>IFERROR(G1105/SUMIF(A:A,A1105,G:G)*SUMIF(Summary!$A$166:$A$242,'Operations Support'!A1105,Summary!$Q$166:$Q$242),0)</f>
        <v>0</v>
      </c>
      <c r="AG1105" s="196">
        <f t="shared" ca="1" si="249"/>
        <v>0</v>
      </c>
      <c r="AI1105" s="196">
        <f>IFERROR($G1105/SUMIF($A:$A,$A1105,$G:$G)*SUMIF(Summary!$A$247:$A$283,$A1105,Summary!$P$247:$P$283),0)</f>
        <v>0</v>
      </c>
      <c r="AJ1105" s="196">
        <f>IFERROR($G1105/SUMIF($A:$A,$A1105,$G:$G)*(SUMIF(Summary!$A$247:$A$283,$A1105,Summary!$L$247:$L$283)+SUMIF(Summary!$A$297:$A$333,$A1105,Summary!$L$297:$L$333))-AI1105,0)</f>
        <v>0</v>
      </c>
      <c r="AK1105" s="196">
        <f>IFERROR($G1105/SUMIF($A:$A,$A1105,$G:$G)*SUMIF(Summary!$A$247:$A$283,$A1105,Summary!$Q$247:$Q$283),0)</f>
        <v>0</v>
      </c>
      <c r="AL1105" s="196">
        <f>IFERROR($G1105/SUMIF($A:$A,$A1105,$G:$G)*(SUMIF(Summary!$A$247:$A$283,$A1105,Summary!$L$247:$L$283)+SUMIF(Summary!$A$297:$A$333,$A1105,Summary!$L$297:$L$333))-AK1105,0)</f>
        <v>0</v>
      </c>
      <c r="AM1105" s="198"/>
      <c r="AN1105" s="196">
        <f t="shared" ca="1" si="250"/>
        <v>0</v>
      </c>
      <c r="AO1105" s="196">
        <f t="shared" ca="1" si="251"/>
        <v>0</v>
      </c>
    </row>
    <row r="1106" spans="1:41">
      <c r="A1106" s="189">
        <v>3625</v>
      </c>
      <c r="B1106" s="203">
        <v>3</v>
      </c>
      <c r="C1106" s="191" t="s">
        <v>229</v>
      </c>
      <c r="D1106" s="192">
        <f t="shared" si="238"/>
        <v>0</v>
      </c>
      <c r="E1106" s="192">
        <f t="shared" si="239"/>
        <v>0</v>
      </c>
      <c r="F1106" s="192">
        <f t="shared" si="240"/>
        <v>0</v>
      </c>
      <c r="G1106" s="193">
        <f t="shared" si="241"/>
        <v>0</v>
      </c>
      <c r="H1106" s="194">
        <v>0</v>
      </c>
      <c r="I1106" s="194">
        <v>0</v>
      </c>
      <c r="J1106" s="194">
        <v>0</v>
      </c>
      <c r="K1106" s="193">
        <f t="shared" si="242"/>
        <v>0</v>
      </c>
      <c r="L1106" s="194">
        <v>0</v>
      </c>
      <c r="M1106" s="194">
        <v>0</v>
      </c>
      <c r="N1106" s="194">
        <v>0</v>
      </c>
      <c r="O1106" s="193">
        <f t="shared" si="243"/>
        <v>0</v>
      </c>
      <c r="P1106" s="194">
        <v>0</v>
      </c>
      <c r="Q1106" s="194">
        <v>0</v>
      </c>
      <c r="R1106" s="194">
        <v>0</v>
      </c>
      <c r="S1106" s="193">
        <f t="shared" si="244"/>
        <v>0</v>
      </c>
      <c r="T1106" s="193">
        <f t="shared" si="245"/>
        <v>0</v>
      </c>
      <c r="U1106" s="193">
        <f ca="1">OFFSET('Expenditure Study'!$B$7,'Operations Support'!$C1106,'Operations Support'!$B1106)*$G1106</f>
        <v>0</v>
      </c>
      <c r="V1106" s="199">
        <f ca="1">U1106*'Expenditure Study'!$B$31</f>
        <v>0</v>
      </c>
      <c r="W1106" s="199">
        <f ca="1">IF(A1106=10298,1.51,1)*IF($B1106&lt;3,$D1106*'Expenditure Study'!$B$32*OFFSET('Expenditure Study'!$B$7,'Operations Support'!$C1106,'Operations Support'!$B1106),0)</f>
        <v>0</v>
      </c>
      <c r="X1106" s="200">
        <f ca="1">W1106*'Expenditure Study'!$B$31</f>
        <v>0</v>
      </c>
      <c r="Y1106" s="199">
        <f ca="1">U1106*'Expenditure Study'!$B$31</f>
        <v>0</v>
      </c>
      <c r="Z1106" s="200">
        <f ca="1">W1106*'Expenditure Study'!$B$31</f>
        <v>0</v>
      </c>
      <c r="AA1106" s="195">
        <f t="shared" ca="1" si="246"/>
        <v>0</v>
      </c>
      <c r="AB1106" s="195">
        <f t="shared" ca="1" si="247"/>
        <v>0</v>
      </c>
      <c r="AD1106" s="196">
        <f>IFERROR($G1106/SUMIF($A:$A,$A1106,$G:$G)*SUMIF(Summary!$A$166:$A$242,$A1106,Summary!$P$166:$P$242),0)</f>
        <v>0</v>
      </c>
      <c r="AE1106" s="197">
        <f t="shared" ca="1" si="248"/>
        <v>0</v>
      </c>
      <c r="AF1106" s="196">
        <f>IFERROR(G1106/SUMIF(A:A,A1106,G:G)*SUMIF(Summary!$A$166:$A$242,'Operations Support'!A1106,Summary!$Q$166:$Q$242),0)</f>
        <v>0</v>
      </c>
      <c r="AG1106" s="196">
        <f t="shared" ca="1" si="249"/>
        <v>0</v>
      </c>
      <c r="AI1106" s="196">
        <f>IFERROR($G1106/SUMIF($A:$A,$A1106,$G:$G)*SUMIF(Summary!$A$247:$A$283,$A1106,Summary!$P$247:$P$283),0)</f>
        <v>0</v>
      </c>
      <c r="AJ1106" s="196">
        <f>IFERROR($G1106/SUMIF($A:$A,$A1106,$G:$G)*(SUMIF(Summary!$A$247:$A$283,$A1106,Summary!$L$247:$L$283)+SUMIF(Summary!$A$297:$A$333,$A1106,Summary!$L$297:$L$333))-AI1106,0)</f>
        <v>0</v>
      </c>
      <c r="AK1106" s="196">
        <f>IFERROR($G1106/SUMIF($A:$A,$A1106,$G:$G)*SUMIF(Summary!$A$247:$A$283,$A1106,Summary!$Q$247:$Q$283),0)</f>
        <v>0</v>
      </c>
      <c r="AL1106" s="196">
        <f>IFERROR($G1106/SUMIF($A:$A,$A1106,$G:$G)*(SUMIF(Summary!$A$247:$A$283,$A1106,Summary!$L$247:$L$283)+SUMIF(Summary!$A$297:$A$333,$A1106,Summary!$L$297:$L$333))-AK1106,0)</f>
        <v>0</v>
      </c>
      <c r="AM1106" s="198"/>
      <c r="AN1106" s="196">
        <f t="shared" ca="1" si="250"/>
        <v>0</v>
      </c>
      <c r="AO1106" s="196">
        <f t="shared" ca="1" si="251"/>
        <v>0</v>
      </c>
    </row>
    <row r="1107" spans="1:41">
      <c r="A1107" s="189">
        <v>3625</v>
      </c>
      <c r="B1107" s="203">
        <v>3</v>
      </c>
      <c r="C1107" s="191" t="s">
        <v>230</v>
      </c>
      <c r="D1107" s="192">
        <f t="shared" si="238"/>
        <v>0</v>
      </c>
      <c r="E1107" s="192">
        <f t="shared" si="239"/>
        <v>0</v>
      </c>
      <c r="F1107" s="192">
        <f t="shared" si="240"/>
        <v>0</v>
      </c>
      <c r="G1107" s="193">
        <f t="shared" si="241"/>
        <v>0</v>
      </c>
      <c r="H1107" s="194">
        <v>0</v>
      </c>
      <c r="I1107" s="194">
        <v>0</v>
      </c>
      <c r="J1107" s="194">
        <v>0</v>
      </c>
      <c r="K1107" s="193">
        <f t="shared" si="242"/>
        <v>0</v>
      </c>
      <c r="L1107" s="194">
        <v>0</v>
      </c>
      <c r="M1107" s="194">
        <v>0</v>
      </c>
      <c r="N1107" s="194">
        <v>0</v>
      </c>
      <c r="O1107" s="193">
        <f t="shared" si="243"/>
        <v>0</v>
      </c>
      <c r="P1107" s="194">
        <v>0</v>
      </c>
      <c r="Q1107" s="194">
        <v>0</v>
      </c>
      <c r="R1107" s="194">
        <v>0</v>
      </c>
      <c r="S1107" s="193">
        <f t="shared" si="244"/>
        <v>0</v>
      </c>
      <c r="T1107" s="193">
        <f t="shared" si="245"/>
        <v>0</v>
      </c>
      <c r="U1107" s="193">
        <f ca="1">OFFSET('Expenditure Study'!$B$7,'Operations Support'!$C1107,'Operations Support'!$B1107)*$G1107</f>
        <v>0</v>
      </c>
      <c r="V1107" s="199">
        <f ca="1">U1107*'Expenditure Study'!$B$31</f>
        <v>0</v>
      </c>
      <c r="W1107" s="199">
        <f ca="1">IF(A1107=10298,1.51,1)*IF($B1107&lt;3,$D1107*'Expenditure Study'!$B$32*OFFSET('Expenditure Study'!$B$7,'Operations Support'!$C1107,'Operations Support'!$B1107),0)</f>
        <v>0</v>
      </c>
      <c r="X1107" s="200">
        <f ca="1">W1107*'Expenditure Study'!$B$31</f>
        <v>0</v>
      </c>
      <c r="Y1107" s="199">
        <f ca="1">U1107*'Expenditure Study'!$B$31</f>
        <v>0</v>
      </c>
      <c r="Z1107" s="200">
        <f ca="1">W1107*'Expenditure Study'!$B$31</f>
        <v>0</v>
      </c>
      <c r="AA1107" s="195">
        <f t="shared" ca="1" si="246"/>
        <v>0</v>
      </c>
      <c r="AB1107" s="195">
        <f t="shared" ca="1" si="247"/>
        <v>0</v>
      </c>
      <c r="AD1107" s="196">
        <f>IFERROR($G1107/SUMIF($A:$A,$A1107,$G:$G)*SUMIF(Summary!$A$166:$A$242,$A1107,Summary!$P$166:$P$242),0)</f>
        <v>0</v>
      </c>
      <c r="AE1107" s="197">
        <f t="shared" ca="1" si="248"/>
        <v>0</v>
      </c>
      <c r="AF1107" s="196">
        <f>IFERROR(G1107/SUMIF(A:A,A1107,G:G)*SUMIF(Summary!$A$166:$A$242,'Operations Support'!A1107,Summary!$Q$166:$Q$242),0)</f>
        <v>0</v>
      </c>
      <c r="AG1107" s="196">
        <f t="shared" ca="1" si="249"/>
        <v>0</v>
      </c>
      <c r="AI1107" s="196">
        <f>IFERROR($G1107/SUMIF($A:$A,$A1107,$G:$G)*SUMIF(Summary!$A$247:$A$283,$A1107,Summary!$P$247:$P$283),0)</f>
        <v>0</v>
      </c>
      <c r="AJ1107" s="196">
        <f>IFERROR($G1107/SUMIF($A:$A,$A1107,$G:$G)*(SUMIF(Summary!$A$247:$A$283,$A1107,Summary!$L$247:$L$283)+SUMIF(Summary!$A$297:$A$333,$A1107,Summary!$L$297:$L$333))-AI1107,0)</f>
        <v>0</v>
      </c>
      <c r="AK1107" s="196">
        <f>IFERROR($G1107/SUMIF($A:$A,$A1107,$G:$G)*SUMIF(Summary!$A$247:$A$283,$A1107,Summary!$Q$247:$Q$283),0)</f>
        <v>0</v>
      </c>
      <c r="AL1107" s="196">
        <f>IFERROR($G1107/SUMIF($A:$A,$A1107,$G:$G)*(SUMIF(Summary!$A$247:$A$283,$A1107,Summary!$L$247:$L$283)+SUMIF(Summary!$A$297:$A$333,$A1107,Summary!$L$297:$L$333))-AK1107,0)</f>
        <v>0</v>
      </c>
      <c r="AM1107" s="198"/>
      <c r="AN1107" s="196">
        <f t="shared" ca="1" si="250"/>
        <v>0</v>
      </c>
      <c r="AO1107" s="196">
        <f t="shared" ca="1" si="251"/>
        <v>0</v>
      </c>
    </row>
    <row r="1108" spans="1:41">
      <c r="A1108" s="189">
        <v>3625</v>
      </c>
      <c r="B1108" s="203">
        <v>3</v>
      </c>
      <c r="C1108" s="191" t="s">
        <v>231</v>
      </c>
      <c r="D1108" s="192">
        <f t="shared" si="238"/>
        <v>0</v>
      </c>
      <c r="E1108" s="192">
        <f t="shared" si="239"/>
        <v>0</v>
      </c>
      <c r="F1108" s="192">
        <f t="shared" si="240"/>
        <v>0</v>
      </c>
      <c r="G1108" s="193">
        <f t="shared" si="241"/>
        <v>0</v>
      </c>
      <c r="H1108" s="194">
        <v>0</v>
      </c>
      <c r="I1108" s="194">
        <v>0</v>
      </c>
      <c r="J1108" s="194">
        <v>0</v>
      </c>
      <c r="K1108" s="193">
        <f t="shared" si="242"/>
        <v>0</v>
      </c>
      <c r="L1108" s="194">
        <v>0</v>
      </c>
      <c r="M1108" s="194">
        <v>0</v>
      </c>
      <c r="N1108" s="194">
        <v>0</v>
      </c>
      <c r="O1108" s="193">
        <f t="shared" si="243"/>
        <v>0</v>
      </c>
      <c r="P1108" s="194">
        <v>0</v>
      </c>
      <c r="Q1108" s="194">
        <v>0</v>
      </c>
      <c r="R1108" s="194">
        <v>0</v>
      </c>
      <c r="S1108" s="193">
        <f t="shared" si="244"/>
        <v>0</v>
      </c>
      <c r="T1108" s="193">
        <f t="shared" si="245"/>
        <v>0</v>
      </c>
      <c r="U1108" s="193">
        <f ca="1">OFFSET('Expenditure Study'!$B$7,'Operations Support'!$C1108,'Operations Support'!$B1108)*$G1108</f>
        <v>0</v>
      </c>
      <c r="V1108" s="199">
        <f ca="1">U1108*'Expenditure Study'!$B$31</f>
        <v>0</v>
      </c>
      <c r="W1108" s="199">
        <f ca="1">IF(A1108=10298,1.51,1)*IF($B1108&lt;3,$D1108*'Expenditure Study'!$B$32*OFFSET('Expenditure Study'!$B$7,'Operations Support'!$C1108,'Operations Support'!$B1108),0)</f>
        <v>0</v>
      </c>
      <c r="X1108" s="200">
        <f ca="1">W1108*'Expenditure Study'!$B$31</f>
        <v>0</v>
      </c>
      <c r="Y1108" s="199">
        <f ca="1">U1108*'Expenditure Study'!$B$31</f>
        <v>0</v>
      </c>
      <c r="Z1108" s="200">
        <f ca="1">W1108*'Expenditure Study'!$B$31</f>
        <v>0</v>
      </c>
      <c r="AA1108" s="195">
        <f t="shared" ca="1" si="246"/>
        <v>0</v>
      </c>
      <c r="AB1108" s="195">
        <f t="shared" ca="1" si="247"/>
        <v>0</v>
      </c>
      <c r="AD1108" s="196">
        <f>IFERROR($G1108/SUMIF($A:$A,$A1108,$G:$G)*SUMIF(Summary!$A$166:$A$242,$A1108,Summary!$P$166:$P$242),0)</f>
        <v>0</v>
      </c>
      <c r="AE1108" s="197">
        <f t="shared" ca="1" si="248"/>
        <v>0</v>
      </c>
      <c r="AF1108" s="196">
        <f>IFERROR(G1108/SUMIF(A:A,A1108,G:G)*SUMIF(Summary!$A$166:$A$242,'Operations Support'!A1108,Summary!$Q$166:$Q$242),0)</f>
        <v>0</v>
      </c>
      <c r="AG1108" s="196">
        <f t="shared" ca="1" si="249"/>
        <v>0</v>
      </c>
      <c r="AI1108" s="196">
        <f>IFERROR($G1108/SUMIF($A:$A,$A1108,$G:$G)*SUMIF(Summary!$A$247:$A$283,$A1108,Summary!$P$247:$P$283),0)</f>
        <v>0</v>
      </c>
      <c r="AJ1108" s="196">
        <f>IFERROR($G1108/SUMIF($A:$A,$A1108,$G:$G)*(SUMIF(Summary!$A$247:$A$283,$A1108,Summary!$L$247:$L$283)+SUMIF(Summary!$A$297:$A$333,$A1108,Summary!$L$297:$L$333))-AI1108,0)</f>
        <v>0</v>
      </c>
      <c r="AK1108" s="196">
        <f>IFERROR($G1108/SUMIF($A:$A,$A1108,$G:$G)*SUMIF(Summary!$A$247:$A$283,$A1108,Summary!$Q$247:$Q$283),0)</f>
        <v>0</v>
      </c>
      <c r="AL1108" s="196">
        <f>IFERROR($G1108/SUMIF($A:$A,$A1108,$G:$G)*(SUMIF(Summary!$A$247:$A$283,$A1108,Summary!$L$247:$L$283)+SUMIF(Summary!$A$297:$A$333,$A1108,Summary!$L$297:$L$333))-AK1108,0)</f>
        <v>0</v>
      </c>
      <c r="AM1108" s="198"/>
      <c r="AN1108" s="196">
        <f t="shared" ca="1" si="250"/>
        <v>0</v>
      </c>
      <c r="AO1108" s="196">
        <f t="shared" ca="1" si="251"/>
        <v>0</v>
      </c>
    </row>
    <row r="1109" spans="1:41">
      <c r="A1109" s="189">
        <v>3625</v>
      </c>
      <c r="B1109" s="203">
        <v>3</v>
      </c>
      <c r="C1109" s="191" t="s">
        <v>232</v>
      </c>
      <c r="D1109" s="192">
        <f t="shared" si="238"/>
        <v>0</v>
      </c>
      <c r="E1109" s="192">
        <f t="shared" si="239"/>
        <v>0</v>
      </c>
      <c r="F1109" s="192">
        <f t="shared" si="240"/>
        <v>0</v>
      </c>
      <c r="G1109" s="193">
        <f t="shared" si="241"/>
        <v>0</v>
      </c>
      <c r="H1109" s="194">
        <v>0</v>
      </c>
      <c r="I1109" s="194">
        <v>0</v>
      </c>
      <c r="J1109" s="194">
        <v>0</v>
      </c>
      <c r="K1109" s="193">
        <f t="shared" si="242"/>
        <v>0</v>
      </c>
      <c r="L1109" s="194">
        <v>0</v>
      </c>
      <c r="M1109" s="194">
        <v>0</v>
      </c>
      <c r="N1109" s="194">
        <v>0</v>
      </c>
      <c r="O1109" s="193">
        <f t="shared" si="243"/>
        <v>0</v>
      </c>
      <c r="P1109" s="194">
        <v>0</v>
      </c>
      <c r="Q1109" s="194">
        <v>0</v>
      </c>
      <c r="R1109" s="194">
        <v>0</v>
      </c>
      <c r="S1109" s="193">
        <f t="shared" si="244"/>
        <v>0</v>
      </c>
      <c r="T1109" s="193">
        <f t="shared" si="245"/>
        <v>0</v>
      </c>
      <c r="U1109" s="193">
        <f ca="1">OFFSET('Expenditure Study'!$B$7,'Operations Support'!$C1109,'Operations Support'!$B1109)*$G1109</f>
        <v>0</v>
      </c>
      <c r="V1109" s="199">
        <f ca="1">U1109*'Expenditure Study'!$B$31</f>
        <v>0</v>
      </c>
      <c r="W1109" s="199">
        <f ca="1">IF(A1109=10298,1.51,1)*IF($B1109&lt;3,$D1109*'Expenditure Study'!$B$32*OFFSET('Expenditure Study'!$B$7,'Operations Support'!$C1109,'Operations Support'!$B1109),0)</f>
        <v>0</v>
      </c>
      <c r="X1109" s="200">
        <f ca="1">W1109*'Expenditure Study'!$B$31</f>
        <v>0</v>
      </c>
      <c r="Y1109" s="199">
        <f ca="1">U1109*'Expenditure Study'!$B$31</f>
        <v>0</v>
      </c>
      <c r="Z1109" s="200">
        <f ca="1">W1109*'Expenditure Study'!$B$31</f>
        <v>0</v>
      </c>
      <c r="AA1109" s="195">
        <f t="shared" ca="1" si="246"/>
        <v>0</v>
      </c>
      <c r="AB1109" s="195">
        <f t="shared" ca="1" si="247"/>
        <v>0</v>
      </c>
      <c r="AD1109" s="196">
        <f>IFERROR($G1109/SUMIF($A:$A,$A1109,$G:$G)*SUMIF(Summary!$A$166:$A$242,$A1109,Summary!$P$166:$P$242),0)</f>
        <v>0</v>
      </c>
      <c r="AE1109" s="197">
        <f t="shared" ca="1" si="248"/>
        <v>0</v>
      </c>
      <c r="AF1109" s="196">
        <f>IFERROR(G1109/SUMIF(A:A,A1109,G:G)*SUMIF(Summary!$A$166:$A$242,'Operations Support'!A1109,Summary!$Q$166:$Q$242),0)</f>
        <v>0</v>
      </c>
      <c r="AG1109" s="196">
        <f t="shared" ca="1" si="249"/>
        <v>0</v>
      </c>
      <c r="AI1109" s="196">
        <f>IFERROR($G1109/SUMIF($A:$A,$A1109,$G:$G)*SUMIF(Summary!$A$247:$A$283,$A1109,Summary!$P$247:$P$283),0)</f>
        <v>0</v>
      </c>
      <c r="AJ1109" s="196">
        <f>IFERROR($G1109/SUMIF($A:$A,$A1109,$G:$G)*(SUMIF(Summary!$A$247:$A$283,$A1109,Summary!$L$247:$L$283)+SUMIF(Summary!$A$297:$A$333,$A1109,Summary!$L$297:$L$333))-AI1109,0)</f>
        <v>0</v>
      </c>
      <c r="AK1109" s="196">
        <f>IFERROR($G1109/SUMIF($A:$A,$A1109,$G:$G)*SUMIF(Summary!$A$247:$A$283,$A1109,Summary!$Q$247:$Q$283),0)</f>
        <v>0</v>
      </c>
      <c r="AL1109" s="196">
        <f>IFERROR($G1109/SUMIF($A:$A,$A1109,$G:$G)*(SUMIF(Summary!$A$247:$A$283,$A1109,Summary!$L$247:$L$283)+SUMIF(Summary!$A$297:$A$333,$A1109,Summary!$L$297:$L$333))-AK1109,0)</f>
        <v>0</v>
      </c>
      <c r="AM1109" s="198"/>
      <c r="AN1109" s="196">
        <f t="shared" ca="1" si="250"/>
        <v>0</v>
      </c>
      <c r="AO1109" s="196">
        <f t="shared" ca="1" si="251"/>
        <v>0</v>
      </c>
    </row>
    <row r="1110" spans="1:41">
      <c r="A1110" s="189">
        <v>3625</v>
      </c>
      <c r="B1110" s="203">
        <v>3</v>
      </c>
      <c r="C1110" s="191" t="s">
        <v>233</v>
      </c>
      <c r="D1110" s="192">
        <f t="shared" si="238"/>
        <v>231</v>
      </c>
      <c r="E1110" s="192">
        <f t="shared" si="239"/>
        <v>207</v>
      </c>
      <c r="F1110" s="192">
        <f t="shared" si="240"/>
        <v>0</v>
      </c>
      <c r="G1110" s="193">
        <f t="shared" si="241"/>
        <v>438</v>
      </c>
      <c r="H1110" s="194">
        <v>102</v>
      </c>
      <c r="I1110" s="194">
        <v>87</v>
      </c>
      <c r="J1110" s="194">
        <v>0</v>
      </c>
      <c r="K1110" s="193">
        <f t="shared" si="242"/>
        <v>189</v>
      </c>
      <c r="L1110" s="194">
        <v>30</v>
      </c>
      <c r="M1110" s="194">
        <v>24</v>
      </c>
      <c r="N1110" s="194">
        <v>0</v>
      </c>
      <c r="O1110" s="193">
        <f t="shared" si="243"/>
        <v>54</v>
      </c>
      <c r="P1110" s="194">
        <v>99</v>
      </c>
      <c r="Q1110" s="194">
        <v>96</v>
      </c>
      <c r="R1110" s="194">
        <v>0</v>
      </c>
      <c r="S1110" s="193">
        <f t="shared" si="244"/>
        <v>195</v>
      </c>
      <c r="T1110" s="193">
        <f t="shared" si="245"/>
        <v>18.25</v>
      </c>
      <c r="U1110" s="193">
        <f ca="1">OFFSET('Expenditure Study'!$B$7,'Operations Support'!$C1110,'Operations Support'!$B1110)*$G1110</f>
        <v>1147.56</v>
      </c>
      <c r="V1110" s="199">
        <f ca="1">U1110*'Expenditure Study'!$B$31</f>
        <v>67801.494958847994</v>
      </c>
      <c r="W1110" s="199">
        <f ca="1">IF(A1110=10298,1.51,1)*IF($B1110&lt;3,$D1110*'Expenditure Study'!$B$32*OFFSET('Expenditure Study'!$B$7,'Operations Support'!$C1110,'Operations Support'!$B1110),0)</f>
        <v>0</v>
      </c>
      <c r="X1110" s="200">
        <f ca="1">W1110*'Expenditure Study'!$B$31</f>
        <v>0</v>
      </c>
      <c r="Y1110" s="199">
        <f ca="1">U1110*'Expenditure Study'!$B$31</f>
        <v>67801.494958847994</v>
      </c>
      <c r="Z1110" s="200">
        <f ca="1">W1110*'Expenditure Study'!$B$31</f>
        <v>0</v>
      </c>
      <c r="AA1110" s="195">
        <f t="shared" ca="1" si="246"/>
        <v>67801.494958847994</v>
      </c>
      <c r="AB1110" s="195">
        <f t="shared" ca="1" si="247"/>
        <v>67801.494958847994</v>
      </c>
      <c r="AD1110" s="196">
        <f>IFERROR($G1110/SUMIF($A:$A,$A1110,$G:$G)*SUMIF(Summary!$A$166:$A$242,$A1110,Summary!$P$166:$P$242),0)</f>
        <v>13006.456360619341</v>
      </c>
      <c r="AE1110" s="197">
        <f t="shared" ca="1" si="248"/>
        <v>54795.038598228653</v>
      </c>
      <c r="AF1110" s="196">
        <f>IFERROR(G1110/SUMIF(A:A,A1110,G:G)*SUMIF(Summary!$A$166:$A$242,'Operations Support'!A1110,Summary!$Q$166:$Q$242),0)</f>
        <v>13031.447480260224</v>
      </c>
      <c r="AG1110" s="196">
        <f t="shared" ca="1" si="249"/>
        <v>54770.047478587774</v>
      </c>
      <c r="AI1110" s="196">
        <f>IFERROR($G1110/SUMIF($A:$A,$A1110,$G:$G)*SUMIF(Summary!$A$247:$A$283,$A1110,Summary!$P$247:$P$283),0)</f>
        <v>2372.0530676764893</v>
      </c>
      <c r="AJ1110" s="196">
        <f>IFERROR($G1110/SUMIF($A:$A,$A1110,$G:$G)*(SUMIF(Summary!$A$247:$A$283,$A1110,Summary!$L$247:$L$283)+SUMIF(Summary!$A$297:$A$333,$A1110,Summary!$L$297:$L$333))-AI1110,0)</f>
        <v>33860.370359130509</v>
      </c>
      <c r="AK1110" s="196">
        <f>IFERROR($G1110/SUMIF($A:$A,$A1110,$G:$G)*SUMIF(Summary!$A$247:$A$283,$A1110,Summary!$Q$247:$Q$283),0)</f>
        <v>2376.610824252547</v>
      </c>
      <c r="AL1110" s="196">
        <f>IFERROR($G1110/SUMIF($A:$A,$A1110,$G:$G)*(SUMIF(Summary!$A$247:$A$283,$A1110,Summary!$L$247:$L$283)+SUMIF(Summary!$A$297:$A$333,$A1110,Summary!$L$297:$L$333))-AK1110,0)</f>
        <v>33855.812602554455</v>
      </c>
      <c r="AM1110" s="198"/>
      <c r="AN1110" s="196">
        <f t="shared" ca="1" si="250"/>
        <v>88655.408957359163</v>
      </c>
      <c r="AO1110" s="196">
        <f t="shared" ca="1" si="251"/>
        <v>88625.860081142222</v>
      </c>
    </row>
    <row r="1111" spans="1:41">
      <c r="A1111" s="189">
        <v>3625</v>
      </c>
      <c r="B1111" s="203">
        <v>3</v>
      </c>
      <c r="C1111" s="191" t="s">
        <v>234</v>
      </c>
      <c r="D1111" s="192">
        <f t="shared" si="238"/>
        <v>0</v>
      </c>
      <c r="E1111" s="192">
        <f t="shared" si="239"/>
        <v>0</v>
      </c>
      <c r="F1111" s="192">
        <f t="shared" si="240"/>
        <v>0</v>
      </c>
      <c r="G1111" s="193">
        <f t="shared" si="241"/>
        <v>0</v>
      </c>
      <c r="H1111" s="194">
        <v>0</v>
      </c>
      <c r="I1111" s="194">
        <v>0</v>
      </c>
      <c r="J1111" s="194">
        <v>0</v>
      </c>
      <c r="K1111" s="193">
        <f t="shared" si="242"/>
        <v>0</v>
      </c>
      <c r="L1111" s="194">
        <v>0</v>
      </c>
      <c r="M1111" s="194">
        <v>0</v>
      </c>
      <c r="N1111" s="194">
        <v>0</v>
      </c>
      <c r="O1111" s="193">
        <f t="shared" si="243"/>
        <v>0</v>
      </c>
      <c r="P1111" s="194">
        <v>0</v>
      </c>
      <c r="Q1111" s="194">
        <v>0</v>
      </c>
      <c r="R1111" s="194">
        <v>0</v>
      </c>
      <c r="S1111" s="193">
        <f t="shared" si="244"/>
        <v>0</v>
      </c>
      <c r="T1111" s="193">
        <f t="shared" si="245"/>
        <v>0</v>
      </c>
      <c r="U1111" s="193">
        <f ca="1">OFFSET('Expenditure Study'!$B$7,'Operations Support'!$C1111,'Operations Support'!$B1111)*$G1111</f>
        <v>0</v>
      </c>
      <c r="V1111" s="199">
        <f ca="1">U1111*'Expenditure Study'!$B$31</f>
        <v>0</v>
      </c>
      <c r="W1111" s="199">
        <f ca="1">IF(A1111=10298,1.51,1)*IF($B1111&lt;3,$D1111*'Expenditure Study'!$B$32*OFFSET('Expenditure Study'!$B$7,'Operations Support'!$C1111,'Operations Support'!$B1111),0)</f>
        <v>0</v>
      </c>
      <c r="X1111" s="200">
        <f ca="1">W1111*'Expenditure Study'!$B$31</f>
        <v>0</v>
      </c>
      <c r="Y1111" s="199">
        <f ca="1">U1111*'Expenditure Study'!$B$31</f>
        <v>0</v>
      </c>
      <c r="Z1111" s="200">
        <f ca="1">W1111*'Expenditure Study'!$B$31</f>
        <v>0</v>
      </c>
      <c r="AA1111" s="195">
        <f t="shared" ca="1" si="246"/>
        <v>0</v>
      </c>
      <c r="AB1111" s="195">
        <f t="shared" ca="1" si="247"/>
        <v>0</v>
      </c>
      <c r="AD1111" s="196">
        <f>IFERROR($G1111/SUMIF($A:$A,$A1111,$G:$G)*SUMIF(Summary!$A$166:$A$242,$A1111,Summary!$P$166:$P$242),0)</f>
        <v>0</v>
      </c>
      <c r="AE1111" s="197">
        <f t="shared" ca="1" si="248"/>
        <v>0</v>
      </c>
      <c r="AF1111" s="196">
        <f>IFERROR(G1111/SUMIF(A:A,A1111,G:G)*SUMIF(Summary!$A$166:$A$242,'Operations Support'!A1111,Summary!$Q$166:$Q$242),0)</f>
        <v>0</v>
      </c>
      <c r="AG1111" s="196">
        <f t="shared" ca="1" si="249"/>
        <v>0</v>
      </c>
      <c r="AI1111" s="196">
        <f>IFERROR($G1111/SUMIF($A:$A,$A1111,$G:$G)*SUMIF(Summary!$A$247:$A$283,$A1111,Summary!$P$247:$P$283),0)</f>
        <v>0</v>
      </c>
      <c r="AJ1111" s="196">
        <f>IFERROR($G1111/SUMIF($A:$A,$A1111,$G:$G)*(SUMIF(Summary!$A$247:$A$283,$A1111,Summary!$L$247:$L$283)+SUMIF(Summary!$A$297:$A$333,$A1111,Summary!$L$297:$L$333))-AI1111,0)</f>
        <v>0</v>
      </c>
      <c r="AK1111" s="196">
        <f>IFERROR($G1111/SUMIF($A:$A,$A1111,$G:$G)*SUMIF(Summary!$A$247:$A$283,$A1111,Summary!$Q$247:$Q$283),0)</f>
        <v>0</v>
      </c>
      <c r="AL1111" s="196">
        <f>IFERROR($G1111/SUMIF($A:$A,$A1111,$G:$G)*(SUMIF(Summary!$A$247:$A$283,$A1111,Summary!$L$247:$L$283)+SUMIF(Summary!$A$297:$A$333,$A1111,Summary!$L$297:$L$333))-AK1111,0)</f>
        <v>0</v>
      </c>
      <c r="AM1111" s="198"/>
      <c r="AN1111" s="196">
        <f t="shared" ca="1" si="250"/>
        <v>0</v>
      </c>
      <c r="AO1111" s="196">
        <f t="shared" ca="1" si="251"/>
        <v>0</v>
      </c>
    </row>
    <row r="1112" spans="1:41">
      <c r="A1112" s="189">
        <v>3625</v>
      </c>
      <c r="B1112" s="203">
        <v>3</v>
      </c>
      <c r="C1112" s="191" t="s">
        <v>235</v>
      </c>
      <c r="D1112" s="192">
        <f t="shared" si="238"/>
        <v>561</v>
      </c>
      <c r="E1112" s="192">
        <f t="shared" si="239"/>
        <v>111</v>
      </c>
      <c r="F1112" s="192">
        <f t="shared" si="240"/>
        <v>0</v>
      </c>
      <c r="G1112" s="193">
        <f t="shared" si="241"/>
        <v>672</v>
      </c>
      <c r="H1112" s="194">
        <v>189</v>
      </c>
      <c r="I1112" s="194">
        <v>30</v>
      </c>
      <c r="J1112" s="194">
        <v>0</v>
      </c>
      <c r="K1112" s="193">
        <f t="shared" si="242"/>
        <v>219</v>
      </c>
      <c r="L1112" s="194">
        <v>183</v>
      </c>
      <c r="M1112" s="194">
        <v>39</v>
      </c>
      <c r="N1112" s="194">
        <v>0</v>
      </c>
      <c r="O1112" s="193">
        <f t="shared" si="243"/>
        <v>222</v>
      </c>
      <c r="P1112" s="194">
        <v>189</v>
      </c>
      <c r="Q1112" s="194">
        <v>42</v>
      </c>
      <c r="R1112" s="194">
        <v>0</v>
      </c>
      <c r="S1112" s="193">
        <f t="shared" si="244"/>
        <v>231</v>
      </c>
      <c r="T1112" s="193">
        <f t="shared" si="245"/>
        <v>28</v>
      </c>
      <c r="U1112" s="193">
        <f ca="1">OFFSET('Expenditure Study'!$B$7,'Operations Support'!$C1112,'Operations Support'!$B1112)*$G1112</f>
        <v>2123.52</v>
      </c>
      <c r="V1112" s="199">
        <f ca="1">U1112*'Expenditure Study'!$B$31</f>
        <v>125464.316092416</v>
      </c>
      <c r="W1112" s="199">
        <f ca="1">IF(A1112=10298,1.51,1)*IF($B1112&lt;3,$D1112*'Expenditure Study'!$B$32*OFFSET('Expenditure Study'!$B$7,'Operations Support'!$C1112,'Operations Support'!$B1112),0)</f>
        <v>0</v>
      </c>
      <c r="X1112" s="200">
        <f ca="1">W1112*'Expenditure Study'!$B$31</f>
        <v>0</v>
      </c>
      <c r="Y1112" s="199">
        <f ca="1">U1112*'Expenditure Study'!$B$31</f>
        <v>125464.316092416</v>
      </c>
      <c r="Z1112" s="200">
        <f ca="1">W1112*'Expenditure Study'!$B$31</f>
        <v>0</v>
      </c>
      <c r="AA1112" s="195">
        <f t="shared" ca="1" si="246"/>
        <v>125464.316092416</v>
      </c>
      <c r="AB1112" s="195">
        <f t="shared" ca="1" si="247"/>
        <v>125464.316092416</v>
      </c>
      <c r="AD1112" s="196">
        <f>IFERROR($G1112/SUMIF($A:$A,$A1112,$G:$G)*SUMIF(Summary!$A$166:$A$242,$A1112,Summary!$P$166:$P$242),0)</f>
        <v>19955.111128621455</v>
      </c>
      <c r="AE1112" s="197">
        <f t="shared" ca="1" si="248"/>
        <v>105509.20496379455</v>
      </c>
      <c r="AF1112" s="196">
        <f>IFERROR(G1112/SUMIF(A:A,A1112,G:G)*SUMIF(Summary!$A$166:$A$242,'Operations Support'!A1112,Summary!$Q$166:$Q$242),0)</f>
        <v>19993.453668344453</v>
      </c>
      <c r="AG1112" s="196">
        <f t="shared" ca="1" si="249"/>
        <v>105470.86242407156</v>
      </c>
      <c r="AI1112" s="196">
        <f>IFERROR($G1112/SUMIF($A:$A,$A1112,$G:$G)*SUMIF(Summary!$A$247:$A$283,$A1112,Summary!$P$247:$P$283),0)</f>
        <v>3639.3142956132433</v>
      </c>
      <c r="AJ1112" s="196">
        <f>IFERROR($G1112/SUMIF($A:$A,$A1112,$G:$G)*(SUMIF(Summary!$A$247:$A$283,$A1112,Summary!$L$247:$L$283)+SUMIF(Summary!$A$297:$A$333,$A1112,Summary!$L$297:$L$333))-AI1112,0)</f>
        <v>51950.157263323519</v>
      </c>
      <c r="AK1112" s="196">
        <f>IFERROR($G1112/SUMIF($A:$A,$A1112,$G:$G)*SUMIF(Summary!$A$247:$A$283,$A1112,Summary!$Q$247:$Q$283),0)</f>
        <v>3646.3070180313052</v>
      </c>
      <c r="AL1112" s="196">
        <f>IFERROR($G1112/SUMIF($A:$A,$A1112,$G:$G)*(SUMIF(Summary!$A$247:$A$283,$A1112,Summary!$L$247:$L$283)+SUMIF(Summary!$A$297:$A$333,$A1112,Summary!$L$297:$L$333))-AK1112,0)</f>
        <v>51943.164540905454</v>
      </c>
      <c r="AM1112" s="198"/>
      <c r="AN1112" s="196">
        <f t="shared" ca="1" si="250"/>
        <v>157459.36222711805</v>
      </c>
      <c r="AO1112" s="196">
        <f t="shared" ca="1" si="251"/>
        <v>157414.02696497701</v>
      </c>
    </row>
    <row r="1113" spans="1:41" s="201" customFormat="1">
      <c r="A1113" s="189">
        <v>3625</v>
      </c>
      <c r="B1113" s="203">
        <v>3</v>
      </c>
      <c r="C1113" s="191" t="s">
        <v>236</v>
      </c>
      <c r="D1113" s="192">
        <f t="shared" si="238"/>
        <v>0</v>
      </c>
      <c r="E1113" s="192">
        <f t="shared" si="239"/>
        <v>0</v>
      </c>
      <c r="F1113" s="192">
        <f t="shared" si="240"/>
        <v>0</v>
      </c>
      <c r="G1113" s="193">
        <f t="shared" si="241"/>
        <v>0</v>
      </c>
      <c r="H1113" s="194">
        <v>0</v>
      </c>
      <c r="I1113" s="194">
        <v>0</v>
      </c>
      <c r="J1113" s="194">
        <v>0</v>
      </c>
      <c r="K1113" s="193">
        <f t="shared" si="242"/>
        <v>0</v>
      </c>
      <c r="L1113" s="194">
        <v>0</v>
      </c>
      <c r="M1113" s="194">
        <v>0</v>
      </c>
      <c r="N1113" s="194">
        <v>0</v>
      </c>
      <c r="O1113" s="193">
        <f t="shared" si="243"/>
        <v>0</v>
      </c>
      <c r="P1113" s="194">
        <v>0</v>
      </c>
      <c r="Q1113" s="194">
        <v>0</v>
      </c>
      <c r="R1113" s="194">
        <v>0</v>
      </c>
      <c r="S1113" s="193">
        <f t="shared" si="244"/>
        <v>0</v>
      </c>
      <c r="T1113" s="193">
        <f t="shared" si="245"/>
        <v>0</v>
      </c>
      <c r="U1113" s="193">
        <f ca="1">OFFSET('Expenditure Study'!$B$7,'Operations Support'!$C1113,'Operations Support'!$B1113)*$G1113</f>
        <v>0</v>
      </c>
      <c r="V1113" s="199">
        <f ca="1">U1113*'Expenditure Study'!$B$31</f>
        <v>0</v>
      </c>
      <c r="W1113" s="199">
        <f ca="1">IF(A1113=10298,1.51,1)*IF($B1113&lt;3,$D1113*'Expenditure Study'!$B$32*OFFSET('Expenditure Study'!$B$7,'Operations Support'!$C1113,'Operations Support'!$B1113),0)</f>
        <v>0</v>
      </c>
      <c r="X1113" s="200">
        <f ca="1">W1113*'Expenditure Study'!$B$31</f>
        <v>0</v>
      </c>
      <c r="Y1113" s="199">
        <f ca="1">U1113*'Expenditure Study'!$B$31</f>
        <v>0</v>
      </c>
      <c r="Z1113" s="200">
        <f ca="1">W1113*'Expenditure Study'!$B$31</f>
        <v>0</v>
      </c>
      <c r="AA1113" s="195">
        <f t="shared" ca="1" si="246"/>
        <v>0</v>
      </c>
      <c r="AB1113" s="195">
        <f t="shared" ca="1" si="247"/>
        <v>0</v>
      </c>
      <c r="AD1113" s="196">
        <f>IFERROR($G1113/SUMIF($A:$A,$A1113,$G:$G)*SUMIF(Summary!$A$166:$A$242,$A1113,Summary!$P$166:$P$242),0)</f>
        <v>0</v>
      </c>
      <c r="AE1113" s="197">
        <f t="shared" ca="1" si="248"/>
        <v>0</v>
      </c>
      <c r="AF1113" s="196">
        <f>IFERROR(G1113/SUMIF(A:A,A1113,G:G)*SUMIF(Summary!$A$166:$A$242,'Operations Support'!A1113,Summary!$Q$166:$Q$242),0)</f>
        <v>0</v>
      </c>
      <c r="AG1113" s="196">
        <f t="shared" ca="1" si="249"/>
        <v>0</v>
      </c>
      <c r="AH1113" s="180"/>
      <c r="AI1113" s="196">
        <f>IFERROR($G1113/SUMIF($A:$A,$A1113,$G:$G)*SUMIF(Summary!$A$247:$A$283,$A1113,Summary!$P$247:$P$283),0)</f>
        <v>0</v>
      </c>
      <c r="AJ1113" s="196">
        <f>IFERROR($G1113/SUMIF($A:$A,$A1113,$G:$G)*(SUMIF(Summary!$A$247:$A$283,$A1113,Summary!$L$247:$L$283)+SUMIF(Summary!$A$297:$A$333,$A1113,Summary!$L$297:$L$333))-AI1113,0)</f>
        <v>0</v>
      </c>
      <c r="AK1113" s="196">
        <f>IFERROR($G1113/SUMIF($A:$A,$A1113,$G:$G)*SUMIF(Summary!$A$247:$A$283,$A1113,Summary!$Q$247:$Q$283),0)</f>
        <v>0</v>
      </c>
      <c r="AL1113" s="196">
        <f>IFERROR($G1113/SUMIF($A:$A,$A1113,$G:$G)*(SUMIF(Summary!$A$247:$A$283,$A1113,Summary!$L$247:$L$283)+SUMIF(Summary!$A$297:$A$333,$A1113,Summary!$L$297:$L$333))-AK1113,0)</f>
        <v>0</v>
      </c>
      <c r="AM1113" s="198"/>
      <c r="AN1113" s="196">
        <f t="shared" ca="1" si="250"/>
        <v>0</v>
      </c>
      <c r="AO1113" s="196">
        <f t="shared" ca="1" si="251"/>
        <v>0</v>
      </c>
    </row>
    <row r="1114" spans="1:41" s="201" customFormat="1">
      <c r="A1114" s="189">
        <v>3625</v>
      </c>
      <c r="B1114" s="203">
        <v>3</v>
      </c>
      <c r="C1114" s="191" t="s">
        <v>237</v>
      </c>
      <c r="D1114" s="192">
        <f t="shared" si="238"/>
        <v>0</v>
      </c>
      <c r="E1114" s="192">
        <f t="shared" si="239"/>
        <v>0</v>
      </c>
      <c r="F1114" s="192">
        <f t="shared" si="240"/>
        <v>0</v>
      </c>
      <c r="G1114" s="193">
        <f t="shared" si="241"/>
        <v>0</v>
      </c>
      <c r="H1114" s="194">
        <v>0</v>
      </c>
      <c r="I1114" s="194">
        <v>0</v>
      </c>
      <c r="J1114" s="194">
        <v>0</v>
      </c>
      <c r="K1114" s="193">
        <f t="shared" si="242"/>
        <v>0</v>
      </c>
      <c r="L1114" s="194">
        <v>0</v>
      </c>
      <c r="M1114" s="194">
        <v>0</v>
      </c>
      <c r="N1114" s="194">
        <v>0</v>
      </c>
      <c r="O1114" s="193">
        <f t="shared" si="243"/>
        <v>0</v>
      </c>
      <c r="P1114" s="194">
        <v>0</v>
      </c>
      <c r="Q1114" s="194">
        <v>0</v>
      </c>
      <c r="R1114" s="194">
        <v>0</v>
      </c>
      <c r="S1114" s="193">
        <f t="shared" si="244"/>
        <v>0</v>
      </c>
      <c r="T1114" s="193">
        <f t="shared" si="245"/>
        <v>0</v>
      </c>
      <c r="U1114" s="193">
        <f ca="1">OFFSET('Expenditure Study'!$B$7,'Operations Support'!$C1114,'Operations Support'!$B1114)*$G1114</f>
        <v>0</v>
      </c>
      <c r="V1114" s="199">
        <f ca="1">U1114*'Expenditure Study'!$B$31</f>
        <v>0</v>
      </c>
      <c r="W1114" s="199">
        <f ca="1">IF(A1114=10298,1.51,1)*IF($B1114&lt;3,$D1114*'Expenditure Study'!$B$32*OFFSET('Expenditure Study'!$B$7,'Operations Support'!$C1114,'Operations Support'!$B1114),0)</f>
        <v>0</v>
      </c>
      <c r="X1114" s="200">
        <f ca="1">W1114*'Expenditure Study'!$B$31</f>
        <v>0</v>
      </c>
      <c r="Y1114" s="199">
        <f ca="1">U1114*'Expenditure Study'!$B$31</f>
        <v>0</v>
      </c>
      <c r="Z1114" s="200">
        <f ca="1">W1114*'Expenditure Study'!$B$31</f>
        <v>0</v>
      </c>
      <c r="AA1114" s="195">
        <f t="shared" ca="1" si="246"/>
        <v>0</v>
      </c>
      <c r="AB1114" s="195">
        <f t="shared" ca="1" si="247"/>
        <v>0</v>
      </c>
      <c r="AD1114" s="196">
        <f>IFERROR($G1114/SUMIF($A:$A,$A1114,$G:$G)*SUMIF(Summary!$A$166:$A$242,$A1114,Summary!$P$166:$P$242),0)</f>
        <v>0</v>
      </c>
      <c r="AE1114" s="197">
        <f t="shared" ca="1" si="248"/>
        <v>0</v>
      </c>
      <c r="AF1114" s="196">
        <f>IFERROR(G1114/SUMIF(A:A,A1114,G:G)*SUMIF(Summary!$A$166:$A$242,'Operations Support'!A1114,Summary!$Q$166:$Q$242),0)</f>
        <v>0</v>
      </c>
      <c r="AG1114" s="196">
        <f t="shared" ca="1" si="249"/>
        <v>0</v>
      </c>
      <c r="AH1114" s="180"/>
      <c r="AI1114" s="196">
        <f>IFERROR($G1114/SUMIF($A:$A,$A1114,$G:$G)*SUMIF(Summary!$A$247:$A$283,$A1114,Summary!$P$247:$P$283),0)</f>
        <v>0</v>
      </c>
      <c r="AJ1114" s="196">
        <f>IFERROR($G1114/SUMIF($A:$A,$A1114,$G:$G)*(SUMIF(Summary!$A$247:$A$283,$A1114,Summary!$L$247:$L$283)+SUMIF(Summary!$A$297:$A$333,$A1114,Summary!$L$297:$L$333))-AI1114,0)</f>
        <v>0</v>
      </c>
      <c r="AK1114" s="196">
        <f>IFERROR($G1114/SUMIF($A:$A,$A1114,$G:$G)*SUMIF(Summary!$A$247:$A$283,$A1114,Summary!$Q$247:$Q$283),0)</f>
        <v>0</v>
      </c>
      <c r="AL1114" s="196">
        <f>IFERROR($G1114/SUMIF($A:$A,$A1114,$G:$G)*(SUMIF(Summary!$A$247:$A$283,$A1114,Summary!$L$247:$L$283)+SUMIF(Summary!$A$297:$A$333,$A1114,Summary!$L$297:$L$333))-AK1114,0)</f>
        <v>0</v>
      </c>
      <c r="AM1114" s="198"/>
      <c r="AN1114" s="196">
        <f t="shared" ca="1" si="250"/>
        <v>0</v>
      </c>
      <c r="AO1114" s="196">
        <f t="shared" ca="1" si="251"/>
        <v>0</v>
      </c>
    </row>
    <row r="1115" spans="1:41">
      <c r="A1115" s="189">
        <v>3625</v>
      </c>
      <c r="B1115" s="203">
        <v>3</v>
      </c>
      <c r="C1115" s="191" t="s">
        <v>238</v>
      </c>
      <c r="D1115" s="192">
        <f t="shared" si="238"/>
        <v>54</v>
      </c>
      <c r="E1115" s="192">
        <f t="shared" si="239"/>
        <v>51</v>
      </c>
      <c r="F1115" s="192">
        <f t="shared" si="240"/>
        <v>0</v>
      </c>
      <c r="G1115" s="193">
        <f t="shared" si="241"/>
        <v>105</v>
      </c>
      <c r="H1115" s="194">
        <v>18</v>
      </c>
      <c r="I1115" s="194">
        <v>51</v>
      </c>
      <c r="J1115" s="194">
        <v>0</v>
      </c>
      <c r="K1115" s="193">
        <f t="shared" si="242"/>
        <v>69</v>
      </c>
      <c r="L1115" s="194">
        <v>21</v>
      </c>
      <c r="M1115" s="194">
        <v>0</v>
      </c>
      <c r="N1115" s="194">
        <v>0</v>
      </c>
      <c r="O1115" s="193">
        <f t="shared" si="243"/>
        <v>21</v>
      </c>
      <c r="P1115" s="194">
        <v>15</v>
      </c>
      <c r="Q1115" s="194">
        <v>0</v>
      </c>
      <c r="R1115" s="194">
        <v>0</v>
      </c>
      <c r="S1115" s="193">
        <f t="shared" si="244"/>
        <v>15</v>
      </c>
      <c r="T1115" s="193">
        <f t="shared" si="245"/>
        <v>4.375</v>
      </c>
      <c r="U1115" s="193">
        <f ca="1">OFFSET('Expenditure Study'!$B$7,'Operations Support'!$C1115,'Operations Support'!$B1115)*$G1115</f>
        <v>613.19999999999993</v>
      </c>
      <c r="V1115" s="199">
        <f ca="1">U1115*'Expenditure Study'!$B$31</f>
        <v>36229.806466559996</v>
      </c>
      <c r="W1115" s="199">
        <f ca="1">IF(A1115=10298,1.51,1)*IF($B1115&lt;3,$D1115*'Expenditure Study'!$B$32*OFFSET('Expenditure Study'!$B$7,'Operations Support'!$C1115,'Operations Support'!$B1115),0)</f>
        <v>0</v>
      </c>
      <c r="X1115" s="200">
        <f ca="1">W1115*'Expenditure Study'!$B$31</f>
        <v>0</v>
      </c>
      <c r="Y1115" s="199">
        <f ca="1">U1115*'Expenditure Study'!$B$31</f>
        <v>36229.806466559996</v>
      </c>
      <c r="Z1115" s="200">
        <f ca="1">W1115*'Expenditure Study'!$B$31</f>
        <v>0</v>
      </c>
      <c r="AA1115" s="195">
        <f t="shared" ca="1" si="246"/>
        <v>36229.806466559996</v>
      </c>
      <c r="AB1115" s="195">
        <f t="shared" ca="1" si="247"/>
        <v>36229.806466559996</v>
      </c>
      <c r="AD1115" s="196">
        <f>IFERROR($G1115/SUMIF($A:$A,$A1115,$G:$G)*SUMIF(Summary!$A$166:$A$242,$A1115,Summary!$P$166:$P$242),0)</f>
        <v>3117.9861138471024</v>
      </c>
      <c r="AE1115" s="197">
        <f t="shared" ca="1" si="248"/>
        <v>33111.820352712894</v>
      </c>
      <c r="AF1115" s="196">
        <f>IFERROR(G1115/SUMIF(A:A,A1115,G:G)*SUMIF(Summary!$A$166:$A$242,'Operations Support'!A1115,Summary!$Q$166:$Q$242),0)</f>
        <v>3123.977135678821</v>
      </c>
      <c r="AG1115" s="196">
        <f t="shared" ca="1" si="249"/>
        <v>33105.829330881177</v>
      </c>
      <c r="AI1115" s="196">
        <f>IFERROR($G1115/SUMIF($A:$A,$A1115,$G:$G)*SUMIF(Summary!$A$247:$A$283,$A1115,Summary!$P$247:$P$283),0)</f>
        <v>568.64285868956927</v>
      </c>
      <c r="AJ1115" s="196">
        <f>IFERROR($G1115/SUMIF($A:$A,$A1115,$G:$G)*(SUMIF(Summary!$A$247:$A$283,$A1115,Summary!$L$247:$L$283)+SUMIF(Summary!$A$297:$A$333,$A1115,Summary!$L$297:$L$333))-AI1115,0)</f>
        <v>8117.2120723943008</v>
      </c>
      <c r="AK1115" s="196">
        <f>IFERROR($G1115/SUMIF($A:$A,$A1115,$G:$G)*SUMIF(Summary!$A$247:$A$283,$A1115,Summary!$Q$247:$Q$283),0)</f>
        <v>569.73547156739141</v>
      </c>
      <c r="AL1115" s="196">
        <f>IFERROR($G1115/SUMIF($A:$A,$A1115,$G:$G)*(SUMIF(Summary!$A$247:$A$283,$A1115,Summary!$L$247:$L$283)+SUMIF(Summary!$A$297:$A$333,$A1115,Summary!$L$297:$L$333))-AK1115,0)</f>
        <v>8116.1194595164779</v>
      </c>
      <c r="AM1115" s="198"/>
      <c r="AN1115" s="196">
        <f t="shared" ca="1" si="250"/>
        <v>41229.032425107194</v>
      </c>
      <c r="AO1115" s="196">
        <f t="shared" ca="1" si="251"/>
        <v>41221.948790397655</v>
      </c>
    </row>
    <row r="1116" spans="1:41">
      <c r="A1116" s="189">
        <v>3625</v>
      </c>
      <c r="B1116" s="203">
        <v>3</v>
      </c>
      <c r="C1116" s="191" t="s">
        <v>239</v>
      </c>
      <c r="D1116" s="192">
        <f t="shared" si="238"/>
        <v>0</v>
      </c>
      <c r="E1116" s="192">
        <f t="shared" si="239"/>
        <v>0</v>
      </c>
      <c r="F1116" s="192">
        <f t="shared" si="240"/>
        <v>0</v>
      </c>
      <c r="G1116" s="193">
        <f t="shared" si="241"/>
        <v>0</v>
      </c>
      <c r="H1116" s="194">
        <v>0</v>
      </c>
      <c r="I1116" s="194">
        <v>0</v>
      </c>
      <c r="J1116" s="194">
        <v>0</v>
      </c>
      <c r="K1116" s="193">
        <f t="shared" si="242"/>
        <v>0</v>
      </c>
      <c r="L1116" s="194">
        <v>0</v>
      </c>
      <c r="M1116" s="194">
        <v>0</v>
      </c>
      <c r="N1116" s="194">
        <v>0</v>
      </c>
      <c r="O1116" s="193">
        <f t="shared" si="243"/>
        <v>0</v>
      </c>
      <c r="P1116" s="194">
        <v>0</v>
      </c>
      <c r="Q1116" s="194">
        <v>0</v>
      </c>
      <c r="R1116" s="194">
        <v>0</v>
      </c>
      <c r="S1116" s="193">
        <f t="shared" si="244"/>
        <v>0</v>
      </c>
      <c r="T1116" s="193">
        <f t="shared" si="245"/>
        <v>0</v>
      </c>
      <c r="U1116" s="193">
        <f ca="1">OFFSET('Expenditure Study'!$B$7,'Operations Support'!$C1116,'Operations Support'!$B1116)*$G1116</f>
        <v>0</v>
      </c>
      <c r="V1116" s="199">
        <f ca="1">U1116*'Expenditure Study'!$B$31</f>
        <v>0</v>
      </c>
      <c r="W1116" s="199">
        <f ca="1">IF(A1116=10298,1.51,1)*IF($B1116&lt;3,$D1116*'Expenditure Study'!$B$32*OFFSET('Expenditure Study'!$B$7,'Operations Support'!$C1116,'Operations Support'!$B1116),0)</f>
        <v>0</v>
      </c>
      <c r="X1116" s="200">
        <f ca="1">W1116*'Expenditure Study'!$B$31</f>
        <v>0</v>
      </c>
      <c r="Y1116" s="199">
        <f ca="1">U1116*'Expenditure Study'!$B$31</f>
        <v>0</v>
      </c>
      <c r="Z1116" s="200">
        <f ca="1">W1116*'Expenditure Study'!$B$31</f>
        <v>0</v>
      </c>
      <c r="AA1116" s="195">
        <f t="shared" ca="1" si="246"/>
        <v>0</v>
      </c>
      <c r="AB1116" s="195">
        <f t="shared" ca="1" si="247"/>
        <v>0</v>
      </c>
      <c r="AD1116" s="196">
        <f>IFERROR($G1116/SUMIF($A:$A,$A1116,$G:$G)*SUMIF(Summary!$A$166:$A$242,$A1116,Summary!$P$166:$P$242),0)</f>
        <v>0</v>
      </c>
      <c r="AE1116" s="197">
        <f t="shared" ca="1" si="248"/>
        <v>0</v>
      </c>
      <c r="AF1116" s="196">
        <f>IFERROR(G1116/SUMIF(A:A,A1116,G:G)*SUMIF(Summary!$A$166:$A$242,'Operations Support'!A1116,Summary!$Q$166:$Q$242),0)</f>
        <v>0</v>
      </c>
      <c r="AG1116" s="196">
        <f t="shared" ca="1" si="249"/>
        <v>0</v>
      </c>
      <c r="AI1116" s="196">
        <f>IFERROR($G1116/SUMIF($A:$A,$A1116,$G:$G)*SUMIF(Summary!$A$247:$A$283,$A1116,Summary!$P$247:$P$283),0)</f>
        <v>0</v>
      </c>
      <c r="AJ1116" s="196">
        <f>IFERROR($G1116/SUMIF($A:$A,$A1116,$G:$G)*(SUMIF(Summary!$A$247:$A$283,$A1116,Summary!$L$247:$L$283)+SUMIF(Summary!$A$297:$A$333,$A1116,Summary!$L$297:$L$333))-AI1116,0)</f>
        <v>0</v>
      </c>
      <c r="AK1116" s="196">
        <f>IFERROR($G1116/SUMIF($A:$A,$A1116,$G:$G)*SUMIF(Summary!$A$247:$A$283,$A1116,Summary!$Q$247:$Q$283),0)</f>
        <v>0</v>
      </c>
      <c r="AL1116" s="196">
        <f>IFERROR($G1116/SUMIF($A:$A,$A1116,$G:$G)*(SUMIF(Summary!$A$247:$A$283,$A1116,Summary!$L$247:$L$283)+SUMIF(Summary!$A$297:$A$333,$A1116,Summary!$L$297:$L$333))-AK1116,0)</f>
        <v>0</v>
      </c>
      <c r="AM1116" s="198"/>
      <c r="AN1116" s="196">
        <f t="shared" ca="1" si="250"/>
        <v>0</v>
      </c>
      <c r="AO1116" s="196">
        <f t="shared" ca="1" si="251"/>
        <v>0</v>
      </c>
    </row>
    <row r="1117" spans="1:41">
      <c r="A1117" s="189">
        <v>3625</v>
      </c>
      <c r="B1117" s="203">
        <v>3</v>
      </c>
      <c r="C1117" s="191" t="s">
        <v>240</v>
      </c>
      <c r="D1117" s="192">
        <f t="shared" si="238"/>
        <v>0</v>
      </c>
      <c r="E1117" s="192">
        <f t="shared" si="239"/>
        <v>0</v>
      </c>
      <c r="F1117" s="192">
        <f t="shared" si="240"/>
        <v>0</v>
      </c>
      <c r="G1117" s="193">
        <f t="shared" si="241"/>
        <v>0</v>
      </c>
      <c r="H1117" s="194">
        <v>0</v>
      </c>
      <c r="I1117" s="194">
        <v>0</v>
      </c>
      <c r="J1117" s="194">
        <v>0</v>
      </c>
      <c r="K1117" s="193">
        <f t="shared" si="242"/>
        <v>0</v>
      </c>
      <c r="L1117" s="194">
        <v>0</v>
      </c>
      <c r="M1117" s="194">
        <v>0</v>
      </c>
      <c r="N1117" s="194">
        <v>0</v>
      </c>
      <c r="O1117" s="193">
        <f t="shared" si="243"/>
        <v>0</v>
      </c>
      <c r="P1117" s="194">
        <v>0</v>
      </c>
      <c r="Q1117" s="194">
        <v>0</v>
      </c>
      <c r="R1117" s="194">
        <v>0</v>
      </c>
      <c r="S1117" s="193">
        <f t="shared" si="244"/>
        <v>0</v>
      </c>
      <c r="T1117" s="193">
        <f t="shared" si="245"/>
        <v>0</v>
      </c>
      <c r="U1117" s="193">
        <f ca="1">OFFSET('Expenditure Study'!$B$7,'Operations Support'!$C1117,'Operations Support'!$B1117)*$G1117</f>
        <v>0</v>
      </c>
      <c r="V1117" s="199">
        <f ca="1">U1117*'Expenditure Study'!$B$31</f>
        <v>0</v>
      </c>
      <c r="W1117" s="199">
        <f ca="1">IF(A1117=10298,1.51,1)*IF($B1117&lt;3,$D1117*'Expenditure Study'!$B$32*OFFSET('Expenditure Study'!$B$7,'Operations Support'!$C1117,'Operations Support'!$B1117),0)</f>
        <v>0</v>
      </c>
      <c r="X1117" s="200">
        <f ca="1">W1117*'Expenditure Study'!$B$31</f>
        <v>0</v>
      </c>
      <c r="Y1117" s="199">
        <f ca="1">U1117*'Expenditure Study'!$B$31</f>
        <v>0</v>
      </c>
      <c r="Z1117" s="200">
        <f ca="1">W1117*'Expenditure Study'!$B$31</f>
        <v>0</v>
      </c>
      <c r="AA1117" s="195">
        <f t="shared" ca="1" si="246"/>
        <v>0</v>
      </c>
      <c r="AB1117" s="195">
        <f t="shared" ca="1" si="247"/>
        <v>0</v>
      </c>
      <c r="AD1117" s="196">
        <f>IFERROR($G1117/SUMIF($A:$A,$A1117,$G:$G)*SUMIF(Summary!$A$166:$A$242,$A1117,Summary!$P$166:$P$242),0)</f>
        <v>0</v>
      </c>
      <c r="AE1117" s="197">
        <f t="shared" ca="1" si="248"/>
        <v>0</v>
      </c>
      <c r="AF1117" s="196">
        <f>IFERROR(G1117/SUMIF(A:A,A1117,G:G)*SUMIF(Summary!$A$166:$A$242,'Operations Support'!A1117,Summary!$Q$166:$Q$242),0)</f>
        <v>0</v>
      </c>
      <c r="AG1117" s="196">
        <f t="shared" ca="1" si="249"/>
        <v>0</v>
      </c>
      <c r="AI1117" s="196">
        <f>IFERROR($G1117/SUMIF($A:$A,$A1117,$G:$G)*SUMIF(Summary!$A$247:$A$283,$A1117,Summary!$P$247:$P$283),0)</f>
        <v>0</v>
      </c>
      <c r="AJ1117" s="196">
        <f>IFERROR($G1117/SUMIF($A:$A,$A1117,$G:$G)*(SUMIF(Summary!$A$247:$A$283,$A1117,Summary!$L$247:$L$283)+SUMIF(Summary!$A$297:$A$333,$A1117,Summary!$L$297:$L$333))-AI1117,0)</f>
        <v>0</v>
      </c>
      <c r="AK1117" s="196">
        <f>IFERROR($G1117/SUMIF($A:$A,$A1117,$G:$G)*SUMIF(Summary!$A$247:$A$283,$A1117,Summary!$Q$247:$Q$283),0)</f>
        <v>0</v>
      </c>
      <c r="AL1117" s="196">
        <f>IFERROR($G1117/SUMIF($A:$A,$A1117,$G:$G)*(SUMIF(Summary!$A$247:$A$283,$A1117,Summary!$L$247:$L$283)+SUMIF(Summary!$A$297:$A$333,$A1117,Summary!$L$297:$L$333))-AK1117,0)</f>
        <v>0</v>
      </c>
      <c r="AM1117" s="198"/>
      <c r="AN1117" s="196">
        <f t="shared" ca="1" si="250"/>
        <v>0</v>
      </c>
      <c r="AO1117" s="196">
        <f t="shared" ca="1" si="251"/>
        <v>0</v>
      </c>
    </row>
    <row r="1118" spans="1:41">
      <c r="A1118" s="189">
        <v>3625</v>
      </c>
      <c r="B1118" s="203">
        <v>4</v>
      </c>
      <c r="C1118" s="191" t="s">
        <v>220</v>
      </c>
      <c r="D1118" s="192">
        <f t="shared" si="238"/>
        <v>0</v>
      </c>
      <c r="E1118" s="192">
        <f t="shared" si="239"/>
        <v>0</v>
      </c>
      <c r="F1118" s="192">
        <f t="shared" si="240"/>
        <v>0</v>
      </c>
      <c r="G1118" s="193">
        <f t="shared" si="241"/>
        <v>0</v>
      </c>
      <c r="H1118" s="194">
        <v>0</v>
      </c>
      <c r="I1118" s="194">
        <v>0</v>
      </c>
      <c r="J1118" s="194">
        <v>0</v>
      </c>
      <c r="K1118" s="193">
        <f t="shared" si="242"/>
        <v>0</v>
      </c>
      <c r="L1118" s="194">
        <v>0</v>
      </c>
      <c r="M1118" s="194">
        <v>0</v>
      </c>
      <c r="N1118" s="194">
        <v>0</v>
      </c>
      <c r="O1118" s="193">
        <f t="shared" si="243"/>
        <v>0</v>
      </c>
      <c r="P1118" s="194">
        <v>0</v>
      </c>
      <c r="Q1118" s="194">
        <v>0</v>
      </c>
      <c r="R1118" s="194">
        <v>0</v>
      </c>
      <c r="S1118" s="193">
        <f t="shared" si="244"/>
        <v>0</v>
      </c>
      <c r="T1118" s="193">
        <f t="shared" si="245"/>
        <v>0</v>
      </c>
      <c r="U1118" s="193">
        <f ca="1">OFFSET('Expenditure Study'!$B$7,'Operations Support'!$C1118,'Operations Support'!$B1118)*$G1118</f>
        <v>0</v>
      </c>
      <c r="V1118" s="199">
        <f ca="1">U1118*'Expenditure Study'!$B$31</f>
        <v>0</v>
      </c>
      <c r="W1118" s="199">
        <f ca="1">IF(A1118=10298,1.51,1)*IF($B1118&lt;3,$D1118*'Expenditure Study'!$B$32*OFFSET('Expenditure Study'!$B$7,'Operations Support'!$C1118,'Operations Support'!$B1118),0)</f>
        <v>0</v>
      </c>
      <c r="X1118" s="200">
        <f ca="1">W1118*'Expenditure Study'!$B$31</f>
        <v>0</v>
      </c>
      <c r="Y1118" s="199">
        <f ca="1">U1118*'Expenditure Study'!$B$31</f>
        <v>0</v>
      </c>
      <c r="Z1118" s="200">
        <f ca="1">W1118*'Expenditure Study'!$B$31</f>
        <v>0</v>
      </c>
      <c r="AA1118" s="195">
        <f t="shared" ca="1" si="246"/>
        <v>0</v>
      </c>
      <c r="AB1118" s="195">
        <f t="shared" ca="1" si="247"/>
        <v>0</v>
      </c>
      <c r="AD1118" s="196">
        <f>IFERROR($G1118/SUMIF($A:$A,$A1118,$G:$G)*SUMIF(Summary!$A$166:$A$242,$A1118,Summary!$P$166:$P$242),0)</f>
        <v>0</v>
      </c>
      <c r="AE1118" s="197">
        <f t="shared" ca="1" si="248"/>
        <v>0</v>
      </c>
      <c r="AF1118" s="196">
        <f>IFERROR(G1118/SUMIF(A:A,A1118,G:G)*SUMIF(Summary!$A$166:$A$242,'Operations Support'!A1118,Summary!$Q$166:$Q$242),0)</f>
        <v>0</v>
      </c>
      <c r="AG1118" s="196">
        <f t="shared" ca="1" si="249"/>
        <v>0</v>
      </c>
      <c r="AI1118" s="196">
        <f>IFERROR($G1118/SUMIF($A:$A,$A1118,$G:$G)*SUMIF(Summary!$A$247:$A$283,$A1118,Summary!$P$247:$P$283),0)</f>
        <v>0</v>
      </c>
      <c r="AJ1118" s="196">
        <f>IFERROR($G1118/SUMIF($A:$A,$A1118,$G:$G)*(SUMIF(Summary!$A$247:$A$283,$A1118,Summary!$L$247:$L$283)+SUMIF(Summary!$A$297:$A$333,$A1118,Summary!$L$297:$L$333))-AI1118,0)</f>
        <v>0</v>
      </c>
      <c r="AK1118" s="196">
        <f>IFERROR($G1118/SUMIF($A:$A,$A1118,$G:$G)*SUMIF(Summary!$A$247:$A$283,$A1118,Summary!$Q$247:$Q$283),0)</f>
        <v>0</v>
      </c>
      <c r="AL1118" s="196">
        <f>IFERROR($G1118/SUMIF($A:$A,$A1118,$G:$G)*(SUMIF(Summary!$A$247:$A$283,$A1118,Summary!$L$247:$L$283)+SUMIF(Summary!$A$297:$A$333,$A1118,Summary!$L$297:$L$333))-AK1118,0)</f>
        <v>0</v>
      </c>
      <c r="AM1118" s="198"/>
      <c r="AN1118" s="196">
        <f t="shared" ca="1" si="250"/>
        <v>0</v>
      </c>
      <c r="AO1118" s="196">
        <f t="shared" ca="1" si="251"/>
        <v>0</v>
      </c>
    </row>
    <row r="1119" spans="1:41">
      <c r="A1119" s="189">
        <v>3625</v>
      </c>
      <c r="B1119" s="203">
        <v>4</v>
      </c>
      <c r="C1119" s="191" t="s">
        <v>221</v>
      </c>
      <c r="D1119" s="192">
        <f t="shared" si="238"/>
        <v>0</v>
      </c>
      <c r="E1119" s="192">
        <f t="shared" si="239"/>
        <v>0</v>
      </c>
      <c r="F1119" s="192">
        <f t="shared" si="240"/>
        <v>0</v>
      </c>
      <c r="G1119" s="193">
        <f t="shared" si="241"/>
        <v>0</v>
      </c>
      <c r="H1119" s="194">
        <v>0</v>
      </c>
      <c r="I1119" s="194">
        <v>0</v>
      </c>
      <c r="J1119" s="194">
        <v>0</v>
      </c>
      <c r="K1119" s="193">
        <f t="shared" si="242"/>
        <v>0</v>
      </c>
      <c r="L1119" s="194">
        <v>0</v>
      </c>
      <c r="M1119" s="194">
        <v>0</v>
      </c>
      <c r="N1119" s="194">
        <v>0</v>
      </c>
      <c r="O1119" s="193">
        <f t="shared" si="243"/>
        <v>0</v>
      </c>
      <c r="P1119" s="194">
        <v>0</v>
      </c>
      <c r="Q1119" s="194">
        <v>0</v>
      </c>
      <c r="R1119" s="194">
        <v>0</v>
      </c>
      <c r="S1119" s="193">
        <f t="shared" si="244"/>
        <v>0</v>
      </c>
      <c r="T1119" s="193">
        <f t="shared" si="245"/>
        <v>0</v>
      </c>
      <c r="U1119" s="193">
        <f ca="1">OFFSET('Expenditure Study'!$B$7,'Operations Support'!$C1119,'Operations Support'!$B1119)*$G1119</f>
        <v>0</v>
      </c>
      <c r="V1119" s="199">
        <f ca="1">U1119*'Expenditure Study'!$B$31</f>
        <v>0</v>
      </c>
      <c r="W1119" s="199">
        <f ca="1">IF(A1119=10298,1.51,1)*IF($B1119&lt;3,$D1119*'Expenditure Study'!$B$32*OFFSET('Expenditure Study'!$B$7,'Operations Support'!$C1119,'Operations Support'!$B1119),0)</f>
        <v>0</v>
      </c>
      <c r="X1119" s="200">
        <f ca="1">W1119*'Expenditure Study'!$B$31</f>
        <v>0</v>
      </c>
      <c r="Y1119" s="199">
        <f ca="1">U1119*'Expenditure Study'!$B$31</f>
        <v>0</v>
      </c>
      <c r="Z1119" s="200">
        <f ca="1">W1119*'Expenditure Study'!$B$31</f>
        <v>0</v>
      </c>
      <c r="AA1119" s="195">
        <f t="shared" ca="1" si="246"/>
        <v>0</v>
      </c>
      <c r="AB1119" s="195">
        <f t="shared" ca="1" si="247"/>
        <v>0</v>
      </c>
      <c r="AD1119" s="196">
        <f>IFERROR($G1119/SUMIF($A:$A,$A1119,$G:$G)*SUMIF(Summary!$A$166:$A$242,$A1119,Summary!$P$166:$P$242),0)</f>
        <v>0</v>
      </c>
      <c r="AE1119" s="197">
        <f t="shared" ca="1" si="248"/>
        <v>0</v>
      </c>
      <c r="AF1119" s="196">
        <f>IFERROR(G1119/SUMIF(A:A,A1119,G:G)*SUMIF(Summary!$A$166:$A$242,'Operations Support'!A1119,Summary!$Q$166:$Q$242),0)</f>
        <v>0</v>
      </c>
      <c r="AG1119" s="196">
        <f t="shared" ca="1" si="249"/>
        <v>0</v>
      </c>
      <c r="AI1119" s="196">
        <f>IFERROR($G1119/SUMIF($A:$A,$A1119,$G:$G)*SUMIF(Summary!$A$247:$A$283,$A1119,Summary!$P$247:$P$283),0)</f>
        <v>0</v>
      </c>
      <c r="AJ1119" s="196">
        <f>IFERROR($G1119/SUMIF($A:$A,$A1119,$G:$G)*(SUMIF(Summary!$A$247:$A$283,$A1119,Summary!$L$247:$L$283)+SUMIF(Summary!$A$297:$A$333,$A1119,Summary!$L$297:$L$333))-AI1119,0)</f>
        <v>0</v>
      </c>
      <c r="AK1119" s="196">
        <f>IFERROR($G1119/SUMIF($A:$A,$A1119,$G:$G)*SUMIF(Summary!$A$247:$A$283,$A1119,Summary!$Q$247:$Q$283),0)</f>
        <v>0</v>
      </c>
      <c r="AL1119" s="196">
        <f>IFERROR($G1119/SUMIF($A:$A,$A1119,$G:$G)*(SUMIF(Summary!$A$247:$A$283,$A1119,Summary!$L$247:$L$283)+SUMIF(Summary!$A$297:$A$333,$A1119,Summary!$L$297:$L$333))-AK1119,0)</f>
        <v>0</v>
      </c>
      <c r="AM1119" s="198"/>
      <c r="AN1119" s="196">
        <f t="shared" ca="1" si="250"/>
        <v>0</v>
      </c>
      <c r="AO1119" s="196">
        <f t="shared" ca="1" si="251"/>
        <v>0</v>
      </c>
    </row>
    <row r="1120" spans="1:41">
      <c r="A1120" s="189">
        <v>3625</v>
      </c>
      <c r="B1120" s="203">
        <v>4</v>
      </c>
      <c r="C1120" s="191" t="s">
        <v>222</v>
      </c>
      <c r="D1120" s="192">
        <f t="shared" si="238"/>
        <v>0</v>
      </c>
      <c r="E1120" s="192">
        <f t="shared" si="239"/>
        <v>0</v>
      </c>
      <c r="F1120" s="192">
        <f t="shared" si="240"/>
        <v>0</v>
      </c>
      <c r="G1120" s="193">
        <f t="shared" si="241"/>
        <v>0</v>
      </c>
      <c r="H1120" s="194">
        <v>0</v>
      </c>
      <c r="I1120" s="194">
        <v>0</v>
      </c>
      <c r="J1120" s="194">
        <v>0</v>
      </c>
      <c r="K1120" s="193">
        <f t="shared" si="242"/>
        <v>0</v>
      </c>
      <c r="L1120" s="194">
        <v>0</v>
      </c>
      <c r="M1120" s="194">
        <v>0</v>
      </c>
      <c r="N1120" s="194">
        <v>0</v>
      </c>
      <c r="O1120" s="193">
        <f t="shared" si="243"/>
        <v>0</v>
      </c>
      <c r="P1120" s="194">
        <v>0</v>
      </c>
      <c r="Q1120" s="194">
        <v>0</v>
      </c>
      <c r="R1120" s="194">
        <v>0</v>
      </c>
      <c r="S1120" s="193">
        <f t="shared" si="244"/>
        <v>0</v>
      </c>
      <c r="T1120" s="193">
        <f t="shared" si="245"/>
        <v>0</v>
      </c>
      <c r="U1120" s="193">
        <f ca="1">OFFSET('Expenditure Study'!$B$7,'Operations Support'!$C1120,'Operations Support'!$B1120)*$G1120</f>
        <v>0</v>
      </c>
      <c r="V1120" s="199">
        <f ca="1">U1120*'Expenditure Study'!$B$31</f>
        <v>0</v>
      </c>
      <c r="W1120" s="199">
        <f ca="1">IF(A1120=10298,1.51,1)*IF($B1120&lt;3,$D1120*'Expenditure Study'!$B$32*OFFSET('Expenditure Study'!$B$7,'Operations Support'!$C1120,'Operations Support'!$B1120),0)</f>
        <v>0</v>
      </c>
      <c r="X1120" s="200">
        <f ca="1">W1120*'Expenditure Study'!$B$31</f>
        <v>0</v>
      </c>
      <c r="Y1120" s="199">
        <f ca="1">U1120*'Expenditure Study'!$B$31</f>
        <v>0</v>
      </c>
      <c r="Z1120" s="200">
        <f ca="1">W1120*'Expenditure Study'!$B$31</f>
        <v>0</v>
      </c>
      <c r="AA1120" s="195">
        <f t="shared" ca="1" si="246"/>
        <v>0</v>
      </c>
      <c r="AB1120" s="195">
        <f t="shared" ca="1" si="247"/>
        <v>0</v>
      </c>
      <c r="AD1120" s="196">
        <f>IFERROR($G1120/SUMIF($A:$A,$A1120,$G:$G)*SUMIF(Summary!$A$166:$A$242,$A1120,Summary!$P$166:$P$242),0)</f>
        <v>0</v>
      </c>
      <c r="AE1120" s="197">
        <f t="shared" ca="1" si="248"/>
        <v>0</v>
      </c>
      <c r="AF1120" s="196">
        <f>IFERROR(G1120/SUMIF(A:A,A1120,G:G)*SUMIF(Summary!$A$166:$A$242,'Operations Support'!A1120,Summary!$Q$166:$Q$242),0)</f>
        <v>0</v>
      </c>
      <c r="AG1120" s="196">
        <f t="shared" ca="1" si="249"/>
        <v>0</v>
      </c>
      <c r="AI1120" s="196">
        <f>IFERROR($G1120/SUMIF($A:$A,$A1120,$G:$G)*SUMIF(Summary!$A$247:$A$283,$A1120,Summary!$P$247:$P$283),0)</f>
        <v>0</v>
      </c>
      <c r="AJ1120" s="196">
        <f>IFERROR($G1120/SUMIF($A:$A,$A1120,$G:$G)*(SUMIF(Summary!$A$247:$A$283,$A1120,Summary!$L$247:$L$283)+SUMIF(Summary!$A$297:$A$333,$A1120,Summary!$L$297:$L$333))-AI1120,0)</f>
        <v>0</v>
      </c>
      <c r="AK1120" s="196">
        <f>IFERROR($G1120/SUMIF($A:$A,$A1120,$G:$G)*SUMIF(Summary!$A$247:$A$283,$A1120,Summary!$Q$247:$Q$283),0)</f>
        <v>0</v>
      </c>
      <c r="AL1120" s="196">
        <f>IFERROR($G1120/SUMIF($A:$A,$A1120,$G:$G)*(SUMIF(Summary!$A$247:$A$283,$A1120,Summary!$L$247:$L$283)+SUMIF(Summary!$A$297:$A$333,$A1120,Summary!$L$297:$L$333))-AK1120,0)</f>
        <v>0</v>
      </c>
      <c r="AM1120" s="198"/>
      <c r="AN1120" s="196">
        <f t="shared" ca="1" si="250"/>
        <v>0</v>
      </c>
      <c r="AO1120" s="196">
        <f t="shared" ca="1" si="251"/>
        <v>0</v>
      </c>
    </row>
    <row r="1121" spans="1:41">
      <c r="A1121" s="189">
        <v>3625</v>
      </c>
      <c r="B1121" s="203">
        <v>4</v>
      </c>
      <c r="C1121" s="191" t="s">
        <v>223</v>
      </c>
      <c r="D1121" s="192">
        <f t="shared" si="238"/>
        <v>0</v>
      </c>
      <c r="E1121" s="192">
        <f t="shared" si="239"/>
        <v>0</v>
      </c>
      <c r="F1121" s="192">
        <f t="shared" si="240"/>
        <v>0</v>
      </c>
      <c r="G1121" s="193">
        <f t="shared" si="241"/>
        <v>0</v>
      </c>
      <c r="H1121" s="194">
        <v>0</v>
      </c>
      <c r="I1121" s="194">
        <v>0</v>
      </c>
      <c r="J1121" s="194">
        <v>0</v>
      </c>
      <c r="K1121" s="193">
        <f t="shared" si="242"/>
        <v>0</v>
      </c>
      <c r="L1121" s="194">
        <v>0</v>
      </c>
      <c r="M1121" s="194">
        <v>0</v>
      </c>
      <c r="N1121" s="194">
        <v>0</v>
      </c>
      <c r="O1121" s="193">
        <f t="shared" si="243"/>
        <v>0</v>
      </c>
      <c r="P1121" s="194">
        <v>0</v>
      </c>
      <c r="Q1121" s="194">
        <v>0</v>
      </c>
      <c r="R1121" s="194">
        <v>0</v>
      </c>
      <c r="S1121" s="193">
        <f t="shared" si="244"/>
        <v>0</v>
      </c>
      <c r="T1121" s="193">
        <f t="shared" si="245"/>
        <v>0</v>
      </c>
      <c r="U1121" s="193">
        <f ca="1">OFFSET('Expenditure Study'!$B$7,'Operations Support'!$C1121,'Operations Support'!$B1121)*$G1121</f>
        <v>0</v>
      </c>
      <c r="V1121" s="199">
        <f ca="1">U1121*'Expenditure Study'!$B$31</f>
        <v>0</v>
      </c>
      <c r="W1121" s="199">
        <f ca="1">IF(A1121=10298,1.51,1)*IF($B1121&lt;3,$D1121*'Expenditure Study'!$B$32*OFFSET('Expenditure Study'!$B$7,'Operations Support'!$C1121,'Operations Support'!$B1121),0)</f>
        <v>0</v>
      </c>
      <c r="X1121" s="200">
        <f ca="1">W1121*'Expenditure Study'!$B$31</f>
        <v>0</v>
      </c>
      <c r="Y1121" s="199">
        <f ca="1">U1121*'Expenditure Study'!$B$31</f>
        <v>0</v>
      </c>
      <c r="Z1121" s="200">
        <f ca="1">W1121*'Expenditure Study'!$B$31</f>
        <v>0</v>
      </c>
      <c r="AA1121" s="195">
        <f t="shared" ca="1" si="246"/>
        <v>0</v>
      </c>
      <c r="AB1121" s="195">
        <f t="shared" ca="1" si="247"/>
        <v>0</v>
      </c>
      <c r="AD1121" s="196">
        <f>IFERROR($G1121/SUMIF($A:$A,$A1121,$G:$G)*SUMIF(Summary!$A$166:$A$242,$A1121,Summary!$P$166:$P$242),0)</f>
        <v>0</v>
      </c>
      <c r="AE1121" s="197">
        <f t="shared" ca="1" si="248"/>
        <v>0</v>
      </c>
      <c r="AF1121" s="196">
        <f>IFERROR(G1121/SUMIF(A:A,A1121,G:G)*SUMIF(Summary!$A$166:$A$242,'Operations Support'!A1121,Summary!$Q$166:$Q$242),0)</f>
        <v>0</v>
      </c>
      <c r="AG1121" s="196">
        <f t="shared" ca="1" si="249"/>
        <v>0</v>
      </c>
      <c r="AI1121" s="196">
        <f>IFERROR($G1121/SUMIF($A:$A,$A1121,$G:$G)*SUMIF(Summary!$A$247:$A$283,$A1121,Summary!$P$247:$P$283),0)</f>
        <v>0</v>
      </c>
      <c r="AJ1121" s="196">
        <f>IFERROR($G1121/SUMIF($A:$A,$A1121,$G:$G)*(SUMIF(Summary!$A$247:$A$283,$A1121,Summary!$L$247:$L$283)+SUMIF(Summary!$A$297:$A$333,$A1121,Summary!$L$297:$L$333))-AI1121,0)</f>
        <v>0</v>
      </c>
      <c r="AK1121" s="196">
        <f>IFERROR($G1121/SUMIF($A:$A,$A1121,$G:$G)*SUMIF(Summary!$A$247:$A$283,$A1121,Summary!$Q$247:$Q$283),0)</f>
        <v>0</v>
      </c>
      <c r="AL1121" s="196">
        <f>IFERROR($G1121/SUMIF($A:$A,$A1121,$G:$G)*(SUMIF(Summary!$A$247:$A$283,$A1121,Summary!$L$247:$L$283)+SUMIF(Summary!$A$297:$A$333,$A1121,Summary!$L$297:$L$333))-AK1121,0)</f>
        <v>0</v>
      </c>
      <c r="AM1121" s="198"/>
      <c r="AN1121" s="196">
        <f t="shared" ca="1" si="250"/>
        <v>0</v>
      </c>
      <c r="AO1121" s="196">
        <f t="shared" ca="1" si="251"/>
        <v>0</v>
      </c>
    </row>
    <row r="1122" spans="1:41">
      <c r="A1122" s="189">
        <v>3625</v>
      </c>
      <c r="B1122" s="203">
        <v>4</v>
      </c>
      <c r="C1122" s="191" t="s">
        <v>224</v>
      </c>
      <c r="D1122" s="192">
        <f t="shared" si="238"/>
        <v>0</v>
      </c>
      <c r="E1122" s="192">
        <f t="shared" si="239"/>
        <v>0</v>
      </c>
      <c r="F1122" s="192">
        <f t="shared" si="240"/>
        <v>0</v>
      </c>
      <c r="G1122" s="193">
        <f t="shared" si="241"/>
        <v>0</v>
      </c>
      <c r="H1122" s="194">
        <v>0</v>
      </c>
      <c r="I1122" s="194">
        <v>0</v>
      </c>
      <c r="J1122" s="194">
        <v>0</v>
      </c>
      <c r="K1122" s="193">
        <f t="shared" si="242"/>
        <v>0</v>
      </c>
      <c r="L1122" s="194">
        <v>0</v>
      </c>
      <c r="M1122" s="194">
        <v>0</v>
      </c>
      <c r="N1122" s="194">
        <v>0</v>
      </c>
      <c r="O1122" s="193">
        <f t="shared" si="243"/>
        <v>0</v>
      </c>
      <c r="P1122" s="194">
        <v>0</v>
      </c>
      <c r="Q1122" s="194">
        <v>0</v>
      </c>
      <c r="R1122" s="194">
        <v>0</v>
      </c>
      <c r="S1122" s="193">
        <f t="shared" si="244"/>
        <v>0</v>
      </c>
      <c r="T1122" s="193">
        <f t="shared" si="245"/>
        <v>0</v>
      </c>
      <c r="U1122" s="193">
        <f ca="1">OFFSET('Expenditure Study'!$B$7,'Operations Support'!$C1122,'Operations Support'!$B1122)*$G1122</f>
        <v>0</v>
      </c>
      <c r="V1122" s="199">
        <f ca="1">U1122*'Expenditure Study'!$B$31</f>
        <v>0</v>
      </c>
      <c r="W1122" s="199">
        <f ca="1">IF(A1122=10298,1.51,1)*IF($B1122&lt;3,$D1122*'Expenditure Study'!$B$32*OFFSET('Expenditure Study'!$B$7,'Operations Support'!$C1122,'Operations Support'!$B1122),0)</f>
        <v>0</v>
      </c>
      <c r="X1122" s="200">
        <f ca="1">W1122*'Expenditure Study'!$B$31</f>
        <v>0</v>
      </c>
      <c r="Y1122" s="199">
        <f ca="1">U1122*'Expenditure Study'!$B$31</f>
        <v>0</v>
      </c>
      <c r="Z1122" s="200">
        <f ca="1">W1122*'Expenditure Study'!$B$31</f>
        <v>0</v>
      </c>
      <c r="AA1122" s="195">
        <f t="shared" ca="1" si="246"/>
        <v>0</v>
      </c>
      <c r="AB1122" s="195">
        <f t="shared" ca="1" si="247"/>
        <v>0</v>
      </c>
      <c r="AD1122" s="196">
        <f>IFERROR($G1122/SUMIF($A:$A,$A1122,$G:$G)*SUMIF(Summary!$A$166:$A$242,$A1122,Summary!$P$166:$P$242),0)</f>
        <v>0</v>
      </c>
      <c r="AE1122" s="197">
        <f t="shared" ca="1" si="248"/>
        <v>0</v>
      </c>
      <c r="AF1122" s="196">
        <f>IFERROR(G1122/SUMIF(A:A,A1122,G:G)*SUMIF(Summary!$A$166:$A$242,'Operations Support'!A1122,Summary!$Q$166:$Q$242),0)</f>
        <v>0</v>
      </c>
      <c r="AG1122" s="196">
        <f t="shared" ca="1" si="249"/>
        <v>0</v>
      </c>
      <c r="AI1122" s="196">
        <f>IFERROR($G1122/SUMIF($A:$A,$A1122,$G:$G)*SUMIF(Summary!$A$247:$A$283,$A1122,Summary!$P$247:$P$283),0)</f>
        <v>0</v>
      </c>
      <c r="AJ1122" s="196">
        <f>IFERROR($G1122/SUMIF($A:$A,$A1122,$G:$G)*(SUMIF(Summary!$A$247:$A$283,$A1122,Summary!$L$247:$L$283)+SUMIF(Summary!$A$297:$A$333,$A1122,Summary!$L$297:$L$333))-AI1122,0)</f>
        <v>0</v>
      </c>
      <c r="AK1122" s="196">
        <f>IFERROR($G1122/SUMIF($A:$A,$A1122,$G:$G)*SUMIF(Summary!$A$247:$A$283,$A1122,Summary!$Q$247:$Q$283),0)</f>
        <v>0</v>
      </c>
      <c r="AL1122" s="196">
        <f>IFERROR($G1122/SUMIF($A:$A,$A1122,$G:$G)*(SUMIF(Summary!$A$247:$A$283,$A1122,Summary!$L$247:$L$283)+SUMIF(Summary!$A$297:$A$333,$A1122,Summary!$L$297:$L$333))-AK1122,0)</f>
        <v>0</v>
      </c>
      <c r="AM1122" s="198"/>
      <c r="AN1122" s="196">
        <f t="shared" ca="1" si="250"/>
        <v>0</v>
      </c>
      <c r="AO1122" s="196">
        <f t="shared" ca="1" si="251"/>
        <v>0</v>
      </c>
    </row>
    <row r="1123" spans="1:41">
      <c r="A1123" s="189">
        <v>3625</v>
      </c>
      <c r="B1123" s="203">
        <v>4</v>
      </c>
      <c r="C1123" s="191" t="s">
        <v>225</v>
      </c>
      <c r="D1123" s="192">
        <f t="shared" si="238"/>
        <v>0</v>
      </c>
      <c r="E1123" s="192">
        <f t="shared" si="239"/>
        <v>0</v>
      </c>
      <c r="F1123" s="192">
        <f t="shared" si="240"/>
        <v>0</v>
      </c>
      <c r="G1123" s="193">
        <f t="shared" si="241"/>
        <v>0</v>
      </c>
      <c r="H1123" s="194">
        <v>0</v>
      </c>
      <c r="I1123" s="194">
        <v>0</v>
      </c>
      <c r="J1123" s="194">
        <v>0</v>
      </c>
      <c r="K1123" s="193">
        <f t="shared" si="242"/>
        <v>0</v>
      </c>
      <c r="L1123" s="194">
        <v>0</v>
      </c>
      <c r="M1123" s="194">
        <v>0</v>
      </c>
      <c r="N1123" s="194">
        <v>0</v>
      </c>
      <c r="O1123" s="193">
        <f t="shared" si="243"/>
        <v>0</v>
      </c>
      <c r="P1123" s="194">
        <v>0</v>
      </c>
      <c r="Q1123" s="194">
        <v>0</v>
      </c>
      <c r="R1123" s="194">
        <v>0</v>
      </c>
      <c r="S1123" s="193">
        <f t="shared" si="244"/>
        <v>0</v>
      </c>
      <c r="T1123" s="193">
        <f t="shared" si="245"/>
        <v>0</v>
      </c>
      <c r="U1123" s="193">
        <f ca="1">OFFSET('Expenditure Study'!$B$7,'Operations Support'!$C1123,'Operations Support'!$B1123)*$G1123</f>
        <v>0</v>
      </c>
      <c r="V1123" s="199">
        <f ca="1">U1123*'Expenditure Study'!$B$31</f>
        <v>0</v>
      </c>
      <c r="W1123" s="199">
        <f ca="1">IF(A1123=10298,1.51,1)*IF($B1123&lt;3,$D1123*'Expenditure Study'!$B$32*OFFSET('Expenditure Study'!$B$7,'Operations Support'!$C1123,'Operations Support'!$B1123),0)</f>
        <v>0</v>
      </c>
      <c r="X1123" s="200">
        <f ca="1">W1123*'Expenditure Study'!$B$31</f>
        <v>0</v>
      </c>
      <c r="Y1123" s="199">
        <f ca="1">U1123*'Expenditure Study'!$B$31</f>
        <v>0</v>
      </c>
      <c r="Z1123" s="200">
        <f ca="1">W1123*'Expenditure Study'!$B$31</f>
        <v>0</v>
      </c>
      <c r="AA1123" s="195">
        <f t="shared" ca="1" si="246"/>
        <v>0</v>
      </c>
      <c r="AB1123" s="195">
        <f t="shared" ca="1" si="247"/>
        <v>0</v>
      </c>
      <c r="AD1123" s="196">
        <f>IFERROR($G1123/SUMIF($A:$A,$A1123,$G:$G)*SUMIF(Summary!$A$166:$A$242,$A1123,Summary!$P$166:$P$242),0)</f>
        <v>0</v>
      </c>
      <c r="AE1123" s="197">
        <f t="shared" ca="1" si="248"/>
        <v>0</v>
      </c>
      <c r="AF1123" s="196">
        <f>IFERROR(G1123/SUMIF(A:A,A1123,G:G)*SUMIF(Summary!$A$166:$A$242,'Operations Support'!A1123,Summary!$Q$166:$Q$242),0)</f>
        <v>0</v>
      </c>
      <c r="AG1123" s="196">
        <f t="shared" ca="1" si="249"/>
        <v>0</v>
      </c>
      <c r="AI1123" s="196">
        <f>IFERROR($G1123/SUMIF($A:$A,$A1123,$G:$G)*SUMIF(Summary!$A$247:$A$283,$A1123,Summary!$P$247:$P$283),0)</f>
        <v>0</v>
      </c>
      <c r="AJ1123" s="196">
        <f>IFERROR($G1123/SUMIF($A:$A,$A1123,$G:$G)*(SUMIF(Summary!$A$247:$A$283,$A1123,Summary!$L$247:$L$283)+SUMIF(Summary!$A$297:$A$333,$A1123,Summary!$L$297:$L$333))-AI1123,0)</f>
        <v>0</v>
      </c>
      <c r="AK1123" s="196">
        <f>IFERROR($G1123/SUMIF($A:$A,$A1123,$G:$G)*SUMIF(Summary!$A$247:$A$283,$A1123,Summary!$Q$247:$Q$283),0)</f>
        <v>0</v>
      </c>
      <c r="AL1123" s="196">
        <f>IFERROR($G1123/SUMIF($A:$A,$A1123,$G:$G)*(SUMIF(Summary!$A$247:$A$283,$A1123,Summary!$L$247:$L$283)+SUMIF(Summary!$A$297:$A$333,$A1123,Summary!$L$297:$L$333))-AK1123,0)</f>
        <v>0</v>
      </c>
      <c r="AM1123" s="198"/>
      <c r="AN1123" s="196">
        <f t="shared" ca="1" si="250"/>
        <v>0</v>
      </c>
      <c r="AO1123" s="196">
        <f t="shared" ca="1" si="251"/>
        <v>0</v>
      </c>
    </row>
    <row r="1124" spans="1:41">
      <c r="A1124" s="189">
        <v>3625</v>
      </c>
      <c r="B1124" s="203">
        <v>4</v>
      </c>
      <c r="C1124" s="191" t="s">
        <v>226</v>
      </c>
      <c r="D1124" s="192">
        <f t="shared" si="238"/>
        <v>0</v>
      </c>
      <c r="E1124" s="192">
        <f t="shared" si="239"/>
        <v>0</v>
      </c>
      <c r="F1124" s="192">
        <f t="shared" si="240"/>
        <v>0</v>
      </c>
      <c r="G1124" s="193">
        <f t="shared" si="241"/>
        <v>0</v>
      </c>
      <c r="H1124" s="194">
        <v>0</v>
      </c>
      <c r="I1124" s="194">
        <v>0</v>
      </c>
      <c r="J1124" s="194">
        <v>0</v>
      </c>
      <c r="K1124" s="193">
        <f t="shared" si="242"/>
        <v>0</v>
      </c>
      <c r="L1124" s="194">
        <v>0</v>
      </c>
      <c r="M1124" s="194">
        <v>0</v>
      </c>
      <c r="N1124" s="194">
        <v>0</v>
      </c>
      <c r="O1124" s="193">
        <f t="shared" si="243"/>
        <v>0</v>
      </c>
      <c r="P1124" s="194">
        <v>0</v>
      </c>
      <c r="Q1124" s="194">
        <v>0</v>
      </c>
      <c r="R1124" s="194">
        <v>0</v>
      </c>
      <c r="S1124" s="193">
        <f t="shared" si="244"/>
        <v>0</v>
      </c>
      <c r="T1124" s="193">
        <f t="shared" si="245"/>
        <v>0</v>
      </c>
      <c r="U1124" s="193">
        <f ca="1">OFFSET('Expenditure Study'!$B$7,'Operations Support'!$C1124,'Operations Support'!$B1124)*$G1124</f>
        <v>0</v>
      </c>
      <c r="V1124" s="199">
        <f ca="1">U1124*'Expenditure Study'!$B$31</f>
        <v>0</v>
      </c>
      <c r="W1124" s="199">
        <f ca="1">IF(A1124=10298,1.51,1)*IF($B1124&lt;3,$D1124*'Expenditure Study'!$B$32*OFFSET('Expenditure Study'!$B$7,'Operations Support'!$C1124,'Operations Support'!$B1124),0)</f>
        <v>0</v>
      </c>
      <c r="X1124" s="200">
        <f ca="1">W1124*'Expenditure Study'!$B$31</f>
        <v>0</v>
      </c>
      <c r="Y1124" s="199">
        <f ca="1">U1124*'Expenditure Study'!$B$31</f>
        <v>0</v>
      </c>
      <c r="Z1124" s="200">
        <f ca="1">W1124*'Expenditure Study'!$B$31</f>
        <v>0</v>
      </c>
      <c r="AA1124" s="195">
        <f t="shared" ca="1" si="246"/>
        <v>0</v>
      </c>
      <c r="AB1124" s="195">
        <f t="shared" ca="1" si="247"/>
        <v>0</v>
      </c>
      <c r="AD1124" s="196">
        <f>IFERROR($G1124/SUMIF($A:$A,$A1124,$G:$G)*SUMIF(Summary!$A$166:$A$242,$A1124,Summary!$P$166:$P$242),0)</f>
        <v>0</v>
      </c>
      <c r="AE1124" s="197">
        <f t="shared" ca="1" si="248"/>
        <v>0</v>
      </c>
      <c r="AF1124" s="196">
        <f>IFERROR(G1124/SUMIF(A:A,A1124,G:G)*SUMIF(Summary!$A$166:$A$242,'Operations Support'!A1124,Summary!$Q$166:$Q$242),0)</f>
        <v>0</v>
      </c>
      <c r="AG1124" s="196">
        <f t="shared" ca="1" si="249"/>
        <v>0</v>
      </c>
      <c r="AI1124" s="196">
        <f>IFERROR($G1124/SUMIF($A:$A,$A1124,$G:$G)*SUMIF(Summary!$A$247:$A$283,$A1124,Summary!$P$247:$P$283),0)</f>
        <v>0</v>
      </c>
      <c r="AJ1124" s="196">
        <f>IFERROR($G1124/SUMIF($A:$A,$A1124,$G:$G)*(SUMIF(Summary!$A$247:$A$283,$A1124,Summary!$L$247:$L$283)+SUMIF(Summary!$A$297:$A$333,$A1124,Summary!$L$297:$L$333))-AI1124,0)</f>
        <v>0</v>
      </c>
      <c r="AK1124" s="196">
        <f>IFERROR($G1124/SUMIF($A:$A,$A1124,$G:$G)*SUMIF(Summary!$A$247:$A$283,$A1124,Summary!$Q$247:$Q$283),0)</f>
        <v>0</v>
      </c>
      <c r="AL1124" s="196">
        <f>IFERROR($G1124/SUMIF($A:$A,$A1124,$G:$G)*(SUMIF(Summary!$A$247:$A$283,$A1124,Summary!$L$247:$L$283)+SUMIF(Summary!$A$297:$A$333,$A1124,Summary!$L$297:$L$333))-AK1124,0)</f>
        <v>0</v>
      </c>
      <c r="AM1124" s="198"/>
      <c r="AN1124" s="196">
        <f t="shared" ca="1" si="250"/>
        <v>0</v>
      </c>
      <c r="AO1124" s="196">
        <f t="shared" ca="1" si="251"/>
        <v>0</v>
      </c>
    </row>
    <row r="1125" spans="1:41">
      <c r="A1125" s="189">
        <v>3625</v>
      </c>
      <c r="B1125" s="203">
        <v>4</v>
      </c>
      <c r="C1125" s="191" t="s">
        <v>227</v>
      </c>
      <c r="D1125" s="192">
        <f t="shared" si="238"/>
        <v>0</v>
      </c>
      <c r="E1125" s="192">
        <f t="shared" si="239"/>
        <v>0</v>
      </c>
      <c r="F1125" s="192">
        <f t="shared" si="240"/>
        <v>0</v>
      </c>
      <c r="G1125" s="193">
        <f t="shared" si="241"/>
        <v>0</v>
      </c>
      <c r="H1125" s="194">
        <v>0</v>
      </c>
      <c r="I1125" s="194">
        <v>0</v>
      </c>
      <c r="J1125" s="194">
        <v>0</v>
      </c>
      <c r="K1125" s="193">
        <f t="shared" si="242"/>
        <v>0</v>
      </c>
      <c r="L1125" s="194">
        <v>0</v>
      </c>
      <c r="M1125" s="194">
        <v>0</v>
      </c>
      <c r="N1125" s="194">
        <v>0</v>
      </c>
      <c r="O1125" s="193">
        <f t="shared" si="243"/>
        <v>0</v>
      </c>
      <c r="P1125" s="194">
        <v>0</v>
      </c>
      <c r="Q1125" s="194">
        <v>0</v>
      </c>
      <c r="R1125" s="194">
        <v>0</v>
      </c>
      <c r="S1125" s="193">
        <f t="shared" si="244"/>
        <v>0</v>
      </c>
      <c r="T1125" s="193">
        <f t="shared" si="245"/>
        <v>0</v>
      </c>
      <c r="U1125" s="193">
        <f ca="1">OFFSET('Expenditure Study'!$B$7,'Operations Support'!$C1125,'Operations Support'!$B1125)*$G1125</f>
        <v>0</v>
      </c>
      <c r="V1125" s="199">
        <f ca="1">U1125*'Expenditure Study'!$B$31</f>
        <v>0</v>
      </c>
      <c r="W1125" s="199">
        <f ca="1">IF(A1125=10298,1.51,1)*IF($B1125&lt;3,$D1125*'Expenditure Study'!$B$32*OFFSET('Expenditure Study'!$B$7,'Operations Support'!$C1125,'Operations Support'!$B1125),0)</f>
        <v>0</v>
      </c>
      <c r="X1125" s="200">
        <f ca="1">W1125*'Expenditure Study'!$B$31</f>
        <v>0</v>
      </c>
      <c r="Y1125" s="199">
        <f ca="1">U1125*'Expenditure Study'!$B$31</f>
        <v>0</v>
      </c>
      <c r="Z1125" s="200">
        <f ca="1">W1125*'Expenditure Study'!$B$31</f>
        <v>0</v>
      </c>
      <c r="AA1125" s="195">
        <f t="shared" ca="1" si="246"/>
        <v>0</v>
      </c>
      <c r="AB1125" s="195">
        <f t="shared" ca="1" si="247"/>
        <v>0</v>
      </c>
      <c r="AD1125" s="196">
        <f>IFERROR($G1125/SUMIF($A:$A,$A1125,$G:$G)*SUMIF(Summary!$A$166:$A$242,$A1125,Summary!$P$166:$P$242),0)</f>
        <v>0</v>
      </c>
      <c r="AE1125" s="197">
        <f t="shared" ca="1" si="248"/>
        <v>0</v>
      </c>
      <c r="AF1125" s="196">
        <f>IFERROR(G1125/SUMIF(A:A,A1125,G:G)*SUMIF(Summary!$A$166:$A$242,'Operations Support'!A1125,Summary!$Q$166:$Q$242),0)</f>
        <v>0</v>
      </c>
      <c r="AG1125" s="196">
        <f t="shared" ca="1" si="249"/>
        <v>0</v>
      </c>
      <c r="AI1125" s="196">
        <f>IFERROR($G1125/SUMIF($A:$A,$A1125,$G:$G)*SUMIF(Summary!$A$247:$A$283,$A1125,Summary!$P$247:$P$283),0)</f>
        <v>0</v>
      </c>
      <c r="AJ1125" s="196">
        <f>IFERROR($G1125/SUMIF($A:$A,$A1125,$G:$G)*(SUMIF(Summary!$A$247:$A$283,$A1125,Summary!$L$247:$L$283)+SUMIF(Summary!$A$297:$A$333,$A1125,Summary!$L$297:$L$333))-AI1125,0)</f>
        <v>0</v>
      </c>
      <c r="AK1125" s="196">
        <f>IFERROR($G1125/SUMIF($A:$A,$A1125,$G:$G)*SUMIF(Summary!$A$247:$A$283,$A1125,Summary!$Q$247:$Q$283),0)</f>
        <v>0</v>
      </c>
      <c r="AL1125" s="196">
        <f>IFERROR($G1125/SUMIF($A:$A,$A1125,$G:$G)*(SUMIF(Summary!$A$247:$A$283,$A1125,Summary!$L$247:$L$283)+SUMIF(Summary!$A$297:$A$333,$A1125,Summary!$L$297:$L$333))-AK1125,0)</f>
        <v>0</v>
      </c>
      <c r="AM1125" s="198"/>
      <c r="AN1125" s="196">
        <f t="shared" ca="1" si="250"/>
        <v>0</v>
      </c>
      <c r="AO1125" s="196">
        <f t="shared" ca="1" si="251"/>
        <v>0</v>
      </c>
    </row>
    <row r="1126" spans="1:41">
      <c r="A1126" s="189">
        <v>3625</v>
      </c>
      <c r="B1126" s="203">
        <v>4</v>
      </c>
      <c r="C1126" s="191" t="s">
        <v>228</v>
      </c>
      <c r="D1126" s="192">
        <f t="shared" si="238"/>
        <v>0</v>
      </c>
      <c r="E1126" s="192">
        <f t="shared" si="239"/>
        <v>0</v>
      </c>
      <c r="F1126" s="192">
        <f t="shared" si="240"/>
        <v>0</v>
      </c>
      <c r="G1126" s="193">
        <f t="shared" si="241"/>
        <v>0</v>
      </c>
      <c r="H1126" s="194">
        <v>0</v>
      </c>
      <c r="I1126" s="194">
        <v>0</v>
      </c>
      <c r="J1126" s="194">
        <v>0</v>
      </c>
      <c r="K1126" s="193">
        <f t="shared" si="242"/>
        <v>0</v>
      </c>
      <c r="L1126" s="194">
        <v>0</v>
      </c>
      <c r="M1126" s="194">
        <v>0</v>
      </c>
      <c r="N1126" s="194">
        <v>0</v>
      </c>
      <c r="O1126" s="193">
        <f t="shared" si="243"/>
        <v>0</v>
      </c>
      <c r="P1126" s="194">
        <v>0</v>
      </c>
      <c r="Q1126" s="194">
        <v>0</v>
      </c>
      <c r="R1126" s="194">
        <v>0</v>
      </c>
      <c r="S1126" s="193">
        <f t="shared" si="244"/>
        <v>0</v>
      </c>
      <c r="T1126" s="193">
        <f t="shared" si="245"/>
        <v>0</v>
      </c>
      <c r="U1126" s="193">
        <f ca="1">OFFSET('Expenditure Study'!$B$7,'Operations Support'!$C1126,'Operations Support'!$B1126)*$G1126</f>
        <v>0</v>
      </c>
      <c r="V1126" s="199">
        <f ca="1">U1126*'Expenditure Study'!$B$31</f>
        <v>0</v>
      </c>
      <c r="W1126" s="199">
        <f ca="1">IF(A1126=10298,1.51,1)*IF($B1126&lt;3,$D1126*'Expenditure Study'!$B$32*OFFSET('Expenditure Study'!$B$7,'Operations Support'!$C1126,'Operations Support'!$B1126),0)</f>
        <v>0</v>
      </c>
      <c r="X1126" s="200">
        <f ca="1">W1126*'Expenditure Study'!$B$31</f>
        <v>0</v>
      </c>
      <c r="Y1126" s="199">
        <f ca="1">U1126*'Expenditure Study'!$B$31</f>
        <v>0</v>
      </c>
      <c r="Z1126" s="200">
        <f ca="1">W1126*'Expenditure Study'!$B$31</f>
        <v>0</v>
      </c>
      <c r="AA1126" s="195">
        <f t="shared" ca="1" si="246"/>
        <v>0</v>
      </c>
      <c r="AB1126" s="195">
        <f t="shared" ca="1" si="247"/>
        <v>0</v>
      </c>
      <c r="AD1126" s="196">
        <f>IFERROR($G1126/SUMIF($A:$A,$A1126,$G:$G)*SUMIF(Summary!$A$166:$A$242,$A1126,Summary!$P$166:$P$242),0)</f>
        <v>0</v>
      </c>
      <c r="AE1126" s="197">
        <f t="shared" ca="1" si="248"/>
        <v>0</v>
      </c>
      <c r="AF1126" s="196">
        <f>IFERROR(G1126/SUMIF(A:A,A1126,G:G)*SUMIF(Summary!$A$166:$A$242,'Operations Support'!A1126,Summary!$Q$166:$Q$242),0)</f>
        <v>0</v>
      </c>
      <c r="AG1126" s="196">
        <f t="shared" ca="1" si="249"/>
        <v>0</v>
      </c>
      <c r="AI1126" s="196">
        <f>IFERROR($G1126/SUMIF($A:$A,$A1126,$G:$G)*SUMIF(Summary!$A$247:$A$283,$A1126,Summary!$P$247:$P$283),0)</f>
        <v>0</v>
      </c>
      <c r="AJ1126" s="196">
        <f>IFERROR($G1126/SUMIF($A:$A,$A1126,$G:$G)*(SUMIF(Summary!$A$247:$A$283,$A1126,Summary!$L$247:$L$283)+SUMIF(Summary!$A$297:$A$333,$A1126,Summary!$L$297:$L$333))-AI1126,0)</f>
        <v>0</v>
      </c>
      <c r="AK1126" s="196">
        <f>IFERROR($G1126/SUMIF($A:$A,$A1126,$G:$G)*SUMIF(Summary!$A$247:$A$283,$A1126,Summary!$Q$247:$Q$283),0)</f>
        <v>0</v>
      </c>
      <c r="AL1126" s="196">
        <f>IFERROR($G1126/SUMIF($A:$A,$A1126,$G:$G)*(SUMIF(Summary!$A$247:$A$283,$A1126,Summary!$L$247:$L$283)+SUMIF(Summary!$A$297:$A$333,$A1126,Summary!$L$297:$L$333))-AK1126,0)</f>
        <v>0</v>
      </c>
      <c r="AM1126" s="198"/>
      <c r="AN1126" s="196">
        <f t="shared" ca="1" si="250"/>
        <v>0</v>
      </c>
      <c r="AO1126" s="196">
        <f t="shared" ca="1" si="251"/>
        <v>0</v>
      </c>
    </row>
    <row r="1127" spans="1:41">
      <c r="A1127" s="189">
        <v>3625</v>
      </c>
      <c r="B1127" s="203">
        <v>4</v>
      </c>
      <c r="C1127" s="191" t="s">
        <v>229</v>
      </c>
      <c r="D1127" s="192">
        <f t="shared" si="238"/>
        <v>0</v>
      </c>
      <c r="E1127" s="192">
        <f t="shared" si="239"/>
        <v>0</v>
      </c>
      <c r="F1127" s="192">
        <f t="shared" si="240"/>
        <v>0</v>
      </c>
      <c r="G1127" s="193">
        <f t="shared" si="241"/>
        <v>0</v>
      </c>
      <c r="H1127" s="194">
        <v>0</v>
      </c>
      <c r="I1127" s="194">
        <v>0</v>
      </c>
      <c r="J1127" s="194">
        <v>0</v>
      </c>
      <c r="K1127" s="193">
        <f t="shared" si="242"/>
        <v>0</v>
      </c>
      <c r="L1127" s="194">
        <v>0</v>
      </c>
      <c r="M1127" s="194">
        <v>0</v>
      </c>
      <c r="N1127" s="194">
        <v>0</v>
      </c>
      <c r="O1127" s="193">
        <f t="shared" si="243"/>
        <v>0</v>
      </c>
      <c r="P1127" s="194">
        <v>0</v>
      </c>
      <c r="Q1127" s="194">
        <v>0</v>
      </c>
      <c r="R1127" s="194">
        <v>0</v>
      </c>
      <c r="S1127" s="193">
        <f t="shared" si="244"/>
        <v>0</v>
      </c>
      <c r="T1127" s="193">
        <f t="shared" si="245"/>
        <v>0</v>
      </c>
      <c r="U1127" s="193">
        <f ca="1">OFFSET('Expenditure Study'!$B$7,'Operations Support'!$C1127,'Operations Support'!$B1127)*$G1127</f>
        <v>0</v>
      </c>
      <c r="V1127" s="199">
        <f ca="1">U1127*'Expenditure Study'!$B$31</f>
        <v>0</v>
      </c>
      <c r="W1127" s="199">
        <f ca="1">IF(A1127=10298,1.51,1)*IF($B1127&lt;3,$D1127*'Expenditure Study'!$B$32*OFFSET('Expenditure Study'!$B$7,'Operations Support'!$C1127,'Operations Support'!$B1127),0)</f>
        <v>0</v>
      </c>
      <c r="X1127" s="200">
        <f ca="1">W1127*'Expenditure Study'!$B$31</f>
        <v>0</v>
      </c>
      <c r="Y1127" s="199">
        <f ca="1">U1127*'Expenditure Study'!$B$31</f>
        <v>0</v>
      </c>
      <c r="Z1127" s="200">
        <f ca="1">W1127*'Expenditure Study'!$B$31</f>
        <v>0</v>
      </c>
      <c r="AA1127" s="195">
        <f t="shared" ca="1" si="246"/>
        <v>0</v>
      </c>
      <c r="AB1127" s="195">
        <f t="shared" ca="1" si="247"/>
        <v>0</v>
      </c>
      <c r="AD1127" s="196">
        <f>IFERROR($G1127/SUMIF($A:$A,$A1127,$G:$G)*SUMIF(Summary!$A$166:$A$242,$A1127,Summary!$P$166:$P$242),0)</f>
        <v>0</v>
      </c>
      <c r="AE1127" s="197">
        <f t="shared" ca="1" si="248"/>
        <v>0</v>
      </c>
      <c r="AF1127" s="196">
        <f>IFERROR(G1127/SUMIF(A:A,A1127,G:G)*SUMIF(Summary!$A$166:$A$242,'Operations Support'!A1127,Summary!$Q$166:$Q$242),0)</f>
        <v>0</v>
      </c>
      <c r="AG1127" s="196">
        <f t="shared" ca="1" si="249"/>
        <v>0</v>
      </c>
      <c r="AI1127" s="196">
        <f>IFERROR($G1127/SUMIF($A:$A,$A1127,$G:$G)*SUMIF(Summary!$A$247:$A$283,$A1127,Summary!$P$247:$P$283),0)</f>
        <v>0</v>
      </c>
      <c r="AJ1127" s="196">
        <f>IFERROR($G1127/SUMIF($A:$A,$A1127,$G:$G)*(SUMIF(Summary!$A$247:$A$283,$A1127,Summary!$L$247:$L$283)+SUMIF(Summary!$A$297:$A$333,$A1127,Summary!$L$297:$L$333))-AI1127,0)</f>
        <v>0</v>
      </c>
      <c r="AK1127" s="196">
        <f>IFERROR($G1127/SUMIF($A:$A,$A1127,$G:$G)*SUMIF(Summary!$A$247:$A$283,$A1127,Summary!$Q$247:$Q$283),0)</f>
        <v>0</v>
      </c>
      <c r="AL1127" s="196">
        <f>IFERROR($G1127/SUMIF($A:$A,$A1127,$G:$G)*(SUMIF(Summary!$A$247:$A$283,$A1127,Summary!$L$247:$L$283)+SUMIF(Summary!$A$297:$A$333,$A1127,Summary!$L$297:$L$333))-AK1127,0)</f>
        <v>0</v>
      </c>
      <c r="AM1127" s="198"/>
      <c r="AN1127" s="196">
        <f t="shared" ca="1" si="250"/>
        <v>0</v>
      </c>
      <c r="AO1127" s="196">
        <f t="shared" ca="1" si="251"/>
        <v>0</v>
      </c>
    </row>
    <row r="1128" spans="1:41">
      <c r="A1128" s="189">
        <v>3625</v>
      </c>
      <c r="B1128" s="203">
        <v>4</v>
      </c>
      <c r="C1128" s="191" t="s">
        <v>230</v>
      </c>
      <c r="D1128" s="192">
        <f t="shared" si="238"/>
        <v>0</v>
      </c>
      <c r="E1128" s="192">
        <f t="shared" si="239"/>
        <v>0</v>
      </c>
      <c r="F1128" s="192">
        <f t="shared" si="240"/>
        <v>0</v>
      </c>
      <c r="G1128" s="193">
        <f t="shared" si="241"/>
        <v>0</v>
      </c>
      <c r="H1128" s="194">
        <v>0</v>
      </c>
      <c r="I1128" s="194">
        <v>0</v>
      </c>
      <c r="J1128" s="194">
        <v>0</v>
      </c>
      <c r="K1128" s="193">
        <f t="shared" si="242"/>
        <v>0</v>
      </c>
      <c r="L1128" s="194">
        <v>0</v>
      </c>
      <c r="M1128" s="194">
        <v>0</v>
      </c>
      <c r="N1128" s="194">
        <v>0</v>
      </c>
      <c r="O1128" s="193">
        <f t="shared" si="243"/>
        <v>0</v>
      </c>
      <c r="P1128" s="194">
        <v>0</v>
      </c>
      <c r="Q1128" s="194">
        <v>0</v>
      </c>
      <c r="R1128" s="194">
        <v>0</v>
      </c>
      <c r="S1128" s="193">
        <f t="shared" si="244"/>
        <v>0</v>
      </c>
      <c r="T1128" s="193">
        <f t="shared" si="245"/>
        <v>0</v>
      </c>
      <c r="U1128" s="193">
        <f ca="1">OFFSET('Expenditure Study'!$B$7,'Operations Support'!$C1128,'Operations Support'!$B1128)*$G1128</f>
        <v>0</v>
      </c>
      <c r="V1128" s="199">
        <f ca="1">U1128*'Expenditure Study'!$B$31</f>
        <v>0</v>
      </c>
      <c r="W1128" s="199">
        <f ca="1">IF(A1128=10298,1.51,1)*IF($B1128&lt;3,$D1128*'Expenditure Study'!$B$32*OFFSET('Expenditure Study'!$B$7,'Operations Support'!$C1128,'Operations Support'!$B1128),0)</f>
        <v>0</v>
      </c>
      <c r="X1128" s="200">
        <f ca="1">W1128*'Expenditure Study'!$B$31</f>
        <v>0</v>
      </c>
      <c r="Y1128" s="199">
        <f ca="1">U1128*'Expenditure Study'!$B$31</f>
        <v>0</v>
      </c>
      <c r="Z1128" s="200">
        <f ca="1">W1128*'Expenditure Study'!$B$31</f>
        <v>0</v>
      </c>
      <c r="AA1128" s="195">
        <f t="shared" ca="1" si="246"/>
        <v>0</v>
      </c>
      <c r="AB1128" s="195">
        <f t="shared" ca="1" si="247"/>
        <v>0</v>
      </c>
      <c r="AD1128" s="196">
        <f>IFERROR($G1128/SUMIF($A:$A,$A1128,$G:$G)*SUMIF(Summary!$A$166:$A$242,$A1128,Summary!$P$166:$P$242),0)</f>
        <v>0</v>
      </c>
      <c r="AE1128" s="197">
        <f t="shared" ca="1" si="248"/>
        <v>0</v>
      </c>
      <c r="AF1128" s="196">
        <f>IFERROR(G1128/SUMIF(A:A,A1128,G:G)*SUMIF(Summary!$A$166:$A$242,'Operations Support'!A1128,Summary!$Q$166:$Q$242),0)</f>
        <v>0</v>
      </c>
      <c r="AG1128" s="196">
        <f t="shared" ca="1" si="249"/>
        <v>0</v>
      </c>
      <c r="AI1128" s="196">
        <f>IFERROR($G1128/SUMIF($A:$A,$A1128,$G:$G)*SUMIF(Summary!$A$247:$A$283,$A1128,Summary!$P$247:$P$283),0)</f>
        <v>0</v>
      </c>
      <c r="AJ1128" s="196">
        <f>IFERROR($G1128/SUMIF($A:$A,$A1128,$G:$G)*(SUMIF(Summary!$A$247:$A$283,$A1128,Summary!$L$247:$L$283)+SUMIF(Summary!$A$297:$A$333,$A1128,Summary!$L$297:$L$333))-AI1128,0)</f>
        <v>0</v>
      </c>
      <c r="AK1128" s="196">
        <f>IFERROR($G1128/SUMIF($A:$A,$A1128,$G:$G)*SUMIF(Summary!$A$247:$A$283,$A1128,Summary!$Q$247:$Q$283),0)</f>
        <v>0</v>
      </c>
      <c r="AL1128" s="196">
        <f>IFERROR($G1128/SUMIF($A:$A,$A1128,$G:$G)*(SUMIF(Summary!$A$247:$A$283,$A1128,Summary!$L$247:$L$283)+SUMIF(Summary!$A$297:$A$333,$A1128,Summary!$L$297:$L$333))-AK1128,0)</f>
        <v>0</v>
      </c>
      <c r="AM1128" s="198"/>
      <c r="AN1128" s="196">
        <f t="shared" ca="1" si="250"/>
        <v>0</v>
      </c>
      <c r="AO1128" s="196">
        <f t="shared" ca="1" si="251"/>
        <v>0</v>
      </c>
    </row>
    <row r="1129" spans="1:41">
      <c r="A1129" s="189">
        <v>3625</v>
      </c>
      <c r="B1129" s="203">
        <v>4</v>
      </c>
      <c r="C1129" s="191" t="s">
        <v>231</v>
      </c>
      <c r="D1129" s="192">
        <f t="shared" si="238"/>
        <v>0</v>
      </c>
      <c r="E1129" s="192">
        <f t="shared" si="239"/>
        <v>0</v>
      </c>
      <c r="F1129" s="192">
        <f t="shared" si="240"/>
        <v>0</v>
      </c>
      <c r="G1129" s="193">
        <f t="shared" si="241"/>
        <v>0</v>
      </c>
      <c r="H1129" s="194">
        <v>0</v>
      </c>
      <c r="I1129" s="194">
        <v>0</v>
      </c>
      <c r="J1129" s="194">
        <v>0</v>
      </c>
      <c r="K1129" s="193">
        <f t="shared" si="242"/>
        <v>0</v>
      </c>
      <c r="L1129" s="194">
        <v>0</v>
      </c>
      <c r="M1129" s="194">
        <v>0</v>
      </c>
      <c r="N1129" s="194">
        <v>0</v>
      </c>
      <c r="O1129" s="193">
        <f t="shared" si="243"/>
        <v>0</v>
      </c>
      <c r="P1129" s="194">
        <v>0</v>
      </c>
      <c r="Q1129" s="194">
        <v>0</v>
      </c>
      <c r="R1129" s="194">
        <v>0</v>
      </c>
      <c r="S1129" s="193">
        <f t="shared" si="244"/>
        <v>0</v>
      </c>
      <c r="T1129" s="193">
        <f t="shared" si="245"/>
        <v>0</v>
      </c>
      <c r="U1129" s="193">
        <f ca="1">OFFSET('Expenditure Study'!$B$7,'Operations Support'!$C1129,'Operations Support'!$B1129)*$G1129</f>
        <v>0</v>
      </c>
      <c r="V1129" s="199">
        <f ca="1">U1129*'Expenditure Study'!$B$31</f>
        <v>0</v>
      </c>
      <c r="W1129" s="199">
        <f ca="1">IF(A1129=10298,1.51,1)*IF($B1129&lt;3,$D1129*'Expenditure Study'!$B$32*OFFSET('Expenditure Study'!$B$7,'Operations Support'!$C1129,'Operations Support'!$B1129),0)</f>
        <v>0</v>
      </c>
      <c r="X1129" s="200">
        <f ca="1">W1129*'Expenditure Study'!$B$31</f>
        <v>0</v>
      </c>
      <c r="Y1129" s="199">
        <f ca="1">U1129*'Expenditure Study'!$B$31</f>
        <v>0</v>
      </c>
      <c r="Z1129" s="200">
        <f ca="1">W1129*'Expenditure Study'!$B$31</f>
        <v>0</v>
      </c>
      <c r="AA1129" s="195">
        <f t="shared" ca="1" si="246"/>
        <v>0</v>
      </c>
      <c r="AB1129" s="195">
        <f t="shared" ca="1" si="247"/>
        <v>0</v>
      </c>
      <c r="AD1129" s="196">
        <f>IFERROR($G1129/SUMIF($A:$A,$A1129,$G:$G)*SUMIF(Summary!$A$166:$A$242,$A1129,Summary!$P$166:$P$242),0)</f>
        <v>0</v>
      </c>
      <c r="AE1129" s="197">
        <f t="shared" ca="1" si="248"/>
        <v>0</v>
      </c>
      <c r="AF1129" s="196">
        <f>IFERROR(G1129/SUMIF(A:A,A1129,G:G)*SUMIF(Summary!$A$166:$A$242,'Operations Support'!A1129,Summary!$Q$166:$Q$242),0)</f>
        <v>0</v>
      </c>
      <c r="AG1129" s="196">
        <f t="shared" ca="1" si="249"/>
        <v>0</v>
      </c>
      <c r="AI1129" s="196">
        <f>IFERROR($G1129/SUMIF($A:$A,$A1129,$G:$G)*SUMIF(Summary!$A$247:$A$283,$A1129,Summary!$P$247:$P$283),0)</f>
        <v>0</v>
      </c>
      <c r="AJ1129" s="196">
        <f>IFERROR($G1129/SUMIF($A:$A,$A1129,$G:$G)*(SUMIF(Summary!$A$247:$A$283,$A1129,Summary!$L$247:$L$283)+SUMIF(Summary!$A$297:$A$333,$A1129,Summary!$L$297:$L$333))-AI1129,0)</f>
        <v>0</v>
      </c>
      <c r="AK1129" s="196">
        <f>IFERROR($G1129/SUMIF($A:$A,$A1129,$G:$G)*SUMIF(Summary!$A$247:$A$283,$A1129,Summary!$Q$247:$Q$283),0)</f>
        <v>0</v>
      </c>
      <c r="AL1129" s="196">
        <f>IFERROR($G1129/SUMIF($A:$A,$A1129,$G:$G)*(SUMIF(Summary!$A$247:$A$283,$A1129,Summary!$L$247:$L$283)+SUMIF(Summary!$A$297:$A$333,$A1129,Summary!$L$297:$L$333))-AK1129,0)</f>
        <v>0</v>
      </c>
      <c r="AM1129" s="198"/>
      <c r="AN1129" s="196">
        <f t="shared" ca="1" si="250"/>
        <v>0</v>
      </c>
      <c r="AO1129" s="196">
        <f t="shared" ca="1" si="251"/>
        <v>0</v>
      </c>
    </row>
    <row r="1130" spans="1:41">
      <c r="A1130" s="189">
        <v>3625</v>
      </c>
      <c r="B1130" s="203">
        <v>4</v>
      </c>
      <c r="C1130" s="191" t="s">
        <v>232</v>
      </c>
      <c r="D1130" s="192">
        <f t="shared" si="238"/>
        <v>0</v>
      </c>
      <c r="E1130" s="192">
        <f t="shared" si="239"/>
        <v>0</v>
      </c>
      <c r="F1130" s="192">
        <f t="shared" si="240"/>
        <v>0</v>
      </c>
      <c r="G1130" s="193">
        <f t="shared" si="241"/>
        <v>0</v>
      </c>
      <c r="H1130" s="194">
        <v>0</v>
      </c>
      <c r="I1130" s="194">
        <v>0</v>
      </c>
      <c r="J1130" s="194">
        <v>0</v>
      </c>
      <c r="K1130" s="193">
        <f t="shared" si="242"/>
        <v>0</v>
      </c>
      <c r="L1130" s="194">
        <v>0</v>
      </c>
      <c r="M1130" s="194">
        <v>0</v>
      </c>
      <c r="N1130" s="194">
        <v>0</v>
      </c>
      <c r="O1130" s="193">
        <f t="shared" si="243"/>
        <v>0</v>
      </c>
      <c r="P1130" s="194">
        <v>0</v>
      </c>
      <c r="Q1130" s="194">
        <v>0</v>
      </c>
      <c r="R1130" s="194">
        <v>0</v>
      </c>
      <c r="S1130" s="193">
        <f t="shared" si="244"/>
        <v>0</v>
      </c>
      <c r="T1130" s="193">
        <f t="shared" si="245"/>
        <v>0</v>
      </c>
      <c r="U1130" s="193">
        <f ca="1">OFFSET('Expenditure Study'!$B$7,'Operations Support'!$C1130,'Operations Support'!$B1130)*$G1130</f>
        <v>0</v>
      </c>
      <c r="V1130" s="199">
        <f ca="1">U1130*'Expenditure Study'!$B$31</f>
        <v>0</v>
      </c>
      <c r="W1130" s="199">
        <f ca="1">IF(A1130=10298,1.51,1)*IF($B1130&lt;3,$D1130*'Expenditure Study'!$B$32*OFFSET('Expenditure Study'!$B$7,'Operations Support'!$C1130,'Operations Support'!$B1130),0)</f>
        <v>0</v>
      </c>
      <c r="X1130" s="200">
        <f ca="1">W1130*'Expenditure Study'!$B$31</f>
        <v>0</v>
      </c>
      <c r="Y1130" s="199">
        <f ca="1">U1130*'Expenditure Study'!$B$31</f>
        <v>0</v>
      </c>
      <c r="Z1130" s="200">
        <f ca="1">W1130*'Expenditure Study'!$B$31</f>
        <v>0</v>
      </c>
      <c r="AA1130" s="195">
        <f t="shared" ca="1" si="246"/>
        <v>0</v>
      </c>
      <c r="AB1130" s="195">
        <f t="shared" ca="1" si="247"/>
        <v>0</v>
      </c>
      <c r="AD1130" s="196">
        <f>IFERROR($G1130/SUMIF($A:$A,$A1130,$G:$G)*SUMIF(Summary!$A$166:$A$242,$A1130,Summary!$P$166:$P$242),0)</f>
        <v>0</v>
      </c>
      <c r="AE1130" s="197">
        <f t="shared" ca="1" si="248"/>
        <v>0</v>
      </c>
      <c r="AF1130" s="196">
        <f>IFERROR(G1130/SUMIF(A:A,A1130,G:G)*SUMIF(Summary!$A$166:$A$242,'Operations Support'!A1130,Summary!$Q$166:$Q$242),0)</f>
        <v>0</v>
      </c>
      <c r="AG1130" s="196">
        <f t="shared" ca="1" si="249"/>
        <v>0</v>
      </c>
      <c r="AI1130" s="196">
        <f>IFERROR($G1130/SUMIF($A:$A,$A1130,$G:$G)*SUMIF(Summary!$A$247:$A$283,$A1130,Summary!$P$247:$P$283),0)</f>
        <v>0</v>
      </c>
      <c r="AJ1130" s="196">
        <f>IFERROR($G1130/SUMIF($A:$A,$A1130,$G:$G)*(SUMIF(Summary!$A$247:$A$283,$A1130,Summary!$L$247:$L$283)+SUMIF(Summary!$A$297:$A$333,$A1130,Summary!$L$297:$L$333))-AI1130,0)</f>
        <v>0</v>
      </c>
      <c r="AK1130" s="196">
        <f>IFERROR($G1130/SUMIF($A:$A,$A1130,$G:$G)*SUMIF(Summary!$A$247:$A$283,$A1130,Summary!$Q$247:$Q$283),0)</f>
        <v>0</v>
      </c>
      <c r="AL1130" s="196">
        <f>IFERROR($G1130/SUMIF($A:$A,$A1130,$G:$G)*(SUMIF(Summary!$A$247:$A$283,$A1130,Summary!$L$247:$L$283)+SUMIF(Summary!$A$297:$A$333,$A1130,Summary!$L$297:$L$333))-AK1130,0)</f>
        <v>0</v>
      </c>
      <c r="AM1130" s="198"/>
      <c r="AN1130" s="196">
        <f t="shared" ca="1" si="250"/>
        <v>0</v>
      </c>
      <c r="AO1130" s="196">
        <f t="shared" ca="1" si="251"/>
        <v>0</v>
      </c>
    </row>
    <row r="1131" spans="1:41">
      <c r="A1131" s="189">
        <v>3625</v>
      </c>
      <c r="B1131" s="203">
        <v>4</v>
      </c>
      <c r="C1131" s="191" t="s">
        <v>233</v>
      </c>
      <c r="D1131" s="192">
        <f t="shared" si="238"/>
        <v>0</v>
      </c>
      <c r="E1131" s="192">
        <f t="shared" si="239"/>
        <v>0</v>
      </c>
      <c r="F1131" s="192">
        <f t="shared" si="240"/>
        <v>0</v>
      </c>
      <c r="G1131" s="193">
        <f t="shared" si="241"/>
        <v>0</v>
      </c>
      <c r="H1131" s="194">
        <v>0</v>
      </c>
      <c r="I1131" s="194">
        <v>0</v>
      </c>
      <c r="J1131" s="194">
        <v>0</v>
      </c>
      <c r="K1131" s="193">
        <f t="shared" si="242"/>
        <v>0</v>
      </c>
      <c r="L1131" s="194">
        <v>0</v>
      </c>
      <c r="M1131" s="194">
        <v>0</v>
      </c>
      <c r="N1131" s="194">
        <v>0</v>
      </c>
      <c r="O1131" s="193">
        <f t="shared" si="243"/>
        <v>0</v>
      </c>
      <c r="P1131" s="194">
        <v>0</v>
      </c>
      <c r="Q1131" s="194">
        <v>0</v>
      </c>
      <c r="R1131" s="194">
        <v>0</v>
      </c>
      <c r="S1131" s="193">
        <f t="shared" si="244"/>
        <v>0</v>
      </c>
      <c r="T1131" s="193">
        <f t="shared" si="245"/>
        <v>0</v>
      </c>
      <c r="U1131" s="193">
        <f ca="1">OFFSET('Expenditure Study'!$B$7,'Operations Support'!$C1131,'Operations Support'!$B1131)*$G1131</f>
        <v>0</v>
      </c>
      <c r="V1131" s="199">
        <f ca="1">U1131*'Expenditure Study'!$B$31</f>
        <v>0</v>
      </c>
      <c r="W1131" s="199">
        <f ca="1">IF(A1131=10298,1.51,1)*IF($B1131&lt;3,$D1131*'Expenditure Study'!$B$32*OFFSET('Expenditure Study'!$B$7,'Operations Support'!$C1131,'Operations Support'!$B1131),0)</f>
        <v>0</v>
      </c>
      <c r="X1131" s="200">
        <f ca="1">W1131*'Expenditure Study'!$B$31</f>
        <v>0</v>
      </c>
      <c r="Y1131" s="199">
        <f ca="1">U1131*'Expenditure Study'!$B$31</f>
        <v>0</v>
      </c>
      <c r="Z1131" s="200">
        <f ca="1">W1131*'Expenditure Study'!$B$31</f>
        <v>0</v>
      </c>
      <c r="AA1131" s="195">
        <f t="shared" ca="1" si="246"/>
        <v>0</v>
      </c>
      <c r="AB1131" s="195">
        <f t="shared" ca="1" si="247"/>
        <v>0</v>
      </c>
      <c r="AD1131" s="196">
        <f>IFERROR($G1131/SUMIF($A:$A,$A1131,$G:$G)*SUMIF(Summary!$A$166:$A$242,$A1131,Summary!$P$166:$P$242),0)</f>
        <v>0</v>
      </c>
      <c r="AE1131" s="197">
        <f t="shared" ca="1" si="248"/>
        <v>0</v>
      </c>
      <c r="AF1131" s="196">
        <f>IFERROR(G1131/SUMIF(A:A,A1131,G:G)*SUMIF(Summary!$A$166:$A$242,'Operations Support'!A1131,Summary!$Q$166:$Q$242),0)</f>
        <v>0</v>
      </c>
      <c r="AG1131" s="196">
        <f t="shared" ca="1" si="249"/>
        <v>0</v>
      </c>
      <c r="AI1131" s="196">
        <f>IFERROR($G1131/SUMIF($A:$A,$A1131,$G:$G)*SUMIF(Summary!$A$247:$A$283,$A1131,Summary!$P$247:$P$283),0)</f>
        <v>0</v>
      </c>
      <c r="AJ1131" s="196">
        <f>IFERROR($G1131/SUMIF($A:$A,$A1131,$G:$G)*(SUMIF(Summary!$A$247:$A$283,$A1131,Summary!$L$247:$L$283)+SUMIF(Summary!$A$297:$A$333,$A1131,Summary!$L$297:$L$333))-AI1131,0)</f>
        <v>0</v>
      </c>
      <c r="AK1131" s="196">
        <f>IFERROR($G1131/SUMIF($A:$A,$A1131,$G:$G)*SUMIF(Summary!$A$247:$A$283,$A1131,Summary!$Q$247:$Q$283),0)</f>
        <v>0</v>
      </c>
      <c r="AL1131" s="196">
        <f>IFERROR($G1131/SUMIF($A:$A,$A1131,$G:$G)*(SUMIF(Summary!$A$247:$A$283,$A1131,Summary!$L$247:$L$283)+SUMIF(Summary!$A$297:$A$333,$A1131,Summary!$L$297:$L$333))-AK1131,0)</f>
        <v>0</v>
      </c>
      <c r="AM1131" s="198"/>
      <c r="AN1131" s="196">
        <f t="shared" ca="1" si="250"/>
        <v>0</v>
      </c>
      <c r="AO1131" s="196">
        <f t="shared" ca="1" si="251"/>
        <v>0</v>
      </c>
    </row>
    <row r="1132" spans="1:41">
      <c r="A1132" s="189">
        <v>3625</v>
      </c>
      <c r="B1132" s="203">
        <v>4</v>
      </c>
      <c r="C1132" s="191" t="s">
        <v>234</v>
      </c>
      <c r="D1132" s="192">
        <f t="shared" si="238"/>
        <v>0</v>
      </c>
      <c r="E1132" s="192">
        <f t="shared" si="239"/>
        <v>0</v>
      </c>
      <c r="F1132" s="192">
        <f t="shared" si="240"/>
        <v>0</v>
      </c>
      <c r="G1132" s="193">
        <f t="shared" si="241"/>
        <v>0</v>
      </c>
      <c r="H1132" s="194">
        <v>0</v>
      </c>
      <c r="I1132" s="194">
        <v>0</v>
      </c>
      <c r="J1132" s="194">
        <v>0</v>
      </c>
      <c r="K1132" s="193">
        <f t="shared" si="242"/>
        <v>0</v>
      </c>
      <c r="L1132" s="194">
        <v>0</v>
      </c>
      <c r="M1132" s="194">
        <v>0</v>
      </c>
      <c r="N1132" s="194">
        <v>0</v>
      </c>
      <c r="O1132" s="193">
        <f t="shared" si="243"/>
        <v>0</v>
      </c>
      <c r="P1132" s="194">
        <v>0</v>
      </c>
      <c r="Q1132" s="194">
        <v>0</v>
      </c>
      <c r="R1132" s="194">
        <v>0</v>
      </c>
      <c r="S1132" s="193">
        <f t="shared" si="244"/>
        <v>0</v>
      </c>
      <c r="T1132" s="193">
        <f t="shared" si="245"/>
        <v>0</v>
      </c>
      <c r="U1132" s="193">
        <f ca="1">OFFSET('Expenditure Study'!$B$7,'Operations Support'!$C1132,'Operations Support'!$B1132)*$G1132</f>
        <v>0</v>
      </c>
      <c r="V1132" s="199">
        <f ca="1">U1132*'Expenditure Study'!$B$31</f>
        <v>0</v>
      </c>
      <c r="W1132" s="199">
        <f ca="1">IF(A1132=10298,1.51,1)*IF($B1132&lt;3,$D1132*'Expenditure Study'!$B$32*OFFSET('Expenditure Study'!$B$7,'Operations Support'!$C1132,'Operations Support'!$B1132),0)</f>
        <v>0</v>
      </c>
      <c r="X1132" s="200">
        <f ca="1">W1132*'Expenditure Study'!$B$31</f>
        <v>0</v>
      </c>
      <c r="Y1132" s="199">
        <f ca="1">U1132*'Expenditure Study'!$B$31</f>
        <v>0</v>
      </c>
      <c r="Z1132" s="200">
        <f ca="1">W1132*'Expenditure Study'!$B$31</f>
        <v>0</v>
      </c>
      <c r="AA1132" s="195">
        <f t="shared" ca="1" si="246"/>
        <v>0</v>
      </c>
      <c r="AB1132" s="195">
        <f t="shared" ca="1" si="247"/>
        <v>0</v>
      </c>
      <c r="AD1132" s="196">
        <f>IFERROR($G1132/SUMIF($A:$A,$A1132,$G:$G)*SUMIF(Summary!$A$166:$A$242,$A1132,Summary!$P$166:$P$242),0)</f>
        <v>0</v>
      </c>
      <c r="AE1132" s="197">
        <f t="shared" ca="1" si="248"/>
        <v>0</v>
      </c>
      <c r="AF1132" s="196">
        <f>IFERROR(G1132/SUMIF(A:A,A1132,G:G)*SUMIF(Summary!$A$166:$A$242,'Operations Support'!A1132,Summary!$Q$166:$Q$242),0)</f>
        <v>0</v>
      </c>
      <c r="AG1132" s="196">
        <f t="shared" ca="1" si="249"/>
        <v>0</v>
      </c>
      <c r="AI1132" s="196">
        <f>IFERROR($G1132/SUMIF($A:$A,$A1132,$G:$G)*SUMIF(Summary!$A$247:$A$283,$A1132,Summary!$P$247:$P$283),0)</f>
        <v>0</v>
      </c>
      <c r="AJ1132" s="196">
        <f>IFERROR($G1132/SUMIF($A:$A,$A1132,$G:$G)*(SUMIF(Summary!$A$247:$A$283,$A1132,Summary!$L$247:$L$283)+SUMIF(Summary!$A$297:$A$333,$A1132,Summary!$L$297:$L$333))-AI1132,0)</f>
        <v>0</v>
      </c>
      <c r="AK1132" s="196">
        <f>IFERROR($G1132/SUMIF($A:$A,$A1132,$G:$G)*SUMIF(Summary!$A$247:$A$283,$A1132,Summary!$Q$247:$Q$283),0)</f>
        <v>0</v>
      </c>
      <c r="AL1132" s="196">
        <f>IFERROR($G1132/SUMIF($A:$A,$A1132,$G:$G)*(SUMIF(Summary!$A$247:$A$283,$A1132,Summary!$L$247:$L$283)+SUMIF(Summary!$A$297:$A$333,$A1132,Summary!$L$297:$L$333))-AK1132,0)</f>
        <v>0</v>
      </c>
      <c r="AM1132" s="198"/>
      <c r="AN1132" s="196">
        <f t="shared" ca="1" si="250"/>
        <v>0</v>
      </c>
      <c r="AO1132" s="196">
        <f t="shared" ca="1" si="251"/>
        <v>0</v>
      </c>
    </row>
    <row r="1133" spans="1:41">
      <c r="A1133" s="189">
        <v>3625</v>
      </c>
      <c r="B1133" s="203">
        <v>4</v>
      </c>
      <c r="C1133" s="191" t="s">
        <v>235</v>
      </c>
      <c r="D1133" s="192">
        <f t="shared" si="238"/>
        <v>0</v>
      </c>
      <c r="E1133" s="192">
        <f t="shared" si="239"/>
        <v>0</v>
      </c>
      <c r="F1133" s="192">
        <f t="shared" si="240"/>
        <v>0</v>
      </c>
      <c r="G1133" s="193">
        <f t="shared" si="241"/>
        <v>0</v>
      </c>
      <c r="H1133" s="194">
        <v>0</v>
      </c>
      <c r="I1133" s="194">
        <v>0</v>
      </c>
      <c r="J1133" s="194">
        <v>0</v>
      </c>
      <c r="K1133" s="193">
        <f t="shared" si="242"/>
        <v>0</v>
      </c>
      <c r="L1133" s="194">
        <v>0</v>
      </c>
      <c r="M1133" s="194">
        <v>0</v>
      </c>
      <c r="N1133" s="194">
        <v>0</v>
      </c>
      <c r="O1133" s="193">
        <f t="shared" si="243"/>
        <v>0</v>
      </c>
      <c r="P1133" s="194">
        <v>0</v>
      </c>
      <c r="Q1133" s="194">
        <v>0</v>
      </c>
      <c r="R1133" s="194">
        <v>0</v>
      </c>
      <c r="S1133" s="193">
        <f t="shared" si="244"/>
        <v>0</v>
      </c>
      <c r="T1133" s="193">
        <f t="shared" si="245"/>
        <v>0</v>
      </c>
      <c r="U1133" s="193">
        <f ca="1">OFFSET('Expenditure Study'!$B$7,'Operations Support'!$C1133,'Operations Support'!$B1133)*$G1133</f>
        <v>0</v>
      </c>
      <c r="V1133" s="199">
        <f ca="1">U1133*'Expenditure Study'!$B$31</f>
        <v>0</v>
      </c>
      <c r="W1133" s="199">
        <f ca="1">IF(A1133=10298,1.51,1)*IF($B1133&lt;3,$D1133*'Expenditure Study'!$B$32*OFFSET('Expenditure Study'!$B$7,'Operations Support'!$C1133,'Operations Support'!$B1133),0)</f>
        <v>0</v>
      </c>
      <c r="X1133" s="200">
        <f ca="1">W1133*'Expenditure Study'!$B$31</f>
        <v>0</v>
      </c>
      <c r="Y1133" s="199">
        <f ca="1">U1133*'Expenditure Study'!$B$31</f>
        <v>0</v>
      </c>
      <c r="Z1133" s="200">
        <f ca="1">W1133*'Expenditure Study'!$B$31</f>
        <v>0</v>
      </c>
      <c r="AA1133" s="195">
        <f t="shared" ca="1" si="246"/>
        <v>0</v>
      </c>
      <c r="AB1133" s="195">
        <f t="shared" ca="1" si="247"/>
        <v>0</v>
      </c>
      <c r="AD1133" s="196">
        <f>IFERROR($G1133/SUMIF($A:$A,$A1133,$G:$G)*SUMIF(Summary!$A$166:$A$242,$A1133,Summary!$P$166:$P$242),0)</f>
        <v>0</v>
      </c>
      <c r="AE1133" s="197">
        <f t="shared" ca="1" si="248"/>
        <v>0</v>
      </c>
      <c r="AF1133" s="196">
        <f>IFERROR(G1133/SUMIF(A:A,A1133,G:G)*SUMIF(Summary!$A$166:$A$242,'Operations Support'!A1133,Summary!$Q$166:$Q$242),0)</f>
        <v>0</v>
      </c>
      <c r="AG1133" s="196">
        <f t="shared" ca="1" si="249"/>
        <v>0</v>
      </c>
      <c r="AI1133" s="196">
        <f>IFERROR($G1133/SUMIF($A:$A,$A1133,$G:$G)*SUMIF(Summary!$A$247:$A$283,$A1133,Summary!$P$247:$P$283),0)</f>
        <v>0</v>
      </c>
      <c r="AJ1133" s="196">
        <f>IFERROR($G1133/SUMIF($A:$A,$A1133,$G:$G)*(SUMIF(Summary!$A$247:$A$283,$A1133,Summary!$L$247:$L$283)+SUMIF(Summary!$A$297:$A$333,$A1133,Summary!$L$297:$L$333))-AI1133,0)</f>
        <v>0</v>
      </c>
      <c r="AK1133" s="196">
        <f>IFERROR($G1133/SUMIF($A:$A,$A1133,$G:$G)*SUMIF(Summary!$A$247:$A$283,$A1133,Summary!$Q$247:$Q$283),0)</f>
        <v>0</v>
      </c>
      <c r="AL1133" s="196">
        <f>IFERROR($G1133/SUMIF($A:$A,$A1133,$G:$G)*(SUMIF(Summary!$A$247:$A$283,$A1133,Summary!$L$247:$L$283)+SUMIF(Summary!$A$297:$A$333,$A1133,Summary!$L$297:$L$333))-AK1133,0)</f>
        <v>0</v>
      </c>
      <c r="AM1133" s="198"/>
      <c r="AN1133" s="196">
        <f t="shared" ca="1" si="250"/>
        <v>0</v>
      </c>
      <c r="AO1133" s="196">
        <f t="shared" ca="1" si="251"/>
        <v>0</v>
      </c>
    </row>
    <row r="1134" spans="1:41">
      <c r="A1134" s="189">
        <v>3625</v>
      </c>
      <c r="B1134" s="203">
        <v>4</v>
      </c>
      <c r="C1134" s="191" t="s">
        <v>236</v>
      </c>
      <c r="D1134" s="192">
        <f t="shared" si="238"/>
        <v>0</v>
      </c>
      <c r="E1134" s="192">
        <f t="shared" si="239"/>
        <v>0</v>
      </c>
      <c r="F1134" s="192">
        <f t="shared" si="240"/>
        <v>0</v>
      </c>
      <c r="G1134" s="193">
        <f t="shared" si="241"/>
        <v>0</v>
      </c>
      <c r="H1134" s="194">
        <v>0</v>
      </c>
      <c r="I1134" s="194">
        <v>0</v>
      </c>
      <c r="J1134" s="194">
        <v>0</v>
      </c>
      <c r="K1134" s="193">
        <f t="shared" si="242"/>
        <v>0</v>
      </c>
      <c r="L1134" s="194">
        <v>0</v>
      </c>
      <c r="M1134" s="194">
        <v>0</v>
      </c>
      <c r="N1134" s="194">
        <v>0</v>
      </c>
      <c r="O1134" s="193">
        <f t="shared" si="243"/>
        <v>0</v>
      </c>
      <c r="P1134" s="194">
        <v>0</v>
      </c>
      <c r="Q1134" s="194">
        <v>0</v>
      </c>
      <c r="R1134" s="194">
        <v>0</v>
      </c>
      <c r="S1134" s="193">
        <f t="shared" si="244"/>
        <v>0</v>
      </c>
      <c r="T1134" s="193">
        <f t="shared" si="245"/>
        <v>0</v>
      </c>
      <c r="U1134" s="193">
        <f ca="1">OFFSET('Expenditure Study'!$B$7,'Operations Support'!$C1134,'Operations Support'!$B1134)*$G1134</f>
        <v>0</v>
      </c>
      <c r="V1134" s="199">
        <f ca="1">U1134*'Expenditure Study'!$B$31</f>
        <v>0</v>
      </c>
      <c r="W1134" s="199">
        <f ca="1">IF(A1134=10298,1.51,1)*IF($B1134&lt;3,$D1134*'Expenditure Study'!$B$32*OFFSET('Expenditure Study'!$B$7,'Operations Support'!$C1134,'Operations Support'!$B1134),0)</f>
        <v>0</v>
      </c>
      <c r="X1134" s="200">
        <f ca="1">W1134*'Expenditure Study'!$B$31</f>
        <v>0</v>
      </c>
      <c r="Y1134" s="199">
        <f ca="1">U1134*'Expenditure Study'!$B$31</f>
        <v>0</v>
      </c>
      <c r="Z1134" s="200">
        <f ca="1">W1134*'Expenditure Study'!$B$31</f>
        <v>0</v>
      </c>
      <c r="AA1134" s="195">
        <f t="shared" ca="1" si="246"/>
        <v>0</v>
      </c>
      <c r="AB1134" s="195">
        <f t="shared" ca="1" si="247"/>
        <v>0</v>
      </c>
      <c r="AD1134" s="196">
        <f>IFERROR($G1134/SUMIF($A:$A,$A1134,$G:$G)*SUMIF(Summary!$A$166:$A$242,$A1134,Summary!$P$166:$P$242),0)</f>
        <v>0</v>
      </c>
      <c r="AE1134" s="197">
        <f t="shared" ca="1" si="248"/>
        <v>0</v>
      </c>
      <c r="AF1134" s="196">
        <f>IFERROR(G1134/SUMIF(A:A,A1134,G:G)*SUMIF(Summary!$A$166:$A$242,'Operations Support'!A1134,Summary!$Q$166:$Q$242),0)</f>
        <v>0</v>
      </c>
      <c r="AG1134" s="196">
        <f t="shared" ca="1" si="249"/>
        <v>0</v>
      </c>
      <c r="AI1134" s="196">
        <f>IFERROR($G1134/SUMIF($A:$A,$A1134,$G:$G)*SUMIF(Summary!$A$247:$A$283,$A1134,Summary!$P$247:$P$283),0)</f>
        <v>0</v>
      </c>
      <c r="AJ1134" s="196">
        <f>IFERROR($G1134/SUMIF($A:$A,$A1134,$G:$G)*(SUMIF(Summary!$A$247:$A$283,$A1134,Summary!$L$247:$L$283)+SUMIF(Summary!$A$297:$A$333,$A1134,Summary!$L$297:$L$333))-AI1134,0)</f>
        <v>0</v>
      </c>
      <c r="AK1134" s="196">
        <f>IFERROR($G1134/SUMIF($A:$A,$A1134,$G:$G)*SUMIF(Summary!$A$247:$A$283,$A1134,Summary!$Q$247:$Q$283),0)</f>
        <v>0</v>
      </c>
      <c r="AL1134" s="196">
        <f>IFERROR($G1134/SUMIF($A:$A,$A1134,$G:$G)*(SUMIF(Summary!$A$247:$A$283,$A1134,Summary!$L$247:$L$283)+SUMIF(Summary!$A$297:$A$333,$A1134,Summary!$L$297:$L$333))-AK1134,0)</f>
        <v>0</v>
      </c>
      <c r="AM1134" s="198"/>
      <c r="AN1134" s="196">
        <f t="shared" ca="1" si="250"/>
        <v>0</v>
      </c>
      <c r="AO1134" s="196">
        <f t="shared" ca="1" si="251"/>
        <v>0</v>
      </c>
    </row>
    <row r="1135" spans="1:41">
      <c r="A1135" s="189">
        <v>3625</v>
      </c>
      <c r="B1135" s="203">
        <v>4</v>
      </c>
      <c r="C1135" s="191" t="s">
        <v>237</v>
      </c>
      <c r="D1135" s="192">
        <f t="shared" si="238"/>
        <v>0</v>
      </c>
      <c r="E1135" s="192">
        <f t="shared" si="239"/>
        <v>0</v>
      </c>
      <c r="F1135" s="192">
        <f t="shared" si="240"/>
        <v>0</v>
      </c>
      <c r="G1135" s="193">
        <f t="shared" si="241"/>
        <v>0</v>
      </c>
      <c r="H1135" s="194">
        <v>0</v>
      </c>
      <c r="I1135" s="194">
        <v>0</v>
      </c>
      <c r="J1135" s="194">
        <v>0</v>
      </c>
      <c r="K1135" s="193">
        <f t="shared" si="242"/>
        <v>0</v>
      </c>
      <c r="L1135" s="194">
        <v>0</v>
      </c>
      <c r="M1135" s="194">
        <v>0</v>
      </c>
      <c r="N1135" s="194">
        <v>0</v>
      </c>
      <c r="O1135" s="193">
        <f t="shared" si="243"/>
        <v>0</v>
      </c>
      <c r="P1135" s="194">
        <v>0</v>
      </c>
      <c r="Q1135" s="194">
        <v>0</v>
      </c>
      <c r="R1135" s="194">
        <v>0</v>
      </c>
      <c r="S1135" s="193">
        <f t="shared" si="244"/>
        <v>0</v>
      </c>
      <c r="T1135" s="193">
        <f t="shared" si="245"/>
        <v>0</v>
      </c>
      <c r="U1135" s="193">
        <f ca="1">OFFSET('Expenditure Study'!$B$7,'Operations Support'!$C1135,'Operations Support'!$B1135)*$G1135</f>
        <v>0</v>
      </c>
      <c r="V1135" s="199">
        <f ca="1">U1135*'Expenditure Study'!$B$31</f>
        <v>0</v>
      </c>
      <c r="W1135" s="199">
        <f ca="1">IF(A1135=10298,1.51,1)*IF($B1135&lt;3,$D1135*'Expenditure Study'!$B$32*OFFSET('Expenditure Study'!$B$7,'Operations Support'!$C1135,'Operations Support'!$B1135),0)</f>
        <v>0</v>
      </c>
      <c r="X1135" s="200">
        <f ca="1">W1135*'Expenditure Study'!$B$31</f>
        <v>0</v>
      </c>
      <c r="Y1135" s="199">
        <f ca="1">U1135*'Expenditure Study'!$B$31</f>
        <v>0</v>
      </c>
      <c r="Z1135" s="200">
        <f ca="1">W1135*'Expenditure Study'!$B$31</f>
        <v>0</v>
      </c>
      <c r="AA1135" s="195">
        <f t="shared" ca="1" si="246"/>
        <v>0</v>
      </c>
      <c r="AB1135" s="195">
        <f t="shared" ca="1" si="247"/>
        <v>0</v>
      </c>
      <c r="AD1135" s="196">
        <f>IFERROR($G1135/SUMIF($A:$A,$A1135,$G:$G)*SUMIF(Summary!$A$166:$A$242,$A1135,Summary!$P$166:$P$242),0)</f>
        <v>0</v>
      </c>
      <c r="AE1135" s="197">
        <f t="shared" ca="1" si="248"/>
        <v>0</v>
      </c>
      <c r="AF1135" s="196">
        <f>IFERROR(G1135/SUMIF(A:A,A1135,G:G)*SUMIF(Summary!$A$166:$A$242,'Operations Support'!A1135,Summary!$Q$166:$Q$242),0)</f>
        <v>0</v>
      </c>
      <c r="AG1135" s="196">
        <f t="shared" ca="1" si="249"/>
        <v>0</v>
      </c>
      <c r="AI1135" s="196">
        <f>IFERROR($G1135/SUMIF($A:$A,$A1135,$G:$G)*SUMIF(Summary!$A$247:$A$283,$A1135,Summary!$P$247:$P$283),0)</f>
        <v>0</v>
      </c>
      <c r="AJ1135" s="196">
        <f>IFERROR($G1135/SUMIF($A:$A,$A1135,$G:$G)*(SUMIF(Summary!$A$247:$A$283,$A1135,Summary!$L$247:$L$283)+SUMIF(Summary!$A$297:$A$333,$A1135,Summary!$L$297:$L$333))-AI1135,0)</f>
        <v>0</v>
      </c>
      <c r="AK1135" s="196">
        <f>IFERROR($G1135/SUMIF($A:$A,$A1135,$G:$G)*SUMIF(Summary!$A$247:$A$283,$A1135,Summary!$Q$247:$Q$283),0)</f>
        <v>0</v>
      </c>
      <c r="AL1135" s="196">
        <f>IFERROR($G1135/SUMIF($A:$A,$A1135,$G:$G)*(SUMIF(Summary!$A$247:$A$283,$A1135,Summary!$L$247:$L$283)+SUMIF(Summary!$A$297:$A$333,$A1135,Summary!$L$297:$L$333))-AK1135,0)</f>
        <v>0</v>
      </c>
      <c r="AM1135" s="198"/>
      <c r="AN1135" s="196">
        <f t="shared" ca="1" si="250"/>
        <v>0</v>
      </c>
      <c r="AO1135" s="196">
        <f t="shared" ca="1" si="251"/>
        <v>0</v>
      </c>
    </row>
    <row r="1136" spans="1:41" s="201" customFormat="1">
      <c r="A1136" s="189">
        <v>3625</v>
      </c>
      <c r="B1136" s="203">
        <v>4</v>
      </c>
      <c r="C1136" s="191" t="s">
        <v>238</v>
      </c>
      <c r="D1136" s="192">
        <f t="shared" si="238"/>
        <v>0</v>
      </c>
      <c r="E1136" s="192">
        <f t="shared" si="239"/>
        <v>0</v>
      </c>
      <c r="F1136" s="192">
        <f t="shared" si="240"/>
        <v>0</v>
      </c>
      <c r="G1136" s="193">
        <f t="shared" si="241"/>
        <v>0</v>
      </c>
      <c r="H1136" s="194">
        <v>0</v>
      </c>
      <c r="I1136" s="194">
        <v>0</v>
      </c>
      <c r="J1136" s="194">
        <v>0</v>
      </c>
      <c r="K1136" s="193">
        <f t="shared" si="242"/>
        <v>0</v>
      </c>
      <c r="L1136" s="194">
        <v>0</v>
      </c>
      <c r="M1136" s="194">
        <v>0</v>
      </c>
      <c r="N1136" s="194">
        <v>0</v>
      </c>
      <c r="O1136" s="193">
        <f t="shared" si="243"/>
        <v>0</v>
      </c>
      <c r="P1136" s="194">
        <v>0</v>
      </c>
      <c r="Q1136" s="194">
        <v>0</v>
      </c>
      <c r="R1136" s="194">
        <v>0</v>
      </c>
      <c r="S1136" s="193">
        <f t="shared" si="244"/>
        <v>0</v>
      </c>
      <c r="T1136" s="193">
        <f t="shared" si="245"/>
        <v>0</v>
      </c>
      <c r="U1136" s="193">
        <f ca="1">OFFSET('Expenditure Study'!$B$7,'Operations Support'!$C1136,'Operations Support'!$B1136)*$G1136</f>
        <v>0</v>
      </c>
      <c r="V1136" s="199">
        <f ca="1">U1136*'Expenditure Study'!$B$31</f>
        <v>0</v>
      </c>
      <c r="W1136" s="199">
        <f ca="1">IF(A1136=10298,1.51,1)*IF($B1136&lt;3,$D1136*'Expenditure Study'!$B$32*OFFSET('Expenditure Study'!$B$7,'Operations Support'!$C1136,'Operations Support'!$B1136),0)</f>
        <v>0</v>
      </c>
      <c r="X1136" s="200">
        <f ca="1">W1136*'Expenditure Study'!$B$31</f>
        <v>0</v>
      </c>
      <c r="Y1136" s="199">
        <f ca="1">U1136*'Expenditure Study'!$B$31</f>
        <v>0</v>
      </c>
      <c r="Z1136" s="200">
        <f ca="1">W1136*'Expenditure Study'!$B$31</f>
        <v>0</v>
      </c>
      <c r="AA1136" s="195">
        <f t="shared" ca="1" si="246"/>
        <v>0</v>
      </c>
      <c r="AB1136" s="195">
        <f t="shared" ca="1" si="247"/>
        <v>0</v>
      </c>
      <c r="AD1136" s="196">
        <f>IFERROR($G1136/SUMIF($A:$A,$A1136,$G:$G)*SUMIF(Summary!$A$166:$A$242,$A1136,Summary!$P$166:$P$242),0)</f>
        <v>0</v>
      </c>
      <c r="AE1136" s="197">
        <f t="shared" ca="1" si="248"/>
        <v>0</v>
      </c>
      <c r="AF1136" s="196">
        <f>IFERROR(G1136/SUMIF(A:A,A1136,G:G)*SUMIF(Summary!$A$166:$A$242,'Operations Support'!A1136,Summary!$Q$166:$Q$242),0)</f>
        <v>0</v>
      </c>
      <c r="AG1136" s="196">
        <f t="shared" ca="1" si="249"/>
        <v>0</v>
      </c>
      <c r="AH1136" s="180"/>
      <c r="AI1136" s="196">
        <f>IFERROR($G1136/SUMIF($A:$A,$A1136,$G:$G)*SUMIF(Summary!$A$247:$A$283,$A1136,Summary!$P$247:$P$283),0)</f>
        <v>0</v>
      </c>
      <c r="AJ1136" s="196">
        <f>IFERROR($G1136/SUMIF($A:$A,$A1136,$G:$G)*(SUMIF(Summary!$A$247:$A$283,$A1136,Summary!$L$247:$L$283)+SUMIF(Summary!$A$297:$A$333,$A1136,Summary!$L$297:$L$333))-AI1136,0)</f>
        <v>0</v>
      </c>
      <c r="AK1136" s="196">
        <f>IFERROR($G1136/SUMIF($A:$A,$A1136,$G:$G)*SUMIF(Summary!$A$247:$A$283,$A1136,Summary!$Q$247:$Q$283),0)</f>
        <v>0</v>
      </c>
      <c r="AL1136" s="196">
        <f>IFERROR($G1136/SUMIF($A:$A,$A1136,$G:$G)*(SUMIF(Summary!$A$247:$A$283,$A1136,Summary!$L$247:$L$283)+SUMIF(Summary!$A$297:$A$333,$A1136,Summary!$L$297:$L$333))-AK1136,0)</f>
        <v>0</v>
      </c>
      <c r="AM1136" s="198"/>
      <c r="AN1136" s="196">
        <f t="shared" ca="1" si="250"/>
        <v>0</v>
      </c>
      <c r="AO1136" s="196">
        <f t="shared" ca="1" si="251"/>
        <v>0</v>
      </c>
    </row>
    <row r="1137" spans="1:41">
      <c r="A1137" s="189">
        <v>3625</v>
      </c>
      <c r="B1137" s="203">
        <v>4</v>
      </c>
      <c r="C1137" s="191" t="s">
        <v>239</v>
      </c>
      <c r="D1137" s="192">
        <f t="shared" si="238"/>
        <v>0</v>
      </c>
      <c r="E1137" s="192">
        <f t="shared" si="239"/>
        <v>0</v>
      </c>
      <c r="F1137" s="192">
        <f t="shared" si="240"/>
        <v>0</v>
      </c>
      <c r="G1137" s="193">
        <f t="shared" si="241"/>
        <v>0</v>
      </c>
      <c r="H1137" s="194">
        <v>0</v>
      </c>
      <c r="I1137" s="194">
        <v>0</v>
      </c>
      <c r="J1137" s="194">
        <v>0</v>
      </c>
      <c r="K1137" s="193">
        <f t="shared" si="242"/>
        <v>0</v>
      </c>
      <c r="L1137" s="194">
        <v>0</v>
      </c>
      <c r="M1137" s="194">
        <v>0</v>
      </c>
      <c r="N1137" s="194">
        <v>0</v>
      </c>
      <c r="O1137" s="193">
        <f t="shared" si="243"/>
        <v>0</v>
      </c>
      <c r="P1137" s="194">
        <v>0</v>
      </c>
      <c r="Q1137" s="194">
        <v>0</v>
      </c>
      <c r="R1137" s="194">
        <v>0</v>
      </c>
      <c r="S1137" s="193">
        <f t="shared" si="244"/>
        <v>0</v>
      </c>
      <c r="T1137" s="193">
        <f t="shared" si="245"/>
        <v>0</v>
      </c>
      <c r="U1137" s="193">
        <f ca="1">OFFSET('Expenditure Study'!$B$7,'Operations Support'!$C1137,'Operations Support'!$B1137)*$G1137</f>
        <v>0</v>
      </c>
      <c r="V1137" s="199">
        <f ca="1">U1137*'Expenditure Study'!$B$31</f>
        <v>0</v>
      </c>
      <c r="W1137" s="199">
        <f ca="1">IF(A1137=10298,1.51,1)*IF($B1137&lt;3,$D1137*'Expenditure Study'!$B$32*OFFSET('Expenditure Study'!$B$7,'Operations Support'!$C1137,'Operations Support'!$B1137),0)</f>
        <v>0</v>
      </c>
      <c r="X1137" s="200">
        <f ca="1">W1137*'Expenditure Study'!$B$31</f>
        <v>0</v>
      </c>
      <c r="Y1137" s="199">
        <f ca="1">U1137*'Expenditure Study'!$B$31</f>
        <v>0</v>
      </c>
      <c r="Z1137" s="200">
        <f ca="1">W1137*'Expenditure Study'!$B$31</f>
        <v>0</v>
      </c>
      <c r="AA1137" s="195">
        <f t="shared" ca="1" si="246"/>
        <v>0</v>
      </c>
      <c r="AB1137" s="195">
        <f t="shared" ca="1" si="247"/>
        <v>0</v>
      </c>
      <c r="AD1137" s="196">
        <f>IFERROR($G1137/SUMIF($A:$A,$A1137,$G:$G)*SUMIF(Summary!$A$166:$A$242,$A1137,Summary!$P$166:$P$242),0)</f>
        <v>0</v>
      </c>
      <c r="AE1137" s="197">
        <f t="shared" ca="1" si="248"/>
        <v>0</v>
      </c>
      <c r="AF1137" s="196">
        <f>IFERROR(G1137/SUMIF(A:A,A1137,G:G)*SUMIF(Summary!$A$166:$A$242,'Operations Support'!A1137,Summary!$Q$166:$Q$242),0)</f>
        <v>0</v>
      </c>
      <c r="AG1137" s="196">
        <f t="shared" ca="1" si="249"/>
        <v>0</v>
      </c>
      <c r="AI1137" s="196">
        <f>IFERROR($G1137/SUMIF($A:$A,$A1137,$G:$G)*SUMIF(Summary!$A$247:$A$283,$A1137,Summary!$P$247:$P$283),0)</f>
        <v>0</v>
      </c>
      <c r="AJ1137" s="196">
        <f>IFERROR($G1137/SUMIF($A:$A,$A1137,$G:$G)*(SUMIF(Summary!$A$247:$A$283,$A1137,Summary!$L$247:$L$283)+SUMIF(Summary!$A$297:$A$333,$A1137,Summary!$L$297:$L$333))-AI1137,0)</f>
        <v>0</v>
      </c>
      <c r="AK1137" s="196">
        <f>IFERROR($G1137/SUMIF($A:$A,$A1137,$G:$G)*SUMIF(Summary!$A$247:$A$283,$A1137,Summary!$Q$247:$Q$283),0)</f>
        <v>0</v>
      </c>
      <c r="AL1137" s="196">
        <f>IFERROR($G1137/SUMIF($A:$A,$A1137,$G:$G)*(SUMIF(Summary!$A$247:$A$283,$A1137,Summary!$L$247:$L$283)+SUMIF(Summary!$A$297:$A$333,$A1137,Summary!$L$297:$L$333))-AK1137,0)</f>
        <v>0</v>
      </c>
      <c r="AM1137" s="198"/>
      <c r="AN1137" s="196">
        <f t="shared" ca="1" si="250"/>
        <v>0</v>
      </c>
      <c r="AO1137" s="196">
        <f t="shared" ca="1" si="251"/>
        <v>0</v>
      </c>
    </row>
    <row r="1138" spans="1:41">
      <c r="A1138" s="189">
        <v>3625</v>
      </c>
      <c r="B1138" s="203">
        <v>4</v>
      </c>
      <c r="C1138" s="191" t="s">
        <v>240</v>
      </c>
      <c r="D1138" s="192">
        <f t="shared" si="238"/>
        <v>0</v>
      </c>
      <c r="E1138" s="192">
        <f t="shared" si="239"/>
        <v>0</v>
      </c>
      <c r="F1138" s="192">
        <f t="shared" si="240"/>
        <v>0</v>
      </c>
      <c r="G1138" s="193">
        <f t="shared" si="241"/>
        <v>0</v>
      </c>
      <c r="H1138" s="194">
        <v>0</v>
      </c>
      <c r="I1138" s="194">
        <v>0</v>
      </c>
      <c r="J1138" s="194">
        <v>0</v>
      </c>
      <c r="K1138" s="193">
        <f t="shared" si="242"/>
        <v>0</v>
      </c>
      <c r="L1138" s="194">
        <v>0</v>
      </c>
      <c r="M1138" s="194">
        <v>0</v>
      </c>
      <c r="N1138" s="194">
        <v>0</v>
      </c>
      <c r="O1138" s="193">
        <f t="shared" si="243"/>
        <v>0</v>
      </c>
      <c r="P1138" s="194">
        <v>0</v>
      </c>
      <c r="Q1138" s="194">
        <v>0</v>
      </c>
      <c r="R1138" s="194">
        <v>0</v>
      </c>
      <c r="S1138" s="193">
        <f t="shared" si="244"/>
        <v>0</v>
      </c>
      <c r="T1138" s="193">
        <f t="shared" si="245"/>
        <v>0</v>
      </c>
      <c r="U1138" s="193">
        <f ca="1">OFFSET('Expenditure Study'!$B$7,'Operations Support'!$C1138,'Operations Support'!$B1138)*$G1138</f>
        <v>0</v>
      </c>
      <c r="V1138" s="199">
        <f ca="1">U1138*'Expenditure Study'!$B$31</f>
        <v>0</v>
      </c>
      <c r="W1138" s="199">
        <f ca="1">IF(A1138=10298,1.51,1)*IF($B1138&lt;3,$D1138*'Expenditure Study'!$B$32*OFFSET('Expenditure Study'!$B$7,'Operations Support'!$C1138,'Operations Support'!$B1138),0)</f>
        <v>0</v>
      </c>
      <c r="X1138" s="200">
        <f ca="1">W1138*'Expenditure Study'!$B$31</f>
        <v>0</v>
      </c>
      <c r="Y1138" s="199">
        <f ca="1">U1138*'Expenditure Study'!$B$31</f>
        <v>0</v>
      </c>
      <c r="Z1138" s="200">
        <f ca="1">W1138*'Expenditure Study'!$B$31</f>
        <v>0</v>
      </c>
      <c r="AA1138" s="195">
        <f t="shared" ca="1" si="246"/>
        <v>0</v>
      </c>
      <c r="AB1138" s="195">
        <f t="shared" ca="1" si="247"/>
        <v>0</v>
      </c>
      <c r="AD1138" s="196">
        <f>IFERROR($G1138/SUMIF($A:$A,$A1138,$G:$G)*SUMIF(Summary!$A$166:$A$242,$A1138,Summary!$P$166:$P$242),0)</f>
        <v>0</v>
      </c>
      <c r="AE1138" s="197">
        <f t="shared" ca="1" si="248"/>
        <v>0</v>
      </c>
      <c r="AF1138" s="196">
        <f>IFERROR(G1138/SUMIF(A:A,A1138,G:G)*SUMIF(Summary!$A$166:$A$242,'Operations Support'!A1138,Summary!$Q$166:$Q$242),0)</f>
        <v>0</v>
      </c>
      <c r="AG1138" s="196">
        <f t="shared" ca="1" si="249"/>
        <v>0</v>
      </c>
      <c r="AI1138" s="196">
        <f>IFERROR($G1138/SUMIF($A:$A,$A1138,$G:$G)*SUMIF(Summary!$A$247:$A$283,$A1138,Summary!$P$247:$P$283),0)</f>
        <v>0</v>
      </c>
      <c r="AJ1138" s="196">
        <f>IFERROR($G1138/SUMIF($A:$A,$A1138,$G:$G)*(SUMIF(Summary!$A$247:$A$283,$A1138,Summary!$L$247:$L$283)+SUMIF(Summary!$A$297:$A$333,$A1138,Summary!$L$297:$L$333))-AI1138,0)</f>
        <v>0</v>
      </c>
      <c r="AK1138" s="196">
        <f>IFERROR($G1138/SUMIF($A:$A,$A1138,$G:$G)*SUMIF(Summary!$A$247:$A$283,$A1138,Summary!$Q$247:$Q$283),0)</f>
        <v>0</v>
      </c>
      <c r="AL1138" s="196">
        <f>IFERROR($G1138/SUMIF($A:$A,$A1138,$G:$G)*(SUMIF(Summary!$A$247:$A$283,$A1138,Summary!$L$247:$L$283)+SUMIF(Summary!$A$297:$A$333,$A1138,Summary!$L$297:$L$333))-AK1138,0)</f>
        <v>0</v>
      </c>
      <c r="AM1138" s="198"/>
      <c r="AN1138" s="196">
        <f t="shared" ca="1" si="250"/>
        <v>0</v>
      </c>
      <c r="AO1138" s="196">
        <f t="shared" ca="1" si="251"/>
        <v>0</v>
      </c>
    </row>
    <row r="1139" spans="1:41">
      <c r="A1139" s="189">
        <v>3625</v>
      </c>
      <c r="B1139" s="203">
        <v>5</v>
      </c>
      <c r="C1139" s="191" t="s">
        <v>220</v>
      </c>
      <c r="D1139" s="192">
        <f t="shared" si="238"/>
        <v>0</v>
      </c>
      <c r="E1139" s="192">
        <f t="shared" si="239"/>
        <v>0</v>
      </c>
      <c r="F1139" s="192">
        <f t="shared" si="240"/>
        <v>0</v>
      </c>
      <c r="G1139" s="193">
        <f t="shared" si="241"/>
        <v>0</v>
      </c>
      <c r="H1139" s="194">
        <v>0</v>
      </c>
      <c r="I1139" s="194">
        <v>0</v>
      </c>
      <c r="J1139" s="194">
        <v>0</v>
      </c>
      <c r="K1139" s="193">
        <f t="shared" si="242"/>
        <v>0</v>
      </c>
      <c r="L1139" s="194">
        <v>0</v>
      </c>
      <c r="M1139" s="194">
        <v>0</v>
      </c>
      <c r="N1139" s="194">
        <v>0</v>
      </c>
      <c r="O1139" s="193">
        <f t="shared" si="243"/>
        <v>0</v>
      </c>
      <c r="P1139" s="194">
        <v>0</v>
      </c>
      <c r="Q1139" s="194">
        <v>0</v>
      </c>
      <c r="R1139" s="194">
        <v>0</v>
      </c>
      <c r="S1139" s="193">
        <f t="shared" si="244"/>
        <v>0</v>
      </c>
      <c r="T1139" s="193">
        <f t="shared" si="245"/>
        <v>0</v>
      </c>
      <c r="U1139" s="193">
        <f ca="1">OFFSET('Expenditure Study'!$B$7,'Operations Support'!$C1139,'Operations Support'!$B1139)*$G1139</f>
        <v>0</v>
      </c>
      <c r="V1139" s="199">
        <f ca="1">U1139*'Expenditure Study'!$B$31</f>
        <v>0</v>
      </c>
      <c r="W1139" s="199">
        <f ca="1">IF(A1139=10298,1.51,1)*IF($B1139&lt;3,$D1139*'Expenditure Study'!$B$32*OFFSET('Expenditure Study'!$B$7,'Operations Support'!$C1139,'Operations Support'!$B1139),0)</f>
        <v>0</v>
      </c>
      <c r="X1139" s="200">
        <f ca="1">W1139*'Expenditure Study'!$B$31</f>
        <v>0</v>
      </c>
      <c r="Y1139" s="199">
        <f ca="1">U1139*'Expenditure Study'!$B$31</f>
        <v>0</v>
      </c>
      <c r="Z1139" s="200">
        <f ca="1">W1139*'Expenditure Study'!$B$31</f>
        <v>0</v>
      </c>
      <c r="AA1139" s="195">
        <f t="shared" ca="1" si="246"/>
        <v>0</v>
      </c>
      <c r="AB1139" s="195">
        <f t="shared" ca="1" si="247"/>
        <v>0</v>
      </c>
      <c r="AD1139" s="196">
        <f>IFERROR($G1139/SUMIF($A:$A,$A1139,$G:$G)*SUMIF(Summary!$A$166:$A$242,$A1139,Summary!$P$166:$P$242),0)</f>
        <v>0</v>
      </c>
      <c r="AE1139" s="197">
        <f t="shared" ca="1" si="248"/>
        <v>0</v>
      </c>
      <c r="AF1139" s="196">
        <f>IFERROR(G1139/SUMIF(A:A,A1139,G:G)*SUMIF(Summary!$A$166:$A$242,'Operations Support'!A1139,Summary!$Q$166:$Q$242),0)</f>
        <v>0</v>
      </c>
      <c r="AG1139" s="196">
        <f t="shared" ca="1" si="249"/>
        <v>0</v>
      </c>
      <c r="AI1139" s="196">
        <f>IFERROR($G1139/SUMIF($A:$A,$A1139,$G:$G)*SUMIF(Summary!$A$247:$A$283,$A1139,Summary!$P$247:$P$283),0)</f>
        <v>0</v>
      </c>
      <c r="AJ1139" s="196">
        <f>IFERROR($G1139/SUMIF($A:$A,$A1139,$G:$G)*(SUMIF(Summary!$A$247:$A$283,$A1139,Summary!$L$247:$L$283)+SUMIF(Summary!$A$297:$A$333,$A1139,Summary!$L$297:$L$333))-AI1139,0)</f>
        <v>0</v>
      </c>
      <c r="AK1139" s="196">
        <f>IFERROR($G1139/SUMIF($A:$A,$A1139,$G:$G)*SUMIF(Summary!$A$247:$A$283,$A1139,Summary!$Q$247:$Q$283),0)</f>
        <v>0</v>
      </c>
      <c r="AL1139" s="196">
        <f>IFERROR($G1139/SUMIF($A:$A,$A1139,$G:$G)*(SUMIF(Summary!$A$247:$A$283,$A1139,Summary!$L$247:$L$283)+SUMIF(Summary!$A$297:$A$333,$A1139,Summary!$L$297:$L$333))-AK1139,0)</f>
        <v>0</v>
      </c>
      <c r="AM1139" s="198"/>
      <c r="AN1139" s="196">
        <f t="shared" ca="1" si="250"/>
        <v>0</v>
      </c>
      <c r="AO1139" s="196">
        <f t="shared" ca="1" si="251"/>
        <v>0</v>
      </c>
    </row>
    <row r="1140" spans="1:41">
      <c r="A1140" s="189">
        <v>3625</v>
      </c>
      <c r="B1140" s="203">
        <v>5</v>
      </c>
      <c r="C1140" s="191" t="s">
        <v>221</v>
      </c>
      <c r="D1140" s="192">
        <f t="shared" si="238"/>
        <v>0</v>
      </c>
      <c r="E1140" s="192">
        <f t="shared" si="239"/>
        <v>0</v>
      </c>
      <c r="F1140" s="192">
        <f t="shared" si="240"/>
        <v>0</v>
      </c>
      <c r="G1140" s="193">
        <f t="shared" si="241"/>
        <v>0</v>
      </c>
      <c r="H1140" s="194">
        <v>0</v>
      </c>
      <c r="I1140" s="194">
        <v>0</v>
      </c>
      <c r="J1140" s="194">
        <v>0</v>
      </c>
      <c r="K1140" s="193">
        <f t="shared" si="242"/>
        <v>0</v>
      </c>
      <c r="L1140" s="194">
        <v>0</v>
      </c>
      <c r="M1140" s="194">
        <v>0</v>
      </c>
      <c r="N1140" s="194">
        <v>0</v>
      </c>
      <c r="O1140" s="193">
        <f t="shared" si="243"/>
        <v>0</v>
      </c>
      <c r="P1140" s="194">
        <v>0</v>
      </c>
      <c r="Q1140" s="194">
        <v>0</v>
      </c>
      <c r="R1140" s="194">
        <v>0</v>
      </c>
      <c r="S1140" s="193">
        <f t="shared" si="244"/>
        <v>0</v>
      </c>
      <c r="T1140" s="193">
        <f t="shared" si="245"/>
        <v>0</v>
      </c>
      <c r="U1140" s="193">
        <f ca="1">OFFSET('Expenditure Study'!$B$7,'Operations Support'!$C1140,'Operations Support'!$B1140)*$G1140</f>
        <v>0</v>
      </c>
      <c r="V1140" s="199">
        <f ca="1">U1140*'Expenditure Study'!$B$31</f>
        <v>0</v>
      </c>
      <c r="W1140" s="199">
        <f ca="1">IF(A1140=10298,1.51,1)*IF($B1140&lt;3,$D1140*'Expenditure Study'!$B$32*OFFSET('Expenditure Study'!$B$7,'Operations Support'!$C1140,'Operations Support'!$B1140),0)</f>
        <v>0</v>
      </c>
      <c r="X1140" s="200">
        <f ca="1">W1140*'Expenditure Study'!$B$31</f>
        <v>0</v>
      </c>
      <c r="Y1140" s="199">
        <f ca="1">U1140*'Expenditure Study'!$B$31</f>
        <v>0</v>
      </c>
      <c r="Z1140" s="200">
        <f ca="1">W1140*'Expenditure Study'!$B$31</f>
        <v>0</v>
      </c>
      <c r="AA1140" s="195">
        <f t="shared" ca="1" si="246"/>
        <v>0</v>
      </c>
      <c r="AB1140" s="195">
        <f t="shared" ca="1" si="247"/>
        <v>0</v>
      </c>
      <c r="AD1140" s="196">
        <f>IFERROR($G1140/SUMIF($A:$A,$A1140,$G:$G)*SUMIF(Summary!$A$166:$A$242,$A1140,Summary!$P$166:$P$242),0)</f>
        <v>0</v>
      </c>
      <c r="AE1140" s="197">
        <f t="shared" ca="1" si="248"/>
        <v>0</v>
      </c>
      <c r="AF1140" s="196">
        <f>IFERROR(G1140/SUMIF(A:A,A1140,G:G)*SUMIF(Summary!$A$166:$A$242,'Operations Support'!A1140,Summary!$Q$166:$Q$242),0)</f>
        <v>0</v>
      </c>
      <c r="AG1140" s="196">
        <f t="shared" ca="1" si="249"/>
        <v>0</v>
      </c>
      <c r="AI1140" s="196">
        <f>IFERROR($G1140/SUMIF($A:$A,$A1140,$G:$G)*SUMIF(Summary!$A$247:$A$283,$A1140,Summary!$P$247:$P$283),0)</f>
        <v>0</v>
      </c>
      <c r="AJ1140" s="196">
        <f>IFERROR($G1140/SUMIF($A:$A,$A1140,$G:$G)*(SUMIF(Summary!$A$247:$A$283,$A1140,Summary!$L$247:$L$283)+SUMIF(Summary!$A$297:$A$333,$A1140,Summary!$L$297:$L$333))-AI1140,0)</f>
        <v>0</v>
      </c>
      <c r="AK1140" s="196">
        <f>IFERROR($G1140/SUMIF($A:$A,$A1140,$G:$G)*SUMIF(Summary!$A$247:$A$283,$A1140,Summary!$Q$247:$Q$283),0)</f>
        <v>0</v>
      </c>
      <c r="AL1140" s="196">
        <f>IFERROR($G1140/SUMIF($A:$A,$A1140,$G:$G)*(SUMIF(Summary!$A$247:$A$283,$A1140,Summary!$L$247:$L$283)+SUMIF(Summary!$A$297:$A$333,$A1140,Summary!$L$297:$L$333))-AK1140,0)</f>
        <v>0</v>
      </c>
      <c r="AM1140" s="198"/>
      <c r="AN1140" s="196">
        <f t="shared" ca="1" si="250"/>
        <v>0</v>
      </c>
      <c r="AO1140" s="196">
        <f t="shared" ca="1" si="251"/>
        <v>0</v>
      </c>
    </row>
    <row r="1141" spans="1:41">
      <c r="A1141" s="189">
        <v>3625</v>
      </c>
      <c r="B1141" s="203">
        <v>5</v>
      </c>
      <c r="C1141" s="191" t="s">
        <v>222</v>
      </c>
      <c r="D1141" s="192">
        <f t="shared" si="238"/>
        <v>0</v>
      </c>
      <c r="E1141" s="192">
        <f t="shared" si="239"/>
        <v>0</v>
      </c>
      <c r="F1141" s="192">
        <f t="shared" si="240"/>
        <v>0</v>
      </c>
      <c r="G1141" s="193">
        <f t="shared" si="241"/>
        <v>0</v>
      </c>
      <c r="H1141" s="194">
        <v>0</v>
      </c>
      <c r="I1141" s="194">
        <v>0</v>
      </c>
      <c r="J1141" s="194">
        <v>0</v>
      </c>
      <c r="K1141" s="193">
        <f t="shared" si="242"/>
        <v>0</v>
      </c>
      <c r="L1141" s="194">
        <v>0</v>
      </c>
      <c r="M1141" s="194">
        <v>0</v>
      </c>
      <c r="N1141" s="194">
        <v>0</v>
      </c>
      <c r="O1141" s="193">
        <f t="shared" si="243"/>
        <v>0</v>
      </c>
      <c r="P1141" s="194">
        <v>0</v>
      </c>
      <c r="Q1141" s="194">
        <v>0</v>
      </c>
      <c r="R1141" s="194">
        <v>0</v>
      </c>
      <c r="S1141" s="193">
        <f t="shared" si="244"/>
        <v>0</v>
      </c>
      <c r="T1141" s="193">
        <f t="shared" si="245"/>
        <v>0</v>
      </c>
      <c r="U1141" s="193">
        <f ca="1">OFFSET('Expenditure Study'!$B$7,'Operations Support'!$C1141,'Operations Support'!$B1141)*$G1141</f>
        <v>0</v>
      </c>
      <c r="V1141" s="199">
        <f ca="1">U1141*'Expenditure Study'!$B$31</f>
        <v>0</v>
      </c>
      <c r="W1141" s="199">
        <f ca="1">IF(A1141=10298,1.51,1)*IF($B1141&lt;3,$D1141*'Expenditure Study'!$B$32*OFFSET('Expenditure Study'!$B$7,'Operations Support'!$C1141,'Operations Support'!$B1141),0)</f>
        <v>0</v>
      </c>
      <c r="X1141" s="200">
        <f ca="1">W1141*'Expenditure Study'!$B$31</f>
        <v>0</v>
      </c>
      <c r="Y1141" s="199">
        <f ca="1">U1141*'Expenditure Study'!$B$31</f>
        <v>0</v>
      </c>
      <c r="Z1141" s="200">
        <f ca="1">W1141*'Expenditure Study'!$B$31</f>
        <v>0</v>
      </c>
      <c r="AA1141" s="195">
        <f t="shared" ca="1" si="246"/>
        <v>0</v>
      </c>
      <c r="AB1141" s="195">
        <f t="shared" ca="1" si="247"/>
        <v>0</v>
      </c>
      <c r="AD1141" s="196">
        <f>IFERROR($G1141/SUMIF($A:$A,$A1141,$G:$G)*SUMIF(Summary!$A$166:$A$242,$A1141,Summary!$P$166:$P$242),0)</f>
        <v>0</v>
      </c>
      <c r="AE1141" s="197">
        <f t="shared" ca="1" si="248"/>
        <v>0</v>
      </c>
      <c r="AF1141" s="196">
        <f>IFERROR(G1141/SUMIF(A:A,A1141,G:G)*SUMIF(Summary!$A$166:$A$242,'Operations Support'!A1141,Summary!$Q$166:$Q$242),0)</f>
        <v>0</v>
      </c>
      <c r="AG1141" s="196">
        <f t="shared" ca="1" si="249"/>
        <v>0</v>
      </c>
      <c r="AI1141" s="196">
        <f>IFERROR($G1141/SUMIF($A:$A,$A1141,$G:$G)*SUMIF(Summary!$A$247:$A$283,$A1141,Summary!$P$247:$P$283),0)</f>
        <v>0</v>
      </c>
      <c r="AJ1141" s="196">
        <f>IFERROR($G1141/SUMIF($A:$A,$A1141,$G:$G)*(SUMIF(Summary!$A$247:$A$283,$A1141,Summary!$L$247:$L$283)+SUMIF(Summary!$A$297:$A$333,$A1141,Summary!$L$297:$L$333))-AI1141,0)</f>
        <v>0</v>
      </c>
      <c r="AK1141" s="196">
        <f>IFERROR($G1141/SUMIF($A:$A,$A1141,$G:$G)*SUMIF(Summary!$A$247:$A$283,$A1141,Summary!$Q$247:$Q$283),0)</f>
        <v>0</v>
      </c>
      <c r="AL1141" s="196">
        <f>IFERROR($G1141/SUMIF($A:$A,$A1141,$G:$G)*(SUMIF(Summary!$A$247:$A$283,$A1141,Summary!$L$247:$L$283)+SUMIF(Summary!$A$297:$A$333,$A1141,Summary!$L$297:$L$333))-AK1141,0)</f>
        <v>0</v>
      </c>
      <c r="AM1141" s="198"/>
      <c r="AN1141" s="196">
        <f t="shared" ca="1" si="250"/>
        <v>0</v>
      </c>
      <c r="AO1141" s="196">
        <f t="shared" ca="1" si="251"/>
        <v>0</v>
      </c>
    </row>
    <row r="1142" spans="1:41">
      <c r="A1142" s="189">
        <v>3625</v>
      </c>
      <c r="B1142" s="203">
        <v>5</v>
      </c>
      <c r="C1142" s="191" t="s">
        <v>223</v>
      </c>
      <c r="D1142" s="192">
        <f t="shared" si="238"/>
        <v>0</v>
      </c>
      <c r="E1142" s="192">
        <f t="shared" si="239"/>
        <v>0</v>
      </c>
      <c r="F1142" s="192">
        <f t="shared" si="240"/>
        <v>0</v>
      </c>
      <c r="G1142" s="193">
        <f t="shared" si="241"/>
        <v>0</v>
      </c>
      <c r="H1142" s="194">
        <v>0</v>
      </c>
      <c r="I1142" s="194">
        <v>0</v>
      </c>
      <c r="J1142" s="194">
        <v>0</v>
      </c>
      <c r="K1142" s="193">
        <f t="shared" si="242"/>
        <v>0</v>
      </c>
      <c r="L1142" s="194">
        <v>0</v>
      </c>
      <c r="M1142" s="194">
        <v>0</v>
      </c>
      <c r="N1142" s="194">
        <v>0</v>
      </c>
      <c r="O1142" s="193">
        <f t="shared" si="243"/>
        <v>0</v>
      </c>
      <c r="P1142" s="194">
        <v>0</v>
      </c>
      <c r="Q1142" s="194">
        <v>0</v>
      </c>
      <c r="R1142" s="194">
        <v>0</v>
      </c>
      <c r="S1142" s="193">
        <f t="shared" si="244"/>
        <v>0</v>
      </c>
      <c r="T1142" s="193">
        <f t="shared" si="245"/>
        <v>0</v>
      </c>
      <c r="U1142" s="193">
        <f ca="1">OFFSET('Expenditure Study'!$B$7,'Operations Support'!$C1142,'Operations Support'!$B1142)*$G1142</f>
        <v>0</v>
      </c>
      <c r="V1142" s="199">
        <f ca="1">U1142*'Expenditure Study'!$B$31</f>
        <v>0</v>
      </c>
      <c r="W1142" s="199">
        <f ca="1">IF(A1142=10298,1.51,1)*IF($B1142&lt;3,$D1142*'Expenditure Study'!$B$32*OFFSET('Expenditure Study'!$B$7,'Operations Support'!$C1142,'Operations Support'!$B1142),0)</f>
        <v>0</v>
      </c>
      <c r="X1142" s="200">
        <f ca="1">W1142*'Expenditure Study'!$B$31</f>
        <v>0</v>
      </c>
      <c r="Y1142" s="199">
        <f ca="1">U1142*'Expenditure Study'!$B$31</f>
        <v>0</v>
      </c>
      <c r="Z1142" s="200">
        <f ca="1">W1142*'Expenditure Study'!$B$31</f>
        <v>0</v>
      </c>
      <c r="AA1142" s="195">
        <f t="shared" ca="1" si="246"/>
        <v>0</v>
      </c>
      <c r="AB1142" s="195">
        <f t="shared" ca="1" si="247"/>
        <v>0</v>
      </c>
      <c r="AD1142" s="196">
        <f>IFERROR($G1142/SUMIF($A:$A,$A1142,$G:$G)*SUMIF(Summary!$A$166:$A$242,$A1142,Summary!$P$166:$P$242),0)</f>
        <v>0</v>
      </c>
      <c r="AE1142" s="197">
        <f t="shared" ca="1" si="248"/>
        <v>0</v>
      </c>
      <c r="AF1142" s="196">
        <f>IFERROR(G1142/SUMIF(A:A,A1142,G:G)*SUMIF(Summary!$A$166:$A$242,'Operations Support'!A1142,Summary!$Q$166:$Q$242),0)</f>
        <v>0</v>
      </c>
      <c r="AG1142" s="196">
        <f t="shared" ca="1" si="249"/>
        <v>0</v>
      </c>
      <c r="AI1142" s="196">
        <f>IFERROR($G1142/SUMIF($A:$A,$A1142,$G:$G)*SUMIF(Summary!$A$247:$A$283,$A1142,Summary!$P$247:$P$283),0)</f>
        <v>0</v>
      </c>
      <c r="AJ1142" s="196">
        <f>IFERROR($G1142/SUMIF($A:$A,$A1142,$G:$G)*(SUMIF(Summary!$A$247:$A$283,$A1142,Summary!$L$247:$L$283)+SUMIF(Summary!$A$297:$A$333,$A1142,Summary!$L$297:$L$333))-AI1142,0)</f>
        <v>0</v>
      </c>
      <c r="AK1142" s="196">
        <f>IFERROR($G1142/SUMIF($A:$A,$A1142,$G:$G)*SUMIF(Summary!$A$247:$A$283,$A1142,Summary!$Q$247:$Q$283),0)</f>
        <v>0</v>
      </c>
      <c r="AL1142" s="196">
        <f>IFERROR($G1142/SUMIF($A:$A,$A1142,$G:$G)*(SUMIF(Summary!$A$247:$A$283,$A1142,Summary!$L$247:$L$283)+SUMIF(Summary!$A$297:$A$333,$A1142,Summary!$L$297:$L$333))-AK1142,0)</f>
        <v>0</v>
      </c>
      <c r="AM1142" s="198"/>
      <c r="AN1142" s="196">
        <f t="shared" ca="1" si="250"/>
        <v>0</v>
      </c>
      <c r="AO1142" s="196">
        <f t="shared" ca="1" si="251"/>
        <v>0</v>
      </c>
    </row>
    <row r="1143" spans="1:41">
      <c r="A1143" s="189">
        <v>3625</v>
      </c>
      <c r="B1143" s="203">
        <v>5</v>
      </c>
      <c r="C1143" s="191" t="s">
        <v>224</v>
      </c>
      <c r="D1143" s="192">
        <f t="shared" si="238"/>
        <v>0</v>
      </c>
      <c r="E1143" s="192">
        <f t="shared" si="239"/>
        <v>0</v>
      </c>
      <c r="F1143" s="192">
        <f t="shared" si="240"/>
        <v>0</v>
      </c>
      <c r="G1143" s="193">
        <f t="shared" si="241"/>
        <v>0</v>
      </c>
      <c r="H1143" s="194">
        <v>0</v>
      </c>
      <c r="I1143" s="194">
        <v>0</v>
      </c>
      <c r="J1143" s="194">
        <v>0</v>
      </c>
      <c r="K1143" s="193">
        <f t="shared" si="242"/>
        <v>0</v>
      </c>
      <c r="L1143" s="194">
        <v>0</v>
      </c>
      <c r="M1143" s="194">
        <v>0</v>
      </c>
      <c r="N1143" s="194">
        <v>0</v>
      </c>
      <c r="O1143" s="193">
        <f t="shared" si="243"/>
        <v>0</v>
      </c>
      <c r="P1143" s="194">
        <v>0</v>
      </c>
      <c r="Q1143" s="194">
        <v>0</v>
      </c>
      <c r="R1143" s="194">
        <v>0</v>
      </c>
      <c r="S1143" s="193">
        <f t="shared" si="244"/>
        <v>0</v>
      </c>
      <c r="T1143" s="193">
        <f t="shared" si="245"/>
        <v>0</v>
      </c>
      <c r="U1143" s="193">
        <f ca="1">OFFSET('Expenditure Study'!$B$7,'Operations Support'!$C1143,'Operations Support'!$B1143)*$G1143</f>
        <v>0</v>
      </c>
      <c r="V1143" s="199">
        <f ca="1">U1143*'Expenditure Study'!$B$31</f>
        <v>0</v>
      </c>
      <c r="W1143" s="199">
        <f ca="1">IF(A1143=10298,1.51,1)*IF($B1143&lt;3,$D1143*'Expenditure Study'!$B$32*OFFSET('Expenditure Study'!$B$7,'Operations Support'!$C1143,'Operations Support'!$B1143),0)</f>
        <v>0</v>
      </c>
      <c r="X1143" s="200">
        <f ca="1">W1143*'Expenditure Study'!$B$31</f>
        <v>0</v>
      </c>
      <c r="Y1143" s="199">
        <f ca="1">U1143*'Expenditure Study'!$B$31</f>
        <v>0</v>
      </c>
      <c r="Z1143" s="200">
        <f ca="1">W1143*'Expenditure Study'!$B$31</f>
        <v>0</v>
      </c>
      <c r="AA1143" s="195">
        <f t="shared" ca="1" si="246"/>
        <v>0</v>
      </c>
      <c r="AB1143" s="195">
        <f t="shared" ca="1" si="247"/>
        <v>0</v>
      </c>
      <c r="AD1143" s="196">
        <f>IFERROR($G1143/SUMIF($A:$A,$A1143,$G:$G)*SUMIF(Summary!$A$166:$A$242,$A1143,Summary!$P$166:$P$242),0)</f>
        <v>0</v>
      </c>
      <c r="AE1143" s="197">
        <f t="shared" ca="1" si="248"/>
        <v>0</v>
      </c>
      <c r="AF1143" s="196">
        <f>IFERROR(G1143/SUMIF(A:A,A1143,G:G)*SUMIF(Summary!$A$166:$A$242,'Operations Support'!A1143,Summary!$Q$166:$Q$242),0)</f>
        <v>0</v>
      </c>
      <c r="AG1143" s="196">
        <f t="shared" ca="1" si="249"/>
        <v>0</v>
      </c>
      <c r="AI1143" s="196">
        <f>IFERROR($G1143/SUMIF($A:$A,$A1143,$G:$G)*SUMIF(Summary!$A$247:$A$283,$A1143,Summary!$P$247:$P$283),0)</f>
        <v>0</v>
      </c>
      <c r="AJ1143" s="196">
        <f>IFERROR($G1143/SUMIF($A:$A,$A1143,$G:$G)*(SUMIF(Summary!$A$247:$A$283,$A1143,Summary!$L$247:$L$283)+SUMIF(Summary!$A$297:$A$333,$A1143,Summary!$L$297:$L$333))-AI1143,0)</f>
        <v>0</v>
      </c>
      <c r="AK1143" s="196">
        <f>IFERROR($G1143/SUMIF($A:$A,$A1143,$G:$G)*SUMIF(Summary!$A$247:$A$283,$A1143,Summary!$Q$247:$Q$283),0)</f>
        <v>0</v>
      </c>
      <c r="AL1143" s="196">
        <f>IFERROR($G1143/SUMIF($A:$A,$A1143,$G:$G)*(SUMIF(Summary!$A$247:$A$283,$A1143,Summary!$L$247:$L$283)+SUMIF(Summary!$A$297:$A$333,$A1143,Summary!$L$297:$L$333))-AK1143,0)</f>
        <v>0</v>
      </c>
      <c r="AM1143" s="198"/>
      <c r="AN1143" s="196">
        <f t="shared" ca="1" si="250"/>
        <v>0</v>
      </c>
      <c r="AO1143" s="196">
        <f t="shared" ca="1" si="251"/>
        <v>0</v>
      </c>
    </row>
    <row r="1144" spans="1:41">
      <c r="A1144" s="189">
        <v>3625</v>
      </c>
      <c r="B1144" s="203">
        <v>5</v>
      </c>
      <c r="C1144" s="191" t="s">
        <v>225</v>
      </c>
      <c r="D1144" s="192">
        <f t="shared" si="238"/>
        <v>0</v>
      </c>
      <c r="E1144" s="192">
        <f t="shared" si="239"/>
        <v>0</v>
      </c>
      <c r="F1144" s="192">
        <f t="shared" si="240"/>
        <v>0</v>
      </c>
      <c r="G1144" s="193">
        <f t="shared" si="241"/>
        <v>0</v>
      </c>
      <c r="H1144" s="194">
        <v>0</v>
      </c>
      <c r="I1144" s="194">
        <v>0</v>
      </c>
      <c r="J1144" s="194">
        <v>0</v>
      </c>
      <c r="K1144" s="193">
        <f t="shared" si="242"/>
        <v>0</v>
      </c>
      <c r="L1144" s="194">
        <v>0</v>
      </c>
      <c r="M1144" s="194">
        <v>0</v>
      </c>
      <c r="N1144" s="194">
        <v>0</v>
      </c>
      <c r="O1144" s="193">
        <f t="shared" si="243"/>
        <v>0</v>
      </c>
      <c r="P1144" s="194">
        <v>0</v>
      </c>
      <c r="Q1144" s="194">
        <v>0</v>
      </c>
      <c r="R1144" s="194">
        <v>0</v>
      </c>
      <c r="S1144" s="193">
        <f t="shared" si="244"/>
        <v>0</v>
      </c>
      <c r="T1144" s="193">
        <f t="shared" si="245"/>
        <v>0</v>
      </c>
      <c r="U1144" s="193">
        <f ca="1">OFFSET('Expenditure Study'!$B$7,'Operations Support'!$C1144,'Operations Support'!$B1144)*$G1144</f>
        <v>0</v>
      </c>
      <c r="V1144" s="199">
        <f ca="1">U1144*'Expenditure Study'!$B$31</f>
        <v>0</v>
      </c>
      <c r="W1144" s="199">
        <f ca="1">IF(A1144=10298,1.51,1)*IF($B1144&lt;3,$D1144*'Expenditure Study'!$B$32*OFFSET('Expenditure Study'!$B$7,'Operations Support'!$C1144,'Operations Support'!$B1144),0)</f>
        <v>0</v>
      </c>
      <c r="X1144" s="200">
        <f ca="1">W1144*'Expenditure Study'!$B$31</f>
        <v>0</v>
      </c>
      <c r="Y1144" s="199">
        <f ca="1">U1144*'Expenditure Study'!$B$31</f>
        <v>0</v>
      </c>
      <c r="Z1144" s="200">
        <f ca="1">W1144*'Expenditure Study'!$B$31</f>
        <v>0</v>
      </c>
      <c r="AA1144" s="195">
        <f t="shared" ca="1" si="246"/>
        <v>0</v>
      </c>
      <c r="AB1144" s="195">
        <f t="shared" ca="1" si="247"/>
        <v>0</v>
      </c>
      <c r="AD1144" s="196">
        <f>IFERROR($G1144/SUMIF($A:$A,$A1144,$G:$G)*SUMIF(Summary!$A$166:$A$242,$A1144,Summary!$P$166:$P$242),0)</f>
        <v>0</v>
      </c>
      <c r="AE1144" s="197">
        <f t="shared" ca="1" si="248"/>
        <v>0</v>
      </c>
      <c r="AF1144" s="196">
        <f>IFERROR(G1144/SUMIF(A:A,A1144,G:G)*SUMIF(Summary!$A$166:$A$242,'Operations Support'!A1144,Summary!$Q$166:$Q$242),0)</f>
        <v>0</v>
      </c>
      <c r="AG1144" s="196">
        <f t="shared" ca="1" si="249"/>
        <v>0</v>
      </c>
      <c r="AI1144" s="196">
        <f>IFERROR($G1144/SUMIF($A:$A,$A1144,$G:$G)*SUMIF(Summary!$A$247:$A$283,$A1144,Summary!$P$247:$P$283),0)</f>
        <v>0</v>
      </c>
      <c r="AJ1144" s="196">
        <f>IFERROR($G1144/SUMIF($A:$A,$A1144,$G:$G)*(SUMIF(Summary!$A$247:$A$283,$A1144,Summary!$L$247:$L$283)+SUMIF(Summary!$A$297:$A$333,$A1144,Summary!$L$297:$L$333))-AI1144,0)</f>
        <v>0</v>
      </c>
      <c r="AK1144" s="196">
        <f>IFERROR($G1144/SUMIF($A:$A,$A1144,$G:$G)*SUMIF(Summary!$A$247:$A$283,$A1144,Summary!$Q$247:$Q$283),0)</f>
        <v>0</v>
      </c>
      <c r="AL1144" s="196">
        <f>IFERROR($G1144/SUMIF($A:$A,$A1144,$G:$G)*(SUMIF(Summary!$A$247:$A$283,$A1144,Summary!$L$247:$L$283)+SUMIF(Summary!$A$297:$A$333,$A1144,Summary!$L$297:$L$333))-AK1144,0)</f>
        <v>0</v>
      </c>
      <c r="AM1144" s="198"/>
      <c r="AN1144" s="196">
        <f t="shared" ca="1" si="250"/>
        <v>0</v>
      </c>
      <c r="AO1144" s="196">
        <f t="shared" ca="1" si="251"/>
        <v>0</v>
      </c>
    </row>
    <row r="1145" spans="1:41">
      <c r="A1145" s="189">
        <v>3625</v>
      </c>
      <c r="B1145" s="203">
        <v>5</v>
      </c>
      <c r="C1145" s="191" t="s">
        <v>226</v>
      </c>
      <c r="D1145" s="192">
        <f t="shared" si="238"/>
        <v>0</v>
      </c>
      <c r="E1145" s="192">
        <f t="shared" si="239"/>
        <v>0</v>
      </c>
      <c r="F1145" s="192">
        <f t="shared" si="240"/>
        <v>0</v>
      </c>
      <c r="G1145" s="193">
        <f t="shared" si="241"/>
        <v>0</v>
      </c>
      <c r="H1145" s="194">
        <v>0</v>
      </c>
      <c r="I1145" s="194">
        <v>0</v>
      </c>
      <c r="J1145" s="194">
        <v>0</v>
      </c>
      <c r="K1145" s="193">
        <f t="shared" si="242"/>
        <v>0</v>
      </c>
      <c r="L1145" s="194">
        <v>0</v>
      </c>
      <c r="M1145" s="194">
        <v>0</v>
      </c>
      <c r="N1145" s="194">
        <v>0</v>
      </c>
      <c r="O1145" s="193">
        <f t="shared" si="243"/>
        <v>0</v>
      </c>
      <c r="P1145" s="194">
        <v>0</v>
      </c>
      <c r="Q1145" s="194">
        <v>0</v>
      </c>
      <c r="R1145" s="194">
        <v>0</v>
      </c>
      <c r="S1145" s="193">
        <f t="shared" si="244"/>
        <v>0</v>
      </c>
      <c r="T1145" s="193">
        <f t="shared" si="245"/>
        <v>0</v>
      </c>
      <c r="U1145" s="193">
        <f ca="1">OFFSET('Expenditure Study'!$B$7,'Operations Support'!$C1145,'Operations Support'!$B1145)*$G1145</f>
        <v>0</v>
      </c>
      <c r="V1145" s="199">
        <f ca="1">U1145*'Expenditure Study'!$B$31</f>
        <v>0</v>
      </c>
      <c r="W1145" s="199">
        <f ca="1">IF(A1145=10298,1.51,1)*IF($B1145&lt;3,$D1145*'Expenditure Study'!$B$32*OFFSET('Expenditure Study'!$B$7,'Operations Support'!$C1145,'Operations Support'!$B1145),0)</f>
        <v>0</v>
      </c>
      <c r="X1145" s="200">
        <f ca="1">W1145*'Expenditure Study'!$B$31</f>
        <v>0</v>
      </c>
      <c r="Y1145" s="199">
        <f ca="1">U1145*'Expenditure Study'!$B$31</f>
        <v>0</v>
      </c>
      <c r="Z1145" s="200">
        <f ca="1">W1145*'Expenditure Study'!$B$31</f>
        <v>0</v>
      </c>
      <c r="AA1145" s="195">
        <f t="shared" ca="1" si="246"/>
        <v>0</v>
      </c>
      <c r="AB1145" s="195">
        <f t="shared" ca="1" si="247"/>
        <v>0</v>
      </c>
      <c r="AD1145" s="196">
        <f>IFERROR($G1145/SUMIF($A:$A,$A1145,$G:$G)*SUMIF(Summary!$A$166:$A$242,$A1145,Summary!$P$166:$P$242),0)</f>
        <v>0</v>
      </c>
      <c r="AE1145" s="197">
        <f t="shared" ca="1" si="248"/>
        <v>0</v>
      </c>
      <c r="AF1145" s="196">
        <f>IFERROR(G1145/SUMIF(A:A,A1145,G:G)*SUMIF(Summary!$A$166:$A$242,'Operations Support'!A1145,Summary!$Q$166:$Q$242),0)</f>
        <v>0</v>
      </c>
      <c r="AG1145" s="196">
        <f t="shared" ca="1" si="249"/>
        <v>0</v>
      </c>
      <c r="AI1145" s="196">
        <f>IFERROR($G1145/SUMIF($A:$A,$A1145,$G:$G)*SUMIF(Summary!$A$247:$A$283,$A1145,Summary!$P$247:$P$283),0)</f>
        <v>0</v>
      </c>
      <c r="AJ1145" s="196">
        <f>IFERROR($G1145/SUMIF($A:$A,$A1145,$G:$G)*(SUMIF(Summary!$A$247:$A$283,$A1145,Summary!$L$247:$L$283)+SUMIF(Summary!$A$297:$A$333,$A1145,Summary!$L$297:$L$333))-AI1145,0)</f>
        <v>0</v>
      </c>
      <c r="AK1145" s="196">
        <f>IFERROR($G1145/SUMIF($A:$A,$A1145,$G:$G)*SUMIF(Summary!$A$247:$A$283,$A1145,Summary!$Q$247:$Q$283),0)</f>
        <v>0</v>
      </c>
      <c r="AL1145" s="196">
        <f>IFERROR($G1145/SUMIF($A:$A,$A1145,$G:$G)*(SUMIF(Summary!$A$247:$A$283,$A1145,Summary!$L$247:$L$283)+SUMIF(Summary!$A$297:$A$333,$A1145,Summary!$L$297:$L$333))-AK1145,0)</f>
        <v>0</v>
      </c>
      <c r="AM1145" s="198"/>
      <c r="AN1145" s="196">
        <f t="shared" ca="1" si="250"/>
        <v>0</v>
      </c>
      <c r="AO1145" s="196">
        <f t="shared" ca="1" si="251"/>
        <v>0</v>
      </c>
    </row>
    <row r="1146" spans="1:41">
      <c r="A1146" s="189">
        <v>3625</v>
      </c>
      <c r="B1146" s="203">
        <v>5</v>
      </c>
      <c r="C1146" s="191" t="s">
        <v>227</v>
      </c>
      <c r="D1146" s="192">
        <f t="shared" si="238"/>
        <v>0</v>
      </c>
      <c r="E1146" s="192">
        <f t="shared" si="239"/>
        <v>0</v>
      </c>
      <c r="F1146" s="192">
        <f t="shared" si="240"/>
        <v>0</v>
      </c>
      <c r="G1146" s="193">
        <f t="shared" si="241"/>
        <v>0</v>
      </c>
      <c r="H1146" s="194">
        <v>0</v>
      </c>
      <c r="I1146" s="194">
        <v>0</v>
      </c>
      <c r="J1146" s="194">
        <v>0</v>
      </c>
      <c r="K1146" s="193">
        <f t="shared" si="242"/>
        <v>0</v>
      </c>
      <c r="L1146" s="194">
        <v>0</v>
      </c>
      <c r="M1146" s="194">
        <v>0</v>
      </c>
      <c r="N1146" s="194">
        <v>0</v>
      </c>
      <c r="O1146" s="193">
        <f t="shared" si="243"/>
        <v>0</v>
      </c>
      <c r="P1146" s="194">
        <v>0</v>
      </c>
      <c r="Q1146" s="194">
        <v>0</v>
      </c>
      <c r="R1146" s="194">
        <v>0</v>
      </c>
      <c r="S1146" s="193">
        <f t="shared" si="244"/>
        <v>0</v>
      </c>
      <c r="T1146" s="193">
        <f t="shared" si="245"/>
        <v>0</v>
      </c>
      <c r="U1146" s="193">
        <f ca="1">OFFSET('Expenditure Study'!$B$7,'Operations Support'!$C1146,'Operations Support'!$B1146)*$G1146</f>
        <v>0</v>
      </c>
      <c r="V1146" s="199">
        <f ca="1">U1146*'Expenditure Study'!$B$31</f>
        <v>0</v>
      </c>
      <c r="W1146" s="199">
        <f ca="1">IF(A1146=10298,1.51,1)*IF($B1146&lt;3,$D1146*'Expenditure Study'!$B$32*OFFSET('Expenditure Study'!$B$7,'Operations Support'!$C1146,'Operations Support'!$B1146),0)</f>
        <v>0</v>
      </c>
      <c r="X1146" s="200">
        <f ca="1">W1146*'Expenditure Study'!$B$31</f>
        <v>0</v>
      </c>
      <c r="Y1146" s="199">
        <f ca="1">U1146*'Expenditure Study'!$B$31</f>
        <v>0</v>
      </c>
      <c r="Z1146" s="200">
        <f ca="1">W1146*'Expenditure Study'!$B$31</f>
        <v>0</v>
      </c>
      <c r="AA1146" s="195">
        <f t="shared" ca="1" si="246"/>
        <v>0</v>
      </c>
      <c r="AB1146" s="195">
        <f t="shared" ca="1" si="247"/>
        <v>0</v>
      </c>
      <c r="AD1146" s="196">
        <f>IFERROR($G1146/SUMIF($A:$A,$A1146,$G:$G)*SUMIF(Summary!$A$166:$A$242,$A1146,Summary!$P$166:$P$242),0)</f>
        <v>0</v>
      </c>
      <c r="AE1146" s="197">
        <f t="shared" ca="1" si="248"/>
        <v>0</v>
      </c>
      <c r="AF1146" s="196">
        <f>IFERROR(G1146/SUMIF(A:A,A1146,G:G)*SUMIF(Summary!$A$166:$A$242,'Operations Support'!A1146,Summary!$Q$166:$Q$242),0)</f>
        <v>0</v>
      </c>
      <c r="AG1146" s="196">
        <f t="shared" ca="1" si="249"/>
        <v>0</v>
      </c>
      <c r="AI1146" s="196">
        <f>IFERROR($G1146/SUMIF($A:$A,$A1146,$G:$G)*SUMIF(Summary!$A$247:$A$283,$A1146,Summary!$P$247:$P$283),0)</f>
        <v>0</v>
      </c>
      <c r="AJ1146" s="196">
        <f>IFERROR($G1146/SUMIF($A:$A,$A1146,$G:$G)*(SUMIF(Summary!$A$247:$A$283,$A1146,Summary!$L$247:$L$283)+SUMIF(Summary!$A$297:$A$333,$A1146,Summary!$L$297:$L$333))-AI1146,0)</f>
        <v>0</v>
      </c>
      <c r="AK1146" s="196">
        <f>IFERROR($G1146/SUMIF($A:$A,$A1146,$G:$G)*SUMIF(Summary!$A$247:$A$283,$A1146,Summary!$Q$247:$Q$283),0)</f>
        <v>0</v>
      </c>
      <c r="AL1146" s="196">
        <f>IFERROR($G1146/SUMIF($A:$A,$A1146,$G:$G)*(SUMIF(Summary!$A$247:$A$283,$A1146,Summary!$L$247:$L$283)+SUMIF(Summary!$A$297:$A$333,$A1146,Summary!$L$297:$L$333))-AK1146,0)</f>
        <v>0</v>
      </c>
      <c r="AM1146" s="198"/>
      <c r="AN1146" s="196">
        <f t="shared" ca="1" si="250"/>
        <v>0</v>
      </c>
      <c r="AO1146" s="196">
        <f t="shared" ca="1" si="251"/>
        <v>0</v>
      </c>
    </row>
    <row r="1147" spans="1:41">
      <c r="A1147" s="189">
        <v>3625</v>
      </c>
      <c r="B1147" s="203">
        <v>5</v>
      </c>
      <c r="C1147" s="191" t="s">
        <v>228</v>
      </c>
      <c r="D1147" s="192">
        <f t="shared" si="238"/>
        <v>0</v>
      </c>
      <c r="E1147" s="192">
        <f t="shared" si="239"/>
        <v>0</v>
      </c>
      <c r="F1147" s="192">
        <f t="shared" si="240"/>
        <v>0</v>
      </c>
      <c r="G1147" s="193">
        <f t="shared" si="241"/>
        <v>0</v>
      </c>
      <c r="H1147" s="194">
        <v>0</v>
      </c>
      <c r="I1147" s="194">
        <v>0</v>
      </c>
      <c r="J1147" s="194">
        <v>0</v>
      </c>
      <c r="K1147" s="193">
        <f t="shared" si="242"/>
        <v>0</v>
      </c>
      <c r="L1147" s="194">
        <v>0</v>
      </c>
      <c r="M1147" s="194">
        <v>0</v>
      </c>
      <c r="N1147" s="194">
        <v>0</v>
      </c>
      <c r="O1147" s="193">
        <f t="shared" si="243"/>
        <v>0</v>
      </c>
      <c r="P1147" s="194">
        <v>0</v>
      </c>
      <c r="Q1147" s="194">
        <v>0</v>
      </c>
      <c r="R1147" s="194">
        <v>0</v>
      </c>
      <c r="S1147" s="193">
        <f t="shared" si="244"/>
        <v>0</v>
      </c>
      <c r="T1147" s="193">
        <f t="shared" si="245"/>
        <v>0</v>
      </c>
      <c r="U1147" s="193">
        <f ca="1">OFFSET('Expenditure Study'!$B$7,'Operations Support'!$C1147,'Operations Support'!$B1147)*$G1147</f>
        <v>0</v>
      </c>
      <c r="V1147" s="199">
        <f ca="1">U1147*'Expenditure Study'!$B$31</f>
        <v>0</v>
      </c>
      <c r="W1147" s="199">
        <f ca="1">IF(A1147=10298,1.51,1)*IF($B1147&lt;3,$D1147*'Expenditure Study'!$B$32*OFFSET('Expenditure Study'!$B$7,'Operations Support'!$C1147,'Operations Support'!$B1147),0)</f>
        <v>0</v>
      </c>
      <c r="X1147" s="200">
        <f ca="1">W1147*'Expenditure Study'!$B$31</f>
        <v>0</v>
      </c>
      <c r="Y1147" s="199">
        <f ca="1">U1147*'Expenditure Study'!$B$31</f>
        <v>0</v>
      </c>
      <c r="Z1147" s="200">
        <f ca="1">W1147*'Expenditure Study'!$B$31</f>
        <v>0</v>
      </c>
      <c r="AA1147" s="195">
        <f t="shared" ca="1" si="246"/>
        <v>0</v>
      </c>
      <c r="AB1147" s="195">
        <f t="shared" ca="1" si="247"/>
        <v>0</v>
      </c>
      <c r="AD1147" s="196">
        <f>IFERROR($G1147/SUMIF($A:$A,$A1147,$G:$G)*SUMIF(Summary!$A$166:$A$242,$A1147,Summary!$P$166:$P$242),0)</f>
        <v>0</v>
      </c>
      <c r="AE1147" s="197">
        <f t="shared" ca="1" si="248"/>
        <v>0</v>
      </c>
      <c r="AF1147" s="196">
        <f>IFERROR(G1147/SUMIF(A:A,A1147,G:G)*SUMIF(Summary!$A$166:$A$242,'Operations Support'!A1147,Summary!$Q$166:$Q$242),0)</f>
        <v>0</v>
      </c>
      <c r="AG1147" s="196">
        <f t="shared" ca="1" si="249"/>
        <v>0</v>
      </c>
      <c r="AI1147" s="196">
        <f>IFERROR($G1147/SUMIF($A:$A,$A1147,$G:$G)*SUMIF(Summary!$A$247:$A$283,$A1147,Summary!$P$247:$P$283),0)</f>
        <v>0</v>
      </c>
      <c r="AJ1147" s="196">
        <f>IFERROR($G1147/SUMIF($A:$A,$A1147,$G:$G)*(SUMIF(Summary!$A$247:$A$283,$A1147,Summary!$L$247:$L$283)+SUMIF(Summary!$A$297:$A$333,$A1147,Summary!$L$297:$L$333))-AI1147,0)</f>
        <v>0</v>
      </c>
      <c r="AK1147" s="196">
        <f>IFERROR($G1147/SUMIF($A:$A,$A1147,$G:$G)*SUMIF(Summary!$A$247:$A$283,$A1147,Summary!$Q$247:$Q$283),0)</f>
        <v>0</v>
      </c>
      <c r="AL1147" s="196">
        <f>IFERROR($G1147/SUMIF($A:$A,$A1147,$G:$G)*(SUMIF(Summary!$A$247:$A$283,$A1147,Summary!$L$247:$L$283)+SUMIF(Summary!$A$297:$A$333,$A1147,Summary!$L$297:$L$333))-AK1147,0)</f>
        <v>0</v>
      </c>
      <c r="AM1147" s="198"/>
      <c r="AN1147" s="196">
        <f t="shared" ca="1" si="250"/>
        <v>0</v>
      </c>
      <c r="AO1147" s="196">
        <f t="shared" ca="1" si="251"/>
        <v>0</v>
      </c>
    </row>
    <row r="1148" spans="1:41">
      <c r="A1148" s="189">
        <v>3625</v>
      </c>
      <c r="B1148" s="203">
        <v>5</v>
      </c>
      <c r="C1148" s="191" t="s">
        <v>229</v>
      </c>
      <c r="D1148" s="192">
        <f t="shared" si="238"/>
        <v>0</v>
      </c>
      <c r="E1148" s="192">
        <f t="shared" si="239"/>
        <v>0</v>
      </c>
      <c r="F1148" s="192">
        <f t="shared" si="240"/>
        <v>0</v>
      </c>
      <c r="G1148" s="193">
        <f t="shared" si="241"/>
        <v>0</v>
      </c>
      <c r="H1148" s="194">
        <v>0</v>
      </c>
      <c r="I1148" s="194">
        <v>0</v>
      </c>
      <c r="J1148" s="194">
        <v>0</v>
      </c>
      <c r="K1148" s="193">
        <f t="shared" si="242"/>
        <v>0</v>
      </c>
      <c r="L1148" s="194">
        <v>0</v>
      </c>
      <c r="M1148" s="194">
        <v>0</v>
      </c>
      <c r="N1148" s="194">
        <v>0</v>
      </c>
      <c r="O1148" s="193">
        <f t="shared" si="243"/>
        <v>0</v>
      </c>
      <c r="P1148" s="194">
        <v>0</v>
      </c>
      <c r="Q1148" s="194">
        <v>0</v>
      </c>
      <c r="R1148" s="194">
        <v>0</v>
      </c>
      <c r="S1148" s="193">
        <f t="shared" si="244"/>
        <v>0</v>
      </c>
      <c r="T1148" s="193">
        <f t="shared" si="245"/>
        <v>0</v>
      </c>
      <c r="U1148" s="193">
        <f ca="1">OFFSET('Expenditure Study'!$B$7,'Operations Support'!$C1148,'Operations Support'!$B1148)*$G1148</f>
        <v>0</v>
      </c>
      <c r="V1148" s="199">
        <f ca="1">U1148*'Expenditure Study'!$B$31</f>
        <v>0</v>
      </c>
      <c r="W1148" s="199">
        <f ca="1">IF(A1148=10298,1.51,1)*IF($B1148&lt;3,$D1148*'Expenditure Study'!$B$32*OFFSET('Expenditure Study'!$B$7,'Operations Support'!$C1148,'Operations Support'!$B1148),0)</f>
        <v>0</v>
      </c>
      <c r="X1148" s="200">
        <f ca="1">W1148*'Expenditure Study'!$B$31</f>
        <v>0</v>
      </c>
      <c r="Y1148" s="199">
        <f ca="1">U1148*'Expenditure Study'!$B$31</f>
        <v>0</v>
      </c>
      <c r="Z1148" s="200">
        <f ca="1">W1148*'Expenditure Study'!$B$31</f>
        <v>0</v>
      </c>
      <c r="AA1148" s="195">
        <f t="shared" ca="1" si="246"/>
        <v>0</v>
      </c>
      <c r="AB1148" s="195">
        <f t="shared" ca="1" si="247"/>
        <v>0</v>
      </c>
      <c r="AD1148" s="196">
        <f>IFERROR($G1148/SUMIF($A:$A,$A1148,$G:$G)*SUMIF(Summary!$A$166:$A$242,$A1148,Summary!$P$166:$P$242),0)</f>
        <v>0</v>
      </c>
      <c r="AE1148" s="197">
        <f t="shared" ca="1" si="248"/>
        <v>0</v>
      </c>
      <c r="AF1148" s="196">
        <f>IFERROR(G1148/SUMIF(A:A,A1148,G:G)*SUMIF(Summary!$A$166:$A$242,'Operations Support'!A1148,Summary!$Q$166:$Q$242),0)</f>
        <v>0</v>
      </c>
      <c r="AG1148" s="196">
        <f t="shared" ca="1" si="249"/>
        <v>0</v>
      </c>
      <c r="AI1148" s="196">
        <f>IFERROR($G1148/SUMIF($A:$A,$A1148,$G:$G)*SUMIF(Summary!$A$247:$A$283,$A1148,Summary!$P$247:$P$283),0)</f>
        <v>0</v>
      </c>
      <c r="AJ1148" s="196">
        <f>IFERROR($G1148/SUMIF($A:$A,$A1148,$G:$G)*(SUMIF(Summary!$A$247:$A$283,$A1148,Summary!$L$247:$L$283)+SUMIF(Summary!$A$297:$A$333,$A1148,Summary!$L$297:$L$333))-AI1148,0)</f>
        <v>0</v>
      </c>
      <c r="AK1148" s="196">
        <f>IFERROR($G1148/SUMIF($A:$A,$A1148,$G:$G)*SUMIF(Summary!$A$247:$A$283,$A1148,Summary!$Q$247:$Q$283),0)</f>
        <v>0</v>
      </c>
      <c r="AL1148" s="196">
        <f>IFERROR($G1148/SUMIF($A:$A,$A1148,$G:$G)*(SUMIF(Summary!$A$247:$A$283,$A1148,Summary!$L$247:$L$283)+SUMIF(Summary!$A$297:$A$333,$A1148,Summary!$L$297:$L$333))-AK1148,0)</f>
        <v>0</v>
      </c>
      <c r="AM1148" s="198"/>
      <c r="AN1148" s="196">
        <f t="shared" ca="1" si="250"/>
        <v>0</v>
      </c>
      <c r="AO1148" s="196">
        <f t="shared" ca="1" si="251"/>
        <v>0</v>
      </c>
    </row>
    <row r="1149" spans="1:41">
      <c r="A1149" s="189">
        <v>3625</v>
      </c>
      <c r="B1149" s="203">
        <v>5</v>
      </c>
      <c r="C1149" s="191" t="s">
        <v>230</v>
      </c>
      <c r="D1149" s="192">
        <f t="shared" si="238"/>
        <v>0</v>
      </c>
      <c r="E1149" s="192">
        <f t="shared" si="239"/>
        <v>0</v>
      </c>
      <c r="F1149" s="192">
        <f t="shared" si="240"/>
        <v>0</v>
      </c>
      <c r="G1149" s="193">
        <f t="shared" si="241"/>
        <v>0</v>
      </c>
      <c r="H1149" s="194">
        <v>0</v>
      </c>
      <c r="I1149" s="194">
        <v>0</v>
      </c>
      <c r="J1149" s="194">
        <v>0</v>
      </c>
      <c r="K1149" s="193">
        <f t="shared" si="242"/>
        <v>0</v>
      </c>
      <c r="L1149" s="194">
        <v>0</v>
      </c>
      <c r="M1149" s="194">
        <v>0</v>
      </c>
      <c r="N1149" s="194">
        <v>0</v>
      </c>
      <c r="O1149" s="193">
        <f t="shared" si="243"/>
        <v>0</v>
      </c>
      <c r="P1149" s="194">
        <v>0</v>
      </c>
      <c r="Q1149" s="194">
        <v>0</v>
      </c>
      <c r="R1149" s="194">
        <v>0</v>
      </c>
      <c r="S1149" s="193">
        <f t="shared" si="244"/>
        <v>0</v>
      </c>
      <c r="T1149" s="193">
        <f t="shared" si="245"/>
        <v>0</v>
      </c>
      <c r="U1149" s="193">
        <f ca="1">OFFSET('Expenditure Study'!$B$7,'Operations Support'!$C1149,'Operations Support'!$B1149)*$G1149</f>
        <v>0</v>
      </c>
      <c r="V1149" s="199">
        <f ca="1">U1149*'Expenditure Study'!$B$31</f>
        <v>0</v>
      </c>
      <c r="W1149" s="199">
        <f ca="1">IF(A1149=10298,1.51,1)*IF($B1149&lt;3,$D1149*'Expenditure Study'!$B$32*OFFSET('Expenditure Study'!$B$7,'Operations Support'!$C1149,'Operations Support'!$B1149),0)</f>
        <v>0</v>
      </c>
      <c r="X1149" s="200">
        <f ca="1">W1149*'Expenditure Study'!$B$31</f>
        <v>0</v>
      </c>
      <c r="Y1149" s="199">
        <f ca="1">U1149*'Expenditure Study'!$B$31</f>
        <v>0</v>
      </c>
      <c r="Z1149" s="200">
        <f ca="1">W1149*'Expenditure Study'!$B$31</f>
        <v>0</v>
      </c>
      <c r="AA1149" s="195">
        <f t="shared" ca="1" si="246"/>
        <v>0</v>
      </c>
      <c r="AB1149" s="195">
        <f t="shared" ca="1" si="247"/>
        <v>0</v>
      </c>
      <c r="AD1149" s="196">
        <f>IFERROR($G1149/SUMIF($A:$A,$A1149,$G:$G)*SUMIF(Summary!$A$166:$A$242,$A1149,Summary!$P$166:$P$242),0)</f>
        <v>0</v>
      </c>
      <c r="AE1149" s="197">
        <f t="shared" ca="1" si="248"/>
        <v>0</v>
      </c>
      <c r="AF1149" s="196">
        <f>IFERROR(G1149/SUMIF(A:A,A1149,G:G)*SUMIF(Summary!$A$166:$A$242,'Operations Support'!A1149,Summary!$Q$166:$Q$242),0)</f>
        <v>0</v>
      </c>
      <c r="AG1149" s="196">
        <f t="shared" ca="1" si="249"/>
        <v>0</v>
      </c>
      <c r="AI1149" s="196">
        <f>IFERROR($G1149/SUMIF($A:$A,$A1149,$G:$G)*SUMIF(Summary!$A$247:$A$283,$A1149,Summary!$P$247:$P$283),0)</f>
        <v>0</v>
      </c>
      <c r="AJ1149" s="196">
        <f>IFERROR($G1149/SUMIF($A:$A,$A1149,$G:$G)*(SUMIF(Summary!$A$247:$A$283,$A1149,Summary!$L$247:$L$283)+SUMIF(Summary!$A$297:$A$333,$A1149,Summary!$L$297:$L$333))-AI1149,0)</f>
        <v>0</v>
      </c>
      <c r="AK1149" s="196">
        <f>IFERROR($G1149/SUMIF($A:$A,$A1149,$G:$G)*SUMIF(Summary!$A$247:$A$283,$A1149,Summary!$Q$247:$Q$283),0)</f>
        <v>0</v>
      </c>
      <c r="AL1149" s="196">
        <f>IFERROR($G1149/SUMIF($A:$A,$A1149,$G:$G)*(SUMIF(Summary!$A$247:$A$283,$A1149,Summary!$L$247:$L$283)+SUMIF(Summary!$A$297:$A$333,$A1149,Summary!$L$297:$L$333))-AK1149,0)</f>
        <v>0</v>
      </c>
      <c r="AM1149" s="198"/>
      <c r="AN1149" s="196">
        <f t="shared" ca="1" si="250"/>
        <v>0</v>
      </c>
      <c r="AO1149" s="196">
        <f t="shared" ca="1" si="251"/>
        <v>0</v>
      </c>
    </row>
    <row r="1150" spans="1:41">
      <c r="A1150" s="189">
        <v>3625</v>
      </c>
      <c r="B1150" s="203">
        <v>5</v>
      </c>
      <c r="C1150" s="191" t="s">
        <v>231</v>
      </c>
      <c r="D1150" s="192">
        <f t="shared" si="238"/>
        <v>0</v>
      </c>
      <c r="E1150" s="192">
        <f t="shared" si="239"/>
        <v>0</v>
      </c>
      <c r="F1150" s="192">
        <f t="shared" si="240"/>
        <v>0</v>
      </c>
      <c r="G1150" s="193">
        <f t="shared" si="241"/>
        <v>0</v>
      </c>
      <c r="H1150" s="194">
        <v>0</v>
      </c>
      <c r="I1150" s="194">
        <v>0</v>
      </c>
      <c r="J1150" s="194">
        <v>0</v>
      </c>
      <c r="K1150" s="193">
        <f t="shared" si="242"/>
        <v>0</v>
      </c>
      <c r="L1150" s="194">
        <v>0</v>
      </c>
      <c r="M1150" s="194">
        <v>0</v>
      </c>
      <c r="N1150" s="194">
        <v>0</v>
      </c>
      <c r="O1150" s="193">
        <f t="shared" si="243"/>
        <v>0</v>
      </c>
      <c r="P1150" s="194">
        <v>0</v>
      </c>
      <c r="Q1150" s="194">
        <v>0</v>
      </c>
      <c r="R1150" s="194">
        <v>0</v>
      </c>
      <c r="S1150" s="193">
        <f t="shared" si="244"/>
        <v>0</v>
      </c>
      <c r="T1150" s="193">
        <f t="shared" si="245"/>
        <v>0</v>
      </c>
      <c r="U1150" s="193">
        <f ca="1">OFFSET('Expenditure Study'!$B$7,'Operations Support'!$C1150,'Operations Support'!$B1150)*$G1150</f>
        <v>0</v>
      </c>
      <c r="V1150" s="199">
        <f ca="1">U1150*'Expenditure Study'!$B$31</f>
        <v>0</v>
      </c>
      <c r="W1150" s="199">
        <f ca="1">IF(A1150=10298,1.51,1)*IF($B1150&lt;3,$D1150*'Expenditure Study'!$B$32*OFFSET('Expenditure Study'!$B$7,'Operations Support'!$C1150,'Operations Support'!$B1150),0)</f>
        <v>0</v>
      </c>
      <c r="X1150" s="200">
        <f ca="1">W1150*'Expenditure Study'!$B$31</f>
        <v>0</v>
      </c>
      <c r="Y1150" s="199">
        <f ca="1">U1150*'Expenditure Study'!$B$31</f>
        <v>0</v>
      </c>
      <c r="Z1150" s="200">
        <f ca="1">W1150*'Expenditure Study'!$B$31</f>
        <v>0</v>
      </c>
      <c r="AA1150" s="195">
        <f t="shared" ca="1" si="246"/>
        <v>0</v>
      </c>
      <c r="AB1150" s="195">
        <f t="shared" ca="1" si="247"/>
        <v>0</v>
      </c>
      <c r="AD1150" s="196">
        <f>IFERROR($G1150/SUMIF($A:$A,$A1150,$G:$G)*SUMIF(Summary!$A$166:$A$242,$A1150,Summary!$P$166:$P$242),0)</f>
        <v>0</v>
      </c>
      <c r="AE1150" s="197">
        <f t="shared" ca="1" si="248"/>
        <v>0</v>
      </c>
      <c r="AF1150" s="196">
        <f>IFERROR(G1150/SUMIF(A:A,A1150,G:G)*SUMIF(Summary!$A$166:$A$242,'Operations Support'!A1150,Summary!$Q$166:$Q$242),0)</f>
        <v>0</v>
      </c>
      <c r="AG1150" s="196">
        <f t="shared" ca="1" si="249"/>
        <v>0</v>
      </c>
      <c r="AI1150" s="196">
        <f>IFERROR($G1150/SUMIF($A:$A,$A1150,$G:$G)*SUMIF(Summary!$A$247:$A$283,$A1150,Summary!$P$247:$P$283),0)</f>
        <v>0</v>
      </c>
      <c r="AJ1150" s="196">
        <f>IFERROR($G1150/SUMIF($A:$A,$A1150,$G:$G)*(SUMIF(Summary!$A$247:$A$283,$A1150,Summary!$L$247:$L$283)+SUMIF(Summary!$A$297:$A$333,$A1150,Summary!$L$297:$L$333))-AI1150,0)</f>
        <v>0</v>
      </c>
      <c r="AK1150" s="196">
        <f>IFERROR($G1150/SUMIF($A:$A,$A1150,$G:$G)*SUMIF(Summary!$A$247:$A$283,$A1150,Summary!$Q$247:$Q$283),0)</f>
        <v>0</v>
      </c>
      <c r="AL1150" s="196">
        <f>IFERROR($G1150/SUMIF($A:$A,$A1150,$G:$G)*(SUMIF(Summary!$A$247:$A$283,$A1150,Summary!$L$247:$L$283)+SUMIF(Summary!$A$297:$A$333,$A1150,Summary!$L$297:$L$333))-AK1150,0)</f>
        <v>0</v>
      </c>
      <c r="AM1150" s="198"/>
      <c r="AN1150" s="196">
        <f t="shared" ca="1" si="250"/>
        <v>0</v>
      </c>
      <c r="AO1150" s="196">
        <f t="shared" ca="1" si="251"/>
        <v>0</v>
      </c>
    </row>
    <row r="1151" spans="1:41">
      <c r="A1151" s="189">
        <v>3625</v>
      </c>
      <c r="B1151" s="203">
        <v>5</v>
      </c>
      <c r="C1151" s="191" t="s">
        <v>232</v>
      </c>
      <c r="D1151" s="192">
        <f t="shared" si="238"/>
        <v>0</v>
      </c>
      <c r="E1151" s="192">
        <f t="shared" si="239"/>
        <v>0</v>
      </c>
      <c r="F1151" s="192">
        <f t="shared" si="240"/>
        <v>0</v>
      </c>
      <c r="G1151" s="193">
        <f t="shared" si="241"/>
        <v>0</v>
      </c>
      <c r="H1151" s="194">
        <v>0</v>
      </c>
      <c r="I1151" s="194">
        <v>0</v>
      </c>
      <c r="J1151" s="194">
        <v>0</v>
      </c>
      <c r="K1151" s="193">
        <f t="shared" si="242"/>
        <v>0</v>
      </c>
      <c r="L1151" s="194">
        <v>0</v>
      </c>
      <c r="M1151" s="194">
        <v>0</v>
      </c>
      <c r="N1151" s="194">
        <v>0</v>
      </c>
      <c r="O1151" s="193">
        <f t="shared" si="243"/>
        <v>0</v>
      </c>
      <c r="P1151" s="194">
        <v>0</v>
      </c>
      <c r="Q1151" s="194">
        <v>0</v>
      </c>
      <c r="R1151" s="194">
        <v>0</v>
      </c>
      <c r="S1151" s="193">
        <f t="shared" si="244"/>
        <v>0</v>
      </c>
      <c r="T1151" s="193">
        <f t="shared" si="245"/>
        <v>0</v>
      </c>
      <c r="U1151" s="193">
        <f ca="1">OFFSET('Expenditure Study'!$B$7,'Operations Support'!$C1151,'Operations Support'!$B1151)*$G1151</f>
        <v>0</v>
      </c>
      <c r="V1151" s="199">
        <f ca="1">U1151*'Expenditure Study'!$B$31</f>
        <v>0</v>
      </c>
      <c r="W1151" s="199">
        <f ca="1">IF(A1151=10298,1.51,1)*IF($B1151&lt;3,$D1151*'Expenditure Study'!$B$32*OFFSET('Expenditure Study'!$B$7,'Operations Support'!$C1151,'Operations Support'!$B1151),0)</f>
        <v>0</v>
      </c>
      <c r="X1151" s="200">
        <f ca="1">W1151*'Expenditure Study'!$B$31</f>
        <v>0</v>
      </c>
      <c r="Y1151" s="199">
        <f ca="1">U1151*'Expenditure Study'!$B$31</f>
        <v>0</v>
      </c>
      <c r="Z1151" s="200">
        <f ca="1">W1151*'Expenditure Study'!$B$31</f>
        <v>0</v>
      </c>
      <c r="AA1151" s="195">
        <f t="shared" ca="1" si="246"/>
        <v>0</v>
      </c>
      <c r="AB1151" s="195">
        <f t="shared" ca="1" si="247"/>
        <v>0</v>
      </c>
      <c r="AD1151" s="196">
        <f>IFERROR($G1151/SUMIF($A:$A,$A1151,$G:$G)*SUMIF(Summary!$A$166:$A$242,$A1151,Summary!$P$166:$P$242),0)</f>
        <v>0</v>
      </c>
      <c r="AE1151" s="197">
        <f t="shared" ca="1" si="248"/>
        <v>0</v>
      </c>
      <c r="AF1151" s="196">
        <f>IFERROR(G1151/SUMIF(A:A,A1151,G:G)*SUMIF(Summary!$A$166:$A$242,'Operations Support'!A1151,Summary!$Q$166:$Q$242),0)</f>
        <v>0</v>
      </c>
      <c r="AG1151" s="196">
        <f t="shared" ca="1" si="249"/>
        <v>0</v>
      </c>
      <c r="AI1151" s="196">
        <f>IFERROR($G1151/SUMIF($A:$A,$A1151,$G:$G)*SUMIF(Summary!$A$247:$A$283,$A1151,Summary!$P$247:$P$283),0)</f>
        <v>0</v>
      </c>
      <c r="AJ1151" s="196">
        <f>IFERROR($G1151/SUMIF($A:$A,$A1151,$G:$G)*(SUMIF(Summary!$A$247:$A$283,$A1151,Summary!$L$247:$L$283)+SUMIF(Summary!$A$297:$A$333,$A1151,Summary!$L$297:$L$333))-AI1151,0)</f>
        <v>0</v>
      </c>
      <c r="AK1151" s="196">
        <f>IFERROR($G1151/SUMIF($A:$A,$A1151,$G:$G)*SUMIF(Summary!$A$247:$A$283,$A1151,Summary!$Q$247:$Q$283),0)</f>
        <v>0</v>
      </c>
      <c r="AL1151" s="196">
        <f>IFERROR($G1151/SUMIF($A:$A,$A1151,$G:$G)*(SUMIF(Summary!$A$247:$A$283,$A1151,Summary!$L$247:$L$283)+SUMIF(Summary!$A$297:$A$333,$A1151,Summary!$L$297:$L$333))-AK1151,0)</f>
        <v>0</v>
      </c>
      <c r="AM1151" s="198"/>
      <c r="AN1151" s="196">
        <f t="shared" ca="1" si="250"/>
        <v>0</v>
      </c>
      <c r="AO1151" s="196">
        <f t="shared" ca="1" si="251"/>
        <v>0</v>
      </c>
    </row>
    <row r="1152" spans="1:41">
      <c r="A1152" s="189">
        <v>3625</v>
      </c>
      <c r="B1152" s="203">
        <v>5</v>
      </c>
      <c r="C1152" s="191" t="s">
        <v>233</v>
      </c>
      <c r="D1152" s="192">
        <f t="shared" si="238"/>
        <v>0</v>
      </c>
      <c r="E1152" s="192">
        <f t="shared" si="239"/>
        <v>0</v>
      </c>
      <c r="F1152" s="192">
        <f t="shared" si="240"/>
        <v>0</v>
      </c>
      <c r="G1152" s="193">
        <f t="shared" si="241"/>
        <v>0</v>
      </c>
      <c r="H1152" s="194">
        <v>0</v>
      </c>
      <c r="I1152" s="194">
        <v>0</v>
      </c>
      <c r="J1152" s="194">
        <v>0</v>
      </c>
      <c r="K1152" s="193">
        <f t="shared" si="242"/>
        <v>0</v>
      </c>
      <c r="L1152" s="194">
        <v>0</v>
      </c>
      <c r="M1152" s="194">
        <v>0</v>
      </c>
      <c r="N1152" s="194">
        <v>0</v>
      </c>
      <c r="O1152" s="193">
        <f t="shared" si="243"/>
        <v>0</v>
      </c>
      <c r="P1152" s="194">
        <v>0</v>
      </c>
      <c r="Q1152" s="194">
        <v>0</v>
      </c>
      <c r="R1152" s="194">
        <v>0</v>
      </c>
      <c r="S1152" s="193">
        <f t="shared" si="244"/>
        <v>0</v>
      </c>
      <c r="T1152" s="193">
        <f t="shared" si="245"/>
        <v>0</v>
      </c>
      <c r="U1152" s="193">
        <f ca="1">OFFSET('Expenditure Study'!$B$7,'Operations Support'!$C1152,'Operations Support'!$B1152)*$G1152</f>
        <v>0</v>
      </c>
      <c r="V1152" s="199">
        <f ca="1">U1152*'Expenditure Study'!$B$31</f>
        <v>0</v>
      </c>
      <c r="W1152" s="199">
        <f ca="1">IF(A1152=10298,1.51,1)*IF($B1152&lt;3,$D1152*'Expenditure Study'!$B$32*OFFSET('Expenditure Study'!$B$7,'Operations Support'!$C1152,'Operations Support'!$B1152),0)</f>
        <v>0</v>
      </c>
      <c r="X1152" s="200">
        <f ca="1">W1152*'Expenditure Study'!$B$31</f>
        <v>0</v>
      </c>
      <c r="Y1152" s="199">
        <f ca="1">U1152*'Expenditure Study'!$B$31</f>
        <v>0</v>
      </c>
      <c r="Z1152" s="200">
        <f ca="1">W1152*'Expenditure Study'!$B$31</f>
        <v>0</v>
      </c>
      <c r="AA1152" s="195">
        <f t="shared" ca="1" si="246"/>
        <v>0</v>
      </c>
      <c r="AB1152" s="195">
        <f t="shared" ca="1" si="247"/>
        <v>0</v>
      </c>
      <c r="AD1152" s="196">
        <f>IFERROR($G1152/SUMIF($A:$A,$A1152,$G:$G)*SUMIF(Summary!$A$166:$A$242,$A1152,Summary!$P$166:$P$242),0)</f>
        <v>0</v>
      </c>
      <c r="AE1152" s="197">
        <f t="shared" ca="1" si="248"/>
        <v>0</v>
      </c>
      <c r="AF1152" s="196">
        <f>IFERROR(G1152/SUMIF(A:A,A1152,G:G)*SUMIF(Summary!$A$166:$A$242,'Operations Support'!A1152,Summary!$Q$166:$Q$242),0)</f>
        <v>0</v>
      </c>
      <c r="AG1152" s="196">
        <f t="shared" ca="1" si="249"/>
        <v>0</v>
      </c>
      <c r="AI1152" s="196">
        <f>IFERROR($G1152/SUMIF($A:$A,$A1152,$G:$G)*SUMIF(Summary!$A$247:$A$283,$A1152,Summary!$P$247:$P$283),0)</f>
        <v>0</v>
      </c>
      <c r="AJ1152" s="196">
        <f>IFERROR($G1152/SUMIF($A:$A,$A1152,$G:$G)*(SUMIF(Summary!$A$247:$A$283,$A1152,Summary!$L$247:$L$283)+SUMIF(Summary!$A$297:$A$333,$A1152,Summary!$L$297:$L$333))-AI1152,0)</f>
        <v>0</v>
      </c>
      <c r="AK1152" s="196">
        <f>IFERROR($G1152/SUMIF($A:$A,$A1152,$G:$G)*SUMIF(Summary!$A$247:$A$283,$A1152,Summary!$Q$247:$Q$283),0)</f>
        <v>0</v>
      </c>
      <c r="AL1152" s="196">
        <f>IFERROR($G1152/SUMIF($A:$A,$A1152,$G:$G)*(SUMIF(Summary!$A$247:$A$283,$A1152,Summary!$L$247:$L$283)+SUMIF(Summary!$A$297:$A$333,$A1152,Summary!$L$297:$L$333))-AK1152,0)</f>
        <v>0</v>
      </c>
      <c r="AM1152" s="198"/>
      <c r="AN1152" s="196">
        <f t="shared" ca="1" si="250"/>
        <v>0</v>
      </c>
      <c r="AO1152" s="196">
        <f t="shared" ca="1" si="251"/>
        <v>0</v>
      </c>
    </row>
    <row r="1153" spans="1:41">
      <c r="A1153" s="189">
        <v>3625</v>
      </c>
      <c r="B1153" s="203">
        <v>5</v>
      </c>
      <c r="C1153" s="191" t="s">
        <v>234</v>
      </c>
      <c r="D1153" s="192">
        <f t="shared" si="238"/>
        <v>0</v>
      </c>
      <c r="E1153" s="192">
        <f t="shared" si="239"/>
        <v>0</v>
      </c>
      <c r="F1153" s="192">
        <f t="shared" si="240"/>
        <v>0</v>
      </c>
      <c r="G1153" s="193">
        <f t="shared" si="241"/>
        <v>0</v>
      </c>
      <c r="H1153" s="194">
        <v>0</v>
      </c>
      <c r="I1153" s="194">
        <v>0</v>
      </c>
      <c r="J1153" s="194">
        <v>0</v>
      </c>
      <c r="K1153" s="193">
        <f t="shared" si="242"/>
        <v>0</v>
      </c>
      <c r="L1153" s="194">
        <v>0</v>
      </c>
      <c r="M1153" s="194">
        <v>0</v>
      </c>
      <c r="N1153" s="194">
        <v>0</v>
      </c>
      <c r="O1153" s="193">
        <f t="shared" si="243"/>
        <v>0</v>
      </c>
      <c r="P1153" s="194">
        <v>0</v>
      </c>
      <c r="Q1153" s="194">
        <v>0</v>
      </c>
      <c r="R1153" s="194">
        <v>0</v>
      </c>
      <c r="S1153" s="193">
        <f t="shared" si="244"/>
        <v>0</v>
      </c>
      <c r="T1153" s="193">
        <f t="shared" si="245"/>
        <v>0</v>
      </c>
      <c r="U1153" s="193">
        <f ca="1">OFFSET('Expenditure Study'!$B$7,'Operations Support'!$C1153,'Operations Support'!$B1153)*$G1153</f>
        <v>0</v>
      </c>
      <c r="V1153" s="199">
        <f ca="1">U1153*'Expenditure Study'!$B$31</f>
        <v>0</v>
      </c>
      <c r="W1153" s="199">
        <f ca="1">IF(A1153=10298,1.51,1)*IF($B1153&lt;3,$D1153*'Expenditure Study'!$B$32*OFFSET('Expenditure Study'!$B$7,'Operations Support'!$C1153,'Operations Support'!$B1153),0)</f>
        <v>0</v>
      </c>
      <c r="X1153" s="200">
        <f ca="1">W1153*'Expenditure Study'!$B$31</f>
        <v>0</v>
      </c>
      <c r="Y1153" s="199">
        <f ca="1">U1153*'Expenditure Study'!$B$31</f>
        <v>0</v>
      </c>
      <c r="Z1153" s="200">
        <f ca="1">W1153*'Expenditure Study'!$B$31</f>
        <v>0</v>
      </c>
      <c r="AA1153" s="195">
        <f t="shared" ca="1" si="246"/>
        <v>0</v>
      </c>
      <c r="AB1153" s="195">
        <f t="shared" ca="1" si="247"/>
        <v>0</v>
      </c>
      <c r="AD1153" s="196">
        <f>IFERROR($G1153/SUMIF($A:$A,$A1153,$G:$G)*SUMIF(Summary!$A$166:$A$242,$A1153,Summary!$P$166:$P$242),0)</f>
        <v>0</v>
      </c>
      <c r="AE1153" s="197">
        <f t="shared" ca="1" si="248"/>
        <v>0</v>
      </c>
      <c r="AF1153" s="196">
        <f>IFERROR(G1153/SUMIF(A:A,A1153,G:G)*SUMIF(Summary!$A$166:$A$242,'Operations Support'!A1153,Summary!$Q$166:$Q$242),0)</f>
        <v>0</v>
      </c>
      <c r="AG1153" s="196">
        <f t="shared" ca="1" si="249"/>
        <v>0</v>
      </c>
      <c r="AI1153" s="196">
        <f>IFERROR($G1153/SUMIF($A:$A,$A1153,$G:$G)*SUMIF(Summary!$A$247:$A$283,$A1153,Summary!$P$247:$P$283),0)</f>
        <v>0</v>
      </c>
      <c r="AJ1153" s="196">
        <f>IFERROR($G1153/SUMIF($A:$A,$A1153,$G:$G)*(SUMIF(Summary!$A$247:$A$283,$A1153,Summary!$L$247:$L$283)+SUMIF(Summary!$A$297:$A$333,$A1153,Summary!$L$297:$L$333))-AI1153,0)</f>
        <v>0</v>
      </c>
      <c r="AK1153" s="196">
        <f>IFERROR($G1153/SUMIF($A:$A,$A1153,$G:$G)*SUMIF(Summary!$A$247:$A$283,$A1153,Summary!$Q$247:$Q$283),0)</f>
        <v>0</v>
      </c>
      <c r="AL1153" s="196">
        <f>IFERROR($G1153/SUMIF($A:$A,$A1153,$G:$G)*(SUMIF(Summary!$A$247:$A$283,$A1153,Summary!$L$247:$L$283)+SUMIF(Summary!$A$297:$A$333,$A1153,Summary!$L$297:$L$333))-AK1153,0)</f>
        <v>0</v>
      </c>
      <c r="AM1153" s="198"/>
      <c r="AN1153" s="196">
        <f t="shared" ca="1" si="250"/>
        <v>0</v>
      </c>
      <c r="AO1153" s="196">
        <f t="shared" ca="1" si="251"/>
        <v>0</v>
      </c>
    </row>
    <row r="1154" spans="1:41">
      <c r="A1154" s="189">
        <v>3625</v>
      </c>
      <c r="B1154" s="203">
        <v>5</v>
      </c>
      <c r="C1154" s="191" t="s">
        <v>235</v>
      </c>
      <c r="D1154" s="192">
        <f t="shared" si="238"/>
        <v>0</v>
      </c>
      <c r="E1154" s="192">
        <f t="shared" si="239"/>
        <v>0</v>
      </c>
      <c r="F1154" s="192">
        <f t="shared" si="240"/>
        <v>0</v>
      </c>
      <c r="G1154" s="193">
        <f t="shared" si="241"/>
        <v>0</v>
      </c>
      <c r="H1154" s="194">
        <v>0</v>
      </c>
      <c r="I1154" s="194">
        <v>0</v>
      </c>
      <c r="J1154" s="194">
        <v>0</v>
      </c>
      <c r="K1154" s="193">
        <f t="shared" si="242"/>
        <v>0</v>
      </c>
      <c r="L1154" s="194">
        <v>0</v>
      </c>
      <c r="M1154" s="194">
        <v>0</v>
      </c>
      <c r="N1154" s="194">
        <v>0</v>
      </c>
      <c r="O1154" s="193">
        <f t="shared" si="243"/>
        <v>0</v>
      </c>
      <c r="P1154" s="194">
        <v>0</v>
      </c>
      <c r="Q1154" s="194">
        <v>0</v>
      </c>
      <c r="R1154" s="194">
        <v>0</v>
      </c>
      <c r="S1154" s="193">
        <f t="shared" si="244"/>
        <v>0</v>
      </c>
      <c r="T1154" s="193">
        <f t="shared" si="245"/>
        <v>0</v>
      </c>
      <c r="U1154" s="193">
        <f ca="1">OFFSET('Expenditure Study'!$B$7,'Operations Support'!$C1154,'Operations Support'!$B1154)*$G1154</f>
        <v>0</v>
      </c>
      <c r="V1154" s="199">
        <f ca="1">U1154*'Expenditure Study'!$B$31</f>
        <v>0</v>
      </c>
      <c r="W1154" s="199">
        <f ca="1">IF(A1154=10298,1.51,1)*IF($B1154&lt;3,$D1154*'Expenditure Study'!$B$32*OFFSET('Expenditure Study'!$B$7,'Operations Support'!$C1154,'Operations Support'!$B1154),0)</f>
        <v>0</v>
      </c>
      <c r="X1154" s="200">
        <f ca="1">W1154*'Expenditure Study'!$B$31</f>
        <v>0</v>
      </c>
      <c r="Y1154" s="199">
        <f ca="1">U1154*'Expenditure Study'!$B$31</f>
        <v>0</v>
      </c>
      <c r="Z1154" s="200">
        <f ca="1">W1154*'Expenditure Study'!$B$31</f>
        <v>0</v>
      </c>
      <c r="AA1154" s="195">
        <f t="shared" ca="1" si="246"/>
        <v>0</v>
      </c>
      <c r="AB1154" s="195">
        <f t="shared" ca="1" si="247"/>
        <v>0</v>
      </c>
      <c r="AD1154" s="196">
        <f>IFERROR($G1154/SUMIF($A:$A,$A1154,$G:$G)*SUMIF(Summary!$A$166:$A$242,$A1154,Summary!$P$166:$P$242),0)</f>
        <v>0</v>
      </c>
      <c r="AE1154" s="197">
        <f t="shared" ca="1" si="248"/>
        <v>0</v>
      </c>
      <c r="AF1154" s="196">
        <f>IFERROR(G1154/SUMIF(A:A,A1154,G:G)*SUMIF(Summary!$A$166:$A$242,'Operations Support'!A1154,Summary!$Q$166:$Q$242),0)</f>
        <v>0</v>
      </c>
      <c r="AG1154" s="196">
        <f t="shared" ca="1" si="249"/>
        <v>0</v>
      </c>
      <c r="AI1154" s="196">
        <f>IFERROR($G1154/SUMIF($A:$A,$A1154,$G:$G)*SUMIF(Summary!$A$247:$A$283,$A1154,Summary!$P$247:$P$283),0)</f>
        <v>0</v>
      </c>
      <c r="AJ1154" s="196">
        <f>IFERROR($G1154/SUMIF($A:$A,$A1154,$G:$G)*(SUMIF(Summary!$A$247:$A$283,$A1154,Summary!$L$247:$L$283)+SUMIF(Summary!$A$297:$A$333,$A1154,Summary!$L$297:$L$333))-AI1154,0)</f>
        <v>0</v>
      </c>
      <c r="AK1154" s="196">
        <f>IFERROR($G1154/SUMIF($A:$A,$A1154,$G:$G)*SUMIF(Summary!$A$247:$A$283,$A1154,Summary!$Q$247:$Q$283),0)</f>
        <v>0</v>
      </c>
      <c r="AL1154" s="196">
        <f>IFERROR($G1154/SUMIF($A:$A,$A1154,$G:$G)*(SUMIF(Summary!$A$247:$A$283,$A1154,Summary!$L$247:$L$283)+SUMIF(Summary!$A$297:$A$333,$A1154,Summary!$L$297:$L$333))-AK1154,0)</f>
        <v>0</v>
      </c>
      <c r="AM1154" s="198"/>
      <c r="AN1154" s="196">
        <f t="shared" ca="1" si="250"/>
        <v>0</v>
      </c>
      <c r="AO1154" s="196">
        <f t="shared" ca="1" si="251"/>
        <v>0</v>
      </c>
    </row>
    <row r="1155" spans="1:41">
      <c r="A1155" s="189">
        <v>3625</v>
      </c>
      <c r="B1155" s="203">
        <v>5</v>
      </c>
      <c r="C1155" s="191" t="s">
        <v>236</v>
      </c>
      <c r="D1155" s="192">
        <f t="shared" si="238"/>
        <v>0</v>
      </c>
      <c r="E1155" s="192">
        <f t="shared" si="239"/>
        <v>0</v>
      </c>
      <c r="F1155" s="192">
        <f t="shared" si="240"/>
        <v>0</v>
      </c>
      <c r="G1155" s="193">
        <f t="shared" si="241"/>
        <v>0</v>
      </c>
      <c r="H1155" s="194">
        <v>0</v>
      </c>
      <c r="I1155" s="194">
        <v>0</v>
      </c>
      <c r="J1155" s="194">
        <v>0</v>
      </c>
      <c r="K1155" s="193">
        <f t="shared" si="242"/>
        <v>0</v>
      </c>
      <c r="L1155" s="194">
        <v>0</v>
      </c>
      <c r="M1155" s="194">
        <v>0</v>
      </c>
      <c r="N1155" s="194">
        <v>0</v>
      </c>
      <c r="O1155" s="193">
        <f t="shared" si="243"/>
        <v>0</v>
      </c>
      <c r="P1155" s="194">
        <v>0</v>
      </c>
      <c r="Q1155" s="194">
        <v>0</v>
      </c>
      <c r="R1155" s="194">
        <v>0</v>
      </c>
      <c r="S1155" s="193">
        <f t="shared" si="244"/>
        <v>0</v>
      </c>
      <c r="T1155" s="193">
        <f t="shared" si="245"/>
        <v>0</v>
      </c>
      <c r="U1155" s="193">
        <f ca="1">OFFSET('Expenditure Study'!$B$7,'Operations Support'!$C1155,'Operations Support'!$B1155)*$G1155</f>
        <v>0</v>
      </c>
      <c r="V1155" s="199">
        <f ca="1">U1155*'Expenditure Study'!$B$31</f>
        <v>0</v>
      </c>
      <c r="W1155" s="199">
        <f ca="1">IF(A1155=10298,1.51,1)*IF($B1155&lt;3,$D1155*'Expenditure Study'!$B$32*OFFSET('Expenditure Study'!$B$7,'Operations Support'!$C1155,'Operations Support'!$B1155),0)</f>
        <v>0</v>
      </c>
      <c r="X1155" s="200">
        <f ca="1">W1155*'Expenditure Study'!$B$31</f>
        <v>0</v>
      </c>
      <c r="Y1155" s="199">
        <f ca="1">U1155*'Expenditure Study'!$B$31</f>
        <v>0</v>
      </c>
      <c r="Z1155" s="200">
        <f ca="1">W1155*'Expenditure Study'!$B$31</f>
        <v>0</v>
      </c>
      <c r="AA1155" s="195">
        <f t="shared" ca="1" si="246"/>
        <v>0</v>
      </c>
      <c r="AB1155" s="195">
        <f t="shared" ca="1" si="247"/>
        <v>0</v>
      </c>
      <c r="AD1155" s="196">
        <f>IFERROR($G1155/SUMIF($A:$A,$A1155,$G:$G)*SUMIF(Summary!$A$166:$A$242,$A1155,Summary!$P$166:$P$242),0)</f>
        <v>0</v>
      </c>
      <c r="AE1155" s="197">
        <f t="shared" ca="1" si="248"/>
        <v>0</v>
      </c>
      <c r="AF1155" s="196">
        <f>IFERROR(G1155/SUMIF(A:A,A1155,G:G)*SUMIF(Summary!$A$166:$A$242,'Operations Support'!A1155,Summary!$Q$166:$Q$242),0)</f>
        <v>0</v>
      </c>
      <c r="AG1155" s="196">
        <f t="shared" ca="1" si="249"/>
        <v>0</v>
      </c>
      <c r="AI1155" s="196">
        <f>IFERROR($G1155/SUMIF($A:$A,$A1155,$G:$G)*SUMIF(Summary!$A$247:$A$283,$A1155,Summary!$P$247:$P$283),0)</f>
        <v>0</v>
      </c>
      <c r="AJ1155" s="196">
        <f>IFERROR($G1155/SUMIF($A:$A,$A1155,$G:$G)*(SUMIF(Summary!$A$247:$A$283,$A1155,Summary!$L$247:$L$283)+SUMIF(Summary!$A$297:$A$333,$A1155,Summary!$L$297:$L$333))-AI1155,0)</f>
        <v>0</v>
      </c>
      <c r="AK1155" s="196">
        <f>IFERROR($G1155/SUMIF($A:$A,$A1155,$G:$G)*SUMIF(Summary!$A$247:$A$283,$A1155,Summary!$Q$247:$Q$283),0)</f>
        <v>0</v>
      </c>
      <c r="AL1155" s="196">
        <f>IFERROR($G1155/SUMIF($A:$A,$A1155,$G:$G)*(SUMIF(Summary!$A$247:$A$283,$A1155,Summary!$L$247:$L$283)+SUMIF(Summary!$A$297:$A$333,$A1155,Summary!$L$297:$L$333))-AK1155,0)</f>
        <v>0</v>
      </c>
      <c r="AM1155" s="198"/>
      <c r="AN1155" s="196">
        <f t="shared" ca="1" si="250"/>
        <v>0</v>
      </c>
      <c r="AO1155" s="196">
        <f t="shared" ca="1" si="251"/>
        <v>0</v>
      </c>
    </row>
    <row r="1156" spans="1:41">
      <c r="A1156" s="189">
        <v>3625</v>
      </c>
      <c r="B1156" s="203">
        <v>5</v>
      </c>
      <c r="C1156" s="191" t="s">
        <v>237</v>
      </c>
      <c r="D1156" s="192">
        <f t="shared" si="238"/>
        <v>0</v>
      </c>
      <c r="E1156" s="192">
        <f t="shared" si="239"/>
        <v>0</v>
      </c>
      <c r="F1156" s="192">
        <f t="shared" si="240"/>
        <v>0</v>
      </c>
      <c r="G1156" s="193">
        <f t="shared" si="241"/>
        <v>0</v>
      </c>
      <c r="H1156" s="194">
        <v>0</v>
      </c>
      <c r="I1156" s="194">
        <v>0</v>
      </c>
      <c r="J1156" s="194">
        <v>0</v>
      </c>
      <c r="K1156" s="193">
        <f t="shared" si="242"/>
        <v>0</v>
      </c>
      <c r="L1156" s="194">
        <v>0</v>
      </c>
      <c r="M1156" s="194">
        <v>0</v>
      </c>
      <c r="N1156" s="194">
        <v>0</v>
      </c>
      <c r="O1156" s="193">
        <f t="shared" si="243"/>
        <v>0</v>
      </c>
      <c r="P1156" s="194">
        <v>0</v>
      </c>
      <c r="Q1156" s="194">
        <v>0</v>
      </c>
      <c r="R1156" s="194">
        <v>0</v>
      </c>
      <c r="S1156" s="193">
        <f t="shared" si="244"/>
        <v>0</v>
      </c>
      <c r="T1156" s="193">
        <f t="shared" si="245"/>
        <v>0</v>
      </c>
      <c r="U1156" s="193">
        <f ca="1">OFFSET('Expenditure Study'!$B$7,'Operations Support'!$C1156,'Operations Support'!$B1156)*$G1156</f>
        <v>0</v>
      </c>
      <c r="V1156" s="199">
        <f ca="1">U1156*'Expenditure Study'!$B$31</f>
        <v>0</v>
      </c>
      <c r="W1156" s="199">
        <f ca="1">IF(A1156=10298,1.51,1)*IF($B1156&lt;3,$D1156*'Expenditure Study'!$B$32*OFFSET('Expenditure Study'!$B$7,'Operations Support'!$C1156,'Operations Support'!$B1156),0)</f>
        <v>0</v>
      </c>
      <c r="X1156" s="200">
        <f ca="1">W1156*'Expenditure Study'!$B$31</f>
        <v>0</v>
      </c>
      <c r="Y1156" s="199">
        <f ca="1">U1156*'Expenditure Study'!$B$31</f>
        <v>0</v>
      </c>
      <c r="Z1156" s="200">
        <f ca="1">W1156*'Expenditure Study'!$B$31</f>
        <v>0</v>
      </c>
      <c r="AA1156" s="195">
        <f t="shared" ca="1" si="246"/>
        <v>0</v>
      </c>
      <c r="AB1156" s="195">
        <f t="shared" ca="1" si="247"/>
        <v>0</v>
      </c>
      <c r="AD1156" s="196">
        <f>IFERROR($G1156/SUMIF($A:$A,$A1156,$G:$G)*SUMIF(Summary!$A$166:$A$242,$A1156,Summary!$P$166:$P$242),0)</f>
        <v>0</v>
      </c>
      <c r="AE1156" s="197">
        <f t="shared" ca="1" si="248"/>
        <v>0</v>
      </c>
      <c r="AF1156" s="196">
        <f>IFERROR(G1156/SUMIF(A:A,A1156,G:G)*SUMIF(Summary!$A$166:$A$242,'Operations Support'!A1156,Summary!$Q$166:$Q$242),0)</f>
        <v>0</v>
      </c>
      <c r="AG1156" s="196">
        <f t="shared" ca="1" si="249"/>
        <v>0</v>
      </c>
      <c r="AI1156" s="196">
        <f>IFERROR($G1156/SUMIF($A:$A,$A1156,$G:$G)*SUMIF(Summary!$A$247:$A$283,$A1156,Summary!$P$247:$P$283),0)</f>
        <v>0</v>
      </c>
      <c r="AJ1156" s="196">
        <f>IFERROR($G1156/SUMIF($A:$A,$A1156,$G:$G)*(SUMIF(Summary!$A$247:$A$283,$A1156,Summary!$L$247:$L$283)+SUMIF(Summary!$A$297:$A$333,$A1156,Summary!$L$297:$L$333))-AI1156,0)</f>
        <v>0</v>
      </c>
      <c r="AK1156" s="196">
        <f>IFERROR($G1156/SUMIF($A:$A,$A1156,$G:$G)*SUMIF(Summary!$A$247:$A$283,$A1156,Summary!$Q$247:$Q$283),0)</f>
        <v>0</v>
      </c>
      <c r="AL1156" s="196">
        <f>IFERROR($G1156/SUMIF($A:$A,$A1156,$G:$G)*(SUMIF(Summary!$A$247:$A$283,$A1156,Summary!$L$247:$L$283)+SUMIF(Summary!$A$297:$A$333,$A1156,Summary!$L$297:$L$333))-AK1156,0)</f>
        <v>0</v>
      </c>
      <c r="AM1156" s="198"/>
      <c r="AN1156" s="196">
        <f t="shared" ca="1" si="250"/>
        <v>0</v>
      </c>
      <c r="AO1156" s="196">
        <f t="shared" ca="1" si="251"/>
        <v>0</v>
      </c>
    </row>
    <row r="1157" spans="1:41">
      <c r="A1157" s="189">
        <v>3625</v>
      </c>
      <c r="B1157" s="203">
        <v>5</v>
      </c>
      <c r="C1157" s="191" t="s">
        <v>238</v>
      </c>
      <c r="D1157" s="192">
        <f t="shared" ref="D1157:D1220" si="252">H1157+L1157+P1157</f>
        <v>0</v>
      </c>
      <c r="E1157" s="192">
        <f t="shared" ref="E1157:E1220" si="253">I1157+M1157+Q1157</f>
        <v>0</v>
      </c>
      <c r="F1157" s="192">
        <f t="shared" ref="F1157:F1220" si="254">J1157+N1157+R1157</f>
        <v>0</v>
      </c>
      <c r="G1157" s="193">
        <f t="shared" ref="G1157:G1220" si="255">(SUM(D1157:E1157)-F1157)*IF(A1157=10298,1.51,1)</f>
        <v>0</v>
      </c>
      <c r="H1157" s="194">
        <v>0</v>
      </c>
      <c r="I1157" s="194">
        <v>0</v>
      </c>
      <c r="J1157" s="194">
        <v>0</v>
      </c>
      <c r="K1157" s="193">
        <f t="shared" ref="K1157:K1220" si="256">SUM(H1157:I1157)-J1157</f>
        <v>0</v>
      </c>
      <c r="L1157" s="194">
        <v>0</v>
      </c>
      <c r="M1157" s="194">
        <v>0</v>
      </c>
      <c r="N1157" s="194">
        <v>0</v>
      </c>
      <c r="O1157" s="193">
        <f t="shared" ref="O1157:O1220" si="257">SUM(L1157:M1157)-N1157</f>
        <v>0</v>
      </c>
      <c r="P1157" s="194">
        <v>0</v>
      </c>
      <c r="Q1157" s="194">
        <v>0</v>
      </c>
      <c r="R1157" s="194">
        <v>0</v>
      </c>
      <c r="S1157" s="193">
        <f t="shared" ref="S1157:S1220" si="258">SUM(P1157:Q1157)-R1157</f>
        <v>0</v>
      </c>
      <c r="T1157" s="193">
        <f t="shared" ref="T1157:T1220" si="259">IF(OR(B1157=1,B1157=2),G1157/30,IF(OR(B1157=3,B1157=5),G1157/24,IF(B1157=4,G1157/18,0)))</f>
        <v>0</v>
      </c>
      <c r="U1157" s="193">
        <f ca="1">OFFSET('Expenditure Study'!$B$7,'Operations Support'!$C1157,'Operations Support'!$B1157)*$G1157</f>
        <v>0</v>
      </c>
      <c r="V1157" s="199">
        <f ca="1">U1157*'Expenditure Study'!$B$31</f>
        <v>0</v>
      </c>
      <c r="W1157" s="199">
        <f ca="1">IF(A1157=10298,1.51,1)*IF($B1157&lt;3,$D1157*'Expenditure Study'!$B$32*OFFSET('Expenditure Study'!$B$7,'Operations Support'!$C1157,'Operations Support'!$B1157),0)</f>
        <v>0</v>
      </c>
      <c r="X1157" s="200">
        <f ca="1">W1157*'Expenditure Study'!$B$31</f>
        <v>0</v>
      </c>
      <c r="Y1157" s="199">
        <f ca="1">U1157*'Expenditure Study'!$B$31</f>
        <v>0</v>
      </c>
      <c r="Z1157" s="200">
        <f ca="1">W1157*'Expenditure Study'!$B$31</f>
        <v>0</v>
      </c>
      <c r="AA1157" s="195">
        <f t="shared" ref="AA1157:AA1220" ca="1" si="260">V1157+X1157</f>
        <v>0</v>
      </c>
      <c r="AB1157" s="195">
        <f t="shared" ref="AB1157:AB1220" ca="1" si="261">Y1157+Z1157</f>
        <v>0</v>
      </c>
      <c r="AD1157" s="196">
        <f>IFERROR($G1157/SUMIF($A:$A,$A1157,$G:$G)*SUMIF(Summary!$A$166:$A$242,$A1157,Summary!$P$166:$P$242),0)</f>
        <v>0</v>
      </c>
      <c r="AE1157" s="197">
        <f t="shared" ca="1" si="248"/>
        <v>0</v>
      </c>
      <c r="AF1157" s="196">
        <f>IFERROR(G1157/SUMIF(A:A,A1157,G:G)*SUMIF(Summary!$A$166:$A$242,'Operations Support'!A1157,Summary!$Q$166:$Q$242),0)</f>
        <v>0</v>
      </c>
      <c r="AG1157" s="196">
        <f t="shared" ca="1" si="249"/>
        <v>0</v>
      </c>
      <c r="AI1157" s="196">
        <f>IFERROR($G1157/SUMIF($A:$A,$A1157,$G:$G)*SUMIF(Summary!$A$247:$A$283,$A1157,Summary!$P$247:$P$283),0)</f>
        <v>0</v>
      </c>
      <c r="AJ1157" s="196">
        <f>IFERROR($G1157/SUMIF($A:$A,$A1157,$G:$G)*(SUMIF(Summary!$A$247:$A$283,$A1157,Summary!$L$247:$L$283)+SUMIF(Summary!$A$297:$A$333,$A1157,Summary!$L$297:$L$333))-AI1157,0)</f>
        <v>0</v>
      </c>
      <c r="AK1157" s="196">
        <f>IFERROR($G1157/SUMIF($A:$A,$A1157,$G:$G)*SUMIF(Summary!$A$247:$A$283,$A1157,Summary!$Q$247:$Q$283),0)</f>
        <v>0</v>
      </c>
      <c r="AL1157" s="196">
        <f>IFERROR($G1157/SUMIF($A:$A,$A1157,$G:$G)*(SUMIF(Summary!$A$247:$A$283,$A1157,Summary!$L$247:$L$283)+SUMIF(Summary!$A$297:$A$333,$A1157,Summary!$L$297:$L$333))-AK1157,0)</f>
        <v>0</v>
      </c>
      <c r="AM1157" s="198"/>
      <c r="AN1157" s="196">
        <f t="shared" ca="1" si="250"/>
        <v>0</v>
      </c>
      <c r="AO1157" s="196">
        <f t="shared" ca="1" si="251"/>
        <v>0</v>
      </c>
    </row>
    <row r="1158" spans="1:41" s="201" customFormat="1">
      <c r="A1158" s="189">
        <v>3625</v>
      </c>
      <c r="B1158" s="203">
        <v>5</v>
      </c>
      <c r="C1158" s="191" t="s">
        <v>239</v>
      </c>
      <c r="D1158" s="192">
        <f t="shared" si="252"/>
        <v>0</v>
      </c>
      <c r="E1158" s="192">
        <f t="shared" si="253"/>
        <v>0</v>
      </c>
      <c r="F1158" s="192">
        <f t="shared" si="254"/>
        <v>0</v>
      </c>
      <c r="G1158" s="193">
        <f t="shared" si="255"/>
        <v>0</v>
      </c>
      <c r="H1158" s="194">
        <v>0</v>
      </c>
      <c r="I1158" s="194">
        <v>0</v>
      </c>
      <c r="J1158" s="194">
        <v>0</v>
      </c>
      <c r="K1158" s="193">
        <f t="shared" si="256"/>
        <v>0</v>
      </c>
      <c r="L1158" s="194">
        <v>0</v>
      </c>
      <c r="M1158" s="194">
        <v>0</v>
      </c>
      <c r="N1158" s="194">
        <v>0</v>
      </c>
      <c r="O1158" s="193">
        <f t="shared" si="257"/>
        <v>0</v>
      </c>
      <c r="P1158" s="194">
        <v>0</v>
      </c>
      <c r="Q1158" s="194">
        <v>0</v>
      </c>
      <c r="R1158" s="194">
        <v>0</v>
      </c>
      <c r="S1158" s="193">
        <f t="shared" si="258"/>
        <v>0</v>
      </c>
      <c r="T1158" s="193">
        <f t="shared" si="259"/>
        <v>0</v>
      </c>
      <c r="U1158" s="193">
        <f ca="1">OFFSET('Expenditure Study'!$B$7,'Operations Support'!$C1158,'Operations Support'!$B1158)*$G1158</f>
        <v>0</v>
      </c>
      <c r="V1158" s="199">
        <f ca="1">U1158*'Expenditure Study'!$B$31</f>
        <v>0</v>
      </c>
      <c r="W1158" s="199">
        <f ca="1">IF(A1158=10298,1.51,1)*IF($B1158&lt;3,$D1158*'Expenditure Study'!$B$32*OFFSET('Expenditure Study'!$B$7,'Operations Support'!$C1158,'Operations Support'!$B1158),0)</f>
        <v>0</v>
      </c>
      <c r="X1158" s="200">
        <f ca="1">W1158*'Expenditure Study'!$B$31</f>
        <v>0</v>
      </c>
      <c r="Y1158" s="199">
        <f ca="1">U1158*'Expenditure Study'!$B$31</f>
        <v>0</v>
      </c>
      <c r="Z1158" s="200">
        <f ca="1">W1158*'Expenditure Study'!$B$31</f>
        <v>0</v>
      </c>
      <c r="AA1158" s="195">
        <f t="shared" ca="1" si="260"/>
        <v>0</v>
      </c>
      <c r="AB1158" s="195">
        <f t="shared" ca="1" si="261"/>
        <v>0</v>
      </c>
      <c r="AD1158" s="196">
        <f>IFERROR($G1158/SUMIF($A:$A,$A1158,$G:$G)*SUMIF(Summary!$A$166:$A$242,$A1158,Summary!$P$166:$P$242),0)</f>
        <v>0</v>
      </c>
      <c r="AE1158" s="197">
        <f t="shared" ref="AE1158:AE1221" ca="1" si="262">V1158+X1158-AD1158</f>
        <v>0</v>
      </c>
      <c r="AF1158" s="196">
        <f>IFERROR(G1158/SUMIF(A:A,A1158,G:G)*SUMIF(Summary!$A$166:$A$242,'Operations Support'!A1158,Summary!$Q$166:$Q$242),0)</f>
        <v>0</v>
      </c>
      <c r="AG1158" s="196">
        <f t="shared" ref="AG1158:AG1221" ca="1" si="263">Y1158+Z1158-AF1158</f>
        <v>0</v>
      </c>
      <c r="AH1158" s="180"/>
      <c r="AI1158" s="196">
        <f>IFERROR($G1158/SUMIF($A:$A,$A1158,$G:$G)*SUMIF(Summary!$A$247:$A$283,$A1158,Summary!$P$247:$P$283),0)</f>
        <v>0</v>
      </c>
      <c r="AJ1158" s="196">
        <f>IFERROR($G1158/SUMIF($A:$A,$A1158,$G:$G)*(SUMIF(Summary!$A$247:$A$283,$A1158,Summary!$L$247:$L$283)+SUMIF(Summary!$A$297:$A$333,$A1158,Summary!$L$297:$L$333))-AI1158,0)</f>
        <v>0</v>
      </c>
      <c r="AK1158" s="196">
        <f>IFERROR($G1158/SUMIF($A:$A,$A1158,$G:$G)*SUMIF(Summary!$A$247:$A$283,$A1158,Summary!$Q$247:$Q$283),0)</f>
        <v>0</v>
      </c>
      <c r="AL1158" s="196">
        <f>IFERROR($G1158/SUMIF($A:$A,$A1158,$G:$G)*(SUMIF(Summary!$A$247:$A$283,$A1158,Summary!$L$247:$L$283)+SUMIF(Summary!$A$297:$A$333,$A1158,Summary!$L$297:$L$333))-AK1158,0)</f>
        <v>0</v>
      </c>
      <c r="AM1158" s="198"/>
      <c r="AN1158" s="196">
        <f t="shared" ref="AN1158:AN1221" ca="1" si="264">AE1158+AJ1158</f>
        <v>0</v>
      </c>
      <c r="AO1158" s="196">
        <f t="shared" ref="AO1158:AO1221" ca="1" si="265">AG1158+AL1158</f>
        <v>0</v>
      </c>
    </row>
    <row r="1159" spans="1:41">
      <c r="A1159" s="189">
        <v>3625</v>
      </c>
      <c r="B1159" s="203">
        <v>5</v>
      </c>
      <c r="C1159" s="191" t="s">
        <v>240</v>
      </c>
      <c r="D1159" s="192">
        <f t="shared" si="252"/>
        <v>0</v>
      </c>
      <c r="E1159" s="192">
        <f t="shared" si="253"/>
        <v>0</v>
      </c>
      <c r="F1159" s="192">
        <f t="shared" si="254"/>
        <v>0</v>
      </c>
      <c r="G1159" s="193">
        <f t="shared" si="255"/>
        <v>0</v>
      </c>
      <c r="H1159" s="194">
        <v>0</v>
      </c>
      <c r="I1159" s="194">
        <v>0</v>
      </c>
      <c r="J1159" s="194">
        <v>0</v>
      </c>
      <c r="K1159" s="193">
        <f t="shared" si="256"/>
        <v>0</v>
      </c>
      <c r="L1159" s="194">
        <v>0</v>
      </c>
      <c r="M1159" s="194">
        <v>0</v>
      </c>
      <c r="N1159" s="194">
        <v>0</v>
      </c>
      <c r="O1159" s="193">
        <f t="shared" si="257"/>
        <v>0</v>
      </c>
      <c r="P1159" s="194">
        <v>0</v>
      </c>
      <c r="Q1159" s="194">
        <v>0</v>
      </c>
      <c r="R1159" s="194">
        <v>0</v>
      </c>
      <c r="S1159" s="193">
        <f t="shared" si="258"/>
        <v>0</v>
      </c>
      <c r="T1159" s="193">
        <f t="shared" si="259"/>
        <v>0</v>
      </c>
      <c r="U1159" s="193">
        <f ca="1">OFFSET('Expenditure Study'!$B$7,'Operations Support'!$C1159,'Operations Support'!$B1159)*$G1159</f>
        <v>0</v>
      </c>
      <c r="V1159" s="199">
        <f ca="1">U1159*'Expenditure Study'!$B$31</f>
        <v>0</v>
      </c>
      <c r="W1159" s="199">
        <f ca="1">IF(A1159=10298,1.51,1)*IF($B1159&lt;3,$D1159*'Expenditure Study'!$B$32*OFFSET('Expenditure Study'!$B$7,'Operations Support'!$C1159,'Operations Support'!$B1159),0)</f>
        <v>0</v>
      </c>
      <c r="X1159" s="200">
        <f ca="1">W1159*'Expenditure Study'!$B$31</f>
        <v>0</v>
      </c>
      <c r="Y1159" s="199">
        <f ca="1">U1159*'Expenditure Study'!$B$31</f>
        <v>0</v>
      </c>
      <c r="Z1159" s="200">
        <f ca="1">W1159*'Expenditure Study'!$B$31</f>
        <v>0</v>
      </c>
      <c r="AA1159" s="195">
        <f t="shared" ca="1" si="260"/>
        <v>0</v>
      </c>
      <c r="AB1159" s="195">
        <f t="shared" ca="1" si="261"/>
        <v>0</v>
      </c>
      <c r="AD1159" s="196">
        <f>IFERROR($G1159/SUMIF($A:$A,$A1159,$G:$G)*SUMIF(Summary!$A$166:$A$242,$A1159,Summary!$P$166:$P$242),0)</f>
        <v>0</v>
      </c>
      <c r="AE1159" s="197">
        <f t="shared" ca="1" si="262"/>
        <v>0</v>
      </c>
      <c r="AF1159" s="196">
        <f>IFERROR(G1159/SUMIF(A:A,A1159,G:G)*SUMIF(Summary!$A$166:$A$242,'Operations Support'!A1159,Summary!$Q$166:$Q$242),0)</f>
        <v>0</v>
      </c>
      <c r="AG1159" s="196">
        <f t="shared" ca="1" si="263"/>
        <v>0</v>
      </c>
      <c r="AI1159" s="196">
        <f>IFERROR($G1159/SUMIF($A:$A,$A1159,$G:$G)*SUMIF(Summary!$A$247:$A$283,$A1159,Summary!$P$247:$P$283),0)</f>
        <v>0</v>
      </c>
      <c r="AJ1159" s="196">
        <f>IFERROR($G1159/SUMIF($A:$A,$A1159,$G:$G)*(SUMIF(Summary!$A$247:$A$283,$A1159,Summary!$L$247:$L$283)+SUMIF(Summary!$A$297:$A$333,$A1159,Summary!$L$297:$L$333))-AI1159,0)</f>
        <v>0</v>
      </c>
      <c r="AK1159" s="196">
        <f>IFERROR($G1159/SUMIF($A:$A,$A1159,$G:$G)*SUMIF(Summary!$A$247:$A$283,$A1159,Summary!$Q$247:$Q$283),0)</f>
        <v>0</v>
      </c>
      <c r="AL1159" s="196">
        <f>IFERROR($G1159/SUMIF($A:$A,$A1159,$G:$G)*(SUMIF(Summary!$A$247:$A$283,$A1159,Summary!$L$247:$L$283)+SUMIF(Summary!$A$297:$A$333,$A1159,Summary!$L$297:$L$333))-AK1159,0)</f>
        <v>0</v>
      </c>
      <c r="AM1159" s="198"/>
      <c r="AN1159" s="196">
        <f t="shared" ca="1" si="264"/>
        <v>0</v>
      </c>
      <c r="AO1159" s="196">
        <f t="shared" ca="1" si="265"/>
        <v>0</v>
      </c>
    </row>
    <row r="1160" spans="1:41">
      <c r="A1160" s="189">
        <v>3630</v>
      </c>
      <c r="B1160" s="190">
        <v>1</v>
      </c>
      <c r="C1160" s="191" t="s">
        <v>220</v>
      </c>
      <c r="D1160" s="192">
        <f t="shared" si="252"/>
        <v>27481</v>
      </c>
      <c r="E1160" s="192">
        <f t="shared" si="253"/>
        <v>49681</v>
      </c>
      <c r="F1160" s="192">
        <f t="shared" si="254"/>
        <v>0</v>
      </c>
      <c r="G1160" s="193">
        <f t="shared" si="255"/>
        <v>77162</v>
      </c>
      <c r="H1160" s="194">
        <v>11525</v>
      </c>
      <c r="I1160" s="194">
        <v>22762</v>
      </c>
      <c r="J1160" s="194">
        <v>0</v>
      </c>
      <c r="K1160" s="193">
        <f t="shared" si="256"/>
        <v>34287</v>
      </c>
      <c r="L1160" s="194">
        <v>13682</v>
      </c>
      <c r="M1160" s="194">
        <v>24027</v>
      </c>
      <c r="N1160" s="194">
        <v>0</v>
      </c>
      <c r="O1160" s="193">
        <f t="shared" si="257"/>
        <v>37709</v>
      </c>
      <c r="P1160" s="194">
        <v>2274</v>
      </c>
      <c r="Q1160" s="194">
        <v>2892</v>
      </c>
      <c r="R1160" s="194">
        <v>0</v>
      </c>
      <c r="S1160" s="193">
        <f t="shared" si="258"/>
        <v>5166</v>
      </c>
      <c r="T1160" s="193">
        <f t="shared" si="259"/>
        <v>2572.0666666666666</v>
      </c>
      <c r="U1160" s="193">
        <f ca="1">OFFSET('Expenditure Study'!$B$7,'Operations Support'!$C1160,'Operations Support'!$B1160)*$G1160</f>
        <v>77162</v>
      </c>
      <c r="V1160" s="199">
        <f ca="1">U1160*'Expenditure Study'!$B$31</f>
        <v>4558976.3968896</v>
      </c>
      <c r="W1160" s="199">
        <f ca="1">IF(A1160=10298,1.51,1)*IF($B1160&lt;3,$D1160*'Expenditure Study'!$B$32*OFFSET('Expenditure Study'!$B$7,'Operations Support'!$C1160,'Operations Support'!$B1160),0)</f>
        <v>2748.1000000000004</v>
      </c>
      <c r="X1160" s="200">
        <f ca="1">W1160*'Expenditure Study'!$B$31</f>
        <v>162366.48915648003</v>
      </c>
      <c r="Y1160" s="199">
        <f ca="1">U1160*'Expenditure Study'!$B$31</f>
        <v>4558976.3968896</v>
      </c>
      <c r="Z1160" s="200">
        <f ca="1">W1160*'Expenditure Study'!$B$31</f>
        <v>162366.48915648003</v>
      </c>
      <c r="AA1160" s="195">
        <f t="shared" ca="1" si="260"/>
        <v>4721342.8860460799</v>
      </c>
      <c r="AB1160" s="195">
        <f t="shared" ca="1" si="261"/>
        <v>4721342.8860460799</v>
      </c>
      <c r="AD1160" s="196">
        <f>IFERROR($G1160/SUMIF($A:$A,$A1160,$G:$G)*SUMIF(Summary!$A$166:$A$242,$A1160,Summary!$P$166:$P$242),0)</f>
        <v>3711019.5862072222</v>
      </c>
      <c r="AE1160" s="197">
        <f t="shared" ca="1" si="262"/>
        <v>1010323.2998388577</v>
      </c>
      <c r="AF1160" s="196">
        <f>IFERROR(G1160/SUMIF(A:A,A1160,G:G)*SUMIF(Summary!$A$166:$A$242,'Operations Support'!A1160,Summary!$Q$166:$Q$242),0)</f>
        <v>3730805.9982401817</v>
      </c>
      <c r="AG1160" s="196">
        <f t="shared" ca="1" si="263"/>
        <v>990536.88780589821</v>
      </c>
      <c r="AI1160" s="196">
        <f>IFERROR($G1160/SUMIF($A:$A,$A1160,$G:$G)*SUMIF(Summary!$A$247:$A$283,$A1160,Summary!$P$247:$P$283),0)</f>
        <v>676797.3650627163</v>
      </c>
      <c r="AJ1160" s="196">
        <f>IFERROR($G1160/SUMIF($A:$A,$A1160,$G:$G)*(SUMIF(Summary!$A$247:$A$283,$A1160,Summary!$L$247:$L$283)+SUMIF(Summary!$A$297:$A$333,$A1160,Summary!$L$297:$L$333))-AI1160,0)</f>
        <v>1755477.4646658679</v>
      </c>
      <c r="AK1160" s="196">
        <f>IFERROR($G1160/SUMIF($A:$A,$A1160,$G:$G)*SUMIF(Summary!$A$247:$A$283,$A1160,Summary!$Q$247:$Q$283),0)</f>
        <v>680405.91285311989</v>
      </c>
      <c r="AL1160" s="196">
        <f>IFERROR($G1160/SUMIF($A:$A,$A1160,$G:$G)*(SUMIF(Summary!$A$247:$A$283,$A1160,Summary!$L$247:$L$283)+SUMIF(Summary!$A$297:$A$333,$A1160,Summary!$L$297:$L$333))-AK1160,0)</f>
        <v>1751868.9168754644</v>
      </c>
      <c r="AM1160" s="198"/>
      <c r="AN1160" s="196">
        <f t="shared" ca="1" si="264"/>
        <v>2765800.7645047256</v>
      </c>
      <c r="AO1160" s="196">
        <f t="shared" ca="1" si="265"/>
        <v>2742405.8046813626</v>
      </c>
    </row>
    <row r="1161" spans="1:41">
      <c r="A1161" s="189">
        <v>3630</v>
      </c>
      <c r="B1161" s="190">
        <v>1</v>
      </c>
      <c r="C1161" s="191" t="s">
        <v>221</v>
      </c>
      <c r="D1161" s="192">
        <f t="shared" si="252"/>
        <v>12848</v>
      </c>
      <c r="E1161" s="192">
        <f t="shared" si="253"/>
        <v>12643</v>
      </c>
      <c r="F1161" s="192">
        <f t="shared" si="254"/>
        <v>0</v>
      </c>
      <c r="G1161" s="193">
        <f t="shared" si="255"/>
        <v>25491</v>
      </c>
      <c r="H1161" s="194">
        <v>5552</v>
      </c>
      <c r="I1161" s="194">
        <v>5989</v>
      </c>
      <c r="J1161" s="194">
        <v>0</v>
      </c>
      <c r="K1161" s="193">
        <f t="shared" si="256"/>
        <v>11541</v>
      </c>
      <c r="L1161" s="194">
        <v>6814</v>
      </c>
      <c r="M1161" s="194">
        <v>5531</v>
      </c>
      <c r="N1161" s="194">
        <v>0</v>
      </c>
      <c r="O1161" s="193">
        <f t="shared" si="257"/>
        <v>12345</v>
      </c>
      <c r="P1161" s="194">
        <v>482</v>
      </c>
      <c r="Q1161" s="194">
        <v>1123</v>
      </c>
      <c r="R1161" s="194">
        <v>0</v>
      </c>
      <c r="S1161" s="193">
        <f t="shared" si="258"/>
        <v>1605</v>
      </c>
      <c r="T1161" s="193">
        <f t="shared" si="259"/>
        <v>849.7</v>
      </c>
      <c r="U1161" s="193">
        <f ca="1">OFFSET('Expenditure Study'!$B$7,'Operations Support'!$C1161,'Operations Support'!$B1161)*$G1161</f>
        <v>34157.94</v>
      </c>
      <c r="V1161" s="199">
        <f ca="1">U1161*'Expenditure Study'!$B$31</f>
        <v>2018159.7447755521</v>
      </c>
      <c r="W1161" s="199">
        <f ca="1">IF(A1161=10298,1.51,1)*IF($B1161&lt;3,$D1161*'Expenditure Study'!$B$32*OFFSET('Expenditure Study'!$B$7,'Operations Support'!$C1161,'Operations Support'!$B1161),0)</f>
        <v>1721.6320000000003</v>
      </c>
      <c r="X1161" s="200">
        <f ca="1">W1161*'Expenditure Study'!$B$31</f>
        <v>101719.49472706561</v>
      </c>
      <c r="Y1161" s="199">
        <f ca="1">U1161*'Expenditure Study'!$B$31</f>
        <v>2018159.7447755521</v>
      </c>
      <c r="Z1161" s="200">
        <f ca="1">W1161*'Expenditure Study'!$B$31</f>
        <v>101719.49472706561</v>
      </c>
      <c r="AA1161" s="195">
        <f t="shared" ca="1" si="260"/>
        <v>2119879.2395026176</v>
      </c>
      <c r="AB1161" s="195">
        <f t="shared" ca="1" si="261"/>
        <v>2119879.2395026176</v>
      </c>
      <c r="AD1161" s="196">
        <f>IFERROR($G1161/SUMIF($A:$A,$A1161,$G:$G)*SUMIF(Summary!$A$166:$A$242,$A1161,Summary!$P$166:$P$242),0)</f>
        <v>1225960.9687671172</v>
      </c>
      <c r="AE1161" s="197">
        <f t="shared" ca="1" si="262"/>
        <v>893918.27073550038</v>
      </c>
      <c r="AF1161" s="196">
        <f>IFERROR(G1161/SUMIF(A:A,A1161,G:G)*SUMIF(Summary!$A$166:$A$242,'Operations Support'!A1161,Summary!$Q$166:$Q$242),0)</f>
        <v>1232497.5467346683</v>
      </c>
      <c r="AG1161" s="196">
        <f t="shared" ca="1" si="263"/>
        <v>887381.69276794931</v>
      </c>
      <c r="AI1161" s="196">
        <f>IFERROR($G1161/SUMIF($A:$A,$A1161,$G:$G)*SUMIF(Summary!$A$247:$A$283,$A1161,Summary!$P$247:$P$283),0)</f>
        <v>223584.68718817164</v>
      </c>
      <c r="AJ1161" s="196">
        <f>IFERROR($G1161/SUMIF($A:$A,$A1161,$G:$G)*(SUMIF(Summary!$A$247:$A$283,$A1161,Summary!$L$247:$L$283)+SUMIF(Summary!$A$297:$A$333,$A1161,Summary!$L$297:$L$333))-AI1161,0)</f>
        <v>579934.11331740546</v>
      </c>
      <c r="AK1161" s="196">
        <f>IFERROR($G1161/SUMIF($A:$A,$A1161,$G:$G)*SUMIF(Summary!$A$247:$A$283,$A1161,Summary!$Q$247:$Q$283),0)</f>
        <v>224776.79589096809</v>
      </c>
      <c r="AL1161" s="196">
        <f>IFERROR($G1161/SUMIF($A:$A,$A1161,$G:$G)*(SUMIF(Summary!$A$247:$A$283,$A1161,Summary!$L$247:$L$283)+SUMIF(Summary!$A$297:$A$333,$A1161,Summary!$L$297:$L$333))-AK1161,0)</f>
        <v>578742.00461460906</v>
      </c>
      <c r="AM1161" s="198"/>
      <c r="AN1161" s="196">
        <f t="shared" ca="1" si="264"/>
        <v>1473852.3840529057</v>
      </c>
      <c r="AO1161" s="196">
        <f t="shared" ca="1" si="265"/>
        <v>1466123.6973825584</v>
      </c>
    </row>
    <row r="1162" spans="1:41">
      <c r="A1162" s="189">
        <v>3630</v>
      </c>
      <c r="B1162" s="190">
        <v>1</v>
      </c>
      <c r="C1162" s="191" t="s">
        <v>222</v>
      </c>
      <c r="D1162" s="192">
        <f t="shared" si="252"/>
        <v>2990</v>
      </c>
      <c r="E1162" s="192">
        <f t="shared" si="253"/>
        <v>5261</v>
      </c>
      <c r="F1162" s="192">
        <f t="shared" si="254"/>
        <v>0</v>
      </c>
      <c r="G1162" s="193">
        <f t="shared" si="255"/>
        <v>8251</v>
      </c>
      <c r="H1162" s="194">
        <v>1293</v>
      </c>
      <c r="I1162" s="194">
        <v>2101</v>
      </c>
      <c r="J1162" s="194">
        <v>0</v>
      </c>
      <c r="K1162" s="193">
        <f t="shared" si="256"/>
        <v>3394</v>
      </c>
      <c r="L1162" s="194">
        <v>1556</v>
      </c>
      <c r="M1162" s="194">
        <v>2743</v>
      </c>
      <c r="N1162" s="194">
        <v>0</v>
      </c>
      <c r="O1162" s="193">
        <f t="shared" si="257"/>
        <v>4299</v>
      </c>
      <c r="P1162" s="194">
        <v>141</v>
      </c>
      <c r="Q1162" s="194">
        <v>417</v>
      </c>
      <c r="R1162" s="194">
        <v>0</v>
      </c>
      <c r="S1162" s="193">
        <f t="shared" si="258"/>
        <v>558</v>
      </c>
      <c r="T1162" s="193">
        <f t="shared" si="259"/>
        <v>275.03333333333336</v>
      </c>
      <c r="U1162" s="193">
        <f ca="1">OFFSET('Expenditure Study'!$B$7,'Operations Support'!$C1162,'Operations Support'!$B1162)*$G1162</f>
        <v>11303.87</v>
      </c>
      <c r="V1162" s="199">
        <f ca="1">U1162*'Expenditure Study'!$B$31</f>
        <v>667868.5949496961</v>
      </c>
      <c r="W1162" s="199">
        <f ca="1">IF(A1162=10298,1.51,1)*IF($B1162&lt;3,$D1162*'Expenditure Study'!$B$32*OFFSET('Expenditure Study'!$B$7,'Operations Support'!$C1162,'Operations Support'!$B1162),0)</f>
        <v>409.63000000000005</v>
      </c>
      <c r="X1162" s="200">
        <f ca="1">W1162*'Expenditure Study'!$B$31</f>
        <v>24202.243351104004</v>
      </c>
      <c r="Y1162" s="199">
        <f ca="1">U1162*'Expenditure Study'!$B$31</f>
        <v>667868.5949496961</v>
      </c>
      <c r="Z1162" s="200">
        <f ca="1">W1162*'Expenditure Study'!$B$31</f>
        <v>24202.243351104004</v>
      </c>
      <c r="AA1162" s="195">
        <f t="shared" ca="1" si="260"/>
        <v>692070.83830080007</v>
      </c>
      <c r="AB1162" s="195">
        <f t="shared" ca="1" si="261"/>
        <v>692070.83830080007</v>
      </c>
      <c r="AD1162" s="196">
        <f>IFERROR($G1162/SUMIF($A:$A,$A1162,$G:$G)*SUMIF(Summary!$A$166:$A$242,$A1162,Summary!$P$166:$P$242),0)</f>
        <v>396822.5629946838</v>
      </c>
      <c r="AE1162" s="197">
        <f t="shared" ca="1" si="262"/>
        <v>295248.27530611627</v>
      </c>
      <c r="AF1162" s="196">
        <f>IFERROR(G1162/SUMIF(A:A,A1162,G:G)*SUMIF(Summary!$A$166:$A$242,'Operations Support'!A1162,Summary!$Q$166:$Q$242),0)</f>
        <v>398938.34130115528</v>
      </c>
      <c r="AG1162" s="196">
        <f t="shared" ca="1" si="263"/>
        <v>293132.49699964479</v>
      </c>
      <c r="AI1162" s="196">
        <f>IFERROR($G1162/SUMIF($A:$A,$A1162,$G:$G)*SUMIF(Summary!$A$247:$A$283,$A1162,Summary!$P$247:$P$283),0)</f>
        <v>72370.532893554759</v>
      </c>
      <c r="AJ1162" s="196">
        <f>IFERROR($G1162/SUMIF($A:$A,$A1162,$G:$G)*(SUMIF(Summary!$A$247:$A$283,$A1162,Summary!$L$247:$L$283)+SUMIF(Summary!$A$297:$A$333,$A1162,Summary!$L$297:$L$333))-AI1162,0)</f>
        <v>187714.73731834424</v>
      </c>
      <c r="AK1162" s="196">
        <f>IFERROR($G1162/SUMIF($A:$A,$A1162,$G:$G)*SUMIF(Summary!$A$247:$A$283,$A1162,Summary!$Q$247:$Q$283),0)</f>
        <v>72756.398057996063</v>
      </c>
      <c r="AL1162" s="196">
        <f>IFERROR($G1162/SUMIF($A:$A,$A1162,$G:$G)*(SUMIF(Summary!$A$247:$A$283,$A1162,Summary!$L$247:$L$283)+SUMIF(Summary!$A$297:$A$333,$A1162,Summary!$L$297:$L$333))-AK1162,0)</f>
        <v>187328.87215390292</v>
      </c>
      <c r="AM1162" s="198"/>
      <c r="AN1162" s="196">
        <f t="shared" ca="1" si="264"/>
        <v>482963.01262446051</v>
      </c>
      <c r="AO1162" s="196">
        <f t="shared" ca="1" si="265"/>
        <v>480461.36915354768</v>
      </c>
    </row>
    <row r="1163" spans="1:41">
      <c r="A1163" s="189">
        <v>3630</v>
      </c>
      <c r="B1163" s="190">
        <v>1</v>
      </c>
      <c r="C1163" s="191" t="s">
        <v>223</v>
      </c>
      <c r="D1163" s="192">
        <f t="shared" si="252"/>
        <v>99</v>
      </c>
      <c r="E1163" s="192">
        <f t="shared" si="253"/>
        <v>2357</v>
      </c>
      <c r="F1163" s="192">
        <f t="shared" si="254"/>
        <v>0</v>
      </c>
      <c r="G1163" s="193">
        <f t="shared" si="255"/>
        <v>2456</v>
      </c>
      <c r="H1163" s="194">
        <v>72</v>
      </c>
      <c r="I1163" s="194">
        <v>896</v>
      </c>
      <c r="J1163" s="194">
        <v>0</v>
      </c>
      <c r="K1163" s="193">
        <f t="shared" si="256"/>
        <v>968</v>
      </c>
      <c r="L1163" s="194">
        <v>27</v>
      </c>
      <c r="M1163" s="194">
        <v>1207</v>
      </c>
      <c r="N1163" s="194">
        <v>0</v>
      </c>
      <c r="O1163" s="193">
        <f t="shared" si="257"/>
        <v>1234</v>
      </c>
      <c r="P1163" s="194">
        <v>0</v>
      </c>
      <c r="Q1163" s="194">
        <v>254</v>
      </c>
      <c r="R1163" s="194">
        <v>0</v>
      </c>
      <c r="S1163" s="193">
        <f t="shared" si="258"/>
        <v>254</v>
      </c>
      <c r="T1163" s="193">
        <f t="shared" si="259"/>
        <v>81.86666666666666</v>
      </c>
      <c r="U1163" s="193">
        <f ca="1">OFFSET('Expenditure Study'!$B$7,'Operations Support'!$C1163,'Operations Support'!$B1163)*$G1163</f>
        <v>3094.56</v>
      </c>
      <c r="V1163" s="199">
        <f ca="1">U1163*'Expenditure Study'!$B$31</f>
        <v>182836.44797644799</v>
      </c>
      <c r="W1163" s="199">
        <f ca="1">IF(A1163=10298,1.51,1)*IF($B1163&lt;3,$D1163*'Expenditure Study'!$B$32*OFFSET('Expenditure Study'!$B$7,'Operations Support'!$C1163,'Operations Support'!$B1163),0)</f>
        <v>12.474</v>
      </c>
      <c r="X1163" s="200">
        <f ca="1">W1163*'Expenditure Study'!$B$31</f>
        <v>737.00359729920001</v>
      </c>
      <c r="Y1163" s="199">
        <f ca="1">U1163*'Expenditure Study'!$B$31</f>
        <v>182836.44797644799</v>
      </c>
      <c r="Z1163" s="200">
        <f ca="1">W1163*'Expenditure Study'!$B$31</f>
        <v>737.00359729920001</v>
      </c>
      <c r="AA1163" s="195">
        <f t="shared" ca="1" si="260"/>
        <v>183573.45157374718</v>
      </c>
      <c r="AB1163" s="195">
        <f t="shared" ca="1" si="261"/>
        <v>183573.45157374718</v>
      </c>
      <c r="AD1163" s="196">
        <f>IFERROR($G1163/SUMIF($A:$A,$A1163,$G:$G)*SUMIF(Summary!$A$166:$A$242,$A1163,Summary!$P$166:$P$242),0)</f>
        <v>118118.5571100404</v>
      </c>
      <c r="AE1163" s="197">
        <f t="shared" ca="1" si="262"/>
        <v>65454.894463706776</v>
      </c>
      <c r="AF1163" s="196">
        <f>IFERROR(G1163/SUMIF(A:A,A1163,G:G)*SUMIF(Summary!$A$166:$A$242,'Operations Support'!A1163,Summary!$Q$166:$Q$242),0)</f>
        <v>118748.3415629181</v>
      </c>
      <c r="AG1163" s="196">
        <f t="shared" ca="1" si="263"/>
        <v>64825.110010829085</v>
      </c>
      <c r="AI1163" s="196">
        <f>IFERROR($G1163/SUMIF($A:$A,$A1163,$G:$G)*SUMIF(Summary!$A$247:$A$283,$A1163,Summary!$P$247:$P$283),0)</f>
        <v>21541.877201135678</v>
      </c>
      <c r="AJ1163" s="196">
        <f>IFERROR($G1163/SUMIF($A:$A,$A1163,$G:$G)*(SUMIF(Summary!$A$247:$A$283,$A1163,Summary!$L$247:$L$283)+SUMIF(Summary!$A$297:$A$333,$A1163,Summary!$L$297:$L$333))-AI1163,0)</f>
        <v>55875.335699170202</v>
      </c>
      <c r="AK1163" s="196">
        <f>IFERROR($G1163/SUMIF($A:$A,$A1163,$G:$G)*SUMIF(Summary!$A$247:$A$283,$A1163,Summary!$Q$247:$Q$283),0)</f>
        <v>21656.734169244737</v>
      </c>
      <c r="AL1163" s="196">
        <f>IFERROR($G1163/SUMIF($A:$A,$A1163,$G:$G)*(SUMIF(Summary!$A$247:$A$283,$A1163,Summary!$L$247:$L$283)+SUMIF(Summary!$A$297:$A$333,$A1163,Summary!$L$297:$L$333))-AK1163,0)</f>
        <v>55760.478731061143</v>
      </c>
      <c r="AM1163" s="198"/>
      <c r="AN1163" s="196">
        <f t="shared" ca="1" si="264"/>
        <v>121330.23016287698</v>
      </c>
      <c r="AO1163" s="196">
        <f t="shared" ca="1" si="265"/>
        <v>120585.58874189023</v>
      </c>
    </row>
    <row r="1164" spans="1:41">
      <c r="A1164" s="189">
        <v>3630</v>
      </c>
      <c r="B1164" s="190">
        <v>1</v>
      </c>
      <c r="C1164" s="191" t="s">
        <v>224</v>
      </c>
      <c r="D1164" s="192">
        <f t="shared" si="252"/>
        <v>3361</v>
      </c>
      <c r="E1164" s="192">
        <f t="shared" si="253"/>
        <v>12</v>
      </c>
      <c r="F1164" s="192">
        <f t="shared" si="254"/>
        <v>0</v>
      </c>
      <c r="G1164" s="193">
        <f t="shared" si="255"/>
        <v>3373</v>
      </c>
      <c r="H1164" s="194">
        <v>1667</v>
      </c>
      <c r="I1164" s="194">
        <v>12</v>
      </c>
      <c r="J1164" s="194">
        <v>0</v>
      </c>
      <c r="K1164" s="193">
        <f t="shared" si="256"/>
        <v>1679</v>
      </c>
      <c r="L1164" s="194">
        <v>1667</v>
      </c>
      <c r="M1164" s="194">
        <v>0</v>
      </c>
      <c r="N1164" s="194">
        <v>0</v>
      </c>
      <c r="O1164" s="193">
        <f t="shared" si="257"/>
        <v>1667</v>
      </c>
      <c r="P1164" s="194">
        <v>27</v>
      </c>
      <c r="Q1164" s="194">
        <v>0</v>
      </c>
      <c r="R1164" s="194">
        <v>0</v>
      </c>
      <c r="S1164" s="193">
        <f t="shared" si="258"/>
        <v>27</v>
      </c>
      <c r="T1164" s="193">
        <f t="shared" si="259"/>
        <v>112.43333333333334</v>
      </c>
      <c r="U1164" s="193">
        <f ca="1">OFFSET('Expenditure Study'!$B$7,'Operations Support'!$C1164,'Operations Support'!$B1164)*$G1164</f>
        <v>4992.04</v>
      </c>
      <c r="V1164" s="199">
        <f ca="1">U1164*'Expenditure Study'!$B$31</f>
        <v>294945.60188083199</v>
      </c>
      <c r="W1164" s="199">
        <f ca="1">IF(A1164=10298,1.51,1)*IF($B1164&lt;3,$D1164*'Expenditure Study'!$B$32*OFFSET('Expenditure Study'!$B$7,'Operations Support'!$C1164,'Operations Support'!$B1164),0)</f>
        <v>497.42800000000005</v>
      </c>
      <c r="X1164" s="200">
        <f ca="1">W1164*'Expenditure Study'!$B$31</f>
        <v>29389.628458982403</v>
      </c>
      <c r="Y1164" s="199">
        <f ca="1">U1164*'Expenditure Study'!$B$31</f>
        <v>294945.60188083199</v>
      </c>
      <c r="Z1164" s="200">
        <f ca="1">W1164*'Expenditure Study'!$B$31</f>
        <v>29389.628458982403</v>
      </c>
      <c r="AA1164" s="195">
        <f t="shared" ca="1" si="260"/>
        <v>324335.23033981438</v>
      </c>
      <c r="AB1164" s="195">
        <f t="shared" ca="1" si="261"/>
        <v>324335.23033981438</v>
      </c>
      <c r="AD1164" s="196">
        <f>IFERROR($G1164/SUMIF($A:$A,$A1164,$G:$G)*SUMIF(Summary!$A$166:$A$242,$A1164,Summary!$P$166:$P$242),0)</f>
        <v>162220.64052612634</v>
      </c>
      <c r="AE1164" s="197">
        <f t="shared" ca="1" si="262"/>
        <v>162114.58981368804</v>
      </c>
      <c r="AF1164" s="196">
        <f>IFERROR(G1164/SUMIF(A:A,A1164,G:G)*SUMIF(Summary!$A$166:$A$242,'Operations Support'!A1164,Summary!$Q$166:$Q$242),0)</f>
        <v>163085.56844125519</v>
      </c>
      <c r="AG1164" s="196">
        <f t="shared" ca="1" si="263"/>
        <v>161249.66189855919</v>
      </c>
      <c r="AI1164" s="196">
        <f>IFERROR($G1164/SUMIF($A:$A,$A1164,$G:$G)*SUMIF(Summary!$A$247:$A$283,$A1164,Summary!$P$247:$P$283),0)</f>
        <v>29584.996661005964</v>
      </c>
      <c r="AJ1164" s="196">
        <f>IFERROR($G1164/SUMIF($A:$A,$A1164,$G:$G)*(SUMIF(Summary!$A$247:$A$283,$A1164,Summary!$L$247:$L$283)+SUMIF(Summary!$A$297:$A$333,$A1164,Summary!$L$297:$L$333))-AI1164,0)</f>
        <v>76737.584410953219</v>
      </c>
      <c r="AK1164" s="196">
        <f>IFERROR($G1164/SUMIF($A:$A,$A1164,$G:$G)*SUMIF(Summary!$A$247:$A$283,$A1164,Summary!$Q$247:$Q$283),0)</f>
        <v>29742.737928689941</v>
      </c>
      <c r="AL1164" s="196">
        <f>IFERROR($G1164/SUMIF($A:$A,$A1164,$G:$G)*(SUMIF(Summary!$A$247:$A$283,$A1164,Summary!$L$247:$L$283)+SUMIF(Summary!$A$297:$A$333,$A1164,Summary!$L$297:$L$333))-AK1164,0)</f>
        <v>76579.843143269245</v>
      </c>
      <c r="AM1164" s="198"/>
      <c r="AN1164" s="196">
        <f t="shared" ca="1" si="264"/>
        <v>238852.17422464126</v>
      </c>
      <c r="AO1164" s="196">
        <f t="shared" ca="1" si="265"/>
        <v>237829.50504182844</v>
      </c>
    </row>
    <row r="1165" spans="1:41">
      <c r="A1165" s="189">
        <v>3630</v>
      </c>
      <c r="B1165" s="190">
        <v>1</v>
      </c>
      <c r="C1165" s="191" t="s">
        <v>225</v>
      </c>
      <c r="D1165" s="192">
        <f t="shared" si="252"/>
        <v>5501</v>
      </c>
      <c r="E1165" s="192">
        <f t="shared" si="253"/>
        <v>4203</v>
      </c>
      <c r="F1165" s="192">
        <f t="shared" si="254"/>
        <v>0</v>
      </c>
      <c r="G1165" s="193">
        <f t="shared" si="255"/>
        <v>9704</v>
      </c>
      <c r="H1165" s="194">
        <v>2251.5</v>
      </c>
      <c r="I1165" s="194">
        <v>1750.5</v>
      </c>
      <c r="J1165" s="194">
        <v>0</v>
      </c>
      <c r="K1165" s="193">
        <f t="shared" si="256"/>
        <v>4002</v>
      </c>
      <c r="L1165" s="194">
        <v>3024.5</v>
      </c>
      <c r="M1165" s="194">
        <v>2161.5</v>
      </c>
      <c r="N1165" s="194">
        <v>0</v>
      </c>
      <c r="O1165" s="193">
        <f t="shared" si="257"/>
        <v>5186</v>
      </c>
      <c r="P1165" s="194">
        <v>225</v>
      </c>
      <c r="Q1165" s="194">
        <v>291</v>
      </c>
      <c r="R1165" s="194">
        <v>0</v>
      </c>
      <c r="S1165" s="193">
        <f t="shared" si="258"/>
        <v>516</v>
      </c>
      <c r="T1165" s="193">
        <f t="shared" si="259"/>
        <v>323.46666666666664</v>
      </c>
      <c r="U1165" s="193">
        <f ca="1">OFFSET('Expenditure Study'!$B$7,'Operations Support'!$C1165,'Operations Support'!$B1165)*$G1165</f>
        <v>17079.04</v>
      </c>
      <c r="V1165" s="199">
        <f ca="1">U1165*'Expenditure Study'!$B$31</f>
        <v>1009084.008210432</v>
      </c>
      <c r="W1165" s="199">
        <f ca="1">IF(A1165=10298,1.51,1)*IF($B1165&lt;3,$D1165*'Expenditure Study'!$B$32*OFFSET('Expenditure Study'!$B$7,'Operations Support'!$C1165,'Operations Support'!$B1165),0)</f>
        <v>968.17600000000004</v>
      </c>
      <c r="X1165" s="200">
        <f ca="1">W1165*'Expenditure Study'!$B$31</f>
        <v>57202.917654220801</v>
      </c>
      <c r="Y1165" s="199">
        <f ca="1">U1165*'Expenditure Study'!$B$31</f>
        <v>1009084.008210432</v>
      </c>
      <c r="Z1165" s="200">
        <f ca="1">W1165*'Expenditure Study'!$B$31</f>
        <v>57202.917654220801</v>
      </c>
      <c r="AA1165" s="195">
        <f t="shared" ca="1" si="260"/>
        <v>1066286.9258646527</v>
      </c>
      <c r="AB1165" s="195">
        <f t="shared" ca="1" si="261"/>
        <v>1066286.9258646527</v>
      </c>
      <c r="AD1165" s="196">
        <f>IFERROR($G1165/SUMIF($A:$A,$A1165,$G:$G)*SUMIF(Summary!$A$166:$A$242,$A1165,Summary!$P$166:$P$242),0)</f>
        <v>466702.96343478508</v>
      </c>
      <c r="AE1165" s="197">
        <f t="shared" ca="1" si="262"/>
        <v>599583.96242986759</v>
      </c>
      <c r="AF1165" s="196">
        <f>IFERROR(G1165/SUMIF(A:A,A1165,G:G)*SUMIF(Summary!$A$166:$A$242,'Operations Support'!A1165,Summary!$Q$166:$Q$242),0)</f>
        <v>469191.33001895656</v>
      </c>
      <c r="AG1165" s="196">
        <f t="shared" ca="1" si="263"/>
        <v>597095.59584569617</v>
      </c>
      <c r="AI1165" s="196">
        <f>IFERROR($G1165/SUMIF($A:$A,$A1165,$G:$G)*SUMIF(Summary!$A$247:$A$283,$A1165,Summary!$P$247:$P$283),0)</f>
        <v>85114.974087874842</v>
      </c>
      <c r="AJ1165" s="196">
        <f>IFERROR($G1165/SUMIF($A:$A,$A1165,$G:$G)*(SUMIF(Summary!$A$247:$A$283,$A1165,Summary!$L$247:$L$283)+SUMIF(Summary!$A$297:$A$333,$A1165,Summary!$L$297:$L$333))-AI1165,0)</f>
        <v>220771.27753450643</v>
      </c>
      <c r="AK1165" s="196">
        <f>IFERROR($G1165/SUMIF($A:$A,$A1165,$G:$G)*SUMIF(Summary!$A$247:$A$283,$A1165,Summary!$Q$247:$Q$283),0)</f>
        <v>85568.790056331811</v>
      </c>
      <c r="AL1165" s="196">
        <f>IFERROR($G1165/SUMIF($A:$A,$A1165,$G:$G)*(SUMIF(Summary!$A$247:$A$283,$A1165,Summary!$L$247:$L$283)+SUMIF(Summary!$A$297:$A$333,$A1165,Summary!$L$297:$L$333))-AK1165,0)</f>
        <v>220317.46156604946</v>
      </c>
      <c r="AM1165" s="198"/>
      <c r="AN1165" s="196">
        <f t="shared" ca="1" si="264"/>
        <v>820355.23996437399</v>
      </c>
      <c r="AO1165" s="196">
        <f t="shared" ca="1" si="265"/>
        <v>817413.05741174566</v>
      </c>
    </row>
    <row r="1166" spans="1:41">
      <c r="A1166" s="189">
        <v>3630</v>
      </c>
      <c r="B1166" s="190">
        <v>1</v>
      </c>
      <c r="C1166" s="191" t="s">
        <v>226</v>
      </c>
      <c r="D1166" s="192">
        <f t="shared" si="252"/>
        <v>814</v>
      </c>
      <c r="E1166" s="192">
        <f t="shared" si="253"/>
        <v>4122</v>
      </c>
      <c r="F1166" s="192">
        <f t="shared" si="254"/>
        <v>0</v>
      </c>
      <c r="G1166" s="193">
        <f t="shared" si="255"/>
        <v>4936</v>
      </c>
      <c r="H1166" s="194">
        <v>391</v>
      </c>
      <c r="I1166" s="194">
        <v>1569</v>
      </c>
      <c r="J1166" s="194">
        <v>0</v>
      </c>
      <c r="K1166" s="193">
        <f t="shared" si="256"/>
        <v>1960</v>
      </c>
      <c r="L1166" s="194">
        <v>342</v>
      </c>
      <c r="M1166" s="194">
        <v>2496</v>
      </c>
      <c r="N1166" s="194">
        <v>0</v>
      </c>
      <c r="O1166" s="193">
        <f t="shared" si="257"/>
        <v>2838</v>
      </c>
      <c r="P1166" s="194">
        <v>81</v>
      </c>
      <c r="Q1166" s="194">
        <v>57</v>
      </c>
      <c r="R1166" s="194">
        <v>0</v>
      </c>
      <c r="S1166" s="193">
        <f t="shared" si="258"/>
        <v>138</v>
      </c>
      <c r="T1166" s="193">
        <f t="shared" si="259"/>
        <v>164.53333333333333</v>
      </c>
      <c r="U1166" s="193">
        <f ca="1">OFFSET('Expenditure Study'!$B$7,'Operations Support'!$C1166,'Operations Support'!$B1166)*$G1166</f>
        <v>4689.2</v>
      </c>
      <c r="V1166" s="199">
        <f ca="1">U1166*'Expenditure Study'!$B$31</f>
        <v>277052.85140735999</v>
      </c>
      <c r="W1166" s="199">
        <f ca="1">IF(A1166=10298,1.51,1)*IF($B1166&lt;3,$D1166*'Expenditure Study'!$B$32*OFFSET('Expenditure Study'!$B$7,'Operations Support'!$C1166,'Operations Support'!$B1166),0)</f>
        <v>77.33</v>
      </c>
      <c r="X1166" s="200">
        <f ca="1">W1166*'Expenditure Study'!$B$31</f>
        <v>4568.9023712640001</v>
      </c>
      <c r="Y1166" s="199">
        <f ca="1">U1166*'Expenditure Study'!$B$31</f>
        <v>277052.85140735999</v>
      </c>
      <c r="Z1166" s="200">
        <f ca="1">W1166*'Expenditure Study'!$B$31</f>
        <v>4568.9023712640001</v>
      </c>
      <c r="AA1166" s="195">
        <f t="shared" ca="1" si="260"/>
        <v>281621.753778624</v>
      </c>
      <c r="AB1166" s="195">
        <f t="shared" ca="1" si="261"/>
        <v>281621.753778624</v>
      </c>
      <c r="AD1166" s="196">
        <f>IFERROR($G1166/SUMIF($A:$A,$A1166,$G:$G)*SUMIF(Summary!$A$166:$A$242,$A1166,Summary!$P$166:$P$242),0)</f>
        <v>237391.36722115611</v>
      </c>
      <c r="AE1166" s="197">
        <f t="shared" ca="1" si="262"/>
        <v>44230.386557467893</v>
      </c>
      <c r="AF1166" s="196">
        <f>IFERROR(G1166/SUMIF(A:A,A1166,G:G)*SUMIF(Summary!$A$166:$A$242,'Operations Support'!A1166,Summary!$Q$166:$Q$242),0)</f>
        <v>238657.09037237937</v>
      </c>
      <c r="AG1166" s="196">
        <f t="shared" ca="1" si="263"/>
        <v>42964.663406244625</v>
      </c>
      <c r="AI1166" s="196">
        <f>IFERROR($G1166/SUMIF($A:$A,$A1166,$G:$G)*SUMIF(Summary!$A$247:$A$283,$A1166,Summary!$P$247:$P$283),0)</f>
        <v>43294.261345604929</v>
      </c>
      <c r="AJ1166" s="196">
        <f>IFERROR($G1166/SUMIF($A:$A,$A1166,$G:$G)*(SUMIF(Summary!$A$247:$A$283,$A1166,Summary!$L$247:$L$283)+SUMIF(Summary!$A$297:$A$333,$A1166,Summary!$L$297:$L$333))-AI1166,0)</f>
        <v>112296.6844507753</v>
      </c>
      <c r="AK1166" s="196">
        <f>IFERROR($G1166/SUMIF($A:$A,$A1166,$G:$G)*SUMIF(Summary!$A$247:$A$283,$A1166,Summary!$Q$247:$Q$283),0)</f>
        <v>43525.0976626189</v>
      </c>
      <c r="AL1166" s="196">
        <f>IFERROR($G1166/SUMIF($A:$A,$A1166,$G:$G)*(SUMIF(Summary!$A$247:$A$283,$A1166,Summary!$L$247:$L$283)+SUMIF(Summary!$A$297:$A$333,$A1166,Summary!$L$297:$L$333))-AK1166,0)</f>
        <v>112065.84813376132</v>
      </c>
      <c r="AM1166" s="198"/>
      <c r="AN1166" s="196">
        <f t="shared" ca="1" si="264"/>
        <v>156527.07100824319</v>
      </c>
      <c r="AO1166" s="196">
        <f t="shared" ca="1" si="265"/>
        <v>155030.51154000594</v>
      </c>
    </row>
    <row r="1167" spans="1:41">
      <c r="A1167" s="189">
        <v>3630</v>
      </c>
      <c r="B1167" s="190">
        <v>1</v>
      </c>
      <c r="C1167" s="191" t="s">
        <v>227</v>
      </c>
      <c r="D1167" s="192">
        <f t="shared" si="252"/>
        <v>0</v>
      </c>
      <c r="E1167" s="192">
        <f t="shared" si="253"/>
        <v>0</v>
      </c>
      <c r="F1167" s="192">
        <f t="shared" si="254"/>
        <v>0</v>
      </c>
      <c r="G1167" s="193">
        <f t="shared" si="255"/>
        <v>0</v>
      </c>
      <c r="H1167" s="194">
        <v>0</v>
      </c>
      <c r="I1167" s="194">
        <v>0</v>
      </c>
      <c r="J1167" s="194">
        <v>0</v>
      </c>
      <c r="K1167" s="193">
        <f t="shared" si="256"/>
        <v>0</v>
      </c>
      <c r="L1167" s="194">
        <v>0</v>
      </c>
      <c r="M1167" s="194">
        <v>0</v>
      </c>
      <c r="N1167" s="194">
        <v>0</v>
      </c>
      <c r="O1167" s="193">
        <f t="shared" si="257"/>
        <v>0</v>
      </c>
      <c r="P1167" s="194">
        <v>0</v>
      </c>
      <c r="Q1167" s="194">
        <v>0</v>
      </c>
      <c r="R1167" s="194">
        <v>0</v>
      </c>
      <c r="S1167" s="193">
        <f t="shared" si="258"/>
        <v>0</v>
      </c>
      <c r="T1167" s="193">
        <f t="shared" si="259"/>
        <v>0</v>
      </c>
      <c r="U1167" s="193">
        <f ca="1">OFFSET('Expenditure Study'!$B$7,'Operations Support'!$C1167,'Operations Support'!$B1167)*$G1167</f>
        <v>0</v>
      </c>
      <c r="V1167" s="199">
        <f ca="1">U1167*'Expenditure Study'!$B$31</f>
        <v>0</v>
      </c>
      <c r="W1167" s="199">
        <f ca="1">IF(A1167=10298,1.51,1)*IF($B1167&lt;3,$D1167*'Expenditure Study'!$B$32*OFFSET('Expenditure Study'!$B$7,'Operations Support'!$C1167,'Operations Support'!$B1167),0)</f>
        <v>0</v>
      </c>
      <c r="X1167" s="200">
        <f ca="1">W1167*'Expenditure Study'!$B$31</f>
        <v>0</v>
      </c>
      <c r="Y1167" s="199">
        <f ca="1">U1167*'Expenditure Study'!$B$31</f>
        <v>0</v>
      </c>
      <c r="Z1167" s="200">
        <f ca="1">W1167*'Expenditure Study'!$B$31</f>
        <v>0</v>
      </c>
      <c r="AA1167" s="195">
        <f t="shared" ca="1" si="260"/>
        <v>0</v>
      </c>
      <c r="AB1167" s="195">
        <f t="shared" ca="1" si="261"/>
        <v>0</v>
      </c>
      <c r="AD1167" s="196">
        <f>IFERROR($G1167/SUMIF($A:$A,$A1167,$G:$G)*SUMIF(Summary!$A$166:$A$242,$A1167,Summary!$P$166:$P$242),0)</f>
        <v>0</v>
      </c>
      <c r="AE1167" s="197">
        <f t="shared" ca="1" si="262"/>
        <v>0</v>
      </c>
      <c r="AF1167" s="196">
        <f>IFERROR(G1167/SUMIF(A:A,A1167,G:G)*SUMIF(Summary!$A$166:$A$242,'Operations Support'!A1167,Summary!$Q$166:$Q$242),0)</f>
        <v>0</v>
      </c>
      <c r="AG1167" s="196">
        <f t="shared" ca="1" si="263"/>
        <v>0</v>
      </c>
      <c r="AI1167" s="196">
        <f>IFERROR($G1167/SUMIF($A:$A,$A1167,$G:$G)*SUMIF(Summary!$A$247:$A$283,$A1167,Summary!$P$247:$P$283),0)</f>
        <v>0</v>
      </c>
      <c r="AJ1167" s="196">
        <f>IFERROR($G1167/SUMIF($A:$A,$A1167,$G:$G)*(SUMIF(Summary!$A$247:$A$283,$A1167,Summary!$L$247:$L$283)+SUMIF(Summary!$A$297:$A$333,$A1167,Summary!$L$297:$L$333))-AI1167,0)</f>
        <v>0</v>
      </c>
      <c r="AK1167" s="196">
        <f>IFERROR($G1167/SUMIF($A:$A,$A1167,$G:$G)*SUMIF(Summary!$A$247:$A$283,$A1167,Summary!$Q$247:$Q$283),0)</f>
        <v>0</v>
      </c>
      <c r="AL1167" s="196">
        <f>IFERROR($G1167/SUMIF($A:$A,$A1167,$G:$G)*(SUMIF(Summary!$A$247:$A$283,$A1167,Summary!$L$247:$L$283)+SUMIF(Summary!$A$297:$A$333,$A1167,Summary!$L$297:$L$333))-AK1167,0)</f>
        <v>0</v>
      </c>
      <c r="AM1167" s="198"/>
      <c r="AN1167" s="196">
        <f t="shared" ca="1" si="264"/>
        <v>0</v>
      </c>
      <c r="AO1167" s="196">
        <f t="shared" ca="1" si="265"/>
        <v>0</v>
      </c>
    </row>
    <row r="1168" spans="1:41">
      <c r="A1168" s="189">
        <v>3630</v>
      </c>
      <c r="B1168" s="190">
        <v>1</v>
      </c>
      <c r="C1168" s="191" t="s">
        <v>228</v>
      </c>
      <c r="D1168" s="192">
        <f t="shared" si="252"/>
        <v>67.5</v>
      </c>
      <c r="E1168" s="192">
        <f t="shared" si="253"/>
        <v>712.5</v>
      </c>
      <c r="F1168" s="192">
        <f t="shared" si="254"/>
        <v>0</v>
      </c>
      <c r="G1168" s="193">
        <f t="shared" si="255"/>
        <v>780</v>
      </c>
      <c r="H1168" s="194">
        <v>15</v>
      </c>
      <c r="I1168" s="194">
        <v>408</v>
      </c>
      <c r="J1168" s="194">
        <v>0</v>
      </c>
      <c r="K1168" s="193">
        <f t="shared" si="256"/>
        <v>423</v>
      </c>
      <c r="L1168" s="194">
        <v>52.5</v>
      </c>
      <c r="M1168" s="194">
        <v>304.5</v>
      </c>
      <c r="N1168" s="194">
        <v>0</v>
      </c>
      <c r="O1168" s="193">
        <f t="shared" si="257"/>
        <v>357</v>
      </c>
      <c r="P1168" s="194">
        <v>0</v>
      </c>
      <c r="Q1168" s="194">
        <v>0</v>
      </c>
      <c r="R1168" s="194">
        <v>0</v>
      </c>
      <c r="S1168" s="193">
        <f t="shared" si="258"/>
        <v>0</v>
      </c>
      <c r="T1168" s="193">
        <f t="shared" si="259"/>
        <v>26</v>
      </c>
      <c r="U1168" s="193">
        <f ca="1">OFFSET('Expenditure Study'!$B$7,'Operations Support'!$C1168,'Operations Support'!$B1168)*$G1168</f>
        <v>1232.4000000000001</v>
      </c>
      <c r="V1168" s="199">
        <f ca="1">U1168*'Expenditure Study'!$B$31</f>
        <v>72814.112017920008</v>
      </c>
      <c r="W1168" s="199">
        <f ca="1">IF(A1168=10298,1.51,1)*IF($B1168&lt;3,$D1168*'Expenditure Study'!$B$32*OFFSET('Expenditure Study'!$B$7,'Operations Support'!$C1168,'Operations Support'!$B1168),0)</f>
        <v>10.665000000000001</v>
      </c>
      <c r="X1168" s="200">
        <f ca="1">W1168*'Expenditure Study'!$B$31</f>
        <v>630.12212323200004</v>
      </c>
      <c r="Y1168" s="199">
        <f ca="1">U1168*'Expenditure Study'!$B$31</f>
        <v>72814.112017920008</v>
      </c>
      <c r="Z1168" s="200">
        <f ca="1">W1168*'Expenditure Study'!$B$31</f>
        <v>630.12212323200004</v>
      </c>
      <c r="AA1168" s="195">
        <f t="shared" ca="1" si="260"/>
        <v>73444.234141152003</v>
      </c>
      <c r="AB1168" s="195">
        <f t="shared" ca="1" si="261"/>
        <v>73444.234141152003</v>
      </c>
      <c r="AD1168" s="196">
        <f>IFERROR($G1168/SUMIF($A:$A,$A1168,$G:$G)*SUMIF(Summary!$A$166:$A$242,$A1168,Summary!$P$166:$P$242),0)</f>
        <v>37513.222534947687</v>
      </c>
      <c r="AE1168" s="197">
        <f t="shared" ca="1" si="262"/>
        <v>35931.011606204316</v>
      </c>
      <c r="AF1168" s="196">
        <f>IFERROR(G1168/SUMIF(A:A,A1168,G:G)*SUMIF(Summary!$A$166:$A$242,'Operations Support'!A1168,Summary!$Q$166:$Q$242),0)</f>
        <v>37713.23551265314</v>
      </c>
      <c r="AG1168" s="196">
        <f t="shared" ca="1" si="263"/>
        <v>35730.998628498863</v>
      </c>
      <c r="AI1168" s="196">
        <f>IFERROR($G1168/SUMIF($A:$A,$A1168,$G:$G)*SUMIF(Summary!$A$247:$A$283,$A1168,Summary!$P$247:$P$283),0)</f>
        <v>6841.4756583411354</v>
      </c>
      <c r="AJ1168" s="196">
        <f>IFERROR($G1168/SUMIF($A:$A,$A1168,$G:$G)*(SUMIF(Summary!$A$247:$A$283,$A1168,Summary!$L$247:$L$283)+SUMIF(Summary!$A$297:$A$333,$A1168,Summary!$L$297:$L$333))-AI1168,0)</f>
        <v>17745.424204133858</v>
      </c>
      <c r="AK1168" s="196">
        <f>IFERROR($G1168/SUMIF($A:$A,$A1168,$G:$G)*SUMIF(Summary!$A$247:$A$283,$A1168,Summary!$Q$247:$Q$283),0)</f>
        <v>6877.9530342063899</v>
      </c>
      <c r="AL1168" s="196">
        <f>IFERROR($G1168/SUMIF($A:$A,$A1168,$G:$G)*(SUMIF(Summary!$A$247:$A$283,$A1168,Summary!$L$247:$L$283)+SUMIF(Summary!$A$297:$A$333,$A1168,Summary!$L$297:$L$333))-AK1168,0)</f>
        <v>17708.946828268607</v>
      </c>
      <c r="AM1168" s="198"/>
      <c r="AN1168" s="196">
        <f t="shared" ca="1" si="264"/>
        <v>53676.435810338175</v>
      </c>
      <c r="AO1168" s="196">
        <f t="shared" ca="1" si="265"/>
        <v>53439.945456767469</v>
      </c>
    </row>
    <row r="1169" spans="1:41">
      <c r="A1169" s="189">
        <v>3630</v>
      </c>
      <c r="B1169" s="190">
        <v>1</v>
      </c>
      <c r="C1169" s="191" t="s">
        <v>229</v>
      </c>
      <c r="D1169" s="192">
        <f t="shared" si="252"/>
        <v>0</v>
      </c>
      <c r="E1169" s="192">
        <f t="shared" si="253"/>
        <v>0</v>
      </c>
      <c r="F1169" s="192">
        <f t="shared" si="254"/>
        <v>0</v>
      </c>
      <c r="G1169" s="193">
        <f t="shared" si="255"/>
        <v>0</v>
      </c>
      <c r="H1169" s="194">
        <v>0</v>
      </c>
      <c r="I1169" s="194">
        <v>0</v>
      </c>
      <c r="J1169" s="194">
        <v>0</v>
      </c>
      <c r="K1169" s="193">
        <f t="shared" si="256"/>
        <v>0</v>
      </c>
      <c r="L1169" s="194">
        <v>0</v>
      </c>
      <c r="M1169" s="194">
        <v>0</v>
      </c>
      <c r="N1169" s="194">
        <v>0</v>
      </c>
      <c r="O1169" s="193">
        <f t="shared" si="257"/>
        <v>0</v>
      </c>
      <c r="P1169" s="194">
        <v>0</v>
      </c>
      <c r="Q1169" s="194">
        <v>0</v>
      </c>
      <c r="R1169" s="194">
        <v>0</v>
      </c>
      <c r="S1169" s="193">
        <f t="shared" si="258"/>
        <v>0</v>
      </c>
      <c r="T1169" s="193">
        <f t="shared" si="259"/>
        <v>0</v>
      </c>
      <c r="U1169" s="193">
        <f ca="1">OFFSET('Expenditure Study'!$B$7,'Operations Support'!$C1169,'Operations Support'!$B1169)*$G1169</f>
        <v>0</v>
      </c>
      <c r="V1169" s="199">
        <f ca="1">U1169*'Expenditure Study'!$B$31</f>
        <v>0</v>
      </c>
      <c r="W1169" s="199">
        <f ca="1">IF(A1169=10298,1.51,1)*IF($B1169&lt;3,$D1169*'Expenditure Study'!$B$32*OFFSET('Expenditure Study'!$B$7,'Operations Support'!$C1169,'Operations Support'!$B1169),0)</f>
        <v>0</v>
      </c>
      <c r="X1169" s="200">
        <f ca="1">W1169*'Expenditure Study'!$B$31</f>
        <v>0</v>
      </c>
      <c r="Y1169" s="199">
        <f ca="1">U1169*'Expenditure Study'!$B$31</f>
        <v>0</v>
      </c>
      <c r="Z1169" s="200">
        <f ca="1">W1169*'Expenditure Study'!$B$31</f>
        <v>0</v>
      </c>
      <c r="AA1169" s="195">
        <f t="shared" ca="1" si="260"/>
        <v>0</v>
      </c>
      <c r="AB1169" s="195">
        <f t="shared" ca="1" si="261"/>
        <v>0</v>
      </c>
      <c r="AD1169" s="196">
        <f>IFERROR($G1169/SUMIF($A:$A,$A1169,$G:$G)*SUMIF(Summary!$A$166:$A$242,$A1169,Summary!$P$166:$P$242),0)</f>
        <v>0</v>
      </c>
      <c r="AE1169" s="197">
        <f t="shared" ca="1" si="262"/>
        <v>0</v>
      </c>
      <c r="AF1169" s="196">
        <f>IFERROR(G1169/SUMIF(A:A,A1169,G:G)*SUMIF(Summary!$A$166:$A$242,'Operations Support'!A1169,Summary!$Q$166:$Q$242),0)</f>
        <v>0</v>
      </c>
      <c r="AG1169" s="196">
        <f t="shared" ca="1" si="263"/>
        <v>0</v>
      </c>
      <c r="AI1169" s="196">
        <f>IFERROR($G1169/SUMIF($A:$A,$A1169,$G:$G)*SUMIF(Summary!$A$247:$A$283,$A1169,Summary!$P$247:$P$283),0)</f>
        <v>0</v>
      </c>
      <c r="AJ1169" s="196">
        <f>IFERROR($G1169/SUMIF($A:$A,$A1169,$G:$G)*(SUMIF(Summary!$A$247:$A$283,$A1169,Summary!$L$247:$L$283)+SUMIF(Summary!$A$297:$A$333,$A1169,Summary!$L$297:$L$333))-AI1169,0)</f>
        <v>0</v>
      </c>
      <c r="AK1169" s="196">
        <f>IFERROR($G1169/SUMIF($A:$A,$A1169,$G:$G)*SUMIF(Summary!$A$247:$A$283,$A1169,Summary!$Q$247:$Q$283),0)</f>
        <v>0</v>
      </c>
      <c r="AL1169" s="196">
        <f>IFERROR($G1169/SUMIF($A:$A,$A1169,$G:$G)*(SUMIF(Summary!$A$247:$A$283,$A1169,Summary!$L$247:$L$283)+SUMIF(Summary!$A$297:$A$333,$A1169,Summary!$L$297:$L$333))-AK1169,0)</f>
        <v>0</v>
      </c>
      <c r="AM1169" s="198"/>
      <c r="AN1169" s="196">
        <f t="shared" ca="1" si="264"/>
        <v>0</v>
      </c>
      <c r="AO1169" s="196">
        <f t="shared" ca="1" si="265"/>
        <v>0</v>
      </c>
    </row>
    <row r="1170" spans="1:41">
      <c r="A1170" s="189">
        <v>3630</v>
      </c>
      <c r="B1170" s="190">
        <v>1</v>
      </c>
      <c r="C1170" s="191" t="s">
        <v>230</v>
      </c>
      <c r="D1170" s="192">
        <f t="shared" si="252"/>
        <v>0</v>
      </c>
      <c r="E1170" s="192">
        <f t="shared" si="253"/>
        <v>0</v>
      </c>
      <c r="F1170" s="192">
        <f t="shared" si="254"/>
        <v>0</v>
      </c>
      <c r="G1170" s="193">
        <f t="shared" si="255"/>
        <v>0</v>
      </c>
      <c r="H1170" s="194">
        <v>0</v>
      </c>
      <c r="I1170" s="194">
        <v>0</v>
      </c>
      <c r="J1170" s="194">
        <v>0</v>
      </c>
      <c r="K1170" s="193">
        <f t="shared" si="256"/>
        <v>0</v>
      </c>
      <c r="L1170" s="194">
        <v>0</v>
      </c>
      <c r="M1170" s="194">
        <v>0</v>
      </c>
      <c r="N1170" s="194">
        <v>0</v>
      </c>
      <c r="O1170" s="193">
        <f t="shared" si="257"/>
        <v>0</v>
      </c>
      <c r="P1170" s="194">
        <v>0</v>
      </c>
      <c r="Q1170" s="194">
        <v>0</v>
      </c>
      <c r="R1170" s="194">
        <v>0</v>
      </c>
      <c r="S1170" s="193">
        <f t="shared" si="258"/>
        <v>0</v>
      </c>
      <c r="T1170" s="193">
        <f t="shared" si="259"/>
        <v>0</v>
      </c>
      <c r="U1170" s="193">
        <f ca="1">OFFSET('Expenditure Study'!$B$7,'Operations Support'!$C1170,'Operations Support'!$B1170)*$G1170</f>
        <v>0</v>
      </c>
      <c r="V1170" s="199">
        <f ca="1">U1170*'Expenditure Study'!$B$31</f>
        <v>0</v>
      </c>
      <c r="W1170" s="199">
        <f ca="1">IF(A1170=10298,1.51,1)*IF($B1170&lt;3,$D1170*'Expenditure Study'!$B$32*OFFSET('Expenditure Study'!$B$7,'Operations Support'!$C1170,'Operations Support'!$B1170),0)</f>
        <v>0</v>
      </c>
      <c r="X1170" s="200">
        <f ca="1">W1170*'Expenditure Study'!$B$31</f>
        <v>0</v>
      </c>
      <c r="Y1170" s="199">
        <f ca="1">U1170*'Expenditure Study'!$B$31</f>
        <v>0</v>
      </c>
      <c r="Z1170" s="200">
        <f ca="1">W1170*'Expenditure Study'!$B$31</f>
        <v>0</v>
      </c>
      <c r="AA1170" s="195">
        <f t="shared" ca="1" si="260"/>
        <v>0</v>
      </c>
      <c r="AB1170" s="195">
        <f t="shared" ca="1" si="261"/>
        <v>0</v>
      </c>
      <c r="AD1170" s="196">
        <f>IFERROR($G1170/SUMIF($A:$A,$A1170,$G:$G)*SUMIF(Summary!$A$166:$A$242,$A1170,Summary!$P$166:$P$242),0)</f>
        <v>0</v>
      </c>
      <c r="AE1170" s="197">
        <f t="shared" ca="1" si="262"/>
        <v>0</v>
      </c>
      <c r="AF1170" s="196">
        <f>IFERROR(G1170/SUMIF(A:A,A1170,G:G)*SUMIF(Summary!$A$166:$A$242,'Operations Support'!A1170,Summary!$Q$166:$Q$242),0)</f>
        <v>0</v>
      </c>
      <c r="AG1170" s="196">
        <f t="shared" ca="1" si="263"/>
        <v>0</v>
      </c>
      <c r="AI1170" s="196">
        <f>IFERROR($G1170/SUMIF($A:$A,$A1170,$G:$G)*SUMIF(Summary!$A$247:$A$283,$A1170,Summary!$P$247:$P$283),0)</f>
        <v>0</v>
      </c>
      <c r="AJ1170" s="196">
        <f>IFERROR($G1170/SUMIF($A:$A,$A1170,$G:$G)*(SUMIF(Summary!$A$247:$A$283,$A1170,Summary!$L$247:$L$283)+SUMIF(Summary!$A$297:$A$333,$A1170,Summary!$L$297:$L$333))-AI1170,0)</f>
        <v>0</v>
      </c>
      <c r="AK1170" s="196">
        <f>IFERROR($G1170/SUMIF($A:$A,$A1170,$G:$G)*SUMIF(Summary!$A$247:$A$283,$A1170,Summary!$Q$247:$Q$283),0)</f>
        <v>0</v>
      </c>
      <c r="AL1170" s="196">
        <f>IFERROR($G1170/SUMIF($A:$A,$A1170,$G:$G)*(SUMIF(Summary!$A$247:$A$283,$A1170,Summary!$L$247:$L$283)+SUMIF(Summary!$A$297:$A$333,$A1170,Summary!$L$297:$L$333))-AK1170,0)</f>
        <v>0</v>
      </c>
      <c r="AM1170" s="198"/>
      <c r="AN1170" s="196">
        <f t="shared" ca="1" si="264"/>
        <v>0</v>
      </c>
      <c r="AO1170" s="196">
        <f t="shared" ca="1" si="265"/>
        <v>0</v>
      </c>
    </row>
    <row r="1171" spans="1:41">
      <c r="A1171" s="189">
        <v>3630</v>
      </c>
      <c r="B1171" s="190">
        <v>1</v>
      </c>
      <c r="C1171" s="191" t="s">
        <v>231</v>
      </c>
      <c r="D1171" s="192">
        <f t="shared" si="252"/>
        <v>519</v>
      </c>
      <c r="E1171" s="192">
        <f t="shared" si="253"/>
        <v>1314</v>
      </c>
      <c r="F1171" s="192">
        <f t="shared" si="254"/>
        <v>0</v>
      </c>
      <c r="G1171" s="193">
        <f t="shared" si="255"/>
        <v>1833</v>
      </c>
      <c r="H1171" s="194">
        <v>339</v>
      </c>
      <c r="I1171" s="194">
        <v>588</v>
      </c>
      <c r="J1171" s="194">
        <v>0</v>
      </c>
      <c r="K1171" s="193">
        <f t="shared" si="256"/>
        <v>927</v>
      </c>
      <c r="L1171" s="194">
        <v>165</v>
      </c>
      <c r="M1171" s="194">
        <v>681</v>
      </c>
      <c r="N1171" s="194">
        <v>0</v>
      </c>
      <c r="O1171" s="193">
        <f t="shared" si="257"/>
        <v>846</v>
      </c>
      <c r="P1171" s="194">
        <v>15</v>
      </c>
      <c r="Q1171" s="194">
        <v>45</v>
      </c>
      <c r="R1171" s="194">
        <v>0</v>
      </c>
      <c r="S1171" s="193">
        <f t="shared" si="258"/>
        <v>60</v>
      </c>
      <c r="T1171" s="193">
        <f t="shared" si="259"/>
        <v>61.1</v>
      </c>
      <c r="U1171" s="193">
        <f ca="1">OFFSET('Expenditure Study'!$B$7,'Operations Support'!$C1171,'Operations Support'!$B1171)*$G1171</f>
        <v>2786.16</v>
      </c>
      <c r="V1171" s="199">
        <f ca="1">U1171*'Expenditure Study'!$B$31</f>
        <v>164615.19501772799</v>
      </c>
      <c r="W1171" s="199">
        <f ca="1">IF(A1171=10298,1.51,1)*IF($B1171&lt;3,$D1171*'Expenditure Study'!$B$32*OFFSET('Expenditure Study'!$B$7,'Operations Support'!$C1171,'Operations Support'!$B1171),0)</f>
        <v>78.888000000000005</v>
      </c>
      <c r="X1171" s="200">
        <f ca="1">W1171*'Expenditure Study'!$B$31</f>
        <v>4660.9539669504002</v>
      </c>
      <c r="Y1171" s="199">
        <f ca="1">U1171*'Expenditure Study'!$B$31</f>
        <v>164615.19501772799</v>
      </c>
      <c r="Z1171" s="200">
        <f ca="1">W1171*'Expenditure Study'!$B$31</f>
        <v>4660.9539669504002</v>
      </c>
      <c r="AA1171" s="195">
        <f t="shared" ca="1" si="260"/>
        <v>169276.14898467838</v>
      </c>
      <c r="AB1171" s="195">
        <f t="shared" ca="1" si="261"/>
        <v>169276.14898467838</v>
      </c>
      <c r="AD1171" s="196">
        <f>IFERROR($G1171/SUMIF($A:$A,$A1171,$G:$G)*SUMIF(Summary!$A$166:$A$242,$A1171,Summary!$P$166:$P$242),0)</f>
        <v>88156.072957127064</v>
      </c>
      <c r="AE1171" s="197">
        <f t="shared" ca="1" si="262"/>
        <v>81120.076027551317</v>
      </c>
      <c r="AF1171" s="196">
        <f>IFERROR(G1171/SUMIF(A:A,A1171,G:G)*SUMIF(Summary!$A$166:$A$242,'Operations Support'!A1171,Summary!$Q$166:$Q$242),0)</f>
        <v>88626.103454734883</v>
      </c>
      <c r="AG1171" s="196">
        <f t="shared" ca="1" si="263"/>
        <v>80650.045529943498</v>
      </c>
      <c r="AI1171" s="196">
        <f>IFERROR($G1171/SUMIF($A:$A,$A1171,$G:$G)*SUMIF(Summary!$A$247:$A$283,$A1171,Summary!$P$247:$P$283),0)</f>
        <v>16077.467797101668</v>
      </c>
      <c r="AJ1171" s="196">
        <f>IFERROR($G1171/SUMIF($A:$A,$A1171,$G:$G)*(SUMIF(Summary!$A$247:$A$283,$A1171,Summary!$L$247:$L$283)+SUMIF(Summary!$A$297:$A$333,$A1171,Summary!$L$297:$L$333))-AI1171,0)</f>
        <v>41701.74687971457</v>
      </c>
      <c r="AK1171" s="196">
        <f>IFERROR($G1171/SUMIF($A:$A,$A1171,$G:$G)*SUMIF(Summary!$A$247:$A$283,$A1171,Summary!$Q$247:$Q$283),0)</f>
        <v>16163.189630385017</v>
      </c>
      <c r="AL1171" s="196">
        <f>IFERROR($G1171/SUMIF($A:$A,$A1171,$G:$G)*(SUMIF(Summary!$A$247:$A$283,$A1171,Summary!$L$247:$L$283)+SUMIF(Summary!$A$297:$A$333,$A1171,Summary!$L$297:$L$333))-AK1171,0)</f>
        <v>41616.025046431227</v>
      </c>
      <c r="AM1171" s="198"/>
      <c r="AN1171" s="196">
        <f t="shared" ca="1" si="264"/>
        <v>122821.82290726589</v>
      </c>
      <c r="AO1171" s="196">
        <f t="shared" ca="1" si="265"/>
        <v>122266.07057637472</v>
      </c>
    </row>
    <row r="1172" spans="1:41">
      <c r="A1172" s="189">
        <v>3630</v>
      </c>
      <c r="B1172" s="190">
        <v>1</v>
      </c>
      <c r="C1172" s="191" t="s">
        <v>232</v>
      </c>
      <c r="D1172" s="192">
        <f t="shared" si="252"/>
        <v>0</v>
      </c>
      <c r="E1172" s="192">
        <f t="shared" si="253"/>
        <v>0</v>
      </c>
      <c r="F1172" s="192">
        <f t="shared" si="254"/>
        <v>0</v>
      </c>
      <c r="G1172" s="193">
        <f t="shared" si="255"/>
        <v>0</v>
      </c>
      <c r="H1172" s="194">
        <v>0</v>
      </c>
      <c r="I1172" s="194">
        <v>0</v>
      </c>
      <c r="J1172" s="194">
        <v>0</v>
      </c>
      <c r="K1172" s="193">
        <f t="shared" si="256"/>
        <v>0</v>
      </c>
      <c r="L1172" s="194">
        <v>0</v>
      </c>
      <c r="M1172" s="194">
        <v>0</v>
      </c>
      <c r="N1172" s="194">
        <v>0</v>
      </c>
      <c r="O1172" s="193">
        <f t="shared" si="257"/>
        <v>0</v>
      </c>
      <c r="P1172" s="194">
        <v>0</v>
      </c>
      <c r="Q1172" s="194">
        <v>0</v>
      </c>
      <c r="R1172" s="194">
        <v>0</v>
      </c>
      <c r="S1172" s="193">
        <f t="shared" si="258"/>
        <v>0</v>
      </c>
      <c r="T1172" s="193">
        <f t="shared" si="259"/>
        <v>0</v>
      </c>
      <c r="U1172" s="193">
        <f ca="1">OFFSET('Expenditure Study'!$B$7,'Operations Support'!$C1172,'Operations Support'!$B1172)*$G1172</f>
        <v>0</v>
      </c>
      <c r="V1172" s="199">
        <f ca="1">U1172*'Expenditure Study'!$B$31</f>
        <v>0</v>
      </c>
      <c r="W1172" s="199">
        <f ca="1">IF(A1172=10298,1.51,1)*IF($B1172&lt;3,$D1172*'Expenditure Study'!$B$32*OFFSET('Expenditure Study'!$B$7,'Operations Support'!$C1172,'Operations Support'!$B1172),0)</f>
        <v>0</v>
      </c>
      <c r="X1172" s="200">
        <f ca="1">W1172*'Expenditure Study'!$B$31</f>
        <v>0</v>
      </c>
      <c r="Y1172" s="199">
        <f ca="1">U1172*'Expenditure Study'!$B$31</f>
        <v>0</v>
      </c>
      <c r="Z1172" s="200">
        <f ca="1">W1172*'Expenditure Study'!$B$31</f>
        <v>0</v>
      </c>
      <c r="AA1172" s="195">
        <f t="shared" ca="1" si="260"/>
        <v>0</v>
      </c>
      <c r="AB1172" s="195">
        <f t="shared" ca="1" si="261"/>
        <v>0</v>
      </c>
      <c r="AD1172" s="196">
        <f>IFERROR($G1172/SUMIF($A:$A,$A1172,$G:$G)*SUMIF(Summary!$A$166:$A$242,$A1172,Summary!$P$166:$P$242),0)</f>
        <v>0</v>
      </c>
      <c r="AE1172" s="197">
        <f t="shared" ca="1" si="262"/>
        <v>0</v>
      </c>
      <c r="AF1172" s="196">
        <f>IFERROR(G1172/SUMIF(A:A,A1172,G:G)*SUMIF(Summary!$A$166:$A$242,'Operations Support'!A1172,Summary!$Q$166:$Q$242),0)</f>
        <v>0</v>
      </c>
      <c r="AG1172" s="196">
        <f t="shared" ca="1" si="263"/>
        <v>0</v>
      </c>
      <c r="AI1172" s="196">
        <f>IFERROR($G1172/SUMIF($A:$A,$A1172,$G:$G)*SUMIF(Summary!$A$247:$A$283,$A1172,Summary!$P$247:$P$283),0)</f>
        <v>0</v>
      </c>
      <c r="AJ1172" s="196">
        <f>IFERROR($G1172/SUMIF($A:$A,$A1172,$G:$G)*(SUMIF(Summary!$A$247:$A$283,$A1172,Summary!$L$247:$L$283)+SUMIF(Summary!$A$297:$A$333,$A1172,Summary!$L$297:$L$333))-AI1172,0)</f>
        <v>0</v>
      </c>
      <c r="AK1172" s="196">
        <f>IFERROR($G1172/SUMIF($A:$A,$A1172,$G:$G)*SUMIF(Summary!$A$247:$A$283,$A1172,Summary!$Q$247:$Q$283),0)</f>
        <v>0</v>
      </c>
      <c r="AL1172" s="196">
        <f>IFERROR($G1172/SUMIF($A:$A,$A1172,$G:$G)*(SUMIF(Summary!$A$247:$A$283,$A1172,Summary!$L$247:$L$283)+SUMIF(Summary!$A$297:$A$333,$A1172,Summary!$L$297:$L$333))-AK1172,0)</f>
        <v>0</v>
      </c>
      <c r="AM1172" s="198"/>
      <c r="AN1172" s="196">
        <f t="shared" ca="1" si="264"/>
        <v>0</v>
      </c>
      <c r="AO1172" s="196">
        <f t="shared" ca="1" si="265"/>
        <v>0</v>
      </c>
    </row>
    <row r="1173" spans="1:41">
      <c r="A1173" s="189">
        <v>3630</v>
      </c>
      <c r="B1173" s="190">
        <v>1</v>
      </c>
      <c r="C1173" s="191" t="s">
        <v>233</v>
      </c>
      <c r="D1173" s="192">
        <f t="shared" si="252"/>
        <v>1029</v>
      </c>
      <c r="E1173" s="192">
        <f t="shared" si="253"/>
        <v>5390</v>
      </c>
      <c r="F1173" s="192">
        <f t="shared" si="254"/>
        <v>0</v>
      </c>
      <c r="G1173" s="193">
        <f t="shared" si="255"/>
        <v>6419</v>
      </c>
      <c r="H1173" s="194">
        <v>351</v>
      </c>
      <c r="I1173" s="194">
        <v>2469</v>
      </c>
      <c r="J1173" s="194">
        <v>0</v>
      </c>
      <c r="K1173" s="193">
        <f t="shared" si="256"/>
        <v>2820</v>
      </c>
      <c r="L1173" s="194">
        <v>591</v>
      </c>
      <c r="M1173" s="194">
        <v>2233</v>
      </c>
      <c r="N1173" s="194">
        <v>0</v>
      </c>
      <c r="O1173" s="193">
        <f t="shared" si="257"/>
        <v>2824</v>
      </c>
      <c r="P1173" s="194">
        <v>87</v>
      </c>
      <c r="Q1173" s="194">
        <v>688</v>
      </c>
      <c r="R1173" s="194">
        <v>0</v>
      </c>
      <c r="S1173" s="193">
        <f t="shared" si="258"/>
        <v>775</v>
      </c>
      <c r="T1173" s="193">
        <f t="shared" si="259"/>
        <v>213.96666666666667</v>
      </c>
      <c r="U1173" s="193">
        <f ca="1">OFFSET('Expenditure Study'!$B$7,'Operations Support'!$C1173,'Operations Support'!$B1173)*$G1173</f>
        <v>6162.24</v>
      </c>
      <c r="V1173" s="199">
        <f ca="1">U1173*'Expenditure Study'!$B$31</f>
        <v>364084.74005299201</v>
      </c>
      <c r="W1173" s="199">
        <f ca="1">IF(A1173=10298,1.51,1)*IF($B1173&lt;3,$D1173*'Expenditure Study'!$B$32*OFFSET('Expenditure Study'!$B$7,'Operations Support'!$C1173,'Operations Support'!$B1173),0)</f>
        <v>98.784000000000006</v>
      </c>
      <c r="X1173" s="200">
        <f ca="1">W1173*'Expenditure Study'!$B$31</f>
        <v>5836.4729321472005</v>
      </c>
      <c r="Y1173" s="199">
        <f ca="1">U1173*'Expenditure Study'!$B$31</f>
        <v>364084.74005299201</v>
      </c>
      <c r="Z1173" s="200">
        <f ca="1">W1173*'Expenditure Study'!$B$31</f>
        <v>5836.4729321472005</v>
      </c>
      <c r="AA1173" s="195">
        <f t="shared" ca="1" si="260"/>
        <v>369921.21298513922</v>
      </c>
      <c r="AB1173" s="195">
        <f t="shared" ca="1" si="261"/>
        <v>369921.21298513922</v>
      </c>
      <c r="AD1173" s="196">
        <f>IFERROR($G1173/SUMIF($A:$A,$A1173,$G:$G)*SUMIF(Summary!$A$166:$A$242,$A1173,Summary!$P$166:$P$242),0)</f>
        <v>308714.58391260152</v>
      </c>
      <c r="AE1173" s="197">
        <f t="shared" ca="1" si="262"/>
        <v>61206.629072537704</v>
      </c>
      <c r="AF1173" s="196">
        <f>IFERROR(G1173/SUMIF(A:A,A1173,G:G)*SUMIF(Summary!$A$166:$A$242,'Operations Support'!A1173,Summary!$Q$166:$Q$242),0)</f>
        <v>310360.58814835962</v>
      </c>
      <c r="AG1173" s="196">
        <f t="shared" ca="1" si="263"/>
        <v>59560.624836779607</v>
      </c>
      <c r="AI1173" s="196">
        <f>IFERROR($G1173/SUMIF($A:$A,$A1173,$G:$G)*SUMIF(Summary!$A$247:$A$283,$A1173,Summary!$P$247:$P$283),0)</f>
        <v>56301.83621909198</v>
      </c>
      <c r="AJ1173" s="196">
        <f>IFERROR($G1173/SUMIF($A:$A,$A1173,$G:$G)*(SUMIF(Summary!$A$247:$A$283,$A1173,Summary!$L$247:$L$283)+SUMIF(Summary!$A$297:$A$333,$A1173,Summary!$L$297:$L$333))-AI1173,0)</f>
        <v>146035.74098248107</v>
      </c>
      <c r="AK1173" s="196">
        <f>IFERROR($G1173/SUMIF($A:$A,$A1173,$G:$G)*SUMIF(Summary!$A$247:$A$283,$A1173,Summary!$Q$247:$Q$283),0)</f>
        <v>56602.026316116433</v>
      </c>
      <c r="AL1173" s="196">
        <f>IFERROR($G1173/SUMIF($A:$A,$A1173,$G:$G)*(SUMIF(Summary!$A$247:$A$283,$A1173,Summary!$L$247:$L$283)+SUMIF(Summary!$A$297:$A$333,$A1173,Summary!$L$297:$L$333))-AK1173,0)</f>
        <v>145735.55088545661</v>
      </c>
      <c r="AM1173" s="198"/>
      <c r="AN1173" s="196">
        <f t="shared" ca="1" si="264"/>
        <v>207242.37005501878</v>
      </c>
      <c r="AO1173" s="196">
        <f t="shared" ca="1" si="265"/>
        <v>205296.17572223622</v>
      </c>
    </row>
    <row r="1174" spans="1:41">
      <c r="A1174" s="189">
        <v>3630</v>
      </c>
      <c r="B1174" s="190">
        <v>1</v>
      </c>
      <c r="C1174" s="191" t="s">
        <v>234</v>
      </c>
      <c r="D1174" s="192">
        <f t="shared" si="252"/>
        <v>0</v>
      </c>
      <c r="E1174" s="192">
        <f t="shared" si="253"/>
        <v>0</v>
      </c>
      <c r="F1174" s="192">
        <f t="shared" si="254"/>
        <v>0</v>
      </c>
      <c r="G1174" s="193">
        <f t="shared" si="255"/>
        <v>0</v>
      </c>
      <c r="H1174" s="194">
        <v>0</v>
      </c>
      <c r="I1174" s="194">
        <v>0</v>
      </c>
      <c r="J1174" s="194">
        <v>0</v>
      </c>
      <c r="K1174" s="193">
        <f t="shared" si="256"/>
        <v>0</v>
      </c>
      <c r="L1174" s="194">
        <v>0</v>
      </c>
      <c r="M1174" s="194">
        <v>0</v>
      </c>
      <c r="N1174" s="194">
        <v>0</v>
      </c>
      <c r="O1174" s="193">
        <f t="shared" si="257"/>
        <v>0</v>
      </c>
      <c r="P1174" s="194">
        <v>0</v>
      </c>
      <c r="Q1174" s="194">
        <v>0</v>
      </c>
      <c r="R1174" s="194">
        <v>0</v>
      </c>
      <c r="S1174" s="193">
        <f t="shared" si="258"/>
        <v>0</v>
      </c>
      <c r="T1174" s="193">
        <f t="shared" si="259"/>
        <v>0</v>
      </c>
      <c r="U1174" s="193">
        <f ca="1">OFFSET('Expenditure Study'!$B$7,'Operations Support'!$C1174,'Operations Support'!$B1174)*$G1174</f>
        <v>0</v>
      </c>
      <c r="V1174" s="199">
        <f ca="1">U1174*'Expenditure Study'!$B$31</f>
        <v>0</v>
      </c>
      <c r="W1174" s="199">
        <f ca="1">IF(A1174=10298,1.51,1)*IF($B1174&lt;3,$D1174*'Expenditure Study'!$B$32*OFFSET('Expenditure Study'!$B$7,'Operations Support'!$C1174,'Operations Support'!$B1174),0)</f>
        <v>0</v>
      </c>
      <c r="X1174" s="200">
        <f ca="1">W1174*'Expenditure Study'!$B$31</f>
        <v>0</v>
      </c>
      <c r="Y1174" s="199">
        <f ca="1">U1174*'Expenditure Study'!$B$31</f>
        <v>0</v>
      </c>
      <c r="Z1174" s="200">
        <f ca="1">W1174*'Expenditure Study'!$B$31</f>
        <v>0</v>
      </c>
      <c r="AA1174" s="195">
        <f t="shared" ca="1" si="260"/>
        <v>0</v>
      </c>
      <c r="AB1174" s="195">
        <f t="shared" ca="1" si="261"/>
        <v>0</v>
      </c>
      <c r="AD1174" s="196">
        <f>IFERROR($G1174/SUMIF($A:$A,$A1174,$G:$G)*SUMIF(Summary!$A$166:$A$242,$A1174,Summary!$P$166:$P$242),0)</f>
        <v>0</v>
      </c>
      <c r="AE1174" s="197">
        <f t="shared" ca="1" si="262"/>
        <v>0</v>
      </c>
      <c r="AF1174" s="196">
        <f>IFERROR(G1174/SUMIF(A:A,A1174,G:G)*SUMIF(Summary!$A$166:$A$242,'Operations Support'!A1174,Summary!$Q$166:$Q$242),0)</f>
        <v>0</v>
      </c>
      <c r="AG1174" s="196">
        <f t="shared" ca="1" si="263"/>
        <v>0</v>
      </c>
      <c r="AI1174" s="196">
        <f>IFERROR($G1174/SUMIF($A:$A,$A1174,$G:$G)*SUMIF(Summary!$A$247:$A$283,$A1174,Summary!$P$247:$P$283),0)</f>
        <v>0</v>
      </c>
      <c r="AJ1174" s="196">
        <f>IFERROR($G1174/SUMIF($A:$A,$A1174,$G:$G)*(SUMIF(Summary!$A$247:$A$283,$A1174,Summary!$L$247:$L$283)+SUMIF(Summary!$A$297:$A$333,$A1174,Summary!$L$297:$L$333))-AI1174,0)</f>
        <v>0</v>
      </c>
      <c r="AK1174" s="196">
        <f>IFERROR($G1174/SUMIF($A:$A,$A1174,$G:$G)*SUMIF(Summary!$A$247:$A$283,$A1174,Summary!$Q$247:$Q$283),0)</f>
        <v>0</v>
      </c>
      <c r="AL1174" s="196">
        <f>IFERROR($G1174/SUMIF($A:$A,$A1174,$G:$G)*(SUMIF(Summary!$A$247:$A$283,$A1174,Summary!$L$247:$L$283)+SUMIF(Summary!$A$297:$A$333,$A1174,Summary!$L$297:$L$333))-AK1174,0)</f>
        <v>0</v>
      </c>
      <c r="AM1174" s="198"/>
      <c r="AN1174" s="196">
        <f t="shared" ca="1" si="264"/>
        <v>0</v>
      </c>
      <c r="AO1174" s="196">
        <f t="shared" ca="1" si="265"/>
        <v>0</v>
      </c>
    </row>
    <row r="1175" spans="1:41">
      <c r="A1175" s="189">
        <v>3630</v>
      </c>
      <c r="B1175" s="190">
        <v>1</v>
      </c>
      <c r="C1175" s="191" t="s">
        <v>235</v>
      </c>
      <c r="D1175" s="192">
        <f t="shared" si="252"/>
        <v>2484</v>
      </c>
      <c r="E1175" s="192">
        <f t="shared" si="253"/>
        <v>11151</v>
      </c>
      <c r="F1175" s="192">
        <f t="shared" si="254"/>
        <v>0</v>
      </c>
      <c r="G1175" s="193">
        <f t="shared" si="255"/>
        <v>13635</v>
      </c>
      <c r="H1175" s="194">
        <v>930</v>
      </c>
      <c r="I1175" s="194">
        <v>4596</v>
      </c>
      <c r="J1175" s="194">
        <v>0</v>
      </c>
      <c r="K1175" s="193">
        <f t="shared" si="256"/>
        <v>5526</v>
      </c>
      <c r="L1175" s="194">
        <v>1554</v>
      </c>
      <c r="M1175" s="194">
        <v>5766</v>
      </c>
      <c r="N1175" s="194">
        <v>0</v>
      </c>
      <c r="O1175" s="193">
        <f t="shared" si="257"/>
        <v>7320</v>
      </c>
      <c r="P1175" s="194">
        <v>0</v>
      </c>
      <c r="Q1175" s="194">
        <v>789</v>
      </c>
      <c r="R1175" s="194">
        <v>0</v>
      </c>
      <c r="S1175" s="193">
        <f t="shared" si="258"/>
        <v>789</v>
      </c>
      <c r="T1175" s="193">
        <f t="shared" si="259"/>
        <v>454.5</v>
      </c>
      <c r="U1175" s="193">
        <f ca="1">OFFSET('Expenditure Study'!$B$7,'Operations Support'!$C1175,'Operations Support'!$B1175)*$G1175</f>
        <v>14998.500000000002</v>
      </c>
      <c r="V1175" s="199">
        <f ca="1">U1175*'Expenditure Study'!$B$31</f>
        <v>886159.08722880017</v>
      </c>
      <c r="W1175" s="199">
        <f ca="1">IF(A1175=10298,1.51,1)*IF($B1175&lt;3,$D1175*'Expenditure Study'!$B$32*OFFSET('Expenditure Study'!$B$7,'Operations Support'!$C1175,'Operations Support'!$B1175),0)</f>
        <v>273.24</v>
      </c>
      <c r="X1175" s="200">
        <f ca="1">W1175*'Expenditure Study'!$B$31</f>
        <v>16143.888321792001</v>
      </c>
      <c r="Y1175" s="199">
        <f ca="1">U1175*'Expenditure Study'!$B$31</f>
        <v>886159.08722880017</v>
      </c>
      <c r="Z1175" s="200">
        <f ca="1">W1175*'Expenditure Study'!$B$31</f>
        <v>16143.888321792001</v>
      </c>
      <c r="AA1175" s="195">
        <f t="shared" ca="1" si="260"/>
        <v>902302.97555059218</v>
      </c>
      <c r="AB1175" s="195">
        <f t="shared" ca="1" si="261"/>
        <v>902302.97555059218</v>
      </c>
      <c r="AD1175" s="196">
        <f>IFERROR($G1175/SUMIF($A:$A,$A1175,$G:$G)*SUMIF(Summary!$A$166:$A$242,$A1175,Summary!$P$166:$P$242),0)</f>
        <v>655759.98623591242</v>
      </c>
      <c r="AE1175" s="197">
        <f t="shared" ca="1" si="262"/>
        <v>246542.98931467975</v>
      </c>
      <c r="AF1175" s="196">
        <f>IFERROR(G1175/SUMIF(A:A,A1175,G:G)*SUMIF(Summary!$A$166:$A$242,'Operations Support'!A1175,Summary!$Q$166:$Q$242),0)</f>
        <v>659256.36694234051</v>
      </c>
      <c r="AG1175" s="196">
        <f t="shared" ca="1" si="263"/>
        <v>243046.60860825167</v>
      </c>
      <c r="AI1175" s="196">
        <f>IFERROR($G1175/SUMIF($A:$A,$A1175,$G:$G)*SUMIF(Summary!$A$247:$A$283,$A1175,Summary!$P$247:$P$283),0)</f>
        <v>119594.25718138639</v>
      </c>
      <c r="AJ1175" s="196">
        <f>IFERROR($G1175/SUMIF($A:$A,$A1175,$G:$G)*(SUMIF(Summary!$A$247:$A$283,$A1175,Summary!$L$247:$L$283)+SUMIF(Summary!$A$297:$A$333,$A1175,Summary!$L$297:$L$333))-AI1175,0)</f>
        <v>310203.66541457077</v>
      </c>
      <c r="AK1175" s="196">
        <f>IFERROR($G1175/SUMIF($A:$A,$A1175,$G:$G)*SUMIF(Summary!$A$247:$A$283,$A1175,Summary!$Q$247:$Q$283),0)</f>
        <v>120231.90977103094</v>
      </c>
      <c r="AL1175" s="196">
        <f>IFERROR($G1175/SUMIF($A:$A,$A1175,$G:$G)*(SUMIF(Summary!$A$247:$A$283,$A1175,Summary!$L$247:$L$283)+SUMIF(Summary!$A$297:$A$333,$A1175,Summary!$L$297:$L$333))-AK1175,0)</f>
        <v>309566.01282492623</v>
      </c>
      <c r="AM1175" s="198"/>
      <c r="AN1175" s="196">
        <f t="shared" ca="1" si="264"/>
        <v>556746.65472925059</v>
      </c>
      <c r="AO1175" s="196">
        <f t="shared" ca="1" si="265"/>
        <v>552612.62143317796</v>
      </c>
    </row>
    <row r="1176" spans="1:41">
      <c r="A1176" s="189">
        <v>3630</v>
      </c>
      <c r="B1176" s="190">
        <v>1</v>
      </c>
      <c r="C1176" s="191" t="s">
        <v>236</v>
      </c>
      <c r="D1176" s="192">
        <f t="shared" si="252"/>
        <v>0</v>
      </c>
      <c r="E1176" s="192">
        <f t="shared" si="253"/>
        <v>0</v>
      </c>
      <c r="F1176" s="192">
        <f t="shared" si="254"/>
        <v>0</v>
      </c>
      <c r="G1176" s="193">
        <f t="shared" si="255"/>
        <v>0</v>
      </c>
      <c r="H1176" s="194">
        <v>0</v>
      </c>
      <c r="I1176" s="194">
        <v>0</v>
      </c>
      <c r="J1176" s="194">
        <v>0</v>
      </c>
      <c r="K1176" s="193">
        <f t="shared" si="256"/>
        <v>0</v>
      </c>
      <c r="L1176" s="194">
        <v>0</v>
      </c>
      <c r="M1176" s="194">
        <v>0</v>
      </c>
      <c r="N1176" s="194">
        <v>0</v>
      </c>
      <c r="O1176" s="193">
        <f t="shared" si="257"/>
        <v>0</v>
      </c>
      <c r="P1176" s="194">
        <v>0</v>
      </c>
      <c r="Q1176" s="194">
        <v>0</v>
      </c>
      <c r="R1176" s="194">
        <v>0</v>
      </c>
      <c r="S1176" s="193">
        <f t="shared" si="258"/>
        <v>0</v>
      </c>
      <c r="T1176" s="193">
        <f t="shared" si="259"/>
        <v>0</v>
      </c>
      <c r="U1176" s="193">
        <f ca="1">OFFSET('Expenditure Study'!$B$7,'Operations Support'!$C1176,'Operations Support'!$B1176)*$G1176</f>
        <v>0</v>
      </c>
      <c r="V1176" s="199">
        <f ca="1">U1176*'Expenditure Study'!$B$31</f>
        <v>0</v>
      </c>
      <c r="W1176" s="199">
        <f ca="1">IF(A1176=10298,1.51,1)*IF($B1176&lt;3,$D1176*'Expenditure Study'!$B$32*OFFSET('Expenditure Study'!$B$7,'Operations Support'!$C1176,'Operations Support'!$B1176),0)</f>
        <v>0</v>
      </c>
      <c r="X1176" s="200">
        <f ca="1">W1176*'Expenditure Study'!$B$31</f>
        <v>0</v>
      </c>
      <c r="Y1176" s="199">
        <f ca="1">U1176*'Expenditure Study'!$B$31</f>
        <v>0</v>
      </c>
      <c r="Z1176" s="200">
        <f ca="1">W1176*'Expenditure Study'!$B$31</f>
        <v>0</v>
      </c>
      <c r="AA1176" s="195">
        <f t="shared" ca="1" si="260"/>
        <v>0</v>
      </c>
      <c r="AB1176" s="195">
        <f t="shared" ca="1" si="261"/>
        <v>0</v>
      </c>
      <c r="AD1176" s="196">
        <f>IFERROR($G1176/SUMIF($A:$A,$A1176,$G:$G)*SUMIF(Summary!$A$166:$A$242,$A1176,Summary!$P$166:$P$242),0)</f>
        <v>0</v>
      </c>
      <c r="AE1176" s="197">
        <f t="shared" ca="1" si="262"/>
        <v>0</v>
      </c>
      <c r="AF1176" s="196">
        <f>IFERROR(G1176/SUMIF(A:A,A1176,G:G)*SUMIF(Summary!$A$166:$A$242,'Operations Support'!A1176,Summary!$Q$166:$Q$242),0)</f>
        <v>0</v>
      </c>
      <c r="AG1176" s="196">
        <f t="shared" ca="1" si="263"/>
        <v>0</v>
      </c>
      <c r="AI1176" s="196">
        <f>IFERROR($G1176/SUMIF($A:$A,$A1176,$G:$G)*SUMIF(Summary!$A$247:$A$283,$A1176,Summary!$P$247:$P$283),0)</f>
        <v>0</v>
      </c>
      <c r="AJ1176" s="196">
        <f>IFERROR($G1176/SUMIF($A:$A,$A1176,$G:$G)*(SUMIF(Summary!$A$247:$A$283,$A1176,Summary!$L$247:$L$283)+SUMIF(Summary!$A$297:$A$333,$A1176,Summary!$L$297:$L$333))-AI1176,0)</f>
        <v>0</v>
      </c>
      <c r="AK1176" s="196">
        <f>IFERROR($G1176/SUMIF($A:$A,$A1176,$G:$G)*SUMIF(Summary!$A$247:$A$283,$A1176,Summary!$Q$247:$Q$283),0)</f>
        <v>0</v>
      </c>
      <c r="AL1176" s="196">
        <f>IFERROR($G1176/SUMIF($A:$A,$A1176,$G:$G)*(SUMIF(Summary!$A$247:$A$283,$A1176,Summary!$L$247:$L$283)+SUMIF(Summary!$A$297:$A$333,$A1176,Summary!$L$297:$L$333))-AK1176,0)</f>
        <v>0</v>
      </c>
      <c r="AM1176" s="198"/>
      <c r="AN1176" s="196">
        <f t="shared" ca="1" si="264"/>
        <v>0</v>
      </c>
      <c r="AO1176" s="196">
        <f t="shared" ca="1" si="265"/>
        <v>0</v>
      </c>
    </row>
    <row r="1177" spans="1:41">
      <c r="A1177" s="189">
        <v>3630</v>
      </c>
      <c r="B1177" s="190">
        <v>1</v>
      </c>
      <c r="C1177" s="191" t="s">
        <v>237</v>
      </c>
      <c r="D1177" s="192">
        <f t="shared" si="252"/>
        <v>0</v>
      </c>
      <c r="E1177" s="192">
        <f t="shared" si="253"/>
        <v>0</v>
      </c>
      <c r="F1177" s="192">
        <f t="shared" si="254"/>
        <v>0</v>
      </c>
      <c r="G1177" s="193">
        <f t="shared" si="255"/>
        <v>0</v>
      </c>
      <c r="H1177" s="194">
        <v>0</v>
      </c>
      <c r="I1177" s="194">
        <v>0</v>
      </c>
      <c r="J1177" s="194">
        <v>0</v>
      </c>
      <c r="K1177" s="193">
        <f t="shared" si="256"/>
        <v>0</v>
      </c>
      <c r="L1177" s="194">
        <v>0</v>
      </c>
      <c r="M1177" s="194">
        <v>0</v>
      </c>
      <c r="N1177" s="194">
        <v>0</v>
      </c>
      <c r="O1177" s="193">
        <f t="shared" si="257"/>
        <v>0</v>
      </c>
      <c r="P1177" s="194">
        <v>0</v>
      </c>
      <c r="Q1177" s="194">
        <v>0</v>
      </c>
      <c r="R1177" s="194">
        <v>0</v>
      </c>
      <c r="S1177" s="193">
        <f t="shared" si="258"/>
        <v>0</v>
      </c>
      <c r="T1177" s="193">
        <f t="shared" si="259"/>
        <v>0</v>
      </c>
      <c r="U1177" s="193">
        <f ca="1">OFFSET('Expenditure Study'!$B$7,'Operations Support'!$C1177,'Operations Support'!$B1177)*$G1177</f>
        <v>0</v>
      </c>
      <c r="V1177" s="199">
        <f ca="1">U1177*'Expenditure Study'!$B$31</f>
        <v>0</v>
      </c>
      <c r="W1177" s="199">
        <f ca="1">IF(A1177=10298,1.51,1)*IF($B1177&lt;3,$D1177*'Expenditure Study'!$B$32*OFFSET('Expenditure Study'!$B$7,'Operations Support'!$C1177,'Operations Support'!$B1177),0)</f>
        <v>0</v>
      </c>
      <c r="X1177" s="200">
        <f ca="1">W1177*'Expenditure Study'!$B$31</f>
        <v>0</v>
      </c>
      <c r="Y1177" s="199">
        <f ca="1">U1177*'Expenditure Study'!$B$31</f>
        <v>0</v>
      </c>
      <c r="Z1177" s="200">
        <f ca="1">W1177*'Expenditure Study'!$B$31</f>
        <v>0</v>
      </c>
      <c r="AA1177" s="195">
        <f t="shared" ca="1" si="260"/>
        <v>0</v>
      </c>
      <c r="AB1177" s="195">
        <f t="shared" ca="1" si="261"/>
        <v>0</v>
      </c>
      <c r="AD1177" s="196">
        <f>IFERROR($G1177/SUMIF($A:$A,$A1177,$G:$G)*SUMIF(Summary!$A$166:$A$242,$A1177,Summary!$P$166:$P$242),0)</f>
        <v>0</v>
      </c>
      <c r="AE1177" s="197">
        <f t="shared" ca="1" si="262"/>
        <v>0</v>
      </c>
      <c r="AF1177" s="196">
        <f>IFERROR(G1177/SUMIF(A:A,A1177,G:G)*SUMIF(Summary!$A$166:$A$242,'Operations Support'!A1177,Summary!$Q$166:$Q$242),0)</f>
        <v>0</v>
      </c>
      <c r="AG1177" s="196">
        <f t="shared" ca="1" si="263"/>
        <v>0</v>
      </c>
      <c r="AI1177" s="196">
        <f>IFERROR($G1177/SUMIF($A:$A,$A1177,$G:$G)*SUMIF(Summary!$A$247:$A$283,$A1177,Summary!$P$247:$P$283),0)</f>
        <v>0</v>
      </c>
      <c r="AJ1177" s="196">
        <f>IFERROR($G1177/SUMIF($A:$A,$A1177,$G:$G)*(SUMIF(Summary!$A$247:$A$283,$A1177,Summary!$L$247:$L$283)+SUMIF(Summary!$A$297:$A$333,$A1177,Summary!$L$297:$L$333))-AI1177,0)</f>
        <v>0</v>
      </c>
      <c r="AK1177" s="196">
        <f>IFERROR($G1177/SUMIF($A:$A,$A1177,$G:$G)*SUMIF(Summary!$A$247:$A$283,$A1177,Summary!$Q$247:$Q$283),0)</f>
        <v>0</v>
      </c>
      <c r="AL1177" s="196">
        <f>IFERROR($G1177/SUMIF($A:$A,$A1177,$G:$G)*(SUMIF(Summary!$A$247:$A$283,$A1177,Summary!$L$247:$L$283)+SUMIF(Summary!$A$297:$A$333,$A1177,Summary!$L$297:$L$333))-AK1177,0)</f>
        <v>0</v>
      </c>
      <c r="AM1177" s="198"/>
      <c r="AN1177" s="196">
        <f t="shared" ca="1" si="264"/>
        <v>0</v>
      </c>
      <c r="AO1177" s="196">
        <f t="shared" ca="1" si="265"/>
        <v>0</v>
      </c>
    </row>
    <row r="1178" spans="1:41">
      <c r="A1178" s="189">
        <v>3630</v>
      </c>
      <c r="B1178" s="190">
        <v>1</v>
      </c>
      <c r="C1178" s="191" t="s">
        <v>238</v>
      </c>
      <c r="D1178" s="192">
        <f t="shared" si="252"/>
        <v>666</v>
      </c>
      <c r="E1178" s="192">
        <f t="shared" si="253"/>
        <v>576</v>
      </c>
      <c r="F1178" s="192">
        <f t="shared" si="254"/>
        <v>0</v>
      </c>
      <c r="G1178" s="193">
        <f t="shared" si="255"/>
        <v>1242</v>
      </c>
      <c r="H1178" s="194">
        <v>312</v>
      </c>
      <c r="I1178" s="194">
        <v>261</v>
      </c>
      <c r="J1178" s="194">
        <v>0</v>
      </c>
      <c r="K1178" s="193">
        <f t="shared" si="256"/>
        <v>573</v>
      </c>
      <c r="L1178" s="194">
        <v>351</v>
      </c>
      <c r="M1178" s="194">
        <v>315</v>
      </c>
      <c r="N1178" s="194">
        <v>0</v>
      </c>
      <c r="O1178" s="193">
        <f t="shared" si="257"/>
        <v>666</v>
      </c>
      <c r="P1178" s="194">
        <v>3</v>
      </c>
      <c r="Q1178" s="194">
        <v>0</v>
      </c>
      <c r="R1178" s="194">
        <v>0</v>
      </c>
      <c r="S1178" s="193">
        <f t="shared" si="258"/>
        <v>3</v>
      </c>
      <c r="T1178" s="193">
        <f t="shared" si="259"/>
        <v>41.4</v>
      </c>
      <c r="U1178" s="193">
        <f ca="1">OFFSET('Expenditure Study'!$B$7,'Operations Support'!$C1178,'Operations Support'!$B1178)*$G1178</f>
        <v>2210.7600000000002</v>
      </c>
      <c r="V1178" s="199">
        <f ca="1">U1178*'Expenditure Study'!$B$31</f>
        <v>130618.73278540802</v>
      </c>
      <c r="W1178" s="199">
        <f ca="1">IF(A1178=10298,1.51,1)*IF($B1178&lt;3,$D1178*'Expenditure Study'!$B$32*OFFSET('Expenditure Study'!$B$7,'Operations Support'!$C1178,'Operations Support'!$B1178),0)</f>
        <v>118.54800000000002</v>
      </c>
      <c r="X1178" s="200">
        <f ca="1">W1178*'Expenditure Study'!$B$31</f>
        <v>7004.1929174784009</v>
      </c>
      <c r="Y1178" s="199">
        <f ca="1">U1178*'Expenditure Study'!$B$31</f>
        <v>130618.73278540802</v>
      </c>
      <c r="Z1178" s="200">
        <f ca="1">W1178*'Expenditure Study'!$B$31</f>
        <v>7004.1929174784009</v>
      </c>
      <c r="AA1178" s="195">
        <f t="shared" ca="1" si="260"/>
        <v>137622.92570288642</v>
      </c>
      <c r="AB1178" s="195">
        <f t="shared" ca="1" si="261"/>
        <v>137622.92570288642</v>
      </c>
      <c r="AD1178" s="196">
        <f>IFERROR($G1178/SUMIF($A:$A,$A1178,$G:$G)*SUMIF(Summary!$A$166:$A$242,$A1178,Summary!$P$166:$P$242),0)</f>
        <v>59732.592805647473</v>
      </c>
      <c r="AE1178" s="197">
        <f t="shared" ca="1" si="262"/>
        <v>77890.332897238957</v>
      </c>
      <c r="AF1178" s="196">
        <f>IFERROR(G1178/SUMIF(A:A,A1178,G:G)*SUMIF(Summary!$A$166:$A$242,'Operations Support'!A1178,Summary!$Q$166:$Q$242),0)</f>
        <v>60051.075008609238</v>
      </c>
      <c r="AG1178" s="196">
        <f t="shared" ca="1" si="263"/>
        <v>77571.850694277178</v>
      </c>
      <c r="AI1178" s="196">
        <f>IFERROR($G1178/SUMIF($A:$A,$A1178,$G:$G)*SUMIF(Summary!$A$247:$A$283,$A1178,Summary!$P$247:$P$283),0)</f>
        <v>10893.734317512424</v>
      </c>
      <c r="AJ1178" s="196">
        <f>IFERROR($G1178/SUMIF($A:$A,$A1178,$G:$G)*(SUMIF(Summary!$A$247:$A$283,$A1178,Summary!$L$247:$L$283)+SUMIF(Summary!$A$297:$A$333,$A1178,Summary!$L$297:$L$333))-AI1178,0)</f>
        <v>28256.175463505453</v>
      </c>
      <c r="AK1178" s="196">
        <f>IFERROR($G1178/SUMIF($A:$A,$A1178,$G:$G)*SUMIF(Summary!$A$247:$A$283,$A1178,Summary!$Q$247:$Q$283),0)</f>
        <v>10951.817523697868</v>
      </c>
      <c r="AL1178" s="196">
        <f>IFERROR($G1178/SUMIF($A:$A,$A1178,$G:$G)*(SUMIF(Summary!$A$247:$A$283,$A1178,Summary!$L$247:$L$283)+SUMIF(Summary!$A$297:$A$333,$A1178,Summary!$L$297:$L$333))-AK1178,0)</f>
        <v>28198.092257320011</v>
      </c>
      <c r="AM1178" s="198"/>
      <c r="AN1178" s="196">
        <f t="shared" ca="1" si="264"/>
        <v>106146.50836074441</v>
      </c>
      <c r="AO1178" s="196">
        <f t="shared" ca="1" si="265"/>
        <v>105769.94295159719</v>
      </c>
    </row>
    <row r="1179" spans="1:41">
      <c r="A1179" s="189">
        <v>3630</v>
      </c>
      <c r="B1179" s="190">
        <v>1</v>
      </c>
      <c r="C1179" s="191" t="s">
        <v>239</v>
      </c>
      <c r="D1179" s="192">
        <f t="shared" si="252"/>
        <v>30</v>
      </c>
      <c r="E1179" s="192">
        <f t="shared" si="253"/>
        <v>172</v>
      </c>
      <c r="F1179" s="192">
        <f t="shared" si="254"/>
        <v>0</v>
      </c>
      <c r="G1179" s="193">
        <f t="shared" si="255"/>
        <v>202</v>
      </c>
      <c r="H1179" s="194">
        <v>6</v>
      </c>
      <c r="I1179" s="194">
        <v>74</v>
      </c>
      <c r="J1179" s="194">
        <v>0</v>
      </c>
      <c r="K1179" s="193">
        <f t="shared" si="256"/>
        <v>80</v>
      </c>
      <c r="L1179" s="194">
        <v>24</v>
      </c>
      <c r="M1179" s="194">
        <v>98</v>
      </c>
      <c r="N1179" s="194">
        <v>0</v>
      </c>
      <c r="O1179" s="193">
        <f t="shared" si="257"/>
        <v>122</v>
      </c>
      <c r="P1179" s="194">
        <v>0</v>
      </c>
      <c r="Q1179" s="194">
        <v>0</v>
      </c>
      <c r="R1179" s="194">
        <v>0</v>
      </c>
      <c r="S1179" s="193">
        <f t="shared" si="258"/>
        <v>0</v>
      </c>
      <c r="T1179" s="193">
        <f t="shared" si="259"/>
        <v>6.7333333333333334</v>
      </c>
      <c r="U1179" s="193">
        <f ca="1">OFFSET('Expenditure Study'!$B$7,'Operations Support'!$C1179,'Operations Support'!$B1179)*$G1179</f>
        <v>313.10000000000002</v>
      </c>
      <c r="V1179" s="199">
        <f ca="1">U1179*'Expenditure Study'!$B$31</f>
        <v>18498.943908480003</v>
      </c>
      <c r="W1179" s="199">
        <f ca="1">IF(A1179=10298,1.51,1)*IF($B1179&lt;3,$D1179*'Expenditure Study'!$B$32*OFFSET('Expenditure Study'!$B$7,'Operations Support'!$C1179,'Operations Support'!$B1179),0)</f>
        <v>4.6500000000000004</v>
      </c>
      <c r="X1179" s="200">
        <f ca="1">W1179*'Expenditure Study'!$B$31</f>
        <v>274.73679072000004</v>
      </c>
      <c r="Y1179" s="199">
        <f ca="1">U1179*'Expenditure Study'!$B$31</f>
        <v>18498.943908480003</v>
      </c>
      <c r="Z1179" s="200">
        <f ca="1">W1179*'Expenditure Study'!$B$31</f>
        <v>274.73679072000004</v>
      </c>
      <c r="AA1179" s="195">
        <f t="shared" ca="1" si="260"/>
        <v>18773.680699200002</v>
      </c>
      <c r="AB1179" s="195">
        <f t="shared" ca="1" si="261"/>
        <v>18773.680699200002</v>
      </c>
      <c r="AD1179" s="196">
        <f>IFERROR($G1179/SUMIF($A:$A,$A1179,$G:$G)*SUMIF(Summary!$A$166:$A$242,$A1179,Summary!$P$166:$P$242),0)</f>
        <v>9714.9627590505534</v>
      </c>
      <c r="AE1179" s="197">
        <f t="shared" ca="1" si="262"/>
        <v>9058.7179401494486</v>
      </c>
      <c r="AF1179" s="196">
        <f>IFERROR(G1179/SUMIF(A:A,A1179,G:G)*SUMIF(Summary!$A$166:$A$242,'Operations Support'!A1179,Summary!$Q$166:$Q$242),0)</f>
        <v>9766.7609917383779</v>
      </c>
      <c r="AG1179" s="196">
        <f t="shared" ca="1" si="263"/>
        <v>9006.9197074616241</v>
      </c>
      <c r="AI1179" s="196">
        <f>IFERROR($G1179/SUMIF($A:$A,$A1179,$G:$G)*SUMIF(Summary!$A$247:$A$283,$A1179,Summary!$P$247:$P$283),0)</f>
        <v>1771.7667730575761</v>
      </c>
      <c r="AJ1179" s="196">
        <f>IFERROR($G1179/SUMIF($A:$A,$A1179,$G:$G)*(SUMIF(Summary!$A$247:$A$283,$A1179,Summary!$L$247:$L$283)+SUMIF(Summary!$A$297:$A$333,$A1179,Summary!$L$297:$L$333))-AI1179,0)</f>
        <v>4595.6098579936406</v>
      </c>
      <c r="AK1179" s="196">
        <f>IFERROR($G1179/SUMIF($A:$A,$A1179,$G:$G)*SUMIF(Summary!$A$247:$A$283,$A1179,Summary!$Q$247:$Q$283),0)</f>
        <v>1781.2134780893473</v>
      </c>
      <c r="AL1179" s="196">
        <f>IFERROR($G1179/SUMIF($A:$A,$A1179,$G:$G)*(SUMIF(Summary!$A$247:$A$283,$A1179,Summary!$L$247:$L$283)+SUMIF(Summary!$A$297:$A$333,$A1179,Summary!$L$297:$L$333))-AK1179,0)</f>
        <v>4586.1631529618689</v>
      </c>
      <c r="AM1179" s="198"/>
      <c r="AN1179" s="196">
        <f t="shared" ca="1" si="264"/>
        <v>13654.327798143089</v>
      </c>
      <c r="AO1179" s="196">
        <f t="shared" ca="1" si="265"/>
        <v>13593.082860423492</v>
      </c>
    </row>
    <row r="1180" spans="1:41" s="201" customFormat="1">
      <c r="A1180" s="189">
        <v>3630</v>
      </c>
      <c r="B1180" s="190">
        <v>1</v>
      </c>
      <c r="C1180" s="191" t="s">
        <v>240</v>
      </c>
      <c r="D1180" s="192">
        <f t="shared" si="252"/>
        <v>0</v>
      </c>
      <c r="E1180" s="192">
        <f t="shared" si="253"/>
        <v>1458</v>
      </c>
      <c r="F1180" s="192">
        <f t="shared" si="254"/>
        <v>0</v>
      </c>
      <c r="G1180" s="193">
        <f t="shared" si="255"/>
        <v>1458</v>
      </c>
      <c r="H1180" s="194">
        <v>0</v>
      </c>
      <c r="I1180" s="194">
        <v>566</v>
      </c>
      <c r="J1180" s="194">
        <v>0</v>
      </c>
      <c r="K1180" s="193">
        <f t="shared" si="256"/>
        <v>566</v>
      </c>
      <c r="L1180" s="194">
        <v>0</v>
      </c>
      <c r="M1180" s="194">
        <v>892</v>
      </c>
      <c r="N1180" s="194">
        <v>0</v>
      </c>
      <c r="O1180" s="193">
        <f t="shared" si="257"/>
        <v>892</v>
      </c>
      <c r="P1180" s="194">
        <v>0</v>
      </c>
      <c r="Q1180" s="194">
        <v>0</v>
      </c>
      <c r="R1180" s="194">
        <v>0</v>
      </c>
      <c r="S1180" s="193">
        <f t="shared" si="258"/>
        <v>0</v>
      </c>
      <c r="T1180" s="193">
        <f t="shared" si="259"/>
        <v>48.6</v>
      </c>
      <c r="U1180" s="193">
        <f ca="1">OFFSET('Expenditure Study'!$B$7,'Operations Support'!$C1180,'Operations Support'!$B1180)*$G1180</f>
        <v>1458</v>
      </c>
      <c r="V1180" s="199">
        <f ca="1">U1180*'Expenditure Study'!$B$31</f>
        <v>86143.277606400006</v>
      </c>
      <c r="W1180" s="199">
        <f ca="1">IF(A1180=10298,1.51,1)*IF($B1180&lt;3,$D1180*'Expenditure Study'!$B$32*OFFSET('Expenditure Study'!$B$7,'Operations Support'!$C1180,'Operations Support'!$B1180),0)</f>
        <v>0</v>
      </c>
      <c r="X1180" s="200">
        <f ca="1">W1180*'Expenditure Study'!$B$31</f>
        <v>0</v>
      </c>
      <c r="Y1180" s="199">
        <f ca="1">U1180*'Expenditure Study'!$B$31</f>
        <v>86143.277606400006</v>
      </c>
      <c r="Z1180" s="200">
        <f ca="1">W1180*'Expenditure Study'!$B$31</f>
        <v>0</v>
      </c>
      <c r="AA1180" s="195">
        <f t="shared" ca="1" si="260"/>
        <v>86143.277606400006</v>
      </c>
      <c r="AB1180" s="195">
        <f t="shared" ca="1" si="261"/>
        <v>86143.277606400006</v>
      </c>
      <c r="AD1180" s="196">
        <f>IFERROR($G1180/SUMIF($A:$A,$A1180,$G:$G)*SUMIF(Summary!$A$166:$A$242,$A1180,Summary!$P$166:$P$242),0)</f>
        <v>70120.869815325292</v>
      </c>
      <c r="AE1180" s="197">
        <f t="shared" ca="1" si="262"/>
        <v>16022.407791074715</v>
      </c>
      <c r="AF1180" s="196">
        <f>IFERROR(G1180/SUMIF(A:A,A1180,G:G)*SUMIF(Summary!$A$166:$A$242,'Operations Support'!A1180,Summary!$Q$166:$Q$242),0)</f>
        <v>70494.740227497794</v>
      </c>
      <c r="AG1180" s="196">
        <f t="shared" ca="1" si="263"/>
        <v>15648.537378902212</v>
      </c>
      <c r="AH1180" s="180"/>
      <c r="AI1180" s="196">
        <f>IFERROR($G1180/SUMIF($A:$A,$A1180,$G:$G)*SUMIF(Summary!$A$247:$A$283,$A1180,Summary!$P$247:$P$283),0)</f>
        <v>12788.296807514584</v>
      </c>
      <c r="AJ1180" s="196">
        <f>IFERROR($G1180/SUMIF($A:$A,$A1180,$G:$G)*(SUMIF(Summary!$A$247:$A$283,$A1180,Summary!$L$247:$L$283)+SUMIF(Summary!$A$297:$A$333,$A1180,Summary!$L$297:$L$333))-AI1180,0)</f>
        <v>33170.292935419449</v>
      </c>
      <c r="AK1180" s="196">
        <f>IFERROR($G1180/SUMIF($A:$A,$A1180,$G:$G)*SUMIF(Summary!$A$247:$A$283,$A1180,Summary!$Q$247:$Q$283),0)</f>
        <v>12856.481440862715</v>
      </c>
      <c r="AL1180" s="196">
        <f>IFERROR($G1180/SUMIF($A:$A,$A1180,$G:$G)*(SUMIF(Summary!$A$247:$A$283,$A1180,Summary!$L$247:$L$283)+SUMIF(Summary!$A$297:$A$333,$A1180,Summary!$L$297:$L$333))-AK1180,0)</f>
        <v>33102.108302071319</v>
      </c>
      <c r="AM1180" s="198"/>
      <c r="AN1180" s="196">
        <f t="shared" ca="1" si="264"/>
        <v>49192.700726494164</v>
      </c>
      <c r="AO1180" s="196">
        <f t="shared" ca="1" si="265"/>
        <v>48750.645680973532</v>
      </c>
    </row>
    <row r="1181" spans="1:41">
      <c r="A1181" s="189">
        <v>3630</v>
      </c>
      <c r="B1181" s="190">
        <v>2</v>
      </c>
      <c r="C1181" s="191" t="s">
        <v>220</v>
      </c>
      <c r="D1181" s="192">
        <f t="shared" si="252"/>
        <v>6744</v>
      </c>
      <c r="E1181" s="192">
        <f t="shared" si="253"/>
        <v>5293</v>
      </c>
      <c r="F1181" s="192">
        <f t="shared" si="254"/>
        <v>0</v>
      </c>
      <c r="G1181" s="193">
        <f t="shared" si="255"/>
        <v>12037</v>
      </c>
      <c r="H1181" s="194">
        <v>3107</v>
      </c>
      <c r="I1181" s="194">
        <v>2736</v>
      </c>
      <c r="J1181" s="194">
        <v>0</v>
      </c>
      <c r="K1181" s="193">
        <f t="shared" si="256"/>
        <v>5843</v>
      </c>
      <c r="L1181" s="194">
        <v>2976</v>
      </c>
      <c r="M1181" s="194">
        <v>2373</v>
      </c>
      <c r="N1181" s="194">
        <v>0</v>
      </c>
      <c r="O1181" s="193">
        <f t="shared" si="257"/>
        <v>5349</v>
      </c>
      <c r="P1181" s="194">
        <v>661</v>
      </c>
      <c r="Q1181" s="194">
        <v>184</v>
      </c>
      <c r="R1181" s="194">
        <v>0</v>
      </c>
      <c r="S1181" s="193">
        <f t="shared" si="258"/>
        <v>845</v>
      </c>
      <c r="T1181" s="193">
        <f t="shared" si="259"/>
        <v>401.23333333333335</v>
      </c>
      <c r="U1181" s="193">
        <f ca="1">OFFSET('Expenditure Study'!$B$7,'Operations Support'!$C1181,'Operations Support'!$B1181)*$G1181</f>
        <v>22148.080000000002</v>
      </c>
      <c r="V1181" s="199">
        <f ca="1">U1181*'Expenditure Study'!$B$31</f>
        <v>1308579.015012864</v>
      </c>
      <c r="W1181" s="199">
        <f ca="1">IF(A1181=10298,1.51,1)*IF($B1181&lt;3,$D1181*'Expenditure Study'!$B$32*OFFSET('Expenditure Study'!$B$7,'Operations Support'!$C1181,'Operations Support'!$B1181),0)</f>
        <v>1240.8960000000002</v>
      </c>
      <c r="X1181" s="200">
        <f ca="1">W1181*'Expenditure Study'!$B$31</f>
        <v>73316.082721996805</v>
      </c>
      <c r="Y1181" s="199">
        <f ca="1">U1181*'Expenditure Study'!$B$31</f>
        <v>1308579.015012864</v>
      </c>
      <c r="Z1181" s="200">
        <f ca="1">W1181*'Expenditure Study'!$B$31</f>
        <v>73316.082721996805</v>
      </c>
      <c r="AA1181" s="195">
        <f t="shared" ca="1" si="260"/>
        <v>1381895.0977348608</v>
      </c>
      <c r="AB1181" s="195">
        <f t="shared" ca="1" si="261"/>
        <v>1381895.0977348608</v>
      </c>
      <c r="AD1181" s="196">
        <f>IFERROR($G1181/SUMIF($A:$A,$A1181,$G:$G)*SUMIF(Summary!$A$166:$A$242,$A1181,Summary!$P$166:$P$242),0)</f>
        <v>578905.97391431441</v>
      </c>
      <c r="AE1181" s="197">
        <f t="shared" ca="1" si="262"/>
        <v>802989.12382054643</v>
      </c>
      <c r="AF1181" s="196">
        <f>IFERROR(G1181/SUMIF(A:A,A1181,G:G)*SUMIF(Summary!$A$166:$A$242,'Operations Support'!A1181,Summary!$Q$166:$Q$242),0)</f>
        <v>581992.58444334089</v>
      </c>
      <c r="AG1181" s="196">
        <f t="shared" ca="1" si="263"/>
        <v>799902.51329151995</v>
      </c>
      <c r="AI1181" s="196">
        <f>IFERROR($G1181/SUMIF($A:$A,$A1181,$G:$G)*SUMIF(Summary!$A$247:$A$283,$A1181,Summary!$P$247:$P$283),0)</f>
        <v>105578.00320442596</v>
      </c>
      <c r="AJ1181" s="196">
        <f>IFERROR($G1181/SUMIF($A:$A,$A1181,$G:$G)*(SUMIF(Summary!$A$247:$A$283,$A1181,Summary!$L$247:$L$283)+SUMIF(Summary!$A$297:$A$333,$A1181,Summary!$L$297:$L$333))-AI1181,0)</f>
        <v>273848.29633994779</v>
      </c>
      <c r="AK1181" s="196">
        <f>IFERROR($G1181/SUMIF($A:$A,$A1181,$G:$G)*SUMIF(Summary!$A$247:$A$283,$A1181,Summary!$Q$247:$Q$283),0)</f>
        <v>106140.92393941323</v>
      </c>
      <c r="AL1181" s="196">
        <f>IFERROR($G1181/SUMIF($A:$A,$A1181,$G:$G)*(SUMIF(Summary!$A$247:$A$283,$A1181,Summary!$L$247:$L$283)+SUMIF(Summary!$A$297:$A$333,$A1181,Summary!$L$297:$L$333))-AK1181,0)</f>
        <v>273285.37560496054</v>
      </c>
      <c r="AM1181" s="198"/>
      <c r="AN1181" s="196">
        <f t="shared" ca="1" si="264"/>
        <v>1076837.4201604943</v>
      </c>
      <c r="AO1181" s="196">
        <f t="shared" ca="1" si="265"/>
        <v>1073187.8888964804</v>
      </c>
    </row>
    <row r="1182" spans="1:41">
      <c r="A1182" s="189">
        <v>3630</v>
      </c>
      <c r="B1182" s="190">
        <v>2</v>
      </c>
      <c r="C1182" s="191" t="s">
        <v>221</v>
      </c>
      <c r="D1182" s="192">
        <f t="shared" si="252"/>
        <v>4764</v>
      </c>
      <c r="E1182" s="192">
        <f t="shared" si="253"/>
        <v>1986</v>
      </c>
      <c r="F1182" s="192">
        <f t="shared" si="254"/>
        <v>0</v>
      </c>
      <c r="G1182" s="193">
        <f t="shared" si="255"/>
        <v>6750</v>
      </c>
      <c r="H1182" s="194">
        <v>2199</v>
      </c>
      <c r="I1182" s="194">
        <v>857</v>
      </c>
      <c r="J1182" s="194">
        <v>0</v>
      </c>
      <c r="K1182" s="193">
        <f t="shared" si="256"/>
        <v>3056</v>
      </c>
      <c r="L1182" s="194">
        <v>2321</v>
      </c>
      <c r="M1182" s="194">
        <v>901</v>
      </c>
      <c r="N1182" s="194">
        <v>0</v>
      </c>
      <c r="O1182" s="193">
        <f t="shared" si="257"/>
        <v>3222</v>
      </c>
      <c r="P1182" s="194">
        <v>244</v>
      </c>
      <c r="Q1182" s="194">
        <v>228</v>
      </c>
      <c r="R1182" s="194">
        <v>0</v>
      </c>
      <c r="S1182" s="193">
        <f t="shared" si="258"/>
        <v>472</v>
      </c>
      <c r="T1182" s="193">
        <f t="shared" si="259"/>
        <v>225</v>
      </c>
      <c r="U1182" s="193">
        <f ca="1">OFFSET('Expenditure Study'!$B$7,'Operations Support'!$C1182,'Operations Support'!$B1182)*$G1182</f>
        <v>17752.5</v>
      </c>
      <c r="V1182" s="199">
        <f ca="1">U1182*'Expenditure Study'!$B$31</f>
        <v>1048874.1671520001</v>
      </c>
      <c r="W1182" s="199">
        <f ca="1">IF(A1182=10298,1.51,1)*IF($B1182&lt;3,$D1182*'Expenditure Study'!$B$32*OFFSET('Expenditure Study'!$B$7,'Operations Support'!$C1182,'Operations Support'!$B1182),0)</f>
        <v>1252.932</v>
      </c>
      <c r="X1182" s="200">
        <f ca="1">W1182*'Expenditure Study'!$B$31</f>
        <v>74027.207886105607</v>
      </c>
      <c r="Y1182" s="199">
        <f ca="1">U1182*'Expenditure Study'!$B$31</f>
        <v>1048874.1671520001</v>
      </c>
      <c r="Z1182" s="200">
        <f ca="1">W1182*'Expenditure Study'!$B$31</f>
        <v>74027.207886105607</v>
      </c>
      <c r="AA1182" s="195">
        <f t="shared" ca="1" si="260"/>
        <v>1122901.3750381058</v>
      </c>
      <c r="AB1182" s="195">
        <f t="shared" ca="1" si="261"/>
        <v>1122901.3750381058</v>
      </c>
      <c r="AD1182" s="196">
        <f>IFERROR($G1182/SUMIF($A:$A,$A1182,$G:$G)*SUMIF(Summary!$A$166:$A$242,$A1182,Summary!$P$166:$P$242),0)</f>
        <v>324633.65655243187</v>
      </c>
      <c r="AE1182" s="197">
        <f t="shared" ca="1" si="262"/>
        <v>798267.71848567389</v>
      </c>
      <c r="AF1182" s="196">
        <f>IFERROR(G1182/SUMIF(A:A,A1182,G:G)*SUMIF(Summary!$A$166:$A$242,'Operations Support'!A1182,Summary!$Q$166:$Q$242),0)</f>
        <v>326364.53809026757</v>
      </c>
      <c r="AG1182" s="196">
        <f t="shared" ca="1" si="263"/>
        <v>796536.83694783819</v>
      </c>
      <c r="AI1182" s="196">
        <f>IFERROR($G1182/SUMIF($A:$A,$A1182,$G:$G)*SUMIF(Summary!$A$247:$A$283,$A1182,Summary!$P$247:$P$283),0)</f>
        <v>59205.077812567513</v>
      </c>
      <c r="AJ1182" s="196">
        <f>IFERROR($G1182/SUMIF($A:$A,$A1182,$G:$G)*(SUMIF(Summary!$A$247:$A$283,$A1182,Summary!$L$247:$L$283)+SUMIF(Summary!$A$297:$A$333,$A1182,Summary!$L$297:$L$333))-AI1182,0)</f>
        <v>153566.17099731223</v>
      </c>
      <c r="AK1182" s="196">
        <f>IFERROR($G1182/SUMIF($A:$A,$A1182,$G:$G)*SUMIF(Summary!$A$247:$A$283,$A1182,Summary!$Q$247:$Q$283),0)</f>
        <v>59520.747411401455</v>
      </c>
      <c r="AL1182" s="196">
        <f>IFERROR($G1182/SUMIF($A:$A,$A1182,$G:$G)*(SUMIF(Summary!$A$247:$A$283,$A1182,Summary!$L$247:$L$283)+SUMIF(Summary!$A$297:$A$333,$A1182,Summary!$L$297:$L$333))-AK1182,0)</f>
        <v>153250.50139847831</v>
      </c>
      <c r="AM1182" s="198"/>
      <c r="AN1182" s="196">
        <f t="shared" ca="1" si="264"/>
        <v>951833.88948298618</v>
      </c>
      <c r="AO1182" s="196">
        <f t="shared" ca="1" si="265"/>
        <v>949787.33834631648</v>
      </c>
    </row>
    <row r="1183" spans="1:41">
      <c r="A1183" s="189">
        <v>3630</v>
      </c>
      <c r="B1183" s="190">
        <v>2</v>
      </c>
      <c r="C1183" s="191" t="s">
        <v>222</v>
      </c>
      <c r="D1183" s="192">
        <f t="shared" si="252"/>
        <v>791</v>
      </c>
      <c r="E1183" s="192">
        <f t="shared" si="253"/>
        <v>270</v>
      </c>
      <c r="F1183" s="192">
        <f t="shared" si="254"/>
        <v>0</v>
      </c>
      <c r="G1183" s="193">
        <f t="shared" si="255"/>
        <v>1061</v>
      </c>
      <c r="H1183" s="194">
        <v>328</v>
      </c>
      <c r="I1183" s="194">
        <v>189</v>
      </c>
      <c r="J1183" s="194">
        <v>0</v>
      </c>
      <c r="K1183" s="193">
        <f t="shared" si="256"/>
        <v>517</v>
      </c>
      <c r="L1183" s="194">
        <v>463</v>
      </c>
      <c r="M1183" s="194">
        <v>81</v>
      </c>
      <c r="N1183" s="194">
        <v>0</v>
      </c>
      <c r="O1183" s="193">
        <f t="shared" si="257"/>
        <v>544</v>
      </c>
      <c r="P1183" s="194">
        <v>0</v>
      </c>
      <c r="Q1183" s="194">
        <v>0</v>
      </c>
      <c r="R1183" s="194">
        <v>0</v>
      </c>
      <c r="S1183" s="193">
        <f t="shared" si="258"/>
        <v>0</v>
      </c>
      <c r="T1183" s="193">
        <f t="shared" si="259"/>
        <v>35.366666666666667</v>
      </c>
      <c r="U1183" s="193">
        <f ca="1">OFFSET('Expenditure Study'!$B$7,'Operations Support'!$C1183,'Operations Support'!$B1183)*$G1183</f>
        <v>2822.26</v>
      </c>
      <c r="V1183" s="199">
        <f ca="1">U1183*'Expenditure Study'!$B$31</f>
        <v>166748.09784460801</v>
      </c>
      <c r="W1183" s="199">
        <f ca="1">IF(A1183=10298,1.51,1)*IF($B1183&lt;3,$D1183*'Expenditure Study'!$B$32*OFFSET('Expenditure Study'!$B$7,'Operations Support'!$C1183,'Operations Support'!$B1183),0)</f>
        <v>210.40600000000003</v>
      </c>
      <c r="X1183" s="200">
        <f ca="1">W1183*'Expenditure Study'!$B$31</f>
        <v>12431.455739404802</v>
      </c>
      <c r="Y1183" s="199">
        <f ca="1">U1183*'Expenditure Study'!$B$31</f>
        <v>166748.09784460801</v>
      </c>
      <c r="Z1183" s="200">
        <f ca="1">W1183*'Expenditure Study'!$B$31</f>
        <v>12431.455739404802</v>
      </c>
      <c r="AA1183" s="195">
        <f t="shared" ca="1" si="260"/>
        <v>179179.55358401281</v>
      </c>
      <c r="AB1183" s="195">
        <f t="shared" ca="1" si="261"/>
        <v>179179.55358401281</v>
      </c>
      <c r="AD1183" s="196">
        <f>IFERROR($G1183/SUMIF($A:$A,$A1183,$G:$G)*SUMIF(Summary!$A$166:$A$242,$A1183,Summary!$P$166:$P$242),0)</f>
        <v>51027.601422537809</v>
      </c>
      <c r="AE1183" s="197">
        <f t="shared" ca="1" si="262"/>
        <v>128151.952161475</v>
      </c>
      <c r="AF1183" s="196">
        <f>IFERROR(G1183/SUMIF(A:A,A1183,G:G)*SUMIF(Summary!$A$166:$A$242,'Operations Support'!A1183,Summary!$Q$166:$Q$242),0)</f>
        <v>51299.670357596129</v>
      </c>
      <c r="AG1183" s="196">
        <f t="shared" ca="1" si="263"/>
        <v>127879.88322641668</v>
      </c>
      <c r="AI1183" s="196">
        <f>IFERROR($G1183/SUMIF($A:$A,$A1183,$G:$G)*SUMIF(Summary!$A$247:$A$283,$A1183,Summary!$P$247:$P$283),0)</f>
        <v>9306.1611198717237</v>
      </c>
      <c r="AJ1183" s="196">
        <f>IFERROR($G1183/SUMIF($A:$A,$A1183,$G:$G)*(SUMIF(Summary!$A$247:$A$283,$A1183,Summary!$L$247:$L$283)+SUMIF(Summary!$A$297:$A$333,$A1183,Summary!$L$297:$L$333))-AI1183,0)</f>
        <v>24138.32702639234</v>
      </c>
      <c r="AK1183" s="196">
        <f>IFERROR($G1183/SUMIF($A:$A,$A1183,$G:$G)*SUMIF(Summary!$A$247:$A$283,$A1183,Summary!$Q$247:$Q$283),0)</f>
        <v>9355.779704221768</v>
      </c>
      <c r="AL1183" s="196">
        <f>IFERROR($G1183/SUMIF($A:$A,$A1183,$G:$G)*(SUMIF(Summary!$A$247:$A$283,$A1183,Summary!$L$247:$L$283)+SUMIF(Summary!$A$297:$A$333,$A1183,Summary!$L$297:$L$333))-AK1183,0)</f>
        <v>24088.708442042294</v>
      </c>
      <c r="AM1183" s="198"/>
      <c r="AN1183" s="196">
        <f t="shared" ca="1" si="264"/>
        <v>152290.27918786733</v>
      </c>
      <c r="AO1183" s="196">
        <f t="shared" ca="1" si="265"/>
        <v>151968.59166845898</v>
      </c>
    </row>
    <row r="1184" spans="1:41">
      <c r="A1184" s="189">
        <v>3630</v>
      </c>
      <c r="B1184" s="190">
        <v>2</v>
      </c>
      <c r="C1184" s="191" t="s">
        <v>223</v>
      </c>
      <c r="D1184" s="192">
        <f t="shared" si="252"/>
        <v>1383</v>
      </c>
      <c r="E1184" s="192">
        <f t="shared" si="253"/>
        <v>960</v>
      </c>
      <c r="F1184" s="192">
        <f t="shared" si="254"/>
        <v>0</v>
      </c>
      <c r="G1184" s="193">
        <f t="shared" si="255"/>
        <v>2343</v>
      </c>
      <c r="H1184" s="194">
        <v>864</v>
      </c>
      <c r="I1184" s="194">
        <v>291</v>
      </c>
      <c r="J1184" s="194">
        <v>0</v>
      </c>
      <c r="K1184" s="193">
        <f t="shared" si="256"/>
        <v>1155</v>
      </c>
      <c r="L1184" s="194">
        <v>396</v>
      </c>
      <c r="M1184" s="194">
        <v>567</v>
      </c>
      <c r="N1184" s="194">
        <v>0</v>
      </c>
      <c r="O1184" s="193">
        <f t="shared" si="257"/>
        <v>963</v>
      </c>
      <c r="P1184" s="194">
        <v>123</v>
      </c>
      <c r="Q1184" s="194">
        <v>102</v>
      </c>
      <c r="R1184" s="194">
        <v>0</v>
      </c>
      <c r="S1184" s="193">
        <f t="shared" si="258"/>
        <v>225</v>
      </c>
      <c r="T1184" s="193">
        <f t="shared" si="259"/>
        <v>78.099999999999994</v>
      </c>
      <c r="U1184" s="193">
        <f ca="1">OFFSET('Expenditure Study'!$B$7,'Operations Support'!$C1184,'Operations Support'!$B1184)*$G1184</f>
        <v>4451.7</v>
      </c>
      <c r="V1184" s="199">
        <f ca="1">U1184*'Expenditure Study'!$B$31</f>
        <v>263020.59596736002</v>
      </c>
      <c r="W1184" s="199">
        <f ca="1">IF(A1184=10298,1.51,1)*IF($B1184&lt;3,$D1184*'Expenditure Study'!$B$32*OFFSET('Expenditure Study'!$B$7,'Operations Support'!$C1184,'Operations Support'!$B1184),0)</f>
        <v>262.77</v>
      </c>
      <c r="X1184" s="200">
        <f ca="1">W1184*'Expenditure Study'!$B$31</f>
        <v>15525.287418815999</v>
      </c>
      <c r="Y1184" s="199">
        <f ca="1">U1184*'Expenditure Study'!$B$31</f>
        <v>263020.59596736002</v>
      </c>
      <c r="Z1184" s="200">
        <f ca="1">W1184*'Expenditure Study'!$B$31</f>
        <v>15525.287418815999</v>
      </c>
      <c r="AA1184" s="195">
        <f t="shared" ca="1" si="260"/>
        <v>278545.88338617602</v>
      </c>
      <c r="AB1184" s="195">
        <f t="shared" ca="1" si="261"/>
        <v>278545.88338617602</v>
      </c>
      <c r="AD1184" s="196">
        <f>IFERROR($G1184/SUMIF($A:$A,$A1184,$G:$G)*SUMIF(Summary!$A$166:$A$242,$A1184,Summary!$P$166:$P$242),0)</f>
        <v>112683.94922997747</v>
      </c>
      <c r="AE1184" s="197">
        <f t="shared" ca="1" si="262"/>
        <v>165861.93415619855</v>
      </c>
      <c r="AF1184" s="196">
        <f>IFERROR(G1184/SUMIF(A:A,A1184,G:G)*SUMIF(Summary!$A$166:$A$242,'Operations Support'!A1184,Summary!$Q$166:$Q$242),0)</f>
        <v>113284.75744377731</v>
      </c>
      <c r="AG1184" s="196">
        <f t="shared" ca="1" si="263"/>
        <v>165261.12594239871</v>
      </c>
      <c r="AI1184" s="196">
        <f>IFERROR($G1184/SUMIF($A:$A,$A1184,$G:$G)*SUMIF(Summary!$A$247:$A$283,$A1184,Summary!$P$247:$P$283),0)</f>
        <v>20550.740342940102</v>
      </c>
      <c r="AJ1184" s="196">
        <f>IFERROR($G1184/SUMIF($A:$A,$A1184,$G:$G)*(SUMIF(Summary!$A$247:$A$283,$A1184,Summary!$L$247:$L$283)+SUMIF(Summary!$A$297:$A$333,$A1184,Summary!$L$297:$L$333))-AI1184,0)</f>
        <v>53304.524243955937</v>
      </c>
      <c r="AK1184" s="196">
        <f>IFERROR($G1184/SUMIF($A:$A,$A1184,$G:$G)*SUMIF(Summary!$A$247:$A$283,$A1184,Summary!$Q$247:$Q$283),0)</f>
        <v>20660.312768135351</v>
      </c>
      <c r="AL1184" s="196">
        <f>IFERROR($G1184/SUMIF($A:$A,$A1184,$G:$G)*(SUMIF(Summary!$A$247:$A$283,$A1184,Summary!$L$247:$L$283)+SUMIF(Summary!$A$297:$A$333,$A1184,Summary!$L$297:$L$333))-AK1184,0)</f>
        <v>53194.951818760688</v>
      </c>
      <c r="AM1184" s="198"/>
      <c r="AN1184" s="196">
        <f t="shared" ca="1" si="264"/>
        <v>219166.45840015449</v>
      </c>
      <c r="AO1184" s="196">
        <f t="shared" ca="1" si="265"/>
        <v>218456.07776115939</v>
      </c>
    </row>
    <row r="1185" spans="1:41">
      <c r="A1185" s="189">
        <v>3630</v>
      </c>
      <c r="B1185" s="190">
        <v>2</v>
      </c>
      <c r="C1185" s="191" t="s">
        <v>224</v>
      </c>
      <c r="D1185" s="192">
        <f t="shared" si="252"/>
        <v>1205</v>
      </c>
      <c r="E1185" s="192">
        <f t="shared" si="253"/>
        <v>36</v>
      </c>
      <c r="F1185" s="192">
        <f t="shared" si="254"/>
        <v>0</v>
      </c>
      <c r="G1185" s="193">
        <f t="shared" si="255"/>
        <v>1241</v>
      </c>
      <c r="H1185" s="194">
        <v>627</v>
      </c>
      <c r="I1185" s="194">
        <v>36</v>
      </c>
      <c r="J1185" s="194">
        <v>0</v>
      </c>
      <c r="K1185" s="193">
        <f t="shared" si="256"/>
        <v>663</v>
      </c>
      <c r="L1185" s="194">
        <v>548</v>
      </c>
      <c r="M1185" s="194">
        <v>0</v>
      </c>
      <c r="N1185" s="194">
        <v>0</v>
      </c>
      <c r="O1185" s="193">
        <f t="shared" si="257"/>
        <v>548</v>
      </c>
      <c r="P1185" s="194">
        <v>30</v>
      </c>
      <c r="Q1185" s="194">
        <v>0</v>
      </c>
      <c r="R1185" s="194">
        <v>0</v>
      </c>
      <c r="S1185" s="193">
        <f t="shared" si="258"/>
        <v>30</v>
      </c>
      <c r="T1185" s="193">
        <f t="shared" si="259"/>
        <v>41.366666666666667</v>
      </c>
      <c r="U1185" s="193">
        <f ca="1">OFFSET('Expenditure Study'!$B$7,'Operations Support'!$C1185,'Operations Support'!$B1185)*$G1185</f>
        <v>2817.07</v>
      </c>
      <c r="V1185" s="199">
        <f ca="1">U1185*'Expenditure Study'!$B$31</f>
        <v>166441.45613625602</v>
      </c>
      <c r="W1185" s="199">
        <f ca="1">IF(A1185=10298,1.51,1)*IF($B1185&lt;3,$D1185*'Expenditure Study'!$B$32*OFFSET('Expenditure Study'!$B$7,'Operations Support'!$C1185,'Operations Support'!$B1185),0)</f>
        <v>273.53500000000003</v>
      </c>
      <c r="X1185" s="200">
        <f ca="1">W1185*'Expenditure Study'!$B$31</f>
        <v>16161.317860128001</v>
      </c>
      <c r="Y1185" s="199">
        <f ca="1">U1185*'Expenditure Study'!$B$31</f>
        <v>166441.45613625602</v>
      </c>
      <c r="Z1185" s="200">
        <f ca="1">W1185*'Expenditure Study'!$B$31</f>
        <v>16161.317860128001</v>
      </c>
      <c r="AA1185" s="195">
        <f t="shared" ca="1" si="260"/>
        <v>182602.77399638403</v>
      </c>
      <c r="AB1185" s="195">
        <f t="shared" ca="1" si="261"/>
        <v>182602.77399638403</v>
      </c>
      <c r="AD1185" s="196">
        <f>IFERROR($G1185/SUMIF($A:$A,$A1185,$G:$G)*SUMIF(Summary!$A$166:$A$242,$A1185,Summary!$P$166:$P$242),0)</f>
        <v>59684.498930602662</v>
      </c>
      <c r="AE1185" s="197">
        <f t="shared" ca="1" si="262"/>
        <v>122918.27506578137</v>
      </c>
      <c r="AF1185" s="196">
        <f>IFERROR(G1185/SUMIF(A:A,A1185,G:G)*SUMIF(Summary!$A$166:$A$242,'Operations Support'!A1185,Summary!$Q$166:$Q$242),0)</f>
        <v>60002.724706669935</v>
      </c>
      <c r="AG1185" s="196">
        <f t="shared" ca="1" si="263"/>
        <v>122600.04928971409</v>
      </c>
      <c r="AI1185" s="196">
        <f>IFERROR($G1185/SUMIF($A:$A,$A1185,$G:$G)*SUMIF(Summary!$A$247:$A$283,$A1185,Summary!$P$247:$P$283),0)</f>
        <v>10884.963194873524</v>
      </c>
      <c r="AJ1185" s="196">
        <f>IFERROR($G1185/SUMIF($A:$A,$A1185,$G:$G)*(SUMIF(Summary!$A$247:$A$283,$A1185,Summary!$L$247:$L$283)+SUMIF(Summary!$A$297:$A$333,$A1185,Summary!$L$297:$L$333))-AI1185,0)</f>
        <v>28233.424919654004</v>
      </c>
      <c r="AK1185" s="196">
        <f>IFERROR($G1185/SUMIF($A:$A,$A1185,$G:$G)*SUMIF(Summary!$A$247:$A$283,$A1185,Summary!$Q$247:$Q$283),0)</f>
        <v>10942.999635192475</v>
      </c>
      <c r="AL1185" s="196">
        <f>IFERROR($G1185/SUMIF($A:$A,$A1185,$G:$G)*(SUMIF(Summary!$A$247:$A$283,$A1185,Summary!$L$247:$L$283)+SUMIF(Summary!$A$297:$A$333,$A1185,Summary!$L$297:$L$333))-AK1185,0)</f>
        <v>28175.388479335055</v>
      </c>
      <c r="AM1185" s="198"/>
      <c r="AN1185" s="196">
        <f t="shared" ca="1" si="264"/>
        <v>151151.69998543538</v>
      </c>
      <c r="AO1185" s="196">
        <f t="shared" ca="1" si="265"/>
        <v>150775.43776904914</v>
      </c>
    </row>
    <row r="1186" spans="1:41">
      <c r="A1186" s="189">
        <v>3630</v>
      </c>
      <c r="B1186" s="190">
        <v>2</v>
      </c>
      <c r="C1186" s="191" t="s">
        <v>225</v>
      </c>
      <c r="D1186" s="192">
        <f t="shared" si="252"/>
        <v>5775.66</v>
      </c>
      <c r="E1186" s="192">
        <f t="shared" si="253"/>
        <v>3085.34</v>
      </c>
      <c r="F1186" s="192">
        <f t="shared" si="254"/>
        <v>0</v>
      </c>
      <c r="G1186" s="193">
        <f t="shared" si="255"/>
        <v>8861</v>
      </c>
      <c r="H1186" s="194">
        <v>2796.5</v>
      </c>
      <c r="I1186" s="194">
        <v>1625.5</v>
      </c>
      <c r="J1186" s="194">
        <v>0</v>
      </c>
      <c r="K1186" s="193">
        <f t="shared" si="256"/>
        <v>4422</v>
      </c>
      <c r="L1186" s="194">
        <v>2677.16</v>
      </c>
      <c r="M1186" s="194">
        <v>1204.8399999999999</v>
      </c>
      <c r="N1186" s="194">
        <v>0</v>
      </c>
      <c r="O1186" s="193">
        <f t="shared" si="257"/>
        <v>3882</v>
      </c>
      <c r="P1186" s="194">
        <v>302</v>
      </c>
      <c r="Q1186" s="194">
        <v>255</v>
      </c>
      <c r="R1186" s="194">
        <v>0</v>
      </c>
      <c r="S1186" s="193">
        <f t="shared" si="258"/>
        <v>557</v>
      </c>
      <c r="T1186" s="193">
        <f t="shared" si="259"/>
        <v>295.36666666666667</v>
      </c>
      <c r="U1186" s="193">
        <f ca="1">OFFSET('Expenditure Study'!$B$7,'Operations Support'!$C1186,'Operations Support'!$B1186)*$G1186</f>
        <v>24810.799999999999</v>
      </c>
      <c r="V1186" s="199">
        <f ca="1">U1186*'Expenditure Study'!$B$31</f>
        <v>1465900.98219264</v>
      </c>
      <c r="W1186" s="199">
        <f ca="1">IF(A1186=10298,1.51,1)*IF($B1186&lt;3,$D1186*'Expenditure Study'!$B$32*OFFSET('Expenditure Study'!$B$7,'Operations Support'!$C1186,'Operations Support'!$B1186),0)</f>
        <v>1617.1848</v>
      </c>
      <c r="X1186" s="200">
        <f ca="1">W1186*'Expenditure Study'!$B$31</f>
        <v>95548.421925411836</v>
      </c>
      <c r="Y1186" s="199">
        <f ca="1">U1186*'Expenditure Study'!$B$31</f>
        <v>1465900.98219264</v>
      </c>
      <c r="Z1186" s="200">
        <f ca="1">W1186*'Expenditure Study'!$B$31</f>
        <v>95548.421925411836</v>
      </c>
      <c r="AA1186" s="195">
        <f t="shared" ca="1" si="260"/>
        <v>1561449.4041180518</v>
      </c>
      <c r="AB1186" s="195">
        <f t="shared" ca="1" si="261"/>
        <v>1561449.4041180518</v>
      </c>
      <c r="AD1186" s="196">
        <f>IFERROR($G1186/SUMIF($A:$A,$A1186,$G:$G)*SUMIF(Summary!$A$166:$A$242,$A1186,Summary!$P$166:$P$242),0)</f>
        <v>426159.82677201467</v>
      </c>
      <c r="AE1186" s="197">
        <f t="shared" ca="1" si="262"/>
        <v>1135289.5773460371</v>
      </c>
      <c r="AF1186" s="196">
        <f>IFERROR(G1186/SUMIF(A:A,A1186,G:G)*SUMIF(Summary!$A$166:$A$242,'Operations Support'!A1186,Summary!$Q$166:$Q$242),0)</f>
        <v>428432.02548412757</v>
      </c>
      <c r="AG1186" s="196">
        <f t="shared" ca="1" si="263"/>
        <v>1133017.3786339243</v>
      </c>
      <c r="AI1186" s="196">
        <f>IFERROR($G1186/SUMIF($A:$A,$A1186,$G:$G)*SUMIF(Summary!$A$247:$A$283,$A1186,Summary!$P$247:$P$283),0)</f>
        <v>77720.917703283078</v>
      </c>
      <c r="AJ1186" s="196">
        <f>IFERROR($G1186/SUMIF($A:$A,$A1186,$G:$G)*(SUMIF(Summary!$A$247:$A$283,$A1186,Summary!$L$247:$L$283)+SUMIF(Summary!$A$297:$A$333,$A1186,Summary!$L$297:$L$333))-AI1186,0)</f>
        <v>201592.56906773098</v>
      </c>
      <c r="AK1186" s="196">
        <f>IFERROR($G1186/SUMIF($A:$A,$A1186,$G:$G)*SUMIF(Summary!$A$247:$A$283,$A1186,Summary!$Q$247:$Q$283),0)</f>
        <v>78135.310046285682</v>
      </c>
      <c r="AL1186" s="196">
        <f>IFERROR($G1186/SUMIF($A:$A,$A1186,$G:$G)*(SUMIF(Summary!$A$247:$A$283,$A1186,Summary!$L$247:$L$283)+SUMIF(Summary!$A$297:$A$333,$A1186,Summary!$L$297:$L$333))-AK1186,0)</f>
        <v>201178.17672472837</v>
      </c>
      <c r="AM1186" s="198"/>
      <c r="AN1186" s="196">
        <f t="shared" ca="1" si="264"/>
        <v>1336882.1464137682</v>
      </c>
      <c r="AO1186" s="196">
        <f t="shared" ca="1" si="265"/>
        <v>1334195.5553586527</v>
      </c>
    </row>
    <row r="1187" spans="1:41">
      <c r="A1187" s="189">
        <v>3630</v>
      </c>
      <c r="B1187" s="190">
        <v>2</v>
      </c>
      <c r="C1187" s="191" t="s">
        <v>226</v>
      </c>
      <c r="D1187" s="192">
        <f t="shared" si="252"/>
        <v>588</v>
      </c>
      <c r="E1187" s="192">
        <f t="shared" si="253"/>
        <v>498</v>
      </c>
      <c r="F1187" s="192">
        <f t="shared" si="254"/>
        <v>0</v>
      </c>
      <c r="G1187" s="193">
        <f t="shared" si="255"/>
        <v>1086</v>
      </c>
      <c r="H1187" s="194">
        <v>237</v>
      </c>
      <c r="I1187" s="194">
        <v>243</v>
      </c>
      <c r="J1187" s="194">
        <v>0</v>
      </c>
      <c r="K1187" s="193">
        <f t="shared" si="256"/>
        <v>480</v>
      </c>
      <c r="L1187" s="194">
        <v>330</v>
      </c>
      <c r="M1187" s="194">
        <v>189</v>
      </c>
      <c r="N1187" s="194">
        <v>0</v>
      </c>
      <c r="O1187" s="193">
        <f t="shared" si="257"/>
        <v>519</v>
      </c>
      <c r="P1187" s="194">
        <v>21</v>
      </c>
      <c r="Q1187" s="194">
        <v>66</v>
      </c>
      <c r="R1187" s="194">
        <v>0</v>
      </c>
      <c r="S1187" s="193">
        <f t="shared" si="258"/>
        <v>87</v>
      </c>
      <c r="T1187" s="193">
        <f t="shared" si="259"/>
        <v>36.200000000000003</v>
      </c>
      <c r="U1187" s="193">
        <f ca="1">OFFSET('Expenditure Study'!$B$7,'Operations Support'!$C1187,'Operations Support'!$B1187)*$G1187</f>
        <v>1954.8</v>
      </c>
      <c r="V1187" s="199">
        <f ca="1">U1187*'Expenditure Study'!$B$31</f>
        <v>115495.80182784</v>
      </c>
      <c r="W1187" s="199">
        <f ca="1">IF(A1187=10298,1.51,1)*IF($B1187&lt;3,$D1187*'Expenditure Study'!$B$32*OFFSET('Expenditure Study'!$B$7,'Operations Support'!$C1187,'Operations Support'!$B1187),0)</f>
        <v>105.84</v>
      </c>
      <c r="X1187" s="200">
        <f ca="1">W1187*'Expenditure Study'!$B$31</f>
        <v>6253.3638558720004</v>
      </c>
      <c r="Y1187" s="199">
        <f ca="1">U1187*'Expenditure Study'!$B$31</f>
        <v>115495.80182784</v>
      </c>
      <c r="Z1187" s="200">
        <f ca="1">W1187*'Expenditure Study'!$B$31</f>
        <v>6253.3638558720004</v>
      </c>
      <c r="AA1187" s="195">
        <f t="shared" ca="1" si="260"/>
        <v>121749.165683712</v>
      </c>
      <c r="AB1187" s="195">
        <f t="shared" ca="1" si="261"/>
        <v>121749.165683712</v>
      </c>
      <c r="AD1187" s="196">
        <f>IFERROR($G1187/SUMIF($A:$A,$A1187,$G:$G)*SUMIF(Summary!$A$166:$A$242,$A1187,Summary!$P$166:$P$242),0)</f>
        <v>52229.948298657924</v>
      </c>
      <c r="AE1187" s="197">
        <f t="shared" ca="1" si="262"/>
        <v>69519.217385054071</v>
      </c>
      <c r="AF1187" s="196">
        <f>IFERROR(G1187/SUMIF(A:A,A1187,G:G)*SUMIF(Summary!$A$166:$A$242,'Operations Support'!A1187,Summary!$Q$166:$Q$242),0)</f>
        <v>52508.427906078599</v>
      </c>
      <c r="AG1187" s="196">
        <f t="shared" ca="1" si="263"/>
        <v>69240.737777633389</v>
      </c>
      <c r="AI1187" s="196">
        <f>IFERROR($G1187/SUMIF($A:$A,$A1187,$G:$G)*SUMIF(Summary!$A$247:$A$283,$A1187,Summary!$P$247:$P$283),0)</f>
        <v>9525.4391858441959</v>
      </c>
      <c r="AJ1187" s="196">
        <f>IFERROR($G1187/SUMIF($A:$A,$A1187,$G:$G)*(SUMIF(Summary!$A$247:$A$283,$A1187,Summary!$L$247:$L$283)+SUMIF(Summary!$A$297:$A$333,$A1187,Summary!$L$297:$L$333))-AI1187,0)</f>
        <v>24707.090622678683</v>
      </c>
      <c r="AK1187" s="196">
        <f>IFERROR($G1187/SUMIF($A:$A,$A1187,$G:$G)*SUMIF(Summary!$A$247:$A$283,$A1187,Summary!$Q$247:$Q$283),0)</f>
        <v>9576.226916856589</v>
      </c>
      <c r="AL1187" s="196">
        <f>IFERROR($G1187/SUMIF($A:$A,$A1187,$G:$G)*(SUMIF(Summary!$A$247:$A$283,$A1187,Summary!$L$247:$L$283)+SUMIF(Summary!$A$297:$A$333,$A1187,Summary!$L$297:$L$333))-AK1187,0)</f>
        <v>24656.302891666288</v>
      </c>
      <c r="AM1187" s="198"/>
      <c r="AN1187" s="196">
        <f t="shared" ca="1" si="264"/>
        <v>94226.308007732761</v>
      </c>
      <c r="AO1187" s="196">
        <f t="shared" ca="1" si="265"/>
        <v>93897.040669299677</v>
      </c>
    </row>
    <row r="1188" spans="1:41">
      <c r="A1188" s="189">
        <v>3630</v>
      </c>
      <c r="B1188" s="190">
        <v>2</v>
      </c>
      <c r="C1188" s="191" t="s">
        <v>227</v>
      </c>
      <c r="D1188" s="192">
        <f t="shared" si="252"/>
        <v>0</v>
      </c>
      <c r="E1188" s="192">
        <f t="shared" si="253"/>
        <v>0</v>
      </c>
      <c r="F1188" s="192">
        <f t="shared" si="254"/>
        <v>0</v>
      </c>
      <c r="G1188" s="193">
        <f t="shared" si="255"/>
        <v>0</v>
      </c>
      <c r="H1188" s="194">
        <v>0</v>
      </c>
      <c r="I1188" s="194">
        <v>0</v>
      </c>
      <c r="J1188" s="194">
        <v>0</v>
      </c>
      <c r="K1188" s="193">
        <f t="shared" si="256"/>
        <v>0</v>
      </c>
      <c r="L1188" s="194">
        <v>0</v>
      </c>
      <c r="M1188" s="194">
        <v>0</v>
      </c>
      <c r="N1188" s="194">
        <v>0</v>
      </c>
      <c r="O1188" s="193">
        <f t="shared" si="257"/>
        <v>0</v>
      </c>
      <c r="P1188" s="194">
        <v>0</v>
      </c>
      <c r="Q1188" s="194">
        <v>0</v>
      </c>
      <c r="R1188" s="194">
        <v>0</v>
      </c>
      <c r="S1188" s="193">
        <f t="shared" si="258"/>
        <v>0</v>
      </c>
      <c r="T1188" s="193">
        <f t="shared" si="259"/>
        <v>0</v>
      </c>
      <c r="U1188" s="193">
        <f ca="1">OFFSET('Expenditure Study'!$B$7,'Operations Support'!$C1188,'Operations Support'!$B1188)*$G1188</f>
        <v>0</v>
      </c>
      <c r="V1188" s="199">
        <f ca="1">U1188*'Expenditure Study'!$B$31</f>
        <v>0</v>
      </c>
      <c r="W1188" s="199">
        <f ca="1">IF(A1188=10298,1.51,1)*IF($B1188&lt;3,$D1188*'Expenditure Study'!$B$32*OFFSET('Expenditure Study'!$B$7,'Operations Support'!$C1188,'Operations Support'!$B1188),0)</f>
        <v>0</v>
      </c>
      <c r="X1188" s="200">
        <f ca="1">W1188*'Expenditure Study'!$B$31</f>
        <v>0</v>
      </c>
      <c r="Y1188" s="199">
        <f ca="1">U1188*'Expenditure Study'!$B$31</f>
        <v>0</v>
      </c>
      <c r="Z1188" s="200">
        <f ca="1">W1188*'Expenditure Study'!$B$31</f>
        <v>0</v>
      </c>
      <c r="AA1188" s="195">
        <f t="shared" ca="1" si="260"/>
        <v>0</v>
      </c>
      <c r="AB1188" s="195">
        <f t="shared" ca="1" si="261"/>
        <v>0</v>
      </c>
      <c r="AD1188" s="196">
        <f>IFERROR($G1188/SUMIF($A:$A,$A1188,$G:$G)*SUMIF(Summary!$A$166:$A$242,$A1188,Summary!$P$166:$P$242),0)</f>
        <v>0</v>
      </c>
      <c r="AE1188" s="197">
        <f t="shared" ca="1" si="262"/>
        <v>0</v>
      </c>
      <c r="AF1188" s="196">
        <f>IFERROR(G1188/SUMIF(A:A,A1188,G:G)*SUMIF(Summary!$A$166:$A$242,'Operations Support'!A1188,Summary!$Q$166:$Q$242),0)</f>
        <v>0</v>
      </c>
      <c r="AG1188" s="196">
        <f t="shared" ca="1" si="263"/>
        <v>0</v>
      </c>
      <c r="AI1188" s="196">
        <f>IFERROR($G1188/SUMIF($A:$A,$A1188,$G:$G)*SUMIF(Summary!$A$247:$A$283,$A1188,Summary!$P$247:$P$283),0)</f>
        <v>0</v>
      </c>
      <c r="AJ1188" s="196">
        <f>IFERROR($G1188/SUMIF($A:$A,$A1188,$G:$G)*(SUMIF(Summary!$A$247:$A$283,$A1188,Summary!$L$247:$L$283)+SUMIF(Summary!$A$297:$A$333,$A1188,Summary!$L$297:$L$333))-AI1188,0)</f>
        <v>0</v>
      </c>
      <c r="AK1188" s="196">
        <f>IFERROR($G1188/SUMIF($A:$A,$A1188,$G:$G)*SUMIF(Summary!$A$247:$A$283,$A1188,Summary!$Q$247:$Q$283),0)</f>
        <v>0</v>
      </c>
      <c r="AL1188" s="196">
        <f>IFERROR($G1188/SUMIF($A:$A,$A1188,$G:$G)*(SUMIF(Summary!$A$247:$A$283,$A1188,Summary!$L$247:$L$283)+SUMIF(Summary!$A$297:$A$333,$A1188,Summary!$L$297:$L$333))-AK1188,0)</f>
        <v>0</v>
      </c>
      <c r="AM1188" s="198"/>
      <c r="AN1188" s="196">
        <f t="shared" ca="1" si="264"/>
        <v>0</v>
      </c>
      <c r="AO1188" s="196">
        <f t="shared" ca="1" si="265"/>
        <v>0</v>
      </c>
    </row>
    <row r="1189" spans="1:41">
      <c r="A1189" s="189">
        <v>3630</v>
      </c>
      <c r="B1189" s="190">
        <v>2</v>
      </c>
      <c r="C1189" s="191" t="s">
        <v>228</v>
      </c>
      <c r="D1189" s="192">
        <f t="shared" si="252"/>
        <v>1351.5</v>
      </c>
      <c r="E1189" s="192">
        <f t="shared" si="253"/>
        <v>583.5</v>
      </c>
      <c r="F1189" s="192">
        <f t="shared" si="254"/>
        <v>0</v>
      </c>
      <c r="G1189" s="193">
        <f t="shared" si="255"/>
        <v>1935</v>
      </c>
      <c r="H1189" s="194">
        <v>366</v>
      </c>
      <c r="I1189" s="194">
        <v>423</v>
      </c>
      <c r="J1189" s="194">
        <v>0</v>
      </c>
      <c r="K1189" s="193">
        <f t="shared" si="256"/>
        <v>789</v>
      </c>
      <c r="L1189" s="194">
        <v>586.5</v>
      </c>
      <c r="M1189" s="194">
        <v>160.5</v>
      </c>
      <c r="N1189" s="194">
        <v>0</v>
      </c>
      <c r="O1189" s="193">
        <f t="shared" si="257"/>
        <v>747</v>
      </c>
      <c r="P1189" s="194">
        <v>399</v>
      </c>
      <c r="Q1189" s="194">
        <v>0</v>
      </c>
      <c r="R1189" s="194">
        <v>0</v>
      </c>
      <c r="S1189" s="193">
        <f t="shared" si="258"/>
        <v>399</v>
      </c>
      <c r="T1189" s="193">
        <f t="shared" si="259"/>
        <v>64.5</v>
      </c>
      <c r="U1189" s="193">
        <f ca="1">OFFSET('Expenditure Study'!$B$7,'Operations Support'!$C1189,'Operations Support'!$B1189)*$G1189</f>
        <v>3695.85</v>
      </c>
      <c r="V1189" s="199">
        <f ca="1">U1189*'Expenditure Study'!$B$31</f>
        <v>218362.57375968</v>
      </c>
      <c r="W1189" s="199">
        <f ca="1">IF(A1189=10298,1.51,1)*IF($B1189&lt;3,$D1189*'Expenditure Study'!$B$32*OFFSET('Expenditure Study'!$B$7,'Operations Support'!$C1189,'Operations Support'!$B1189),0)</f>
        <v>258.13650000000001</v>
      </c>
      <c r="X1189" s="200">
        <f ca="1">W1189*'Expenditure Study'!$B$31</f>
        <v>15251.525500579201</v>
      </c>
      <c r="Y1189" s="199">
        <f ca="1">U1189*'Expenditure Study'!$B$31</f>
        <v>218362.57375968</v>
      </c>
      <c r="Z1189" s="200">
        <f ca="1">W1189*'Expenditure Study'!$B$31</f>
        <v>15251.525500579201</v>
      </c>
      <c r="AA1189" s="195">
        <f t="shared" ca="1" si="260"/>
        <v>233614.09926025922</v>
      </c>
      <c r="AB1189" s="195">
        <f t="shared" ca="1" si="261"/>
        <v>233614.09926025922</v>
      </c>
      <c r="AD1189" s="196">
        <f>IFERROR($G1189/SUMIF($A:$A,$A1189,$G:$G)*SUMIF(Summary!$A$166:$A$242,$A1189,Summary!$P$166:$P$242),0)</f>
        <v>93061.648211697131</v>
      </c>
      <c r="AE1189" s="197">
        <f t="shared" ca="1" si="262"/>
        <v>140552.45104856207</v>
      </c>
      <c r="AF1189" s="196">
        <f>IFERROR(G1189/SUMIF(A:A,A1189,G:G)*SUMIF(Summary!$A$166:$A$242,'Operations Support'!A1189,Summary!$Q$166:$Q$242),0)</f>
        <v>93557.834252543369</v>
      </c>
      <c r="AG1189" s="196">
        <f t="shared" ca="1" si="263"/>
        <v>140056.26500771585</v>
      </c>
      <c r="AI1189" s="196">
        <f>IFERROR($G1189/SUMIF($A:$A,$A1189,$G:$G)*SUMIF(Summary!$A$247:$A$283,$A1189,Summary!$P$247:$P$283),0)</f>
        <v>16972.122306269353</v>
      </c>
      <c r="AJ1189" s="196">
        <f>IFERROR($G1189/SUMIF($A:$A,$A1189,$G:$G)*(SUMIF(Summary!$A$247:$A$283,$A1189,Summary!$L$247:$L$283)+SUMIF(Summary!$A$297:$A$333,$A1189,Summary!$L$297:$L$333))-AI1189,0)</f>
        <v>44022.302352562845</v>
      </c>
      <c r="AK1189" s="196">
        <f>IFERROR($G1189/SUMIF($A:$A,$A1189,$G:$G)*SUMIF(Summary!$A$247:$A$283,$A1189,Summary!$Q$247:$Q$283),0)</f>
        <v>17062.614257935082</v>
      </c>
      <c r="AL1189" s="196">
        <f>IFERROR($G1189/SUMIF($A:$A,$A1189,$G:$G)*(SUMIF(Summary!$A$247:$A$283,$A1189,Summary!$L$247:$L$283)+SUMIF(Summary!$A$297:$A$333,$A1189,Summary!$L$297:$L$333))-AK1189,0)</f>
        <v>43931.810400897113</v>
      </c>
      <c r="AM1189" s="198"/>
      <c r="AN1189" s="196">
        <f t="shared" ca="1" si="264"/>
        <v>184574.75340112491</v>
      </c>
      <c r="AO1189" s="196">
        <f t="shared" ca="1" si="265"/>
        <v>183988.07540861296</v>
      </c>
    </row>
    <row r="1190" spans="1:41">
      <c r="A1190" s="189">
        <v>3630</v>
      </c>
      <c r="B1190" s="190">
        <v>2</v>
      </c>
      <c r="C1190" s="191" t="s">
        <v>229</v>
      </c>
      <c r="D1190" s="192">
        <f t="shared" si="252"/>
        <v>0</v>
      </c>
      <c r="E1190" s="192">
        <f t="shared" si="253"/>
        <v>0</v>
      </c>
      <c r="F1190" s="192">
        <f t="shared" si="254"/>
        <v>0</v>
      </c>
      <c r="G1190" s="193">
        <f t="shared" si="255"/>
        <v>0</v>
      </c>
      <c r="H1190" s="194">
        <v>0</v>
      </c>
      <c r="I1190" s="194">
        <v>0</v>
      </c>
      <c r="J1190" s="194">
        <v>0</v>
      </c>
      <c r="K1190" s="193">
        <f t="shared" si="256"/>
        <v>0</v>
      </c>
      <c r="L1190" s="194">
        <v>0</v>
      </c>
      <c r="M1190" s="194">
        <v>0</v>
      </c>
      <c r="N1190" s="194">
        <v>0</v>
      </c>
      <c r="O1190" s="193">
        <f t="shared" si="257"/>
        <v>0</v>
      </c>
      <c r="P1190" s="194">
        <v>0</v>
      </c>
      <c r="Q1190" s="194">
        <v>0</v>
      </c>
      <c r="R1190" s="194">
        <v>0</v>
      </c>
      <c r="S1190" s="193">
        <f t="shared" si="258"/>
        <v>0</v>
      </c>
      <c r="T1190" s="193">
        <f t="shared" si="259"/>
        <v>0</v>
      </c>
      <c r="U1190" s="193">
        <f ca="1">OFFSET('Expenditure Study'!$B$7,'Operations Support'!$C1190,'Operations Support'!$B1190)*$G1190</f>
        <v>0</v>
      </c>
      <c r="V1190" s="199">
        <f ca="1">U1190*'Expenditure Study'!$B$31</f>
        <v>0</v>
      </c>
      <c r="W1190" s="199">
        <f ca="1">IF(A1190=10298,1.51,1)*IF($B1190&lt;3,$D1190*'Expenditure Study'!$B$32*OFFSET('Expenditure Study'!$B$7,'Operations Support'!$C1190,'Operations Support'!$B1190),0)</f>
        <v>0</v>
      </c>
      <c r="X1190" s="200">
        <f ca="1">W1190*'Expenditure Study'!$B$31</f>
        <v>0</v>
      </c>
      <c r="Y1190" s="199">
        <f ca="1">U1190*'Expenditure Study'!$B$31</f>
        <v>0</v>
      </c>
      <c r="Z1190" s="200">
        <f ca="1">W1190*'Expenditure Study'!$B$31</f>
        <v>0</v>
      </c>
      <c r="AA1190" s="195">
        <f t="shared" ca="1" si="260"/>
        <v>0</v>
      </c>
      <c r="AB1190" s="195">
        <f t="shared" ca="1" si="261"/>
        <v>0</v>
      </c>
      <c r="AD1190" s="196">
        <f>IFERROR($G1190/SUMIF($A:$A,$A1190,$G:$G)*SUMIF(Summary!$A$166:$A$242,$A1190,Summary!$P$166:$P$242),0)</f>
        <v>0</v>
      </c>
      <c r="AE1190" s="197">
        <f t="shared" ca="1" si="262"/>
        <v>0</v>
      </c>
      <c r="AF1190" s="196">
        <f>IFERROR(G1190/SUMIF(A:A,A1190,G:G)*SUMIF(Summary!$A$166:$A$242,'Operations Support'!A1190,Summary!$Q$166:$Q$242),0)</f>
        <v>0</v>
      </c>
      <c r="AG1190" s="196">
        <f t="shared" ca="1" si="263"/>
        <v>0</v>
      </c>
      <c r="AI1190" s="196">
        <f>IFERROR($G1190/SUMIF($A:$A,$A1190,$G:$G)*SUMIF(Summary!$A$247:$A$283,$A1190,Summary!$P$247:$P$283),0)</f>
        <v>0</v>
      </c>
      <c r="AJ1190" s="196">
        <f>IFERROR($G1190/SUMIF($A:$A,$A1190,$G:$G)*(SUMIF(Summary!$A$247:$A$283,$A1190,Summary!$L$247:$L$283)+SUMIF(Summary!$A$297:$A$333,$A1190,Summary!$L$297:$L$333))-AI1190,0)</f>
        <v>0</v>
      </c>
      <c r="AK1190" s="196">
        <f>IFERROR($G1190/SUMIF($A:$A,$A1190,$G:$G)*SUMIF(Summary!$A$247:$A$283,$A1190,Summary!$Q$247:$Q$283),0)</f>
        <v>0</v>
      </c>
      <c r="AL1190" s="196">
        <f>IFERROR($G1190/SUMIF($A:$A,$A1190,$G:$G)*(SUMIF(Summary!$A$247:$A$283,$A1190,Summary!$L$247:$L$283)+SUMIF(Summary!$A$297:$A$333,$A1190,Summary!$L$297:$L$333))-AK1190,0)</f>
        <v>0</v>
      </c>
      <c r="AM1190" s="198"/>
      <c r="AN1190" s="196">
        <f t="shared" ca="1" si="264"/>
        <v>0</v>
      </c>
      <c r="AO1190" s="196">
        <f t="shared" ca="1" si="265"/>
        <v>0</v>
      </c>
    </row>
    <row r="1191" spans="1:41">
      <c r="A1191" s="189">
        <v>3630</v>
      </c>
      <c r="B1191" s="190">
        <v>2</v>
      </c>
      <c r="C1191" s="191" t="s">
        <v>230</v>
      </c>
      <c r="D1191" s="192">
        <f t="shared" si="252"/>
        <v>0</v>
      </c>
      <c r="E1191" s="192">
        <f t="shared" si="253"/>
        <v>0</v>
      </c>
      <c r="F1191" s="192">
        <f t="shared" si="254"/>
        <v>0</v>
      </c>
      <c r="G1191" s="193">
        <f t="shared" si="255"/>
        <v>0</v>
      </c>
      <c r="H1191" s="194">
        <v>0</v>
      </c>
      <c r="I1191" s="194">
        <v>0</v>
      </c>
      <c r="J1191" s="194">
        <v>0</v>
      </c>
      <c r="K1191" s="193">
        <f t="shared" si="256"/>
        <v>0</v>
      </c>
      <c r="L1191" s="194">
        <v>0</v>
      </c>
      <c r="M1191" s="194">
        <v>0</v>
      </c>
      <c r="N1191" s="194">
        <v>0</v>
      </c>
      <c r="O1191" s="193">
        <f t="shared" si="257"/>
        <v>0</v>
      </c>
      <c r="P1191" s="194">
        <v>0</v>
      </c>
      <c r="Q1191" s="194">
        <v>0</v>
      </c>
      <c r="R1191" s="194">
        <v>0</v>
      </c>
      <c r="S1191" s="193">
        <f t="shared" si="258"/>
        <v>0</v>
      </c>
      <c r="T1191" s="193">
        <f t="shared" si="259"/>
        <v>0</v>
      </c>
      <c r="U1191" s="193">
        <f ca="1">OFFSET('Expenditure Study'!$B$7,'Operations Support'!$C1191,'Operations Support'!$B1191)*$G1191</f>
        <v>0</v>
      </c>
      <c r="V1191" s="199">
        <f ca="1">U1191*'Expenditure Study'!$B$31</f>
        <v>0</v>
      </c>
      <c r="W1191" s="199">
        <f ca="1">IF(A1191=10298,1.51,1)*IF($B1191&lt;3,$D1191*'Expenditure Study'!$B$32*OFFSET('Expenditure Study'!$B$7,'Operations Support'!$C1191,'Operations Support'!$B1191),0)</f>
        <v>0</v>
      </c>
      <c r="X1191" s="200">
        <f ca="1">W1191*'Expenditure Study'!$B$31</f>
        <v>0</v>
      </c>
      <c r="Y1191" s="199">
        <f ca="1">U1191*'Expenditure Study'!$B$31</f>
        <v>0</v>
      </c>
      <c r="Z1191" s="200">
        <f ca="1">W1191*'Expenditure Study'!$B$31</f>
        <v>0</v>
      </c>
      <c r="AA1191" s="195">
        <f t="shared" ca="1" si="260"/>
        <v>0</v>
      </c>
      <c r="AB1191" s="195">
        <f t="shared" ca="1" si="261"/>
        <v>0</v>
      </c>
      <c r="AD1191" s="196">
        <f>IFERROR($G1191/SUMIF($A:$A,$A1191,$G:$G)*SUMIF(Summary!$A$166:$A$242,$A1191,Summary!$P$166:$P$242),0)</f>
        <v>0</v>
      </c>
      <c r="AE1191" s="197">
        <f t="shared" ca="1" si="262"/>
        <v>0</v>
      </c>
      <c r="AF1191" s="196">
        <f>IFERROR(G1191/SUMIF(A:A,A1191,G:G)*SUMIF(Summary!$A$166:$A$242,'Operations Support'!A1191,Summary!$Q$166:$Q$242),0)</f>
        <v>0</v>
      </c>
      <c r="AG1191" s="196">
        <f t="shared" ca="1" si="263"/>
        <v>0</v>
      </c>
      <c r="AI1191" s="196">
        <f>IFERROR($G1191/SUMIF($A:$A,$A1191,$G:$G)*SUMIF(Summary!$A$247:$A$283,$A1191,Summary!$P$247:$P$283),0)</f>
        <v>0</v>
      </c>
      <c r="AJ1191" s="196">
        <f>IFERROR($G1191/SUMIF($A:$A,$A1191,$G:$G)*(SUMIF(Summary!$A$247:$A$283,$A1191,Summary!$L$247:$L$283)+SUMIF(Summary!$A$297:$A$333,$A1191,Summary!$L$297:$L$333))-AI1191,0)</f>
        <v>0</v>
      </c>
      <c r="AK1191" s="196">
        <f>IFERROR($G1191/SUMIF($A:$A,$A1191,$G:$G)*SUMIF(Summary!$A$247:$A$283,$A1191,Summary!$Q$247:$Q$283),0)</f>
        <v>0</v>
      </c>
      <c r="AL1191" s="196">
        <f>IFERROR($G1191/SUMIF($A:$A,$A1191,$G:$G)*(SUMIF(Summary!$A$247:$A$283,$A1191,Summary!$L$247:$L$283)+SUMIF(Summary!$A$297:$A$333,$A1191,Summary!$L$297:$L$333))-AK1191,0)</f>
        <v>0</v>
      </c>
      <c r="AM1191" s="198"/>
      <c r="AN1191" s="196">
        <f t="shared" ca="1" si="264"/>
        <v>0</v>
      </c>
      <c r="AO1191" s="196">
        <f t="shared" ca="1" si="265"/>
        <v>0</v>
      </c>
    </row>
    <row r="1192" spans="1:41">
      <c r="A1192" s="189">
        <v>3630</v>
      </c>
      <c r="B1192" s="190">
        <v>2</v>
      </c>
      <c r="C1192" s="191" t="s">
        <v>231</v>
      </c>
      <c r="D1192" s="192">
        <f t="shared" si="252"/>
        <v>0</v>
      </c>
      <c r="E1192" s="192">
        <f t="shared" si="253"/>
        <v>0</v>
      </c>
      <c r="F1192" s="192">
        <f t="shared" si="254"/>
        <v>0</v>
      </c>
      <c r="G1192" s="193">
        <f t="shared" si="255"/>
        <v>0</v>
      </c>
      <c r="H1192" s="194">
        <v>0</v>
      </c>
      <c r="I1192" s="194">
        <v>0</v>
      </c>
      <c r="J1192" s="194">
        <v>0</v>
      </c>
      <c r="K1192" s="193">
        <f t="shared" si="256"/>
        <v>0</v>
      </c>
      <c r="L1192" s="194">
        <v>0</v>
      </c>
      <c r="M1192" s="194">
        <v>0</v>
      </c>
      <c r="N1192" s="194">
        <v>0</v>
      </c>
      <c r="O1192" s="193">
        <f t="shared" si="257"/>
        <v>0</v>
      </c>
      <c r="P1192" s="194">
        <v>0</v>
      </c>
      <c r="Q1192" s="194">
        <v>0</v>
      </c>
      <c r="R1192" s="194">
        <v>0</v>
      </c>
      <c r="S1192" s="193">
        <f t="shared" si="258"/>
        <v>0</v>
      </c>
      <c r="T1192" s="193">
        <f t="shared" si="259"/>
        <v>0</v>
      </c>
      <c r="U1192" s="193">
        <f ca="1">OFFSET('Expenditure Study'!$B$7,'Operations Support'!$C1192,'Operations Support'!$B1192)*$G1192</f>
        <v>0</v>
      </c>
      <c r="V1192" s="199">
        <f ca="1">U1192*'Expenditure Study'!$B$31</f>
        <v>0</v>
      </c>
      <c r="W1192" s="199">
        <f ca="1">IF(A1192=10298,1.51,1)*IF($B1192&lt;3,$D1192*'Expenditure Study'!$B$32*OFFSET('Expenditure Study'!$B$7,'Operations Support'!$C1192,'Operations Support'!$B1192),0)</f>
        <v>0</v>
      </c>
      <c r="X1192" s="200">
        <f ca="1">W1192*'Expenditure Study'!$B$31</f>
        <v>0</v>
      </c>
      <c r="Y1192" s="199">
        <f ca="1">U1192*'Expenditure Study'!$B$31</f>
        <v>0</v>
      </c>
      <c r="Z1192" s="200">
        <f ca="1">W1192*'Expenditure Study'!$B$31</f>
        <v>0</v>
      </c>
      <c r="AA1192" s="195">
        <f t="shared" ca="1" si="260"/>
        <v>0</v>
      </c>
      <c r="AB1192" s="195">
        <f t="shared" ca="1" si="261"/>
        <v>0</v>
      </c>
      <c r="AD1192" s="196">
        <f>IFERROR($G1192/SUMIF($A:$A,$A1192,$G:$G)*SUMIF(Summary!$A$166:$A$242,$A1192,Summary!$P$166:$P$242),0)</f>
        <v>0</v>
      </c>
      <c r="AE1192" s="197">
        <f t="shared" ca="1" si="262"/>
        <v>0</v>
      </c>
      <c r="AF1192" s="196">
        <f>IFERROR(G1192/SUMIF(A:A,A1192,G:G)*SUMIF(Summary!$A$166:$A$242,'Operations Support'!A1192,Summary!$Q$166:$Q$242),0)</f>
        <v>0</v>
      </c>
      <c r="AG1192" s="196">
        <f t="shared" ca="1" si="263"/>
        <v>0</v>
      </c>
      <c r="AI1192" s="196">
        <f>IFERROR($G1192/SUMIF($A:$A,$A1192,$G:$G)*SUMIF(Summary!$A$247:$A$283,$A1192,Summary!$P$247:$P$283),0)</f>
        <v>0</v>
      </c>
      <c r="AJ1192" s="196">
        <f>IFERROR($G1192/SUMIF($A:$A,$A1192,$G:$G)*(SUMIF(Summary!$A$247:$A$283,$A1192,Summary!$L$247:$L$283)+SUMIF(Summary!$A$297:$A$333,$A1192,Summary!$L$297:$L$333))-AI1192,0)</f>
        <v>0</v>
      </c>
      <c r="AK1192" s="196">
        <f>IFERROR($G1192/SUMIF($A:$A,$A1192,$G:$G)*SUMIF(Summary!$A$247:$A$283,$A1192,Summary!$Q$247:$Q$283),0)</f>
        <v>0</v>
      </c>
      <c r="AL1192" s="196">
        <f>IFERROR($G1192/SUMIF($A:$A,$A1192,$G:$G)*(SUMIF(Summary!$A$247:$A$283,$A1192,Summary!$L$247:$L$283)+SUMIF(Summary!$A$297:$A$333,$A1192,Summary!$L$297:$L$333))-AK1192,0)</f>
        <v>0</v>
      </c>
      <c r="AM1192" s="198"/>
      <c r="AN1192" s="196">
        <f t="shared" ca="1" si="264"/>
        <v>0</v>
      </c>
      <c r="AO1192" s="196">
        <f t="shared" ca="1" si="265"/>
        <v>0</v>
      </c>
    </row>
    <row r="1193" spans="1:41">
      <c r="A1193" s="189">
        <v>3630</v>
      </c>
      <c r="B1193" s="190">
        <v>2</v>
      </c>
      <c r="C1193" s="191" t="s">
        <v>232</v>
      </c>
      <c r="D1193" s="192">
        <f t="shared" si="252"/>
        <v>0</v>
      </c>
      <c r="E1193" s="192">
        <f t="shared" si="253"/>
        <v>0</v>
      </c>
      <c r="F1193" s="192">
        <f t="shared" si="254"/>
        <v>0</v>
      </c>
      <c r="G1193" s="193">
        <f t="shared" si="255"/>
        <v>0</v>
      </c>
      <c r="H1193" s="194">
        <v>0</v>
      </c>
      <c r="I1193" s="194">
        <v>0</v>
      </c>
      <c r="J1193" s="194">
        <v>0</v>
      </c>
      <c r="K1193" s="193">
        <f t="shared" si="256"/>
        <v>0</v>
      </c>
      <c r="L1193" s="194">
        <v>0</v>
      </c>
      <c r="M1193" s="194">
        <v>0</v>
      </c>
      <c r="N1193" s="194">
        <v>0</v>
      </c>
      <c r="O1193" s="193">
        <f t="shared" si="257"/>
        <v>0</v>
      </c>
      <c r="P1193" s="194">
        <v>0</v>
      </c>
      <c r="Q1193" s="194">
        <v>0</v>
      </c>
      <c r="R1193" s="194">
        <v>0</v>
      </c>
      <c r="S1193" s="193">
        <f t="shared" si="258"/>
        <v>0</v>
      </c>
      <c r="T1193" s="193">
        <f t="shared" si="259"/>
        <v>0</v>
      </c>
      <c r="U1193" s="193">
        <f ca="1">OFFSET('Expenditure Study'!$B$7,'Operations Support'!$C1193,'Operations Support'!$B1193)*$G1193</f>
        <v>0</v>
      </c>
      <c r="V1193" s="199">
        <f ca="1">U1193*'Expenditure Study'!$B$31</f>
        <v>0</v>
      </c>
      <c r="W1193" s="199">
        <f ca="1">IF(A1193=10298,1.51,1)*IF($B1193&lt;3,$D1193*'Expenditure Study'!$B$32*OFFSET('Expenditure Study'!$B$7,'Operations Support'!$C1193,'Operations Support'!$B1193),0)</f>
        <v>0</v>
      </c>
      <c r="X1193" s="200">
        <f ca="1">W1193*'Expenditure Study'!$B$31</f>
        <v>0</v>
      </c>
      <c r="Y1193" s="199">
        <f ca="1">U1193*'Expenditure Study'!$B$31</f>
        <v>0</v>
      </c>
      <c r="Z1193" s="200">
        <f ca="1">W1193*'Expenditure Study'!$B$31</f>
        <v>0</v>
      </c>
      <c r="AA1193" s="195">
        <f t="shared" ca="1" si="260"/>
        <v>0</v>
      </c>
      <c r="AB1193" s="195">
        <f t="shared" ca="1" si="261"/>
        <v>0</v>
      </c>
      <c r="AD1193" s="196">
        <f>IFERROR($G1193/SUMIF($A:$A,$A1193,$G:$G)*SUMIF(Summary!$A$166:$A$242,$A1193,Summary!$P$166:$P$242),0)</f>
        <v>0</v>
      </c>
      <c r="AE1193" s="197">
        <f t="shared" ca="1" si="262"/>
        <v>0</v>
      </c>
      <c r="AF1193" s="196">
        <f>IFERROR(G1193/SUMIF(A:A,A1193,G:G)*SUMIF(Summary!$A$166:$A$242,'Operations Support'!A1193,Summary!$Q$166:$Q$242),0)</f>
        <v>0</v>
      </c>
      <c r="AG1193" s="196">
        <f t="shared" ca="1" si="263"/>
        <v>0</v>
      </c>
      <c r="AI1193" s="196">
        <f>IFERROR($G1193/SUMIF($A:$A,$A1193,$G:$G)*SUMIF(Summary!$A$247:$A$283,$A1193,Summary!$P$247:$P$283),0)</f>
        <v>0</v>
      </c>
      <c r="AJ1193" s="196">
        <f>IFERROR($G1193/SUMIF($A:$A,$A1193,$G:$G)*(SUMIF(Summary!$A$247:$A$283,$A1193,Summary!$L$247:$L$283)+SUMIF(Summary!$A$297:$A$333,$A1193,Summary!$L$297:$L$333))-AI1193,0)</f>
        <v>0</v>
      </c>
      <c r="AK1193" s="196">
        <f>IFERROR($G1193/SUMIF($A:$A,$A1193,$G:$G)*SUMIF(Summary!$A$247:$A$283,$A1193,Summary!$Q$247:$Q$283),0)</f>
        <v>0</v>
      </c>
      <c r="AL1193" s="196">
        <f>IFERROR($G1193/SUMIF($A:$A,$A1193,$G:$G)*(SUMIF(Summary!$A$247:$A$283,$A1193,Summary!$L$247:$L$283)+SUMIF(Summary!$A$297:$A$333,$A1193,Summary!$L$297:$L$333))-AK1193,0)</f>
        <v>0</v>
      </c>
      <c r="AM1193" s="198"/>
      <c r="AN1193" s="196">
        <f t="shared" ca="1" si="264"/>
        <v>0</v>
      </c>
      <c r="AO1193" s="196">
        <f t="shared" ca="1" si="265"/>
        <v>0</v>
      </c>
    </row>
    <row r="1194" spans="1:41">
      <c r="A1194" s="189">
        <v>3630</v>
      </c>
      <c r="B1194" s="190">
        <v>2</v>
      </c>
      <c r="C1194" s="191" t="s">
        <v>233</v>
      </c>
      <c r="D1194" s="192">
        <f t="shared" si="252"/>
        <v>2856</v>
      </c>
      <c r="E1194" s="192">
        <f t="shared" si="253"/>
        <v>5994</v>
      </c>
      <c r="F1194" s="192">
        <f t="shared" si="254"/>
        <v>0</v>
      </c>
      <c r="G1194" s="193">
        <f t="shared" si="255"/>
        <v>8850</v>
      </c>
      <c r="H1194" s="194">
        <v>1242</v>
      </c>
      <c r="I1194" s="194">
        <v>3267</v>
      </c>
      <c r="J1194" s="194">
        <v>0</v>
      </c>
      <c r="K1194" s="193">
        <f t="shared" si="256"/>
        <v>4509</v>
      </c>
      <c r="L1194" s="194">
        <v>1446</v>
      </c>
      <c r="M1194" s="194">
        <v>2070</v>
      </c>
      <c r="N1194" s="194">
        <v>0</v>
      </c>
      <c r="O1194" s="193">
        <f t="shared" si="257"/>
        <v>3516</v>
      </c>
      <c r="P1194" s="194">
        <v>168</v>
      </c>
      <c r="Q1194" s="194">
        <v>657</v>
      </c>
      <c r="R1194" s="194">
        <v>0</v>
      </c>
      <c r="S1194" s="193">
        <f t="shared" si="258"/>
        <v>825</v>
      </c>
      <c r="T1194" s="193">
        <f t="shared" si="259"/>
        <v>295</v>
      </c>
      <c r="U1194" s="193">
        <f ca="1">OFFSET('Expenditure Study'!$B$7,'Operations Support'!$C1194,'Operations Support'!$B1194)*$G1194</f>
        <v>14248.5</v>
      </c>
      <c r="V1194" s="199">
        <f ca="1">U1194*'Expenditure Study'!$B$31</f>
        <v>841846.70162880002</v>
      </c>
      <c r="W1194" s="199">
        <f ca="1">IF(A1194=10298,1.51,1)*IF($B1194&lt;3,$D1194*'Expenditure Study'!$B$32*OFFSET('Expenditure Study'!$B$7,'Operations Support'!$C1194,'Operations Support'!$B1194),0)</f>
        <v>459.81600000000009</v>
      </c>
      <c r="X1194" s="200">
        <f ca="1">W1194*'Expenditure Study'!$B$31</f>
        <v>27167.391862732806</v>
      </c>
      <c r="Y1194" s="199">
        <f ca="1">U1194*'Expenditure Study'!$B$31</f>
        <v>841846.70162880002</v>
      </c>
      <c r="Z1194" s="200">
        <f ca="1">W1194*'Expenditure Study'!$B$31</f>
        <v>27167.391862732806</v>
      </c>
      <c r="AA1194" s="195">
        <f t="shared" ca="1" si="260"/>
        <v>869014.09349153284</v>
      </c>
      <c r="AB1194" s="195">
        <f t="shared" ca="1" si="261"/>
        <v>869014.09349153284</v>
      </c>
      <c r="AD1194" s="196">
        <f>IFERROR($G1194/SUMIF($A:$A,$A1194,$G:$G)*SUMIF(Summary!$A$166:$A$242,$A1194,Summary!$P$166:$P$242),0)</f>
        <v>425630.79414652177</v>
      </c>
      <c r="AE1194" s="197">
        <f t="shared" ca="1" si="262"/>
        <v>443383.29934501107</v>
      </c>
      <c r="AF1194" s="196">
        <f>IFERROR(G1194/SUMIF(A:A,A1194,G:G)*SUMIF(Summary!$A$166:$A$242,'Operations Support'!A1194,Summary!$Q$166:$Q$242),0)</f>
        <v>427900.17216279521</v>
      </c>
      <c r="AG1194" s="196">
        <f t="shared" ca="1" si="263"/>
        <v>441113.92132873763</v>
      </c>
      <c r="AI1194" s="196">
        <f>IFERROR($G1194/SUMIF($A:$A,$A1194,$G:$G)*SUMIF(Summary!$A$247:$A$283,$A1194,Summary!$P$247:$P$283),0)</f>
        <v>77624.435354255183</v>
      </c>
      <c r="AJ1194" s="196">
        <f>IFERROR($G1194/SUMIF($A:$A,$A1194,$G:$G)*(SUMIF(Summary!$A$247:$A$283,$A1194,Summary!$L$247:$L$283)+SUMIF(Summary!$A$297:$A$333,$A1194,Summary!$L$297:$L$333))-AI1194,0)</f>
        <v>201342.31308536493</v>
      </c>
      <c r="AK1194" s="196">
        <f>IFERROR($G1194/SUMIF($A:$A,$A1194,$G:$G)*SUMIF(Summary!$A$247:$A$283,$A1194,Summary!$Q$247:$Q$283),0)</f>
        <v>78038.313272726344</v>
      </c>
      <c r="AL1194" s="196">
        <f>IFERROR($G1194/SUMIF($A:$A,$A1194,$G:$G)*(SUMIF(Summary!$A$247:$A$283,$A1194,Summary!$L$247:$L$283)+SUMIF(Summary!$A$297:$A$333,$A1194,Summary!$L$297:$L$333))-AK1194,0)</f>
        <v>200928.43516689379</v>
      </c>
      <c r="AM1194" s="198"/>
      <c r="AN1194" s="196">
        <f t="shared" ca="1" si="264"/>
        <v>644725.612430376</v>
      </c>
      <c r="AO1194" s="196">
        <f t="shared" ca="1" si="265"/>
        <v>642042.35649563139</v>
      </c>
    </row>
    <row r="1195" spans="1:41">
      <c r="A1195" s="189">
        <v>3630</v>
      </c>
      <c r="B1195" s="190">
        <v>2</v>
      </c>
      <c r="C1195" s="191" t="s">
        <v>234</v>
      </c>
      <c r="D1195" s="192">
        <f t="shared" si="252"/>
        <v>0</v>
      </c>
      <c r="E1195" s="192">
        <f t="shared" si="253"/>
        <v>0</v>
      </c>
      <c r="F1195" s="192">
        <f t="shared" si="254"/>
        <v>0</v>
      </c>
      <c r="G1195" s="193">
        <f t="shared" si="255"/>
        <v>0</v>
      </c>
      <c r="H1195" s="194">
        <v>0</v>
      </c>
      <c r="I1195" s="194">
        <v>0</v>
      </c>
      <c r="J1195" s="194">
        <v>0</v>
      </c>
      <c r="K1195" s="193">
        <f t="shared" si="256"/>
        <v>0</v>
      </c>
      <c r="L1195" s="194">
        <v>0</v>
      </c>
      <c r="M1195" s="194">
        <v>0</v>
      </c>
      <c r="N1195" s="194">
        <v>0</v>
      </c>
      <c r="O1195" s="193">
        <f t="shared" si="257"/>
        <v>0</v>
      </c>
      <c r="P1195" s="194">
        <v>0</v>
      </c>
      <c r="Q1195" s="194">
        <v>0</v>
      </c>
      <c r="R1195" s="194">
        <v>0</v>
      </c>
      <c r="S1195" s="193">
        <f t="shared" si="258"/>
        <v>0</v>
      </c>
      <c r="T1195" s="193">
        <f t="shared" si="259"/>
        <v>0</v>
      </c>
      <c r="U1195" s="193">
        <f ca="1">OFFSET('Expenditure Study'!$B$7,'Operations Support'!$C1195,'Operations Support'!$B1195)*$G1195</f>
        <v>0</v>
      </c>
      <c r="V1195" s="199">
        <f ca="1">U1195*'Expenditure Study'!$B$31</f>
        <v>0</v>
      </c>
      <c r="W1195" s="199">
        <f ca="1">IF(A1195=10298,1.51,1)*IF($B1195&lt;3,$D1195*'Expenditure Study'!$B$32*OFFSET('Expenditure Study'!$B$7,'Operations Support'!$C1195,'Operations Support'!$B1195),0)</f>
        <v>0</v>
      </c>
      <c r="X1195" s="200">
        <f ca="1">W1195*'Expenditure Study'!$B$31</f>
        <v>0</v>
      </c>
      <c r="Y1195" s="199">
        <f ca="1">U1195*'Expenditure Study'!$B$31</f>
        <v>0</v>
      </c>
      <c r="Z1195" s="200">
        <f ca="1">W1195*'Expenditure Study'!$B$31</f>
        <v>0</v>
      </c>
      <c r="AA1195" s="195">
        <f t="shared" ca="1" si="260"/>
        <v>0</v>
      </c>
      <c r="AB1195" s="195">
        <f t="shared" ca="1" si="261"/>
        <v>0</v>
      </c>
      <c r="AD1195" s="196">
        <f>IFERROR($G1195/SUMIF($A:$A,$A1195,$G:$G)*SUMIF(Summary!$A$166:$A$242,$A1195,Summary!$P$166:$P$242),0)</f>
        <v>0</v>
      </c>
      <c r="AE1195" s="197">
        <f t="shared" ca="1" si="262"/>
        <v>0</v>
      </c>
      <c r="AF1195" s="196">
        <f>IFERROR(G1195/SUMIF(A:A,A1195,G:G)*SUMIF(Summary!$A$166:$A$242,'Operations Support'!A1195,Summary!$Q$166:$Q$242),0)</f>
        <v>0</v>
      </c>
      <c r="AG1195" s="196">
        <f t="shared" ca="1" si="263"/>
        <v>0</v>
      </c>
      <c r="AI1195" s="196">
        <f>IFERROR($G1195/SUMIF($A:$A,$A1195,$G:$G)*SUMIF(Summary!$A$247:$A$283,$A1195,Summary!$P$247:$P$283),0)</f>
        <v>0</v>
      </c>
      <c r="AJ1195" s="196">
        <f>IFERROR($G1195/SUMIF($A:$A,$A1195,$G:$G)*(SUMIF(Summary!$A$247:$A$283,$A1195,Summary!$L$247:$L$283)+SUMIF(Summary!$A$297:$A$333,$A1195,Summary!$L$297:$L$333))-AI1195,0)</f>
        <v>0</v>
      </c>
      <c r="AK1195" s="196">
        <f>IFERROR($G1195/SUMIF($A:$A,$A1195,$G:$G)*SUMIF(Summary!$A$247:$A$283,$A1195,Summary!$Q$247:$Q$283),0)</f>
        <v>0</v>
      </c>
      <c r="AL1195" s="196">
        <f>IFERROR($G1195/SUMIF($A:$A,$A1195,$G:$G)*(SUMIF(Summary!$A$247:$A$283,$A1195,Summary!$L$247:$L$283)+SUMIF(Summary!$A$297:$A$333,$A1195,Summary!$L$297:$L$333))-AK1195,0)</f>
        <v>0</v>
      </c>
      <c r="AM1195" s="198"/>
      <c r="AN1195" s="196">
        <f t="shared" ca="1" si="264"/>
        <v>0</v>
      </c>
      <c r="AO1195" s="196">
        <f t="shared" ca="1" si="265"/>
        <v>0</v>
      </c>
    </row>
    <row r="1196" spans="1:41">
      <c r="A1196" s="189">
        <v>3630</v>
      </c>
      <c r="B1196" s="190">
        <v>2</v>
      </c>
      <c r="C1196" s="191" t="s">
        <v>235</v>
      </c>
      <c r="D1196" s="192">
        <f t="shared" si="252"/>
        <v>7281</v>
      </c>
      <c r="E1196" s="192">
        <f t="shared" si="253"/>
        <v>4143</v>
      </c>
      <c r="F1196" s="192">
        <f t="shared" si="254"/>
        <v>0</v>
      </c>
      <c r="G1196" s="193">
        <f t="shared" si="255"/>
        <v>11424</v>
      </c>
      <c r="H1196" s="194">
        <v>3414</v>
      </c>
      <c r="I1196" s="194">
        <v>1641</v>
      </c>
      <c r="J1196" s="194">
        <v>0</v>
      </c>
      <c r="K1196" s="193">
        <f t="shared" si="256"/>
        <v>5055</v>
      </c>
      <c r="L1196" s="194">
        <v>2985</v>
      </c>
      <c r="M1196" s="194">
        <v>2085</v>
      </c>
      <c r="N1196" s="194">
        <v>0</v>
      </c>
      <c r="O1196" s="193">
        <f t="shared" si="257"/>
        <v>5070</v>
      </c>
      <c r="P1196" s="194">
        <v>882</v>
      </c>
      <c r="Q1196" s="194">
        <v>417</v>
      </c>
      <c r="R1196" s="194">
        <v>0</v>
      </c>
      <c r="S1196" s="193">
        <f t="shared" si="258"/>
        <v>1299</v>
      </c>
      <c r="T1196" s="193">
        <f t="shared" si="259"/>
        <v>380.8</v>
      </c>
      <c r="U1196" s="193">
        <f ca="1">OFFSET('Expenditure Study'!$B$7,'Operations Support'!$C1196,'Operations Support'!$B1196)*$G1196</f>
        <v>21362.880000000001</v>
      </c>
      <c r="V1196" s="199">
        <f ca="1">U1196*'Expenditure Study'!$B$31</f>
        <v>1262186.9014487041</v>
      </c>
      <c r="W1196" s="199">
        <f ca="1">IF(A1196=10298,1.51,1)*IF($B1196&lt;3,$D1196*'Expenditure Study'!$B$32*OFFSET('Expenditure Study'!$B$7,'Operations Support'!$C1196,'Operations Support'!$B1196),0)</f>
        <v>1361.547</v>
      </c>
      <c r="X1196" s="200">
        <f ca="1">W1196*'Expenditure Study'!$B$31</f>
        <v>80444.527568697609</v>
      </c>
      <c r="Y1196" s="199">
        <f ca="1">U1196*'Expenditure Study'!$B$31</f>
        <v>1262186.9014487041</v>
      </c>
      <c r="Z1196" s="200">
        <f ca="1">W1196*'Expenditure Study'!$B$31</f>
        <v>80444.527568697609</v>
      </c>
      <c r="AA1196" s="195">
        <f t="shared" ca="1" si="260"/>
        <v>1342631.4290174018</v>
      </c>
      <c r="AB1196" s="195">
        <f t="shared" ca="1" si="261"/>
        <v>1342631.4290174018</v>
      </c>
      <c r="AD1196" s="196">
        <f>IFERROR($G1196/SUMIF($A:$A,$A1196,$G:$G)*SUMIF(Summary!$A$166:$A$242,$A1196,Summary!$P$166:$P$242),0)</f>
        <v>549424.42851184914</v>
      </c>
      <c r="AE1196" s="197">
        <f t="shared" ca="1" si="262"/>
        <v>793207.00050555263</v>
      </c>
      <c r="AF1196" s="196">
        <f>IFERROR(G1196/SUMIF(A:A,A1196,G:G)*SUMIF(Summary!$A$166:$A$242,'Operations Support'!A1196,Summary!$Q$166:$Q$242),0)</f>
        <v>552353.84935455059</v>
      </c>
      <c r="AG1196" s="196">
        <f t="shared" ca="1" si="263"/>
        <v>790277.57966285117</v>
      </c>
      <c r="AI1196" s="196">
        <f>IFERROR($G1196/SUMIF($A:$A,$A1196,$G:$G)*SUMIF(Summary!$A$247:$A$283,$A1196,Summary!$P$247:$P$283),0)</f>
        <v>100201.30502678093</v>
      </c>
      <c r="AJ1196" s="196">
        <f>IFERROR($G1196/SUMIF($A:$A,$A1196,$G:$G)*(SUMIF(Summary!$A$247:$A$283,$A1196,Summary!$L$247:$L$283)+SUMIF(Summary!$A$297:$A$333,$A1196,Summary!$L$297:$L$333))-AI1196,0)</f>
        <v>259902.21295900672</v>
      </c>
      <c r="AK1196" s="196">
        <f>IFERROR($G1196/SUMIF($A:$A,$A1196,$G:$G)*SUMIF(Summary!$A$247:$A$283,$A1196,Summary!$Q$247:$Q$283),0)</f>
        <v>100735.55828560743</v>
      </c>
      <c r="AL1196" s="196">
        <f>IFERROR($G1196/SUMIF($A:$A,$A1196,$G:$G)*(SUMIF(Summary!$A$247:$A$283,$A1196,Summary!$L$247:$L$283)+SUMIF(Summary!$A$297:$A$333,$A1196,Summary!$L$297:$L$333))-AK1196,0)</f>
        <v>259367.95970018022</v>
      </c>
      <c r="AM1196" s="198"/>
      <c r="AN1196" s="196">
        <f t="shared" ca="1" si="264"/>
        <v>1053109.2134645593</v>
      </c>
      <c r="AO1196" s="196">
        <f t="shared" ca="1" si="265"/>
        <v>1049645.5393630313</v>
      </c>
    </row>
    <row r="1197" spans="1:41">
      <c r="A1197" s="189">
        <v>3630</v>
      </c>
      <c r="B1197" s="190">
        <v>2</v>
      </c>
      <c r="C1197" s="191" t="s">
        <v>236</v>
      </c>
      <c r="D1197" s="192">
        <f t="shared" si="252"/>
        <v>0</v>
      </c>
      <c r="E1197" s="192">
        <f t="shared" si="253"/>
        <v>0</v>
      </c>
      <c r="F1197" s="192">
        <f t="shared" si="254"/>
        <v>0</v>
      </c>
      <c r="G1197" s="193">
        <f t="shared" si="255"/>
        <v>0</v>
      </c>
      <c r="H1197" s="194">
        <v>0</v>
      </c>
      <c r="I1197" s="194">
        <v>0</v>
      </c>
      <c r="J1197" s="194">
        <v>0</v>
      </c>
      <c r="K1197" s="193">
        <f t="shared" si="256"/>
        <v>0</v>
      </c>
      <c r="L1197" s="194">
        <v>0</v>
      </c>
      <c r="M1197" s="194">
        <v>0</v>
      </c>
      <c r="N1197" s="194">
        <v>0</v>
      </c>
      <c r="O1197" s="193">
        <f t="shared" si="257"/>
        <v>0</v>
      </c>
      <c r="P1197" s="194">
        <v>0</v>
      </c>
      <c r="Q1197" s="194">
        <v>0</v>
      </c>
      <c r="R1197" s="194">
        <v>0</v>
      </c>
      <c r="S1197" s="193">
        <f t="shared" si="258"/>
        <v>0</v>
      </c>
      <c r="T1197" s="193">
        <f t="shared" si="259"/>
        <v>0</v>
      </c>
      <c r="U1197" s="193">
        <f ca="1">OFFSET('Expenditure Study'!$B$7,'Operations Support'!$C1197,'Operations Support'!$B1197)*$G1197</f>
        <v>0</v>
      </c>
      <c r="V1197" s="199">
        <f ca="1">U1197*'Expenditure Study'!$B$31</f>
        <v>0</v>
      </c>
      <c r="W1197" s="199">
        <f ca="1">IF(A1197=10298,1.51,1)*IF($B1197&lt;3,$D1197*'Expenditure Study'!$B$32*OFFSET('Expenditure Study'!$B$7,'Operations Support'!$C1197,'Operations Support'!$B1197),0)</f>
        <v>0</v>
      </c>
      <c r="X1197" s="200">
        <f ca="1">W1197*'Expenditure Study'!$B$31</f>
        <v>0</v>
      </c>
      <c r="Y1197" s="199">
        <f ca="1">U1197*'Expenditure Study'!$B$31</f>
        <v>0</v>
      </c>
      <c r="Z1197" s="200">
        <f ca="1">W1197*'Expenditure Study'!$B$31</f>
        <v>0</v>
      </c>
      <c r="AA1197" s="195">
        <f t="shared" ca="1" si="260"/>
        <v>0</v>
      </c>
      <c r="AB1197" s="195">
        <f t="shared" ca="1" si="261"/>
        <v>0</v>
      </c>
      <c r="AD1197" s="196">
        <f>IFERROR($G1197/SUMIF($A:$A,$A1197,$G:$G)*SUMIF(Summary!$A$166:$A$242,$A1197,Summary!$P$166:$P$242),0)</f>
        <v>0</v>
      </c>
      <c r="AE1197" s="197">
        <f t="shared" ca="1" si="262"/>
        <v>0</v>
      </c>
      <c r="AF1197" s="196">
        <f>IFERROR(G1197/SUMIF(A:A,A1197,G:G)*SUMIF(Summary!$A$166:$A$242,'Operations Support'!A1197,Summary!$Q$166:$Q$242),0)</f>
        <v>0</v>
      </c>
      <c r="AG1197" s="196">
        <f t="shared" ca="1" si="263"/>
        <v>0</v>
      </c>
      <c r="AI1197" s="196">
        <f>IFERROR($G1197/SUMIF($A:$A,$A1197,$G:$G)*SUMIF(Summary!$A$247:$A$283,$A1197,Summary!$P$247:$P$283),0)</f>
        <v>0</v>
      </c>
      <c r="AJ1197" s="196">
        <f>IFERROR($G1197/SUMIF($A:$A,$A1197,$G:$G)*(SUMIF(Summary!$A$247:$A$283,$A1197,Summary!$L$247:$L$283)+SUMIF(Summary!$A$297:$A$333,$A1197,Summary!$L$297:$L$333))-AI1197,0)</f>
        <v>0</v>
      </c>
      <c r="AK1197" s="196">
        <f>IFERROR($G1197/SUMIF($A:$A,$A1197,$G:$G)*SUMIF(Summary!$A$247:$A$283,$A1197,Summary!$Q$247:$Q$283),0)</f>
        <v>0</v>
      </c>
      <c r="AL1197" s="196">
        <f>IFERROR($G1197/SUMIF($A:$A,$A1197,$G:$G)*(SUMIF(Summary!$A$247:$A$283,$A1197,Summary!$L$247:$L$283)+SUMIF(Summary!$A$297:$A$333,$A1197,Summary!$L$297:$L$333))-AK1197,0)</f>
        <v>0</v>
      </c>
      <c r="AM1197" s="198"/>
      <c r="AN1197" s="196">
        <f t="shared" ca="1" si="264"/>
        <v>0</v>
      </c>
      <c r="AO1197" s="196">
        <f t="shared" ca="1" si="265"/>
        <v>0</v>
      </c>
    </row>
    <row r="1198" spans="1:41">
      <c r="A1198" s="189">
        <v>3630</v>
      </c>
      <c r="B1198" s="190">
        <v>2</v>
      </c>
      <c r="C1198" s="191" t="s">
        <v>237</v>
      </c>
      <c r="D1198" s="192">
        <f t="shared" si="252"/>
        <v>9</v>
      </c>
      <c r="E1198" s="192">
        <f t="shared" si="253"/>
        <v>84</v>
      </c>
      <c r="F1198" s="192">
        <f t="shared" si="254"/>
        <v>0</v>
      </c>
      <c r="G1198" s="193">
        <f t="shared" si="255"/>
        <v>93</v>
      </c>
      <c r="H1198" s="194">
        <v>9</v>
      </c>
      <c r="I1198" s="194">
        <v>48</v>
      </c>
      <c r="J1198" s="194">
        <v>0</v>
      </c>
      <c r="K1198" s="193">
        <f t="shared" si="256"/>
        <v>57</v>
      </c>
      <c r="L1198" s="194">
        <v>0</v>
      </c>
      <c r="M1198" s="194">
        <v>36</v>
      </c>
      <c r="N1198" s="194">
        <v>0</v>
      </c>
      <c r="O1198" s="193">
        <f t="shared" si="257"/>
        <v>36</v>
      </c>
      <c r="P1198" s="194">
        <v>0</v>
      </c>
      <c r="Q1198" s="194">
        <v>0</v>
      </c>
      <c r="R1198" s="194">
        <v>0</v>
      </c>
      <c r="S1198" s="193">
        <f t="shared" si="258"/>
        <v>0</v>
      </c>
      <c r="T1198" s="193">
        <f t="shared" si="259"/>
        <v>3.1</v>
      </c>
      <c r="U1198" s="193">
        <f ca="1">OFFSET('Expenditure Study'!$B$7,'Operations Support'!$C1198,'Operations Support'!$B1198)*$G1198</f>
        <v>217.61999999999998</v>
      </c>
      <c r="V1198" s="199">
        <f ca="1">U1198*'Expenditure Study'!$B$31</f>
        <v>12857.681805695998</v>
      </c>
      <c r="W1198" s="199">
        <f ca="1">IF(A1198=10298,1.51,1)*IF($B1198&lt;3,$D1198*'Expenditure Study'!$B$32*OFFSET('Expenditure Study'!$B$7,'Operations Support'!$C1198,'Operations Support'!$B1198),0)</f>
        <v>2.1059999999999999</v>
      </c>
      <c r="X1198" s="200">
        <f ca="1">W1198*'Expenditure Study'!$B$31</f>
        <v>124.4291787648</v>
      </c>
      <c r="Y1198" s="199">
        <f ca="1">U1198*'Expenditure Study'!$B$31</f>
        <v>12857.681805695998</v>
      </c>
      <c r="Z1198" s="200">
        <f ca="1">W1198*'Expenditure Study'!$B$31</f>
        <v>124.4291787648</v>
      </c>
      <c r="AA1198" s="195">
        <f t="shared" ca="1" si="260"/>
        <v>12982.110984460798</v>
      </c>
      <c r="AB1198" s="195">
        <f t="shared" ca="1" si="261"/>
        <v>12982.110984460798</v>
      </c>
      <c r="AD1198" s="196">
        <f>IFERROR($G1198/SUMIF($A:$A,$A1198,$G:$G)*SUMIF(Summary!$A$166:$A$242,$A1198,Summary!$P$166:$P$242),0)</f>
        <v>4472.7303791668392</v>
      </c>
      <c r="AE1198" s="197">
        <f t="shared" ca="1" si="262"/>
        <v>8509.3806052939581</v>
      </c>
      <c r="AF1198" s="196">
        <f>IFERROR(G1198/SUMIF(A:A,A1198,G:G)*SUMIF(Summary!$A$166:$A$242,'Operations Support'!A1198,Summary!$Q$166:$Q$242),0)</f>
        <v>4496.5780803547977</v>
      </c>
      <c r="AG1198" s="196">
        <f t="shared" ca="1" si="263"/>
        <v>8485.5329041059995</v>
      </c>
      <c r="AI1198" s="196">
        <f>IFERROR($G1198/SUMIF($A:$A,$A1198,$G:$G)*SUMIF(Summary!$A$247:$A$283,$A1198,Summary!$P$247:$P$283),0)</f>
        <v>815.71440541759694</v>
      </c>
      <c r="AJ1198" s="196">
        <f>IFERROR($G1198/SUMIF($A:$A,$A1198,$G:$G)*(SUMIF(Summary!$A$247:$A$283,$A1198,Summary!$L$247:$L$283)+SUMIF(Summary!$A$297:$A$333,$A1198,Summary!$L$297:$L$333))-AI1198,0)</f>
        <v>2115.8005781851912</v>
      </c>
      <c r="AK1198" s="196">
        <f>IFERROR($G1198/SUMIF($A:$A,$A1198,$G:$G)*SUMIF(Summary!$A$247:$A$283,$A1198,Summary!$Q$247:$Q$283),0)</f>
        <v>820.06363100153112</v>
      </c>
      <c r="AL1198" s="196">
        <f>IFERROR($G1198/SUMIF($A:$A,$A1198,$G:$G)*(SUMIF(Summary!$A$247:$A$283,$A1198,Summary!$L$247:$L$283)+SUMIF(Summary!$A$297:$A$333,$A1198,Summary!$L$297:$L$333))-AK1198,0)</f>
        <v>2111.451352601257</v>
      </c>
      <c r="AM1198" s="198"/>
      <c r="AN1198" s="196">
        <f t="shared" ca="1" si="264"/>
        <v>10625.18118347915</v>
      </c>
      <c r="AO1198" s="196">
        <f t="shared" ca="1" si="265"/>
        <v>10596.984256707256</v>
      </c>
    </row>
    <row r="1199" spans="1:41">
      <c r="A1199" s="189">
        <v>3630</v>
      </c>
      <c r="B1199" s="190">
        <v>2</v>
      </c>
      <c r="C1199" s="191" t="s">
        <v>238</v>
      </c>
      <c r="D1199" s="192">
        <f t="shared" si="252"/>
        <v>1116</v>
      </c>
      <c r="E1199" s="192">
        <f t="shared" si="253"/>
        <v>513</v>
      </c>
      <c r="F1199" s="192">
        <f t="shared" si="254"/>
        <v>0</v>
      </c>
      <c r="G1199" s="193">
        <f t="shared" si="255"/>
        <v>1629</v>
      </c>
      <c r="H1199" s="194">
        <v>483</v>
      </c>
      <c r="I1199" s="194">
        <v>207</v>
      </c>
      <c r="J1199" s="194">
        <v>0</v>
      </c>
      <c r="K1199" s="193">
        <f t="shared" si="256"/>
        <v>690</v>
      </c>
      <c r="L1199" s="194">
        <v>444</v>
      </c>
      <c r="M1199" s="194">
        <v>306</v>
      </c>
      <c r="N1199" s="194">
        <v>0</v>
      </c>
      <c r="O1199" s="193">
        <f t="shared" si="257"/>
        <v>750</v>
      </c>
      <c r="P1199" s="194">
        <v>189</v>
      </c>
      <c r="Q1199" s="194">
        <v>0</v>
      </c>
      <c r="R1199" s="194">
        <v>0</v>
      </c>
      <c r="S1199" s="193">
        <f t="shared" si="258"/>
        <v>189</v>
      </c>
      <c r="T1199" s="193">
        <f t="shared" si="259"/>
        <v>54.3</v>
      </c>
      <c r="U1199" s="193">
        <f ca="1">OFFSET('Expenditure Study'!$B$7,'Operations Support'!$C1199,'Operations Support'!$B1199)*$G1199</f>
        <v>3909.6</v>
      </c>
      <c r="V1199" s="199">
        <f ca="1">U1199*'Expenditure Study'!$B$31</f>
        <v>230991.60365568</v>
      </c>
      <c r="W1199" s="199">
        <f ca="1">IF(A1199=10298,1.51,1)*IF($B1199&lt;3,$D1199*'Expenditure Study'!$B$32*OFFSET('Expenditure Study'!$B$7,'Operations Support'!$C1199,'Operations Support'!$B1199),0)</f>
        <v>267.84000000000003</v>
      </c>
      <c r="X1199" s="200">
        <f ca="1">W1199*'Expenditure Study'!$B$31</f>
        <v>15824.839145472002</v>
      </c>
      <c r="Y1199" s="199">
        <f ca="1">U1199*'Expenditure Study'!$B$31</f>
        <v>230991.60365568</v>
      </c>
      <c r="Z1199" s="200">
        <f ca="1">W1199*'Expenditure Study'!$B$31</f>
        <v>15824.839145472002</v>
      </c>
      <c r="AA1199" s="195">
        <f t="shared" ca="1" si="260"/>
        <v>246816.44280115201</v>
      </c>
      <c r="AB1199" s="195">
        <f t="shared" ca="1" si="261"/>
        <v>246816.44280115201</v>
      </c>
      <c r="AD1199" s="196">
        <f>IFERROR($G1199/SUMIF($A:$A,$A1199,$G:$G)*SUMIF(Summary!$A$166:$A$242,$A1199,Summary!$P$166:$P$242),0)</f>
        <v>78344.922447986901</v>
      </c>
      <c r="AE1199" s="197">
        <f t="shared" ca="1" si="262"/>
        <v>168471.52035316511</v>
      </c>
      <c r="AF1199" s="196">
        <f>IFERROR(G1199/SUMIF(A:A,A1199,G:G)*SUMIF(Summary!$A$166:$A$242,'Operations Support'!A1199,Summary!$Q$166:$Q$242),0)</f>
        <v>78762.64185911791</v>
      </c>
      <c r="AG1199" s="196">
        <f t="shared" ca="1" si="263"/>
        <v>168053.80094203411</v>
      </c>
      <c r="AI1199" s="196">
        <f>IFERROR($G1199/SUMIF($A:$A,$A1199,$G:$G)*SUMIF(Summary!$A$247:$A$283,$A1199,Summary!$P$247:$P$283),0)</f>
        <v>14288.158778766294</v>
      </c>
      <c r="AJ1199" s="196">
        <f>IFERROR($G1199/SUMIF($A:$A,$A1199,$G:$G)*(SUMIF(Summary!$A$247:$A$283,$A1199,Summary!$L$247:$L$283)+SUMIF(Summary!$A$297:$A$333,$A1199,Summary!$L$297:$L$333))-AI1199,0)</f>
        <v>37060.635934018028</v>
      </c>
      <c r="AK1199" s="196">
        <f>IFERROR($G1199/SUMIF($A:$A,$A1199,$G:$G)*SUMIF(Summary!$A$247:$A$283,$A1199,Summary!$Q$247:$Q$283),0)</f>
        <v>14364.340375284884</v>
      </c>
      <c r="AL1199" s="196">
        <f>IFERROR($G1199/SUMIF($A:$A,$A1199,$G:$G)*(SUMIF(Summary!$A$247:$A$283,$A1199,Summary!$L$247:$L$283)+SUMIF(Summary!$A$297:$A$333,$A1199,Summary!$L$297:$L$333))-AK1199,0)</f>
        <v>36984.454337499439</v>
      </c>
      <c r="AM1199" s="198"/>
      <c r="AN1199" s="196">
        <f t="shared" ca="1" si="264"/>
        <v>205532.15628718314</v>
      </c>
      <c r="AO1199" s="196">
        <f t="shared" ca="1" si="265"/>
        <v>205038.25527953357</v>
      </c>
    </row>
    <row r="1200" spans="1:41">
      <c r="A1200" s="189">
        <v>3630</v>
      </c>
      <c r="B1200" s="190">
        <v>2</v>
      </c>
      <c r="C1200" s="191" t="s">
        <v>239</v>
      </c>
      <c r="D1200" s="192">
        <f t="shared" si="252"/>
        <v>874</v>
      </c>
      <c r="E1200" s="192">
        <f t="shared" si="253"/>
        <v>6863</v>
      </c>
      <c r="F1200" s="192">
        <f t="shared" si="254"/>
        <v>0</v>
      </c>
      <c r="G1200" s="193">
        <f t="shared" si="255"/>
        <v>7737</v>
      </c>
      <c r="H1200" s="194">
        <v>342</v>
      </c>
      <c r="I1200" s="194">
        <v>3003</v>
      </c>
      <c r="J1200" s="194">
        <v>0</v>
      </c>
      <c r="K1200" s="193">
        <f t="shared" si="256"/>
        <v>3345</v>
      </c>
      <c r="L1200" s="194">
        <v>405</v>
      </c>
      <c r="M1200" s="194">
        <v>3244</v>
      </c>
      <c r="N1200" s="194">
        <v>0</v>
      </c>
      <c r="O1200" s="193">
        <f t="shared" si="257"/>
        <v>3649</v>
      </c>
      <c r="P1200" s="194">
        <v>127</v>
      </c>
      <c r="Q1200" s="194">
        <v>616</v>
      </c>
      <c r="R1200" s="194">
        <v>0</v>
      </c>
      <c r="S1200" s="193">
        <f t="shared" si="258"/>
        <v>743</v>
      </c>
      <c r="T1200" s="193">
        <f t="shared" si="259"/>
        <v>257.89999999999998</v>
      </c>
      <c r="U1200" s="193">
        <f ca="1">OFFSET('Expenditure Study'!$B$7,'Operations Support'!$C1200,'Operations Support'!$B1200)*$G1200</f>
        <v>16092.960000000001</v>
      </c>
      <c r="V1200" s="199">
        <f ca="1">U1200*'Expenditure Study'!$B$31</f>
        <v>950823.26528716809</v>
      </c>
      <c r="W1200" s="199">
        <f ca="1">IF(A1200=10298,1.51,1)*IF($B1200&lt;3,$D1200*'Expenditure Study'!$B$32*OFFSET('Expenditure Study'!$B$7,'Operations Support'!$C1200,'Operations Support'!$B1200),0)</f>
        <v>181.79200000000003</v>
      </c>
      <c r="X1200" s="200">
        <f ca="1">W1200*'Expenditure Study'!$B$31</f>
        <v>10740.849603993602</v>
      </c>
      <c r="Y1200" s="199">
        <f ca="1">U1200*'Expenditure Study'!$B$31</f>
        <v>950823.26528716809</v>
      </c>
      <c r="Z1200" s="200">
        <f ca="1">W1200*'Expenditure Study'!$B$31</f>
        <v>10740.849603993602</v>
      </c>
      <c r="AA1200" s="195">
        <f t="shared" ca="1" si="260"/>
        <v>961564.11489116168</v>
      </c>
      <c r="AB1200" s="195">
        <f t="shared" ca="1" si="261"/>
        <v>961564.11489116168</v>
      </c>
      <c r="AD1200" s="196">
        <f>IFERROR($G1200/SUMIF($A:$A,$A1200,$G:$G)*SUMIF(Summary!$A$166:$A$242,$A1200,Summary!$P$166:$P$242),0)</f>
        <v>372102.31122165418</v>
      </c>
      <c r="AE1200" s="197">
        <f t="shared" ca="1" si="262"/>
        <v>589461.8036695075</v>
      </c>
      <c r="AF1200" s="196">
        <f>IFERROR(G1200/SUMIF(A:A,A1200,G:G)*SUMIF(Summary!$A$166:$A$242,'Operations Support'!A1200,Summary!$Q$166:$Q$242),0)</f>
        <v>374086.28610435565</v>
      </c>
      <c r="AG1200" s="196">
        <f t="shared" ca="1" si="263"/>
        <v>587477.82878680597</v>
      </c>
      <c r="AI1200" s="196">
        <f>IFERROR($G1200/SUMIF($A:$A,$A1200,$G:$G)*SUMIF(Summary!$A$247:$A$283,$A1200,Summary!$P$247:$P$283),0)</f>
        <v>67862.175857160735</v>
      </c>
      <c r="AJ1200" s="196">
        <f>IFERROR($G1200/SUMIF($A:$A,$A1200,$G:$G)*(SUMIF(Summary!$A$247:$A$283,$A1200,Summary!$L$247:$L$283)+SUMIF(Summary!$A$297:$A$333,$A1200,Summary!$L$297:$L$333))-AI1200,0)</f>
        <v>176020.95777869705</v>
      </c>
      <c r="AK1200" s="196">
        <f>IFERROR($G1200/SUMIF($A:$A,$A1200,$G:$G)*SUMIF(Summary!$A$247:$A$283,$A1200,Summary!$Q$247:$Q$283),0)</f>
        <v>68224.003366224162</v>
      </c>
      <c r="AL1200" s="196">
        <f>IFERROR($G1200/SUMIF($A:$A,$A1200,$G:$G)*(SUMIF(Summary!$A$247:$A$283,$A1200,Summary!$L$247:$L$283)+SUMIF(Summary!$A$297:$A$333,$A1200,Summary!$L$297:$L$333))-AK1200,0)</f>
        <v>175659.13026963361</v>
      </c>
      <c r="AM1200" s="198"/>
      <c r="AN1200" s="196">
        <f t="shared" ca="1" si="264"/>
        <v>765482.76144820452</v>
      </c>
      <c r="AO1200" s="196">
        <f t="shared" ca="1" si="265"/>
        <v>763136.95905643958</v>
      </c>
    </row>
    <row r="1201" spans="1:41">
      <c r="A1201" s="189">
        <v>3630</v>
      </c>
      <c r="B1201" s="190">
        <v>2</v>
      </c>
      <c r="C1201" s="191" t="s">
        <v>240</v>
      </c>
      <c r="D1201" s="192">
        <f t="shared" si="252"/>
        <v>0</v>
      </c>
      <c r="E1201" s="192">
        <f t="shared" si="253"/>
        <v>0</v>
      </c>
      <c r="F1201" s="192">
        <f t="shared" si="254"/>
        <v>0</v>
      </c>
      <c r="G1201" s="193">
        <f t="shared" si="255"/>
        <v>0</v>
      </c>
      <c r="H1201" s="194">
        <v>0</v>
      </c>
      <c r="I1201" s="194">
        <v>0</v>
      </c>
      <c r="J1201" s="194">
        <v>0</v>
      </c>
      <c r="K1201" s="193">
        <f t="shared" si="256"/>
        <v>0</v>
      </c>
      <c r="L1201" s="194">
        <v>0</v>
      </c>
      <c r="M1201" s="194">
        <v>0</v>
      </c>
      <c r="N1201" s="194">
        <v>0</v>
      </c>
      <c r="O1201" s="193">
        <f t="shared" si="257"/>
        <v>0</v>
      </c>
      <c r="P1201" s="194">
        <v>0</v>
      </c>
      <c r="Q1201" s="194">
        <v>0</v>
      </c>
      <c r="R1201" s="194">
        <v>0</v>
      </c>
      <c r="S1201" s="193">
        <f t="shared" si="258"/>
        <v>0</v>
      </c>
      <c r="T1201" s="193">
        <f t="shared" si="259"/>
        <v>0</v>
      </c>
      <c r="U1201" s="193">
        <f ca="1">OFFSET('Expenditure Study'!$B$7,'Operations Support'!$C1201,'Operations Support'!$B1201)*$G1201</f>
        <v>0</v>
      </c>
      <c r="V1201" s="199">
        <f ca="1">U1201*'Expenditure Study'!$B$31</f>
        <v>0</v>
      </c>
      <c r="W1201" s="199">
        <f ca="1">IF(A1201=10298,1.51,1)*IF($B1201&lt;3,$D1201*'Expenditure Study'!$B$32*OFFSET('Expenditure Study'!$B$7,'Operations Support'!$C1201,'Operations Support'!$B1201),0)</f>
        <v>0</v>
      </c>
      <c r="X1201" s="200">
        <f ca="1">W1201*'Expenditure Study'!$B$31</f>
        <v>0</v>
      </c>
      <c r="Y1201" s="199">
        <f ca="1">U1201*'Expenditure Study'!$B$31</f>
        <v>0</v>
      </c>
      <c r="Z1201" s="200">
        <f ca="1">W1201*'Expenditure Study'!$B$31</f>
        <v>0</v>
      </c>
      <c r="AA1201" s="195">
        <f t="shared" ca="1" si="260"/>
        <v>0</v>
      </c>
      <c r="AB1201" s="195">
        <f t="shared" ca="1" si="261"/>
        <v>0</v>
      </c>
      <c r="AD1201" s="196">
        <f>IFERROR($G1201/SUMIF($A:$A,$A1201,$G:$G)*SUMIF(Summary!$A$166:$A$242,$A1201,Summary!$P$166:$P$242),0)</f>
        <v>0</v>
      </c>
      <c r="AE1201" s="197">
        <f t="shared" ca="1" si="262"/>
        <v>0</v>
      </c>
      <c r="AF1201" s="196">
        <f>IFERROR(G1201/SUMIF(A:A,A1201,G:G)*SUMIF(Summary!$A$166:$A$242,'Operations Support'!A1201,Summary!$Q$166:$Q$242),0)</f>
        <v>0</v>
      </c>
      <c r="AG1201" s="196">
        <f t="shared" ca="1" si="263"/>
        <v>0</v>
      </c>
      <c r="AI1201" s="196">
        <f>IFERROR($G1201/SUMIF($A:$A,$A1201,$G:$G)*SUMIF(Summary!$A$247:$A$283,$A1201,Summary!$P$247:$P$283),0)</f>
        <v>0</v>
      </c>
      <c r="AJ1201" s="196">
        <f>IFERROR($G1201/SUMIF($A:$A,$A1201,$G:$G)*(SUMIF(Summary!$A$247:$A$283,$A1201,Summary!$L$247:$L$283)+SUMIF(Summary!$A$297:$A$333,$A1201,Summary!$L$297:$L$333))-AI1201,0)</f>
        <v>0</v>
      </c>
      <c r="AK1201" s="196">
        <f>IFERROR($G1201/SUMIF($A:$A,$A1201,$G:$G)*SUMIF(Summary!$A$247:$A$283,$A1201,Summary!$Q$247:$Q$283),0)</f>
        <v>0</v>
      </c>
      <c r="AL1201" s="196">
        <f>IFERROR($G1201/SUMIF($A:$A,$A1201,$G:$G)*(SUMIF(Summary!$A$247:$A$283,$A1201,Summary!$L$247:$L$283)+SUMIF(Summary!$A$297:$A$333,$A1201,Summary!$L$297:$L$333))-AK1201,0)</f>
        <v>0</v>
      </c>
      <c r="AM1201" s="198"/>
      <c r="AN1201" s="196">
        <f t="shared" ca="1" si="264"/>
        <v>0</v>
      </c>
      <c r="AO1201" s="196">
        <f t="shared" ca="1" si="265"/>
        <v>0</v>
      </c>
    </row>
    <row r="1202" spans="1:41" s="201" customFormat="1">
      <c r="A1202" s="189">
        <v>3630</v>
      </c>
      <c r="B1202" s="190">
        <v>3</v>
      </c>
      <c r="C1202" s="191" t="s">
        <v>220</v>
      </c>
      <c r="D1202" s="192">
        <f t="shared" si="252"/>
        <v>1542</v>
      </c>
      <c r="E1202" s="192">
        <f t="shared" si="253"/>
        <v>156</v>
      </c>
      <c r="F1202" s="192">
        <f t="shared" si="254"/>
        <v>0</v>
      </c>
      <c r="G1202" s="193">
        <f t="shared" si="255"/>
        <v>1698</v>
      </c>
      <c r="H1202" s="194">
        <v>621</v>
      </c>
      <c r="I1202" s="194">
        <v>63</v>
      </c>
      <c r="J1202" s="194">
        <v>0</v>
      </c>
      <c r="K1202" s="193">
        <f t="shared" si="256"/>
        <v>684</v>
      </c>
      <c r="L1202" s="194">
        <v>531</v>
      </c>
      <c r="M1202" s="194">
        <v>30</v>
      </c>
      <c r="N1202" s="194">
        <v>0</v>
      </c>
      <c r="O1202" s="193">
        <f t="shared" si="257"/>
        <v>561</v>
      </c>
      <c r="P1202" s="194">
        <v>390</v>
      </c>
      <c r="Q1202" s="194">
        <v>63</v>
      </c>
      <c r="R1202" s="194">
        <v>0</v>
      </c>
      <c r="S1202" s="193">
        <f t="shared" si="258"/>
        <v>453</v>
      </c>
      <c r="T1202" s="193">
        <f t="shared" si="259"/>
        <v>70.75</v>
      </c>
      <c r="U1202" s="193">
        <f ca="1">OFFSET('Expenditure Study'!$B$7,'Operations Support'!$C1202,'Operations Support'!$B1202)*$G1202</f>
        <v>7573.08</v>
      </c>
      <c r="V1202" s="199">
        <f ca="1">U1202*'Expenditure Study'!$B$31</f>
        <v>447441.65485286398</v>
      </c>
      <c r="W1202" s="199">
        <f ca="1">IF(A1202=10298,1.51,1)*IF($B1202&lt;3,$D1202*'Expenditure Study'!$B$32*OFFSET('Expenditure Study'!$B$7,'Operations Support'!$C1202,'Operations Support'!$B1202),0)</f>
        <v>0</v>
      </c>
      <c r="X1202" s="200">
        <f ca="1">W1202*'Expenditure Study'!$B$31</f>
        <v>0</v>
      </c>
      <c r="Y1202" s="199">
        <f ca="1">U1202*'Expenditure Study'!$B$31</f>
        <v>447441.65485286398</v>
      </c>
      <c r="Z1202" s="200">
        <f ca="1">W1202*'Expenditure Study'!$B$31</f>
        <v>0</v>
      </c>
      <c r="AA1202" s="195">
        <f t="shared" ca="1" si="260"/>
        <v>447441.65485286398</v>
      </c>
      <c r="AB1202" s="195">
        <f t="shared" ca="1" si="261"/>
        <v>447441.65485286398</v>
      </c>
      <c r="AD1202" s="196">
        <f>IFERROR($G1202/SUMIF($A:$A,$A1202,$G:$G)*SUMIF(Summary!$A$166:$A$242,$A1202,Summary!$P$166:$P$242),0)</f>
        <v>81663.399826078414</v>
      </c>
      <c r="AE1202" s="197">
        <f t="shared" ca="1" si="262"/>
        <v>365778.25502678554</v>
      </c>
      <c r="AF1202" s="196">
        <f>IFERROR(G1202/SUMIF(A:A,A1202,G:G)*SUMIF(Summary!$A$166:$A$242,'Operations Support'!A1202,Summary!$Q$166:$Q$242),0)</f>
        <v>82098.812692929525</v>
      </c>
      <c r="AG1202" s="196">
        <f t="shared" ca="1" si="263"/>
        <v>365342.84215993446</v>
      </c>
      <c r="AH1202" s="180"/>
      <c r="AI1202" s="196">
        <f>IFERROR($G1202/SUMIF($A:$A,$A1202,$G:$G)*SUMIF(Summary!$A$247:$A$283,$A1202,Summary!$P$247:$P$283),0)</f>
        <v>14893.366240850317</v>
      </c>
      <c r="AJ1202" s="196">
        <f>IFERROR($G1202/SUMIF($A:$A,$A1202,$G:$G)*(SUMIF(Summary!$A$247:$A$283,$A1202,Summary!$L$247:$L$283)+SUMIF(Summary!$A$297:$A$333,$A1202,Summary!$L$297:$L$333))-AI1202,0)</f>
        <v>38630.423459768332</v>
      </c>
      <c r="AK1202" s="196">
        <f>IFERROR($G1202/SUMIF($A:$A,$A1202,$G:$G)*SUMIF(Summary!$A$247:$A$283,$A1202,Summary!$Q$247:$Q$283),0)</f>
        <v>14972.774682156987</v>
      </c>
      <c r="AL1202" s="196">
        <f>IFERROR($G1202/SUMIF($A:$A,$A1202,$G:$G)*(SUMIF(Summary!$A$247:$A$283,$A1202,Summary!$L$247:$L$283)+SUMIF(Summary!$A$297:$A$333,$A1202,Summary!$L$297:$L$333))-AK1202,0)</f>
        <v>38551.015018461658</v>
      </c>
      <c r="AM1202" s="198"/>
      <c r="AN1202" s="196">
        <f t="shared" ca="1" si="264"/>
        <v>404408.67848655389</v>
      </c>
      <c r="AO1202" s="196">
        <f t="shared" ca="1" si="265"/>
        <v>403893.85717839614</v>
      </c>
    </row>
    <row r="1203" spans="1:41">
      <c r="A1203" s="189">
        <v>3630</v>
      </c>
      <c r="B1203" s="190">
        <v>3</v>
      </c>
      <c r="C1203" s="191" t="s">
        <v>221</v>
      </c>
      <c r="D1203" s="192">
        <f t="shared" si="252"/>
        <v>266</v>
      </c>
      <c r="E1203" s="192">
        <f t="shared" si="253"/>
        <v>0</v>
      </c>
      <c r="F1203" s="192">
        <f t="shared" si="254"/>
        <v>0</v>
      </c>
      <c r="G1203" s="193">
        <f t="shared" si="255"/>
        <v>266</v>
      </c>
      <c r="H1203" s="194">
        <v>203</v>
      </c>
      <c r="I1203" s="194">
        <v>0</v>
      </c>
      <c r="J1203" s="194">
        <v>0</v>
      </c>
      <c r="K1203" s="193">
        <f t="shared" si="256"/>
        <v>203</v>
      </c>
      <c r="L1203" s="194">
        <v>45</v>
      </c>
      <c r="M1203" s="194">
        <v>0</v>
      </c>
      <c r="N1203" s="194">
        <v>0</v>
      </c>
      <c r="O1203" s="193">
        <f t="shared" si="257"/>
        <v>45</v>
      </c>
      <c r="P1203" s="194">
        <v>18</v>
      </c>
      <c r="Q1203" s="194">
        <v>0</v>
      </c>
      <c r="R1203" s="194">
        <v>0</v>
      </c>
      <c r="S1203" s="193">
        <f t="shared" si="258"/>
        <v>18</v>
      </c>
      <c r="T1203" s="193">
        <f t="shared" si="259"/>
        <v>11.083333333333334</v>
      </c>
      <c r="U1203" s="193">
        <f ca="1">OFFSET('Expenditure Study'!$B$7,'Operations Support'!$C1203,'Operations Support'!$B1203)*$G1203</f>
        <v>1862</v>
      </c>
      <c r="V1203" s="199">
        <f ca="1">U1203*'Expenditure Study'!$B$31</f>
        <v>110012.8826496</v>
      </c>
      <c r="W1203" s="199">
        <f ca="1">IF(A1203=10298,1.51,1)*IF($B1203&lt;3,$D1203*'Expenditure Study'!$B$32*OFFSET('Expenditure Study'!$B$7,'Operations Support'!$C1203,'Operations Support'!$B1203),0)</f>
        <v>0</v>
      </c>
      <c r="X1203" s="200">
        <f ca="1">W1203*'Expenditure Study'!$B$31</f>
        <v>0</v>
      </c>
      <c r="Y1203" s="199">
        <f ca="1">U1203*'Expenditure Study'!$B$31</f>
        <v>110012.8826496</v>
      </c>
      <c r="Z1203" s="200">
        <f ca="1">W1203*'Expenditure Study'!$B$31</f>
        <v>0</v>
      </c>
      <c r="AA1203" s="195">
        <f t="shared" ca="1" si="260"/>
        <v>110012.8826496</v>
      </c>
      <c r="AB1203" s="195">
        <f t="shared" ca="1" si="261"/>
        <v>110012.8826496</v>
      </c>
      <c r="AD1203" s="196">
        <f>IFERROR($G1203/SUMIF($A:$A,$A1203,$G:$G)*SUMIF(Summary!$A$166:$A$242,$A1203,Summary!$P$166:$P$242),0)</f>
        <v>12792.970761918055</v>
      </c>
      <c r="AE1203" s="197">
        <f t="shared" ca="1" si="262"/>
        <v>97219.911887681941</v>
      </c>
      <c r="AF1203" s="196">
        <f>IFERROR(G1203/SUMIF(A:A,A1203,G:G)*SUMIF(Summary!$A$166:$A$242,'Operations Support'!A1203,Summary!$Q$166:$Q$242),0)</f>
        <v>12861.180315853506</v>
      </c>
      <c r="AG1203" s="196">
        <f t="shared" ca="1" si="263"/>
        <v>97151.702333746493</v>
      </c>
      <c r="AI1203" s="196">
        <f>IFERROR($G1203/SUMIF($A:$A,$A1203,$G:$G)*SUMIF(Summary!$A$247:$A$283,$A1203,Summary!$P$247:$P$283),0)</f>
        <v>2333.1186219471051</v>
      </c>
      <c r="AJ1203" s="196">
        <f>IFERROR($G1203/SUMIF($A:$A,$A1203,$G:$G)*(SUMIF(Summary!$A$247:$A$283,$A1203,Summary!$L$247:$L$283)+SUMIF(Summary!$A$297:$A$333,$A1203,Summary!$L$297:$L$333))-AI1203,0)</f>
        <v>6051.6446644866737</v>
      </c>
      <c r="AK1203" s="196">
        <f>IFERROR($G1203/SUMIF($A:$A,$A1203,$G:$G)*SUMIF(Summary!$A$247:$A$283,$A1203,Summary!$Q$247:$Q$283),0)</f>
        <v>2345.5583424344868</v>
      </c>
      <c r="AL1203" s="196">
        <f>IFERROR($G1203/SUMIF($A:$A,$A1203,$G:$G)*(SUMIF(Summary!$A$247:$A$283,$A1203,Summary!$L$247:$L$283)+SUMIF(Summary!$A$297:$A$333,$A1203,Summary!$L$297:$L$333))-AK1203,0)</f>
        <v>6039.2049439992925</v>
      </c>
      <c r="AM1203" s="198"/>
      <c r="AN1203" s="196">
        <f t="shared" ca="1" si="264"/>
        <v>103271.55655216862</v>
      </c>
      <c r="AO1203" s="196">
        <f t="shared" ca="1" si="265"/>
        <v>103190.90727774579</v>
      </c>
    </row>
    <row r="1204" spans="1:41">
      <c r="A1204" s="189">
        <v>3630</v>
      </c>
      <c r="B1204" s="190">
        <v>3</v>
      </c>
      <c r="C1204" s="191" t="s">
        <v>222</v>
      </c>
      <c r="D1204" s="192">
        <f t="shared" si="252"/>
        <v>0</v>
      </c>
      <c r="E1204" s="192">
        <f t="shared" si="253"/>
        <v>0</v>
      </c>
      <c r="F1204" s="192">
        <f t="shared" si="254"/>
        <v>0</v>
      </c>
      <c r="G1204" s="193">
        <f t="shared" si="255"/>
        <v>0</v>
      </c>
      <c r="H1204" s="194">
        <v>0</v>
      </c>
      <c r="I1204" s="194">
        <v>0</v>
      </c>
      <c r="J1204" s="194">
        <v>0</v>
      </c>
      <c r="K1204" s="193">
        <f t="shared" si="256"/>
        <v>0</v>
      </c>
      <c r="L1204" s="194">
        <v>0</v>
      </c>
      <c r="M1204" s="194">
        <v>0</v>
      </c>
      <c r="N1204" s="194">
        <v>0</v>
      </c>
      <c r="O1204" s="193">
        <f t="shared" si="257"/>
        <v>0</v>
      </c>
      <c r="P1204" s="194">
        <v>0</v>
      </c>
      <c r="Q1204" s="194">
        <v>0</v>
      </c>
      <c r="R1204" s="194">
        <v>0</v>
      </c>
      <c r="S1204" s="193">
        <f t="shared" si="258"/>
        <v>0</v>
      </c>
      <c r="T1204" s="193">
        <f t="shared" si="259"/>
        <v>0</v>
      </c>
      <c r="U1204" s="193">
        <f ca="1">OFFSET('Expenditure Study'!$B$7,'Operations Support'!$C1204,'Operations Support'!$B1204)*$G1204</f>
        <v>0</v>
      </c>
      <c r="V1204" s="199">
        <f ca="1">U1204*'Expenditure Study'!$B$31</f>
        <v>0</v>
      </c>
      <c r="W1204" s="199">
        <f ca="1">IF(A1204=10298,1.51,1)*IF($B1204&lt;3,$D1204*'Expenditure Study'!$B$32*OFFSET('Expenditure Study'!$B$7,'Operations Support'!$C1204,'Operations Support'!$B1204),0)</f>
        <v>0</v>
      </c>
      <c r="X1204" s="200">
        <f ca="1">W1204*'Expenditure Study'!$B$31</f>
        <v>0</v>
      </c>
      <c r="Y1204" s="199">
        <f ca="1">U1204*'Expenditure Study'!$B$31</f>
        <v>0</v>
      </c>
      <c r="Z1204" s="200">
        <f ca="1">W1204*'Expenditure Study'!$B$31</f>
        <v>0</v>
      </c>
      <c r="AA1204" s="195">
        <f t="shared" ca="1" si="260"/>
        <v>0</v>
      </c>
      <c r="AB1204" s="195">
        <f t="shared" ca="1" si="261"/>
        <v>0</v>
      </c>
      <c r="AD1204" s="196">
        <f>IFERROR($G1204/SUMIF($A:$A,$A1204,$G:$G)*SUMIF(Summary!$A$166:$A$242,$A1204,Summary!$P$166:$P$242),0)</f>
        <v>0</v>
      </c>
      <c r="AE1204" s="197">
        <f t="shared" ca="1" si="262"/>
        <v>0</v>
      </c>
      <c r="AF1204" s="196">
        <f>IFERROR(G1204/SUMIF(A:A,A1204,G:G)*SUMIF(Summary!$A$166:$A$242,'Operations Support'!A1204,Summary!$Q$166:$Q$242),0)</f>
        <v>0</v>
      </c>
      <c r="AG1204" s="196">
        <f t="shared" ca="1" si="263"/>
        <v>0</v>
      </c>
      <c r="AI1204" s="196">
        <f>IFERROR($G1204/SUMIF($A:$A,$A1204,$G:$G)*SUMIF(Summary!$A$247:$A$283,$A1204,Summary!$P$247:$P$283),0)</f>
        <v>0</v>
      </c>
      <c r="AJ1204" s="196">
        <f>IFERROR($G1204/SUMIF($A:$A,$A1204,$G:$G)*(SUMIF(Summary!$A$247:$A$283,$A1204,Summary!$L$247:$L$283)+SUMIF(Summary!$A$297:$A$333,$A1204,Summary!$L$297:$L$333))-AI1204,0)</f>
        <v>0</v>
      </c>
      <c r="AK1204" s="196">
        <f>IFERROR($G1204/SUMIF($A:$A,$A1204,$G:$G)*SUMIF(Summary!$A$247:$A$283,$A1204,Summary!$Q$247:$Q$283),0)</f>
        <v>0</v>
      </c>
      <c r="AL1204" s="196">
        <f>IFERROR($G1204/SUMIF($A:$A,$A1204,$G:$G)*(SUMIF(Summary!$A$247:$A$283,$A1204,Summary!$L$247:$L$283)+SUMIF(Summary!$A$297:$A$333,$A1204,Summary!$L$297:$L$333))-AK1204,0)</f>
        <v>0</v>
      </c>
      <c r="AM1204" s="198"/>
      <c r="AN1204" s="196">
        <f t="shared" ca="1" si="264"/>
        <v>0</v>
      </c>
      <c r="AO1204" s="196">
        <f t="shared" ca="1" si="265"/>
        <v>0</v>
      </c>
    </row>
    <row r="1205" spans="1:41">
      <c r="A1205" s="189">
        <v>3630</v>
      </c>
      <c r="B1205" s="190">
        <v>3</v>
      </c>
      <c r="C1205" s="191" t="s">
        <v>223</v>
      </c>
      <c r="D1205" s="192">
        <f t="shared" si="252"/>
        <v>1365</v>
      </c>
      <c r="E1205" s="192">
        <f t="shared" si="253"/>
        <v>1488</v>
      </c>
      <c r="F1205" s="192">
        <f t="shared" si="254"/>
        <v>0</v>
      </c>
      <c r="G1205" s="193">
        <f t="shared" si="255"/>
        <v>2853</v>
      </c>
      <c r="H1205" s="194">
        <v>603</v>
      </c>
      <c r="I1205" s="194">
        <v>765</v>
      </c>
      <c r="J1205" s="194">
        <v>0</v>
      </c>
      <c r="K1205" s="193">
        <f t="shared" si="256"/>
        <v>1368</v>
      </c>
      <c r="L1205" s="194">
        <v>387</v>
      </c>
      <c r="M1205" s="194">
        <v>621</v>
      </c>
      <c r="N1205" s="194">
        <v>0</v>
      </c>
      <c r="O1205" s="193">
        <f t="shared" si="257"/>
        <v>1008</v>
      </c>
      <c r="P1205" s="194">
        <v>375</v>
      </c>
      <c r="Q1205" s="194">
        <v>102</v>
      </c>
      <c r="R1205" s="194">
        <v>0</v>
      </c>
      <c r="S1205" s="193">
        <f t="shared" si="258"/>
        <v>477</v>
      </c>
      <c r="T1205" s="193">
        <f t="shared" si="259"/>
        <v>118.875</v>
      </c>
      <c r="U1205" s="193">
        <f ca="1">OFFSET('Expenditure Study'!$B$7,'Operations Support'!$C1205,'Operations Support'!$B1205)*$G1205</f>
        <v>6390.72</v>
      </c>
      <c r="V1205" s="199">
        <f ca="1">U1205*'Expenditure Study'!$B$31</f>
        <v>377584.06520217605</v>
      </c>
      <c r="W1205" s="199">
        <f ca="1">IF(A1205=10298,1.51,1)*IF($B1205&lt;3,$D1205*'Expenditure Study'!$B$32*OFFSET('Expenditure Study'!$B$7,'Operations Support'!$C1205,'Operations Support'!$B1205),0)</f>
        <v>0</v>
      </c>
      <c r="X1205" s="200">
        <f ca="1">W1205*'Expenditure Study'!$B$31</f>
        <v>0</v>
      </c>
      <c r="Y1205" s="199">
        <f ca="1">U1205*'Expenditure Study'!$B$31</f>
        <v>377584.06520217605</v>
      </c>
      <c r="Z1205" s="200">
        <f ca="1">W1205*'Expenditure Study'!$B$31</f>
        <v>0</v>
      </c>
      <c r="AA1205" s="195">
        <f t="shared" ca="1" si="260"/>
        <v>377584.06520217605</v>
      </c>
      <c r="AB1205" s="195">
        <f t="shared" ca="1" si="261"/>
        <v>377584.06520217605</v>
      </c>
      <c r="AD1205" s="196">
        <f>IFERROR($G1205/SUMIF($A:$A,$A1205,$G:$G)*SUMIF(Summary!$A$166:$A$242,$A1205,Summary!$P$166:$P$242),0)</f>
        <v>137211.82550282788</v>
      </c>
      <c r="AE1205" s="197">
        <f t="shared" ca="1" si="262"/>
        <v>240372.23969934817</v>
      </c>
      <c r="AF1205" s="196">
        <f>IFERROR(G1205/SUMIF(A:A,A1205,G:G)*SUMIF(Summary!$A$166:$A$242,'Operations Support'!A1205,Summary!$Q$166:$Q$242),0)</f>
        <v>137943.41143281976</v>
      </c>
      <c r="AG1205" s="196">
        <f t="shared" ca="1" si="263"/>
        <v>239640.65376935629</v>
      </c>
      <c r="AI1205" s="196">
        <f>IFERROR($G1205/SUMIF($A:$A,$A1205,$G:$G)*SUMIF(Summary!$A$247:$A$283,$A1205,Summary!$P$247:$P$283),0)</f>
        <v>25024.012888778539</v>
      </c>
      <c r="AJ1205" s="196">
        <f>IFERROR($G1205/SUMIF($A:$A,$A1205,$G:$G)*(SUMIF(Summary!$A$247:$A$283,$A1205,Summary!$L$247:$L$283)+SUMIF(Summary!$A$297:$A$333,$A1205,Summary!$L$297:$L$333))-AI1205,0)</f>
        <v>64907.301608197318</v>
      </c>
      <c r="AK1205" s="196">
        <f>IFERROR($G1205/SUMIF($A:$A,$A1205,$G:$G)*SUMIF(Summary!$A$247:$A$283,$A1205,Summary!$Q$247:$Q$283),0)</f>
        <v>25157.435905885683</v>
      </c>
      <c r="AL1205" s="196">
        <f>IFERROR($G1205/SUMIF($A:$A,$A1205,$G:$G)*(SUMIF(Summary!$A$247:$A$283,$A1205,Summary!$L$247:$L$283)+SUMIF(Summary!$A$297:$A$333,$A1205,Summary!$L$297:$L$333))-AK1205,0)</f>
        <v>64773.878591090179</v>
      </c>
      <c r="AM1205" s="198"/>
      <c r="AN1205" s="196">
        <f t="shared" ca="1" si="264"/>
        <v>305279.5413075455</v>
      </c>
      <c r="AO1205" s="196">
        <f t="shared" ca="1" si="265"/>
        <v>304414.53236044646</v>
      </c>
    </row>
    <row r="1206" spans="1:41">
      <c r="A1206" s="189">
        <v>3630</v>
      </c>
      <c r="B1206" s="190">
        <v>3</v>
      </c>
      <c r="C1206" s="191" t="s">
        <v>224</v>
      </c>
      <c r="D1206" s="192">
        <f t="shared" si="252"/>
        <v>0</v>
      </c>
      <c r="E1206" s="192">
        <f t="shared" si="253"/>
        <v>0</v>
      </c>
      <c r="F1206" s="192">
        <f t="shared" si="254"/>
        <v>0</v>
      </c>
      <c r="G1206" s="193">
        <f t="shared" si="255"/>
        <v>0</v>
      </c>
      <c r="H1206" s="194">
        <v>0</v>
      </c>
      <c r="I1206" s="194">
        <v>0</v>
      </c>
      <c r="J1206" s="194">
        <v>0</v>
      </c>
      <c r="K1206" s="193">
        <f t="shared" si="256"/>
        <v>0</v>
      </c>
      <c r="L1206" s="194">
        <v>0</v>
      </c>
      <c r="M1206" s="194">
        <v>0</v>
      </c>
      <c r="N1206" s="194">
        <v>0</v>
      </c>
      <c r="O1206" s="193">
        <f t="shared" si="257"/>
        <v>0</v>
      </c>
      <c r="P1206" s="194">
        <v>0</v>
      </c>
      <c r="Q1206" s="194">
        <v>0</v>
      </c>
      <c r="R1206" s="194">
        <v>0</v>
      </c>
      <c r="S1206" s="193">
        <f t="shared" si="258"/>
        <v>0</v>
      </c>
      <c r="T1206" s="193">
        <f t="shared" si="259"/>
        <v>0</v>
      </c>
      <c r="U1206" s="193">
        <f ca="1">OFFSET('Expenditure Study'!$B$7,'Operations Support'!$C1206,'Operations Support'!$B1206)*$G1206</f>
        <v>0</v>
      </c>
      <c r="V1206" s="199">
        <f ca="1">U1206*'Expenditure Study'!$B$31</f>
        <v>0</v>
      </c>
      <c r="W1206" s="199">
        <f ca="1">IF(A1206=10298,1.51,1)*IF($B1206&lt;3,$D1206*'Expenditure Study'!$B$32*OFFSET('Expenditure Study'!$B$7,'Operations Support'!$C1206,'Operations Support'!$B1206),0)</f>
        <v>0</v>
      </c>
      <c r="X1206" s="200">
        <f ca="1">W1206*'Expenditure Study'!$B$31</f>
        <v>0</v>
      </c>
      <c r="Y1206" s="199">
        <f ca="1">U1206*'Expenditure Study'!$B$31</f>
        <v>0</v>
      </c>
      <c r="Z1206" s="200">
        <f ca="1">W1206*'Expenditure Study'!$B$31</f>
        <v>0</v>
      </c>
      <c r="AA1206" s="195">
        <f t="shared" ca="1" si="260"/>
        <v>0</v>
      </c>
      <c r="AB1206" s="195">
        <f t="shared" ca="1" si="261"/>
        <v>0</v>
      </c>
      <c r="AD1206" s="196">
        <f>IFERROR($G1206/SUMIF($A:$A,$A1206,$G:$G)*SUMIF(Summary!$A$166:$A$242,$A1206,Summary!$P$166:$P$242),0)</f>
        <v>0</v>
      </c>
      <c r="AE1206" s="197">
        <f t="shared" ca="1" si="262"/>
        <v>0</v>
      </c>
      <c r="AF1206" s="196">
        <f>IFERROR(G1206/SUMIF(A:A,A1206,G:G)*SUMIF(Summary!$A$166:$A$242,'Operations Support'!A1206,Summary!$Q$166:$Q$242),0)</f>
        <v>0</v>
      </c>
      <c r="AG1206" s="196">
        <f t="shared" ca="1" si="263"/>
        <v>0</v>
      </c>
      <c r="AI1206" s="196">
        <f>IFERROR($G1206/SUMIF($A:$A,$A1206,$G:$G)*SUMIF(Summary!$A$247:$A$283,$A1206,Summary!$P$247:$P$283),0)</f>
        <v>0</v>
      </c>
      <c r="AJ1206" s="196">
        <f>IFERROR($G1206/SUMIF($A:$A,$A1206,$G:$G)*(SUMIF(Summary!$A$247:$A$283,$A1206,Summary!$L$247:$L$283)+SUMIF(Summary!$A$297:$A$333,$A1206,Summary!$L$297:$L$333))-AI1206,0)</f>
        <v>0</v>
      </c>
      <c r="AK1206" s="196">
        <f>IFERROR($G1206/SUMIF($A:$A,$A1206,$G:$G)*SUMIF(Summary!$A$247:$A$283,$A1206,Summary!$Q$247:$Q$283),0)</f>
        <v>0</v>
      </c>
      <c r="AL1206" s="196">
        <f>IFERROR($G1206/SUMIF($A:$A,$A1206,$G:$G)*(SUMIF(Summary!$A$247:$A$283,$A1206,Summary!$L$247:$L$283)+SUMIF(Summary!$A$297:$A$333,$A1206,Summary!$L$297:$L$333))-AK1206,0)</f>
        <v>0</v>
      </c>
      <c r="AM1206" s="198"/>
      <c r="AN1206" s="196">
        <f t="shared" ca="1" si="264"/>
        <v>0</v>
      </c>
      <c r="AO1206" s="196">
        <f t="shared" ca="1" si="265"/>
        <v>0</v>
      </c>
    </row>
    <row r="1207" spans="1:41">
      <c r="A1207" s="189">
        <v>3630</v>
      </c>
      <c r="B1207" s="190">
        <v>3</v>
      </c>
      <c r="C1207" s="191" t="s">
        <v>225</v>
      </c>
      <c r="D1207" s="192">
        <f t="shared" si="252"/>
        <v>2262</v>
      </c>
      <c r="E1207" s="192">
        <f t="shared" si="253"/>
        <v>1377</v>
      </c>
      <c r="F1207" s="192">
        <f t="shared" si="254"/>
        <v>0</v>
      </c>
      <c r="G1207" s="193">
        <f t="shared" si="255"/>
        <v>3639</v>
      </c>
      <c r="H1207" s="194">
        <v>1029</v>
      </c>
      <c r="I1207" s="194">
        <v>561</v>
      </c>
      <c r="J1207" s="194">
        <v>0</v>
      </c>
      <c r="K1207" s="193">
        <f t="shared" si="256"/>
        <v>1590</v>
      </c>
      <c r="L1207" s="194">
        <v>1004</v>
      </c>
      <c r="M1207" s="194">
        <v>591</v>
      </c>
      <c r="N1207" s="194">
        <v>0</v>
      </c>
      <c r="O1207" s="193">
        <f t="shared" si="257"/>
        <v>1595</v>
      </c>
      <c r="P1207" s="194">
        <v>229</v>
      </c>
      <c r="Q1207" s="194">
        <v>225</v>
      </c>
      <c r="R1207" s="194">
        <v>0</v>
      </c>
      <c r="S1207" s="193">
        <f t="shared" si="258"/>
        <v>454</v>
      </c>
      <c r="T1207" s="193">
        <f t="shared" si="259"/>
        <v>151.625</v>
      </c>
      <c r="U1207" s="193">
        <f ca="1">OFFSET('Expenditure Study'!$B$7,'Operations Support'!$C1207,'Operations Support'!$B1207)*$G1207</f>
        <v>25145.49</v>
      </c>
      <c r="V1207" s="199">
        <f ca="1">U1207*'Expenditure Study'!$B$31</f>
        <v>1485675.531974592</v>
      </c>
      <c r="W1207" s="199">
        <f ca="1">IF(A1207=10298,1.51,1)*IF($B1207&lt;3,$D1207*'Expenditure Study'!$B$32*OFFSET('Expenditure Study'!$B$7,'Operations Support'!$C1207,'Operations Support'!$B1207),0)</f>
        <v>0</v>
      </c>
      <c r="X1207" s="200">
        <f ca="1">W1207*'Expenditure Study'!$B$31</f>
        <v>0</v>
      </c>
      <c r="Y1207" s="199">
        <f ca="1">U1207*'Expenditure Study'!$B$31</f>
        <v>1485675.531974592</v>
      </c>
      <c r="Z1207" s="200">
        <f ca="1">W1207*'Expenditure Study'!$B$31</f>
        <v>0</v>
      </c>
      <c r="AA1207" s="195">
        <f t="shared" ca="1" si="260"/>
        <v>1485675.531974592</v>
      </c>
      <c r="AB1207" s="195">
        <f t="shared" ca="1" si="261"/>
        <v>1485675.531974592</v>
      </c>
      <c r="AD1207" s="196">
        <f>IFERROR($G1207/SUMIF($A:$A,$A1207,$G:$G)*SUMIF(Summary!$A$166:$A$242,$A1207,Summary!$P$166:$P$242),0)</f>
        <v>175013.6112880444</v>
      </c>
      <c r="AE1207" s="197">
        <f t="shared" ca="1" si="262"/>
        <v>1310661.9206865476</v>
      </c>
      <c r="AF1207" s="196">
        <f>IFERROR(G1207/SUMIF(A:A,A1207,G:G)*SUMIF(Summary!$A$166:$A$242,'Operations Support'!A1207,Summary!$Q$166:$Q$242),0)</f>
        <v>175946.7487571087</v>
      </c>
      <c r="AG1207" s="196">
        <f t="shared" ca="1" si="263"/>
        <v>1309728.7832174832</v>
      </c>
      <c r="AI1207" s="196">
        <f>IFERROR($G1207/SUMIF($A:$A,$A1207,$G:$G)*SUMIF(Summary!$A$247:$A$283,$A1207,Summary!$P$247:$P$283),0)</f>
        <v>31918.115282953066</v>
      </c>
      <c r="AJ1207" s="196">
        <f>IFERROR($G1207/SUMIF($A:$A,$A1207,$G:$G)*(SUMIF(Summary!$A$247:$A$283,$A1207,Summary!$L$247:$L$283)+SUMIF(Summary!$A$297:$A$333,$A1207,Summary!$L$297:$L$333))-AI1207,0)</f>
        <v>82789.2290754399</v>
      </c>
      <c r="AK1207" s="196">
        <f>IFERROR($G1207/SUMIF($A:$A,$A1207,$G:$G)*SUMIF(Summary!$A$247:$A$283,$A1207,Summary!$Q$247:$Q$283),0)</f>
        <v>32088.296271124429</v>
      </c>
      <c r="AL1207" s="196">
        <f>IFERROR($G1207/SUMIF($A:$A,$A1207,$G:$G)*(SUMIF(Summary!$A$247:$A$283,$A1207,Summary!$L$247:$L$283)+SUMIF(Summary!$A$297:$A$333,$A1207,Summary!$L$297:$L$333))-AK1207,0)</f>
        <v>82619.048087268529</v>
      </c>
      <c r="AM1207" s="198"/>
      <c r="AN1207" s="196">
        <f t="shared" ca="1" si="264"/>
        <v>1393451.1497619876</v>
      </c>
      <c r="AO1207" s="196">
        <f t="shared" ca="1" si="265"/>
        <v>1392347.8313047518</v>
      </c>
    </row>
    <row r="1208" spans="1:41">
      <c r="A1208" s="189">
        <v>3630</v>
      </c>
      <c r="B1208" s="190">
        <v>3</v>
      </c>
      <c r="C1208" s="191" t="s">
        <v>226</v>
      </c>
      <c r="D1208" s="192">
        <f t="shared" si="252"/>
        <v>141</v>
      </c>
      <c r="E1208" s="192">
        <f t="shared" si="253"/>
        <v>117</v>
      </c>
      <c r="F1208" s="192">
        <f t="shared" si="254"/>
        <v>0</v>
      </c>
      <c r="G1208" s="193">
        <f t="shared" si="255"/>
        <v>258</v>
      </c>
      <c r="H1208" s="194">
        <v>36</v>
      </c>
      <c r="I1208" s="194">
        <v>78</v>
      </c>
      <c r="J1208" s="194">
        <v>0</v>
      </c>
      <c r="K1208" s="193">
        <f t="shared" si="256"/>
        <v>114</v>
      </c>
      <c r="L1208" s="194">
        <v>48</v>
      </c>
      <c r="M1208" s="194">
        <v>27</v>
      </c>
      <c r="N1208" s="194">
        <v>0</v>
      </c>
      <c r="O1208" s="193">
        <f t="shared" si="257"/>
        <v>75</v>
      </c>
      <c r="P1208" s="194">
        <v>57</v>
      </c>
      <c r="Q1208" s="194">
        <v>12</v>
      </c>
      <c r="R1208" s="194">
        <v>0</v>
      </c>
      <c r="S1208" s="193">
        <f t="shared" si="258"/>
        <v>69</v>
      </c>
      <c r="T1208" s="193">
        <f t="shared" si="259"/>
        <v>10.75</v>
      </c>
      <c r="U1208" s="193">
        <f ca="1">OFFSET('Expenditure Study'!$B$7,'Operations Support'!$C1208,'Operations Support'!$B1208)*$G1208</f>
        <v>890.1</v>
      </c>
      <c r="V1208" s="199">
        <f ca="1">U1208*'Expenditure Study'!$B$31</f>
        <v>52589.939230080003</v>
      </c>
      <c r="W1208" s="199">
        <f ca="1">IF(A1208=10298,1.51,1)*IF($B1208&lt;3,$D1208*'Expenditure Study'!$B$32*OFFSET('Expenditure Study'!$B$7,'Operations Support'!$C1208,'Operations Support'!$B1208),0)</f>
        <v>0</v>
      </c>
      <c r="X1208" s="200">
        <f ca="1">W1208*'Expenditure Study'!$B$31</f>
        <v>0</v>
      </c>
      <c r="Y1208" s="199">
        <f ca="1">U1208*'Expenditure Study'!$B$31</f>
        <v>52589.939230080003</v>
      </c>
      <c r="Z1208" s="200">
        <f ca="1">W1208*'Expenditure Study'!$B$31</f>
        <v>0</v>
      </c>
      <c r="AA1208" s="195">
        <f t="shared" ca="1" si="260"/>
        <v>52589.939230080003</v>
      </c>
      <c r="AB1208" s="195">
        <f t="shared" ca="1" si="261"/>
        <v>52589.939230080003</v>
      </c>
      <c r="AD1208" s="196">
        <f>IFERROR($G1208/SUMIF($A:$A,$A1208,$G:$G)*SUMIF(Summary!$A$166:$A$242,$A1208,Summary!$P$166:$P$242),0)</f>
        <v>12408.21976155962</v>
      </c>
      <c r="AE1208" s="197">
        <f t="shared" ca="1" si="262"/>
        <v>40181.719468520387</v>
      </c>
      <c r="AF1208" s="196">
        <f>IFERROR(G1208/SUMIF(A:A,A1208,G:G)*SUMIF(Summary!$A$166:$A$242,'Operations Support'!A1208,Summary!$Q$166:$Q$242),0)</f>
        <v>12474.377900339117</v>
      </c>
      <c r="AG1208" s="196">
        <f t="shared" ca="1" si="263"/>
        <v>40115.561329740885</v>
      </c>
      <c r="AI1208" s="196">
        <f>IFERROR($G1208/SUMIF($A:$A,$A1208,$G:$G)*SUMIF(Summary!$A$247:$A$283,$A1208,Summary!$P$247:$P$283),0)</f>
        <v>2262.9496408359141</v>
      </c>
      <c r="AJ1208" s="196">
        <f>IFERROR($G1208/SUMIF($A:$A,$A1208,$G:$G)*(SUMIF(Summary!$A$247:$A$283,$A1208,Summary!$L$247:$L$283)+SUMIF(Summary!$A$297:$A$333,$A1208,Summary!$L$297:$L$333))-AI1208,0)</f>
        <v>5869.6403136750469</v>
      </c>
      <c r="AK1208" s="196">
        <f>IFERROR($G1208/SUMIF($A:$A,$A1208,$G:$G)*SUMIF(Summary!$A$247:$A$283,$A1208,Summary!$Q$247:$Q$283),0)</f>
        <v>2275.0152343913446</v>
      </c>
      <c r="AL1208" s="196">
        <f>IFERROR($G1208/SUMIF($A:$A,$A1208,$G:$G)*(SUMIF(Summary!$A$247:$A$283,$A1208,Summary!$L$247:$L$283)+SUMIF(Summary!$A$297:$A$333,$A1208,Summary!$L$297:$L$333))-AK1208,0)</f>
        <v>5857.5747201196154</v>
      </c>
      <c r="AM1208" s="198"/>
      <c r="AN1208" s="196">
        <f t="shared" ca="1" si="264"/>
        <v>46051.359782195432</v>
      </c>
      <c r="AO1208" s="196">
        <f t="shared" ca="1" si="265"/>
        <v>45973.136049860499</v>
      </c>
    </row>
    <row r="1209" spans="1:41">
      <c r="A1209" s="189">
        <v>3630</v>
      </c>
      <c r="B1209" s="190">
        <v>3</v>
      </c>
      <c r="C1209" s="191" t="s">
        <v>227</v>
      </c>
      <c r="D1209" s="192">
        <f t="shared" si="252"/>
        <v>0</v>
      </c>
      <c r="E1209" s="192">
        <f t="shared" si="253"/>
        <v>0</v>
      </c>
      <c r="F1209" s="192">
        <f t="shared" si="254"/>
        <v>0</v>
      </c>
      <c r="G1209" s="193">
        <f t="shared" si="255"/>
        <v>0</v>
      </c>
      <c r="H1209" s="194">
        <v>0</v>
      </c>
      <c r="I1209" s="194">
        <v>0</v>
      </c>
      <c r="J1209" s="194">
        <v>0</v>
      </c>
      <c r="K1209" s="193">
        <f t="shared" si="256"/>
        <v>0</v>
      </c>
      <c r="L1209" s="194">
        <v>0</v>
      </c>
      <c r="M1209" s="194">
        <v>0</v>
      </c>
      <c r="N1209" s="194">
        <v>0</v>
      </c>
      <c r="O1209" s="193">
        <f t="shared" si="257"/>
        <v>0</v>
      </c>
      <c r="P1209" s="194">
        <v>0</v>
      </c>
      <c r="Q1209" s="194">
        <v>0</v>
      </c>
      <c r="R1209" s="194">
        <v>0</v>
      </c>
      <c r="S1209" s="193">
        <f t="shared" si="258"/>
        <v>0</v>
      </c>
      <c r="T1209" s="193">
        <f t="shared" si="259"/>
        <v>0</v>
      </c>
      <c r="U1209" s="193">
        <f ca="1">OFFSET('Expenditure Study'!$B$7,'Operations Support'!$C1209,'Operations Support'!$B1209)*$G1209</f>
        <v>0</v>
      </c>
      <c r="V1209" s="199">
        <f ca="1">U1209*'Expenditure Study'!$B$31</f>
        <v>0</v>
      </c>
      <c r="W1209" s="199">
        <f ca="1">IF(A1209=10298,1.51,1)*IF($B1209&lt;3,$D1209*'Expenditure Study'!$B$32*OFFSET('Expenditure Study'!$B$7,'Operations Support'!$C1209,'Operations Support'!$B1209),0)</f>
        <v>0</v>
      </c>
      <c r="X1209" s="200">
        <f ca="1">W1209*'Expenditure Study'!$B$31</f>
        <v>0</v>
      </c>
      <c r="Y1209" s="199">
        <f ca="1">U1209*'Expenditure Study'!$B$31</f>
        <v>0</v>
      </c>
      <c r="Z1209" s="200">
        <f ca="1">W1209*'Expenditure Study'!$B$31</f>
        <v>0</v>
      </c>
      <c r="AA1209" s="195">
        <f t="shared" ca="1" si="260"/>
        <v>0</v>
      </c>
      <c r="AB1209" s="195">
        <f t="shared" ca="1" si="261"/>
        <v>0</v>
      </c>
      <c r="AD1209" s="196">
        <f>IFERROR($G1209/SUMIF($A:$A,$A1209,$G:$G)*SUMIF(Summary!$A$166:$A$242,$A1209,Summary!$P$166:$P$242),0)</f>
        <v>0</v>
      </c>
      <c r="AE1209" s="197">
        <f t="shared" ca="1" si="262"/>
        <v>0</v>
      </c>
      <c r="AF1209" s="196">
        <f>IFERROR(G1209/SUMIF(A:A,A1209,G:G)*SUMIF(Summary!$A$166:$A$242,'Operations Support'!A1209,Summary!$Q$166:$Q$242),0)</f>
        <v>0</v>
      </c>
      <c r="AG1209" s="196">
        <f t="shared" ca="1" si="263"/>
        <v>0</v>
      </c>
      <c r="AI1209" s="196">
        <f>IFERROR($G1209/SUMIF($A:$A,$A1209,$G:$G)*SUMIF(Summary!$A$247:$A$283,$A1209,Summary!$P$247:$P$283),0)</f>
        <v>0</v>
      </c>
      <c r="AJ1209" s="196">
        <f>IFERROR($G1209/SUMIF($A:$A,$A1209,$G:$G)*(SUMIF(Summary!$A$247:$A$283,$A1209,Summary!$L$247:$L$283)+SUMIF(Summary!$A$297:$A$333,$A1209,Summary!$L$297:$L$333))-AI1209,0)</f>
        <v>0</v>
      </c>
      <c r="AK1209" s="196">
        <f>IFERROR($G1209/SUMIF($A:$A,$A1209,$G:$G)*SUMIF(Summary!$A$247:$A$283,$A1209,Summary!$Q$247:$Q$283),0)</f>
        <v>0</v>
      </c>
      <c r="AL1209" s="196">
        <f>IFERROR($G1209/SUMIF($A:$A,$A1209,$G:$G)*(SUMIF(Summary!$A$247:$A$283,$A1209,Summary!$L$247:$L$283)+SUMIF(Summary!$A$297:$A$333,$A1209,Summary!$L$297:$L$333))-AK1209,0)</f>
        <v>0</v>
      </c>
      <c r="AM1209" s="198"/>
      <c r="AN1209" s="196">
        <f t="shared" ca="1" si="264"/>
        <v>0</v>
      </c>
      <c r="AO1209" s="196">
        <f t="shared" ca="1" si="265"/>
        <v>0</v>
      </c>
    </row>
    <row r="1210" spans="1:41">
      <c r="A1210" s="189">
        <v>3630</v>
      </c>
      <c r="B1210" s="190">
        <v>3</v>
      </c>
      <c r="C1210" s="191" t="s">
        <v>228</v>
      </c>
      <c r="D1210" s="192">
        <f t="shared" si="252"/>
        <v>1304</v>
      </c>
      <c r="E1210" s="192">
        <f t="shared" si="253"/>
        <v>1067</v>
      </c>
      <c r="F1210" s="192">
        <f t="shared" si="254"/>
        <v>0</v>
      </c>
      <c r="G1210" s="193">
        <f t="shared" si="255"/>
        <v>2371</v>
      </c>
      <c r="H1210" s="194">
        <v>467</v>
      </c>
      <c r="I1210" s="194">
        <v>698</v>
      </c>
      <c r="J1210" s="194">
        <v>0</v>
      </c>
      <c r="K1210" s="193">
        <f t="shared" si="256"/>
        <v>1165</v>
      </c>
      <c r="L1210" s="194">
        <v>717</v>
      </c>
      <c r="M1210" s="194">
        <v>192</v>
      </c>
      <c r="N1210" s="194">
        <v>0</v>
      </c>
      <c r="O1210" s="193">
        <f t="shared" si="257"/>
        <v>909</v>
      </c>
      <c r="P1210" s="194">
        <v>120</v>
      </c>
      <c r="Q1210" s="194">
        <v>177</v>
      </c>
      <c r="R1210" s="194">
        <v>0</v>
      </c>
      <c r="S1210" s="193">
        <f t="shared" si="258"/>
        <v>297</v>
      </c>
      <c r="T1210" s="193">
        <f t="shared" si="259"/>
        <v>98.791666666666671</v>
      </c>
      <c r="U1210" s="193">
        <f ca="1">OFFSET('Expenditure Study'!$B$7,'Operations Support'!$C1210,'Operations Support'!$B1210)*$G1210</f>
        <v>5785.24</v>
      </c>
      <c r="V1210" s="199">
        <f ca="1">U1210*'Expenditure Study'!$B$31</f>
        <v>341810.38089139201</v>
      </c>
      <c r="W1210" s="199">
        <f ca="1">IF(A1210=10298,1.51,1)*IF($B1210&lt;3,$D1210*'Expenditure Study'!$B$32*OFFSET('Expenditure Study'!$B$7,'Operations Support'!$C1210,'Operations Support'!$B1210),0)</f>
        <v>0</v>
      </c>
      <c r="X1210" s="200">
        <f ca="1">W1210*'Expenditure Study'!$B$31</f>
        <v>0</v>
      </c>
      <c r="Y1210" s="199">
        <f ca="1">U1210*'Expenditure Study'!$B$31</f>
        <v>341810.38089139201</v>
      </c>
      <c r="Z1210" s="200">
        <f ca="1">W1210*'Expenditure Study'!$B$31</f>
        <v>0</v>
      </c>
      <c r="AA1210" s="195">
        <f t="shared" ca="1" si="260"/>
        <v>341810.38089139201</v>
      </c>
      <c r="AB1210" s="195">
        <f t="shared" ca="1" si="261"/>
        <v>341810.38089139201</v>
      </c>
      <c r="AD1210" s="196">
        <f>IFERROR($G1210/SUMIF($A:$A,$A1210,$G:$G)*SUMIF(Summary!$A$166:$A$242,$A1210,Summary!$P$166:$P$242),0)</f>
        <v>114030.57773123201</v>
      </c>
      <c r="AE1210" s="197">
        <f t="shared" ca="1" si="262"/>
        <v>227779.80316015999</v>
      </c>
      <c r="AF1210" s="196">
        <f>IFERROR(G1210/SUMIF(A:A,A1210,G:G)*SUMIF(Summary!$A$166:$A$242,'Operations Support'!A1210,Summary!$Q$166:$Q$242),0)</f>
        <v>114638.56589807769</v>
      </c>
      <c r="AG1210" s="196">
        <f t="shared" ca="1" si="263"/>
        <v>227171.81499331433</v>
      </c>
      <c r="AI1210" s="196">
        <f>IFERROR($G1210/SUMIF($A:$A,$A1210,$G:$G)*SUMIF(Summary!$A$247:$A$283,$A1210,Summary!$P$247:$P$283),0)</f>
        <v>20796.331776829273</v>
      </c>
      <c r="AJ1210" s="196">
        <f>IFERROR($G1210/SUMIF($A:$A,$A1210,$G:$G)*(SUMIF(Summary!$A$247:$A$283,$A1210,Summary!$L$247:$L$283)+SUMIF(Summary!$A$297:$A$333,$A1210,Summary!$L$297:$L$333))-AI1210,0)</f>
        <v>53941.539471796641</v>
      </c>
      <c r="AK1210" s="196">
        <f>IFERROR($G1210/SUMIF($A:$A,$A1210,$G:$G)*SUMIF(Summary!$A$247:$A$283,$A1210,Summary!$Q$247:$Q$283),0)</f>
        <v>20907.213646286349</v>
      </c>
      <c r="AL1210" s="196">
        <f>IFERROR($G1210/SUMIF($A:$A,$A1210,$G:$G)*(SUMIF(Summary!$A$247:$A$283,$A1210,Summary!$L$247:$L$283)+SUMIF(Summary!$A$297:$A$333,$A1210,Summary!$L$297:$L$333))-AK1210,0)</f>
        <v>53830.657602339568</v>
      </c>
      <c r="AM1210" s="198"/>
      <c r="AN1210" s="196">
        <f t="shared" ca="1" si="264"/>
        <v>281721.34263195662</v>
      </c>
      <c r="AO1210" s="196">
        <f t="shared" ca="1" si="265"/>
        <v>281002.4725956539</v>
      </c>
    </row>
    <row r="1211" spans="1:41">
      <c r="A1211" s="189">
        <v>3630</v>
      </c>
      <c r="B1211" s="190">
        <v>3</v>
      </c>
      <c r="C1211" s="191" t="s">
        <v>229</v>
      </c>
      <c r="D1211" s="192">
        <f t="shared" si="252"/>
        <v>0</v>
      </c>
      <c r="E1211" s="192">
        <f t="shared" si="253"/>
        <v>0</v>
      </c>
      <c r="F1211" s="192">
        <f t="shared" si="254"/>
        <v>0</v>
      </c>
      <c r="G1211" s="193">
        <f t="shared" si="255"/>
        <v>0</v>
      </c>
      <c r="H1211" s="194">
        <v>0</v>
      </c>
      <c r="I1211" s="194">
        <v>0</v>
      </c>
      <c r="J1211" s="194">
        <v>0</v>
      </c>
      <c r="K1211" s="193">
        <f t="shared" si="256"/>
        <v>0</v>
      </c>
      <c r="L1211" s="194">
        <v>0</v>
      </c>
      <c r="M1211" s="194">
        <v>0</v>
      </c>
      <c r="N1211" s="194">
        <v>0</v>
      </c>
      <c r="O1211" s="193">
        <f t="shared" si="257"/>
        <v>0</v>
      </c>
      <c r="P1211" s="194">
        <v>0</v>
      </c>
      <c r="Q1211" s="194">
        <v>0</v>
      </c>
      <c r="R1211" s="194">
        <v>0</v>
      </c>
      <c r="S1211" s="193">
        <f t="shared" si="258"/>
        <v>0</v>
      </c>
      <c r="T1211" s="193">
        <f t="shared" si="259"/>
        <v>0</v>
      </c>
      <c r="U1211" s="193">
        <f ca="1">OFFSET('Expenditure Study'!$B$7,'Operations Support'!$C1211,'Operations Support'!$B1211)*$G1211</f>
        <v>0</v>
      </c>
      <c r="V1211" s="199">
        <f ca="1">U1211*'Expenditure Study'!$B$31</f>
        <v>0</v>
      </c>
      <c r="W1211" s="199">
        <f ca="1">IF(A1211=10298,1.51,1)*IF($B1211&lt;3,$D1211*'Expenditure Study'!$B$32*OFFSET('Expenditure Study'!$B$7,'Operations Support'!$C1211,'Operations Support'!$B1211),0)</f>
        <v>0</v>
      </c>
      <c r="X1211" s="200">
        <f ca="1">W1211*'Expenditure Study'!$B$31</f>
        <v>0</v>
      </c>
      <c r="Y1211" s="199">
        <f ca="1">U1211*'Expenditure Study'!$B$31</f>
        <v>0</v>
      </c>
      <c r="Z1211" s="200">
        <f ca="1">W1211*'Expenditure Study'!$B$31</f>
        <v>0</v>
      </c>
      <c r="AA1211" s="195">
        <f t="shared" ca="1" si="260"/>
        <v>0</v>
      </c>
      <c r="AB1211" s="195">
        <f t="shared" ca="1" si="261"/>
        <v>0</v>
      </c>
      <c r="AD1211" s="196">
        <f>IFERROR($G1211/SUMIF($A:$A,$A1211,$G:$G)*SUMIF(Summary!$A$166:$A$242,$A1211,Summary!$P$166:$P$242),0)</f>
        <v>0</v>
      </c>
      <c r="AE1211" s="197">
        <f t="shared" ca="1" si="262"/>
        <v>0</v>
      </c>
      <c r="AF1211" s="196">
        <f>IFERROR(G1211/SUMIF(A:A,A1211,G:G)*SUMIF(Summary!$A$166:$A$242,'Operations Support'!A1211,Summary!$Q$166:$Q$242),0)</f>
        <v>0</v>
      </c>
      <c r="AG1211" s="196">
        <f t="shared" ca="1" si="263"/>
        <v>0</v>
      </c>
      <c r="AI1211" s="196">
        <f>IFERROR($G1211/SUMIF($A:$A,$A1211,$G:$G)*SUMIF(Summary!$A$247:$A$283,$A1211,Summary!$P$247:$P$283),0)</f>
        <v>0</v>
      </c>
      <c r="AJ1211" s="196">
        <f>IFERROR($G1211/SUMIF($A:$A,$A1211,$G:$G)*(SUMIF(Summary!$A$247:$A$283,$A1211,Summary!$L$247:$L$283)+SUMIF(Summary!$A$297:$A$333,$A1211,Summary!$L$297:$L$333))-AI1211,0)</f>
        <v>0</v>
      </c>
      <c r="AK1211" s="196">
        <f>IFERROR($G1211/SUMIF($A:$A,$A1211,$G:$G)*SUMIF(Summary!$A$247:$A$283,$A1211,Summary!$Q$247:$Q$283),0)</f>
        <v>0</v>
      </c>
      <c r="AL1211" s="196">
        <f>IFERROR($G1211/SUMIF($A:$A,$A1211,$G:$G)*(SUMIF(Summary!$A$247:$A$283,$A1211,Summary!$L$247:$L$283)+SUMIF(Summary!$A$297:$A$333,$A1211,Summary!$L$297:$L$333))-AK1211,0)</f>
        <v>0</v>
      </c>
      <c r="AM1211" s="198"/>
      <c r="AN1211" s="196">
        <f t="shared" ca="1" si="264"/>
        <v>0</v>
      </c>
      <c r="AO1211" s="196">
        <f t="shared" ca="1" si="265"/>
        <v>0</v>
      </c>
    </row>
    <row r="1212" spans="1:41">
      <c r="A1212" s="189">
        <v>3630</v>
      </c>
      <c r="B1212" s="190">
        <v>3</v>
      </c>
      <c r="C1212" s="191" t="s">
        <v>230</v>
      </c>
      <c r="D1212" s="192">
        <f t="shared" si="252"/>
        <v>0</v>
      </c>
      <c r="E1212" s="192">
        <f t="shared" si="253"/>
        <v>0</v>
      </c>
      <c r="F1212" s="192">
        <f t="shared" si="254"/>
        <v>0</v>
      </c>
      <c r="G1212" s="193">
        <f t="shared" si="255"/>
        <v>0</v>
      </c>
      <c r="H1212" s="194">
        <v>0</v>
      </c>
      <c r="I1212" s="194">
        <v>0</v>
      </c>
      <c r="J1212" s="194">
        <v>0</v>
      </c>
      <c r="K1212" s="193">
        <f t="shared" si="256"/>
        <v>0</v>
      </c>
      <c r="L1212" s="194">
        <v>0</v>
      </c>
      <c r="M1212" s="194">
        <v>0</v>
      </c>
      <c r="N1212" s="194">
        <v>0</v>
      </c>
      <c r="O1212" s="193">
        <f t="shared" si="257"/>
        <v>0</v>
      </c>
      <c r="P1212" s="194">
        <v>0</v>
      </c>
      <c r="Q1212" s="194">
        <v>0</v>
      </c>
      <c r="R1212" s="194">
        <v>0</v>
      </c>
      <c r="S1212" s="193">
        <f t="shared" si="258"/>
        <v>0</v>
      </c>
      <c r="T1212" s="193">
        <f t="shared" si="259"/>
        <v>0</v>
      </c>
      <c r="U1212" s="193">
        <f ca="1">OFFSET('Expenditure Study'!$B$7,'Operations Support'!$C1212,'Operations Support'!$B1212)*$G1212</f>
        <v>0</v>
      </c>
      <c r="V1212" s="199">
        <f ca="1">U1212*'Expenditure Study'!$B$31</f>
        <v>0</v>
      </c>
      <c r="W1212" s="199">
        <f ca="1">IF(A1212=10298,1.51,1)*IF($B1212&lt;3,$D1212*'Expenditure Study'!$B$32*OFFSET('Expenditure Study'!$B$7,'Operations Support'!$C1212,'Operations Support'!$B1212),0)</f>
        <v>0</v>
      </c>
      <c r="X1212" s="200">
        <f ca="1">W1212*'Expenditure Study'!$B$31</f>
        <v>0</v>
      </c>
      <c r="Y1212" s="199">
        <f ca="1">U1212*'Expenditure Study'!$B$31</f>
        <v>0</v>
      </c>
      <c r="Z1212" s="200">
        <f ca="1">W1212*'Expenditure Study'!$B$31</f>
        <v>0</v>
      </c>
      <c r="AA1212" s="195">
        <f t="shared" ca="1" si="260"/>
        <v>0</v>
      </c>
      <c r="AB1212" s="195">
        <f t="shared" ca="1" si="261"/>
        <v>0</v>
      </c>
      <c r="AD1212" s="196">
        <f>IFERROR($G1212/SUMIF($A:$A,$A1212,$G:$G)*SUMIF(Summary!$A$166:$A$242,$A1212,Summary!$P$166:$P$242),0)</f>
        <v>0</v>
      </c>
      <c r="AE1212" s="197">
        <f t="shared" ca="1" si="262"/>
        <v>0</v>
      </c>
      <c r="AF1212" s="196">
        <f>IFERROR(G1212/SUMIF(A:A,A1212,G:G)*SUMIF(Summary!$A$166:$A$242,'Operations Support'!A1212,Summary!$Q$166:$Q$242),0)</f>
        <v>0</v>
      </c>
      <c r="AG1212" s="196">
        <f t="shared" ca="1" si="263"/>
        <v>0</v>
      </c>
      <c r="AI1212" s="196">
        <f>IFERROR($G1212/SUMIF($A:$A,$A1212,$G:$G)*SUMIF(Summary!$A$247:$A$283,$A1212,Summary!$P$247:$P$283),0)</f>
        <v>0</v>
      </c>
      <c r="AJ1212" s="196">
        <f>IFERROR($G1212/SUMIF($A:$A,$A1212,$G:$G)*(SUMIF(Summary!$A$247:$A$283,$A1212,Summary!$L$247:$L$283)+SUMIF(Summary!$A$297:$A$333,$A1212,Summary!$L$297:$L$333))-AI1212,0)</f>
        <v>0</v>
      </c>
      <c r="AK1212" s="196">
        <f>IFERROR($G1212/SUMIF($A:$A,$A1212,$G:$G)*SUMIF(Summary!$A$247:$A$283,$A1212,Summary!$Q$247:$Q$283),0)</f>
        <v>0</v>
      </c>
      <c r="AL1212" s="196">
        <f>IFERROR($G1212/SUMIF($A:$A,$A1212,$G:$G)*(SUMIF(Summary!$A$247:$A$283,$A1212,Summary!$L$247:$L$283)+SUMIF(Summary!$A$297:$A$333,$A1212,Summary!$L$297:$L$333))-AK1212,0)</f>
        <v>0</v>
      </c>
      <c r="AM1212" s="198"/>
      <c r="AN1212" s="196">
        <f t="shared" ca="1" si="264"/>
        <v>0</v>
      </c>
      <c r="AO1212" s="196">
        <f t="shared" ca="1" si="265"/>
        <v>0</v>
      </c>
    </row>
    <row r="1213" spans="1:41">
      <c r="A1213" s="189">
        <v>3630</v>
      </c>
      <c r="B1213" s="190">
        <v>3</v>
      </c>
      <c r="C1213" s="191" t="s">
        <v>231</v>
      </c>
      <c r="D1213" s="192">
        <f t="shared" si="252"/>
        <v>0</v>
      </c>
      <c r="E1213" s="192">
        <f t="shared" si="253"/>
        <v>0</v>
      </c>
      <c r="F1213" s="192">
        <f t="shared" si="254"/>
        <v>0</v>
      </c>
      <c r="G1213" s="193">
        <f t="shared" si="255"/>
        <v>0</v>
      </c>
      <c r="H1213" s="194">
        <v>0</v>
      </c>
      <c r="I1213" s="194">
        <v>0</v>
      </c>
      <c r="J1213" s="194">
        <v>0</v>
      </c>
      <c r="K1213" s="193">
        <f t="shared" si="256"/>
        <v>0</v>
      </c>
      <c r="L1213" s="194">
        <v>0</v>
      </c>
      <c r="M1213" s="194">
        <v>0</v>
      </c>
      <c r="N1213" s="194">
        <v>0</v>
      </c>
      <c r="O1213" s="193">
        <f t="shared" si="257"/>
        <v>0</v>
      </c>
      <c r="P1213" s="194">
        <v>0</v>
      </c>
      <c r="Q1213" s="194">
        <v>0</v>
      </c>
      <c r="R1213" s="194">
        <v>0</v>
      </c>
      <c r="S1213" s="193">
        <f t="shared" si="258"/>
        <v>0</v>
      </c>
      <c r="T1213" s="193">
        <f t="shared" si="259"/>
        <v>0</v>
      </c>
      <c r="U1213" s="193">
        <f ca="1">OFFSET('Expenditure Study'!$B$7,'Operations Support'!$C1213,'Operations Support'!$B1213)*$G1213</f>
        <v>0</v>
      </c>
      <c r="V1213" s="199">
        <f ca="1">U1213*'Expenditure Study'!$B$31</f>
        <v>0</v>
      </c>
      <c r="W1213" s="199">
        <f ca="1">IF(A1213=10298,1.51,1)*IF($B1213&lt;3,$D1213*'Expenditure Study'!$B$32*OFFSET('Expenditure Study'!$B$7,'Operations Support'!$C1213,'Operations Support'!$B1213),0)</f>
        <v>0</v>
      </c>
      <c r="X1213" s="200">
        <f ca="1">W1213*'Expenditure Study'!$B$31</f>
        <v>0</v>
      </c>
      <c r="Y1213" s="199">
        <f ca="1">U1213*'Expenditure Study'!$B$31</f>
        <v>0</v>
      </c>
      <c r="Z1213" s="200">
        <f ca="1">W1213*'Expenditure Study'!$B$31</f>
        <v>0</v>
      </c>
      <c r="AA1213" s="195">
        <f t="shared" ca="1" si="260"/>
        <v>0</v>
      </c>
      <c r="AB1213" s="195">
        <f t="shared" ca="1" si="261"/>
        <v>0</v>
      </c>
      <c r="AD1213" s="196">
        <f>IFERROR($G1213/SUMIF($A:$A,$A1213,$G:$G)*SUMIF(Summary!$A$166:$A$242,$A1213,Summary!$P$166:$P$242),0)</f>
        <v>0</v>
      </c>
      <c r="AE1213" s="197">
        <f t="shared" ca="1" si="262"/>
        <v>0</v>
      </c>
      <c r="AF1213" s="196">
        <f>IFERROR(G1213/SUMIF(A:A,A1213,G:G)*SUMIF(Summary!$A$166:$A$242,'Operations Support'!A1213,Summary!$Q$166:$Q$242),0)</f>
        <v>0</v>
      </c>
      <c r="AG1213" s="196">
        <f t="shared" ca="1" si="263"/>
        <v>0</v>
      </c>
      <c r="AI1213" s="196">
        <f>IFERROR($G1213/SUMIF($A:$A,$A1213,$G:$G)*SUMIF(Summary!$A$247:$A$283,$A1213,Summary!$P$247:$P$283),0)</f>
        <v>0</v>
      </c>
      <c r="AJ1213" s="196">
        <f>IFERROR($G1213/SUMIF($A:$A,$A1213,$G:$G)*(SUMIF(Summary!$A$247:$A$283,$A1213,Summary!$L$247:$L$283)+SUMIF(Summary!$A$297:$A$333,$A1213,Summary!$L$297:$L$333))-AI1213,0)</f>
        <v>0</v>
      </c>
      <c r="AK1213" s="196">
        <f>IFERROR($G1213/SUMIF($A:$A,$A1213,$G:$G)*SUMIF(Summary!$A$247:$A$283,$A1213,Summary!$Q$247:$Q$283),0)</f>
        <v>0</v>
      </c>
      <c r="AL1213" s="196">
        <f>IFERROR($G1213/SUMIF($A:$A,$A1213,$G:$G)*(SUMIF(Summary!$A$247:$A$283,$A1213,Summary!$L$247:$L$283)+SUMIF(Summary!$A$297:$A$333,$A1213,Summary!$L$297:$L$333))-AK1213,0)</f>
        <v>0</v>
      </c>
      <c r="AM1213" s="198"/>
      <c r="AN1213" s="196">
        <f t="shared" ca="1" si="264"/>
        <v>0</v>
      </c>
      <c r="AO1213" s="196">
        <f t="shared" ca="1" si="265"/>
        <v>0</v>
      </c>
    </row>
    <row r="1214" spans="1:41">
      <c r="A1214" s="189">
        <v>3630</v>
      </c>
      <c r="B1214" s="190">
        <v>3</v>
      </c>
      <c r="C1214" s="191" t="s">
        <v>232</v>
      </c>
      <c r="D1214" s="192">
        <f t="shared" si="252"/>
        <v>0</v>
      </c>
      <c r="E1214" s="192">
        <f t="shared" si="253"/>
        <v>0</v>
      </c>
      <c r="F1214" s="192">
        <f t="shared" si="254"/>
        <v>0</v>
      </c>
      <c r="G1214" s="193">
        <f t="shared" si="255"/>
        <v>0</v>
      </c>
      <c r="H1214" s="194">
        <v>0</v>
      </c>
      <c r="I1214" s="194">
        <v>0</v>
      </c>
      <c r="J1214" s="194">
        <v>0</v>
      </c>
      <c r="K1214" s="193">
        <f t="shared" si="256"/>
        <v>0</v>
      </c>
      <c r="L1214" s="194">
        <v>0</v>
      </c>
      <c r="M1214" s="194">
        <v>0</v>
      </c>
      <c r="N1214" s="194">
        <v>0</v>
      </c>
      <c r="O1214" s="193">
        <f t="shared" si="257"/>
        <v>0</v>
      </c>
      <c r="P1214" s="194">
        <v>0</v>
      </c>
      <c r="Q1214" s="194">
        <v>0</v>
      </c>
      <c r="R1214" s="194">
        <v>0</v>
      </c>
      <c r="S1214" s="193">
        <f t="shared" si="258"/>
        <v>0</v>
      </c>
      <c r="T1214" s="193">
        <f t="shared" si="259"/>
        <v>0</v>
      </c>
      <c r="U1214" s="193">
        <f ca="1">OFFSET('Expenditure Study'!$B$7,'Operations Support'!$C1214,'Operations Support'!$B1214)*$G1214</f>
        <v>0</v>
      </c>
      <c r="V1214" s="199">
        <f ca="1">U1214*'Expenditure Study'!$B$31</f>
        <v>0</v>
      </c>
      <c r="W1214" s="199">
        <f ca="1">IF(A1214=10298,1.51,1)*IF($B1214&lt;3,$D1214*'Expenditure Study'!$B$32*OFFSET('Expenditure Study'!$B$7,'Operations Support'!$C1214,'Operations Support'!$B1214),0)</f>
        <v>0</v>
      </c>
      <c r="X1214" s="200">
        <f ca="1">W1214*'Expenditure Study'!$B$31</f>
        <v>0</v>
      </c>
      <c r="Y1214" s="199">
        <f ca="1">U1214*'Expenditure Study'!$B$31</f>
        <v>0</v>
      </c>
      <c r="Z1214" s="200">
        <f ca="1">W1214*'Expenditure Study'!$B$31</f>
        <v>0</v>
      </c>
      <c r="AA1214" s="195">
        <f t="shared" ca="1" si="260"/>
        <v>0</v>
      </c>
      <c r="AB1214" s="195">
        <f t="shared" ca="1" si="261"/>
        <v>0</v>
      </c>
      <c r="AD1214" s="196">
        <f>IFERROR($G1214/SUMIF($A:$A,$A1214,$G:$G)*SUMIF(Summary!$A$166:$A$242,$A1214,Summary!$P$166:$P$242),0)</f>
        <v>0</v>
      </c>
      <c r="AE1214" s="197">
        <f t="shared" ca="1" si="262"/>
        <v>0</v>
      </c>
      <c r="AF1214" s="196">
        <f>IFERROR(G1214/SUMIF(A:A,A1214,G:G)*SUMIF(Summary!$A$166:$A$242,'Operations Support'!A1214,Summary!$Q$166:$Q$242),0)</f>
        <v>0</v>
      </c>
      <c r="AG1214" s="196">
        <f t="shared" ca="1" si="263"/>
        <v>0</v>
      </c>
      <c r="AI1214" s="196">
        <f>IFERROR($G1214/SUMIF($A:$A,$A1214,$G:$G)*SUMIF(Summary!$A$247:$A$283,$A1214,Summary!$P$247:$P$283),0)</f>
        <v>0</v>
      </c>
      <c r="AJ1214" s="196">
        <f>IFERROR($G1214/SUMIF($A:$A,$A1214,$G:$G)*(SUMIF(Summary!$A$247:$A$283,$A1214,Summary!$L$247:$L$283)+SUMIF(Summary!$A$297:$A$333,$A1214,Summary!$L$297:$L$333))-AI1214,0)</f>
        <v>0</v>
      </c>
      <c r="AK1214" s="196">
        <f>IFERROR($G1214/SUMIF($A:$A,$A1214,$G:$G)*SUMIF(Summary!$A$247:$A$283,$A1214,Summary!$Q$247:$Q$283),0)</f>
        <v>0</v>
      </c>
      <c r="AL1214" s="196">
        <f>IFERROR($G1214/SUMIF($A:$A,$A1214,$G:$G)*(SUMIF(Summary!$A$247:$A$283,$A1214,Summary!$L$247:$L$283)+SUMIF(Summary!$A$297:$A$333,$A1214,Summary!$L$297:$L$333))-AK1214,0)</f>
        <v>0</v>
      </c>
      <c r="AM1214" s="198"/>
      <c r="AN1214" s="196">
        <f t="shared" ca="1" si="264"/>
        <v>0</v>
      </c>
      <c r="AO1214" s="196">
        <f t="shared" ca="1" si="265"/>
        <v>0</v>
      </c>
    </row>
    <row r="1215" spans="1:41">
      <c r="A1215" s="189">
        <v>3630</v>
      </c>
      <c r="B1215" s="190">
        <v>3</v>
      </c>
      <c r="C1215" s="191" t="s">
        <v>233</v>
      </c>
      <c r="D1215" s="192">
        <f t="shared" si="252"/>
        <v>396</v>
      </c>
      <c r="E1215" s="192">
        <f t="shared" si="253"/>
        <v>15</v>
      </c>
      <c r="F1215" s="192">
        <f t="shared" si="254"/>
        <v>0</v>
      </c>
      <c r="G1215" s="193">
        <f t="shared" si="255"/>
        <v>411</v>
      </c>
      <c r="H1215" s="194">
        <v>153</v>
      </c>
      <c r="I1215" s="194">
        <v>15</v>
      </c>
      <c r="J1215" s="194">
        <v>0</v>
      </c>
      <c r="K1215" s="193">
        <f t="shared" si="256"/>
        <v>168</v>
      </c>
      <c r="L1215" s="194">
        <v>231</v>
      </c>
      <c r="M1215" s="194">
        <v>0</v>
      </c>
      <c r="N1215" s="194">
        <v>0</v>
      </c>
      <c r="O1215" s="193">
        <f t="shared" si="257"/>
        <v>231</v>
      </c>
      <c r="P1215" s="194">
        <v>12</v>
      </c>
      <c r="Q1215" s="194">
        <v>0</v>
      </c>
      <c r="R1215" s="194">
        <v>0</v>
      </c>
      <c r="S1215" s="193">
        <f t="shared" si="258"/>
        <v>12</v>
      </c>
      <c r="T1215" s="193">
        <f t="shared" si="259"/>
        <v>17.125</v>
      </c>
      <c r="U1215" s="193">
        <f ca="1">OFFSET('Expenditure Study'!$B$7,'Operations Support'!$C1215,'Operations Support'!$B1215)*$G1215</f>
        <v>1076.82</v>
      </c>
      <c r="V1215" s="199">
        <f ca="1">U1215*'Expenditure Study'!$B$31</f>
        <v>63621.950749055999</v>
      </c>
      <c r="W1215" s="199">
        <f ca="1">IF(A1215=10298,1.51,1)*IF($B1215&lt;3,$D1215*'Expenditure Study'!$B$32*OFFSET('Expenditure Study'!$B$7,'Operations Support'!$C1215,'Operations Support'!$B1215),0)</f>
        <v>0</v>
      </c>
      <c r="X1215" s="200">
        <f ca="1">W1215*'Expenditure Study'!$B$31</f>
        <v>0</v>
      </c>
      <c r="Y1215" s="199">
        <f ca="1">U1215*'Expenditure Study'!$B$31</f>
        <v>63621.950749055999</v>
      </c>
      <c r="Z1215" s="200">
        <f ca="1">W1215*'Expenditure Study'!$B$31</f>
        <v>0</v>
      </c>
      <c r="AA1215" s="195">
        <f t="shared" ca="1" si="260"/>
        <v>63621.950749055999</v>
      </c>
      <c r="AB1215" s="195">
        <f t="shared" ca="1" si="261"/>
        <v>63621.950749055999</v>
      </c>
      <c r="AD1215" s="196">
        <f>IFERROR($G1215/SUMIF($A:$A,$A1215,$G:$G)*SUMIF(Summary!$A$166:$A$242,$A1215,Summary!$P$166:$P$242),0)</f>
        <v>19766.582643414742</v>
      </c>
      <c r="AE1215" s="197">
        <f t="shared" ca="1" si="262"/>
        <v>43855.368105641261</v>
      </c>
      <c r="AF1215" s="196">
        <f>IFERROR(G1215/SUMIF(A:A,A1215,G:G)*SUMIF(Summary!$A$166:$A$242,'Operations Support'!A1215,Summary!$Q$166:$Q$242),0)</f>
        <v>19871.974097051847</v>
      </c>
      <c r="AG1215" s="196">
        <f t="shared" ca="1" si="263"/>
        <v>43749.976652004152</v>
      </c>
      <c r="AI1215" s="196">
        <f>IFERROR($G1215/SUMIF($A:$A,$A1215,$G:$G)*SUMIF(Summary!$A$247:$A$283,$A1215,Summary!$P$247:$P$283),0)</f>
        <v>3604.9314045874444</v>
      </c>
      <c r="AJ1215" s="196">
        <f>IFERROR($G1215/SUMIF($A:$A,$A1215,$G:$G)*(SUMIF(Summary!$A$247:$A$283,$A1215,Summary!$L$247:$L$283)+SUMIF(Summary!$A$297:$A$333,$A1215,Summary!$L$297:$L$333))-AI1215,0)</f>
        <v>9350.4735229474572</v>
      </c>
      <c r="AK1215" s="196">
        <f>IFERROR($G1215/SUMIF($A:$A,$A1215,$G:$G)*SUMIF(Summary!$A$247:$A$283,$A1215,Summary!$Q$247:$Q$283),0)</f>
        <v>3624.1521757164442</v>
      </c>
      <c r="AL1215" s="196">
        <f>IFERROR($G1215/SUMIF($A:$A,$A1215,$G:$G)*(SUMIF(Summary!$A$247:$A$283,$A1215,Summary!$L$247:$L$283)+SUMIF(Summary!$A$297:$A$333,$A1215,Summary!$L$297:$L$333))-AK1215,0)</f>
        <v>9331.2527518184561</v>
      </c>
      <c r="AM1215" s="198"/>
      <c r="AN1215" s="196">
        <f t="shared" ca="1" si="264"/>
        <v>53205.841628588722</v>
      </c>
      <c r="AO1215" s="196">
        <f t="shared" ca="1" si="265"/>
        <v>53081.22940382261</v>
      </c>
    </row>
    <row r="1216" spans="1:41">
      <c r="A1216" s="189">
        <v>3630</v>
      </c>
      <c r="B1216" s="190">
        <v>3</v>
      </c>
      <c r="C1216" s="191" t="s">
        <v>234</v>
      </c>
      <c r="D1216" s="192">
        <f t="shared" si="252"/>
        <v>0</v>
      </c>
      <c r="E1216" s="192">
        <f t="shared" si="253"/>
        <v>0</v>
      </c>
      <c r="F1216" s="192">
        <f t="shared" si="254"/>
        <v>0</v>
      </c>
      <c r="G1216" s="193">
        <f t="shared" si="255"/>
        <v>0</v>
      </c>
      <c r="H1216" s="194">
        <v>0</v>
      </c>
      <c r="I1216" s="194">
        <v>0</v>
      </c>
      <c r="J1216" s="194">
        <v>0</v>
      </c>
      <c r="K1216" s="193">
        <f t="shared" si="256"/>
        <v>0</v>
      </c>
      <c r="L1216" s="194">
        <v>0</v>
      </c>
      <c r="M1216" s="194">
        <v>0</v>
      </c>
      <c r="N1216" s="194">
        <v>0</v>
      </c>
      <c r="O1216" s="193">
        <f t="shared" si="257"/>
        <v>0</v>
      </c>
      <c r="P1216" s="194">
        <v>0</v>
      </c>
      <c r="Q1216" s="194">
        <v>0</v>
      </c>
      <c r="R1216" s="194">
        <v>0</v>
      </c>
      <c r="S1216" s="193">
        <f t="shared" si="258"/>
        <v>0</v>
      </c>
      <c r="T1216" s="193">
        <f t="shared" si="259"/>
        <v>0</v>
      </c>
      <c r="U1216" s="193">
        <f ca="1">OFFSET('Expenditure Study'!$B$7,'Operations Support'!$C1216,'Operations Support'!$B1216)*$G1216</f>
        <v>0</v>
      </c>
      <c r="V1216" s="199">
        <f ca="1">U1216*'Expenditure Study'!$B$31</f>
        <v>0</v>
      </c>
      <c r="W1216" s="199">
        <f ca="1">IF(A1216=10298,1.51,1)*IF($B1216&lt;3,$D1216*'Expenditure Study'!$B$32*OFFSET('Expenditure Study'!$B$7,'Operations Support'!$C1216,'Operations Support'!$B1216),0)</f>
        <v>0</v>
      </c>
      <c r="X1216" s="200">
        <f ca="1">W1216*'Expenditure Study'!$B$31</f>
        <v>0</v>
      </c>
      <c r="Y1216" s="199">
        <f ca="1">U1216*'Expenditure Study'!$B$31</f>
        <v>0</v>
      </c>
      <c r="Z1216" s="200">
        <f ca="1">W1216*'Expenditure Study'!$B$31</f>
        <v>0</v>
      </c>
      <c r="AA1216" s="195">
        <f t="shared" ca="1" si="260"/>
        <v>0</v>
      </c>
      <c r="AB1216" s="195">
        <f t="shared" ca="1" si="261"/>
        <v>0</v>
      </c>
      <c r="AD1216" s="196">
        <f>IFERROR($G1216/SUMIF($A:$A,$A1216,$G:$G)*SUMIF(Summary!$A$166:$A$242,$A1216,Summary!$P$166:$P$242),0)</f>
        <v>0</v>
      </c>
      <c r="AE1216" s="197">
        <f t="shared" ca="1" si="262"/>
        <v>0</v>
      </c>
      <c r="AF1216" s="196">
        <f>IFERROR(G1216/SUMIF(A:A,A1216,G:G)*SUMIF(Summary!$A$166:$A$242,'Operations Support'!A1216,Summary!$Q$166:$Q$242),0)</f>
        <v>0</v>
      </c>
      <c r="AG1216" s="196">
        <f t="shared" ca="1" si="263"/>
        <v>0</v>
      </c>
      <c r="AI1216" s="196">
        <f>IFERROR($G1216/SUMIF($A:$A,$A1216,$G:$G)*SUMIF(Summary!$A$247:$A$283,$A1216,Summary!$P$247:$P$283),0)</f>
        <v>0</v>
      </c>
      <c r="AJ1216" s="196">
        <f>IFERROR($G1216/SUMIF($A:$A,$A1216,$G:$G)*(SUMIF(Summary!$A$247:$A$283,$A1216,Summary!$L$247:$L$283)+SUMIF(Summary!$A$297:$A$333,$A1216,Summary!$L$297:$L$333))-AI1216,0)</f>
        <v>0</v>
      </c>
      <c r="AK1216" s="196">
        <f>IFERROR($G1216/SUMIF($A:$A,$A1216,$G:$G)*SUMIF(Summary!$A$247:$A$283,$A1216,Summary!$Q$247:$Q$283),0)</f>
        <v>0</v>
      </c>
      <c r="AL1216" s="196">
        <f>IFERROR($G1216/SUMIF($A:$A,$A1216,$G:$G)*(SUMIF(Summary!$A$247:$A$283,$A1216,Summary!$L$247:$L$283)+SUMIF(Summary!$A$297:$A$333,$A1216,Summary!$L$297:$L$333))-AK1216,0)</f>
        <v>0</v>
      </c>
      <c r="AM1216" s="198"/>
      <c r="AN1216" s="196">
        <f t="shared" ca="1" si="264"/>
        <v>0</v>
      </c>
      <c r="AO1216" s="196">
        <f t="shared" ca="1" si="265"/>
        <v>0</v>
      </c>
    </row>
    <row r="1217" spans="1:41">
      <c r="A1217" s="189">
        <v>3630</v>
      </c>
      <c r="B1217" s="190">
        <v>3</v>
      </c>
      <c r="C1217" s="191" t="s">
        <v>235</v>
      </c>
      <c r="D1217" s="192">
        <f t="shared" si="252"/>
        <v>1800</v>
      </c>
      <c r="E1217" s="192">
        <f t="shared" si="253"/>
        <v>222</v>
      </c>
      <c r="F1217" s="192">
        <f t="shared" si="254"/>
        <v>0</v>
      </c>
      <c r="G1217" s="193">
        <f t="shared" si="255"/>
        <v>2022</v>
      </c>
      <c r="H1217" s="194">
        <v>762</v>
      </c>
      <c r="I1217" s="194">
        <v>39</v>
      </c>
      <c r="J1217" s="194">
        <v>0</v>
      </c>
      <c r="K1217" s="193">
        <f t="shared" si="256"/>
        <v>801</v>
      </c>
      <c r="L1217" s="194">
        <v>732</v>
      </c>
      <c r="M1217" s="194">
        <v>75</v>
      </c>
      <c r="N1217" s="194">
        <v>0</v>
      </c>
      <c r="O1217" s="193">
        <f t="shared" si="257"/>
        <v>807</v>
      </c>
      <c r="P1217" s="194">
        <v>306</v>
      </c>
      <c r="Q1217" s="194">
        <v>108</v>
      </c>
      <c r="R1217" s="194">
        <v>0</v>
      </c>
      <c r="S1217" s="193">
        <f t="shared" si="258"/>
        <v>414</v>
      </c>
      <c r="T1217" s="193">
        <f t="shared" si="259"/>
        <v>84.25</v>
      </c>
      <c r="U1217" s="193">
        <f ca="1">OFFSET('Expenditure Study'!$B$7,'Operations Support'!$C1217,'Operations Support'!$B1217)*$G1217</f>
        <v>6389.52</v>
      </c>
      <c r="V1217" s="199">
        <f ca="1">U1217*'Expenditure Study'!$B$31</f>
        <v>377513.16538521601</v>
      </c>
      <c r="W1217" s="199">
        <f ca="1">IF(A1217=10298,1.51,1)*IF($B1217&lt;3,$D1217*'Expenditure Study'!$B$32*OFFSET('Expenditure Study'!$B$7,'Operations Support'!$C1217,'Operations Support'!$B1217),0)</f>
        <v>0</v>
      </c>
      <c r="X1217" s="200">
        <f ca="1">W1217*'Expenditure Study'!$B$31</f>
        <v>0</v>
      </c>
      <c r="Y1217" s="199">
        <f ca="1">U1217*'Expenditure Study'!$B$31</f>
        <v>377513.16538521601</v>
      </c>
      <c r="Z1217" s="200">
        <f ca="1">W1217*'Expenditure Study'!$B$31</f>
        <v>0</v>
      </c>
      <c r="AA1217" s="195">
        <f t="shared" ca="1" si="260"/>
        <v>377513.16538521601</v>
      </c>
      <c r="AB1217" s="195">
        <f t="shared" ca="1" si="261"/>
        <v>377513.16538521601</v>
      </c>
      <c r="AD1217" s="196">
        <f>IFERROR($G1217/SUMIF($A:$A,$A1217,$G:$G)*SUMIF(Summary!$A$166:$A$242,$A1217,Summary!$P$166:$P$242),0)</f>
        <v>97245.815340595145</v>
      </c>
      <c r="AE1217" s="197">
        <f t="shared" ca="1" si="262"/>
        <v>280267.35004462086</v>
      </c>
      <c r="AF1217" s="196">
        <f>IFERROR(G1217/SUMIF(A:A,A1217,G:G)*SUMIF(Summary!$A$166:$A$242,'Operations Support'!A1217,Summary!$Q$166:$Q$242),0)</f>
        <v>97764.310521262363</v>
      </c>
      <c r="AG1217" s="196">
        <f t="shared" ca="1" si="263"/>
        <v>279748.85486395366</v>
      </c>
      <c r="AI1217" s="196">
        <f>IFERROR($G1217/SUMIF($A:$A,$A1217,$G:$G)*SUMIF(Summary!$A$247:$A$283,$A1217,Summary!$P$247:$P$283),0)</f>
        <v>17735.209975853559</v>
      </c>
      <c r="AJ1217" s="196">
        <f>IFERROR($G1217/SUMIF($A:$A,$A1217,$G:$G)*(SUMIF(Summary!$A$247:$A$283,$A1217,Summary!$L$247:$L$283)+SUMIF(Summary!$A$297:$A$333,$A1217,Summary!$L$297:$L$333))-AI1217,0)</f>
        <v>46001.599667639312</v>
      </c>
      <c r="AK1217" s="196">
        <f>IFERROR($G1217/SUMIF($A:$A,$A1217,$G:$G)*SUMIF(Summary!$A$247:$A$283,$A1217,Summary!$Q$247:$Q$283),0)</f>
        <v>17829.770557904256</v>
      </c>
      <c r="AL1217" s="196">
        <f>IFERROR($G1217/SUMIF($A:$A,$A1217,$G:$G)*(SUMIF(Summary!$A$247:$A$283,$A1217,Summary!$L$247:$L$283)+SUMIF(Summary!$A$297:$A$333,$A1217,Summary!$L$297:$L$333))-AK1217,0)</f>
        <v>45907.039085588622</v>
      </c>
      <c r="AM1217" s="198"/>
      <c r="AN1217" s="196">
        <f t="shared" ca="1" si="264"/>
        <v>326268.94971226016</v>
      </c>
      <c r="AO1217" s="196">
        <f t="shared" ca="1" si="265"/>
        <v>325655.89394954231</v>
      </c>
    </row>
    <row r="1218" spans="1:41">
      <c r="A1218" s="189">
        <v>3630</v>
      </c>
      <c r="B1218" s="190">
        <v>3</v>
      </c>
      <c r="C1218" s="191" t="s">
        <v>236</v>
      </c>
      <c r="D1218" s="192">
        <f t="shared" si="252"/>
        <v>0</v>
      </c>
      <c r="E1218" s="192">
        <f t="shared" si="253"/>
        <v>0</v>
      </c>
      <c r="F1218" s="192">
        <f t="shared" si="254"/>
        <v>0</v>
      </c>
      <c r="G1218" s="193">
        <f t="shared" si="255"/>
        <v>0</v>
      </c>
      <c r="H1218" s="194">
        <v>0</v>
      </c>
      <c r="I1218" s="194">
        <v>0</v>
      </c>
      <c r="J1218" s="194">
        <v>0</v>
      </c>
      <c r="K1218" s="193">
        <f t="shared" si="256"/>
        <v>0</v>
      </c>
      <c r="L1218" s="194">
        <v>0</v>
      </c>
      <c r="M1218" s="194">
        <v>0</v>
      </c>
      <c r="N1218" s="194">
        <v>0</v>
      </c>
      <c r="O1218" s="193">
        <f t="shared" si="257"/>
        <v>0</v>
      </c>
      <c r="P1218" s="194">
        <v>0</v>
      </c>
      <c r="Q1218" s="194">
        <v>0</v>
      </c>
      <c r="R1218" s="194">
        <v>0</v>
      </c>
      <c r="S1218" s="193">
        <f t="shared" si="258"/>
        <v>0</v>
      </c>
      <c r="T1218" s="193">
        <f t="shared" si="259"/>
        <v>0</v>
      </c>
      <c r="U1218" s="193">
        <f ca="1">OFFSET('Expenditure Study'!$B$7,'Operations Support'!$C1218,'Operations Support'!$B1218)*$G1218</f>
        <v>0</v>
      </c>
      <c r="V1218" s="199">
        <f ca="1">U1218*'Expenditure Study'!$B$31</f>
        <v>0</v>
      </c>
      <c r="W1218" s="199">
        <f ca="1">IF(A1218=10298,1.51,1)*IF($B1218&lt;3,$D1218*'Expenditure Study'!$B$32*OFFSET('Expenditure Study'!$B$7,'Operations Support'!$C1218,'Operations Support'!$B1218),0)</f>
        <v>0</v>
      </c>
      <c r="X1218" s="200">
        <f ca="1">W1218*'Expenditure Study'!$B$31</f>
        <v>0</v>
      </c>
      <c r="Y1218" s="199">
        <f ca="1">U1218*'Expenditure Study'!$B$31</f>
        <v>0</v>
      </c>
      <c r="Z1218" s="200">
        <f ca="1">W1218*'Expenditure Study'!$B$31</f>
        <v>0</v>
      </c>
      <c r="AA1218" s="195">
        <f t="shared" ca="1" si="260"/>
        <v>0</v>
      </c>
      <c r="AB1218" s="195">
        <f t="shared" ca="1" si="261"/>
        <v>0</v>
      </c>
      <c r="AD1218" s="196">
        <f>IFERROR($G1218/SUMIF($A:$A,$A1218,$G:$G)*SUMIF(Summary!$A$166:$A$242,$A1218,Summary!$P$166:$P$242),0)</f>
        <v>0</v>
      </c>
      <c r="AE1218" s="197">
        <f t="shared" ca="1" si="262"/>
        <v>0</v>
      </c>
      <c r="AF1218" s="196">
        <f>IFERROR(G1218/SUMIF(A:A,A1218,G:G)*SUMIF(Summary!$A$166:$A$242,'Operations Support'!A1218,Summary!$Q$166:$Q$242),0)</f>
        <v>0</v>
      </c>
      <c r="AG1218" s="196">
        <f t="shared" ca="1" si="263"/>
        <v>0</v>
      </c>
      <c r="AI1218" s="196">
        <f>IFERROR($G1218/SUMIF($A:$A,$A1218,$G:$G)*SUMIF(Summary!$A$247:$A$283,$A1218,Summary!$P$247:$P$283),0)</f>
        <v>0</v>
      </c>
      <c r="AJ1218" s="196">
        <f>IFERROR($G1218/SUMIF($A:$A,$A1218,$G:$G)*(SUMIF(Summary!$A$247:$A$283,$A1218,Summary!$L$247:$L$283)+SUMIF(Summary!$A$297:$A$333,$A1218,Summary!$L$297:$L$333))-AI1218,0)</f>
        <v>0</v>
      </c>
      <c r="AK1218" s="196">
        <f>IFERROR($G1218/SUMIF($A:$A,$A1218,$G:$G)*SUMIF(Summary!$A$247:$A$283,$A1218,Summary!$Q$247:$Q$283),0)</f>
        <v>0</v>
      </c>
      <c r="AL1218" s="196">
        <f>IFERROR($G1218/SUMIF($A:$A,$A1218,$G:$G)*(SUMIF(Summary!$A$247:$A$283,$A1218,Summary!$L$247:$L$283)+SUMIF(Summary!$A$297:$A$333,$A1218,Summary!$L$297:$L$333))-AK1218,0)</f>
        <v>0</v>
      </c>
      <c r="AM1218" s="198"/>
      <c r="AN1218" s="196">
        <f t="shared" ca="1" si="264"/>
        <v>0</v>
      </c>
      <c r="AO1218" s="196">
        <f t="shared" ca="1" si="265"/>
        <v>0</v>
      </c>
    </row>
    <row r="1219" spans="1:41">
      <c r="A1219" s="189">
        <v>3630</v>
      </c>
      <c r="B1219" s="190">
        <v>3</v>
      </c>
      <c r="C1219" s="191" t="s">
        <v>237</v>
      </c>
      <c r="D1219" s="192">
        <f t="shared" si="252"/>
        <v>0</v>
      </c>
      <c r="E1219" s="192">
        <f t="shared" si="253"/>
        <v>0</v>
      </c>
      <c r="F1219" s="192">
        <f t="shared" si="254"/>
        <v>0</v>
      </c>
      <c r="G1219" s="193">
        <f t="shared" si="255"/>
        <v>0</v>
      </c>
      <c r="H1219" s="194">
        <v>0</v>
      </c>
      <c r="I1219" s="194">
        <v>0</v>
      </c>
      <c r="J1219" s="194">
        <v>0</v>
      </c>
      <c r="K1219" s="193">
        <f t="shared" si="256"/>
        <v>0</v>
      </c>
      <c r="L1219" s="194">
        <v>0</v>
      </c>
      <c r="M1219" s="194">
        <v>0</v>
      </c>
      <c r="N1219" s="194">
        <v>0</v>
      </c>
      <c r="O1219" s="193">
        <f t="shared" si="257"/>
        <v>0</v>
      </c>
      <c r="P1219" s="194">
        <v>0</v>
      </c>
      <c r="Q1219" s="194">
        <v>0</v>
      </c>
      <c r="R1219" s="194">
        <v>0</v>
      </c>
      <c r="S1219" s="193">
        <f t="shared" si="258"/>
        <v>0</v>
      </c>
      <c r="T1219" s="193">
        <f t="shared" si="259"/>
        <v>0</v>
      </c>
      <c r="U1219" s="193">
        <f ca="1">OFFSET('Expenditure Study'!$B$7,'Operations Support'!$C1219,'Operations Support'!$B1219)*$G1219</f>
        <v>0</v>
      </c>
      <c r="V1219" s="199">
        <f ca="1">U1219*'Expenditure Study'!$B$31</f>
        <v>0</v>
      </c>
      <c r="W1219" s="199">
        <f ca="1">IF(A1219=10298,1.51,1)*IF($B1219&lt;3,$D1219*'Expenditure Study'!$B$32*OFFSET('Expenditure Study'!$B$7,'Operations Support'!$C1219,'Operations Support'!$B1219),0)</f>
        <v>0</v>
      </c>
      <c r="X1219" s="200">
        <f ca="1">W1219*'Expenditure Study'!$B$31</f>
        <v>0</v>
      </c>
      <c r="Y1219" s="199">
        <f ca="1">U1219*'Expenditure Study'!$B$31</f>
        <v>0</v>
      </c>
      <c r="Z1219" s="200">
        <f ca="1">W1219*'Expenditure Study'!$B$31</f>
        <v>0</v>
      </c>
      <c r="AA1219" s="195">
        <f t="shared" ca="1" si="260"/>
        <v>0</v>
      </c>
      <c r="AB1219" s="195">
        <f t="shared" ca="1" si="261"/>
        <v>0</v>
      </c>
      <c r="AD1219" s="196">
        <f>IFERROR($G1219/SUMIF($A:$A,$A1219,$G:$G)*SUMIF(Summary!$A$166:$A$242,$A1219,Summary!$P$166:$P$242),0)</f>
        <v>0</v>
      </c>
      <c r="AE1219" s="197">
        <f t="shared" ca="1" si="262"/>
        <v>0</v>
      </c>
      <c r="AF1219" s="196">
        <f>IFERROR(G1219/SUMIF(A:A,A1219,G:G)*SUMIF(Summary!$A$166:$A$242,'Operations Support'!A1219,Summary!$Q$166:$Q$242),0)</f>
        <v>0</v>
      </c>
      <c r="AG1219" s="196">
        <f t="shared" ca="1" si="263"/>
        <v>0</v>
      </c>
      <c r="AI1219" s="196">
        <f>IFERROR($G1219/SUMIF($A:$A,$A1219,$G:$G)*SUMIF(Summary!$A$247:$A$283,$A1219,Summary!$P$247:$P$283),0)</f>
        <v>0</v>
      </c>
      <c r="AJ1219" s="196">
        <f>IFERROR($G1219/SUMIF($A:$A,$A1219,$G:$G)*(SUMIF(Summary!$A$247:$A$283,$A1219,Summary!$L$247:$L$283)+SUMIF(Summary!$A$297:$A$333,$A1219,Summary!$L$297:$L$333))-AI1219,0)</f>
        <v>0</v>
      </c>
      <c r="AK1219" s="196">
        <f>IFERROR($G1219/SUMIF($A:$A,$A1219,$G:$G)*SUMIF(Summary!$A$247:$A$283,$A1219,Summary!$Q$247:$Q$283),0)</f>
        <v>0</v>
      </c>
      <c r="AL1219" s="196">
        <f>IFERROR($G1219/SUMIF($A:$A,$A1219,$G:$G)*(SUMIF(Summary!$A$247:$A$283,$A1219,Summary!$L$247:$L$283)+SUMIF(Summary!$A$297:$A$333,$A1219,Summary!$L$297:$L$333))-AK1219,0)</f>
        <v>0</v>
      </c>
      <c r="AM1219" s="198"/>
      <c r="AN1219" s="196">
        <f t="shared" ca="1" si="264"/>
        <v>0</v>
      </c>
      <c r="AO1219" s="196">
        <f t="shared" ca="1" si="265"/>
        <v>0</v>
      </c>
    </row>
    <row r="1220" spans="1:41">
      <c r="A1220" s="189">
        <v>3630</v>
      </c>
      <c r="B1220" s="190">
        <v>3</v>
      </c>
      <c r="C1220" s="191" t="s">
        <v>238</v>
      </c>
      <c r="D1220" s="192">
        <f t="shared" si="252"/>
        <v>78</v>
      </c>
      <c r="E1220" s="192">
        <f t="shared" si="253"/>
        <v>0</v>
      </c>
      <c r="F1220" s="192">
        <f t="shared" si="254"/>
        <v>0</v>
      </c>
      <c r="G1220" s="193">
        <f t="shared" si="255"/>
        <v>78</v>
      </c>
      <c r="H1220" s="194">
        <v>78</v>
      </c>
      <c r="I1220" s="194">
        <v>0</v>
      </c>
      <c r="J1220" s="194">
        <v>0</v>
      </c>
      <c r="K1220" s="193">
        <f t="shared" si="256"/>
        <v>78</v>
      </c>
      <c r="L1220" s="194">
        <v>0</v>
      </c>
      <c r="M1220" s="194">
        <v>0</v>
      </c>
      <c r="N1220" s="194">
        <v>0</v>
      </c>
      <c r="O1220" s="193">
        <f t="shared" si="257"/>
        <v>0</v>
      </c>
      <c r="P1220" s="194">
        <v>0</v>
      </c>
      <c r="Q1220" s="194">
        <v>0</v>
      </c>
      <c r="R1220" s="194">
        <v>0</v>
      </c>
      <c r="S1220" s="193">
        <f t="shared" si="258"/>
        <v>0</v>
      </c>
      <c r="T1220" s="193">
        <f t="shared" si="259"/>
        <v>3.25</v>
      </c>
      <c r="U1220" s="193">
        <f ca="1">OFFSET('Expenditure Study'!$B$7,'Operations Support'!$C1220,'Operations Support'!$B1220)*$G1220</f>
        <v>455.52</v>
      </c>
      <c r="V1220" s="199">
        <f ca="1">U1220*'Expenditure Study'!$B$31</f>
        <v>26913.570518016</v>
      </c>
      <c r="W1220" s="199">
        <f ca="1">IF(A1220=10298,1.51,1)*IF($B1220&lt;3,$D1220*'Expenditure Study'!$B$32*OFFSET('Expenditure Study'!$B$7,'Operations Support'!$C1220,'Operations Support'!$B1220),0)</f>
        <v>0</v>
      </c>
      <c r="X1220" s="200">
        <f ca="1">W1220*'Expenditure Study'!$B$31</f>
        <v>0</v>
      </c>
      <c r="Y1220" s="199">
        <f ca="1">U1220*'Expenditure Study'!$B$31</f>
        <v>26913.570518016</v>
      </c>
      <c r="Z1220" s="200">
        <f ca="1">W1220*'Expenditure Study'!$B$31</f>
        <v>0</v>
      </c>
      <c r="AA1220" s="195">
        <f t="shared" ca="1" si="260"/>
        <v>26913.570518016</v>
      </c>
      <c r="AB1220" s="195">
        <f t="shared" ca="1" si="261"/>
        <v>26913.570518016</v>
      </c>
      <c r="AD1220" s="196">
        <f>IFERROR($G1220/SUMIF($A:$A,$A1220,$G:$G)*SUMIF(Summary!$A$166:$A$242,$A1220,Summary!$P$166:$P$242),0)</f>
        <v>3751.3222534947686</v>
      </c>
      <c r="AE1220" s="197">
        <f t="shared" ca="1" si="262"/>
        <v>23162.248264521233</v>
      </c>
      <c r="AF1220" s="196">
        <f>IFERROR(G1220/SUMIF(A:A,A1220,G:G)*SUMIF(Summary!$A$166:$A$242,'Operations Support'!A1220,Summary!$Q$166:$Q$242),0)</f>
        <v>3771.3235512653146</v>
      </c>
      <c r="AG1220" s="196">
        <f t="shared" ca="1" si="263"/>
        <v>23142.246966750685</v>
      </c>
      <c r="AI1220" s="196">
        <f>IFERROR($G1220/SUMIF($A:$A,$A1220,$G:$G)*SUMIF(Summary!$A$247:$A$283,$A1220,Summary!$P$247:$P$283),0)</f>
        <v>684.14756583411361</v>
      </c>
      <c r="AJ1220" s="196">
        <f>IFERROR($G1220/SUMIF($A:$A,$A1220,$G:$G)*(SUMIF(Summary!$A$247:$A$283,$A1220,Summary!$L$247:$L$283)+SUMIF(Summary!$A$297:$A$333,$A1220,Summary!$L$297:$L$333))-AI1220,0)</f>
        <v>1774.542420413386</v>
      </c>
      <c r="AK1220" s="196">
        <f>IFERROR($G1220/SUMIF($A:$A,$A1220,$G:$G)*SUMIF(Summary!$A$247:$A$283,$A1220,Summary!$Q$247:$Q$283),0)</f>
        <v>687.79530342063902</v>
      </c>
      <c r="AL1220" s="196">
        <f>IFERROR($G1220/SUMIF($A:$A,$A1220,$G:$G)*(SUMIF(Summary!$A$247:$A$283,$A1220,Summary!$L$247:$L$283)+SUMIF(Summary!$A$297:$A$333,$A1220,Summary!$L$297:$L$333))-AK1220,0)</f>
        <v>1770.8946828268608</v>
      </c>
      <c r="AM1220" s="198"/>
      <c r="AN1220" s="196">
        <f t="shared" ca="1" si="264"/>
        <v>24936.790684934618</v>
      </c>
      <c r="AO1220" s="196">
        <f t="shared" ca="1" si="265"/>
        <v>24913.141649577545</v>
      </c>
    </row>
    <row r="1221" spans="1:41">
      <c r="A1221" s="189">
        <v>3630</v>
      </c>
      <c r="B1221" s="190">
        <v>3</v>
      </c>
      <c r="C1221" s="191" t="s">
        <v>239</v>
      </c>
      <c r="D1221" s="192">
        <f t="shared" ref="D1221:D1284" si="266">H1221+L1221+P1221</f>
        <v>161</v>
      </c>
      <c r="E1221" s="192">
        <f t="shared" ref="E1221:E1284" si="267">I1221+M1221+Q1221</f>
        <v>96</v>
      </c>
      <c r="F1221" s="192">
        <f t="shared" ref="F1221:F1284" si="268">J1221+N1221+R1221</f>
        <v>0</v>
      </c>
      <c r="G1221" s="193">
        <f t="shared" ref="G1221:G1284" si="269">(SUM(D1221:E1221)-F1221)*IF(A1221=10298,1.51,1)</f>
        <v>257</v>
      </c>
      <c r="H1221" s="194">
        <v>70</v>
      </c>
      <c r="I1221" s="194">
        <v>45</v>
      </c>
      <c r="J1221" s="194">
        <v>0</v>
      </c>
      <c r="K1221" s="193">
        <f t="shared" ref="K1221:K1284" si="270">SUM(H1221:I1221)-J1221</f>
        <v>115</v>
      </c>
      <c r="L1221" s="194">
        <v>36</v>
      </c>
      <c r="M1221" s="194">
        <v>27</v>
      </c>
      <c r="N1221" s="194">
        <v>0</v>
      </c>
      <c r="O1221" s="193">
        <f t="shared" ref="O1221:O1284" si="271">SUM(L1221:M1221)-N1221</f>
        <v>63</v>
      </c>
      <c r="P1221" s="194">
        <v>55</v>
      </c>
      <c r="Q1221" s="194">
        <v>24</v>
      </c>
      <c r="R1221" s="194">
        <v>0</v>
      </c>
      <c r="S1221" s="193">
        <f t="shared" ref="S1221:S1284" si="272">SUM(P1221:Q1221)-R1221</f>
        <v>79</v>
      </c>
      <c r="T1221" s="193">
        <f t="shared" ref="T1221:T1284" si="273">IF(OR(B1221=1,B1221=2),G1221/30,IF(OR(B1221=3,B1221=5),G1221/24,IF(B1221=4,G1221/18,0)))</f>
        <v>10.708333333333334</v>
      </c>
      <c r="U1221" s="193">
        <f ca="1">OFFSET('Expenditure Study'!$B$7,'Operations Support'!$C1221,'Operations Support'!$B1221)*$G1221</f>
        <v>699.04000000000008</v>
      </c>
      <c r="V1221" s="199">
        <f ca="1">U1221*'Expenditure Study'!$B$31</f>
        <v>41301.506706432003</v>
      </c>
      <c r="W1221" s="199">
        <f ca="1">IF(A1221=10298,1.51,1)*IF($B1221&lt;3,$D1221*'Expenditure Study'!$B$32*OFFSET('Expenditure Study'!$B$7,'Operations Support'!$C1221,'Operations Support'!$B1221),0)</f>
        <v>0</v>
      </c>
      <c r="X1221" s="200">
        <f ca="1">W1221*'Expenditure Study'!$B$31</f>
        <v>0</v>
      </c>
      <c r="Y1221" s="199">
        <f ca="1">U1221*'Expenditure Study'!$B$31</f>
        <v>41301.506706432003</v>
      </c>
      <c r="Z1221" s="200">
        <f ca="1">W1221*'Expenditure Study'!$B$31</f>
        <v>0</v>
      </c>
      <c r="AA1221" s="195">
        <f t="shared" ref="AA1221:AA1284" ca="1" si="274">V1221+X1221</f>
        <v>41301.506706432003</v>
      </c>
      <c r="AB1221" s="195">
        <f t="shared" ref="AB1221:AB1284" ca="1" si="275">Y1221+Z1221</f>
        <v>41301.506706432003</v>
      </c>
      <c r="AD1221" s="196">
        <f>IFERROR($G1221/SUMIF($A:$A,$A1221,$G:$G)*SUMIF(Summary!$A$166:$A$242,$A1221,Summary!$P$166:$P$242),0)</f>
        <v>12360.125886514814</v>
      </c>
      <c r="AE1221" s="197">
        <f t="shared" ca="1" si="262"/>
        <v>28941.380819917191</v>
      </c>
      <c r="AF1221" s="196">
        <f>IFERROR(G1221/SUMIF(A:A,A1221,G:G)*SUMIF(Summary!$A$166:$A$242,'Operations Support'!A1221,Summary!$Q$166:$Q$242),0)</f>
        <v>12426.027598399818</v>
      </c>
      <c r="AG1221" s="196">
        <f t="shared" ca="1" si="263"/>
        <v>28875.479108032185</v>
      </c>
      <c r="AI1221" s="196">
        <f>IFERROR($G1221/SUMIF($A:$A,$A1221,$G:$G)*SUMIF(Summary!$A$247:$A$283,$A1221,Summary!$P$247:$P$283),0)</f>
        <v>2254.1785181970154</v>
      </c>
      <c r="AJ1221" s="196">
        <f>IFERROR($G1221/SUMIF($A:$A,$A1221,$G:$G)*(SUMIF(Summary!$A$247:$A$283,$A1221,Summary!$L$247:$L$283)+SUMIF(Summary!$A$297:$A$333,$A1221,Summary!$L$297:$L$333))-AI1221,0)</f>
        <v>5846.8897698235924</v>
      </c>
      <c r="AK1221" s="196">
        <f>IFERROR($G1221/SUMIF($A:$A,$A1221,$G:$G)*SUMIF(Summary!$A$247:$A$283,$A1221,Summary!$Q$247:$Q$283),0)</f>
        <v>2266.1973458859516</v>
      </c>
      <c r="AL1221" s="196">
        <f>IFERROR($G1221/SUMIF($A:$A,$A1221,$G:$G)*(SUMIF(Summary!$A$247:$A$283,$A1221,Summary!$L$247:$L$283)+SUMIF(Summary!$A$297:$A$333,$A1221,Summary!$L$297:$L$333))-AK1221,0)</f>
        <v>5834.8709421346557</v>
      </c>
      <c r="AM1221" s="198"/>
      <c r="AN1221" s="196">
        <f t="shared" ca="1" si="264"/>
        <v>34788.270589740787</v>
      </c>
      <c r="AO1221" s="196">
        <f t="shared" ca="1" si="265"/>
        <v>34710.350050166839</v>
      </c>
    </row>
    <row r="1222" spans="1:41">
      <c r="A1222" s="189">
        <v>3630</v>
      </c>
      <c r="B1222" s="190">
        <v>3</v>
      </c>
      <c r="C1222" s="191" t="s">
        <v>240</v>
      </c>
      <c r="D1222" s="192">
        <f t="shared" si="266"/>
        <v>0</v>
      </c>
      <c r="E1222" s="192">
        <f t="shared" si="267"/>
        <v>0</v>
      </c>
      <c r="F1222" s="192">
        <f t="shared" si="268"/>
        <v>0</v>
      </c>
      <c r="G1222" s="193">
        <f t="shared" si="269"/>
        <v>0</v>
      </c>
      <c r="H1222" s="194">
        <v>0</v>
      </c>
      <c r="I1222" s="194">
        <v>0</v>
      </c>
      <c r="J1222" s="194">
        <v>0</v>
      </c>
      <c r="K1222" s="193">
        <f t="shared" si="270"/>
        <v>0</v>
      </c>
      <c r="L1222" s="194">
        <v>0</v>
      </c>
      <c r="M1222" s="194">
        <v>0</v>
      </c>
      <c r="N1222" s="194">
        <v>0</v>
      </c>
      <c r="O1222" s="193">
        <f t="shared" si="271"/>
        <v>0</v>
      </c>
      <c r="P1222" s="194">
        <v>0</v>
      </c>
      <c r="Q1222" s="194">
        <v>0</v>
      </c>
      <c r="R1222" s="194">
        <v>0</v>
      </c>
      <c r="S1222" s="193">
        <f t="shared" si="272"/>
        <v>0</v>
      </c>
      <c r="T1222" s="193">
        <f t="shared" si="273"/>
        <v>0</v>
      </c>
      <c r="U1222" s="193">
        <f ca="1">OFFSET('Expenditure Study'!$B$7,'Operations Support'!$C1222,'Operations Support'!$B1222)*$G1222</f>
        <v>0</v>
      </c>
      <c r="V1222" s="199">
        <f ca="1">U1222*'Expenditure Study'!$B$31</f>
        <v>0</v>
      </c>
      <c r="W1222" s="199">
        <f ca="1">IF(A1222=10298,1.51,1)*IF($B1222&lt;3,$D1222*'Expenditure Study'!$B$32*OFFSET('Expenditure Study'!$B$7,'Operations Support'!$C1222,'Operations Support'!$B1222),0)</f>
        <v>0</v>
      </c>
      <c r="X1222" s="200">
        <f ca="1">W1222*'Expenditure Study'!$B$31</f>
        <v>0</v>
      </c>
      <c r="Y1222" s="199">
        <f ca="1">U1222*'Expenditure Study'!$B$31</f>
        <v>0</v>
      </c>
      <c r="Z1222" s="200">
        <f ca="1">W1222*'Expenditure Study'!$B$31</f>
        <v>0</v>
      </c>
      <c r="AA1222" s="195">
        <f t="shared" ca="1" si="274"/>
        <v>0</v>
      </c>
      <c r="AB1222" s="195">
        <f t="shared" ca="1" si="275"/>
        <v>0</v>
      </c>
      <c r="AD1222" s="196">
        <f>IFERROR($G1222/SUMIF($A:$A,$A1222,$G:$G)*SUMIF(Summary!$A$166:$A$242,$A1222,Summary!$P$166:$P$242),0)</f>
        <v>0</v>
      </c>
      <c r="AE1222" s="197">
        <f t="shared" ref="AE1222:AE1285" ca="1" si="276">V1222+X1222-AD1222</f>
        <v>0</v>
      </c>
      <c r="AF1222" s="196">
        <f>IFERROR(G1222/SUMIF(A:A,A1222,G:G)*SUMIF(Summary!$A$166:$A$242,'Operations Support'!A1222,Summary!$Q$166:$Q$242),0)</f>
        <v>0</v>
      </c>
      <c r="AG1222" s="196">
        <f t="shared" ref="AG1222:AG1285" ca="1" si="277">Y1222+Z1222-AF1222</f>
        <v>0</v>
      </c>
      <c r="AI1222" s="196">
        <f>IFERROR($G1222/SUMIF($A:$A,$A1222,$G:$G)*SUMIF(Summary!$A$247:$A$283,$A1222,Summary!$P$247:$P$283),0)</f>
        <v>0</v>
      </c>
      <c r="AJ1222" s="196">
        <f>IFERROR($G1222/SUMIF($A:$A,$A1222,$G:$G)*(SUMIF(Summary!$A$247:$A$283,$A1222,Summary!$L$247:$L$283)+SUMIF(Summary!$A$297:$A$333,$A1222,Summary!$L$297:$L$333))-AI1222,0)</f>
        <v>0</v>
      </c>
      <c r="AK1222" s="196">
        <f>IFERROR($G1222/SUMIF($A:$A,$A1222,$G:$G)*SUMIF(Summary!$A$247:$A$283,$A1222,Summary!$Q$247:$Q$283),0)</f>
        <v>0</v>
      </c>
      <c r="AL1222" s="196">
        <f>IFERROR($G1222/SUMIF($A:$A,$A1222,$G:$G)*(SUMIF(Summary!$A$247:$A$283,$A1222,Summary!$L$247:$L$283)+SUMIF(Summary!$A$297:$A$333,$A1222,Summary!$L$297:$L$333))-AK1222,0)</f>
        <v>0</v>
      </c>
      <c r="AM1222" s="198"/>
      <c r="AN1222" s="196">
        <f t="shared" ref="AN1222:AN1285" ca="1" si="278">AE1222+AJ1222</f>
        <v>0</v>
      </c>
      <c r="AO1222" s="196">
        <f t="shared" ref="AO1222:AO1285" ca="1" si="279">AG1222+AL1222</f>
        <v>0</v>
      </c>
    </row>
    <row r="1223" spans="1:41">
      <c r="A1223" s="189">
        <v>3630</v>
      </c>
      <c r="B1223" s="190">
        <v>4</v>
      </c>
      <c r="C1223" s="191" t="s">
        <v>220</v>
      </c>
      <c r="D1223" s="192">
        <f t="shared" si="266"/>
        <v>278</v>
      </c>
      <c r="E1223" s="192">
        <f t="shared" si="267"/>
        <v>41</v>
      </c>
      <c r="F1223" s="192">
        <f t="shared" si="268"/>
        <v>3</v>
      </c>
      <c r="G1223" s="193">
        <f t="shared" si="269"/>
        <v>316</v>
      </c>
      <c r="H1223" s="194">
        <v>115</v>
      </c>
      <c r="I1223" s="194">
        <v>16</v>
      </c>
      <c r="J1223" s="194">
        <v>0</v>
      </c>
      <c r="K1223" s="193">
        <f t="shared" si="270"/>
        <v>131</v>
      </c>
      <c r="L1223" s="194">
        <v>118</v>
      </c>
      <c r="M1223" s="194">
        <v>8</v>
      </c>
      <c r="N1223" s="194">
        <v>0</v>
      </c>
      <c r="O1223" s="193">
        <f t="shared" si="271"/>
        <v>126</v>
      </c>
      <c r="P1223" s="194">
        <v>45</v>
      </c>
      <c r="Q1223" s="194">
        <v>17</v>
      </c>
      <c r="R1223" s="194">
        <v>3</v>
      </c>
      <c r="S1223" s="193">
        <f t="shared" si="272"/>
        <v>59</v>
      </c>
      <c r="T1223" s="193">
        <f t="shared" si="273"/>
        <v>17.555555555555557</v>
      </c>
      <c r="U1223" s="193">
        <f ca="1">OFFSET('Expenditure Study'!$B$7,'Operations Support'!$C1223,'Operations Support'!$B1223)*$G1223</f>
        <v>4654.68</v>
      </c>
      <c r="V1223" s="199">
        <f ca="1">U1223*'Expenditure Study'!$B$31</f>
        <v>275013.30000614404</v>
      </c>
      <c r="W1223" s="199">
        <f ca="1">IF(A1223=10298,1.51,1)*IF($B1223&lt;3,$D1223*'Expenditure Study'!$B$32*OFFSET('Expenditure Study'!$B$7,'Operations Support'!$C1223,'Operations Support'!$B1223),0)</f>
        <v>0</v>
      </c>
      <c r="X1223" s="200">
        <f ca="1">W1223*'Expenditure Study'!$B$31</f>
        <v>0</v>
      </c>
      <c r="Y1223" s="199">
        <f ca="1">U1223*'Expenditure Study'!$B$31</f>
        <v>275013.30000614404</v>
      </c>
      <c r="Z1223" s="200">
        <f ca="1">W1223*'Expenditure Study'!$B$31</f>
        <v>0</v>
      </c>
      <c r="AA1223" s="195">
        <f t="shared" ca="1" si="274"/>
        <v>275013.30000614404</v>
      </c>
      <c r="AB1223" s="195">
        <f t="shared" ca="1" si="275"/>
        <v>275013.30000614404</v>
      </c>
      <c r="AD1223" s="196">
        <f>IFERROR($G1223/SUMIF($A:$A,$A1223,$G:$G)*SUMIF(Summary!$A$166:$A$242,$A1223,Summary!$P$166:$P$242),0)</f>
        <v>15197.664514158294</v>
      </c>
      <c r="AE1223" s="197">
        <f t="shared" ca="1" si="276"/>
        <v>259815.63549198574</v>
      </c>
      <c r="AF1223" s="196">
        <f>IFERROR(G1223/SUMIF(A:A,A1223,G:G)*SUMIF(Summary!$A$166:$A$242,'Operations Support'!A1223,Summary!$Q$166:$Q$242),0)</f>
        <v>15278.695412818453</v>
      </c>
      <c r="AG1223" s="196">
        <f t="shared" ca="1" si="277"/>
        <v>259734.60459332558</v>
      </c>
      <c r="AI1223" s="196">
        <f>IFERROR($G1223/SUMIF($A:$A,$A1223,$G:$G)*SUMIF(Summary!$A$247:$A$283,$A1223,Summary!$P$247:$P$283),0)</f>
        <v>2771.6747538920499</v>
      </c>
      <c r="AJ1223" s="196">
        <f>IFERROR($G1223/SUMIF($A:$A,$A1223,$G:$G)*(SUMIF(Summary!$A$247:$A$283,$A1223,Summary!$L$247:$L$283)+SUMIF(Summary!$A$297:$A$333,$A1223,Summary!$L$297:$L$333))-AI1223,0)</f>
        <v>7189.1718570593603</v>
      </c>
      <c r="AK1223" s="196">
        <f>IFERROR($G1223/SUMIF($A:$A,$A1223,$G:$G)*SUMIF(Summary!$A$247:$A$283,$A1223,Summary!$Q$247:$Q$283),0)</f>
        <v>2786.4527677041274</v>
      </c>
      <c r="AL1223" s="196">
        <f>IFERROR($G1223/SUMIF($A:$A,$A1223,$G:$G)*(SUMIF(Summary!$A$247:$A$283,$A1223,Summary!$L$247:$L$283)+SUMIF(Summary!$A$297:$A$333,$A1223,Summary!$L$297:$L$333))-AK1223,0)</f>
        <v>7174.3938432472823</v>
      </c>
      <c r="AM1223" s="198"/>
      <c r="AN1223" s="196">
        <f t="shared" ca="1" si="278"/>
        <v>267004.80734904512</v>
      </c>
      <c r="AO1223" s="196">
        <f t="shared" ca="1" si="279"/>
        <v>266908.99843657285</v>
      </c>
    </row>
    <row r="1224" spans="1:41" s="201" customFormat="1">
      <c r="A1224" s="189">
        <v>3630</v>
      </c>
      <c r="B1224" s="190">
        <v>4</v>
      </c>
      <c r="C1224" s="191" t="s">
        <v>221</v>
      </c>
      <c r="D1224" s="192">
        <f t="shared" si="266"/>
        <v>0</v>
      </c>
      <c r="E1224" s="192">
        <f t="shared" si="267"/>
        <v>0</v>
      </c>
      <c r="F1224" s="192">
        <f t="shared" si="268"/>
        <v>0</v>
      </c>
      <c r="G1224" s="193">
        <f t="shared" si="269"/>
        <v>0</v>
      </c>
      <c r="H1224" s="194">
        <v>0</v>
      </c>
      <c r="I1224" s="194">
        <v>0</v>
      </c>
      <c r="J1224" s="194">
        <v>0</v>
      </c>
      <c r="K1224" s="193">
        <f t="shared" si="270"/>
        <v>0</v>
      </c>
      <c r="L1224" s="194">
        <v>0</v>
      </c>
      <c r="M1224" s="194">
        <v>0</v>
      </c>
      <c r="N1224" s="194">
        <v>0</v>
      </c>
      <c r="O1224" s="193">
        <f t="shared" si="271"/>
        <v>0</v>
      </c>
      <c r="P1224" s="194">
        <v>0</v>
      </c>
      <c r="Q1224" s="194">
        <v>0</v>
      </c>
      <c r="R1224" s="194">
        <v>0</v>
      </c>
      <c r="S1224" s="193">
        <f t="shared" si="272"/>
        <v>0</v>
      </c>
      <c r="T1224" s="193">
        <f t="shared" si="273"/>
        <v>0</v>
      </c>
      <c r="U1224" s="193">
        <f ca="1">OFFSET('Expenditure Study'!$B$7,'Operations Support'!$C1224,'Operations Support'!$B1224)*$G1224</f>
        <v>0</v>
      </c>
      <c r="V1224" s="199">
        <f ca="1">U1224*'Expenditure Study'!$B$31</f>
        <v>0</v>
      </c>
      <c r="W1224" s="199">
        <f ca="1">IF(A1224=10298,1.51,1)*IF($B1224&lt;3,$D1224*'Expenditure Study'!$B$32*OFFSET('Expenditure Study'!$B$7,'Operations Support'!$C1224,'Operations Support'!$B1224),0)</f>
        <v>0</v>
      </c>
      <c r="X1224" s="200">
        <f ca="1">W1224*'Expenditure Study'!$B$31</f>
        <v>0</v>
      </c>
      <c r="Y1224" s="199">
        <f ca="1">U1224*'Expenditure Study'!$B$31</f>
        <v>0</v>
      </c>
      <c r="Z1224" s="200">
        <f ca="1">W1224*'Expenditure Study'!$B$31</f>
        <v>0</v>
      </c>
      <c r="AA1224" s="195">
        <f t="shared" ca="1" si="274"/>
        <v>0</v>
      </c>
      <c r="AB1224" s="195">
        <f t="shared" ca="1" si="275"/>
        <v>0</v>
      </c>
      <c r="AD1224" s="196">
        <f>IFERROR($G1224/SUMIF($A:$A,$A1224,$G:$G)*SUMIF(Summary!$A$166:$A$242,$A1224,Summary!$P$166:$P$242),0)</f>
        <v>0</v>
      </c>
      <c r="AE1224" s="197">
        <f t="shared" ca="1" si="276"/>
        <v>0</v>
      </c>
      <c r="AF1224" s="196">
        <f>IFERROR(G1224/SUMIF(A:A,A1224,G:G)*SUMIF(Summary!$A$166:$A$242,'Operations Support'!A1224,Summary!$Q$166:$Q$242),0)</f>
        <v>0</v>
      </c>
      <c r="AG1224" s="196">
        <f t="shared" ca="1" si="277"/>
        <v>0</v>
      </c>
      <c r="AH1224" s="180"/>
      <c r="AI1224" s="196">
        <f>IFERROR($G1224/SUMIF($A:$A,$A1224,$G:$G)*SUMIF(Summary!$A$247:$A$283,$A1224,Summary!$P$247:$P$283),0)</f>
        <v>0</v>
      </c>
      <c r="AJ1224" s="196">
        <f>IFERROR($G1224/SUMIF($A:$A,$A1224,$G:$G)*(SUMIF(Summary!$A$247:$A$283,$A1224,Summary!$L$247:$L$283)+SUMIF(Summary!$A$297:$A$333,$A1224,Summary!$L$297:$L$333))-AI1224,0)</f>
        <v>0</v>
      </c>
      <c r="AK1224" s="196">
        <f>IFERROR($G1224/SUMIF($A:$A,$A1224,$G:$G)*SUMIF(Summary!$A$247:$A$283,$A1224,Summary!$Q$247:$Q$283),0)</f>
        <v>0</v>
      </c>
      <c r="AL1224" s="196">
        <f>IFERROR($G1224/SUMIF($A:$A,$A1224,$G:$G)*(SUMIF(Summary!$A$247:$A$283,$A1224,Summary!$L$247:$L$283)+SUMIF(Summary!$A$297:$A$333,$A1224,Summary!$L$297:$L$333))-AK1224,0)</f>
        <v>0</v>
      </c>
      <c r="AM1224" s="198"/>
      <c r="AN1224" s="196">
        <f t="shared" ca="1" si="278"/>
        <v>0</v>
      </c>
      <c r="AO1224" s="196">
        <f t="shared" ca="1" si="279"/>
        <v>0</v>
      </c>
    </row>
    <row r="1225" spans="1:41" s="201" customFormat="1">
      <c r="A1225" s="189">
        <v>3630</v>
      </c>
      <c r="B1225" s="190">
        <v>4</v>
      </c>
      <c r="C1225" s="191" t="s">
        <v>222</v>
      </c>
      <c r="D1225" s="192">
        <f t="shared" si="266"/>
        <v>0</v>
      </c>
      <c r="E1225" s="192">
        <f t="shared" si="267"/>
        <v>0</v>
      </c>
      <c r="F1225" s="192">
        <f t="shared" si="268"/>
        <v>0</v>
      </c>
      <c r="G1225" s="193">
        <f t="shared" si="269"/>
        <v>0</v>
      </c>
      <c r="H1225" s="194">
        <v>0</v>
      </c>
      <c r="I1225" s="194">
        <v>0</v>
      </c>
      <c r="J1225" s="194">
        <v>0</v>
      </c>
      <c r="K1225" s="193">
        <f t="shared" si="270"/>
        <v>0</v>
      </c>
      <c r="L1225" s="194">
        <v>0</v>
      </c>
      <c r="M1225" s="194">
        <v>0</v>
      </c>
      <c r="N1225" s="194">
        <v>0</v>
      </c>
      <c r="O1225" s="193">
        <f t="shared" si="271"/>
        <v>0</v>
      </c>
      <c r="P1225" s="194">
        <v>0</v>
      </c>
      <c r="Q1225" s="194">
        <v>0</v>
      </c>
      <c r="R1225" s="194">
        <v>0</v>
      </c>
      <c r="S1225" s="193">
        <f t="shared" si="272"/>
        <v>0</v>
      </c>
      <c r="T1225" s="193">
        <f t="shared" si="273"/>
        <v>0</v>
      </c>
      <c r="U1225" s="193">
        <f ca="1">OFFSET('Expenditure Study'!$B$7,'Operations Support'!$C1225,'Operations Support'!$B1225)*$G1225</f>
        <v>0</v>
      </c>
      <c r="V1225" s="199">
        <f ca="1">U1225*'Expenditure Study'!$B$31</f>
        <v>0</v>
      </c>
      <c r="W1225" s="199">
        <f ca="1">IF(A1225=10298,1.51,1)*IF($B1225&lt;3,$D1225*'Expenditure Study'!$B$32*OFFSET('Expenditure Study'!$B$7,'Operations Support'!$C1225,'Operations Support'!$B1225),0)</f>
        <v>0</v>
      </c>
      <c r="X1225" s="200">
        <f ca="1">W1225*'Expenditure Study'!$B$31</f>
        <v>0</v>
      </c>
      <c r="Y1225" s="199">
        <f ca="1">U1225*'Expenditure Study'!$B$31</f>
        <v>0</v>
      </c>
      <c r="Z1225" s="200">
        <f ca="1">W1225*'Expenditure Study'!$B$31</f>
        <v>0</v>
      </c>
      <c r="AA1225" s="195">
        <f t="shared" ca="1" si="274"/>
        <v>0</v>
      </c>
      <c r="AB1225" s="195">
        <f t="shared" ca="1" si="275"/>
        <v>0</v>
      </c>
      <c r="AD1225" s="196">
        <f>IFERROR($G1225/SUMIF($A:$A,$A1225,$G:$G)*SUMIF(Summary!$A$166:$A$242,$A1225,Summary!$P$166:$P$242),0)</f>
        <v>0</v>
      </c>
      <c r="AE1225" s="197">
        <f t="shared" ca="1" si="276"/>
        <v>0</v>
      </c>
      <c r="AF1225" s="196">
        <f>IFERROR(G1225/SUMIF(A:A,A1225,G:G)*SUMIF(Summary!$A$166:$A$242,'Operations Support'!A1225,Summary!$Q$166:$Q$242),0)</f>
        <v>0</v>
      </c>
      <c r="AG1225" s="196">
        <f t="shared" ca="1" si="277"/>
        <v>0</v>
      </c>
      <c r="AH1225" s="180"/>
      <c r="AI1225" s="196">
        <f>IFERROR($G1225/SUMIF($A:$A,$A1225,$G:$G)*SUMIF(Summary!$A$247:$A$283,$A1225,Summary!$P$247:$P$283),0)</f>
        <v>0</v>
      </c>
      <c r="AJ1225" s="196">
        <f>IFERROR($G1225/SUMIF($A:$A,$A1225,$G:$G)*(SUMIF(Summary!$A$247:$A$283,$A1225,Summary!$L$247:$L$283)+SUMIF(Summary!$A$297:$A$333,$A1225,Summary!$L$297:$L$333))-AI1225,0)</f>
        <v>0</v>
      </c>
      <c r="AK1225" s="196">
        <f>IFERROR($G1225/SUMIF($A:$A,$A1225,$G:$G)*SUMIF(Summary!$A$247:$A$283,$A1225,Summary!$Q$247:$Q$283),0)</f>
        <v>0</v>
      </c>
      <c r="AL1225" s="196">
        <f>IFERROR($G1225/SUMIF($A:$A,$A1225,$G:$G)*(SUMIF(Summary!$A$247:$A$283,$A1225,Summary!$L$247:$L$283)+SUMIF(Summary!$A$297:$A$333,$A1225,Summary!$L$297:$L$333))-AK1225,0)</f>
        <v>0</v>
      </c>
      <c r="AM1225" s="198"/>
      <c r="AN1225" s="196">
        <f t="shared" ca="1" si="278"/>
        <v>0</v>
      </c>
      <c r="AO1225" s="196">
        <f t="shared" ca="1" si="279"/>
        <v>0</v>
      </c>
    </row>
    <row r="1226" spans="1:41">
      <c r="A1226" s="189">
        <v>3630</v>
      </c>
      <c r="B1226" s="190">
        <v>4</v>
      </c>
      <c r="C1226" s="191" t="s">
        <v>223</v>
      </c>
      <c r="D1226" s="192">
        <f t="shared" si="266"/>
        <v>989</v>
      </c>
      <c r="E1226" s="192">
        <f t="shared" si="267"/>
        <v>33</v>
      </c>
      <c r="F1226" s="192">
        <f t="shared" si="268"/>
        <v>46</v>
      </c>
      <c r="G1226" s="193">
        <f t="shared" si="269"/>
        <v>976</v>
      </c>
      <c r="H1226" s="194">
        <v>370</v>
      </c>
      <c r="I1226" s="194">
        <v>9</v>
      </c>
      <c r="J1226" s="194">
        <v>8</v>
      </c>
      <c r="K1226" s="193">
        <f t="shared" si="270"/>
        <v>371</v>
      </c>
      <c r="L1226" s="194">
        <v>351</v>
      </c>
      <c r="M1226" s="194">
        <v>24</v>
      </c>
      <c r="N1226" s="194">
        <v>17</v>
      </c>
      <c r="O1226" s="193">
        <f t="shared" si="271"/>
        <v>358</v>
      </c>
      <c r="P1226" s="194">
        <v>268</v>
      </c>
      <c r="Q1226" s="194">
        <v>0</v>
      </c>
      <c r="R1226" s="194">
        <v>21</v>
      </c>
      <c r="S1226" s="193">
        <f t="shared" si="272"/>
        <v>247</v>
      </c>
      <c r="T1226" s="193">
        <f t="shared" si="273"/>
        <v>54.222222222222221</v>
      </c>
      <c r="U1226" s="193">
        <f ca="1">OFFSET('Expenditure Study'!$B$7,'Operations Support'!$C1226,'Operations Support'!$B1226)*$G1226</f>
        <v>7632.3200000000006</v>
      </c>
      <c r="V1226" s="199">
        <f ca="1">U1226*'Expenditure Study'!$B$31</f>
        <v>450941.74248345604</v>
      </c>
      <c r="W1226" s="199">
        <f ca="1">IF(A1226=10298,1.51,1)*IF($B1226&lt;3,$D1226*'Expenditure Study'!$B$32*OFFSET('Expenditure Study'!$B$7,'Operations Support'!$C1226,'Operations Support'!$B1226),0)</f>
        <v>0</v>
      </c>
      <c r="X1226" s="200">
        <f ca="1">W1226*'Expenditure Study'!$B$31</f>
        <v>0</v>
      </c>
      <c r="Y1226" s="199">
        <f ca="1">U1226*'Expenditure Study'!$B$31</f>
        <v>450941.74248345604</v>
      </c>
      <c r="Z1226" s="200">
        <f ca="1">W1226*'Expenditure Study'!$B$31</f>
        <v>0</v>
      </c>
      <c r="AA1226" s="195">
        <f t="shared" ca="1" si="274"/>
        <v>450941.74248345604</v>
      </c>
      <c r="AB1226" s="195">
        <f t="shared" ca="1" si="275"/>
        <v>450941.74248345604</v>
      </c>
      <c r="AD1226" s="196">
        <f>IFERROR($G1226/SUMIF($A:$A,$A1226,$G:$G)*SUMIF(Summary!$A$166:$A$242,$A1226,Summary!$P$166:$P$242),0)</f>
        <v>46939.622043729418</v>
      </c>
      <c r="AE1226" s="197">
        <f t="shared" ca="1" si="276"/>
        <v>404002.12043972663</v>
      </c>
      <c r="AF1226" s="196">
        <f>IFERROR(G1226/SUMIF(A:A,A1226,G:G)*SUMIF(Summary!$A$166:$A$242,'Operations Support'!A1226,Summary!$Q$166:$Q$242),0)</f>
        <v>47189.894692755734</v>
      </c>
      <c r="AG1226" s="196">
        <f t="shared" ca="1" si="277"/>
        <v>403751.84779070033</v>
      </c>
      <c r="AI1226" s="196">
        <f>IFERROR($G1226/SUMIF($A:$A,$A1226,$G:$G)*SUMIF(Summary!$A$247:$A$283,$A1226,Summary!$P$247:$P$283),0)</f>
        <v>8560.6156955653187</v>
      </c>
      <c r="AJ1226" s="196">
        <f>IFERROR($G1226/SUMIF($A:$A,$A1226,$G:$G)*(SUMIF(Summary!$A$247:$A$283,$A1226,Summary!$L$247:$L$283)+SUMIF(Summary!$A$297:$A$333,$A1226,Summary!$L$297:$L$333))-AI1226,0)</f>
        <v>22204.530799018779</v>
      </c>
      <c r="AK1226" s="196">
        <f>IFERROR($G1226/SUMIF($A:$A,$A1226,$G:$G)*SUMIF(Summary!$A$247:$A$283,$A1226,Summary!$Q$247:$Q$283),0)</f>
        <v>8606.2591812633818</v>
      </c>
      <c r="AL1226" s="196">
        <f>IFERROR($G1226/SUMIF($A:$A,$A1226,$G:$G)*(SUMIF(Summary!$A$247:$A$283,$A1226,Summary!$L$247:$L$283)+SUMIF(Summary!$A$297:$A$333,$A1226,Summary!$L$297:$L$333))-AK1226,0)</f>
        <v>22158.887313320716</v>
      </c>
      <c r="AM1226" s="198"/>
      <c r="AN1226" s="196">
        <f t="shared" ca="1" si="278"/>
        <v>426206.65123874543</v>
      </c>
      <c r="AO1226" s="196">
        <f t="shared" ca="1" si="279"/>
        <v>425910.73510402103</v>
      </c>
    </row>
    <row r="1227" spans="1:41">
      <c r="A1227" s="189">
        <v>3630</v>
      </c>
      <c r="B1227" s="190">
        <v>4</v>
      </c>
      <c r="C1227" s="191" t="s">
        <v>224</v>
      </c>
      <c r="D1227" s="192">
        <f t="shared" si="266"/>
        <v>0</v>
      </c>
      <c r="E1227" s="192">
        <f t="shared" si="267"/>
        <v>0</v>
      </c>
      <c r="F1227" s="192">
        <f t="shared" si="268"/>
        <v>0</v>
      </c>
      <c r="G1227" s="193">
        <f t="shared" si="269"/>
        <v>0</v>
      </c>
      <c r="H1227" s="194">
        <v>0</v>
      </c>
      <c r="I1227" s="194">
        <v>0</v>
      </c>
      <c r="J1227" s="194">
        <v>0</v>
      </c>
      <c r="K1227" s="193">
        <f t="shared" si="270"/>
        <v>0</v>
      </c>
      <c r="L1227" s="194">
        <v>0</v>
      </c>
      <c r="M1227" s="194">
        <v>0</v>
      </c>
      <c r="N1227" s="194">
        <v>0</v>
      </c>
      <c r="O1227" s="193">
        <f t="shared" si="271"/>
        <v>0</v>
      </c>
      <c r="P1227" s="194">
        <v>0</v>
      </c>
      <c r="Q1227" s="194">
        <v>0</v>
      </c>
      <c r="R1227" s="194">
        <v>0</v>
      </c>
      <c r="S1227" s="193">
        <f t="shared" si="272"/>
        <v>0</v>
      </c>
      <c r="T1227" s="193">
        <f t="shared" si="273"/>
        <v>0</v>
      </c>
      <c r="U1227" s="193">
        <f ca="1">OFFSET('Expenditure Study'!$B$7,'Operations Support'!$C1227,'Operations Support'!$B1227)*$G1227</f>
        <v>0</v>
      </c>
      <c r="V1227" s="199">
        <f ca="1">U1227*'Expenditure Study'!$B$31</f>
        <v>0</v>
      </c>
      <c r="W1227" s="199">
        <f ca="1">IF(A1227=10298,1.51,1)*IF($B1227&lt;3,$D1227*'Expenditure Study'!$B$32*OFFSET('Expenditure Study'!$B$7,'Operations Support'!$C1227,'Operations Support'!$B1227),0)</f>
        <v>0</v>
      </c>
      <c r="X1227" s="200">
        <f ca="1">W1227*'Expenditure Study'!$B$31</f>
        <v>0</v>
      </c>
      <c r="Y1227" s="199">
        <f ca="1">U1227*'Expenditure Study'!$B$31</f>
        <v>0</v>
      </c>
      <c r="Z1227" s="200">
        <f ca="1">W1227*'Expenditure Study'!$B$31</f>
        <v>0</v>
      </c>
      <c r="AA1227" s="195">
        <f t="shared" ca="1" si="274"/>
        <v>0</v>
      </c>
      <c r="AB1227" s="195">
        <f t="shared" ca="1" si="275"/>
        <v>0</v>
      </c>
      <c r="AD1227" s="196">
        <f>IFERROR($G1227/SUMIF($A:$A,$A1227,$G:$G)*SUMIF(Summary!$A$166:$A$242,$A1227,Summary!$P$166:$P$242),0)</f>
        <v>0</v>
      </c>
      <c r="AE1227" s="197">
        <f t="shared" ca="1" si="276"/>
        <v>0</v>
      </c>
      <c r="AF1227" s="196">
        <f>IFERROR(G1227/SUMIF(A:A,A1227,G:G)*SUMIF(Summary!$A$166:$A$242,'Operations Support'!A1227,Summary!$Q$166:$Q$242),0)</f>
        <v>0</v>
      </c>
      <c r="AG1227" s="196">
        <f t="shared" ca="1" si="277"/>
        <v>0</v>
      </c>
      <c r="AI1227" s="196">
        <f>IFERROR($G1227/SUMIF($A:$A,$A1227,$G:$G)*SUMIF(Summary!$A$247:$A$283,$A1227,Summary!$P$247:$P$283),0)</f>
        <v>0</v>
      </c>
      <c r="AJ1227" s="196">
        <f>IFERROR($G1227/SUMIF($A:$A,$A1227,$G:$G)*(SUMIF(Summary!$A$247:$A$283,$A1227,Summary!$L$247:$L$283)+SUMIF(Summary!$A$297:$A$333,$A1227,Summary!$L$297:$L$333))-AI1227,0)</f>
        <v>0</v>
      </c>
      <c r="AK1227" s="196">
        <f>IFERROR($G1227/SUMIF($A:$A,$A1227,$G:$G)*SUMIF(Summary!$A$247:$A$283,$A1227,Summary!$Q$247:$Q$283),0)</f>
        <v>0</v>
      </c>
      <c r="AL1227" s="196">
        <f>IFERROR($G1227/SUMIF($A:$A,$A1227,$G:$G)*(SUMIF(Summary!$A$247:$A$283,$A1227,Summary!$L$247:$L$283)+SUMIF(Summary!$A$297:$A$333,$A1227,Summary!$L$297:$L$333))-AK1227,0)</f>
        <v>0</v>
      </c>
      <c r="AM1227" s="198"/>
      <c r="AN1227" s="196">
        <f t="shared" ca="1" si="278"/>
        <v>0</v>
      </c>
      <c r="AO1227" s="196">
        <f t="shared" ca="1" si="279"/>
        <v>0</v>
      </c>
    </row>
    <row r="1228" spans="1:41">
      <c r="A1228" s="189">
        <v>3630</v>
      </c>
      <c r="B1228" s="190">
        <v>4</v>
      </c>
      <c r="C1228" s="191" t="s">
        <v>225</v>
      </c>
      <c r="D1228" s="192">
        <f t="shared" si="266"/>
        <v>440</v>
      </c>
      <c r="E1228" s="192">
        <f t="shared" si="267"/>
        <v>159</v>
      </c>
      <c r="F1228" s="192">
        <f t="shared" si="268"/>
        <v>0</v>
      </c>
      <c r="G1228" s="193">
        <f t="shared" si="269"/>
        <v>599</v>
      </c>
      <c r="H1228" s="194">
        <v>220</v>
      </c>
      <c r="I1228" s="194">
        <v>63</v>
      </c>
      <c r="J1228" s="194">
        <v>0</v>
      </c>
      <c r="K1228" s="193">
        <f t="shared" si="270"/>
        <v>283</v>
      </c>
      <c r="L1228" s="194">
        <v>196</v>
      </c>
      <c r="M1228" s="194">
        <v>96</v>
      </c>
      <c r="N1228" s="194">
        <v>0</v>
      </c>
      <c r="O1228" s="193">
        <f t="shared" si="271"/>
        <v>292</v>
      </c>
      <c r="P1228" s="194">
        <v>24</v>
      </c>
      <c r="Q1228" s="194">
        <v>0</v>
      </c>
      <c r="R1228" s="194">
        <v>0</v>
      </c>
      <c r="S1228" s="193">
        <f t="shared" si="272"/>
        <v>24</v>
      </c>
      <c r="T1228" s="193">
        <f t="shared" si="273"/>
        <v>33.277777777777779</v>
      </c>
      <c r="U1228" s="193">
        <f ca="1">OFFSET('Expenditure Study'!$B$7,'Operations Support'!$C1228,'Operations Support'!$B1228)*$G1228</f>
        <v>11255.21</v>
      </c>
      <c r="V1228" s="199">
        <f ca="1">U1228*'Expenditure Study'!$B$31</f>
        <v>664993.60737196798</v>
      </c>
      <c r="W1228" s="199">
        <f ca="1">IF(A1228=10298,1.51,1)*IF($B1228&lt;3,$D1228*'Expenditure Study'!$B$32*OFFSET('Expenditure Study'!$B$7,'Operations Support'!$C1228,'Operations Support'!$B1228),0)</f>
        <v>0</v>
      </c>
      <c r="X1228" s="200">
        <f ca="1">W1228*'Expenditure Study'!$B$31</f>
        <v>0</v>
      </c>
      <c r="Y1228" s="199">
        <f ca="1">U1228*'Expenditure Study'!$B$31</f>
        <v>664993.60737196798</v>
      </c>
      <c r="Z1228" s="200">
        <f ca="1">W1228*'Expenditure Study'!$B$31</f>
        <v>0</v>
      </c>
      <c r="AA1228" s="195">
        <f t="shared" ca="1" si="274"/>
        <v>664993.60737196798</v>
      </c>
      <c r="AB1228" s="195">
        <f t="shared" ca="1" si="275"/>
        <v>664993.60737196798</v>
      </c>
      <c r="AD1228" s="196">
        <f>IFERROR($G1228/SUMIF($A:$A,$A1228,$G:$G)*SUMIF(Summary!$A$166:$A$242,$A1228,Summary!$P$166:$P$242),0)</f>
        <v>28808.23115183803</v>
      </c>
      <c r="AE1228" s="197">
        <f t="shared" ca="1" si="276"/>
        <v>636185.3762201299</v>
      </c>
      <c r="AF1228" s="196">
        <f>IFERROR(G1228/SUMIF(A:A,A1228,G:G)*SUMIF(Summary!$A$166:$A$242,'Operations Support'!A1228,Summary!$Q$166:$Q$242),0)</f>
        <v>28961.830861640043</v>
      </c>
      <c r="AG1228" s="196">
        <f t="shared" ca="1" si="277"/>
        <v>636031.77651032794</v>
      </c>
      <c r="AI1228" s="196">
        <f>IFERROR($G1228/SUMIF($A:$A,$A1228,$G:$G)*SUMIF(Summary!$A$247:$A$283,$A1228,Summary!$P$247:$P$283),0)</f>
        <v>5253.9024607004367</v>
      </c>
      <c r="AJ1228" s="196">
        <f>IFERROR($G1228/SUMIF($A:$A,$A1228,$G:$G)*(SUMIF(Summary!$A$247:$A$283,$A1228,Summary!$L$247:$L$283)+SUMIF(Summary!$A$297:$A$333,$A1228,Summary!$L$297:$L$333))-AI1228,0)</f>
        <v>13627.575767020749</v>
      </c>
      <c r="AK1228" s="196">
        <f>IFERROR($G1228/SUMIF($A:$A,$A1228,$G:$G)*SUMIF(Summary!$A$247:$A$283,$A1228,Summary!$Q$247:$Q$283),0)</f>
        <v>5281.9152147302921</v>
      </c>
      <c r="AL1228" s="196">
        <f>IFERROR($G1228/SUMIF($A:$A,$A1228,$G:$G)*(SUMIF(Summary!$A$247:$A$283,$A1228,Summary!$L$247:$L$283)+SUMIF(Summary!$A$297:$A$333,$A1228,Summary!$L$297:$L$333))-AK1228,0)</f>
        <v>13599.563012990893</v>
      </c>
      <c r="AM1228" s="198"/>
      <c r="AN1228" s="196">
        <f t="shared" ca="1" si="278"/>
        <v>649812.95198715059</v>
      </c>
      <c r="AO1228" s="196">
        <f t="shared" ca="1" si="279"/>
        <v>649631.33952331881</v>
      </c>
    </row>
    <row r="1229" spans="1:41">
      <c r="A1229" s="189">
        <v>3630</v>
      </c>
      <c r="B1229" s="190">
        <v>4</v>
      </c>
      <c r="C1229" s="191" t="s">
        <v>226</v>
      </c>
      <c r="D1229" s="192">
        <f t="shared" si="266"/>
        <v>0</v>
      </c>
      <c r="E1229" s="192">
        <f t="shared" si="267"/>
        <v>0</v>
      </c>
      <c r="F1229" s="192">
        <f t="shared" si="268"/>
        <v>0</v>
      </c>
      <c r="G1229" s="193">
        <f t="shared" si="269"/>
        <v>0</v>
      </c>
      <c r="H1229" s="194">
        <v>0</v>
      </c>
      <c r="I1229" s="194">
        <v>0</v>
      </c>
      <c r="J1229" s="194">
        <v>0</v>
      </c>
      <c r="K1229" s="193">
        <f t="shared" si="270"/>
        <v>0</v>
      </c>
      <c r="L1229" s="194">
        <v>0</v>
      </c>
      <c r="M1229" s="194">
        <v>0</v>
      </c>
      <c r="N1229" s="194">
        <v>0</v>
      </c>
      <c r="O1229" s="193">
        <f t="shared" si="271"/>
        <v>0</v>
      </c>
      <c r="P1229" s="194">
        <v>0</v>
      </c>
      <c r="Q1229" s="194">
        <v>0</v>
      </c>
      <c r="R1229" s="194">
        <v>0</v>
      </c>
      <c r="S1229" s="193">
        <f t="shared" si="272"/>
        <v>0</v>
      </c>
      <c r="T1229" s="193">
        <f t="shared" si="273"/>
        <v>0</v>
      </c>
      <c r="U1229" s="193">
        <f ca="1">OFFSET('Expenditure Study'!$B$7,'Operations Support'!$C1229,'Operations Support'!$B1229)*$G1229</f>
        <v>0</v>
      </c>
      <c r="V1229" s="199">
        <f ca="1">U1229*'Expenditure Study'!$B$31</f>
        <v>0</v>
      </c>
      <c r="W1229" s="199">
        <f ca="1">IF(A1229=10298,1.51,1)*IF($B1229&lt;3,$D1229*'Expenditure Study'!$B$32*OFFSET('Expenditure Study'!$B$7,'Operations Support'!$C1229,'Operations Support'!$B1229),0)</f>
        <v>0</v>
      </c>
      <c r="X1229" s="200">
        <f ca="1">W1229*'Expenditure Study'!$B$31</f>
        <v>0</v>
      </c>
      <c r="Y1229" s="199">
        <f ca="1">U1229*'Expenditure Study'!$B$31</f>
        <v>0</v>
      </c>
      <c r="Z1229" s="200">
        <f ca="1">W1229*'Expenditure Study'!$B$31</f>
        <v>0</v>
      </c>
      <c r="AA1229" s="195">
        <f t="shared" ca="1" si="274"/>
        <v>0</v>
      </c>
      <c r="AB1229" s="195">
        <f t="shared" ca="1" si="275"/>
        <v>0</v>
      </c>
      <c r="AD1229" s="196">
        <f>IFERROR($G1229/SUMIF($A:$A,$A1229,$G:$G)*SUMIF(Summary!$A$166:$A$242,$A1229,Summary!$P$166:$P$242),0)</f>
        <v>0</v>
      </c>
      <c r="AE1229" s="197">
        <f t="shared" ca="1" si="276"/>
        <v>0</v>
      </c>
      <c r="AF1229" s="196">
        <f>IFERROR(G1229/SUMIF(A:A,A1229,G:G)*SUMIF(Summary!$A$166:$A$242,'Operations Support'!A1229,Summary!$Q$166:$Q$242),0)</f>
        <v>0</v>
      </c>
      <c r="AG1229" s="196">
        <f t="shared" ca="1" si="277"/>
        <v>0</v>
      </c>
      <c r="AI1229" s="196">
        <f>IFERROR($G1229/SUMIF($A:$A,$A1229,$G:$G)*SUMIF(Summary!$A$247:$A$283,$A1229,Summary!$P$247:$P$283),0)</f>
        <v>0</v>
      </c>
      <c r="AJ1229" s="196">
        <f>IFERROR($G1229/SUMIF($A:$A,$A1229,$G:$G)*(SUMIF(Summary!$A$247:$A$283,$A1229,Summary!$L$247:$L$283)+SUMIF(Summary!$A$297:$A$333,$A1229,Summary!$L$297:$L$333))-AI1229,0)</f>
        <v>0</v>
      </c>
      <c r="AK1229" s="196">
        <f>IFERROR($G1229/SUMIF($A:$A,$A1229,$G:$G)*SUMIF(Summary!$A$247:$A$283,$A1229,Summary!$Q$247:$Q$283),0)</f>
        <v>0</v>
      </c>
      <c r="AL1229" s="196">
        <f>IFERROR($G1229/SUMIF($A:$A,$A1229,$G:$G)*(SUMIF(Summary!$A$247:$A$283,$A1229,Summary!$L$247:$L$283)+SUMIF(Summary!$A$297:$A$333,$A1229,Summary!$L$297:$L$333))-AK1229,0)</f>
        <v>0</v>
      </c>
      <c r="AM1229" s="198"/>
      <c r="AN1229" s="196">
        <f t="shared" ca="1" si="278"/>
        <v>0</v>
      </c>
      <c r="AO1229" s="196">
        <f t="shared" ca="1" si="279"/>
        <v>0</v>
      </c>
    </row>
    <row r="1230" spans="1:41">
      <c r="A1230" s="189">
        <v>3630</v>
      </c>
      <c r="B1230" s="190">
        <v>4</v>
      </c>
      <c r="C1230" s="191" t="s">
        <v>227</v>
      </c>
      <c r="D1230" s="192">
        <f t="shared" si="266"/>
        <v>0</v>
      </c>
      <c r="E1230" s="192">
        <f t="shared" si="267"/>
        <v>0</v>
      </c>
      <c r="F1230" s="192">
        <f t="shared" si="268"/>
        <v>0</v>
      </c>
      <c r="G1230" s="193">
        <f t="shared" si="269"/>
        <v>0</v>
      </c>
      <c r="H1230" s="194">
        <v>0</v>
      </c>
      <c r="I1230" s="194">
        <v>0</v>
      </c>
      <c r="J1230" s="194">
        <v>0</v>
      </c>
      <c r="K1230" s="193">
        <f t="shared" si="270"/>
        <v>0</v>
      </c>
      <c r="L1230" s="194">
        <v>0</v>
      </c>
      <c r="M1230" s="194">
        <v>0</v>
      </c>
      <c r="N1230" s="194">
        <v>0</v>
      </c>
      <c r="O1230" s="193">
        <f t="shared" si="271"/>
        <v>0</v>
      </c>
      <c r="P1230" s="194">
        <v>0</v>
      </c>
      <c r="Q1230" s="194">
        <v>0</v>
      </c>
      <c r="R1230" s="194">
        <v>0</v>
      </c>
      <c r="S1230" s="193">
        <f t="shared" si="272"/>
        <v>0</v>
      </c>
      <c r="T1230" s="193">
        <f t="shared" si="273"/>
        <v>0</v>
      </c>
      <c r="U1230" s="193">
        <f ca="1">OFFSET('Expenditure Study'!$B$7,'Operations Support'!$C1230,'Operations Support'!$B1230)*$G1230</f>
        <v>0</v>
      </c>
      <c r="V1230" s="199">
        <f ca="1">U1230*'Expenditure Study'!$B$31</f>
        <v>0</v>
      </c>
      <c r="W1230" s="199">
        <f ca="1">IF(A1230=10298,1.51,1)*IF($B1230&lt;3,$D1230*'Expenditure Study'!$B$32*OFFSET('Expenditure Study'!$B$7,'Operations Support'!$C1230,'Operations Support'!$B1230),0)</f>
        <v>0</v>
      </c>
      <c r="X1230" s="200">
        <f ca="1">W1230*'Expenditure Study'!$B$31</f>
        <v>0</v>
      </c>
      <c r="Y1230" s="199">
        <f ca="1">U1230*'Expenditure Study'!$B$31</f>
        <v>0</v>
      </c>
      <c r="Z1230" s="200">
        <f ca="1">W1230*'Expenditure Study'!$B$31</f>
        <v>0</v>
      </c>
      <c r="AA1230" s="195">
        <f t="shared" ca="1" si="274"/>
        <v>0</v>
      </c>
      <c r="AB1230" s="195">
        <f t="shared" ca="1" si="275"/>
        <v>0</v>
      </c>
      <c r="AD1230" s="196">
        <f>IFERROR($G1230/SUMIF($A:$A,$A1230,$G:$G)*SUMIF(Summary!$A$166:$A$242,$A1230,Summary!$P$166:$P$242),0)</f>
        <v>0</v>
      </c>
      <c r="AE1230" s="197">
        <f t="shared" ca="1" si="276"/>
        <v>0</v>
      </c>
      <c r="AF1230" s="196">
        <f>IFERROR(G1230/SUMIF(A:A,A1230,G:G)*SUMIF(Summary!$A$166:$A$242,'Operations Support'!A1230,Summary!$Q$166:$Q$242),0)</f>
        <v>0</v>
      </c>
      <c r="AG1230" s="196">
        <f t="shared" ca="1" si="277"/>
        <v>0</v>
      </c>
      <c r="AI1230" s="196">
        <f>IFERROR($G1230/SUMIF($A:$A,$A1230,$G:$G)*SUMIF(Summary!$A$247:$A$283,$A1230,Summary!$P$247:$P$283),0)</f>
        <v>0</v>
      </c>
      <c r="AJ1230" s="196">
        <f>IFERROR($G1230/SUMIF($A:$A,$A1230,$G:$G)*(SUMIF(Summary!$A$247:$A$283,$A1230,Summary!$L$247:$L$283)+SUMIF(Summary!$A$297:$A$333,$A1230,Summary!$L$297:$L$333))-AI1230,0)</f>
        <v>0</v>
      </c>
      <c r="AK1230" s="196">
        <f>IFERROR($G1230/SUMIF($A:$A,$A1230,$G:$G)*SUMIF(Summary!$A$247:$A$283,$A1230,Summary!$Q$247:$Q$283),0)</f>
        <v>0</v>
      </c>
      <c r="AL1230" s="196">
        <f>IFERROR($G1230/SUMIF($A:$A,$A1230,$G:$G)*(SUMIF(Summary!$A$247:$A$283,$A1230,Summary!$L$247:$L$283)+SUMIF(Summary!$A$297:$A$333,$A1230,Summary!$L$297:$L$333))-AK1230,0)</f>
        <v>0</v>
      </c>
      <c r="AM1230" s="198"/>
      <c r="AN1230" s="196">
        <f t="shared" ca="1" si="278"/>
        <v>0</v>
      </c>
      <c r="AO1230" s="196">
        <f t="shared" ca="1" si="279"/>
        <v>0</v>
      </c>
    </row>
    <row r="1231" spans="1:41">
      <c r="A1231" s="189">
        <v>3630</v>
      </c>
      <c r="B1231" s="190">
        <v>4</v>
      </c>
      <c r="C1231" s="191" t="s">
        <v>228</v>
      </c>
      <c r="D1231" s="192">
        <f t="shared" si="266"/>
        <v>0</v>
      </c>
      <c r="E1231" s="192">
        <f t="shared" si="267"/>
        <v>0</v>
      </c>
      <c r="F1231" s="192">
        <f t="shared" si="268"/>
        <v>0</v>
      </c>
      <c r="G1231" s="193">
        <f t="shared" si="269"/>
        <v>0</v>
      </c>
      <c r="H1231" s="194">
        <v>0</v>
      </c>
      <c r="I1231" s="194">
        <v>0</v>
      </c>
      <c r="J1231" s="194">
        <v>0</v>
      </c>
      <c r="K1231" s="193">
        <f t="shared" si="270"/>
        <v>0</v>
      </c>
      <c r="L1231" s="194">
        <v>0</v>
      </c>
      <c r="M1231" s="194">
        <v>0</v>
      </c>
      <c r="N1231" s="194">
        <v>0</v>
      </c>
      <c r="O1231" s="193">
        <f t="shared" si="271"/>
        <v>0</v>
      </c>
      <c r="P1231" s="194">
        <v>0</v>
      </c>
      <c r="Q1231" s="194">
        <v>0</v>
      </c>
      <c r="R1231" s="194">
        <v>0</v>
      </c>
      <c r="S1231" s="193">
        <f t="shared" si="272"/>
        <v>0</v>
      </c>
      <c r="T1231" s="193">
        <f t="shared" si="273"/>
        <v>0</v>
      </c>
      <c r="U1231" s="193">
        <f ca="1">OFFSET('Expenditure Study'!$B$7,'Operations Support'!$C1231,'Operations Support'!$B1231)*$G1231</f>
        <v>0</v>
      </c>
      <c r="V1231" s="199">
        <f ca="1">U1231*'Expenditure Study'!$B$31</f>
        <v>0</v>
      </c>
      <c r="W1231" s="199">
        <f ca="1">IF(A1231=10298,1.51,1)*IF($B1231&lt;3,$D1231*'Expenditure Study'!$B$32*OFFSET('Expenditure Study'!$B$7,'Operations Support'!$C1231,'Operations Support'!$B1231),0)</f>
        <v>0</v>
      </c>
      <c r="X1231" s="200">
        <f ca="1">W1231*'Expenditure Study'!$B$31</f>
        <v>0</v>
      </c>
      <c r="Y1231" s="199">
        <f ca="1">U1231*'Expenditure Study'!$B$31</f>
        <v>0</v>
      </c>
      <c r="Z1231" s="200">
        <f ca="1">W1231*'Expenditure Study'!$B$31</f>
        <v>0</v>
      </c>
      <c r="AA1231" s="195">
        <f t="shared" ca="1" si="274"/>
        <v>0</v>
      </c>
      <c r="AB1231" s="195">
        <f t="shared" ca="1" si="275"/>
        <v>0</v>
      </c>
      <c r="AD1231" s="196">
        <f>IFERROR($G1231/SUMIF($A:$A,$A1231,$G:$G)*SUMIF(Summary!$A$166:$A$242,$A1231,Summary!$P$166:$P$242),0)</f>
        <v>0</v>
      </c>
      <c r="AE1231" s="197">
        <f t="shared" ca="1" si="276"/>
        <v>0</v>
      </c>
      <c r="AF1231" s="196">
        <f>IFERROR(G1231/SUMIF(A:A,A1231,G:G)*SUMIF(Summary!$A$166:$A$242,'Operations Support'!A1231,Summary!$Q$166:$Q$242),0)</f>
        <v>0</v>
      </c>
      <c r="AG1231" s="196">
        <f t="shared" ca="1" si="277"/>
        <v>0</v>
      </c>
      <c r="AI1231" s="196">
        <f>IFERROR($G1231/SUMIF($A:$A,$A1231,$G:$G)*SUMIF(Summary!$A$247:$A$283,$A1231,Summary!$P$247:$P$283),0)</f>
        <v>0</v>
      </c>
      <c r="AJ1231" s="196">
        <f>IFERROR($G1231/SUMIF($A:$A,$A1231,$G:$G)*(SUMIF(Summary!$A$247:$A$283,$A1231,Summary!$L$247:$L$283)+SUMIF(Summary!$A$297:$A$333,$A1231,Summary!$L$297:$L$333))-AI1231,0)</f>
        <v>0</v>
      </c>
      <c r="AK1231" s="196">
        <f>IFERROR($G1231/SUMIF($A:$A,$A1231,$G:$G)*SUMIF(Summary!$A$247:$A$283,$A1231,Summary!$Q$247:$Q$283),0)</f>
        <v>0</v>
      </c>
      <c r="AL1231" s="196">
        <f>IFERROR($G1231/SUMIF($A:$A,$A1231,$G:$G)*(SUMIF(Summary!$A$247:$A$283,$A1231,Summary!$L$247:$L$283)+SUMIF(Summary!$A$297:$A$333,$A1231,Summary!$L$297:$L$333))-AK1231,0)</f>
        <v>0</v>
      </c>
      <c r="AM1231" s="198"/>
      <c r="AN1231" s="196">
        <f t="shared" ca="1" si="278"/>
        <v>0</v>
      </c>
      <c r="AO1231" s="196">
        <f t="shared" ca="1" si="279"/>
        <v>0</v>
      </c>
    </row>
    <row r="1232" spans="1:41">
      <c r="A1232" s="189">
        <v>3630</v>
      </c>
      <c r="B1232" s="190">
        <v>4</v>
      </c>
      <c r="C1232" s="191" t="s">
        <v>229</v>
      </c>
      <c r="D1232" s="192">
        <f t="shared" si="266"/>
        <v>0</v>
      </c>
      <c r="E1232" s="192">
        <f t="shared" si="267"/>
        <v>0</v>
      </c>
      <c r="F1232" s="192">
        <f t="shared" si="268"/>
        <v>0</v>
      </c>
      <c r="G1232" s="193">
        <f t="shared" si="269"/>
        <v>0</v>
      </c>
      <c r="H1232" s="194">
        <v>0</v>
      </c>
      <c r="I1232" s="194">
        <v>0</v>
      </c>
      <c r="J1232" s="194">
        <v>0</v>
      </c>
      <c r="K1232" s="193">
        <f t="shared" si="270"/>
        <v>0</v>
      </c>
      <c r="L1232" s="194">
        <v>0</v>
      </c>
      <c r="M1232" s="194">
        <v>0</v>
      </c>
      <c r="N1232" s="194">
        <v>0</v>
      </c>
      <c r="O1232" s="193">
        <f t="shared" si="271"/>
        <v>0</v>
      </c>
      <c r="P1232" s="194">
        <v>0</v>
      </c>
      <c r="Q1232" s="194">
        <v>0</v>
      </c>
      <c r="R1232" s="194">
        <v>0</v>
      </c>
      <c r="S1232" s="193">
        <f t="shared" si="272"/>
        <v>0</v>
      </c>
      <c r="T1232" s="193">
        <f t="shared" si="273"/>
        <v>0</v>
      </c>
      <c r="U1232" s="193">
        <f ca="1">OFFSET('Expenditure Study'!$B$7,'Operations Support'!$C1232,'Operations Support'!$B1232)*$G1232</f>
        <v>0</v>
      </c>
      <c r="V1232" s="199">
        <f ca="1">U1232*'Expenditure Study'!$B$31</f>
        <v>0</v>
      </c>
      <c r="W1232" s="199">
        <f ca="1">IF(A1232=10298,1.51,1)*IF($B1232&lt;3,$D1232*'Expenditure Study'!$B$32*OFFSET('Expenditure Study'!$B$7,'Operations Support'!$C1232,'Operations Support'!$B1232),0)</f>
        <v>0</v>
      </c>
      <c r="X1232" s="200">
        <f ca="1">W1232*'Expenditure Study'!$B$31</f>
        <v>0</v>
      </c>
      <c r="Y1232" s="199">
        <f ca="1">U1232*'Expenditure Study'!$B$31</f>
        <v>0</v>
      </c>
      <c r="Z1232" s="200">
        <f ca="1">W1232*'Expenditure Study'!$B$31</f>
        <v>0</v>
      </c>
      <c r="AA1232" s="195">
        <f t="shared" ca="1" si="274"/>
        <v>0</v>
      </c>
      <c r="AB1232" s="195">
        <f t="shared" ca="1" si="275"/>
        <v>0</v>
      </c>
      <c r="AD1232" s="196">
        <f>IFERROR($G1232/SUMIF($A:$A,$A1232,$G:$G)*SUMIF(Summary!$A$166:$A$242,$A1232,Summary!$P$166:$P$242),0)</f>
        <v>0</v>
      </c>
      <c r="AE1232" s="197">
        <f t="shared" ca="1" si="276"/>
        <v>0</v>
      </c>
      <c r="AF1232" s="196">
        <f>IFERROR(G1232/SUMIF(A:A,A1232,G:G)*SUMIF(Summary!$A$166:$A$242,'Operations Support'!A1232,Summary!$Q$166:$Q$242),0)</f>
        <v>0</v>
      </c>
      <c r="AG1232" s="196">
        <f t="shared" ca="1" si="277"/>
        <v>0</v>
      </c>
      <c r="AI1232" s="196">
        <f>IFERROR($G1232/SUMIF($A:$A,$A1232,$G:$G)*SUMIF(Summary!$A$247:$A$283,$A1232,Summary!$P$247:$P$283),0)</f>
        <v>0</v>
      </c>
      <c r="AJ1232" s="196">
        <f>IFERROR($G1232/SUMIF($A:$A,$A1232,$G:$G)*(SUMIF(Summary!$A$247:$A$283,$A1232,Summary!$L$247:$L$283)+SUMIF(Summary!$A$297:$A$333,$A1232,Summary!$L$297:$L$333))-AI1232,0)</f>
        <v>0</v>
      </c>
      <c r="AK1232" s="196">
        <f>IFERROR($G1232/SUMIF($A:$A,$A1232,$G:$G)*SUMIF(Summary!$A$247:$A$283,$A1232,Summary!$Q$247:$Q$283),0)</f>
        <v>0</v>
      </c>
      <c r="AL1232" s="196">
        <f>IFERROR($G1232/SUMIF($A:$A,$A1232,$G:$G)*(SUMIF(Summary!$A$247:$A$283,$A1232,Summary!$L$247:$L$283)+SUMIF(Summary!$A$297:$A$333,$A1232,Summary!$L$297:$L$333))-AK1232,0)</f>
        <v>0</v>
      </c>
      <c r="AM1232" s="198"/>
      <c r="AN1232" s="196">
        <f t="shared" ca="1" si="278"/>
        <v>0</v>
      </c>
      <c r="AO1232" s="196">
        <f t="shared" ca="1" si="279"/>
        <v>0</v>
      </c>
    </row>
    <row r="1233" spans="1:41">
      <c r="A1233" s="189">
        <v>3630</v>
      </c>
      <c r="B1233" s="190">
        <v>4</v>
      </c>
      <c r="C1233" s="191" t="s">
        <v>230</v>
      </c>
      <c r="D1233" s="192">
        <f t="shared" si="266"/>
        <v>0</v>
      </c>
      <c r="E1233" s="192">
        <f t="shared" si="267"/>
        <v>0</v>
      </c>
      <c r="F1233" s="192">
        <f t="shared" si="268"/>
        <v>0</v>
      </c>
      <c r="G1233" s="193">
        <f t="shared" si="269"/>
        <v>0</v>
      </c>
      <c r="H1233" s="194">
        <v>0</v>
      </c>
      <c r="I1233" s="194">
        <v>0</v>
      </c>
      <c r="J1233" s="194">
        <v>0</v>
      </c>
      <c r="K1233" s="193">
        <f t="shared" si="270"/>
        <v>0</v>
      </c>
      <c r="L1233" s="194">
        <v>0</v>
      </c>
      <c r="M1233" s="194">
        <v>0</v>
      </c>
      <c r="N1233" s="194">
        <v>0</v>
      </c>
      <c r="O1233" s="193">
        <f t="shared" si="271"/>
        <v>0</v>
      </c>
      <c r="P1233" s="194">
        <v>0</v>
      </c>
      <c r="Q1233" s="194">
        <v>0</v>
      </c>
      <c r="R1233" s="194">
        <v>0</v>
      </c>
      <c r="S1233" s="193">
        <f t="shared" si="272"/>
        <v>0</v>
      </c>
      <c r="T1233" s="193">
        <f t="shared" si="273"/>
        <v>0</v>
      </c>
      <c r="U1233" s="193">
        <f ca="1">OFFSET('Expenditure Study'!$B$7,'Operations Support'!$C1233,'Operations Support'!$B1233)*$G1233</f>
        <v>0</v>
      </c>
      <c r="V1233" s="199">
        <f ca="1">U1233*'Expenditure Study'!$B$31</f>
        <v>0</v>
      </c>
      <c r="W1233" s="199">
        <f ca="1">IF(A1233=10298,1.51,1)*IF($B1233&lt;3,$D1233*'Expenditure Study'!$B$32*OFFSET('Expenditure Study'!$B$7,'Operations Support'!$C1233,'Operations Support'!$B1233),0)</f>
        <v>0</v>
      </c>
      <c r="X1233" s="200">
        <f ca="1">W1233*'Expenditure Study'!$B$31</f>
        <v>0</v>
      </c>
      <c r="Y1233" s="199">
        <f ca="1">U1233*'Expenditure Study'!$B$31</f>
        <v>0</v>
      </c>
      <c r="Z1233" s="200">
        <f ca="1">W1233*'Expenditure Study'!$B$31</f>
        <v>0</v>
      </c>
      <c r="AA1233" s="195">
        <f t="shared" ca="1" si="274"/>
        <v>0</v>
      </c>
      <c r="AB1233" s="195">
        <f t="shared" ca="1" si="275"/>
        <v>0</v>
      </c>
      <c r="AD1233" s="196">
        <f>IFERROR($G1233/SUMIF($A:$A,$A1233,$G:$G)*SUMIF(Summary!$A$166:$A$242,$A1233,Summary!$P$166:$P$242),0)</f>
        <v>0</v>
      </c>
      <c r="AE1233" s="197">
        <f t="shared" ca="1" si="276"/>
        <v>0</v>
      </c>
      <c r="AF1233" s="196">
        <f>IFERROR(G1233/SUMIF(A:A,A1233,G:G)*SUMIF(Summary!$A$166:$A$242,'Operations Support'!A1233,Summary!$Q$166:$Q$242),0)</f>
        <v>0</v>
      </c>
      <c r="AG1233" s="196">
        <f t="shared" ca="1" si="277"/>
        <v>0</v>
      </c>
      <c r="AI1233" s="196">
        <f>IFERROR($G1233/SUMIF($A:$A,$A1233,$G:$G)*SUMIF(Summary!$A$247:$A$283,$A1233,Summary!$P$247:$P$283),0)</f>
        <v>0</v>
      </c>
      <c r="AJ1233" s="196">
        <f>IFERROR($G1233/SUMIF($A:$A,$A1233,$G:$G)*(SUMIF(Summary!$A$247:$A$283,$A1233,Summary!$L$247:$L$283)+SUMIF(Summary!$A$297:$A$333,$A1233,Summary!$L$297:$L$333))-AI1233,0)</f>
        <v>0</v>
      </c>
      <c r="AK1233" s="196">
        <f>IFERROR($G1233/SUMIF($A:$A,$A1233,$G:$G)*SUMIF(Summary!$A$247:$A$283,$A1233,Summary!$Q$247:$Q$283),0)</f>
        <v>0</v>
      </c>
      <c r="AL1233" s="196">
        <f>IFERROR($G1233/SUMIF($A:$A,$A1233,$G:$G)*(SUMIF(Summary!$A$247:$A$283,$A1233,Summary!$L$247:$L$283)+SUMIF(Summary!$A$297:$A$333,$A1233,Summary!$L$297:$L$333))-AK1233,0)</f>
        <v>0</v>
      </c>
      <c r="AM1233" s="198"/>
      <c r="AN1233" s="196">
        <f t="shared" ca="1" si="278"/>
        <v>0</v>
      </c>
      <c r="AO1233" s="196">
        <f t="shared" ca="1" si="279"/>
        <v>0</v>
      </c>
    </row>
    <row r="1234" spans="1:41">
      <c r="A1234" s="189">
        <v>3630</v>
      </c>
      <c r="B1234" s="190">
        <v>4</v>
      </c>
      <c r="C1234" s="191" t="s">
        <v>231</v>
      </c>
      <c r="D1234" s="192">
        <f t="shared" si="266"/>
        <v>0</v>
      </c>
      <c r="E1234" s="192">
        <f t="shared" si="267"/>
        <v>0</v>
      </c>
      <c r="F1234" s="192">
        <f t="shared" si="268"/>
        <v>0</v>
      </c>
      <c r="G1234" s="193">
        <f t="shared" si="269"/>
        <v>0</v>
      </c>
      <c r="H1234" s="194">
        <v>0</v>
      </c>
      <c r="I1234" s="194">
        <v>0</v>
      </c>
      <c r="J1234" s="194">
        <v>0</v>
      </c>
      <c r="K1234" s="193">
        <f t="shared" si="270"/>
        <v>0</v>
      </c>
      <c r="L1234" s="194">
        <v>0</v>
      </c>
      <c r="M1234" s="194">
        <v>0</v>
      </c>
      <c r="N1234" s="194">
        <v>0</v>
      </c>
      <c r="O1234" s="193">
        <f t="shared" si="271"/>
        <v>0</v>
      </c>
      <c r="P1234" s="194">
        <v>0</v>
      </c>
      <c r="Q1234" s="194">
        <v>0</v>
      </c>
      <c r="R1234" s="194">
        <v>0</v>
      </c>
      <c r="S1234" s="193">
        <f t="shared" si="272"/>
        <v>0</v>
      </c>
      <c r="T1234" s="193">
        <f t="shared" si="273"/>
        <v>0</v>
      </c>
      <c r="U1234" s="193">
        <f ca="1">OFFSET('Expenditure Study'!$B$7,'Operations Support'!$C1234,'Operations Support'!$B1234)*$G1234</f>
        <v>0</v>
      </c>
      <c r="V1234" s="199">
        <f ca="1">U1234*'Expenditure Study'!$B$31</f>
        <v>0</v>
      </c>
      <c r="W1234" s="199">
        <f ca="1">IF(A1234=10298,1.51,1)*IF($B1234&lt;3,$D1234*'Expenditure Study'!$B$32*OFFSET('Expenditure Study'!$B$7,'Operations Support'!$C1234,'Operations Support'!$B1234),0)</f>
        <v>0</v>
      </c>
      <c r="X1234" s="200">
        <f ca="1">W1234*'Expenditure Study'!$B$31</f>
        <v>0</v>
      </c>
      <c r="Y1234" s="199">
        <f ca="1">U1234*'Expenditure Study'!$B$31</f>
        <v>0</v>
      </c>
      <c r="Z1234" s="200">
        <f ca="1">W1234*'Expenditure Study'!$B$31</f>
        <v>0</v>
      </c>
      <c r="AA1234" s="195">
        <f t="shared" ca="1" si="274"/>
        <v>0</v>
      </c>
      <c r="AB1234" s="195">
        <f t="shared" ca="1" si="275"/>
        <v>0</v>
      </c>
      <c r="AD1234" s="196">
        <f>IFERROR($G1234/SUMIF($A:$A,$A1234,$G:$G)*SUMIF(Summary!$A$166:$A$242,$A1234,Summary!$P$166:$P$242),0)</f>
        <v>0</v>
      </c>
      <c r="AE1234" s="197">
        <f t="shared" ca="1" si="276"/>
        <v>0</v>
      </c>
      <c r="AF1234" s="196">
        <f>IFERROR(G1234/SUMIF(A:A,A1234,G:G)*SUMIF(Summary!$A$166:$A$242,'Operations Support'!A1234,Summary!$Q$166:$Q$242),0)</f>
        <v>0</v>
      </c>
      <c r="AG1234" s="196">
        <f t="shared" ca="1" si="277"/>
        <v>0</v>
      </c>
      <c r="AI1234" s="196">
        <f>IFERROR($G1234/SUMIF($A:$A,$A1234,$G:$G)*SUMIF(Summary!$A$247:$A$283,$A1234,Summary!$P$247:$P$283),0)</f>
        <v>0</v>
      </c>
      <c r="AJ1234" s="196">
        <f>IFERROR($G1234/SUMIF($A:$A,$A1234,$G:$G)*(SUMIF(Summary!$A$247:$A$283,$A1234,Summary!$L$247:$L$283)+SUMIF(Summary!$A$297:$A$333,$A1234,Summary!$L$297:$L$333))-AI1234,0)</f>
        <v>0</v>
      </c>
      <c r="AK1234" s="196">
        <f>IFERROR($G1234/SUMIF($A:$A,$A1234,$G:$G)*SUMIF(Summary!$A$247:$A$283,$A1234,Summary!$Q$247:$Q$283),0)</f>
        <v>0</v>
      </c>
      <c r="AL1234" s="196">
        <f>IFERROR($G1234/SUMIF($A:$A,$A1234,$G:$G)*(SUMIF(Summary!$A$247:$A$283,$A1234,Summary!$L$247:$L$283)+SUMIF(Summary!$A$297:$A$333,$A1234,Summary!$L$297:$L$333))-AK1234,0)</f>
        <v>0</v>
      </c>
      <c r="AM1234" s="198"/>
      <c r="AN1234" s="196">
        <f t="shared" ca="1" si="278"/>
        <v>0</v>
      </c>
      <c r="AO1234" s="196">
        <f t="shared" ca="1" si="279"/>
        <v>0</v>
      </c>
    </row>
    <row r="1235" spans="1:41">
      <c r="A1235" s="189">
        <v>3630</v>
      </c>
      <c r="B1235" s="190">
        <v>4</v>
      </c>
      <c r="C1235" s="191" t="s">
        <v>232</v>
      </c>
      <c r="D1235" s="192">
        <f t="shared" si="266"/>
        <v>0</v>
      </c>
      <c r="E1235" s="192">
        <f t="shared" si="267"/>
        <v>0</v>
      </c>
      <c r="F1235" s="192">
        <f t="shared" si="268"/>
        <v>0</v>
      </c>
      <c r="G1235" s="193">
        <f t="shared" si="269"/>
        <v>0</v>
      </c>
      <c r="H1235" s="194">
        <v>0</v>
      </c>
      <c r="I1235" s="194">
        <v>0</v>
      </c>
      <c r="J1235" s="194">
        <v>0</v>
      </c>
      <c r="K1235" s="193">
        <f t="shared" si="270"/>
        <v>0</v>
      </c>
      <c r="L1235" s="194">
        <v>0</v>
      </c>
      <c r="M1235" s="194">
        <v>0</v>
      </c>
      <c r="N1235" s="194">
        <v>0</v>
      </c>
      <c r="O1235" s="193">
        <f t="shared" si="271"/>
        <v>0</v>
      </c>
      <c r="P1235" s="194">
        <v>0</v>
      </c>
      <c r="Q1235" s="194">
        <v>0</v>
      </c>
      <c r="R1235" s="194">
        <v>0</v>
      </c>
      <c r="S1235" s="193">
        <f t="shared" si="272"/>
        <v>0</v>
      </c>
      <c r="T1235" s="193">
        <f t="shared" si="273"/>
        <v>0</v>
      </c>
      <c r="U1235" s="193">
        <f ca="1">OFFSET('Expenditure Study'!$B$7,'Operations Support'!$C1235,'Operations Support'!$B1235)*$G1235</f>
        <v>0</v>
      </c>
      <c r="V1235" s="199">
        <f ca="1">U1235*'Expenditure Study'!$B$31</f>
        <v>0</v>
      </c>
      <c r="W1235" s="199">
        <f ca="1">IF(A1235=10298,1.51,1)*IF($B1235&lt;3,$D1235*'Expenditure Study'!$B$32*OFFSET('Expenditure Study'!$B$7,'Operations Support'!$C1235,'Operations Support'!$B1235),0)</f>
        <v>0</v>
      </c>
      <c r="X1235" s="200">
        <f ca="1">W1235*'Expenditure Study'!$B$31</f>
        <v>0</v>
      </c>
      <c r="Y1235" s="199">
        <f ca="1">U1235*'Expenditure Study'!$B$31</f>
        <v>0</v>
      </c>
      <c r="Z1235" s="200">
        <f ca="1">W1235*'Expenditure Study'!$B$31</f>
        <v>0</v>
      </c>
      <c r="AA1235" s="195">
        <f t="shared" ca="1" si="274"/>
        <v>0</v>
      </c>
      <c r="AB1235" s="195">
        <f t="shared" ca="1" si="275"/>
        <v>0</v>
      </c>
      <c r="AD1235" s="196">
        <f>IFERROR($G1235/SUMIF($A:$A,$A1235,$G:$G)*SUMIF(Summary!$A$166:$A$242,$A1235,Summary!$P$166:$P$242),0)</f>
        <v>0</v>
      </c>
      <c r="AE1235" s="197">
        <f t="shared" ca="1" si="276"/>
        <v>0</v>
      </c>
      <c r="AF1235" s="196">
        <f>IFERROR(G1235/SUMIF(A:A,A1235,G:G)*SUMIF(Summary!$A$166:$A$242,'Operations Support'!A1235,Summary!$Q$166:$Q$242),0)</f>
        <v>0</v>
      </c>
      <c r="AG1235" s="196">
        <f t="shared" ca="1" si="277"/>
        <v>0</v>
      </c>
      <c r="AI1235" s="196">
        <f>IFERROR($G1235/SUMIF($A:$A,$A1235,$G:$G)*SUMIF(Summary!$A$247:$A$283,$A1235,Summary!$P$247:$P$283),0)</f>
        <v>0</v>
      </c>
      <c r="AJ1235" s="196">
        <f>IFERROR($G1235/SUMIF($A:$A,$A1235,$G:$G)*(SUMIF(Summary!$A$247:$A$283,$A1235,Summary!$L$247:$L$283)+SUMIF(Summary!$A$297:$A$333,$A1235,Summary!$L$297:$L$333))-AI1235,0)</f>
        <v>0</v>
      </c>
      <c r="AK1235" s="196">
        <f>IFERROR($G1235/SUMIF($A:$A,$A1235,$G:$G)*SUMIF(Summary!$A$247:$A$283,$A1235,Summary!$Q$247:$Q$283),0)</f>
        <v>0</v>
      </c>
      <c r="AL1235" s="196">
        <f>IFERROR($G1235/SUMIF($A:$A,$A1235,$G:$G)*(SUMIF(Summary!$A$247:$A$283,$A1235,Summary!$L$247:$L$283)+SUMIF(Summary!$A$297:$A$333,$A1235,Summary!$L$297:$L$333))-AK1235,0)</f>
        <v>0</v>
      </c>
      <c r="AM1235" s="198"/>
      <c r="AN1235" s="196">
        <f t="shared" ca="1" si="278"/>
        <v>0</v>
      </c>
      <c r="AO1235" s="196">
        <f t="shared" ca="1" si="279"/>
        <v>0</v>
      </c>
    </row>
    <row r="1236" spans="1:41">
      <c r="A1236" s="189">
        <v>3630</v>
      </c>
      <c r="B1236" s="190">
        <v>4</v>
      </c>
      <c r="C1236" s="191" t="s">
        <v>233</v>
      </c>
      <c r="D1236" s="192">
        <f t="shared" si="266"/>
        <v>0</v>
      </c>
      <c r="E1236" s="192">
        <f t="shared" si="267"/>
        <v>0</v>
      </c>
      <c r="F1236" s="192">
        <f t="shared" si="268"/>
        <v>0</v>
      </c>
      <c r="G1236" s="193">
        <f t="shared" si="269"/>
        <v>0</v>
      </c>
      <c r="H1236" s="194">
        <v>0</v>
      </c>
      <c r="I1236" s="194">
        <v>0</v>
      </c>
      <c r="J1236" s="194">
        <v>0</v>
      </c>
      <c r="K1236" s="193">
        <f t="shared" si="270"/>
        <v>0</v>
      </c>
      <c r="L1236" s="194">
        <v>0</v>
      </c>
      <c r="M1236" s="194">
        <v>0</v>
      </c>
      <c r="N1236" s="194">
        <v>0</v>
      </c>
      <c r="O1236" s="193">
        <f t="shared" si="271"/>
        <v>0</v>
      </c>
      <c r="P1236" s="194">
        <v>0</v>
      </c>
      <c r="Q1236" s="194">
        <v>0</v>
      </c>
      <c r="R1236" s="194">
        <v>0</v>
      </c>
      <c r="S1236" s="193">
        <f t="shared" si="272"/>
        <v>0</v>
      </c>
      <c r="T1236" s="193">
        <f t="shared" si="273"/>
        <v>0</v>
      </c>
      <c r="U1236" s="193">
        <f ca="1">OFFSET('Expenditure Study'!$B$7,'Operations Support'!$C1236,'Operations Support'!$B1236)*$G1236</f>
        <v>0</v>
      </c>
      <c r="V1236" s="199">
        <f ca="1">U1236*'Expenditure Study'!$B$31</f>
        <v>0</v>
      </c>
      <c r="W1236" s="199">
        <f ca="1">IF(A1236=10298,1.51,1)*IF($B1236&lt;3,$D1236*'Expenditure Study'!$B$32*OFFSET('Expenditure Study'!$B$7,'Operations Support'!$C1236,'Operations Support'!$B1236),0)</f>
        <v>0</v>
      </c>
      <c r="X1236" s="200">
        <f ca="1">W1236*'Expenditure Study'!$B$31</f>
        <v>0</v>
      </c>
      <c r="Y1236" s="199">
        <f ca="1">U1236*'Expenditure Study'!$B$31</f>
        <v>0</v>
      </c>
      <c r="Z1236" s="200">
        <f ca="1">W1236*'Expenditure Study'!$B$31</f>
        <v>0</v>
      </c>
      <c r="AA1236" s="195">
        <f t="shared" ca="1" si="274"/>
        <v>0</v>
      </c>
      <c r="AB1236" s="195">
        <f t="shared" ca="1" si="275"/>
        <v>0</v>
      </c>
      <c r="AD1236" s="196">
        <f>IFERROR($G1236/SUMIF($A:$A,$A1236,$G:$G)*SUMIF(Summary!$A$166:$A$242,$A1236,Summary!$P$166:$P$242),0)</f>
        <v>0</v>
      </c>
      <c r="AE1236" s="197">
        <f t="shared" ca="1" si="276"/>
        <v>0</v>
      </c>
      <c r="AF1236" s="196">
        <f>IFERROR(G1236/SUMIF(A:A,A1236,G:G)*SUMIF(Summary!$A$166:$A$242,'Operations Support'!A1236,Summary!$Q$166:$Q$242),0)</f>
        <v>0</v>
      </c>
      <c r="AG1236" s="196">
        <f t="shared" ca="1" si="277"/>
        <v>0</v>
      </c>
      <c r="AI1236" s="196">
        <f>IFERROR($G1236/SUMIF($A:$A,$A1236,$G:$G)*SUMIF(Summary!$A$247:$A$283,$A1236,Summary!$P$247:$P$283),0)</f>
        <v>0</v>
      </c>
      <c r="AJ1236" s="196">
        <f>IFERROR($G1236/SUMIF($A:$A,$A1236,$G:$G)*(SUMIF(Summary!$A$247:$A$283,$A1236,Summary!$L$247:$L$283)+SUMIF(Summary!$A$297:$A$333,$A1236,Summary!$L$297:$L$333))-AI1236,0)</f>
        <v>0</v>
      </c>
      <c r="AK1236" s="196">
        <f>IFERROR($G1236/SUMIF($A:$A,$A1236,$G:$G)*SUMIF(Summary!$A$247:$A$283,$A1236,Summary!$Q$247:$Q$283),0)</f>
        <v>0</v>
      </c>
      <c r="AL1236" s="196">
        <f>IFERROR($G1236/SUMIF($A:$A,$A1236,$G:$G)*(SUMIF(Summary!$A$247:$A$283,$A1236,Summary!$L$247:$L$283)+SUMIF(Summary!$A$297:$A$333,$A1236,Summary!$L$297:$L$333))-AK1236,0)</f>
        <v>0</v>
      </c>
      <c r="AM1236" s="198"/>
      <c r="AN1236" s="196">
        <f t="shared" ca="1" si="278"/>
        <v>0</v>
      </c>
      <c r="AO1236" s="196">
        <f t="shared" ca="1" si="279"/>
        <v>0</v>
      </c>
    </row>
    <row r="1237" spans="1:41">
      <c r="A1237" s="189">
        <v>3630</v>
      </c>
      <c r="B1237" s="190">
        <v>4</v>
      </c>
      <c r="C1237" s="191" t="s">
        <v>234</v>
      </c>
      <c r="D1237" s="192">
        <f t="shared" si="266"/>
        <v>0</v>
      </c>
      <c r="E1237" s="192">
        <f t="shared" si="267"/>
        <v>0</v>
      </c>
      <c r="F1237" s="192">
        <f t="shared" si="268"/>
        <v>0</v>
      </c>
      <c r="G1237" s="193">
        <f t="shared" si="269"/>
        <v>0</v>
      </c>
      <c r="H1237" s="194">
        <v>0</v>
      </c>
      <c r="I1237" s="194">
        <v>0</v>
      </c>
      <c r="J1237" s="194">
        <v>0</v>
      </c>
      <c r="K1237" s="193">
        <f t="shared" si="270"/>
        <v>0</v>
      </c>
      <c r="L1237" s="194">
        <v>0</v>
      </c>
      <c r="M1237" s="194">
        <v>0</v>
      </c>
      <c r="N1237" s="194">
        <v>0</v>
      </c>
      <c r="O1237" s="193">
        <f t="shared" si="271"/>
        <v>0</v>
      </c>
      <c r="P1237" s="194">
        <v>0</v>
      </c>
      <c r="Q1237" s="194">
        <v>0</v>
      </c>
      <c r="R1237" s="194">
        <v>0</v>
      </c>
      <c r="S1237" s="193">
        <f t="shared" si="272"/>
        <v>0</v>
      </c>
      <c r="T1237" s="193">
        <f t="shared" si="273"/>
        <v>0</v>
      </c>
      <c r="U1237" s="193">
        <f ca="1">OFFSET('Expenditure Study'!$B$7,'Operations Support'!$C1237,'Operations Support'!$B1237)*$G1237</f>
        <v>0</v>
      </c>
      <c r="V1237" s="199">
        <f ca="1">U1237*'Expenditure Study'!$B$31</f>
        <v>0</v>
      </c>
      <c r="W1237" s="199">
        <f ca="1">IF(A1237=10298,1.51,1)*IF($B1237&lt;3,$D1237*'Expenditure Study'!$B$32*OFFSET('Expenditure Study'!$B$7,'Operations Support'!$C1237,'Operations Support'!$B1237),0)</f>
        <v>0</v>
      </c>
      <c r="X1237" s="200">
        <f ca="1">W1237*'Expenditure Study'!$B$31</f>
        <v>0</v>
      </c>
      <c r="Y1237" s="199">
        <f ca="1">U1237*'Expenditure Study'!$B$31</f>
        <v>0</v>
      </c>
      <c r="Z1237" s="200">
        <f ca="1">W1237*'Expenditure Study'!$B$31</f>
        <v>0</v>
      </c>
      <c r="AA1237" s="195">
        <f t="shared" ca="1" si="274"/>
        <v>0</v>
      </c>
      <c r="AB1237" s="195">
        <f t="shared" ca="1" si="275"/>
        <v>0</v>
      </c>
      <c r="AD1237" s="196">
        <f>IFERROR($G1237/SUMIF($A:$A,$A1237,$G:$G)*SUMIF(Summary!$A$166:$A$242,$A1237,Summary!$P$166:$P$242),0)</f>
        <v>0</v>
      </c>
      <c r="AE1237" s="197">
        <f t="shared" ca="1" si="276"/>
        <v>0</v>
      </c>
      <c r="AF1237" s="196">
        <f>IFERROR(G1237/SUMIF(A:A,A1237,G:G)*SUMIF(Summary!$A$166:$A$242,'Operations Support'!A1237,Summary!$Q$166:$Q$242),0)</f>
        <v>0</v>
      </c>
      <c r="AG1237" s="196">
        <f t="shared" ca="1" si="277"/>
        <v>0</v>
      </c>
      <c r="AI1237" s="196">
        <f>IFERROR($G1237/SUMIF($A:$A,$A1237,$G:$G)*SUMIF(Summary!$A$247:$A$283,$A1237,Summary!$P$247:$P$283),0)</f>
        <v>0</v>
      </c>
      <c r="AJ1237" s="196">
        <f>IFERROR($G1237/SUMIF($A:$A,$A1237,$G:$G)*(SUMIF(Summary!$A$247:$A$283,$A1237,Summary!$L$247:$L$283)+SUMIF(Summary!$A$297:$A$333,$A1237,Summary!$L$297:$L$333))-AI1237,0)</f>
        <v>0</v>
      </c>
      <c r="AK1237" s="196">
        <f>IFERROR($G1237/SUMIF($A:$A,$A1237,$G:$G)*SUMIF(Summary!$A$247:$A$283,$A1237,Summary!$Q$247:$Q$283),0)</f>
        <v>0</v>
      </c>
      <c r="AL1237" s="196">
        <f>IFERROR($G1237/SUMIF($A:$A,$A1237,$G:$G)*(SUMIF(Summary!$A$247:$A$283,$A1237,Summary!$L$247:$L$283)+SUMIF(Summary!$A$297:$A$333,$A1237,Summary!$L$297:$L$333))-AK1237,0)</f>
        <v>0</v>
      </c>
      <c r="AM1237" s="198"/>
      <c r="AN1237" s="196">
        <f t="shared" ca="1" si="278"/>
        <v>0</v>
      </c>
      <c r="AO1237" s="196">
        <f t="shared" ca="1" si="279"/>
        <v>0</v>
      </c>
    </row>
    <row r="1238" spans="1:41">
      <c r="A1238" s="189">
        <v>3630</v>
      </c>
      <c r="B1238" s="190">
        <v>4</v>
      </c>
      <c r="C1238" s="191" t="s">
        <v>235</v>
      </c>
      <c r="D1238" s="192">
        <f t="shared" si="266"/>
        <v>0</v>
      </c>
      <c r="E1238" s="192">
        <f t="shared" si="267"/>
        <v>0</v>
      </c>
      <c r="F1238" s="192">
        <f t="shared" si="268"/>
        <v>0</v>
      </c>
      <c r="G1238" s="193">
        <f t="shared" si="269"/>
        <v>0</v>
      </c>
      <c r="H1238" s="194">
        <v>0</v>
      </c>
      <c r="I1238" s="194">
        <v>0</v>
      </c>
      <c r="J1238" s="194">
        <v>0</v>
      </c>
      <c r="K1238" s="193">
        <f t="shared" si="270"/>
        <v>0</v>
      </c>
      <c r="L1238" s="194">
        <v>0</v>
      </c>
      <c r="M1238" s="194">
        <v>0</v>
      </c>
      <c r="N1238" s="194">
        <v>0</v>
      </c>
      <c r="O1238" s="193">
        <f t="shared" si="271"/>
        <v>0</v>
      </c>
      <c r="P1238" s="194">
        <v>0</v>
      </c>
      <c r="Q1238" s="194">
        <v>0</v>
      </c>
      <c r="R1238" s="194">
        <v>0</v>
      </c>
      <c r="S1238" s="193">
        <f t="shared" si="272"/>
        <v>0</v>
      </c>
      <c r="T1238" s="193">
        <f t="shared" si="273"/>
        <v>0</v>
      </c>
      <c r="U1238" s="193">
        <f ca="1">OFFSET('Expenditure Study'!$B$7,'Operations Support'!$C1238,'Operations Support'!$B1238)*$G1238</f>
        <v>0</v>
      </c>
      <c r="V1238" s="199">
        <f ca="1">U1238*'Expenditure Study'!$B$31</f>
        <v>0</v>
      </c>
      <c r="W1238" s="199">
        <f ca="1">IF(A1238=10298,1.51,1)*IF($B1238&lt;3,$D1238*'Expenditure Study'!$B$32*OFFSET('Expenditure Study'!$B$7,'Operations Support'!$C1238,'Operations Support'!$B1238),0)</f>
        <v>0</v>
      </c>
      <c r="X1238" s="200">
        <f ca="1">W1238*'Expenditure Study'!$B$31</f>
        <v>0</v>
      </c>
      <c r="Y1238" s="199">
        <f ca="1">U1238*'Expenditure Study'!$B$31</f>
        <v>0</v>
      </c>
      <c r="Z1238" s="200">
        <f ca="1">W1238*'Expenditure Study'!$B$31</f>
        <v>0</v>
      </c>
      <c r="AA1238" s="195">
        <f t="shared" ca="1" si="274"/>
        <v>0</v>
      </c>
      <c r="AB1238" s="195">
        <f t="shared" ca="1" si="275"/>
        <v>0</v>
      </c>
      <c r="AD1238" s="196">
        <f>IFERROR($G1238/SUMIF($A:$A,$A1238,$G:$G)*SUMIF(Summary!$A$166:$A$242,$A1238,Summary!$P$166:$P$242),0)</f>
        <v>0</v>
      </c>
      <c r="AE1238" s="197">
        <f t="shared" ca="1" si="276"/>
        <v>0</v>
      </c>
      <c r="AF1238" s="196">
        <f>IFERROR(G1238/SUMIF(A:A,A1238,G:G)*SUMIF(Summary!$A$166:$A$242,'Operations Support'!A1238,Summary!$Q$166:$Q$242),0)</f>
        <v>0</v>
      </c>
      <c r="AG1238" s="196">
        <f t="shared" ca="1" si="277"/>
        <v>0</v>
      </c>
      <c r="AI1238" s="196">
        <f>IFERROR($G1238/SUMIF($A:$A,$A1238,$G:$G)*SUMIF(Summary!$A$247:$A$283,$A1238,Summary!$P$247:$P$283),0)</f>
        <v>0</v>
      </c>
      <c r="AJ1238" s="196">
        <f>IFERROR($G1238/SUMIF($A:$A,$A1238,$G:$G)*(SUMIF(Summary!$A$247:$A$283,$A1238,Summary!$L$247:$L$283)+SUMIF(Summary!$A$297:$A$333,$A1238,Summary!$L$297:$L$333))-AI1238,0)</f>
        <v>0</v>
      </c>
      <c r="AK1238" s="196">
        <f>IFERROR($G1238/SUMIF($A:$A,$A1238,$G:$G)*SUMIF(Summary!$A$247:$A$283,$A1238,Summary!$Q$247:$Q$283),0)</f>
        <v>0</v>
      </c>
      <c r="AL1238" s="196">
        <f>IFERROR($G1238/SUMIF($A:$A,$A1238,$G:$G)*(SUMIF(Summary!$A$247:$A$283,$A1238,Summary!$L$247:$L$283)+SUMIF(Summary!$A$297:$A$333,$A1238,Summary!$L$297:$L$333))-AK1238,0)</f>
        <v>0</v>
      </c>
      <c r="AM1238" s="198"/>
      <c r="AN1238" s="196">
        <f t="shared" ca="1" si="278"/>
        <v>0</v>
      </c>
      <c r="AO1238" s="196">
        <f t="shared" ca="1" si="279"/>
        <v>0</v>
      </c>
    </row>
    <row r="1239" spans="1:41">
      <c r="A1239" s="189">
        <v>3630</v>
      </c>
      <c r="B1239" s="190">
        <v>4</v>
      </c>
      <c r="C1239" s="191" t="s">
        <v>236</v>
      </c>
      <c r="D1239" s="192">
        <f t="shared" si="266"/>
        <v>0</v>
      </c>
      <c r="E1239" s="192">
        <f t="shared" si="267"/>
        <v>0</v>
      </c>
      <c r="F1239" s="192">
        <f t="shared" si="268"/>
        <v>0</v>
      </c>
      <c r="G1239" s="193">
        <f t="shared" si="269"/>
        <v>0</v>
      </c>
      <c r="H1239" s="194">
        <v>0</v>
      </c>
      <c r="I1239" s="194">
        <v>0</v>
      </c>
      <c r="J1239" s="194">
        <v>0</v>
      </c>
      <c r="K1239" s="193">
        <f t="shared" si="270"/>
        <v>0</v>
      </c>
      <c r="L1239" s="194">
        <v>0</v>
      </c>
      <c r="M1239" s="194">
        <v>0</v>
      </c>
      <c r="N1239" s="194">
        <v>0</v>
      </c>
      <c r="O1239" s="193">
        <f t="shared" si="271"/>
        <v>0</v>
      </c>
      <c r="P1239" s="194">
        <v>0</v>
      </c>
      <c r="Q1239" s="194">
        <v>0</v>
      </c>
      <c r="R1239" s="194">
        <v>0</v>
      </c>
      <c r="S1239" s="193">
        <f t="shared" si="272"/>
        <v>0</v>
      </c>
      <c r="T1239" s="193">
        <f t="shared" si="273"/>
        <v>0</v>
      </c>
      <c r="U1239" s="193">
        <f ca="1">OFFSET('Expenditure Study'!$B$7,'Operations Support'!$C1239,'Operations Support'!$B1239)*$G1239</f>
        <v>0</v>
      </c>
      <c r="V1239" s="199">
        <f ca="1">U1239*'Expenditure Study'!$B$31</f>
        <v>0</v>
      </c>
      <c r="W1239" s="199">
        <f ca="1">IF(A1239=10298,1.51,1)*IF($B1239&lt;3,$D1239*'Expenditure Study'!$B$32*OFFSET('Expenditure Study'!$B$7,'Operations Support'!$C1239,'Operations Support'!$B1239),0)</f>
        <v>0</v>
      </c>
      <c r="X1239" s="200">
        <f ca="1">W1239*'Expenditure Study'!$B$31</f>
        <v>0</v>
      </c>
      <c r="Y1239" s="199">
        <f ca="1">U1239*'Expenditure Study'!$B$31</f>
        <v>0</v>
      </c>
      <c r="Z1239" s="200">
        <f ca="1">W1239*'Expenditure Study'!$B$31</f>
        <v>0</v>
      </c>
      <c r="AA1239" s="195">
        <f t="shared" ca="1" si="274"/>
        <v>0</v>
      </c>
      <c r="AB1239" s="195">
        <f t="shared" ca="1" si="275"/>
        <v>0</v>
      </c>
      <c r="AD1239" s="196">
        <f>IFERROR($G1239/SUMIF($A:$A,$A1239,$G:$G)*SUMIF(Summary!$A$166:$A$242,$A1239,Summary!$P$166:$P$242),0)</f>
        <v>0</v>
      </c>
      <c r="AE1239" s="197">
        <f t="shared" ca="1" si="276"/>
        <v>0</v>
      </c>
      <c r="AF1239" s="196">
        <f>IFERROR(G1239/SUMIF(A:A,A1239,G:G)*SUMIF(Summary!$A$166:$A$242,'Operations Support'!A1239,Summary!$Q$166:$Q$242),0)</f>
        <v>0</v>
      </c>
      <c r="AG1239" s="196">
        <f t="shared" ca="1" si="277"/>
        <v>0</v>
      </c>
      <c r="AI1239" s="196">
        <f>IFERROR($G1239/SUMIF($A:$A,$A1239,$G:$G)*SUMIF(Summary!$A$247:$A$283,$A1239,Summary!$P$247:$P$283),0)</f>
        <v>0</v>
      </c>
      <c r="AJ1239" s="196">
        <f>IFERROR($G1239/SUMIF($A:$A,$A1239,$G:$G)*(SUMIF(Summary!$A$247:$A$283,$A1239,Summary!$L$247:$L$283)+SUMIF(Summary!$A$297:$A$333,$A1239,Summary!$L$297:$L$333))-AI1239,0)</f>
        <v>0</v>
      </c>
      <c r="AK1239" s="196">
        <f>IFERROR($G1239/SUMIF($A:$A,$A1239,$G:$G)*SUMIF(Summary!$A$247:$A$283,$A1239,Summary!$Q$247:$Q$283),0)</f>
        <v>0</v>
      </c>
      <c r="AL1239" s="196">
        <f>IFERROR($G1239/SUMIF($A:$A,$A1239,$G:$G)*(SUMIF(Summary!$A$247:$A$283,$A1239,Summary!$L$247:$L$283)+SUMIF(Summary!$A$297:$A$333,$A1239,Summary!$L$297:$L$333))-AK1239,0)</f>
        <v>0</v>
      </c>
      <c r="AM1239" s="198"/>
      <c r="AN1239" s="196">
        <f t="shared" ca="1" si="278"/>
        <v>0</v>
      </c>
      <c r="AO1239" s="196">
        <f t="shared" ca="1" si="279"/>
        <v>0</v>
      </c>
    </row>
    <row r="1240" spans="1:41">
      <c r="A1240" s="189">
        <v>3630</v>
      </c>
      <c r="B1240" s="190">
        <v>4</v>
      </c>
      <c r="C1240" s="191" t="s">
        <v>237</v>
      </c>
      <c r="D1240" s="192">
        <f t="shared" si="266"/>
        <v>0</v>
      </c>
      <c r="E1240" s="192">
        <f t="shared" si="267"/>
        <v>0</v>
      </c>
      <c r="F1240" s="192">
        <f t="shared" si="268"/>
        <v>0</v>
      </c>
      <c r="G1240" s="193">
        <f t="shared" si="269"/>
        <v>0</v>
      </c>
      <c r="H1240" s="194">
        <v>0</v>
      </c>
      <c r="I1240" s="194">
        <v>0</v>
      </c>
      <c r="J1240" s="194">
        <v>0</v>
      </c>
      <c r="K1240" s="193">
        <f t="shared" si="270"/>
        <v>0</v>
      </c>
      <c r="L1240" s="194">
        <v>0</v>
      </c>
      <c r="M1240" s="194">
        <v>0</v>
      </c>
      <c r="N1240" s="194">
        <v>0</v>
      </c>
      <c r="O1240" s="193">
        <f t="shared" si="271"/>
        <v>0</v>
      </c>
      <c r="P1240" s="194">
        <v>0</v>
      </c>
      <c r="Q1240" s="194">
        <v>0</v>
      </c>
      <c r="R1240" s="194">
        <v>0</v>
      </c>
      <c r="S1240" s="193">
        <f t="shared" si="272"/>
        <v>0</v>
      </c>
      <c r="T1240" s="193">
        <f t="shared" si="273"/>
        <v>0</v>
      </c>
      <c r="U1240" s="193">
        <f ca="1">OFFSET('Expenditure Study'!$B$7,'Operations Support'!$C1240,'Operations Support'!$B1240)*$G1240</f>
        <v>0</v>
      </c>
      <c r="V1240" s="199">
        <f ca="1">U1240*'Expenditure Study'!$B$31</f>
        <v>0</v>
      </c>
      <c r="W1240" s="199">
        <f ca="1">IF(A1240=10298,1.51,1)*IF($B1240&lt;3,$D1240*'Expenditure Study'!$B$32*OFFSET('Expenditure Study'!$B$7,'Operations Support'!$C1240,'Operations Support'!$B1240),0)</f>
        <v>0</v>
      </c>
      <c r="X1240" s="200">
        <f ca="1">W1240*'Expenditure Study'!$B$31</f>
        <v>0</v>
      </c>
      <c r="Y1240" s="199">
        <f ca="1">U1240*'Expenditure Study'!$B$31</f>
        <v>0</v>
      </c>
      <c r="Z1240" s="200">
        <f ca="1">W1240*'Expenditure Study'!$B$31</f>
        <v>0</v>
      </c>
      <c r="AA1240" s="195">
        <f t="shared" ca="1" si="274"/>
        <v>0</v>
      </c>
      <c r="AB1240" s="195">
        <f t="shared" ca="1" si="275"/>
        <v>0</v>
      </c>
      <c r="AD1240" s="196">
        <f>IFERROR($G1240/SUMIF($A:$A,$A1240,$G:$G)*SUMIF(Summary!$A$166:$A$242,$A1240,Summary!$P$166:$P$242),0)</f>
        <v>0</v>
      </c>
      <c r="AE1240" s="197">
        <f t="shared" ca="1" si="276"/>
        <v>0</v>
      </c>
      <c r="AF1240" s="196">
        <f>IFERROR(G1240/SUMIF(A:A,A1240,G:G)*SUMIF(Summary!$A$166:$A$242,'Operations Support'!A1240,Summary!$Q$166:$Q$242),0)</f>
        <v>0</v>
      </c>
      <c r="AG1240" s="196">
        <f t="shared" ca="1" si="277"/>
        <v>0</v>
      </c>
      <c r="AI1240" s="196">
        <f>IFERROR($G1240/SUMIF($A:$A,$A1240,$G:$G)*SUMIF(Summary!$A$247:$A$283,$A1240,Summary!$P$247:$P$283),0)</f>
        <v>0</v>
      </c>
      <c r="AJ1240" s="196">
        <f>IFERROR($G1240/SUMIF($A:$A,$A1240,$G:$G)*(SUMIF(Summary!$A$247:$A$283,$A1240,Summary!$L$247:$L$283)+SUMIF(Summary!$A$297:$A$333,$A1240,Summary!$L$297:$L$333))-AI1240,0)</f>
        <v>0</v>
      </c>
      <c r="AK1240" s="196">
        <f>IFERROR($G1240/SUMIF($A:$A,$A1240,$G:$G)*SUMIF(Summary!$A$247:$A$283,$A1240,Summary!$Q$247:$Q$283),0)</f>
        <v>0</v>
      </c>
      <c r="AL1240" s="196">
        <f>IFERROR($G1240/SUMIF($A:$A,$A1240,$G:$G)*(SUMIF(Summary!$A$247:$A$283,$A1240,Summary!$L$247:$L$283)+SUMIF(Summary!$A$297:$A$333,$A1240,Summary!$L$297:$L$333))-AK1240,0)</f>
        <v>0</v>
      </c>
      <c r="AM1240" s="198"/>
      <c r="AN1240" s="196">
        <f t="shared" ca="1" si="278"/>
        <v>0</v>
      </c>
      <c r="AO1240" s="196">
        <f t="shared" ca="1" si="279"/>
        <v>0</v>
      </c>
    </row>
    <row r="1241" spans="1:41">
      <c r="A1241" s="189">
        <v>3630</v>
      </c>
      <c r="B1241" s="190">
        <v>4</v>
      </c>
      <c r="C1241" s="191" t="s">
        <v>238</v>
      </c>
      <c r="D1241" s="192">
        <f t="shared" si="266"/>
        <v>0</v>
      </c>
      <c r="E1241" s="192">
        <f t="shared" si="267"/>
        <v>0</v>
      </c>
      <c r="F1241" s="192">
        <f t="shared" si="268"/>
        <v>0</v>
      </c>
      <c r="G1241" s="193">
        <f t="shared" si="269"/>
        <v>0</v>
      </c>
      <c r="H1241" s="194">
        <v>0</v>
      </c>
      <c r="I1241" s="194">
        <v>0</v>
      </c>
      <c r="J1241" s="194">
        <v>0</v>
      </c>
      <c r="K1241" s="193">
        <f t="shared" si="270"/>
        <v>0</v>
      </c>
      <c r="L1241" s="194">
        <v>0</v>
      </c>
      <c r="M1241" s="194">
        <v>0</v>
      </c>
      <c r="N1241" s="194">
        <v>0</v>
      </c>
      <c r="O1241" s="193">
        <f t="shared" si="271"/>
        <v>0</v>
      </c>
      <c r="P1241" s="194">
        <v>0</v>
      </c>
      <c r="Q1241" s="194">
        <v>0</v>
      </c>
      <c r="R1241" s="194">
        <v>0</v>
      </c>
      <c r="S1241" s="193">
        <f t="shared" si="272"/>
        <v>0</v>
      </c>
      <c r="T1241" s="193">
        <f t="shared" si="273"/>
        <v>0</v>
      </c>
      <c r="U1241" s="193">
        <f ca="1">OFFSET('Expenditure Study'!$B$7,'Operations Support'!$C1241,'Operations Support'!$B1241)*$G1241</f>
        <v>0</v>
      </c>
      <c r="V1241" s="199">
        <f ca="1">U1241*'Expenditure Study'!$B$31</f>
        <v>0</v>
      </c>
      <c r="W1241" s="199">
        <f ca="1">IF(A1241=10298,1.51,1)*IF($B1241&lt;3,$D1241*'Expenditure Study'!$B$32*OFFSET('Expenditure Study'!$B$7,'Operations Support'!$C1241,'Operations Support'!$B1241),0)</f>
        <v>0</v>
      </c>
      <c r="X1241" s="200">
        <f ca="1">W1241*'Expenditure Study'!$B$31</f>
        <v>0</v>
      </c>
      <c r="Y1241" s="199">
        <f ca="1">U1241*'Expenditure Study'!$B$31</f>
        <v>0</v>
      </c>
      <c r="Z1241" s="200">
        <f ca="1">W1241*'Expenditure Study'!$B$31</f>
        <v>0</v>
      </c>
      <c r="AA1241" s="195">
        <f t="shared" ca="1" si="274"/>
        <v>0</v>
      </c>
      <c r="AB1241" s="195">
        <f t="shared" ca="1" si="275"/>
        <v>0</v>
      </c>
      <c r="AD1241" s="196">
        <f>IFERROR($G1241/SUMIF($A:$A,$A1241,$G:$G)*SUMIF(Summary!$A$166:$A$242,$A1241,Summary!$P$166:$P$242),0)</f>
        <v>0</v>
      </c>
      <c r="AE1241" s="197">
        <f t="shared" ca="1" si="276"/>
        <v>0</v>
      </c>
      <c r="AF1241" s="196">
        <f>IFERROR(G1241/SUMIF(A:A,A1241,G:G)*SUMIF(Summary!$A$166:$A$242,'Operations Support'!A1241,Summary!$Q$166:$Q$242),0)</f>
        <v>0</v>
      </c>
      <c r="AG1241" s="196">
        <f t="shared" ca="1" si="277"/>
        <v>0</v>
      </c>
      <c r="AI1241" s="196">
        <f>IFERROR($G1241/SUMIF($A:$A,$A1241,$G:$G)*SUMIF(Summary!$A$247:$A$283,$A1241,Summary!$P$247:$P$283),0)</f>
        <v>0</v>
      </c>
      <c r="AJ1241" s="196">
        <f>IFERROR($G1241/SUMIF($A:$A,$A1241,$G:$G)*(SUMIF(Summary!$A$247:$A$283,$A1241,Summary!$L$247:$L$283)+SUMIF(Summary!$A$297:$A$333,$A1241,Summary!$L$297:$L$333))-AI1241,0)</f>
        <v>0</v>
      </c>
      <c r="AK1241" s="196">
        <f>IFERROR($G1241/SUMIF($A:$A,$A1241,$G:$G)*SUMIF(Summary!$A$247:$A$283,$A1241,Summary!$Q$247:$Q$283),0)</f>
        <v>0</v>
      </c>
      <c r="AL1241" s="196">
        <f>IFERROR($G1241/SUMIF($A:$A,$A1241,$G:$G)*(SUMIF(Summary!$A$247:$A$283,$A1241,Summary!$L$247:$L$283)+SUMIF(Summary!$A$297:$A$333,$A1241,Summary!$L$297:$L$333))-AK1241,0)</f>
        <v>0</v>
      </c>
      <c r="AM1241" s="198"/>
      <c r="AN1241" s="196">
        <f t="shared" ca="1" si="278"/>
        <v>0</v>
      </c>
      <c r="AO1241" s="196">
        <f t="shared" ca="1" si="279"/>
        <v>0</v>
      </c>
    </row>
    <row r="1242" spans="1:41">
      <c r="A1242" s="189">
        <v>3630</v>
      </c>
      <c r="B1242" s="190">
        <v>4</v>
      </c>
      <c r="C1242" s="191" t="s">
        <v>239</v>
      </c>
      <c r="D1242" s="192">
        <f t="shared" si="266"/>
        <v>216</v>
      </c>
      <c r="E1242" s="192">
        <f t="shared" si="267"/>
        <v>27</v>
      </c>
      <c r="F1242" s="192">
        <f t="shared" si="268"/>
        <v>0</v>
      </c>
      <c r="G1242" s="193">
        <f t="shared" si="269"/>
        <v>243</v>
      </c>
      <c r="H1242" s="194">
        <v>64.5</v>
      </c>
      <c r="I1242" s="194">
        <v>7.5</v>
      </c>
      <c r="J1242" s="194">
        <v>0</v>
      </c>
      <c r="K1242" s="193">
        <f t="shared" si="270"/>
        <v>72</v>
      </c>
      <c r="L1242" s="194">
        <v>93</v>
      </c>
      <c r="M1242" s="194">
        <v>12</v>
      </c>
      <c r="N1242" s="194">
        <v>0</v>
      </c>
      <c r="O1242" s="193">
        <f t="shared" si="271"/>
        <v>105</v>
      </c>
      <c r="P1242" s="194">
        <v>58.5</v>
      </c>
      <c r="Q1242" s="194">
        <v>7.5</v>
      </c>
      <c r="R1242" s="194">
        <v>0</v>
      </c>
      <c r="S1242" s="193">
        <f t="shared" si="272"/>
        <v>66</v>
      </c>
      <c r="T1242" s="193">
        <f t="shared" si="273"/>
        <v>13.5</v>
      </c>
      <c r="U1242" s="193">
        <f ca="1">OFFSET('Expenditure Study'!$B$7,'Operations Support'!$C1242,'Operations Support'!$B1242)*$G1242</f>
        <v>2228.31</v>
      </c>
      <c r="V1242" s="199">
        <f ca="1">U1242*'Expenditure Study'!$B$31</f>
        <v>131655.64260844799</v>
      </c>
      <c r="W1242" s="199">
        <f ca="1">IF(A1242=10298,1.51,1)*IF($B1242&lt;3,$D1242*'Expenditure Study'!$B$32*OFFSET('Expenditure Study'!$B$7,'Operations Support'!$C1242,'Operations Support'!$B1242),0)</f>
        <v>0</v>
      </c>
      <c r="X1242" s="200">
        <f ca="1">W1242*'Expenditure Study'!$B$31</f>
        <v>0</v>
      </c>
      <c r="Y1242" s="199">
        <f ca="1">U1242*'Expenditure Study'!$B$31</f>
        <v>131655.64260844799</v>
      </c>
      <c r="Z1242" s="200">
        <f ca="1">W1242*'Expenditure Study'!$B$31</f>
        <v>0</v>
      </c>
      <c r="AA1242" s="195">
        <f t="shared" ca="1" si="274"/>
        <v>131655.64260844799</v>
      </c>
      <c r="AB1242" s="195">
        <f t="shared" ca="1" si="275"/>
        <v>131655.64260844799</v>
      </c>
      <c r="AD1242" s="196">
        <f>IFERROR($G1242/SUMIF($A:$A,$A1242,$G:$G)*SUMIF(Summary!$A$166:$A$242,$A1242,Summary!$P$166:$P$242),0)</f>
        <v>11686.811635887549</v>
      </c>
      <c r="AE1242" s="197">
        <f t="shared" ca="1" si="276"/>
        <v>119968.83097256045</v>
      </c>
      <c r="AF1242" s="196">
        <f>IFERROR(G1242/SUMIF(A:A,A1242,G:G)*SUMIF(Summary!$A$166:$A$242,'Operations Support'!A1242,Summary!$Q$166:$Q$242),0)</f>
        <v>11749.123371249634</v>
      </c>
      <c r="AG1242" s="196">
        <f t="shared" ca="1" si="277"/>
        <v>119906.51923719836</v>
      </c>
      <c r="AI1242" s="196">
        <f>IFERROR($G1242/SUMIF($A:$A,$A1242,$G:$G)*SUMIF(Summary!$A$247:$A$283,$A1242,Summary!$P$247:$P$283),0)</f>
        <v>2131.3828012524309</v>
      </c>
      <c r="AJ1242" s="196">
        <f>IFERROR($G1242/SUMIF($A:$A,$A1242,$G:$G)*(SUMIF(Summary!$A$247:$A$283,$A1242,Summary!$L$247:$L$283)+SUMIF(Summary!$A$297:$A$333,$A1242,Summary!$L$297:$L$333))-AI1242,0)</f>
        <v>5528.3821559032413</v>
      </c>
      <c r="AK1242" s="196">
        <f>IFERROR($G1242/SUMIF($A:$A,$A1242,$G:$G)*SUMIF(Summary!$A$247:$A$283,$A1242,Summary!$Q$247:$Q$283),0)</f>
        <v>2142.7469068104524</v>
      </c>
      <c r="AL1242" s="196">
        <f>IFERROR($G1242/SUMIF($A:$A,$A1242,$G:$G)*(SUMIF(Summary!$A$247:$A$283,$A1242,Summary!$L$247:$L$283)+SUMIF(Summary!$A$297:$A$333,$A1242,Summary!$L$297:$L$333))-AK1242,0)</f>
        <v>5517.0180503452193</v>
      </c>
      <c r="AM1242" s="198"/>
      <c r="AN1242" s="196">
        <f t="shared" ca="1" si="278"/>
        <v>125497.21312846369</v>
      </c>
      <c r="AO1242" s="196">
        <f t="shared" ca="1" si="279"/>
        <v>125423.53728754357</v>
      </c>
    </row>
    <row r="1243" spans="1:41">
      <c r="A1243" s="189">
        <v>3630</v>
      </c>
      <c r="B1243" s="190">
        <v>4</v>
      </c>
      <c r="C1243" s="191" t="s">
        <v>240</v>
      </c>
      <c r="D1243" s="192">
        <f t="shared" si="266"/>
        <v>0</v>
      </c>
      <c r="E1243" s="192">
        <f t="shared" si="267"/>
        <v>0</v>
      </c>
      <c r="F1243" s="192">
        <f t="shared" si="268"/>
        <v>0</v>
      </c>
      <c r="G1243" s="193">
        <f t="shared" si="269"/>
        <v>0</v>
      </c>
      <c r="H1243" s="194">
        <v>0</v>
      </c>
      <c r="I1243" s="194">
        <v>0</v>
      </c>
      <c r="J1243" s="194">
        <v>0</v>
      </c>
      <c r="K1243" s="193">
        <f t="shared" si="270"/>
        <v>0</v>
      </c>
      <c r="L1243" s="194">
        <v>0</v>
      </c>
      <c r="M1243" s="194">
        <v>0</v>
      </c>
      <c r="N1243" s="194">
        <v>0</v>
      </c>
      <c r="O1243" s="193">
        <f t="shared" si="271"/>
        <v>0</v>
      </c>
      <c r="P1243" s="194">
        <v>0</v>
      </c>
      <c r="Q1243" s="194">
        <v>0</v>
      </c>
      <c r="R1243" s="194">
        <v>0</v>
      </c>
      <c r="S1243" s="193">
        <f t="shared" si="272"/>
        <v>0</v>
      </c>
      <c r="T1243" s="193">
        <f t="shared" si="273"/>
        <v>0</v>
      </c>
      <c r="U1243" s="193">
        <f ca="1">OFFSET('Expenditure Study'!$B$7,'Operations Support'!$C1243,'Operations Support'!$B1243)*$G1243</f>
        <v>0</v>
      </c>
      <c r="V1243" s="199">
        <f ca="1">U1243*'Expenditure Study'!$B$31</f>
        <v>0</v>
      </c>
      <c r="W1243" s="199">
        <f ca="1">IF(A1243=10298,1.51,1)*IF($B1243&lt;3,$D1243*'Expenditure Study'!$B$32*OFFSET('Expenditure Study'!$B$7,'Operations Support'!$C1243,'Operations Support'!$B1243),0)</f>
        <v>0</v>
      </c>
      <c r="X1243" s="200">
        <f ca="1">W1243*'Expenditure Study'!$B$31</f>
        <v>0</v>
      </c>
      <c r="Y1243" s="199">
        <f ca="1">U1243*'Expenditure Study'!$B$31</f>
        <v>0</v>
      </c>
      <c r="Z1243" s="200">
        <f ca="1">W1243*'Expenditure Study'!$B$31</f>
        <v>0</v>
      </c>
      <c r="AA1243" s="195">
        <f t="shared" ca="1" si="274"/>
        <v>0</v>
      </c>
      <c r="AB1243" s="195">
        <f t="shared" ca="1" si="275"/>
        <v>0</v>
      </c>
      <c r="AD1243" s="196">
        <f>IFERROR($G1243/SUMIF($A:$A,$A1243,$G:$G)*SUMIF(Summary!$A$166:$A$242,$A1243,Summary!$P$166:$P$242),0)</f>
        <v>0</v>
      </c>
      <c r="AE1243" s="197">
        <f t="shared" ca="1" si="276"/>
        <v>0</v>
      </c>
      <c r="AF1243" s="196">
        <f>IFERROR(G1243/SUMIF(A:A,A1243,G:G)*SUMIF(Summary!$A$166:$A$242,'Operations Support'!A1243,Summary!$Q$166:$Q$242),0)</f>
        <v>0</v>
      </c>
      <c r="AG1243" s="196">
        <f t="shared" ca="1" si="277"/>
        <v>0</v>
      </c>
      <c r="AI1243" s="196">
        <f>IFERROR($G1243/SUMIF($A:$A,$A1243,$G:$G)*SUMIF(Summary!$A$247:$A$283,$A1243,Summary!$P$247:$P$283),0)</f>
        <v>0</v>
      </c>
      <c r="AJ1243" s="196">
        <f>IFERROR($G1243/SUMIF($A:$A,$A1243,$G:$G)*(SUMIF(Summary!$A$247:$A$283,$A1243,Summary!$L$247:$L$283)+SUMIF(Summary!$A$297:$A$333,$A1243,Summary!$L$297:$L$333))-AI1243,0)</f>
        <v>0</v>
      </c>
      <c r="AK1243" s="196">
        <f>IFERROR($G1243/SUMIF($A:$A,$A1243,$G:$G)*SUMIF(Summary!$A$247:$A$283,$A1243,Summary!$Q$247:$Q$283),0)</f>
        <v>0</v>
      </c>
      <c r="AL1243" s="196">
        <f>IFERROR($G1243/SUMIF($A:$A,$A1243,$G:$G)*(SUMIF(Summary!$A$247:$A$283,$A1243,Summary!$L$247:$L$283)+SUMIF(Summary!$A$297:$A$333,$A1243,Summary!$L$297:$L$333))-AK1243,0)</f>
        <v>0</v>
      </c>
      <c r="AM1243" s="198"/>
      <c r="AN1243" s="196">
        <f t="shared" ca="1" si="278"/>
        <v>0</v>
      </c>
      <c r="AO1243" s="196">
        <f t="shared" ca="1" si="279"/>
        <v>0</v>
      </c>
    </row>
    <row r="1244" spans="1:41">
      <c r="A1244" s="189">
        <v>3630</v>
      </c>
      <c r="B1244" s="190">
        <v>5</v>
      </c>
      <c r="C1244" s="191" t="s">
        <v>220</v>
      </c>
      <c r="D1244" s="192">
        <f t="shared" si="266"/>
        <v>0</v>
      </c>
      <c r="E1244" s="192">
        <f t="shared" si="267"/>
        <v>0</v>
      </c>
      <c r="F1244" s="192">
        <f t="shared" si="268"/>
        <v>0</v>
      </c>
      <c r="G1244" s="193">
        <f t="shared" si="269"/>
        <v>0</v>
      </c>
      <c r="H1244" s="194">
        <v>0</v>
      </c>
      <c r="I1244" s="194">
        <v>0</v>
      </c>
      <c r="J1244" s="194">
        <v>0</v>
      </c>
      <c r="K1244" s="193">
        <f t="shared" si="270"/>
        <v>0</v>
      </c>
      <c r="L1244" s="194">
        <v>0</v>
      </c>
      <c r="M1244" s="194">
        <v>0</v>
      </c>
      <c r="N1244" s="194">
        <v>0</v>
      </c>
      <c r="O1244" s="193">
        <f t="shared" si="271"/>
        <v>0</v>
      </c>
      <c r="P1244" s="194">
        <v>0</v>
      </c>
      <c r="Q1244" s="194">
        <v>0</v>
      </c>
      <c r="R1244" s="194">
        <v>0</v>
      </c>
      <c r="S1244" s="193">
        <f t="shared" si="272"/>
        <v>0</v>
      </c>
      <c r="T1244" s="193">
        <f t="shared" si="273"/>
        <v>0</v>
      </c>
      <c r="U1244" s="193">
        <f ca="1">OFFSET('Expenditure Study'!$B$7,'Operations Support'!$C1244,'Operations Support'!$B1244)*$G1244</f>
        <v>0</v>
      </c>
      <c r="V1244" s="199">
        <f ca="1">U1244*'Expenditure Study'!$B$31</f>
        <v>0</v>
      </c>
      <c r="W1244" s="199">
        <f ca="1">IF(A1244=10298,1.51,1)*IF($B1244&lt;3,$D1244*'Expenditure Study'!$B$32*OFFSET('Expenditure Study'!$B$7,'Operations Support'!$C1244,'Operations Support'!$B1244),0)</f>
        <v>0</v>
      </c>
      <c r="X1244" s="200">
        <f ca="1">W1244*'Expenditure Study'!$B$31</f>
        <v>0</v>
      </c>
      <c r="Y1244" s="199">
        <f ca="1">U1244*'Expenditure Study'!$B$31</f>
        <v>0</v>
      </c>
      <c r="Z1244" s="200">
        <f ca="1">W1244*'Expenditure Study'!$B$31</f>
        <v>0</v>
      </c>
      <c r="AA1244" s="195">
        <f t="shared" ca="1" si="274"/>
        <v>0</v>
      </c>
      <c r="AB1244" s="195">
        <f t="shared" ca="1" si="275"/>
        <v>0</v>
      </c>
      <c r="AD1244" s="196">
        <f>IFERROR($G1244/SUMIF($A:$A,$A1244,$G:$G)*SUMIF(Summary!$A$166:$A$242,$A1244,Summary!$P$166:$P$242),0)</f>
        <v>0</v>
      </c>
      <c r="AE1244" s="197">
        <f t="shared" ca="1" si="276"/>
        <v>0</v>
      </c>
      <c r="AF1244" s="196">
        <f>IFERROR(G1244/SUMIF(A:A,A1244,G:G)*SUMIF(Summary!$A$166:$A$242,'Operations Support'!A1244,Summary!$Q$166:$Q$242),0)</f>
        <v>0</v>
      </c>
      <c r="AG1244" s="196">
        <f t="shared" ca="1" si="277"/>
        <v>0</v>
      </c>
      <c r="AI1244" s="196">
        <f>IFERROR($G1244/SUMIF($A:$A,$A1244,$G:$G)*SUMIF(Summary!$A$247:$A$283,$A1244,Summary!$P$247:$P$283),0)</f>
        <v>0</v>
      </c>
      <c r="AJ1244" s="196">
        <f>IFERROR($G1244/SUMIF($A:$A,$A1244,$G:$G)*(SUMIF(Summary!$A$247:$A$283,$A1244,Summary!$L$247:$L$283)+SUMIF(Summary!$A$297:$A$333,$A1244,Summary!$L$297:$L$333))-AI1244,0)</f>
        <v>0</v>
      </c>
      <c r="AK1244" s="196">
        <f>IFERROR($G1244/SUMIF($A:$A,$A1244,$G:$G)*SUMIF(Summary!$A$247:$A$283,$A1244,Summary!$Q$247:$Q$283),0)</f>
        <v>0</v>
      </c>
      <c r="AL1244" s="196">
        <f>IFERROR($G1244/SUMIF($A:$A,$A1244,$G:$G)*(SUMIF(Summary!$A$247:$A$283,$A1244,Summary!$L$247:$L$283)+SUMIF(Summary!$A$297:$A$333,$A1244,Summary!$L$297:$L$333))-AK1244,0)</f>
        <v>0</v>
      </c>
      <c r="AM1244" s="198"/>
      <c r="AN1244" s="196">
        <f t="shared" ca="1" si="278"/>
        <v>0</v>
      </c>
      <c r="AO1244" s="196">
        <f t="shared" ca="1" si="279"/>
        <v>0</v>
      </c>
    </row>
    <row r="1245" spans="1:41">
      <c r="A1245" s="189">
        <v>3630</v>
      </c>
      <c r="B1245" s="190">
        <v>5</v>
      </c>
      <c r="C1245" s="191" t="s">
        <v>221</v>
      </c>
      <c r="D1245" s="192">
        <f t="shared" si="266"/>
        <v>0</v>
      </c>
      <c r="E1245" s="192">
        <f t="shared" si="267"/>
        <v>0</v>
      </c>
      <c r="F1245" s="192">
        <f t="shared" si="268"/>
        <v>0</v>
      </c>
      <c r="G1245" s="193">
        <f t="shared" si="269"/>
        <v>0</v>
      </c>
      <c r="H1245" s="194">
        <v>0</v>
      </c>
      <c r="I1245" s="194">
        <v>0</v>
      </c>
      <c r="J1245" s="194">
        <v>0</v>
      </c>
      <c r="K1245" s="193">
        <f t="shared" si="270"/>
        <v>0</v>
      </c>
      <c r="L1245" s="194">
        <v>0</v>
      </c>
      <c r="M1245" s="194">
        <v>0</v>
      </c>
      <c r="N1245" s="194">
        <v>0</v>
      </c>
      <c r="O1245" s="193">
        <f t="shared" si="271"/>
        <v>0</v>
      </c>
      <c r="P1245" s="194">
        <v>0</v>
      </c>
      <c r="Q1245" s="194">
        <v>0</v>
      </c>
      <c r="R1245" s="194">
        <v>0</v>
      </c>
      <c r="S1245" s="193">
        <f t="shared" si="272"/>
        <v>0</v>
      </c>
      <c r="T1245" s="193">
        <f t="shared" si="273"/>
        <v>0</v>
      </c>
      <c r="U1245" s="193">
        <f ca="1">OFFSET('Expenditure Study'!$B$7,'Operations Support'!$C1245,'Operations Support'!$B1245)*$G1245</f>
        <v>0</v>
      </c>
      <c r="V1245" s="199">
        <f ca="1">U1245*'Expenditure Study'!$B$31</f>
        <v>0</v>
      </c>
      <c r="W1245" s="199">
        <f ca="1">IF(A1245=10298,1.51,1)*IF($B1245&lt;3,$D1245*'Expenditure Study'!$B$32*OFFSET('Expenditure Study'!$B$7,'Operations Support'!$C1245,'Operations Support'!$B1245),0)</f>
        <v>0</v>
      </c>
      <c r="X1245" s="200">
        <f ca="1">W1245*'Expenditure Study'!$B$31</f>
        <v>0</v>
      </c>
      <c r="Y1245" s="199">
        <f ca="1">U1245*'Expenditure Study'!$B$31</f>
        <v>0</v>
      </c>
      <c r="Z1245" s="200">
        <f ca="1">W1245*'Expenditure Study'!$B$31</f>
        <v>0</v>
      </c>
      <c r="AA1245" s="195">
        <f t="shared" ca="1" si="274"/>
        <v>0</v>
      </c>
      <c r="AB1245" s="195">
        <f t="shared" ca="1" si="275"/>
        <v>0</v>
      </c>
      <c r="AD1245" s="196">
        <f>IFERROR($G1245/SUMIF($A:$A,$A1245,$G:$G)*SUMIF(Summary!$A$166:$A$242,$A1245,Summary!$P$166:$P$242),0)</f>
        <v>0</v>
      </c>
      <c r="AE1245" s="197">
        <f t="shared" ca="1" si="276"/>
        <v>0</v>
      </c>
      <c r="AF1245" s="196">
        <f>IFERROR(G1245/SUMIF(A:A,A1245,G:G)*SUMIF(Summary!$A$166:$A$242,'Operations Support'!A1245,Summary!$Q$166:$Q$242),0)</f>
        <v>0</v>
      </c>
      <c r="AG1245" s="196">
        <f t="shared" ca="1" si="277"/>
        <v>0</v>
      </c>
      <c r="AI1245" s="196">
        <f>IFERROR($G1245/SUMIF($A:$A,$A1245,$G:$G)*SUMIF(Summary!$A$247:$A$283,$A1245,Summary!$P$247:$P$283),0)</f>
        <v>0</v>
      </c>
      <c r="AJ1245" s="196">
        <f>IFERROR($G1245/SUMIF($A:$A,$A1245,$G:$G)*(SUMIF(Summary!$A$247:$A$283,$A1245,Summary!$L$247:$L$283)+SUMIF(Summary!$A$297:$A$333,$A1245,Summary!$L$297:$L$333))-AI1245,0)</f>
        <v>0</v>
      </c>
      <c r="AK1245" s="196">
        <f>IFERROR($G1245/SUMIF($A:$A,$A1245,$G:$G)*SUMIF(Summary!$A$247:$A$283,$A1245,Summary!$Q$247:$Q$283),0)</f>
        <v>0</v>
      </c>
      <c r="AL1245" s="196">
        <f>IFERROR($G1245/SUMIF($A:$A,$A1245,$G:$G)*(SUMIF(Summary!$A$247:$A$283,$A1245,Summary!$L$247:$L$283)+SUMIF(Summary!$A$297:$A$333,$A1245,Summary!$L$297:$L$333))-AK1245,0)</f>
        <v>0</v>
      </c>
      <c r="AM1245" s="198"/>
      <c r="AN1245" s="196">
        <f t="shared" ca="1" si="278"/>
        <v>0</v>
      </c>
      <c r="AO1245" s="196">
        <f t="shared" ca="1" si="279"/>
        <v>0</v>
      </c>
    </row>
    <row r="1246" spans="1:41">
      <c r="A1246" s="189">
        <v>3630</v>
      </c>
      <c r="B1246" s="190">
        <v>5</v>
      </c>
      <c r="C1246" s="191" t="s">
        <v>222</v>
      </c>
      <c r="D1246" s="192">
        <f t="shared" si="266"/>
        <v>0</v>
      </c>
      <c r="E1246" s="192">
        <f t="shared" si="267"/>
        <v>0</v>
      </c>
      <c r="F1246" s="192">
        <f t="shared" si="268"/>
        <v>0</v>
      </c>
      <c r="G1246" s="193">
        <f t="shared" si="269"/>
        <v>0</v>
      </c>
      <c r="H1246" s="194">
        <v>0</v>
      </c>
      <c r="I1246" s="194">
        <v>0</v>
      </c>
      <c r="J1246" s="194">
        <v>0</v>
      </c>
      <c r="K1246" s="193">
        <f t="shared" si="270"/>
        <v>0</v>
      </c>
      <c r="L1246" s="194">
        <v>0</v>
      </c>
      <c r="M1246" s="194">
        <v>0</v>
      </c>
      <c r="N1246" s="194">
        <v>0</v>
      </c>
      <c r="O1246" s="193">
        <f t="shared" si="271"/>
        <v>0</v>
      </c>
      <c r="P1246" s="194">
        <v>0</v>
      </c>
      <c r="Q1246" s="194">
        <v>0</v>
      </c>
      <c r="R1246" s="194">
        <v>0</v>
      </c>
      <c r="S1246" s="193">
        <f t="shared" si="272"/>
        <v>0</v>
      </c>
      <c r="T1246" s="193">
        <f t="shared" si="273"/>
        <v>0</v>
      </c>
      <c r="U1246" s="193">
        <f ca="1">OFFSET('Expenditure Study'!$B$7,'Operations Support'!$C1246,'Operations Support'!$B1246)*$G1246</f>
        <v>0</v>
      </c>
      <c r="V1246" s="199">
        <f ca="1">U1246*'Expenditure Study'!$B$31</f>
        <v>0</v>
      </c>
      <c r="W1246" s="199">
        <f ca="1">IF(A1246=10298,1.51,1)*IF($B1246&lt;3,$D1246*'Expenditure Study'!$B$32*OFFSET('Expenditure Study'!$B$7,'Operations Support'!$C1246,'Operations Support'!$B1246),0)</f>
        <v>0</v>
      </c>
      <c r="X1246" s="200">
        <f ca="1">W1246*'Expenditure Study'!$B$31</f>
        <v>0</v>
      </c>
      <c r="Y1246" s="199">
        <f ca="1">U1246*'Expenditure Study'!$B$31</f>
        <v>0</v>
      </c>
      <c r="Z1246" s="200">
        <f ca="1">W1246*'Expenditure Study'!$B$31</f>
        <v>0</v>
      </c>
      <c r="AA1246" s="195">
        <f t="shared" ca="1" si="274"/>
        <v>0</v>
      </c>
      <c r="AB1246" s="195">
        <f t="shared" ca="1" si="275"/>
        <v>0</v>
      </c>
      <c r="AD1246" s="196">
        <f>IFERROR($G1246/SUMIF($A:$A,$A1246,$G:$G)*SUMIF(Summary!$A$166:$A$242,$A1246,Summary!$P$166:$P$242),0)</f>
        <v>0</v>
      </c>
      <c r="AE1246" s="197">
        <f t="shared" ca="1" si="276"/>
        <v>0</v>
      </c>
      <c r="AF1246" s="196">
        <f>IFERROR(G1246/SUMIF(A:A,A1246,G:G)*SUMIF(Summary!$A$166:$A$242,'Operations Support'!A1246,Summary!$Q$166:$Q$242),0)</f>
        <v>0</v>
      </c>
      <c r="AG1246" s="196">
        <f t="shared" ca="1" si="277"/>
        <v>0</v>
      </c>
      <c r="AI1246" s="196">
        <f>IFERROR($G1246/SUMIF($A:$A,$A1246,$G:$G)*SUMIF(Summary!$A$247:$A$283,$A1246,Summary!$P$247:$P$283),0)</f>
        <v>0</v>
      </c>
      <c r="AJ1246" s="196">
        <f>IFERROR($G1246/SUMIF($A:$A,$A1246,$G:$G)*(SUMIF(Summary!$A$247:$A$283,$A1246,Summary!$L$247:$L$283)+SUMIF(Summary!$A$297:$A$333,$A1246,Summary!$L$297:$L$333))-AI1246,0)</f>
        <v>0</v>
      </c>
      <c r="AK1246" s="196">
        <f>IFERROR($G1246/SUMIF($A:$A,$A1246,$G:$G)*SUMIF(Summary!$A$247:$A$283,$A1246,Summary!$Q$247:$Q$283),0)</f>
        <v>0</v>
      </c>
      <c r="AL1246" s="196">
        <f>IFERROR($G1246/SUMIF($A:$A,$A1246,$G:$G)*(SUMIF(Summary!$A$247:$A$283,$A1246,Summary!$L$247:$L$283)+SUMIF(Summary!$A$297:$A$333,$A1246,Summary!$L$297:$L$333))-AK1246,0)</f>
        <v>0</v>
      </c>
      <c r="AM1246" s="198"/>
      <c r="AN1246" s="196">
        <f t="shared" ca="1" si="278"/>
        <v>0</v>
      </c>
      <c r="AO1246" s="196">
        <f t="shared" ca="1" si="279"/>
        <v>0</v>
      </c>
    </row>
    <row r="1247" spans="1:41" s="201" customFormat="1">
      <c r="A1247" s="189">
        <v>3630</v>
      </c>
      <c r="B1247" s="190">
        <v>5</v>
      </c>
      <c r="C1247" s="191" t="s">
        <v>223</v>
      </c>
      <c r="D1247" s="192">
        <f t="shared" si="266"/>
        <v>0</v>
      </c>
      <c r="E1247" s="192">
        <f t="shared" si="267"/>
        <v>0</v>
      </c>
      <c r="F1247" s="192">
        <f t="shared" si="268"/>
        <v>0</v>
      </c>
      <c r="G1247" s="193">
        <f t="shared" si="269"/>
        <v>0</v>
      </c>
      <c r="H1247" s="194">
        <v>0</v>
      </c>
      <c r="I1247" s="194">
        <v>0</v>
      </c>
      <c r="J1247" s="194">
        <v>0</v>
      </c>
      <c r="K1247" s="193">
        <f t="shared" si="270"/>
        <v>0</v>
      </c>
      <c r="L1247" s="194">
        <v>0</v>
      </c>
      <c r="M1247" s="194">
        <v>0</v>
      </c>
      <c r="N1247" s="194">
        <v>0</v>
      </c>
      <c r="O1247" s="193">
        <f t="shared" si="271"/>
        <v>0</v>
      </c>
      <c r="P1247" s="194">
        <v>0</v>
      </c>
      <c r="Q1247" s="194">
        <v>0</v>
      </c>
      <c r="R1247" s="194">
        <v>0</v>
      </c>
      <c r="S1247" s="193">
        <f t="shared" si="272"/>
        <v>0</v>
      </c>
      <c r="T1247" s="193">
        <f t="shared" si="273"/>
        <v>0</v>
      </c>
      <c r="U1247" s="193">
        <f ca="1">OFFSET('Expenditure Study'!$B$7,'Operations Support'!$C1247,'Operations Support'!$B1247)*$G1247</f>
        <v>0</v>
      </c>
      <c r="V1247" s="199">
        <f ca="1">U1247*'Expenditure Study'!$B$31</f>
        <v>0</v>
      </c>
      <c r="W1247" s="199">
        <f ca="1">IF(A1247=10298,1.51,1)*IF($B1247&lt;3,$D1247*'Expenditure Study'!$B$32*OFFSET('Expenditure Study'!$B$7,'Operations Support'!$C1247,'Operations Support'!$B1247),0)</f>
        <v>0</v>
      </c>
      <c r="X1247" s="200">
        <f ca="1">W1247*'Expenditure Study'!$B$31</f>
        <v>0</v>
      </c>
      <c r="Y1247" s="199">
        <f ca="1">U1247*'Expenditure Study'!$B$31</f>
        <v>0</v>
      </c>
      <c r="Z1247" s="200">
        <f ca="1">W1247*'Expenditure Study'!$B$31</f>
        <v>0</v>
      </c>
      <c r="AA1247" s="195">
        <f t="shared" ca="1" si="274"/>
        <v>0</v>
      </c>
      <c r="AB1247" s="195">
        <f t="shared" ca="1" si="275"/>
        <v>0</v>
      </c>
      <c r="AD1247" s="196">
        <f>IFERROR($G1247/SUMIF($A:$A,$A1247,$G:$G)*SUMIF(Summary!$A$166:$A$242,$A1247,Summary!$P$166:$P$242),0)</f>
        <v>0</v>
      </c>
      <c r="AE1247" s="197">
        <f t="shared" ca="1" si="276"/>
        <v>0</v>
      </c>
      <c r="AF1247" s="196">
        <f>IFERROR(G1247/SUMIF(A:A,A1247,G:G)*SUMIF(Summary!$A$166:$A$242,'Operations Support'!A1247,Summary!$Q$166:$Q$242),0)</f>
        <v>0</v>
      </c>
      <c r="AG1247" s="196">
        <f t="shared" ca="1" si="277"/>
        <v>0</v>
      </c>
      <c r="AH1247" s="180"/>
      <c r="AI1247" s="196">
        <f>IFERROR($G1247/SUMIF($A:$A,$A1247,$G:$G)*SUMIF(Summary!$A$247:$A$283,$A1247,Summary!$P$247:$P$283),0)</f>
        <v>0</v>
      </c>
      <c r="AJ1247" s="196">
        <f>IFERROR($G1247/SUMIF($A:$A,$A1247,$G:$G)*(SUMIF(Summary!$A$247:$A$283,$A1247,Summary!$L$247:$L$283)+SUMIF(Summary!$A$297:$A$333,$A1247,Summary!$L$297:$L$333))-AI1247,0)</f>
        <v>0</v>
      </c>
      <c r="AK1247" s="196">
        <f>IFERROR($G1247/SUMIF($A:$A,$A1247,$G:$G)*SUMIF(Summary!$A$247:$A$283,$A1247,Summary!$Q$247:$Q$283),0)</f>
        <v>0</v>
      </c>
      <c r="AL1247" s="196">
        <f>IFERROR($G1247/SUMIF($A:$A,$A1247,$G:$G)*(SUMIF(Summary!$A$247:$A$283,$A1247,Summary!$L$247:$L$283)+SUMIF(Summary!$A$297:$A$333,$A1247,Summary!$L$297:$L$333))-AK1247,0)</f>
        <v>0</v>
      </c>
      <c r="AM1247" s="198"/>
      <c r="AN1247" s="196">
        <f t="shared" ca="1" si="278"/>
        <v>0</v>
      </c>
      <c r="AO1247" s="196">
        <f t="shared" ca="1" si="279"/>
        <v>0</v>
      </c>
    </row>
    <row r="1248" spans="1:41">
      <c r="A1248" s="189">
        <v>3630</v>
      </c>
      <c r="B1248" s="190">
        <v>5</v>
      </c>
      <c r="C1248" s="191" t="s">
        <v>224</v>
      </c>
      <c r="D1248" s="192">
        <f t="shared" si="266"/>
        <v>0</v>
      </c>
      <c r="E1248" s="192">
        <f t="shared" si="267"/>
        <v>0</v>
      </c>
      <c r="F1248" s="192">
        <f t="shared" si="268"/>
        <v>0</v>
      </c>
      <c r="G1248" s="193">
        <f t="shared" si="269"/>
        <v>0</v>
      </c>
      <c r="H1248" s="194">
        <v>0</v>
      </c>
      <c r="I1248" s="194">
        <v>0</v>
      </c>
      <c r="J1248" s="194">
        <v>0</v>
      </c>
      <c r="K1248" s="193">
        <f t="shared" si="270"/>
        <v>0</v>
      </c>
      <c r="L1248" s="194">
        <v>0</v>
      </c>
      <c r="M1248" s="194">
        <v>0</v>
      </c>
      <c r="N1248" s="194">
        <v>0</v>
      </c>
      <c r="O1248" s="193">
        <f t="shared" si="271"/>
        <v>0</v>
      </c>
      <c r="P1248" s="194">
        <v>0</v>
      </c>
      <c r="Q1248" s="194">
        <v>0</v>
      </c>
      <c r="R1248" s="194">
        <v>0</v>
      </c>
      <c r="S1248" s="193">
        <f t="shared" si="272"/>
        <v>0</v>
      </c>
      <c r="T1248" s="193">
        <f t="shared" si="273"/>
        <v>0</v>
      </c>
      <c r="U1248" s="193">
        <f ca="1">OFFSET('Expenditure Study'!$B$7,'Operations Support'!$C1248,'Operations Support'!$B1248)*$G1248</f>
        <v>0</v>
      </c>
      <c r="V1248" s="199">
        <f ca="1">U1248*'Expenditure Study'!$B$31</f>
        <v>0</v>
      </c>
      <c r="W1248" s="199">
        <f ca="1">IF(A1248=10298,1.51,1)*IF($B1248&lt;3,$D1248*'Expenditure Study'!$B$32*OFFSET('Expenditure Study'!$B$7,'Operations Support'!$C1248,'Operations Support'!$B1248),0)</f>
        <v>0</v>
      </c>
      <c r="X1248" s="200">
        <f ca="1">W1248*'Expenditure Study'!$B$31</f>
        <v>0</v>
      </c>
      <c r="Y1248" s="199">
        <f ca="1">U1248*'Expenditure Study'!$B$31</f>
        <v>0</v>
      </c>
      <c r="Z1248" s="200">
        <f ca="1">W1248*'Expenditure Study'!$B$31</f>
        <v>0</v>
      </c>
      <c r="AA1248" s="195">
        <f t="shared" ca="1" si="274"/>
        <v>0</v>
      </c>
      <c r="AB1248" s="195">
        <f t="shared" ca="1" si="275"/>
        <v>0</v>
      </c>
      <c r="AD1248" s="196">
        <f>IFERROR($G1248/SUMIF($A:$A,$A1248,$G:$G)*SUMIF(Summary!$A$166:$A$242,$A1248,Summary!$P$166:$P$242),0)</f>
        <v>0</v>
      </c>
      <c r="AE1248" s="197">
        <f t="shared" ca="1" si="276"/>
        <v>0</v>
      </c>
      <c r="AF1248" s="196">
        <f>IFERROR(G1248/SUMIF(A:A,A1248,G:G)*SUMIF(Summary!$A$166:$A$242,'Operations Support'!A1248,Summary!$Q$166:$Q$242),0)</f>
        <v>0</v>
      </c>
      <c r="AG1248" s="196">
        <f t="shared" ca="1" si="277"/>
        <v>0</v>
      </c>
      <c r="AI1248" s="196">
        <f>IFERROR($G1248/SUMIF($A:$A,$A1248,$G:$G)*SUMIF(Summary!$A$247:$A$283,$A1248,Summary!$P$247:$P$283),0)</f>
        <v>0</v>
      </c>
      <c r="AJ1248" s="196">
        <f>IFERROR($G1248/SUMIF($A:$A,$A1248,$G:$G)*(SUMIF(Summary!$A$247:$A$283,$A1248,Summary!$L$247:$L$283)+SUMIF(Summary!$A$297:$A$333,$A1248,Summary!$L$297:$L$333))-AI1248,0)</f>
        <v>0</v>
      </c>
      <c r="AK1248" s="196">
        <f>IFERROR($G1248/SUMIF($A:$A,$A1248,$G:$G)*SUMIF(Summary!$A$247:$A$283,$A1248,Summary!$Q$247:$Q$283),0)</f>
        <v>0</v>
      </c>
      <c r="AL1248" s="196">
        <f>IFERROR($G1248/SUMIF($A:$A,$A1248,$G:$G)*(SUMIF(Summary!$A$247:$A$283,$A1248,Summary!$L$247:$L$283)+SUMIF(Summary!$A$297:$A$333,$A1248,Summary!$L$297:$L$333))-AK1248,0)</f>
        <v>0</v>
      </c>
      <c r="AM1248" s="198"/>
      <c r="AN1248" s="196">
        <f t="shared" ca="1" si="278"/>
        <v>0</v>
      </c>
      <c r="AO1248" s="196">
        <f t="shared" ca="1" si="279"/>
        <v>0</v>
      </c>
    </row>
    <row r="1249" spans="1:41">
      <c r="A1249" s="189">
        <v>3630</v>
      </c>
      <c r="B1249" s="190">
        <v>5</v>
      </c>
      <c r="C1249" s="191" t="s">
        <v>225</v>
      </c>
      <c r="D1249" s="192">
        <f t="shared" si="266"/>
        <v>0</v>
      </c>
      <c r="E1249" s="192">
        <f t="shared" si="267"/>
        <v>0</v>
      </c>
      <c r="F1249" s="192">
        <f t="shared" si="268"/>
        <v>0</v>
      </c>
      <c r="G1249" s="193">
        <f t="shared" si="269"/>
        <v>0</v>
      </c>
      <c r="H1249" s="194">
        <v>0</v>
      </c>
      <c r="I1249" s="194">
        <v>0</v>
      </c>
      <c r="J1249" s="194">
        <v>0</v>
      </c>
      <c r="K1249" s="193">
        <f t="shared" si="270"/>
        <v>0</v>
      </c>
      <c r="L1249" s="194">
        <v>0</v>
      </c>
      <c r="M1249" s="194">
        <v>0</v>
      </c>
      <c r="N1249" s="194">
        <v>0</v>
      </c>
      <c r="O1249" s="193">
        <f t="shared" si="271"/>
        <v>0</v>
      </c>
      <c r="P1249" s="194">
        <v>0</v>
      </c>
      <c r="Q1249" s="194">
        <v>0</v>
      </c>
      <c r="R1249" s="194">
        <v>0</v>
      </c>
      <c r="S1249" s="193">
        <f t="shared" si="272"/>
        <v>0</v>
      </c>
      <c r="T1249" s="193">
        <f t="shared" si="273"/>
        <v>0</v>
      </c>
      <c r="U1249" s="193">
        <f ca="1">OFFSET('Expenditure Study'!$B$7,'Operations Support'!$C1249,'Operations Support'!$B1249)*$G1249</f>
        <v>0</v>
      </c>
      <c r="V1249" s="199">
        <f ca="1">U1249*'Expenditure Study'!$B$31</f>
        <v>0</v>
      </c>
      <c r="W1249" s="199">
        <f ca="1">IF(A1249=10298,1.51,1)*IF($B1249&lt;3,$D1249*'Expenditure Study'!$B$32*OFFSET('Expenditure Study'!$B$7,'Operations Support'!$C1249,'Operations Support'!$B1249),0)</f>
        <v>0</v>
      </c>
      <c r="X1249" s="200">
        <f ca="1">W1249*'Expenditure Study'!$B$31</f>
        <v>0</v>
      </c>
      <c r="Y1249" s="199">
        <f ca="1">U1249*'Expenditure Study'!$B$31</f>
        <v>0</v>
      </c>
      <c r="Z1249" s="200">
        <f ca="1">W1249*'Expenditure Study'!$B$31</f>
        <v>0</v>
      </c>
      <c r="AA1249" s="195">
        <f t="shared" ca="1" si="274"/>
        <v>0</v>
      </c>
      <c r="AB1249" s="195">
        <f t="shared" ca="1" si="275"/>
        <v>0</v>
      </c>
      <c r="AD1249" s="196">
        <f>IFERROR($G1249/SUMIF($A:$A,$A1249,$G:$G)*SUMIF(Summary!$A$166:$A$242,$A1249,Summary!$P$166:$P$242),0)</f>
        <v>0</v>
      </c>
      <c r="AE1249" s="197">
        <f t="shared" ca="1" si="276"/>
        <v>0</v>
      </c>
      <c r="AF1249" s="196">
        <f>IFERROR(G1249/SUMIF(A:A,A1249,G:G)*SUMIF(Summary!$A$166:$A$242,'Operations Support'!A1249,Summary!$Q$166:$Q$242),0)</f>
        <v>0</v>
      </c>
      <c r="AG1249" s="196">
        <f t="shared" ca="1" si="277"/>
        <v>0</v>
      </c>
      <c r="AI1249" s="196">
        <f>IFERROR($G1249/SUMIF($A:$A,$A1249,$G:$G)*SUMIF(Summary!$A$247:$A$283,$A1249,Summary!$P$247:$P$283),0)</f>
        <v>0</v>
      </c>
      <c r="AJ1249" s="196">
        <f>IFERROR($G1249/SUMIF($A:$A,$A1249,$G:$G)*(SUMIF(Summary!$A$247:$A$283,$A1249,Summary!$L$247:$L$283)+SUMIF(Summary!$A$297:$A$333,$A1249,Summary!$L$297:$L$333))-AI1249,0)</f>
        <v>0</v>
      </c>
      <c r="AK1249" s="196">
        <f>IFERROR($G1249/SUMIF($A:$A,$A1249,$G:$G)*SUMIF(Summary!$A$247:$A$283,$A1249,Summary!$Q$247:$Q$283),0)</f>
        <v>0</v>
      </c>
      <c r="AL1249" s="196">
        <f>IFERROR($G1249/SUMIF($A:$A,$A1249,$G:$G)*(SUMIF(Summary!$A$247:$A$283,$A1249,Summary!$L$247:$L$283)+SUMIF(Summary!$A$297:$A$333,$A1249,Summary!$L$297:$L$333))-AK1249,0)</f>
        <v>0</v>
      </c>
      <c r="AM1249" s="198"/>
      <c r="AN1249" s="196">
        <f t="shared" ca="1" si="278"/>
        <v>0</v>
      </c>
      <c r="AO1249" s="196">
        <f t="shared" ca="1" si="279"/>
        <v>0</v>
      </c>
    </row>
    <row r="1250" spans="1:41">
      <c r="A1250" s="189">
        <v>3630</v>
      </c>
      <c r="B1250" s="190">
        <v>5</v>
      </c>
      <c r="C1250" s="191" t="s">
        <v>226</v>
      </c>
      <c r="D1250" s="192">
        <f t="shared" si="266"/>
        <v>0</v>
      </c>
      <c r="E1250" s="192">
        <f t="shared" si="267"/>
        <v>0</v>
      </c>
      <c r="F1250" s="192">
        <f t="shared" si="268"/>
        <v>0</v>
      </c>
      <c r="G1250" s="193">
        <f t="shared" si="269"/>
        <v>0</v>
      </c>
      <c r="H1250" s="194">
        <v>0</v>
      </c>
      <c r="I1250" s="194">
        <v>0</v>
      </c>
      <c r="J1250" s="194">
        <v>0</v>
      </c>
      <c r="K1250" s="193">
        <f t="shared" si="270"/>
        <v>0</v>
      </c>
      <c r="L1250" s="194">
        <v>0</v>
      </c>
      <c r="M1250" s="194">
        <v>0</v>
      </c>
      <c r="N1250" s="194">
        <v>0</v>
      </c>
      <c r="O1250" s="193">
        <f t="shared" si="271"/>
        <v>0</v>
      </c>
      <c r="P1250" s="194">
        <v>0</v>
      </c>
      <c r="Q1250" s="194">
        <v>0</v>
      </c>
      <c r="R1250" s="194">
        <v>0</v>
      </c>
      <c r="S1250" s="193">
        <f t="shared" si="272"/>
        <v>0</v>
      </c>
      <c r="T1250" s="193">
        <f t="shared" si="273"/>
        <v>0</v>
      </c>
      <c r="U1250" s="193">
        <f ca="1">OFFSET('Expenditure Study'!$B$7,'Operations Support'!$C1250,'Operations Support'!$B1250)*$G1250</f>
        <v>0</v>
      </c>
      <c r="V1250" s="199">
        <f ca="1">U1250*'Expenditure Study'!$B$31</f>
        <v>0</v>
      </c>
      <c r="W1250" s="199">
        <f ca="1">IF(A1250=10298,1.51,1)*IF($B1250&lt;3,$D1250*'Expenditure Study'!$B$32*OFFSET('Expenditure Study'!$B$7,'Operations Support'!$C1250,'Operations Support'!$B1250),0)</f>
        <v>0</v>
      </c>
      <c r="X1250" s="200">
        <f ca="1">W1250*'Expenditure Study'!$B$31</f>
        <v>0</v>
      </c>
      <c r="Y1250" s="199">
        <f ca="1">U1250*'Expenditure Study'!$B$31</f>
        <v>0</v>
      </c>
      <c r="Z1250" s="200">
        <f ca="1">W1250*'Expenditure Study'!$B$31</f>
        <v>0</v>
      </c>
      <c r="AA1250" s="195">
        <f t="shared" ca="1" si="274"/>
        <v>0</v>
      </c>
      <c r="AB1250" s="195">
        <f t="shared" ca="1" si="275"/>
        <v>0</v>
      </c>
      <c r="AD1250" s="196">
        <f>IFERROR($G1250/SUMIF($A:$A,$A1250,$G:$G)*SUMIF(Summary!$A$166:$A$242,$A1250,Summary!$P$166:$P$242),0)</f>
        <v>0</v>
      </c>
      <c r="AE1250" s="197">
        <f t="shared" ca="1" si="276"/>
        <v>0</v>
      </c>
      <c r="AF1250" s="196">
        <f>IFERROR(G1250/SUMIF(A:A,A1250,G:G)*SUMIF(Summary!$A$166:$A$242,'Operations Support'!A1250,Summary!$Q$166:$Q$242),0)</f>
        <v>0</v>
      </c>
      <c r="AG1250" s="196">
        <f t="shared" ca="1" si="277"/>
        <v>0</v>
      </c>
      <c r="AI1250" s="196">
        <f>IFERROR($G1250/SUMIF($A:$A,$A1250,$G:$G)*SUMIF(Summary!$A$247:$A$283,$A1250,Summary!$P$247:$P$283),0)</f>
        <v>0</v>
      </c>
      <c r="AJ1250" s="196">
        <f>IFERROR($G1250/SUMIF($A:$A,$A1250,$G:$G)*(SUMIF(Summary!$A$247:$A$283,$A1250,Summary!$L$247:$L$283)+SUMIF(Summary!$A$297:$A$333,$A1250,Summary!$L$297:$L$333))-AI1250,0)</f>
        <v>0</v>
      </c>
      <c r="AK1250" s="196">
        <f>IFERROR($G1250/SUMIF($A:$A,$A1250,$G:$G)*SUMIF(Summary!$A$247:$A$283,$A1250,Summary!$Q$247:$Q$283),0)</f>
        <v>0</v>
      </c>
      <c r="AL1250" s="196">
        <f>IFERROR($G1250/SUMIF($A:$A,$A1250,$G:$G)*(SUMIF(Summary!$A$247:$A$283,$A1250,Summary!$L$247:$L$283)+SUMIF(Summary!$A$297:$A$333,$A1250,Summary!$L$297:$L$333))-AK1250,0)</f>
        <v>0</v>
      </c>
      <c r="AM1250" s="198"/>
      <c r="AN1250" s="196">
        <f t="shared" ca="1" si="278"/>
        <v>0</v>
      </c>
      <c r="AO1250" s="196">
        <f t="shared" ca="1" si="279"/>
        <v>0</v>
      </c>
    </row>
    <row r="1251" spans="1:41">
      <c r="A1251" s="189">
        <v>3630</v>
      </c>
      <c r="B1251" s="190">
        <v>5</v>
      </c>
      <c r="C1251" s="191" t="s">
        <v>227</v>
      </c>
      <c r="D1251" s="192">
        <f t="shared" si="266"/>
        <v>0</v>
      </c>
      <c r="E1251" s="192">
        <f t="shared" si="267"/>
        <v>0</v>
      </c>
      <c r="F1251" s="192">
        <f t="shared" si="268"/>
        <v>0</v>
      </c>
      <c r="G1251" s="193">
        <f t="shared" si="269"/>
        <v>0</v>
      </c>
      <c r="H1251" s="194">
        <v>0</v>
      </c>
      <c r="I1251" s="194">
        <v>0</v>
      </c>
      <c r="J1251" s="194">
        <v>0</v>
      </c>
      <c r="K1251" s="193">
        <f t="shared" si="270"/>
        <v>0</v>
      </c>
      <c r="L1251" s="194">
        <v>0</v>
      </c>
      <c r="M1251" s="194">
        <v>0</v>
      </c>
      <c r="N1251" s="194">
        <v>0</v>
      </c>
      <c r="O1251" s="193">
        <f t="shared" si="271"/>
        <v>0</v>
      </c>
      <c r="P1251" s="194">
        <v>0</v>
      </c>
      <c r="Q1251" s="194">
        <v>0</v>
      </c>
      <c r="R1251" s="194">
        <v>0</v>
      </c>
      <c r="S1251" s="193">
        <f t="shared" si="272"/>
        <v>0</v>
      </c>
      <c r="T1251" s="193">
        <f t="shared" si="273"/>
        <v>0</v>
      </c>
      <c r="U1251" s="193">
        <f ca="1">OFFSET('Expenditure Study'!$B$7,'Operations Support'!$C1251,'Operations Support'!$B1251)*$G1251</f>
        <v>0</v>
      </c>
      <c r="V1251" s="199">
        <f ca="1">U1251*'Expenditure Study'!$B$31</f>
        <v>0</v>
      </c>
      <c r="W1251" s="199">
        <f ca="1">IF(A1251=10298,1.51,1)*IF($B1251&lt;3,$D1251*'Expenditure Study'!$B$32*OFFSET('Expenditure Study'!$B$7,'Operations Support'!$C1251,'Operations Support'!$B1251),0)</f>
        <v>0</v>
      </c>
      <c r="X1251" s="200">
        <f ca="1">W1251*'Expenditure Study'!$B$31</f>
        <v>0</v>
      </c>
      <c r="Y1251" s="199">
        <f ca="1">U1251*'Expenditure Study'!$B$31</f>
        <v>0</v>
      </c>
      <c r="Z1251" s="200">
        <f ca="1">W1251*'Expenditure Study'!$B$31</f>
        <v>0</v>
      </c>
      <c r="AA1251" s="195">
        <f t="shared" ca="1" si="274"/>
        <v>0</v>
      </c>
      <c r="AB1251" s="195">
        <f t="shared" ca="1" si="275"/>
        <v>0</v>
      </c>
      <c r="AD1251" s="196">
        <f>IFERROR($G1251/SUMIF($A:$A,$A1251,$G:$G)*SUMIF(Summary!$A$166:$A$242,$A1251,Summary!$P$166:$P$242),0)</f>
        <v>0</v>
      </c>
      <c r="AE1251" s="197">
        <f t="shared" ca="1" si="276"/>
        <v>0</v>
      </c>
      <c r="AF1251" s="196">
        <f>IFERROR(G1251/SUMIF(A:A,A1251,G:G)*SUMIF(Summary!$A$166:$A$242,'Operations Support'!A1251,Summary!$Q$166:$Q$242),0)</f>
        <v>0</v>
      </c>
      <c r="AG1251" s="196">
        <f t="shared" ca="1" si="277"/>
        <v>0</v>
      </c>
      <c r="AI1251" s="196">
        <f>IFERROR($G1251/SUMIF($A:$A,$A1251,$G:$G)*SUMIF(Summary!$A$247:$A$283,$A1251,Summary!$P$247:$P$283),0)</f>
        <v>0</v>
      </c>
      <c r="AJ1251" s="196">
        <f>IFERROR($G1251/SUMIF($A:$A,$A1251,$G:$G)*(SUMIF(Summary!$A$247:$A$283,$A1251,Summary!$L$247:$L$283)+SUMIF(Summary!$A$297:$A$333,$A1251,Summary!$L$297:$L$333))-AI1251,0)</f>
        <v>0</v>
      </c>
      <c r="AK1251" s="196">
        <f>IFERROR($G1251/SUMIF($A:$A,$A1251,$G:$G)*SUMIF(Summary!$A$247:$A$283,$A1251,Summary!$Q$247:$Q$283),0)</f>
        <v>0</v>
      </c>
      <c r="AL1251" s="196">
        <f>IFERROR($G1251/SUMIF($A:$A,$A1251,$G:$G)*(SUMIF(Summary!$A$247:$A$283,$A1251,Summary!$L$247:$L$283)+SUMIF(Summary!$A$297:$A$333,$A1251,Summary!$L$297:$L$333))-AK1251,0)</f>
        <v>0</v>
      </c>
      <c r="AM1251" s="198"/>
      <c r="AN1251" s="196">
        <f t="shared" ca="1" si="278"/>
        <v>0</v>
      </c>
      <c r="AO1251" s="196">
        <f t="shared" ca="1" si="279"/>
        <v>0</v>
      </c>
    </row>
    <row r="1252" spans="1:41">
      <c r="A1252" s="189">
        <v>3630</v>
      </c>
      <c r="B1252" s="190">
        <v>5</v>
      </c>
      <c r="C1252" s="191" t="s">
        <v>228</v>
      </c>
      <c r="D1252" s="192">
        <f t="shared" si="266"/>
        <v>0</v>
      </c>
      <c r="E1252" s="192">
        <f t="shared" si="267"/>
        <v>0</v>
      </c>
      <c r="F1252" s="192">
        <f t="shared" si="268"/>
        <v>0</v>
      </c>
      <c r="G1252" s="193">
        <f t="shared" si="269"/>
        <v>0</v>
      </c>
      <c r="H1252" s="194">
        <v>0</v>
      </c>
      <c r="I1252" s="194">
        <v>0</v>
      </c>
      <c r="J1252" s="194">
        <v>0</v>
      </c>
      <c r="K1252" s="193">
        <f t="shared" si="270"/>
        <v>0</v>
      </c>
      <c r="L1252" s="194">
        <v>0</v>
      </c>
      <c r="M1252" s="194">
        <v>0</v>
      </c>
      <c r="N1252" s="194">
        <v>0</v>
      </c>
      <c r="O1252" s="193">
        <f t="shared" si="271"/>
        <v>0</v>
      </c>
      <c r="P1252" s="194">
        <v>0</v>
      </c>
      <c r="Q1252" s="194">
        <v>0</v>
      </c>
      <c r="R1252" s="194">
        <v>0</v>
      </c>
      <c r="S1252" s="193">
        <f t="shared" si="272"/>
        <v>0</v>
      </c>
      <c r="T1252" s="193">
        <f t="shared" si="273"/>
        <v>0</v>
      </c>
      <c r="U1252" s="193">
        <f ca="1">OFFSET('Expenditure Study'!$B$7,'Operations Support'!$C1252,'Operations Support'!$B1252)*$G1252</f>
        <v>0</v>
      </c>
      <c r="V1252" s="199">
        <f ca="1">U1252*'Expenditure Study'!$B$31</f>
        <v>0</v>
      </c>
      <c r="W1252" s="199">
        <f ca="1">IF(A1252=10298,1.51,1)*IF($B1252&lt;3,$D1252*'Expenditure Study'!$B$32*OFFSET('Expenditure Study'!$B$7,'Operations Support'!$C1252,'Operations Support'!$B1252),0)</f>
        <v>0</v>
      </c>
      <c r="X1252" s="200">
        <f ca="1">W1252*'Expenditure Study'!$B$31</f>
        <v>0</v>
      </c>
      <c r="Y1252" s="199">
        <f ca="1">U1252*'Expenditure Study'!$B$31</f>
        <v>0</v>
      </c>
      <c r="Z1252" s="200">
        <f ca="1">W1252*'Expenditure Study'!$B$31</f>
        <v>0</v>
      </c>
      <c r="AA1252" s="195">
        <f t="shared" ca="1" si="274"/>
        <v>0</v>
      </c>
      <c r="AB1252" s="195">
        <f t="shared" ca="1" si="275"/>
        <v>0</v>
      </c>
      <c r="AD1252" s="196">
        <f>IFERROR($G1252/SUMIF($A:$A,$A1252,$G:$G)*SUMIF(Summary!$A$166:$A$242,$A1252,Summary!$P$166:$P$242),0)</f>
        <v>0</v>
      </c>
      <c r="AE1252" s="197">
        <f t="shared" ca="1" si="276"/>
        <v>0</v>
      </c>
      <c r="AF1252" s="196">
        <f>IFERROR(G1252/SUMIF(A:A,A1252,G:G)*SUMIF(Summary!$A$166:$A$242,'Operations Support'!A1252,Summary!$Q$166:$Q$242),0)</f>
        <v>0</v>
      </c>
      <c r="AG1252" s="196">
        <f t="shared" ca="1" si="277"/>
        <v>0</v>
      </c>
      <c r="AI1252" s="196">
        <f>IFERROR($G1252/SUMIF($A:$A,$A1252,$G:$G)*SUMIF(Summary!$A$247:$A$283,$A1252,Summary!$P$247:$P$283),0)</f>
        <v>0</v>
      </c>
      <c r="AJ1252" s="196">
        <f>IFERROR($G1252/SUMIF($A:$A,$A1252,$G:$G)*(SUMIF(Summary!$A$247:$A$283,$A1252,Summary!$L$247:$L$283)+SUMIF(Summary!$A$297:$A$333,$A1252,Summary!$L$297:$L$333))-AI1252,0)</f>
        <v>0</v>
      </c>
      <c r="AK1252" s="196">
        <f>IFERROR($G1252/SUMIF($A:$A,$A1252,$G:$G)*SUMIF(Summary!$A$247:$A$283,$A1252,Summary!$Q$247:$Q$283),0)</f>
        <v>0</v>
      </c>
      <c r="AL1252" s="196">
        <f>IFERROR($G1252/SUMIF($A:$A,$A1252,$G:$G)*(SUMIF(Summary!$A$247:$A$283,$A1252,Summary!$L$247:$L$283)+SUMIF(Summary!$A$297:$A$333,$A1252,Summary!$L$297:$L$333))-AK1252,0)</f>
        <v>0</v>
      </c>
      <c r="AM1252" s="198"/>
      <c r="AN1252" s="196">
        <f t="shared" ca="1" si="278"/>
        <v>0</v>
      </c>
      <c r="AO1252" s="196">
        <f t="shared" ca="1" si="279"/>
        <v>0</v>
      </c>
    </row>
    <row r="1253" spans="1:41">
      <c r="A1253" s="189">
        <v>3630</v>
      </c>
      <c r="B1253" s="190">
        <v>5</v>
      </c>
      <c r="C1253" s="191" t="s">
        <v>229</v>
      </c>
      <c r="D1253" s="192">
        <f t="shared" si="266"/>
        <v>0</v>
      </c>
      <c r="E1253" s="192">
        <f t="shared" si="267"/>
        <v>0</v>
      </c>
      <c r="F1253" s="192">
        <f t="shared" si="268"/>
        <v>0</v>
      </c>
      <c r="G1253" s="193">
        <f t="shared" si="269"/>
        <v>0</v>
      </c>
      <c r="H1253" s="194">
        <v>0</v>
      </c>
      <c r="I1253" s="194">
        <v>0</v>
      </c>
      <c r="J1253" s="194">
        <v>0</v>
      </c>
      <c r="K1253" s="193">
        <f t="shared" si="270"/>
        <v>0</v>
      </c>
      <c r="L1253" s="194">
        <v>0</v>
      </c>
      <c r="M1253" s="194">
        <v>0</v>
      </c>
      <c r="N1253" s="194">
        <v>0</v>
      </c>
      <c r="O1253" s="193">
        <f t="shared" si="271"/>
        <v>0</v>
      </c>
      <c r="P1253" s="194">
        <v>0</v>
      </c>
      <c r="Q1253" s="194">
        <v>0</v>
      </c>
      <c r="R1253" s="194">
        <v>0</v>
      </c>
      <c r="S1253" s="193">
        <f t="shared" si="272"/>
        <v>0</v>
      </c>
      <c r="T1253" s="193">
        <f t="shared" si="273"/>
        <v>0</v>
      </c>
      <c r="U1253" s="193">
        <f ca="1">OFFSET('Expenditure Study'!$B$7,'Operations Support'!$C1253,'Operations Support'!$B1253)*$G1253</f>
        <v>0</v>
      </c>
      <c r="V1253" s="199">
        <f ca="1">U1253*'Expenditure Study'!$B$31</f>
        <v>0</v>
      </c>
      <c r="W1253" s="199">
        <f ca="1">IF(A1253=10298,1.51,1)*IF($B1253&lt;3,$D1253*'Expenditure Study'!$B$32*OFFSET('Expenditure Study'!$B$7,'Operations Support'!$C1253,'Operations Support'!$B1253),0)</f>
        <v>0</v>
      </c>
      <c r="X1253" s="200">
        <f ca="1">W1253*'Expenditure Study'!$B$31</f>
        <v>0</v>
      </c>
      <c r="Y1253" s="199">
        <f ca="1">U1253*'Expenditure Study'!$B$31</f>
        <v>0</v>
      </c>
      <c r="Z1253" s="200">
        <f ca="1">W1253*'Expenditure Study'!$B$31</f>
        <v>0</v>
      </c>
      <c r="AA1253" s="195">
        <f t="shared" ca="1" si="274"/>
        <v>0</v>
      </c>
      <c r="AB1253" s="195">
        <f t="shared" ca="1" si="275"/>
        <v>0</v>
      </c>
      <c r="AD1253" s="196">
        <f>IFERROR($G1253/SUMIF($A:$A,$A1253,$G:$G)*SUMIF(Summary!$A$166:$A$242,$A1253,Summary!$P$166:$P$242),0)</f>
        <v>0</v>
      </c>
      <c r="AE1253" s="197">
        <f t="shared" ca="1" si="276"/>
        <v>0</v>
      </c>
      <c r="AF1253" s="196">
        <f>IFERROR(G1253/SUMIF(A:A,A1253,G:G)*SUMIF(Summary!$A$166:$A$242,'Operations Support'!A1253,Summary!$Q$166:$Q$242),0)</f>
        <v>0</v>
      </c>
      <c r="AG1253" s="196">
        <f t="shared" ca="1" si="277"/>
        <v>0</v>
      </c>
      <c r="AI1253" s="196">
        <f>IFERROR($G1253/SUMIF($A:$A,$A1253,$G:$G)*SUMIF(Summary!$A$247:$A$283,$A1253,Summary!$P$247:$P$283),0)</f>
        <v>0</v>
      </c>
      <c r="AJ1253" s="196">
        <f>IFERROR($G1253/SUMIF($A:$A,$A1253,$G:$G)*(SUMIF(Summary!$A$247:$A$283,$A1253,Summary!$L$247:$L$283)+SUMIF(Summary!$A$297:$A$333,$A1253,Summary!$L$297:$L$333))-AI1253,0)</f>
        <v>0</v>
      </c>
      <c r="AK1253" s="196">
        <f>IFERROR($G1253/SUMIF($A:$A,$A1253,$G:$G)*SUMIF(Summary!$A$247:$A$283,$A1253,Summary!$Q$247:$Q$283),0)</f>
        <v>0</v>
      </c>
      <c r="AL1253" s="196">
        <f>IFERROR($G1253/SUMIF($A:$A,$A1253,$G:$G)*(SUMIF(Summary!$A$247:$A$283,$A1253,Summary!$L$247:$L$283)+SUMIF(Summary!$A$297:$A$333,$A1253,Summary!$L$297:$L$333))-AK1253,0)</f>
        <v>0</v>
      </c>
      <c r="AM1253" s="198"/>
      <c r="AN1253" s="196">
        <f t="shared" ca="1" si="278"/>
        <v>0</v>
      </c>
      <c r="AO1253" s="196">
        <f t="shared" ca="1" si="279"/>
        <v>0</v>
      </c>
    </row>
    <row r="1254" spans="1:41">
      <c r="A1254" s="189">
        <v>3630</v>
      </c>
      <c r="B1254" s="190">
        <v>5</v>
      </c>
      <c r="C1254" s="191" t="s">
        <v>230</v>
      </c>
      <c r="D1254" s="192">
        <f t="shared" si="266"/>
        <v>0</v>
      </c>
      <c r="E1254" s="192">
        <f t="shared" si="267"/>
        <v>0</v>
      </c>
      <c r="F1254" s="192">
        <f t="shared" si="268"/>
        <v>0</v>
      </c>
      <c r="G1254" s="193">
        <f t="shared" si="269"/>
        <v>0</v>
      </c>
      <c r="H1254" s="194">
        <v>0</v>
      </c>
      <c r="I1254" s="194">
        <v>0</v>
      </c>
      <c r="J1254" s="194">
        <v>0</v>
      </c>
      <c r="K1254" s="193">
        <f t="shared" si="270"/>
        <v>0</v>
      </c>
      <c r="L1254" s="194">
        <v>0</v>
      </c>
      <c r="M1254" s="194">
        <v>0</v>
      </c>
      <c r="N1254" s="194">
        <v>0</v>
      </c>
      <c r="O1254" s="193">
        <f t="shared" si="271"/>
        <v>0</v>
      </c>
      <c r="P1254" s="194">
        <v>0</v>
      </c>
      <c r="Q1254" s="194">
        <v>0</v>
      </c>
      <c r="R1254" s="194">
        <v>0</v>
      </c>
      <c r="S1254" s="193">
        <f t="shared" si="272"/>
        <v>0</v>
      </c>
      <c r="T1254" s="193">
        <f t="shared" si="273"/>
        <v>0</v>
      </c>
      <c r="U1254" s="193">
        <f ca="1">OFFSET('Expenditure Study'!$B$7,'Operations Support'!$C1254,'Operations Support'!$B1254)*$G1254</f>
        <v>0</v>
      </c>
      <c r="V1254" s="199">
        <f ca="1">U1254*'Expenditure Study'!$B$31</f>
        <v>0</v>
      </c>
      <c r="W1254" s="199">
        <f ca="1">IF(A1254=10298,1.51,1)*IF($B1254&lt;3,$D1254*'Expenditure Study'!$B$32*OFFSET('Expenditure Study'!$B$7,'Operations Support'!$C1254,'Operations Support'!$B1254),0)</f>
        <v>0</v>
      </c>
      <c r="X1254" s="200">
        <f ca="1">W1254*'Expenditure Study'!$B$31</f>
        <v>0</v>
      </c>
      <c r="Y1254" s="199">
        <f ca="1">U1254*'Expenditure Study'!$B$31</f>
        <v>0</v>
      </c>
      <c r="Z1254" s="200">
        <f ca="1">W1254*'Expenditure Study'!$B$31</f>
        <v>0</v>
      </c>
      <c r="AA1254" s="195">
        <f t="shared" ca="1" si="274"/>
        <v>0</v>
      </c>
      <c r="AB1254" s="195">
        <f t="shared" ca="1" si="275"/>
        <v>0</v>
      </c>
      <c r="AD1254" s="196">
        <f>IFERROR($G1254/SUMIF($A:$A,$A1254,$G:$G)*SUMIF(Summary!$A$166:$A$242,$A1254,Summary!$P$166:$P$242),0)</f>
        <v>0</v>
      </c>
      <c r="AE1254" s="197">
        <f t="shared" ca="1" si="276"/>
        <v>0</v>
      </c>
      <c r="AF1254" s="196">
        <f>IFERROR(G1254/SUMIF(A:A,A1254,G:G)*SUMIF(Summary!$A$166:$A$242,'Operations Support'!A1254,Summary!$Q$166:$Q$242),0)</f>
        <v>0</v>
      </c>
      <c r="AG1254" s="196">
        <f t="shared" ca="1" si="277"/>
        <v>0</v>
      </c>
      <c r="AI1254" s="196">
        <f>IFERROR($G1254/SUMIF($A:$A,$A1254,$G:$G)*SUMIF(Summary!$A$247:$A$283,$A1254,Summary!$P$247:$P$283),0)</f>
        <v>0</v>
      </c>
      <c r="AJ1254" s="196">
        <f>IFERROR($G1254/SUMIF($A:$A,$A1254,$G:$G)*(SUMIF(Summary!$A$247:$A$283,$A1254,Summary!$L$247:$L$283)+SUMIF(Summary!$A$297:$A$333,$A1254,Summary!$L$297:$L$333))-AI1254,0)</f>
        <v>0</v>
      </c>
      <c r="AK1254" s="196">
        <f>IFERROR($G1254/SUMIF($A:$A,$A1254,$G:$G)*SUMIF(Summary!$A$247:$A$283,$A1254,Summary!$Q$247:$Q$283),0)</f>
        <v>0</v>
      </c>
      <c r="AL1254" s="196">
        <f>IFERROR($G1254/SUMIF($A:$A,$A1254,$G:$G)*(SUMIF(Summary!$A$247:$A$283,$A1254,Summary!$L$247:$L$283)+SUMIF(Summary!$A$297:$A$333,$A1254,Summary!$L$297:$L$333))-AK1254,0)</f>
        <v>0</v>
      </c>
      <c r="AM1254" s="198"/>
      <c r="AN1254" s="196">
        <f t="shared" ca="1" si="278"/>
        <v>0</v>
      </c>
      <c r="AO1254" s="196">
        <f t="shared" ca="1" si="279"/>
        <v>0</v>
      </c>
    </row>
    <row r="1255" spans="1:41">
      <c r="A1255" s="189">
        <v>3630</v>
      </c>
      <c r="B1255" s="190">
        <v>5</v>
      </c>
      <c r="C1255" s="191" t="s">
        <v>231</v>
      </c>
      <c r="D1255" s="192">
        <f t="shared" si="266"/>
        <v>0</v>
      </c>
      <c r="E1255" s="192">
        <f t="shared" si="267"/>
        <v>0</v>
      </c>
      <c r="F1255" s="192">
        <f t="shared" si="268"/>
        <v>0</v>
      </c>
      <c r="G1255" s="193">
        <f t="shared" si="269"/>
        <v>0</v>
      </c>
      <c r="H1255" s="194">
        <v>0</v>
      </c>
      <c r="I1255" s="194">
        <v>0</v>
      </c>
      <c r="J1255" s="194">
        <v>0</v>
      </c>
      <c r="K1255" s="193">
        <f t="shared" si="270"/>
        <v>0</v>
      </c>
      <c r="L1255" s="194">
        <v>0</v>
      </c>
      <c r="M1255" s="194">
        <v>0</v>
      </c>
      <c r="N1255" s="194">
        <v>0</v>
      </c>
      <c r="O1255" s="193">
        <f t="shared" si="271"/>
        <v>0</v>
      </c>
      <c r="P1255" s="194">
        <v>0</v>
      </c>
      <c r="Q1255" s="194">
        <v>0</v>
      </c>
      <c r="R1255" s="194">
        <v>0</v>
      </c>
      <c r="S1255" s="193">
        <f t="shared" si="272"/>
        <v>0</v>
      </c>
      <c r="T1255" s="193">
        <f t="shared" si="273"/>
        <v>0</v>
      </c>
      <c r="U1255" s="193">
        <f ca="1">OFFSET('Expenditure Study'!$B$7,'Operations Support'!$C1255,'Operations Support'!$B1255)*$G1255</f>
        <v>0</v>
      </c>
      <c r="V1255" s="199">
        <f ca="1">U1255*'Expenditure Study'!$B$31</f>
        <v>0</v>
      </c>
      <c r="W1255" s="199">
        <f ca="1">IF(A1255=10298,1.51,1)*IF($B1255&lt;3,$D1255*'Expenditure Study'!$B$32*OFFSET('Expenditure Study'!$B$7,'Operations Support'!$C1255,'Operations Support'!$B1255),0)</f>
        <v>0</v>
      </c>
      <c r="X1255" s="200">
        <f ca="1">W1255*'Expenditure Study'!$B$31</f>
        <v>0</v>
      </c>
      <c r="Y1255" s="199">
        <f ca="1">U1255*'Expenditure Study'!$B$31</f>
        <v>0</v>
      </c>
      <c r="Z1255" s="200">
        <f ca="1">W1255*'Expenditure Study'!$B$31</f>
        <v>0</v>
      </c>
      <c r="AA1255" s="195">
        <f t="shared" ca="1" si="274"/>
        <v>0</v>
      </c>
      <c r="AB1255" s="195">
        <f t="shared" ca="1" si="275"/>
        <v>0</v>
      </c>
      <c r="AD1255" s="196">
        <f>IFERROR($G1255/SUMIF($A:$A,$A1255,$G:$G)*SUMIF(Summary!$A$166:$A$242,$A1255,Summary!$P$166:$P$242),0)</f>
        <v>0</v>
      </c>
      <c r="AE1255" s="197">
        <f t="shared" ca="1" si="276"/>
        <v>0</v>
      </c>
      <c r="AF1255" s="196">
        <f>IFERROR(G1255/SUMIF(A:A,A1255,G:G)*SUMIF(Summary!$A$166:$A$242,'Operations Support'!A1255,Summary!$Q$166:$Q$242),0)</f>
        <v>0</v>
      </c>
      <c r="AG1255" s="196">
        <f t="shared" ca="1" si="277"/>
        <v>0</v>
      </c>
      <c r="AI1255" s="196">
        <f>IFERROR($G1255/SUMIF($A:$A,$A1255,$G:$G)*SUMIF(Summary!$A$247:$A$283,$A1255,Summary!$P$247:$P$283),0)</f>
        <v>0</v>
      </c>
      <c r="AJ1255" s="196">
        <f>IFERROR($G1255/SUMIF($A:$A,$A1255,$G:$G)*(SUMIF(Summary!$A$247:$A$283,$A1255,Summary!$L$247:$L$283)+SUMIF(Summary!$A$297:$A$333,$A1255,Summary!$L$297:$L$333))-AI1255,0)</f>
        <v>0</v>
      </c>
      <c r="AK1255" s="196">
        <f>IFERROR($G1255/SUMIF($A:$A,$A1255,$G:$G)*SUMIF(Summary!$A$247:$A$283,$A1255,Summary!$Q$247:$Q$283),0)</f>
        <v>0</v>
      </c>
      <c r="AL1255" s="196">
        <f>IFERROR($G1255/SUMIF($A:$A,$A1255,$G:$G)*(SUMIF(Summary!$A$247:$A$283,$A1255,Summary!$L$247:$L$283)+SUMIF(Summary!$A$297:$A$333,$A1255,Summary!$L$297:$L$333))-AK1255,0)</f>
        <v>0</v>
      </c>
      <c r="AM1255" s="198"/>
      <c r="AN1255" s="196">
        <f t="shared" ca="1" si="278"/>
        <v>0</v>
      </c>
      <c r="AO1255" s="196">
        <f t="shared" ca="1" si="279"/>
        <v>0</v>
      </c>
    </row>
    <row r="1256" spans="1:41">
      <c r="A1256" s="189">
        <v>3630</v>
      </c>
      <c r="B1256" s="190">
        <v>5</v>
      </c>
      <c r="C1256" s="191" t="s">
        <v>232</v>
      </c>
      <c r="D1256" s="192">
        <f t="shared" si="266"/>
        <v>0</v>
      </c>
      <c r="E1256" s="192">
        <f t="shared" si="267"/>
        <v>0</v>
      </c>
      <c r="F1256" s="192">
        <f t="shared" si="268"/>
        <v>0</v>
      </c>
      <c r="G1256" s="193">
        <f t="shared" si="269"/>
        <v>0</v>
      </c>
      <c r="H1256" s="194">
        <v>0</v>
      </c>
      <c r="I1256" s="194">
        <v>0</v>
      </c>
      <c r="J1256" s="194">
        <v>0</v>
      </c>
      <c r="K1256" s="193">
        <f t="shared" si="270"/>
        <v>0</v>
      </c>
      <c r="L1256" s="194">
        <v>0</v>
      </c>
      <c r="M1256" s="194">
        <v>0</v>
      </c>
      <c r="N1256" s="194">
        <v>0</v>
      </c>
      <c r="O1256" s="193">
        <f t="shared" si="271"/>
        <v>0</v>
      </c>
      <c r="P1256" s="194">
        <v>0</v>
      </c>
      <c r="Q1256" s="194">
        <v>0</v>
      </c>
      <c r="R1256" s="194">
        <v>0</v>
      </c>
      <c r="S1256" s="193">
        <f t="shared" si="272"/>
        <v>0</v>
      </c>
      <c r="T1256" s="193">
        <f t="shared" si="273"/>
        <v>0</v>
      </c>
      <c r="U1256" s="193">
        <f ca="1">OFFSET('Expenditure Study'!$B$7,'Operations Support'!$C1256,'Operations Support'!$B1256)*$G1256</f>
        <v>0</v>
      </c>
      <c r="V1256" s="199">
        <f ca="1">U1256*'Expenditure Study'!$B$31</f>
        <v>0</v>
      </c>
      <c r="W1256" s="199">
        <f ca="1">IF(A1256=10298,1.51,1)*IF($B1256&lt;3,$D1256*'Expenditure Study'!$B$32*OFFSET('Expenditure Study'!$B$7,'Operations Support'!$C1256,'Operations Support'!$B1256),0)</f>
        <v>0</v>
      </c>
      <c r="X1256" s="200">
        <f ca="1">W1256*'Expenditure Study'!$B$31</f>
        <v>0</v>
      </c>
      <c r="Y1256" s="199">
        <f ca="1">U1256*'Expenditure Study'!$B$31</f>
        <v>0</v>
      </c>
      <c r="Z1256" s="200">
        <f ca="1">W1256*'Expenditure Study'!$B$31</f>
        <v>0</v>
      </c>
      <c r="AA1256" s="195">
        <f t="shared" ca="1" si="274"/>
        <v>0</v>
      </c>
      <c r="AB1256" s="195">
        <f t="shared" ca="1" si="275"/>
        <v>0</v>
      </c>
      <c r="AD1256" s="196">
        <f>IFERROR($G1256/SUMIF($A:$A,$A1256,$G:$G)*SUMIF(Summary!$A$166:$A$242,$A1256,Summary!$P$166:$P$242),0)</f>
        <v>0</v>
      </c>
      <c r="AE1256" s="197">
        <f t="shared" ca="1" si="276"/>
        <v>0</v>
      </c>
      <c r="AF1256" s="196">
        <f>IFERROR(G1256/SUMIF(A:A,A1256,G:G)*SUMIF(Summary!$A$166:$A$242,'Operations Support'!A1256,Summary!$Q$166:$Q$242),0)</f>
        <v>0</v>
      </c>
      <c r="AG1256" s="196">
        <f t="shared" ca="1" si="277"/>
        <v>0</v>
      </c>
      <c r="AI1256" s="196">
        <f>IFERROR($G1256/SUMIF($A:$A,$A1256,$G:$G)*SUMIF(Summary!$A$247:$A$283,$A1256,Summary!$P$247:$P$283),0)</f>
        <v>0</v>
      </c>
      <c r="AJ1256" s="196">
        <f>IFERROR($G1256/SUMIF($A:$A,$A1256,$G:$G)*(SUMIF(Summary!$A$247:$A$283,$A1256,Summary!$L$247:$L$283)+SUMIF(Summary!$A$297:$A$333,$A1256,Summary!$L$297:$L$333))-AI1256,0)</f>
        <v>0</v>
      </c>
      <c r="AK1256" s="196">
        <f>IFERROR($G1256/SUMIF($A:$A,$A1256,$G:$G)*SUMIF(Summary!$A$247:$A$283,$A1256,Summary!$Q$247:$Q$283),0)</f>
        <v>0</v>
      </c>
      <c r="AL1256" s="196">
        <f>IFERROR($G1256/SUMIF($A:$A,$A1256,$G:$G)*(SUMIF(Summary!$A$247:$A$283,$A1256,Summary!$L$247:$L$283)+SUMIF(Summary!$A$297:$A$333,$A1256,Summary!$L$297:$L$333))-AK1256,0)</f>
        <v>0</v>
      </c>
      <c r="AM1256" s="198"/>
      <c r="AN1256" s="196">
        <f t="shared" ca="1" si="278"/>
        <v>0</v>
      </c>
      <c r="AO1256" s="196">
        <f t="shared" ca="1" si="279"/>
        <v>0</v>
      </c>
    </row>
    <row r="1257" spans="1:41">
      <c r="A1257" s="189">
        <v>3630</v>
      </c>
      <c r="B1257" s="190">
        <v>5</v>
      </c>
      <c r="C1257" s="191" t="s">
        <v>233</v>
      </c>
      <c r="D1257" s="192">
        <f t="shared" si="266"/>
        <v>0</v>
      </c>
      <c r="E1257" s="192">
        <f t="shared" si="267"/>
        <v>0</v>
      </c>
      <c r="F1257" s="192">
        <f t="shared" si="268"/>
        <v>0</v>
      </c>
      <c r="G1257" s="193">
        <f t="shared" si="269"/>
        <v>0</v>
      </c>
      <c r="H1257" s="194">
        <v>0</v>
      </c>
      <c r="I1257" s="194">
        <v>0</v>
      </c>
      <c r="J1257" s="194">
        <v>0</v>
      </c>
      <c r="K1257" s="193">
        <f t="shared" si="270"/>
        <v>0</v>
      </c>
      <c r="L1257" s="194">
        <v>0</v>
      </c>
      <c r="M1257" s="194">
        <v>0</v>
      </c>
      <c r="N1257" s="194">
        <v>0</v>
      </c>
      <c r="O1257" s="193">
        <f t="shared" si="271"/>
        <v>0</v>
      </c>
      <c r="P1257" s="194">
        <v>0</v>
      </c>
      <c r="Q1257" s="194">
        <v>0</v>
      </c>
      <c r="R1257" s="194">
        <v>0</v>
      </c>
      <c r="S1257" s="193">
        <f t="shared" si="272"/>
        <v>0</v>
      </c>
      <c r="T1257" s="193">
        <f t="shared" si="273"/>
        <v>0</v>
      </c>
      <c r="U1257" s="193">
        <f ca="1">OFFSET('Expenditure Study'!$B$7,'Operations Support'!$C1257,'Operations Support'!$B1257)*$G1257</f>
        <v>0</v>
      </c>
      <c r="V1257" s="199">
        <f ca="1">U1257*'Expenditure Study'!$B$31</f>
        <v>0</v>
      </c>
      <c r="W1257" s="199">
        <f ca="1">IF(A1257=10298,1.51,1)*IF($B1257&lt;3,$D1257*'Expenditure Study'!$B$32*OFFSET('Expenditure Study'!$B$7,'Operations Support'!$C1257,'Operations Support'!$B1257),0)</f>
        <v>0</v>
      </c>
      <c r="X1257" s="200">
        <f ca="1">W1257*'Expenditure Study'!$B$31</f>
        <v>0</v>
      </c>
      <c r="Y1257" s="199">
        <f ca="1">U1257*'Expenditure Study'!$B$31</f>
        <v>0</v>
      </c>
      <c r="Z1257" s="200">
        <f ca="1">W1257*'Expenditure Study'!$B$31</f>
        <v>0</v>
      </c>
      <c r="AA1257" s="195">
        <f t="shared" ca="1" si="274"/>
        <v>0</v>
      </c>
      <c r="AB1257" s="195">
        <f t="shared" ca="1" si="275"/>
        <v>0</v>
      </c>
      <c r="AD1257" s="196">
        <f>IFERROR($G1257/SUMIF($A:$A,$A1257,$G:$G)*SUMIF(Summary!$A$166:$A$242,$A1257,Summary!$P$166:$P$242),0)</f>
        <v>0</v>
      </c>
      <c r="AE1257" s="197">
        <f t="shared" ca="1" si="276"/>
        <v>0</v>
      </c>
      <c r="AF1257" s="196">
        <f>IFERROR(G1257/SUMIF(A:A,A1257,G:G)*SUMIF(Summary!$A$166:$A$242,'Operations Support'!A1257,Summary!$Q$166:$Q$242),0)</f>
        <v>0</v>
      </c>
      <c r="AG1257" s="196">
        <f t="shared" ca="1" si="277"/>
        <v>0</v>
      </c>
      <c r="AI1257" s="196">
        <f>IFERROR($G1257/SUMIF($A:$A,$A1257,$G:$G)*SUMIF(Summary!$A$247:$A$283,$A1257,Summary!$P$247:$P$283),0)</f>
        <v>0</v>
      </c>
      <c r="AJ1257" s="196">
        <f>IFERROR($G1257/SUMIF($A:$A,$A1257,$G:$G)*(SUMIF(Summary!$A$247:$A$283,$A1257,Summary!$L$247:$L$283)+SUMIF(Summary!$A$297:$A$333,$A1257,Summary!$L$297:$L$333))-AI1257,0)</f>
        <v>0</v>
      </c>
      <c r="AK1257" s="196">
        <f>IFERROR($G1257/SUMIF($A:$A,$A1257,$G:$G)*SUMIF(Summary!$A$247:$A$283,$A1257,Summary!$Q$247:$Q$283),0)</f>
        <v>0</v>
      </c>
      <c r="AL1257" s="196">
        <f>IFERROR($G1257/SUMIF($A:$A,$A1257,$G:$G)*(SUMIF(Summary!$A$247:$A$283,$A1257,Summary!$L$247:$L$283)+SUMIF(Summary!$A$297:$A$333,$A1257,Summary!$L$297:$L$333))-AK1257,0)</f>
        <v>0</v>
      </c>
      <c r="AM1257" s="198"/>
      <c r="AN1257" s="196">
        <f t="shared" ca="1" si="278"/>
        <v>0</v>
      </c>
      <c r="AO1257" s="196">
        <f t="shared" ca="1" si="279"/>
        <v>0</v>
      </c>
    </row>
    <row r="1258" spans="1:41">
      <c r="A1258" s="189">
        <v>3630</v>
      </c>
      <c r="B1258" s="190">
        <v>5</v>
      </c>
      <c r="C1258" s="191" t="s">
        <v>234</v>
      </c>
      <c r="D1258" s="192">
        <f t="shared" si="266"/>
        <v>0</v>
      </c>
      <c r="E1258" s="192">
        <f t="shared" si="267"/>
        <v>0</v>
      </c>
      <c r="F1258" s="192">
        <f t="shared" si="268"/>
        <v>0</v>
      </c>
      <c r="G1258" s="193">
        <f t="shared" si="269"/>
        <v>0</v>
      </c>
      <c r="H1258" s="194">
        <v>0</v>
      </c>
      <c r="I1258" s="194">
        <v>0</v>
      </c>
      <c r="J1258" s="194">
        <v>0</v>
      </c>
      <c r="K1258" s="193">
        <f t="shared" si="270"/>
        <v>0</v>
      </c>
      <c r="L1258" s="194">
        <v>0</v>
      </c>
      <c r="M1258" s="194">
        <v>0</v>
      </c>
      <c r="N1258" s="194">
        <v>0</v>
      </c>
      <c r="O1258" s="193">
        <f t="shared" si="271"/>
        <v>0</v>
      </c>
      <c r="P1258" s="194">
        <v>0</v>
      </c>
      <c r="Q1258" s="194">
        <v>0</v>
      </c>
      <c r="R1258" s="194">
        <v>0</v>
      </c>
      <c r="S1258" s="193">
        <f t="shared" si="272"/>
        <v>0</v>
      </c>
      <c r="T1258" s="193">
        <f t="shared" si="273"/>
        <v>0</v>
      </c>
      <c r="U1258" s="193">
        <f ca="1">OFFSET('Expenditure Study'!$B$7,'Operations Support'!$C1258,'Operations Support'!$B1258)*$G1258</f>
        <v>0</v>
      </c>
      <c r="V1258" s="199">
        <f ca="1">U1258*'Expenditure Study'!$B$31</f>
        <v>0</v>
      </c>
      <c r="W1258" s="199">
        <f ca="1">IF(A1258=10298,1.51,1)*IF($B1258&lt;3,$D1258*'Expenditure Study'!$B$32*OFFSET('Expenditure Study'!$B$7,'Operations Support'!$C1258,'Operations Support'!$B1258),0)</f>
        <v>0</v>
      </c>
      <c r="X1258" s="200">
        <f ca="1">W1258*'Expenditure Study'!$B$31</f>
        <v>0</v>
      </c>
      <c r="Y1258" s="199">
        <f ca="1">U1258*'Expenditure Study'!$B$31</f>
        <v>0</v>
      </c>
      <c r="Z1258" s="200">
        <f ca="1">W1258*'Expenditure Study'!$B$31</f>
        <v>0</v>
      </c>
      <c r="AA1258" s="195">
        <f t="shared" ca="1" si="274"/>
        <v>0</v>
      </c>
      <c r="AB1258" s="195">
        <f t="shared" ca="1" si="275"/>
        <v>0</v>
      </c>
      <c r="AD1258" s="196">
        <f>IFERROR($G1258/SUMIF($A:$A,$A1258,$G:$G)*SUMIF(Summary!$A$166:$A$242,$A1258,Summary!$P$166:$P$242),0)</f>
        <v>0</v>
      </c>
      <c r="AE1258" s="197">
        <f t="shared" ca="1" si="276"/>
        <v>0</v>
      </c>
      <c r="AF1258" s="196">
        <f>IFERROR(G1258/SUMIF(A:A,A1258,G:G)*SUMIF(Summary!$A$166:$A$242,'Operations Support'!A1258,Summary!$Q$166:$Q$242),0)</f>
        <v>0</v>
      </c>
      <c r="AG1258" s="196">
        <f t="shared" ca="1" si="277"/>
        <v>0</v>
      </c>
      <c r="AI1258" s="196">
        <f>IFERROR($G1258/SUMIF($A:$A,$A1258,$G:$G)*SUMIF(Summary!$A$247:$A$283,$A1258,Summary!$P$247:$P$283),0)</f>
        <v>0</v>
      </c>
      <c r="AJ1258" s="196">
        <f>IFERROR($G1258/SUMIF($A:$A,$A1258,$G:$G)*(SUMIF(Summary!$A$247:$A$283,$A1258,Summary!$L$247:$L$283)+SUMIF(Summary!$A$297:$A$333,$A1258,Summary!$L$297:$L$333))-AI1258,0)</f>
        <v>0</v>
      </c>
      <c r="AK1258" s="196">
        <f>IFERROR($G1258/SUMIF($A:$A,$A1258,$G:$G)*SUMIF(Summary!$A$247:$A$283,$A1258,Summary!$Q$247:$Q$283),0)</f>
        <v>0</v>
      </c>
      <c r="AL1258" s="196">
        <f>IFERROR($G1258/SUMIF($A:$A,$A1258,$G:$G)*(SUMIF(Summary!$A$247:$A$283,$A1258,Summary!$L$247:$L$283)+SUMIF(Summary!$A$297:$A$333,$A1258,Summary!$L$297:$L$333))-AK1258,0)</f>
        <v>0</v>
      </c>
      <c r="AM1258" s="198"/>
      <c r="AN1258" s="196">
        <f t="shared" ca="1" si="278"/>
        <v>0</v>
      </c>
      <c r="AO1258" s="196">
        <f t="shared" ca="1" si="279"/>
        <v>0</v>
      </c>
    </row>
    <row r="1259" spans="1:41">
      <c r="A1259" s="189">
        <v>3630</v>
      </c>
      <c r="B1259" s="190">
        <v>5</v>
      </c>
      <c r="C1259" s="191" t="s">
        <v>235</v>
      </c>
      <c r="D1259" s="192">
        <f t="shared" si="266"/>
        <v>0</v>
      </c>
      <c r="E1259" s="192">
        <f t="shared" si="267"/>
        <v>0</v>
      </c>
      <c r="F1259" s="192">
        <f t="shared" si="268"/>
        <v>0</v>
      </c>
      <c r="G1259" s="193">
        <f t="shared" si="269"/>
        <v>0</v>
      </c>
      <c r="H1259" s="194">
        <v>0</v>
      </c>
      <c r="I1259" s="194">
        <v>0</v>
      </c>
      <c r="J1259" s="194">
        <v>0</v>
      </c>
      <c r="K1259" s="193">
        <f t="shared" si="270"/>
        <v>0</v>
      </c>
      <c r="L1259" s="194">
        <v>0</v>
      </c>
      <c r="M1259" s="194">
        <v>0</v>
      </c>
      <c r="N1259" s="194">
        <v>0</v>
      </c>
      <c r="O1259" s="193">
        <f t="shared" si="271"/>
        <v>0</v>
      </c>
      <c r="P1259" s="194">
        <v>0</v>
      </c>
      <c r="Q1259" s="194">
        <v>0</v>
      </c>
      <c r="R1259" s="194">
        <v>0</v>
      </c>
      <c r="S1259" s="193">
        <f t="shared" si="272"/>
        <v>0</v>
      </c>
      <c r="T1259" s="193">
        <f t="shared" si="273"/>
        <v>0</v>
      </c>
      <c r="U1259" s="193">
        <f ca="1">OFFSET('Expenditure Study'!$B$7,'Operations Support'!$C1259,'Operations Support'!$B1259)*$G1259</f>
        <v>0</v>
      </c>
      <c r="V1259" s="199">
        <f ca="1">U1259*'Expenditure Study'!$B$31</f>
        <v>0</v>
      </c>
      <c r="W1259" s="199">
        <f ca="1">IF(A1259=10298,1.51,1)*IF($B1259&lt;3,$D1259*'Expenditure Study'!$B$32*OFFSET('Expenditure Study'!$B$7,'Operations Support'!$C1259,'Operations Support'!$B1259),0)</f>
        <v>0</v>
      </c>
      <c r="X1259" s="200">
        <f ca="1">W1259*'Expenditure Study'!$B$31</f>
        <v>0</v>
      </c>
      <c r="Y1259" s="199">
        <f ca="1">U1259*'Expenditure Study'!$B$31</f>
        <v>0</v>
      </c>
      <c r="Z1259" s="200">
        <f ca="1">W1259*'Expenditure Study'!$B$31</f>
        <v>0</v>
      </c>
      <c r="AA1259" s="195">
        <f t="shared" ca="1" si="274"/>
        <v>0</v>
      </c>
      <c r="AB1259" s="195">
        <f t="shared" ca="1" si="275"/>
        <v>0</v>
      </c>
      <c r="AD1259" s="196">
        <f>IFERROR($G1259/SUMIF($A:$A,$A1259,$G:$G)*SUMIF(Summary!$A$166:$A$242,$A1259,Summary!$P$166:$P$242),0)</f>
        <v>0</v>
      </c>
      <c r="AE1259" s="197">
        <f t="shared" ca="1" si="276"/>
        <v>0</v>
      </c>
      <c r="AF1259" s="196">
        <f>IFERROR(G1259/SUMIF(A:A,A1259,G:G)*SUMIF(Summary!$A$166:$A$242,'Operations Support'!A1259,Summary!$Q$166:$Q$242),0)</f>
        <v>0</v>
      </c>
      <c r="AG1259" s="196">
        <f t="shared" ca="1" si="277"/>
        <v>0</v>
      </c>
      <c r="AI1259" s="196">
        <f>IFERROR($G1259/SUMIF($A:$A,$A1259,$G:$G)*SUMIF(Summary!$A$247:$A$283,$A1259,Summary!$P$247:$P$283),0)</f>
        <v>0</v>
      </c>
      <c r="AJ1259" s="196">
        <f>IFERROR($G1259/SUMIF($A:$A,$A1259,$G:$G)*(SUMIF(Summary!$A$247:$A$283,$A1259,Summary!$L$247:$L$283)+SUMIF(Summary!$A$297:$A$333,$A1259,Summary!$L$297:$L$333))-AI1259,0)</f>
        <v>0</v>
      </c>
      <c r="AK1259" s="196">
        <f>IFERROR($G1259/SUMIF($A:$A,$A1259,$G:$G)*SUMIF(Summary!$A$247:$A$283,$A1259,Summary!$Q$247:$Q$283),0)</f>
        <v>0</v>
      </c>
      <c r="AL1259" s="196">
        <f>IFERROR($G1259/SUMIF($A:$A,$A1259,$G:$G)*(SUMIF(Summary!$A$247:$A$283,$A1259,Summary!$L$247:$L$283)+SUMIF(Summary!$A$297:$A$333,$A1259,Summary!$L$297:$L$333))-AK1259,0)</f>
        <v>0</v>
      </c>
      <c r="AM1259" s="198"/>
      <c r="AN1259" s="196">
        <f t="shared" ca="1" si="278"/>
        <v>0</v>
      </c>
      <c r="AO1259" s="196">
        <f t="shared" ca="1" si="279"/>
        <v>0</v>
      </c>
    </row>
    <row r="1260" spans="1:41">
      <c r="A1260" s="189">
        <v>3630</v>
      </c>
      <c r="B1260" s="190">
        <v>5</v>
      </c>
      <c r="C1260" s="191" t="s">
        <v>236</v>
      </c>
      <c r="D1260" s="192">
        <f t="shared" si="266"/>
        <v>0</v>
      </c>
      <c r="E1260" s="192">
        <f t="shared" si="267"/>
        <v>0</v>
      </c>
      <c r="F1260" s="192">
        <f t="shared" si="268"/>
        <v>0</v>
      </c>
      <c r="G1260" s="193">
        <f t="shared" si="269"/>
        <v>0</v>
      </c>
      <c r="H1260" s="194">
        <v>0</v>
      </c>
      <c r="I1260" s="194">
        <v>0</v>
      </c>
      <c r="J1260" s="194">
        <v>0</v>
      </c>
      <c r="K1260" s="193">
        <f t="shared" si="270"/>
        <v>0</v>
      </c>
      <c r="L1260" s="194">
        <v>0</v>
      </c>
      <c r="M1260" s="194">
        <v>0</v>
      </c>
      <c r="N1260" s="194">
        <v>0</v>
      </c>
      <c r="O1260" s="193">
        <f t="shared" si="271"/>
        <v>0</v>
      </c>
      <c r="P1260" s="194">
        <v>0</v>
      </c>
      <c r="Q1260" s="194">
        <v>0</v>
      </c>
      <c r="R1260" s="194">
        <v>0</v>
      </c>
      <c r="S1260" s="193">
        <f t="shared" si="272"/>
        <v>0</v>
      </c>
      <c r="T1260" s="193">
        <f t="shared" si="273"/>
        <v>0</v>
      </c>
      <c r="U1260" s="193">
        <f ca="1">OFFSET('Expenditure Study'!$B$7,'Operations Support'!$C1260,'Operations Support'!$B1260)*$G1260</f>
        <v>0</v>
      </c>
      <c r="V1260" s="199">
        <f ca="1">U1260*'Expenditure Study'!$B$31</f>
        <v>0</v>
      </c>
      <c r="W1260" s="199">
        <f ca="1">IF(A1260=10298,1.51,1)*IF($B1260&lt;3,$D1260*'Expenditure Study'!$B$32*OFFSET('Expenditure Study'!$B$7,'Operations Support'!$C1260,'Operations Support'!$B1260),0)</f>
        <v>0</v>
      </c>
      <c r="X1260" s="200">
        <f ca="1">W1260*'Expenditure Study'!$B$31</f>
        <v>0</v>
      </c>
      <c r="Y1260" s="199">
        <f ca="1">U1260*'Expenditure Study'!$B$31</f>
        <v>0</v>
      </c>
      <c r="Z1260" s="200">
        <f ca="1">W1260*'Expenditure Study'!$B$31</f>
        <v>0</v>
      </c>
      <c r="AA1260" s="195">
        <f t="shared" ca="1" si="274"/>
        <v>0</v>
      </c>
      <c r="AB1260" s="195">
        <f t="shared" ca="1" si="275"/>
        <v>0</v>
      </c>
      <c r="AD1260" s="196">
        <f>IFERROR($G1260/SUMIF($A:$A,$A1260,$G:$G)*SUMIF(Summary!$A$166:$A$242,$A1260,Summary!$P$166:$P$242),0)</f>
        <v>0</v>
      </c>
      <c r="AE1260" s="197">
        <f t="shared" ca="1" si="276"/>
        <v>0</v>
      </c>
      <c r="AF1260" s="196">
        <f>IFERROR(G1260/SUMIF(A:A,A1260,G:G)*SUMIF(Summary!$A$166:$A$242,'Operations Support'!A1260,Summary!$Q$166:$Q$242),0)</f>
        <v>0</v>
      </c>
      <c r="AG1260" s="196">
        <f t="shared" ca="1" si="277"/>
        <v>0</v>
      </c>
      <c r="AI1260" s="196">
        <f>IFERROR($G1260/SUMIF($A:$A,$A1260,$G:$G)*SUMIF(Summary!$A$247:$A$283,$A1260,Summary!$P$247:$P$283),0)</f>
        <v>0</v>
      </c>
      <c r="AJ1260" s="196">
        <f>IFERROR($G1260/SUMIF($A:$A,$A1260,$G:$G)*(SUMIF(Summary!$A$247:$A$283,$A1260,Summary!$L$247:$L$283)+SUMIF(Summary!$A$297:$A$333,$A1260,Summary!$L$297:$L$333))-AI1260,0)</f>
        <v>0</v>
      </c>
      <c r="AK1260" s="196">
        <f>IFERROR($G1260/SUMIF($A:$A,$A1260,$G:$G)*SUMIF(Summary!$A$247:$A$283,$A1260,Summary!$Q$247:$Q$283),0)</f>
        <v>0</v>
      </c>
      <c r="AL1260" s="196">
        <f>IFERROR($G1260/SUMIF($A:$A,$A1260,$G:$G)*(SUMIF(Summary!$A$247:$A$283,$A1260,Summary!$L$247:$L$283)+SUMIF(Summary!$A$297:$A$333,$A1260,Summary!$L$297:$L$333))-AK1260,0)</f>
        <v>0</v>
      </c>
      <c r="AM1260" s="198"/>
      <c r="AN1260" s="196">
        <f t="shared" ca="1" si="278"/>
        <v>0</v>
      </c>
      <c r="AO1260" s="196">
        <f t="shared" ca="1" si="279"/>
        <v>0</v>
      </c>
    </row>
    <row r="1261" spans="1:41">
      <c r="A1261" s="189">
        <v>3630</v>
      </c>
      <c r="B1261" s="190">
        <v>5</v>
      </c>
      <c r="C1261" s="191" t="s">
        <v>237</v>
      </c>
      <c r="D1261" s="192">
        <f t="shared" si="266"/>
        <v>0</v>
      </c>
      <c r="E1261" s="192">
        <f t="shared" si="267"/>
        <v>0</v>
      </c>
      <c r="F1261" s="192">
        <f t="shared" si="268"/>
        <v>0</v>
      </c>
      <c r="G1261" s="193">
        <f t="shared" si="269"/>
        <v>0</v>
      </c>
      <c r="H1261" s="194">
        <v>0</v>
      </c>
      <c r="I1261" s="194">
        <v>0</v>
      </c>
      <c r="J1261" s="194">
        <v>0</v>
      </c>
      <c r="K1261" s="193">
        <f t="shared" si="270"/>
        <v>0</v>
      </c>
      <c r="L1261" s="194">
        <v>0</v>
      </c>
      <c r="M1261" s="194">
        <v>0</v>
      </c>
      <c r="N1261" s="194">
        <v>0</v>
      </c>
      <c r="O1261" s="193">
        <f t="shared" si="271"/>
        <v>0</v>
      </c>
      <c r="P1261" s="194">
        <v>0</v>
      </c>
      <c r="Q1261" s="194">
        <v>0</v>
      </c>
      <c r="R1261" s="194">
        <v>0</v>
      </c>
      <c r="S1261" s="193">
        <f t="shared" si="272"/>
        <v>0</v>
      </c>
      <c r="T1261" s="193">
        <f t="shared" si="273"/>
        <v>0</v>
      </c>
      <c r="U1261" s="193">
        <f ca="1">OFFSET('Expenditure Study'!$B$7,'Operations Support'!$C1261,'Operations Support'!$B1261)*$G1261</f>
        <v>0</v>
      </c>
      <c r="V1261" s="199">
        <f ca="1">U1261*'Expenditure Study'!$B$31</f>
        <v>0</v>
      </c>
      <c r="W1261" s="199">
        <f ca="1">IF(A1261=10298,1.51,1)*IF($B1261&lt;3,$D1261*'Expenditure Study'!$B$32*OFFSET('Expenditure Study'!$B$7,'Operations Support'!$C1261,'Operations Support'!$B1261),0)</f>
        <v>0</v>
      </c>
      <c r="X1261" s="200">
        <f ca="1">W1261*'Expenditure Study'!$B$31</f>
        <v>0</v>
      </c>
      <c r="Y1261" s="199">
        <f ca="1">U1261*'Expenditure Study'!$B$31</f>
        <v>0</v>
      </c>
      <c r="Z1261" s="200">
        <f ca="1">W1261*'Expenditure Study'!$B$31</f>
        <v>0</v>
      </c>
      <c r="AA1261" s="195">
        <f t="shared" ca="1" si="274"/>
        <v>0</v>
      </c>
      <c r="AB1261" s="195">
        <f t="shared" ca="1" si="275"/>
        <v>0</v>
      </c>
      <c r="AD1261" s="196">
        <f>IFERROR($G1261/SUMIF($A:$A,$A1261,$G:$G)*SUMIF(Summary!$A$166:$A$242,$A1261,Summary!$P$166:$P$242),0)</f>
        <v>0</v>
      </c>
      <c r="AE1261" s="197">
        <f t="shared" ca="1" si="276"/>
        <v>0</v>
      </c>
      <c r="AF1261" s="196">
        <f>IFERROR(G1261/SUMIF(A:A,A1261,G:G)*SUMIF(Summary!$A$166:$A$242,'Operations Support'!A1261,Summary!$Q$166:$Q$242),0)</f>
        <v>0</v>
      </c>
      <c r="AG1261" s="196">
        <f t="shared" ca="1" si="277"/>
        <v>0</v>
      </c>
      <c r="AI1261" s="196">
        <f>IFERROR($G1261/SUMIF($A:$A,$A1261,$G:$G)*SUMIF(Summary!$A$247:$A$283,$A1261,Summary!$P$247:$P$283),0)</f>
        <v>0</v>
      </c>
      <c r="AJ1261" s="196">
        <f>IFERROR($G1261/SUMIF($A:$A,$A1261,$G:$G)*(SUMIF(Summary!$A$247:$A$283,$A1261,Summary!$L$247:$L$283)+SUMIF(Summary!$A$297:$A$333,$A1261,Summary!$L$297:$L$333))-AI1261,0)</f>
        <v>0</v>
      </c>
      <c r="AK1261" s="196">
        <f>IFERROR($G1261/SUMIF($A:$A,$A1261,$G:$G)*SUMIF(Summary!$A$247:$A$283,$A1261,Summary!$Q$247:$Q$283),0)</f>
        <v>0</v>
      </c>
      <c r="AL1261" s="196">
        <f>IFERROR($G1261/SUMIF($A:$A,$A1261,$G:$G)*(SUMIF(Summary!$A$247:$A$283,$A1261,Summary!$L$247:$L$283)+SUMIF(Summary!$A$297:$A$333,$A1261,Summary!$L$297:$L$333))-AK1261,0)</f>
        <v>0</v>
      </c>
      <c r="AM1261" s="198"/>
      <c r="AN1261" s="196">
        <f t="shared" ca="1" si="278"/>
        <v>0</v>
      </c>
      <c r="AO1261" s="196">
        <f t="shared" ca="1" si="279"/>
        <v>0</v>
      </c>
    </row>
    <row r="1262" spans="1:41">
      <c r="A1262" s="189">
        <v>3630</v>
      </c>
      <c r="B1262" s="190">
        <v>5</v>
      </c>
      <c r="C1262" s="191" t="s">
        <v>238</v>
      </c>
      <c r="D1262" s="192">
        <f t="shared" si="266"/>
        <v>0</v>
      </c>
      <c r="E1262" s="192">
        <f t="shared" si="267"/>
        <v>0</v>
      </c>
      <c r="F1262" s="192">
        <f t="shared" si="268"/>
        <v>0</v>
      </c>
      <c r="G1262" s="193">
        <f t="shared" si="269"/>
        <v>0</v>
      </c>
      <c r="H1262" s="194">
        <v>0</v>
      </c>
      <c r="I1262" s="194">
        <v>0</v>
      </c>
      <c r="J1262" s="194">
        <v>0</v>
      </c>
      <c r="K1262" s="193">
        <f t="shared" si="270"/>
        <v>0</v>
      </c>
      <c r="L1262" s="194">
        <v>0</v>
      </c>
      <c r="M1262" s="194">
        <v>0</v>
      </c>
      <c r="N1262" s="194">
        <v>0</v>
      </c>
      <c r="O1262" s="193">
        <f t="shared" si="271"/>
        <v>0</v>
      </c>
      <c r="P1262" s="194">
        <v>0</v>
      </c>
      <c r="Q1262" s="194">
        <v>0</v>
      </c>
      <c r="R1262" s="194">
        <v>0</v>
      </c>
      <c r="S1262" s="193">
        <f t="shared" si="272"/>
        <v>0</v>
      </c>
      <c r="T1262" s="193">
        <f t="shared" si="273"/>
        <v>0</v>
      </c>
      <c r="U1262" s="193">
        <f ca="1">OFFSET('Expenditure Study'!$B$7,'Operations Support'!$C1262,'Operations Support'!$B1262)*$G1262</f>
        <v>0</v>
      </c>
      <c r="V1262" s="199">
        <f ca="1">U1262*'Expenditure Study'!$B$31</f>
        <v>0</v>
      </c>
      <c r="W1262" s="199">
        <f ca="1">IF(A1262=10298,1.51,1)*IF($B1262&lt;3,$D1262*'Expenditure Study'!$B$32*OFFSET('Expenditure Study'!$B$7,'Operations Support'!$C1262,'Operations Support'!$B1262),0)</f>
        <v>0</v>
      </c>
      <c r="X1262" s="200">
        <f ca="1">W1262*'Expenditure Study'!$B$31</f>
        <v>0</v>
      </c>
      <c r="Y1262" s="199">
        <f ca="1">U1262*'Expenditure Study'!$B$31</f>
        <v>0</v>
      </c>
      <c r="Z1262" s="200">
        <f ca="1">W1262*'Expenditure Study'!$B$31</f>
        <v>0</v>
      </c>
      <c r="AA1262" s="195">
        <f t="shared" ca="1" si="274"/>
        <v>0</v>
      </c>
      <c r="AB1262" s="195">
        <f t="shared" ca="1" si="275"/>
        <v>0</v>
      </c>
      <c r="AD1262" s="196">
        <f>IFERROR($G1262/SUMIF($A:$A,$A1262,$G:$G)*SUMIF(Summary!$A$166:$A$242,$A1262,Summary!$P$166:$P$242),0)</f>
        <v>0</v>
      </c>
      <c r="AE1262" s="197">
        <f t="shared" ca="1" si="276"/>
        <v>0</v>
      </c>
      <c r="AF1262" s="196">
        <f>IFERROR(G1262/SUMIF(A:A,A1262,G:G)*SUMIF(Summary!$A$166:$A$242,'Operations Support'!A1262,Summary!$Q$166:$Q$242),0)</f>
        <v>0</v>
      </c>
      <c r="AG1262" s="196">
        <f t="shared" ca="1" si="277"/>
        <v>0</v>
      </c>
      <c r="AI1262" s="196">
        <f>IFERROR($G1262/SUMIF($A:$A,$A1262,$G:$G)*SUMIF(Summary!$A$247:$A$283,$A1262,Summary!$P$247:$P$283),0)</f>
        <v>0</v>
      </c>
      <c r="AJ1262" s="196">
        <f>IFERROR($G1262/SUMIF($A:$A,$A1262,$G:$G)*(SUMIF(Summary!$A$247:$A$283,$A1262,Summary!$L$247:$L$283)+SUMIF(Summary!$A$297:$A$333,$A1262,Summary!$L$297:$L$333))-AI1262,0)</f>
        <v>0</v>
      </c>
      <c r="AK1262" s="196">
        <f>IFERROR($G1262/SUMIF($A:$A,$A1262,$G:$G)*SUMIF(Summary!$A$247:$A$283,$A1262,Summary!$Q$247:$Q$283),0)</f>
        <v>0</v>
      </c>
      <c r="AL1262" s="196">
        <f>IFERROR($G1262/SUMIF($A:$A,$A1262,$G:$G)*(SUMIF(Summary!$A$247:$A$283,$A1262,Summary!$L$247:$L$283)+SUMIF(Summary!$A$297:$A$333,$A1262,Summary!$L$297:$L$333))-AK1262,0)</f>
        <v>0</v>
      </c>
      <c r="AM1262" s="198"/>
      <c r="AN1262" s="196">
        <f t="shared" ca="1" si="278"/>
        <v>0</v>
      </c>
      <c r="AO1262" s="196">
        <f t="shared" ca="1" si="279"/>
        <v>0</v>
      </c>
    </row>
    <row r="1263" spans="1:41">
      <c r="A1263" s="189">
        <v>3630</v>
      </c>
      <c r="B1263" s="190">
        <v>5</v>
      </c>
      <c r="C1263" s="191" t="s">
        <v>239</v>
      </c>
      <c r="D1263" s="192">
        <f t="shared" si="266"/>
        <v>0</v>
      </c>
      <c r="E1263" s="192">
        <f t="shared" si="267"/>
        <v>0</v>
      </c>
      <c r="F1263" s="192">
        <f t="shared" si="268"/>
        <v>0</v>
      </c>
      <c r="G1263" s="193">
        <f t="shared" si="269"/>
        <v>0</v>
      </c>
      <c r="H1263" s="194">
        <v>0</v>
      </c>
      <c r="I1263" s="194">
        <v>0</v>
      </c>
      <c r="J1263" s="194">
        <v>0</v>
      </c>
      <c r="K1263" s="193">
        <f t="shared" si="270"/>
        <v>0</v>
      </c>
      <c r="L1263" s="194">
        <v>0</v>
      </c>
      <c r="M1263" s="194">
        <v>0</v>
      </c>
      <c r="N1263" s="194">
        <v>0</v>
      </c>
      <c r="O1263" s="193">
        <f t="shared" si="271"/>
        <v>0</v>
      </c>
      <c r="P1263" s="194">
        <v>0</v>
      </c>
      <c r="Q1263" s="194">
        <v>0</v>
      </c>
      <c r="R1263" s="194">
        <v>0</v>
      </c>
      <c r="S1263" s="193">
        <f t="shared" si="272"/>
        <v>0</v>
      </c>
      <c r="T1263" s="193">
        <f t="shared" si="273"/>
        <v>0</v>
      </c>
      <c r="U1263" s="193">
        <f ca="1">OFFSET('Expenditure Study'!$B$7,'Operations Support'!$C1263,'Operations Support'!$B1263)*$G1263</f>
        <v>0</v>
      </c>
      <c r="V1263" s="199">
        <f ca="1">U1263*'Expenditure Study'!$B$31</f>
        <v>0</v>
      </c>
      <c r="W1263" s="199">
        <f ca="1">IF(A1263=10298,1.51,1)*IF($B1263&lt;3,$D1263*'Expenditure Study'!$B$32*OFFSET('Expenditure Study'!$B$7,'Operations Support'!$C1263,'Operations Support'!$B1263),0)</f>
        <v>0</v>
      </c>
      <c r="X1263" s="200">
        <f ca="1">W1263*'Expenditure Study'!$B$31</f>
        <v>0</v>
      </c>
      <c r="Y1263" s="199">
        <f ca="1">U1263*'Expenditure Study'!$B$31</f>
        <v>0</v>
      </c>
      <c r="Z1263" s="200">
        <f ca="1">W1263*'Expenditure Study'!$B$31</f>
        <v>0</v>
      </c>
      <c r="AA1263" s="195">
        <f t="shared" ca="1" si="274"/>
        <v>0</v>
      </c>
      <c r="AB1263" s="195">
        <f t="shared" ca="1" si="275"/>
        <v>0</v>
      </c>
      <c r="AD1263" s="196">
        <f>IFERROR($G1263/SUMIF($A:$A,$A1263,$G:$G)*SUMIF(Summary!$A$166:$A$242,$A1263,Summary!$P$166:$P$242),0)</f>
        <v>0</v>
      </c>
      <c r="AE1263" s="197">
        <f t="shared" ca="1" si="276"/>
        <v>0</v>
      </c>
      <c r="AF1263" s="196">
        <f>IFERROR(G1263/SUMIF(A:A,A1263,G:G)*SUMIF(Summary!$A$166:$A$242,'Operations Support'!A1263,Summary!$Q$166:$Q$242),0)</f>
        <v>0</v>
      </c>
      <c r="AG1263" s="196">
        <f t="shared" ca="1" si="277"/>
        <v>0</v>
      </c>
      <c r="AI1263" s="196">
        <f>IFERROR($G1263/SUMIF($A:$A,$A1263,$G:$G)*SUMIF(Summary!$A$247:$A$283,$A1263,Summary!$P$247:$P$283),0)</f>
        <v>0</v>
      </c>
      <c r="AJ1263" s="196">
        <f>IFERROR($G1263/SUMIF($A:$A,$A1263,$G:$G)*(SUMIF(Summary!$A$247:$A$283,$A1263,Summary!$L$247:$L$283)+SUMIF(Summary!$A$297:$A$333,$A1263,Summary!$L$297:$L$333))-AI1263,0)</f>
        <v>0</v>
      </c>
      <c r="AK1263" s="196">
        <f>IFERROR($G1263/SUMIF($A:$A,$A1263,$G:$G)*SUMIF(Summary!$A$247:$A$283,$A1263,Summary!$Q$247:$Q$283),0)</f>
        <v>0</v>
      </c>
      <c r="AL1263" s="196">
        <f>IFERROR($G1263/SUMIF($A:$A,$A1263,$G:$G)*(SUMIF(Summary!$A$247:$A$283,$A1263,Summary!$L$247:$L$283)+SUMIF(Summary!$A$297:$A$333,$A1263,Summary!$L$297:$L$333))-AK1263,0)</f>
        <v>0</v>
      </c>
      <c r="AM1263" s="198"/>
      <c r="AN1263" s="196">
        <f t="shared" ca="1" si="278"/>
        <v>0</v>
      </c>
      <c r="AO1263" s="196">
        <f t="shared" ca="1" si="279"/>
        <v>0</v>
      </c>
    </row>
    <row r="1264" spans="1:41">
      <c r="A1264" s="189">
        <v>3630</v>
      </c>
      <c r="B1264" s="190">
        <v>5</v>
      </c>
      <c r="C1264" s="191" t="s">
        <v>240</v>
      </c>
      <c r="D1264" s="192">
        <f t="shared" si="266"/>
        <v>0</v>
      </c>
      <c r="E1264" s="192">
        <f t="shared" si="267"/>
        <v>0</v>
      </c>
      <c r="F1264" s="192">
        <f t="shared" si="268"/>
        <v>0</v>
      </c>
      <c r="G1264" s="193">
        <f t="shared" si="269"/>
        <v>0</v>
      </c>
      <c r="H1264" s="194">
        <v>0</v>
      </c>
      <c r="I1264" s="194">
        <v>0</v>
      </c>
      <c r="J1264" s="194">
        <v>0</v>
      </c>
      <c r="K1264" s="193">
        <f t="shared" si="270"/>
        <v>0</v>
      </c>
      <c r="L1264" s="194">
        <v>0</v>
      </c>
      <c r="M1264" s="194">
        <v>0</v>
      </c>
      <c r="N1264" s="194">
        <v>0</v>
      </c>
      <c r="O1264" s="193">
        <f t="shared" si="271"/>
        <v>0</v>
      </c>
      <c r="P1264" s="194">
        <v>0</v>
      </c>
      <c r="Q1264" s="194">
        <v>0</v>
      </c>
      <c r="R1264" s="194">
        <v>0</v>
      </c>
      <c r="S1264" s="193">
        <f t="shared" si="272"/>
        <v>0</v>
      </c>
      <c r="T1264" s="193">
        <f t="shared" si="273"/>
        <v>0</v>
      </c>
      <c r="U1264" s="193">
        <f ca="1">OFFSET('Expenditure Study'!$B$7,'Operations Support'!$C1264,'Operations Support'!$B1264)*$G1264</f>
        <v>0</v>
      </c>
      <c r="V1264" s="199">
        <f ca="1">U1264*'Expenditure Study'!$B$31</f>
        <v>0</v>
      </c>
      <c r="W1264" s="199">
        <f ca="1">IF(A1264=10298,1.51,1)*IF($B1264&lt;3,$D1264*'Expenditure Study'!$B$32*OFFSET('Expenditure Study'!$B$7,'Operations Support'!$C1264,'Operations Support'!$B1264),0)</f>
        <v>0</v>
      </c>
      <c r="X1264" s="200">
        <f ca="1">W1264*'Expenditure Study'!$B$31</f>
        <v>0</v>
      </c>
      <c r="Y1264" s="199">
        <f ca="1">U1264*'Expenditure Study'!$B$31</f>
        <v>0</v>
      </c>
      <c r="Z1264" s="200">
        <f ca="1">W1264*'Expenditure Study'!$B$31</f>
        <v>0</v>
      </c>
      <c r="AA1264" s="195">
        <f t="shared" ca="1" si="274"/>
        <v>0</v>
      </c>
      <c r="AB1264" s="195">
        <f t="shared" ca="1" si="275"/>
        <v>0</v>
      </c>
      <c r="AD1264" s="196">
        <f>IFERROR($G1264/SUMIF($A:$A,$A1264,$G:$G)*SUMIF(Summary!$A$166:$A$242,$A1264,Summary!$P$166:$P$242),0)</f>
        <v>0</v>
      </c>
      <c r="AE1264" s="197">
        <f t="shared" ca="1" si="276"/>
        <v>0</v>
      </c>
      <c r="AF1264" s="196">
        <f>IFERROR(G1264/SUMIF(A:A,A1264,G:G)*SUMIF(Summary!$A$166:$A$242,'Operations Support'!A1264,Summary!$Q$166:$Q$242),0)</f>
        <v>0</v>
      </c>
      <c r="AG1264" s="196">
        <f t="shared" ca="1" si="277"/>
        <v>0</v>
      </c>
      <c r="AI1264" s="196">
        <f>IFERROR($G1264/SUMIF($A:$A,$A1264,$G:$G)*SUMIF(Summary!$A$247:$A$283,$A1264,Summary!$P$247:$P$283),0)</f>
        <v>0</v>
      </c>
      <c r="AJ1264" s="196">
        <f>IFERROR($G1264/SUMIF($A:$A,$A1264,$G:$G)*(SUMIF(Summary!$A$247:$A$283,$A1264,Summary!$L$247:$L$283)+SUMIF(Summary!$A$297:$A$333,$A1264,Summary!$L$297:$L$333))-AI1264,0)</f>
        <v>0</v>
      </c>
      <c r="AK1264" s="196">
        <f>IFERROR($G1264/SUMIF($A:$A,$A1264,$G:$G)*SUMIF(Summary!$A$247:$A$283,$A1264,Summary!$Q$247:$Q$283),0)</f>
        <v>0</v>
      </c>
      <c r="AL1264" s="196">
        <f>IFERROR($G1264/SUMIF($A:$A,$A1264,$G:$G)*(SUMIF(Summary!$A$247:$A$283,$A1264,Summary!$L$247:$L$283)+SUMIF(Summary!$A$297:$A$333,$A1264,Summary!$L$297:$L$333))-AK1264,0)</f>
        <v>0</v>
      </c>
      <c r="AM1264" s="198"/>
      <c r="AN1264" s="196">
        <f t="shared" ca="1" si="278"/>
        <v>0</v>
      </c>
      <c r="AO1264" s="196">
        <f t="shared" ca="1" si="279"/>
        <v>0</v>
      </c>
    </row>
    <row r="1265" spans="1:41">
      <c r="A1265" s="189">
        <v>3631</v>
      </c>
      <c r="B1265" s="190">
        <v>1</v>
      </c>
      <c r="C1265" s="191" t="s">
        <v>220</v>
      </c>
      <c r="D1265" s="192">
        <f t="shared" si="266"/>
        <v>18714</v>
      </c>
      <c r="E1265" s="192">
        <f t="shared" si="267"/>
        <v>55052</v>
      </c>
      <c r="F1265" s="192">
        <f t="shared" si="268"/>
        <v>0</v>
      </c>
      <c r="G1265" s="193">
        <f t="shared" si="269"/>
        <v>73766</v>
      </c>
      <c r="H1265" s="194">
        <v>7047</v>
      </c>
      <c r="I1265" s="194">
        <v>24504</v>
      </c>
      <c r="J1265" s="194">
        <v>0</v>
      </c>
      <c r="K1265" s="193">
        <f t="shared" si="270"/>
        <v>31551</v>
      </c>
      <c r="L1265" s="194">
        <v>8723</v>
      </c>
      <c r="M1265" s="194">
        <v>27449</v>
      </c>
      <c r="N1265" s="194">
        <v>0</v>
      </c>
      <c r="O1265" s="193">
        <f t="shared" si="271"/>
        <v>36172</v>
      </c>
      <c r="P1265" s="194">
        <v>2944</v>
      </c>
      <c r="Q1265" s="194">
        <v>3099</v>
      </c>
      <c r="R1265" s="194">
        <v>0</v>
      </c>
      <c r="S1265" s="193">
        <f t="shared" si="272"/>
        <v>6043</v>
      </c>
      <c r="T1265" s="193">
        <f t="shared" si="273"/>
        <v>2458.8666666666668</v>
      </c>
      <c r="U1265" s="193">
        <f ca="1">OFFSET('Expenditure Study'!$B$7,'Operations Support'!$C1265,'Operations Support'!$B1265)*$G1265</f>
        <v>73766</v>
      </c>
      <c r="V1265" s="199">
        <f ca="1">U1265*'Expenditure Study'!$B$31</f>
        <v>4358329.9148928002</v>
      </c>
      <c r="W1265" s="199">
        <f ca="1">IF(A1265=10298,1.51,1)*IF($B1265&lt;3,$D1265*'Expenditure Study'!$B$32*OFFSET('Expenditure Study'!$B$7,'Operations Support'!$C1265,'Operations Support'!$B1265),0)</f>
        <v>1871.4</v>
      </c>
      <c r="X1265" s="200">
        <f ca="1">W1265*'Expenditure Study'!$B$31</f>
        <v>110568.26454912001</v>
      </c>
      <c r="Y1265" s="199">
        <f ca="1">U1265*'Expenditure Study'!$B$31</f>
        <v>4358329.9148928002</v>
      </c>
      <c r="Z1265" s="200">
        <f ca="1">W1265*'Expenditure Study'!$B$31</f>
        <v>110568.26454912001</v>
      </c>
      <c r="AA1265" s="195">
        <f t="shared" ca="1" si="274"/>
        <v>4468898.1794419205</v>
      </c>
      <c r="AB1265" s="195">
        <f t="shared" ca="1" si="275"/>
        <v>4468898.1794419205</v>
      </c>
      <c r="AD1265" s="196">
        <f>IFERROR($G1265/SUMIF($A:$A,$A1265,$G:$G)*SUMIF(Summary!$A$166:$A$242,$A1265,Summary!$P$166:$P$242),0)</f>
        <v>1545664.0787976263</v>
      </c>
      <c r="AE1265" s="197">
        <f t="shared" ca="1" si="276"/>
        <v>2923234.1006442942</v>
      </c>
      <c r="AF1265" s="196">
        <f>IFERROR(G1265/SUMIF(A:A,A1265,G:G)*SUMIF(Summary!$A$166:$A$242,'Operations Support'!A1265,Summary!$Q$166:$Q$242),0)</f>
        <v>1548153.7005338285</v>
      </c>
      <c r="AG1265" s="196">
        <f t="shared" ca="1" si="277"/>
        <v>2920744.4789080918</v>
      </c>
      <c r="AI1265" s="196">
        <f>IFERROR($G1265/SUMIF($A:$A,$A1265,$G:$G)*SUMIF(Summary!$A$247:$A$283,$A1265,Summary!$P$247:$P$283),0)</f>
        <v>281890.5563555574</v>
      </c>
      <c r="AJ1265" s="196">
        <f>IFERROR($G1265/SUMIF($A:$A,$A1265,$G:$G)*(SUMIF(Summary!$A$247:$A$283,$A1265,Summary!$L$247:$L$283)+SUMIF(Summary!$A$297:$A$333,$A1265,Summary!$L$297:$L$333))-AI1265,0)</f>
        <v>1096902.6653733389</v>
      </c>
      <c r="AK1265" s="196">
        <f>IFERROR($G1265/SUMIF($A:$A,$A1265,$G:$G)*SUMIF(Summary!$A$247:$A$283,$A1265,Summary!$Q$247:$Q$283),0)</f>
        <v>282344.60123242281</v>
      </c>
      <c r="AL1265" s="196">
        <f>IFERROR($G1265/SUMIF($A:$A,$A1265,$G:$G)*(SUMIF(Summary!$A$247:$A$283,$A1265,Summary!$L$247:$L$283)+SUMIF(Summary!$A$297:$A$333,$A1265,Summary!$L$297:$L$333))-AK1265,0)</f>
        <v>1096448.6204964735</v>
      </c>
      <c r="AM1265" s="198"/>
      <c r="AN1265" s="196">
        <f t="shared" ca="1" si="278"/>
        <v>4020136.766017633</v>
      </c>
      <c r="AO1265" s="196">
        <f t="shared" ca="1" si="279"/>
        <v>4017193.0994045651</v>
      </c>
    </row>
    <row r="1266" spans="1:41">
      <c r="A1266" s="189">
        <v>3631</v>
      </c>
      <c r="B1266" s="190">
        <v>1</v>
      </c>
      <c r="C1266" s="191" t="s">
        <v>221</v>
      </c>
      <c r="D1266" s="192">
        <f t="shared" si="266"/>
        <v>8724</v>
      </c>
      <c r="E1266" s="192">
        <f t="shared" si="267"/>
        <v>26361</v>
      </c>
      <c r="F1266" s="192">
        <f t="shared" si="268"/>
        <v>0</v>
      </c>
      <c r="G1266" s="193">
        <f t="shared" si="269"/>
        <v>35085</v>
      </c>
      <c r="H1266" s="194">
        <v>4003</v>
      </c>
      <c r="I1266" s="194">
        <v>11144</v>
      </c>
      <c r="J1266" s="194">
        <v>0</v>
      </c>
      <c r="K1266" s="193">
        <f t="shared" si="270"/>
        <v>15147</v>
      </c>
      <c r="L1266" s="194">
        <v>3772</v>
      </c>
      <c r="M1266" s="194">
        <v>13675</v>
      </c>
      <c r="N1266" s="194">
        <v>0</v>
      </c>
      <c r="O1266" s="193">
        <f t="shared" si="271"/>
        <v>17447</v>
      </c>
      <c r="P1266" s="194">
        <v>949</v>
      </c>
      <c r="Q1266" s="194">
        <v>1542</v>
      </c>
      <c r="R1266" s="194">
        <v>0</v>
      </c>
      <c r="S1266" s="193">
        <f t="shared" si="272"/>
        <v>2491</v>
      </c>
      <c r="T1266" s="193">
        <f t="shared" si="273"/>
        <v>1169.5</v>
      </c>
      <c r="U1266" s="193">
        <f ca="1">OFFSET('Expenditure Study'!$B$7,'Operations Support'!$C1266,'Operations Support'!$B1266)*$G1266</f>
        <v>47013.9</v>
      </c>
      <c r="V1266" s="199">
        <f ca="1">U1266*'Expenditure Study'!$B$31</f>
        <v>2777730.7538131201</v>
      </c>
      <c r="W1266" s="199">
        <f ca="1">IF(A1266=10298,1.51,1)*IF($B1266&lt;3,$D1266*'Expenditure Study'!$B$32*OFFSET('Expenditure Study'!$B$7,'Operations Support'!$C1266,'Operations Support'!$B1266),0)</f>
        <v>1169.0160000000003</v>
      </c>
      <c r="X1266" s="200">
        <f ca="1">W1266*'Expenditure Study'!$B$31</f>
        <v>69069.183686092816</v>
      </c>
      <c r="Y1266" s="199">
        <f ca="1">U1266*'Expenditure Study'!$B$31</f>
        <v>2777730.7538131201</v>
      </c>
      <c r="Z1266" s="200">
        <f ca="1">W1266*'Expenditure Study'!$B$31</f>
        <v>69069.183686092816</v>
      </c>
      <c r="AA1266" s="195">
        <f t="shared" ca="1" si="274"/>
        <v>2846799.937499213</v>
      </c>
      <c r="AB1266" s="195">
        <f t="shared" ca="1" si="275"/>
        <v>2846799.937499213</v>
      </c>
      <c r="AD1266" s="196">
        <f>IFERROR($G1266/SUMIF($A:$A,$A1266,$G:$G)*SUMIF(Summary!$A$166:$A$242,$A1266,Summary!$P$166:$P$242),0)</f>
        <v>735157.44658263586</v>
      </c>
      <c r="AE1266" s="197">
        <f t="shared" ca="1" si="276"/>
        <v>2111642.4909165772</v>
      </c>
      <c r="AF1266" s="196">
        <f>IFERROR(G1266/SUMIF(A:A,A1266,G:G)*SUMIF(Summary!$A$166:$A$242,'Operations Support'!A1266,Summary!$Q$166:$Q$242),0)</f>
        <v>736341.57448186656</v>
      </c>
      <c r="AG1266" s="196">
        <f t="shared" ca="1" si="277"/>
        <v>2110458.3630173467</v>
      </c>
      <c r="AI1266" s="196">
        <f>IFERROR($G1266/SUMIF($A:$A,$A1266,$G:$G)*SUMIF(Summary!$A$247:$A$283,$A1266,Summary!$P$247:$P$283),0)</f>
        <v>134074.37260709173</v>
      </c>
      <c r="AJ1266" s="196">
        <f>IFERROR($G1266/SUMIF($A:$A,$A1266,$G:$G)*(SUMIF(Summary!$A$247:$A$283,$A1266,Summary!$L$247:$L$283)+SUMIF(Summary!$A$297:$A$333,$A1266,Summary!$L$297:$L$333))-AI1266,0)</f>
        <v>521715.0179571021</v>
      </c>
      <c r="AK1266" s="196">
        <f>IFERROR($G1266/SUMIF($A:$A,$A1266,$G:$G)*SUMIF(Summary!$A$247:$A$283,$A1266,Summary!$Q$247:$Q$283),0)</f>
        <v>134290.3279863291</v>
      </c>
      <c r="AL1266" s="196">
        <f>IFERROR($G1266/SUMIF($A:$A,$A1266,$G:$G)*(SUMIF(Summary!$A$247:$A$283,$A1266,Summary!$L$247:$L$283)+SUMIF(Summary!$A$297:$A$333,$A1266,Summary!$L$297:$L$333))-AK1266,0)</f>
        <v>521499.06257786474</v>
      </c>
      <c r="AM1266" s="198"/>
      <c r="AN1266" s="196">
        <f t="shared" ca="1" si="278"/>
        <v>2633357.5088736792</v>
      </c>
      <c r="AO1266" s="196">
        <f t="shared" ca="1" si="279"/>
        <v>2631957.4255952113</v>
      </c>
    </row>
    <row r="1267" spans="1:41">
      <c r="A1267" s="189">
        <v>3631</v>
      </c>
      <c r="B1267" s="190">
        <v>1</v>
      </c>
      <c r="C1267" s="191" t="s">
        <v>222</v>
      </c>
      <c r="D1267" s="192">
        <f t="shared" si="266"/>
        <v>4488</v>
      </c>
      <c r="E1267" s="192">
        <f t="shared" si="267"/>
        <v>4718</v>
      </c>
      <c r="F1267" s="192">
        <f t="shared" si="268"/>
        <v>0</v>
      </c>
      <c r="G1267" s="193">
        <f t="shared" si="269"/>
        <v>9206</v>
      </c>
      <c r="H1267" s="194">
        <v>1771</v>
      </c>
      <c r="I1267" s="194">
        <v>2299</v>
      </c>
      <c r="J1267" s="194">
        <v>0</v>
      </c>
      <c r="K1267" s="193">
        <f t="shared" si="270"/>
        <v>4070</v>
      </c>
      <c r="L1267" s="194">
        <v>1676</v>
      </c>
      <c r="M1267" s="194">
        <v>2419</v>
      </c>
      <c r="N1267" s="194">
        <v>0</v>
      </c>
      <c r="O1267" s="193">
        <f t="shared" si="271"/>
        <v>4095</v>
      </c>
      <c r="P1267" s="194">
        <v>1041</v>
      </c>
      <c r="Q1267" s="194">
        <v>0</v>
      </c>
      <c r="R1267" s="194">
        <v>0</v>
      </c>
      <c r="S1267" s="193">
        <f t="shared" si="272"/>
        <v>1041</v>
      </c>
      <c r="T1267" s="193">
        <f t="shared" si="273"/>
        <v>306.86666666666667</v>
      </c>
      <c r="U1267" s="193">
        <f ca="1">OFFSET('Expenditure Study'!$B$7,'Operations Support'!$C1267,'Operations Support'!$B1267)*$G1267</f>
        <v>12612.220000000001</v>
      </c>
      <c r="V1267" s="199">
        <f ca="1">U1267*'Expenditure Study'!$B$31</f>
        <v>745170.07454937603</v>
      </c>
      <c r="W1267" s="199">
        <f ca="1">IF(A1267=10298,1.51,1)*IF($B1267&lt;3,$D1267*'Expenditure Study'!$B$32*OFFSET('Expenditure Study'!$B$7,'Operations Support'!$C1267,'Operations Support'!$B1267),0)</f>
        <v>614.85600000000011</v>
      </c>
      <c r="X1267" s="200">
        <f ca="1">W1267*'Expenditure Study'!$B$31</f>
        <v>36327.648213964807</v>
      </c>
      <c r="Y1267" s="199">
        <f ca="1">U1267*'Expenditure Study'!$B$31</f>
        <v>745170.07454937603</v>
      </c>
      <c r="Z1267" s="200">
        <f ca="1">W1267*'Expenditure Study'!$B$31</f>
        <v>36327.648213964807</v>
      </c>
      <c r="AA1267" s="195">
        <f t="shared" ca="1" si="274"/>
        <v>781497.7227633408</v>
      </c>
      <c r="AB1267" s="195">
        <f t="shared" ca="1" si="275"/>
        <v>781497.7227633408</v>
      </c>
      <c r="AD1267" s="196">
        <f>IFERROR($G1267/SUMIF($A:$A,$A1267,$G:$G)*SUMIF(Summary!$A$166:$A$242,$A1267,Summary!$P$166:$P$242),0)</f>
        <v>192898.94408549939</v>
      </c>
      <c r="AE1267" s="197">
        <f t="shared" ca="1" si="276"/>
        <v>588598.77867784142</v>
      </c>
      <c r="AF1267" s="196">
        <f>IFERROR(G1267/SUMIF(A:A,A1267,G:G)*SUMIF(Summary!$A$166:$A$242,'Operations Support'!A1267,Summary!$Q$166:$Q$242),0)</f>
        <v>193209.64898617828</v>
      </c>
      <c r="AG1267" s="196">
        <f t="shared" ca="1" si="277"/>
        <v>588288.07377716247</v>
      </c>
      <c r="AI1267" s="196">
        <f>IFERROR($G1267/SUMIF($A:$A,$A1267,$G:$G)*SUMIF(Summary!$A$247:$A$283,$A1267,Summary!$P$247:$P$283),0)</f>
        <v>35179.953661704058</v>
      </c>
      <c r="AJ1267" s="196">
        <f>IFERROR($G1267/SUMIF($A:$A,$A1267,$G:$G)*(SUMIF(Summary!$A$247:$A$283,$A1267,Summary!$L$247:$L$283)+SUMIF(Summary!$A$297:$A$333,$A1267,Summary!$L$297:$L$333))-AI1267,0)</f>
        <v>136893.50022269008</v>
      </c>
      <c r="AK1267" s="196">
        <f>IFERROR($G1267/SUMIF($A:$A,$A1267,$G:$G)*SUMIF(Summary!$A$247:$A$283,$A1267,Summary!$Q$247:$Q$283),0)</f>
        <v>35236.618482033511</v>
      </c>
      <c r="AL1267" s="196">
        <f>IFERROR($G1267/SUMIF($A:$A,$A1267,$G:$G)*(SUMIF(Summary!$A$247:$A$283,$A1267,Summary!$L$247:$L$283)+SUMIF(Summary!$A$297:$A$333,$A1267,Summary!$L$297:$L$333))-AK1267,0)</f>
        <v>136836.83540236062</v>
      </c>
      <c r="AM1267" s="198"/>
      <c r="AN1267" s="196">
        <f t="shared" ca="1" si="278"/>
        <v>725492.27890053147</v>
      </c>
      <c r="AO1267" s="196">
        <f t="shared" ca="1" si="279"/>
        <v>725124.90917952312</v>
      </c>
    </row>
    <row r="1268" spans="1:41">
      <c r="A1268" s="189">
        <v>3631</v>
      </c>
      <c r="B1268" s="190">
        <v>1</v>
      </c>
      <c r="C1268" s="191" t="s">
        <v>223</v>
      </c>
      <c r="D1268" s="192">
        <f t="shared" si="266"/>
        <v>1685</v>
      </c>
      <c r="E1268" s="192">
        <f t="shared" si="267"/>
        <v>4581</v>
      </c>
      <c r="F1268" s="192">
        <f t="shared" si="268"/>
        <v>0</v>
      </c>
      <c r="G1268" s="193">
        <f t="shared" si="269"/>
        <v>6266</v>
      </c>
      <c r="H1268" s="194">
        <v>657</v>
      </c>
      <c r="I1268" s="194">
        <v>2445</v>
      </c>
      <c r="J1268" s="194">
        <v>0</v>
      </c>
      <c r="K1268" s="193">
        <f t="shared" si="270"/>
        <v>3102</v>
      </c>
      <c r="L1268" s="194">
        <v>701</v>
      </c>
      <c r="M1268" s="194">
        <v>1761</v>
      </c>
      <c r="N1268" s="194">
        <v>0</v>
      </c>
      <c r="O1268" s="193">
        <f t="shared" si="271"/>
        <v>2462</v>
      </c>
      <c r="P1268" s="194">
        <v>327</v>
      </c>
      <c r="Q1268" s="194">
        <v>375</v>
      </c>
      <c r="R1268" s="194">
        <v>0</v>
      </c>
      <c r="S1268" s="193">
        <f t="shared" si="272"/>
        <v>702</v>
      </c>
      <c r="T1268" s="193">
        <f t="shared" si="273"/>
        <v>208.86666666666667</v>
      </c>
      <c r="U1268" s="193">
        <f ca="1">OFFSET('Expenditure Study'!$B$7,'Operations Support'!$C1268,'Operations Support'!$B1268)*$G1268</f>
        <v>7895.16</v>
      </c>
      <c r="V1268" s="199">
        <f ca="1">U1268*'Expenditure Study'!$B$31</f>
        <v>466471.16572492803</v>
      </c>
      <c r="W1268" s="199">
        <f ca="1">IF(A1268=10298,1.51,1)*IF($B1268&lt;3,$D1268*'Expenditure Study'!$B$32*OFFSET('Expenditure Study'!$B$7,'Operations Support'!$C1268,'Operations Support'!$B1268),0)</f>
        <v>212.31</v>
      </c>
      <c r="X1268" s="200">
        <f ca="1">W1268*'Expenditure Study'!$B$31</f>
        <v>12543.950115648</v>
      </c>
      <c r="Y1268" s="199">
        <f ca="1">U1268*'Expenditure Study'!$B$31</f>
        <v>466471.16572492803</v>
      </c>
      <c r="Z1268" s="200">
        <f ca="1">W1268*'Expenditure Study'!$B$31</f>
        <v>12543.950115648</v>
      </c>
      <c r="AA1268" s="195">
        <f t="shared" ca="1" si="274"/>
        <v>479015.11584057601</v>
      </c>
      <c r="AB1268" s="195">
        <f t="shared" ca="1" si="275"/>
        <v>479015.11584057601</v>
      </c>
      <c r="AD1268" s="196">
        <f>IFERROR($G1268/SUMIF($A:$A,$A1268,$G:$G)*SUMIF(Summary!$A$166:$A$242,$A1268,Summary!$P$166:$P$242),0)</f>
        <v>131295.3273560438</v>
      </c>
      <c r="AE1268" s="197">
        <f t="shared" ca="1" si="276"/>
        <v>347719.78848453221</v>
      </c>
      <c r="AF1268" s="196">
        <f>IFERROR(G1268/SUMIF(A:A,A1268,G:G)*SUMIF(Summary!$A$166:$A$242,'Operations Support'!A1268,Summary!$Q$166:$Q$242),0)</f>
        <v>131506.8064900492</v>
      </c>
      <c r="AG1268" s="196">
        <f t="shared" ca="1" si="277"/>
        <v>347508.30935052678</v>
      </c>
      <c r="AI1268" s="196">
        <f>IFERROR($G1268/SUMIF($A:$A,$A1268,$G:$G)*SUMIF(Summary!$A$247:$A$283,$A1268,Summary!$P$247:$P$283),0)</f>
        <v>23944.991271370585</v>
      </c>
      <c r="AJ1268" s="196">
        <f>IFERROR($G1268/SUMIF($A:$A,$A1268,$G:$G)*(SUMIF(Summary!$A$247:$A$283,$A1268,Summary!$L$247:$L$283)+SUMIF(Summary!$A$297:$A$333,$A1268,Summary!$L$297:$L$333))-AI1268,0)</f>
        <v>93175.610731628942</v>
      </c>
      <c r="AK1268" s="196">
        <f>IFERROR($G1268/SUMIF($A:$A,$A1268,$G:$G)*SUMIF(Summary!$A$247:$A$283,$A1268,Summary!$Q$247:$Q$283),0)</f>
        <v>23983.55978801021</v>
      </c>
      <c r="AL1268" s="196">
        <f>IFERROR($G1268/SUMIF($A:$A,$A1268,$G:$G)*(SUMIF(Summary!$A$247:$A$283,$A1268,Summary!$L$247:$L$283)+SUMIF(Summary!$A$297:$A$333,$A1268,Summary!$L$297:$L$333))-AK1268,0)</f>
        <v>93137.042214989313</v>
      </c>
      <c r="AM1268" s="198"/>
      <c r="AN1268" s="196">
        <f t="shared" ca="1" si="278"/>
        <v>440895.39921616117</v>
      </c>
      <c r="AO1268" s="196">
        <f t="shared" ca="1" si="279"/>
        <v>440645.35156551609</v>
      </c>
    </row>
    <row r="1269" spans="1:41" s="201" customFormat="1">
      <c r="A1269" s="189">
        <v>3631</v>
      </c>
      <c r="B1269" s="190">
        <v>1</v>
      </c>
      <c r="C1269" s="191" t="s">
        <v>224</v>
      </c>
      <c r="D1269" s="192">
        <f t="shared" si="266"/>
        <v>4405.6000000000204</v>
      </c>
      <c r="E1269" s="192">
        <f t="shared" si="267"/>
        <v>7386.3999999999796</v>
      </c>
      <c r="F1269" s="192">
        <f t="shared" si="268"/>
        <v>0</v>
      </c>
      <c r="G1269" s="193">
        <f t="shared" si="269"/>
        <v>11792</v>
      </c>
      <c r="H1269" s="194">
        <v>1467.6</v>
      </c>
      <c r="I1269" s="194">
        <v>2969.4</v>
      </c>
      <c r="J1269" s="194">
        <v>0</v>
      </c>
      <c r="K1269" s="193">
        <f t="shared" si="270"/>
        <v>4437</v>
      </c>
      <c r="L1269" s="194">
        <v>2551.00000000002</v>
      </c>
      <c r="M1269" s="194">
        <v>4404.99999999998</v>
      </c>
      <c r="N1269" s="194">
        <v>0</v>
      </c>
      <c r="O1269" s="193">
        <f t="shared" si="271"/>
        <v>6956</v>
      </c>
      <c r="P1269" s="194">
        <v>387</v>
      </c>
      <c r="Q1269" s="194">
        <v>12</v>
      </c>
      <c r="R1269" s="194">
        <v>0</v>
      </c>
      <c r="S1269" s="193">
        <f t="shared" si="272"/>
        <v>399</v>
      </c>
      <c r="T1269" s="193">
        <f t="shared" si="273"/>
        <v>393.06666666666666</v>
      </c>
      <c r="U1269" s="193">
        <f ca="1">OFFSET('Expenditure Study'!$B$7,'Operations Support'!$C1269,'Operations Support'!$B1269)*$G1269</f>
        <v>17452.16</v>
      </c>
      <c r="V1269" s="199">
        <f ca="1">U1269*'Expenditure Study'!$B$31</f>
        <v>1031129.124630528</v>
      </c>
      <c r="W1269" s="199">
        <f ca="1">IF(A1269=10298,1.51,1)*IF($B1269&lt;3,$D1269*'Expenditure Study'!$B$32*OFFSET('Expenditure Study'!$B$7,'Operations Support'!$C1269,'Operations Support'!$B1269),0)</f>
        <v>652.028800000003</v>
      </c>
      <c r="X1269" s="200">
        <f ca="1">W1269*'Expenditure Study'!$B$31</f>
        <v>38523.935477207218</v>
      </c>
      <c r="Y1269" s="199">
        <f ca="1">U1269*'Expenditure Study'!$B$31</f>
        <v>1031129.124630528</v>
      </c>
      <c r="Z1269" s="200">
        <f ca="1">W1269*'Expenditure Study'!$B$31</f>
        <v>38523.935477207218</v>
      </c>
      <c r="AA1269" s="195">
        <f t="shared" ca="1" si="274"/>
        <v>1069653.0601077352</v>
      </c>
      <c r="AB1269" s="195">
        <f t="shared" ca="1" si="275"/>
        <v>1069653.0601077352</v>
      </c>
      <c r="AD1269" s="196">
        <f>IFERROR($G1269/SUMIF($A:$A,$A1269,$G:$G)*SUMIF(Summary!$A$166:$A$242,$A1269,Summary!$P$166:$P$242),0)</f>
        <v>247084.98247406137</v>
      </c>
      <c r="AE1269" s="197">
        <f t="shared" ca="1" si="276"/>
        <v>822568.07763367379</v>
      </c>
      <c r="AF1269" s="196">
        <f>IFERROR(G1269/SUMIF(A:A,A1269,G:G)*SUMIF(Summary!$A$166:$A$242,'Operations Support'!A1269,Summary!$Q$166:$Q$242),0)</f>
        <v>247482.96554909996</v>
      </c>
      <c r="AG1269" s="196">
        <f t="shared" ca="1" si="277"/>
        <v>822170.09455863526</v>
      </c>
      <c r="AH1269" s="180"/>
      <c r="AI1269" s="196">
        <f>IFERROR($G1269/SUMIF($A:$A,$A1269,$G:$G)*SUMIF(Summary!$A$247:$A$283,$A1269,Summary!$P$247:$P$283),0)</f>
        <v>45062.134866262677</v>
      </c>
      <c r="AJ1269" s="196">
        <f>IFERROR($G1269/SUMIF($A:$A,$A1269,$G:$G)*(SUMIF(Summary!$A$247:$A$283,$A1269,Summary!$L$247:$L$283)+SUMIF(Summary!$A$297:$A$333,$A1269,Summary!$L$297:$L$333))-AI1269,0)</f>
        <v>175347.39893829694</v>
      </c>
      <c r="AK1269" s="196">
        <f>IFERROR($G1269/SUMIF($A:$A,$A1269,$G:$G)*SUMIF(Summary!$A$247:$A$283,$A1269,Summary!$Q$247:$Q$283),0)</f>
        <v>45134.717047592785</v>
      </c>
      <c r="AL1269" s="196">
        <f>IFERROR($G1269/SUMIF($A:$A,$A1269,$G:$G)*(SUMIF(Summary!$A$247:$A$283,$A1269,Summary!$L$247:$L$283)+SUMIF(Summary!$A$297:$A$333,$A1269,Summary!$L$297:$L$333))-AK1269,0)</f>
        <v>175274.81675696681</v>
      </c>
      <c r="AM1269" s="198"/>
      <c r="AN1269" s="196">
        <f t="shared" ca="1" si="278"/>
        <v>997915.47657197074</v>
      </c>
      <c r="AO1269" s="196">
        <f t="shared" ca="1" si="279"/>
        <v>997444.91131560202</v>
      </c>
    </row>
    <row r="1270" spans="1:41">
      <c r="A1270" s="189">
        <v>3631</v>
      </c>
      <c r="B1270" s="190">
        <v>1</v>
      </c>
      <c r="C1270" s="191" t="s">
        <v>225</v>
      </c>
      <c r="D1270" s="192">
        <f t="shared" si="266"/>
        <v>2675.1</v>
      </c>
      <c r="E1270" s="192">
        <f t="shared" si="267"/>
        <v>4124.8999999999996</v>
      </c>
      <c r="F1270" s="192">
        <f t="shared" si="268"/>
        <v>0</v>
      </c>
      <c r="G1270" s="193">
        <f t="shared" si="269"/>
        <v>6800</v>
      </c>
      <c r="H1270" s="194">
        <v>1019</v>
      </c>
      <c r="I1270" s="194">
        <v>1799</v>
      </c>
      <c r="J1270" s="194">
        <v>0</v>
      </c>
      <c r="K1270" s="193">
        <f t="shared" si="270"/>
        <v>2818</v>
      </c>
      <c r="L1270" s="194">
        <v>1424.1</v>
      </c>
      <c r="M1270" s="194">
        <v>2076.9</v>
      </c>
      <c r="N1270" s="194">
        <v>0</v>
      </c>
      <c r="O1270" s="193">
        <f t="shared" si="271"/>
        <v>3501</v>
      </c>
      <c r="P1270" s="194">
        <v>232</v>
      </c>
      <c r="Q1270" s="194">
        <v>249</v>
      </c>
      <c r="R1270" s="194">
        <v>0</v>
      </c>
      <c r="S1270" s="193">
        <f t="shared" si="272"/>
        <v>481</v>
      </c>
      <c r="T1270" s="193">
        <f t="shared" si="273"/>
        <v>226.66666666666666</v>
      </c>
      <c r="U1270" s="193">
        <f ca="1">OFFSET('Expenditure Study'!$B$7,'Operations Support'!$C1270,'Operations Support'!$B1270)*$G1270</f>
        <v>11968</v>
      </c>
      <c r="V1270" s="199">
        <f ca="1">U1270*'Expenditure Study'!$B$31</f>
        <v>707107.50781440001</v>
      </c>
      <c r="W1270" s="199">
        <f ca="1">IF(A1270=10298,1.51,1)*IF($B1270&lt;3,$D1270*'Expenditure Study'!$B$32*OFFSET('Expenditure Study'!$B$7,'Operations Support'!$C1270,'Operations Support'!$B1270),0)</f>
        <v>470.81759999999997</v>
      </c>
      <c r="X1270" s="200">
        <f ca="1">W1270*'Expenditure Study'!$B$31</f>
        <v>27817.401384622077</v>
      </c>
      <c r="Y1270" s="199">
        <f ca="1">U1270*'Expenditure Study'!$B$31</f>
        <v>707107.50781440001</v>
      </c>
      <c r="Z1270" s="200">
        <f ca="1">W1270*'Expenditure Study'!$B$31</f>
        <v>27817.401384622077</v>
      </c>
      <c r="AA1270" s="195">
        <f t="shared" ca="1" si="274"/>
        <v>734924.90919902211</v>
      </c>
      <c r="AB1270" s="195">
        <f t="shared" ca="1" si="275"/>
        <v>734924.90919902211</v>
      </c>
      <c r="AD1270" s="196">
        <f>IFERROR($G1270/SUMIF($A:$A,$A1270,$G:$G)*SUMIF(Summary!$A$166:$A$242,$A1270,Summary!$P$166:$P$242),0)</f>
        <v>142484.55570078164</v>
      </c>
      <c r="AE1270" s="197">
        <f t="shared" ca="1" si="276"/>
        <v>592440.35349824047</v>
      </c>
      <c r="AF1270" s="196">
        <f>IFERROR(G1270/SUMIF(A:A,A1270,G:G)*SUMIF(Summary!$A$166:$A$242,'Operations Support'!A1270,Summary!$Q$166:$Q$242),0)</f>
        <v>142714.05747403999</v>
      </c>
      <c r="AG1270" s="196">
        <f t="shared" ca="1" si="277"/>
        <v>592210.85172498215</v>
      </c>
      <c r="AI1270" s="196">
        <f>IFERROR($G1270/SUMIF($A:$A,$A1270,$G:$G)*SUMIF(Summary!$A$247:$A$283,$A1270,Summary!$P$247:$P$283),0)</f>
        <v>25985.627297369927</v>
      </c>
      <c r="AJ1270" s="196">
        <f>IFERROR($G1270/SUMIF($A:$A,$A1270,$G:$G)*(SUMIF(Summary!$A$247:$A$283,$A1270,Summary!$L$247:$L$283)+SUMIF(Summary!$A$297:$A$333,$A1270,Summary!$L$297:$L$333))-AI1270,0)</f>
        <v>101116.2069861278</v>
      </c>
      <c r="AK1270" s="196">
        <f>IFERROR($G1270/SUMIF($A:$A,$A1270,$G:$G)*SUMIF(Summary!$A$247:$A$283,$A1270,Summary!$Q$247:$Q$283),0)</f>
        <v>26027.482693659338</v>
      </c>
      <c r="AL1270" s="196">
        <f>IFERROR($G1270/SUMIF($A:$A,$A1270,$G:$G)*(SUMIF(Summary!$A$247:$A$283,$A1270,Summary!$L$247:$L$283)+SUMIF(Summary!$A$297:$A$333,$A1270,Summary!$L$297:$L$333))-AK1270,0)</f>
        <v>101074.35158983839</v>
      </c>
      <c r="AM1270" s="198"/>
      <c r="AN1270" s="196">
        <f t="shared" ca="1" si="278"/>
        <v>693556.56048436824</v>
      </c>
      <c r="AO1270" s="196">
        <f t="shared" ca="1" si="279"/>
        <v>693285.20331482054</v>
      </c>
    </row>
    <row r="1271" spans="1:41">
      <c r="A1271" s="189">
        <v>3631</v>
      </c>
      <c r="B1271" s="190">
        <v>1</v>
      </c>
      <c r="C1271" s="191" t="s">
        <v>226</v>
      </c>
      <c r="D1271" s="192">
        <f t="shared" si="266"/>
        <v>270</v>
      </c>
      <c r="E1271" s="192">
        <f t="shared" si="267"/>
        <v>2079</v>
      </c>
      <c r="F1271" s="192">
        <f t="shared" si="268"/>
        <v>0</v>
      </c>
      <c r="G1271" s="193">
        <f t="shared" si="269"/>
        <v>2349</v>
      </c>
      <c r="H1271" s="194">
        <v>126</v>
      </c>
      <c r="I1271" s="194">
        <v>741</v>
      </c>
      <c r="J1271" s="194">
        <v>0</v>
      </c>
      <c r="K1271" s="193">
        <f t="shared" si="270"/>
        <v>867</v>
      </c>
      <c r="L1271" s="194">
        <v>126</v>
      </c>
      <c r="M1271" s="194">
        <v>1239</v>
      </c>
      <c r="N1271" s="194">
        <v>0</v>
      </c>
      <c r="O1271" s="193">
        <f t="shared" si="271"/>
        <v>1365</v>
      </c>
      <c r="P1271" s="194">
        <v>18</v>
      </c>
      <c r="Q1271" s="194">
        <v>99</v>
      </c>
      <c r="R1271" s="194">
        <v>0</v>
      </c>
      <c r="S1271" s="193">
        <f t="shared" si="272"/>
        <v>117</v>
      </c>
      <c r="T1271" s="193">
        <f t="shared" si="273"/>
        <v>78.3</v>
      </c>
      <c r="U1271" s="193">
        <f ca="1">OFFSET('Expenditure Study'!$B$7,'Operations Support'!$C1271,'Operations Support'!$B1271)*$G1271</f>
        <v>2231.5499999999997</v>
      </c>
      <c r="V1271" s="199">
        <f ca="1">U1271*'Expenditure Study'!$B$31</f>
        <v>131847.07211424</v>
      </c>
      <c r="W1271" s="199">
        <f ca="1">IF(A1271=10298,1.51,1)*IF($B1271&lt;3,$D1271*'Expenditure Study'!$B$32*OFFSET('Expenditure Study'!$B$7,'Operations Support'!$C1271,'Operations Support'!$B1271),0)</f>
        <v>25.65</v>
      </c>
      <c r="X1271" s="200">
        <f ca="1">W1271*'Expenditure Study'!$B$31</f>
        <v>1515.4835875199999</v>
      </c>
      <c r="Y1271" s="199">
        <f ca="1">U1271*'Expenditure Study'!$B$31</f>
        <v>131847.07211424</v>
      </c>
      <c r="Z1271" s="200">
        <f ca="1">W1271*'Expenditure Study'!$B$31</f>
        <v>1515.4835875199999</v>
      </c>
      <c r="AA1271" s="195">
        <f t="shared" ca="1" si="274"/>
        <v>133362.55570175999</v>
      </c>
      <c r="AB1271" s="195">
        <f t="shared" ca="1" si="275"/>
        <v>133362.55570175999</v>
      </c>
      <c r="AD1271" s="196">
        <f>IFERROR($G1271/SUMIF($A:$A,$A1271,$G:$G)*SUMIF(Summary!$A$166:$A$242,$A1271,Summary!$P$166:$P$242),0)</f>
        <v>49220.032550167074</v>
      </c>
      <c r="AE1271" s="197">
        <f t="shared" ca="1" si="276"/>
        <v>84142.523151592919</v>
      </c>
      <c r="AF1271" s="196">
        <f>IFERROR(G1271/SUMIF(A:A,A1271,G:G)*SUMIF(Summary!$A$166:$A$242,'Operations Support'!A1271,Summary!$Q$166:$Q$242),0)</f>
        <v>49299.311912723519</v>
      </c>
      <c r="AG1271" s="196">
        <f t="shared" ca="1" si="277"/>
        <v>84063.243789036467</v>
      </c>
      <c r="AI1271" s="196">
        <f>IFERROR($G1271/SUMIF($A:$A,$A1271,$G:$G)*SUMIF(Summary!$A$247:$A$283,$A1271,Summary!$P$247:$P$283),0)</f>
        <v>8976.5056649297003</v>
      </c>
      <c r="AJ1271" s="196">
        <f>IFERROR($G1271/SUMIF($A:$A,$A1271,$G:$G)*(SUMIF(Summary!$A$247:$A$283,$A1271,Summary!$L$247:$L$283)+SUMIF(Summary!$A$297:$A$333,$A1271,Summary!$L$297:$L$333))-AI1271,0)</f>
        <v>34929.701501531497</v>
      </c>
      <c r="AK1271" s="196">
        <f>IFERROR($G1271/SUMIF($A:$A,$A1271,$G:$G)*SUMIF(Summary!$A$247:$A$283,$A1271,Summary!$Q$247:$Q$283),0)</f>
        <v>8990.9642422655579</v>
      </c>
      <c r="AL1271" s="196">
        <f>IFERROR($G1271/SUMIF($A:$A,$A1271,$G:$G)*(SUMIF(Summary!$A$247:$A$283,$A1271,Summary!$L$247:$L$283)+SUMIF(Summary!$A$297:$A$333,$A1271,Summary!$L$297:$L$333))-AK1271,0)</f>
        <v>34915.242924195642</v>
      </c>
      <c r="AM1271" s="198"/>
      <c r="AN1271" s="196">
        <f t="shared" ca="1" si="278"/>
        <v>119072.22465312442</v>
      </c>
      <c r="AO1271" s="196">
        <f t="shared" ca="1" si="279"/>
        <v>118978.48671323211</v>
      </c>
    </row>
    <row r="1272" spans="1:41">
      <c r="A1272" s="189">
        <v>3631</v>
      </c>
      <c r="B1272" s="190">
        <v>1</v>
      </c>
      <c r="C1272" s="191" t="s">
        <v>227</v>
      </c>
      <c r="D1272" s="192">
        <f t="shared" si="266"/>
        <v>0</v>
      </c>
      <c r="E1272" s="192">
        <f t="shared" si="267"/>
        <v>0</v>
      </c>
      <c r="F1272" s="192">
        <f t="shared" si="268"/>
        <v>0</v>
      </c>
      <c r="G1272" s="193">
        <f t="shared" si="269"/>
        <v>0</v>
      </c>
      <c r="H1272" s="194">
        <v>0</v>
      </c>
      <c r="I1272" s="194">
        <v>0</v>
      </c>
      <c r="J1272" s="194">
        <v>0</v>
      </c>
      <c r="K1272" s="193">
        <f t="shared" si="270"/>
        <v>0</v>
      </c>
      <c r="L1272" s="194">
        <v>0</v>
      </c>
      <c r="M1272" s="194">
        <v>0</v>
      </c>
      <c r="N1272" s="194">
        <v>0</v>
      </c>
      <c r="O1272" s="193">
        <f t="shared" si="271"/>
        <v>0</v>
      </c>
      <c r="P1272" s="194">
        <v>0</v>
      </c>
      <c r="Q1272" s="194">
        <v>0</v>
      </c>
      <c r="R1272" s="194">
        <v>0</v>
      </c>
      <c r="S1272" s="193">
        <f t="shared" si="272"/>
        <v>0</v>
      </c>
      <c r="T1272" s="193">
        <f t="shared" si="273"/>
        <v>0</v>
      </c>
      <c r="U1272" s="193">
        <f ca="1">OFFSET('Expenditure Study'!$B$7,'Operations Support'!$C1272,'Operations Support'!$B1272)*$G1272</f>
        <v>0</v>
      </c>
      <c r="V1272" s="199">
        <f ca="1">U1272*'Expenditure Study'!$B$31</f>
        <v>0</v>
      </c>
      <c r="W1272" s="199">
        <f ca="1">IF(A1272=10298,1.51,1)*IF($B1272&lt;3,$D1272*'Expenditure Study'!$B$32*OFFSET('Expenditure Study'!$B$7,'Operations Support'!$C1272,'Operations Support'!$B1272),0)</f>
        <v>0</v>
      </c>
      <c r="X1272" s="200">
        <f ca="1">W1272*'Expenditure Study'!$B$31</f>
        <v>0</v>
      </c>
      <c r="Y1272" s="199">
        <f ca="1">U1272*'Expenditure Study'!$B$31</f>
        <v>0</v>
      </c>
      <c r="Z1272" s="200">
        <f ca="1">W1272*'Expenditure Study'!$B$31</f>
        <v>0</v>
      </c>
      <c r="AA1272" s="195">
        <f t="shared" ca="1" si="274"/>
        <v>0</v>
      </c>
      <c r="AB1272" s="195">
        <f t="shared" ca="1" si="275"/>
        <v>0</v>
      </c>
      <c r="AD1272" s="196">
        <f>IFERROR($G1272/SUMIF($A:$A,$A1272,$G:$G)*SUMIF(Summary!$A$166:$A$242,$A1272,Summary!$P$166:$P$242),0)</f>
        <v>0</v>
      </c>
      <c r="AE1272" s="197">
        <f t="shared" ca="1" si="276"/>
        <v>0</v>
      </c>
      <c r="AF1272" s="196">
        <f>IFERROR(G1272/SUMIF(A:A,A1272,G:G)*SUMIF(Summary!$A$166:$A$242,'Operations Support'!A1272,Summary!$Q$166:$Q$242),0)</f>
        <v>0</v>
      </c>
      <c r="AG1272" s="196">
        <f t="shared" ca="1" si="277"/>
        <v>0</v>
      </c>
      <c r="AI1272" s="196">
        <f>IFERROR($G1272/SUMIF($A:$A,$A1272,$G:$G)*SUMIF(Summary!$A$247:$A$283,$A1272,Summary!$P$247:$P$283),0)</f>
        <v>0</v>
      </c>
      <c r="AJ1272" s="196">
        <f>IFERROR($G1272/SUMIF($A:$A,$A1272,$G:$G)*(SUMIF(Summary!$A$247:$A$283,$A1272,Summary!$L$247:$L$283)+SUMIF(Summary!$A$297:$A$333,$A1272,Summary!$L$297:$L$333))-AI1272,0)</f>
        <v>0</v>
      </c>
      <c r="AK1272" s="196">
        <f>IFERROR($G1272/SUMIF($A:$A,$A1272,$G:$G)*SUMIF(Summary!$A$247:$A$283,$A1272,Summary!$Q$247:$Q$283),0)</f>
        <v>0</v>
      </c>
      <c r="AL1272" s="196">
        <f>IFERROR($G1272/SUMIF($A:$A,$A1272,$G:$G)*(SUMIF(Summary!$A$247:$A$283,$A1272,Summary!$L$247:$L$283)+SUMIF(Summary!$A$297:$A$333,$A1272,Summary!$L$297:$L$333))-AK1272,0)</f>
        <v>0</v>
      </c>
      <c r="AM1272" s="198"/>
      <c r="AN1272" s="196">
        <f t="shared" ca="1" si="278"/>
        <v>0</v>
      </c>
      <c r="AO1272" s="196">
        <f t="shared" ca="1" si="279"/>
        <v>0</v>
      </c>
    </row>
    <row r="1273" spans="1:41">
      <c r="A1273" s="189">
        <v>3631</v>
      </c>
      <c r="B1273" s="190">
        <v>1</v>
      </c>
      <c r="C1273" s="191" t="s">
        <v>228</v>
      </c>
      <c r="D1273" s="192">
        <f t="shared" si="266"/>
        <v>163.5</v>
      </c>
      <c r="E1273" s="192">
        <f t="shared" si="267"/>
        <v>445.5</v>
      </c>
      <c r="F1273" s="192">
        <f t="shared" si="268"/>
        <v>0</v>
      </c>
      <c r="G1273" s="193">
        <f t="shared" si="269"/>
        <v>609</v>
      </c>
      <c r="H1273" s="194">
        <v>103.5</v>
      </c>
      <c r="I1273" s="194">
        <v>193.5</v>
      </c>
      <c r="J1273" s="194">
        <v>0</v>
      </c>
      <c r="K1273" s="193">
        <f t="shared" si="270"/>
        <v>297</v>
      </c>
      <c r="L1273" s="194">
        <v>30</v>
      </c>
      <c r="M1273" s="194">
        <v>246</v>
      </c>
      <c r="N1273" s="194">
        <v>0</v>
      </c>
      <c r="O1273" s="193">
        <f t="shared" si="271"/>
        <v>276</v>
      </c>
      <c r="P1273" s="194">
        <v>30</v>
      </c>
      <c r="Q1273" s="194">
        <v>6</v>
      </c>
      <c r="R1273" s="194">
        <v>0</v>
      </c>
      <c r="S1273" s="193">
        <f t="shared" si="272"/>
        <v>36</v>
      </c>
      <c r="T1273" s="193">
        <f t="shared" si="273"/>
        <v>20.3</v>
      </c>
      <c r="U1273" s="193">
        <f ca="1">OFFSET('Expenditure Study'!$B$7,'Operations Support'!$C1273,'Operations Support'!$B1273)*$G1273</f>
        <v>962.22</v>
      </c>
      <c r="V1273" s="199">
        <f ca="1">U1273*'Expenditure Study'!$B$31</f>
        <v>56851.018229376001</v>
      </c>
      <c r="W1273" s="199">
        <f ca="1">IF(A1273=10298,1.51,1)*IF($B1273&lt;3,$D1273*'Expenditure Study'!$B$32*OFFSET('Expenditure Study'!$B$7,'Operations Support'!$C1273,'Operations Support'!$B1273),0)</f>
        <v>25.833000000000002</v>
      </c>
      <c r="X1273" s="200">
        <f ca="1">W1273*'Expenditure Study'!$B$31</f>
        <v>1526.2958096064001</v>
      </c>
      <c r="Y1273" s="199">
        <f ca="1">U1273*'Expenditure Study'!$B$31</f>
        <v>56851.018229376001</v>
      </c>
      <c r="Z1273" s="200">
        <f ca="1">W1273*'Expenditure Study'!$B$31</f>
        <v>1526.2958096064001</v>
      </c>
      <c r="AA1273" s="195">
        <f t="shared" ca="1" si="274"/>
        <v>58377.314038982404</v>
      </c>
      <c r="AB1273" s="195">
        <f t="shared" ca="1" si="275"/>
        <v>58377.314038982404</v>
      </c>
      <c r="AD1273" s="196">
        <f>IFERROR($G1273/SUMIF($A:$A,$A1273,$G:$G)*SUMIF(Summary!$A$166:$A$242,$A1273,Summary!$P$166:$P$242),0)</f>
        <v>12760.749179672945</v>
      </c>
      <c r="AE1273" s="197">
        <f t="shared" ca="1" si="276"/>
        <v>45616.564859309459</v>
      </c>
      <c r="AF1273" s="196">
        <f>IFERROR(G1273/SUMIF(A:A,A1273,G:G)*SUMIF(Summary!$A$166:$A$242,'Operations Support'!A1273,Summary!$Q$166:$Q$242),0)</f>
        <v>12781.303088483875</v>
      </c>
      <c r="AG1273" s="196">
        <f t="shared" ca="1" si="277"/>
        <v>45596.01095049853</v>
      </c>
      <c r="AI1273" s="196">
        <f>IFERROR($G1273/SUMIF($A:$A,$A1273,$G:$G)*SUMIF(Summary!$A$247:$A$283,$A1273,Summary!$P$247:$P$283),0)</f>
        <v>2327.2422094262188</v>
      </c>
      <c r="AJ1273" s="196">
        <f>IFERROR($G1273/SUMIF($A:$A,$A1273,$G:$G)*(SUMIF(Summary!$A$247:$A$283,$A1273,Summary!$L$247:$L$283)+SUMIF(Summary!$A$297:$A$333,$A1273,Summary!$L$297:$L$333))-AI1273,0)</f>
        <v>9055.8485374340944</v>
      </c>
      <c r="AK1273" s="196">
        <f>IFERROR($G1273/SUMIF($A:$A,$A1273,$G:$G)*SUMIF(Summary!$A$247:$A$283,$A1273,Summary!$Q$247:$Q$283),0)</f>
        <v>2330.9907294762556</v>
      </c>
      <c r="AL1273" s="196">
        <f>IFERROR($G1273/SUMIF($A:$A,$A1273,$G:$G)*(SUMIF(Summary!$A$247:$A$283,$A1273,Summary!$L$247:$L$283)+SUMIF(Summary!$A$297:$A$333,$A1273,Summary!$L$297:$L$333))-AK1273,0)</f>
        <v>9052.1000173840566</v>
      </c>
      <c r="AM1273" s="198"/>
      <c r="AN1273" s="196">
        <f t="shared" ca="1" si="278"/>
        <v>54672.413396743555</v>
      </c>
      <c r="AO1273" s="196">
        <f t="shared" ca="1" si="279"/>
        <v>54648.110967882589</v>
      </c>
    </row>
    <row r="1274" spans="1:41">
      <c r="A1274" s="189">
        <v>3631</v>
      </c>
      <c r="B1274" s="190">
        <v>1</v>
      </c>
      <c r="C1274" s="191" t="s">
        <v>229</v>
      </c>
      <c r="D1274" s="192">
        <f t="shared" si="266"/>
        <v>0</v>
      </c>
      <c r="E1274" s="192">
        <f t="shared" si="267"/>
        <v>0</v>
      </c>
      <c r="F1274" s="192">
        <f t="shared" si="268"/>
        <v>0</v>
      </c>
      <c r="G1274" s="193">
        <f t="shared" si="269"/>
        <v>0</v>
      </c>
      <c r="H1274" s="194">
        <v>0</v>
      </c>
      <c r="I1274" s="194">
        <v>0</v>
      </c>
      <c r="J1274" s="194">
        <v>0</v>
      </c>
      <c r="K1274" s="193">
        <f t="shared" si="270"/>
        <v>0</v>
      </c>
      <c r="L1274" s="194">
        <v>0</v>
      </c>
      <c r="M1274" s="194">
        <v>0</v>
      </c>
      <c r="N1274" s="194">
        <v>0</v>
      </c>
      <c r="O1274" s="193">
        <f t="shared" si="271"/>
        <v>0</v>
      </c>
      <c r="P1274" s="194">
        <v>0</v>
      </c>
      <c r="Q1274" s="194">
        <v>0</v>
      </c>
      <c r="R1274" s="194">
        <v>0</v>
      </c>
      <c r="S1274" s="193">
        <f t="shared" si="272"/>
        <v>0</v>
      </c>
      <c r="T1274" s="193">
        <f t="shared" si="273"/>
        <v>0</v>
      </c>
      <c r="U1274" s="193">
        <f ca="1">OFFSET('Expenditure Study'!$B$7,'Operations Support'!$C1274,'Operations Support'!$B1274)*$G1274</f>
        <v>0</v>
      </c>
      <c r="V1274" s="199">
        <f ca="1">U1274*'Expenditure Study'!$B$31</f>
        <v>0</v>
      </c>
      <c r="W1274" s="199">
        <f ca="1">IF(A1274=10298,1.51,1)*IF($B1274&lt;3,$D1274*'Expenditure Study'!$B$32*OFFSET('Expenditure Study'!$B$7,'Operations Support'!$C1274,'Operations Support'!$B1274),0)</f>
        <v>0</v>
      </c>
      <c r="X1274" s="200">
        <f ca="1">W1274*'Expenditure Study'!$B$31</f>
        <v>0</v>
      </c>
      <c r="Y1274" s="199">
        <f ca="1">U1274*'Expenditure Study'!$B$31</f>
        <v>0</v>
      </c>
      <c r="Z1274" s="200">
        <f ca="1">W1274*'Expenditure Study'!$B$31</f>
        <v>0</v>
      </c>
      <c r="AA1274" s="195">
        <f t="shared" ca="1" si="274"/>
        <v>0</v>
      </c>
      <c r="AB1274" s="195">
        <f t="shared" ca="1" si="275"/>
        <v>0</v>
      </c>
      <c r="AD1274" s="196">
        <f>IFERROR($G1274/SUMIF($A:$A,$A1274,$G:$G)*SUMIF(Summary!$A$166:$A$242,$A1274,Summary!$P$166:$P$242),0)</f>
        <v>0</v>
      </c>
      <c r="AE1274" s="197">
        <f t="shared" ca="1" si="276"/>
        <v>0</v>
      </c>
      <c r="AF1274" s="196">
        <f>IFERROR(G1274/SUMIF(A:A,A1274,G:G)*SUMIF(Summary!$A$166:$A$242,'Operations Support'!A1274,Summary!$Q$166:$Q$242),0)</f>
        <v>0</v>
      </c>
      <c r="AG1274" s="196">
        <f t="shared" ca="1" si="277"/>
        <v>0</v>
      </c>
      <c r="AI1274" s="196">
        <f>IFERROR($G1274/SUMIF($A:$A,$A1274,$G:$G)*SUMIF(Summary!$A$247:$A$283,$A1274,Summary!$P$247:$P$283),0)</f>
        <v>0</v>
      </c>
      <c r="AJ1274" s="196">
        <f>IFERROR($G1274/SUMIF($A:$A,$A1274,$G:$G)*(SUMIF(Summary!$A$247:$A$283,$A1274,Summary!$L$247:$L$283)+SUMIF(Summary!$A$297:$A$333,$A1274,Summary!$L$297:$L$333))-AI1274,0)</f>
        <v>0</v>
      </c>
      <c r="AK1274" s="196">
        <f>IFERROR($G1274/SUMIF($A:$A,$A1274,$G:$G)*SUMIF(Summary!$A$247:$A$283,$A1274,Summary!$Q$247:$Q$283),0)</f>
        <v>0</v>
      </c>
      <c r="AL1274" s="196">
        <f>IFERROR($G1274/SUMIF($A:$A,$A1274,$G:$G)*(SUMIF(Summary!$A$247:$A$283,$A1274,Summary!$L$247:$L$283)+SUMIF(Summary!$A$297:$A$333,$A1274,Summary!$L$297:$L$333))-AK1274,0)</f>
        <v>0</v>
      </c>
      <c r="AM1274" s="198"/>
      <c r="AN1274" s="196">
        <f t="shared" ca="1" si="278"/>
        <v>0</v>
      </c>
      <c r="AO1274" s="196">
        <f t="shared" ca="1" si="279"/>
        <v>0</v>
      </c>
    </row>
    <row r="1275" spans="1:41">
      <c r="A1275" s="189">
        <v>3631</v>
      </c>
      <c r="B1275" s="190">
        <v>1</v>
      </c>
      <c r="C1275" s="191" t="s">
        <v>230</v>
      </c>
      <c r="D1275" s="192">
        <f t="shared" si="266"/>
        <v>0</v>
      </c>
      <c r="E1275" s="192">
        <f t="shared" si="267"/>
        <v>0</v>
      </c>
      <c r="F1275" s="192">
        <f t="shared" si="268"/>
        <v>0</v>
      </c>
      <c r="G1275" s="193">
        <f t="shared" si="269"/>
        <v>0</v>
      </c>
      <c r="H1275" s="194">
        <v>0</v>
      </c>
      <c r="I1275" s="194">
        <v>0</v>
      </c>
      <c r="J1275" s="194">
        <v>0</v>
      </c>
      <c r="K1275" s="193">
        <f t="shared" si="270"/>
        <v>0</v>
      </c>
      <c r="L1275" s="194">
        <v>0</v>
      </c>
      <c r="M1275" s="194">
        <v>0</v>
      </c>
      <c r="N1275" s="194">
        <v>0</v>
      </c>
      <c r="O1275" s="193">
        <f t="shared" si="271"/>
        <v>0</v>
      </c>
      <c r="P1275" s="194">
        <v>0</v>
      </c>
      <c r="Q1275" s="194">
        <v>0</v>
      </c>
      <c r="R1275" s="194">
        <v>0</v>
      </c>
      <c r="S1275" s="193">
        <f t="shared" si="272"/>
        <v>0</v>
      </c>
      <c r="T1275" s="193">
        <f t="shared" si="273"/>
        <v>0</v>
      </c>
      <c r="U1275" s="193">
        <f ca="1">OFFSET('Expenditure Study'!$B$7,'Operations Support'!$C1275,'Operations Support'!$B1275)*$G1275</f>
        <v>0</v>
      </c>
      <c r="V1275" s="199">
        <f ca="1">U1275*'Expenditure Study'!$B$31</f>
        <v>0</v>
      </c>
      <c r="W1275" s="199">
        <f ca="1">IF(A1275=10298,1.51,1)*IF($B1275&lt;3,$D1275*'Expenditure Study'!$B$32*OFFSET('Expenditure Study'!$B$7,'Operations Support'!$C1275,'Operations Support'!$B1275),0)</f>
        <v>0</v>
      </c>
      <c r="X1275" s="200">
        <f ca="1">W1275*'Expenditure Study'!$B$31</f>
        <v>0</v>
      </c>
      <c r="Y1275" s="199">
        <f ca="1">U1275*'Expenditure Study'!$B$31</f>
        <v>0</v>
      </c>
      <c r="Z1275" s="200">
        <f ca="1">W1275*'Expenditure Study'!$B$31</f>
        <v>0</v>
      </c>
      <c r="AA1275" s="195">
        <f t="shared" ca="1" si="274"/>
        <v>0</v>
      </c>
      <c r="AB1275" s="195">
        <f t="shared" ca="1" si="275"/>
        <v>0</v>
      </c>
      <c r="AD1275" s="196">
        <f>IFERROR($G1275/SUMIF($A:$A,$A1275,$G:$G)*SUMIF(Summary!$A$166:$A$242,$A1275,Summary!$P$166:$P$242),0)</f>
        <v>0</v>
      </c>
      <c r="AE1275" s="197">
        <f t="shared" ca="1" si="276"/>
        <v>0</v>
      </c>
      <c r="AF1275" s="196">
        <f>IFERROR(G1275/SUMIF(A:A,A1275,G:G)*SUMIF(Summary!$A$166:$A$242,'Operations Support'!A1275,Summary!$Q$166:$Q$242),0)</f>
        <v>0</v>
      </c>
      <c r="AG1275" s="196">
        <f t="shared" ca="1" si="277"/>
        <v>0</v>
      </c>
      <c r="AI1275" s="196">
        <f>IFERROR($G1275/SUMIF($A:$A,$A1275,$G:$G)*SUMIF(Summary!$A$247:$A$283,$A1275,Summary!$P$247:$P$283),0)</f>
        <v>0</v>
      </c>
      <c r="AJ1275" s="196">
        <f>IFERROR($G1275/SUMIF($A:$A,$A1275,$G:$G)*(SUMIF(Summary!$A$247:$A$283,$A1275,Summary!$L$247:$L$283)+SUMIF(Summary!$A$297:$A$333,$A1275,Summary!$L$297:$L$333))-AI1275,0)</f>
        <v>0</v>
      </c>
      <c r="AK1275" s="196">
        <f>IFERROR($G1275/SUMIF($A:$A,$A1275,$G:$G)*SUMIF(Summary!$A$247:$A$283,$A1275,Summary!$Q$247:$Q$283),0)</f>
        <v>0</v>
      </c>
      <c r="AL1275" s="196">
        <f>IFERROR($G1275/SUMIF($A:$A,$A1275,$G:$G)*(SUMIF(Summary!$A$247:$A$283,$A1275,Summary!$L$247:$L$283)+SUMIF(Summary!$A$297:$A$333,$A1275,Summary!$L$297:$L$333))-AK1275,0)</f>
        <v>0</v>
      </c>
      <c r="AM1275" s="198"/>
      <c r="AN1275" s="196">
        <f t="shared" ca="1" si="278"/>
        <v>0</v>
      </c>
      <c r="AO1275" s="196">
        <f t="shared" ca="1" si="279"/>
        <v>0</v>
      </c>
    </row>
    <row r="1276" spans="1:41">
      <c r="A1276" s="189">
        <v>3631</v>
      </c>
      <c r="B1276" s="190">
        <v>1</v>
      </c>
      <c r="C1276" s="191" t="s">
        <v>231</v>
      </c>
      <c r="D1276" s="192">
        <f t="shared" si="266"/>
        <v>0</v>
      </c>
      <c r="E1276" s="192">
        <f t="shared" si="267"/>
        <v>0</v>
      </c>
      <c r="F1276" s="192">
        <f t="shared" si="268"/>
        <v>0</v>
      </c>
      <c r="G1276" s="193">
        <f t="shared" si="269"/>
        <v>0</v>
      </c>
      <c r="H1276" s="194">
        <v>0</v>
      </c>
      <c r="I1276" s="194">
        <v>0</v>
      </c>
      <c r="J1276" s="194">
        <v>0</v>
      </c>
      <c r="K1276" s="193">
        <f t="shared" si="270"/>
        <v>0</v>
      </c>
      <c r="L1276" s="194">
        <v>0</v>
      </c>
      <c r="M1276" s="194">
        <v>0</v>
      </c>
      <c r="N1276" s="194">
        <v>0</v>
      </c>
      <c r="O1276" s="193">
        <f t="shared" si="271"/>
        <v>0</v>
      </c>
      <c r="P1276" s="194">
        <v>0</v>
      </c>
      <c r="Q1276" s="194">
        <v>0</v>
      </c>
      <c r="R1276" s="194">
        <v>0</v>
      </c>
      <c r="S1276" s="193">
        <f t="shared" si="272"/>
        <v>0</v>
      </c>
      <c r="T1276" s="193">
        <f t="shared" si="273"/>
        <v>0</v>
      </c>
      <c r="U1276" s="193">
        <f ca="1">OFFSET('Expenditure Study'!$B$7,'Operations Support'!$C1276,'Operations Support'!$B1276)*$G1276</f>
        <v>0</v>
      </c>
      <c r="V1276" s="199">
        <f ca="1">U1276*'Expenditure Study'!$B$31</f>
        <v>0</v>
      </c>
      <c r="W1276" s="199">
        <f ca="1">IF(A1276=10298,1.51,1)*IF($B1276&lt;3,$D1276*'Expenditure Study'!$B$32*OFFSET('Expenditure Study'!$B$7,'Operations Support'!$C1276,'Operations Support'!$B1276),0)</f>
        <v>0</v>
      </c>
      <c r="X1276" s="200">
        <f ca="1">W1276*'Expenditure Study'!$B$31</f>
        <v>0</v>
      </c>
      <c r="Y1276" s="199">
        <f ca="1">U1276*'Expenditure Study'!$B$31</f>
        <v>0</v>
      </c>
      <c r="Z1276" s="200">
        <f ca="1">W1276*'Expenditure Study'!$B$31</f>
        <v>0</v>
      </c>
      <c r="AA1276" s="195">
        <f t="shared" ca="1" si="274"/>
        <v>0</v>
      </c>
      <c r="AB1276" s="195">
        <f t="shared" ca="1" si="275"/>
        <v>0</v>
      </c>
      <c r="AD1276" s="196">
        <f>IFERROR($G1276/SUMIF($A:$A,$A1276,$G:$G)*SUMIF(Summary!$A$166:$A$242,$A1276,Summary!$P$166:$P$242),0)</f>
        <v>0</v>
      </c>
      <c r="AE1276" s="197">
        <f t="shared" ca="1" si="276"/>
        <v>0</v>
      </c>
      <c r="AF1276" s="196">
        <f>IFERROR(G1276/SUMIF(A:A,A1276,G:G)*SUMIF(Summary!$A$166:$A$242,'Operations Support'!A1276,Summary!$Q$166:$Q$242),0)</f>
        <v>0</v>
      </c>
      <c r="AG1276" s="196">
        <f t="shared" ca="1" si="277"/>
        <v>0</v>
      </c>
      <c r="AI1276" s="196">
        <f>IFERROR($G1276/SUMIF($A:$A,$A1276,$G:$G)*SUMIF(Summary!$A$247:$A$283,$A1276,Summary!$P$247:$P$283),0)</f>
        <v>0</v>
      </c>
      <c r="AJ1276" s="196">
        <f>IFERROR($G1276/SUMIF($A:$A,$A1276,$G:$G)*(SUMIF(Summary!$A$247:$A$283,$A1276,Summary!$L$247:$L$283)+SUMIF(Summary!$A$297:$A$333,$A1276,Summary!$L$297:$L$333))-AI1276,0)</f>
        <v>0</v>
      </c>
      <c r="AK1276" s="196">
        <f>IFERROR($G1276/SUMIF($A:$A,$A1276,$G:$G)*SUMIF(Summary!$A$247:$A$283,$A1276,Summary!$Q$247:$Q$283),0)</f>
        <v>0</v>
      </c>
      <c r="AL1276" s="196">
        <f>IFERROR($G1276/SUMIF($A:$A,$A1276,$G:$G)*(SUMIF(Summary!$A$247:$A$283,$A1276,Summary!$L$247:$L$283)+SUMIF(Summary!$A$297:$A$333,$A1276,Summary!$L$297:$L$333))-AK1276,0)</f>
        <v>0</v>
      </c>
      <c r="AM1276" s="198"/>
      <c r="AN1276" s="196">
        <f t="shared" ca="1" si="278"/>
        <v>0</v>
      </c>
      <c r="AO1276" s="196">
        <f t="shared" ca="1" si="279"/>
        <v>0</v>
      </c>
    </row>
    <row r="1277" spans="1:41">
      <c r="A1277" s="189">
        <v>3631</v>
      </c>
      <c r="B1277" s="190">
        <v>1</v>
      </c>
      <c r="C1277" s="191" t="s">
        <v>232</v>
      </c>
      <c r="D1277" s="192">
        <f t="shared" si="266"/>
        <v>0</v>
      </c>
      <c r="E1277" s="192">
        <f t="shared" si="267"/>
        <v>0</v>
      </c>
      <c r="F1277" s="192">
        <f t="shared" si="268"/>
        <v>0</v>
      </c>
      <c r="G1277" s="193">
        <f t="shared" si="269"/>
        <v>0</v>
      </c>
      <c r="H1277" s="194">
        <v>0</v>
      </c>
      <c r="I1277" s="194">
        <v>0</v>
      </c>
      <c r="J1277" s="194">
        <v>0</v>
      </c>
      <c r="K1277" s="193">
        <f t="shared" si="270"/>
        <v>0</v>
      </c>
      <c r="L1277" s="194">
        <v>0</v>
      </c>
      <c r="M1277" s="194">
        <v>0</v>
      </c>
      <c r="N1277" s="194">
        <v>0</v>
      </c>
      <c r="O1277" s="193">
        <f t="shared" si="271"/>
        <v>0</v>
      </c>
      <c r="P1277" s="194">
        <v>0</v>
      </c>
      <c r="Q1277" s="194">
        <v>0</v>
      </c>
      <c r="R1277" s="194">
        <v>0</v>
      </c>
      <c r="S1277" s="193">
        <f t="shared" si="272"/>
        <v>0</v>
      </c>
      <c r="T1277" s="193">
        <f t="shared" si="273"/>
        <v>0</v>
      </c>
      <c r="U1277" s="193">
        <f ca="1">OFFSET('Expenditure Study'!$B$7,'Operations Support'!$C1277,'Operations Support'!$B1277)*$G1277</f>
        <v>0</v>
      </c>
      <c r="V1277" s="199">
        <f ca="1">U1277*'Expenditure Study'!$B$31</f>
        <v>0</v>
      </c>
      <c r="W1277" s="199">
        <f ca="1">IF(A1277=10298,1.51,1)*IF($B1277&lt;3,$D1277*'Expenditure Study'!$B$32*OFFSET('Expenditure Study'!$B$7,'Operations Support'!$C1277,'Operations Support'!$B1277),0)</f>
        <v>0</v>
      </c>
      <c r="X1277" s="200">
        <f ca="1">W1277*'Expenditure Study'!$B$31</f>
        <v>0</v>
      </c>
      <c r="Y1277" s="199">
        <f ca="1">U1277*'Expenditure Study'!$B$31</f>
        <v>0</v>
      </c>
      <c r="Z1277" s="200">
        <f ca="1">W1277*'Expenditure Study'!$B$31</f>
        <v>0</v>
      </c>
      <c r="AA1277" s="195">
        <f t="shared" ca="1" si="274"/>
        <v>0</v>
      </c>
      <c r="AB1277" s="195">
        <f t="shared" ca="1" si="275"/>
        <v>0</v>
      </c>
      <c r="AD1277" s="196">
        <f>IFERROR($G1277/SUMIF($A:$A,$A1277,$G:$G)*SUMIF(Summary!$A$166:$A$242,$A1277,Summary!$P$166:$P$242),0)</f>
        <v>0</v>
      </c>
      <c r="AE1277" s="197">
        <f t="shared" ca="1" si="276"/>
        <v>0</v>
      </c>
      <c r="AF1277" s="196">
        <f>IFERROR(G1277/SUMIF(A:A,A1277,G:G)*SUMIF(Summary!$A$166:$A$242,'Operations Support'!A1277,Summary!$Q$166:$Q$242),0)</f>
        <v>0</v>
      </c>
      <c r="AG1277" s="196">
        <f t="shared" ca="1" si="277"/>
        <v>0</v>
      </c>
      <c r="AI1277" s="196">
        <f>IFERROR($G1277/SUMIF($A:$A,$A1277,$G:$G)*SUMIF(Summary!$A$247:$A$283,$A1277,Summary!$P$247:$P$283),0)</f>
        <v>0</v>
      </c>
      <c r="AJ1277" s="196">
        <f>IFERROR($G1277/SUMIF($A:$A,$A1277,$G:$G)*(SUMIF(Summary!$A$247:$A$283,$A1277,Summary!$L$247:$L$283)+SUMIF(Summary!$A$297:$A$333,$A1277,Summary!$L$297:$L$333))-AI1277,0)</f>
        <v>0</v>
      </c>
      <c r="AK1277" s="196">
        <f>IFERROR($G1277/SUMIF($A:$A,$A1277,$G:$G)*SUMIF(Summary!$A$247:$A$283,$A1277,Summary!$Q$247:$Q$283),0)</f>
        <v>0</v>
      </c>
      <c r="AL1277" s="196">
        <f>IFERROR($G1277/SUMIF($A:$A,$A1277,$G:$G)*(SUMIF(Summary!$A$247:$A$283,$A1277,Summary!$L$247:$L$283)+SUMIF(Summary!$A$297:$A$333,$A1277,Summary!$L$297:$L$333))-AK1277,0)</f>
        <v>0</v>
      </c>
      <c r="AM1277" s="198"/>
      <c r="AN1277" s="196">
        <f t="shared" ca="1" si="278"/>
        <v>0</v>
      </c>
      <c r="AO1277" s="196">
        <f t="shared" ca="1" si="279"/>
        <v>0</v>
      </c>
    </row>
    <row r="1278" spans="1:41">
      <c r="A1278" s="189">
        <v>3631</v>
      </c>
      <c r="B1278" s="190">
        <v>1</v>
      </c>
      <c r="C1278" s="191" t="s">
        <v>233</v>
      </c>
      <c r="D1278" s="192">
        <f t="shared" si="266"/>
        <v>308</v>
      </c>
      <c r="E1278" s="192">
        <f t="shared" si="267"/>
        <v>2165</v>
      </c>
      <c r="F1278" s="192">
        <f t="shared" si="268"/>
        <v>0</v>
      </c>
      <c r="G1278" s="193">
        <f t="shared" si="269"/>
        <v>2473</v>
      </c>
      <c r="H1278" s="194">
        <v>99</v>
      </c>
      <c r="I1278" s="194">
        <v>837</v>
      </c>
      <c r="J1278" s="194">
        <v>0</v>
      </c>
      <c r="K1278" s="193">
        <f t="shared" si="270"/>
        <v>936</v>
      </c>
      <c r="L1278" s="194">
        <v>179</v>
      </c>
      <c r="M1278" s="194">
        <v>1313</v>
      </c>
      <c r="N1278" s="194">
        <v>0</v>
      </c>
      <c r="O1278" s="193">
        <f t="shared" si="271"/>
        <v>1492</v>
      </c>
      <c r="P1278" s="194">
        <v>30</v>
      </c>
      <c r="Q1278" s="194">
        <v>15</v>
      </c>
      <c r="R1278" s="194">
        <v>0</v>
      </c>
      <c r="S1278" s="193">
        <f t="shared" si="272"/>
        <v>45</v>
      </c>
      <c r="T1278" s="193">
        <f t="shared" si="273"/>
        <v>82.433333333333337</v>
      </c>
      <c r="U1278" s="193">
        <f ca="1">OFFSET('Expenditure Study'!$B$7,'Operations Support'!$C1278,'Operations Support'!$B1278)*$G1278</f>
        <v>2374.08</v>
      </c>
      <c r="V1278" s="199">
        <f ca="1">U1278*'Expenditure Study'!$B$31</f>
        <v>140268.197873664</v>
      </c>
      <c r="W1278" s="199">
        <f ca="1">IF(A1278=10298,1.51,1)*IF($B1278&lt;3,$D1278*'Expenditure Study'!$B$32*OFFSET('Expenditure Study'!$B$7,'Operations Support'!$C1278,'Operations Support'!$B1278),0)</f>
        <v>29.567999999999998</v>
      </c>
      <c r="X1278" s="200">
        <f ca="1">W1278*'Expenditure Study'!$B$31</f>
        <v>1746.9714898943998</v>
      </c>
      <c r="Y1278" s="199">
        <f ca="1">U1278*'Expenditure Study'!$B$31</f>
        <v>140268.197873664</v>
      </c>
      <c r="Z1278" s="200">
        <f ca="1">W1278*'Expenditure Study'!$B$31</f>
        <v>1746.9714898943998</v>
      </c>
      <c r="AA1278" s="195">
        <f t="shared" ca="1" si="274"/>
        <v>142015.16936355841</v>
      </c>
      <c r="AB1278" s="195">
        <f t="shared" ca="1" si="275"/>
        <v>142015.16936355841</v>
      </c>
      <c r="AD1278" s="196">
        <f>IFERROR($G1278/SUMIF($A:$A,$A1278,$G:$G)*SUMIF(Summary!$A$166:$A$242,$A1278,Summary!$P$166:$P$242),0)</f>
        <v>51818.280330593094</v>
      </c>
      <c r="AE1278" s="197">
        <f t="shared" ca="1" si="276"/>
        <v>90196.889032965322</v>
      </c>
      <c r="AF1278" s="196">
        <f>IFERROR(G1278/SUMIF(A:A,A1278,G:G)*SUMIF(Summary!$A$166:$A$242,'Operations Support'!A1278,Summary!$Q$166:$Q$242),0)</f>
        <v>51901.744725485427</v>
      </c>
      <c r="AG1278" s="196">
        <f t="shared" ca="1" si="277"/>
        <v>90113.424638072989</v>
      </c>
      <c r="AI1278" s="196">
        <f>IFERROR($G1278/SUMIF($A:$A,$A1278,$G:$G)*SUMIF(Summary!$A$247:$A$283,$A1278,Summary!$P$247:$P$283),0)</f>
        <v>9450.3612215287994</v>
      </c>
      <c r="AJ1278" s="196">
        <f>IFERROR($G1278/SUMIF($A:$A,$A1278,$G:$G)*(SUMIF(Summary!$A$247:$A$283,$A1278,Summary!$L$247:$L$283)+SUMIF(Summary!$A$297:$A$333,$A1278,Summary!$L$297:$L$333))-AI1278,0)</f>
        <v>36773.58527598442</v>
      </c>
      <c r="AK1278" s="196">
        <f>IFERROR($G1278/SUMIF($A:$A,$A1278,$G:$G)*SUMIF(Summary!$A$247:$A$283,$A1278,Summary!$Q$247:$Q$283),0)</f>
        <v>9465.583044326404</v>
      </c>
      <c r="AL1278" s="196">
        <f>IFERROR($G1278/SUMIF($A:$A,$A1278,$G:$G)*(SUMIF(Summary!$A$247:$A$283,$A1278,Summary!$L$247:$L$283)+SUMIF(Summary!$A$297:$A$333,$A1278,Summary!$L$297:$L$333))-AK1278,0)</f>
        <v>36758.363453186816</v>
      </c>
      <c r="AM1278" s="198"/>
      <c r="AN1278" s="196">
        <f t="shared" ca="1" si="278"/>
        <v>126970.47430894975</v>
      </c>
      <c r="AO1278" s="196">
        <f t="shared" ca="1" si="279"/>
        <v>126871.7880912598</v>
      </c>
    </row>
    <row r="1279" spans="1:41">
      <c r="A1279" s="189">
        <v>3631</v>
      </c>
      <c r="B1279" s="190">
        <v>1</v>
      </c>
      <c r="C1279" s="191" t="s">
        <v>234</v>
      </c>
      <c r="D1279" s="192">
        <f t="shared" si="266"/>
        <v>0</v>
      </c>
      <c r="E1279" s="192">
        <f t="shared" si="267"/>
        <v>0</v>
      </c>
      <c r="F1279" s="192">
        <f t="shared" si="268"/>
        <v>0</v>
      </c>
      <c r="G1279" s="193">
        <f t="shared" si="269"/>
        <v>0</v>
      </c>
      <c r="H1279" s="194">
        <v>0</v>
      </c>
      <c r="I1279" s="194">
        <v>0</v>
      </c>
      <c r="J1279" s="194">
        <v>0</v>
      </c>
      <c r="K1279" s="193">
        <f t="shared" si="270"/>
        <v>0</v>
      </c>
      <c r="L1279" s="194">
        <v>0</v>
      </c>
      <c r="M1279" s="194">
        <v>0</v>
      </c>
      <c r="N1279" s="194">
        <v>0</v>
      </c>
      <c r="O1279" s="193">
        <f t="shared" si="271"/>
        <v>0</v>
      </c>
      <c r="P1279" s="194">
        <v>0</v>
      </c>
      <c r="Q1279" s="194">
        <v>0</v>
      </c>
      <c r="R1279" s="194">
        <v>0</v>
      </c>
      <c r="S1279" s="193">
        <f t="shared" si="272"/>
        <v>0</v>
      </c>
      <c r="T1279" s="193">
        <f t="shared" si="273"/>
        <v>0</v>
      </c>
      <c r="U1279" s="193">
        <f ca="1">OFFSET('Expenditure Study'!$B$7,'Operations Support'!$C1279,'Operations Support'!$B1279)*$G1279</f>
        <v>0</v>
      </c>
      <c r="V1279" s="199">
        <f ca="1">U1279*'Expenditure Study'!$B$31</f>
        <v>0</v>
      </c>
      <c r="W1279" s="199">
        <f ca="1">IF(A1279=10298,1.51,1)*IF($B1279&lt;3,$D1279*'Expenditure Study'!$B$32*OFFSET('Expenditure Study'!$B$7,'Operations Support'!$C1279,'Operations Support'!$B1279),0)</f>
        <v>0</v>
      </c>
      <c r="X1279" s="200">
        <f ca="1">W1279*'Expenditure Study'!$B$31</f>
        <v>0</v>
      </c>
      <c r="Y1279" s="199">
        <f ca="1">U1279*'Expenditure Study'!$B$31</f>
        <v>0</v>
      </c>
      <c r="Z1279" s="200">
        <f ca="1">W1279*'Expenditure Study'!$B$31</f>
        <v>0</v>
      </c>
      <c r="AA1279" s="195">
        <f t="shared" ca="1" si="274"/>
        <v>0</v>
      </c>
      <c r="AB1279" s="195">
        <f t="shared" ca="1" si="275"/>
        <v>0</v>
      </c>
      <c r="AD1279" s="196">
        <f>IFERROR($G1279/SUMIF($A:$A,$A1279,$G:$G)*SUMIF(Summary!$A$166:$A$242,$A1279,Summary!$P$166:$P$242),0)</f>
        <v>0</v>
      </c>
      <c r="AE1279" s="197">
        <f t="shared" ca="1" si="276"/>
        <v>0</v>
      </c>
      <c r="AF1279" s="196">
        <f>IFERROR(G1279/SUMIF(A:A,A1279,G:G)*SUMIF(Summary!$A$166:$A$242,'Operations Support'!A1279,Summary!$Q$166:$Q$242),0)</f>
        <v>0</v>
      </c>
      <c r="AG1279" s="196">
        <f t="shared" ca="1" si="277"/>
        <v>0</v>
      </c>
      <c r="AI1279" s="196">
        <f>IFERROR($G1279/SUMIF($A:$A,$A1279,$G:$G)*SUMIF(Summary!$A$247:$A$283,$A1279,Summary!$P$247:$P$283),0)</f>
        <v>0</v>
      </c>
      <c r="AJ1279" s="196">
        <f>IFERROR($G1279/SUMIF($A:$A,$A1279,$G:$G)*(SUMIF(Summary!$A$247:$A$283,$A1279,Summary!$L$247:$L$283)+SUMIF(Summary!$A$297:$A$333,$A1279,Summary!$L$297:$L$333))-AI1279,0)</f>
        <v>0</v>
      </c>
      <c r="AK1279" s="196">
        <f>IFERROR($G1279/SUMIF($A:$A,$A1279,$G:$G)*SUMIF(Summary!$A$247:$A$283,$A1279,Summary!$Q$247:$Q$283),0)</f>
        <v>0</v>
      </c>
      <c r="AL1279" s="196">
        <f>IFERROR($G1279/SUMIF($A:$A,$A1279,$G:$G)*(SUMIF(Summary!$A$247:$A$283,$A1279,Summary!$L$247:$L$283)+SUMIF(Summary!$A$297:$A$333,$A1279,Summary!$L$297:$L$333))-AK1279,0)</f>
        <v>0</v>
      </c>
      <c r="AM1279" s="198"/>
      <c r="AN1279" s="196">
        <f t="shared" ca="1" si="278"/>
        <v>0</v>
      </c>
      <c r="AO1279" s="196">
        <f t="shared" ca="1" si="279"/>
        <v>0</v>
      </c>
    </row>
    <row r="1280" spans="1:41">
      <c r="A1280" s="189">
        <v>3631</v>
      </c>
      <c r="B1280" s="190">
        <v>1</v>
      </c>
      <c r="C1280" s="191" t="s">
        <v>235</v>
      </c>
      <c r="D1280" s="192">
        <f t="shared" si="266"/>
        <v>4475</v>
      </c>
      <c r="E1280" s="192">
        <f t="shared" si="267"/>
        <v>12502</v>
      </c>
      <c r="F1280" s="192">
        <f t="shared" si="268"/>
        <v>0</v>
      </c>
      <c r="G1280" s="193">
        <f t="shared" si="269"/>
        <v>16977</v>
      </c>
      <c r="H1280" s="194">
        <v>1686</v>
      </c>
      <c r="I1280" s="194">
        <v>6384</v>
      </c>
      <c r="J1280" s="194">
        <v>0</v>
      </c>
      <c r="K1280" s="193">
        <f t="shared" si="270"/>
        <v>8070</v>
      </c>
      <c r="L1280" s="194">
        <v>2105</v>
      </c>
      <c r="M1280" s="194">
        <v>5098</v>
      </c>
      <c r="N1280" s="194">
        <v>0</v>
      </c>
      <c r="O1280" s="193">
        <f t="shared" si="271"/>
        <v>7203</v>
      </c>
      <c r="P1280" s="194">
        <v>684</v>
      </c>
      <c r="Q1280" s="194">
        <v>1020</v>
      </c>
      <c r="R1280" s="194">
        <v>0</v>
      </c>
      <c r="S1280" s="193">
        <f t="shared" si="272"/>
        <v>1704</v>
      </c>
      <c r="T1280" s="193">
        <f t="shared" si="273"/>
        <v>565.9</v>
      </c>
      <c r="U1280" s="193">
        <f ca="1">OFFSET('Expenditure Study'!$B$7,'Operations Support'!$C1280,'Operations Support'!$B1280)*$G1280</f>
        <v>18674.7</v>
      </c>
      <c r="V1280" s="199">
        <f ca="1">U1280*'Expenditure Study'!$B$31</f>
        <v>1103360.6764857601</v>
      </c>
      <c r="W1280" s="199">
        <f ca="1">IF(A1280=10298,1.51,1)*IF($B1280&lt;3,$D1280*'Expenditure Study'!$B$32*OFFSET('Expenditure Study'!$B$7,'Operations Support'!$C1280,'Operations Support'!$B1280),0)</f>
        <v>492.25000000000006</v>
      </c>
      <c r="X1280" s="200">
        <f ca="1">W1280*'Expenditure Study'!$B$31</f>
        <v>29083.695748800004</v>
      </c>
      <c r="Y1280" s="199">
        <f ca="1">U1280*'Expenditure Study'!$B$31</f>
        <v>1103360.6764857601</v>
      </c>
      <c r="Z1280" s="200">
        <f ca="1">W1280*'Expenditure Study'!$B$31</f>
        <v>29083.695748800004</v>
      </c>
      <c r="AA1280" s="195">
        <f t="shared" ca="1" si="274"/>
        <v>1132444.3722345601</v>
      </c>
      <c r="AB1280" s="195">
        <f t="shared" ca="1" si="275"/>
        <v>1132444.3722345601</v>
      </c>
      <c r="AD1280" s="196">
        <f>IFERROR($G1280/SUMIF($A:$A,$A1280,$G:$G)*SUMIF(Summary!$A$166:$A$242,$A1280,Summary!$P$166:$P$242),0)</f>
        <v>355729.45619590738</v>
      </c>
      <c r="AE1280" s="197">
        <f t="shared" ca="1" si="276"/>
        <v>776714.91603865265</v>
      </c>
      <c r="AF1280" s="196">
        <f>IFERROR(G1280/SUMIF(A:A,A1280,G:G)*SUMIF(Summary!$A$166:$A$242,'Operations Support'!A1280,Summary!$Q$166:$Q$242),0)</f>
        <v>356302.43437305541</v>
      </c>
      <c r="AG1280" s="196">
        <f t="shared" ca="1" si="277"/>
        <v>776141.93786150473</v>
      </c>
      <c r="AI1280" s="196">
        <f>IFERROR($G1280/SUMIF($A:$A,$A1280,$G:$G)*SUMIF(Summary!$A$247:$A$283,$A1280,Summary!$P$247:$P$283),0)</f>
        <v>64876.175680507244</v>
      </c>
      <c r="AJ1280" s="196">
        <f>IFERROR($G1280/SUMIF($A:$A,$A1280,$G:$G)*(SUMIF(Summary!$A$247:$A$283,$A1280,Summary!$L$247:$L$283)+SUMIF(Summary!$A$297:$A$333,$A1280,Summary!$L$297:$L$333))-AI1280,0)</f>
        <v>252448.50676521941</v>
      </c>
      <c r="AK1280" s="196">
        <f>IFERROR($G1280/SUMIF($A:$A,$A1280,$G:$G)*SUMIF(Summary!$A$247:$A$283,$A1280,Summary!$Q$247:$Q$283),0)</f>
        <v>64980.672601508035</v>
      </c>
      <c r="AL1280" s="196">
        <f>IFERROR($G1280/SUMIF($A:$A,$A1280,$G:$G)*(SUMIF(Summary!$A$247:$A$283,$A1280,Summary!$L$247:$L$283)+SUMIF(Summary!$A$297:$A$333,$A1280,Summary!$L$297:$L$333))-AK1280,0)</f>
        <v>252344.00984421861</v>
      </c>
      <c r="AM1280" s="198"/>
      <c r="AN1280" s="196">
        <f t="shared" ca="1" si="278"/>
        <v>1029163.422803872</v>
      </c>
      <c r="AO1280" s="196">
        <f t="shared" ca="1" si="279"/>
        <v>1028485.9477057233</v>
      </c>
    </row>
    <row r="1281" spans="1:41">
      <c r="A1281" s="189">
        <v>3631</v>
      </c>
      <c r="B1281" s="190">
        <v>1</v>
      </c>
      <c r="C1281" s="191" t="s">
        <v>236</v>
      </c>
      <c r="D1281" s="192">
        <f t="shared" si="266"/>
        <v>0</v>
      </c>
      <c r="E1281" s="192">
        <f t="shared" si="267"/>
        <v>0</v>
      </c>
      <c r="F1281" s="192">
        <f t="shared" si="268"/>
        <v>0</v>
      </c>
      <c r="G1281" s="193">
        <f t="shared" si="269"/>
        <v>0</v>
      </c>
      <c r="H1281" s="194">
        <v>0</v>
      </c>
      <c r="I1281" s="194">
        <v>0</v>
      </c>
      <c r="J1281" s="194">
        <v>0</v>
      </c>
      <c r="K1281" s="193">
        <f t="shared" si="270"/>
        <v>0</v>
      </c>
      <c r="L1281" s="194">
        <v>0</v>
      </c>
      <c r="M1281" s="194">
        <v>0</v>
      </c>
      <c r="N1281" s="194">
        <v>0</v>
      </c>
      <c r="O1281" s="193">
        <f t="shared" si="271"/>
        <v>0</v>
      </c>
      <c r="P1281" s="194">
        <v>0</v>
      </c>
      <c r="Q1281" s="194">
        <v>0</v>
      </c>
      <c r="R1281" s="194">
        <v>0</v>
      </c>
      <c r="S1281" s="193">
        <f t="shared" si="272"/>
        <v>0</v>
      </c>
      <c r="T1281" s="193">
        <f t="shared" si="273"/>
        <v>0</v>
      </c>
      <c r="U1281" s="193">
        <f ca="1">OFFSET('Expenditure Study'!$B$7,'Operations Support'!$C1281,'Operations Support'!$B1281)*$G1281</f>
        <v>0</v>
      </c>
      <c r="V1281" s="199">
        <f ca="1">U1281*'Expenditure Study'!$B$31</f>
        <v>0</v>
      </c>
      <c r="W1281" s="199">
        <f ca="1">IF(A1281=10298,1.51,1)*IF($B1281&lt;3,$D1281*'Expenditure Study'!$B$32*OFFSET('Expenditure Study'!$B$7,'Operations Support'!$C1281,'Operations Support'!$B1281),0)</f>
        <v>0</v>
      </c>
      <c r="X1281" s="200">
        <f ca="1">W1281*'Expenditure Study'!$B$31</f>
        <v>0</v>
      </c>
      <c r="Y1281" s="199">
        <f ca="1">U1281*'Expenditure Study'!$B$31</f>
        <v>0</v>
      </c>
      <c r="Z1281" s="200">
        <f ca="1">W1281*'Expenditure Study'!$B$31</f>
        <v>0</v>
      </c>
      <c r="AA1281" s="195">
        <f t="shared" ca="1" si="274"/>
        <v>0</v>
      </c>
      <c r="AB1281" s="195">
        <f t="shared" ca="1" si="275"/>
        <v>0</v>
      </c>
      <c r="AD1281" s="196">
        <f>IFERROR($G1281/SUMIF($A:$A,$A1281,$G:$G)*SUMIF(Summary!$A$166:$A$242,$A1281,Summary!$P$166:$P$242),0)</f>
        <v>0</v>
      </c>
      <c r="AE1281" s="197">
        <f t="shared" ca="1" si="276"/>
        <v>0</v>
      </c>
      <c r="AF1281" s="196">
        <f>IFERROR(G1281/SUMIF(A:A,A1281,G:G)*SUMIF(Summary!$A$166:$A$242,'Operations Support'!A1281,Summary!$Q$166:$Q$242),0)</f>
        <v>0</v>
      </c>
      <c r="AG1281" s="196">
        <f t="shared" ca="1" si="277"/>
        <v>0</v>
      </c>
      <c r="AI1281" s="196">
        <f>IFERROR($G1281/SUMIF($A:$A,$A1281,$G:$G)*SUMIF(Summary!$A$247:$A$283,$A1281,Summary!$P$247:$P$283),0)</f>
        <v>0</v>
      </c>
      <c r="AJ1281" s="196">
        <f>IFERROR($G1281/SUMIF($A:$A,$A1281,$G:$G)*(SUMIF(Summary!$A$247:$A$283,$A1281,Summary!$L$247:$L$283)+SUMIF(Summary!$A$297:$A$333,$A1281,Summary!$L$297:$L$333))-AI1281,0)</f>
        <v>0</v>
      </c>
      <c r="AK1281" s="196">
        <f>IFERROR($G1281/SUMIF($A:$A,$A1281,$G:$G)*SUMIF(Summary!$A$247:$A$283,$A1281,Summary!$Q$247:$Q$283),0)</f>
        <v>0</v>
      </c>
      <c r="AL1281" s="196">
        <f>IFERROR($G1281/SUMIF($A:$A,$A1281,$G:$G)*(SUMIF(Summary!$A$247:$A$283,$A1281,Summary!$L$247:$L$283)+SUMIF(Summary!$A$297:$A$333,$A1281,Summary!$L$297:$L$333))-AK1281,0)</f>
        <v>0</v>
      </c>
      <c r="AM1281" s="198"/>
      <c r="AN1281" s="196">
        <f t="shared" ca="1" si="278"/>
        <v>0</v>
      </c>
      <c r="AO1281" s="196">
        <f t="shared" ca="1" si="279"/>
        <v>0</v>
      </c>
    </row>
    <row r="1282" spans="1:41">
      <c r="A1282" s="189">
        <v>3631</v>
      </c>
      <c r="B1282" s="190">
        <v>1</v>
      </c>
      <c r="C1282" s="191" t="s">
        <v>237</v>
      </c>
      <c r="D1282" s="192">
        <f t="shared" si="266"/>
        <v>0</v>
      </c>
      <c r="E1282" s="192">
        <f t="shared" si="267"/>
        <v>0</v>
      </c>
      <c r="F1282" s="192">
        <f t="shared" si="268"/>
        <v>0</v>
      </c>
      <c r="G1282" s="193">
        <f t="shared" si="269"/>
        <v>0</v>
      </c>
      <c r="H1282" s="194">
        <v>0</v>
      </c>
      <c r="I1282" s="194">
        <v>0</v>
      </c>
      <c r="J1282" s="194">
        <v>0</v>
      </c>
      <c r="K1282" s="193">
        <f t="shared" si="270"/>
        <v>0</v>
      </c>
      <c r="L1282" s="194">
        <v>0</v>
      </c>
      <c r="M1282" s="194">
        <v>0</v>
      </c>
      <c r="N1282" s="194">
        <v>0</v>
      </c>
      <c r="O1282" s="193">
        <f t="shared" si="271"/>
        <v>0</v>
      </c>
      <c r="P1282" s="194">
        <v>0</v>
      </c>
      <c r="Q1282" s="194">
        <v>0</v>
      </c>
      <c r="R1282" s="194">
        <v>0</v>
      </c>
      <c r="S1282" s="193">
        <f t="shared" si="272"/>
        <v>0</v>
      </c>
      <c r="T1282" s="193">
        <f t="shared" si="273"/>
        <v>0</v>
      </c>
      <c r="U1282" s="193">
        <f ca="1">OFFSET('Expenditure Study'!$B$7,'Operations Support'!$C1282,'Operations Support'!$B1282)*$G1282</f>
        <v>0</v>
      </c>
      <c r="V1282" s="199">
        <f ca="1">U1282*'Expenditure Study'!$B$31</f>
        <v>0</v>
      </c>
      <c r="W1282" s="199">
        <f ca="1">IF(A1282=10298,1.51,1)*IF($B1282&lt;3,$D1282*'Expenditure Study'!$B$32*OFFSET('Expenditure Study'!$B$7,'Operations Support'!$C1282,'Operations Support'!$B1282),0)</f>
        <v>0</v>
      </c>
      <c r="X1282" s="200">
        <f ca="1">W1282*'Expenditure Study'!$B$31</f>
        <v>0</v>
      </c>
      <c r="Y1282" s="199">
        <f ca="1">U1282*'Expenditure Study'!$B$31</f>
        <v>0</v>
      </c>
      <c r="Z1282" s="200">
        <f ca="1">W1282*'Expenditure Study'!$B$31</f>
        <v>0</v>
      </c>
      <c r="AA1282" s="195">
        <f t="shared" ca="1" si="274"/>
        <v>0</v>
      </c>
      <c r="AB1282" s="195">
        <f t="shared" ca="1" si="275"/>
        <v>0</v>
      </c>
      <c r="AD1282" s="196">
        <f>IFERROR($G1282/SUMIF($A:$A,$A1282,$G:$G)*SUMIF(Summary!$A$166:$A$242,$A1282,Summary!$P$166:$P$242),0)</f>
        <v>0</v>
      </c>
      <c r="AE1282" s="197">
        <f t="shared" ca="1" si="276"/>
        <v>0</v>
      </c>
      <c r="AF1282" s="196">
        <f>IFERROR(G1282/SUMIF(A:A,A1282,G:G)*SUMIF(Summary!$A$166:$A$242,'Operations Support'!A1282,Summary!$Q$166:$Q$242),0)</f>
        <v>0</v>
      </c>
      <c r="AG1282" s="196">
        <f t="shared" ca="1" si="277"/>
        <v>0</v>
      </c>
      <c r="AI1282" s="196">
        <f>IFERROR($G1282/SUMIF($A:$A,$A1282,$G:$G)*SUMIF(Summary!$A$247:$A$283,$A1282,Summary!$P$247:$P$283),0)</f>
        <v>0</v>
      </c>
      <c r="AJ1282" s="196">
        <f>IFERROR($G1282/SUMIF($A:$A,$A1282,$G:$G)*(SUMIF(Summary!$A$247:$A$283,$A1282,Summary!$L$247:$L$283)+SUMIF(Summary!$A$297:$A$333,$A1282,Summary!$L$297:$L$333))-AI1282,0)</f>
        <v>0</v>
      </c>
      <c r="AK1282" s="196">
        <f>IFERROR($G1282/SUMIF($A:$A,$A1282,$G:$G)*SUMIF(Summary!$A$247:$A$283,$A1282,Summary!$Q$247:$Q$283),0)</f>
        <v>0</v>
      </c>
      <c r="AL1282" s="196">
        <f>IFERROR($G1282/SUMIF($A:$A,$A1282,$G:$G)*(SUMIF(Summary!$A$247:$A$283,$A1282,Summary!$L$247:$L$283)+SUMIF(Summary!$A$297:$A$333,$A1282,Summary!$L$297:$L$333))-AK1282,0)</f>
        <v>0</v>
      </c>
      <c r="AM1282" s="198"/>
      <c r="AN1282" s="196">
        <f t="shared" ca="1" si="278"/>
        <v>0</v>
      </c>
      <c r="AO1282" s="196">
        <f t="shared" ca="1" si="279"/>
        <v>0</v>
      </c>
    </row>
    <row r="1283" spans="1:41">
      <c r="A1283" s="189">
        <v>3631</v>
      </c>
      <c r="B1283" s="190">
        <v>1</v>
      </c>
      <c r="C1283" s="191" t="s">
        <v>238</v>
      </c>
      <c r="D1283" s="192">
        <f t="shared" si="266"/>
        <v>958</v>
      </c>
      <c r="E1283" s="192">
        <f t="shared" si="267"/>
        <v>1578</v>
      </c>
      <c r="F1283" s="192">
        <f t="shared" si="268"/>
        <v>0</v>
      </c>
      <c r="G1283" s="193">
        <f t="shared" si="269"/>
        <v>2536</v>
      </c>
      <c r="H1283" s="194">
        <v>243</v>
      </c>
      <c r="I1283" s="194">
        <v>984</v>
      </c>
      <c r="J1283" s="194">
        <v>0</v>
      </c>
      <c r="K1283" s="193">
        <f t="shared" si="270"/>
        <v>1227</v>
      </c>
      <c r="L1283" s="194">
        <v>703</v>
      </c>
      <c r="M1283" s="194">
        <v>540</v>
      </c>
      <c r="N1283" s="194">
        <v>0</v>
      </c>
      <c r="O1283" s="193">
        <f t="shared" si="271"/>
        <v>1243</v>
      </c>
      <c r="P1283" s="194">
        <v>12</v>
      </c>
      <c r="Q1283" s="194">
        <v>54</v>
      </c>
      <c r="R1283" s="194">
        <v>0</v>
      </c>
      <c r="S1283" s="193">
        <f t="shared" si="272"/>
        <v>66</v>
      </c>
      <c r="T1283" s="193">
        <f t="shared" si="273"/>
        <v>84.533333333333331</v>
      </c>
      <c r="U1283" s="193">
        <f ca="1">OFFSET('Expenditure Study'!$B$7,'Operations Support'!$C1283,'Operations Support'!$B1283)*$G1283</f>
        <v>4514.08</v>
      </c>
      <c r="V1283" s="199">
        <f ca="1">U1283*'Expenditure Study'!$B$31</f>
        <v>266706.20478566398</v>
      </c>
      <c r="W1283" s="199">
        <f ca="1">IF(A1283=10298,1.51,1)*IF($B1283&lt;3,$D1283*'Expenditure Study'!$B$32*OFFSET('Expenditure Study'!$B$7,'Operations Support'!$C1283,'Operations Support'!$B1283),0)</f>
        <v>170.52400000000003</v>
      </c>
      <c r="X1283" s="200">
        <f ca="1">W1283*'Expenditure Study'!$B$31</f>
        <v>10075.100322739201</v>
      </c>
      <c r="Y1283" s="199">
        <f ca="1">U1283*'Expenditure Study'!$B$31</f>
        <v>266706.20478566398</v>
      </c>
      <c r="Z1283" s="200">
        <f ca="1">W1283*'Expenditure Study'!$B$31</f>
        <v>10075.100322739201</v>
      </c>
      <c r="AA1283" s="195">
        <f t="shared" ca="1" si="274"/>
        <v>276781.3051084032</v>
      </c>
      <c r="AB1283" s="195">
        <f t="shared" ca="1" si="275"/>
        <v>276781.3051084032</v>
      </c>
      <c r="AD1283" s="196">
        <f>IFERROR($G1283/SUMIF($A:$A,$A1283,$G:$G)*SUMIF(Summary!$A$166:$A$242,$A1283,Summary!$P$166:$P$242),0)</f>
        <v>53138.357831938563</v>
      </c>
      <c r="AE1283" s="197">
        <f t="shared" ca="1" si="276"/>
        <v>223642.94727646463</v>
      </c>
      <c r="AF1283" s="196">
        <f>IFERROR(G1283/SUMIF(A:A,A1283,G:G)*SUMIF(Summary!$A$166:$A$242,'Operations Support'!A1283,Summary!$Q$166:$Q$242),0)</f>
        <v>53223.948493259617</v>
      </c>
      <c r="AG1283" s="196">
        <f t="shared" ca="1" si="277"/>
        <v>223557.3566151436</v>
      </c>
      <c r="AI1283" s="196">
        <f>IFERROR($G1283/SUMIF($A:$A,$A1283,$G:$G)*SUMIF(Summary!$A$247:$A$283,$A1283,Summary!$P$247:$P$283),0)</f>
        <v>9691.1104156073725</v>
      </c>
      <c r="AJ1283" s="196">
        <f>IFERROR($G1283/SUMIF($A:$A,$A1283,$G:$G)*(SUMIF(Summary!$A$247:$A$283,$A1283,Summary!$L$247:$L$283)+SUMIF(Summary!$A$297:$A$333,$A1283,Summary!$L$297:$L$333))-AI1283,0)</f>
        <v>37710.397193650017</v>
      </c>
      <c r="AK1283" s="196">
        <f>IFERROR($G1283/SUMIF($A:$A,$A1283,$G:$G)*SUMIF(Summary!$A$247:$A$283,$A1283,Summary!$Q$247:$Q$283),0)</f>
        <v>9706.720016341189</v>
      </c>
      <c r="AL1283" s="196">
        <f>IFERROR($G1283/SUMIF($A:$A,$A1283,$G:$G)*(SUMIF(Summary!$A$247:$A$283,$A1283,Summary!$L$247:$L$283)+SUMIF(Summary!$A$297:$A$333,$A1283,Summary!$L$297:$L$333))-AK1283,0)</f>
        <v>37694.787592916196</v>
      </c>
      <c r="AM1283" s="198"/>
      <c r="AN1283" s="196">
        <f t="shared" ca="1" si="278"/>
        <v>261353.34447011465</v>
      </c>
      <c r="AO1283" s="196">
        <f t="shared" ca="1" si="279"/>
        <v>261252.14420805979</v>
      </c>
    </row>
    <row r="1284" spans="1:41">
      <c r="A1284" s="189">
        <v>3631</v>
      </c>
      <c r="B1284" s="190">
        <v>1</v>
      </c>
      <c r="C1284" s="191" t="s">
        <v>239</v>
      </c>
      <c r="D1284" s="192">
        <f t="shared" si="266"/>
        <v>647</v>
      </c>
      <c r="E1284" s="192">
        <f t="shared" si="267"/>
        <v>626</v>
      </c>
      <c r="F1284" s="192">
        <f t="shared" si="268"/>
        <v>0</v>
      </c>
      <c r="G1284" s="193">
        <f t="shared" si="269"/>
        <v>1273</v>
      </c>
      <c r="H1284" s="194">
        <v>396</v>
      </c>
      <c r="I1284" s="194">
        <v>382</v>
      </c>
      <c r="J1284" s="194">
        <v>0</v>
      </c>
      <c r="K1284" s="193">
        <f t="shared" si="270"/>
        <v>778</v>
      </c>
      <c r="L1284" s="194">
        <v>251</v>
      </c>
      <c r="M1284" s="194">
        <v>244</v>
      </c>
      <c r="N1284" s="194">
        <v>0</v>
      </c>
      <c r="O1284" s="193">
        <f t="shared" si="271"/>
        <v>495</v>
      </c>
      <c r="P1284" s="194">
        <v>0</v>
      </c>
      <c r="Q1284" s="194">
        <v>0</v>
      </c>
      <c r="R1284" s="194">
        <v>0</v>
      </c>
      <c r="S1284" s="193">
        <f t="shared" si="272"/>
        <v>0</v>
      </c>
      <c r="T1284" s="193">
        <f t="shared" si="273"/>
        <v>42.43333333333333</v>
      </c>
      <c r="U1284" s="193">
        <f ca="1">OFFSET('Expenditure Study'!$B$7,'Operations Support'!$C1284,'Operations Support'!$B1284)*$G1284</f>
        <v>1973.15</v>
      </c>
      <c r="V1284" s="199">
        <f ca="1">U1284*'Expenditure Study'!$B$31</f>
        <v>116579.97819552</v>
      </c>
      <c r="W1284" s="199">
        <f ca="1">IF(A1284=10298,1.51,1)*IF($B1284&lt;3,$D1284*'Expenditure Study'!$B$32*OFFSET('Expenditure Study'!$B$7,'Operations Support'!$C1284,'Operations Support'!$B1284),0)</f>
        <v>100.28500000000001</v>
      </c>
      <c r="X1284" s="200">
        <f ca="1">W1284*'Expenditure Study'!$B$31</f>
        <v>5925.1567865280003</v>
      </c>
      <c r="Y1284" s="199">
        <f ca="1">U1284*'Expenditure Study'!$B$31</f>
        <v>116579.97819552</v>
      </c>
      <c r="Z1284" s="200">
        <f ca="1">W1284*'Expenditure Study'!$B$31</f>
        <v>5925.1567865280003</v>
      </c>
      <c r="AA1284" s="195">
        <f t="shared" ca="1" si="274"/>
        <v>122505.134982048</v>
      </c>
      <c r="AB1284" s="195">
        <f t="shared" ca="1" si="275"/>
        <v>122505.134982048</v>
      </c>
      <c r="AD1284" s="196">
        <f>IFERROR($G1284/SUMIF($A:$A,$A1284,$G:$G)*SUMIF(Summary!$A$166:$A$242,$A1284,Summary!$P$166:$P$242),0)</f>
        <v>26673.946971631623</v>
      </c>
      <c r="AE1284" s="197">
        <f t="shared" ca="1" si="276"/>
        <v>95831.188010416372</v>
      </c>
      <c r="AF1284" s="196">
        <f>IFERROR(G1284/SUMIF(A:A,A1284,G:G)*SUMIF(Summary!$A$166:$A$242,'Operations Support'!A1284,Summary!$Q$166:$Q$242),0)</f>
        <v>26716.911053596017</v>
      </c>
      <c r="AG1284" s="196">
        <f t="shared" ca="1" si="277"/>
        <v>95788.223928451975</v>
      </c>
      <c r="AI1284" s="196">
        <f>IFERROR($G1284/SUMIF($A:$A,$A1284,$G:$G)*SUMIF(Summary!$A$247:$A$283,$A1284,Summary!$P$247:$P$283),0)</f>
        <v>4864.6622866988118</v>
      </c>
      <c r="AJ1284" s="196">
        <f>IFERROR($G1284/SUMIF($A:$A,$A1284,$G:$G)*(SUMIF(Summary!$A$247:$A$283,$A1284,Summary!$L$247:$L$283)+SUMIF(Summary!$A$297:$A$333,$A1284,Summary!$L$297:$L$333))-AI1284,0)</f>
        <v>18929.548749020691</v>
      </c>
      <c r="AK1284" s="196">
        <f>IFERROR($G1284/SUMIF($A:$A,$A1284,$G:$G)*SUMIF(Summary!$A$247:$A$283,$A1284,Summary!$Q$247:$Q$283),0)</f>
        <v>4872.4978630924033</v>
      </c>
      <c r="AL1284" s="196">
        <f>IFERROR($G1284/SUMIF($A:$A,$A1284,$G:$G)*(SUMIF(Summary!$A$247:$A$283,$A1284,Summary!$L$247:$L$283)+SUMIF(Summary!$A$297:$A$333,$A1284,Summary!$L$297:$L$333))-AK1284,0)</f>
        <v>18921.713172627096</v>
      </c>
      <c r="AM1284" s="198"/>
      <c r="AN1284" s="196">
        <f t="shared" ca="1" si="278"/>
        <v>114760.73675943706</v>
      </c>
      <c r="AO1284" s="196">
        <f t="shared" ca="1" si="279"/>
        <v>114709.93710107906</v>
      </c>
    </row>
    <row r="1285" spans="1:41">
      <c r="A1285" s="189">
        <v>3631</v>
      </c>
      <c r="B1285" s="190">
        <v>1</v>
      </c>
      <c r="C1285" s="191" t="s">
        <v>240</v>
      </c>
      <c r="D1285" s="192">
        <f t="shared" ref="D1285:D1348" si="280">H1285+L1285+P1285</f>
        <v>0</v>
      </c>
      <c r="E1285" s="192">
        <f t="shared" ref="E1285:E1348" si="281">I1285+M1285+Q1285</f>
        <v>3669</v>
      </c>
      <c r="F1285" s="192">
        <f t="shared" ref="F1285:F1348" si="282">J1285+N1285+R1285</f>
        <v>0</v>
      </c>
      <c r="G1285" s="193">
        <f t="shared" ref="G1285:G1348" si="283">(SUM(D1285:E1285)-F1285)*IF(A1285=10298,1.51,1)</f>
        <v>3669</v>
      </c>
      <c r="H1285" s="194">
        <v>0</v>
      </c>
      <c r="I1285" s="194">
        <v>1845</v>
      </c>
      <c r="J1285" s="194">
        <v>0</v>
      </c>
      <c r="K1285" s="193">
        <f t="shared" ref="K1285:K1348" si="284">SUM(H1285:I1285)-J1285</f>
        <v>1845</v>
      </c>
      <c r="L1285" s="194">
        <v>0</v>
      </c>
      <c r="M1285" s="194">
        <v>1779</v>
      </c>
      <c r="N1285" s="194">
        <v>0</v>
      </c>
      <c r="O1285" s="193">
        <f t="shared" ref="O1285:O1348" si="285">SUM(L1285:M1285)-N1285</f>
        <v>1779</v>
      </c>
      <c r="P1285" s="194">
        <v>0</v>
      </c>
      <c r="Q1285" s="194">
        <v>45</v>
      </c>
      <c r="R1285" s="194">
        <v>0</v>
      </c>
      <c r="S1285" s="193">
        <f t="shared" ref="S1285:S1348" si="286">SUM(P1285:Q1285)-R1285</f>
        <v>45</v>
      </c>
      <c r="T1285" s="193">
        <f t="shared" ref="T1285:T1348" si="287">IF(OR(B1285=1,B1285=2),G1285/30,IF(OR(B1285=3,B1285=5),G1285/24,IF(B1285=4,G1285/18,0)))</f>
        <v>122.3</v>
      </c>
      <c r="U1285" s="193">
        <f ca="1">OFFSET('Expenditure Study'!$B$7,'Operations Support'!$C1285,'Operations Support'!$B1285)*$G1285</f>
        <v>3669</v>
      </c>
      <c r="V1285" s="199">
        <f ca="1">U1285*'Expenditure Study'!$B$31</f>
        <v>216776.1903552</v>
      </c>
      <c r="W1285" s="199">
        <f ca="1">IF(A1285=10298,1.51,1)*IF($B1285&lt;3,$D1285*'Expenditure Study'!$B$32*OFFSET('Expenditure Study'!$B$7,'Operations Support'!$C1285,'Operations Support'!$B1285),0)</f>
        <v>0</v>
      </c>
      <c r="X1285" s="200">
        <f ca="1">W1285*'Expenditure Study'!$B$31</f>
        <v>0</v>
      </c>
      <c r="Y1285" s="199">
        <f ca="1">U1285*'Expenditure Study'!$B$31</f>
        <v>216776.1903552</v>
      </c>
      <c r="Z1285" s="200">
        <f ca="1">W1285*'Expenditure Study'!$B$31</f>
        <v>0</v>
      </c>
      <c r="AA1285" s="195">
        <f t="shared" ref="AA1285:AA1348" ca="1" si="288">V1285+X1285</f>
        <v>216776.1903552</v>
      </c>
      <c r="AB1285" s="195">
        <f t="shared" ref="AB1285:AB1348" ca="1" si="289">Y1285+Z1285</f>
        <v>216776.1903552</v>
      </c>
      <c r="AD1285" s="196">
        <f>IFERROR($G1285/SUMIF($A:$A,$A1285,$G:$G)*SUMIF(Summary!$A$166:$A$242,$A1285,Summary!$P$166:$P$242),0)</f>
        <v>76878.799245024682</v>
      </c>
      <c r="AE1285" s="197">
        <f t="shared" ca="1" si="276"/>
        <v>139897.39111017532</v>
      </c>
      <c r="AF1285" s="196">
        <f>IFERROR(G1285/SUMIF(A:A,A1285,G:G)*SUMIF(Summary!$A$166:$A$242,'Operations Support'!A1285,Summary!$Q$166:$Q$242),0)</f>
        <v>77002.62895180186</v>
      </c>
      <c r="AG1285" s="196">
        <f t="shared" ca="1" si="277"/>
        <v>139773.56140339814</v>
      </c>
      <c r="AI1285" s="196">
        <f>IFERROR($G1285/SUMIF($A:$A,$A1285,$G:$G)*SUMIF(Summary!$A$247:$A$283,$A1285,Summary!$P$247:$P$283),0)</f>
        <v>14020.774493242685</v>
      </c>
      <c r="AJ1285" s="196">
        <f>IFERROR($G1285/SUMIF($A:$A,$A1285,$G:$G)*(SUMIF(Summary!$A$247:$A$283,$A1285,Summary!$L$247:$L$283)+SUMIF(Summary!$A$297:$A$333,$A1285,Summary!$L$297:$L$333))-AI1285,0)</f>
        <v>54558.141681191599</v>
      </c>
      <c r="AK1285" s="196">
        <f>IFERROR($G1285/SUMIF($A:$A,$A1285,$G:$G)*SUMIF(Summary!$A$247:$A$283,$A1285,Summary!$Q$247:$Q$283),0)</f>
        <v>14043.357941622957</v>
      </c>
      <c r="AL1285" s="196">
        <f>IFERROR($G1285/SUMIF($A:$A,$A1285,$G:$G)*(SUMIF(Summary!$A$247:$A$283,$A1285,Summary!$L$247:$L$283)+SUMIF(Summary!$A$297:$A$333,$A1285,Summary!$L$297:$L$333))-AK1285,0)</f>
        <v>54535.558232811331</v>
      </c>
      <c r="AM1285" s="198"/>
      <c r="AN1285" s="196">
        <f t="shared" ca="1" si="278"/>
        <v>194455.53279136692</v>
      </c>
      <c r="AO1285" s="196">
        <f t="shared" ca="1" si="279"/>
        <v>194309.11963620948</v>
      </c>
    </row>
    <row r="1286" spans="1:41">
      <c r="A1286" s="189">
        <v>3631</v>
      </c>
      <c r="B1286" s="190">
        <v>2</v>
      </c>
      <c r="C1286" s="191" t="s">
        <v>220</v>
      </c>
      <c r="D1286" s="192">
        <f t="shared" si="280"/>
        <v>12944</v>
      </c>
      <c r="E1286" s="192">
        <f t="shared" si="281"/>
        <v>21693</v>
      </c>
      <c r="F1286" s="192">
        <f t="shared" si="282"/>
        <v>0</v>
      </c>
      <c r="G1286" s="193">
        <f t="shared" si="283"/>
        <v>34637</v>
      </c>
      <c r="H1286" s="194">
        <v>5676</v>
      </c>
      <c r="I1286" s="194">
        <v>10175</v>
      </c>
      <c r="J1286" s="194">
        <v>0</v>
      </c>
      <c r="K1286" s="193">
        <f t="shared" si="284"/>
        <v>15851</v>
      </c>
      <c r="L1286" s="194">
        <v>4379</v>
      </c>
      <c r="M1286" s="194">
        <v>8355</v>
      </c>
      <c r="N1286" s="194">
        <v>0</v>
      </c>
      <c r="O1286" s="193">
        <f t="shared" si="285"/>
        <v>12734</v>
      </c>
      <c r="P1286" s="194">
        <v>2889</v>
      </c>
      <c r="Q1286" s="194">
        <v>3163</v>
      </c>
      <c r="R1286" s="194">
        <v>0</v>
      </c>
      <c r="S1286" s="193">
        <f t="shared" si="286"/>
        <v>6052</v>
      </c>
      <c r="T1286" s="193">
        <f t="shared" si="287"/>
        <v>1154.5666666666666</v>
      </c>
      <c r="U1286" s="193">
        <f ca="1">OFFSET('Expenditure Study'!$B$7,'Operations Support'!$C1286,'Operations Support'!$B1286)*$G1286</f>
        <v>63732.08</v>
      </c>
      <c r="V1286" s="199">
        <f ca="1">U1286*'Expenditure Study'!$B$31</f>
        <v>3765494.0054000639</v>
      </c>
      <c r="W1286" s="199">
        <f ca="1">IF(A1286=10298,1.51,1)*IF($B1286&lt;3,$D1286*'Expenditure Study'!$B$32*OFFSET('Expenditure Study'!$B$7,'Operations Support'!$C1286,'Operations Support'!$B1286),0)</f>
        <v>2381.6960000000004</v>
      </c>
      <c r="X1286" s="200">
        <f ca="1">W1286*'Expenditure Study'!$B$31</f>
        <v>140718.17537863684</v>
      </c>
      <c r="Y1286" s="199">
        <f ca="1">U1286*'Expenditure Study'!$B$31</f>
        <v>3765494.0054000639</v>
      </c>
      <c r="Z1286" s="200">
        <f ca="1">W1286*'Expenditure Study'!$B$31</f>
        <v>140718.17537863684</v>
      </c>
      <c r="AA1286" s="195">
        <f t="shared" ca="1" si="288"/>
        <v>3906212.1807787009</v>
      </c>
      <c r="AB1286" s="195">
        <f t="shared" ca="1" si="289"/>
        <v>3906212.1807787009</v>
      </c>
      <c r="AD1286" s="196">
        <f>IFERROR($G1286/SUMIF($A:$A,$A1286,$G:$G)*SUMIF(Summary!$A$166:$A$242,$A1286,Summary!$P$166:$P$242),0)</f>
        <v>725770.22879529034</v>
      </c>
      <c r="AE1286" s="197">
        <f t="shared" ref="AE1286:AE1349" ca="1" si="290">V1286+X1286-AD1286</f>
        <v>3180441.9519834104</v>
      </c>
      <c r="AF1286" s="196">
        <f>IFERROR(G1286/SUMIF(A:A,A1286,G:G)*SUMIF(Summary!$A$166:$A$242,'Operations Support'!A1286,Summary!$Q$166:$Q$242),0)</f>
        <v>726939.23657769465</v>
      </c>
      <c r="AG1286" s="196">
        <f t="shared" ref="AG1286:AG1349" ca="1" si="291">Y1286+Z1286-AF1286</f>
        <v>3179272.9442010061</v>
      </c>
      <c r="AI1286" s="196">
        <f>IFERROR($G1286/SUMIF($A:$A,$A1286,$G:$G)*SUMIF(Summary!$A$247:$A$283,$A1286,Summary!$P$247:$P$283),0)</f>
        <v>132362.37833808857</v>
      </c>
      <c r="AJ1286" s="196">
        <f>IFERROR($G1286/SUMIF($A:$A,$A1286,$G:$G)*(SUMIF(Summary!$A$247:$A$283,$A1286,Summary!$L$247:$L$283)+SUMIF(Summary!$A$297:$A$333,$A1286,Summary!$L$297:$L$333))-AI1286,0)</f>
        <v>515053.24432036892</v>
      </c>
      <c r="AK1286" s="196">
        <f>IFERROR($G1286/SUMIF($A:$A,$A1286,$G:$G)*SUMIF(Summary!$A$247:$A$283,$A1286,Summary!$Q$247:$Q$283),0)</f>
        <v>132575.57618533509</v>
      </c>
      <c r="AL1286" s="196">
        <f>IFERROR($G1286/SUMIF($A:$A,$A1286,$G:$G)*(SUMIF(Summary!$A$247:$A$283,$A1286,Summary!$L$247:$L$283)+SUMIF(Summary!$A$297:$A$333,$A1286,Summary!$L$297:$L$333))-AK1286,0)</f>
        <v>514840.04647312243</v>
      </c>
      <c r="AM1286" s="198"/>
      <c r="AN1286" s="196">
        <f t="shared" ref="AN1286:AN1349" ca="1" si="292">AE1286+AJ1286</f>
        <v>3695495.1963037793</v>
      </c>
      <c r="AO1286" s="196">
        <f t="shared" ref="AO1286:AO1349" ca="1" si="293">AG1286+AL1286</f>
        <v>3694112.9906741288</v>
      </c>
    </row>
    <row r="1287" spans="1:41">
      <c r="A1287" s="189">
        <v>3631</v>
      </c>
      <c r="B1287" s="190">
        <v>2</v>
      </c>
      <c r="C1287" s="191" t="s">
        <v>221</v>
      </c>
      <c r="D1287" s="192">
        <f t="shared" si="280"/>
        <v>9133</v>
      </c>
      <c r="E1287" s="192">
        <f t="shared" si="281"/>
        <v>6626</v>
      </c>
      <c r="F1287" s="192">
        <f t="shared" si="282"/>
        <v>0</v>
      </c>
      <c r="G1287" s="193">
        <f t="shared" si="283"/>
        <v>15759</v>
      </c>
      <c r="H1287" s="194">
        <v>4438</v>
      </c>
      <c r="I1287" s="194">
        <v>3058</v>
      </c>
      <c r="J1287" s="194">
        <v>0</v>
      </c>
      <c r="K1287" s="193">
        <f t="shared" si="284"/>
        <v>7496</v>
      </c>
      <c r="L1287" s="194">
        <v>3944</v>
      </c>
      <c r="M1287" s="194">
        <v>2454</v>
      </c>
      <c r="N1287" s="194">
        <v>0</v>
      </c>
      <c r="O1287" s="193">
        <f t="shared" si="285"/>
        <v>6398</v>
      </c>
      <c r="P1287" s="194">
        <v>751</v>
      </c>
      <c r="Q1287" s="194">
        <v>1114</v>
      </c>
      <c r="R1287" s="194">
        <v>0</v>
      </c>
      <c r="S1287" s="193">
        <f t="shared" si="286"/>
        <v>1865</v>
      </c>
      <c r="T1287" s="193">
        <f t="shared" si="287"/>
        <v>525.29999999999995</v>
      </c>
      <c r="U1287" s="193">
        <f ca="1">OFFSET('Expenditure Study'!$B$7,'Operations Support'!$C1287,'Operations Support'!$B1287)*$G1287</f>
        <v>41446.17</v>
      </c>
      <c r="V1287" s="199">
        <f ca="1">U1287*'Expenditure Study'!$B$31</f>
        <v>2448771.5555775361</v>
      </c>
      <c r="W1287" s="199">
        <f ca="1">IF(A1287=10298,1.51,1)*IF($B1287&lt;3,$D1287*'Expenditure Study'!$B$32*OFFSET('Expenditure Study'!$B$7,'Operations Support'!$C1287,'Operations Support'!$B1287),0)</f>
        <v>2401.9790000000003</v>
      </c>
      <c r="X1287" s="200">
        <f ca="1">W1287*'Expenditure Study'!$B$31</f>
        <v>141916.55953480321</v>
      </c>
      <c r="Y1287" s="199">
        <f ca="1">U1287*'Expenditure Study'!$B$31</f>
        <v>2448771.5555775361</v>
      </c>
      <c r="Z1287" s="200">
        <f ca="1">W1287*'Expenditure Study'!$B$31</f>
        <v>141916.55953480321</v>
      </c>
      <c r="AA1287" s="195">
        <f t="shared" ca="1" si="288"/>
        <v>2590688.1151123391</v>
      </c>
      <c r="AB1287" s="195">
        <f t="shared" ca="1" si="289"/>
        <v>2590688.1151123391</v>
      </c>
      <c r="AD1287" s="196">
        <f>IFERROR($G1287/SUMIF($A:$A,$A1287,$G:$G)*SUMIF(Summary!$A$166:$A$242,$A1287,Summary!$P$166:$P$242),0)</f>
        <v>330207.95783656149</v>
      </c>
      <c r="AE1287" s="197">
        <f t="shared" ca="1" si="290"/>
        <v>2260480.1572757778</v>
      </c>
      <c r="AF1287" s="196">
        <f>IFERROR(G1287/SUMIF(A:A,A1287,G:G)*SUMIF(Summary!$A$166:$A$242,'Operations Support'!A1287,Summary!$Q$166:$Q$242),0)</f>
        <v>330739.82819608768</v>
      </c>
      <c r="AG1287" s="196">
        <f t="shared" ca="1" si="291"/>
        <v>2259948.2869162513</v>
      </c>
      <c r="AI1287" s="196">
        <f>IFERROR($G1287/SUMIF($A:$A,$A1287,$G:$G)*SUMIF(Summary!$A$247:$A$283,$A1287,Summary!$P$247:$P$283),0)</f>
        <v>60221.691261654807</v>
      </c>
      <c r="AJ1287" s="196">
        <f>IFERROR($G1287/SUMIF($A:$A,$A1287,$G:$G)*(SUMIF(Summary!$A$247:$A$283,$A1287,Summary!$L$247:$L$283)+SUMIF(Summary!$A$297:$A$333,$A1287,Summary!$L$297:$L$333))-AI1287,0)</f>
        <v>234336.80969035122</v>
      </c>
      <c r="AK1287" s="196">
        <f>IFERROR($G1287/SUMIF($A:$A,$A1287,$G:$G)*SUMIF(Summary!$A$247:$A$283,$A1287,Summary!$Q$247:$Q$283),0)</f>
        <v>60318.691142555523</v>
      </c>
      <c r="AL1287" s="196">
        <f>IFERROR($G1287/SUMIF($A:$A,$A1287,$G:$G)*(SUMIF(Summary!$A$247:$A$283,$A1287,Summary!$L$247:$L$283)+SUMIF(Summary!$A$297:$A$333,$A1287,Summary!$L$297:$L$333))-AK1287,0)</f>
        <v>234239.8098094505</v>
      </c>
      <c r="AM1287" s="198"/>
      <c r="AN1287" s="196">
        <f t="shared" ca="1" si="292"/>
        <v>2494816.9669661289</v>
      </c>
      <c r="AO1287" s="196">
        <f t="shared" ca="1" si="293"/>
        <v>2494188.0967257018</v>
      </c>
    </row>
    <row r="1288" spans="1:41">
      <c r="A1288" s="189">
        <v>3631</v>
      </c>
      <c r="B1288" s="190">
        <v>2</v>
      </c>
      <c r="C1288" s="191" t="s">
        <v>222</v>
      </c>
      <c r="D1288" s="192">
        <f t="shared" si="280"/>
        <v>1709</v>
      </c>
      <c r="E1288" s="192">
        <f t="shared" si="281"/>
        <v>669</v>
      </c>
      <c r="F1288" s="192">
        <f t="shared" si="282"/>
        <v>0</v>
      </c>
      <c r="G1288" s="193">
        <f t="shared" si="283"/>
        <v>2378</v>
      </c>
      <c r="H1288" s="194">
        <v>798</v>
      </c>
      <c r="I1288" s="194">
        <v>306</v>
      </c>
      <c r="J1288" s="194">
        <v>0</v>
      </c>
      <c r="K1288" s="193">
        <f t="shared" si="284"/>
        <v>1104</v>
      </c>
      <c r="L1288" s="194">
        <v>887</v>
      </c>
      <c r="M1288" s="194">
        <v>363</v>
      </c>
      <c r="N1288" s="194">
        <v>0</v>
      </c>
      <c r="O1288" s="193">
        <f t="shared" si="285"/>
        <v>1250</v>
      </c>
      <c r="P1288" s="194">
        <v>24</v>
      </c>
      <c r="Q1288" s="194">
        <v>0</v>
      </c>
      <c r="R1288" s="194">
        <v>0</v>
      </c>
      <c r="S1288" s="193">
        <f t="shared" si="286"/>
        <v>24</v>
      </c>
      <c r="T1288" s="193">
        <f t="shared" si="287"/>
        <v>79.266666666666666</v>
      </c>
      <c r="U1288" s="193">
        <f ca="1">OFFSET('Expenditure Study'!$B$7,'Operations Support'!$C1288,'Operations Support'!$B1288)*$G1288</f>
        <v>6325.4800000000005</v>
      </c>
      <c r="V1288" s="199">
        <f ca="1">U1288*'Expenditure Study'!$B$31</f>
        <v>373729.47848678404</v>
      </c>
      <c r="W1288" s="199">
        <f ca="1">IF(A1288=10298,1.51,1)*IF($B1288&lt;3,$D1288*'Expenditure Study'!$B$32*OFFSET('Expenditure Study'!$B$7,'Operations Support'!$C1288,'Operations Support'!$B1288),0)</f>
        <v>454.59400000000005</v>
      </c>
      <c r="X1288" s="200">
        <f ca="1">W1288*'Expenditure Study'!$B$31</f>
        <v>26858.859492595202</v>
      </c>
      <c r="Y1288" s="199">
        <f ca="1">U1288*'Expenditure Study'!$B$31</f>
        <v>373729.47848678404</v>
      </c>
      <c r="Z1288" s="200">
        <f ca="1">W1288*'Expenditure Study'!$B$31</f>
        <v>26858.859492595202</v>
      </c>
      <c r="AA1288" s="195">
        <f t="shared" ca="1" si="288"/>
        <v>400588.33797937923</v>
      </c>
      <c r="AB1288" s="195">
        <f t="shared" ca="1" si="289"/>
        <v>400588.33797937923</v>
      </c>
      <c r="AD1288" s="196">
        <f>IFERROR($G1288/SUMIF($A:$A,$A1288,$G:$G)*SUMIF(Summary!$A$166:$A$242,$A1288,Summary!$P$166:$P$242),0)</f>
        <v>49827.68727300864</v>
      </c>
      <c r="AE1288" s="197">
        <f t="shared" ca="1" si="290"/>
        <v>350760.65070637059</v>
      </c>
      <c r="AF1288" s="196">
        <f>IFERROR(G1288/SUMIF(A:A,A1288,G:G)*SUMIF(Summary!$A$166:$A$242,'Operations Support'!A1288,Summary!$Q$166:$Q$242),0)</f>
        <v>49907.945393127513</v>
      </c>
      <c r="AG1288" s="196">
        <f t="shared" ca="1" si="291"/>
        <v>350680.39258625172</v>
      </c>
      <c r="AI1288" s="196">
        <f>IFERROR($G1288/SUMIF($A:$A,$A1288,$G:$G)*SUMIF(Summary!$A$247:$A$283,$A1288,Summary!$P$247:$P$283),0)</f>
        <v>9087.326722521424</v>
      </c>
      <c r="AJ1288" s="196">
        <f>IFERROR($G1288/SUMIF($A:$A,$A1288,$G:$G)*(SUMIF(Summary!$A$247:$A$283,$A1288,Summary!$L$247:$L$283)+SUMIF(Summary!$A$297:$A$333,$A1288,Summary!$L$297:$L$333))-AI1288,0)</f>
        <v>35360.93238426646</v>
      </c>
      <c r="AK1288" s="196">
        <f>IFERROR($G1288/SUMIF($A:$A,$A1288,$G:$G)*SUMIF(Summary!$A$247:$A$283,$A1288,Summary!$Q$247:$Q$283),0)</f>
        <v>9101.9638008120455</v>
      </c>
      <c r="AL1288" s="196">
        <f>IFERROR($G1288/SUMIF($A:$A,$A1288,$G:$G)*(SUMIF(Summary!$A$247:$A$283,$A1288,Summary!$L$247:$L$283)+SUMIF(Summary!$A$297:$A$333,$A1288,Summary!$L$297:$L$333))-AK1288,0)</f>
        <v>35346.295305975837</v>
      </c>
      <c r="AM1288" s="198"/>
      <c r="AN1288" s="196">
        <f t="shared" ca="1" si="292"/>
        <v>386121.58309063705</v>
      </c>
      <c r="AO1288" s="196">
        <f t="shared" ca="1" si="293"/>
        <v>386026.68789222755</v>
      </c>
    </row>
    <row r="1289" spans="1:41">
      <c r="A1289" s="189">
        <v>3631</v>
      </c>
      <c r="B1289" s="190">
        <v>2</v>
      </c>
      <c r="C1289" s="191" t="s">
        <v>223</v>
      </c>
      <c r="D1289" s="192">
        <f t="shared" si="280"/>
        <v>6030</v>
      </c>
      <c r="E1289" s="192">
        <f t="shared" si="281"/>
        <v>7791</v>
      </c>
      <c r="F1289" s="192">
        <f t="shared" si="282"/>
        <v>0</v>
      </c>
      <c r="G1289" s="193">
        <f t="shared" si="283"/>
        <v>13821</v>
      </c>
      <c r="H1289" s="194">
        <v>2520</v>
      </c>
      <c r="I1289" s="194">
        <v>3957</v>
      </c>
      <c r="J1289" s="194">
        <v>0</v>
      </c>
      <c r="K1289" s="193">
        <f t="shared" si="284"/>
        <v>6477</v>
      </c>
      <c r="L1289" s="194">
        <v>2799</v>
      </c>
      <c r="M1289" s="194">
        <v>2835</v>
      </c>
      <c r="N1289" s="194">
        <v>0</v>
      </c>
      <c r="O1289" s="193">
        <f t="shared" si="285"/>
        <v>5634</v>
      </c>
      <c r="P1289" s="194">
        <v>711</v>
      </c>
      <c r="Q1289" s="194">
        <v>999</v>
      </c>
      <c r="R1289" s="194">
        <v>0</v>
      </c>
      <c r="S1289" s="193">
        <f t="shared" si="286"/>
        <v>1710</v>
      </c>
      <c r="T1289" s="193">
        <f t="shared" si="287"/>
        <v>460.7</v>
      </c>
      <c r="U1289" s="193">
        <f ca="1">OFFSET('Expenditure Study'!$B$7,'Operations Support'!$C1289,'Operations Support'!$B1289)*$G1289</f>
        <v>26259.899999999998</v>
      </c>
      <c r="V1289" s="199">
        <f ca="1">U1289*'Expenditure Study'!$B$31</f>
        <v>1551518.4194899199</v>
      </c>
      <c r="W1289" s="199">
        <f ca="1">IF(A1289=10298,1.51,1)*IF($B1289&lt;3,$D1289*'Expenditure Study'!$B$32*OFFSET('Expenditure Study'!$B$7,'Operations Support'!$C1289,'Operations Support'!$B1289),0)</f>
        <v>1145.7</v>
      </c>
      <c r="X1289" s="200">
        <f ca="1">W1289*'Expenditure Study'!$B$31</f>
        <v>67691.600242560002</v>
      </c>
      <c r="Y1289" s="199">
        <f ca="1">U1289*'Expenditure Study'!$B$31</f>
        <v>1551518.4194899199</v>
      </c>
      <c r="Z1289" s="200">
        <f ca="1">W1289*'Expenditure Study'!$B$31</f>
        <v>67691.600242560002</v>
      </c>
      <c r="AA1289" s="195">
        <f t="shared" ca="1" si="288"/>
        <v>1619210.0197324799</v>
      </c>
      <c r="AB1289" s="195">
        <f t="shared" ca="1" si="289"/>
        <v>1619210.0197324799</v>
      </c>
      <c r="AD1289" s="196">
        <f>IFERROR($G1289/SUMIF($A:$A,$A1289,$G:$G)*SUMIF(Summary!$A$166:$A$242,$A1289,Summary!$P$166:$P$242),0)</f>
        <v>289599.85946183867</v>
      </c>
      <c r="AE1289" s="197">
        <f t="shared" ca="1" si="290"/>
        <v>1329610.1602706413</v>
      </c>
      <c r="AF1289" s="196">
        <f>IFERROR(G1289/SUMIF(A:A,A1289,G:G)*SUMIF(Summary!$A$166:$A$242,'Operations Support'!A1289,Summary!$Q$166:$Q$242),0)</f>
        <v>290066.32181598624</v>
      </c>
      <c r="AG1289" s="196">
        <f t="shared" ca="1" si="291"/>
        <v>1329143.6979164938</v>
      </c>
      <c r="AI1289" s="196">
        <f>IFERROR($G1289/SUMIF($A:$A,$A1289,$G:$G)*SUMIF(Summary!$A$247:$A$283,$A1289,Summary!$P$247:$P$283),0)</f>
        <v>52815.787481904372</v>
      </c>
      <c r="AJ1289" s="196">
        <f>IFERROR($G1289/SUMIF($A:$A,$A1289,$G:$G)*(SUMIF(Summary!$A$247:$A$283,$A1289,Summary!$L$247:$L$283)+SUMIF(Summary!$A$297:$A$333,$A1289,Summary!$L$297:$L$333))-AI1289,0)</f>
        <v>205518.69069930475</v>
      </c>
      <c r="AK1289" s="196">
        <f>IFERROR($G1289/SUMIF($A:$A,$A1289,$G:$G)*SUMIF(Summary!$A$247:$A$283,$A1289,Summary!$Q$247:$Q$283),0)</f>
        <v>52900.858574862606</v>
      </c>
      <c r="AL1289" s="196">
        <f>IFERROR($G1289/SUMIF($A:$A,$A1289,$G:$G)*(SUMIF(Summary!$A$247:$A$283,$A1289,Summary!$L$247:$L$283)+SUMIF(Summary!$A$297:$A$333,$A1289,Summary!$L$297:$L$333))-AK1289,0)</f>
        <v>205433.61960634653</v>
      </c>
      <c r="AM1289" s="198"/>
      <c r="AN1289" s="196">
        <f t="shared" ca="1" si="292"/>
        <v>1535128.850969946</v>
      </c>
      <c r="AO1289" s="196">
        <f t="shared" ca="1" si="293"/>
        <v>1534577.3175228403</v>
      </c>
    </row>
    <row r="1290" spans="1:41">
      <c r="A1290" s="189">
        <v>3631</v>
      </c>
      <c r="B1290" s="190">
        <v>2</v>
      </c>
      <c r="C1290" s="191" t="s">
        <v>224</v>
      </c>
      <c r="D1290" s="192">
        <f t="shared" si="280"/>
        <v>10927.95000000001</v>
      </c>
      <c r="E1290" s="192">
        <f t="shared" si="281"/>
        <v>4336.05</v>
      </c>
      <c r="F1290" s="192">
        <f t="shared" si="282"/>
        <v>0</v>
      </c>
      <c r="G1290" s="193">
        <f t="shared" si="283"/>
        <v>15264.000000000011</v>
      </c>
      <c r="H1290" s="194">
        <v>4829.1000000000104</v>
      </c>
      <c r="I1290" s="194">
        <v>2208.9</v>
      </c>
      <c r="J1290" s="194">
        <v>0</v>
      </c>
      <c r="K1290" s="193">
        <f t="shared" si="284"/>
        <v>7038.0000000000109</v>
      </c>
      <c r="L1290" s="194">
        <v>4198.45</v>
      </c>
      <c r="M1290" s="194">
        <v>1864.55</v>
      </c>
      <c r="N1290" s="194">
        <v>0</v>
      </c>
      <c r="O1290" s="193">
        <f t="shared" si="285"/>
        <v>6063</v>
      </c>
      <c r="P1290" s="194">
        <v>1900.4</v>
      </c>
      <c r="Q1290" s="194">
        <v>262.60000000000002</v>
      </c>
      <c r="R1290" s="194">
        <v>0</v>
      </c>
      <c r="S1290" s="193">
        <f t="shared" si="286"/>
        <v>2163</v>
      </c>
      <c r="T1290" s="193">
        <f t="shared" si="287"/>
        <v>508.80000000000035</v>
      </c>
      <c r="U1290" s="193">
        <f ca="1">OFFSET('Expenditure Study'!$B$7,'Operations Support'!$C1290,'Operations Support'!$B1290)*$G1290</f>
        <v>34649.280000000028</v>
      </c>
      <c r="V1290" s="199">
        <f ca="1">U1290*'Expenditure Study'!$B$31</f>
        <v>2047189.6748298258</v>
      </c>
      <c r="W1290" s="199">
        <f ca="1">IF(A1290=10298,1.51,1)*IF($B1290&lt;3,$D1290*'Expenditure Study'!$B$32*OFFSET('Expenditure Study'!$B$7,'Operations Support'!$C1290,'Operations Support'!$B1290),0)</f>
        <v>2480.6446500000025</v>
      </c>
      <c r="X1290" s="200">
        <f ca="1">W1290*'Expenditure Study'!$B$31</f>
        <v>146564.37635650288</v>
      </c>
      <c r="Y1290" s="199">
        <f ca="1">U1290*'Expenditure Study'!$B$31</f>
        <v>2047189.6748298258</v>
      </c>
      <c r="Z1290" s="200">
        <f ca="1">W1290*'Expenditure Study'!$B$31</f>
        <v>146564.37635650288</v>
      </c>
      <c r="AA1290" s="195">
        <f t="shared" ca="1" si="288"/>
        <v>2193754.0511863288</v>
      </c>
      <c r="AB1290" s="195">
        <f t="shared" ca="1" si="289"/>
        <v>2193754.0511863288</v>
      </c>
      <c r="AD1290" s="196">
        <f>IFERROR($G1290/SUMIF($A:$A,$A1290,$G:$G)*SUMIF(Summary!$A$166:$A$242,$A1290,Summary!$P$166:$P$242),0)</f>
        <v>319835.92032599007</v>
      </c>
      <c r="AE1290" s="197">
        <f t="shared" ca="1" si="290"/>
        <v>1873918.1308603387</v>
      </c>
      <c r="AF1290" s="196">
        <f>IFERROR(G1290/SUMIF(A:A,A1290,G:G)*SUMIF(Summary!$A$166:$A$242,'Operations Support'!A1290,Summary!$Q$166:$Q$242),0)</f>
        <v>320351.08430643351</v>
      </c>
      <c r="AG1290" s="196">
        <f t="shared" ca="1" si="291"/>
        <v>1873402.9668798952</v>
      </c>
      <c r="AI1290" s="196">
        <f>IFERROR($G1290/SUMIF($A:$A,$A1290,$G:$G)*SUMIF(Summary!$A$247:$A$283,$A1290,Summary!$P$247:$P$283),0)</f>
        <v>58330.090451037475</v>
      </c>
      <c r="AJ1290" s="196">
        <f>IFERROR($G1290/SUMIF($A:$A,$A1290,$G:$G)*(SUMIF(Summary!$A$247:$A$283,$A1290,Summary!$L$247:$L$283)+SUMIF(Summary!$A$297:$A$333,$A1290,Summary!$L$297:$L$333))-AI1290,0)</f>
        <v>226976.14462297878</v>
      </c>
      <c r="AK1290" s="196">
        <f>IFERROR($G1290/SUMIF($A:$A,$A1290,$G:$G)*SUMIF(Summary!$A$247:$A$283,$A1290,Summary!$Q$247:$Q$283),0)</f>
        <v>58424.043505296533</v>
      </c>
      <c r="AL1290" s="196">
        <f>IFERROR($G1290/SUMIF($A:$A,$A1290,$G:$G)*(SUMIF(Summary!$A$247:$A$283,$A1290,Summary!$L$247:$L$283)+SUMIF(Summary!$A$297:$A$333,$A1290,Summary!$L$297:$L$333))-AK1290,0)</f>
        <v>226882.19156871975</v>
      </c>
      <c r="AM1290" s="198"/>
      <c r="AN1290" s="196">
        <f t="shared" ca="1" si="292"/>
        <v>2100894.2754833177</v>
      </c>
      <c r="AO1290" s="196">
        <f t="shared" ca="1" si="293"/>
        <v>2100285.1584486151</v>
      </c>
    </row>
    <row r="1291" spans="1:41" s="201" customFormat="1">
      <c r="A1291" s="189">
        <v>3631</v>
      </c>
      <c r="B1291" s="190">
        <v>2</v>
      </c>
      <c r="C1291" s="191" t="s">
        <v>225</v>
      </c>
      <c r="D1291" s="192">
        <f t="shared" si="280"/>
        <v>4259.1000000000004</v>
      </c>
      <c r="E1291" s="192">
        <f t="shared" si="281"/>
        <v>3897.9</v>
      </c>
      <c r="F1291" s="192">
        <f t="shared" si="282"/>
        <v>0</v>
      </c>
      <c r="G1291" s="193">
        <f t="shared" si="283"/>
        <v>8157</v>
      </c>
      <c r="H1291" s="194">
        <v>2065</v>
      </c>
      <c r="I1291" s="194">
        <v>1901</v>
      </c>
      <c r="J1291" s="194">
        <v>0</v>
      </c>
      <c r="K1291" s="193">
        <f t="shared" si="284"/>
        <v>3966</v>
      </c>
      <c r="L1291" s="194">
        <v>1837.1</v>
      </c>
      <c r="M1291" s="194">
        <v>1534.9</v>
      </c>
      <c r="N1291" s="194">
        <v>0</v>
      </c>
      <c r="O1291" s="193">
        <f t="shared" si="285"/>
        <v>3372</v>
      </c>
      <c r="P1291" s="194">
        <v>357</v>
      </c>
      <c r="Q1291" s="194">
        <v>462</v>
      </c>
      <c r="R1291" s="194">
        <v>0</v>
      </c>
      <c r="S1291" s="193">
        <f t="shared" si="286"/>
        <v>819</v>
      </c>
      <c r="T1291" s="193">
        <f t="shared" si="287"/>
        <v>271.89999999999998</v>
      </c>
      <c r="U1291" s="193">
        <f ca="1">OFFSET('Expenditure Study'!$B$7,'Operations Support'!$C1291,'Operations Support'!$B1291)*$G1291</f>
        <v>22839.599999999999</v>
      </c>
      <c r="V1291" s="199">
        <f ca="1">U1291*'Expenditure Study'!$B$31</f>
        <v>1349436.21619968</v>
      </c>
      <c r="W1291" s="199">
        <f ca="1">IF(A1291=10298,1.51,1)*IF($B1291&lt;3,$D1291*'Expenditure Study'!$B$32*OFFSET('Expenditure Study'!$B$7,'Operations Support'!$C1291,'Operations Support'!$B1291),0)</f>
        <v>1192.5480000000002</v>
      </c>
      <c r="X1291" s="200">
        <f ca="1">W1291*'Expenditure Study'!$B$31</f>
        <v>70459.529096678409</v>
      </c>
      <c r="Y1291" s="199">
        <f ca="1">U1291*'Expenditure Study'!$B$31</f>
        <v>1349436.21619968</v>
      </c>
      <c r="Z1291" s="200">
        <f ca="1">W1291*'Expenditure Study'!$B$31</f>
        <v>70459.529096678409</v>
      </c>
      <c r="AA1291" s="195">
        <f t="shared" ca="1" si="288"/>
        <v>1419895.7452963584</v>
      </c>
      <c r="AB1291" s="195">
        <f t="shared" ca="1" si="289"/>
        <v>1419895.7452963584</v>
      </c>
      <c r="AD1291" s="196">
        <f>IFERROR($G1291/SUMIF($A:$A,$A1291,$G:$G)*SUMIF(Summary!$A$166:$A$242,$A1291,Summary!$P$166:$P$242),0)</f>
        <v>170918.60600754057</v>
      </c>
      <c r="AE1291" s="197">
        <f t="shared" ca="1" si="290"/>
        <v>1248977.1392888178</v>
      </c>
      <c r="AF1291" s="196">
        <f>IFERROR(G1291/SUMIF(A:A,A1291,G:G)*SUMIF(Summary!$A$166:$A$242,'Operations Support'!A1291,Summary!$Q$166:$Q$242),0)</f>
        <v>171193.90688466828</v>
      </c>
      <c r="AG1291" s="196">
        <f t="shared" ca="1" si="291"/>
        <v>1248701.8384116902</v>
      </c>
      <c r="AH1291" s="180"/>
      <c r="AI1291" s="196">
        <f>IFERROR($G1291/SUMIF($A:$A,$A1291,$G:$G)*SUMIF(Summary!$A$247:$A$283,$A1291,Summary!$P$247:$P$283),0)</f>
        <v>31171.288509506841</v>
      </c>
      <c r="AJ1291" s="196">
        <f>IFERROR($G1291/SUMIF($A:$A,$A1291,$G:$G)*(SUMIF(Summary!$A$247:$A$283,$A1291,Summary!$L$247:$L$283)+SUMIF(Summary!$A$297:$A$333,$A1291,Summary!$L$297:$L$333))-AI1291,0)</f>
        <v>121294.83829203594</v>
      </c>
      <c r="AK1291" s="196">
        <f>IFERROR($G1291/SUMIF($A:$A,$A1291,$G:$G)*SUMIF(Summary!$A$247:$A$283,$A1291,Summary!$Q$247:$Q$283),0)</f>
        <v>31221.496519438126</v>
      </c>
      <c r="AL1291" s="196">
        <f>IFERROR($G1291/SUMIF($A:$A,$A1291,$G:$G)*(SUMIF(Summary!$A$247:$A$283,$A1291,Summary!$L$247:$L$283)+SUMIF(Summary!$A$297:$A$333,$A1291,Summary!$L$297:$L$333))-AK1291,0)</f>
        <v>121244.63028210467</v>
      </c>
      <c r="AM1291" s="198"/>
      <c r="AN1291" s="196">
        <f t="shared" ca="1" si="292"/>
        <v>1370271.9775808537</v>
      </c>
      <c r="AO1291" s="196">
        <f t="shared" ca="1" si="293"/>
        <v>1369946.4686937949</v>
      </c>
    </row>
    <row r="1292" spans="1:41">
      <c r="A1292" s="189">
        <v>3631</v>
      </c>
      <c r="B1292" s="190">
        <v>2</v>
      </c>
      <c r="C1292" s="191" t="s">
        <v>226</v>
      </c>
      <c r="D1292" s="192">
        <f t="shared" si="280"/>
        <v>1365</v>
      </c>
      <c r="E1292" s="192">
        <f t="shared" si="281"/>
        <v>1314</v>
      </c>
      <c r="F1292" s="192">
        <f t="shared" si="282"/>
        <v>0</v>
      </c>
      <c r="G1292" s="193">
        <f t="shared" si="283"/>
        <v>2679</v>
      </c>
      <c r="H1292" s="194">
        <v>552</v>
      </c>
      <c r="I1292" s="194">
        <v>582</v>
      </c>
      <c r="J1292" s="194">
        <v>0</v>
      </c>
      <c r="K1292" s="193">
        <f t="shared" si="284"/>
        <v>1134</v>
      </c>
      <c r="L1292" s="194">
        <v>423</v>
      </c>
      <c r="M1292" s="194">
        <v>597</v>
      </c>
      <c r="N1292" s="194">
        <v>0</v>
      </c>
      <c r="O1292" s="193">
        <f t="shared" si="285"/>
        <v>1020</v>
      </c>
      <c r="P1292" s="194">
        <v>390</v>
      </c>
      <c r="Q1292" s="194">
        <v>135</v>
      </c>
      <c r="R1292" s="194">
        <v>0</v>
      </c>
      <c r="S1292" s="193">
        <f t="shared" si="286"/>
        <v>525</v>
      </c>
      <c r="T1292" s="193">
        <f t="shared" si="287"/>
        <v>89.3</v>
      </c>
      <c r="U1292" s="193">
        <f ca="1">OFFSET('Expenditure Study'!$B$7,'Operations Support'!$C1292,'Operations Support'!$B1292)*$G1292</f>
        <v>4822.2</v>
      </c>
      <c r="V1292" s="199">
        <f ca="1">U1292*'Expenditure Study'!$B$31</f>
        <v>284910.91445376002</v>
      </c>
      <c r="W1292" s="199">
        <f ca="1">IF(A1292=10298,1.51,1)*IF($B1292&lt;3,$D1292*'Expenditure Study'!$B$32*OFFSET('Expenditure Study'!$B$7,'Operations Support'!$C1292,'Operations Support'!$B1292),0)</f>
        <v>245.70000000000002</v>
      </c>
      <c r="X1292" s="200">
        <f ca="1">W1292*'Expenditure Study'!$B$31</f>
        <v>14516.737522560001</v>
      </c>
      <c r="Y1292" s="199">
        <f ca="1">U1292*'Expenditure Study'!$B$31</f>
        <v>284910.91445376002</v>
      </c>
      <c r="Z1292" s="200">
        <f ca="1">W1292*'Expenditure Study'!$B$31</f>
        <v>14516.737522560001</v>
      </c>
      <c r="AA1292" s="195">
        <f t="shared" ca="1" si="288"/>
        <v>299427.65197632002</v>
      </c>
      <c r="AB1292" s="195">
        <f t="shared" ca="1" si="289"/>
        <v>299427.65197632002</v>
      </c>
      <c r="AD1292" s="196">
        <f>IFERROR($G1292/SUMIF($A:$A,$A1292,$G:$G)*SUMIF(Summary!$A$166:$A$242,$A1292,Summary!$P$166:$P$242),0)</f>
        <v>56134.72422388148</v>
      </c>
      <c r="AE1292" s="197">
        <f t="shared" ca="1" si="290"/>
        <v>243292.92775243853</v>
      </c>
      <c r="AF1292" s="196">
        <f>IFERROR(G1292/SUMIF(A:A,A1292,G:G)*SUMIF(Summary!$A$166:$A$242,'Operations Support'!A1292,Summary!$Q$166:$Q$242),0)</f>
        <v>56225.141172493109</v>
      </c>
      <c r="AG1292" s="196">
        <f t="shared" ca="1" si="291"/>
        <v>243202.51080382691</v>
      </c>
      <c r="AI1292" s="196">
        <f>IFERROR($G1292/SUMIF($A:$A,$A1292,$G:$G)*SUMIF(Summary!$A$247:$A$283,$A1292,Summary!$P$247:$P$283),0)</f>
        <v>10237.572872007946</v>
      </c>
      <c r="AJ1292" s="196">
        <f>IFERROR($G1292/SUMIF($A:$A,$A1292,$G:$G)*(SUMIF(Summary!$A$247:$A$283,$A1292,Summary!$L$247:$L$283)+SUMIF(Summary!$A$297:$A$333,$A1292,Summary!$L$297:$L$333))-AI1292,0)</f>
        <v>39836.811546446523</v>
      </c>
      <c r="AK1292" s="196">
        <f>IFERROR($G1292/SUMIF($A:$A,$A1292,$G:$G)*SUMIF(Summary!$A$247:$A$283,$A1292,Summary!$Q$247:$Q$283),0)</f>
        <v>10254.062667104909</v>
      </c>
      <c r="AL1292" s="196">
        <f>IFERROR($G1292/SUMIF($A:$A,$A1292,$G:$G)*(SUMIF(Summary!$A$247:$A$283,$A1292,Summary!$L$247:$L$283)+SUMIF(Summary!$A$297:$A$333,$A1292,Summary!$L$297:$L$333))-AK1292,0)</f>
        <v>39820.321751349562</v>
      </c>
      <c r="AM1292" s="198"/>
      <c r="AN1292" s="196">
        <f t="shared" ca="1" si="292"/>
        <v>283129.73929888505</v>
      </c>
      <c r="AO1292" s="196">
        <f t="shared" ca="1" si="293"/>
        <v>283022.83255517646</v>
      </c>
    </row>
    <row r="1293" spans="1:41">
      <c r="A1293" s="189">
        <v>3631</v>
      </c>
      <c r="B1293" s="190">
        <v>2</v>
      </c>
      <c r="C1293" s="191" t="s">
        <v>227</v>
      </c>
      <c r="D1293" s="192">
        <f t="shared" si="280"/>
        <v>0</v>
      </c>
      <c r="E1293" s="192">
        <f t="shared" si="281"/>
        <v>0</v>
      </c>
      <c r="F1293" s="192">
        <f t="shared" si="282"/>
        <v>0</v>
      </c>
      <c r="G1293" s="193">
        <f t="shared" si="283"/>
        <v>0</v>
      </c>
      <c r="H1293" s="194">
        <v>0</v>
      </c>
      <c r="I1293" s="194">
        <v>0</v>
      </c>
      <c r="J1293" s="194">
        <v>0</v>
      </c>
      <c r="K1293" s="193">
        <f t="shared" si="284"/>
        <v>0</v>
      </c>
      <c r="L1293" s="194">
        <v>0</v>
      </c>
      <c r="M1293" s="194">
        <v>0</v>
      </c>
      <c r="N1293" s="194">
        <v>0</v>
      </c>
      <c r="O1293" s="193">
        <f t="shared" si="285"/>
        <v>0</v>
      </c>
      <c r="P1293" s="194">
        <v>0</v>
      </c>
      <c r="Q1293" s="194">
        <v>0</v>
      </c>
      <c r="R1293" s="194">
        <v>0</v>
      </c>
      <c r="S1293" s="193">
        <f t="shared" si="286"/>
        <v>0</v>
      </c>
      <c r="T1293" s="193">
        <f t="shared" si="287"/>
        <v>0</v>
      </c>
      <c r="U1293" s="193">
        <f ca="1">OFFSET('Expenditure Study'!$B$7,'Operations Support'!$C1293,'Operations Support'!$B1293)*$G1293</f>
        <v>0</v>
      </c>
      <c r="V1293" s="199">
        <f ca="1">U1293*'Expenditure Study'!$B$31</f>
        <v>0</v>
      </c>
      <c r="W1293" s="199">
        <f ca="1">IF(A1293=10298,1.51,1)*IF($B1293&lt;3,$D1293*'Expenditure Study'!$B$32*OFFSET('Expenditure Study'!$B$7,'Operations Support'!$C1293,'Operations Support'!$B1293),0)</f>
        <v>0</v>
      </c>
      <c r="X1293" s="200">
        <f ca="1">W1293*'Expenditure Study'!$B$31</f>
        <v>0</v>
      </c>
      <c r="Y1293" s="199">
        <f ca="1">U1293*'Expenditure Study'!$B$31</f>
        <v>0</v>
      </c>
      <c r="Z1293" s="200">
        <f ca="1">W1293*'Expenditure Study'!$B$31</f>
        <v>0</v>
      </c>
      <c r="AA1293" s="195">
        <f t="shared" ca="1" si="288"/>
        <v>0</v>
      </c>
      <c r="AB1293" s="195">
        <f t="shared" ca="1" si="289"/>
        <v>0</v>
      </c>
      <c r="AD1293" s="196">
        <f>IFERROR($G1293/SUMIF($A:$A,$A1293,$G:$G)*SUMIF(Summary!$A$166:$A$242,$A1293,Summary!$P$166:$P$242),0)</f>
        <v>0</v>
      </c>
      <c r="AE1293" s="197">
        <f t="shared" ca="1" si="290"/>
        <v>0</v>
      </c>
      <c r="AF1293" s="196">
        <f>IFERROR(G1293/SUMIF(A:A,A1293,G:G)*SUMIF(Summary!$A$166:$A$242,'Operations Support'!A1293,Summary!$Q$166:$Q$242),0)</f>
        <v>0</v>
      </c>
      <c r="AG1293" s="196">
        <f t="shared" ca="1" si="291"/>
        <v>0</v>
      </c>
      <c r="AI1293" s="196">
        <f>IFERROR($G1293/SUMIF($A:$A,$A1293,$G:$G)*SUMIF(Summary!$A$247:$A$283,$A1293,Summary!$P$247:$P$283),0)</f>
        <v>0</v>
      </c>
      <c r="AJ1293" s="196">
        <f>IFERROR($G1293/SUMIF($A:$A,$A1293,$G:$G)*(SUMIF(Summary!$A$247:$A$283,$A1293,Summary!$L$247:$L$283)+SUMIF(Summary!$A$297:$A$333,$A1293,Summary!$L$297:$L$333))-AI1293,0)</f>
        <v>0</v>
      </c>
      <c r="AK1293" s="196">
        <f>IFERROR($G1293/SUMIF($A:$A,$A1293,$G:$G)*SUMIF(Summary!$A$247:$A$283,$A1293,Summary!$Q$247:$Q$283),0)</f>
        <v>0</v>
      </c>
      <c r="AL1293" s="196">
        <f>IFERROR($G1293/SUMIF($A:$A,$A1293,$G:$G)*(SUMIF(Summary!$A$247:$A$283,$A1293,Summary!$L$247:$L$283)+SUMIF(Summary!$A$297:$A$333,$A1293,Summary!$L$297:$L$333))-AK1293,0)</f>
        <v>0</v>
      </c>
      <c r="AM1293" s="198"/>
      <c r="AN1293" s="196">
        <f t="shared" ca="1" si="292"/>
        <v>0</v>
      </c>
      <c r="AO1293" s="196">
        <f t="shared" ca="1" si="293"/>
        <v>0</v>
      </c>
    </row>
    <row r="1294" spans="1:41">
      <c r="A1294" s="189">
        <v>3631</v>
      </c>
      <c r="B1294" s="190">
        <v>2</v>
      </c>
      <c r="C1294" s="191" t="s">
        <v>228</v>
      </c>
      <c r="D1294" s="192">
        <f t="shared" si="280"/>
        <v>1566</v>
      </c>
      <c r="E1294" s="192">
        <f t="shared" si="281"/>
        <v>2133</v>
      </c>
      <c r="F1294" s="192">
        <f t="shared" si="282"/>
        <v>0</v>
      </c>
      <c r="G1294" s="193">
        <f t="shared" si="283"/>
        <v>3699</v>
      </c>
      <c r="H1294" s="194">
        <v>615</v>
      </c>
      <c r="I1294" s="194">
        <v>960</v>
      </c>
      <c r="J1294" s="194">
        <v>0</v>
      </c>
      <c r="K1294" s="193">
        <f t="shared" si="284"/>
        <v>1575</v>
      </c>
      <c r="L1294" s="194">
        <v>711</v>
      </c>
      <c r="M1294" s="194">
        <v>708</v>
      </c>
      <c r="N1294" s="194">
        <v>0</v>
      </c>
      <c r="O1294" s="193">
        <f t="shared" si="285"/>
        <v>1419</v>
      </c>
      <c r="P1294" s="194">
        <v>240</v>
      </c>
      <c r="Q1294" s="194">
        <v>465</v>
      </c>
      <c r="R1294" s="194">
        <v>0</v>
      </c>
      <c r="S1294" s="193">
        <f t="shared" si="286"/>
        <v>705</v>
      </c>
      <c r="T1294" s="193">
        <f t="shared" si="287"/>
        <v>123.3</v>
      </c>
      <c r="U1294" s="193">
        <f ca="1">OFFSET('Expenditure Study'!$B$7,'Operations Support'!$C1294,'Operations Support'!$B1294)*$G1294</f>
        <v>7065.09</v>
      </c>
      <c r="V1294" s="199">
        <f ca="1">U1294*'Expenditure Study'!$B$31</f>
        <v>417427.98983827204</v>
      </c>
      <c r="W1294" s="199">
        <f ca="1">IF(A1294=10298,1.51,1)*IF($B1294&lt;3,$D1294*'Expenditure Study'!$B$32*OFFSET('Expenditure Study'!$B$7,'Operations Support'!$C1294,'Operations Support'!$B1294),0)</f>
        <v>299.10600000000005</v>
      </c>
      <c r="X1294" s="200">
        <f ca="1">W1294*'Expenditure Study'!$B$31</f>
        <v>17672.133876364802</v>
      </c>
      <c r="Y1294" s="199">
        <f ca="1">U1294*'Expenditure Study'!$B$31</f>
        <v>417427.98983827204</v>
      </c>
      <c r="Z1294" s="200">
        <f ca="1">W1294*'Expenditure Study'!$B$31</f>
        <v>17672.133876364802</v>
      </c>
      <c r="AA1294" s="195">
        <f t="shared" ca="1" si="288"/>
        <v>435100.12371463684</v>
      </c>
      <c r="AB1294" s="195">
        <f t="shared" ca="1" si="289"/>
        <v>435100.12371463684</v>
      </c>
      <c r="AD1294" s="196">
        <f>IFERROR($G1294/SUMIF($A:$A,$A1294,$G:$G)*SUMIF(Summary!$A$166:$A$242,$A1294,Summary!$P$166:$P$242),0)</f>
        <v>77507.407578998726</v>
      </c>
      <c r="AE1294" s="197">
        <f t="shared" ca="1" si="290"/>
        <v>357592.71613563813</v>
      </c>
      <c r="AF1294" s="196">
        <f>IFERROR(G1294/SUMIF(A:A,A1294,G:G)*SUMIF(Summary!$A$166:$A$242,'Operations Support'!A1294,Summary!$Q$166:$Q$242),0)</f>
        <v>77632.249793599098</v>
      </c>
      <c r="AG1294" s="196">
        <f t="shared" ca="1" si="291"/>
        <v>357467.87392103777</v>
      </c>
      <c r="AI1294" s="196">
        <f>IFERROR($G1294/SUMIF($A:$A,$A1294,$G:$G)*SUMIF(Summary!$A$247:$A$283,$A1294,Summary!$P$247:$P$283),0)</f>
        <v>14135.416966613435</v>
      </c>
      <c r="AJ1294" s="196">
        <f>IFERROR($G1294/SUMIF($A:$A,$A1294,$G:$G)*(SUMIF(Summary!$A$247:$A$283,$A1294,Summary!$L$247:$L$283)+SUMIF(Summary!$A$297:$A$333,$A1294,Summary!$L$297:$L$333))-AI1294,0)</f>
        <v>55004.242594365693</v>
      </c>
      <c r="AK1294" s="196">
        <f>IFERROR($G1294/SUMIF($A:$A,$A1294,$G:$G)*SUMIF(Summary!$A$247:$A$283,$A1294,Summary!$Q$247:$Q$283),0)</f>
        <v>14158.185071153808</v>
      </c>
      <c r="AL1294" s="196">
        <f>IFERROR($G1294/SUMIF($A:$A,$A1294,$G:$G)*(SUMIF(Summary!$A$247:$A$283,$A1294,Summary!$L$247:$L$283)+SUMIF(Summary!$A$297:$A$333,$A1294,Summary!$L$297:$L$333))-AK1294,0)</f>
        <v>54981.474489825319</v>
      </c>
      <c r="AM1294" s="198"/>
      <c r="AN1294" s="196">
        <f t="shared" ca="1" si="292"/>
        <v>412596.9587300038</v>
      </c>
      <c r="AO1294" s="196">
        <f t="shared" ca="1" si="293"/>
        <v>412449.34841086308</v>
      </c>
    </row>
    <row r="1295" spans="1:41">
      <c r="A1295" s="189">
        <v>3631</v>
      </c>
      <c r="B1295" s="190">
        <v>2</v>
      </c>
      <c r="C1295" s="191" t="s">
        <v>229</v>
      </c>
      <c r="D1295" s="192">
        <f t="shared" si="280"/>
        <v>0</v>
      </c>
      <c r="E1295" s="192">
        <f t="shared" si="281"/>
        <v>0</v>
      </c>
      <c r="F1295" s="192">
        <f t="shared" si="282"/>
        <v>0</v>
      </c>
      <c r="G1295" s="193">
        <f t="shared" si="283"/>
        <v>0</v>
      </c>
      <c r="H1295" s="194">
        <v>0</v>
      </c>
      <c r="I1295" s="194">
        <v>0</v>
      </c>
      <c r="J1295" s="194">
        <v>0</v>
      </c>
      <c r="K1295" s="193">
        <f t="shared" si="284"/>
        <v>0</v>
      </c>
      <c r="L1295" s="194">
        <v>0</v>
      </c>
      <c r="M1295" s="194">
        <v>0</v>
      </c>
      <c r="N1295" s="194">
        <v>0</v>
      </c>
      <c r="O1295" s="193">
        <f t="shared" si="285"/>
        <v>0</v>
      </c>
      <c r="P1295" s="194">
        <v>0</v>
      </c>
      <c r="Q1295" s="194">
        <v>0</v>
      </c>
      <c r="R1295" s="194">
        <v>0</v>
      </c>
      <c r="S1295" s="193">
        <f t="shared" si="286"/>
        <v>0</v>
      </c>
      <c r="T1295" s="193">
        <f t="shared" si="287"/>
        <v>0</v>
      </c>
      <c r="U1295" s="193">
        <f ca="1">OFFSET('Expenditure Study'!$B$7,'Operations Support'!$C1295,'Operations Support'!$B1295)*$G1295</f>
        <v>0</v>
      </c>
      <c r="V1295" s="199">
        <f ca="1">U1295*'Expenditure Study'!$B$31</f>
        <v>0</v>
      </c>
      <c r="W1295" s="199">
        <f ca="1">IF(A1295=10298,1.51,1)*IF($B1295&lt;3,$D1295*'Expenditure Study'!$B$32*OFFSET('Expenditure Study'!$B$7,'Operations Support'!$C1295,'Operations Support'!$B1295),0)</f>
        <v>0</v>
      </c>
      <c r="X1295" s="200">
        <f ca="1">W1295*'Expenditure Study'!$B$31</f>
        <v>0</v>
      </c>
      <c r="Y1295" s="199">
        <f ca="1">U1295*'Expenditure Study'!$B$31</f>
        <v>0</v>
      </c>
      <c r="Z1295" s="200">
        <f ca="1">W1295*'Expenditure Study'!$B$31</f>
        <v>0</v>
      </c>
      <c r="AA1295" s="195">
        <f t="shared" ca="1" si="288"/>
        <v>0</v>
      </c>
      <c r="AB1295" s="195">
        <f t="shared" ca="1" si="289"/>
        <v>0</v>
      </c>
      <c r="AD1295" s="196">
        <f>IFERROR($G1295/SUMIF($A:$A,$A1295,$G:$G)*SUMIF(Summary!$A$166:$A$242,$A1295,Summary!$P$166:$P$242),0)</f>
        <v>0</v>
      </c>
      <c r="AE1295" s="197">
        <f t="shared" ca="1" si="290"/>
        <v>0</v>
      </c>
      <c r="AF1295" s="196">
        <f>IFERROR(G1295/SUMIF(A:A,A1295,G:G)*SUMIF(Summary!$A$166:$A$242,'Operations Support'!A1295,Summary!$Q$166:$Q$242),0)</f>
        <v>0</v>
      </c>
      <c r="AG1295" s="196">
        <f t="shared" ca="1" si="291"/>
        <v>0</v>
      </c>
      <c r="AI1295" s="196">
        <f>IFERROR($G1295/SUMIF($A:$A,$A1295,$G:$G)*SUMIF(Summary!$A$247:$A$283,$A1295,Summary!$P$247:$P$283),0)</f>
        <v>0</v>
      </c>
      <c r="AJ1295" s="196">
        <f>IFERROR($G1295/SUMIF($A:$A,$A1295,$G:$G)*(SUMIF(Summary!$A$247:$A$283,$A1295,Summary!$L$247:$L$283)+SUMIF(Summary!$A$297:$A$333,$A1295,Summary!$L$297:$L$333))-AI1295,0)</f>
        <v>0</v>
      </c>
      <c r="AK1295" s="196">
        <f>IFERROR($G1295/SUMIF($A:$A,$A1295,$G:$G)*SUMIF(Summary!$A$247:$A$283,$A1295,Summary!$Q$247:$Q$283),0)</f>
        <v>0</v>
      </c>
      <c r="AL1295" s="196">
        <f>IFERROR($G1295/SUMIF($A:$A,$A1295,$G:$G)*(SUMIF(Summary!$A$247:$A$283,$A1295,Summary!$L$247:$L$283)+SUMIF(Summary!$A$297:$A$333,$A1295,Summary!$L$297:$L$333))-AK1295,0)</f>
        <v>0</v>
      </c>
      <c r="AM1295" s="198"/>
      <c r="AN1295" s="196">
        <f t="shared" ca="1" si="292"/>
        <v>0</v>
      </c>
      <c r="AO1295" s="196">
        <f t="shared" ca="1" si="293"/>
        <v>0</v>
      </c>
    </row>
    <row r="1296" spans="1:41">
      <c r="A1296" s="189">
        <v>3631</v>
      </c>
      <c r="B1296" s="190">
        <v>2</v>
      </c>
      <c r="C1296" s="191" t="s">
        <v>230</v>
      </c>
      <c r="D1296" s="192">
        <f t="shared" si="280"/>
        <v>0</v>
      </c>
      <c r="E1296" s="192">
        <f t="shared" si="281"/>
        <v>0</v>
      </c>
      <c r="F1296" s="192">
        <f t="shared" si="282"/>
        <v>0</v>
      </c>
      <c r="G1296" s="193">
        <f t="shared" si="283"/>
        <v>0</v>
      </c>
      <c r="H1296" s="194">
        <v>0</v>
      </c>
      <c r="I1296" s="194">
        <v>0</v>
      </c>
      <c r="J1296" s="194">
        <v>0</v>
      </c>
      <c r="K1296" s="193">
        <f t="shared" si="284"/>
        <v>0</v>
      </c>
      <c r="L1296" s="194">
        <v>0</v>
      </c>
      <c r="M1296" s="194">
        <v>0</v>
      </c>
      <c r="N1296" s="194">
        <v>0</v>
      </c>
      <c r="O1296" s="193">
        <f t="shared" si="285"/>
        <v>0</v>
      </c>
      <c r="P1296" s="194">
        <v>0</v>
      </c>
      <c r="Q1296" s="194">
        <v>0</v>
      </c>
      <c r="R1296" s="194">
        <v>0</v>
      </c>
      <c r="S1296" s="193">
        <f t="shared" si="286"/>
        <v>0</v>
      </c>
      <c r="T1296" s="193">
        <f t="shared" si="287"/>
        <v>0</v>
      </c>
      <c r="U1296" s="193">
        <f ca="1">OFFSET('Expenditure Study'!$B$7,'Operations Support'!$C1296,'Operations Support'!$B1296)*$G1296</f>
        <v>0</v>
      </c>
      <c r="V1296" s="199">
        <f ca="1">U1296*'Expenditure Study'!$B$31</f>
        <v>0</v>
      </c>
      <c r="W1296" s="199">
        <f ca="1">IF(A1296=10298,1.51,1)*IF($B1296&lt;3,$D1296*'Expenditure Study'!$B$32*OFFSET('Expenditure Study'!$B$7,'Operations Support'!$C1296,'Operations Support'!$B1296),0)</f>
        <v>0</v>
      </c>
      <c r="X1296" s="200">
        <f ca="1">W1296*'Expenditure Study'!$B$31</f>
        <v>0</v>
      </c>
      <c r="Y1296" s="199">
        <f ca="1">U1296*'Expenditure Study'!$B$31</f>
        <v>0</v>
      </c>
      <c r="Z1296" s="200">
        <f ca="1">W1296*'Expenditure Study'!$B$31</f>
        <v>0</v>
      </c>
      <c r="AA1296" s="195">
        <f t="shared" ca="1" si="288"/>
        <v>0</v>
      </c>
      <c r="AB1296" s="195">
        <f t="shared" ca="1" si="289"/>
        <v>0</v>
      </c>
      <c r="AD1296" s="196">
        <f>IFERROR($G1296/SUMIF($A:$A,$A1296,$G:$G)*SUMIF(Summary!$A$166:$A$242,$A1296,Summary!$P$166:$P$242),0)</f>
        <v>0</v>
      </c>
      <c r="AE1296" s="197">
        <f t="shared" ca="1" si="290"/>
        <v>0</v>
      </c>
      <c r="AF1296" s="196">
        <f>IFERROR(G1296/SUMIF(A:A,A1296,G:G)*SUMIF(Summary!$A$166:$A$242,'Operations Support'!A1296,Summary!$Q$166:$Q$242),0)</f>
        <v>0</v>
      </c>
      <c r="AG1296" s="196">
        <f t="shared" ca="1" si="291"/>
        <v>0</v>
      </c>
      <c r="AI1296" s="196">
        <f>IFERROR($G1296/SUMIF($A:$A,$A1296,$G:$G)*SUMIF(Summary!$A$247:$A$283,$A1296,Summary!$P$247:$P$283),0)</f>
        <v>0</v>
      </c>
      <c r="AJ1296" s="196">
        <f>IFERROR($G1296/SUMIF($A:$A,$A1296,$G:$G)*(SUMIF(Summary!$A$247:$A$283,$A1296,Summary!$L$247:$L$283)+SUMIF(Summary!$A$297:$A$333,$A1296,Summary!$L$297:$L$333))-AI1296,0)</f>
        <v>0</v>
      </c>
      <c r="AK1296" s="196">
        <f>IFERROR($G1296/SUMIF($A:$A,$A1296,$G:$G)*SUMIF(Summary!$A$247:$A$283,$A1296,Summary!$Q$247:$Q$283),0)</f>
        <v>0</v>
      </c>
      <c r="AL1296" s="196">
        <f>IFERROR($G1296/SUMIF($A:$A,$A1296,$G:$G)*(SUMIF(Summary!$A$247:$A$283,$A1296,Summary!$L$247:$L$283)+SUMIF(Summary!$A$297:$A$333,$A1296,Summary!$L$297:$L$333))-AK1296,0)</f>
        <v>0</v>
      </c>
      <c r="AM1296" s="198"/>
      <c r="AN1296" s="196">
        <f t="shared" ca="1" si="292"/>
        <v>0</v>
      </c>
      <c r="AO1296" s="196">
        <f t="shared" ca="1" si="293"/>
        <v>0</v>
      </c>
    </row>
    <row r="1297" spans="1:41">
      <c r="A1297" s="189">
        <v>3631</v>
      </c>
      <c r="B1297" s="190">
        <v>2</v>
      </c>
      <c r="C1297" s="191" t="s">
        <v>231</v>
      </c>
      <c r="D1297" s="192">
        <f t="shared" si="280"/>
        <v>0</v>
      </c>
      <c r="E1297" s="192">
        <f t="shared" si="281"/>
        <v>0</v>
      </c>
      <c r="F1297" s="192">
        <f t="shared" si="282"/>
        <v>0</v>
      </c>
      <c r="G1297" s="193">
        <f t="shared" si="283"/>
        <v>0</v>
      </c>
      <c r="H1297" s="194">
        <v>0</v>
      </c>
      <c r="I1297" s="194">
        <v>0</v>
      </c>
      <c r="J1297" s="194">
        <v>0</v>
      </c>
      <c r="K1297" s="193">
        <f t="shared" si="284"/>
        <v>0</v>
      </c>
      <c r="L1297" s="194">
        <v>0</v>
      </c>
      <c r="M1297" s="194">
        <v>0</v>
      </c>
      <c r="N1297" s="194">
        <v>0</v>
      </c>
      <c r="O1297" s="193">
        <f t="shared" si="285"/>
        <v>0</v>
      </c>
      <c r="P1297" s="194">
        <v>0</v>
      </c>
      <c r="Q1297" s="194">
        <v>0</v>
      </c>
      <c r="R1297" s="194">
        <v>0</v>
      </c>
      <c r="S1297" s="193">
        <f t="shared" si="286"/>
        <v>0</v>
      </c>
      <c r="T1297" s="193">
        <f t="shared" si="287"/>
        <v>0</v>
      </c>
      <c r="U1297" s="193">
        <f ca="1">OFFSET('Expenditure Study'!$B$7,'Operations Support'!$C1297,'Operations Support'!$B1297)*$G1297</f>
        <v>0</v>
      </c>
      <c r="V1297" s="199">
        <f ca="1">U1297*'Expenditure Study'!$B$31</f>
        <v>0</v>
      </c>
      <c r="W1297" s="199">
        <f ca="1">IF(A1297=10298,1.51,1)*IF($B1297&lt;3,$D1297*'Expenditure Study'!$B$32*OFFSET('Expenditure Study'!$B$7,'Operations Support'!$C1297,'Operations Support'!$B1297),0)</f>
        <v>0</v>
      </c>
      <c r="X1297" s="200">
        <f ca="1">W1297*'Expenditure Study'!$B$31</f>
        <v>0</v>
      </c>
      <c r="Y1297" s="199">
        <f ca="1">U1297*'Expenditure Study'!$B$31</f>
        <v>0</v>
      </c>
      <c r="Z1297" s="200">
        <f ca="1">W1297*'Expenditure Study'!$B$31</f>
        <v>0</v>
      </c>
      <c r="AA1297" s="195">
        <f t="shared" ca="1" si="288"/>
        <v>0</v>
      </c>
      <c r="AB1297" s="195">
        <f t="shared" ca="1" si="289"/>
        <v>0</v>
      </c>
      <c r="AD1297" s="196">
        <f>IFERROR($G1297/SUMIF($A:$A,$A1297,$G:$G)*SUMIF(Summary!$A$166:$A$242,$A1297,Summary!$P$166:$P$242),0)</f>
        <v>0</v>
      </c>
      <c r="AE1297" s="197">
        <f t="shared" ca="1" si="290"/>
        <v>0</v>
      </c>
      <c r="AF1297" s="196">
        <f>IFERROR(G1297/SUMIF(A:A,A1297,G:G)*SUMIF(Summary!$A$166:$A$242,'Operations Support'!A1297,Summary!$Q$166:$Q$242),0)</f>
        <v>0</v>
      </c>
      <c r="AG1297" s="196">
        <f t="shared" ca="1" si="291"/>
        <v>0</v>
      </c>
      <c r="AI1297" s="196">
        <f>IFERROR($G1297/SUMIF($A:$A,$A1297,$G:$G)*SUMIF(Summary!$A$247:$A$283,$A1297,Summary!$P$247:$P$283),0)</f>
        <v>0</v>
      </c>
      <c r="AJ1297" s="196">
        <f>IFERROR($G1297/SUMIF($A:$A,$A1297,$G:$G)*(SUMIF(Summary!$A$247:$A$283,$A1297,Summary!$L$247:$L$283)+SUMIF(Summary!$A$297:$A$333,$A1297,Summary!$L$297:$L$333))-AI1297,0)</f>
        <v>0</v>
      </c>
      <c r="AK1297" s="196">
        <f>IFERROR($G1297/SUMIF($A:$A,$A1297,$G:$G)*SUMIF(Summary!$A$247:$A$283,$A1297,Summary!$Q$247:$Q$283),0)</f>
        <v>0</v>
      </c>
      <c r="AL1297" s="196">
        <f>IFERROR($G1297/SUMIF($A:$A,$A1297,$G:$G)*(SUMIF(Summary!$A$247:$A$283,$A1297,Summary!$L$247:$L$283)+SUMIF(Summary!$A$297:$A$333,$A1297,Summary!$L$297:$L$333))-AK1297,0)</f>
        <v>0</v>
      </c>
      <c r="AM1297" s="198"/>
      <c r="AN1297" s="196">
        <f t="shared" ca="1" si="292"/>
        <v>0</v>
      </c>
      <c r="AO1297" s="196">
        <f t="shared" ca="1" si="293"/>
        <v>0</v>
      </c>
    </row>
    <row r="1298" spans="1:41">
      <c r="A1298" s="189">
        <v>3631</v>
      </c>
      <c r="B1298" s="190">
        <v>2</v>
      </c>
      <c r="C1298" s="191" t="s">
        <v>232</v>
      </c>
      <c r="D1298" s="192">
        <f t="shared" si="280"/>
        <v>0</v>
      </c>
      <c r="E1298" s="192">
        <f t="shared" si="281"/>
        <v>0</v>
      </c>
      <c r="F1298" s="192">
        <f t="shared" si="282"/>
        <v>0</v>
      </c>
      <c r="G1298" s="193">
        <f t="shared" si="283"/>
        <v>0</v>
      </c>
      <c r="H1298" s="194">
        <v>0</v>
      </c>
      <c r="I1298" s="194">
        <v>0</v>
      </c>
      <c r="J1298" s="194">
        <v>0</v>
      </c>
      <c r="K1298" s="193">
        <f t="shared" si="284"/>
        <v>0</v>
      </c>
      <c r="L1298" s="194">
        <v>0</v>
      </c>
      <c r="M1298" s="194">
        <v>0</v>
      </c>
      <c r="N1298" s="194">
        <v>0</v>
      </c>
      <c r="O1298" s="193">
        <f t="shared" si="285"/>
        <v>0</v>
      </c>
      <c r="P1298" s="194">
        <v>0</v>
      </c>
      <c r="Q1298" s="194">
        <v>0</v>
      </c>
      <c r="R1298" s="194">
        <v>0</v>
      </c>
      <c r="S1298" s="193">
        <f t="shared" si="286"/>
        <v>0</v>
      </c>
      <c r="T1298" s="193">
        <f t="shared" si="287"/>
        <v>0</v>
      </c>
      <c r="U1298" s="193">
        <f ca="1">OFFSET('Expenditure Study'!$B$7,'Operations Support'!$C1298,'Operations Support'!$B1298)*$G1298</f>
        <v>0</v>
      </c>
      <c r="V1298" s="199">
        <f ca="1">U1298*'Expenditure Study'!$B$31</f>
        <v>0</v>
      </c>
      <c r="W1298" s="199">
        <f ca="1">IF(A1298=10298,1.51,1)*IF($B1298&lt;3,$D1298*'Expenditure Study'!$B$32*OFFSET('Expenditure Study'!$B$7,'Operations Support'!$C1298,'Operations Support'!$B1298),0)</f>
        <v>0</v>
      </c>
      <c r="X1298" s="200">
        <f ca="1">W1298*'Expenditure Study'!$B$31</f>
        <v>0</v>
      </c>
      <c r="Y1298" s="199">
        <f ca="1">U1298*'Expenditure Study'!$B$31</f>
        <v>0</v>
      </c>
      <c r="Z1298" s="200">
        <f ca="1">W1298*'Expenditure Study'!$B$31</f>
        <v>0</v>
      </c>
      <c r="AA1298" s="195">
        <f t="shared" ca="1" si="288"/>
        <v>0</v>
      </c>
      <c r="AB1298" s="195">
        <f t="shared" ca="1" si="289"/>
        <v>0</v>
      </c>
      <c r="AD1298" s="196">
        <f>IFERROR($G1298/SUMIF($A:$A,$A1298,$G:$G)*SUMIF(Summary!$A$166:$A$242,$A1298,Summary!$P$166:$P$242),0)</f>
        <v>0</v>
      </c>
      <c r="AE1298" s="197">
        <f t="shared" ca="1" si="290"/>
        <v>0</v>
      </c>
      <c r="AF1298" s="196">
        <f>IFERROR(G1298/SUMIF(A:A,A1298,G:G)*SUMIF(Summary!$A$166:$A$242,'Operations Support'!A1298,Summary!$Q$166:$Q$242),0)</f>
        <v>0</v>
      </c>
      <c r="AG1298" s="196">
        <f t="shared" ca="1" si="291"/>
        <v>0</v>
      </c>
      <c r="AI1298" s="196">
        <f>IFERROR($G1298/SUMIF($A:$A,$A1298,$G:$G)*SUMIF(Summary!$A$247:$A$283,$A1298,Summary!$P$247:$P$283),0)</f>
        <v>0</v>
      </c>
      <c r="AJ1298" s="196">
        <f>IFERROR($G1298/SUMIF($A:$A,$A1298,$G:$G)*(SUMIF(Summary!$A$247:$A$283,$A1298,Summary!$L$247:$L$283)+SUMIF(Summary!$A$297:$A$333,$A1298,Summary!$L$297:$L$333))-AI1298,0)</f>
        <v>0</v>
      </c>
      <c r="AK1298" s="196">
        <f>IFERROR($G1298/SUMIF($A:$A,$A1298,$G:$G)*SUMIF(Summary!$A$247:$A$283,$A1298,Summary!$Q$247:$Q$283),0)</f>
        <v>0</v>
      </c>
      <c r="AL1298" s="196">
        <f>IFERROR($G1298/SUMIF($A:$A,$A1298,$G:$G)*(SUMIF(Summary!$A$247:$A$283,$A1298,Summary!$L$247:$L$283)+SUMIF(Summary!$A$297:$A$333,$A1298,Summary!$L$297:$L$333))-AK1298,0)</f>
        <v>0</v>
      </c>
      <c r="AM1298" s="198"/>
      <c r="AN1298" s="196">
        <f t="shared" ca="1" si="292"/>
        <v>0</v>
      </c>
      <c r="AO1298" s="196">
        <f t="shared" ca="1" si="293"/>
        <v>0</v>
      </c>
    </row>
    <row r="1299" spans="1:41">
      <c r="A1299" s="189">
        <v>3631</v>
      </c>
      <c r="B1299" s="190">
        <v>2</v>
      </c>
      <c r="C1299" s="191" t="s">
        <v>233</v>
      </c>
      <c r="D1299" s="192">
        <f t="shared" si="280"/>
        <v>658</v>
      </c>
      <c r="E1299" s="192">
        <f t="shared" si="281"/>
        <v>852</v>
      </c>
      <c r="F1299" s="192">
        <f t="shared" si="282"/>
        <v>0</v>
      </c>
      <c r="G1299" s="193">
        <f t="shared" si="283"/>
        <v>1510</v>
      </c>
      <c r="H1299" s="194">
        <v>228</v>
      </c>
      <c r="I1299" s="194">
        <v>456</v>
      </c>
      <c r="J1299" s="194">
        <v>0</v>
      </c>
      <c r="K1299" s="193">
        <f t="shared" si="284"/>
        <v>684</v>
      </c>
      <c r="L1299" s="194">
        <v>334</v>
      </c>
      <c r="M1299" s="194">
        <v>363</v>
      </c>
      <c r="N1299" s="194">
        <v>0</v>
      </c>
      <c r="O1299" s="193">
        <f t="shared" si="285"/>
        <v>697</v>
      </c>
      <c r="P1299" s="194">
        <v>96</v>
      </c>
      <c r="Q1299" s="194">
        <v>33</v>
      </c>
      <c r="R1299" s="194">
        <v>0</v>
      </c>
      <c r="S1299" s="193">
        <f t="shared" si="286"/>
        <v>129</v>
      </c>
      <c r="T1299" s="193">
        <f t="shared" si="287"/>
        <v>50.333333333333336</v>
      </c>
      <c r="U1299" s="193">
        <f ca="1">OFFSET('Expenditure Study'!$B$7,'Operations Support'!$C1299,'Operations Support'!$B1299)*$G1299</f>
        <v>2431.1000000000004</v>
      </c>
      <c r="V1299" s="199">
        <f ca="1">U1299*'Expenditure Study'!$B$31</f>
        <v>143637.12084288002</v>
      </c>
      <c r="W1299" s="199">
        <f ca="1">IF(A1299=10298,1.51,1)*IF($B1299&lt;3,$D1299*'Expenditure Study'!$B$32*OFFSET('Expenditure Study'!$B$7,'Operations Support'!$C1299,'Operations Support'!$B1299),0)</f>
        <v>105.938</v>
      </c>
      <c r="X1299" s="200">
        <f ca="1">W1299*'Expenditure Study'!$B$31</f>
        <v>6259.1540075904004</v>
      </c>
      <c r="Y1299" s="199">
        <f ca="1">U1299*'Expenditure Study'!$B$31</f>
        <v>143637.12084288002</v>
      </c>
      <c r="Z1299" s="200">
        <f ca="1">W1299*'Expenditure Study'!$B$31</f>
        <v>6259.1540075904004</v>
      </c>
      <c r="AA1299" s="195">
        <f t="shared" ca="1" si="288"/>
        <v>149896.27485047042</v>
      </c>
      <c r="AB1299" s="195">
        <f t="shared" ca="1" si="289"/>
        <v>149896.27485047042</v>
      </c>
      <c r="AD1299" s="196">
        <f>IFERROR($G1299/SUMIF($A:$A,$A1299,$G:$G)*SUMIF(Summary!$A$166:$A$242,$A1299,Summary!$P$166:$P$242),0)</f>
        <v>31639.952810026516</v>
      </c>
      <c r="AE1299" s="197">
        <f t="shared" ca="1" si="290"/>
        <v>118256.32204044391</v>
      </c>
      <c r="AF1299" s="196">
        <f>IFERROR(G1299/SUMIF(A:A,A1299,G:G)*SUMIF(Summary!$A$166:$A$242,'Operations Support'!A1299,Summary!$Q$166:$Q$242),0)</f>
        <v>31690.915703794177</v>
      </c>
      <c r="AG1299" s="196">
        <f t="shared" ca="1" si="291"/>
        <v>118205.35914667624</v>
      </c>
      <c r="AI1299" s="196">
        <f>IFERROR($G1299/SUMIF($A:$A,$A1299,$G:$G)*SUMIF(Summary!$A$247:$A$283,$A1299,Summary!$P$247:$P$283),0)</f>
        <v>5770.3378263277345</v>
      </c>
      <c r="AJ1299" s="196">
        <f>IFERROR($G1299/SUMIF($A:$A,$A1299,$G:$G)*(SUMIF(Summary!$A$247:$A$283,$A1299,Summary!$L$247:$L$283)+SUMIF(Summary!$A$297:$A$333,$A1299,Summary!$L$297:$L$333))-AI1299,0)</f>
        <v>22453.745963096029</v>
      </c>
      <c r="AK1299" s="196">
        <f>IFERROR($G1299/SUMIF($A:$A,$A1299,$G:$G)*SUMIF(Summary!$A$247:$A$283,$A1299,Summary!$Q$247:$Q$283),0)</f>
        <v>5779.6321863861185</v>
      </c>
      <c r="AL1299" s="196">
        <f>IFERROR($G1299/SUMIF($A:$A,$A1299,$G:$G)*(SUMIF(Summary!$A$247:$A$283,$A1299,Summary!$L$247:$L$283)+SUMIF(Summary!$A$297:$A$333,$A1299,Summary!$L$297:$L$333))-AK1299,0)</f>
        <v>22444.451603037644</v>
      </c>
      <c r="AM1299" s="198"/>
      <c r="AN1299" s="196">
        <f t="shared" ca="1" si="292"/>
        <v>140710.06800353993</v>
      </c>
      <c r="AO1299" s="196">
        <f t="shared" ca="1" si="293"/>
        <v>140649.81074971388</v>
      </c>
    </row>
    <row r="1300" spans="1:41">
      <c r="A1300" s="189">
        <v>3631</v>
      </c>
      <c r="B1300" s="190">
        <v>2</v>
      </c>
      <c r="C1300" s="191" t="s">
        <v>234</v>
      </c>
      <c r="D1300" s="192">
        <f t="shared" si="280"/>
        <v>0</v>
      </c>
      <c r="E1300" s="192">
        <f t="shared" si="281"/>
        <v>0</v>
      </c>
      <c r="F1300" s="192">
        <f t="shared" si="282"/>
        <v>0</v>
      </c>
      <c r="G1300" s="193">
        <f t="shared" si="283"/>
        <v>0</v>
      </c>
      <c r="H1300" s="194">
        <v>0</v>
      </c>
      <c r="I1300" s="194">
        <v>0</v>
      </c>
      <c r="J1300" s="194">
        <v>0</v>
      </c>
      <c r="K1300" s="193">
        <f t="shared" si="284"/>
        <v>0</v>
      </c>
      <c r="L1300" s="194">
        <v>0</v>
      </c>
      <c r="M1300" s="194">
        <v>0</v>
      </c>
      <c r="N1300" s="194">
        <v>0</v>
      </c>
      <c r="O1300" s="193">
        <f t="shared" si="285"/>
        <v>0</v>
      </c>
      <c r="P1300" s="194">
        <v>0</v>
      </c>
      <c r="Q1300" s="194">
        <v>0</v>
      </c>
      <c r="R1300" s="194">
        <v>0</v>
      </c>
      <c r="S1300" s="193">
        <f t="shared" si="286"/>
        <v>0</v>
      </c>
      <c r="T1300" s="193">
        <f t="shared" si="287"/>
        <v>0</v>
      </c>
      <c r="U1300" s="193">
        <f ca="1">OFFSET('Expenditure Study'!$B$7,'Operations Support'!$C1300,'Operations Support'!$B1300)*$G1300</f>
        <v>0</v>
      </c>
      <c r="V1300" s="199">
        <f ca="1">U1300*'Expenditure Study'!$B$31</f>
        <v>0</v>
      </c>
      <c r="W1300" s="199">
        <f ca="1">IF(A1300=10298,1.51,1)*IF($B1300&lt;3,$D1300*'Expenditure Study'!$B$32*OFFSET('Expenditure Study'!$B$7,'Operations Support'!$C1300,'Operations Support'!$B1300),0)</f>
        <v>0</v>
      </c>
      <c r="X1300" s="200">
        <f ca="1">W1300*'Expenditure Study'!$B$31</f>
        <v>0</v>
      </c>
      <c r="Y1300" s="199">
        <f ca="1">U1300*'Expenditure Study'!$B$31</f>
        <v>0</v>
      </c>
      <c r="Z1300" s="200">
        <f ca="1">W1300*'Expenditure Study'!$B$31</f>
        <v>0</v>
      </c>
      <c r="AA1300" s="195">
        <f t="shared" ca="1" si="288"/>
        <v>0</v>
      </c>
      <c r="AB1300" s="195">
        <f t="shared" ca="1" si="289"/>
        <v>0</v>
      </c>
      <c r="AD1300" s="196">
        <f>IFERROR($G1300/SUMIF($A:$A,$A1300,$G:$G)*SUMIF(Summary!$A$166:$A$242,$A1300,Summary!$P$166:$P$242),0)</f>
        <v>0</v>
      </c>
      <c r="AE1300" s="197">
        <f t="shared" ca="1" si="290"/>
        <v>0</v>
      </c>
      <c r="AF1300" s="196">
        <f>IFERROR(G1300/SUMIF(A:A,A1300,G:G)*SUMIF(Summary!$A$166:$A$242,'Operations Support'!A1300,Summary!$Q$166:$Q$242),0)</f>
        <v>0</v>
      </c>
      <c r="AG1300" s="196">
        <f t="shared" ca="1" si="291"/>
        <v>0</v>
      </c>
      <c r="AI1300" s="196">
        <f>IFERROR($G1300/SUMIF($A:$A,$A1300,$G:$G)*SUMIF(Summary!$A$247:$A$283,$A1300,Summary!$P$247:$P$283),0)</f>
        <v>0</v>
      </c>
      <c r="AJ1300" s="196">
        <f>IFERROR($G1300/SUMIF($A:$A,$A1300,$G:$G)*(SUMIF(Summary!$A$247:$A$283,$A1300,Summary!$L$247:$L$283)+SUMIF(Summary!$A$297:$A$333,$A1300,Summary!$L$297:$L$333))-AI1300,0)</f>
        <v>0</v>
      </c>
      <c r="AK1300" s="196">
        <f>IFERROR($G1300/SUMIF($A:$A,$A1300,$G:$G)*SUMIF(Summary!$A$247:$A$283,$A1300,Summary!$Q$247:$Q$283),0)</f>
        <v>0</v>
      </c>
      <c r="AL1300" s="196">
        <f>IFERROR($G1300/SUMIF($A:$A,$A1300,$G:$G)*(SUMIF(Summary!$A$247:$A$283,$A1300,Summary!$L$247:$L$283)+SUMIF(Summary!$A$297:$A$333,$A1300,Summary!$L$297:$L$333))-AK1300,0)</f>
        <v>0</v>
      </c>
      <c r="AM1300" s="198"/>
      <c r="AN1300" s="196">
        <f t="shared" ca="1" si="292"/>
        <v>0</v>
      </c>
      <c r="AO1300" s="196">
        <f t="shared" ca="1" si="293"/>
        <v>0</v>
      </c>
    </row>
    <row r="1301" spans="1:41">
      <c r="A1301" s="189">
        <v>3631</v>
      </c>
      <c r="B1301" s="190">
        <v>2</v>
      </c>
      <c r="C1301" s="191" t="s">
        <v>235</v>
      </c>
      <c r="D1301" s="192">
        <f t="shared" si="280"/>
        <v>16788</v>
      </c>
      <c r="E1301" s="192">
        <f t="shared" si="281"/>
        <v>19164</v>
      </c>
      <c r="F1301" s="192">
        <f t="shared" si="282"/>
        <v>0</v>
      </c>
      <c r="G1301" s="193">
        <f t="shared" si="283"/>
        <v>35952</v>
      </c>
      <c r="H1301" s="194">
        <v>7719</v>
      </c>
      <c r="I1301" s="194">
        <v>10089</v>
      </c>
      <c r="J1301" s="194">
        <v>0</v>
      </c>
      <c r="K1301" s="193">
        <f t="shared" si="284"/>
        <v>17808</v>
      </c>
      <c r="L1301" s="194">
        <v>4254</v>
      </c>
      <c r="M1301" s="194">
        <v>5913</v>
      </c>
      <c r="N1301" s="194">
        <v>0</v>
      </c>
      <c r="O1301" s="193">
        <f t="shared" si="285"/>
        <v>10167</v>
      </c>
      <c r="P1301" s="194">
        <v>4815</v>
      </c>
      <c r="Q1301" s="194">
        <v>3162</v>
      </c>
      <c r="R1301" s="194">
        <v>0</v>
      </c>
      <c r="S1301" s="193">
        <f t="shared" si="286"/>
        <v>7977</v>
      </c>
      <c r="T1301" s="193">
        <f t="shared" si="287"/>
        <v>1198.4000000000001</v>
      </c>
      <c r="U1301" s="193">
        <f ca="1">OFFSET('Expenditure Study'!$B$7,'Operations Support'!$C1301,'Operations Support'!$B1301)*$G1301</f>
        <v>67230.240000000005</v>
      </c>
      <c r="V1301" s="199">
        <f ca="1">U1301*'Expenditure Study'!$B$31</f>
        <v>3972176.4251473923</v>
      </c>
      <c r="W1301" s="199">
        <f ca="1">IF(A1301=10298,1.51,1)*IF($B1301&lt;3,$D1301*'Expenditure Study'!$B$32*OFFSET('Expenditure Study'!$B$7,'Operations Support'!$C1301,'Operations Support'!$B1301),0)</f>
        <v>3139.3560000000007</v>
      </c>
      <c r="X1301" s="200">
        <f ca="1">W1301*'Expenditure Study'!$B$31</f>
        <v>185483.13814356484</v>
      </c>
      <c r="Y1301" s="199">
        <f ca="1">U1301*'Expenditure Study'!$B$31</f>
        <v>3972176.4251473923</v>
      </c>
      <c r="Z1301" s="200">
        <f ca="1">W1301*'Expenditure Study'!$B$31</f>
        <v>185483.13814356484</v>
      </c>
      <c r="AA1301" s="195">
        <f t="shared" ca="1" si="288"/>
        <v>4157659.5632909574</v>
      </c>
      <c r="AB1301" s="195">
        <f t="shared" ca="1" si="289"/>
        <v>4157659.5632909574</v>
      </c>
      <c r="AD1301" s="196">
        <f>IFERROR($G1301/SUMIF($A:$A,$A1301,$G:$G)*SUMIF(Summary!$A$166:$A$242,$A1301,Summary!$P$166:$P$242),0)</f>
        <v>753324.22743448557</v>
      </c>
      <c r="AE1301" s="197">
        <f t="shared" ca="1" si="290"/>
        <v>3404335.3358564717</v>
      </c>
      <c r="AF1301" s="196">
        <f>IFERROR(G1301/SUMIF(A:A,A1301,G:G)*SUMIF(Summary!$A$166:$A$242,'Operations Support'!A1301,Summary!$Q$166:$Q$242),0)</f>
        <v>754537.61680980667</v>
      </c>
      <c r="AG1301" s="196">
        <f t="shared" ca="1" si="291"/>
        <v>3403121.9464811506</v>
      </c>
      <c r="AI1301" s="196">
        <f>IFERROR($G1301/SUMIF($A:$A,$A1301,$G:$G)*SUMIF(Summary!$A$247:$A$283,$A1301,Summary!$P$247:$P$283),0)</f>
        <v>137387.54008750641</v>
      </c>
      <c r="AJ1301" s="196">
        <f>IFERROR($G1301/SUMIF($A:$A,$A1301,$G:$G)*(SUMIF(Summary!$A$247:$A$283,$A1301,Summary!$L$247:$L$283)+SUMIF(Summary!$A$297:$A$333,$A1301,Summary!$L$297:$L$333))-AI1301,0)</f>
        <v>534607.33434783341</v>
      </c>
      <c r="AK1301" s="196">
        <f>IFERROR($G1301/SUMIF($A:$A,$A1301,$G:$G)*SUMIF(Summary!$A$247:$A$283,$A1301,Summary!$Q$247:$Q$283),0)</f>
        <v>137608.83202977068</v>
      </c>
      <c r="AL1301" s="196">
        <f>IFERROR($G1301/SUMIF($A:$A,$A1301,$G:$G)*(SUMIF(Summary!$A$247:$A$283,$A1301,Summary!$L$247:$L$283)+SUMIF(Summary!$A$297:$A$333,$A1301,Summary!$L$297:$L$333))-AK1301,0)</f>
        <v>534386.04240556911</v>
      </c>
      <c r="AM1301" s="198"/>
      <c r="AN1301" s="196">
        <f t="shared" ca="1" si="292"/>
        <v>3938942.6702043051</v>
      </c>
      <c r="AO1301" s="196">
        <f t="shared" ca="1" si="293"/>
        <v>3937507.9888867196</v>
      </c>
    </row>
    <row r="1302" spans="1:41">
      <c r="A1302" s="189">
        <v>3631</v>
      </c>
      <c r="B1302" s="190">
        <v>2</v>
      </c>
      <c r="C1302" s="191" t="s">
        <v>236</v>
      </c>
      <c r="D1302" s="192">
        <f t="shared" si="280"/>
        <v>0</v>
      </c>
      <c r="E1302" s="192">
        <f t="shared" si="281"/>
        <v>0</v>
      </c>
      <c r="F1302" s="192">
        <f t="shared" si="282"/>
        <v>0</v>
      </c>
      <c r="G1302" s="193">
        <f t="shared" si="283"/>
        <v>0</v>
      </c>
      <c r="H1302" s="194">
        <v>0</v>
      </c>
      <c r="I1302" s="194">
        <v>0</v>
      </c>
      <c r="J1302" s="194">
        <v>0</v>
      </c>
      <c r="K1302" s="193">
        <f t="shared" si="284"/>
        <v>0</v>
      </c>
      <c r="L1302" s="194">
        <v>0</v>
      </c>
      <c r="M1302" s="194">
        <v>0</v>
      </c>
      <c r="N1302" s="194">
        <v>0</v>
      </c>
      <c r="O1302" s="193">
        <f t="shared" si="285"/>
        <v>0</v>
      </c>
      <c r="P1302" s="194">
        <v>0</v>
      </c>
      <c r="Q1302" s="194">
        <v>0</v>
      </c>
      <c r="R1302" s="194">
        <v>0</v>
      </c>
      <c r="S1302" s="193">
        <f t="shared" si="286"/>
        <v>0</v>
      </c>
      <c r="T1302" s="193">
        <f t="shared" si="287"/>
        <v>0</v>
      </c>
      <c r="U1302" s="193">
        <f ca="1">OFFSET('Expenditure Study'!$B$7,'Operations Support'!$C1302,'Operations Support'!$B1302)*$G1302</f>
        <v>0</v>
      </c>
      <c r="V1302" s="199">
        <f ca="1">U1302*'Expenditure Study'!$B$31</f>
        <v>0</v>
      </c>
      <c r="W1302" s="199">
        <f ca="1">IF(A1302=10298,1.51,1)*IF($B1302&lt;3,$D1302*'Expenditure Study'!$B$32*OFFSET('Expenditure Study'!$B$7,'Operations Support'!$C1302,'Operations Support'!$B1302),0)</f>
        <v>0</v>
      </c>
      <c r="X1302" s="200">
        <f ca="1">W1302*'Expenditure Study'!$B$31</f>
        <v>0</v>
      </c>
      <c r="Y1302" s="199">
        <f ca="1">U1302*'Expenditure Study'!$B$31</f>
        <v>0</v>
      </c>
      <c r="Z1302" s="200">
        <f ca="1">W1302*'Expenditure Study'!$B$31</f>
        <v>0</v>
      </c>
      <c r="AA1302" s="195">
        <f t="shared" ca="1" si="288"/>
        <v>0</v>
      </c>
      <c r="AB1302" s="195">
        <f t="shared" ca="1" si="289"/>
        <v>0</v>
      </c>
      <c r="AD1302" s="196">
        <f>IFERROR($G1302/SUMIF($A:$A,$A1302,$G:$G)*SUMIF(Summary!$A$166:$A$242,$A1302,Summary!$P$166:$P$242),0)</f>
        <v>0</v>
      </c>
      <c r="AE1302" s="197">
        <f t="shared" ca="1" si="290"/>
        <v>0</v>
      </c>
      <c r="AF1302" s="196">
        <f>IFERROR(G1302/SUMIF(A:A,A1302,G:G)*SUMIF(Summary!$A$166:$A$242,'Operations Support'!A1302,Summary!$Q$166:$Q$242),0)</f>
        <v>0</v>
      </c>
      <c r="AG1302" s="196">
        <f t="shared" ca="1" si="291"/>
        <v>0</v>
      </c>
      <c r="AI1302" s="196">
        <f>IFERROR($G1302/SUMIF($A:$A,$A1302,$G:$G)*SUMIF(Summary!$A$247:$A$283,$A1302,Summary!$P$247:$P$283),0)</f>
        <v>0</v>
      </c>
      <c r="AJ1302" s="196">
        <f>IFERROR($G1302/SUMIF($A:$A,$A1302,$G:$G)*(SUMIF(Summary!$A$247:$A$283,$A1302,Summary!$L$247:$L$283)+SUMIF(Summary!$A$297:$A$333,$A1302,Summary!$L$297:$L$333))-AI1302,0)</f>
        <v>0</v>
      </c>
      <c r="AK1302" s="196">
        <f>IFERROR($G1302/SUMIF($A:$A,$A1302,$G:$G)*SUMIF(Summary!$A$247:$A$283,$A1302,Summary!$Q$247:$Q$283),0)</f>
        <v>0</v>
      </c>
      <c r="AL1302" s="196">
        <f>IFERROR($G1302/SUMIF($A:$A,$A1302,$G:$G)*(SUMIF(Summary!$A$247:$A$283,$A1302,Summary!$L$247:$L$283)+SUMIF(Summary!$A$297:$A$333,$A1302,Summary!$L$297:$L$333))-AK1302,0)</f>
        <v>0</v>
      </c>
      <c r="AM1302" s="198"/>
      <c r="AN1302" s="196">
        <f t="shared" ca="1" si="292"/>
        <v>0</v>
      </c>
      <c r="AO1302" s="196">
        <f t="shared" ca="1" si="293"/>
        <v>0</v>
      </c>
    </row>
    <row r="1303" spans="1:41">
      <c r="A1303" s="189">
        <v>3631</v>
      </c>
      <c r="B1303" s="190">
        <v>2</v>
      </c>
      <c r="C1303" s="191" t="s">
        <v>237</v>
      </c>
      <c r="D1303" s="192">
        <f t="shared" si="280"/>
        <v>756</v>
      </c>
      <c r="E1303" s="192">
        <f t="shared" si="281"/>
        <v>348</v>
      </c>
      <c r="F1303" s="192">
        <f t="shared" si="282"/>
        <v>0</v>
      </c>
      <c r="G1303" s="193">
        <f t="shared" si="283"/>
        <v>1104</v>
      </c>
      <c r="H1303" s="194">
        <v>522</v>
      </c>
      <c r="I1303" s="194">
        <v>168</v>
      </c>
      <c r="J1303" s="194">
        <v>0</v>
      </c>
      <c r="K1303" s="193">
        <f t="shared" si="284"/>
        <v>690</v>
      </c>
      <c r="L1303" s="194">
        <v>174</v>
      </c>
      <c r="M1303" s="194">
        <v>108</v>
      </c>
      <c r="N1303" s="194">
        <v>0</v>
      </c>
      <c r="O1303" s="193">
        <f t="shared" si="285"/>
        <v>282</v>
      </c>
      <c r="P1303" s="194">
        <v>60</v>
      </c>
      <c r="Q1303" s="194">
        <v>72</v>
      </c>
      <c r="R1303" s="194">
        <v>0</v>
      </c>
      <c r="S1303" s="193">
        <f t="shared" si="286"/>
        <v>132</v>
      </c>
      <c r="T1303" s="193">
        <f t="shared" si="287"/>
        <v>36.799999999999997</v>
      </c>
      <c r="U1303" s="193">
        <f ca="1">OFFSET('Expenditure Study'!$B$7,'Operations Support'!$C1303,'Operations Support'!$B1303)*$G1303</f>
        <v>2583.3599999999997</v>
      </c>
      <c r="V1303" s="199">
        <f ca="1">U1303*'Expenditure Study'!$B$31</f>
        <v>152633.12595148798</v>
      </c>
      <c r="W1303" s="199">
        <f ca="1">IF(A1303=10298,1.51,1)*IF($B1303&lt;3,$D1303*'Expenditure Study'!$B$32*OFFSET('Expenditure Study'!$B$7,'Operations Support'!$C1303,'Operations Support'!$B1303),0)</f>
        <v>176.904</v>
      </c>
      <c r="X1303" s="200">
        <f ca="1">W1303*'Expenditure Study'!$B$31</f>
        <v>10452.0510162432</v>
      </c>
      <c r="Y1303" s="199">
        <f ca="1">U1303*'Expenditure Study'!$B$31</f>
        <v>152633.12595148798</v>
      </c>
      <c r="Z1303" s="200">
        <f ca="1">W1303*'Expenditure Study'!$B$31</f>
        <v>10452.0510162432</v>
      </c>
      <c r="AA1303" s="195">
        <f t="shared" ca="1" si="288"/>
        <v>163085.17696773118</v>
      </c>
      <c r="AB1303" s="195">
        <f t="shared" ca="1" si="289"/>
        <v>163085.17696773118</v>
      </c>
      <c r="AD1303" s="196">
        <f>IFERROR($G1303/SUMIF($A:$A,$A1303,$G:$G)*SUMIF(Summary!$A$166:$A$242,$A1303,Summary!$P$166:$P$242),0)</f>
        <v>23132.786690244549</v>
      </c>
      <c r="AE1303" s="197">
        <f t="shared" ca="1" si="290"/>
        <v>139952.39027748664</v>
      </c>
      <c r="AF1303" s="196">
        <f>IFERROR(G1303/SUMIF(A:A,A1303,G:G)*SUMIF(Summary!$A$166:$A$242,'Operations Support'!A1303,Summary!$Q$166:$Q$242),0)</f>
        <v>23170.04697813826</v>
      </c>
      <c r="AG1303" s="196">
        <f t="shared" ca="1" si="291"/>
        <v>139915.12998959291</v>
      </c>
      <c r="AI1303" s="196">
        <f>IFERROR($G1303/SUMIF($A:$A,$A1303,$G:$G)*SUMIF(Summary!$A$247:$A$283,$A1303,Summary!$P$247:$P$283),0)</f>
        <v>4218.8430200435887</v>
      </c>
      <c r="AJ1303" s="196">
        <f>IFERROR($G1303/SUMIF($A:$A,$A1303,$G:$G)*(SUMIF(Summary!$A$247:$A$283,$A1303,Summary!$L$247:$L$283)+SUMIF(Summary!$A$297:$A$333,$A1303,Summary!$L$297:$L$333))-AI1303,0)</f>
        <v>16416.513604806634</v>
      </c>
      <c r="AK1303" s="196">
        <f>IFERROR($G1303/SUMIF($A:$A,$A1303,$G:$G)*SUMIF(Summary!$A$247:$A$283,$A1303,Summary!$Q$247:$Q$283),0)</f>
        <v>4225.6383667352811</v>
      </c>
      <c r="AL1303" s="196">
        <f>IFERROR($G1303/SUMIF($A:$A,$A1303,$G:$G)*(SUMIF(Summary!$A$247:$A$283,$A1303,Summary!$L$247:$L$283)+SUMIF(Summary!$A$297:$A$333,$A1303,Summary!$L$297:$L$333))-AK1303,0)</f>
        <v>16409.718258114939</v>
      </c>
      <c r="AM1303" s="198"/>
      <c r="AN1303" s="196">
        <f t="shared" ca="1" si="292"/>
        <v>156368.90388229326</v>
      </c>
      <c r="AO1303" s="196">
        <f t="shared" ca="1" si="293"/>
        <v>156324.84824770785</v>
      </c>
    </row>
    <row r="1304" spans="1:41">
      <c r="A1304" s="189">
        <v>3631</v>
      </c>
      <c r="B1304" s="190">
        <v>2</v>
      </c>
      <c r="C1304" s="191" t="s">
        <v>238</v>
      </c>
      <c r="D1304" s="192">
        <f t="shared" si="280"/>
        <v>1728</v>
      </c>
      <c r="E1304" s="192">
        <f t="shared" si="281"/>
        <v>2778</v>
      </c>
      <c r="F1304" s="192">
        <f t="shared" si="282"/>
        <v>0</v>
      </c>
      <c r="G1304" s="193">
        <f t="shared" si="283"/>
        <v>4506</v>
      </c>
      <c r="H1304" s="194">
        <v>750</v>
      </c>
      <c r="I1304" s="194">
        <v>1341</v>
      </c>
      <c r="J1304" s="194">
        <v>0</v>
      </c>
      <c r="K1304" s="193">
        <f t="shared" si="284"/>
        <v>2091</v>
      </c>
      <c r="L1304" s="194">
        <v>720</v>
      </c>
      <c r="M1304" s="194">
        <v>1056</v>
      </c>
      <c r="N1304" s="194">
        <v>0</v>
      </c>
      <c r="O1304" s="193">
        <f t="shared" si="285"/>
        <v>1776</v>
      </c>
      <c r="P1304" s="194">
        <v>258</v>
      </c>
      <c r="Q1304" s="194">
        <v>381</v>
      </c>
      <c r="R1304" s="194">
        <v>0</v>
      </c>
      <c r="S1304" s="193">
        <f t="shared" si="286"/>
        <v>639</v>
      </c>
      <c r="T1304" s="193">
        <f t="shared" si="287"/>
        <v>150.19999999999999</v>
      </c>
      <c r="U1304" s="193">
        <f ca="1">OFFSET('Expenditure Study'!$B$7,'Operations Support'!$C1304,'Operations Support'!$B1304)*$G1304</f>
        <v>10814.4</v>
      </c>
      <c r="V1304" s="199">
        <f ca="1">U1304*'Expenditure Study'!$B$31</f>
        <v>638949.15044351993</v>
      </c>
      <c r="W1304" s="199">
        <f ca="1">IF(A1304=10298,1.51,1)*IF($B1304&lt;3,$D1304*'Expenditure Study'!$B$32*OFFSET('Expenditure Study'!$B$7,'Operations Support'!$C1304,'Operations Support'!$B1304),0)</f>
        <v>414.72</v>
      </c>
      <c r="X1304" s="200">
        <f ca="1">W1304*'Expenditure Study'!$B$31</f>
        <v>24502.976741376002</v>
      </c>
      <c r="Y1304" s="199">
        <f ca="1">U1304*'Expenditure Study'!$B$31</f>
        <v>638949.15044351993</v>
      </c>
      <c r="Z1304" s="200">
        <f ca="1">W1304*'Expenditure Study'!$B$31</f>
        <v>24502.976741376002</v>
      </c>
      <c r="AA1304" s="195">
        <f t="shared" ca="1" si="288"/>
        <v>663452.12718489591</v>
      </c>
      <c r="AB1304" s="195">
        <f t="shared" ca="1" si="289"/>
        <v>663452.12718489591</v>
      </c>
      <c r="AD1304" s="196">
        <f>IFERROR($G1304/SUMIF($A:$A,$A1304,$G:$G)*SUMIF(Summary!$A$166:$A$242,$A1304,Summary!$P$166:$P$242),0)</f>
        <v>94416.971762900313</v>
      </c>
      <c r="AE1304" s="197">
        <f t="shared" ca="1" si="290"/>
        <v>569035.15542199556</v>
      </c>
      <c r="AF1304" s="196">
        <f>IFERROR(G1304/SUMIF(A:A,A1304,G:G)*SUMIF(Summary!$A$166:$A$242,'Operations Support'!A1304,Summary!$Q$166:$Q$242),0)</f>
        <v>94569.050437944737</v>
      </c>
      <c r="AG1304" s="196">
        <f t="shared" ca="1" si="291"/>
        <v>568883.07674695121</v>
      </c>
      <c r="AI1304" s="196">
        <f>IFERROR($G1304/SUMIF($A:$A,$A1304,$G:$G)*SUMIF(Summary!$A$247:$A$283,$A1304,Summary!$P$247:$P$283),0)</f>
        <v>17219.299500286605</v>
      </c>
      <c r="AJ1304" s="196">
        <f>IFERROR($G1304/SUMIF($A:$A,$A1304,$G:$G)*(SUMIF(Summary!$A$247:$A$283,$A1304,Summary!$L$247:$L$283)+SUMIF(Summary!$A$297:$A$333,$A1304,Summary!$L$297:$L$333))-AI1304,0)</f>
        <v>67004.357158748811</v>
      </c>
      <c r="AK1304" s="196">
        <f>IFERROR($G1304/SUMIF($A:$A,$A1304,$G:$G)*SUMIF(Summary!$A$247:$A$283,$A1304,Summary!$Q$247:$Q$283),0)</f>
        <v>17247.034855533675</v>
      </c>
      <c r="AL1304" s="196">
        <f>IFERROR($G1304/SUMIF($A:$A,$A1304,$G:$G)*(SUMIF(Summary!$A$247:$A$283,$A1304,Summary!$L$247:$L$283)+SUMIF(Summary!$A$297:$A$333,$A1304,Summary!$L$297:$L$333))-AK1304,0)</f>
        <v>66976.621803501737</v>
      </c>
      <c r="AM1304" s="198"/>
      <c r="AN1304" s="196">
        <f t="shared" ca="1" si="292"/>
        <v>636039.51258074434</v>
      </c>
      <c r="AO1304" s="196">
        <f t="shared" ca="1" si="293"/>
        <v>635859.69855045294</v>
      </c>
    </row>
    <row r="1305" spans="1:41">
      <c r="A1305" s="189">
        <v>3631</v>
      </c>
      <c r="B1305" s="190">
        <v>2</v>
      </c>
      <c r="C1305" s="191" t="s">
        <v>239</v>
      </c>
      <c r="D1305" s="192">
        <f t="shared" si="280"/>
        <v>3839</v>
      </c>
      <c r="E1305" s="192">
        <f t="shared" si="281"/>
        <v>5882</v>
      </c>
      <c r="F1305" s="192">
        <f t="shared" si="282"/>
        <v>0</v>
      </c>
      <c r="G1305" s="193">
        <f t="shared" si="283"/>
        <v>9721</v>
      </c>
      <c r="H1305" s="194">
        <v>1805</v>
      </c>
      <c r="I1305" s="194">
        <v>2555</v>
      </c>
      <c r="J1305" s="194">
        <v>0</v>
      </c>
      <c r="K1305" s="193">
        <f t="shared" si="284"/>
        <v>4360</v>
      </c>
      <c r="L1305" s="194">
        <v>1719</v>
      </c>
      <c r="M1305" s="194">
        <v>3018</v>
      </c>
      <c r="N1305" s="194">
        <v>0</v>
      </c>
      <c r="O1305" s="193">
        <f t="shared" si="285"/>
        <v>4737</v>
      </c>
      <c r="P1305" s="194">
        <v>315</v>
      </c>
      <c r="Q1305" s="194">
        <v>309</v>
      </c>
      <c r="R1305" s="194">
        <v>0</v>
      </c>
      <c r="S1305" s="193">
        <f t="shared" si="286"/>
        <v>624</v>
      </c>
      <c r="T1305" s="193">
        <f t="shared" si="287"/>
        <v>324.03333333333336</v>
      </c>
      <c r="U1305" s="193">
        <f ca="1">OFFSET('Expenditure Study'!$B$7,'Operations Support'!$C1305,'Operations Support'!$B1305)*$G1305</f>
        <v>20219.68</v>
      </c>
      <c r="V1305" s="199">
        <f ca="1">U1305*'Expenditure Study'!$B$31</f>
        <v>1194643.009158144</v>
      </c>
      <c r="W1305" s="199">
        <f ca="1">IF(A1305=10298,1.51,1)*IF($B1305&lt;3,$D1305*'Expenditure Study'!$B$32*OFFSET('Expenditure Study'!$B$7,'Operations Support'!$C1305,'Operations Support'!$B1305),0)</f>
        <v>798.51200000000006</v>
      </c>
      <c r="X1305" s="200">
        <f ca="1">W1305*'Expenditure Study'!$B$31</f>
        <v>47178.628866969608</v>
      </c>
      <c r="Y1305" s="199">
        <f ca="1">U1305*'Expenditure Study'!$B$31</f>
        <v>1194643.009158144</v>
      </c>
      <c r="Z1305" s="200">
        <f ca="1">W1305*'Expenditure Study'!$B$31</f>
        <v>47178.628866969608</v>
      </c>
      <c r="AA1305" s="195">
        <f t="shared" ca="1" si="288"/>
        <v>1241821.6380251136</v>
      </c>
      <c r="AB1305" s="195">
        <f t="shared" ca="1" si="289"/>
        <v>1241821.6380251136</v>
      </c>
      <c r="AD1305" s="196">
        <f>IFERROR($G1305/SUMIF($A:$A,$A1305,$G:$G)*SUMIF(Summary!$A$166:$A$242,$A1305,Summary!$P$166:$P$242),0)</f>
        <v>203690.05381872033</v>
      </c>
      <c r="AE1305" s="197">
        <f t="shared" ca="1" si="290"/>
        <v>1038131.5842063932</v>
      </c>
      <c r="AF1305" s="196">
        <f>IFERROR(G1305/SUMIF(A:A,A1305,G:G)*SUMIF(Summary!$A$166:$A$242,'Operations Support'!A1305,Summary!$Q$166:$Q$242),0)</f>
        <v>204018.14010369746</v>
      </c>
      <c r="AG1305" s="196">
        <f t="shared" ca="1" si="291"/>
        <v>1037803.4979214162</v>
      </c>
      <c r="AI1305" s="196">
        <f>IFERROR($G1305/SUMIF($A:$A,$A1305,$G:$G)*SUMIF(Summary!$A$247:$A$283,$A1305,Summary!$P$247:$P$283),0)</f>
        <v>37147.982787901921</v>
      </c>
      <c r="AJ1305" s="196">
        <f>IFERROR($G1305/SUMIF($A:$A,$A1305,$G:$G)*(SUMIF(Summary!$A$247:$A$283,$A1305,Summary!$L$247:$L$283)+SUMIF(Summary!$A$297:$A$333,$A1305,Summary!$L$297:$L$333))-AI1305,0)</f>
        <v>144551.56589884535</v>
      </c>
      <c r="AK1305" s="196">
        <f>IFERROR($G1305/SUMIF($A:$A,$A1305,$G:$G)*SUMIF(Summary!$A$247:$A$283,$A1305,Summary!$Q$247:$Q$283),0)</f>
        <v>37207.817538979769</v>
      </c>
      <c r="AL1305" s="196">
        <f>IFERROR($G1305/SUMIF($A:$A,$A1305,$G:$G)*(SUMIF(Summary!$A$247:$A$283,$A1305,Summary!$L$247:$L$283)+SUMIF(Summary!$A$297:$A$333,$A1305,Summary!$L$297:$L$333))-AK1305,0)</f>
        <v>144491.73114776751</v>
      </c>
      <c r="AM1305" s="198"/>
      <c r="AN1305" s="196">
        <f t="shared" ca="1" si="292"/>
        <v>1182683.1501052387</v>
      </c>
      <c r="AO1305" s="196">
        <f t="shared" ca="1" si="293"/>
        <v>1182295.2290691836</v>
      </c>
    </row>
    <row r="1306" spans="1:41">
      <c r="A1306" s="189">
        <v>3631</v>
      </c>
      <c r="B1306" s="190">
        <v>2</v>
      </c>
      <c r="C1306" s="191" t="s">
        <v>240</v>
      </c>
      <c r="D1306" s="192">
        <f t="shared" si="280"/>
        <v>0</v>
      </c>
      <c r="E1306" s="192">
        <f t="shared" si="281"/>
        <v>0</v>
      </c>
      <c r="F1306" s="192">
        <f t="shared" si="282"/>
        <v>0</v>
      </c>
      <c r="G1306" s="193">
        <f t="shared" si="283"/>
        <v>0</v>
      </c>
      <c r="H1306" s="194">
        <v>0</v>
      </c>
      <c r="I1306" s="194">
        <v>0</v>
      </c>
      <c r="J1306" s="194">
        <v>0</v>
      </c>
      <c r="K1306" s="193">
        <f t="shared" si="284"/>
        <v>0</v>
      </c>
      <c r="L1306" s="194">
        <v>0</v>
      </c>
      <c r="M1306" s="194">
        <v>0</v>
      </c>
      <c r="N1306" s="194">
        <v>0</v>
      </c>
      <c r="O1306" s="193">
        <f t="shared" si="285"/>
        <v>0</v>
      </c>
      <c r="P1306" s="194">
        <v>0</v>
      </c>
      <c r="Q1306" s="194">
        <v>0</v>
      </c>
      <c r="R1306" s="194">
        <v>0</v>
      </c>
      <c r="S1306" s="193">
        <f t="shared" si="286"/>
        <v>0</v>
      </c>
      <c r="T1306" s="193">
        <f t="shared" si="287"/>
        <v>0</v>
      </c>
      <c r="U1306" s="193">
        <f ca="1">OFFSET('Expenditure Study'!$B$7,'Operations Support'!$C1306,'Operations Support'!$B1306)*$G1306</f>
        <v>0</v>
      </c>
      <c r="V1306" s="199">
        <f ca="1">U1306*'Expenditure Study'!$B$31</f>
        <v>0</v>
      </c>
      <c r="W1306" s="199">
        <f ca="1">IF(A1306=10298,1.51,1)*IF($B1306&lt;3,$D1306*'Expenditure Study'!$B$32*OFFSET('Expenditure Study'!$B$7,'Operations Support'!$C1306,'Operations Support'!$B1306),0)</f>
        <v>0</v>
      </c>
      <c r="X1306" s="200">
        <f ca="1">W1306*'Expenditure Study'!$B$31</f>
        <v>0</v>
      </c>
      <c r="Y1306" s="199">
        <f ca="1">U1306*'Expenditure Study'!$B$31</f>
        <v>0</v>
      </c>
      <c r="Z1306" s="200">
        <f ca="1">W1306*'Expenditure Study'!$B$31</f>
        <v>0</v>
      </c>
      <c r="AA1306" s="195">
        <f t="shared" ca="1" si="288"/>
        <v>0</v>
      </c>
      <c r="AB1306" s="195">
        <f t="shared" ca="1" si="289"/>
        <v>0</v>
      </c>
      <c r="AD1306" s="196">
        <f>IFERROR($G1306/SUMIF($A:$A,$A1306,$G:$G)*SUMIF(Summary!$A$166:$A$242,$A1306,Summary!$P$166:$P$242),0)</f>
        <v>0</v>
      </c>
      <c r="AE1306" s="197">
        <f t="shared" ca="1" si="290"/>
        <v>0</v>
      </c>
      <c r="AF1306" s="196">
        <f>IFERROR(G1306/SUMIF(A:A,A1306,G:G)*SUMIF(Summary!$A$166:$A$242,'Operations Support'!A1306,Summary!$Q$166:$Q$242),0)</f>
        <v>0</v>
      </c>
      <c r="AG1306" s="196">
        <f t="shared" ca="1" si="291"/>
        <v>0</v>
      </c>
      <c r="AI1306" s="196">
        <f>IFERROR($G1306/SUMIF($A:$A,$A1306,$G:$G)*SUMIF(Summary!$A$247:$A$283,$A1306,Summary!$P$247:$P$283),0)</f>
        <v>0</v>
      </c>
      <c r="AJ1306" s="196">
        <f>IFERROR($G1306/SUMIF($A:$A,$A1306,$G:$G)*(SUMIF(Summary!$A$247:$A$283,$A1306,Summary!$L$247:$L$283)+SUMIF(Summary!$A$297:$A$333,$A1306,Summary!$L$297:$L$333))-AI1306,0)</f>
        <v>0</v>
      </c>
      <c r="AK1306" s="196">
        <f>IFERROR($G1306/SUMIF($A:$A,$A1306,$G:$G)*SUMIF(Summary!$A$247:$A$283,$A1306,Summary!$Q$247:$Q$283),0)</f>
        <v>0</v>
      </c>
      <c r="AL1306" s="196">
        <f>IFERROR($G1306/SUMIF($A:$A,$A1306,$G:$G)*(SUMIF(Summary!$A$247:$A$283,$A1306,Summary!$L$247:$L$283)+SUMIF(Summary!$A$297:$A$333,$A1306,Summary!$L$297:$L$333))-AK1306,0)</f>
        <v>0</v>
      </c>
      <c r="AM1306" s="198"/>
      <c r="AN1306" s="196">
        <f t="shared" ca="1" si="292"/>
        <v>0</v>
      </c>
      <c r="AO1306" s="196">
        <f t="shared" ca="1" si="293"/>
        <v>0</v>
      </c>
    </row>
    <row r="1307" spans="1:41">
      <c r="A1307" s="189">
        <v>3631</v>
      </c>
      <c r="B1307" s="190">
        <v>3</v>
      </c>
      <c r="C1307" s="191" t="s">
        <v>220</v>
      </c>
      <c r="D1307" s="192">
        <f t="shared" si="280"/>
        <v>4379</v>
      </c>
      <c r="E1307" s="192">
        <f t="shared" si="281"/>
        <v>2544</v>
      </c>
      <c r="F1307" s="192">
        <f t="shared" si="282"/>
        <v>0</v>
      </c>
      <c r="G1307" s="193">
        <f t="shared" si="283"/>
        <v>6923</v>
      </c>
      <c r="H1307" s="194">
        <v>1552</v>
      </c>
      <c r="I1307" s="194">
        <v>849</v>
      </c>
      <c r="J1307" s="194">
        <v>0</v>
      </c>
      <c r="K1307" s="193">
        <f t="shared" si="284"/>
        <v>2401</v>
      </c>
      <c r="L1307" s="194">
        <v>1771</v>
      </c>
      <c r="M1307" s="194">
        <v>795</v>
      </c>
      <c r="N1307" s="194">
        <v>0</v>
      </c>
      <c r="O1307" s="193">
        <f t="shared" si="285"/>
        <v>2566</v>
      </c>
      <c r="P1307" s="194">
        <v>1056</v>
      </c>
      <c r="Q1307" s="194">
        <v>900</v>
      </c>
      <c r="R1307" s="194">
        <v>0</v>
      </c>
      <c r="S1307" s="193">
        <f t="shared" si="286"/>
        <v>1956</v>
      </c>
      <c r="T1307" s="193">
        <f t="shared" si="287"/>
        <v>288.45833333333331</v>
      </c>
      <c r="U1307" s="193">
        <f ca="1">OFFSET('Expenditure Study'!$B$7,'Operations Support'!$C1307,'Operations Support'!$B1307)*$G1307</f>
        <v>30876.579999999998</v>
      </c>
      <c r="V1307" s="199">
        <f ca="1">U1307*'Expenditure Study'!$B$31</f>
        <v>1824286.5586256639</v>
      </c>
      <c r="W1307" s="199">
        <f ca="1">IF(A1307=10298,1.51,1)*IF($B1307&lt;3,$D1307*'Expenditure Study'!$B$32*OFFSET('Expenditure Study'!$B$7,'Operations Support'!$C1307,'Operations Support'!$B1307),0)</f>
        <v>0</v>
      </c>
      <c r="X1307" s="200">
        <f ca="1">W1307*'Expenditure Study'!$B$31</f>
        <v>0</v>
      </c>
      <c r="Y1307" s="199">
        <f ca="1">U1307*'Expenditure Study'!$B$31</f>
        <v>1824286.5586256639</v>
      </c>
      <c r="Z1307" s="200">
        <f ca="1">W1307*'Expenditure Study'!$B$31</f>
        <v>0</v>
      </c>
      <c r="AA1307" s="195">
        <f t="shared" ca="1" si="288"/>
        <v>1824286.5586256639</v>
      </c>
      <c r="AB1307" s="195">
        <f t="shared" ca="1" si="289"/>
        <v>1824286.5586256639</v>
      </c>
      <c r="AD1307" s="196">
        <f>IFERROR($G1307/SUMIF($A:$A,$A1307,$G:$G)*SUMIF(Summary!$A$166:$A$242,$A1307,Summary!$P$166:$P$242),0)</f>
        <v>145061.84987007518</v>
      </c>
      <c r="AE1307" s="197">
        <f t="shared" ca="1" si="290"/>
        <v>1679224.7087555886</v>
      </c>
      <c r="AF1307" s="196">
        <f>IFERROR(G1307/SUMIF(A:A,A1307,G:G)*SUMIF(Summary!$A$166:$A$242,'Operations Support'!A1307,Summary!$Q$166:$Q$242),0)</f>
        <v>145295.50292540865</v>
      </c>
      <c r="AG1307" s="196">
        <f t="shared" ca="1" si="291"/>
        <v>1678991.0557002551</v>
      </c>
      <c r="AI1307" s="196">
        <f>IFERROR($G1307/SUMIF($A:$A,$A1307,$G:$G)*SUMIF(Summary!$A$247:$A$283,$A1307,Summary!$P$247:$P$283),0)</f>
        <v>26455.66143819</v>
      </c>
      <c r="AJ1307" s="196">
        <f>IFERROR($G1307/SUMIF($A:$A,$A1307,$G:$G)*(SUMIF(Summary!$A$247:$A$283,$A1307,Summary!$L$247:$L$283)+SUMIF(Summary!$A$297:$A$333,$A1307,Summary!$L$297:$L$333))-AI1307,0)</f>
        <v>102945.22073014158</v>
      </c>
      <c r="AK1307" s="196">
        <f>IFERROR($G1307/SUMIF($A:$A,$A1307,$G:$G)*SUMIF(Summary!$A$247:$A$283,$A1307,Summary!$Q$247:$Q$283),0)</f>
        <v>26498.273924735822</v>
      </c>
      <c r="AL1307" s="196">
        <f>IFERROR($G1307/SUMIF($A:$A,$A1307,$G:$G)*(SUMIF(Summary!$A$247:$A$283,$A1307,Summary!$L$247:$L$283)+SUMIF(Summary!$A$297:$A$333,$A1307,Summary!$L$297:$L$333))-AK1307,0)</f>
        <v>102902.60824359575</v>
      </c>
      <c r="AM1307" s="198"/>
      <c r="AN1307" s="196">
        <f t="shared" ca="1" si="292"/>
        <v>1782169.9294857301</v>
      </c>
      <c r="AO1307" s="196">
        <f t="shared" ca="1" si="293"/>
        <v>1781893.6639438509</v>
      </c>
    </row>
    <row r="1308" spans="1:41">
      <c r="A1308" s="189">
        <v>3631</v>
      </c>
      <c r="B1308" s="190">
        <v>3</v>
      </c>
      <c r="C1308" s="191" t="s">
        <v>221</v>
      </c>
      <c r="D1308" s="192">
        <f t="shared" si="280"/>
        <v>1986</v>
      </c>
      <c r="E1308" s="192">
        <f t="shared" si="281"/>
        <v>673</v>
      </c>
      <c r="F1308" s="192">
        <f t="shared" si="282"/>
        <v>0</v>
      </c>
      <c r="G1308" s="193">
        <f t="shared" si="283"/>
        <v>2659</v>
      </c>
      <c r="H1308" s="194">
        <v>608</v>
      </c>
      <c r="I1308" s="194">
        <v>362</v>
      </c>
      <c r="J1308" s="194">
        <v>0</v>
      </c>
      <c r="K1308" s="193">
        <f t="shared" si="284"/>
        <v>970</v>
      </c>
      <c r="L1308" s="194">
        <v>880</v>
      </c>
      <c r="M1308" s="194">
        <v>244</v>
      </c>
      <c r="N1308" s="194">
        <v>0</v>
      </c>
      <c r="O1308" s="193">
        <f t="shared" si="285"/>
        <v>1124</v>
      </c>
      <c r="P1308" s="194">
        <v>498</v>
      </c>
      <c r="Q1308" s="194">
        <v>67</v>
      </c>
      <c r="R1308" s="194">
        <v>0</v>
      </c>
      <c r="S1308" s="193">
        <f t="shared" si="286"/>
        <v>565</v>
      </c>
      <c r="T1308" s="193">
        <f t="shared" si="287"/>
        <v>110.79166666666667</v>
      </c>
      <c r="U1308" s="193">
        <f ca="1">OFFSET('Expenditure Study'!$B$7,'Operations Support'!$C1308,'Operations Support'!$B1308)*$G1308</f>
        <v>18613</v>
      </c>
      <c r="V1308" s="199">
        <f ca="1">U1308*'Expenditure Study'!$B$31</f>
        <v>1099715.2442304001</v>
      </c>
      <c r="W1308" s="199">
        <f ca="1">IF(A1308=10298,1.51,1)*IF($B1308&lt;3,$D1308*'Expenditure Study'!$B$32*OFFSET('Expenditure Study'!$B$7,'Operations Support'!$C1308,'Operations Support'!$B1308),0)</f>
        <v>0</v>
      </c>
      <c r="X1308" s="200">
        <f ca="1">W1308*'Expenditure Study'!$B$31</f>
        <v>0</v>
      </c>
      <c r="Y1308" s="199">
        <f ca="1">U1308*'Expenditure Study'!$B$31</f>
        <v>1099715.2442304001</v>
      </c>
      <c r="Z1308" s="200">
        <f ca="1">W1308*'Expenditure Study'!$B$31</f>
        <v>0</v>
      </c>
      <c r="AA1308" s="195">
        <f t="shared" ca="1" si="288"/>
        <v>1099715.2442304001</v>
      </c>
      <c r="AB1308" s="195">
        <f t="shared" ca="1" si="289"/>
        <v>1099715.2442304001</v>
      </c>
      <c r="AD1308" s="196">
        <f>IFERROR($G1308/SUMIF($A:$A,$A1308,$G:$G)*SUMIF(Summary!$A$166:$A$242,$A1308,Summary!$P$166:$P$242),0)</f>
        <v>55715.652001232113</v>
      </c>
      <c r="AE1308" s="197">
        <f t="shared" ca="1" si="290"/>
        <v>1043999.5922291679</v>
      </c>
      <c r="AF1308" s="196">
        <f>IFERROR(G1308/SUMIF(A:A,A1308,G:G)*SUMIF(Summary!$A$166:$A$242,'Operations Support'!A1308,Summary!$Q$166:$Q$242),0)</f>
        <v>55805.393944628282</v>
      </c>
      <c r="AG1308" s="196">
        <f t="shared" ca="1" si="291"/>
        <v>1043909.8502857718</v>
      </c>
      <c r="AI1308" s="196">
        <f>IFERROR($G1308/SUMIF($A:$A,$A1308,$G:$G)*SUMIF(Summary!$A$247:$A$283,$A1308,Summary!$P$247:$P$283),0)</f>
        <v>10161.144556427447</v>
      </c>
      <c r="AJ1308" s="196">
        <f>IFERROR($G1308/SUMIF($A:$A,$A1308,$G:$G)*(SUMIF(Summary!$A$247:$A$283,$A1308,Summary!$L$247:$L$283)+SUMIF(Summary!$A$297:$A$333,$A1308,Summary!$L$297:$L$333))-AI1308,0)</f>
        <v>39539.410937663801</v>
      </c>
      <c r="AK1308" s="196">
        <f>IFERROR($G1308/SUMIF($A:$A,$A1308,$G:$G)*SUMIF(Summary!$A$247:$A$283,$A1308,Summary!$Q$247:$Q$283),0)</f>
        <v>10177.511247417675</v>
      </c>
      <c r="AL1308" s="196">
        <f>IFERROR($G1308/SUMIF($A:$A,$A1308,$G:$G)*(SUMIF(Summary!$A$247:$A$283,$A1308,Summary!$L$247:$L$283)+SUMIF(Summary!$A$297:$A$333,$A1308,Summary!$L$297:$L$333))-AK1308,0)</f>
        <v>39523.044246673569</v>
      </c>
      <c r="AM1308" s="198"/>
      <c r="AN1308" s="196">
        <f t="shared" ca="1" si="292"/>
        <v>1083539.0031668318</v>
      </c>
      <c r="AO1308" s="196">
        <f t="shared" ca="1" si="293"/>
        <v>1083432.8945324454</v>
      </c>
    </row>
    <row r="1309" spans="1:41">
      <c r="A1309" s="189">
        <v>3631</v>
      </c>
      <c r="B1309" s="190">
        <v>3</v>
      </c>
      <c r="C1309" s="191" t="s">
        <v>222</v>
      </c>
      <c r="D1309" s="192">
        <f t="shared" si="280"/>
        <v>213</v>
      </c>
      <c r="E1309" s="192">
        <f t="shared" si="281"/>
        <v>51</v>
      </c>
      <c r="F1309" s="192">
        <f t="shared" si="282"/>
        <v>0</v>
      </c>
      <c r="G1309" s="193">
        <f t="shared" si="283"/>
        <v>264</v>
      </c>
      <c r="H1309" s="194">
        <v>73</v>
      </c>
      <c r="I1309" s="194">
        <v>30</v>
      </c>
      <c r="J1309" s="194">
        <v>0</v>
      </c>
      <c r="K1309" s="193">
        <f t="shared" si="284"/>
        <v>103</v>
      </c>
      <c r="L1309" s="194">
        <v>35</v>
      </c>
      <c r="M1309" s="194">
        <v>3</v>
      </c>
      <c r="N1309" s="194">
        <v>0</v>
      </c>
      <c r="O1309" s="193">
        <f t="shared" si="285"/>
        <v>38</v>
      </c>
      <c r="P1309" s="194">
        <v>105</v>
      </c>
      <c r="Q1309" s="194">
        <v>18</v>
      </c>
      <c r="R1309" s="194">
        <v>0</v>
      </c>
      <c r="S1309" s="193">
        <f t="shared" si="286"/>
        <v>123</v>
      </c>
      <c r="T1309" s="193">
        <f t="shared" si="287"/>
        <v>11</v>
      </c>
      <c r="U1309" s="193">
        <f ca="1">OFFSET('Expenditure Study'!$B$7,'Operations Support'!$C1309,'Operations Support'!$B1309)*$G1309</f>
        <v>1982.6399999999999</v>
      </c>
      <c r="V1309" s="199">
        <f ca="1">U1309*'Expenditure Study'!$B$31</f>
        <v>117140.67758131199</v>
      </c>
      <c r="W1309" s="199">
        <f ca="1">IF(A1309=10298,1.51,1)*IF($B1309&lt;3,$D1309*'Expenditure Study'!$B$32*OFFSET('Expenditure Study'!$B$7,'Operations Support'!$C1309,'Operations Support'!$B1309),0)</f>
        <v>0</v>
      </c>
      <c r="X1309" s="200">
        <f ca="1">W1309*'Expenditure Study'!$B$31</f>
        <v>0</v>
      </c>
      <c r="Y1309" s="199">
        <f ca="1">U1309*'Expenditure Study'!$B$31</f>
        <v>117140.67758131199</v>
      </c>
      <c r="Z1309" s="200">
        <f ca="1">W1309*'Expenditure Study'!$B$31</f>
        <v>0</v>
      </c>
      <c r="AA1309" s="195">
        <f t="shared" ca="1" si="288"/>
        <v>117140.67758131199</v>
      </c>
      <c r="AB1309" s="195">
        <f t="shared" ca="1" si="289"/>
        <v>117140.67758131199</v>
      </c>
      <c r="AD1309" s="196">
        <f>IFERROR($G1309/SUMIF($A:$A,$A1309,$G:$G)*SUMIF(Summary!$A$166:$A$242,$A1309,Summary!$P$166:$P$242),0)</f>
        <v>5531.7533389715227</v>
      </c>
      <c r="AE1309" s="197">
        <f t="shared" ca="1" si="290"/>
        <v>111608.92424234046</v>
      </c>
      <c r="AF1309" s="196">
        <f>IFERROR(G1309/SUMIF(A:A,A1309,G:G)*SUMIF(Summary!$A$166:$A$242,'Operations Support'!A1309,Summary!$Q$166:$Q$242),0)</f>
        <v>5540.6634078156694</v>
      </c>
      <c r="AG1309" s="196">
        <f t="shared" ca="1" si="291"/>
        <v>111600.01417349633</v>
      </c>
      <c r="AI1309" s="196">
        <f>IFERROR($G1309/SUMIF($A:$A,$A1309,$G:$G)*SUMIF(Summary!$A$247:$A$283,$A1309,Summary!$P$247:$P$283),0)</f>
        <v>1008.8537656625971</v>
      </c>
      <c r="AJ1309" s="196">
        <f>IFERROR($G1309/SUMIF($A:$A,$A1309,$G:$G)*(SUMIF(Summary!$A$247:$A$283,$A1309,Summary!$L$247:$L$283)+SUMIF(Summary!$A$297:$A$333,$A1309,Summary!$L$297:$L$333))-AI1309,0)</f>
        <v>3925.6880359320207</v>
      </c>
      <c r="AK1309" s="196">
        <f>IFERROR($G1309/SUMIF($A:$A,$A1309,$G:$G)*SUMIF(Summary!$A$247:$A$283,$A1309,Summary!$Q$247:$Q$283),0)</f>
        <v>1010.4787398714802</v>
      </c>
      <c r="AL1309" s="196">
        <f>IFERROR($G1309/SUMIF($A:$A,$A1309,$G:$G)*(SUMIF(Summary!$A$247:$A$283,$A1309,Summary!$L$247:$L$283)+SUMIF(Summary!$A$297:$A$333,$A1309,Summary!$L$297:$L$333))-AK1309,0)</f>
        <v>3924.0630617231377</v>
      </c>
      <c r="AM1309" s="198"/>
      <c r="AN1309" s="196">
        <f t="shared" ca="1" si="292"/>
        <v>115534.61227827249</v>
      </c>
      <c r="AO1309" s="196">
        <f t="shared" ca="1" si="293"/>
        <v>115524.07723521946</v>
      </c>
    </row>
    <row r="1310" spans="1:41">
      <c r="A1310" s="189">
        <v>3631</v>
      </c>
      <c r="B1310" s="190">
        <v>3</v>
      </c>
      <c r="C1310" s="191" t="s">
        <v>223</v>
      </c>
      <c r="D1310" s="192">
        <f t="shared" si="280"/>
        <v>5172</v>
      </c>
      <c r="E1310" s="192">
        <f t="shared" si="281"/>
        <v>2112</v>
      </c>
      <c r="F1310" s="192">
        <f t="shared" si="282"/>
        <v>0</v>
      </c>
      <c r="G1310" s="193">
        <f t="shared" si="283"/>
        <v>7284</v>
      </c>
      <c r="H1310" s="194">
        <v>2358</v>
      </c>
      <c r="I1310" s="194">
        <v>588</v>
      </c>
      <c r="J1310" s="194">
        <v>0</v>
      </c>
      <c r="K1310" s="193">
        <f t="shared" si="284"/>
        <v>2946</v>
      </c>
      <c r="L1310" s="194">
        <v>1233</v>
      </c>
      <c r="M1310" s="194">
        <v>516</v>
      </c>
      <c r="N1310" s="194">
        <v>0</v>
      </c>
      <c r="O1310" s="193">
        <f t="shared" si="285"/>
        <v>1749</v>
      </c>
      <c r="P1310" s="194">
        <v>1581</v>
      </c>
      <c r="Q1310" s="194">
        <v>1008</v>
      </c>
      <c r="R1310" s="194">
        <v>0</v>
      </c>
      <c r="S1310" s="193">
        <f t="shared" si="286"/>
        <v>2589</v>
      </c>
      <c r="T1310" s="193">
        <f t="shared" si="287"/>
        <v>303.5</v>
      </c>
      <c r="U1310" s="193">
        <f ca="1">OFFSET('Expenditure Study'!$B$7,'Operations Support'!$C1310,'Operations Support'!$B1310)*$G1310</f>
        <v>16316.160000000002</v>
      </c>
      <c r="V1310" s="199">
        <f ca="1">U1310*'Expenditure Study'!$B$31</f>
        <v>964010.63124172809</v>
      </c>
      <c r="W1310" s="199">
        <f ca="1">IF(A1310=10298,1.51,1)*IF($B1310&lt;3,$D1310*'Expenditure Study'!$B$32*OFFSET('Expenditure Study'!$B$7,'Operations Support'!$C1310,'Operations Support'!$B1310),0)</f>
        <v>0</v>
      </c>
      <c r="X1310" s="200">
        <f ca="1">W1310*'Expenditure Study'!$B$31</f>
        <v>0</v>
      </c>
      <c r="Y1310" s="199">
        <f ca="1">U1310*'Expenditure Study'!$B$31</f>
        <v>964010.63124172809</v>
      </c>
      <c r="Z1310" s="200">
        <f ca="1">W1310*'Expenditure Study'!$B$31</f>
        <v>0</v>
      </c>
      <c r="AA1310" s="195">
        <f t="shared" ca="1" si="288"/>
        <v>964010.63124172809</v>
      </c>
      <c r="AB1310" s="195">
        <f t="shared" ca="1" si="289"/>
        <v>964010.63124172809</v>
      </c>
      <c r="AD1310" s="196">
        <f>IFERROR($G1310/SUMIF($A:$A,$A1310,$G:$G)*SUMIF(Summary!$A$166:$A$242,$A1310,Summary!$P$166:$P$242),0)</f>
        <v>152626.1034888961</v>
      </c>
      <c r="AE1310" s="197">
        <f t="shared" ca="1" si="290"/>
        <v>811384.52775283204</v>
      </c>
      <c r="AF1310" s="196">
        <f>IFERROR(G1310/SUMIF(A:A,A1310,G:G)*SUMIF(Summary!$A$166:$A$242,'Operations Support'!A1310,Summary!$Q$166:$Q$242),0)</f>
        <v>152871.9403883687</v>
      </c>
      <c r="AG1310" s="196">
        <f t="shared" ca="1" si="291"/>
        <v>811138.69085335941</v>
      </c>
      <c r="AI1310" s="196">
        <f>IFERROR($G1310/SUMIF($A:$A,$A1310,$G:$G)*SUMIF(Summary!$A$247:$A$283,$A1310,Summary!$P$247:$P$283),0)</f>
        <v>27835.192534418024</v>
      </c>
      <c r="AJ1310" s="196">
        <f>IFERROR($G1310/SUMIF($A:$A,$A1310,$G:$G)*(SUMIF(Summary!$A$247:$A$283,$A1310,Summary!$L$247:$L$283)+SUMIF(Summary!$A$297:$A$333,$A1310,Summary!$L$297:$L$333))-AI1310,0)</f>
        <v>108313.30171866986</v>
      </c>
      <c r="AK1310" s="196">
        <f>IFERROR($G1310/SUMIF($A:$A,$A1310,$G:$G)*SUMIF(Summary!$A$247:$A$283,$A1310,Summary!$Q$247:$Q$283),0)</f>
        <v>27880.027050090386</v>
      </c>
      <c r="AL1310" s="196">
        <f>IFERROR($G1310/SUMIF($A:$A,$A1310,$G:$G)*(SUMIF(Summary!$A$247:$A$283,$A1310,Summary!$L$247:$L$283)+SUMIF(Summary!$A$297:$A$333,$A1310,Summary!$L$297:$L$333))-AK1310,0)</f>
        <v>108268.46720299749</v>
      </c>
      <c r="AM1310" s="198"/>
      <c r="AN1310" s="196">
        <f t="shared" ca="1" si="292"/>
        <v>919697.82947150187</v>
      </c>
      <c r="AO1310" s="196">
        <f t="shared" ca="1" si="293"/>
        <v>919407.15805635694</v>
      </c>
    </row>
    <row r="1311" spans="1:41">
      <c r="A1311" s="189">
        <v>3631</v>
      </c>
      <c r="B1311" s="190">
        <v>3</v>
      </c>
      <c r="C1311" s="191" t="s">
        <v>224</v>
      </c>
      <c r="D1311" s="192">
        <f t="shared" si="280"/>
        <v>2103.1</v>
      </c>
      <c r="E1311" s="192">
        <f t="shared" si="281"/>
        <v>141.9</v>
      </c>
      <c r="F1311" s="192">
        <f t="shared" si="282"/>
        <v>0</v>
      </c>
      <c r="G1311" s="193">
        <f t="shared" si="283"/>
        <v>2245</v>
      </c>
      <c r="H1311" s="194">
        <v>811</v>
      </c>
      <c r="I1311" s="194">
        <v>126</v>
      </c>
      <c r="J1311" s="194">
        <v>0</v>
      </c>
      <c r="K1311" s="193">
        <f t="shared" si="284"/>
        <v>937</v>
      </c>
      <c r="L1311" s="194">
        <v>826.6</v>
      </c>
      <c r="M1311" s="194">
        <v>2.4</v>
      </c>
      <c r="N1311" s="194">
        <v>0</v>
      </c>
      <c r="O1311" s="193">
        <f t="shared" si="285"/>
        <v>829</v>
      </c>
      <c r="P1311" s="194">
        <v>465.5</v>
      </c>
      <c r="Q1311" s="194">
        <v>13.5</v>
      </c>
      <c r="R1311" s="194">
        <v>0</v>
      </c>
      <c r="S1311" s="193">
        <f t="shared" si="286"/>
        <v>479</v>
      </c>
      <c r="T1311" s="193">
        <f t="shared" si="287"/>
        <v>93.541666666666671</v>
      </c>
      <c r="U1311" s="193">
        <f ca="1">OFFSET('Expenditure Study'!$B$7,'Operations Support'!$C1311,'Operations Support'!$B1311)*$G1311</f>
        <v>20586.650000000001</v>
      </c>
      <c r="V1311" s="199">
        <f ca="1">U1311*'Expenditure Study'!$B$31</f>
        <v>1216324.76401632</v>
      </c>
      <c r="W1311" s="199">
        <f ca="1">IF(A1311=10298,1.51,1)*IF($B1311&lt;3,$D1311*'Expenditure Study'!$B$32*OFFSET('Expenditure Study'!$B$7,'Operations Support'!$C1311,'Operations Support'!$B1311),0)</f>
        <v>0</v>
      </c>
      <c r="X1311" s="200">
        <f ca="1">W1311*'Expenditure Study'!$B$31</f>
        <v>0</v>
      </c>
      <c r="Y1311" s="199">
        <f ca="1">U1311*'Expenditure Study'!$B$31</f>
        <v>1216324.76401632</v>
      </c>
      <c r="Z1311" s="200">
        <f ca="1">W1311*'Expenditure Study'!$B$31</f>
        <v>0</v>
      </c>
      <c r="AA1311" s="195">
        <f t="shared" ca="1" si="288"/>
        <v>1216324.76401632</v>
      </c>
      <c r="AB1311" s="195">
        <f t="shared" ca="1" si="289"/>
        <v>1216324.76401632</v>
      </c>
      <c r="AD1311" s="196">
        <f>IFERROR($G1311/SUMIF($A:$A,$A1311,$G:$G)*SUMIF(Summary!$A$166:$A$242,$A1311,Summary!$P$166:$P$242),0)</f>
        <v>47040.856992390407</v>
      </c>
      <c r="AE1311" s="197">
        <f t="shared" ca="1" si="290"/>
        <v>1169283.9070239295</v>
      </c>
      <c r="AF1311" s="196">
        <f>IFERROR(G1311/SUMIF(A:A,A1311,G:G)*SUMIF(Summary!$A$166:$A$242,'Operations Support'!A1311,Summary!$Q$166:$Q$242),0)</f>
        <v>47116.626327826438</v>
      </c>
      <c r="AG1311" s="196">
        <f t="shared" ca="1" si="291"/>
        <v>1169208.1376884936</v>
      </c>
      <c r="AI1311" s="196">
        <f>IFERROR($G1311/SUMIF($A:$A,$A1311,$G:$G)*SUMIF(Summary!$A$247:$A$283,$A1311,Summary!$P$247:$P$283),0)</f>
        <v>8579.0784239110999</v>
      </c>
      <c r="AJ1311" s="196">
        <f>IFERROR($G1311/SUMIF($A:$A,$A1311,$G:$G)*(SUMIF(Summary!$A$247:$A$283,$A1311,Summary!$L$247:$L$283)+SUMIF(Summary!$A$297:$A$333,$A1311,Summary!$L$297:$L$333))-AI1311,0)</f>
        <v>33383.218335861311</v>
      </c>
      <c r="AK1311" s="196">
        <f>IFERROR($G1311/SUMIF($A:$A,$A1311,$G:$G)*SUMIF(Summary!$A$247:$A$283,$A1311,Summary!$Q$247:$Q$283),0)</f>
        <v>8592.8968598919437</v>
      </c>
      <c r="AL1311" s="196">
        <f>IFERROR($G1311/SUMIF($A:$A,$A1311,$G:$G)*(SUMIF(Summary!$A$247:$A$283,$A1311,Summary!$L$247:$L$283)+SUMIF(Summary!$A$297:$A$333,$A1311,Summary!$L$297:$L$333))-AK1311,0)</f>
        <v>33369.399899880467</v>
      </c>
      <c r="AM1311" s="198"/>
      <c r="AN1311" s="196">
        <f t="shared" ca="1" si="292"/>
        <v>1202667.1253597909</v>
      </c>
      <c r="AO1311" s="196">
        <f t="shared" ca="1" si="293"/>
        <v>1202577.537588374</v>
      </c>
    </row>
    <row r="1312" spans="1:41">
      <c r="A1312" s="189">
        <v>3631</v>
      </c>
      <c r="B1312" s="190">
        <v>3</v>
      </c>
      <c r="C1312" s="191" t="s">
        <v>225</v>
      </c>
      <c r="D1312" s="192">
        <f t="shared" si="280"/>
        <v>1143</v>
      </c>
      <c r="E1312" s="192">
        <f t="shared" si="281"/>
        <v>345</v>
      </c>
      <c r="F1312" s="192">
        <f t="shared" si="282"/>
        <v>0</v>
      </c>
      <c r="G1312" s="193">
        <f t="shared" si="283"/>
        <v>1488</v>
      </c>
      <c r="H1312" s="194">
        <v>225</v>
      </c>
      <c r="I1312" s="194">
        <v>345</v>
      </c>
      <c r="J1312" s="194">
        <v>0</v>
      </c>
      <c r="K1312" s="193">
        <f t="shared" si="284"/>
        <v>570</v>
      </c>
      <c r="L1312" s="194">
        <v>597</v>
      </c>
      <c r="M1312" s="194">
        <v>0</v>
      </c>
      <c r="N1312" s="194">
        <v>0</v>
      </c>
      <c r="O1312" s="193">
        <f t="shared" si="285"/>
        <v>597</v>
      </c>
      <c r="P1312" s="194">
        <v>321</v>
      </c>
      <c r="Q1312" s="194">
        <v>0</v>
      </c>
      <c r="R1312" s="194">
        <v>0</v>
      </c>
      <c r="S1312" s="193">
        <f t="shared" si="286"/>
        <v>321</v>
      </c>
      <c r="T1312" s="193">
        <f t="shared" si="287"/>
        <v>62</v>
      </c>
      <c r="U1312" s="193">
        <f ca="1">OFFSET('Expenditure Study'!$B$7,'Operations Support'!$C1312,'Operations Support'!$B1312)*$G1312</f>
        <v>10282.08</v>
      </c>
      <c r="V1312" s="199">
        <f ca="1">U1312*'Expenditure Study'!$B$31</f>
        <v>607497.99164006405</v>
      </c>
      <c r="W1312" s="199">
        <f ca="1">IF(A1312=10298,1.51,1)*IF($B1312&lt;3,$D1312*'Expenditure Study'!$B$32*OFFSET('Expenditure Study'!$B$7,'Operations Support'!$C1312,'Operations Support'!$B1312),0)</f>
        <v>0</v>
      </c>
      <c r="X1312" s="200">
        <f ca="1">W1312*'Expenditure Study'!$B$31</f>
        <v>0</v>
      </c>
      <c r="Y1312" s="199">
        <f ca="1">U1312*'Expenditure Study'!$B$31</f>
        <v>607497.99164006405</v>
      </c>
      <c r="Z1312" s="200">
        <f ca="1">W1312*'Expenditure Study'!$B$31</f>
        <v>0</v>
      </c>
      <c r="AA1312" s="195">
        <f t="shared" ca="1" si="288"/>
        <v>607497.99164006405</v>
      </c>
      <c r="AB1312" s="195">
        <f t="shared" ca="1" si="289"/>
        <v>607497.99164006405</v>
      </c>
      <c r="AD1312" s="196">
        <f>IFERROR($G1312/SUMIF($A:$A,$A1312,$G:$G)*SUMIF(Summary!$A$166:$A$242,$A1312,Summary!$P$166:$P$242),0)</f>
        <v>31178.973365112222</v>
      </c>
      <c r="AE1312" s="197">
        <f t="shared" ca="1" si="290"/>
        <v>576319.01827495184</v>
      </c>
      <c r="AF1312" s="196">
        <f>IFERROR(G1312/SUMIF(A:A,A1312,G:G)*SUMIF(Summary!$A$166:$A$242,'Operations Support'!A1312,Summary!$Q$166:$Q$242),0)</f>
        <v>31229.19375314287</v>
      </c>
      <c r="AG1312" s="196">
        <f t="shared" ca="1" si="291"/>
        <v>576268.79788692121</v>
      </c>
      <c r="AI1312" s="196">
        <f>IFERROR($G1312/SUMIF($A:$A,$A1312,$G:$G)*SUMIF(Summary!$A$247:$A$283,$A1312,Summary!$P$247:$P$283),0)</f>
        <v>5686.2666791891852</v>
      </c>
      <c r="AJ1312" s="196">
        <f>IFERROR($G1312/SUMIF($A:$A,$A1312,$G:$G)*(SUMIF(Summary!$A$247:$A$283,$A1312,Summary!$L$247:$L$283)+SUMIF(Summary!$A$297:$A$333,$A1312,Summary!$L$297:$L$333))-AI1312,0)</f>
        <v>22126.605293435026</v>
      </c>
      <c r="AK1312" s="196">
        <f>IFERROR($G1312/SUMIF($A:$A,$A1312,$G:$G)*SUMIF(Summary!$A$247:$A$283,$A1312,Summary!$Q$247:$Q$283),0)</f>
        <v>5695.4256247301619</v>
      </c>
      <c r="AL1312" s="196">
        <f>IFERROR($G1312/SUMIF($A:$A,$A1312,$G:$G)*(SUMIF(Summary!$A$247:$A$283,$A1312,Summary!$L$247:$L$283)+SUMIF(Summary!$A$297:$A$333,$A1312,Summary!$L$297:$L$333))-AK1312,0)</f>
        <v>22117.446347894052</v>
      </c>
      <c r="AM1312" s="198"/>
      <c r="AN1312" s="196">
        <f t="shared" ca="1" si="292"/>
        <v>598445.62356838689</v>
      </c>
      <c r="AO1312" s="196">
        <f t="shared" ca="1" si="293"/>
        <v>598386.24423481524</v>
      </c>
    </row>
    <row r="1313" spans="1:41" s="201" customFormat="1">
      <c r="A1313" s="189">
        <v>3631</v>
      </c>
      <c r="B1313" s="190">
        <v>3</v>
      </c>
      <c r="C1313" s="191" t="s">
        <v>226</v>
      </c>
      <c r="D1313" s="192">
        <f t="shared" si="280"/>
        <v>580</v>
      </c>
      <c r="E1313" s="192">
        <f t="shared" si="281"/>
        <v>114</v>
      </c>
      <c r="F1313" s="192">
        <f t="shared" si="282"/>
        <v>0</v>
      </c>
      <c r="G1313" s="193">
        <f t="shared" si="283"/>
        <v>694</v>
      </c>
      <c r="H1313" s="194">
        <v>234</v>
      </c>
      <c r="I1313" s="194">
        <v>114</v>
      </c>
      <c r="J1313" s="194">
        <v>0</v>
      </c>
      <c r="K1313" s="193">
        <f t="shared" si="284"/>
        <v>348</v>
      </c>
      <c r="L1313" s="194">
        <v>153</v>
      </c>
      <c r="M1313" s="194">
        <v>0</v>
      </c>
      <c r="N1313" s="194">
        <v>0</v>
      </c>
      <c r="O1313" s="193">
        <f t="shared" si="285"/>
        <v>153</v>
      </c>
      <c r="P1313" s="194">
        <v>193</v>
      </c>
      <c r="Q1313" s="194">
        <v>0</v>
      </c>
      <c r="R1313" s="194">
        <v>0</v>
      </c>
      <c r="S1313" s="193">
        <f t="shared" si="286"/>
        <v>193</v>
      </c>
      <c r="T1313" s="193">
        <f t="shared" si="287"/>
        <v>28.916666666666668</v>
      </c>
      <c r="U1313" s="193">
        <f ca="1">OFFSET('Expenditure Study'!$B$7,'Operations Support'!$C1313,'Operations Support'!$B1313)*$G1313</f>
        <v>2394.3000000000002</v>
      </c>
      <c r="V1313" s="199">
        <f ca="1">U1313*'Expenditure Study'!$B$31</f>
        <v>141462.85978944</v>
      </c>
      <c r="W1313" s="199">
        <f ca="1">IF(A1313=10298,1.51,1)*IF($B1313&lt;3,$D1313*'Expenditure Study'!$B$32*OFFSET('Expenditure Study'!$B$7,'Operations Support'!$C1313,'Operations Support'!$B1313),0)</f>
        <v>0</v>
      </c>
      <c r="X1313" s="200">
        <f ca="1">W1313*'Expenditure Study'!$B$31</f>
        <v>0</v>
      </c>
      <c r="Y1313" s="199">
        <f ca="1">U1313*'Expenditure Study'!$B$31</f>
        <v>141462.85978944</v>
      </c>
      <c r="Z1313" s="200">
        <f ca="1">W1313*'Expenditure Study'!$B$31</f>
        <v>0</v>
      </c>
      <c r="AA1313" s="195">
        <f t="shared" ca="1" si="288"/>
        <v>141462.85978944</v>
      </c>
      <c r="AB1313" s="195">
        <f t="shared" ca="1" si="289"/>
        <v>141462.85978944</v>
      </c>
      <c r="AD1313" s="196">
        <f>IFERROR($G1313/SUMIF($A:$A,$A1313,$G:$G)*SUMIF(Summary!$A$166:$A$242,$A1313,Summary!$P$166:$P$242),0)</f>
        <v>14541.806125932715</v>
      </c>
      <c r="AE1313" s="197">
        <f t="shared" ca="1" si="290"/>
        <v>126921.05366350728</v>
      </c>
      <c r="AF1313" s="196">
        <f>IFERROR(G1313/SUMIF(A:A,A1313,G:G)*SUMIF(Summary!$A$166:$A$242,'Operations Support'!A1313,Summary!$Q$166:$Q$242),0)</f>
        <v>14565.228806909376</v>
      </c>
      <c r="AG1313" s="196">
        <f t="shared" ca="1" si="291"/>
        <v>126897.63098253062</v>
      </c>
      <c r="AH1313" s="180"/>
      <c r="AI1313" s="196">
        <f>IFERROR($G1313/SUMIF($A:$A,$A1313,$G:$G)*SUMIF(Summary!$A$247:$A$283,$A1313,Summary!$P$247:$P$283),0)</f>
        <v>2652.0625506433425</v>
      </c>
      <c r="AJ1313" s="196">
        <f>IFERROR($G1313/SUMIF($A:$A,$A1313,$G:$G)*(SUMIF(Summary!$A$247:$A$283,$A1313,Summary!$L$247:$L$283)+SUMIF(Summary!$A$297:$A$333,$A1313,Summary!$L$297:$L$333))-AI1313,0)</f>
        <v>10319.801124760692</v>
      </c>
      <c r="AK1313" s="196">
        <f>IFERROR($G1313/SUMIF($A:$A,$A1313,$G:$G)*SUMIF(Summary!$A$247:$A$283,$A1313,Summary!$Q$247:$Q$283),0)</f>
        <v>2656.3342631469973</v>
      </c>
      <c r="AL1313" s="196">
        <f>IFERROR($G1313/SUMIF($A:$A,$A1313,$G:$G)*(SUMIF(Summary!$A$247:$A$283,$A1313,Summary!$L$247:$L$283)+SUMIF(Summary!$A$297:$A$333,$A1313,Summary!$L$297:$L$333))-AK1313,0)</f>
        <v>10315.529412257038</v>
      </c>
      <c r="AM1313" s="198"/>
      <c r="AN1313" s="196">
        <f t="shared" ca="1" si="292"/>
        <v>137240.85478826798</v>
      </c>
      <c r="AO1313" s="196">
        <f t="shared" ca="1" si="293"/>
        <v>137213.16039478767</v>
      </c>
    </row>
    <row r="1314" spans="1:41">
      <c r="A1314" s="189">
        <v>3631</v>
      </c>
      <c r="B1314" s="190">
        <v>3</v>
      </c>
      <c r="C1314" s="191" t="s">
        <v>227</v>
      </c>
      <c r="D1314" s="192">
        <f t="shared" si="280"/>
        <v>0</v>
      </c>
      <c r="E1314" s="192">
        <f t="shared" si="281"/>
        <v>0</v>
      </c>
      <c r="F1314" s="192">
        <f t="shared" si="282"/>
        <v>0</v>
      </c>
      <c r="G1314" s="193">
        <f t="shared" si="283"/>
        <v>0</v>
      </c>
      <c r="H1314" s="194">
        <v>0</v>
      </c>
      <c r="I1314" s="194">
        <v>0</v>
      </c>
      <c r="J1314" s="194">
        <v>0</v>
      </c>
      <c r="K1314" s="193">
        <f t="shared" si="284"/>
        <v>0</v>
      </c>
      <c r="L1314" s="194">
        <v>0</v>
      </c>
      <c r="M1314" s="194">
        <v>0</v>
      </c>
      <c r="N1314" s="194">
        <v>0</v>
      </c>
      <c r="O1314" s="193">
        <f t="shared" si="285"/>
        <v>0</v>
      </c>
      <c r="P1314" s="194">
        <v>0</v>
      </c>
      <c r="Q1314" s="194">
        <v>0</v>
      </c>
      <c r="R1314" s="194">
        <v>0</v>
      </c>
      <c r="S1314" s="193">
        <f t="shared" si="286"/>
        <v>0</v>
      </c>
      <c r="T1314" s="193">
        <f t="shared" si="287"/>
        <v>0</v>
      </c>
      <c r="U1314" s="193">
        <f ca="1">OFFSET('Expenditure Study'!$B$7,'Operations Support'!$C1314,'Operations Support'!$B1314)*$G1314</f>
        <v>0</v>
      </c>
      <c r="V1314" s="199">
        <f ca="1">U1314*'Expenditure Study'!$B$31</f>
        <v>0</v>
      </c>
      <c r="W1314" s="199">
        <f ca="1">IF(A1314=10298,1.51,1)*IF($B1314&lt;3,$D1314*'Expenditure Study'!$B$32*OFFSET('Expenditure Study'!$B$7,'Operations Support'!$C1314,'Operations Support'!$B1314),0)</f>
        <v>0</v>
      </c>
      <c r="X1314" s="200">
        <f ca="1">W1314*'Expenditure Study'!$B$31</f>
        <v>0</v>
      </c>
      <c r="Y1314" s="199">
        <f ca="1">U1314*'Expenditure Study'!$B$31</f>
        <v>0</v>
      </c>
      <c r="Z1314" s="200">
        <f ca="1">W1314*'Expenditure Study'!$B$31</f>
        <v>0</v>
      </c>
      <c r="AA1314" s="195">
        <f t="shared" ca="1" si="288"/>
        <v>0</v>
      </c>
      <c r="AB1314" s="195">
        <f t="shared" ca="1" si="289"/>
        <v>0</v>
      </c>
      <c r="AD1314" s="196">
        <f>IFERROR($G1314/SUMIF($A:$A,$A1314,$G:$G)*SUMIF(Summary!$A$166:$A$242,$A1314,Summary!$P$166:$P$242),0)</f>
        <v>0</v>
      </c>
      <c r="AE1314" s="197">
        <f t="shared" ca="1" si="290"/>
        <v>0</v>
      </c>
      <c r="AF1314" s="196">
        <f>IFERROR(G1314/SUMIF(A:A,A1314,G:G)*SUMIF(Summary!$A$166:$A$242,'Operations Support'!A1314,Summary!$Q$166:$Q$242),0)</f>
        <v>0</v>
      </c>
      <c r="AG1314" s="196">
        <f t="shared" ca="1" si="291"/>
        <v>0</v>
      </c>
      <c r="AI1314" s="196">
        <f>IFERROR($G1314/SUMIF($A:$A,$A1314,$G:$G)*SUMIF(Summary!$A$247:$A$283,$A1314,Summary!$P$247:$P$283),0)</f>
        <v>0</v>
      </c>
      <c r="AJ1314" s="196">
        <f>IFERROR($G1314/SUMIF($A:$A,$A1314,$G:$G)*(SUMIF(Summary!$A$247:$A$283,$A1314,Summary!$L$247:$L$283)+SUMIF(Summary!$A$297:$A$333,$A1314,Summary!$L$297:$L$333))-AI1314,0)</f>
        <v>0</v>
      </c>
      <c r="AK1314" s="196">
        <f>IFERROR($G1314/SUMIF($A:$A,$A1314,$G:$G)*SUMIF(Summary!$A$247:$A$283,$A1314,Summary!$Q$247:$Q$283),0)</f>
        <v>0</v>
      </c>
      <c r="AL1314" s="196">
        <f>IFERROR($G1314/SUMIF($A:$A,$A1314,$G:$G)*(SUMIF(Summary!$A$247:$A$283,$A1314,Summary!$L$247:$L$283)+SUMIF(Summary!$A$297:$A$333,$A1314,Summary!$L$297:$L$333))-AK1314,0)</f>
        <v>0</v>
      </c>
      <c r="AM1314" s="198"/>
      <c r="AN1314" s="196">
        <f t="shared" ca="1" si="292"/>
        <v>0</v>
      </c>
      <c r="AO1314" s="196">
        <f t="shared" ca="1" si="293"/>
        <v>0</v>
      </c>
    </row>
    <row r="1315" spans="1:41">
      <c r="A1315" s="189">
        <v>3631</v>
      </c>
      <c r="B1315" s="190">
        <v>3</v>
      </c>
      <c r="C1315" s="191" t="s">
        <v>228</v>
      </c>
      <c r="D1315" s="192">
        <f t="shared" si="280"/>
        <v>1792</v>
      </c>
      <c r="E1315" s="192">
        <f t="shared" si="281"/>
        <v>468</v>
      </c>
      <c r="F1315" s="192">
        <f t="shared" si="282"/>
        <v>0</v>
      </c>
      <c r="G1315" s="193">
        <f t="shared" si="283"/>
        <v>2260</v>
      </c>
      <c r="H1315" s="194">
        <v>669</v>
      </c>
      <c r="I1315" s="194">
        <v>234</v>
      </c>
      <c r="J1315" s="194">
        <v>0</v>
      </c>
      <c r="K1315" s="193">
        <f t="shared" si="284"/>
        <v>903</v>
      </c>
      <c r="L1315" s="194">
        <v>790</v>
      </c>
      <c r="M1315" s="194">
        <v>102</v>
      </c>
      <c r="N1315" s="194">
        <v>0</v>
      </c>
      <c r="O1315" s="193">
        <f t="shared" si="285"/>
        <v>892</v>
      </c>
      <c r="P1315" s="194">
        <v>333</v>
      </c>
      <c r="Q1315" s="194">
        <v>132</v>
      </c>
      <c r="R1315" s="194">
        <v>0</v>
      </c>
      <c r="S1315" s="193">
        <f t="shared" si="286"/>
        <v>465</v>
      </c>
      <c r="T1315" s="193">
        <f t="shared" si="287"/>
        <v>94.166666666666671</v>
      </c>
      <c r="U1315" s="193">
        <f ca="1">OFFSET('Expenditure Study'!$B$7,'Operations Support'!$C1315,'Operations Support'!$B1315)*$G1315</f>
        <v>5514.4</v>
      </c>
      <c r="V1315" s="199">
        <f ca="1">U1315*'Expenditure Study'!$B$31</f>
        <v>325808.29220351996</v>
      </c>
      <c r="W1315" s="199">
        <f ca="1">IF(A1315=10298,1.51,1)*IF($B1315&lt;3,$D1315*'Expenditure Study'!$B$32*OFFSET('Expenditure Study'!$B$7,'Operations Support'!$C1315,'Operations Support'!$B1315),0)</f>
        <v>0</v>
      </c>
      <c r="X1315" s="200">
        <f ca="1">W1315*'Expenditure Study'!$B$31</f>
        <v>0</v>
      </c>
      <c r="Y1315" s="199">
        <f ca="1">U1315*'Expenditure Study'!$B$31</f>
        <v>325808.29220351996</v>
      </c>
      <c r="Z1315" s="200">
        <f ca="1">W1315*'Expenditure Study'!$B$31</f>
        <v>0</v>
      </c>
      <c r="AA1315" s="195">
        <f t="shared" ca="1" si="288"/>
        <v>325808.29220351996</v>
      </c>
      <c r="AB1315" s="195">
        <f t="shared" ca="1" si="289"/>
        <v>325808.29220351996</v>
      </c>
      <c r="AD1315" s="196">
        <f>IFERROR($G1315/SUMIF($A:$A,$A1315,$G:$G)*SUMIF(Summary!$A$166:$A$242,$A1315,Summary!$P$166:$P$242),0)</f>
        <v>47355.161159377429</v>
      </c>
      <c r="AE1315" s="197">
        <f t="shared" ca="1" si="290"/>
        <v>278453.13104414253</v>
      </c>
      <c r="AF1315" s="196">
        <f>IFERROR(G1315/SUMIF(A:A,A1315,G:G)*SUMIF(Summary!$A$166:$A$242,'Operations Support'!A1315,Summary!$Q$166:$Q$242),0)</f>
        <v>47431.436748725057</v>
      </c>
      <c r="AG1315" s="196">
        <f t="shared" ca="1" si="291"/>
        <v>278376.85545479489</v>
      </c>
      <c r="AI1315" s="196">
        <f>IFERROR($G1315/SUMIF($A:$A,$A1315,$G:$G)*SUMIF(Summary!$A$247:$A$283,$A1315,Summary!$P$247:$P$283),0)</f>
        <v>8636.3996605964767</v>
      </c>
      <c r="AJ1315" s="196">
        <f>IFERROR($G1315/SUMIF($A:$A,$A1315,$G:$G)*(SUMIF(Summary!$A$247:$A$283,$A1315,Summary!$L$247:$L$283)+SUMIF(Summary!$A$297:$A$333,$A1315,Summary!$L$297:$L$333))-AI1315,0)</f>
        <v>33606.268792448354</v>
      </c>
      <c r="AK1315" s="196">
        <f>IFERROR($G1315/SUMIF($A:$A,$A1315,$G:$G)*SUMIF(Summary!$A$247:$A$283,$A1315,Summary!$Q$247:$Q$283),0)</f>
        <v>8650.3104246573694</v>
      </c>
      <c r="AL1315" s="196">
        <f>IFERROR($G1315/SUMIF($A:$A,$A1315,$G:$G)*(SUMIF(Summary!$A$247:$A$283,$A1315,Summary!$L$247:$L$283)+SUMIF(Summary!$A$297:$A$333,$A1315,Summary!$L$297:$L$333))-AK1315,0)</f>
        <v>33592.358028387462</v>
      </c>
      <c r="AM1315" s="198"/>
      <c r="AN1315" s="196">
        <f t="shared" ca="1" si="292"/>
        <v>312059.39983659086</v>
      </c>
      <c r="AO1315" s="196">
        <f t="shared" ca="1" si="293"/>
        <v>311969.21348318236</v>
      </c>
    </row>
    <row r="1316" spans="1:41">
      <c r="A1316" s="189">
        <v>3631</v>
      </c>
      <c r="B1316" s="190">
        <v>3</v>
      </c>
      <c r="C1316" s="191" t="s">
        <v>229</v>
      </c>
      <c r="D1316" s="192">
        <f t="shared" si="280"/>
        <v>0</v>
      </c>
      <c r="E1316" s="192">
        <f t="shared" si="281"/>
        <v>0</v>
      </c>
      <c r="F1316" s="192">
        <f t="shared" si="282"/>
        <v>0</v>
      </c>
      <c r="G1316" s="193">
        <f t="shared" si="283"/>
        <v>0</v>
      </c>
      <c r="H1316" s="194">
        <v>0</v>
      </c>
      <c r="I1316" s="194">
        <v>0</v>
      </c>
      <c r="J1316" s="194">
        <v>0</v>
      </c>
      <c r="K1316" s="193">
        <f t="shared" si="284"/>
        <v>0</v>
      </c>
      <c r="L1316" s="194">
        <v>0</v>
      </c>
      <c r="M1316" s="194">
        <v>0</v>
      </c>
      <c r="N1316" s="194">
        <v>0</v>
      </c>
      <c r="O1316" s="193">
        <f t="shared" si="285"/>
        <v>0</v>
      </c>
      <c r="P1316" s="194">
        <v>0</v>
      </c>
      <c r="Q1316" s="194">
        <v>0</v>
      </c>
      <c r="R1316" s="194">
        <v>0</v>
      </c>
      <c r="S1316" s="193">
        <f t="shared" si="286"/>
        <v>0</v>
      </c>
      <c r="T1316" s="193">
        <f t="shared" si="287"/>
        <v>0</v>
      </c>
      <c r="U1316" s="193">
        <f ca="1">OFFSET('Expenditure Study'!$B$7,'Operations Support'!$C1316,'Operations Support'!$B1316)*$G1316</f>
        <v>0</v>
      </c>
      <c r="V1316" s="199">
        <f ca="1">U1316*'Expenditure Study'!$B$31</f>
        <v>0</v>
      </c>
      <c r="W1316" s="199">
        <f ca="1">IF(A1316=10298,1.51,1)*IF($B1316&lt;3,$D1316*'Expenditure Study'!$B$32*OFFSET('Expenditure Study'!$B$7,'Operations Support'!$C1316,'Operations Support'!$B1316),0)</f>
        <v>0</v>
      </c>
      <c r="X1316" s="200">
        <f ca="1">W1316*'Expenditure Study'!$B$31</f>
        <v>0</v>
      </c>
      <c r="Y1316" s="199">
        <f ca="1">U1316*'Expenditure Study'!$B$31</f>
        <v>0</v>
      </c>
      <c r="Z1316" s="200">
        <f ca="1">W1316*'Expenditure Study'!$B$31</f>
        <v>0</v>
      </c>
      <c r="AA1316" s="195">
        <f t="shared" ca="1" si="288"/>
        <v>0</v>
      </c>
      <c r="AB1316" s="195">
        <f t="shared" ca="1" si="289"/>
        <v>0</v>
      </c>
      <c r="AD1316" s="196">
        <f>IFERROR($G1316/SUMIF($A:$A,$A1316,$G:$G)*SUMIF(Summary!$A$166:$A$242,$A1316,Summary!$P$166:$P$242),0)</f>
        <v>0</v>
      </c>
      <c r="AE1316" s="197">
        <f t="shared" ca="1" si="290"/>
        <v>0</v>
      </c>
      <c r="AF1316" s="196">
        <f>IFERROR(G1316/SUMIF(A:A,A1316,G:G)*SUMIF(Summary!$A$166:$A$242,'Operations Support'!A1316,Summary!$Q$166:$Q$242),0)</f>
        <v>0</v>
      </c>
      <c r="AG1316" s="196">
        <f t="shared" ca="1" si="291"/>
        <v>0</v>
      </c>
      <c r="AI1316" s="196">
        <f>IFERROR($G1316/SUMIF($A:$A,$A1316,$G:$G)*SUMIF(Summary!$A$247:$A$283,$A1316,Summary!$P$247:$P$283),0)</f>
        <v>0</v>
      </c>
      <c r="AJ1316" s="196">
        <f>IFERROR($G1316/SUMIF($A:$A,$A1316,$G:$G)*(SUMIF(Summary!$A$247:$A$283,$A1316,Summary!$L$247:$L$283)+SUMIF(Summary!$A$297:$A$333,$A1316,Summary!$L$297:$L$333))-AI1316,0)</f>
        <v>0</v>
      </c>
      <c r="AK1316" s="196">
        <f>IFERROR($G1316/SUMIF($A:$A,$A1316,$G:$G)*SUMIF(Summary!$A$247:$A$283,$A1316,Summary!$Q$247:$Q$283),0)</f>
        <v>0</v>
      </c>
      <c r="AL1316" s="196">
        <f>IFERROR($G1316/SUMIF($A:$A,$A1316,$G:$G)*(SUMIF(Summary!$A$247:$A$283,$A1316,Summary!$L$247:$L$283)+SUMIF(Summary!$A$297:$A$333,$A1316,Summary!$L$297:$L$333))-AK1316,0)</f>
        <v>0</v>
      </c>
      <c r="AM1316" s="198"/>
      <c r="AN1316" s="196">
        <f t="shared" ca="1" si="292"/>
        <v>0</v>
      </c>
      <c r="AO1316" s="196">
        <f t="shared" ca="1" si="293"/>
        <v>0</v>
      </c>
    </row>
    <row r="1317" spans="1:41">
      <c r="A1317" s="189">
        <v>3631</v>
      </c>
      <c r="B1317" s="190">
        <v>3</v>
      </c>
      <c r="C1317" s="191" t="s">
        <v>230</v>
      </c>
      <c r="D1317" s="192">
        <f t="shared" si="280"/>
        <v>0</v>
      </c>
      <c r="E1317" s="192">
        <f t="shared" si="281"/>
        <v>0</v>
      </c>
      <c r="F1317" s="192">
        <f t="shared" si="282"/>
        <v>0</v>
      </c>
      <c r="G1317" s="193">
        <f t="shared" si="283"/>
        <v>0</v>
      </c>
      <c r="H1317" s="194">
        <v>0</v>
      </c>
      <c r="I1317" s="194">
        <v>0</v>
      </c>
      <c r="J1317" s="194">
        <v>0</v>
      </c>
      <c r="K1317" s="193">
        <f t="shared" si="284"/>
        <v>0</v>
      </c>
      <c r="L1317" s="194">
        <v>0</v>
      </c>
      <c r="M1317" s="194">
        <v>0</v>
      </c>
      <c r="N1317" s="194">
        <v>0</v>
      </c>
      <c r="O1317" s="193">
        <f t="shared" si="285"/>
        <v>0</v>
      </c>
      <c r="P1317" s="194">
        <v>0</v>
      </c>
      <c r="Q1317" s="194">
        <v>0</v>
      </c>
      <c r="R1317" s="194">
        <v>0</v>
      </c>
      <c r="S1317" s="193">
        <f t="shared" si="286"/>
        <v>0</v>
      </c>
      <c r="T1317" s="193">
        <f t="shared" si="287"/>
        <v>0</v>
      </c>
      <c r="U1317" s="193">
        <f ca="1">OFFSET('Expenditure Study'!$B$7,'Operations Support'!$C1317,'Operations Support'!$B1317)*$G1317</f>
        <v>0</v>
      </c>
      <c r="V1317" s="199">
        <f ca="1">U1317*'Expenditure Study'!$B$31</f>
        <v>0</v>
      </c>
      <c r="W1317" s="199">
        <f ca="1">IF(A1317=10298,1.51,1)*IF($B1317&lt;3,$D1317*'Expenditure Study'!$B$32*OFFSET('Expenditure Study'!$B$7,'Operations Support'!$C1317,'Operations Support'!$B1317),0)</f>
        <v>0</v>
      </c>
      <c r="X1317" s="200">
        <f ca="1">W1317*'Expenditure Study'!$B$31</f>
        <v>0</v>
      </c>
      <c r="Y1317" s="199">
        <f ca="1">U1317*'Expenditure Study'!$B$31</f>
        <v>0</v>
      </c>
      <c r="Z1317" s="200">
        <f ca="1">W1317*'Expenditure Study'!$B$31</f>
        <v>0</v>
      </c>
      <c r="AA1317" s="195">
        <f t="shared" ca="1" si="288"/>
        <v>0</v>
      </c>
      <c r="AB1317" s="195">
        <f t="shared" ca="1" si="289"/>
        <v>0</v>
      </c>
      <c r="AD1317" s="196">
        <f>IFERROR($G1317/SUMIF($A:$A,$A1317,$G:$G)*SUMIF(Summary!$A$166:$A$242,$A1317,Summary!$P$166:$P$242),0)</f>
        <v>0</v>
      </c>
      <c r="AE1317" s="197">
        <f t="shared" ca="1" si="290"/>
        <v>0</v>
      </c>
      <c r="AF1317" s="196">
        <f>IFERROR(G1317/SUMIF(A:A,A1317,G:G)*SUMIF(Summary!$A$166:$A$242,'Operations Support'!A1317,Summary!$Q$166:$Q$242),0)</f>
        <v>0</v>
      </c>
      <c r="AG1317" s="196">
        <f t="shared" ca="1" si="291"/>
        <v>0</v>
      </c>
      <c r="AI1317" s="196">
        <f>IFERROR($G1317/SUMIF($A:$A,$A1317,$G:$G)*SUMIF(Summary!$A$247:$A$283,$A1317,Summary!$P$247:$P$283),0)</f>
        <v>0</v>
      </c>
      <c r="AJ1317" s="196">
        <f>IFERROR($G1317/SUMIF($A:$A,$A1317,$G:$G)*(SUMIF(Summary!$A$247:$A$283,$A1317,Summary!$L$247:$L$283)+SUMIF(Summary!$A$297:$A$333,$A1317,Summary!$L$297:$L$333))-AI1317,0)</f>
        <v>0</v>
      </c>
      <c r="AK1317" s="196">
        <f>IFERROR($G1317/SUMIF($A:$A,$A1317,$G:$G)*SUMIF(Summary!$A$247:$A$283,$A1317,Summary!$Q$247:$Q$283),0)</f>
        <v>0</v>
      </c>
      <c r="AL1317" s="196">
        <f>IFERROR($G1317/SUMIF($A:$A,$A1317,$G:$G)*(SUMIF(Summary!$A$247:$A$283,$A1317,Summary!$L$247:$L$283)+SUMIF(Summary!$A$297:$A$333,$A1317,Summary!$L$297:$L$333))-AK1317,0)</f>
        <v>0</v>
      </c>
      <c r="AM1317" s="198"/>
      <c r="AN1317" s="196">
        <f t="shared" ca="1" si="292"/>
        <v>0</v>
      </c>
      <c r="AO1317" s="196">
        <f t="shared" ca="1" si="293"/>
        <v>0</v>
      </c>
    </row>
    <row r="1318" spans="1:41">
      <c r="A1318" s="189">
        <v>3631</v>
      </c>
      <c r="B1318" s="190">
        <v>3</v>
      </c>
      <c r="C1318" s="191" t="s">
        <v>231</v>
      </c>
      <c r="D1318" s="192">
        <f t="shared" si="280"/>
        <v>0</v>
      </c>
      <c r="E1318" s="192">
        <f t="shared" si="281"/>
        <v>0</v>
      </c>
      <c r="F1318" s="192">
        <f t="shared" si="282"/>
        <v>0</v>
      </c>
      <c r="G1318" s="193">
        <f t="shared" si="283"/>
        <v>0</v>
      </c>
      <c r="H1318" s="194">
        <v>0</v>
      </c>
      <c r="I1318" s="194">
        <v>0</v>
      </c>
      <c r="J1318" s="194">
        <v>0</v>
      </c>
      <c r="K1318" s="193">
        <f t="shared" si="284"/>
        <v>0</v>
      </c>
      <c r="L1318" s="194">
        <v>0</v>
      </c>
      <c r="M1318" s="194">
        <v>0</v>
      </c>
      <c r="N1318" s="194">
        <v>0</v>
      </c>
      <c r="O1318" s="193">
        <f t="shared" si="285"/>
        <v>0</v>
      </c>
      <c r="P1318" s="194">
        <v>0</v>
      </c>
      <c r="Q1318" s="194">
        <v>0</v>
      </c>
      <c r="R1318" s="194">
        <v>0</v>
      </c>
      <c r="S1318" s="193">
        <f t="shared" si="286"/>
        <v>0</v>
      </c>
      <c r="T1318" s="193">
        <f t="shared" si="287"/>
        <v>0</v>
      </c>
      <c r="U1318" s="193">
        <f ca="1">OFFSET('Expenditure Study'!$B$7,'Operations Support'!$C1318,'Operations Support'!$B1318)*$G1318</f>
        <v>0</v>
      </c>
      <c r="V1318" s="199">
        <f ca="1">U1318*'Expenditure Study'!$B$31</f>
        <v>0</v>
      </c>
      <c r="W1318" s="199">
        <f ca="1">IF(A1318=10298,1.51,1)*IF($B1318&lt;3,$D1318*'Expenditure Study'!$B$32*OFFSET('Expenditure Study'!$B$7,'Operations Support'!$C1318,'Operations Support'!$B1318),0)</f>
        <v>0</v>
      </c>
      <c r="X1318" s="200">
        <f ca="1">W1318*'Expenditure Study'!$B$31</f>
        <v>0</v>
      </c>
      <c r="Y1318" s="199">
        <f ca="1">U1318*'Expenditure Study'!$B$31</f>
        <v>0</v>
      </c>
      <c r="Z1318" s="200">
        <f ca="1">W1318*'Expenditure Study'!$B$31</f>
        <v>0</v>
      </c>
      <c r="AA1318" s="195">
        <f t="shared" ca="1" si="288"/>
        <v>0</v>
      </c>
      <c r="AB1318" s="195">
        <f t="shared" ca="1" si="289"/>
        <v>0</v>
      </c>
      <c r="AD1318" s="196">
        <f>IFERROR($G1318/SUMIF($A:$A,$A1318,$G:$G)*SUMIF(Summary!$A$166:$A$242,$A1318,Summary!$P$166:$P$242),0)</f>
        <v>0</v>
      </c>
      <c r="AE1318" s="197">
        <f t="shared" ca="1" si="290"/>
        <v>0</v>
      </c>
      <c r="AF1318" s="196">
        <f>IFERROR(G1318/SUMIF(A:A,A1318,G:G)*SUMIF(Summary!$A$166:$A$242,'Operations Support'!A1318,Summary!$Q$166:$Q$242),0)</f>
        <v>0</v>
      </c>
      <c r="AG1318" s="196">
        <f t="shared" ca="1" si="291"/>
        <v>0</v>
      </c>
      <c r="AI1318" s="196">
        <f>IFERROR($G1318/SUMIF($A:$A,$A1318,$G:$G)*SUMIF(Summary!$A$247:$A$283,$A1318,Summary!$P$247:$P$283),0)</f>
        <v>0</v>
      </c>
      <c r="AJ1318" s="196">
        <f>IFERROR($G1318/SUMIF($A:$A,$A1318,$G:$G)*(SUMIF(Summary!$A$247:$A$283,$A1318,Summary!$L$247:$L$283)+SUMIF(Summary!$A$297:$A$333,$A1318,Summary!$L$297:$L$333))-AI1318,0)</f>
        <v>0</v>
      </c>
      <c r="AK1318" s="196">
        <f>IFERROR($G1318/SUMIF($A:$A,$A1318,$G:$G)*SUMIF(Summary!$A$247:$A$283,$A1318,Summary!$Q$247:$Q$283),0)</f>
        <v>0</v>
      </c>
      <c r="AL1318" s="196">
        <f>IFERROR($G1318/SUMIF($A:$A,$A1318,$G:$G)*(SUMIF(Summary!$A$247:$A$283,$A1318,Summary!$L$247:$L$283)+SUMIF(Summary!$A$297:$A$333,$A1318,Summary!$L$297:$L$333))-AK1318,0)</f>
        <v>0</v>
      </c>
      <c r="AM1318" s="198"/>
      <c r="AN1318" s="196">
        <f t="shared" ca="1" si="292"/>
        <v>0</v>
      </c>
      <c r="AO1318" s="196">
        <f t="shared" ca="1" si="293"/>
        <v>0</v>
      </c>
    </row>
    <row r="1319" spans="1:41">
      <c r="A1319" s="189">
        <v>3631</v>
      </c>
      <c r="B1319" s="190">
        <v>3</v>
      </c>
      <c r="C1319" s="191" t="s">
        <v>232</v>
      </c>
      <c r="D1319" s="192">
        <f t="shared" si="280"/>
        <v>0</v>
      </c>
      <c r="E1319" s="192">
        <f t="shared" si="281"/>
        <v>0</v>
      </c>
      <c r="F1319" s="192">
        <f t="shared" si="282"/>
        <v>0</v>
      </c>
      <c r="G1319" s="193">
        <f t="shared" si="283"/>
        <v>0</v>
      </c>
      <c r="H1319" s="194">
        <v>0</v>
      </c>
      <c r="I1319" s="194">
        <v>0</v>
      </c>
      <c r="J1319" s="194">
        <v>0</v>
      </c>
      <c r="K1319" s="193">
        <f t="shared" si="284"/>
        <v>0</v>
      </c>
      <c r="L1319" s="194">
        <v>0</v>
      </c>
      <c r="M1319" s="194">
        <v>0</v>
      </c>
      <c r="N1319" s="194">
        <v>0</v>
      </c>
      <c r="O1319" s="193">
        <f t="shared" si="285"/>
        <v>0</v>
      </c>
      <c r="P1319" s="194">
        <v>0</v>
      </c>
      <c r="Q1319" s="194">
        <v>0</v>
      </c>
      <c r="R1319" s="194">
        <v>0</v>
      </c>
      <c r="S1319" s="193">
        <f t="shared" si="286"/>
        <v>0</v>
      </c>
      <c r="T1319" s="193">
        <f t="shared" si="287"/>
        <v>0</v>
      </c>
      <c r="U1319" s="193">
        <f ca="1">OFFSET('Expenditure Study'!$B$7,'Operations Support'!$C1319,'Operations Support'!$B1319)*$G1319</f>
        <v>0</v>
      </c>
      <c r="V1319" s="199">
        <f ca="1">U1319*'Expenditure Study'!$B$31</f>
        <v>0</v>
      </c>
      <c r="W1319" s="199">
        <f ca="1">IF(A1319=10298,1.51,1)*IF($B1319&lt;3,$D1319*'Expenditure Study'!$B$32*OFFSET('Expenditure Study'!$B$7,'Operations Support'!$C1319,'Operations Support'!$B1319),0)</f>
        <v>0</v>
      </c>
      <c r="X1319" s="200">
        <f ca="1">W1319*'Expenditure Study'!$B$31</f>
        <v>0</v>
      </c>
      <c r="Y1319" s="199">
        <f ca="1">U1319*'Expenditure Study'!$B$31</f>
        <v>0</v>
      </c>
      <c r="Z1319" s="200">
        <f ca="1">W1319*'Expenditure Study'!$B$31</f>
        <v>0</v>
      </c>
      <c r="AA1319" s="195">
        <f t="shared" ca="1" si="288"/>
        <v>0</v>
      </c>
      <c r="AB1319" s="195">
        <f t="shared" ca="1" si="289"/>
        <v>0</v>
      </c>
      <c r="AD1319" s="196">
        <f>IFERROR($G1319/SUMIF($A:$A,$A1319,$G:$G)*SUMIF(Summary!$A$166:$A$242,$A1319,Summary!$P$166:$P$242),0)</f>
        <v>0</v>
      </c>
      <c r="AE1319" s="197">
        <f t="shared" ca="1" si="290"/>
        <v>0</v>
      </c>
      <c r="AF1319" s="196">
        <f>IFERROR(G1319/SUMIF(A:A,A1319,G:G)*SUMIF(Summary!$A$166:$A$242,'Operations Support'!A1319,Summary!$Q$166:$Q$242),0)</f>
        <v>0</v>
      </c>
      <c r="AG1319" s="196">
        <f t="shared" ca="1" si="291"/>
        <v>0</v>
      </c>
      <c r="AI1319" s="196">
        <f>IFERROR($G1319/SUMIF($A:$A,$A1319,$G:$G)*SUMIF(Summary!$A$247:$A$283,$A1319,Summary!$P$247:$P$283),0)</f>
        <v>0</v>
      </c>
      <c r="AJ1319" s="196">
        <f>IFERROR($G1319/SUMIF($A:$A,$A1319,$G:$G)*(SUMIF(Summary!$A$247:$A$283,$A1319,Summary!$L$247:$L$283)+SUMIF(Summary!$A$297:$A$333,$A1319,Summary!$L$297:$L$333))-AI1319,0)</f>
        <v>0</v>
      </c>
      <c r="AK1319" s="196">
        <f>IFERROR($G1319/SUMIF($A:$A,$A1319,$G:$G)*SUMIF(Summary!$A$247:$A$283,$A1319,Summary!$Q$247:$Q$283),0)</f>
        <v>0</v>
      </c>
      <c r="AL1319" s="196">
        <f>IFERROR($G1319/SUMIF($A:$A,$A1319,$G:$G)*(SUMIF(Summary!$A$247:$A$283,$A1319,Summary!$L$247:$L$283)+SUMIF(Summary!$A$297:$A$333,$A1319,Summary!$L$297:$L$333))-AK1319,0)</f>
        <v>0</v>
      </c>
      <c r="AM1319" s="198"/>
      <c r="AN1319" s="196">
        <f t="shared" ca="1" si="292"/>
        <v>0</v>
      </c>
      <c r="AO1319" s="196">
        <f t="shared" ca="1" si="293"/>
        <v>0</v>
      </c>
    </row>
    <row r="1320" spans="1:41">
      <c r="A1320" s="189">
        <v>3631</v>
      </c>
      <c r="B1320" s="190">
        <v>3</v>
      </c>
      <c r="C1320" s="191" t="s">
        <v>233</v>
      </c>
      <c r="D1320" s="192">
        <f t="shared" si="280"/>
        <v>794</v>
      </c>
      <c r="E1320" s="192">
        <f t="shared" si="281"/>
        <v>111</v>
      </c>
      <c r="F1320" s="192">
        <f t="shared" si="282"/>
        <v>0</v>
      </c>
      <c r="G1320" s="193">
        <f t="shared" si="283"/>
        <v>905</v>
      </c>
      <c r="H1320" s="194">
        <v>395</v>
      </c>
      <c r="I1320" s="194">
        <v>0</v>
      </c>
      <c r="J1320" s="194">
        <v>0</v>
      </c>
      <c r="K1320" s="193">
        <f t="shared" si="284"/>
        <v>395</v>
      </c>
      <c r="L1320" s="194">
        <v>246</v>
      </c>
      <c r="M1320" s="194">
        <v>111</v>
      </c>
      <c r="N1320" s="194">
        <v>0</v>
      </c>
      <c r="O1320" s="193">
        <f t="shared" si="285"/>
        <v>357</v>
      </c>
      <c r="P1320" s="194">
        <v>153</v>
      </c>
      <c r="Q1320" s="194">
        <v>0</v>
      </c>
      <c r="R1320" s="194">
        <v>0</v>
      </c>
      <c r="S1320" s="193">
        <f t="shared" si="286"/>
        <v>153</v>
      </c>
      <c r="T1320" s="193">
        <f t="shared" si="287"/>
        <v>37.708333333333336</v>
      </c>
      <c r="U1320" s="193">
        <f ca="1">OFFSET('Expenditure Study'!$B$7,'Operations Support'!$C1320,'Operations Support'!$B1320)*$G1320</f>
        <v>2371.1</v>
      </c>
      <c r="V1320" s="199">
        <f ca="1">U1320*'Expenditure Study'!$B$31</f>
        <v>140092.12999488</v>
      </c>
      <c r="W1320" s="199">
        <f ca="1">IF(A1320=10298,1.51,1)*IF($B1320&lt;3,$D1320*'Expenditure Study'!$B$32*OFFSET('Expenditure Study'!$B$7,'Operations Support'!$C1320,'Operations Support'!$B1320),0)</f>
        <v>0</v>
      </c>
      <c r="X1320" s="200">
        <f ca="1">W1320*'Expenditure Study'!$B$31</f>
        <v>0</v>
      </c>
      <c r="Y1320" s="199">
        <f ca="1">U1320*'Expenditure Study'!$B$31</f>
        <v>140092.12999488</v>
      </c>
      <c r="Z1320" s="200">
        <f ca="1">W1320*'Expenditure Study'!$B$31</f>
        <v>0</v>
      </c>
      <c r="AA1320" s="195">
        <f t="shared" ca="1" si="288"/>
        <v>140092.12999488</v>
      </c>
      <c r="AB1320" s="195">
        <f t="shared" ca="1" si="289"/>
        <v>140092.12999488</v>
      </c>
      <c r="AD1320" s="196">
        <f>IFERROR($G1320/SUMIF($A:$A,$A1320,$G:$G)*SUMIF(Summary!$A$166:$A$242,$A1320,Summary!$P$166:$P$242),0)</f>
        <v>18963.018074883439</v>
      </c>
      <c r="AE1320" s="197">
        <f t="shared" ca="1" si="290"/>
        <v>121129.11191999656</v>
      </c>
      <c r="AF1320" s="196">
        <f>IFERROR(G1320/SUMIF(A:A,A1320,G:G)*SUMIF(Summary!$A$166:$A$242,'Operations Support'!A1320,Summary!$Q$166:$Q$242),0)</f>
        <v>18993.562060883261</v>
      </c>
      <c r="AG1320" s="196">
        <f t="shared" ca="1" si="291"/>
        <v>121098.56793399673</v>
      </c>
      <c r="AI1320" s="196">
        <f>IFERROR($G1320/SUMIF($A:$A,$A1320,$G:$G)*SUMIF(Summary!$A$247:$A$283,$A1320,Summary!$P$247:$P$283),0)</f>
        <v>3458.3812800176152</v>
      </c>
      <c r="AJ1320" s="196">
        <f>IFERROR($G1320/SUMIF($A:$A,$A1320,$G:$G)*(SUMIF(Summary!$A$247:$A$283,$A1320,Summary!$L$247:$L$283)+SUMIF(Summary!$A$297:$A$333,$A1320,Summary!$L$297:$L$333))-AI1320,0)</f>
        <v>13457.377547418479</v>
      </c>
      <c r="AK1320" s="196">
        <f>IFERROR($G1320/SUMIF($A:$A,$A1320,$G:$G)*SUMIF(Summary!$A$247:$A$283,$A1320,Summary!$Q$247:$Q$283),0)</f>
        <v>3463.9517408473089</v>
      </c>
      <c r="AL1320" s="196">
        <f>IFERROR($G1320/SUMIF($A:$A,$A1320,$G:$G)*(SUMIF(Summary!$A$247:$A$283,$A1320,Summary!$L$247:$L$283)+SUMIF(Summary!$A$297:$A$333,$A1320,Summary!$L$297:$L$333))-AK1320,0)</f>
        <v>13451.807086588784</v>
      </c>
      <c r="AM1320" s="198"/>
      <c r="AN1320" s="196">
        <f t="shared" ca="1" si="292"/>
        <v>134586.48946741503</v>
      </c>
      <c r="AO1320" s="196">
        <f t="shared" ca="1" si="293"/>
        <v>134550.37502058552</v>
      </c>
    </row>
    <row r="1321" spans="1:41">
      <c r="A1321" s="189">
        <v>3631</v>
      </c>
      <c r="B1321" s="190">
        <v>3</v>
      </c>
      <c r="C1321" s="191" t="s">
        <v>234</v>
      </c>
      <c r="D1321" s="192">
        <f t="shared" si="280"/>
        <v>0</v>
      </c>
      <c r="E1321" s="192">
        <f t="shared" si="281"/>
        <v>0</v>
      </c>
      <c r="F1321" s="192">
        <f t="shared" si="282"/>
        <v>0</v>
      </c>
      <c r="G1321" s="193">
        <f t="shared" si="283"/>
        <v>0</v>
      </c>
      <c r="H1321" s="194">
        <v>0</v>
      </c>
      <c r="I1321" s="194">
        <v>0</v>
      </c>
      <c r="J1321" s="194">
        <v>0</v>
      </c>
      <c r="K1321" s="193">
        <f t="shared" si="284"/>
        <v>0</v>
      </c>
      <c r="L1321" s="194">
        <v>0</v>
      </c>
      <c r="M1321" s="194">
        <v>0</v>
      </c>
      <c r="N1321" s="194">
        <v>0</v>
      </c>
      <c r="O1321" s="193">
        <f t="shared" si="285"/>
        <v>0</v>
      </c>
      <c r="P1321" s="194">
        <v>0</v>
      </c>
      <c r="Q1321" s="194">
        <v>0</v>
      </c>
      <c r="R1321" s="194">
        <v>0</v>
      </c>
      <c r="S1321" s="193">
        <f t="shared" si="286"/>
        <v>0</v>
      </c>
      <c r="T1321" s="193">
        <f t="shared" si="287"/>
        <v>0</v>
      </c>
      <c r="U1321" s="193">
        <f ca="1">OFFSET('Expenditure Study'!$B$7,'Operations Support'!$C1321,'Operations Support'!$B1321)*$G1321</f>
        <v>0</v>
      </c>
      <c r="V1321" s="199">
        <f ca="1">U1321*'Expenditure Study'!$B$31</f>
        <v>0</v>
      </c>
      <c r="W1321" s="199">
        <f ca="1">IF(A1321=10298,1.51,1)*IF($B1321&lt;3,$D1321*'Expenditure Study'!$B$32*OFFSET('Expenditure Study'!$B$7,'Operations Support'!$C1321,'Operations Support'!$B1321),0)</f>
        <v>0</v>
      </c>
      <c r="X1321" s="200">
        <f ca="1">W1321*'Expenditure Study'!$B$31</f>
        <v>0</v>
      </c>
      <c r="Y1321" s="199">
        <f ca="1">U1321*'Expenditure Study'!$B$31</f>
        <v>0</v>
      </c>
      <c r="Z1321" s="200">
        <f ca="1">W1321*'Expenditure Study'!$B$31</f>
        <v>0</v>
      </c>
      <c r="AA1321" s="195">
        <f t="shared" ca="1" si="288"/>
        <v>0</v>
      </c>
      <c r="AB1321" s="195">
        <f t="shared" ca="1" si="289"/>
        <v>0</v>
      </c>
      <c r="AD1321" s="196">
        <f>IFERROR($G1321/SUMIF($A:$A,$A1321,$G:$G)*SUMIF(Summary!$A$166:$A$242,$A1321,Summary!$P$166:$P$242),0)</f>
        <v>0</v>
      </c>
      <c r="AE1321" s="197">
        <f t="shared" ca="1" si="290"/>
        <v>0</v>
      </c>
      <c r="AF1321" s="196">
        <f>IFERROR(G1321/SUMIF(A:A,A1321,G:G)*SUMIF(Summary!$A$166:$A$242,'Operations Support'!A1321,Summary!$Q$166:$Q$242),0)</f>
        <v>0</v>
      </c>
      <c r="AG1321" s="196">
        <f t="shared" ca="1" si="291"/>
        <v>0</v>
      </c>
      <c r="AI1321" s="196">
        <f>IFERROR($G1321/SUMIF($A:$A,$A1321,$G:$G)*SUMIF(Summary!$A$247:$A$283,$A1321,Summary!$P$247:$P$283),0)</f>
        <v>0</v>
      </c>
      <c r="AJ1321" s="196">
        <f>IFERROR($G1321/SUMIF($A:$A,$A1321,$G:$G)*(SUMIF(Summary!$A$247:$A$283,$A1321,Summary!$L$247:$L$283)+SUMIF(Summary!$A$297:$A$333,$A1321,Summary!$L$297:$L$333))-AI1321,0)</f>
        <v>0</v>
      </c>
      <c r="AK1321" s="196">
        <f>IFERROR($G1321/SUMIF($A:$A,$A1321,$G:$G)*SUMIF(Summary!$A$247:$A$283,$A1321,Summary!$Q$247:$Q$283),0)</f>
        <v>0</v>
      </c>
      <c r="AL1321" s="196">
        <f>IFERROR($G1321/SUMIF($A:$A,$A1321,$G:$G)*(SUMIF(Summary!$A$247:$A$283,$A1321,Summary!$L$247:$L$283)+SUMIF(Summary!$A$297:$A$333,$A1321,Summary!$L$297:$L$333))-AK1321,0)</f>
        <v>0</v>
      </c>
      <c r="AM1321" s="198"/>
      <c r="AN1321" s="196">
        <f t="shared" ca="1" si="292"/>
        <v>0</v>
      </c>
      <c r="AO1321" s="196">
        <f t="shared" ca="1" si="293"/>
        <v>0</v>
      </c>
    </row>
    <row r="1322" spans="1:41">
      <c r="A1322" s="189">
        <v>3631</v>
      </c>
      <c r="B1322" s="190">
        <v>3</v>
      </c>
      <c r="C1322" s="191" t="s">
        <v>235</v>
      </c>
      <c r="D1322" s="192">
        <f t="shared" si="280"/>
        <v>8887</v>
      </c>
      <c r="E1322" s="192">
        <f t="shared" si="281"/>
        <v>1480.5</v>
      </c>
      <c r="F1322" s="192">
        <f t="shared" si="282"/>
        <v>0</v>
      </c>
      <c r="G1322" s="193">
        <f t="shared" si="283"/>
        <v>10367.5</v>
      </c>
      <c r="H1322" s="194">
        <v>3961.5</v>
      </c>
      <c r="I1322" s="194">
        <v>783</v>
      </c>
      <c r="J1322" s="194">
        <v>0</v>
      </c>
      <c r="K1322" s="193">
        <f t="shared" si="284"/>
        <v>4744.5</v>
      </c>
      <c r="L1322" s="194">
        <v>2332.5</v>
      </c>
      <c r="M1322" s="194">
        <v>423</v>
      </c>
      <c r="N1322" s="194">
        <v>0</v>
      </c>
      <c r="O1322" s="193">
        <f t="shared" si="285"/>
        <v>2755.5</v>
      </c>
      <c r="P1322" s="194">
        <v>2593</v>
      </c>
      <c r="Q1322" s="194">
        <v>274.5</v>
      </c>
      <c r="R1322" s="194">
        <v>0</v>
      </c>
      <c r="S1322" s="193">
        <f t="shared" si="286"/>
        <v>2867.5</v>
      </c>
      <c r="T1322" s="193">
        <f t="shared" si="287"/>
        <v>431.97916666666669</v>
      </c>
      <c r="U1322" s="193">
        <f ca="1">OFFSET('Expenditure Study'!$B$7,'Operations Support'!$C1322,'Operations Support'!$B1322)*$G1322</f>
        <v>32761.300000000003</v>
      </c>
      <c r="V1322" s="199">
        <f ca="1">U1322*'Expenditure Study'!$B$31</f>
        <v>1935641.8111430402</v>
      </c>
      <c r="W1322" s="199">
        <f ca="1">IF(A1322=10298,1.51,1)*IF($B1322&lt;3,$D1322*'Expenditure Study'!$B$32*OFFSET('Expenditure Study'!$B$7,'Operations Support'!$C1322,'Operations Support'!$B1322),0)</f>
        <v>0</v>
      </c>
      <c r="X1322" s="200">
        <f ca="1">W1322*'Expenditure Study'!$B$31</f>
        <v>0</v>
      </c>
      <c r="Y1322" s="199">
        <f ca="1">U1322*'Expenditure Study'!$B$31</f>
        <v>1935641.8111430402</v>
      </c>
      <c r="Z1322" s="200">
        <f ca="1">W1322*'Expenditure Study'!$B$31</f>
        <v>0</v>
      </c>
      <c r="AA1322" s="195">
        <f t="shared" ca="1" si="288"/>
        <v>1935641.8111430402</v>
      </c>
      <c r="AB1322" s="195">
        <f t="shared" ca="1" si="289"/>
        <v>1935641.8111430402</v>
      </c>
      <c r="AD1322" s="196">
        <f>IFERROR($G1322/SUMIF($A:$A,$A1322,$G:$G)*SUMIF(Summary!$A$166:$A$242,$A1322,Summary!$P$166:$P$242),0)</f>
        <v>217236.56341586084</v>
      </c>
      <c r="AE1322" s="197">
        <f t="shared" ca="1" si="290"/>
        <v>1718405.2477271794</v>
      </c>
      <c r="AF1322" s="196">
        <f>IFERROR(G1322/SUMIF(A:A,A1322,G:G)*SUMIF(Summary!$A$166:$A$242,'Operations Support'!A1322,Summary!$Q$166:$Q$242),0)</f>
        <v>217586.46924442786</v>
      </c>
      <c r="AG1322" s="196">
        <f t="shared" ca="1" si="291"/>
        <v>1718055.3418986122</v>
      </c>
      <c r="AI1322" s="196">
        <f>IFERROR($G1322/SUMIF($A:$A,$A1322,$G:$G)*SUMIF(Summary!$A$247:$A$283,$A1322,Summary!$P$247:$P$283),0)</f>
        <v>39618.528089041574</v>
      </c>
      <c r="AJ1322" s="196">
        <f>IFERROR($G1322/SUMIF($A:$A,$A1322,$G:$G)*(SUMIF(Summary!$A$247:$A$283,$A1322,Summary!$L$247:$L$283)+SUMIF(Summary!$A$297:$A$333,$A1322,Summary!$L$297:$L$333))-AI1322,0)</f>
        <v>154165.04057774704</v>
      </c>
      <c r="AK1322" s="196">
        <f>IFERROR($G1322/SUMIF($A:$A,$A1322,$G:$G)*SUMIF(Summary!$A$247:$A$283,$A1322,Summary!$Q$247:$Q$283),0)</f>
        <v>39682.342180369589</v>
      </c>
      <c r="AL1322" s="196">
        <f>IFERROR($G1322/SUMIF($A:$A,$A1322,$G:$G)*(SUMIF(Summary!$A$247:$A$283,$A1322,Summary!$L$247:$L$283)+SUMIF(Summary!$A$297:$A$333,$A1322,Summary!$L$297:$L$333))-AK1322,0)</f>
        <v>154101.22648641904</v>
      </c>
      <c r="AM1322" s="198"/>
      <c r="AN1322" s="196">
        <f t="shared" ca="1" si="292"/>
        <v>1872570.2883049264</v>
      </c>
      <c r="AO1322" s="196">
        <f t="shared" ca="1" si="293"/>
        <v>1872156.5683850313</v>
      </c>
    </row>
    <row r="1323" spans="1:41">
      <c r="A1323" s="189">
        <v>3631</v>
      </c>
      <c r="B1323" s="190">
        <v>3</v>
      </c>
      <c r="C1323" s="191" t="s">
        <v>236</v>
      </c>
      <c r="D1323" s="192">
        <f t="shared" si="280"/>
        <v>0</v>
      </c>
      <c r="E1323" s="192">
        <f t="shared" si="281"/>
        <v>0</v>
      </c>
      <c r="F1323" s="192">
        <f t="shared" si="282"/>
        <v>0</v>
      </c>
      <c r="G1323" s="193">
        <f t="shared" si="283"/>
        <v>0</v>
      </c>
      <c r="H1323" s="194">
        <v>0</v>
      </c>
      <c r="I1323" s="194">
        <v>0</v>
      </c>
      <c r="J1323" s="194">
        <v>0</v>
      </c>
      <c r="K1323" s="193">
        <f t="shared" si="284"/>
        <v>0</v>
      </c>
      <c r="L1323" s="194">
        <v>0</v>
      </c>
      <c r="M1323" s="194">
        <v>0</v>
      </c>
      <c r="N1323" s="194">
        <v>0</v>
      </c>
      <c r="O1323" s="193">
        <f t="shared" si="285"/>
        <v>0</v>
      </c>
      <c r="P1323" s="194">
        <v>0</v>
      </c>
      <c r="Q1323" s="194">
        <v>0</v>
      </c>
      <c r="R1323" s="194">
        <v>0</v>
      </c>
      <c r="S1323" s="193">
        <f t="shared" si="286"/>
        <v>0</v>
      </c>
      <c r="T1323" s="193">
        <f t="shared" si="287"/>
        <v>0</v>
      </c>
      <c r="U1323" s="193">
        <f ca="1">OFFSET('Expenditure Study'!$B$7,'Operations Support'!$C1323,'Operations Support'!$B1323)*$G1323</f>
        <v>0</v>
      </c>
      <c r="V1323" s="199">
        <f ca="1">U1323*'Expenditure Study'!$B$31</f>
        <v>0</v>
      </c>
      <c r="W1323" s="199">
        <f ca="1">IF(A1323=10298,1.51,1)*IF($B1323&lt;3,$D1323*'Expenditure Study'!$B$32*OFFSET('Expenditure Study'!$B$7,'Operations Support'!$C1323,'Operations Support'!$B1323),0)</f>
        <v>0</v>
      </c>
      <c r="X1323" s="200">
        <f ca="1">W1323*'Expenditure Study'!$B$31</f>
        <v>0</v>
      </c>
      <c r="Y1323" s="199">
        <f ca="1">U1323*'Expenditure Study'!$B$31</f>
        <v>0</v>
      </c>
      <c r="Z1323" s="200">
        <f ca="1">W1323*'Expenditure Study'!$B$31</f>
        <v>0</v>
      </c>
      <c r="AA1323" s="195">
        <f t="shared" ca="1" si="288"/>
        <v>0</v>
      </c>
      <c r="AB1323" s="195">
        <f t="shared" ca="1" si="289"/>
        <v>0</v>
      </c>
      <c r="AD1323" s="196">
        <f>IFERROR($G1323/SUMIF($A:$A,$A1323,$G:$G)*SUMIF(Summary!$A$166:$A$242,$A1323,Summary!$P$166:$P$242),0)</f>
        <v>0</v>
      </c>
      <c r="AE1323" s="197">
        <f t="shared" ca="1" si="290"/>
        <v>0</v>
      </c>
      <c r="AF1323" s="196">
        <f>IFERROR(G1323/SUMIF(A:A,A1323,G:G)*SUMIF(Summary!$A$166:$A$242,'Operations Support'!A1323,Summary!$Q$166:$Q$242),0)</f>
        <v>0</v>
      </c>
      <c r="AG1323" s="196">
        <f t="shared" ca="1" si="291"/>
        <v>0</v>
      </c>
      <c r="AI1323" s="196">
        <f>IFERROR($G1323/SUMIF($A:$A,$A1323,$G:$G)*SUMIF(Summary!$A$247:$A$283,$A1323,Summary!$P$247:$P$283),0)</f>
        <v>0</v>
      </c>
      <c r="AJ1323" s="196">
        <f>IFERROR($G1323/SUMIF($A:$A,$A1323,$G:$G)*(SUMIF(Summary!$A$247:$A$283,$A1323,Summary!$L$247:$L$283)+SUMIF(Summary!$A$297:$A$333,$A1323,Summary!$L$297:$L$333))-AI1323,0)</f>
        <v>0</v>
      </c>
      <c r="AK1323" s="196">
        <f>IFERROR($G1323/SUMIF($A:$A,$A1323,$G:$G)*SUMIF(Summary!$A$247:$A$283,$A1323,Summary!$Q$247:$Q$283),0)</f>
        <v>0</v>
      </c>
      <c r="AL1323" s="196">
        <f>IFERROR($G1323/SUMIF($A:$A,$A1323,$G:$G)*(SUMIF(Summary!$A$247:$A$283,$A1323,Summary!$L$247:$L$283)+SUMIF(Summary!$A$297:$A$333,$A1323,Summary!$L$297:$L$333))-AK1323,0)</f>
        <v>0</v>
      </c>
      <c r="AM1323" s="198"/>
      <c r="AN1323" s="196">
        <f t="shared" ca="1" si="292"/>
        <v>0</v>
      </c>
      <c r="AO1323" s="196">
        <f t="shared" ca="1" si="293"/>
        <v>0</v>
      </c>
    </row>
    <row r="1324" spans="1:41">
      <c r="A1324" s="189">
        <v>3631</v>
      </c>
      <c r="B1324" s="190">
        <v>3</v>
      </c>
      <c r="C1324" s="191" t="s">
        <v>237</v>
      </c>
      <c r="D1324" s="192">
        <f t="shared" si="280"/>
        <v>0</v>
      </c>
      <c r="E1324" s="192">
        <f t="shared" si="281"/>
        <v>0</v>
      </c>
      <c r="F1324" s="192">
        <f t="shared" si="282"/>
        <v>0</v>
      </c>
      <c r="G1324" s="193">
        <f t="shared" si="283"/>
        <v>0</v>
      </c>
      <c r="H1324" s="194">
        <v>0</v>
      </c>
      <c r="I1324" s="194">
        <v>0</v>
      </c>
      <c r="J1324" s="194">
        <v>0</v>
      </c>
      <c r="K1324" s="193">
        <f t="shared" si="284"/>
        <v>0</v>
      </c>
      <c r="L1324" s="194">
        <v>0</v>
      </c>
      <c r="M1324" s="194">
        <v>0</v>
      </c>
      <c r="N1324" s="194">
        <v>0</v>
      </c>
      <c r="O1324" s="193">
        <f t="shared" si="285"/>
        <v>0</v>
      </c>
      <c r="P1324" s="194">
        <v>0</v>
      </c>
      <c r="Q1324" s="194">
        <v>0</v>
      </c>
      <c r="R1324" s="194">
        <v>0</v>
      </c>
      <c r="S1324" s="193">
        <f t="shared" si="286"/>
        <v>0</v>
      </c>
      <c r="T1324" s="193">
        <f t="shared" si="287"/>
        <v>0</v>
      </c>
      <c r="U1324" s="193">
        <f ca="1">OFFSET('Expenditure Study'!$B$7,'Operations Support'!$C1324,'Operations Support'!$B1324)*$G1324</f>
        <v>0</v>
      </c>
      <c r="V1324" s="199">
        <f ca="1">U1324*'Expenditure Study'!$B$31</f>
        <v>0</v>
      </c>
      <c r="W1324" s="199">
        <f ca="1">IF(A1324=10298,1.51,1)*IF($B1324&lt;3,$D1324*'Expenditure Study'!$B$32*OFFSET('Expenditure Study'!$B$7,'Operations Support'!$C1324,'Operations Support'!$B1324),0)</f>
        <v>0</v>
      </c>
      <c r="X1324" s="200">
        <f ca="1">W1324*'Expenditure Study'!$B$31</f>
        <v>0</v>
      </c>
      <c r="Y1324" s="199">
        <f ca="1">U1324*'Expenditure Study'!$B$31</f>
        <v>0</v>
      </c>
      <c r="Z1324" s="200">
        <f ca="1">W1324*'Expenditure Study'!$B$31</f>
        <v>0</v>
      </c>
      <c r="AA1324" s="195">
        <f t="shared" ca="1" si="288"/>
        <v>0</v>
      </c>
      <c r="AB1324" s="195">
        <f t="shared" ca="1" si="289"/>
        <v>0</v>
      </c>
      <c r="AD1324" s="196">
        <f>IFERROR($G1324/SUMIF($A:$A,$A1324,$G:$G)*SUMIF(Summary!$A$166:$A$242,$A1324,Summary!$P$166:$P$242),0)</f>
        <v>0</v>
      </c>
      <c r="AE1324" s="197">
        <f t="shared" ca="1" si="290"/>
        <v>0</v>
      </c>
      <c r="AF1324" s="196">
        <f>IFERROR(G1324/SUMIF(A:A,A1324,G:G)*SUMIF(Summary!$A$166:$A$242,'Operations Support'!A1324,Summary!$Q$166:$Q$242),0)</f>
        <v>0</v>
      </c>
      <c r="AG1324" s="196">
        <f t="shared" ca="1" si="291"/>
        <v>0</v>
      </c>
      <c r="AI1324" s="196">
        <f>IFERROR($G1324/SUMIF($A:$A,$A1324,$G:$G)*SUMIF(Summary!$A$247:$A$283,$A1324,Summary!$P$247:$P$283),0)</f>
        <v>0</v>
      </c>
      <c r="AJ1324" s="196">
        <f>IFERROR($G1324/SUMIF($A:$A,$A1324,$G:$G)*(SUMIF(Summary!$A$247:$A$283,$A1324,Summary!$L$247:$L$283)+SUMIF(Summary!$A$297:$A$333,$A1324,Summary!$L$297:$L$333))-AI1324,0)</f>
        <v>0</v>
      </c>
      <c r="AK1324" s="196">
        <f>IFERROR($G1324/SUMIF($A:$A,$A1324,$G:$G)*SUMIF(Summary!$A$247:$A$283,$A1324,Summary!$Q$247:$Q$283),0)</f>
        <v>0</v>
      </c>
      <c r="AL1324" s="196">
        <f>IFERROR($G1324/SUMIF($A:$A,$A1324,$G:$G)*(SUMIF(Summary!$A$247:$A$283,$A1324,Summary!$L$247:$L$283)+SUMIF(Summary!$A$297:$A$333,$A1324,Summary!$L$297:$L$333))-AK1324,0)</f>
        <v>0</v>
      </c>
      <c r="AM1324" s="198"/>
      <c r="AN1324" s="196">
        <f t="shared" ca="1" si="292"/>
        <v>0</v>
      </c>
      <c r="AO1324" s="196">
        <f t="shared" ca="1" si="293"/>
        <v>0</v>
      </c>
    </row>
    <row r="1325" spans="1:41">
      <c r="A1325" s="189">
        <v>3631</v>
      </c>
      <c r="B1325" s="190">
        <v>3</v>
      </c>
      <c r="C1325" s="191" t="s">
        <v>238</v>
      </c>
      <c r="D1325" s="192">
        <f t="shared" si="280"/>
        <v>417</v>
      </c>
      <c r="E1325" s="192">
        <f t="shared" si="281"/>
        <v>213</v>
      </c>
      <c r="F1325" s="192">
        <f t="shared" si="282"/>
        <v>0</v>
      </c>
      <c r="G1325" s="193">
        <f t="shared" si="283"/>
        <v>630</v>
      </c>
      <c r="H1325" s="194">
        <v>168</v>
      </c>
      <c r="I1325" s="194">
        <v>60</v>
      </c>
      <c r="J1325" s="194">
        <v>0</v>
      </c>
      <c r="K1325" s="193">
        <f t="shared" si="284"/>
        <v>228</v>
      </c>
      <c r="L1325" s="194">
        <v>135</v>
      </c>
      <c r="M1325" s="194">
        <v>132</v>
      </c>
      <c r="N1325" s="194">
        <v>0</v>
      </c>
      <c r="O1325" s="193">
        <f t="shared" si="285"/>
        <v>267</v>
      </c>
      <c r="P1325" s="194">
        <v>114</v>
      </c>
      <c r="Q1325" s="194">
        <v>21</v>
      </c>
      <c r="R1325" s="194">
        <v>0</v>
      </c>
      <c r="S1325" s="193">
        <f t="shared" si="286"/>
        <v>135</v>
      </c>
      <c r="T1325" s="193">
        <f t="shared" si="287"/>
        <v>26.25</v>
      </c>
      <c r="U1325" s="193">
        <f ca="1">OFFSET('Expenditure Study'!$B$7,'Operations Support'!$C1325,'Operations Support'!$B1325)*$G1325</f>
        <v>3679.2</v>
      </c>
      <c r="V1325" s="199">
        <f ca="1">U1325*'Expenditure Study'!$B$31</f>
        <v>217378.83879936</v>
      </c>
      <c r="W1325" s="199">
        <f ca="1">IF(A1325=10298,1.51,1)*IF($B1325&lt;3,$D1325*'Expenditure Study'!$B$32*OFFSET('Expenditure Study'!$B$7,'Operations Support'!$C1325,'Operations Support'!$B1325),0)</f>
        <v>0</v>
      </c>
      <c r="X1325" s="200">
        <f ca="1">W1325*'Expenditure Study'!$B$31</f>
        <v>0</v>
      </c>
      <c r="Y1325" s="199">
        <f ca="1">U1325*'Expenditure Study'!$B$31</f>
        <v>217378.83879936</v>
      </c>
      <c r="Z1325" s="200">
        <f ca="1">W1325*'Expenditure Study'!$B$31</f>
        <v>0</v>
      </c>
      <c r="AA1325" s="195">
        <f t="shared" ca="1" si="288"/>
        <v>217378.83879936</v>
      </c>
      <c r="AB1325" s="195">
        <f t="shared" ca="1" si="289"/>
        <v>217378.83879936</v>
      </c>
      <c r="AD1325" s="196">
        <f>IFERROR($G1325/SUMIF($A:$A,$A1325,$G:$G)*SUMIF(Summary!$A$166:$A$242,$A1325,Summary!$P$166:$P$242),0)</f>
        <v>13200.775013454771</v>
      </c>
      <c r="AE1325" s="197">
        <f t="shared" ca="1" si="290"/>
        <v>204178.06378590522</v>
      </c>
      <c r="AF1325" s="196">
        <f>IFERROR(G1325/SUMIF(A:A,A1325,G:G)*SUMIF(Summary!$A$166:$A$242,'Operations Support'!A1325,Summary!$Q$166:$Q$242),0)</f>
        <v>13222.037677741941</v>
      </c>
      <c r="AG1325" s="196">
        <f t="shared" ca="1" si="291"/>
        <v>204156.80112161807</v>
      </c>
      <c r="AI1325" s="196">
        <f>IFERROR($G1325/SUMIF($A:$A,$A1325,$G:$G)*SUMIF(Summary!$A$247:$A$283,$A1325,Summary!$P$247:$P$283),0)</f>
        <v>2407.4919407857433</v>
      </c>
      <c r="AJ1325" s="196">
        <f>IFERROR($G1325/SUMIF($A:$A,$A1325,$G:$G)*(SUMIF(Summary!$A$247:$A$283,$A1325,Summary!$L$247:$L$283)+SUMIF(Summary!$A$297:$A$333,$A1325,Summary!$L$297:$L$333))-AI1325,0)</f>
        <v>9368.1191766559587</v>
      </c>
      <c r="AK1325" s="196">
        <f>IFERROR($G1325/SUMIF($A:$A,$A1325,$G:$G)*SUMIF(Summary!$A$247:$A$283,$A1325,Summary!$Q$247:$Q$283),0)</f>
        <v>2411.3697201478508</v>
      </c>
      <c r="AL1325" s="196">
        <f>IFERROR($G1325/SUMIF($A:$A,$A1325,$G:$G)*(SUMIF(Summary!$A$247:$A$283,$A1325,Summary!$L$247:$L$283)+SUMIF(Summary!$A$297:$A$333,$A1325,Summary!$L$297:$L$333))-AK1325,0)</f>
        <v>9364.2413972938521</v>
      </c>
      <c r="AM1325" s="198"/>
      <c r="AN1325" s="196">
        <f t="shared" ca="1" si="292"/>
        <v>213546.18296256117</v>
      </c>
      <c r="AO1325" s="196">
        <f t="shared" ca="1" si="293"/>
        <v>213521.04251891194</v>
      </c>
    </row>
    <row r="1326" spans="1:41">
      <c r="A1326" s="189">
        <v>3631</v>
      </c>
      <c r="B1326" s="190">
        <v>3</v>
      </c>
      <c r="C1326" s="191" t="s">
        <v>239</v>
      </c>
      <c r="D1326" s="192">
        <f t="shared" si="280"/>
        <v>639</v>
      </c>
      <c r="E1326" s="192">
        <f t="shared" si="281"/>
        <v>210</v>
      </c>
      <c r="F1326" s="192">
        <f t="shared" si="282"/>
        <v>0</v>
      </c>
      <c r="G1326" s="193">
        <f t="shared" si="283"/>
        <v>849</v>
      </c>
      <c r="H1326" s="194">
        <v>213</v>
      </c>
      <c r="I1326" s="194">
        <v>174</v>
      </c>
      <c r="J1326" s="194">
        <v>0</v>
      </c>
      <c r="K1326" s="193">
        <f t="shared" si="284"/>
        <v>387</v>
      </c>
      <c r="L1326" s="194">
        <v>147</v>
      </c>
      <c r="M1326" s="194">
        <v>3</v>
      </c>
      <c r="N1326" s="194">
        <v>0</v>
      </c>
      <c r="O1326" s="193">
        <f t="shared" si="285"/>
        <v>150</v>
      </c>
      <c r="P1326" s="194">
        <v>279</v>
      </c>
      <c r="Q1326" s="194">
        <v>33</v>
      </c>
      <c r="R1326" s="194">
        <v>0</v>
      </c>
      <c r="S1326" s="193">
        <f t="shared" si="286"/>
        <v>312</v>
      </c>
      <c r="T1326" s="193">
        <f t="shared" si="287"/>
        <v>35.375</v>
      </c>
      <c r="U1326" s="193">
        <f ca="1">OFFSET('Expenditure Study'!$B$7,'Operations Support'!$C1326,'Operations Support'!$B1326)*$G1326</f>
        <v>2309.2800000000002</v>
      </c>
      <c r="V1326" s="199">
        <f ca="1">U1326*'Expenditure Study'!$B$31</f>
        <v>136439.60775782401</v>
      </c>
      <c r="W1326" s="199">
        <f ca="1">IF(A1326=10298,1.51,1)*IF($B1326&lt;3,$D1326*'Expenditure Study'!$B$32*OFFSET('Expenditure Study'!$B$7,'Operations Support'!$C1326,'Operations Support'!$B1326),0)</f>
        <v>0</v>
      </c>
      <c r="X1326" s="200">
        <f ca="1">W1326*'Expenditure Study'!$B$31</f>
        <v>0</v>
      </c>
      <c r="Y1326" s="199">
        <f ca="1">U1326*'Expenditure Study'!$B$31</f>
        <v>136439.60775782401</v>
      </c>
      <c r="Z1326" s="200">
        <f ca="1">W1326*'Expenditure Study'!$B$31</f>
        <v>0</v>
      </c>
      <c r="AA1326" s="195">
        <f t="shared" ca="1" si="288"/>
        <v>136439.60775782401</v>
      </c>
      <c r="AB1326" s="195">
        <f t="shared" ca="1" si="289"/>
        <v>136439.60775782401</v>
      </c>
      <c r="AD1326" s="196">
        <f>IFERROR($G1326/SUMIF($A:$A,$A1326,$G:$G)*SUMIF(Summary!$A$166:$A$242,$A1326,Summary!$P$166:$P$242),0)</f>
        <v>17789.615851465238</v>
      </c>
      <c r="AE1326" s="197">
        <f t="shared" ca="1" si="290"/>
        <v>118649.99190635877</v>
      </c>
      <c r="AF1326" s="196">
        <f>IFERROR(G1326/SUMIF(A:A,A1326,G:G)*SUMIF(Summary!$A$166:$A$242,'Operations Support'!A1326,Summary!$Q$166:$Q$242),0)</f>
        <v>17818.269822861759</v>
      </c>
      <c r="AG1326" s="196">
        <f t="shared" ca="1" si="291"/>
        <v>118621.33793496224</v>
      </c>
      <c r="AI1326" s="196">
        <f>IFERROR($G1326/SUMIF($A:$A,$A1326,$G:$G)*SUMIF(Summary!$A$247:$A$283,$A1326,Summary!$P$247:$P$283),0)</f>
        <v>3244.381996392216</v>
      </c>
      <c r="AJ1326" s="196">
        <f>IFERROR($G1326/SUMIF($A:$A,$A1326,$G:$G)*(SUMIF(Summary!$A$247:$A$283,$A1326,Summary!$L$247:$L$283)+SUMIF(Summary!$A$297:$A$333,$A1326,Summary!$L$297:$L$333))-AI1326,0)</f>
        <v>12624.65584282684</v>
      </c>
      <c r="AK1326" s="196">
        <f>IFERROR($G1326/SUMIF($A:$A,$A1326,$G:$G)*SUMIF(Summary!$A$247:$A$283,$A1326,Summary!$Q$247:$Q$283),0)</f>
        <v>3249.6077657230558</v>
      </c>
      <c r="AL1326" s="196">
        <f>IFERROR($G1326/SUMIF($A:$A,$A1326,$G:$G)*(SUMIF(Summary!$A$247:$A$283,$A1326,Summary!$L$247:$L$283)+SUMIF(Summary!$A$297:$A$333,$A1326,Summary!$L$297:$L$333))-AK1326,0)</f>
        <v>12619.430073496</v>
      </c>
      <c r="AM1326" s="198"/>
      <c r="AN1326" s="196">
        <f t="shared" ca="1" si="292"/>
        <v>131274.64774918562</v>
      </c>
      <c r="AO1326" s="196">
        <f t="shared" ca="1" si="293"/>
        <v>131240.76800845825</v>
      </c>
    </row>
    <row r="1327" spans="1:41">
      <c r="A1327" s="189">
        <v>3631</v>
      </c>
      <c r="B1327" s="190">
        <v>3</v>
      </c>
      <c r="C1327" s="191" t="s">
        <v>240</v>
      </c>
      <c r="D1327" s="192">
        <f t="shared" si="280"/>
        <v>0</v>
      </c>
      <c r="E1327" s="192">
        <f t="shared" si="281"/>
        <v>0</v>
      </c>
      <c r="F1327" s="192">
        <f t="shared" si="282"/>
        <v>0</v>
      </c>
      <c r="G1327" s="193">
        <f t="shared" si="283"/>
        <v>0</v>
      </c>
      <c r="H1327" s="194">
        <v>0</v>
      </c>
      <c r="I1327" s="194">
        <v>0</v>
      </c>
      <c r="J1327" s="194">
        <v>0</v>
      </c>
      <c r="K1327" s="193">
        <f t="shared" si="284"/>
        <v>0</v>
      </c>
      <c r="L1327" s="194">
        <v>0</v>
      </c>
      <c r="M1327" s="194">
        <v>0</v>
      </c>
      <c r="N1327" s="194">
        <v>0</v>
      </c>
      <c r="O1327" s="193">
        <f t="shared" si="285"/>
        <v>0</v>
      </c>
      <c r="P1327" s="194">
        <v>0</v>
      </c>
      <c r="Q1327" s="194">
        <v>0</v>
      </c>
      <c r="R1327" s="194">
        <v>0</v>
      </c>
      <c r="S1327" s="193">
        <f t="shared" si="286"/>
        <v>0</v>
      </c>
      <c r="T1327" s="193">
        <f t="shared" si="287"/>
        <v>0</v>
      </c>
      <c r="U1327" s="193">
        <f ca="1">OFFSET('Expenditure Study'!$B$7,'Operations Support'!$C1327,'Operations Support'!$B1327)*$G1327</f>
        <v>0</v>
      </c>
      <c r="V1327" s="199">
        <f ca="1">U1327*'Expenditure Study'!$B$31</f>
        <v>0</v>
      </c>
      <c r="W1327" s="199">
        <f ca="1">IF(A1327=10298,1.51,1)*IF($B1327&lt;3,$D1327*'Expenditure Study'!$B$32*OFFSET('Expenditure Study'!$B$7,'Operations Support'!$C1327,'Operations Support'!$B1327),0)</f>
        <v>0</v>
      </c>
      <c r="X1327" s="200">
        <f ca="1">W1327*'Expenditure Study'!$B$31</f>
        <v>0</v>
      </c>
      <c r="Y1327" s="199">
        <f ca="1">U1327*'Expenditure Study'!$B$31</f>
        <v>0</v>
      </c>
      <c r="Z1327" s="200">
        <f ca="1">W1327*'Expenditure Study'!$B$31</f>
        <v>0</v>
      </c>
      <c r="AA1327" s="195">
        <f t="shared" ca="1" si="288"/>
        <v>0</v>
      </c>
      <c r="AB1327" s="195">
        <f t="shared" ca="1" si="289"/>
        <v>0</v>
      </c>
      <c r="AD1327" s="196">
        <f>IFERROR($G1327/SUMIF($A:$A,$A1327,$G:$G)*SUMIF(Summary!$A$166:$A$242,$A1327,Summary!$P$166:$P$242),0)</f>
        <v>0</v>
      </c>
      <c r="AE1327" s="197">
        <f t="shared" ca="1" si="290"/>
        <v>0</v>
      </c>
      <c r="AF1327" s="196">
        <f>IFERROR(G1327/SUMIF(A:A,A1327,G:G)*SUMIF(Summary!$A$166:$A$242,'Operations Support'!A1327,Summary!$Q$166:$Q$242),0)</f>
        <v>0</v>
      </c>
      <c r="AG1327" s="196">
        <f t="shared" ca="1" si="291"/>
        <v>0</v>
      </c>
      <c r="AI1327" s="196">
        <f>IFERROR($G1327/SUMIF($A:$A,$A1327,$G:$G)*SUMIF(Summary!$A$247:$A$283,$A1327,Summary!$P$247:$P$283),0)</f>
        <v>0</v>
      </c>
      <c r="AJ1327" s="196">
        <f>IFERROR($G1327/SUMIF($A:$A,$A1327,$G:$G)*(SUMIF(Summary!$A$247:$A$283,$A1327,Summary!$L$247:$L$283)+SUMIF(Summary!$A$297:$A$333,$A1327,Summary!$L$297:$L$333))-AI1327,0)</f>
        <v>0</v>
      </c>
      <c r="AK1327" s="196">
        <f>IFERROR($G1327/SUMIF($A:$A,$A1327,$G:$G)*SUMIF(Summary!$A$247:$A$283,$A1327,Summary!$Q$247:$Q$283),0)</f>
        <v>0</v>
      </c>
      <c r="AL1327" s="196">
        <f>IFERROR($G1327/SUMIF($A:$A,$A1327,$G:$G)*(SUMIF(Summary!$A$247:$A$283,$A1327,Summary!$L$247:$L$283)+SUMIF(Summary!$A$297:$A$333,$A1327,Summary!$L$297:$L$333))-AK1327,0)</f>
        <v>0</v>
      </c>
      <c r="AM1327" s="198"/>
      <c r="AN1327" s="196">
        <f t="shared" ca="1" si="292"/>
        <v>0</v>
      </c>
      <c r="AO1327" s="196">
        <f t="shared" ca="1" si="293"/>
        <v>0</v>
      </c>
    </row>
    <row r="1328" spans="1:41">
      <c r="A1328" s="189">
        <v>3631</v>
      </c>
      <c r="B1328" s="190">
        <v>4</v>
      </c>
      <c r="C1328" s="191" t="s">
        <v>220</v>
      </c>
      <c r="D1328" s="192">
        <f t="shared" si="280"/>
        <v>282</v>
      </c>
      <c r="E1328" s="192">
        <f t="shared" si="281"/>
        <v>0</v>
      </c>
      <c r="F1328" s="192">
        <f t="shared" si="282"/>
        <v>0</v>
      </c>
      <c r="G1328" s="193">
        <f t="shared" si="283"/>
        <v>282</v>
      </c>
      <c r="H1328" s="194">
        <v>78</v>
      </c>
      <c r="I1328" s="194">
        <v>0</v>
      </c>
      <c r="J1328" s="194">
        <v>0</v>
      </c>
      <c r="K1328" s="193">
        <f t="shared" si="284"/>
        <v>78</v>
      </c>
      <c r="L1328" s="194">
        <v>138</v>
      </c>
      <c r="M1328" s="194">
        <v>0</v>
      </c>
      <c r="N1328" s="194">
        <v>0</v>
      </c>
      <c r="O1328" s="193">
        <f t="shared" si="285"/>
        <v>138</v>
      </c>
      <c r="P1328" s="194">
        <v>66</v>
      </c>
      <c r="Q1328" s="194">
        <v>0</v>
      </c>
      <c r="R1328" s="194">
        <v>0</v>
      </c>
      <c r="S1328" s="193">
        <f t="shared" si="286"/>
        <v>66</v>
      </c>
      <c r="T1328" s="193">
        <f t="shared" si="287"/>
        <v>15.666666666666666</v>
      </c>
      <c r="U1328" s="193">
        <f ca="1">OFFSET('Expenditure Study'!$B$7,'Operations Support'!$C1328,'Operations Support'!$B1328)*$G1328</f>
        <v>4153.8599999999997</v>
      </c>
      <c r="V1328" s="199">
        <f ca="1">U1328*'Expenditure Study'!$B$31</f>
        <v>245423.26139788798</v>
      </c>
      <c r="W1328" s="199">
        <f ca="1">IF(A1328=10298,1.51,1)*IF($B1328&lt;3,$D1328*'Expenditure Study'!$B$32*OFFSET('Expenditure Study'!$B$7,'Operations Support'!$C1328,'Operations Support'!$B1328),0)</f>
        <v>0</v>
      </c>
      <c r="X1328" s="200">
        <f ca="1">W1328*'Expenditure Study'!$B$31</f>
        <v>0</v>
      </c>
      <c r="Y1328" s="199">
        <f ca="1">U1328*'Expenditure Study'!$B$31</f>
        <v>245423.26139788798</v>
      </c>
      <c r="Z1328" s="200">
        <f ca="1">W1328*'Expenditure Study'!$B$31</f>
        <v>0</v>
      </c>
      <c r="AA1328" s="195">
        <f t="shared" ca="1" si="288"/>
        <v>245423.26139788798</v>
      </c>
      <c r="AB1328" s="195">
        <f t="shared" ca="1" si="289"/>
        <v>245423.26139788798</v>
      </c>
      <c r="AD1328" s="196">
        <f>IFERROR($G1328/SUMIF($A:$A,$A1328,$G:$G)*SUMIF(Summary!$A$166:$A$242,$A1328,Summary!$P$166:$P$242),0)</f>
        <v>5908.9183393559451</v>
      </c>
      <c r="AE1328" s="197">
        <f t="shared" ca="1" si="290"/>
        <v>239514.34305853205</v>
      </c>
      <c r="AF1328" s="196">
        <f>IFERROR(G1328/SUMIF(A:A,A1328,G:G)*SUMIF(Summary!$A$166:$A$242,'Operations Support'!A1328,Summary!$Q$166:$Q$242),0)</f>
        <v>5918.4359128940114</v>
      </c>
      <c r="AG1328" s="196">
        <f t="shared" ca="1" si="291"/>
        <v>239504.82548499398</v>
      </c>
      <c r="AI1328" s="196">
        <f>IFERROR($G1328/SUMIF($A:$A,$A1328,$G:$G)*SUMIF(Summary!$A$247:$A$283,$A1328,Summary!$P$247:$P$283),0)</f>
        <v>1077.6392496850469</v>
      </c>
      <c r="AJ1328" s="196">
        <f>IFERROR($G1328/SUMIF($A:$A,$A1328,$G:$G)*(SUMIF(Summary!$A$247:$A$283,$A1328,Summary!$L$247:$L$283)+SUMIF(Summary!$A$297:$A$333,$A1328,Summary!$L$297:$L$333))-AI1328,0)</f>
        <v>4193.3485838364768</v>
      </c>
      <c r="AK1328" s="196">
        <f>IFERROR($G1328/SUMIF($A:$A,$A1328,$G:$G)*SUMIF(Summary!$A$247:$A$283,$A1328,Summary!$Q$247:$Q$283),0)</f>
        <v>1079.3750175899902</v>
      </c>
      <c r="AL1328" s="196">
        <f>IFERROR($G1328/SUMIF($A:$A,$A1328,$G:$G)*(SUMIF(Summary!$A$247:$A$283,$A1328,Summary!$L$247:$L$283)+SUMIF(Summary!$A$297:$A$333,$A1328,Summary!$L$297:$L$333))-AK1328,0)</f>
        <v>4191.6128159315331</v>
      </c>
      <c r="AM1328" s="198"/>
      <c r="AN1328" s="196">
        <f t="shared" ca="1" si="292"/>
        <v>243707.69164236853</v>
      </c>
      <c r="AO1328" s="196">
        <f t="shared" ca="1" si="293"/>
        <v>243696.43830092551</v>
      </c>
    </row>
    <row r="1329" spans="1:41">
      <c r="A1329" s="189">
        <v>3631</v>
      </c>
      <c r="B1329" s="190">
        <v>4</v>
      </c>
      <c r="C1329" s="191" t="s">
        <v>221</v>
      </c>
      <c r="D1329" s="192">
        <f t="shared" si="280"/>
        <v>0</v>
      </c>
      <c r="E1329" s="192">
        <f t="shared" si="281"/>
        <v>0</v>
      </c>
      <c r="F1329" s="192">
        <f t="shared" si="282"/>
        <v>0</v>
      </c>
      <c r="G1329" s="193">
        <f t="shared" si="283"/>
        <v>0</v>
      </c>
      <c r="H1329" s="194">
        <v>0</v>
      </c>
      <c r="I1329" s="194">
        <v>0</v>
      </c>
      <c r="J1329" s="194">
        <v>0</v>
      </c>
      <c r="K1329" s="193">
        <f t="shared" si="284"/>
        <v>0</v>
      </c>
      <c r="L1329" s="194">
        <v>0</v>
      </c>
      <c r="M1329" s="194">
        <v>0</v>
      </c>
      <c r="N1329" s="194">
        <v>0</v>
      </c>
      <c r="O1329" s="193">
        <f t="shared" si="285"/>
        <v>0</v>
      </c>
      <c r="P1329" s="194">
        <v>0</v>
      </c>
      <c r="Q1329" s="194">
        <v>0</v>
      </c>
      <c r="R1329" s="194">
        <v>0</v>
      </c>
      <c r="S1329" s="193">
        <f t="shared" si="286"/>
        <v>0</v>
      </c>
      <c r="T1329" s="193">
        <f t="shared" si="287"/>
        <v>0</v>
      </c>
      <c r="U1329" s="193">
        <f ca="1">OFFSET('Expenditure Study'!$B$7,'Operations Support'!$C1329,'Operations Support'!$B1329)*$G1329</f>
        <v>0</v>
      </c>
      <c r="V1329" s="199">
        <f ca="1">U1329*'Expenditure Study'!$B$31</f>
        <v>0</v>
      </c>
      <c r="W1329" s="199">
        <f ca="1">IF(A1329=10298,1.51,1)*IF($B1329&lt;3,$D1329*'Expenditure Study'!$B$32*OFFSET('Expenditure Study'!$B$7,'Operations Support'!$C1329,'Operations Support'!$B1329),0)</f>
        <v>0</v>
      </c>
      <c r="X1329" s="200">
        <f ca="1">W1329*'Expenditure Study'!$B$31</f>
        <v>0</v>
      </c>
      <c r="Y1329" s="199">
        <f ca="1">U1329*'Expenditure Study'!$B$31</f>
        <v>0</v>
      </c>
      <c r="Z1329" s="200">
        <f ca="1">W1329*'Expenditure Study'!$B$31</f>
        <v>0</v>
      </c>
      <c r="AA1329" s="195">
        <f t="shared" ca="1" si="288"/>
        <v>0</v>
      </c>
      <c r="AB1329" s="195">
        <f t="shared" ca="1" si="289"/>
        <v>0</v>
      </c>
      <c r="AD1329" s="196">
        <f>IFERROR($G1329/SUMIF($A:$A,$A1329,$G:$G)*SUMIF(Summary!$A$166:$A$242,$A1329,Summary!$P$166:$P$242),0)</f>
        <v>0</v>
      </c>
      <c r="AE1329" s="197">
        <f t="shared" ca="1" si="290"/>
        <v>0</v>
      </c>
      <c r="AF1329" s="196">
        <f>IFERROR(G1329/SUMIF(A:A,A1329,G:G)*SUMIF(Summary!$A$166:$A$242,'Operations Support'!A1329,Summary!$Q$166:$Q$242),0)</f>
        <v>0</v>
      </c>
      <c r="AG1329" s="196">
        <f t="shared" ca="1" si="291"/>
        <v>0</v>
      </c>
      <c r="AI1329" s="196">
        <f>IFERROR($G1329/SUMIF($A:$A,$A1329,$G:$G)*SUMIF(Summary!$A$247:$A$283,$A1329,Summary!$P$247:$P$283),0)</f>
        <v>0</v>
      </c>
      <c r="AJ1329" s="196">
        <f>IFERROR($G1329/SUMIF($A:$A,$A1329,$G:$G)*(SUMIF(Summary!$A$247:$A$283,$A1329,Summary!$L$247:$L$283)+SUMIF(Summary!$A$297:$A$333,$A1329,Summary!$L$297:$L$333))-AI1329,0)</f>
        <v>0</v>
      </c>
      <c r="AK1329" s="196">
        <f>IFERROR($G1329/SUMIF($A:$A,$A1329,$G:$G)*SUMIF(Summary!$A$247:$A$283,$A1329,Summary!$Q$247:$Q$283),0)</f>
        <v>0</v>
      </c>
      <c r="AL1329" s="196">
        <f>IFERROR($G1329/SUMIF($A:$A,$A1329,$G:$G)*(SUMIF(Summary!$A$247:$A$283,$A1329,Summary!$L$247:$L$283)+SUMIF(Summary!$A$297:$A$333,$A1329,Summary!$L$297:$L$333))-AK1329,0)</f>
        <v>0</v>
      </c>
      <c r="AM1329" s="198"/>
      <c r="AN1329" s="196">
        <f t="shared" ca="1" si="292"/>
        <v>0</v>
      </c>
      <c r="AO1329" s="196">
        <f t="shared" ca="1" si="293"/>
        <v>0</v>
      </c>
    </row>
    <row r="1330" spans="1:41">
      <c r="A1330" s="189">
        <v>3631</v>
      </c>
      <c r="B1330" s="190">
        <v>4</v>
      </c>
      <c r="C1330" s="191" t="s">
        <v>222</v>
      </c>
      <c r="D1330" s="192">
        <f t="shared" si="280"/>
        <v>0</v>
      </c>
      <c r="E1330" s="192">
        <f t="shared" si="281"/>
        <v>0</v>
      </c>
      <c r="F1330" s="192">
        <f t="shared" si="282"/>
        <v>0</v>
      </c>
      <c r="G1330" s="193">
        <f t="shared" si="283"/>
        <v>0</v>
      </c>
      <c r="H1330" s="194">
        <v>0</v>
      </c>
      <c r="I1330" s="194">
        <v>0</v>
      </c>
      <c r="J1330" s="194">
        <v>0</v>
      </c>
      <c r="K1330" s="193">
        <f t="shared" si="284"/>
        <v>0</v>
      </c>
      <c r="L1330" s="194">
        <v>0</v>
      </c>
      <c r="M1330" s="194">
        <v>0</v>
      </c>
      <c r="N1330" s="194">
        <v>0</v>
      </c>
      <c r="O1330" s="193">
        <f t="shared" si="285"/>
        <v>0</v>
      </c>
      <c r="P1330" s="194">
        <v>0</v>
      </c>
      <c r="Q1330" s="194">
        <v>0</v>
      </c>
      <c r="R1330" s="194">
        <v>0</v>
      </c>
      <c r="S1330" s="193">
        <f t="shared" si="286"/>
        <v>0</v>
      </c>
      <c r="T1330" s="193">
        <f t="shared" si="287"/>
        <v>0</v>
      </c>
      <c r="U1330" s="193">
        <f ca="1">OFFSET('Expenditure Study'!$B$7,'Operations Support'!$C1330,'Operations Support'!$B1330)*$G1330</f>
        <v>0</v>
      </c>
      <c r="V1330" s="199">
        <f ca="1">U1330*'Expenditure Study'!$B$31</f>
        <v>0</v>
      </c>
      <c r="W1330" s="199">
        <f ca="1">IF(A1330=10298,1.51,1)*IF($B1330&lt;3,$D1330*'Expenditure Study'!$B$32*OFFSET('Expenditure Study'!$B$7,'Operations Support'!$C1330,'Operations Support'!$B1330),0)</f>
        <v>0</v>
      </c>
      <c r="X1330" s="200">
        <f ca="1">W1330*'Expenditure Study'!$B$31</f>
        <v>0</v>
      </c>
      <c r="Y1330" s="199">
        <f ca="1">U1330*'Expenditure Study'!$B$31</f>
        <v>0</v>
      </c>
      <c r="Z1330" s="200">
        <f ca="1">W1330*'Expenditure Study'!$B$31</f>
        <v>0</v>
      </c>
      <c r="AA1330" s="195">
        <f t="shared" ca="1" si="288"/>
        <v>0</v>
      </c>
      <c r="AB1330" s="195">
        <f t="shared" ca="1" si="289"/>
        <v>0</v>
      </c>
      <c r="AD1330" s="196">
        <f>IFERROR($G1330/SUMIF($A:$A,$A1330,$G:$G)*SUMIF(Summary!$A$166:$A$242,$A1330,Summary!$P$166:$P$242),0)</f>
        <v>0</v>
      </c>
      <c r="AE1330" s="197">
        <f t="shared" ca="1" si="290"/>
        <v>0</v>
      </c>
      <c r="AF1330" s="196">
        <f>IFERROR(G1330/SUMIF(A:A,A1330,G:G)*SUMIF(Summary!$A$166:$A$242,'Operations Support'!A1330,Summary!$Q$166:$Q$242),0)</f>
        <v>0</v>
      </c>
      <c r="AG1330" s="196">
        <f t="shared" ca="1" si="291"/>
        <v>0</v>
      </c>
      <c r="AI1330" s="196">
        <f>IFERROR($G1330/SUMIF($A:$A,$A1330,$G:$G)*SUMIF(Summary!$A$247:$A$283,$A1330,Summary!$P$247:$P$283),0)</f>
        <v>0</v>
      </c>
      <c r="AJ1330" s="196">
        <f>IFERROR($G1330/SUMIF($A:$A,$A1330,$G:$G)*(SUMIF(Summary!$A$247:$A$283,$A1330,Summary!$L$247:$L$283)+SUMIF(Summary!$A$297:$A$333,$A1330,Summary!$L$297:$L$333))-AI1330,0)</f>
        <v>0</v>
      </c>
      <c r="AK1330" s="196">
        <f>IFERROR($G1330/SUMIF($A:$A,$A1330,$G:$G)*SUMIF(Summary!$A$247:$A$283,$A1330,Summary!$Q$247:$Q$283),0)</f>
        <v>0</v>
      </c>
      <c r="AL1330" s="196">
        <f>IFERROR($G1330/SUMIF($A:$A,$A1330,$G:$G)*(SUMIF(Summary!$A$247:$A$283,$A1330,Summary!$L$247:$L$283)+SUMIF(Summary!$A$297:$A$333,$A1330,Summary!$L$297:$L$333))-AK1330,0)</f>
        <v>0</v>
      </c>
      <c r="AM1330" s="198"/>
      <c r="AN1330" s="196">
        <f t="shared" ca="1" si="292"/>
        <v>0</v>
      </c>
      <c r="AO1330" s="196">
        <f t="shared" ca="1" si="293"/>
        <v>0</v>
      </c>
    </row>
    <row r="1331" spans="1:41">
      <c r="A1331" s="189">
        <v>3631</v>
      </c>
      <c r="B1331" s="190">
        <v>4</v>
      </c>
      <c r="C1331" s="191" t="s">
        <v>223</v>
      </c>
      <c r="D1331" s="192">
        <f t="shared" si="280"/>
        <v>2043</v>
      </c>
      <c r="E1331" s="192">
        <f t="shared" si="281"/>
        <v>138</v>
      </c>
      <c r="F1331" s="192">
        <f t="shared" si="282"/>
        <v>81</v>
      </c>
      <c r="G1331" s="193">
        <f t="shared" si="283"/>
        <v>2100</v>
      </c>
      <c r="H1331" s="194">
        <v>618</v>
      </c>
      <c r="I1331" s="194">
        <v>48</v>
      </c>
      <c r="J1331" s="194">
        <v>30</v>
      </c>
      <c r="K1331" s="193">
        <f t="shared" si="284"/>
        <v>636</v>
      </c>
      <c r="L1331" s="194">
        <v>678</v>
      </c>
      <c r="M1331" s="194">
        <v>18</v>
      </c>
      <c r="N1331" s="194">
        <v>30</v>
      </c>
      <c r="O1331" s="193">
        <f t="shared" si="285"/>
        <v>666</v>
      </c>
      <c r="P1331" s="194">
        <v>747</v>
      </c>
      <c r="Q1331" s="194">
        <v>72</v>
      </c>
      <c r="R1331" s="194">
        <v>21</v>
      </c>
      <c r="S1331" s="193">
        <f t="shared" si="286"/>
        <v>798</v>
      </c>
      <c r="T1331" s="193">
        <f t="shared" si="287"/>
        <v>116.66666666666667</v>
      </c>
      <c r="U1331" s="193">
        <f ca="1">OFFSET('Expenditure Study'!$B$7,'Operations Support'!$C1331,'Operations Support'!$B1331)*$G1331</f>
        <v>16422</v>
      </c>
      <c r="V1331" s="199">
        <f ca="1">U1331*'Expenditure Study'!$B$31</f>
        <v>970263.99509760004</v>
      </c>
      <c r="W1331" s="199">
        <f ca="1">IF(A1331=10298,1.51,1)*IF($B1331&lt;3,$D1331*'Expenditure Study'!$B$32*OFFSET('Expenditure Study'!$B$7,'Operations Support'!$C1331,'Operations Support'!$B1331),0)</f>
        <v>0</v>
      </c>
      <c r="X1331" s="200">
        <f ca="1">W1331*'Expenditure Study'!$B$31</f>
        <v>0</v>
      </c>
      <c r="Y1331" s="199">
        <f ca="1">U1331*'Expenditure Study'!$B$31</f>
        <v>970263.99509760004</v>
      </c>
      <c r="Z1331" s="200">
        <f ca="1">W1331*'Expenditure Study'!$B$31</f>
        <v>0</v>
      </c>
      <c r="AA1331" s="195">
        <f t="shared" ca="1" si="288"/>
        <v>970263.99509760004</v>
      </c>
      <c r="AB1331" s="195">
        <f t="shared" ca="1" si="289"/>
        <v>970263.99509760004</v>
      </c>
      <c r="AD1331" s="196">
        <f>IFERROR($G1331/SUMIF($A:$A,$A1331,$G:$G)*SUMIF(Summary!$A$166:$A$242,$A1331,Summary!$P$166:$P$242),0)</f>
        <v>44002.583378182564</v>
      </c>
      <c r="AE1331" s="197">
        <f t="shared" ca="1" si="290"/>
        <v>926261.41171941743</v>
      </c>
      <c r="AF1331" s="196">
        <f>IFERROR(G1331/SUMIF(A:A,A1331,G:G)*SUMIF(Summary!$A$166:$A$242,'Operations Support'!A1331,Summary!$Q$166:$Q$242),0)</f>
        <v>44073.458925806466</v>
      </c>
      <c r="AG1331" s="196">
        <f t="shared" ca="1" si="291"/>
        <v>926190.53617179359</v>
      </c>
      <c r="AI1331" s="196">
        <f>IFERROR($G1331/SUMIF($A:$A,$A1331,$G:$G)*SUMIF(Summary!$A$247:$A$283,$A1331,Summary!$P$247:$P$283),0)</f>
        <v>8024.9731359524776</v>
      </c>
      <c r="AJ1331" s="196">
        <f>IFERROR($G1331/SUMIF($A:$A,$A1331,$G:$G)*(SUMIF(Summary!$A$247:$A$283,$A1331,Summary!$L$247:$L$283)+SUMIF(Summary!$A$297:$A$333,$A1331,Summary!$L$297:$L$333))-AI1331,0)</f>
        <v>31227.063922186524</v>
      </c>
      <c r="AK1331" s="196">
        <f>IFERROR($G1331/SUMIF($A:$A,$A1331,$G:$G)*SUMIF(Summary!$A$247:$A$283,$A1331,Summary!$Q$247:$Q$283),0)</f>
        <v>8037.899067159502</v>
      </c>
      <c r="AL1331" s="196">
        <f>IFERROR($G1331/SUMIF($A:$A,$A1331,$G:$G)*(SUMIF(Summary!$A$247:$A$283,$A1331,Summary!$L$247:$L$283)+SUMIF(Summary!$A$297:$A$333,$A1331,Summary!$L$297:$L$333))-AK1331,0)</f>
        <v>31214.1379909795</v>
      </c>
      <c r="AM1331" s="198"/>
      <c r="AN1331" s="196">
        <f t="shared" ca="1" si="292"/>
        <v>957488.47564160393</v>
      </c>
      <c r="AO1331" s="196">
        <f t="shared" ca="1" si="293"/>
        <v>957404.67416277307</v>
      </c>
    </row>
    <row r="1332" spans="1:41">
      <c r="A1332" s="189">
        <v>3631</v>
      </c>
      <c r="B1332" s="190">
        <v>4</v>
      </c>
      <c r="C1332" s="191" t="s">
        <v>224</v>
      </c>
      <c r="D1332" s="192">
        <f t="shared" si="280"/>
        <v>0</v>
      </c>
      <c r="E1332" s="192">
        <f t="shared" si="281"/>
        <v>0</v>
      </c>
      <c r="F1332" s="192">
        <f t="shared" si="282"/>
        <v>0</v>
      </c>
      <c r="G1332" s="193">
        <f t="shared" si="283"/>
        <v>0</v>
      </c>
      <c r="H1332" s="194">
        <v>0</v>
      </c>
      <c r="I1332" s="194">
        <v>0</v>
      </c>
      <c r="J1332" s="194">
        <v>0</v>
      </c>
      <c r="K1332" s="193">
        <f t="shared" si="284"/>
        <v>0</v>
      </c>
      <c r="L1332" s="194">
        <v>0</v>
      </c>
      <c r="M1332" s="194">
        <v>0</v>
      </c>
      <c r="N1332" s="194">
        <v>0</v>
      </c>
      <c r="O1332" s="193">
        <f t="shared" si="285"/>
        <v>0</v>
      </c>
      <c r="P1332" s="194">
        <v>0</v>
      </c>
      <c r="Q1332" s="194">
        <v>0</v>
      </c>
      <c r="R1332" s="194">
        <v>0</v>
      </c>
      <c r="S1332" s="193">
        <f t="shared" si="286"/>
        <v>0</v>
      </c>
      <c r="T1332" s="193">
        <f t="shared" si="287"/>
        <v>0</v>
      </c>
      <c r="U1332" s="193">
        <f ca="1">OFFSET('Expenditure Study'!$B$7,'Operations Support'!$C1332,'Operations Support'!$B1332)*$G1332</f>
        <v>0</v>
      </c>
      <c r="V1332" s="199">
        <f ca="1">U1332*'Expenditure Study'!$B$31</f>
        <v>0</v>
      </c>
      <c r="W1332" s="199">
        <f ca="1">IF(A1332=10298,1.51,1)*IF($B1332&lt;3,$D1332*'Expenditure Study'!$B$32*OFFSET('Expenditure Study'!$B$7,'Operations Support'!$C1332,'Operations Support'!$B1332),0)</f>
        <v>0</v>
      </c>
      <c r="X1332" s="200">
        <f ca="1">W1332*'Expenditure Study'!$B$31</f>
        <v>0</v>
      </c>
      <c r="Y1332" s="199">
        <f ca="1">U1332*'Expenditure Study'!$B$31</f>
        <v>0</v>
      </c>
      <c r="Z1332" s="200">
        <f ca="1">W1332*'Expenditure Study'!$B$31</f>
        <v>0</v>
      </c>
      <c r="AA1332" s="195">
        <f t="shared" ca="1" si="288"/>
        <v>0</v>
      </c>
      <c r="AB1332" s="195">
        <f t="shared" ca="1" si="289"/>
        <v>0</v>
      </c>
      <c r="AD1332" s="196">
        <f>IFERROR($G1332/SUMIF($A:$A,$A1332,$G:$G)*SUMIF(Summary!$A$166:$A$242,$A1332,Summary!$P$166:$P$242),0)</f>
        <v>0</v>
      </c>
      <c r="AE1332" s="197">
        <f t="shared" ca="1" si="290"/>
        <v>0</v>
      </c>
      <c r="AF1332" s="196">
        <f>IFERROR(G1332/SUMIF(A:A,A1332,G:G)*SUMIF(Summary!$A$166:$A$242,'Operations Support'!A1332,Summary!$Q$166:$Q$242),0)</f>
        <v>0</v>
      </c>
      <c r="AG1332" s="196">
        <f t="shared" ca="1" si="291"/>
        <v>0</v>
      </c>
      <c r="AI1332" s="196">
        <f>IFERROR($G1332/SUMIF($A:$A,$A1332,$G:$G)*SUMIF(Summary!$A$247:$A$283,$A1332,Summary!$P$247:$P$283),0)</f>
        <v>0</v>
      </c>
      <c r="AJ1332" s="196">
        <f>IFERROR($G1332/SUMIF($A:$A,$A1332,$G:$G)*(SUMIF(Summary!$A$247:$A$283,$A1332,Summary!$L$247:$L$283)+SUMIF(Summary!$A$297:$A$333,$A1332,Summary!$L$297:$L$333))-AI1332,0)</f>
        <v>0</v>
      </c>
      <c r="AK1332" s="196">
        <f>IFERROR($G1332/SUMIF($A:$A,$A1332,$G:$G)*SUMIF(Summary!$A$247:$A$283,$A1332,Summary!$Q$247:$Q$283),0)</f>
        <v>0</v>
      </c>
      <c r="AL1332" s="196">
        <f>IFERROR($G1332/SUMIF($A:$A,$A1332,$G:$G)*(SUMIF(Summary!$A$247:$A$283,$A1332,Summary!$L$247:$L$283)+SUMIF(Summary!$A$297:$A$333,$A1332,Summary!$L$297:$L$333))-AK1332,0)</f>
        <v>0</v>
      </c>
      <c r="AM1332" s="198"/>
      <c r="AN1332" s="196">
        <f t="shared" ca="1" si="292"/>
        <v>0</v>
      </c>
      <c r="AO1332" s="196">
        <f t="shared" ca="1" si="293"/>
        <v>0</v>
      </c>
    </row>
    <row r="1333" spans="1:41">
      <c r="A1333" s="189">
        <v>3631</v>
      </c>
      <c r="B1333" s="190">
        <v>4</v>
      </c>
      <c r="C1333" s="191" t="s">
        <v>225</v>
      </c>
      <c r="D1333" s="192">
        <f t="shared" si="280"/>
        <v>0</v>
      </c>
      <c r="E1333" s="192">
        <f t="shared" si="281"/>
        <v>0</v>
      </c>
      <c r="F1333" s="192">
        <f t="shared" si="282"/>
        <v>0</v>
      </c>
      <c r="G1333" s="193">
        <f t="shared" si="283"/>
        <v>0</v>
      </c>
      <c r="H1333" s="194">
        <v>0</v>
      </c>
      <c r="I1333" s="194">
        <v>0</v>
      </c>
      <c r="J1333" s="194">
        <v>0</v>
      </c>
      <c r="K1333" s="193">
        <f t="shared" si="284"/>
        <v>0</v>
      </c>
      <c r="L1333" s="194">
        <v>0</v>
      </c>
      <c r="M1333" s="194">
        <v>0</v>
      </c>
      <c r="N1333" s="194">
        <v>0</v>
      </c>
      <c r="O1333" s="193">
        <f t="shared" si="285"/>
        <v>0</v>
      </c>
      <c r="P1333" s="194">
        <v>0</v>
      </c>
      <c r="Q1333" s="194">
        <v>0</v>
      </c>
      <c r="R1333" s="194">
        <v>0</v>
      </c>
      <c r="S1333" s="193">
        <f t="shared" si="286"/>
        <v>0</v>
      </c>
      <c r="T1333" s="193">
        <f t="shared" si="287"/>
        <v>0</v>
      </c>
      <c r="U1333" s="193">
        <f ca="1">OFFSET('Expenditure Study'!$B$7,'Operations Support'!$C1333,'Operations Support'!$B1333)*$G1333</f>
        <v>0</v>
      </c>
      <c r="V1333" s="199">
        <f ca="1">U1333*'Expenditure Study'!$B$31</f>
        <v>0</v>
      </c>
      <c r="W1333" s="199">
        <f ca="1">IF(A1333=10298,1.51,1)*IF($B1333&lt;3,$D1333*'Expenditure Study'!$B$32*OFFSET('Expenditure Study'!$B$7,'Operations Support'!$C1333,'Operations Support'!$B1333),0)</f>
        <v>0</v>
      </c>
      <c r="X1333" s="200">
        <f ca="1">W1333*'Expenditure Study'!$B$31</f>
        <v>0</v>
      </c>
      <c r="Y1333" s="199">
        <f ca="1">U1333*'Expenditure Study'!$B$31</f>
        <v>0</v>
      </c>
      <c r="Z1333" s="200">
        <f ca="1">W1333*'Expenditure Study'!$B$31</f>
        <v>0</v>
      </c>
      <c r="AA1333" s="195">
        <f t="shared" ca="1" si="288"/>
        <v>0</v>
      </c>
      <c r="AB1333" s="195">
        <f t="shared" ca="1" si="289"/>
        <v>0</v>
      </c>
      <c r="AD1333" s="196">
        <f>IFERROR($G1333/SUMIF($A:$A,$A1333,$G:$G)*SUMIF(Summary!$A$166:$A$242,$A1333,Summary!$P$166:$P$242),0)</f>
        <v>0</v>
      </c>
      <c r="AE1333" s="197">
        <f t="shared" ca="1" si="290"/>
        <v>0</v>
      </c>
      <c r="AF1333" s="196">
        <f>IFERROR(G1333/SUMIF(A:A,A1333,G:G)*SUMIF(Summary!$A$166:$A$242,'Operations Support'!A1333,Summary!$Q$166:$Q$242),0)</f>
        <v>0</v>
      </c>
      <c r="AG1333" s="196">
        <f t="shared" ca="1" si="291"/>
        <v>0</v>
      </c>
      <c r="AI1333" s="196">
        <f>IFERROR($G1333/SUMIF($A:$A,$A1333,$G:$G)*SUMIF(Summary!$A$247:$A$283,$A1333,Summary!$P$247:$P$283),0)</f>
        <v>0</v>
      </c>
      <c r="AJ1333" s="196">
        <f>IFERROR($G1333/SUMIF($A:$A,$A1333,$G:$G)*(SUMIF(Summary!$A$247:$A$283,$A1333,Summary!$L$247:$L$283)+SUMIF(Summary!$A$297:$A$333,$A1333,Summary!$L$297:$L$333))-AI1333,0)</f>
        <v>0</v>
      </c>
      <c r="AK1333" s="196">
        <f>IFERROR($G1333/SUMIF($A:$A,$A1333,$G:$G)*SUMIF(Summary!$A$247:$A$283,$A1333,Summary!$Q$247:$Q$283),0)</f>
        <v>0</v>
      </c>
      <c r="AL1333" s="196">
        <f>IFERROR($G1333/SUMIF($A:$A,$A1333,$G:$G)*(SUMIF(Summary!$A$247:$A$283,$A1333,Summary!$L$247:$L$283)+SUMIF(Summary!$A$297:$A$333,$A1333,Summary!$L$297:$L$333))-AK1333,0)</f>
        <v>0</v>
      </c>
      <c r="AM1333" s="198"/>
      <c r="AN1333" s="196">
        <f t="shared" ca="1" si="292"/>
        <v>0</v>
      </c>
      <c r="AO1333" s="196">
        <f t="shared" ca="1" si="293"/>
        <v>0</v>
      </c>
    </row>
    <row r="1334" spans="1:41">
      <c r="A1334" s="189">
        <v>3631</v>
      </c>
      <c r="B1334" s="190">
        <v>4</v>
      </c>
      <c r="C1334" s="191" t="s">
        <v>226</v>
      </c>
      <c r="D1334" s="192">
        <f t="shared" si="280"/>
        <v>0</v>
      </c>
      <c r="E1334" s="192">
        <f t="shared" si="281"/>
        <v>0</v>
      </c>
      <c r="F1334" s="192">
        <f t="shared" si="282"/>
        <v>0</v>
      </c>
      <c r="G1334" s="193">
        <f t="shared" si="283"/>
        <v>0</v>
      </c>
      <c r="H1334" s="194">
        <v>0</v>
      </c>
      <c r="I1334" s="194">
        <v>0</v>
      </c>
      <c r="J1334" s="194">
        <v>0</v>
      </c>
      <c r="K1334" s="193">
        <f t="shared" si="284"/>
        <v>0</v>
      </c>
      <c r="L1334" s="194">
        <v>0</v>
      </c>
      <c r="M1334" s="194">
        <v>0</v>
      </c>
      <c r="N1334" s="194">
        <v>0</v>
      </c>
      <c r="O1334" s="193">
        <f t="shared" si="285"/>
        <v>0</v>
      </c>
      <c r="P1334" s="194">
        <v>0</v>
      </c>
      <c r="Q1334" s="194">
        <v>0</v>
      </c>
      <c r="R1334" s="194">
        <v>0</v>
      </c>
      <c r="S1334" s="193">
        <f t="shared" si="286"/>
        <v>0</v>
      </c>
      <c r="T1334" s="193">
        <f t="shared" si="287"/>
        <v>0</v>
      </c>
      <c r="U1334" s="193">
        <f ca="1">OFFSET('Expenditure Study'!$B$7,'Operations Support'!$C1334,'Operations Support'!$B1334)*$G1334</f>
        <v>0</v>
      </c>
      <c r="V1334" s="199">
        <f ca="1">U1334*'Expenditure Study'!$B$31</f>
        <v>0</v>
      </c>
      <c r="W1334" s="199">
        <f ca="1">IF(A1334=10298,1.51,1)*IF($B1334&lt;3,$D1334*'Expenditure Study'!$B$32*OFFSET('Expenditure Study'!$B$7,'Operations Support'!$C1334,'Operations Support'!$B1334),0)</f>
        <v>0</v>
      </c>
      <c r="X1334" s="200">
        <f ca="1">W1334*'Expenditure Study'!$B$31</f>
        <v>0</v>
      </c>
      <c r="Y1334" s="199">
        <f ca="1">U1334*'Expenditure Study'!$B$31</f>
        <v>0</v>
      </c>
      <c r="Z1334" s="200">
        <f ca="1">W1334*'Expenditure Study'!$B$31</f>
        <v>0</v>
      </c>
      <c r="AA1334" s="195">
        <f t="shared" ca="1" si="288"/>
        <v>0</v>
      </c>
      <c r="AB1334" s="195">
        <f t="shared" ca="1" si="289"/>
        <v>0</v>
      </c>
      <c r="AD1334" s="196">
        <f>IFERROR($G1334/SUMIF($A:$A,$A1334,$G:$G)*SUMIF(Summary!$A$166:$A$242,$A1334,Summary!$P$166:$P$242),0)</f>
        <v>0</v>
      </c>
      <c r="AE1334" s="197">
        <f t="shared" ca="1" si="290"/>
        <v>0</v>
      </c>
      <c r="AF1334" s="196">
        <f>IFERROR(G1334/SUMIF(A:A,A1334,G:G)*SUMIF(Summary!$A$166:$A$242,'Operations Support'!A1334,Summary!$Q$166:$Q$242),0)</f>
        <v>0</v>
      </c>
      <c r="AG1334" s="196">
        <f t="shared" ca="1" si="291"/>
        <v>0</v>
      </c>
      <c r="AI1334" s="196">
        <f>IFERROR($G1334/SUMIF($A:$A,$A1334,$G:$G)*SUMIF(Summary!$A$247:$A$283,$A1334,Summary!$P$247:$P$283),0)</f>
        <v>0</v>
      </c>
      <c r="AJ1334" s="196">
        <f>IFERROR($G1334/SUMIF($A:$A,$A1334,$G:$G)*(SUMIF(Summary!$A$247:$A$283,$A1334,Summary!$L$247:$L$283)+SUMIF(Summary!$A$297:$A$333,$A1334,Summary!$L$297:$L$333))-AI1334,0)</f>
        <v>0</v>
      </c>
      <c r="AK1334" s="196">
        <f>IFERROR($G1334/SUMIF($A:$A,$A1334,$G:$G)*SUMIF(Summary!$A$247:$A$283,$A1334,Summary!$Q$247:$Q$283),0)</f>
        <v>0</v>
      </c>
      <c r="AL1334" s="196">
        <f>IFERROR($G1334/SUMIF($A:$A,$A1334,$G:$G)*(SUMIF(Summary!$A$247:$A$283,$A1334,Summary!$L$247:$L$283)+SUMIF(Summary!$A$297:$A$333,$A1334,Summary!$L$297:$L$333))-AK1334,0)</f>
        <v>0</v>
      </c>
      <c r="AM1334" s="198"/>
      <c r="AN1334" s="196">
        <f t="shared" ca="1" si="292"/>
        <v>0</v>
      </c>
      <c r="AO1334" s="196">
        <f t="shared" ca="1" si="293"/>
        <v>0</v>
      </c>
    </row>
    <row r="1335" spans="1:41" s="201" customFormat="1">
      <c r="A1335" s="189">
        <v>3631</v>
      </c>
      <c r="B1335" s="190">
        <v>4</v>
      </c>
      <c r="C1335" s="191" t="s">
        <v>227</v>
      </c>
      <c r="D1335" s="192">
        <f t="shared" si="280"/>
        <v>0</v>
      </c>
      <c r="E1335" s="192">
        <f t="shared" si="281"/>
        <v>0</v>
      </c>
      <c r="F1335" s="192">
        <f t="shared" si="282"/>
        <v>0</v>
      </c>
      <c r="G1335" s="193">
        <f t="shared" si="283"/>
        <v>0</v>
      </c>
      <c r="H1335" s="194">
        <v>0</v>
      </c>
      <c r="I1335" s="194">
        <v>0</v>
      </c>
      <c r="J1335" s="194">
        <v>0</v>
      </c>
      <c r="K1335" s="193">
        <f t="shared" si="284"/>
        <v>0</v>
      </c>
      <c r="L1335" s="194">
        <v>0</v>
      </c>
      <c r="M1335" s="194">
        <v>0</v>
      </c>
      <c r="N1335" s="194">
        <v>0</v>
      </c>
      <c r="O1335" s="193">
        <f t="shared" si="285"/>
        <v>0</v>
      </c>
      <c r="P1335" s="194">
        <v>0</v>
      </c>
      <c r="Q1335" s="194">
        <v>0</v>
      </c>
      <c r="R1335" s="194">
        <v>0</v>
      </c>
      <c r="S1335" s="193">
        <f t="shared" si="286"/>
        <v>0</v>
      </c>
      <c r="T1335" s="193">
        <f t="shared" si="287"/>
        <v>0</v>
      </c>
      <c r="U1335" s="193">
        <f ca="1">OFFSET('Expenditure Study'!$B$7,'Operations Support'!$C1335,'Operations Support'!$B1335)*$G1335</f>
        <v>0</v>
      </c>
      <c r="V1335" s="199">
        <f ca="1">U1335*'Expenditure Study'!$B$31</f>
        <v>0</v>
      </c>
      <c r="W1335" s="199">
        <f ca="1">IF(A1335=10298,1.51,1)*IF($B1335&lt;3,$D1335*'Expenditure Study'!$B$32*OFFSET('Expenditure Study'!$B$7,'Operations Support'!$C1335,'Operations Support'!$B1335),0)</f>
        <v>0</v>
      </c>
      <c r="X1335" s="200">
        <f ca="1">W1335*'Expenditure Study'!$B$31</f>
        <v>0</v>
      </c>
      <c r="Y1335" s="199">
        <f ca="1">U1335*'Expenditure Study'!$B$31</f>
        <v>0</v>
      </c>
      <c r="Z1335" s="200">
        <f ca="1">W1335*'Expenditure Study'!$B$31</f>
        <v>0</v>
      </c>
      <c r="AA1335" s="195">
        <f t="shared" ca="1" si="288"/>
        <v>0</v>
      </c>
      <c r="AB1335" s="195">
        <f t="shared" ca="1" si="289"/>
        <v>0</v>
      </c>
      <c r="AD1335" s="196">
        <f>IFERROR($G1335/SUMIF($A:$A,$A1335,$G:$G)*SUMIF(Summary!$A$166:$A$242,$A1335,Summary!$P$166:$P$242),0)</f>
        <v>0</v>
      </c>
      <c r="AE1335" s="197">
        <f t="shared" ca="1" si="290"/>
        <v>0</v>
      </c>
      <c r="AF1335" s="196">
        <f>IFERROR(G1335/SUMIF(A:A,A1335,G:G)*SUMIF(Summary!$A$166:$A$242,'Operations Support'!A1335,Summary!$Q$166:$Q$242),0)</f>
        <v>0</v>
      </c>
      <c r="AG1335" s="196">
        <f t="shared" ca="1" si="291"/>
        <v>0</v>
      </c>
      <c r="AH1335" s="180"/>
      <c r="AI1335" s="196">
        <f>IFERROR($G1335/SUMIF($A:$A,$A1335,$G:$G)*SUMIF(Summary!$A$247:$A$283,$A1335,Summary!$P$247:$P$283),0)</f>
        <v>0</v>
      </c>
      <c r="AJ1335" s="196">
        <f>IFERROR($G1335/SUMIF($A:$A,$A1335,$G:$G)*(SUMIF(Summary!$A$247:$A$283,$A1335,Summary!$L$247:$L$283)+SUMIF(Summary!$A$297:$A$333,$A1335,Summary!$L$297:$L$333))-AI1335,0)</f>
        <v>0</v>
      </c>
      <c r="AK1335" s="196">
        <f>IFERROR($G1335/SUMIF($A:$A,$A1335,$G:$G)*SUMIF(Summary!$A$247:$A$283,$A1335,Summary!$Q$247:$Q$283),0)</f>
        <v>0</v>
      </c>
      <c r="AL1335" s="196">
        <f>IFERROR($G1335/SUMIF($A:$A,$A1335,$G:$G)*(SUMIF(Summary!$A$247:$A$283,$A1335,Summary!$L$247:$L$283)+SUMIF(Summary!$A$297:$A$333,$A1335,Summary!$L$297:$L$333))-AK1335,0)</f>
        <v>0</v>
      </c>
      <c r="AM1335" s="198"/>
      <c r="AN1335" s="196">
        <f t="shared" ca="1" si="292"/>
        <v>0</v>
      </c>
      <c r="AO1335" s="196">
        <f t="shared" ca="1" si="293"/>
        <v>0</v>
      </c>
    </row>
    <row r="1336" spans="1:41" s="201" customFormat="1">
      <c r="A1336" s="189">
        <v>3631</v>
      </c>
      <c r="B1336" s="190">
        <v>4</v>
      </c>
      <c r="C1336" s="191" t="s">
        <v>228</v>
      </c>
      <c r="D1336" s="192">
        <f t="shared" si="280"/>
        <v>0</v>
      </c>
      <c r="E1336" s="192">
        <f t="shared" si="281"/>
        <v>0</v>
      </c>
      <c r="F1336" s="192">
        <f t="shared" si="282"/>
        <v>0</v>
      </c>
      <c r="G1336" s="193">
        <f t="shared" si="283"/>
        <v>0</v>
      </c>
      <c r="H1336" s="194">
        <v>0</v>
      </c>
      <c r="I1336" s="194">
        <v>0</v>
      </c>
      <c r="J1336" s="194">
        <v>0</v>
      </c>
      <c r="K1336" s="193">
        <f t="shared" si="284"/>
        <v>0</v>
      </c>
      <c r="L1336" s="194">
        <v>0</v>
      </c>
      <c r="M1336" s="194">
        <v>0</v>
      </c>
      <c r="N1336" s="194">
        <v>0</v>
      </c>
      <c r="O1336" s="193">
        <f t="shared" si="285"/>
        <v>0</v>
      </c>
      <c r="P1336" s="194">
        <v>0</v>
      </c>
      <c r="Q1336" s="194">
        <v>0</v>
      </c>
      <c r="R1336" s="194">
        <v>0</v>
      </c>
      <c r="S1336" s="193">
        <f t="shared" si="286"/>
        <v>0</v>
      </c>
      <c r="T1336" s="193">
        <f t="shared" si="287"/>
        <v>0</v>
      </c>
      <c r="U1336" s="193">
        <f ca="1">OFFSET('Expenditure Study'!$B$7,'Operations Support'!$C1336,'Operations Support'!$B1336)*$G1336</f>
        <v>0</v>
      </c>
      <c r="V1336" s="199">
        <f ca="1">U1336*'Expenditure Study'!$B$31</f>
        <v>0</v>
      </c>
      <c r="W1336" s="199">
        <f ca="1">IF(A1336=10298,1.51,1)*IF($B1336&lt;3,$D1336*'Expenditure Study'!$B$32*OFFSET('Expenditure Study'!$B$7,'Operations Support'!$C1336,'Operations Support'!$B1336),0)</f>
        <v>0</v>
      </c>
      <c r="X1336" s="200">
        <f ca="1">W1336*'Expenditure Study'!$B$31</f>
        <v>0</v>
      </c>
      <c r="Y1336" s="199">
        <f ca="1">U1336*'Expenditure Study'!$B$31</f>
        <v>0</v>
      </c>
      <c r="Z1336" s="200">
        <f ca="1">W1336*'Expenditure Study'!$B$31</f>
        <v>0</v>
      </c>
      <c r="AA1336" s="195">
        <f t="shared" ca="1" si="288"/>
        <v>0</v>
      </c>
      <c r="AB1336" s="195">
        <f t="shared" ca="1" si="289"/>
        <v>0</v>
      </c>
      <c r="AD1336" s="196">
        <f>IFERROR($G1336/SUMIF($A:$A,$A1336,$G:$G)*SUMIF(Summary!$A$166:$A$242,$A1336,Summary!$P$166:$P$242),0)</f>
        <v>0</v>
      </c>
      <c r="AE1336" s="197">
        <f t="shared" ca="1" si="290"/>
        <v>0</v>
      </c>
      <c r="AF1336" s="196">
        <f>IFERROR(G1336/SUMIF(A:A,A1336,G:G)*SUMIF(Summary!$A$166:$A$242,'Operations Support'!A1336,Summary!$Q$166:$Q$242),0)</f>
        <v>0</v>
      </c>
      <c r="AG1336" s="196">
        <f t="shared" ca="1" si="291"/>
        <v>0</v>
      </c>
      <c r="AH1336" s="180"/>
      <c r="AI1336" s="196">
        <f>IFERROR($G1336/SUMIF($A:$A,$A1336,$G:$G)*SUMIF(Summary!$A$247:$A$283,$A1336,Summary!$P$247:$P$283),0)</f>
        <v>0</v>
      </c>
      <c r="AJ1336" s="196">
        <f>IFERROR($G1336/SUMIF($A:$A,$A1336,$G:$G)*(SUMIF(Summary!$A$247:$A$283,$A1336,Summary!$L$247:$L$283)+SUMIF(Summary!$A$297:$A$333,$A1336,Summary!$L$297:$L$333))-AI1336,0)</f>
        <v>0</v>
      </c>
      <c r="AK1336" s="196">
        <f>IFERROR($G1336/SUMIF($A:$A,$A1336,$G:$G)*SUMIF(Summary!$A$247:$A$283,$A1336,Summary!$Q$247:$Q$283),0)</f>
        <v>0</v>
      </c>
      <c r="AL1336" s="196">
        <f>IFERROR($G1336/SUMIF($A:$A,$A1336,$G:$G)*(SUMIF(Summary!$A$247:$A$283,$A1336,Summary!$L$247:$L$283)+SUMIF(Summary!$A$297:$A$333,$A1336,Summary!$L$297:$L$333))-AK1336,0)</f>
        <v>0</v>
      </c>
      <c r="AM1336" s="198"/>
      <c r="AN1336" s="196">
        <f t="shared" ca="1" si="292"/>
        <v>0</v>
      </c>
      <c r="AO1336" s="196">
        <f t="shared" ca="1" si="293"/>
        <v>0</v>
      </c>
    </row>
    <row r="1337" spans="1:41">
      <c r="A1337" s="189">
        <v>3631</v>
      </c>
      <c r="B1337" s="190">
        <v>4</v>
      </c>
      <c r="C1337" s="191" t="s">
        <v>229</v>
      </c>
      <c r="D1337" s="192">
        <f t="shared" si="280"/>
        <v>0</v>
      </c>
      <c r="E1337" s="192">
        <f t="shared" si="281"/>
        <v>0</v>
      </c>
      <c r="F1337" s="192">
        <f t="shared" si="282"/>
        <v>0</v>
      </c>
      <c r="G1337" s="193">
        <f t="shared" si="283"/>
        <v>0</v>
      </c>
      <c r="H1337" s="194">
        <v>0</v>
      </c>
      <c r="I1337" s="194">
        <v>0</v>
      </c>
      <c r="J1337" s="194">
        <v>0</v>
      </c>
      <c r="K1337" s="193">
        <f t="shared" si="284"/>
        <v>0</v>
      </c>
      <c r="L1337" s="194">
        <v>0</v>
      </c>
      <c r="M1337" s="194">
        <v>0</v>
      </c>
      <c r="N1337" s="194">
        <v>0</v>
      </c>
      <c r="O1337" s="193">
        <f t="shared" si="285"/>
        <v>0</v>
      </c>
      <c r="P1337" s="194">
        <v>0</v>
      </c>
      <c r="Q1337" s="194">
        <v>0</v>
      </c>
      <c r="R1337" s="194">
        <v>0</v>
      </c>
      <c r="S1337" s="193">
        <f t="shared" si="286"/>
        <v>0</v>
      </c>
      <c r="T1337" s="193">
        <f t="shared" si="287"/>
        <v>0</v>
      </c>
      <c r="U1337" s="193">
        <f ca="1">OFFSET('Expenditure Study'!$B$7,'Operations Support'!$C1337,'Operations Support'!$B1337)*$G1337</f>
        <v>0</v>
      </c>
      <c r="V1337" s="199">
        <f ca="1">U1337*'Expenditure Study'!$B$31</f>
        <v>0</v>
      </c>
      <c r="W1337" s="199">
        <f ca="1">IF(A1337=10298,1.51,1)*IF($B1337&lt;3,$D1337*'Expenditure Study'!$B$32*OFFSET('Expenditure Study'!$B$7,'Operations Support'!$C1337,'Operations Support'!$B1337),0)</f>
        <v>0</v>
      </c>
      <c r="X1337" s="200">
        <f ca="1">W1337*'Expenditure Study'!$B$31</f>
        <v>0</v>
      </c>
      <c r="Y1337" s="199">
        <f ca="1">U1337*'Expenditure Study'!$B$31</f>
        <v>0</v>
      </c>
      <c r="Z1337" s="200">
        <f ca="1">W1337*'Expenditure Study'!$B$31</f>
        <v>0</v>
      </c>
      <c r="AA1337" s="195">
        <f t="shared" ca="1" si="288"/>
        <v>0</v>
      </c>
      <c r="AB1337" s="195">
        <f t="shared" ca="1" si="289"/>
        <v>0</v>
      </c>
      <c r="AD1337" s="196">
        <f>IFERROR($G1337/SUMIF($A:$A,$A1337,$G:$G)*SUMIF(Summary!$A$166:$A$242,$A1337,Summary!$P$166:$P$242),0)</f>
        <v>0</v>
      </c>
      <c r="AE1337" s="197">
        <f t="shared" ca="1" si="290"/>
        <v>0</v>
      </c>
      <c r="AF1337" s="196">
        <f>IFERROR(G1337/SUMIF(A:A,A1337,G:G)*SUMIF(Summary!$A$166:$A$242,'Operations Support'!A1337,Summary!$Q$166:$Q$242),0)</f>
        <v>0</v>
      </c>
      <c r="AG1337" s="196">
        <f t="shared" ca="1" si="291"/>
        <v>0</v>
      </c>
      <c r="AI1337" s="196">
        <f>IFERROR($G1337/SUMIF($A:$A,$A1337,$G:$G)*SUMIF(Summary!$A$247:$A$283,$A1337,Summary!$P$247:$P$283),0)</f>
        <v>0</v>
      </c>
      <c r="AJ1337" s="196">
        <f>IFERROR($G1337/SUMIF($A:$A,$A1337,$G:$G)*(SUMIF(Summary!$A$247:$A$283,$A1337,Summary!$L$247:$L$283)+SUMIF(Summary!$A$297:$A$333,$A1337,Summary!$L$297:$L$333))-AI1337,0)</f>
        <v>0</v>
      </c>
      <c r="AK1337" s="196">
        <f>IFERROR($G1337/SUMIF($A:$A,$A1337,$G:$G)*SUMIF(Summary!$A$247:$A$283,$A1337,Summary!$Q$247:$Q$283),0)</f>
        <v>0</v>
      </c>
      <c r="AL1337" s="196">
        <f>IFERROR($G1337/SUMIF($A:$A,$A1337,$G:$G)*(SUMIF(Summary!$A$247:$A$283,$A1337,Summary!$L$247:$L$283)+SUMIF(Summary!$A$297:$A$333,$A1337,Summary!$L$297:$L$333))-AK1337,0)</f>
        <v>0</v>
      </c>
      <c r="AM1337" s="198"/>
      <c r="AN1337" s="196">
        <f t="shared" ca="1" si="292"/>
        <v>0</v>
      </c>
      <c r="AO1337" s="196">
        <f t="shared" ca="1" si="293"/>
        <v>0</v>
      </c>
    </row>
    <row r="1338" spans="1:41">
      <c r="A1338" s="189">
        <v>3631</v>
      </c>
      <c r="B1338" s="190">
        <v>4</v>
      </c>
      <c r="C1338" s="191" t="s">
        <v>230</v>
      </c>
      <c r="D1338" s="192">
        <f t="shared" si="280"/>
        <v>0</v>
      </c>
      <c r="E1338" s="192">
        <f t="shared" si="281"/>
        <v>0</v>
      </c>
      <c r="F1338" s="192">
        <f t="shared" si="282"/>
        <v>0</v>
      </c>
      <c r="G1338" s="193">
        <f t="shared" si="283"/>
        <v>0</v>
      </c>
      <c r="H1338" s="194">
        <v>0</v>
      </c>
      <c r="I1338" s="194">
        <v>0</v>
      </c>
      <c r="J1338" s="194">
        <v>0</v>
      </c>
      <c r="K1338" s="193">
        <f t="shared" si="284"/>
        <v>0</v>
      </c>
      <c r="L1338" s="194">
        <v>0</v>
      </c>
      <c r="M1338" s="194">
        <v>0</v>
      </c>
      <c r="N1338" s="194">
        <v>0</v>
      </c>
      <c r="O1338" s="193">
        <f t="shared" si="285"/>
        <v>0</v>
      </c>
      <c r="P1338" s="194">
        <v>0</v>
      </c>
      <c r="Q1338" s="194">
        <v>0</v>
      </c>
      <c r="R1338" s="194">
        <v>0</v>
      </c>
      <c r="S1338" s="193">
        <f t="shared" si="286"/>
        <v>0</v>
      </c>
      <c r="T1338" s="193">
        <f t="shared" si="287"/>
        <v>0</v>
      </c>
      <c r="U1338" s="193">
        <f ca="1">OFFSET('Expenditure Study'!$B$7,'Operations Support'!$C1338,'Operations Support'!$B1338)*$G1338</f>
        <v>0</v>
      </c>
      <c r="V1338" s="199">
        <f ca="1">U1338*'Expenditure Study'!$B$31</f>
        <v>0</v>
      </c>
      <c r="W1338" s="199">
        <f ca="1">IF(A1338=10298,1.51,1)*IF($B1338&lt;3,$D1338*'Expenditure Study'!$B$32*OFFSET('Expenditure Study'!$B$7,'Operations Support'!$C1338,'Operations Support'!$B1338),0)</f>
        <v>0</v>
      </c>
      <c r="X1338" s="200">
        <f ca="1">W1338*'Expenditure Study'!$B$31</f>
        <v>0</v>
      </c>
      <c r="Y1338" s="199">
        <f ca="1">U1338*'Expenditure Study'!$B$31</f>
        <v>0</v>
      </c>
      <c r="Z1338" s="200">
        <f ca="1">W1338*'Expenditure Study'!$B$31</f>
        <v>0</v>
      </c>
      <c r="AA1338" s="195">
        <f t="shared" ca="1" si="288"/>
        <v>0</v>
      </c>
      <c r="AB1338" s="195">
        <f t="shared" ca="1" si="289"/>
        <v>0</v>
      </c>
      <c r="AD1338" s="196">
        <f>IFERROR($G1338/SUMIF($A:$A,$A1338,$G:$G)*SUMIF(Summary!$A$166:$A$242,$A1338,Summary!$P$166:$P$242),0)</f>
        <v>0</v>
      </c>
      <c r="AE1338" s="197">
        <f t="shared" ca="1" si="290"/>
        <v>0</v>
      </c>
      <c r="AF1338" s="196">
        <f>IFERROR(G1338/SUMIF(A:A,A1338,G:G)*SUMIF(Summary!$A$166:$A$242,'Operations Support'!A1338,Summary!$Q$166:$Q$242),0)</f>
        <v>0</v>
      </c>
      <c r="AG1338" s="196">
        <f t="shared" ca="1" si="291"/>
        <v>0</v>
      </c>
      <c r="AI1338" s="196">
        <f>IFERROR($G1338/SUMIF($A:$A,$A1338,$G:$G)*SUMIF(Summary!$A$247:$A$283,$A1338,Summary!$P$247:$P$283),0)</f>
        <v>0</v>
      </c>
      <c r="AJ1338" s="196">
        <f>IFERROR($G1338/SUMIF($A:$A,$A1338,$G:$G)*(SUMIF(Summary!$A$247:$A$283,$A1338,Summary!$L$247:$L$283)+SUMIF(Summary!$A$297:$A$333,$A1338,Summary!$L$297:$L$333))-AI1338,0)</f>
        <v>0</v>
      </c>
      <c r="AK1338" s="196">
        <f>IFERROR($G1338/SUMIF($A:$A,$A1338,$G:$G)*SUMIF(Summary!$A$247:$A$283,$A1338,Summary!$Q$247:$Q$283),0)</f>
        <v>0</v>
      </c>
      <c r="AL1338" s="196">
        <f>IFERROR($G1338/SUMIF($A:$A,$A1338,$G:$G)*(SUMIF(Summary!$A$247:$A$283,$A1338,Summary!$L$247:$L$283)+SUMIF(Summary!$A$297:$A$333,$A1338,Summary!$L$297:$L$333))-AK1338,0)</f>
        <v>0</v>
      </c>
      <c r="AM1338" s="198"/>
      <c r="AN1338" s="196">
        <f t="shared" ca="1" si="292"/>
        <v>0</v>
      </c>
      <c r="AO1338" s="196">
        <f t="shared" ca="1" si="293"/>
        <v>0</v>
      </c>
    </row>
    <row r="1339" spans="1:41">
      <c r="A1339" s="189">
        <v>3631</v>
      </c>
      <c r="B1339" s="190">
        <v>4</v>
      </c>
      <c r="C1339" s="191" t="s">
        <v>231</v>
      </c>
      <c r="D1339" s="192">
        <f t="shared" si="280"/>
        <v>0</v>
      </c>
      <c r="E1339" s="192">
        <f t="shared" si="281"/>
        <v>0</v>
      </c>
      <c r="F1339" s="192">
        <f t="shared" si="282"/>
        <v>0</v>
      </c>
      <c r="G1339" s="193">
        <f t="shared" si="283"/>
        <v>0</v>
      </c>
      <c r="H1339" s="194">
        <v>0</v>
      </c>
      <c r="I1339" s="194">
        <v>0</v>
      </c>
      <c r="J1339" s="194">
        <v>0</v>
      </c>
      <c r="K1339" s="193">
        <f t="shared" si="284"/>
        <v>0</v>
      </c>
      <c r="L1339" s="194">
        <v>0</v>
      </c>
      <c r="M1339" s="194">
        <v>0</v>
      </c>
      <c r="N1339" s="194">
        <v>0</v>
      </c>
      <c r="O1339" s="193">
        <f t="shared" si="285"/>
        <v>0</v>
      </c>
      <c r="P1339" s="194">
        <v>0</v>
      </c>
      <c r="Q1339" s="194">
        <v>0</v>
      </c>
      <c r="R1339" s="194">
        <v>0</v>
      </c>
      <c r="S1339" s="193">
        <f t="shared" si="286"/>
        <v>0</v>
      </c>
      <c r="T1339" s="193">
        <f t="shared" si="287"/>
        <v>0</v>
      </c>
      <c r="U1339" s="193">
        <f ca="1">OFFSET('Expenditure Study'!$B$7,'Operations Support'!$C1339,'Operations Support'!$B1339)*$G1339</f>
        <v>0</v>
      </c>
      <c r="V1339" s="199">
        <f ca="1">U1339*'Expenditure Study'!$B$31</f>
        <v>0</v>
      </c>
      <c r="W1339" s="199">
        <f ca="1">IF(A1339=10298,1.51,1)*IF($B1339&lt;3,$D1339*'Expenditure Study'!$B$32*OFFSET('Expenditure Study'!$B$7,'Operations Support'!$C1339,'Operations Support'!$B1339),0)</f>
        <v>0</v>
      </c>
      <c r="X1339" s="200">
        <f ca="1">W1339*'Expenditure Study'!$B$31</f>
        <v>0</v>
      </c>
      <c r="Y1339" s="199">
        <f ca="1">U1339*'Expenditure Study'!$B$31</f>
        <v>0</v>
      </c>
      <c r="Z1339" s="200">
        <f ca="1">W1339*'Expenditure Study'!$B$31</f>
        <v>0</v>
      </c>
      <c r="AA1339" s="195">
        <f t="shared" ca="1" si="288"/>
        <v>0</v>
      </c>
      <c r="AB1339" s="195">
        <f t="shared" ca="1" si="289"/>
        <v>0</v>
      </c>
      <c r="AD1339" s="196">
        <f>IFERROR($G1339/SUMIF($A:$A,$A1339,$G:$G)*SUMIF(Summary!$A$166:$A$242,$A1339,Summary!$P$166:$P$242),0)</f>
        <v>0</v>
      </c>
      <c r="AE1339" s="197">
        <f t="shared" ca="1" si="290"/>
        <v>0</v>
      </c>
      <c r="AF1339" s="196">
        <f>IFERROR(G1339/SUMIF(A:A,A1339,G:G)*SUMIF(Summary!$A$166:$A$242,'Operations Support'!A1339,Summary!$Q$166:$Q$242),0)</f>
        <v>0</v>
      </c>
      <c r="AG1339" s="196">
        <f t="shared" ca="1" si="291"/>
        <v>0</v>
      </c>
      <c r="AI1339" s="196">
        <f>IFERROR($G1339/SUMIF($A:$A,$A1339,$G:$G)*SUMIF(Summary!$A$247:$A$283,$A1339,Summary!$P$247:$P$283),0)</f>
        <v>0</v>
      </c>
      <c r="AJ1339" s="196">
        <f>IFERROR($G1339/SUMIF($A:$A,$A1339,$G:$G)*(SUMIF(Summary!$A$247:$A$283,$A1339,Summary!$L$247:$L$283)+SUMIF(Summary!$A$297:$A$333,$A1339,Summary!$L$297:$L$333))-AI1339,0)</f>
        <v>0</v>
      </c>
      <c r="AK1339" s="196">
        <f>IFERROR($G1339/SUMIF($A:$A,$A1339,$G:$G)*SUMIF(Summary!$A$247:$A$283,$A1339,Summary!$Q$247:$Q$283),0)</f>
        <v>0</v>
      </c>
      <c r="AL1339" s="196">
        <f>IFERROR($G1339/SUMIF($A:$A,$A1339,$G:$G)*(SUMIF(Summary!$A$247:$A$283,$A1339,Summary!$L$247:$L$283)+SUMIF(Summary!$A$297:$A$333,$A1339,Summary!$L$297:$L$333))-AK1339,0)</f>
        <v>0</v>
      </c>
      <c r="AM1339" s="198"/>
      <c r="AN1339" s="196">
        <f t="shared" ca="1" si="292"/>
        <v>0</v>
      </c>
      <c r="AO1339" s="196">
        <f t="shared" ca="1" si="293"/>
        <v>0</v>
      </c>
    </row>
    <row r="1340" spans="1:41">
      <c r="A1340" s="189">
        <v>3631</v>
      </c>
      <c r="B1340" s="190">
        <v>4</v>
      </c>
      <c r="C1340" s="191" t="s">
        <v>232</v>
      </c>
      <c r="D1340" s="192">
        <f t="shared" si="280"/>
        <v>0</v>
      </c>
      <c r="E1340" s="192">
        <f t="shared" si="281"/>
        <v>0</v>
      </c>
      <c r="F1340" s="192">
        <f t="shared" si="282"/>
        <v>0</v>
      </c>
      <c r="G1340" s="193">
        <f t="shared" si="283"/>
        <v>0</v>
      </c>
      <c r="H1340" s="194">
        <v>0</v>
      </c>
      <c r="I1340" s="194">
        <v>0</v>
      </c>
      <c r="J1340" s="194">
        <v>0</v>
      </c>
      <c r="K1340" s="193">
        <f t="shared" si="284"/>
        <v>0</v>
      </c>
      <c r="L1340" s="194">
        <v>0</v>
      </c>
      <c r="M1340" s="194">
        <v>0</v>
      </c>
      <c r="N1340" s="194">
        <v>0</v>
      </c>
      <c r="O1340" s="193">
        <f t="shared" si="285"/>
        <v>0</v>
      </c>
      <c r="P1340" s="194">
        <v>0</v>
      </c>
      <c r="Q1340" s="194">
        <v>0</v>
      </c>
      <c r="R1340" s="194">
        <v>0</v>
      </c>
      <c r="S1340" s="193">
        <f t="shared" si="286"/>
        <v>0</v>
      </c>
      <c r="T1340" s="193">
        <f t="shared" si="287"/>
        <v>0</v>
      </c>
      <c r="U1340" s="193">
        <f ca="1">OFFSET('Expenditure Study'!$B$7,'Operations Support'!$C1340,'Operations Support'!$B1340)*$G1340</f>
        <v>0</v>
      </c>
      <c r="V1340" s="199">
        <f ca="1">U1340*'Expenditure Study'!$B$31</f>
        <v>0</v>
      </c>
      <c r="W1340" s="199">
        <f ca="1">IF(A1340=10298,1.51,1)*IF($B1340&lt;3,$D1340*'Expenditure Study'!$B$32*OFFSET('Expenditure Study'!$B$7,'Operations Support'!$C1340,'Operations Support'!$B1340),0)</f>
        <v>0</v>
      </c>
      <c r="X1340" s="200">
        <f ca="1">W1340*'Expenditure Study'!$B$31</f>
        <v>0</v>
      </c>
      <c r="Y1340" s="199">
        <f ca="1">U1340*'Expenditure Study'!$B$31</f>
        <v>0</v>
      </c>
      <c r="Z1340" s="200">
        <f ca="1">W1340*'Expenditure Study'!$B$31</f>
        <v>0</v>
      </c>
      <c r="AA1340" s="195">
        <f t="shared" ca="1" si="288"/>
        <v>0</v>
      </c>
      <c r="AB1340" s="195">
        <f t="shared" ca="1" si="289"/>
        <v>0</v>
      </c>
      <c r="AD1340" s="196">
        <f>IFERROR($G1340/SUMIF($A:$A,$A1340,$G:$G)*SUMIF(Summary!$A$166:$A$242,$A1340,Summary!$P$166:$P$242),0)</f>
        <v>0</v>
      </c>
      <c r="AE1340" s="197">
        <f t="shared" ca="1" si="290"/>
        <v>0</v>
      </c>
      <c r="AF1340" s="196">
        <f>IFERROR(G1340/SUMIF(A:A,A1340,G:G)*SUMIF(Summary!$A$166:$A$242,'Operations Support'!A1340,Summary!$Q$166:$Q$242),0)</f>
        <v>0</v>
      </c>
      <c r="AG1340" s="196">
        <f t="shared" ca="1" si="291"/>
        <v>0</v>
      </c>
      <c r="AI1340" s="196">
        <f>IFERROR($G1340/SUMIF($A:$A,$A1340,$G:$G)*SUMIF(Summary!$A$247:$A$283,$A1340,Summary!$P$247:$P$283),0)</f>
        <v>0</v>
      </c>
      <c r="AJ1340" s="196">
        <f>IFERROR($G1340/SUMIF($A:$A,$A1340,$G:$G)*(SUMIF(Summary!$A$247:$A$283,$A1340,Summary!$L$247:$L$283)+SUMIF(Summary!$A$297:$A$333,$A1340,Summary!$L$297:$L$333))-AI1340,0)</f>
        <v>0</v>
      </c>
      <c r="AK1340" s="196">
        <f>IFERROR($G1340/SUMIF($A:$A,$A1340,$G:$G)*SUMIF(Summary!$A$247:$A$283,$A1340,Summary!$Q$247:$Q$283),0)</f>
        <v>0</v>
      </c>
      <c r="AL1340" s="196">
        <f>IFERROR($G1340/SUMIF($A:$A,$A1340,$G:$G)*(SUMIF(Summary!$A$247:$A$283,$A1340,Summary!$L$247:$L$283)+SUMIF(Summary!$A$297:$A$333,$A1340,Summary!$L$297:$L$333))-AK1340,0)</f>
        <v>0</v>
      </c>
      <c r="AM1340" s="198"/>
      <c r="AN1340" s="196">
        <f t="shared" ca="1" si="292"/>
        <v>0</v>
      </c>
      <c r="AO1340" s="196">
        <f t="shared" ca="1" si="293"/>
        <v>0</v>
      </c>
    </row>
    <row r="1341" spans="1:41">
      <c r="A1341" s="189">
        <v>3631</v>
      </c>
      <c r="B1341" s="190">
        <v>4</v>
      </c>
      <c r="C1341" s="191" t="s">
        <v>233</v>
      </c>
      <c r="D1341" s="192">
        <f t="shared" si="280"/>
        <v>0</v>
      </c>
      <c r="E1341" s="192">
        <f t="shared" si="281"/>
        <v>0</v>
      </c>
      <c r="F1341" s="192">
        <f t="shared" si="282"/>
        <v>0</v>
      </c>
      <c r="G1341" s="193">
        <f t="shared" si="283"/>
        <v>0</v>
      </c>
      <c r="H1341" s="194">
        <v>0</v>
      </c>
      <c r="I1341" s="194">
        <v>0</v>
      </c>
      <c r="J1341" s="194">
        <v>0</v>
      </c>
      <c r="K1341" s="193">
        <f t="shared" si="284"/>
        <v>0</v>
      </c>
      <c r="L1341" s="194">
        <v>0</v>
      </c>
      <c r="M1341" s="194">
        <v>0</v>
      </c>
      <c r="N1341" s="194">
        <v>0</v>
      </c>
      <c r="O1341" s="193">
        <f t="shared" si="285"/>
        <v>0</v>
      </c>
      <c r="P1341" s="194">
        <v>0</v>
      </c>
      <c r="Q1341" s="194">
        <v>0</v>
      </c>
      <c r="R1341" s="194">
        <v>0</v>
      </c>
      <c r="S1341" s="193">
        <f t="shared" si="286"/>
        <v>0</v>
      </c>
      <c r="T1341" s="193">
        <f t="shared" si="287"/>
        <v>0</v>
      </c>
      <c r="U1341" s="193">
        <f ca="1">OFFSET('Expenditure Study'!$B$7,'Operations Support'!$C1341,'Operations Support'!$B1341)*$G1341</f>
        <v>0</v>
      </c>
      <c r="V1341" s="199">
        <f ca="1">U1341*'Expenditure Study'!$B$31</f>
        <v>0</v>
      </c>
      <c r="W1341" s="199">
        <f ca="1">IF(A1341=10298,1.51,1)*IF($B1341&lt;3,$D1341*'Expenditure Study'!$B$32*OFFSET('Expenditure Study'!$B$7,'Operations Support'!$C1341,'Operations Support'!$B1341),0)</f>
        <v>0</v>
      </c>
      <c r="X1341" s="200">
        <f ca="1">W1341*'Expenditure Study'!$B$31</f>
        <v>0</v>
      </c>
      <c r="Y1341" s="199">
        <f ca="1">U1341*'Expenditure Study'!$B$31</f>
        <v>0</v>
      </c>
      <c r="Z1341" s="200">
        <f ca="1">W1341*'Expenditure Study'!$B$31</f>
        <v>0</v>
      </c>
      <c r="AA1341" s="195">
        <f t="shared" ca="1" si="288"/>
        <v>0</v>
      </c>
      <c r="AB1341" s="195">
        <f t="shared" ca="1" si="289"/>
        <v>0</v>
      </c>
      <c r="AD1341" s="196">
        <f>IFERROR($G1341/SUMIF($A:$A,$A1341,$G:$G)*SUMIF(Summary!$A$166:$A$242,$A1341,Summary!$P$166:$P$242),0)</f>
        <v>0</v>
      </c>
      <c r="AE1341" s="197">
        <f t="shared" ca="1" si="290"/>
        <v>0</v>
      </c>
      <c r="AF1341" s="196">
        <f>IFERROR(G1341/SUMIF(A:A,A1341,G:G)*SUMIF(Summary!$A$166:$A$242,'Operations Support'!A1341,Summary!$Q$166:$Q$242),0)</f>
        <v>0</v>
      </c>
      <c r="AG1341" s="196">
        <f t="shared" ca="1" si="291"/>
        <v>0</v>
      </c>
      <c r="AI1341" s="196">
        <f>IFERROR($G1341/SUMIF($A:$A,$A1341,$G:$G)*SUMIF(Summary!$A$247:$A$283,$A1341,Summary!$P$247:$P$283),0)</f>
        <v>0</v>
      </c>
      <c r="AJ1341" s="196">
        <f>IFERROR($G1341/SUMIF($A:$A,$A1341,$G:$G)*(SUMIF(Summary!$A$247:$A$283,$A1341,Summary!$L$247:$L$283)+SUMIF(Summary!$A$297:$A$333,$A1341,Summary!$L$297:$L$333))-AI1341,0)</f>
        <v>0</v>
      </c>
      <c r="AK1341" s="196">
        <f>IFERROR($G1341/SUMIF($A:$A,$A1341,$G:$G)*SUMIF(Summary!$A$247:$A$283,$A1341,Summary!$Q$247:$Q$283),0)</f>
        <v>0</v>
      </c>
      <c r="AL1341" s="196">
        <f>IFERROR($G1341/SUMIF($A:$A,$A1341,$G:$G)*(SUMIF(Summary!$A$247:$A$283,$A1341,Summary!$L$247:$L$283)+SUMIF(Summary!$A$297:$A$333,$A1341,Summary!$L$297:$L$333))-AK1341,0)</f>
        <v>0</v>
      </c>
      <c r="AM1341" s="198"/>
      <c r="AN1341" s="196">
        <f t="shared" ca="1" si="292"/>
        <v>0</v>
      </c>
      <c r="AO1341" s="196">
        <f t="shared" ca="1" si="293"/>
        <v>0</v>
      </c>
    </row>
    <row r="1342" spans="1:41">
      <c r="A1342" s="189">
        <v>3631</v>
      </c>
      <c r="B1342" s="190">
        <v>4</v>
      </c>
      <c r="C1342" s="191" t="s">
        <v>234</v>
      </c>
      <c r="D1342" s="192">
        <f t="shared" si="280"/>
        <v>0</v>
      </c>
      <c r="E1342" s="192">
        <f t="shared" si="281"/>
        <v>0</v>
      </c>
      <c r="F1342" s="192">
        <f t="shared" si="282"/>
        <v>0</v>
      </c>
      <c r="G1342" s="193">
        <f t="shared" si="283"/>
        <v>0</v>
      </c>
      <c r="H1342" s="194">
        <v>0</v>
      </c>
      <c r="I1342" s="194">
        <v>0</v>
      </c>
      <c r="J1342" s="194">
        <v>0</v>
      </c>
      <c r="K1342" s="193">
        <f t="shared" si="284"/>
        <v>0</v>
      </c>
      <c r="L1342" s="194">
        <v>0</v>
      </c>
      <c r="M1342" s="194">
        <v>0</v>
      </c>
      <c r="N1342" s="194">
        <v>0</v>
      </c>
      <c r="O1342" s="193">
        <f t="shared" si="285"/>
        <v>0</v>
      </c>
      <c r="P1342" s="194">
        <v>0</v>
      </c>
      <c r="Q1342" s="194">
        <v>0</v>
      </c>
      <c r="R1342" s="194">
        <v>0</v>
      </c>
      <c r="S1342" s="193">
        <f t="shared" si="286"/>
        <v>0</v>
      </c>
      <c r="T1342" s="193">
        <f t="shared" si="287"/>
        <v>0</v>
      </c>
      <c r="U1342" s="193">
        <f ca="1">OFFSET('Expenditure Study'!$B$7,'Operations Support'!$C1342,'Operations Support'!$B1342)*$G1342</f>
        <v>0</v>
      </c>
      <c r="V1342" s="199">
        <f ca="1">U1342*'Expenditure Study'!$B$31</f>
        <v>0</v>
      </c>
      <c r="W1342" s="199">
        <f ca="1">IF(A1342=10298,1.51,1)*IF($B1342&lt;3,$D1342*'Expenditure Study'!$B$32*OFFSET('Expenditure Study'!$B$7,'Operations Support'!$C1342,'Operations Support'!$B1342),0)</f>
        <v>0</v>
      </c>
      <c r="X1342" s="200">
        <f ca="1">W1342*'Expenditure Study'!$B$31</f>
        <v>0</v>
      </c>
      <c r="Y1342" s="199">
        <f ca="1">U1342*'Expenditure Study'!$B$31</f>
        <v>0</v>
      </c>
      <c r="Z1342" s="200">
        <f ca="1">W1342*'Expenditure Study'!$B$31</f>
        <v>0</v>
      </c>
      <c r="AA1342" s="195">
        <f t="shared" ca="1" si="288"/>
        <v>0</v>
      </c>
      <c r="AB1342" s="195">
        <f t="shared" ca="1" si="289"/>
        <v>0</v>
      </c>
      <c r="AD1342" s="196">
        <f>IFERROR($G1342/SUMIF($A:$A,$A1342,$G:$G)*SUMIF(Summary!$A$166:$A$242,$A1342,Summary!$P$166:$P$242),0)</f>
        <v>0</v>
      </c>
      <c r="AE1342" s="197">
        <f t="shared" ca="1" si="290"/>
        <v>0</v>
      </c>
      <c r="AF1342" s="196">
        <f>IFERROR(G1342/SUMIF(A:A,A1342,G:G)*SUMIF(Summary!$A$166:$A$242,'Operations Support'!A1342,Summary!$Q$166:$Q$242),0)</f>
        <v>0</v>
      </c>
      <c r="AG1342" s="196">
        <f t="shared" ca="1" si="291"/>
        <v>0</v>
      </c>
      <c r="AI1342" s="196">
        <f>IFERROR($G1342/SUMIF($A:$A,$A1342,$G:$G)*SUMIF(Summary!$A$247:$A$283,$A1342,Summary!$P$247:$P$283),0)</f>
        <v>0</v>
      </c>
      <c r="AJ1342" s="196">
        <f>IFERROR($G1342/SUMIF($A:$A,$A1342,$G:$G)*(SUMIF(Summary!$A$247:$A$283,$A1342,Summary!$L$247:$L$283)+SUMIF(Summary!$A$297:$A$333,$A1342,Summary!$L$297:$L$333))-AI1342,0)</f>
        <v>0</v>
      </c>
      <c r="AK1342" s="196">
        <f>IFERROR($G1342/SUMIF($A:$A,$A1342,$G:$G)*SUMIF(Summary!$A$247:$A$283,$A1342,Summary!$Q$247:$Q$283),0)</f>
        <v>0</v>
      </c>
      <c r="AL1342" s="196">
        <f>IFERROR($G1342/SUMIF($A:$A,$A1342,$G:$G)*(SUMIF(Summary!$A$247:$A$283,$A1342,Summary!$L$247:$L$283)+SUMIF(Summary!$A$297:$A$333,$A1342,Summary!$L$297:$L$333))-AK1342,0)</f>
        <v>0</v>
      </c>
      <c r="AM1342" s="198"/>
      <c r="AN1342" s="196">
        <f t="shared" ca="1" si="292"/>
        <v>0</v>
      </c>
      <c r="AO1342" s="196">
        <f t="shared" ca="1" si="293"/>
        <v>0</v>
      </c>
    </row>
    <row r="1343" spans="1:41">
      <c r="A1343" s="189">
        <v>3631</v>
      </c>
      <c r="B1343" s="190">
        <v>4</v>
      </c>
      <c r="C1343" s="191" t="s">
        <v>235</v>
      </c>
      <c r="D1343" s="192">
        <f t="shared" si="280"/>
        <v>0</v>
      </c>
      <c r="E1343" s="192">
        <f t="shared" si="281"/>
        <v>0</v>
      </c>
      <c r="F1343" s="192">
        <f t="shared" si="282"/>
        <v>0</v>
      </c>
      <c r="G1343" s="193">
        <f t="shared" si="283"/>
        <v>0</v>
      </c>
      <c r="H1343" s="194">
        <v>0</v>
      </c>
      <c r="I1343" s="194">
        <v>0</v>
      </c>
      <c r="J1343" s="194">
        <v>0</v>
      </c>
      <c r="K1343" s="193">
        <f t="shared" si="284"/>
        <v>0</v>
      </c>
      <c r="L1343" s="194">
        <v>0</v>
      </c>
      <c r="M1343" s="194">
        <v>0</v>
      </c>
      <c r="N1343" s="194">
        <v>0</v>
      </c>
      <c r="O1343" s="193">
        <f t="shared" si="285"/>
        <v>0</v>
      </c>
      <c r="P1343" s="194">
        <v>0</v>
      </c>
      <c r="Q1343" s="194">
        <v>0</v>
      </c>
      <c r="R1343" s="194">
        <v>0</v>
      </c>
      <c r="S1343" s="193">
        <f t="shared" si="286"/>
        <v>0</v>
      </c>
      <c r="T1343" s="193">
        <f t="shared" si="287"/>
        <v>0</v>
      </c>
      <c r="U1343" s="193">
        <f ca="1">OFFSET('Expenditure Study'!$B$7,'Operations Support'!$C1343,'Operations Support'!$B1343)*$G1343</f>
        <v>0</v>
      </c>
      <c r="V1343" s="199">
        <f ca="1">U1343*'Expenditure Study'!$B$31</f>
        <v>0</v>
      </c>
      <c r="W1343" s="199">
        <f ca="1">IF(A1343=10298,1.51,1)*IF($B1343&lt;3,$D1343*'Expenditure Study'!$B$32*OFFSET('Expenditure Study'!$B$7,'Operations Support'!$C1343,'Operations Support'!$B1343),0)</f>
        <v>0</v>
      </c>
      <c r="X1343" s="200">
        <f ca="1">W1343*'Expenditure Study'!$B$31</f>
        <v>0</v>
      </c>
      <c r="Y1343" s="199">
        <f ca="1">U1343*'Expenditure Study'!$B$31</f>
        <v>0</v>
      </c>
      <c r="Z1343" s="200">
        <f ca="1">W1343*'Expenditure Study'!$B$31</f>
        <v>0</v>
      </c>
      <c r="AA1343" s="195">
        <f t="shared" ca="1" si="288"/>
        <v>0</v>
      </c>
      <c r="AB1343" s="195">
        <f t="shared" ca="1" si="289"/>
        <v>0</v>
      </c>
      <c r="AD1343" s="196">
        <f>IFERROR($G1343/SUMIF($A:$A,$A1343,$G:$G)*SUMIF(Summary!$A$166:$A$242,$A1343,Summary!$P$166:$P$242),0)</f>
        <v>0</v>
      </c>
      <c r="AE1343" s="197">
        <f t="shared" ca="1" si="290"/>
        <v>0</v>
      </c>
      <c r="AF1343" s="196">
        <f>IFERROR(G1343/SUMIF(A:A,A1343,G:G)*SUMIF(Summary!$A$166:$A$242,'Operations Support'!A1343,Summary!$Q$166:$Q$242),0)</f>
        <v>0</v>
      </c>
      <c r="AG1343" s="196">
        <f t="shared" ca="1" si="291"/>
        <v>0</v>
      </c>
      <c r="AI1343" s="196">
        <f>IFERROR($G1343/SUMIF($A:$A,$A1343,$G:$G)*SUMIF(Summary!$A$247:$A$283,$A1343,Summary!$P$247:$P$283),0)</f>
        <v>0</v>
      </c>
      <c r="AJ1343" s="196">
        <f>IFERROR($G1343/SUMIF($A:$A,$A1343,$G:$G)*(SUMIF(Summary!$A$247:$A$283,$A1343,Summary!$L$247:$L$283)+SUMIF(Summary!$A$297:$A$333,$A1343,Summary!$L$297:$L$333))-AI1343,0)</f>
        <v>0</v>
      </c>
      <c r="AK1343" s="196">
        <f>IFERROR($G1343/SUMIF($A:$A,$A1343,$G:$G)*SUMIF(Summary!$A$247:$A$283,$A1343,Summary!$Q$247:$Q$283),0)</f>
        <v>0</v>
      </c>
      <c r="AL1343" s="196">
        <f>IFERROR($G1343/SUMIF($A:$A,$A1343,$G:$G)*(SUMIF(Summary!$A$247:$A$283,$A1343,Summary!$L$247:$L$283)+SUMIF(Summary!$A$297:$A$333,$A1343,Summary!$L$297:$L$333))-AK1343,0)</f>
        <v>0</v>
      </c>
      <c r="AM1343" s="198"/>
      <c r="AN1343" s="196">
        <f t="shared" ca="1" si="292"/>
        <v>0</v>
      </c>
      <c r="AO1343" s="196">
        <f t="shared" ca="1" si="293"/>
        <v>0</v>
      </c>
    </row>
    <row r="1344" spans="1:41">
      <c r="A1344" s="189">
        <v>3631</v>
      </c>
      <c r="B1344" s="190">
        <v>4</v>
      </c>
      <c r="C1344" s="191" t="s">
        <v>236</v>
      </c>
      <c r="D1344" s="192">
        <f t="shared" si="280"/>
        <v>0</v>
      </c>
      <c r="E1344" s="192">
        <f t="shared" si="281"/>
        <v>0</v>
      </c>
      <c r="F1344" s="192">
        <f t="shared" si="282"/>
        <v>0</v>
      </c>
      <c r="G1344" s="193">
        <f t="shared" si="283"/>
        <v>0</v>
      </c>
      <c r="H1344" s="194">
        <v>0</v>
      </c>
      <c r="I1344" s="194">
        <v>0</v>
      </c>
      <c r="J1344" s="194">
        <v>0</v>
      </c>
      <c r="K1344" s="193">
        <f t="shared" si="284"/>
        <v>0</v>
      </c>
      <c r="L1344" s="194">
        <v>0</v>
      </c>
      <c r="M1344" s="194">
        <v>0</v>
      </c>
      <c r="N1344" s="194">
        <v>0</v>
      </c>
      <c r="O1344" s="193">
        <f t="shared" si="285"/>
        <v>0</v>
      </c>
      <c r="P1344" s="194">
        <v>0</v>
      </c>
      <c r="Q1344" s="194">
        <v>0</v>
      </c>
      <c r="R1344" s="194">
        <v>0</v>
      </c>
      <c r="S1344" s="193">
        <f t="shared" si="286"/>
        <v>0</v>
      </c>
      <c r="T1344" s="193">
        <f t="shared" si="287"/>
        <v>0</v>
      </c>
      <c r="U1344" s="193">
        <f ca="1">OFFSET('Expenditure Study'!$B$7,'Operations Support'!$C1344,'Operations Support'!$B1344)*$G1344</f>
        <v>0</v>
      </c>
      <c r="V1344" s="199">
        <f ca="1">U1344*'Expenditure Study'!$B$31</f>
        <v>0</v>
      </c>
      <c r="W1344" s="199">
        <f ca="1">IF(A1344=10298,1.51,1)*IF($B1344&lt;3,$D1344*'Expenditure Study'!$B$32*OFFSET('Expenditure Study'!$B$7,'Operations Support'!$C1344,'Operations Support'!$B1344),0)</f>
        <v>0</v>
      </c>
      <c r="X1344" s="200">
        <f ca="1">W1344*'Expenditure Study'!$B$31</f>
        <v>0</v>
      </c>
      <c r="Y1344" s="199">
        <f ca="1">U1344*'Expenditure Study'!$B$31</f>
        <v>0</v>
      </c>
      <c r="Z1344" s="200">
        <f ca="1">W1344*'Expenditure Study'!$B$31</f>
        <v>0</v>
      </c>
      <c r="AA1344" s="195">
        <f t="shared" ca="1" si="288"/>
        <v>0</v>
      </c>
      <c r="AB1344" s="195">
        <f t="shared" ca="1" si="289"/>
        <v>0</v>
      </c>
      <c r="AD1344" s="196">
        <f>IFERROR($G1344/SUMIF($A:$A,$A1344,$G:$G)*SUMIF(Summary!$A$166:$A$242,$A1344,Summary!$P$166:$P$242),0)</f>
        <v>0</v>
      </c>
      <c r="AE1344" s="197">
        <f t="shared" ca="1" si="290"/>
        <v>0</v>
      </c>
      <c r="AF1344" s="196">
        <f>IFERROR(G1344/SUMIF(A:A,A1344,G:G)*SUMIF(Summary!$A$166:$A$242,'Operations Support'!A1344,Summary!$Q$166:$Q$242),0)</f>
        <v>0</v>
      </c>
      <c r="AG1344" s="196">
        <f t="shared" ca="1" si="291"/>
        <v>0</v>
      </c>
      <c r="AI1344" s="196">
        <f>IFERROR($G1344/SUMIF($A:$A,$A1344,$G:$G)*SUMIF(Summary!$A$247:$A$283,$A1344,Summary!$P$247:$P$283),0)</f>
        <v>0</v>
      </c>
      <c r="AJ1344" s="196">
        <f>IFERROR($G1344/SUMIF($A:$A,$A1344,$G:$G)*(SUMIF(Summary!$A$247:$A$283,$A1344,Summary!$L$247:$L$283)+SUMIF(Summary!$A$297:$A$333,$A1344,Summary!$L$297:$L$333))-AI1344,0)</f>
        <v>0</v>
      </c>
      <c r="AK1344" s="196">
        <f>IFERROR($G1344/SUMIF($A:$A,$A1344,$G:$G)*SUMIF(Summary!$A$247:$A$283,$A1344,Summary!$Q$247:$Q$283),0)</f>
        <v>0</v>
      </c>
      <c r="AL1344" s="196">
        <f>IFERROR($G1344/SUMIF($A:$A,$A1344,$G:$G)*(SUMIF(Summary!$A$247:$A$283,$A1344,Summary!$L$247:$L$283)+SUMIF(Summary!$A$297:$A$333,$A1344,Summary!$L$297:$L$333))-AK1344,0)</f>
        <v>0</v>
      </c>
      <c r="AM1344" s="198"/>
      <c r="AN1344" s="196">
        <f t="shared" ca="1" si="292"/>
        <v>0</v>
      </c>
      <c r="AO1344" s="196">
        <f t="shared" ca="1" si="293"/>
        <v>0</v>
      </c>
    </row>
    <row r="1345" spans="1:41">
      <c r="A1345" s="189">
        <v>3631</v>
      </c>
      <c r="B1345" s="190">
        <v>4</v>
      </c>
      <c r="C1345" s="191" t="s">
        <v>237</v>
      </c>
      <c r="D1345" s="192">
        <f t="shared" si="280"/>
        <v>0</v>
      </c>
      <c r="E1345" s="192">
        <f t="shared" si="281"/>
        <v>0</v>
      </c>
      <c r="F1345" s="192">
        <f t="shared" si="282"/>
        <v>0</v>
      </c>
      <c r="G1345" s="193">
        <f t="shared" si="283"/>
        <v>0</v>
      </c>
      <c r="H1345" s="194">
        <v>0</v>
      </c>
      <c r="I1345" s="194">
        <v>0</v>
      </c>
      <c r="J1345" s="194">
        <v>0</v>
      </c>
      <c r="K1345" s="193">
        <f t="shared" si="284"/>
        <v>0</v>
      </c>
      <c r="L1345" s="194">
        <v>0</v>
      </c>
      <c r="M1345" s="194">
        <v>0</v>
      </c>
      <c r="N1345" s="194">
        <v>0</v>
      </c>
      <c r="O1345" s="193">
        <f t="shared" si="285"/>
        <v>0</v>
      </c>
      <c r="P1345" s="194">
        <v>0</v>
      </c>
      <c r="Q1345" s="194">
        <v>0</v>
      </c>
      <c r="R1345" s="194">
        <v>0</v>
      </c>
      <c r="S1345" s="193">
        <f t="shared" si="286"/>
        <v>0</v>
      </c>
      <c r="T1345" s="193">
        <f t="shared" si="287"/>
        <v>0</v>
      </c>
      <c r="U1345" s="193">
        <f ca="1">OFFSET('Expenditure Study'!$B$7,'Operations Support'!$C1345,'Operations Support'!$B1345)*$G1345</f>
        <v>0</v>
      </c>
      <c r="V1345" s="199">
        <f ca="1">U1345*'Expenditure Study'!$B$31</f>
        <v>0</v>
      </c>
      <c r="W1345" s="199">
        <f ca="1">IF(A1345=10298,1.51,1)*IF($B1345&lt;3,$D1345*'Expenditure Study'!$B$32*OFFSET('Expenditure Study'!$B$7,'Operations Support'!$C1345,'Operations Support'!$B1345),0)</f>
        <v>0</v>
      </c>
      <c r="X1345" s="200">
        <f ca="1">W1345*'Expenditure Study'!$B$31</f>
        <v>0</v>
      </c>
      <c r="Y1345" s="199">
        <f ca="1">U1345*'Expenditure Study'!$B$31</f>
        <v>0</v>
      </c>
      <c r="Z1345" s="200">
        <f ca="1">W1345*'Expenditure Study'!$B$31</f>
        <v>0</v>
      </c>
      <c r="AA1345" s="195">
        <f t="shared" ca="1" si="288"/>
        <v>0</v>
      </c>
      <c r="AB1345" s="195">
        <f t="shared" ca="1" si="289"/>
        <v>0</v>
      </c>
      <c r="AD1345" s="196">
        <f>IFERROR($G1345/SUMIF($A:$A,$A1345,$G:$G)*SUMIF(Summary!$A$166:$A$242,$A1345,Summary!$P$166:$P$242),0)</f>
        <v>0</v>
      </c>
      <c r="AE1345" s="197">
        <f t="shared" ca="1" si="290"/>
        <v>0</v>
      </c>
      <c r="AF1345" s="196">
        <f>IFERROR(G1345/SUMIF(A:A,A1345,G:G)*SUMIF(Summary!$A$166:$A$242,'Operations Support'!A1345,Summary!$Q$166:$Q$242),0)</f>
        <v>0</v>
      </c>
      <c r="AG1345" s="196">
        <f t="shared" ca="1" si="291"/>
        <v>0</v>
      </c>
      <c r="AI1345" s="196">
        <f>IFERROR($G1345/SUMIF($A:$A,$A1345,$G:$G)*SUMIF(Summary!$A$247:$A$283,$A1345,Summary!$P$247:$P$283),0)</f>
        <v>0</v>
      </c>
      <c r="AJ1345" s="196">
        <f>IFERROR($G1345/SUMIF($A:$A,$A1345,$G:$G)*(SUMIF(Summary!$A$247:$A$283,$A1345,Summary!$L$247:$L$283)+SUMIF(Summary!$A$297:$A$333,$A1345,Summary!$L$297:$L$333))-AI1345,0)</f>
        <v>0</v>
      </c>
      <c r="AK1345" s="196">
        <f>IFERROR($G1345/SUMIF($A:$A,$A1345,$G:$G)*SUMIF(Summary!$A$247:$A$283,$A1345,Summary!$Q$247:$Q$283),0)</f>
        <v>0</v>
      </c>
      <c r="AL1345" s="196">
        <f>IFERROR($G1345/SUMIF($A:$A,$A1345,$G:$G)*(SUMIF(Summary!$A$247:$A$283,$A1345,Summary!$L$247:$L$283)+SUMIF(Summary!$A$297:$A$333,$A1345,Summary!$L$297:$L$333))-AK1345,0)</f>
        <v>0</v>
      </c>
      <c r="AM1345" s="198"/>
      <c r="AN1345" s="196">
        <f t="shared" ca="1" si="292"/>
        <v>0</v>
      </c>
      <c r="AO1345" s="196">
        <f t="shared" ca="1" si="293"/>
        <v>0</v>
      </c>
    </row>
    <row r="1346" spans="1:41">
      <c r="A1346" s="189">
        <v>3631</v>
      </c>
      <c r="B1346" s="190">
        <v>4</v>
      </c>
      <c r="C1346" s="191" t="s">
        <v>238</v>
      </c>
      <c r="D1346" s="192">
        <f t="shared" si="280"/>
        <v>15</v>
      </c>
      <c r="E1346" s="192">
        <f t="shared" si="281"/>
        <v>0</v>
      </c>
      <c r="F1346" s="192">
        <f t="shared" si="282"/>
        <v>0</v>
      </c>
      <c r="G1346" s="193">
        <f t="shared" si="283"/>
        <v>15</v>
      </c>
      <c r="H1346" s="194">
        <v>15</v>
      </c>
      <c r="I1346" s="194">
        <v>0</v>
      </c>
      <c r="J1346" s="194">
        <v>0</v>
      </c>
      <c r="K1346" s="193">
        <f t="shared" si="284"/>
        <v>15</v>
      </c>
      <c r="L1346" s="194">
        <v>0</v>
      </c>
      <c r="M1346" s="194">
        <v>0</v>
      </c>
      <c r="N1346" s="194">
        <v>0</v>
      </c>
      <c r="O1346" s="193">
        <f t="shared" si="285"/>
        <v>0</v>
      </c>
      <c r="P1346" s="194">
        <v>0</v>
      </c>
      <c r="Q1346" s="194">
        <v>0</v>
      </c>
      <c r="R1346" s="194">
        <v>0</v>
      </c>
      <c r="S1346" s="193">
        <f t="shared" si="286"/>
        <v>0</v>
      </c>
      <c r="T1346" s="193">
        <f t="shared" si="287"/>
        <v>0.83333333333333337</v>
      </c>
      <c r="U1346" s="193">
        <f ca="1">OFFSET('Expenditure Study'!$B$7,'Operations Support'!$C1346,'Operations Support'!$B1346)*$G1346</f>
        <v>236.54999999999998</v>
      </c>
      <c r="V1346" s="199">
        <f ca="1">U1346*'Expenditure Study'!$B$31</f>
        <v>13976.126418239999</v>
      </c>
      <c r="W1346" s="199">
        <f ca="1">IF(A1346=10298,1.51,1)*IF($B1346&lt;3,$D1346*'Expenditure Study'!$B$32*OFFSET('Expenditure Study'!$B$7,'Operations Support'!$C1346,'Operations Support'!$B1346),0)</f>
        <v>0</v>
      </c>
      <c r="X1346" s="200">
        <f ca="1">W1346*'Expenditure Study'!$B$31</f>
        <v>0</v>
      </c>
      <c r="Y1346" s="199">
        <f ca="1">U1346*'Expenditure Study'!$B$31</f>
        <v>13976.126418239999</v>
      </c>
      <c r="Z1346" s="200">
        <f ca="1">W1346*'Expenditure Study'!$B$31</f>
        <v>0</v>
      </c>
      <c r="AA1346" s="195">
        <f t="shared" ca="1" si="288"/>
        <v>13976.126418239999</v>
      </c>
      <c r="AB1346" s="195">
        <f t="shared" ca="1" si="289"/>
        <v>13976.126418239999</v>
      </c>
      <c r="AD1346" s="196">
        <f>IFERROR($G1346/SUMIF($A:$A,$A1346,$G:$G)*SUMIF(Summary!$A$166:$A$242,$A1346,Summary!$P$166:$P$242),0)</f>
        <v>314.30416698701833</v>
      </c>
      <c r="AE1346" s="197">
        <f t="shared" ca="1" si="290"/>
        <v>13661.822251252981</v>
      </c>
      <c r="AF1346" s="196">
        <f>IFERROR(G1346/SUMIF(A:A,A1346,G:G)*SUMIF(Summary!$A$166:$A$242,'Operations Support'!A1346,Summary!$Q$166:$Q$242),0)</f>
        <v>314.81042089861762</v>
      </c>
      <c r="AG1346" s="196">
        <f t="shared" ca="1" si="291"/>
        <v>13661.315997341382</v>
      </c>
      <c r="AI1346" s="196">
        <f>IFERROR($G1346/SUMIF($A:$A,$A1346,$G:$G)*SUMIF(Summary!$A$247:$A$283,$A1346,Summary!$P$247:$P$283),0)</f>
        <v>57.321236685374835</v>
      </c>
      <c r="AJ1346" s="196">
        <f>IFERROR($G1346/SUMIF($A:$A,$A1346,$G:$G)*(SUMIF(Summary!$A$247:$A$283,$A1346,Summary!$L$247:$L$283)+SUMIF(Summary!$A$297:$A$333,$A1346,Summary!$L$297:$L$333))-AI1346,0)</f>
        <v>223.05045658704663</v>
      </c>
      <c r="AK1346" s="196">
        <f>IFERROR($G1346/SUMIF($A:$A,$A1346,$G:$G)*SUMIF(Summary!$A$247:$A$283,$A1346,Summary!$Q$247:$Q$283),0)</f>
        <v>57.413564765425008</v>
      </c>
      <c r="AL1346" s="196">
        <f>IFERROR($G1346/SUMIF($A:$A,$A1346,$G:$G)*(SUMIF(Summary!$A$247:$A$283,$A1346,Summary!$L$247:$L$283)+SUMIF(Summary!$A$297:$A$333,$A1346,Summary!$L$297:$L$333))-AK1346,0)</f>
        <v>222.95812850699645</v>
      </c>
      <c r="AM1346" s="198"/>
      <c r="AN1346" s="196">
        <f t="shared" ca="1" si="292"/>
        <v>13884.872707840028</v>
      </c>
      <c r="AO1346" s="196">
        <f t="shared" ca="1" si="293"/>
        <v>13884.274125848378</v>
      </c>
    </row>
    <row r="1347" spans="1:41">
      <c r="A1347" s="189">
        <v>3631</v>
      </c>
      <c r="B1347" s="190">
        <v>4</v>
      </c>
      <c r="C1347" s="191" t="s">
        <v>239</v>
      </c>
      <c r="D1347" s="192">
        <f t="shared" si="280"/>
        <v>0</v>
      </c>
      <c r="E1347" s="192">
        <f t="shared" si="281"/>
        <v>0</v>
      </c>
      <c r="F1347" s="192">
        <f t="shared" si="282"/>
        <v>0</v>
      </c>
      <c r="G1347" s="193">
        <f t="shared" si="283"/>
        <v>0</v>
      </c>
      <c r="H1347" s="194">
        <v>0</v>
      </c>
      <c r="I1347" s="194">
        <v>0</v>
      </c>
      <c r="J1347" s="194">
        <v>0</v>
      </c>
      <c r="K1347" s="193">
        <f t="shared" si="284"/>
        <v>0</v>
      </c>
      <c r="L1347" s="194">
        <v>0</v>
      </c>
      <c r="M1347" s="194">
        <v>0</v>
      </c>
      <c r="N1347" s="194">
        <v>0</v>
      </c>
      <c r="O1347" s="193">
        <f t="shared" si="285"/>
        <v>0</v>
      </c>
      <c r="P1347" s="194">
        <v>0</v>
      </c>
      <c r="Q1347" s="194">
        <v>0</v>
      </c>
      <c r="R1347" s="194">
        <v>0</v>
      </c>
      <c r="S1347" s="193">
        <f t="shared" si="286"/>
        <v>0</v>
      </c>
      <c r="T1347" s="193">
        <f t="shared" si="287"/>
        <v>0</v>
      </c>
      <c r="U1347" s="193">
        <f ca="1">OFFSET('Expenditure Study'!$B$7,'Operations Support'!$C1347,'Operations Support'!$B1347)*$G1347</f>
        <v>0</v>
      </c>
      <c r="V1347" s="199">
        <f ca="1">U1347*'Expenditure Study'!$B$31</f>
        <v>0</v>
      </c>
      <c r="W1347" s="199">
        <f ca="1">IF(A1347=10298,1.51,1)*IF($B1347&lt;3,$D1347*'Expenditure Study'!$B$32*OFFSET('Expenditure Study'!$B$7,'Operations Support'!$C1347,'Operations Support'!$B1347),0)</f>
        <v>0</v>
      </c>
      <c r="X1347" s="200">
        <f ca="1">W1347*'Expenditure Study'!$B$31</f>
        <v>0</v>
      </c>
      <c r="Y1347" s="199">
        <f ca="1">U1347*'Expenditure Study'!$B$31</f>
        <v>0</v>
      </c>
      <c r="Z1347" s="200">
        <f ca="1">W1347*'Expenditure Study'!$B$31</f>
        <v>0</v>
      </c>
      <c r="AA1347" s="195">
        <f t="shared" ca="1" si="288"/>
        <v>0</v>
      </c>
      <c r="AB1347" s="195">
        <f t="shared" ca="1" si="289"/>
        <v>0</v>
      </c>
      <c r="AD1347" s="196">
        <f>IFERROR($G1347/SUMIF($A:$A,$A1347,$G:$G)*SUMIF(Summary!$A$166:$A$242,$A1347,Summary!$P$166:$P$242),0)</f>
        <v>0</v>
      </c>
      <c r="AE1347" s="197">
        <f t="shared" ca="1" si="290"/>
        <v>0</v>
      </c>
      <c r="AF1347" s="196">
        <f>IFERROR(G1347/SUMIF(A:A,A1347,G:G)*SUMIF(Summary!$A$166:$A$242,'Operations Support'!A1347,Summary!$Q$166:$Q$242),0)</f>
        <v>0</v>
      </c>
      <c r="AG1347" s="196">
        <f t="shared" ca="1" si="291"/>
        <v>0</v>
      </c>
      <c r="AI1347" s="196">
        <f>IFERROR($G1347/SUMIF($A:$A,$A1347,$G:$G)*SUMIF(Summary!$A$247:$A$283,$A1347,Summary!$P$247:$P$283),0)</f>
        <v>0</v>
      </c>
      <c r="AJ1347" s="196">
        <f>IFERROR($G1347/SUMIF($A:$A,$A1347,$G:$G)*(SUMIF(Summary!$A$247:$A$283,$A1347,Summary!$L$247:$L$283)+SUMIF(Summary!$A$297:$A$333,$A1347,Summary!$L$297:$L$333))-AI1347,0)</f>
        <v>0</v>
      </c>
      <c r="AK1347" s="196">
        <f>IFERROR($G1347/SUMIF($A:$A,$A1347,$G:$G)*SUMIF(Summary!$A$247:$A$283,$A1347,Summary!$Q$247:$Q$283),0)</f>
        <v>0</v>
      </c>
      <c r="AL1347" s="196">
        <f>IFERROR($G1347/SUMIF($A:$A,$A1347,$G:$G)*(SUMIF(Summary!$A$247:$A$283,$A1347,Summary!$L$247:$L$283)+SUMIF(Summary!$A$297:$A$333,$A1347,Summary!$L$297:$L$333))-AK1347,0)</f>
        <v>0</v>
      </c>
      <c r="AM1347" s="198"/>
      <c r="AN1347" s="196">
        <f t="shared" ca="1" si="292"/>
        <v>0</v>
      </c>
      <c r="AO1347" s="196">
        <f t="shared" ca="1" si="293"/>
        <v>0</v>
      </c>
    </row>
    <row r="1348" spans="1:41">
      <c r="A1348" s="189">
        <v>3631</v>
      </c>
      <c r="B1348" s="190">
        <v>4</v>
      </c>
      <c r="C1348" s="191" t="s">
        <v>240</v>
      </c>
      <c r="D1348" s="192">
        <f t="shared" si="280"/>
        <v>0</v>
      </c>
      <c r="E1348" s="192">
        <f t="shared" si="281"/>
        <v>0</v>
      </c>
      <c r="F1348" s="192">
        <f t="shared" si="282"/>
        <v>0</v>
      </c>
      <c r="G1348" s="193">
        <f t="shared" si="283"/>
        <v>0</v>
      </c>
      <c r="H1348" s="194">
        <v>0</v>
      </c>
      <c r="I1348" s="194">
        <v>0</v>
      </c>
      <c r="J1348" s="194">
        <v>0</v>
      </c>
      <c r="K1348" s="193">
        <f t="shared" si="284"/>
        <v>0</v>
      </c>
      <c r="L1348" s="194">
        <v>0</v>
      </c>
      <c r="M1348" s="194">
        <v>0</v>
      </c>
      <c r="N1348" s="194">
        <v>0</v>
      </c>
      <c r="O1348" s="193">
        <f t="shared" si="285"/>
        <v>0</v>
      </c>
      <c r="P1348" s="194">
        <v>0</v>
      </c>
      <c r="Q1348" s="194">
        <v>0</v>
      </c>
      <c r="R1348" s="194">
        <v>0</v>
      </c>
      <c r="S1348" s="193">
        <f t="shared" si="286"/>
        <v>0</v>
      </c>
      <c r="T1348" s="193">
        <f t="shared" si="287"/>
        <v>0</v>
      </c>
      <c r="U1348" s="193">
        <f ca="1">OFFSET('Expenditure Study'!$B$7,'Operations Support'!$C1348,'Operations Support'!$B1348)*$G1348</f>
        <v>0</v>
      </c>
      <c r="V1348" s="199">
        <f ca="1">U1348*'Expenditure Study'!$B$31</f>
        <v>0</v>
      </c>
      <c r="W1348" s="199">
        <f ca="1">IF(A1348=10298,1.51,1)*IF($B1348&lt;3,$D1348*'Expenditure Study'!$B$32*OFFSET('Expenditure Study'!$B$7,'Operations Support'!$C1348,'Operations Support'!$B1348),0)</f>
        <v>0</v>
      </c>
      <c r="X1348" s="200">
        <f ca="1">W1348*'Expenditure Study'!$B$31</f>
        <v>0</v>
      </c>
      <c r="Y1348" s="199">
        <f ca="1">U1348*'Expenditure Study'!$B$31</f>
        <v>0</v>
      </c>
      <c r="Z1348" s="200">
        <f ca="1">W1348*'Expenditure Study'!$B$31</f>
        <v>0</v>
      </c>
      <c r="AA1348" s="195">
        <f t="shared" ca="1" si="288"/>
        <v>0</v>
      </c>
      <c r="AB1348" s="195">
        <f t="shared" ca="1" si="289"/>
        <v>0</v>
      </c>
      <c r="AD1348" s="196">
        <f>IFERROR($G1348/SUMIF($A:$A,$A1348,$G:$G)*SUMIF(Summary!$A$166:$A$242,$A1348,Summary!$P$166:$P$242),0)</f>
        <v>0</v>
      </c>
      <c r="AE1348" s="197">
        <f t="shared" ca="1" si="290"/>
        <v>0</v>
      </c>
      <c r="AF1348" s="196">
        <f>IFERROR(G1348/SUMIF(A:A,A1348,G:G)*SUMIF(Summary!$A$166:$A$242,'Operations Support'!A1348,Summary!$Q$166:$Q$242),0)</f>
        <v>0</v>
      </c>
      <c r="AG1348" s="196">
        <f t="shared" ca="1" si="291"/>
        <v>0</v>
      </c>
      <c r="AI1348" s="196">
        <f>IFERROR($G1348/SUMIF($A:$A,$A1348,$G:$G)*SUMIF(Summary!$A$247:$A$283,$A1348,Summary!$P$247:$P$283),0)</f>
        <v>0</v>
      </c>
      <c r="AJ1348" s="196">
        <f>IFERROR($G1348/SUMIF($A:$A,$A1348,$G:$G)*(SUMIF(Summary!$A$247:$A$283,$A1348,Summary!$L$247:$L$283)+SUMIF(Summary!$A$297:$A$333,$A1348,Summary!$L$297:$L$333))-AI1348,0)</f>
        <v>0</v>
      </c>
      <c r="AK1348" s="196">
        <f>IFERROR($G1348/SUMIF($A:$A,$A1348,$G:$G)*SUMIF(Summary!$A$247:$A$283,$A1348,Summary!$Q$247:$Q$283),0)</f>
        <v>0</v>
      </c>
      <c r="AL1348" s="196">
        <f>IFERROR($G1348/SUMIF($A:$A,$A1348,$G:$G)*(SUMIF(Summary!$A$247:$A$283,$A1348,Summary!$L$247:$L$283)+SUMIF(Summary!$A$297:$A$333,$A1348,Summary!$L$297:$L$333))-AK1348,0)</f>
        <v>0</v>
      </c>
      <c r="AM1348" s="198"/>
      <c r="AN1348" s="196">
        <f t="shared" ca="1" si="292"/>
        <v>0</v>
      </c>
      <c r="AO1348" s="196">
        <f t="shared" ca="1" si="293"/>
        <v>0</v>
      </c>
    </row>
    <row r="1349" spans="1:41">
      <c r="A1349" s="189">
        <v>3631</v>
      </c>
      <c r="B1349" s="190">
        <v>5</v>
      </c>
      <c r="C1349" s="191" t="s">
        <v>220</v>
      </c>
      <c r="D1349" s="192">
        <f t="shared" ref="D1349:D1412" si="294">H1349+L1349+P1349</f>
        <v>0</v>
      </c>
      <c r="E1349" s="192">
        <f t="shared" ref="E1349:E1412" si="295">I1349+M1349+Q1349</f>
        <v>0</v>
      </c>
      <c r="F1349" s="192">
        <f t="shared" ref="F1349:F1412" si="296">J1349+N1349+R1349</f>
        <v>0</v>
      </c>
      <c r="G1349" s="193">
        <f t="shared" ref="G1349:G1412" si="297">(SUM(D1349:E1349)-F1349)*IF(A1349=10298,1.51,1)</f>
        <v>0</v>
      </c>
      <c r="H1349" s="194">
        <v>0</v>
      </c>
      <c r="I1349" s="194">
        <v>0</v>
      </c>
      <c r="J1349" s="194">
        <v>0</v>
      </c>
      <c r="K1349" s="193">
        <f t="shared" ref="K1349:K1412" si="298">SUM(H1349:I1349)-J1349</f>
        <v>0</v>
      </c>
      <c r="L1349" s="194">
        <v>0</v>
      </c>
      <c r="M1349" s="194">
        <v>0</v>
      </c>
      <c r="N1349" s="194">
        <v>0</v>
      </c>
      <c r="O1349" s="193">
        <f t="shared" ref="O1349:O1412" si="299">SUM(L1349:M1349)-N1349</f>
        <v>0</v>
      </c>
      <c r="P1349" s="194">
        <v>0</v>
      </c>
      <c r="Q1349" s="194">
        <v>0</v>
      </c>
      <c r="R1349" s="194">
        <v>0</v>
      </c>
      <c r="S1349" s="193">
        <f t="shared" ref="S1349:S1412" si="300">SUM(P1349:Q1349)-R1349</f>
        <v>0</v>
      </c>
      <c r="T1349" s="193">
        <f t="shared" ref="T1349:T1412" si="301">IF(OR(B1349=1,B1349=2),G1349/30,IF(OR(B1349=3,B1349=5),G1349/24,IF(B1349=4,G1349/18,0)))</f>
        <v>0</v>
      </c>
      <c r="U1349" s="193">
        <f ca="1">OFFSET('Expenditure Study'!$B$7,'Operations Support'!$C1349,'Operations Support'!$B1349)*$G1349</f>
        <v>0</v>
      </c>
      <c r="V1349" s="199">
        <f ca="1">U1349*'Expenditure Study'!$B$31</f>
        <v>0</v>
      </c>
      <c r="W1349" s="199">
        <f ca="1">IF(A1349=10298,1.51,1)*IF($B1349&lt;3,$D1349*'Expenditure Study'!$B$32*OFFSET('Expenditure Study'!$B$7,'Operations Support'!$C1349,'Operations Support'!$B1349),0)</f>
        <v>0</v>
      </c>
      <c r="X1349" s="200">
        <f ca="1">W1349*'Expenditure Study'!$B$31</f>
        <v>0</v>
      </c>
      <c r="Y1349" s="199">
        <f ca="1">U1349*'Expenditure Study'!$B$31</f>
        <v>0</v>
      </c>
      <c r="Z1349" s="200">
        <f ca="1">W1349*'Expenditure Study'!$B$31</f>
        <v>0</v>
      </c>
      <c r="AA1349" s="195">
        <f t="shared" ref="AA1349:AA1412" ca="1" si="302">V1349+X1349</f>
        <v>0</v>
      </c>
      <c r="AB1349" s="195">
        <f t="shared" ref="AB1349:AB1412" ca="1" si="303">Y1349+Z1349</f>
        <v>0</v>
      </c>
      <c r="AD1349" s="196">
        <f>IFERROR($G1349/SUMIF($A:$A,$A1349,$G:$G)*SUMIF(Summary!$A$166:$A$242,$A1349,Summary!$P$166:$P$242),0)</f>
        <v>0</v>
      </c>
      <c r="AE1349" s="197">
        <f t="shared" ca="1" si="290"/>
        <v>0</v>
      </c>
      <c r="AF1349" s="196">
        <f>IFERROR(G1349/SUMIF(A:A,A1349,G:G)*SUMIF(Summary!$A$166:$A$242,'Operations Support'!A1349,Summary!$Q$166:$Q$242),0)</f>
        <v>0</v>
      </c>
      <c r="AG1349" s="196">
        <f t="shared" ca="1" si="291"/>
        <v>0</v>
      </c>
      <c r="AI1349" s="196">
        <f>IFERROR($G1349/SUMIF($A:$A,$A1349,$G:$G)*SUMIF(Summary!$A$247:$A$283,$A1349,Summary!$P$247:$P$283),0)</f>
        <v>0</v>
      </c>
      <c r="AJ1349" s="196">
        <f>IFERROR($G1349/SUMIF($A:$A,$A1349,$G:$G)*(SUMIF(Summary!$A$247:$A$283,$A1349,Summary!$L$247:$L$283)+SUMIF(Summary!$A$297:$A$333,$A1349,Summary!$L$297:$L$333))-AI1349,0)</f>
        <v>0</v>
      </c>
      <c r="AK1349" s="196">
        <f>IFERROR($G1349/SUMIF($A:$A,$A1349,$G:$G)*SUMIF(Summary!$A$247:$A$283,$A1349,Summary!$Q$247:$Q$283),0)</f>
        <v>0</v>
      </c>
      <c r="AL1349" s="196">
        <f>IFERROR($G1349/SUMIF($A:$A,$A1349,$G:$G)*(SUMIF(Summary!$A$247:$A$283,$A1349,Summary!$L$247:$L$283)+SUMIF(Summary!$A$297:$A$333,$A1349,Summary!$L$297:$L$333))-AK1349,0)</f>
        <v>0</v>
      </c>
      <c r="AM1349" s="198"/>
      <c r="AN1349" s="196">
        <f t="shared" ca="1" si="292"/>
        <v>0</v>
      </c>
      <c r="AO1349" s="196">
        <f t="shared" ca="1" si="293"/>
        <v>0</v>
      </c>
    </row>
    <row r="1350" spans="1:41">
      <c r="A1350" s="189">
        <v>3631</v>
      </c>
      <c r="B1350" s="190">
        <v>5</v>
      </c>
      <c r="C1350" s="191" t="s">
        <v>221</v>
      </c>
      <c r="D1350" s="192">
        <f t="shared" si="294"/>
        <v>0</v>
      </c>
      <c r="E1350" s="192">
        <f t="shared" si="295"/>
        <v>0</v>
      </c>
      <c r="F1350" s="192">
        <f t="shared" si="296"/>
        <v>0</v>
      </c>
      <c r="G1350" s="193">
        <f t="shared" si="297"/>
        <v>0</v>
      </c>
      <c r="H1350" s="194">
        <v>0</v>
      </c>
      <c r="I1350" s="194">
        <v>0</v>
      </c>
      <c r="J1350" s="194">
        <v>0</v>
      </c>
      <c r="K1350" s="193">
        <f t="shared" si="298"/>
        <v>0</v>
      </c>
      <c r="L1350" s="194">
        <v>0</v>
      </c>
      <c r="M1350" s="194">
        <v>0</v>
      </c>
      <c r="N1350" s="194">
        <v>0</v>
      </c>
      <c r="O1350" s="193">
        <f t="shared" si="299"/>
        <v>0</v>
      </c>
      <c r="P1350" s="194">
        <v>0</v>
      </c>
      <c r="Q1350" s="194">
        <v>0</v>
      </c>
      <c r="R1350" s="194">
        <v>0</v>
      </c>
      <c r="S1350" s="193">
        <f t="shared" si="300"/>
        <v>0</v>
      </c>
      <c r="T1350" s="193">
        <f t="shared" si="301"/>
        <v>0</v>
      </c>
      <c r="U1350" s="193">
        <f ca="1">OFFSET('Expenditure Study'!$B$7,'Operations Support'!$C1350,'Operations Support'!$B1350)*$G1350</f>
        <v>0</v>
      </c>
      <c r="V1350" s="199">
        <f ca="1">U1350*'Expenditure Study'!$B$31</f>
        <v>0</v>
      </c>
      <c r="W1350" s="199">
        <f ca="1">IF(A1350=10298,1.51,1)*IF($B1350&lt;3,$D1350*'Expenditure Study'!$B$32*OFFSET('Expenditure Study'!$B$7,'Operations Support'!$C1350,'Operations Support'!$B1350),0)</f>
        <v>0</v>
      </c>
      <c r="X1350" s="200">
        <f ca="1">W1350*'Expenditure Study'!$B$31</f>
        <v>0</v>
      </c>
      <c r="Y1350" s="199">
        <f ca="1">U1350*'Expenditure Study'!$B$31</f>
        <v>0</v>
      </c>
      <c r="Z1350" s="200">
        <f ca="1">W1350*'Expenditure Study'!$B$31</f>
        <v>0</v>
      </c>
      <c r="AA1350" s="195">
        <f t="shared" ca="1" si="302"/>
        <v>0</v>
      </c>
      <c r="AB1350" s="195">
        <f t="shared" ca="1" si="303"/>
        <v>0</v>
      </c>
      <c r="AD1350" s="196">
        <f>IFERROR($G1350/SUMIF($A:$A,$A1350,$G:$G)*SUMIF(Summary!$A$166:$A$242,$A1350,Summary!$P$166:$P$242),0)</f>
        <v>0</v>
      </c>
      <c r="AE1350" s="197">
        <f t="shared" ref="AE1350:AE1413" ca="1" si="304">V1350+X1350-AD1350</f>
        <v>0</v>
      </c>
      <c r="AF1350" s="196">
        <f>IFERROR(G1350/SUMIF(A:A,A1350,G:G)*SUMIF(Summary!$A$166:$A$242,'Operations Support'!A1350,Summary!$Q$166:$Q$242),0)</f>
        <v>0</v>
      </c>
      <c r="AG1350" s="196">
        <f t="shared" ref="AG1350:AG1413" ca="1" si="305">Y1350+Z1350-AF1350</f>
        <v>0</v>
      </c>
      <c r="AI1350" s="196">
        <f>IFERROR($G1350/SUMIF($A:$A,$A1350,$G:$G)*SUMIF(Summary!$A$247:$A$283,$A1350,Summary!$P$247:$P$283),0)</f>
        <v>0</v>
      </c>
      <c r="AJ1350" s="196">
        <f>IFERROR($G1350/SUMIF($A:$A,$A1350,$G:$G)*(SUMIF(Summary!$A$247:$A$283,$A1350,Summary!$L$247:$L$283)+SUMIF(Summary!$A$297:$A$333,$A1350,Summary!$L$297:$L$333))-AI1350,0)</f>
        <v>0</v>
      </c>
      <c r="AK1350" s="196">
        <f>IFERROR($G1350/SUMIF($A:$A,$A1350,$G:$G)*SUMIF(Summary!$A$247:$A$283,$A1350,Summary!$Q$247:$Q$283),0)</f>
        <v>0</v>
      </c>
      <c r="AL1350" s="196">
        <f>IFERROR($G1350/SUMIF($A:$A,$A1350,$G:$G)*(SUMIF(Summary!$A$247:$A$283,$A1350,Summary!$L$247:$L$283)+SUMIF(Summary!$A$297:$A$333,$A1350,Summary!$L$297:$L$333))-AK1350,0)</f>
        <v>0</v>
      </c>
      <c r="AM1350" s="198"/>
      <c r="AN1350" s="196">
        <f t="shared" ref="AN1350:AN1413" ca="1" si="306">AE1350+AJ1350</f>
        <v>0</v>
      </c>
      <c r="AO1350" s="196">
        <f t="shared" ref="AO1350:AO1413" ca="1" si="307">AG1350+AL1350</f>
        <v>0</v>
      </c>
    </row>
    <row r="1351" spans="1:41">
      <c r="A1351" s="189">
        <v>3631</v>
      </c>
      <c r="B1351" s="190">
        <v>5</v>
      </c>
      <c r="C1351" s="191" t="s">
        <v>222</v>
      </c>
      <c r="D1351" s="192">
        <f t="shared" si="294"/>
        <v>0</v>
      </c>
      <c r="E1351" s="192">
        <f t="shared" si="295"/>
        <v>0</v>
      </c>
      <c r="F1351" s="192">
        <f t="shared" si="296"/>
        <v>0</v>
      </c>
      <c r="G1351" s="193">
        <f t="shared" si="297"/>
        <v>0</v>
      </c>
      <c r="H1351" s="194">
        <v>0</v>
      </c>
      <c r="I1351" s="194">
        <v>0</v>
      </c>
      <c r="J1351" s="194">
        <v>0</v>
      </c>
      <c r="K1351" s="193">
        <f t="shared" si="298"/>
        <v>0</v>
      </c>
      <c r="L1351" s="194">
        <v>0</v>
      </c>
      <c r="M1351" s="194">
        <v>0</v>
      </c>
      <c r="N1351" s="194">
        <v>0</v>
      </c>
      <c r="O1351" s="193">
        <f t="shared" si="299"/>
        <v>0</v>
      </c>
      <c r="P1351" s="194">
        <v>0</v>
      </c>
      <c r="Q1351" s="194">
        <v>0</v>
      </c>
      <c r="R1351" s="194">
        <v>0</v>
      </c>
      <c r="S1351" s="193">
        <f t="shared" si="300"/>
        <v>0</v>
      </c>
      <c r="T1351" s="193">
        <f t="shared" si="301"/>
        <v>0</v>
      </c>
      <c r="U1351" s="193">
        <f ca="1">OFFSET('Expenditure Study'!$B$7,'Operations Support'!$C1351,'Operations Support'!$B1351)*$G1351</f>
        <v>0</v>
      </c>
      <c r="V1351" s="199">
        <f ca="1">U1351*'Expenditure Study'!$B$31</f>
        <v>0</v>
      </c>
      <c r="W1351" s="199">
        <f ca="1">IF(A1351=10298,1.51,1)*IF($B1351&lt;3,$D1351*'Expenditure Study'!$B$32*OFFSET('Expenditure Study'!$B$7,'Operations Support'!$C1351,'Operations Support'!$B1351),0)</f>
        <v>0</v>
      </c>
      <c r="X1351" s="200">
        <f ca="1">W1351*'Expenditure Study'!$B$31</f>
        <v>0</v>
      </c>
      <c r="Y1351" s="199">
        <f ca="1">U1351*'Expenditure Study'!$B$31</f>
        <v>0</v>
      </c>
      <c r="Z1351" s="200">
        <f ca="1">W1351*'Expenditure Study'!$B$31</f>
        <v>0</v>
      </c>
      <c r="AA1351" s="195">
        <f t="shared" ca="1" si="302"/>
        <v>0</v>
      </c>
      <c r="AB1351" s="195">
        <f t="shared" ca="1" si="303"/>
        <v>0</v>
      </c>
      <c r="AD1351" s="196">
        <f>IFERROR($G1351/SUMIF($A:$A,$A1351,$G:$G)*SUMIF(Summary!$A$166:$A$242,$A1351,Summary!$P$166:$P$242),0)</f>
        <v>0</v>
      </c>
      <c r="AE1351" s="197">
        <f t="shared" ca="1" si="304"/>
        <v>0</v>
      </c>
      <c r="AF1351" s="196">
        <f>IFERROR(G1351/SUMIF(A:A,A1351,G:G)*SUMIF(Summary!$A$166:$A$242,'Operations Support'!A1351,Summary!$Q$166:$Q$242),0)</f>
        <v>0</v>
      </c>
      <c r="AG1351" s="196">
        <f t="shared" ca="1" si="305"/>
        <v>0</v>
      </c>
      <c r="AI1351" s="196">
        <f>IFERROR($G1351/SUMIF($A:$A,$A1351,$G:$G)*SUMIF(Summary!$A$247:$A$283,$A1351,Summary!$P$247:$P$283),0)</f>
        <v>0</v>
      </c>
      <c r="AJ1351" s="196">
        <f>IFERROR($G1351/SUMIF($A:$A,$A1351,$G:$G)*(SUMIF(Summary!$A$247:$A$283,$A1351,Summary!$L$247:$L$283)+SUMIF(Summary!$A$297:$A$333,$A1351,Summary!$L$297:$L$333))-AI1351,0)</f>
        <v>0</v>
      </c>
      <c r="AK1351" s="196">
        <f>IFERROR($G1351/SUMIF($A:$A,$A1351,$G:$G)*SUMIF(Summary!$A$247:$A$283,$A1351,Summary!$Q$247:$Q$283),0)</f>
        <v>0</v>
      </c>
      <c r="AL1351" s="196">
        <f>IFERROR($G1351/SUMIF($A:$A,$A1351,$G:$G)*(SUMIF(Summary!$A$247:$A$283,$A1351,Summary!$L$247:$L$283)+SUMIF(Summary!$A$297:$A$333,$A1351,Summary!$L$297:$L$333))-AK1351,0)</f>
        <v>0</v>
      </c>
      <c r="AM1351" s="198"/>
      <c r="AN1351" s="196">
        <f t="shared" ca="1" si="306"/>
        <v>0</v>
      </c>
      <c r="AO1351" s="196">
        <f t="shared" ca="1" si="307"/>
        <v>0</v>
      </c>
    </row>
    <row r="1352" spans="1:41">
      <c r="A1352" s="189">
        <v>3631</v>
      </c>
      <c r="B1352" s="190">
        <v>5</v>
      </c>
      <c r="C1352" s="191" t="s">
        <v>223</v>
      </c>
      <c r="D1352" s="192">
        <f t="shared" si="294"/>
        <v>0</v>
      </c>
      <c r="E1352" s="192">
        <f t="shared" si="295"/>
        <v>0</v>
      </c>
      <c r="F1352" s="192">
        <f t="shared" si="296"/>
        <v>0</v>
      </c>
      <c r="G1352" s="193">
        <f t="shared" si="297"/>
        <v>0</v>
      </c>
      <c r="H1352" s="194">
        <v>0</v>
      </c>
      <c r="I1352" s="194">
        <v>0</v>
      </c>
      <c r="J1352" s="194">
        <v>0</v>
      </c>
      <c r="K1352" s="193">
        <f t="shared" si="298"/>
        <v>0</v>
      </c>
      <c r="L1352" s="194">
        <v>0</v>
      </c>
      <c r="M1352" s="194">
        <v>0</v>
      </c>
      <c r="N1352" s="194">
        <v>0</v>
      </c>
      <c r="O1352" s="193">
        <f t="shared" si="299"/>
        <v>0</v>
      </c>
      <c r="P1352" s="194">
        <v>0</v>
      </c>
      <c r="Q1352" s="194">
        <v>0</v>
      </c>
      <c r="R1352" s="194">
        <v>0</v>
      </c>
      <c r="S1352" s="193">
        <f t="shared" si="300"/>
        <v>0</v>
      </c>
      <c r="T1352" s="193">
        <f t="shared" si="301"/>
        <v>0</v>
      </c>
      <c r="U1352" s="193">
        <f ca="1">OFFSET('Expenditure Study'!$B$7,'Operations Support'!$C1352,'Operations Support'!$B1352)*$G1352</f>
        <v>0</v>
      </c>
      <c r="V1352" s="199">
        <f ca="1">U1352*'Expenditure Study'!$B$31</f>
        <v>0</v>
      </c>
      <c r="W1352" s="199">
        <f ca="1">IF(A1352=10298,1.51,1)*IF($B1352&lt;3,$D1352*'Expenditure Study'!$B$32*OFFSET('Expenditure Study'!$B$7,'Operations Support'!$C1352,'Operations Support'!$B1352),0)</f>
        <v>0</v>
      </c>
      <c r="X1352" s="200">
        <f ca="1">W1352*'Expenditure Study'!$B$31</f>
        <v>0</v>
      </c>
      <c r="Y1352" s="199">
        <f ca="1">U1352*'Expenditure Study'!$B$31</f>
        <v>0</v>
      </c>
      <c r="Z1352" s="200">
        <f ca="1">W1352*'Expenditure Study'!$B$31</f>
        <v>0</v>
      </c>
      <c r="AA1352" s="195">
        <f t="shared" ca="1" si="302"/>
        <v>0</v>
      </c>
      <c r="AB1352" s="195">
        <f t="shared" ca="1" si="303"/>
        <v>0</v>
      </c>
      <c r="AD1352" s="196">
        <f>IFERROR($G1352/SUMIF($A:$A,$A1352,$G:$G)*SUMIF(Summary!$A$166:$A$242,$A1352,Summary!$P$166:$P$242),0)</f>
        <v>0</v>
      </c>
      <c r="AE1352" s="197">
        <f t="shared" ca="1" si="304"/>
        <v>0</v>
      </c>
      <c r="AF1352" s="196">
        <f>IFERROR(G1352/SUMIF(A:A,A1352,G:G)*SUMIF(Summary!$A$166:$A$242,'Operations Support'!A1352,Summary!$Q$166:$Q$242),0)</f>
        <v>0</v>
      </c>
      <c r="AG1352" s="196">
        <f t="shared" ca="1" si="305"/>
        <v>0</v>
      </c>
      <c r="AI1352" s="196">
        <f>IFERROR($G1352/SUMIF($A:$A,$A1352,$G:$G)*SUMIF(Summary!$A$247:$A$283,$A1352,Summary!$P$247:$P$283),0)</f>
        <v>0</v>
      </c>
      <c r="AJ1352" s="196">
        <f>IFERROR($G1352/SUMIF($A:$A,$A1352,$G:$G)*(SUMIF(Summary!$A$247:$A$283,$A1352,Summary!$L$247:$L$283)+SUMIF(Summary!$A$297:$A$333,$A1352,Summary!$L$297:$L$333))-AI1352,0)</f>
        <v>0</v>
      </c>
      <c r="AK1352" s="196">
        <f>IFERROR($G1352/SUMIF($A:$A,$A1352,$G:$G)*SUMIF(Summary!$A$247:$A$283,$A1352,Summary!$Q$247:$Q$283),0)</f>
        <v>0</v>
      </c>
      <c r="AL1352" s="196">
        <f>IFERROR($G1352/SUMIF($A:$A,$A1352,$G:$G)*(SUMIF(Summary!$A$247:$A$283,$A1352,Summary!$L$247:$L$283)+SUMIF(Summary!$A$297:$A$333,$A1352,Summary!$L$297:$L$333))-AK1352,0)</f>
        <v>0</v>
      </c>
      <c r="AM1352" s="198"/>
      <c r="AN1352" s="196">
        <f t="shared" ca="1" si="306"/>
        <v>0</v>
      </c>
      <c r="AO1352" s="196">
        <f t="shared" ca="1" si="307"/>
        <v>0</v>
      </c>
    </row>
    <row r="1353" spans="1:41">
      <c r="A1353" s="189">
        <v>3631</v>
      </c>
      <c r="B1353" s="190">
        <v>5</v>
      </c>
      <c r="C1353" s="191" t="s">
        <v>224</v>
      </c>
      <c r="D1353" s="192">
        <f t="shared" si="294"/>
        <v>0</v>
      </c>
      <c r="E1353" s="192">
        <f t="shared" si="295"/>
        <v>0</v>
      </c>
      <c r="F1353" s="192">
        <f t="shared" si="296"/>
        <v>0</v>
      </c>
      <c r="G1353" s="193">
        <f t="shared" si="297"/>
        <v>0</v>
      </c>
      <c r="H1353" s="194">
        <v>0</v>
      </c>
      <c r="I1353" s="194">
        <v>0</v>
      </c>
      <c r="J1353" s="194">
        <v>0</v>
      </c>
      <c r="K1353" s="193">
        <f t="shared" si="298"/>
        <v>0</v>
      </c>
      <c r="L1353" s="194">
        <v>0</v>
      </c>
      <c r="M1353" s="194">
        <v>0</v>
      </c>
      <c r="N1353" s="194">
        <v>0</v>
      </c>
      <c r="O1353" s="193">
        <f t="shared" si="299"/>
        <v>0</v>
      </c>
      <c r="P1353" s="194">
        <v>0</v>
      </c>
      <c r="Q1353" s="194">
        <v>0</v>
      </c>
      <c r="R1353" s="194">
        <v>0</v>
      </c>
      <c r="S1353" s="193">
        <f t="shared" si="300"/>
        <v>0</v>
      </c>
      <c r="T1353" s="193">
        <f t="shared" si="301"/>
        <v>0</v>
      </c>
      <c r="U1353" s="193">
        <f ca="1">OFFSET('Expenditure Study'!$B$7,'Operations Support'!$C1353,'Operations Support'!$B1353)*$G1353</f>
        <v>0</v>
      </c>
      <c r="V1353" s="199">
        <f ca="1">U1353*'Expenditure Study'!$B$31</f>
        <v>0</v>
      </c>
      <c r="W1353" s="199">
        <f ca="1">IF(A1353=10298,1.51,1)*IF($B1353&lt;3,$D1353*'Expenditure Study'!$B$32*OFFSET('Expenditure Study'!$B$7,'Operations Support'!$C1353,'Operations Support'!$B1353),0)</f>
        <v>0</v>
      </c>
      <c r="X1353" s="200">
        <f ca="1">W1353*'Expenditure Study'!$B$31</f>
        <v>0</v>
      </c>
      <c r="Y1353" s="199">
        <f ca="1">U1353*'Expenditure Study'!$B$31</f>
        <v>0</v>
      </c>
      <c r="Z1353" s="200">
        <f ca="1">W1353*'Expenditure Study'!$B$31</f>
        <v>0</v>
      </c>
      <c r="AA1353" s="195">
        <f t="shared" ca="1" si="302"/>
        <v>0</v>
      </c>
      <c r="AB1353" s="195">
        <f t="shared" ca="1" si="303"/>
        <v>0</v>
      </c>
      <c r="AD1353" s="196">
        <f>IFERROR($G1353/SUMIF($A:$A,$A1353,$G:$G)*SUMIF(Summary!$A$166:$A$242,$A1353,Summary!$P$166:$P$242),0)</f>
        <v>0</v>
      </c>
      <c r="AE1353" s="197">
        <f t="shared" ca="1" si="304"/>
        <v>0</v>
      </c>
      <c r="AF1353" s="196">
        <f>IFERROR(G1353/SUMIF(A:A,A1353,G:G)*SUMIF(Summary!$A$166:$A$242,'Operations Support'!A1353,Summary!$Q$166:$Q$242),0)</f>
        <v>0</v>
      </c>
      <c r="AG1353" s="196">
        <f t="shared" ca="1" si="305"/>
        <v>0</v>
      </c>
      <c r="AI1353" s="196">
        <f>IFERROR($G1353/SUMIF($A:$A,$A1353,$G:$G)*SUMIF(Summary!$A$247:$A$283,$A1353,Summary!$P$247:$P$283),0)</f>
        <v>0</v>
      </c>
      <c r="AJ1353" s="196">
        <f>IFERROR($G1353/SUMIF($A:$A,$A1353,$G:$G)*(SUMIF(Summary!$A$247:$A$283,$A1353,Summary!$L$247:$L$283)+SUMIF(Summary!$A$297:$A$333,$A1353,Summary!$L$297:$L$333))-AI1353,0)</f>
        <v>0</v>
      </c>
      <c r="AK1353" s="196">
        <f>IFERROR($G1353/SUMIF($A:$A,$A1353,$G:$G)*SUMIF(Summary!$A$247:$A$283,$A1353,Summary!$Q$247:$Q$283),0)</f>
        <v>0</v>
      </c>
      <c r="AL1353" s="196">
        <f>IFERROR($G1353/SUMIF($A:$A,$A1353,$G:$G)*(SUMIF(Summary!$A$247:$A$283,$A1353,Summary!$L$247:$L$283)+SUMIF(Summary!$A$297:$A$333,$A1353,Summary!$L$297:$L$333))-AK1353,0)</f>
        <v>0</v>
      </c>
      <c r="AM1353" s="198"/>
      <c r="AN1353" s="196">
        <f t="shared" ca="1" si="306"/>
        <v>0</v>
      </c>
      <c r="AO1353" s="196">
        <f t="shared" ca="1" si="307"/>
        <v>0</v>
      </c>
    </row>
    <row r="1354" spans="1:41">
      <c r="A1354" s="189">
        <v>3631</v>
      </c>
      <c r="B1354" s="190">
        <v>5</v>
      </c>
      <c r="C1354" s="191" t="s">
        <v>225</v>
      </c>
      <c r="D1354" s="192">
        <f t="shared" si="294"/>
        <v>0</v>
      </c>
      <c r="E1354" s="192">
        <f t="shared" si="295"/>
        <v>0</v>
      </c>
      <c r="F1354" s="192">
        <f t="shared" si="296"/>
        <v>0</v>
      </c>
      <c r="G1354" s="193">
        <f t="shared" si="297"/>
        <v>0</v>
      </c>
      <c r="H1354" s="194">
        <v>0</v>
      </c>
      <c r="I1354" s="194">
        <v>0</v>
      </c>
      <c r="J1354" s="194">
        <v>0</v>
      </c>
      <c r="K1354" s="193">
        <f t="shared" si="298"/>
        <v>0</v>
      </c>
      <c r="L1354" s="194">
        <v>0</v>
      </c>
      <c r="M1354" s="194">
        <v>0</v>
      </c>
      <c r="N1354" s="194">
        <v>0</v>
      </c>
      <c r="O1354" s="193">
        <f t="shared" si="299"/>
        <v>0</v>
      </c>
      <c r="P1354" s="194">
        <v>0</v>
      </c>
      <c r="Q1354" s="194">
        <v>0</v>
      </c>
      <c r="R1354" s="194">
        <v>0</v>
      </c>
      <c r="S1354" s="193">
        <f t="shared" si="300"/>
        <v>0</v>
      </c>
      <c r="T1354" s="193">
        <f t="shared" si="301"/>
        <v>0</v>
      </c>
      <c r="U1354" s="193">
        <f ca="1">OFFSET('Expenditure Study'!$B$7,'Operations Support'!$C1354,'Operations Support'!$B1354)*$G1354</f>
        <v>0</v>
      </c>
      <c r="V1354" s="199">
        <f ca="1">U1354*'Expenditure Study'!$B$31</f>
        <v>0</v>
      </c>
      <c r="W1354" s="199">
        <f ca="1">IF(A1354=10298,1.51,1)*IF($B1354&lt;3,$D1354*'Expenditure Study'!$B$32*OFFSET('Expenditure Study'!$B$7,'Operations Support'!$C1354,'Operations Support'!$B1354),0)</f>
        <v>0</v>
      </c>
      <c r="X1354" s="200">
        <f ca="1">W1354*'Expenditure Study'!$B$31</f>
        <v>0</v>
      </c>
      <c r="Y1354" s="199">
        <f ca="1">U1354*'Expenditure Study'!$B$31</f>
        <v>0</v>
      </c>
      <c r="Z1354" s="200">
        <f ca="1">W1354*'Expenditure Study'!$B$31</f>
        <v>0</v>
      </c>
      <c r="AA1354" s="195">
        <f t="shared" ca="1" si="302"/>
        <v>0</v>
      </c>
      <c r="AB1354" s="195">
        <f t="shared" ca="1" si="303"/>
        <v>0</v>
      </c>
      <c r="AD1354" s="196">
        <f>IFERROR($G1354/SUMIF($A:$A,$A1354,$G:$G)*SUMIF(Summary!$A$166:$A$242,$A1354,Summary!$P$166:$P$242),0)</f>
        <v>0</v>
      </c>
      <c r="AE1354" s="197">
        <f t="shared" ca="1" si="304"/>
        <v>0</v>
      </c>
      <c r="AF1354" s="196">
        <f>IFERROR(G1354/SUMIF(A:A,A1354,G:G)*SUMIF(Summary!$A$166:$A$242,'Operations Support'!A1354,Summary!$Q$166:$Q$242),0)</f>
        <v>0</v>
      </c>
      <c r="AG1354" s="196">
        <f t="shared" ca="1" si="305"/>
        <v>0</v>
      </c>
      <c r="AI1354" s="196">
        <f>IFERROR($G1354/SUMIF($A:$A,$A1354,$G:$G)*SUMIF(Summary!$A$247:$A$283,$A1354,Summary!$P$247:$P$283),0)</f>
        <v>0</v>
      </c>
      <c r="AJ1354" s="196">
        <f>IFERROR($G1354/SUMIF($A:$A,$A1354,$G:$G)*(SUMIF(Summary!$A$247:$A$283,$A1354,Summary!$L$247:$L$283)+SUMIF(Summary!$A$297:$A$333,$A1354,Summary!$L$297:$L$333))-AI1354,0)</f>
        <v>0</v>
      </c>
      <c r="AK1354" s="196">
        <f>IFERROR($G1354/SUMIF($A:$A,$A1354,$G:$G)*SUMIF(Summary!$A$247:$A$283,$A1354,Summary!$Q$247:$Q$283),0)</f>
        <v>0</v>
      </c>
      <c r="AL1354" s="196">
        <f>IFERROR($G1354/SUMIF($A:$A,$A1354,$G:$G)*(SUMIF(Summary!$A$247:$A$283,$A1354,Summary!$L$247:$L$283)+SUMIF(Summary!$A$297:$A$333,$A1354,Summary!$L$297:$L$333))-AK1354,0)</f>
        <v>0</v>
      </c>
      <c r="AM1354" s="198"/>
      <c r="AN1354" s="196">
        <f t="shared" ca="1" si="306"/>
        <v>0</v>
      </c>
      <c r="AO1354" s="196">
        <f t="shared" ca="1" si="307"/>
        <v>0</v>
      </c>
    </row>
    <row r="1355" spans="1:41">
      <c r="A1355" s="189">
        <v>3631</v>
      </c>
      <c r="B1355" s="190">
        <v>5</v>
      </c>
      <c r="C1355" s="191" t="s">
        <v>226</v>
      </c>
      <c r="D1355" s="192">
        <f t="shared" si="294"/>
        <v>0</v>
      </c>
      <c r="E1355" s="192">
        <f t="shared" si="295"/>
        <v>0</v>
      </c>
      <c r="F1355" s="192">
        <f t="shared" si="296"/>
        <v>0</v>
      </c>
      <c r="G1355" s="193">
        <f t="shared" si="297"/>
        <v>0</v>
      </c>
      <c r="H1355" s="194">
        <v>0</v>
      </c>
      <c r="I1355" s="194">
        <v>0</v>
      </c>
      <c r="J1355" s="194">
        <v>0</v>
      </c>
      <c r="K1355" s="193">
        <f t="shared" si="298"/>
        <v>0</v>
      </c>
      <c r="L1355" s="194">
        <v>0</v>
      </c>
      <c r="M1355" s="194">
        <v>0</v>
      </c>
      <c r="N1355" s="194">
        <v>0</v>
      </c>
      <c r="O1355" s="193">
        <f t="shared" si="299"/>
        <v>0</v>
      </c>
      <c r="P1355" s="194">
        <v>0</v>
      </c>
      <c r="Q1355" s="194">
        <v>0</v>
      </c>
      <c r="R1355" s="194">
        <v>0</v>
      </c>
      <c r="S1355" s="193">
        <f t="shared" si="300"/>
        <v>0</v>
      </c>
      <c r="T1355" s="193">
        <f t="shared" si="301"/>
        <v>0</v>
      </c>
      <c r="U1355" s="193">
        <f ca="1">OFFSET('Expenditure Study'!$B$7,'Operations Support'!$C1355,'Operations Support'!$B1355)*$G1355</f>
        <v>0</v>
      </c>
      <c r="V1355" s="199">
        <f ca="1">U1355*'Expenditure Study'!$B$31</f>
        <v>0</v>
      </c>
      <c r="W1355" s="199">
        <f ca="1">IF(A1355=10298,1.51,1)*IF($B1355&lt;3,$D1355*'Expenditure Study'!$B$32*OFFSET('Expenditure Study'!$B$7,'Operations Support'!$C1355,'Operations Support'!$B1355),0)</f>
        <v>0</v>
      </c>
      <c r="X1355" s="200">
        <f ca="1">W1355*'Expenditure Study'!$B$31</f>
        <v>0</v>
      </c>
      <c r="Y1355" s="199">
        <f ca="1">U1355*'Expenditure Study'!$B$31</f>
        <v>0</v>
      </c>
      <c r="Z1355" s="200">
        <f ca="1">W1355*'Expenditure Study'!$B$31</f>
        <v>0</v>
      </c>
      <c r="AA1355" s="195">
        <f t="shared" ca="1" si="302"/>
        <v>0</v>
      </c>
      <c r="AB1355" s="195">
        <f t="shared" ca="1" si="303"/>
        <v>0</v>
      </c>
      <c r="AD1355" s="196">
        <f>IFERROR($G1355/SUMIF($A:$A,$A1355,$G:$G)*SUMIF(Summary!$A$166:$A$242,$A1355,Summary!$P$166:$P$242),0)</f>
        <v>0</v>
      </c>
      <c r="AE1355" s="197">
        <f t="shared" ca="1" si="304"/>
        <v>0</v>
      </c>
      <c r="AF1355" s="196">
        <f>IFERROR(G1355/SUMIF(A:A,A1355,G:G)*SUMIF(Summary!$A$166:$A$242,'Operations Support'!A1355,Summary!$Q$166:$Q$242),0)</f>
        <v>0</v>
      </c>
      <c r="AG1355" s="196">
        <f t="shared" ca="1" si="305"/>
        <v>0</v>
      </c>
      <c r="AI1355" s="196">
        <f>IFERROR($G1355/SUMIF($A:$A,$A1355,$G:$G)*SUMIF(Summary!$A$247:$A$283,$A1355,Summary!$P$247:$P$283),0)</f>
        <v>0</v>
      </c>
      <c r="AJ1355" s="196">
        <f>IFERROR($G1355/SUMIF($A:$A,$A1355,$G:$G)*(SUMIF(Summary!$A$247:$A$283,$A1355,Summary!$L$247:$L$283)+SUMIF(Summary!$A$297:$A$333,$A1355,Summary!$L$297:$L$333))-AI1355,0)</f>
        <v>0</v>
      </c>
      <c r="AK1355" s="196">
        <f>IFERROR($G1355/SUMIF($A:$A,$A1355,$G:$G)*SUMIF(Summary!$A$247:$A$283,$A1355,Summary!$Q$247:$Q$283),0)</f>
        <v>0</v>
      </c>
      <c r="AL1355" s="196">
        <f>IFERROR($G1355/SUMIF($A:$A,$A1355,$G:$G)*(SUMIF(Summary!$A$247:$A$283,$A1355,Summary!$L$247:$L$283)+SUMIF(Summary!$A$297:$A$333,$A1355,Summary!$L$297:$L$333))-AK1355,0)</f>
        <v>0</v>
      </c>
      <c r="AM1355" s="198"/>
      <c r="AN1355" s="196">
        <f t="shared" ca="1" si="306"/>
        <v>0</v>
      </c>
      <c r="AO1355" s="196">
        <f t="shared" ca="1" si="307"/>
        <v>0</v>
      </c>
    </row>
    <row r="1356" spans="1:41">
      <c r="A1356" s="189">
        <v>3631</v>
      </c>
      <c r="B1356" s="190">
        <v>5</v>
      </c>
      <c r="C1356" s="191" t="s">
        <v>227</v>
      </c>
      <c r="D1356" s="192">
        <f t="shared" si="294"/>
        <v>0</v>
      </c>
      <c r="E1356" s="192">
        <f t="shared" si="295"/>
        <v>0</v>
      </c>
      <c r="F1356" s="192">
        <f t="shared" si="296"/>
        <v>0</v>
      </c>
      <c r="G1356" s="193">
        <f t="shared" si="297"/>
        <v>0</v>
      </c>
      <c r="H1356" s="194">
        <v>0</v>
      </c>
      <c r="I1356" s="194">
        <v>0</v>
      </c>
      <c r="J1356" s="194">
        <v>0</v>
      </c>
      <c r="K1356" s="193">
        <f t="shared" si="298"/>
        <v>0</v>
      </c>
      <c r="L1356" s="194">
        <v>0</v>
      </c>
      <c r="M1356" s="194">
        <v>0</v>
      </c>
      <c r="N1356" s="194">
        <v>0</v>
      </c>
      <c r="O1356" s="193">
        <f t="shared" si="299"/>
        <v>0</v>
      </c>
      <c r="P1356" s="194">
        <v>0</v>
      </c>
      <c r="Q1356" s="194">
        <v>0</v>
      </c>
      <c r="R1356" s="194">
        <v>0</v>
      </c>
      <c r="S1356" s="193">
        <f t="shared" si="300"/>
        <v>0</v>
      </c>
      <c r="T1356" s="193">
        <f t="shared" si="301"/>
        <v>0</v>
      </c>
      <c r="U1356" s="193">
        <f ca="1">OFFSET('Expenditure Study'!$B$7,'Operations Support'!$C1356,'Operations Support'!$B1356)*$G1356</f>
        <v>0</v>
      </c>
      <c r="V1356" s="199">
        <f ca="1">U1356*'Expenditure Study'!$B$31</f>
        <v>0</v>
      </c>
      <c r="W1356" s="199">
        <f ca="1">IF(A1356=10298,1.51,1)*IF($B1356&lt;3,$D1356*'Expenditure Study'!$B$32*OFFSET('Expenditure Study'!$B$7,'Operations Support'!$C1356,'Operations Support'!$B1356),0)</f>
        <v>0</v>
      </c>
      <c r="X1356" s="200">
        <f ca="1">W1356*'Expenditure Study'!$B$31</f>
        <v>0</v>
      </c>
      <c r="Y1356" s="199">
        <f ca="1">U1356*'Expenditure Study'!$B$31</f>
        <v>0</v>
      </c>
      <c r="Z1356" s="200">
        <f ca="1">W1356*'Expenditure Study'!$B$31</f>
        <v>0</v>
      </c>
      <c r="AA1356" s="195">
        <f t="shared" ca="1" si="302"/>
        <v>0</v>
      </c>
      <c r="AB1356" s="195">
        <f t="shared" ca="1" si="303"/>
        <v>0</v>
      </c>
      <c r="AD1356" s="196">
        <f>IFERROR($G1356/SUMIF($A:$A,$A1356,$G:$G)*SUMIF(Summary!$A$166:$A$242,$A1356,Summary!$P$166:$P$242),0)</f>
        <v>0</v>
      </c>
      <c r="AE1356" s="197">
        <f t="shared" ca="1" si="304"/>
        <v>0</v>
      </c>
      <c r="AF1356" s="196">
        <f>IFERROR(G1356/SUMIF(A:A,A1356,G:G)*SUMIF(Summary!$A$166:$A$242,'Operations Support'!A1356,Summary!$Q$166:$Q$242),0)</f>
        <v>0</v>
      </c>
      <c r="AG1356" s="196">
        <f t="shared" ca="1" si="305"/>
        <v>0</v>
      </c>
      <c r="AI1356" s="196">
        <f>IFERROR($G1356/SUMIF($A:$A,$A1356,$G:$G)*SUMIF(Summary!$A$247:$A$283,$A1356,Summary!$P$247:$P$283),0)</f>
        <v>0</v>
      </c>
      <c r="AJ1356" s="196">
        <f>IFERROR($G1356/SUMIF($A:$A,$A1356,$G:$G)*(SUMIF(Summary!$A$247:$A$283,$A1356,Summary!$L$247:$L$283)+SUMIF(Summary!$A$297:$A$333,$A1356,Summary!$L$297:$L$333))-AI1356,0)</f>
        <v>0</v>
      </c>
      <c r="AK1356" s="196">
        <f>IFERROR($G1356/SUMIF($A:$A,$A1356,$G:$G)*SUMIF(Summary!$A$247:$A$283,$A1356,Summary!$Q$247:$Q$283),0)</f>
        <v>0</v>
      </c>
      <c r="AL1356" s="196">
        <f>IFERROR($G1356/SUMIF($A:$A,$A1356,$G:$G)*(SUMIF(Summary!$A$247:$A$283,$A1356,Summary!$L$247:$L$283)+SUMIF(Summary!$A$297:$A$333,$A1356,Summary!$L$297:$L$333))-AK1356,0)</f>
        <v>0</v>
      </c>
      <c r="AM1356" s="198"/>
      <c r="AN1356" s="196">
        <f t="shared" ca="1" si="306"/>
        <v>0</v>
      </c>
      <c r="AO1356" s="196">
        <f t="shared" ca="1" si="307"/>
        <v>0</v>
      </c>
    </row>
    <row r="1357" spans="1:41">
      <c r="A1357" s="189">
        <v>3631</v>
      </c>
      <c r="B1357" s="190">
        <v>5</v>
      </c>
      <c r="C1357" s="191" t="s">
        <v>228</v>
      </c>
      <c r="D1357" s="192">
        <f t="shared" si="294"/>
        <v>0</v>
      </c>
      <c r="E1357" s="192">
        <f t="shared" si="295"/>
        <v>0</v>
      </c>
      <c r="F1357" s="192">
        <f t="shared" si="296"/>
        <v>0</v>
      </c>
      <c r="G1357" s="193">
        <f t="shared" si="297"/>
        <v>0</v>
      </c>
      <c r="H1357" s="194">
        <v>0</v>
      </c>
      <c r="I1357" s="194">
        <v>0</v>
      </c>
      <c r="J1357" s="194">
        <v>0</v>
      </c>
      <c r="K1357" s="193">
        <f t="shared" si="298"/>
        <v>0</v>
      </c>
      <c r="L1357" s="194">
        <v>0</v>
      </c>
      <c r="M1357" s="194">
        <v>0</v>
      </c>
      <c r="N1357" s="194">
        <v>0</v>
      </c>
      <c r="O1357" s="193">
        <f t="shared" si="299"/>
        <v>0</v>
      </c>
      <c r="P1357" s="194">
        <v>0</v>
      </c>
      <c r="Q1357" s="194">
        <v>0</v>
      </c>
      <c r="R1357" s="194">
        <v>0</v>
      </c>
      <c r="S1357" s="193">
        <f t="shared" si="300"/>
        <v>0</v>
      </c>
      <c r="T1357" s="193">
        <f t="shared" si="301"/>
        <v>0</v>
      </c>
      <c r="U1357" s="193">
        <f ca="1">OFFSET('Expenditure Study'!$B$7,'Operations Support'!$C1357,'Operations Support'!$B1357)*$G1357</f>
        <v>0</v>
      </c>
      <c r="V1357" s="199">
        <f ca="1">U1357*'Expenditure Study'!$B$31</f>
        <v>0</v>
      </c>
      <c r="W1357" s="199">
        <f ca="1">IF(A1357=10298,1.51,1)*IF($B1357&lt;3,$D1357*'Expenditure Study'!$B$32*OFFSET('Expenditure Study'!$B$7,'Operations Support'!$C1357,'Operations Support'!$B1357),0)</f>
        <v>0</v>
      </c>
      <c r="X1357" s="200">
        <f ca="1">W1357*'Expenditure Study'!$B$31</f>
        <v>0</v>
      </c>
      <c r="Y1357" s="199">
        <f ca="1">U1357*'Expenditure Study'!$B$31</f>
        <v>0</v>
      </c>
      <c r="Z1357" s="200">
        <f ca="1">W1357*'Expenditure Study'!$B$31</f>
        <v>0</v>
      </c>
      <c r="AA1357" s="195">
        <f t="shared" ca="1" si="302"/>
        <v>0</v>
      </c>
      <c r="AB1357" s="195">
        <f t="shared" ca="1" si="303"/>
        <v>0</v>
      </c>
      <c r="AD1357" s="196">
        <f>IFERROR($G1357/SUMIF($A:$A,$A1357,$G:$G)*SUMIF(Summary!$A$166:$A$242,$A1357,Summary!$P$166:$P$242),0)</f>
        <v>0</v>
      </c>
      <c r="AE1357" s="197">
        <f t="shared" ca="1" si="304"/>
        <v>0</v>
      </c>
      <c r="AF1357" s="196">
        <f>IFERROR(G1357/SUMIF(A:A,A1357,G:G)*SUMIF(Summary!$A$166:$A$242,'Operations Support'!A1357,Summary!$Q$166:$Q$242),0)</f>
        <v>0</v>
      </c>
      <c r="AG1357" s="196">
        <f t="shared" ca="1" si="305"/>
        <v>0</v>
      </c>
      <c r="AI1357" s="196">
        <f>IFERROR($G1357/SUMIF($A:$A,$A1357,$G:$G)*SUMIF(Summary!$A$247:$A$283,$A1357,Summary!$P$247:$P$283),0)</f>
        <v>0</v>
      </c>
      <c r="AJ1357" s="196">
        <f>IFERROR($G1357/SUMIF($A:$A,$A1357,$G:$G)*(SUMIF(Summary!$A$247:$A$283,$A1357,Summary!$L$247:$L$283)+SUMIF(Summary!$A$297:$A$333,$A1357,Summary!$L$297:$L$333))-AI1357,0)</f>
        <v>0</v>
      </c>
      <c r="AK1357" s="196">
        <f>IFERROR($G1357/SUMIF($A:$A,$A1357,$G:$G)*SUMIF(Summary!$A$247:$A$283,$A1357,Summary!$Q$247:$Q$283),0)</f>
        <v>0</v>
      </c>
      <c r="AL1357" s="196">
        <f>IFERROR($G1357/SUMIF($A:$A,$A1357,$G:$G)*(SUMIF(Summary!$A$247:$A$283,$A1357,Summary!$L$247:$L$283)+SUMIF(Summary!$A$297:$A$333,$A1357,Summary!$L$297:$L$333))-AK1357,0)</f>
        <v>0</v>
      </c>
      <c r="AM1357" s="198"/>
      <c r="AN1357" s="196">
        <f t="shared" ca="1" si="306"/>
        <v>0</v>
      </c>
      <c r="AO1357" s="196">
        <f t="shared" ca="1" si="307"/>
        <v>0</v>
      </c>
    </row>
    <row r="1358" spans="1:41" s="201" customFormat="1">
      <c r="A1358" s="189">
        <v>3631</v>
      </c>
      <c r="B1358" s="190">
        <v>5</v>
      </c>
      <c r="C1358" s="191" t="s">
        <v>229</v>
      </c>
      <c r="D1358" s="192">
        <f t="shared" si="294"/>
        <v>0</v>
      </c>
      <c r="E1358" s="192">
        <f t="shared" si="295"/>
        <v>0</v>
      </c>
      <c r="F1358" s="192">
        <f t="shared" si="296"/>
        <v>0</v>
      </c>
      <c r="G1358" s="193">
        <f t="shared" si="297"/>
        <v>0</v>
      </c>
      <c r="H1358" s="194">
        <v>0</v>
      </c>
      <c r="I1358" s="194">
        <v>0</v>
      </c>
      <c r="J1358" s="194">
        <v>0</v>
      </c>
      <c r="K1358" s="193">
        <f t="shared" si="298"/>
        <v>0</v>
      </c>
      <c r="L1358" s="194">
        <v>0</v>
      </c>
      <c r="M1358" s="194">
        <v>0</v>
      </c>
      <c r="N1358" s="194">
        <v>0</v>
      </c>
      <c r="O1358" s="193">
        <f t="shared" si="299"/>
        <v>0</v>
      </c>
      <c r="P1358" s="194">
        <v>0</v>
      </c>
      <c r="Q1358" s="194">
        <v>0</v>
      </c>
      <c r="R1358" s="194">
        <v>0</v>
      </c>
      <c r="S1358" s="193">
        <f t="shared" si="300"/>
        <v>0</v>
      </c>
      <c r="T1358" s="193">
        <f t="shared" si="301"/>
        <v>0</v>
      </c>
      <c r="U1358" s="193">
        <f ca="1">OFFSET('Expenditure Study'!$B$7,'Operations Support'!$C1358,'Operations Support'!$B1358)*$G1358</f>
        <v>0</v>
      </c>
      <c r="V1358" s="199">
        <f ca="1">U1358*'Expenditure Study'!$B$31</f>
        <v>0</v>
      </c>
      <c r="W1358" s="199">
        <f ca="1">IF(A1358=10298,1.51,1)*IF($B1358&lt;3,$D1358*'Expenditure Study'!$B$32*OFFSET('Expenditure Study'!$B$7,'Operations Support'!$C1358,'Operations Support'!$B1358),0)</f>
        <v>0</v>
      </c>
      <c r="X1358" s="200">
        <f ca="1">W1358*'Expenditure Study'!$B$31</f>
        <v>0</v>
      </c>
      <c r="Y1358" s="199">
        <f ca="1">U1358*'Expenditure Study'!$B$31</f>
        <v>0</v>
      </c>
      <c r="Z1358" s="200">
        <f ca="1">W1358*'Expenditure Study'!$B$31</f>
        <v>0</v>
      </c>
      <c r="AA1358" s="195">
        <f t="shared" ca="1" si="302"/>
        <v>0</v>
      </c>
      <c r="AB1358" s="195">
        <f t="shared" ca="1" si="303"/>
        <v>0</v>
      </c>
      <c r="AD1358" s="196">
        <f>IFERROR($G1358/SUMIF($A:$A,$A1358,$G:$G)*SUMIF(Summary!$A$166:$A$242,$A1358,Summary!$P$166:$P$242),0)</f>
        <v>0</v>
      </c>
      <c r="AE1358" s="197">
        <f t="shared" ca="1" si="304"/>
        <v>0</v>
      </c>
      <c r="AF1358" s="196">
        <f>IFERROR(G1358/SUMIF(A:A,A1358,G:G)*SUMIF(Summary!$A$166:$A$242,'Operations Support'!A1358,Summary!$Q$166:$Q$242),0)</f>
        <v>0</v>
      </c>
      <c r="AG1358" s="196">
        <f t="shared" ca="1" si="305"/>
        <v>0</v>
      </c>
      <c r="AH1358" s="180"/>
      <c r="AI1358" s="196">
        <f>IFERROR($G1358/SUMIF($A:$A,$A1358,$G:$G)*SUMIF(Summary!$A$247:$A$283,$A1358,Summary!$P$247:$P$283),0)</f>
        <v>0</v>
      </c>
      <c r="AJ1358" s="196">
        <f>IFERROR($G1358/SUMIF($A:$A,$A1358,$G:$G)*(SUMIF(Summary!$A$247:$A$283,$A1358,Summary!$L$247:$L$283)+SUMIF(Summary!$A$297:$A$333,$A1358,Summary!$L$297:$L$333))-AI1358,0)</f>
        <v>0</v>
      </c>
      <c r="AK1358" s="196">
        <f>IFERROR($G1358/SUMIF($A:$A,$A1358,$G:$G)*SUMIF(Summary!$A$247:$A$283,$A1358,Summary!$Q$247:$Q$283),0)</f>
        <v>0</v>
      </c>
      <c r="AL1358" s="196">
        <f>IFERROR($G1358/SUMIF($A:$A,$A1358,$G:$G)*(SUMIF(Summary!$A$247:$A$283,$A1358,Summary!$L$247:$L$283)+SUMIF(Summary!$A$297:$A$333,$A1358,Summary!$L$297:$L$333))-AK1358,0)</f>
        <v>0</v>
      </c>
      <c r="AM1358" s="198"/>
      <c r="AN1358" s="196">
        <f t="shared" ca="1" si="306"/>
        <v>0</v>
      </c>
      <c r="AO1358" s="196">
        <f t="shared" ca="1" si="307"/>
        <v>0</v>
      </c>
    </row>
    <row r="1359" spans="1:41">
      <c r="A1359" s="189">
        <v>3631</v>
      </c>
      <c r="B1359" s="190">
        <v>5</v>
      </c>
      <c r="C1359" s="191" t="s">
        <v>230</v>
      </c>
      <c r="D1359" s="192">
        <f t="shared" si="294"/>
        <v>0</v>
      </c>
      <c r="E1359" s="192">
        <f t="shared" si="295"/>
        <v>0</v>
      </c>
      <c r="F1359" s="192">
        <f t="shared" si="296"/>
        <v>0</v>
      </c>
      <c r="G1359" s="193">
        <f t="shared" si="297"/>
        <v>0</v>
      </c>
      <c r="H1359" s="194">
        <v>0</v>
      </c>
      <c r="I1359" s="194">
        <v>0</v>
      </c>
      <c r="J1359" s="194">
        <v>0</v>
      </c>
      <c r="K1359" s="193">
        <f t="shared" si="298"/>
        <v>0</v>
      </c>
      <c r="L1359" s="194">
        <v>0</v>
      </c>
      <c r="M1359" s="194">
        <v>0</v>
      </c>
      <c r="N1359" s="194">
        <v>0</v>
      </c>
      <c r="O1359" s="193">
        <f t="shared" si="299"/>
        <v>0</v>
      </c>
      <c r="P1359" s="194">
        <v>0</v>
      </c>
      <c r="Q1359" s="194">
        <v>0</v>
      </c>
      <c r="R1359" s="194">
        <v>0</v>
      </c>
      <c r="S1359" s="193">
        <f t="shared" si="300"/>
        <v>0</v>
      </c>
      <c r="T1359" s="193">
        <f t="shared" si="301"/>
        <v>0</v>
      </c>
      <c r="U1359" s="193">
        <f ca="1">OFFSET('Expenditure Study'!$B$7,'Operations Support'!$C1359,'Operations Support'!$B1359)*$G1359</f>
        <v>0</v>
      </c>
      <c r="V1359" s="199">
        <f ca="1">U1359*'Expenditure Study'!$B$31</f>
        <v>0</v>
      </c>
      <c r="W1359" s="199">
        <f ca="1">IF(A1359=10298,1.51,1)*IF($B1359&lt;3,$D1359*'Expenditure Study'!$B$32*OFFSET('Expenditure Study'!$B$7,'Operations Support'!$C1359,'Operations Support'!$B1359),0)</f>
        <v>0</v>
      </c>
      <c r="X1359" s="200">
        <f ca="1">W1359*'Expenditure Study'!$B$31</f>
        <v>0</v>
      </c>
      <c r="Y1359" s="199">
        <f ca="1">U1359*'Expenditure Study'!$B$31</f>
        <v>0</v>
      </c>
      <c r="Z1359" s="200">
        <f ca="1">W1359*'Expenditure Study'!$B$31</f>
        <v>0</v>
      </c>
      <c r="AA1359" s="195">
        <f t="shared" ca="1" si="302"/>
        <v>0</v>
      </c>
      <c r="AB1359" s="195">
        <f t="shared" ca="1" si="303"/>
        <v>0</v>
      </c>
      <c r="AD1359" s="196">
        <f>IFERROR($G1359/SUMIF($A:$A,$A1359,$G:$G)*SUMIF(Summary!$A$166:$A$242,$A1359,Summary!$P$166:$P$242),0)</f>
        <v>0</v>
      </c>
      <c r="AE1359" s="197">
        <f t="shared" ca="1" si="304"/>
        <v>0</v>
      </c>
      <c r="AF1359" s="196">
        <f>IFERROR(G1359/SUMIF(A:A,A1359,G:G)*SUMIF(Summary!$A$166:$A$242,'Operations Support'!A1359,Summary!$Q$166:$Q$242),0)</f>
        <v>0</v>
      </c>
      <c r="AG1359" s="196">
        <f t="shared" ca="1" si="305"/>
        <v>0</v>
      </c>
      <c r="AI1359" s="196">
        <f>IFERROR($G1359/SUMIF($A:$A,$A1359,$G:$G)*SUMIF(Summary!$A$247:$A$283,$A1359,Summary!$P$247:$P$283),0)</f>
        <v>0</v>
      </c>
      <c r="AJ1359" s="196">
        <f>IFERROR($G1359/SUMIF($A:$A,$A1359,$G:$G)*(SUMIF(Summary!$A$247:$A$283,$A1359,Summary!$L$247:$L$283)+SUMIF(Summary!$A$297:$A$333,$A1359,Summary!$L$297:$L$333))-AI1359,0)</f>
        <v>0</v>
      </c>
      <c r="AK1359" s="196">
        <f>IFERROR($G1359/SUMIF($A:$A,$A1359,$G:$G)*SUMIF(Summary!$A$247:$A$283,$A1359,Summary!$Q$247:$Q$283),0)</f>
        <v>0</v>
      </c>
      <c r="AL1359" s="196">
        <f>IFERROR($G1359/SUMIF($A:$A,$A1359,$G:$G)*(SUMIF(Summary!$A$247:$A$283,$A1359,Summary!$L$247:$L$283)+SUMIF(Summary!$A$297:$A$333,$A1359,Summary!$L$297:$L$333))-AK1359,0)</f>
        <v>0</v>
      </c>
      <c r="AM1359" s="198"/>
      <c r="AN1359" s="196">
        <f t="shared" ca="1" si="306"/>
        <v>0</v>
      </c>
      <c r="AO1359" s="196">
        <f t="shared" ca="1" si="307"/>
        <v>0</v>
      </c>
    </row>
    <row r="1360" spans="1:41">
      <c r="A1360" s="189">
        <v>3631</v>
      </c>
      <c r="B1360" s="190">
        <v>5</v>
      </c>
      <c r="C1360" s="191" t="s">
        <v>231</v>
      </c>
      <c r="D1360" s="192">
        <f t="shared" si="294"/>
        <v>0</v>
      </c>
      <c r="E1360" s="192">
        <f t="shared" si="295"/>
        <v>0</v>
      </c>
      <c r="F1360" s="192">
        <f t="shared" si="296"/>
        <v>0</v>
      </c>
      <c r="G1360" s="193">
        <f t="shared" si="297"/>
        <v>0</v>
      </c>
      <c r="H1360" s="194">
        <v>0</v>
      </c>
      <c r="I1360" s="194">
        <v>0</v>
      </c>
      <c r="J1360" s="194">
        <v>0</v>
      </c>
      <c r="K1360" s="193">
        <f t="shared" si="298"/>
        <v>0</v>
      </c>
      <c r="L1360" s="194">
        <v>0</v>
      </c>
      <c r="M1360" s="194">
        <v>0</v>
      </c>
      <c r="N1360" s="194">
        <v>0</v>
      </c>
      <c r="O1360" s="193">
        <f t="shared" si="299"/>
        <v>0</v>
      </c>
      <c r="P1360" s="194">
        <v>0</v>
      </c>
      <c r="Q1360" s="194">
        <v>0</v>
      </c>
      <c r="R1360" s="194">
        <v>0</v>
      </c>
      <c r="S1360" s="193">
        <f t="shared" si="300"/>
        <v>0</v>
      </c>
      <c r="T1360" s="193">
        <f t="shared" si="301"/>
        <v>0</v>
      </c>
      <c r="U1360" s="193">
        <f ca="1">OFFSET('Expenditure Study'!$B$7,'Operations Support'!$C1360,'Operations Support'!$B1360)*$G1360</f>
        <v>0</v>
      </c>
      <c r="V1360" s="199">
        <f ca="1">U1360*'Expenditure Study'!$B$31</f>
        <v>0</v>
      </c>
      <c r="W1360" s="199">
        <f ca="1">IF(A1360=10298,1.51,1)*IF($B1360&lt;3,$D1360*'Expenditure Study'!$B$32*OFFSET('Expenditure Study'!$B$7,'Operations Support'!$C1360,'Operations Support'!$B1360),0)</f>
        <v>0</v>
      </c>
      <c r="X1360" s="200">
        <f ca="1">W1360*'Expenditure Study'!$B$31</f>
        <v>0</v>
      </c>
      <c r="Y1360" s="199">
        <f ca="1">U1360*'Expenditure Study'!$B$31</f>
        <v>0</v>
      </c>
      <c r="Z1360" s="200">
        <f ca="1">W1360*'Expenditure Study'!$B$31</f>
        <v>0</v>
      </c>
      <c r="AA1360" s="195">
        <f t="shared" ca="1" si="302"/>
        <v>0</v>
      </c>
      <c r="AB1360" s="195">
        <f t="shared" ca="1" si="303"/>
        <v>0</v>
      </c>
      <c r="AD1360" s="196">
        <f>IFERROR($G1360/SUMIF($A:$A,$A1360,$G:$G)*SUMIF(Summary!$A$166:$A$242,$A1360,Summary!$P$166:$P$242),0)</f>
        <v>0</v>
      </c>
      <c r="AE1360" s="197">
        <f t="shared" ca="1" si="304"/>
        <v>0</v>
      </c>
      <c r="AF1360" s="196">
        <f>IFERROR(G1360/SUMIF(A:A,A1360,G:G)*SUMIF(Summary!$A$166:$A$242,'Operations Support'!A1360,Summary!$Q$166:$Q$242),0)</f>
        <v>0</v>
      </c>
      <c r="AG1360" s="196">
        <f t="shared" ca="1" si="305"/>
        <v>0</v>
      </c>
      <c r="AI1360" s="196">
        <f>IFERROR($G1360/SUMIF($A:$A,$A1360,$G:$G)*SUMIF(Summary!$A$247:$A$283,$A1360,Summary!$P$247:$P$283),0)</f>
        <v>0</v>
      </c>
      <c r="AJ1360" s="196">
        <f>IFERROR($G1360/SUMIF($A:$A,$A1360,$G:$G)*(SUMIF(Summary!$A$247:$A$283,$A1360,Summary!$L$247:$L$283)+SUMIF(Summary!$A$297:$A$333,$A1360,Summary!$L$297:$L$333))-AI1360,0)</f>
        <v>0</v>
      </c>
      <c r="AK1360" s="196">
        <f>IFERROR($G1360/SUMIF($A:$A,$A1360,$G:$G)*SUMIF(Summary!$A$247:$A$283,$A1360,Summary!$Q$247:$Q$283),0)</f>
        <v>0</v>
      </c>
      <c r="AL1360" s="196">
        <f>IFERROR($G1360/SUMIF($A:$A,$A1360,$G:$G)*(SUMIF(Summary!$A$247:$A$283,$A1360,Summary!$L$247:$L$283)+SUMIF(Summary!$A$297:$A$333,$A1360,Summary!$L$297:$L$333))-AK1360,0)</f>
        <v>0</v>
      </c>
      <c r="AM1360" s="198"/>
      <c r="AN1360" s="196">
        <f t="shared" ca="1" si="306"/>
        <v>0</v>
      </c>
      <c r="AO1360" s="196">
        <f t="shared" ca="1" si="307"/>
        <v>0</v>
      </c>
    </row>
    <row r="1361" spans="1:41">
      <c r="A1361" s="189">
        <v>3631</v>
      </c>
      <c r="B1361" s="190">
        <v>5</v>
      </c>
      <c r="C1361" s="191" t="s">
        <v>232</v>
      </c>
      <c r="D1361" s="192">
        <f t="shared" si="294"/>
        <v>0</v>
      </c>
      <c r="E1361" s="192">
        <f t="shared" si="295"/>
        <v>0</v>
      </c>
      <c r="F1361" s="192">
        <f t="shared" si="296"/>
        <v>0</v>
      </c>
      <c r="G1361" s="193">
        <f t="shared" si="297"/>
        <v>0</v>
      </c>
      <c r="H1361" s="194">
        <v>0</v>
      </c>
      <c r="I1361" s="194">
        <v>0</v>
      </c>
      <c r="J1361" s="194">
        <v>0</v>
      </c>
      <c r="K1361" s="193">
        <f t="shared" si="298"/>
        <v>0</v>
      </c>
      <c r="L1361" s="194">
        <v>0</v>
      </c>
      <c r="M1361" s="194">
        <v>0</v>
      </c>
      <c r="N1361" s="194">
        <v>0</v>
      </c>
      <c r="O1361" s="193">
        <f t="shared" si="299"/>
        <v>0</v>
      </c>
      <c r="P1361" s="194">
        <v>0</v>
      </c>
      <c r="Q1361" s="194">
        <v>0</v>
      </c>
      <c r="R1361" s="194">
        <v>0</v>
      </c>
      <c r="S1361" s="193">
        <f t="shared" si="300"/>
        <v>0</v>
      </c>
      <c r="T1361" s="193">
        <f t="shared" si="301"/>
        <v>0</v>
      </c>
      <c r="U1361" s="193">
        <f ca="1">OFFSET('Expenditure Study'!$B$7,'Operations Support'!$C1361,'Operations Support'!$B1361)*$G1361</f>
        <v>0</v>
      </c>
      <c r="V1361" s="199">
        <f ca="1">U1361*'Expenditure Study'!$B$31</f>
        <v>0</v>
      </c>
      <c r="W1361" s="199">
        <f ca="1">IF(A1361=10298,1.51,1)*IF($B1361&lt;3,$D1361*'Expenditure Study'!$B$32*OFFSET('Expenditure Study'!$B$7,'Operations Support'!$C1361,'Operations Support'!$B1361),0)</f>
        <v>0</v>
      </c>
      <c r="X1361" s="200">
        <f ca="1">W1361*'Expenditure Study'!$B$31</f>
        <v>0</v>
      </c>
      <c r="Y1361" s="199">
        <f ca="1">U1361*'Expenditure Study'!$B$31</f>
        <v>0</v>
      </c>
      <c r="Z1361" s="200">
        <f ca="1">W1361*'Expenditure Study'!$B$31</f>
        <v>0</v>
      </c>
      <c r="AA1361" s="195">
        <f t="shared" ca="1" si="302"/>
        <v>0</v>
      </c>
      <c r="AB1361" s="195">
        <f t="shared" ca="1" si="303"/>
        <v>0</v>
      </c>
      <c r="AD1361" s="196">
        <f>IFERROR($G1361/SUMIF($A:$A,$A1361,$G:$G)*SUMIF(Summary!$A$166:$A$242,$A1361,Summary!$P$166:$P$242),0)</f>
        <v>0</v>
      </c>
      <c r="AE1361" s="197">
        <f t="shared" ca="1" si="304"/>
        <v>0</v>
      </c>
      <c r="AF1361" s="196">
        <f>IFERROR(G1361/SUMIF(A:A,A1361,G:G)*SUMIF(Summary!$A$166:$A$242,'Operations Support'!A1361,Summary!$Q$166:$Q$242),0)</f>
        <v>0</v>
      </c>
      <c r="AG1361" s="196">
        <f t="shared" ca="1" si="305"/>
        <v>0</v>
      </c>
      <c r="AI1361" s="196">
        <f>IFERROR($G1361/SUMIF($A:$A,$A1361,$G:$G)*SUMIF(Summary!$A$247:$A$283,$A1361,Summary!$P$247:$P$283),0)</f>
        <v>0</v>
      </c>
      <c r="AJ1361" s="196">
        <f>IFERROR($G1361/SUMIF($A:$A,$A1361,$G:$G)*(SUMIF(Summary!$A$247:$A$283,$A1361,Summary!$L$247:$L$283)+SUMIF(Summary!$A$297:$A$333,$A1361,Summary!$L$297:$L$333))-AI1361,0)</f>
        <v>0</v>
      </c>
      <c r="AK1361" s="196">
        <f>IFERROR($G1361/SUMIF($A:$A,$A1361,$G:$G)*SUMIF(Summary!$A$247:$A$283,$A1361,Summary!$Q$247:$Q$283),0)</f>
        <v>0</v>
      </c>
      <c r="AL1361" s="196">
        <f>IFERROR($G1361/SUMIF($A:$A,$A1361,$G:$G)*(SUMIF(Summary!$A$247:$A$283,$A1361,Summary!$L$247:$L$283)+SUMIF(Summary!$A$297:$A$333,$A1361,Summary!$L$297:$L$333))-AK1361,0)</f>
        <v>0</v>
      </c>
      <c r="AM1361" s="198"/>
      <c r="AN1361" s="196">
        <f t="shared" ca="1" si="306"/>
        <v>0</v>
      </c>
      <c r="AO1361" s="196">
        <f t="shared" ca="1" si="307"/>
        <v>0</v>
      </c>
    </row>
    <row r="1362" spans="1:41">
      <c r="A1362" s="189">
        <v>3631</v>
      </c>
      <c r="B1362" s="190">
        <v>5</v>
      </c>
      <c r="C1362" s="191" t="s">
        <v>233</v>
      </c>
      <c r="D1362" s="192">
        <f t="shared" si="294"/>
        <v>0</v>
      </c>
      <c r="E1362" s="192">
        <f t="shared" si="295"/>
        <v>0</v>
      </c>
      <c r="F1362" s="192">
        <f t="shared" si="296"/>
        <v>0</v>
      </c>
      <c r="G1362" s="193">
        <f t="shared" si="297"/>
        <v>0</v>
      </c>
      <c r="H1362" s="194">
        <v>0</v>
      </c>
      <c r="I1362" s="194">
        <v>0</v>
      </c>
      <c r="J1362" s="194">
        <v>0</v>
      </c>
      <c r="K1362" s="193">
        <f t="shared" si="298"/>
        <v>0</v>
      </c>
      <c r="L1362" s="194">
        <v>0</v>
      </c>
      <c r="M1362" s="194">
        <v>0</v>
      </c>
      <c r="N1362" s="194">
        <v>0</v>
      </c>
      <c r="O1362" s="193">
        <f t="shared" si="299"/>
        <v>0</v>
      </c>
      <c r="P1362" s="194">
        <v>0</v>
      </c>
      <c r="Q1362" s="194">
        <v>0</v>
      </c>
      <c r="R1362" s="194">
        <v>0</v>
      </c>
      <c r="S1362" s="193">
        <f t="shared" si="300"/>
        <v>0</v>
      </c>
      <c r="T1362" s="193">
        <f t="shared" si="301"/>
        <v>0</v>
      </c>
      <c r="U1362" s="193">
        <f ca="1">OFFSET('Expenditure Study'!$B$7,'Operations Support'!$C1362,'Operations Support'!$B1362)*$G1362</f>
        <v>0</v>
      </c>
      <c r="V1362" s="199">
        <f ca="1">U1362*'Expenditure Study'!$B$31</f>
        <v>0</v>
      </c>
      <c r="W1362" s="199">
        <f ca="1">IF(A1362=10298,1.51,1)*IF($B1362&lt;3,$D1362*'Expenditure Study'!$B$32*OFFSET('Expenditure Study'!$B$7,'Operations Support'!$C1362,'Operations Support'!$B1362),0)</f>
        <v>0</v>
      </c>
      <c r="X1362" s="200">
        <f ca="1">W1362*'Expenditure Study'!$B$31</f>
        <v>0</v>
      </c>
      <c r="Y1362" s="199">
        <f ca="1">U1362*'Expenditure Study'!$B$31</f>
        <v>0</v>
      </c>
      <c r="Z1362" s="200">
        <f ca="1">W1362*'Expenditure Study'!$B$31</f>
        <v>0</v>
      </c>
      <c r="AA1362" s="195">
        <f t="shared" ca="1" si="302"/>
        <v>0</v>
      </c>
      <c r="AB1362" s="195">
        <f t="shared" ca="1" si="303"/>
        <v>0</v>
      </c>
      <c r="AD1362" s="196">
        <f>IFERROR($G1362/SUMIF($A:$A,$A1362,$G:$G)*SUMIF(Summary!$A$166:$A$242,$A1362,Summary!$P$166:$P$242),0)</f>
        <v>0</v>
      </c>
      <c r="AE1362" s="197">
        <f t="shared" ca="1" si="304"/>
        <v>0</v>
      </c>
      <c r="AF1362" s="196">
        <f>IFERROR(G1362/SUMIF(A:A,A1362,G:G)*SUMIF(Summary!$A$166:$A$242,'Operations Support'!A1362,Summary!$Q$166:$Q$242),0)</f>
        <v>0</v>
      </c>
      <c r="AG1362" s="196">
        <f t="shared" ca="1" si="305"/>
        <v>0</v>
      </c>
      <c r="AI1362" s="196">
        <f>IFERROR($G1362/SUMIF($A:$A,$A1362,$G:$G)*SUMIF(Summary!$A$247:$A$283,$A1362,Summary!$P$247:$P$283),0)</f>
        <v>0</v>
      </c>
      <c r="AJ1362" s="196">
        <f>IFERROR($G1362/SUMIF($A:$A,$A1362,$G:$G)*(SUMIF(Summary!$A$247:$A$283,$A1362,Summary!$L$247:$L$283)+SUMIF(Summary!$A$297:$A$333,$A1362,Summary!$L$297:$L$333))-AI1362,0)</f>
        <v>0</v>
      </c>
      <c r="AK1362" s="196">
        <f>IFERROR($G1362/SUMIF($A:$A,$A1362,$G:$G)*SUMIF(Summary!$A$247:$A$283,$A1362,Summary!$Q$247:$Q$283),0)</f>
        <v>0</v>
      </c>
      <c r="AL1362" s="196">
        <f>IFERROR($G1362/SUMIF($A:$A,$A1362,$G:$G)*(SUMIF(Summary!$A$247:$A$283,$A1362,Summary!$L$247:$L$283)+SUMIF(Summary!$A$297:$A$333,$A1362,Summary!$L$297:$L$333))-AK1362,0)</f>
        <v>0</v>
      </c>
      <c r="AM1362" s="198"/>
      <c r="AN1362" s="196">
        <f t="shared" ca="1" si="306"/>
        <v>0</v>
      </c>
      <c r="AO1362" s="196">
        <f t="shared" ca="1" si="307"/>
        <v>0</v>
      </c>
    </row>
    <row r="1363" spans="1:41">
      <c r="A1363" s="189">
        <v>3631</v>
      </c>
      <c r="B1363" s="190">
        <v>5</v>
      </c>
      <c r="C1363" s="191" t="s">
        <v>234</v>
      </c>
      <c r="D1363" s="192">
        <f t="shared" si="294"/>
        <v>0</v>
      </c>
      <c r="E1363" s="192">
        <f t="shared" si="295"/>
        <v>0</v>
      </c>
      <c r="F1363" s="192">
        <f t="shared" si="296"/>
        <v>0</v>
      </c>
      <c r="G1363" s="193">
        <f t="shared" si="297"/>
        <v>0</v>
      </c>
      <c r="H1363" s="194">
        <v>0</v>
      </c>
      <c r="I1363" s="194">
        <v>0</v>
      </c>
      <c r="J1363" s="194">
        <v>0</v>
      </c>
      <c r="K1363" s="193">
        <f t="shared" si="298"/>
        <v>0</v>
      </c>
      <c r="L1363" s="194">
        <v>0</v>
      </c>
      <c r="M1363" s="194">
        <v>0</v>
      </c>
      <c r="N1363" s="194">
        <v>0</v>
      </c>
      <c r="O1363" s="193">
        <f t="shared" si="299"/>
        <v>0</v>
      </c>
      <c r="P1363" s="194">
        <v>0</v>
      </c>
      <c r="Q1363" s="194">
        <v>0</v>
      </c>
      <c r="R1363" s="194">
        <v>0</v>
      </c>
      <c r="S1363" s="193">
        <f t="shared" si="300"/>
        <v>0</v>
      </c>
      <c r="T1363" s="193">
        <f t="shared" si="301"/>
        <v>0</v>
      </c>
      <c r="U1363" s="193">
        <f ca="1">OFFSET('Expenditure Study'!$B$7,'Operations Support'!$C1363,'Operations Support'!$B1363)*$G1363</f>
        <v>0</v>
      </c>
      <c r="V1363" s="199">
        <f ca="1">U1363*'Expenditure Study'!$B$31</f>
        <v>0</v>
      </c>
      <c r="W1363" s="199">
        <f ca="1">IF(A1363=10298,1.51,1)*IF($B1363&lt;3,$D1363*'Expenditure Study'!$B$32*OFFSET('Expenditure Study'!$B$7,'Operations Support'!$C1363,'Operations Support'!$B1363),0)</f>
        <v>0</v>
      </c>
      <c r="X1363" s="200">
        <f ca="1">W1363*'Expenditure Study'!$B$31</f>
        <v>0</v>
      </c>
      <c r="Y1363" s="199">
        <f ca="1">U1363*'Expenditure Study'!$B$31</f>
        <v>0</v>
      </c>
      <c r="Z1363" s="200">
        <f ca="1">W1363*'Expenditure Study'!$B$31</f>
        <v>0</v>
      </c>
      <c r="AA1363" s="195">
        <f t="shared" ca="1" si="302"/>
        <v>0</v>
      </c>
      <c r="AB1363" s="195">
        <f t="shared" ca="1" si="303"/>
        <v>0</v>
      </c>
      <c r="AD1363" s="196">
        <f>IFERROR($G1363/SUMIF($A:$A,$A1363,$G:$G)*SUMIF(Summary!$A$166:$A$242,$A1363,Summary!$P$166:$P$242),0)</f>
        <v>0</v>
      </c>
      <c r="AE1363" s="197">
        <f t="shared" ca="1" si="304"/>
        <v>0</v>
      </c>
      <c r="AF1363" s="196">
        <f>IFERROR(G1363/SUMIF(A:A,A1363,G:G)*SUMIF(Summary!$A$166:$A$242,'Operations Support'!A1363,Summary!$Q$166:$Q$242),0)</f>
        <v>0</v>
      </c>
      <c r="AG1363" s="196">
        <f t="shared" ca="1" si="305"/>
        <v>0</v>
      </c>
      <c r="AI1363" s="196">
        <f>IFERROR($G1363/SUMIF($A:$A,$A1363,$G:$G)*SUMIF(Summary!$A$247:$A$283,$A1363,Summary!$P$247:$P$283),0)</f>
        <v>0</v>
      </c>
      <c r="AJ1363" s="196">
        <f>IFERROR($G1363/SUMIF($A:$A,$A1363,$G:$G)*(SUMIF(Summary!$A$247:$A$283,$A1363,Summary!$L$247:$L$283)+SUMIF(Summary!$A$297:$A$333,$A1363,Summary!$L$297:$L$333))-AI1363,0)</f>
        <v>0</v>
      </c>
      <c r="AK1363" s="196">
        <f>IFERROR($G1363/SUMIF($A:$A,$A1363,$G:$G)*SUMIF(Summary!$A$247:$A$283,$A1363,Summary!$Q$247:$Q$283),0)</f>
        <v>0</v>
      </c>
      <c r="AL1363" s="196">
        <f>IFERROR($G1363/SUMIF($A:$A,$A1363,$G:$G)*(SUMIF(Summary!$A$247:$A$283,$A1363,Summary!$L$247:$L$283)+SUMIF(Summary!$A$297:$A$333,$A1363,Summary!$L$297:$L$333))-AK1363,0)</f>
        <v>0</v>
      </c>
      <c r="AM1363" s="198"/>
      <c r="AN1363" s="196">
        <f t="shared" ca="1" si="306"/>
        <v>0</v>
      </c>
      <c r="AO1363" s="196">
        <f t="shared" ca="1" si="307"/>
        <v>0</v>
      </c>
    </row>
    <row r="1364" spans="1:41">
      <c r="A1364" s="189">
        <v>3631</v>
      </c>
      <c r="B1364" s="190">
        <v>5</v>
      </c>
      <c r="C1364" s="191" t="s">
        <v>235</v>
      </c>
      <c r="D1364" s="192">
        <f t="shared" si="294"/>
        <v>0</v>
      </c>
      <c r="E1364" s="192">
        <f t="shared" si="295"/>
        <v>0</v>
      </c>
      <c r="F1364" s="192">
        <f t="shared" si="296"/>
        <v>0</v>
      </c>
      <c r="G1364" s="193">
        <f t="shared" si="297"/>
        <v>0</v>
      </c>
      <c r="H1364" s="194">
        <v>0</v>
      </c>
      <c r="I1364" s="194">
        <v>0</v>
      </c>
      <c r="J1364" s="194">
        <v>0</v>
      </c>
      <c r="K1364" s="193">
        <f t="shared" si="298"/>
        <v>0</v>
      </c>
      <c r="L1364" s="194">
        <v>0</v>
      </c>
      <c r="M1364" s="194">
        <v>0</v>
      </c>
      <c r="N1364" s="194">
        <v>0</v>
      </c>
      <c r="O1364" s="193">
        <f t="shared" si="299"/>
        <v>0</v>
      </c>
      <c r="P1364" s="194">
        <v>0</v>
      </c>
      <c r="Q1364" s="194">
        <v>0</v>
      </c>
      <c r="R1364" s="194">
        <v>0</v>
      </c>
      <c r="S1364" s="193">
        <f t="shared" si="300"/>
        <v>0</v>
      </c>
      <c r="T1364" s="193">
        <f t="shared" si="301"/>
        <v>0</v>
      </c>
      <c r="U1364" s="193">
        <f ca="1">OFFSET('Expenditure Study'!$B$7,'Operations Support'!$C1364,'Operations Support'!$B1364)*$G1364</f>
        <v>0</v>
      </c>
      <c r="V1364" s="199">
        <f ca="1">U1364*'Expenditure Study'!$B$31</f>
        <v>0</v>
      </c>
      <c r="W1364" s="199">
        <f ca="1">IF(A1364=10298,1.51,1)*IF($B1364&lt;3,$D1364*'Expenditure Study'!$B$32*OFFSET('Expenditure Study'!$B$7,'Operations Support'!$C1364,'Operations Support'!$B1364),0)</f>
        <v>0</v>
      </c>
      <c r="X1364" s="200">
        <f ca="1">W1364*'Expenditure Study'!$B$31</f>
        <v>0</v>
      </c>
      <c r="Y1364" s="199">
        <f ca="1">U1364*'Expenditure Study'!$B$31</f>
        <v>0</v>
      </c>
      <c r="Z1364" s="200">
        <f ca="1">W1364*'Expenditure Study'!$B$31</f>
        <v>0</v>
      </c>
      <c r="AA1364" s="195">
        <f t="shared" ca="1" si="302"/>
        <v>0</v>
      </c>
      <c r="AB1364" s="195">
        <f t="shared" ca="1" si="303"/>
        <v>0</v>
      </c>
      <c r="AD1364" s="196">
        <f>IFERROR($G1364/SUMIF($A:$A,$A1364,$G:$G)*SUMIF(Summary!$A$166:$A$242,$A1364,Summary!$P$166:$P$242),0)</f>
        <v>0</v>
      </c>
      <c r="AE1364" s="197">
        <f t="shared" ca="1" si="304"/>
        <v>0</v>
      </c>
      <c r="AF1364" s="196">
        <f>IFERROR(G1364/SUMIF(A:A,A1364,G:G)*SUMIF(Summary!$A$166:$A$242,'Operations Support'!A1364,Summary!$Q$166:$Q$242),0)</f>
        <v>0</v>
      </c>
      <c r="AG1364" s="196">
        <f t="shared" ca="1" si="305"/>
        <v>0</v>
      </c>
      <c r="AI1364" s="196">
        <f>IFERROR($G1364/SUMIF($A:$A,$A1364,$G:$G)*SUMIF(Summary!$A$247:$A$283,$A1364,Summary!$P$247:$P$283),0)</f>
        <v>0</v>
      </c>
      <c r="AJ1364" s="196">
        <f>IFERROR($G1364/SUMIF($A:$A,$A1364,$G:$G)*(SUMIF(Summary!$A$247:$A$283,$A1364,Summary!$L$247:$L$283)+SUMIF(Summary!$A$297:$A$333,$A1364,Summary!$L$297:$L$333))-AI1364,0)</f>
        <v>0</v>
      </c>
      <c r="AK1364" s="196">
        <f>IFERROR($G1364/SUMIF($A:$A,$A1364,$G:$G)*SUMIF(Summary!$A$247:$A$283,$A1364,Summary!$Q$247:$Q$283),0)</f>
        <v>0</v>
      </c>
      <c r="AL1364" s="196">
        <f>IFERROR($G1364/SUMIF($A:$A,$A1364,$G:$G)*(SUMIF(Summary!$A$247:$A$283,$A1364,Summary!$L$247:$L$283)+SUMIF(Summary!$A$297:$A$333,$A1364,Summary!$L$297:$L$333))-AK1364,0)</f>
        <v>0</v>
      </c>
      <c r="AM1364" s="198"/>
      <c r="AN1364" s="196">
        <f t="shared" ca="1" si="306"/>
        <v>0</v>
      </c>
      <c r="AO1364" s="196">
        <f t="shared" ca="1" si="307"/>
        <v>0</v>
      </c>
    </row>
    <row r="1365" spans="1:41">
      <c r="A1365" s="189">
        <v>3631</v>
      </c>
      <c r="B1365" s="190">
        <v>5</v>
      </c>
      <c r="C1365" s="191" t="s">
        <v>236</v>
      </c>
      <c r="D1365" s="192">
        <f t="shared" si="294"/>
        <v>0</v>
      </c>
      <c r="E1365" s="192">
        <f t="shared" si="295"/>
        <v>0</v>
      </c>
      <c r="F1365" s="192">
        <f t="shared" si="296"/>
        <v>0</v>
      </c>
      <c r="G1365" s="193">
        <f t="shared" si="297"/>
        <v>0</v>
      </c>
      <c r="H1365" s="194">
        <v>0</v>
      </c>
      <c r="I1365" s="194">
        <v>0</v>
      </c>
      <c r="J1365" s="194">
        <v>0</v>
      </c>
      <c r="K1365" s="193">
        <f t="shared" si="298"/>
        <v>0</v>
      </c>
      <c r="L1365" s="194">
        <v>0</v>
      </c>
      <c r="M1365" s="194">
        <v>0</v>
      </c>
      <c r="N1365" s="194">
        <v>0</v>
      </c>
      <c r="O1365" s="193">
        <f t="shared" si="299"/>
        <v>0</v>
      </c>
      <c r="P1365" s="194">
        <v>0</v>
      </c>
      <c r="Q1365" s="194">
        <v>0</v>
      </c>
      <c r="R1365" s="194">
        <v>0</v>
      </c>
      <c r="S1365" s="193">
        <f t="shared" si="300"/>
        <v>0</v>
      </c>
      <c r="T1365" s="193">
        <f t="shared" si="301"/>
        <v>0</v>
      </c>
      <c r="U1365" s="193">
        <f ca="1">OFFSET('Expenditure Study'!$B$7,'Operations Support'!$C1365,'Operations Support'!$B1365)*$G1365</f>
        <v>0</v>
      </c>
      <c r="V1365" s="199">
        <f ca="1">U1365*'Expenditure Study'!$B$31</f>
        <v>0</v>
      </c>
      <c r="W1365" s="199">
        <f ca="1">IF(A1365=10298,1.51,1)*IF($B1365&lt;3,$D1365*'Expenditure Study'!$B$32*OFFSET('Expenditure Study'!$B$7,'Operations Support'!$C1365,'Operations Support'!$B1365),0)</f>
        <v>0</v>
      </c>
      <c r="X1365" s="200">
        <f ca="1">W1365*'Expenditure Study'!$B$31</f>
        <v>0</v>
      </c>
      <c r="Y1365" s="199">
        <f ca="1">U1365*'Expenditure Study'!$B$31</f>
        <v>0</v>
      </c>
      <c r="Z1365" s="200">
        <f ca="1">W1365*'Expenditure Study'!$B$31</f>
        <v>0</v>
      </c>
      <c r="AA1365" s="195">
        <f t="shared" ca="1" si="302"/>
        <v>0</v>
      </c>
      <c r="AB1365" s="195">
        <f t="shared" ca="1" si="303"/>
        <v>0</v>
      </c>
      <c r="AD1365" s="196">
        <f>IFERROR($G1365/SUMIF($A:$A,$A1365,$G:$G)*SUMIF(Summary!$A$166:$A$242,$A1365,Summary!$P$166:$P$242),0)</f>
        <v>0</v>
      </c>
      <c r="AE1365" s="197">
        <f t="shared" ca="1" si="304"/>
        <v>0</v>
      </c>
      <c r="AF1365" s="196">
        <f>IFERROR(G1365/SUMIF(A:A,A1365,G:G)*SUMIF(Summary!$A$166:$A$242,'Operations Support'!A1365,Summary!$Q$166:$Q$242),0)</f>
        <v>0</v>
      </c>
      <c r="AG1365" s="196">
        <f t="shared" ca="1" si="305"/>
        <v>0</v>
      </c>
      <c r="AI1365" s="196">
        <f>IFERROR($G1365/SUMIF($A:$A,$A1365,$G:$G)*SUMIF(Summary!$A$247:$A$283,$A1365,Summary!$P$247:$P$283),0)</f>
        <v>0</v>
      </c>
      <c r="AJ1365" s="196">
        <f>IFERROR($G1365/SUMIF($A:$A,$A1365,$G:$G)*(SUMIF(Summary!$A$247:$A$283,$A1365,Summary!$L$247:$L$283)+SUMIF(Summary!$A$297:$A$333,$A1365,Summary!$L$297:$L$333))-AI1365,0)</f>
        <v>0</v>
      </c>
      <c r="AK1365" s="196">
        <f>IFERROR($G1365/SUMIF($A:$A,$A1365,$G:$G)*SUMIF(Summary!$A$247:$A$283,$A1365,Summary!$Q$247:$Q$283),0)</f>
        <v>0</v>
      </c>
      <c r="AL1365" s="196">
        <f>IFERROR($G1365/SUMIF($A:$A,$A1365,$G:$G)*(SUMIF(Summary!$A$247:$A$283,$A1365,Summary!$L$247:$L$283)+SUMIF(Summary!$A$297:$A$333,$A1365,Summary!$L$297:$L$333))-AK1365,0)</f>
        <v>0</v>
      </c>
      <c r="AM1365" s="198"/>
      <c r="AN1365" s="196">
        <f t="shared" ca="1" si="306"/>
        <v>0</v>
      </c>
      <c r="AO1365" s="196">
        <f t="shared" ca="1" si="307"/>
        <v>0</v>
      </c>
    </row>
    <row r="1366" spans="1:41">
      <c r="A1366" s="189">
        <v>3631</v>
      </c>
      <c r="B1366" s="190">
        <v>5</v>
      </c>
      <c r="C1366" s="191" t="s">
        <v>237</v>
      </c>
      <c r="D1366" s="192">
        <f t="shared" si="294"/>
        <v>0</v>
      </c>
      <c r="E1366" s="192">
        <f t="shared" si="295"/>
        <v>0</v>
      </c>
      <c r="F1366" s="192">
        <f t="shared" si="296"/>
        <v>0</v>
      </c>
      <c r="G1366" s="193">
        <f t="shared" si="297"/>
        <v>0</v>
      </c>
      <c r="H1366" s="194">
        <v>0</v>
      </c>
      <c r="I1366" s="194">
        <v>0</v>
      </c>
      <c r="J1366" s="194">
        <v>0</v>
      </c>
      <c r="K1366" s="193">
        <f t="shared" si="298"/>
        <v>0</v>
      </c>
      <c r="L1366" s="194">
        <v>0</v>
      </c>
      <c r="M1366" s="194">
        <v>0</v>
      </c>
      <c r="N1366" s="194">
        <v>0</v>
      </c>
      <c r="O1366" s="193">
        <f t="shared" si="299"/>
        <v>0</v>
      </c>
      <c r="P1366" s="194">
        <v>0</v>
      </c>
      <c r="Q1366" s="194">
        <v>0</v>
      </c>
      <c r="R1366" s="194">
        <v>0</v>
      </c>
      <c r="S1366" s="193">
        <f t="shared" si="300"/>
        <v>0</v>
      </c>
      <c r="T1366" s="193">
        <f t="shared" si="301"/>
        <v>0</v>
      </c>
      <c r="U1366" s="193">
        <f ca="1">OFFSET('Expenditure Study'!$B$7,'Operations Support'!$C1366,'Operations Support'!$B1366)*$G1366</f>
        <v>0</v>
      </c>
      <c r="V1366" s="199">
        <f ca="1">U1366*'Expenditure Study'!$B$31</f>
        <v>0</v>
      </c>
      <c r="W1366" s="199">
        <f ca="1">IF(A1366=10298,1.51,1)*IF($B1366&lt;3,$D1366*'Expenditure Study'!$B$32*OFFSET('Expenditure Study'!$B$7,'Operations Support'!$C1366,'Operations Support'!$B1366),0)</f>
        <v>0</v>
      </c>
      <c r="X1366" s="200">
        <f ca="1">W1366*'Expenditure Study'!$B$31</f>
        <v>0</v>
      </c>
      <c r="Y1366" s="199">
        <f ca="1">U1366*'Expenditure Study'!$B$31</f>
        <v>0</v>
      </c>
      <c r="Z1366" s="200">
        <f ca="1">W1366*'Expenditure Study'!$B$31</f>
        <v>0</v>
      </c>
      <c r="AA1366" s="195">
        <f t="shared" ca="1" si="302"/>
        <v>0</v>
      </c>
      <c r="AB1366" s="195">
        <f t="shared" ca="1" si="303"/>
        <v>0</v>
      </c>
      <c r="AD1366" s="196">
        <f>IFERROR($G1366/SUMIF($A:$A,$A1366,$G:$G)*SUMIF(Summary!$A$166:$A$242,$A1366,Summary!$P$166:$P$242),0)</f>
        <v>0</v>
      </c>
      <c r="AE1366" s="197">
        <f t="shared" ca="1" si="304"/>
        <v>0</v>
      </c>
      <c r="AF1366" s="196">
        <f>IFERROR(G1366/SUMIF(A:A,A1366,G:G)*SUMIF(Summary!$A$166:$A$242,'Operations Support'!A1366,Summary!$Q$166:$Q$242),0)</f>
        <v>0</v>
      </c>
      <c r="AG1366" s="196">
        <f t="shared" ca="1" si="305"/>
        <v>0</v>
      </c>
      <c r="AI1366" s="196">
        <f>IFERROR($G1366/SUMIF($A:$A,$A1366,$G:$G)*SUMIF(Summary!$A$247:$A$283,$A1366,Summary!$P$247:$P$283),0)</f>
        <v>0</v>
      </c>
      <c r="AJ1366" s="196">
        <f>IFERROR($G1366/SUMIF($A:$A,$A1366,$G:$G)*(SUMIF(Summary!$A$247:$A$283,$A1366,Summary!$L$247:$L$283)+SUMIF(Summary!$A$297:$A$333,$A1366,Summary!$L$297:$L$333))-AI1366,0)</f>
        <v>0</v>
      </c>
      <c r="AK1366" s="196">
        <f>IFERROR($G1366/SUMIF($A:$A,$A1366,$G:$G)*SUMIF(Summary!$A$247:$A$283,$A1366,Summary!$Q$247:$Q$283),0)</f>
        <v>0</v>
      </c>
      <c r="AL1366" s="196">
        <f>IFERROR($G1366/SUMIF($A:$A,$A1366,$G:$G)*(SUMIF(Summary!$A$247:$A$283,$A1366,Summary!$L$247:$L$283)+SUMIF(Summary!$A$297:$A$333,$A1366,Summary!$L$297:$L$333))-AK1366,0)</f>
        <v>0</v>
      </c>
      <c r="AM1366" s="198"/>
      <c r="AN1366" s="196">
        <f t="shared" ca="1" si="306"/>
        <v>0</v>
      </c>
      <c r="AO1366" s="196">
        <f t="shared" ca="1" si="307"/>
        <v>0</v>
      </c>
    </row>
    <row r="1367" spans="1:41">
      <c r="A1367" s="189">
        <v>3631</v>
      </c>
      <c r="B1367" s="190">
        <v>5</v>
      </c>
      <c r="C1367" s="191" t="s">
        <v>238</v>
      </c>
      <c r="D1367" s="192">
        <f t="shared" si="294"/>
        <v>0</v>
      </c>
      <c r="E1367" s="192">
        <f t="shared" si="295"/>
        <v>0</v>
      </c>
      <c r="F1367" s="192">
        <f t="shared" si="296"/>
        <v>0</v>
      </c>
      <c r="G1367" s="193">
        <f t="shared" si="297"/>
        <v>0</v>
      </c>
      <c r="H1367" s="194">
        <v>0</v>
      </c>
      <c r="I1367" s="194">
        <v>0</v>
      </c>
      <c r="J1367" s="194">
        <v>0</v>
      </c>
      <c r="K1367" s="193">
        <f t="shared" si="298"/>
        <v>0</v>
      </c>
      <c r="L1367" s="194">
        <v>0</v>
      </c>
      <c r="M1367" s="194">
        <v>0</v>
      </c>
      <c r="N1367" s="194">
        <v>0</v>
      </c>
      <c r="O1367" s="193">
        <f t="shared" si="299"/>
        <v>0</v>
      </c>
      <c r="P1367" s="194">
        <v>0</v>
      </c>
      <c r="Q1367" s="194">
        <v>0</v>
      </c>
      <c r="R1367" s="194">
        <v>0</v>
      </c>
      <c r="S1367" s="193">
        <f t="shared" si="300"/>
        <v>0</v>
      </c>
      <c r="T1367" s="193">
        <f t="shared" si="301"/>
        <v>0</v>
      </c>
      <c r="U1367" s="193">
        <f ca="1">OFFSET('Expenditure Study'!$B$7,'Operations Support'!$C1367,'Operations Support'!$B1367)*$G1367</f>
        <v>0</v>
      </c>
      <c r="V1367" s="199">
        <f ca="1">U1367*'Expenditure Study'!$B$31</f>
        <v>0</v>
      </c>
      <c r="W1367" s="199">
        <f ca="1">IF(A1367=10298,1.51,1)*IF($B1367&lt;3,$D1367*'Expenditure Study'!$B$32*OFFSET('Expenditure Study'!$B$7,'Operations Support'!$C1367,'Operations Support'!$B1367),0)</f>
        <v>0</v>
      </c>
      <c r="X1367" s="200">
        <f ca="1">W1367*'Expenditure Study'!$B$31</f>
        <v>0</v>
      </c>
      <c r="Y1367" s="199">
        <f ca="1">U1367*'Expenditure Study'!$B$31</f>
        <v>0</v>
      </c>
      <c r="Z1367" s="200">
        <f ca="1">W1367*'Expenditure Study'!$B$31</f>
        <v>0</v>
      </c>
      <c r="AA1367" s="195">
        <f t="shared" ca="1" si="302"/>
        <v>0</v>
      </c>
      <c r="AB1367" s="195">
        <f t="shared" ca="1" si="303"/>
        <v>0</v>
      </c>
      <c r="AD1367" s="196">
        <f>IFERROR($G1367/SUMIF($A:$A,$A1367,$G:$G)*SUMIF(Summary!$A$166:$A$242,$A1367,Summary!$P$166:$P$242),0)</f>
        <v>0</v>
      </c>
      <c r="AE1367" s="197">
        <f t="shared" ca="1" si="304"/>
        <v>0</v>
      </c>
      <c r="AF1367" s="196">
        <f>IFERROR(G1367/SUMIF(A:A,A1367,G:G)*SUMIF(Summary!$A$166:$A$242,'Operations Support'!A1367,Summary!$Q$166:$Q$242),0)</f>
        <v>0</v>
      </c>
      <c r="AG1367" s="196">
        <f t="shared" ca="1" si="305"/>
        <v>0</v>
      </c>
      <c r="AI1367" s="196">
        <f>IFERROR($G1367/SUMIF($A:$A,$A1367,$G:$G)*SUMIF(Summary!$A$247:$A$283,$A1367,Summary!$P$247:$P$283),0)</f>
        <v>0</v>
      </c>
      <c r="AJ1367" s="196">
        <f>IFERROR($G1367/SUMIF($A:$A,$A1367,$G:$G)*(SUMIF(Summary!$A$247:$A$283,$A1367,Summary!$L$247:$L$283)+SUMIF(Summary!$A$297:$A$333,$A1367,Summary!$L$297:$L$333))-AI1367,0)</f>
        <v>0</v>
      </c>
      <c r="AK1367" s="196">
        <f>IFERROR($G1367/SUMIF($A:$A,$A1367,$G:$G)*SUMIF(Summary!$A$247:$A$283,$A1367,Summary!$Q$247:$Q$283),0)</f>
        <v>0</v>
      </c>
      <c r="AL1367" s="196">
        <f>IFERROR($G1367/SUMIF($A:$A,$A1367,$G:$G)*(SUMIF(Summary!$A$247:$A$283,$A1367,Summary!$L$247:$L$283)+SUMIF(Summary!$A$297:$A$333,$A1367,Summary!$L$297:$L$333))-AK1367,0)</f>
        <v>0</v>
      </c>
      <c r="AM1367" s="198"/>
      <c r="AN1367" s="196">
        <f t="shared" ca="1" si="306"/>
        <v>0</v>
      </c>
      <c r="AO1367" s="196">
        <f t="shared" ca="1" si="307"/>
        <v>0</v>
      </c>
    </row>
    <row r="1368" spans="1:41">
      <c r="A1368" s="189">
        <v>3631</v>
      </c>
      <c r="B1368" s="190">
        <v>5</v>
      </c>
      <c r="C1368" s="191" t="s">
        <v>239</v>
      </c>
      <c r="D1368" s="192">
        <f t="shared" si="294"/>
        <v>0</v>
      </c>
      <c r="E1368" s="192">
        <f t="shared" si="295"/>
        <v>0</v>
      </c>
      <c r="F1368" s="192">
        <f t="shared" si="296"/>
        <v>0</v>
      </c>
      <c r="G1368" s="193">
        <f t="shared" si="297"/>
        <v>0</v>
      </c>
      <c r="H1368" s="194">
        <v>0</v>
      </c>
      <c r="I1368" s="194">
        <v>0</v>
      </c>
      <c r="J1368" s="194">
        <v>0</v>
      </c>
      <c r="K1368" s="193">
        <f t="shared" si="298"/>
        <v>0</v>
      </c>
      <c r="L1368" s="194">
        <v>0</v>
      </c>
      <c r="M1368" s="194">
        <v>0</v>
      </c>
      <c r="N1368" s="194">
        <v>0</v>
      </c>
      <c r="O1368" s="193">
        <f t="shared" si="299"/>
        <v>0</v>
      </c>
      <c r="P1368" s="194">
        <v>0</v>
      </c>
      <c r="Q1368" s="194">
        <v>0</v>
      </c>
      <c r="R1368" s="194">
        <v>0</v>
      </c>
      <c r="S1368" s="193">
        <f t="shared" si="300"/>
        <v>0</v>
      </c>
      <c r="T1368" s="193">
        <f t="shared" si="301"/>
        <v>0</v>
      </c>
      <c r="U1368" s="193">
        <f ca="1">OFFSET('Expenditure Study'!$B$7,'Operations Support'!$C1368,'Operations Support'!$B1368)*$G1368</f>
        <v>0</v>
      </c>
      <c r="V1368" s="199">
        <f ca="1">U1368*'Expenditure Study'!$B$31</f>
        <v>0</v>
      </c>
      <c r="W1368" s="199">
        <f ca="1">IF(A1368=10298,1.51,1)*IF($B1368&lt;3,$D1368*'Expenditure Study'!$B$32*OFFSET('Expenditure Study'!$B$7,'Operations Support'!$C1368,'Operations Support'!$B1368),0)</f>
        <v>0</v>
      </c>
      <c r="X1368" s="200">
        <f ca="1">W1368*'Expenditure Study'!$B$31</f>
        <v>0</v>
      </c>
      <c r="Y1368" s="199">
        <f ca="1">U1368*'Expenditure Study'!$B$31</f>
        <v>0</v>
      </c>
      <c r="Z1368" s="200">
        <f ca="1">W1368*'Expenditure Study'!$B$31</f>
        <v>0</v>
      </c>
      <c r="AA1368" s="195">
        <f t="shared" ca="1" si="302"/>
        <v>0</v>
      </c>
      <c r="AB1368" s="195">
        <f t="shared" ca="1" si="303"/>
        <v>0</v>
      </c>
      <c r="AD1368" s="196">
        <f>IFERROR($G1368/SUMIF($A:$A,$A1368,$G:$G)*SUMIF(Summary!$A$166:$A$242,$A1368,Summary!$P$166:$P$242),0)</f>
        <v>0</v>
      </c>
      <c r="AE1368" s="197">
        <f t="shared" ca="1" si="304"/>
        <v>0</v>
      </c>
      <c r="AF1368" s="196">
        <f>IFERROR(G1368/SUMIF(A:A,A1368,G:G)*SUMIF(Summary!$A$166:$A$242,'Operations Support'!A1368,Summary!$Q$166:$Q$242),0)</f>
        <v>0</v>
      </c>
      <c r="AG1368" s="196">
        <f t="shared" ca="1" si="305"/>
        <v>0</v>
      </c>
      <c r="AI1368" s="196">
        <f>IFERROR($G1368/SUMIF($A:$A,$A1368,$G:$G)*SUMIF(Summary!$A$247:$A$283,$A1368,Summary!$P$247:$P$283),0)</f>
        <v>0</v>
      </c>
      <c r="AJ1368" s="196">
        <f>IFERROR($G1368/SUMIF($A:$A,$A1368,$G:$G)*(SUMIF(Summary!$A$247:$A$283,$A1368,Summary!$L$247:$L$283)+SUMIF(Summary!$A$297:$A$333,$A1368,Summary!$L$297:$L$333))-AI1368,0)</f>
        <v>0</v>
      </c>
      <c r="AK1368" s="196">
        <f>IFERROR($G1368/SUMIF($A:$A,$A1368,$G:$G)*SUMIF(Summary!$A$247:$A$283,$A1368,Summary!$Q$247:$Q$283),0)</f>
        <v>0</v>
      </c>
      <c r="AL1368" s="196">
        <f>IFERROR($G1368/SUMIF($A:$A,$A1368,$G:$G)*(SUMIF(Summary!$A$247:$A$283,$A1368,Summary!$L$247:$L$283)+SUMIF(Summary!$A$297:$A$333,$A1368,Summary!$L$297:$L$333))-AK1368,0)</f>
        <v>0</v>
      </c>
      <c r="AM1368" s="198"/>
      <c r="AN1368" s="196">
        <f t="shared" ca="1" si="306"/>
        <v>0</v>
      </c>
      <c r="AO1368" s="196">
        <f t="shared" ca="1" si="307"/>
        <v>0</v>
      </c>
    </row>
    <row r="1369" spans="1:41">
      <c r="A1369" s="189">
        <v>3631</v>
      </c>
      <c r="B1369" s="190">
        <v>5</v>
      </c>
      <c r="C1369" s="191" t="s">
        <v>240</v>
      </c>
      <c r="D1369" s="192">
        <f t="shared" si="294"/>
        <v>0</v>
      </c>
      <c r="E1369" s="192">
        <f t="shared" si="295"/>
        <v>0</v>
      </c>
      <c r="F1369" s="192">
        <f t="shared" si="296"/>
        <v>0</v>
      </c>
      <c r="G1369" s="193">
        <f t="shared" si="297"/>
        <v>0</v>
      </c>
      <c r="H1369" s="194">
        <v>0</v>
      </c>
      <c r="I1369" s="194">
        <v>0</v>
      </c>
      <c r="J1369" s="194">
        <v>0</v>
      </c>
      <c r="K1369" s="193">
        <f t="shared" si="298"/>
        <v>0</v>
      </c>
      <c r="L1369" s="194">
        <v>0</v>
      </c>
      <c r="M1369" s="194">
        <v>0</v>
      </c>
      <c r="N1369" s="194">
        <v>0</v>
      </c>
      <c r="O1369" s="193">
        <f t="shared" si="299"/>
        <v>0</v>
      </c>
      <c r="P1369" s="194">
        <v>0</v>
      </c>
      <c r="Q1369" s="194">
        <v>0</v>
      </c>
      <c r="R1369" s="194">
        <v>0</v>
      </c>
      <c r="S1369" s="193">
        <f t="shared" si="300"/>
        <v>0</v>
      </c>
      <c r="T1369" s="193">
        <f t="shared" si="301"/>
        <v>0</v>
      </c>
      <c r="U1369" s="193">
        <f ca="1">OFFSET('Expenditure Study'!$B$7,'Operations Support'!$C1369,'Operations Support'!$B1369)*$G1369</f>
        <v>0</v>
      </c>
      <c r="V1369" s="199">
        <f ca="1">U1369*'Expenditure Study'!$B$31</f>
        <v>0</v>
      </c>
      <c r="W1369" s="199">
        <f ca="1">IF(A1369=10298,1.51,1)*IF($B1369&lt;3,$D1369*'Expenditure Study'!$B$32*OFFSET('Expenditure Study'!$B$7,'Operations Support'!$C1369,'Operations Support'!$B1369),0)</f>
        <v>0</v>
      </c>
      <c r="X1369" s="200">
        <f ca="1">W1369*'Expenditure Study'!$B$31</f>
        <v>0</v>
      </c>
      <c r="Y1369" s="199">
        <f ca="1">U1369*'Expenditure Study'!$B$31</f>
        <v>0</v>
      </c>
      <c r="Z1369" s="200">
        <f ca="1">W1369*'Expenditure Study'!$B$31</f>
        <v>0</v>
      </c>
      <c r="AA1369" s="195">
        <f t="shared" ca="1" si="302"/>
        <v>0</v>
      </c>
      <c r="AB1369" s="195">
        <f t="shared" ca="1" si="303"/>
        <v>0</v>
      </c>
      <c r="AD1369" s="196">
        <f>IFERROR($G1369/SUMIF($A:$A,$A1369,$G:$G)*SUMIF(Summary!$A$166:$A$242,$A1369,Summary!$P$166:$P$242),0)</f>
        <v>0</v>
      </c>
      <c r="AE1369" s="197">
        <f t="shared" ca="1" si="304"/>
        <v>0</v>
      </c>
      <c r="AF1369" s="196">
        <f>IFERROR(G1369/SUMIF(A:A,A1369,G:G)*SUMIF(Summary!$A$166:$A$242,'Operations Support'!A1369,Summary!$Q$166:$Q$242),0)</f>
        <v>0</v>
      </c>
      <c r="AG1369" s="196">
        <f t="shared" ca="1" si="305"/>
        <v>0</v>
      </c>
      <c r="AI1369" s="196">
        <f>IFERROR($G1369/SUMIF($A:$A,$A1369,$G:$G)*SUMIF(Summary!$A$247:$A$283,$A1369,Summary!$P$247:$P$283),0)</f>
        <v>0</v>
      </c>
      <c r="AJ1369" s="196">
        <f>IFERROR($G1369/SUMIF($A:$A,$A1369,$G:$G)*(SUMIF(Summary!$A$247:$A$283,$A1369,Summary!$L$247:$L$283)+SUMIF(Summary!$A$297:$A$333,$A1369,Summary!$L$297:$L$333))-AI1369,0)</f>
        <v>0</v>
      </c>
      <c r="AK1369" s="196">
        <f>IFERROR($G1369/SUMIF($A:$A,$A1369,$G:$G)*SUMIF(Summary!$A$247:$A$283,$A1369,Summary!$Q$247:$Q$283),0)</f>
        <v>0</v>
      </c>
      <c r="AL1369" s="196">
        <f>IFERROR($G1369/SUMIF($A:$A,$A1369,$G:$G)*(SUMIF(Summary!$A$247:$A$283,$A1369,Summary!$L$247:$L$283)+SUMIF(Summary!$A$297:$A$333,$A1369,Summary!$L$297:$L$333))-AK1369,0)</f>
        <v>0</v>
      </c>
      <c r="AM1369" s="198"/>
      <c r="AN1369" s="196">
        <f t="shared" ca="1" si="306"/>
        <v>0</v>
      </c>
      <c r="AO1369" s="196">
        <f t="shared" ca="1" si="307"/>
        <v>0</v>
      </c>
    </row>
    <row r="1370" spans="1:41">
      <c r="A1370" s="189">
        <v>3632</v>
      </c>
      <c r="B1370" s="190">
        <v>1</v>
      </c>
      <c r="C1370" s="191" t="s">
        <v>220</v>
      </c>
      <c r="D1370" s="192">
        <f t="shared" si="294"/>
        <v>59007.96</v>
      </c>
      <c r="E1370" s="192">
        <f t="shared" si="295"/>
        <v>238931.0400000001</v>
      </c>
      <c r="F1370" s="192">
        <f t="shared" si="296"/>
        <v>0</v>
      </c>
      <c r="G1370" s="193">
        <f t="shared" si="297"/>
        <v>297939.00000000012</v>
      </c>
      <c r="H1370" s="194">
        <v>23975.96</v>
      </c>
      <c r="I1370" s="194">
        <v>101865.04</v>
      </c>
      <c r="J1370" s="194">
        <v>0</v>
      </c>
      <c r="K1370" s="193">
        <f t="shared" si="298"/>
        <v>125841</v>
      </c>
      <c r="L1370" s="194">
        <v>33280</v>
      </c>
      <c r="M1370" s="194">
        <v>120273.0000000001</v>
      </c>
      <c r="N1370" s="194">
        <v>0</v>
      </c>
      <c r="O1370" s="193">
        <f t="shared" si="299"/>
        <v>153553.00000000012</v>
      </c>
      <c r="P1370" s="194">
        <v>1752</v>
      </c>
      <c r="Q1370" s="194">
        <v>16793</v>
      </c>
      <c r="R1370" s="194">
        <v>0</v>
      </c>
      <c r="S1370" s="193">
        <f t="shared" si="300"/>
        <v>18545</v>
      </c>
      <c r="T1370" s="193">
        <f t="shared" si="301"/>
        <v>9931.3000000000047</v>
      </c>
      <c r="U1370" s="193">
        <f ca="1">OFFSET('Expenditure Study'!$B$7,'Operations Support'!$C1370,'Operations Support'!$B1370)*$G1370</f>
        <v>297939.00000000012</v>
      </c>
      <c r="V1370" s="199">
        <f ca="1">U1370*'Expenditure Study'!$B$31</f>
        <v>17603183.804371208</v>
      </c>
      <c r="W1370" s="199">
        <f ca="1">IF(A1370=10298,1.51,1)*IF($B1370&lt;3,$D1370*'Expenditure Study'!$B$32*OFFSET('Expenditure Study'!$B$7,'Operations Support'!$C1370,'Operations Support'!$B1370),0)</f>
        <v>5900.7960000000003</v>
      </c>
      <c r="X1370" s="200">
        <f ca="1">W1370*'Expenditure Study'!$B$31</f>
        <v>348637.79693191685</v>
      </c>
      <c r="Y1370" s="199">
        <f ca="1">U1370*'Expenditure Study'!$B$31</f>
        <v>17603183.804371208</v>
      </c>
      <c r="Z1370" s="200">
        <f ca="1">W1370*'Expenditure Study'!$B$31</f>
        <v>348637.79693191685</v>
      </c>
      <c r="AA1370" s="195">
        <f t="shared" ca="1" si="302"/>
        <v>17951821.601303123</v>
      </c>
      <c r="AB1370" s="195">
        <f t="shared" ca="1" si="303"/>
        <v>17951821.601303123</v>
      </c>
      <c r="AD1370" s="196">
        <f>IFERROR($G1370/SUMIF($A:$A,$A1370,$G:$G)*SUMIF(Summary!$A$166:$A$242,$A1370,Summary!$P$166:$P$242),0)</f>
        <v>10022694.13929062</v>
      </c>
      <c r="AE1370" s="197">
        <f t="shared" ca="1" si="304"/>
        <v>7929127.4620125033</v>
      </c>
      <c r="AF1370" s="196">
        <f>IFERROR(G1370/SUMIF(A:A,A1370,G:G)*SUMIF(Summary!$A$166:$A$242,'Operations Support'!A1370,Summary!$Q$166:$Q$242),0)</f>
        <v>10063812.166841879</v>
      </c>
      <c r="AG1370" s="196">
        <f t="shared" ca="1" si="305"/>
        <v>7888009.4344612435</v>
      </c>
      <c r="AI1370" s="196">
        <f>IFERROR($G1370/SUMIF($A:$A,$A1370,$G:$G)*SUMIF(Summary!$A$247:$A$283,$A1370,Summary!$P$247:$P$283),0)</f>
        <v>1827889.2974623716</v>
      </c>
      <c r="AJ1370" s="196">
        <f>IFERROR($G1370/SUMIF($A:$A,$A1370,$G:$G)*(SUMIF(Summary!$A$247:$A$283,$A1370,Summary!$L$247:$L$283)+SUMIF(Summary!$A$297:$A$333,$A1370,Summary!$L$297:$L$333))-AI1370,0)</f>
        <v>6648582.3575206287</v>
      </c>
      <c r="AK1370" s="196">
        <f>IFERROR($G1370/SUMIF($A:$A,$A1370,$G:$G)*SUMIF(Summary!$A$247:$A$283,$A1370,Summary!$Q$247:$Q$283),0)</f>
        <v>1835388.1995987815</v>
      </c>
      <c r="AL1370" s="196">
        <f>IFERROR($G1370/SUMIF($A:$A,$A1370,$G:$G)*(SUMIF(Summary!$A$247:$A$283,$A1370,Summary!$L$247:$L$283)+SUMIF(Summary!$A$297:$A$333,$A1370,Summary!$L$297:$L$333))-AK1370,0)</f>
        <v>6641083.4553842191</v>
      </c>
      <c r="AM1370" s="198"/>
      <c r="AN1370" s="196">
        <f t="shared" ca="1" si="306"/>
        <v>14577709.819533132</v>
      </c>
      <c r="AO1370" s="196">
        <f t="shared" ca="1" si="307"/>
        <v>14529092.889845463</v>
      </c>
    </row>
    <row r="1371" spans="1:41">
      <c r="A1371" s="189">
        <v>3632</v>
      </c>
      <c r="B1371" s="190">
        <v>1</v>
      </c>
      <c r="C1371" s="191" t="s">
        <v>221</v>
      </c>
      <c r="D1371" s="192">
        <f t="shared" si="294"/>
        <v>62649.650000000096</v>
      </c>
      <c r="E1371" s="192">
        <f t="shared" si="295"/>
        <v>175106.35000000239</v>
      </c>
      <c r="F1371" s="192">
        <f t="shared" si="296"/>
        <v>0</v>
      </c>
      <c r="G1371" s="193">
        <f t="shared" si="297"/>
        <v>237756.0000000025</v>
      </c>
      <c r="H1371" s="194">
        <v>26332.3100000003</v>
      </c>
      <c r="I1371" s="194">
        <v>84117.690000001297</v>
      </c>
      <c r="J1371" s="194">
        <v>0</v>
      </c>
      <c r="K1371" s="193">
        <f t="shared" si="298"/>
        <v>110450.0000000016</v>
      </c>
      <c r="L1371" s="194">
        <v>35606.3399999998</v>
      </c>
      <c r="M1371" s="194">
        <v>84066.660000001095</v>
      </c>
      <c r="N1371" s="194">
        <v>0</v>
      </c>
      <c r="O1371" s="193">
        <f t="shared" si="299"/>
        <v>119673.0000000009</v>
      </c>
      <c r="P1371" s="194">
        <v>711</v>
      </c>
      <c r="Q1371" s="194">
        <v>6922</v>
      </c>
      <c r="R1371" s="194">
        <v>0</v>
      </c>
      <c r="S1371" s="193">
        <f t="shared" si="300"/>
        <v>7633</v>
      </c>
      <c r="T1371" s="193">
        <f t="shared" si="301"/>
        <v>7925.2000000000835</v>
      </c>
      <c r="U1371" s="193">
        <f ca="1">OFFSET('Expenditure Study'!$B$7,'Operations Support'!$C1371,'Operations Support'!$B1371)*$G1371</f>
        <v>318593.04000000336</v>
      </c>
      <c r="V1371" s="199">
        <f ca="1">U1371*'Expenditure Study'!$B$31</f>
        <v>18823490.18394183</v>
      </c>
      <c r="W1371" s="199">
        <f ca="1">IF(A1371=10298,1.51,1)*IF($B1371&lt;3,$D1371*'Expenditure Study'!$B$32*OFFSET('Expenditure Study'!$B$7,'Operations Support'!$C1371,'Operations Support'!$B1371),0)</f>
        <v>8395.0531000000137</v>
      </c>
      <c r="X1371" s="200">
        <f ca="1">W1371*'Expenditure Study'!$B$31</f>
        <v>496006.44013290131</v>
      </c>
      <c r="Y1371" s="199">
        <f ca="1">U1371*'Expenditure Study'!$B$31</f>
        <v>18823490.18394183</v>
      </c>
      <c r="Z1371" s="200">
        <f ca="1">W1371*'Expenditure Study'!$B$31</f>
        <v>496006.44013290131</v>
      </c>
      <c r="AA1371" s="195">
        <f t="shared" ca="1" si="302"/>
        <v>19319496.624074731</v>
      </c>
      <c r="AB1371" s="195">
        <f t="shared" ca="1" si="303"/>
        <v>19319496.624074731</v>
      </c>
      <c r="AD1371" s="196">
        <f>IFERROR($G1371/SUMIF($A:$A,$A1371,$G:$G)*SUMIF(Summary!$A$166:$A$242,$A1371,Summary!$P$166:$P$242),0)</f>
        <v>7998132.73113357</v>
      </c>
      <c r="AE1371" s="197">
        <f t="shared" ca="1" si="304"/>
        <v>11321363.892941162</v>
      </c>
      <c r="AF1371" s="196">
        <f>IFERROR(G1371/SUMIF(A:A,A1371,G:G)*SUMIF(Summary!$A$166:$A$242,'Operations Support'!A1371,Summary!$Q$166:$Q$242),0)</f>
        <v>8030945.0106890406</v>
      </c>
      <c r="AG1371" s="196">
        <f t="shared" ca="1" si="305"/>
        <v>11288551.61338569</v>
      </c>
      <c r="AI1371" s="196">
        <f>IFERROR($G1371/SUMIF($A:$A,$A1371,$G:$G)*SUMIF(Summary!$A$247:$A$283,$A1371,Summary!$P$247:$P$283),0)</f>
        <v>1458659.818981295</v>
      </c>
      <c r="AJ1371" s="196">
        <f>IFERROR($G1371/SUMIF($A:$A,$A1371,$G:$G)*(SUMIF(Summary!$A$247:$A$283,$A1371,Summary!$L$247:$L$283)+SUMIF(Summary!$A$297:$A$333,$A1371,Summary!$L$297:$L$333))-AI1371,0)</f>
        <v>5305583.8510389403</v>
      </c>
      <c r="AK1371" s="196">
        <f>IFERROR($G1371/SUMIF($A:$A,$A1371,$G:$G)*SUMIF(Summary!$A$247:$A$283,$A1371,Summary!$Q$247:$Q$283),0)</f>
        <v>1464643.9599509037</v>
      </c>
      <c r="AL1371" s="196">
        <f>IFERROR($G1371/SUMIF($A:$A,$A1371,$G:$G)*(SUMIF(Summary!$A$247:$A$283,$A1371,Summary!$L$247:$L$283)+SUMIF(Summary!$A$297:$A$333,$A1371,Summary!$L$297:$L$333))-AK1371,0)</f>
        <v>5299599.7100693313</v>
      </c>
      <c r="AM1371" s="198"/>
      <c r="AN1371" s="196">
        <f t="shared" ca="1" si="306"/>
        <v>16626947.743980102</v>
      </c>
      <c r="AO1371" s="196">
        <f t="shared" ca="1" si="307"/>
        <v>16588151.323455021</v>
      </c>
    </row>
    <row r="1372" spans="1:41">
      <c r="A1372" s="189">
        <v>3632</v>
      </c>
      <c r="B1372" s="190">
        <v>1</v>
      </c>
      <c r="C1372" s="191" t="s">
        <v>222</v>
      </c>
      <c r="D1372" s="192">
        <f t="shared" si="294"/>
        <v>3750</v>
      </c>
      <c r="E1372" s="192">
        <f t="shared" si="295"/>
        <v>27348</v>
      </c>
      <c r="F1372" s="192">
        <f t="shared" si="296"/>
        <v>0</v>
      </c>
      <c r="G1372" s="193">
        <f t="shared" si="297"/>
        <v>31098</v>
      </c>
      <c r="H1372" s="194">
        <v>1130</v>
      </c>
      <c r="I1372" s="194">
        <v>9179</v>
      </c>
      <c r="J1372" s="194">
        <v>0</v>
      </c>
      <c r="K1372" s="193">
        <f t="shared" si="298"/>
        <v>10309</v>
      </c>
      <c r="L1372" s="194">
        <v>2497</v>
      </c>
      <c r="M1372" s="194">
        <v>16006</v>
      </c>
      <c r="N1372" s="194">
        <v>0</v>
      </c>
      <c r="O1372" s="193">
        <f t="shared" si="299"/>
        <v>18503</v>
      </c>
      <c r="P1372" s="194">
        <v>123</v>
      </c>
      <c r="Q1372" s="194">
        <v>2163</v>
      </c>
      <c r="R1372" s="194">
        <v>0</v>
      </c>
      <c r="S1372" s="193">
        <f t="shared" si="300"/>
        <v>2286</v>
      </c>
      <c r="T1372" s="193">
        <f t="shared" si="301"/>
        <v>1036.5999999999999</v>
      </c>
      <c r="U1372" s="193">
        <f ca="1">OFFSET('Expenditure Study'!$B$7,'Operations Support'!$C1372,'Operations Support'!$B1372)*$G1372</f>
        <v>42604.26</v>
      </c>
      <c r="V1372" s="199">
        <f ca="1">U1372*'Expenditure Study'!$B$31</f>
        <v>2517195.1964302082</v>
      </c>
      <c r="W1372" s="199">
        <f ca="1">IF(A1372=10298,1.51,1)*IF($B1372&lt;3,$D1372*'Expenditure Study'!$B$32*OFFSET('Expenditure Study'!$B$7,'Operations Support'!$C1372,'Operations Support'!$B1372),0)</f>
        <v>513.75</v>
      </c>
      <c r="X1372" s="200">
        <f ca="1">W1372*'Expenditure Study'!$B$31</f>
        <v>30353.984135999999</v>
      </c>
      <c r="Y1372" s="199">
        <f ca="1">U1372*'Expenditure Study'!$B$31</f>
        <v>2517195.1964302082</v>
      </c>
      <c r="Z1372" s="200">
        <f ca="1">W1372*'Expenditure Study'!$B$31</f>
        <v>30353.984135999999</v>
      </c>
      <c r="AA1372" s="195">
        <f t="shared" ca="1" si="302"/>
        <v>2547549.180566208</v>
      </c>
      <c r="AB1372" s="195">
        <f t="shared" ca="1" si="303"/>
        <v>2547549.180566208</v>
      </c>
      <c r="AD1372" s="196">
        <f>IFERROR($G1372/SUMIF($A:$A,$A1372,$G:$G)*SUMIF(Summary!$A$166:$A$242,$A1372,Summary!$P$166:$P$242),0)</f>
        <v>1046139.4525176616</v>
      </c>
      <c r="AE1372" s="197">
        <f t="shared" ca="1" si="304"/>
        <v>1501409.7280485462</v>
      </c>
      <c r="AF1372" s="196">
        <f>IFERROR(G1372/SUMIF(A:A,A1372,G:G)*SUMIF(Summary!$A$166:$A$242,'Operations Support'!A1372,Summary!$Q$166:$Q$242),0)</f>
        <v>1050431.2317771376</v>
      </c>
      <c r="AG1372" s="196">
        <f t="shared" ca="1" si="305"/>
        <v>1497117.9487890704</v>
      </c>
      <c r="AI1372" s="196">
        <f>IFERROR($G1372/SUMIF($A:$A,$A1372,$G:$G)*SUMIF(Summary!$A$247:$A$283,$A1372,Summary!$P$247:$P$283),0)</f>
        <v>190789.73002018806</v>
      </c>
      <c r="AJ1372" s="196">
        <f>IFERROR($G1372/SUMIF($A:$A,$A1372,$G:$G)*(SUMIF(Summary!$A$247:$A$283,$A1372,Summary!$L$247:$L$283)+SUMIF(Summary!$A$297:$A$333,$A1372,Summary!$L$297:$L$333))-AI1372,0)</f>
        <v>693959.54928417038</v>
      </c>
      <c r="AK1372" s="196">
        <f>IFERROR($G1372/SUMIF($A:$A,$A1372,$G:$G)*SUMIF(Summary!$A$247:$A$283,$A1372,Summary!$Q$247:$Q$283),0)</f>
        <v>191572.44345695892</v>
      </c>
      <c r="AL1372" s="196">
        <f>IFERROR($G1372/SUMIF($A:$A,$A1372,$G:$G)*(SUMIF(Summary!$A$247:$A$283,$A1372,Summary!$L$247:$L$283)+SUMIF(Summary!$A$297:$A$333,$A1372,Summary!$L$297:$L$333))-AK1372,0)</f>
        <v>693176.83584739943</v>
      </c>
      <c r="AM1372" s="198"/>
      <c r="AN1372" s="196">
        <f t="shared" ca="1" si="306"/>
        <v>2195369.2773327166</v>
      </c>
      <c r="AO1372" s="196">
        <f t="shared" ca="1" si="307"/>
        <v>2190294.7846364696</v>
      </c>
    </row>
    <row r="1373" spans="1:41">
      <c r="A1373" s="189">
        <v>3632</v>
      </c>
      <c r="B1373" s="190">
        <v>1</v>
      </c>
      <c r="C1373" s="191" t="s">
        <v>223</v>
      </c>
      <c r="D1373" s="192">
        <f t="shared" si="294"/>
        <v>474</v>
      </c>
      <c r="E1373" s="192">
        <f t="shared" si="295"/>
        <v>7727.99999999998</v>
      </c>
      <c r="F1373" s="192">
        <f t="shared" si="296"/>
        <v>0</v>
      </c>
      <c r="G1373" s="193">
        <f t="shared" si="297"/>
        <v>8201.99999999998</v>
      </c>
      <c r="H1373" s="194">
        <v>177</v>
      </c>
      <c r="I1373" s="194">
        <v>3172</v>
      </c>
      <c r="J1373" s="194">
        <v>0</v>
      </c>
      <c r="K1373" s="193">
        <f t="shared" si="298"/>
        <v>3349</v>
      </c>
      <c r="L1373" s="194">
        <v>294</v>
      </c>
      <c r="M1373" s="194">
        <v>4210.99999999998</v>
      </c>
      <c r="N1373" s="194">
        <v>0</v>
      </c>
      <c r="O1373" s="193">
        <f t="shared" si="299"/>
        <v>4504.99999999998</v>
      </c>
      <c r="P1373" s="194">
        <v>3</v>
      </c>
      <c r="Q1373" s="194">
        <v>345</v>
      </c>
      <c r="R1373" s="194">
        <v>0</v>
      </c>
      <c r="S1373" s="193">
        <f t="shared" si="300"/>
        <v>348</v>
      </c>
      <c r="T1373" s="193">
        <f t="shared" si="301"/>
        <v>273.39999999999935</v>
      </c>
      <c r="U1373" s="193">
        <f ca="1">OFFSET('Expenditure Study'!$B$7,'Operations Support'!$C1373,'Operations Support'!$B1373)*$G1373</f>
        <v>10334.519999999975</v>
      </c>
      <c r="V1373" s="199">
        <f ca="1">U1373*'Expenditure Study'!$B$31</f>
        <v>610596.31364121451</v>
      </c>
      <c r="W1373" s="199">
        <f ca="1">IF(A1373=10298,1.51,1)*IF($B1373&lt;3,$D1373*'Expenditure Study'!$B$32*OFFSET('Expenditure Study'!$B$7,'Operations Support'!$C1373,'Operations Support'!$B1373),0)</f>
        <v>59.724000000000011</v>
      </c>
      <c r="X1373" s="200">
        <f ca="1">W1373*'Expenditure Study'!$B$31</f>
        <v>3528.6838900992007</v>
      </c>
      <c r="Y1373" s="199">
        <f ca="1">U1373*'Expenditure Study'!$B$31</f>
        <v>610596.31364121451</v>
      </c>
      <c r="Z1373" s="200">
        <f ca="1">W1373*'Expenditure Study'!$B$31</f>
        <v>3528.6838900992007</v>
      </c>
      <c r="AA1373" s="195">
        <f t="shared" ca="1" si="302"/>
        <v>614124.99753131368</v>
      </c>
      <c r="AB1373" s="195">
        <f t="shared" ca="1" si="303"/>
        <v>614124.99753131368</v>
      </c>
      <c r="AD1373" s="196">
        <f>IFERROR($G1373/SUMIF($A:$A,$A1373,$G:$G)*SUMIF(Summary!$A$166:$A$242,$A1373,Summary!$P$166:$P$242),0)</f>
        <v>275916.00069296546</v>
      </c>
      <c r="AE1373" s="197">
        <f t="shared" ca="1" si="304"/>
        <v>338208.99683834822</v>
      </c>
      <c r="AF1373" s="196">
        <f>IFERROR(G1373/SUMIF(A:A,A1373,G:G)*SUMIF(Summary!$A$166:$A$242,'Operations Support'!A1373,Summary!$Q$166:$Q$242),0)</f>
        <v>277047.94401685201</v>
      </c>
      <c r="AG1373" s="196">
        <f t="shared" ca="1" si="305"/>
        <v>337077.05351446167</v>
      </c>
      <c r="AI1373" s="196">
        <f>IFERROR($G1373/SUMIF($A:$A,$A1373,$G:$G)*SUMIF(Summary!$A$247:$A$283,$A1373,Summary!$P$247:$P$283),0)</f>
        <v>50320.193119351046</v>
      </c>
      <c r="AJ1373" s="196">
        <f>IFERROR($G1373/SUMIF($A:$A,$A1373,$G:$G)*(SUMIF(Summary!$A$247:$A$283,$A1373,Summary!$L$247:$L$283)+SUMIF(Summary!$A$297:$A$333,$A1373,Summary!$L$297:$L$333))-AI1373,0)</f>
        <v>183029.65538712303</v>
      </c>
      <c r="AK1373" s="196">
        <f>IFERROR($G1373/SUMIF($A:$A,$A1373,$G:$G)*SUMIF(Summary!$A$247:$A$283,$A1373,Summary!$Q$247:$Q$283),0)</f>
        <v>50526.63133429717</v>
      </c>
      <c r="AL1373" s="196">
        <f>IFERROR($G1373/SUMIF($A:$A,$A1373,$G:$G)*(SUMIF(Summary!$A$247:$A$283,$A1373,Summary!$L$247:$L$283)+SUMIF(Summary!$A$297:$A$333,$A1373,Summary!$L$297:$L$333))-AK1373,0)</f>
        <v>182823.21717217693</v>
      </c>
      <c r="AM1373" s="198"/>
      <c r="AN1373" s="196">
        <f t="shared" ca="1" si="306"/>
        <v>521238.65222547122</v>
      </c>
      <c r="AO1373" s="196">
        <f t="shared" ca="1" si="307"/>
        <v>519900.2706866386</v>
      </c>
    </row>
    <row r="1374" spans="1:41">
      <c r="A1374" s="189">
        <v>3632</v>
      </c>
      <c r="B1374" s="190">
        <v>1</v>
      </c>
      <c r="C1374" s="191" t="s">
        <v>224</v>
      </c>
      <c r="D1374" s="192">
        <f t="shared" si="294"/>
        <v>15915.48000000001</v>
      </c>
      <c r="E1374" s="192">
        <f t="shared" si="295"/>
        <v>18283.51999999999</v>
      </c>
      <c r="F1374" s="192">
        <f t="shared" si="296"/>
        <v>0</v>
      </c>
      <c r="G1374" s="193">
        <f t="shared" si="297"/>
        <v>34199</v>
      </c>
      <c r="H1374" s="194">
        <v>7001.4800000000096</v>
      </c>
      <c r="I1374" s="194">
        <v>8317.5199999999895</v>
      </c>
      <c r="J1374" s="194">
        <v>0</v>
      </c>
      <c r="K1374" s="193">
        <f t="shared" si="298"/>
        <v>15319</v>
      </c>
      <c r="L1374" s="194">
        <v>8862.5</v>
      </c>
      <c r="M1374" s="194">
        <v>8622.5</v>
      </c>
      <c r="N1374" s="194">
        <v>0</v>
      </c>
      <c r="O1374" s="193">
        <f t="shared" si="299"/>
        <v>17485</v>
      </c>
      <c r="P1374" s="194">
        <v>51.5</v>
      </c>
      <c r="Q1374" s="194">
        <v>1343.5</v>
      </c>
      <c r="R1374" s="194">
        <v>0</v>
      </c>
      <c r="S1374" s="193">
        <f t="shared" si="300"/>
        <v>1395</v>
      </c>
      <c r="T1374" s="193">
        <f t="shared" si="301"/>
        <v>1139.9666666666667</v>
      </c>
      <c r="U1374" s="193">
        <f ca="1">OFFSET('Expenditure Study'!$B$7,'Operations Support'!$C1374,'Operations Support'!$B1374)*$G1374</f>
        <v>50614.52</v>
      </c>
      <c r="V1374" s="199">
        <f ca="1">U1374*'Expenditure Study'!$B$31</f>
        <v>2990466.8362652157</v>
      </c>
      <c r="W1374" s="199">
        <f ca="1">IF(A1374=10298,1.51,1)*IF($B1374&lt;3,$D1374*'Expenditure Study'!$B$32*OFFSET('Expenditure Study'!$B$7,'Operations Support'!$C1374,'Operations Support'!$B1374),0)</f>
        <v>2355.4910400000017</v>
      </c>
      <c r="X1374" s="200">
        <f ca="1">W1374*'Expenditure Study'!$B$31</f>
        <v>139169.90298910014</v>
      </c>
      <c r="Y1374" s="199">
        <f ca="1">U1374*'Expenditure Study'!$B$31</f>
        <v>2990466.8362652157</v>
      </c>
      <c r="Z1374" s="200">
        <f ca="1">W1374*'Expenditure Study'!$B$31</f>
        <v>139169.90298910014</v>
      </c>
      <c r="AA1374" s="195">
        <f t="shared" ca="1" si="302"/>
        <v>3129636.7392543158</v>
      </c>
      <c r="AB1374" s="195">
        <f t="shared" ca="1" si="303"/>
        <v>3129636.7392543158</v>
      </c>
      <c r="AD1374" s="196">
        <f>IFERROR($G1374/SUMIF($A:$A,$A1374,$G:$G)*SUMIF(Summary!$A$166:$A$242,$A1374,Summary!$P$166:$P$242),0)</f>
        <v>1150457.3649961897</v>
      </c>
      <c r="AE1374" s="197">
        <f t="shared" ca="1" si="304"/>
        <v>1979179.3742581261</v>
      </c>
      <c r="AF1374" s="196">
        <f>IFERROR(G1374/SUMIF(A:A,A1374,G:G)*SUMIF(Summary!$A$166:$A$242,'Operations Support'!A1374,Summary!$Q$166:$Q$242),0)</f>
        <v>1155177.107709381</v>
      </c>
      <c r="AG1374" s="196">
        <f t="shared" ca="1" si="305"/>
        <v>1974459.6315449348</v>
      </c>
      <c r="AI1374" s="196">
        <f>IFERROR($G1374/SUMIF($A:$A,$A1374,$G:$G)*SUMIF(Summary!$A$247:$A$283,$A1374,Summary!$P$247:$P$283),0)</f>
        <v>209814.71403178378</v>
      </c>
      <c r="AJ1374" s="196">
        <f>IFERROR($G1374/SUMIF($A:$A,$A1374,$G:$G)*(SUMIF(Summary!$A$247:$A$283,$A1374,Summary!$L$247:$L$283)+SUMIF(Summary!$A$297:$A$333,$A1374,Summary!$L$297:$L$333))-AI1374,0)</f>
        <v>763159.13003953127</v>
      </c>
      <c r="AK1374" s="196">
        <f>IFERROR($G1374/SUMIF($A:$A,$A1374,$G:$G)*SUMIF(Summary!$A$247:$A$283,$A1374,Summary!$Q$247:$Q$283),0)</f>
        <v>210675.47732280334</v>
      </c>
      <c r="AL1374" s="196">
        <f>IFERROR($G1374/SUMIF($A:$A,$A1374,$G:$G)*(SUMIF(Summary!$A$247:$A$283,$A1374,Summary!$L$247:$L$283)+SUMIF(Summary!$A$297:$A$333,$A1374,Summary!$L$297:$L$333))-AK1374,0)</f>
        <v>762298.36674851167</v>
      </c>
      <c r="AM1374" s="198"/>
      <c r="AN1374" s="196">
        <f t="shared" ca="1" si="306"/>
        <v>2742338.5042976574</v>
      </c>
      <c r="AO1374" s="196">
        <f t="shared" ca="1" si="307"/>
        <v>2736757.9982934464</v>
      </c>
    </row>
    <row r="1375" spans="1:41">
      <c r="A1375" s="189">
        <v>3632</v>
      </c>
      <c r="B1375" s="190">
        <v>1</v>
      </c>
      <c r="C1375" s="191" t="s">
        <v>225</v>
      </c>
      <c r="D1375" s="192">
        <f t="shared" si="294"/>
        <v>26740.5</v>
      </c>
      <c r="E1375" s="192">
        <f t="shared" si="295"/>
        <v>79939.499999998909</v>
      </c>
      <c r="F1375" s="192">
        <f t="shared" si="296"/>
        <v>0</v>
      </c>
      <c r="G1375" s="193">
        <f t="shared" si="297"/>
        <v>106679.99999999891</v>
      </c>
      <c r="H1375" s="194">
        <v>11889.51</v>
      </c>
      <c r="I1375" s="194">
        <v>35676.489999999496</v>
      </c>
      <c r="J1375" s="194">
        <v>0</v>
      </c>
      <c r="K1375" s="193">
        <f t="shared" si="298"/>
        <v>47565.999999999498</v>
      </c>
      <c r="L1375" s="194">
        <v>13902.99</v>
      </c>
      <c r="M1375" s="194">
        <v>40768.009999999413</v>
      </c>
      <c r="N1375" s="194">
        <v>0</v>
      </c>
      <c r="O1375" s="193">
        <f t="shared" si="299"/>
        <v>54670.999999999411</v>
      </c>
      <c r="P1375" s="194">
        <v>948</v>
      </c>
      <c r="Q1375" s="194">
        <v>3495</v>
      </c>
      <c r="R1375" s="194">
        <v>0</v>
      </c>
      <c r="S1375" s="193">
        <f t="shared" si="300"/>
        <v>4443</v>
      </c>
      <c r="T1375" s="193">
        <f t="shared" si="301"/>
        <v>3555.9999999999636</v>
      </c>
      <c r="U1375" s="193">
        <f ca="1">OFFSET('Expenditure Study'!$B$7,'Operations Support'!$C1375,'Operations Support'!$B1375)*$G1375</f>
        <v>187756.79999999807</v>
      </c>
      <c r="V1375" s="199">
        <f ca="1">U1375*'Expenditure Study'!$B$31</f>
        <v>11093268.960829327</v>
      </c>
      <c r="W1375" s="199">
        <f ca="1">IF(A1375=10298,1.51,1)*IF($B1375&lt;3,$D1375*'Expenditure Study'!$B$32*OFFSET('Expenditure Study'!$B$7,'Operations Support'!$C1375,'Operations Support'!$B1375),0)</f>
        <v>4706.3280000000004</v>
      </c>
      <c r="X1375" s="200">
        <f ca="1">W1375*'Expenditure Study'!$B$31</f>
        <v>278064.82812810241</v>
      </c>
      <c r="Y1375" s="199">
        <f ca="1">U1375*'Expenditure Study'!$B$31</f>
        <v>11093268.960829327</v>
      </c>
      <c r="Z1375" s="200">
        <f ca="1">W1375*'Expenditure Study'!$B$31</f>
        <v>278064.82812810241</v>
      </c>
      <c r="AA1375" s="195">
        <f t="shared" ca="1" si="302"/>
        <v>11371333.78895743</v>
      </c>
      <c r="AB1375" s="195">
        <f t="shared" ca="1" si="303"/>
        <v>11371333.78895743</v>
      </c>
      <c r="AD1375" s="196">
        <f>IFERROR($G1375/SUMIF($A:$A,$A1375,$G:$G)*SUMIF(Summary!$A$166:$A$242,$A1375,Summary!$P$166:$P$242),0)</f>
        <v>3588724.5737533928</v>
      </c>
      <c r="AE1375" s="197">
        <f t="shared" ca="1" si="304"/>
        <v>7782609.2152040377</v>
      </c>
      <c r="AF1375" s="196">
        <f>IFERROR(G1375/SUMIF(A:A,A1375,G:G)*SUMIF(Summary!$A$166:$A$242,'Operations Support'!A1375,Summary!$Q$166:$Q$242),0)</f>
        <v>3603447.2894071615</v>
      </c>
      <c r="AG1375" s="196">
        <f t="shared" ca="1" si="305"/>
        <v>7767886.4995502681</v>
      </c>
      <c r="AI1375" s="196">
        <f>IFERROR($G1375/SUMIF($A:$A,$A1375,$G:$G)*SUMIF(Summary!$A$247:$A$283,$A1375,Summary!$P$247:$P$283),0)</f>
        <v>654493.80662915483</v>
      </c>
      <c r="AJ1375" s="196">
        <f>IFERROR($G1375/SUMIF($A:$A,$A1375,$G:$G)*(SUMIF(Summary!$A$247:$A$283,$A1375,Summary!$L$247:$L$283)+SUMIF(Summary!$A$297:$A$333,$A1375,Summary!$L$297:$L$333))-AI1375,0)</f>
        <v>2380590.5433672434</v>
      </c>
      <c r="AK1375" s="196">
        <f>IFERROR($G1375/SUMIF($A:$A,$A1375,$G:$G)*SUMIF(Summary!$A$247:$A$283,$A1375,Summary!$Q$247:$Q$283),0)</f>
        <v>657178.86256312847</v>
      </c>
      <c r="AL1375" s="196">
        <f>IFERROR($G1375/SUMIF($A:$A,$A1375,$G:$G)*(SUMIF(Summary!$A$247:$A$283,$A1375,Summary!$L$247:$L$283)+SUMIF(Summary!$A$297:$A$333,$A1375,Summary!$L$297:$L$333))-AK1375,0)</f>
        <v>2377905.4874332696</v>
      </c>
      <c r="AM1375" s="198"/>
      <c r="AN1375" s="196">
        <f t="shared" ca="1" si="306"/>
        <v>10163199.758571282</v>
      </c>
      <c r="AO1375" s="196">
        <f t="shared" ca="1" si="307"/>
        <v>10145791.986983538</v>
      </c>
    </row>
    <row r="1376" spans="1:41">
      <c r="A1376" s="189">
        <v>3632</v>
      </c>
      <c r="B1376" s="190">
        <v>1</v>
      </c>
      <c r="C1376" s="191" t="s">
        <v>226</v>
      </c>
      <c r="D1376" s="192">
        <f t="shared" si="294"/>
        <v>3</v>
      </c>
      <c r="E1376" s="192">
        <f t="shared" si="295"/>
        <v>1150</v>
      </c>
      <c r="F1376" s="192">
        <f t="shared" si="296"/>
        <v>0</v>
      </c>
      <c r="G1376" s="193">
        <f t="shared" si="297"/>
        <v>1153</v>
      </c>
      <c r="H1376" s="194">
        <v>3</v>
      </c>
      <c r="I1376" s="194">
        <v>700</v>
      </c>
      <c r="J1376" s="194">
        <v>0</v>
      </c>
      <c r="K1376" s="193">
        <f t="shared" si="298"/>
        <v>703</v>
      </c>
      <c r="L1376" s="194">
        <v>0</v>
      </c>
      <c r="M1376" s="194">
        <v>450</v>
      </c>
      <c r="N1376" s="194">
        <v>0</v>
      </c>
      <c r="O1376" s="193">
        <f t="shared" si="299"/>
        <v>450</v>
      </c>
      <c r="P1376" s="194">
        <v>0</v>
      </c>
      <c r="Q1376" s="194">
        <v>0</v>
      </c>
      <c r="R1376" s="194">
        <v>0</v>
      </c>
      <c r="S1376" s="193">
        <f t="shared" si="300"/>
        <v>0</v>
      </c>
      <c r="T1376" s="193">
        <f t="shared" si="301"/>
        <v>38.43333333333333</v>
      </c>
      <c r="U1376" s="193">
        <f ca="1">OFFSET('Expenditure Study'!$B$7,'Operations Support'!$C1376,'Operations Support'!$B1376)*$G1376</f>
        <v>1095.3499999999999</v>
      </c>
      <c r="V1376" s="199">
        <f ca="1">U1376*'Expenditure Study'!$B$31</f>
        <v>64716.762089279997</v>
      </c>
      <c r="W1376" s="199">
        <f ca="1">IF(A1376=10298,1.51,1)*IF($B1376&lt;3,$D1376*'Expenditure Study'!$B$32*OFFSET('Expenditure Study'!$B$7,'Operations Support'!$C1376,'Operations Support'!$B1376),0)</f>
        <v>0.28500000000000003</v>
      </c>
      <c r="X1376" s="200">
        <f ca="1">W1376*'Expenditure Study'!$B$31</f>
        <v>16.838706528000003</v>
      </c>
      <c r="Y1376" s="199">
        <f ca="1">U1376*'Expenditure Study'!$B$31</f>
        <v>64716.762089279997</v>
      </c>
      <c r="Z1376" s="200">
        <f ca="1">W1376*'Expenditure Study'!$B$31</f>
        <v>16.838706528000003</v>
      </c>
      <c r="AA1376" s="195">
        <f t="shared" ca="1" si="302"/>
        <v>64733.600795807994</v>
      </c>
      <c r="AB1376" s="195">
        <f t="shared" ca="1" si="303"/>
        <v>64733.600795807994</v>
      </c>
      <c r="AD1376" s="196">
        <f>IFERROR($G1376/SUMIF($A:$A,$A1376,$G:$G)*SUMIF(Summary!$A$166:$A$242,$A1376,Summary!$P$166:$P$242),0)</f>
        <v>38787.021311752003</v>
      </c>
      <c r="AE1376" s="197">
        <f t="shared" ca="1" si="304"/>
        <v>25946.57948405599</v>
      </c>
      <c r="AF1376" s="196">
        <f>IFERROR(G1376/SUMIF(A:A,A1376,G:G)*SUMIF(Summary!$A$166:$A$242,'Operations Support'!A1376,Summary!$Q$166:$Q$242),0)</f>
        <v>38946.144775838955</v>
      </c>
      <c r="AG1376" s="196">
        <f t="shared" ca="1" si="305"/>
        <v>25787.456019969039</v>
      </c>
      <c r="AI1376" s="196">
        <f>IFERROR($G1376/SUMIF($A:$A,$A1376,$G:$G)*SUMIF(Summary!$A$247:$A$283,$A1376,Summary!$P$247:$P$283),0)</f>
        <v>7073.7847679361003</v>
      </c>
      <c r="AJ1376" s="196">
        <f>IFERROR($G1376/SUMIF($A:$A,$A1376,$G:$G)*(SUMIF(Summary!$A$247:$A$283,$A1376,Summary!$L$247:$L$283)+SUMIF(Summary!$A$297:$A$333,$A1376,Summary!$L$297:$L$333))-AI1376,0)</f>
        <v>25729.479719745592</v>
      </c>
      <c r="AK1376" s="196">
        <f>IFERROR($G1376/SUMIF($A:$A,$A1376,$G:$G)*SUMIF(Summary!$A$247:$A$283,$A1376,Summary!$Q$247:$Q$283),0)</f>
        <v>7102.8049169037768</v>
      </c>
      <c r="AL1376" s="196">
        <f>IFERROR($G1376/SUMIF($A:$A,$A1376,$G:$G)*(SUMIF(Summary!$A$247:$A$283,$A1376,Summary!$L$247:$L$283)+SUMIF(Summary!$A$297:$A$333,$A1376,Summary!$L$297:$L$333))-AK1376,0)</f>
        <v>25700.459570777915</v>
      </c>
      <c r="AM1376" s="198"/>
      <c r="AN1376" s="196">
        <f t="shared" ca="1" si="306"/>
        <v>51676.059203801582</v>
      </c>
      <c r="AO1376" s="196">
        <f t="shared" ca="1" si="307"/>
        <v>51487.915590746954</v>
      </c>
    </row>
    <row r="1377" spans="1:41">
      <c r="A1377" s="189">
        <v>3632</v>
      </c>
      <c r="B1377" s="190">
        <v>1</v>
      </c>
      <c r="C1377" s="191" t="s">
        <v>227</v>
      </c>
      <c r="D1377" s="192">
        <f t="shared" si="294"/>
        <v>0</v>
      </c>
      <c r="E1377" s="192">
        <f t="shared" si="295"/>
        <v>0</v>
      </c>
      <c r="F1377" s="192">
        <f t="shared" si="296"/>
        <v>0</v>
      </c>
      <c r="G1377" s="193">
        <f t="shared" si="297"/>
        <v>0</v>
      </c>
      <c r="H1377" s="194">
        <v>0</v>
      </c>
      <c r="I1377" s="194">
        <v>0</v>
      </c>
      <c r="J1377" s="194">
        <v>0</v>
      </c>
      <c r="K1377" s="193">
        <f t="shared" si="298"/>
        <v>0</v>
      </c>
      <c r="L1377" s="194">
        <v>0</v>
      </c>
      <c r="M1377" s="194">
        <v>0</v>
      </c>
      <c r="N1377" s="194">
        <v>0</v>
      </c>
      <c r="O1377" s="193">
        <f t="shared" si="299"/>
        <v>0</v>
      </c>
      <c r="P1377" s="194">
        <v>0</v>
      </c>
      <c r="Q1377" s="194">
        <v>0</v>
      </c>
      <c r="R1377" s="194">
        <v>0</v>
      </c>
      <c r="S1377" s="193">
        <f t="shared" si="300"/>
        <v>0</v>
      </c>
      <c r="T1377" s="193">
        <f t="shared" si="301"/>
        <v>0</v>
      </c>
      <c r="U1377" s="193">
        <f ca="1">OFFSET('Expenditure Study'!$B$7,'Operations Support'!$C1377,'Operations Support'!$B1377)*$G1377</f>
        <v>0</v>
      </c>
      <c r="V1377" s="199">
        <f ca="1">U1377*'Expenditure Study'!$B$31</f>
        <v>0</v>
      </c>
      <c r="W1377" s="199">
        <f ca="1">IF(A1377=10298,1.51,1)*IF($B1377&lt;3,$D1377*'Expenditure Study'!$B$32*OFFSET('Expenditure Study'!$B$7,'Operations Support'!$C1377,'Operations Support'!$B1377),0)</f>
        <v>0</v>
      </c>
      <c r="X1377" s="200">
        <f ca="1">W1377*'Expenditure Study'!$B$31</f>
        <v>0</v>
      </c>
      <c r="Y1377" s="199">
        <f ca="1">U1377*'Expenditure Study'!$B$31</f>
        <v>0</v>
      </c>
      <c r="Z1377" s="200">
        <f ca="1">W1377*'Expenditure Study'!$B$31</f>
        <v>0</v>
      </c>
      <c r="AA1377" s="195">
        <f t="shared" ca="1" si="302"/>
        <v>0</v>
      </c>
      <c r="AB1377" s="195">
        <f t="shared" ca="1" si="303"/>
        <v>0</v>
      </c>
      <c r="AD1377" s="196">
        <f>IFERROR($G1377/SUMIF($A:$A,$A1377,$G:$G)*SUMIF(Summary!$A$166:$A$242,$A1377,Summary!$P$166:$P$242),0)</f>
        <v>0</v>
      </c>
      <c r="AE1377" s="197">
        <f t="shared" ca="1" si="304"/>
        <v>0</v>
      </c>
      <c r="AF1377" s="196">
        <f>IFERROR(G1377/SUMIF(A:A,A1377,G:G)*SUMIF(Summary!$A$166:$A$242,'Operations Support'!A1377,Summary!$Q$166:$Q$242),0)</f>
        <v>0</v>
      </c>
      <c r="AG1377" s="196">
        <f t="shared" ca="1" si="305"/>
        <v>0</v>
      </c>
      <c r="AI1377" s="196">
        <f>IFERROR($G1377/SUMIF($A:$A,$A1377,$G:$G)*SUMIF(Summary!$A$247:$A$283,$A1377,Summary!$P$247:$P$283),0)</f>
        <v>0</v>
      </c>
      <c r="AJ1377" s="196">
        <f>IFERROR($G1377/SUMIF($A:$A,$A1377,$G:$G)*(SUMIF(Summary!$A$247:$A$283,$A1377,Summary!$L$247:$L$283)+SUMIF(Summary!$A$297:$A$333,$A1377,Summary!$L$297:$L$333))-AI1377,0)</f>
        <v>0</v>
      </c>
      <c r="AK1377" s="196">
        <f>IFERROR($G1377/SUMIF($A:$A,$A1377,$G:$G)*SUMIF(Summary!$A$247:$A$283,$A1377,Summary!$Q$247:$Q$283),0)</f>
        <v>0</v>
      </c>
      <c r="AL1377" s="196">
        <f>IFERROR($G1377/SUMIF($A:$A,$A1377,$G:$G)*(SUMIF(Summary!$A$247:$A$283,$A1377,Summary!$L$247:$L$283)+SUMIF(Summary!$A$297:$A$333,$A1377,Summary!$L$297:$L$333))-AK1377,0)</f>
        <v>0</v>
      </c>
      <c r="AM1377" s="198"/>
      <c r="AN1377" s="196">
        <f t="shared" ca="1" si="306"/>
        <v>0</v>
      </c>
      <c r="AO1377" s="196">
        <f t="shared" ca="1" si="307"/>
        <v>0</v>
      </c>
    </row>
    <row r="1378" spans="1:41">
      <c r="A1378" s="189">
        <v>3632</v>
      </c>
      <c r="B1378" s="190">
        <v>1</v>
      </c>
      <c r="C1378" s="191" t="s">
        <v>228</v>
      </c>
      <c r="D1378" s="192">
        <f t="shared" si="294"/>
        <v>0</v>
      </c>
      <c r="E1378" s="192">
        <f t="shared" si="295"/>
        <v>0</v>
      </c>
      <c r="F1378" s="192">
        <f t="shared" si="296"/>
        <v>0</v>
      </c>
      <c r="G1378" s="193">
        <f t="shared" si="297"/>
        <v>0</v>
      </c>
      <c r="H1378" s="194">
        <v>0</v>
      </c>
      <c r="I1378" s="194">
        <v>0</v>
      </c>
      <c r="J1378" s="194">
        <v>0</v>
      </c>
      <c r="K1378" s="193">
        <f t="shared" si="298"/>
        <v>0</v>
      </c>
      <c r="L1378" s="194">
        <v>0</v>
      </c>
      <c r="M1378" s="194">
        <v>0</v>
      </c>
      <c r="N1378" s="194">
        <v>0</v>
      </c>
      <c r="O1378" s="193">
        <f t="shared" si="299"/>
        <v>0</v>
      </c>
      <c r="P1378" s="194">
        <v>0</v>
      </c>
      <c r="Q1378" s="194">
        <v>0</v>
      </c>
      <c r="R1378" s="194">
        <v>0</v>
      </c>
      <c r="S1378" s="193">
        <f t="shared" si="300"/>
        <v>0</v>
      </c>
      <c r="T1378" s="193">
        <f t="shared" si="301"/>
        <v>0</v>
      </c>
      <c r="U1378" s="193">
        <f ca="1">OFFSET('Expenditure Study'!$B$7,'Operations Support'!$C1378,'Operations Support'!$B1378)*$G1378</f>
        <v>0</v>
      </c>
      <c r="V1378" s="199">
        <f ca="1">U1378*'Expenditure Study'!$B$31</f>
        <v>0</v>
      </c>
      <c r="W1378" s="199">
        <f ca="1">IF(A1378=10298,1.51,1)*IF($B1378&lt;3,$D1378*'Expenditure Study'!$B$32*OFFSET('Expenditure Study'!$B$7,'Operations Support'!$C1378,'Operations Support'!$B1378),0)</f>
        <v>0</v>
      </c>
      <c r="X1378" s="200">
        <f ca="1">W1378*'Expenditure Study'!$B$31</f>
        <v>0</v>
      </c>
      <c r="Y1378" s="199">
        <f ca="1">U1378*'Expenditure Study'!$B$31</f>
        <v>0</v>
      </c>
      <c r="Z1378" s="200">
        <f ca="1">W1378*'Expenditure Study'!$B$31</f>
        <v>0</v>
      </c>
      <c r="AA1378" s="195">
        <f t="shared" ca="1" si="302"/>
        <v>0</v>
      </c>
      <c r="AB1378" s="195">
        <f t="shared" ca="1" si="303"/>
        <v>0</v>
      </c>
      <c r="AD1378" s="196">
        <f>IFERROR($G1378/SUMIF($A:$A,$A1378,$G:$G)*SUMIF(Summary!$A$166:$A$242,$A1378,Summary!$P$166:$P$242),0)</f>
        <v>0</v>
      </c>
      <c r="AE1378" s="197">
        <f t="shared" ca="1" si="304"/>
        <v>0</v>
      </c>
      <c r="AF1378" s="196">
        <f>IFERROR(G1378/SUMIF(A:A,A1378,G:G)*SUMIF(Summary!$A$166:$A$242,'Operations Support'!A1378,Summary!$Q$166:$Q$242),0)</f>
        <v>0</v>
      </c>
      <c r="AG1378" s="196">
        <f t="shared" ca="1" si="305"/>
        <v>0</v>
      </c>
      <c r="AI1378" s="196">
        <f>IFERROR($G1378/SUMIF($A:$A,$A1378,$G:$G)*SUMIF(Summary!$A$247:$A$283,$A1378,Summary!$P$247:$P$283),0)</f>
        <v>0</v>
      </c>
      <c r="AJ1378" s="196">
        <f>IFERROR($G1378/SUMIF($A:$A,$A1378,$G:$G)*(SUMIF(Summary!$A$247:$A$283,$A1378,Summary!$L$247:$L$283)+SUMIF(Summary!$A$297:$A$333,$A1378,Summary!$L$297:$L$333))-AI1378,0)</f>
        <v>0</v>
      </c>
      <c r="AK1378" s="196">
        <f>IFERROR($G1378/SUMIF($A:$A,$A1378,$G:$G)*SUMIF(Summary!$A$247:$A$283,$A1378,Summary!$Q$247:$Q$283),0)</f>
        <v>0</v>
      </c>
      <c r="AL1378" s="196">
        <f>IFERROR($G1378/SUMIF($A:$A,$A1378,$G:$G)*(SUMIF(Summary!$A$247:$A$283,$A1378,Summary!$L$247:$L$283)+SUMIF(Summary!$A$297:$A$333,$A1378,Summary!$L$297:$L$333))-AK1378,0)</f>
        <v>0</v>
      </c>
      <c r="AM1378" s="198"/>
      <c r="AN1378" s="196">
        <f t="shared" ca="1" si="306"/>
        <v>0</v>
      </c>
      <c r="AO1378" s="196">
        <f t="shared" ca="1" si="307"/>
        <v>0</v>
      </c>
    </row>
    <row r="1379" spans="1:41">
      <c r="A1379" s="189">
        <v>3632</v>
      </c>
      <c r="B1379" s="190">
        <v>1</v>
      </c>
      <c r="C1379" s="191" t="s">
        <v>229</v>
      </c>
      <c r="D1379" s="192">
        <f t="shared" si="294"/>
        <v>69</v>
      </c>
      <c r="E1379" s="192">
        <f t="shared" si="295"/>
        <v>0</v>
      </c>
      <c r="F1379" s="192">
        <f t="shared" si="296"/>
        <v>0</v>
      </c>
      <c r="G1379" s="193">
        <f t="shared" si="297"/>
        <v>69</v>
      </c>
      <c r="H1379" s="194">
        <v>0</v>
      </c>
      <c r="I1379" s="194">
        <v>0</v>
      </c>
      <c r="J1379" s="194">
        <v>0</v>
      </c>
      <c r="K1379" s="193">
        <f t="shared" si="298"/>
        <v>0</v>
      </c>
      <c r="L1379" s="194">
        <v>69</v>
      </c>
      <c r="M1379" s="194">
        <v>0</v>
      </c>
      <c r="N1379" s="194">
        <v>0</v>
      </c>
      <c r="O1379" s="193">
        <f t="shared" si="299"/>
        <v>69</v>
      </c>
      <c r="P1379" s="194">
        <v>0</v>
      </c>
      <c r="Q1379" s="194">
        <v>0</v>
      </c>
      <c r="R1379" s="194">
        <v>0</v>
      </c>
      <c r="S1379" s="193">
        <f t="shared" si="300"/>
        <v>0</v>
      </c>
      <c r="T1379" s="193">
        <f t="shared" si="301"/>
        <v>2.2999999999999998</v>
      </c>
      <c r="U1379" s="193">
        <f ca="1">OFFSET('Expenditure Study'!$B$7,'Operations Support'!$C1379,'Operations Support'!$B1379)*$G1379</f>
        <v>229.77</v>
      </c>
      <c r="V1379" s="199">
        <f ca="1">U1379*'Expenditure Study'!$B$31</f>
        <v>13575.542452416001</v>
      </c>
      <c r="W1379" s="199">
        <f ca="1">IF(A1379=10298,1.51,1)*IF($B1379&lt;3,$D1379*'Expenditure Study'!$B$32*OFFSET('Expenditure Study'!$B$7,'Operations Support'!$C1379,'Operations Support'!$B1379),0)</f>
        <v>22.977</v>
      </c>
      <c r="X1379" s="200">
        <f ca="1">W1379*'Expenditure Study'!$B$31</f>
        <v>1357.5542452416</v>
      </c>
      <c r="Y1379" s="199">
        <f ca="1">U1379*'Expenditure Study'!$B$31</f>
        <v>13575.542452416001</v>
      </c>
      <c r="Z1379" s="200">
        <f ca="1">W1379*'Expenditure Study'!$B$31</f>
        <v>1357.5542452416</v>
      </c>
      <c r="AA1379" s="195">
        <f t="shared" ca="1" si="302"/>
        <v>14933.0966976576</v>
      </c>
      <c r="AB1379" s="195">
        <f t="shared" ca="1" si="303"/>
        <v>14933.0966976576</v>
      </c>
      <c r="AD1379" s="196">
        <f>IFERROR($G1379/SUMIF($A:$A,$A1379,$G:$G)*SUMIF(Summary!$A$166:$A$242,$A1379,Summary!$P$166:$P$242),0)</f>
        <v>2321.1660628888881</v>
      </c>
      <c r="AE1379" s="197">
        <f t="shared" ca="1" si="304"/>
        <v>12611.930634768712</v>
      </c>
      <c r="AF1379" s="196">
        <f>IFERROR(G1379/SUMIF(A:A,A1379,G:G)*SUMIF(Summary!$A$166:$A$242,'Operations Support'!A1379,Summary!$Q$166:$Q$242),0)</f>
        <v>2330.6886292566242</v>
      </c>
      <c r="AG1379" s="196">
        <f t="shared" ca="1" si="305"/>
        <v>12602.408068400975</v>
      </c>
      <c r="AI1379" s="196">
        <f>IFERROR($G1379/SUMIF($A:$A,$A1379,$G:$G)*SUMIF(Summary!$A$247:$A$283,$A1379,Summary!$P$247:$P$283),0)</f>
        <v>423.32276581751159</v>
      </c>
      <c r="AJ1379" s="196">
        <f>IFERROR($G1379/SUMIF($A:$A,$A1379,$G:$G)*(SUMIF(Summary!$A$247:$A$283,$A1379,Summary!$L$247:$L$283)+SUMIF(Summary!$A$297:$A$333,$A1379,Summary!$L$297:$L$333))-AI1379,0)</f>
        <v>1539.7520387358591</v>
      </c>
      <c r="AK1379" s="196">
        <f>IFERROR($G1379/SUMIF($A:$A,$A1379,$G:$G)*SUMIF(Summary!$A$247:$A$283,$A1379,Summary!$Q$247:$Q$283),0)</f>
        <v>425.0594442899918</v>
      </c>
      <c r="AL1379" s="196">
        <f>IFERROR($G1379/SUMIF($A:$A,$A1379,$G:$G)*(SUMIF(Summary!$A$247:$A$283,$A1379,Summary!$L$247:$L$283)+SUMIF(Summary!$A$297:$A$333,$A1379,Summary!$L$297:$L$333))-AK1379,0)</f>
        <v>1538.0153602633791</v>
      </c>
      <c r="AM1379" s="198"/>
      <c r="AN1379" s="196">
        <f t="shared" ca="1" si="306"/>
        <v>14151.682673504572</v>
      </c>
      <c r="AO1379" s="196">
        <f t="shared" ca="1" si="307"/>
        <v>14140.423428664355</v>
      </c>
    </row>
    <row r="1380" spans="1:41" s="201" customFormat="1">
      <c r="A1380" s="189">
        <v>3632</v>
      </c>
      <c r="B1380" s="190">
        <v>1</v>
      </c>
      <c r="C1380" s="191" t="s">
        <v>230</v>
      </c>
      <c r="D1380" s="192">
        <f t="shared" si="294"/>
        <v>0</v>
      </c>
      <c r="E1380" s="192">
        <f t="shared" si="295"/>
        <v>0</v>
      </c>
      <c r="F1380" s="192">
        <f t="shared" si="296"/>
        <v>0</v>
      </c>
      <c r="G1380" s="193">
        <f t="shared" si="297"/>
        <v>0</v>
      </c>
      <c r="H1380" s="194">
        <v>0</v>
      </c>
      <c r="I1380" s="194">
        <v>0</v>
      </c>
      <c r="J1380" s="194">
        <v>0</v>
      </c>
      <c r="K1380" s="193">
        <f t="shared" si="298"/>
        <v>0</v>
      </c>
      <c r="L1380" s="194">
        <v>0</v>
      </c>
      <c r="M1380" s="194">
        <v>0</v>
      </c>
      <c r="N1380" s="194">
        <v>0</v>
      </c>
      <c r="O1380" s="193">
        <f t="shared" si="299"/>
        <v>0</v>
      </c>
      <c r="P1380" s="194">
        <v>0</v>
      </c>
      <c r="Q1380" s="194">
        <v>0</v>
      </c>
      <c r="R1380" s="194">
        <v>0</v>
      </c>
      <c r="S1380" s="193">
        <f t="shared" si="300"/>
        <v>0</v>
      </c>
      <c r="T1380" s="193">
        <f t="shared" si="301"/>
        <v>0</v>
      </c>
      <c r="U1380" s="193">
        <f ca="1">OFFSET('Expenditure Study'!$B$7,'Operations Support'!$C1380,'Operations Support'!$B1380)*$G1380</f>
        <v>0</v>
      </c>
      <c r="V1380" s="199">
        <f ca="1">U1380*'Expenditure Study'!$B$31</f>
        <v>0</v>
      </c>
      <c r="W1380" s="199">
        <f ca="1">IF(A1380=10298,1.51,1)*IF($B1380&lt;3,$D1380*'Expenditure Study'!$B$32*OFFSET('Expenditure Study'!$B$7,'Operations Support'!$C1380,'Operations Support'!$B1380),0)</f>
        <v>0</v>
      </c>
      <c r="X1380" s="200">
        <f ca="1">W1380*'Expenditure Study'!$B$31</f>
        <v>0</v>
      </c>
      <c r="Y1380" s="199">
        <f ca="1">U1380*'Expenditure Study'!$B$31</f>
        <v>0</v>
      </c>
      <c r="Z1380" s="200">
        <f ca="1">W1380*'Expenditure Study'!$B$31</f>
        <v>0</v>
      </c>
      <c r="AA1380" s="195">
        <f t="shared" ca="1" si="302"/>
        <v>0</v>
      </c>
      <c r="AB1380" s="195">
        <f t="shared" ca="1" si="303"/>
        <v>0</v>
      </c>
      <c r="AD1380" s="196">
        <f>IFERROR($G1380/SUMIF($A:$A,$A1380,$G:$G)*SUMIF(Summary!$A$166:$A$242,$A1380,Summary!$P$166:$P$242),0)</f>
        <v>0</v>
      </c>
      <c r="AE1380" s="197">
        <f t="shared" ca="1" si="304"/>
        <v>0</v>
      </c>
      <c r="AF1380" s="196">
        <f>IFERROR(G1380/SUMIF(A:A,A1380,G:G)*SUMIF(Summary!$A$166:$A$242,'Operations Support'!A1380,Summary!$Q$166:$Q$242),0)</f>
        <v>0</v>
      </c>
      <c r="AG1380" s="196">
        <f t="shared" ca="1" si="305"/>
        <v>0</v>
      </c>
      <c r="AH1380" s="180"/>
      <c r="AI1380" s="196">
        <f>IFERROR($G1380/SUMIF($A:$A,$A1380,$G:$G)*SUMIF(Summary!$A$247:$A$283,$A1380,Summary!$P$247:$P$283),0)</f>
        <v>0</v>
      </c>
      <c r="AJ1380" s="196">
        <f>IFERROR($G1380/SUMIF($A:$A,$A1380,$G:$G)*(SUMIF(Summary!$A$247:$A$283,$A1380,Summary!$L$247:$L$283)+SUMIF(Summary!$A$297:$A$333,$A1380,Summary!$L$297:$L$333))-AI1380,0)</f>
        <v>0</v>
      </c>
      <c r="AK1380" s="196">
        <f>IFERROR($G1380/SUMIF($A:$A,$A1380,$G:$G)*SUMIF(Summary!$A$247:$A$283,$A1380,Summary!$Q$247:$Q$283),0)</f>
        <v>0</v>
      </c>
      <c r="AL1380" s="196">
        <f>IFERROR($G1380/SUMIF($A:$A,$A1380,$G:$G)*(SUMIF(Summary!$A$247:$A$283,$A1380,Summary!$L$247:$L$283)+SUMIF(Summary!$A$297:$A$333,$A1380,Summary!$L$297:$L$333))-AK1380,0)</f>
        <v>0</v>
      </c>
      <c r="AM1380" s="198"/>
      <c r="AN1380" s="196">
        <f t="shared" ca="1" si="306"/>
        <v>0</v>
      </c>
      <c r="AO1380" s="196">
        <f t="shared" ca="1" si="307"/>
        <v>0</v>
      </c>
    </row>
    <row r="1381" spans="1:41">
      <c r="A1381" s="189">
        <v>3632</v>
      </c>
      <c r="B1381" s="190">
        <v>1</v>
      </c>
      <c r="C1381" s="191" t="s">
        <v>231</v>
      </c>
      <c r="D1381" s="192">
        <f t="shared" si="294"/>
        <v>0</v>
      </c>
      <c r="E1381" s="192">
        <f t="shared" si="295"/>
        <v>0</v>
      </c>
      <c r="F1381" s="192">
        <f t="shared" si="296"/>
        <v>0</v>
      </c>
      <c r="G1381" s="193">
        <f t="shared" si="297"/>
        <v>0</v>
      </c>
      <c r="H1381" s="194">
        <v>0</v>
      </c>
      <c r="I1381" s="194">
        <v>0</v>
      </c>
      <c r="J1381" s="194">
        <v>0</v>
      </c>
      <c r="K1381" s="193">
        <f t="shared" si="298"/>
        <v>0</v>
      </c>
      <c r="L1381" s="194">
        <v>0</v>
      </c>
      <c r="M1381" s="194">
        <v>0</v>
      </c>
      <c r="N1381" s="194">
        <v>0</v>
      </c>
      <c r="O1381" s="193">
        <f t="shared" si="299"/>
        <v>0</v>
      </c>
      <c r="P1381" s="194">
        <v>0</v>
      </c>
      <c r="Q1381" s="194">
        <v>0</v>
      </c>
      <c r="R1381" s="194">
        <v>0</v>
      </c>
      <c r="S1381" s="193">
        <f t="shared" si="300"/>
        <v>0</v>
      </c>
      <c r="T1381" s="193">
        <f t="shared" si="301"/>
        <v>0</v>
      </c>
      <c r="U1381" s="193">
        <f ca="1">OFFSET('Expenditure Study'!$B$7,'Operations Support'!$C1381,'Operations Support'!$B1381)*$G1381</f>
        <v>0</v>
      </c>
      <c r="V1381" s="199">
        <f ca="1">U1381*'Expenditure Study'!$B$31</f>
        <v>0</v>
      </c>
      <c r="W1381" s="199">
        <f ca="1">IF(A1381=10298,1.51,1)*IF($B1381&lt;3,$D1381*'Expenditure Study'!$B$32*OFFSET('Expenditure Study'!$B$7,'Operations Support'!$C1381,'Operations Support'!$B1381),0)</f>
        <v>0</v>
      </c>
      <c r="X1381" s="200">
        <f ca="1">W1381*'Expenditure Study'!$B$31</f>
        <v>0</v>
      </c>
      <c r="Y1381" s="199">
        <f ca="1">U1381*'Expenditure Study'!$B$31</f>
        <v>0</v>
      </c>
      <c r="Z1381" s="200">
        <f ca="1">W1381*'Expenditure Study'!$B$31</f>
        <v>0</v>
      </c>
      <c r="AA1381" s="195">
        <f t="shared" ca="1" si="302"/>
        <v>0</v>
      </c>
      <c r="AB1381" s="195">
        <f t="shared" ca="1" si="303"/>
        <v>0</v>
      </c>
      <c r="AD1381" s="196">
        <f>IFERROR($G1381/SUMIF($A:$A,$A1381,$G:$G)*SUMIF(Summary!$A$166:$A$242,$A1381,Summary!$P$166:$P$242),0)</f>
        <v>0</v>
      </c>
      <c r="AE1381" s="197">
        <f t="shared" ca="1" si="304"/>
        <v>0</v>
      </c>
      <c r="AF1381" s="196">
        <f>IFERROR(G1381/SUMIF(A:A,A1381,G:G)*SUMIF(Summary!$A$166:$A$242,'Operations Support'!A1381,Summary!$Q$166:$Q$242),0)</f>
        <v>0</v>
      </c>
      <c r="AG1381" s="196">
        <f t="shared" ca="1" si="305"/>
        <v>0</v>
      </c>
      <c r="AI1381" s="196">
        <f>IFERROR($G1381/SUMIF($A:$A,$A1381,$G:$G)*SUMIF(Summary!$A$247:$A$283,$A1381,Summary!$P$247:$P$283),0)</f>
        <v>0</v>
      </c>
      <c r="AJ1381" s="196">
        <f>IFERROR($G1381/SUMIF($A:$A,$A1381,$G:$G)*(SUMIF(Summary!$A$247:$A$283,$A1381,Summary!$L$247:$L$283)+SUMIF(Summary!$A$297:$A$333,$A1381,Summary!$L$297:$L$333))-AI1381,0)</f>
        <v>0</v>
      </c>
      <c r="AK1381" s="196">
        <f>IFERROR($G1381/SUMIF($A:$A,$A1381,$G:$G)*SUMIF(Summary!$A$247:$A$283,$A1381,Summary!$Q$247:$Q$283),0)</f>
        <v>0</v>
      </c>
      <c r="AL1381" s="196">
        <f>IFERROR($G1381/SUMIF($A:$A,$A1381,$G:$G)*(SUMIF(Summary!$A$247:$A$283,$A1381,Summary!$L$247:$L$283)+SUMIF(Summary!$A$297:$A$333,$A1381,Summary!$L$297:$L$333))-AK1381,0)</f>
        <v>0</v>
      </c>
      <c r="AM1381" s="198"/>
      <c r="AN1381" s="196">
        <f t="shared" ca="1" si="306"/>
        <v>0</v>
      </c>
      <c r="AO1381" s="196">
        <f t="shared" ca="1" si="307"/>
        <v>0</v>
      </c>
    </row>
    <row r="1382" spans="1:41">
      <c r="A1382" s="189">
        <v>3632</v>
      </c>
      <c r="B1382" s="190">
        <v>1</v>
      </c>
      <c r="C1382" s="191" t="s">
        <v>232</v>
      </c>
      <c r="D1382" s="192">
        <f t="shared" si="294"/>
        <v>0</v>
      </c>
      <c r="E1382" s="192">
        <f t="shared" si="295"/>
        <v>0</v>
      </c>
      <c r="F1382" s="192">
        <f t="shared" si="296"/>
        <v>0</v>
      </c>
      <c r="G1382" s="193">
        <f t="shared" si="297"/>
        <v>0</v>
      </c>
      <c r="H1382" s="194">
        <v>0</v>
      </c>
      <c r="I1382" s="194">
        <v>0</v>
      </c>
      <c r="J1382" s="194">
        <v>0</v>
      </c>
      <c r="K1382" s="193">
        <f t="shared" si="298"/>
        <v>0</v>
      </c>
      <c r="L1382" s="194">
        <v>0</v>
      </c>
      <c r="M1382" s="194">
        <v>0</v>
      </c>
      <c r="N1382" s="194">
        <v>0</v>
      </c>
      <c r="O1382" s="193">
        <f t="shared" si="299"/>
        <v>0</v>
      </c>
      <c r="P1382" s="194">
        <v>0</v>
      </c>
      <c r="Q1382" s="194">
        <v>0</v>
      </c>
      <c r="R1382" s="194">
        <v>0</v>
      </c>
      <c r="S1382" s="193">
        <f t="shared" si="300"/>
        <v>0</v>
      </c>
      <c r="T1382" s="193">
        <f t="shared" si="301"/>
        <v>0</v>
      </c>
      <c r="U1382" s="193">
        <f ca="1">OFFSET('Expenditure Study'!$B$7,'Operations Support'!$C1382,'Operations Support'!$B1382)*$G1382</f>
        <v>0</v>
      </c>
      <c r="V1382" s="199">
        <f ca="1">U1382*'Expenditure Study'!$B$31</f>
        <v>0</v>
      </c>
      <c r="W1382" s="199">
        <f ca="1">IF(A1382=10298,1.51,1)*IF($B1382&lt;3,$D1382*'Expenditure Study'!$B$32*OFFSET('Expenditure Study'!$B$7,'Operations Support'!$C1382,'Operations Support'!$B1382),0)</f>
        <v>0</v>
      </c>
      <c r="X1382" s="200">
        <f ca="1">W1382*'Expenditure Study'!$B$31</f>
        <v>0</v>
      </c>
      <c r="Y1382" s="199">
        <f ca="1">U1382*'Expenditure Study'!$B$31</f>
        <v>0</v>
      </c>
      <c r="Z1382" s="200">
        <f ca="1">W1382*'Expenditure Study'!$B$31</f>
        <v>0</v>
      </c>
      <c r="AA1382" s="195">
        <f t="shared" ca="1" si="302"/>
        <v>0</v>
      </c>
      <c r="AB1382" s="195">
        <f t="shared" ca="1" si="303"/>
        <v>0</v>
      </c>
      <c r="AD1382" s="196">
        <f>IFERROR($G1382/SUMIF($A:$A,$A1382,$G:$G)*SUMIF(Summary!$A$166:$A$242,$A1382,Summary!$P$166:$P$242),0)</f>
        <v>0</v>
      </c>
      <c r="AE1382" s="197">
        <f t="shared" ca="1" si="304"/>
        <v>0</v>
      </c>
      <c r="AF1382" s="196">
        <f>IFERROR(G1382/SUMIF(A:A,A1382,G:G)*SUMIF(Summary!$A$166:$A$242,'Operations Support'!A1382,Summary!$Q$166:$Q$242),0)</f>
        <v>0</v>
      </c>
      <c r="AG1382" s="196">
        <f t="shared" ca="1" si="305"/>
        <v>0</v>
      </c>
      <c r="AI1382" s="196">
        <f>IFERROR($G1382/SUMIF($A:$A,$A1382,$G:$G)*SUMIF(Summary!$A$247:$A$283,$A1382,Summary!$P$247:$P$283),0)</f>
        <v>0</v>
      </c>
      <c r="AJ1382" s="196">
        <f>IFERROR($G1382/SUMIF($A:$A,$A1382,$G:$G)*(SUMIF(Summary!$A$247:$A$283,$A1382,Summary!$L$247:$L$283)+SUMIF(Summary!$A$297:$A$333,$A1382,Summary!$L$297:$L$333))-AI1382,0)</f>
        <v>0</v>
      </c>
      <c r="AK1382" s="196">
        <f>IFERROR($G1382/SUMIF($A:$A,$A1382,$G:$G)*SUMIF(Summary!$A$247:$A$283,$A1382,Summary!$Q$247:$Q$283),0)</f>
        <v>0</v>
      </c>
      <c r="AL1382" s="196">
        <f>IFERROR($G1382/SUMIF($A:$A,$A1382,$G:$G)*(SUMIF(Summary!$A$247:$A$283,$A1382,Summary!$L$247:$L$283)+SUMIF(Summary!$A$297:$A$333,$A1382,Summary!$L$297:$L$333))-AK1382,0)</f>
        <v>0</v>
      </c>
      <c r="AM1382" s="198"/>
      <c r="AN1382" s="196">
        <f t="shared" ca="1" si="306"/>
        <v>0</v>
      </c>
      <c r="AO1382" s="196">
        <f t="shared" ca="1" si="307"/>
        <v>0</v>
      </c>
    </row>
    <row r="1383" spans="1:41">
      <c r="A1383" s="189">
        <v>3632</v>
      </c>
      <c r="B1383" s="190">
        <v>1</v>
      </c>
      <c r="C1383" s="191" t="s">
        <v>233</v>
      </c>
      <c r="D1383" s="192">
        <f t="shared" si="294"/>
        <v>2136</v>
      </c>
      <c r="E1383" s="192">
        <f t="shared" si="295"/>
        <v>11535</v>
      </c>
      <c r="F1383" s="192">
        <f t="shared" si="296"/>
        <v>0</v>
      </c>
      <c r="G1383" s="193">
        <f t="shared" si="297"/>
        <v>13671</v>
      </c>
      <c r="H1383" s="194">
        <v>1338</v>
      </c>
      <c r="I1383" s="194">
        <v>5054</v>
      </c>
      <c r="J1383" s="194">
        <v>0</v>
      </c>
      <c r="K1383" s="193">
        <f t="shared" si="298"/>
        <v>6392</v>
      </c>
      <c r="L1383" s="194">
        <v>798</v>
      </c>
      <c r="M1383" s="194">
        <v>5624</v>
      </c>
      <c r="N1383" s="194">
        <v>0</v>
      </c>
      <c r="O1383" s="193">
        <f t="shared" si="299"/>
        <v>6422</v>
      </c>
      <c r="P1383" s="194">
        <v>0</v>
      </c>
      <c r="Q1383" s="194">
        <v>857</v>
      </c>
      <c r="R1383" s="194">
        <v>0</v>
      </c>
      <c r="S1383" s="193">
        <f t="shared" si="300"/>
        <v>857</v>
      </c>
      <c r="T1383" s="193">
        <f t="shared" si="301"/>
        <v>455.7</v>
      </c>
      <c r="U1383" s="193">
        <f ca="1">OFFSET('Expenditure Study'!$B$7,'Operations Support'!$C1383,'Operations Support'!$B1383)*$G1383</f>
        <v>13124.16</v>
      </c>
      <c r="V1383" s="199">
        <f ca="1">U1383*'Expenditure Study'!$B$31</f>
        <v>775417.118128128</v>
      </c>
      <c r="W1383" s="199">
        <f ca="1">IF(A1383=10298,1.51,1)*IF($B1383&lt;3,$D1383*'Expenditure Study'!$B$32*OFFSET('Expenditure Study'!$B$7,'Operations Support'!$C1383,'Operations Support'!$B1383),0)</f>
        <v>205.05600000000001</v>
      </c>
      <c r="X1383" s="200">
        <f ca="1">W1383*'Expenditure Study'!$B$31</f>
        <v>12115.3607221248</v>
      </c>
      <c r="Y1383" s="199">
        <f ca="1">U1383*'Expenditure Study'!$B$31</f>
        <v>775417.118128128</v>
      </c>
      <c r="Z1383" s="200">
        <f ca="1">W1383*'Expenditure Study'!$B$31</f>
        <v>12115.3607221248</v>
      </c>
      <c r="AA1383" s="195">
        <f t="shared" ca="1" si="302"/>
        <v>787532.47885025281</v>
      </c>
      <c r="AB1383" s="195">
        <f t="shared" ca="1" si="303"/>
        <v>787532.47885025281</v>
      </c>
      <c r="AD1383" s="196">
        <f>IFERROR($G1383/SUMIF($A:$A,$A1383,$G:$G)*SUMIF(Summary!$A$166:$A$242,$A1383,Summary!$P$166:$P$242),0)</f>
        <v>459893.64124281146</v>
      </c>
      <c r="AE1383" s="197">
        <f t="shared" ca="1" si="304"/>
        <v>327638.83760744135</v>
      </c>
      <c r="AF1383" s="196">
        <f>IFERROR(G1383/SUMIF(A:A,A1383,G:G)*SUMIF(Summary!$A$166:$A$242,'Operations Support'!A1383,Summary!$Q$166:$Q$242),0)</f>
        <v>461780.35145749722</v>
      </c>
      <c r="AG1383" s="196">
        <f t="shared" ca="1" si="305"/>
        <v>325752.12739275559</v>
      </c>
      <c r="AI1383" s="196">
        <f>IFERROR($G1383/SUMIF($A:$A,$A1383,$G:$G)*SUMIF(Summary!$A$247:$A$283,$A1383,Summary!$P$247:$P$283),0)</f>
        <v>83873.123644800013</v>
      </c>
      <c r="AJ1383" s="196">
        <f>IFERROR($G1383/SUMIF($A:$A,$A1383,$G:$G)*(SUMIF(Summary!$A$247:$A$283,$A1383,Summary!$L$247:$L$283)+SUMIF(Summary!$A$297:$A$333,$A1383,Summary!$L$297:$L$333))-AI1383,0)</f>
        <v>305071.74089214392</v>
      </c>
      <c r="AK1383" s="196">
        <f>IFERROR($G1383/SUMIF($A:$A,$A1383,$G:$G)*SUMIF(Summary!$A$247:$A$283,$A1383,Summary!$Q$247:$Q$283),0)</f>
        <v>84217.212505630116</v>
      </c>
      <c r="AL1383" s="196">
        <f>IFERROR($G1383/SUMIF($A:$A,$A1383,$G:$G)*(SUMIF(Summary!$A$247:$A$283,$A1383,Summary!$L$247:$L$283)+SUMIF(Summary!$A$297:$A$333,$A1383,Summary!$L$297:$L$333))-AK1383,0)</f>
        <v>304727.65203131386</v>
      </c>
      <c r="AM1383" s="198"/>
      <c r="AN1383" s="196">
        <f t="shared" ca="1" si="306"/>
        <v>632710.57849958527</v>
      </c>
      <c r="AO1383" s="196">
        <f t="shared" ca="1" si="307"/>
        <v>630479.77942406945</v>
      </c>
    </row>
    <row r="1384" spans="1:41">
      <c r="A1384" s="189">
        <v>3632</v>
      </c>
      <c r="B1384" s="190">
        <v>1</v>
      </c>
      <c r="C1384" s="191" t="s">
        <v>234</v>
      </c>
      <c r="D1384" s="192">
        <f t="shared" si="294"/>
        <v>0</v>
      </c>
      <c r="E1384" s="192">
        <f t="shared" si="295"/>
        <v>0</v>
      </c>
      <c r="F1384" s="192">
        <f t="shared" si="296"/>
        <v>0</v>
      </c>
      <c r="G1384" s="193">
        <f t="shared" si="297"/>
        <v>0</v>
      </c>
      <c r="H1384" s="194">
        <v>0</v>
      </c>
      <c r="I1384" s="194">
        <v>0</v>
      </c>
      <c r="J1384" s="194">
        <v>0</v>
      </c>
      <c r="K1384" s="193">
        <f t="shared" si="298"/>
        <v>0</v>
      </c>
      <c r="L1384" s="194">
        <v>0</v>
      </c>
      <c r="M1384" s="194">
        <v>0</v>
      </c>
      <c r="N1384" s="194">
        <v>0</v>
      </c>
      <c r="O1384" s="193">
        <f t="shared" si="299"/>
        <v>0</v>
      </c>
      <c r="P1384" s="194">
        <v>0</v>
      </c>
      <c r="Q1384" s="194">
        <v>0</v>
      </c>
      <c r="R1384" s="194">
        <v>0</v>
      </c>
      <c r="S1384" s="193">
        <f t="shared" si="300"/>
        <v>0</v>
      </c>
      <c r="T1384" s="193">
        <f t="shared" si="301"/>
        <v>0</v>
      </c>
      <c r="U1384" s="193">
        <f ca="1">OFFSET('Expenditure Study'!$B$7,'Operations Support'!$C1384,'Operations Support'!$B1384)*$G1384</f>
        <v>0</v>
      </c>
      <c r="V1384" s="199">
        <f ca="1">U1384*'Expenditure Study'!$B$31</f>
        <v>0</v>
      </c>
      <c r="W1384" s="199">
        <f ca="1">IF(A1384=10298,1.51,1)*IF($B1384&lt;3,$D1384*'Expenditure Study'!$B$32*OFFSET('Expenditure Study'!$B$7,'Operations Support'!$C1384,'Operations Support'!$B1384),0)</f>
        <v>0</v>
      </c>
      <c r="X1384" s="200">
        <f ca="1">W1384*'Expenditure Study'!$B$31</f>
        <v>0</v>
      </c>
      <c r="Y1384" s="199">
        <f ca="1">U1384*'Expenditure Study'!$B$31</f>
        <v>0</v>
      </c>
      <c r="Z1384" s="200">
        <f ca="1">W1384*'Expenditure Study'!$B$31</f>
        <v>0</v>
      </c>
      <c r="AA1384" s="195">
        <f t="shared" ca="1" si="302"/>
        <v>0</v>
      </c>
      <c r="AB1384" s="195">
        <f t="shared" ca="1" si="303"/>
        <v>0</v>
      </c>
      <c r="AD1384" s="196">
        <f>IFERROR($G1384/SUMIF($A:$A,$A1384,$G:$G)*SUMIF(Summary!$A$166:$A$242,$A1384,Summary!$P$166:$P$242),0)</f>
        <v>0</v>
      </c>
      <c r="AE1384" s="197">
        <f t="shared" ca="1" si="304"/>
        <v>0</v>
      </c>
      <c r="AF1384" s="196">
        <f>IFERROR(G1384/SUMIF(A:A,A1384,G:G)*SUMIF(Summary!$A$166:$A$242,'Operations Support'!A1384,Summary!$Q$166:$Q$242),0)</f>
        <v>0</v>
      </c>
      <c r="AG1384" s="196">
        <f t="shared" ca="1" si="305"/>
        <v>0</v>
      </c>
      <c r="AI1384" s="196">
        <f>IFERROR($G1384/SUMIF($A:$A,$A1384,$G:$G)*SUMIF(Summary!$A$247:$A$283,$A1384,Summary!$P$247:$P$283),0)</f>
        <v>0</v>
      </c>
      <c r="AJ1384" s="196">
        <f>IFERROR($G1384/SUMIF($A:$A,$A1384,$G:$G)*(SUMIF(Summary!$A$247:$A$283,$A1384,Summary!$L$247:$L$283)+SUMIF(Summary!$A$297:$A$333,$A1384,Summary!$L$297:$L$333))-AI1384,0)</f>
        <v>0</v>
      </c>
      <c r="AK1384" s="196">
        <f>IFERROR($G1384/SUMIF($A:$A,$A1384,$G:$G)*SUMIF(Summary!$A$247:$A$283,$A1384,Summary!$Q$247:$Q$283),0)</f>
        <v>0</v>
      </c>
      <c r="AL1384" s="196">
        <f>IFERROR($G1384/SUMIF($A:$A,$A1384,$G:$G)*(SUMIF(Summary!$A$247:$A$283,$A1384,Summary!$L$247:$L$283)+SUMIF(Summary!$A$297:$A$333,$A1384,Summary!$L$297:$L$333))-AK1384,0)</f>
        <v>0</v>
      </c>
      <c r="AM1384" s="198"/>
      <c r="AN1384" s="196">
        <f t="shared" ca="1" si="306"/>
        <v>0</v>
      </c>
      <c r="AO1384" s="196">
        <f t="shared" ca="1" si="307"/>
        <v>0</v>
      </c>
    </row>
    <row r="1385" spans="1:41">
      <c r="A1385" s="189">
        <v>3632</v>
      </c>
      <c r="B1385" s="190">
        <v>1</v>
      </c>
      <c r="C1385" s="191" t="s">
        <v>235</v>
      </c>
      <c r="D1385" s="192">
        <f t="shared" si="294"/>
        <v>1682.07</v>
      </c>
      <c r="E1385" s="192">
        <f t="shared" si="295"/>
        <v>48887.929999999898</v>
      </c>
      <c r="F1385" s="192">
        <f t="shared" si="296"/>
        <v>0</v>
      </c>
      <c r="G1385" s="193">
        <f t="shared" si="297"/>
        <v>50569.999999999898</v>
      </c>
      <c r="H1385" s="194">
        <v>1089.28</v>
      </c>
      <c r="I1385" s="194">
        <v>21538.719999999998</v>
      </c>
      <c r="J1385" s="194">
        <v>0</v>
      </c>
      <c r="K1385" s="193">
        <f t="shared" si="298"/>
        <v>22627.999999999996</v>
      </c>
      <c r="L1385" s="194">
        <v>541.79</v>
      </c>
      <c r="M1385" s="194">
        <v>24630.209999999901</v>
      </c>
      <c r="N1385" s="194">
        <v>0</v>
      </c>
      <c r="O1385" s="193">
        <f t="shared" si="299"/>
        <v>25171.999999999902</v>
      </c>
      <c r="P1385" s="194">
        <v>51</v>
      </c>
      <c r="Q1385" s="194">
        <v>2719</v>
      </c>
      <c r="R1385" s="194">
        <v>0</v>
      </c>
      <c r="S1385" s="193">
        <f t="shared" si="300"/>
        <v>2770</v>
      </c>
      <c r="T1385" s="193">
        <f t="shared" si="301"/>
        <v>1685.6666666666633</v>
      </c>
      <c r="U1385" s="193">
        <f ca="1">OFFSET('Expenditure Study'!$B$7,'Operations Support'!$C1385,'Operations Support'!$B1385)*$G1385</f>
        <v>55626.999999999891</v>
      </c>
      <c r="V1385" s="199">
        <f ca="1">U1385*'Expenditure Study'!$B$31</f>
        <v>3286620.0983615937</v>
      </c>
      <c r="W1385" s="199">
        <f ca="1">IF(A1385=10298,1.51,1)*IF($B1385&lt;3,$D1385*'Expenditure Study'!$B$32*OFFSET('Expenditure Study'!$B$7,'Operations Support'!$C1385,'Operations Support'!$B1385),0)</f>
        <v>185.02770000000001</v>
      </c>
      <c r="X1385" s="200">
        <f ca="1">W1385*'Expenditure Study'!$B$31</f>
        <v>10932.025052108162</v>
      </c>
      <c r="Y1385" s="199">
        <f ca="1">U1385*'Expenditure Study'!$B$31</f>
        <v>3286620.0983615937</v>
      </c>
      <c r="Z1385" s="200">
        <f ca="1">W1385*'Expenditure Study'!$B$31</f>
        <v>10932.025052108162</v>
      </c>
      <c r="AA1385" s="195">
        <f t="shared" ca="1" si="302"/>
        <v>3297552.123413702</v>
      </c>
      <c r="AB1385" s="195">
        <f t="shared" ca="1" si="303"/>
        <v>3297552.123413702</v>
      </c>
      <c r="AD1385" s="196">
        <f>IFERROR($G1385/SUMIF($A:$A,$A1385,$G:$G)*SUMIF(Summary!$A$166:$A$242,$A1385,Summary!$P$166:$P$242),0)</f>
        <v>1701179.2434824761</v>
      </c>
      <c r="AE1385" s="197">
        <f t="shared" ca="1" si="304"/>
        <v>1596372.8799312259</v>
      </c>
      <c r="AF1385" s="196">
        <f>IFERROR(G1385/SUMIF(A:A,A1385,G:G)*SUMIF(Summary!$A$166:$A$242,'Operations Support'!A1385,Summary!$Q$166:$Q$242),0)</f>
        <v>1708158.3185725687</v>
      </c>
      <c r="AG1385" s="196">
        <f t="shared" ca="1" si="305"/>
        <v>1589393.8048411333</v>
      </c>
      <c r="AI1385" s="196">
        <f>IFERROR($G1385/SUMIF($A:$A,$A1385,$G:$G)*SUMIF(Summary!$A$247:$A$283,$A1385,Summary!$P$247:$P$283),0)</f>
        <v>310252.64155639883</v>
      </c>
      <c r="AJ1385" s="196">
        <f>IFERROR($G1385/SUMIF($A:$A,$A1385,$G:$G)*(SUMIF(Summary!$A$247:$A$283,$A1385,Summary!$L$247:$L$283)+SUMIF(Summary!$A$297:$A$333,$A1385,Summary!$L$297:$L$333))-AI1385,0)</f>
        <v>1128482.0376648153</v>
      </c>
      <c r="AK1385" s="196">
        <f>IFERROR($G1385/SUMIF($A:$A,$A1385,$G:$G)*SUMIF(Summary!$A$247:$A$283,$A1385,Summary!$Q$247:$Q$283),0)</f>
        <v>311525.45069195423</v>
      </c>
      <c r="AL1385" s="196">
        <f>IFERROR($G1385/SUMIF($A:$A,$A1385,$G:$G)*(SUMIF(Summary!$A$247:$A$283,$A1385,Summary!$L$247:$L$283)+SUMIF(Summary!$A$297:$A$333,$A1385,Summary!$L$297:$L$333))-AK1385,0)</f>
        <v>1127209.2285292598</v>
      </c>
      <c r="AM1385" s="198"/>
      <c r="AN1385" s="196">
        <f t="shared" ca="1" si="306"/>
        <v>2724854.9175960412</v>
      </c>
      <c r="AO1385" s="196">
        <f t="shared" ca="1" si="307"/>
        <v>2716603.0333703933</v>
      </c>
    </row>
    <row r="1386" spans="1:41">
      <c r="A1386" s="189">
        <v>3632</v>
      </c>
      <c r="B1386" s="190">
        <v>1</v>
      </c>
      <c r="C1386" s="191" t="s">
        <v>236</v>
      </c>
      <c r="D1386" s="192">
        <f t="shared" si="294"/>
        <v>0</v>
      </c>
      <c r="E1386" s="192">
        <f t="shared" si="295"/>
        <v>0</v>
      </c>
      <c r="F1386" s="192">
        <f t="shared" si="296"/>
        <v>0</v>
      </c>
      <c r="G1386" s="193">
        <f t="shared" si="297"/>
        <v>0</v>
      </c>
      <c r="H1386" s="194">
        <v>0</v>
      </c>
      <c r="I1386" s="194">
        <v>0</v>
      </c>
      <c r="J1386" s="194">
        <v>0</v>
      </c>
      <c r="K1386" s="193">
        <f t="shared" si="298"/>
        <v>0</v>
      </c>
      <c r="L1386" s="194">
        <v>0</v>
      </c>
      <c r="M1386" s="194">
        <v>0</v>
      </c>
      <c r="N1386" s="194">
        <v>0</v>
      </c>
      <c r="O1386" s="193">
        <f t="shared" si="299"/>
        <v>0</v>
      </c>
      <c r="P1386" s="194">
        <v>0</v>
      </c>
      <c r="Q1386" s="194">
        <v>0</v>
      </c>
      <c r="R1386" s="194">
        <v>0</v>
      </c>
      <c r="S1386" s="193">
        <f t="shared" si="300"/>
        <v>0</v>
      </c>
      <c r="T1386" s="193">
        <f t="shared" si="301"/>
        <v>0</v>
      </c>
      <c r="U1386" s="193">
        <f ca="1">OFFSET('Expenditure Study'!$B$7,'Operations Support'!$C1386,'Operations Support'!$B1386)*$G1386</f>
        <v>0</v>
      </c>
      <c r="V1386" s="199">
        <f ca="1">U1386*'Expenditure Study'!$B$31</f>
        <v>0</v>
      </c>
      <c r="W1386" s="199">
        <f ca="1">IF(A1386=10298,1.51,1)*IF($B1386&lt;3,$D1386*'Expenditure Study'!$B$32*OFFSET('Expenditure Study'!$B$7,'Operations Support'!$C1386,'Operations Support'!$B1386),0)</f>
        <v>0</v>
      </c>
      <c r="X1386" s="200">
        <f ca="1">W1386*'Expenditure Study'!$B$31</f>
        <v>0</v>
      </c>
      <c r="Y1386" s="199">
        <f ca="1">U1386*'Expenditure Study'!$B$31</f>
        <v>0</v>
      </c>
      <c r="Z1386" s="200">
        <f ca="1">W1386*'Expenditure Study'!$B$31</f>
        <v>0</v>
      </c>
      <c r="AA1386" s="195">
        <f t="shared" ca="1" si="302"/>
        <v>0</v>
      </c>
      <c r="AB1386" s="195">
        <f t="shared" ca="1" si="303"/>
        <v>0</v>
      </c>
      <c r="AD1386" s="196">
        <f>IFERROR($G1386/SUMIF($A:$A,$A1386,$G:$G)*SUMIF(Summary!$A$166:$A$242,$A1386,Summary!$P$166:$P$242),0)</f>
        <v>0</v>
      </c>
      <c r="AE1386" s="197">
        <f t="shared" ca="1" si="304"/>
        <v>0</v>
      </c>
      <c r="AF1386" s="196">
        <f>IFERROR(G1386/SUMIF(A:A,A1386,G:G)*SUMIF(Summary!$A$166:$A$242,'Operations Support'!A1386,Summary!$Q$166:$Q$242),0)</f>
        <v>0</v>
      </c>
      <c r="AG1386" s="196">
        <f t="shared" ca="1" si="305"/>
        <v>0</v>
      </c>
      <c r="AI1386" s="196">
        <f>IFERROR($G1386/SUMIF($A:$A,$A1386,$G:$G)*SUMIF(Summary!$A$247:$A$283,$A1386,Summary!$P$247:$P$283),0)</f>
        <v>0</v>
      </c>
      <c r="AJ1386" s="196">
        <f>IFERROR($G1386/SUMIF($A:$A,$A1386,$G:$G)*(SUMIF(Summary!$A$247:$A$283,$A1386,Summary!$L$247:$L$283)+SUMIF(Summary!$A$297:$A$333,$A1386,Summary!$L$297:$L$333))-AI1386,0)</f>
        <v>0</v>
      </c>
      <c r="AK1386" s="196">
        <f>IFERROR($G1386/SUMIF($A:$A,$A1386,$G:$G)*SUMIF(Summary!$A$247:$A$283,$A1386,Summary!$Q$247:$Q$283),0)</f>
        <v>0</v>
      </c>
      <c r="AL1386" s="196">
        <f>IFERROR($G1386/SUMIF($A:$A,$A1386,$G:$G)*(SUMIF(Summary!$A$247:$A$283,$A1386,Summary!$L$247:$L$283)+SUMIF(Summary!$A$297:$A$333,$A1386,Summary!$L$297:$L$333))-AK1386,0)</f>
        <v>0</v>
      </c>
      <c r="AM1386" s="198"/>
      <c r="AN1386" s="196">
        <f t="shared" ca="1" si="306"/>
        <v>0</v>
      </c>
      <c r="AO1386" s="196">
        <f t="shared" ca="1" si="307"/>
        <v>0</v>
      </c>
    </row>
    <row r="1387" spans="1:41">
      <c r="A1387" s="189">
        <v>3632</v>
      </c>
      <c r="B1387" s="190">
        <v>1</v>
      </c>
      <c r="C1387" s="191" t="s">
        <v>237</v>
      </c>
      <c r="D1387" s="192">
        <f t="shared" si="294"/>
        <v>0</v>
      </c>
      <c r="E1387" s="192">
        <f t="shared" si="295"/>
        <v>0</v>
      </c>
      <c r="F1387" s="192">
        <f t="shared" si="296"/>
        <v>0</v>
      </c>
      <c r="G1387" s="193">
        <f t="shared" si="297"/>
        <v>0</v>
      </c>
      <c r="H1387" s="194">
        <v>0</v>
      </c>
      <c r="I1387" s="194">
        <v>0</v>
      </c>
      <c r="J1387" s="194">
        <v>0</v>
      </c>
      <c r="K1387" s="193">
        <f t="shared" si="298"/>
        <v>0</v>
      </c>
      <c r="L1387" s="194">
        <v>0</v>
      </c>
      <c r="M1387" s="194">
        <v>0</v>
      </c>
      <c r="N1387" s="194">
        <v>0</v>
      </c>
      <c r="O1387" s="193">
        <f t="shared" si="299"/>
        <v>0</v>
      </c>
      <c r="P1387" s="194">
        <v>0</v>
      </c>
      <c r="Q1387" s="194">
        <v>0</v>
      </c>
      <c r="R1387" s="194">
        <v>0</v>
      </c>
      <c r="S1387" s="193">
        <f t="shared" si="300"/>
        <v>0</v>
      </c>
      <c r="T1387" s="193">
        <f t="shared" si="301"/>
        <v>0</v>
      </c>
      <c r="U1387" s="193">
        <f ca="1">OFFSET('Expenditure Study'!$B$7,'Operations Support'!$C1387,'Operations Support'!$B1387)*$G1387</f>
        <v>0</v>
      </c>
      <c r="V1387" s="199">
        <f ca="1">U1387*'Expenditure Study'!$B$31</f>
        <v>0</v>
      </c>
      <c r="W1387" s="199">
        <f ca="1">IF(A1387=10298,1.51,1)*IF($B1387&lt;3,$D1387*'Expenditure Study'!$B$32*OFFSET('Expenditure Study'!$B$7,'Operations Support'!$C1387,'Operations Support'!$B1387),0)</f>
        <v>0</v>
      </c>
      <c r="X1387" s="200">
        <f ca="1">W1387*'Expenditure Study'!$B$31</f>
        <v>0</v>
      </c>
      <c r="Y1387" s="199">
        <f ca="1">U1387*'Expenditure Study'!$B$31</f>
        <v>0</v>
      </c>
      <c r="Z1387" s="200">
        <f ca="1">W1387*'Expenditure Study'!$B$31</f>
        <v>0</v>
      </c>
      <c r="AA1387" s="195">
        <f t="shared" ca="1" si="302"/>
        <v>0</v>
      </c>
      <c r="AB1387" s="195">
        <f t="shared" ca="1" si="303"/>
        <v>0</v>
      </c>
      <c r="AD1387" s="196">
        <f>IFERROR($G1387/SUMIF($A:$A,$A1387,$G:$G)*SUMIF(Summary!$A$166:$A$242,$A1387,Summary!$P$166:$P$242),0)</f>
        <v>0</v>
      </c>
      <c r="AE1387" s="197">
        <f t="shared" ca="1" si="304"/>
        <v>0</v>
      </c>
      <c r="AF1387" s="196">
        <f>IFERROR(G1387/SUMIF(A:A,A1387,G:G)*SUMIF(Summary!$A$166:$A$242,'Operations Support'!A1387,Summary!$Q$166:$Q$242),0)</f>
        <v>0</v>
      </c>
      <c r="AG1387" s="196">
        <f t="shared" ca="1" si="305"/>
        <v>0</v>
      </c>
      <c r="AI1387" s="196">
        <f>IFERROR($G1387/SUMIF($A:$A,$A1387,$G:$G)*SUMIF(Summary!$A$247:$A$283,$A1387,Summary!$P$247:$P$283),0)</f>
        <v>0</v>
      </c>
      <c r="AJ1387" s="196">
        <f>IFERROR($G1387/SUMIF($A:$A,$A1387,$G:$G)*(SUMIF(Summary!$A$247:$A$283,$A1387,Summary!$L$247:$L$283)+SUMIF(Summary!$A$297:$A$333,$A1387,Summary!$L$297:$L$333))-AI1387,0)</f>
        <v>0</v>
      </c>
      <c r="AK1387" s="196">
        <f>IFERROR($G1387/SUMIF($A:$A,$A1387,$G:$G)*SUMIF(Summary!$A$247:$A$283,$A1387,Summary!$Q$247:$Q$283),0)</f>
        <v>0</v>
      </c>
      <c r="AL1387" s="196">
        <f>IFERROR($G1387/SUMIF($A:$A,$A1387,$G:$G)*(SUMIF(Summary!$A$247:$A$283,$A1387,Summary!$L$247:$L$283)+SUMIF(Summary!$A$297:$A$333,$A1387,Summary!$L$297:$L$333))-AK1387,0)</f>
        <v>0</v>
      </c>
      <c r="AM1387" s="198"/>
      <c r="AN1387" s="196">
        <f t="shared" ca="1" si="306"/>
        <v>0</v>
      </c>
      <c r="AO1387" s="196">
        <f t="shared" ca="1" si="307"/>
        <v>0</v>
      </c>
    </row>
    <row r="1388" spans="1:41">
      <c r="A1388" s="189">
        <v>3632</v>
      </c>
      <c r="B1388" s="190">
        <v>1</v>
      </c>
      <c r="C1388" s="191" t="s">
        <v>238</v>
      </c>
      <c r="D1388" s="192">
        <f t="shared" si="294"/>
        <v>4103.1000000000004</v>
      </c>
      <c r="E1388" s="192">
        <f t="shared" si="295"/>
        <v>15885.900000000092</v>
      </c>
      <c r="F1388" s="192">
        <f t="shared" si="296"/>
        <v>0</v>
      </c>
      <c r="G1388" s="193">
        <f t="shared" si="297"/>
        <v>19989.000000000095</v>
      </c>
      <c r="H1388" s="194">
        <v>1861.1</v>
      </c>
      <c r="I1388" s="194">
        <v>6694.9000000000497</v>
      </c>
      <c r="J1388" s="194">
        <v>0</v>
      </c>
      <c r="K1388" s="193">
        <f t="shared" si="298"/>
        <v>8556.0000000000491</v>
      </c>
      <c r="L1388" s="194">
        <v>2202</v>
      </c>
      <c r="M1388" s="194">
        <v>8882.0000000000418</v>
      </c>
      <c r="N1388" s="194">
        <v>0</v>
      </c>
      <c r="O1388" s="193">
        <f t="shared" si="299"/>
        <v>11084.000000000042</v>
      </c>
      <c r="P1388" s="194">
        <v>40</v>
      </c>
      <c r="Q1388" s="194">
        <v>309</v>
      </c>
      <c r="R1388" s="194">
        <v>0</v>
      </c>
      <c r="S1388" s="193">
        <f t="shared" si="300"/>
        <v>349</v>
      </c>
      <c r="T1388" s="193">
        <f t="shared" si="301"/>
        <v>666.30000000000314</v>
      </c>
      <c r="U1388" s="193">
        <f ca="1">OFFSET('Expenditure Study'!$B$7,'Operations Support'!$C1388,'Operations Support'!$B1388)*$G1388</f>
        <v>35580.420000000166</v>
      </c>
      <c r="V1388" s="199">
        <f ca="1">U1388*'Expenditure Study'!$B$31</f>
        <v>2102204.3877999457</v>
      </c>
      <c r="W1388" s="199">
        <f ca="1">IF(A1388=10298,1.51,1)*IF($B1388&lt;3,$D1388*'Expenditure Study'!$B$32*OFFSET('Expenditure Study'!$B$7,'Operations Support'!$C1388,'Operations Support'!$B1388),0)</f>
        <v>730.35180000000014</v>
      </c>
      <c r="X1388" s="200">
        <f ca="1">W1388*'Expenditure Study'!$B$31</f>
        <v>43151.507447005446</v>
      </c>
      <c r="Y1388" s="199">
        <f ca="1">U1388*'Expenditure Study'!$B$31</f>
        <v>2102204.3877999457</v>
      </c>
      <c r="Z1388" s="200">
        <f ca="1">W1388*'Expenditure Study'!$B$31</f>
        <v>43151.507447005446</v>
      </c>
      <c r="AA1388" s="195">
        <f t="shared" ca="1" si="302"/>
        <v>2145355.8952469509</v>
      </c>
      <c r="AB1388" s="195">
        <f t="shared" ca="1" si="303"/>
        <v>2145355.8952469509</v>
      </c>
      <c r="AD1388" s="196">
        <f>IFERROR($G1388/SUMIF($A:$A,$A1388,$G:$G)*SUMIF(Summary!$A$166:$A$242,$A1388,Summary!$P$166:$P$242),0)</f>
        <v>672431.71639255376</v>
      </c>
      <c r="AE1388" s="197">
        <f t="shared" ca="1" si="304"/>
        <v>1472924.178854397</v>
      </c>
      <c r="AF1388" s="196">
        <f>IFERROR(G1388/SUMIF(A:A,A1388,G:G)*SUMIF(Summary!$A$166:$A$242,'Operations Support'!A1388,Summary!$Q$166:$Q$242),0)</f>
        <v>675190.36246682436</v>
      </c>
      <c r="AG1388" s="196">
        <f t="shared" ca="1" si="305"/>
        <v>1470165.5327801267</v>
      </c>
      <c r="AI1388" s="196">
        <f>IFERROR($G1388/SUMIF($A:$A,$A1388,$G:$G)*SUMIF(Summary!$A$247:$A$283,$A1388,Summary!$P$247:$P$283),0)</f>
        <v>122634.76472356929</v>
      </c>
      <c r="AJ1388" s="196">
        <f>IFERROR($G1388/SUMIF($A:$A,$A1388,$G:$G)*(SUMIF(Summary!$A$247:$A$283,$A1388,Summary!$L$247:$L$283)+SUMIF(Summary!$A$297:$A$333,$A1388,Summary!$L$297:$L$333))-AI1388,0)</f>
        <v>446059.4710476991</v>
      </c>
      <c r="AK1388" s="196">
        <f>IFERROR($G1388/SUMIF($A:$A,$A1388,$G:$G)*SUMIF(Summary!$A$247:$A$283,$A1388,Summary!$Q$247:$Q$283),0)</f>
        <v>123137.87292627082</v>
      </c>
      <c r="AL1388" s="196">
        <f>IFERROR($G1388/SUMIF($A:$A,$A1388,$G:$G)*(SUMIF(Summary!$A$247:$A$283,$A1388,Summary!$L$247:$L$283)+SUMIF(Summary!$A$297:$A$333,$A1388,Summary!$L$297:$L$333))-AK1388,0)</f>
        <v>445556.36284499755</v>
      </c>
      <c r="AM1388" s="198"/>
      <c r="AN1388" s="196">
        <f t="shared" ca="1" si="306"/>
        <v>1918983.649902096</v>
      </c>
      <c r="AO1388" s="196">
        <f t="shared" ca="1" si="307"/>
        <v>1915721.8956251242</v>
      </c>
    </row>
    <row r="1389" spans="1:41">
      <c r="A1389" s="189">
        <v>3632</v>
      </c>
      <c r="B1389" s="190">
        <v>1</v>
      </c>
      <c r="C1389" s="191" t="s">
        <v>239</v>
      </c>
      <c r="D1389" s="192">
        <f t="shared" si="294"/>
        <v>0</v>
      </c>
      <c r="E1389" s="192">
        <f t="shared" si="295"/>
        <v>0</v>
      </c>
      <c r="F1389" s="192">
        <f t="shared" si="296"/>
        <v>0</v>
      </c>
      <c r="G1389" s="193">
        <f t="shared" si="297"/>
        <v>0</v>
      </c>
      <c r="H1389" s="194">
        <v>0</v>
      </c>
      <c r="I1389" s="194">
        <v>0</v>
      </c>
      <c r="J1389" s="194">
        <v>0</v>
      </c>
      <c r="K1389" s="193">
        <f t="shared" si="298"/>
        <v>0</v>
      </c>
      <c r="L1389" s="194">
        <v>0</v>
      </c>
      <c r="M1389" s="194">
        <v>0</v>
      </c>
      <c r="N1389" s="194">
        <v>0</v>
      </c>
      <c r="O1389" s="193">
        <f t="shared" si="299"/>
        <v>0</v>
      </c>
      <c r="P1389" s="194">
        <v>0</v>
      </c>
      <c r="Q1389" s="194">
        <v>0</v>
      </c>
      <c r="R1389" s="194">
        <v>0</v>
      </c>
      <c r="S1389" s="193">
        <f t="shared" si="300"/>
        <v>0</v>
      </c>
      <c r="T1389" s="193">
        <f t="shared" si="301"/>
        <v>0</v>
      </c>
      <c r="U1389" s="193">
        <f ca="1">OFFSET('Expenditure Study'!$B$7,'Operations Support'!$C1389,'Operations Support'!$B1389)*$G1389</f>
        <v>0</v>
      </c>
      <c r="V1389" s="199">
        <f ca="1">U1389*'Expenditure Study'!$B$31</f>
        <v>0</v>
      </c>
      <c r="W1389" s="199">
        <f ca="1">IF(A1389=10298,1.51,1)*IF($B1389&lt;3,$D1389*'Expenditure Study'!$B$32*OFFSET('Expenditure Study'!$B$7,'Operations Support'!$C1389,'Operations Support'!$B1389),0)</f>
        <v>0</v>
      </c>
      <c r="X1389" s="200">
        <f ca="1">W1389*'Expenditure Study'!$B$31</f>
        <v>0</v>
      </c>
      <c r="Y1389" s="199">
        <f ca="1">U1389*'Expenditure Study'!$B$31</f>
        <v>0</v>
      </c>
      <c r="Z1389" s="200">
        <f ca="1">W1389*'Expenditure Study'!$B$31</f>
        <v>0</v>
      </c>
      <c r="AA1389" s="195">
        <f t="shared" ca="1" si="302"/>
        <v>0</v>
      </c>
      <c r="AB1389" s="195">
        <f t="shared" ca="1" si="303"/>
        <v>0</v>
      </c>
      <c r="AD1389" s="196">
        <f>IFERROR($G1389/SUMIF($A:$A,$A1389,$G:$G)*SUMIF(Summary!$A$166:$A$242,$A1389,Summary!$P$166:$P$242),0)</f>
        <v>0</v>
      </c>
      <c r="AE1389" s="197">
        <f t="shared" ca="1" si="304"/>
        <v>0</v>
      </c>
      <c r="AF1389" s="196">
        <f>IFERROR(G1389/SUMIF(A:A,A1389,G:G)*SUMIF(Summary!$A$166:$A$242,'Operations Support'!A1389,Summary!$Q$166:$Q$242),0)</f>
        <v>0</v>
      </c>
      <c r="AG1389" s="196">
        <f t="shared" ca="1" si="305"/>
        <v>0</v>
      </c>
      <c r="AI1389" s="196">
        <f>IFERROR($G1389/SUMIF($A:$A,$A1389,$G:$G)*SUMIF(Summary!$A$247:$A$283,$A1389,Summary!$P$247:$P$283),0)</f>
        <v>0</v>
      </c>
      <c r="AJ1389" s="196">
        <f>IFERROR($G1389/SUMIF($A:$A,$A1389,$G:$G)*(SUMIF(Summary!$A$247:$A$283,$A1389,Summary!$L$247:$L$283)+SUMIF(Summary!$A$297:$A$333,$A1389,Summary!$L$297:$L$333))-AI1389,0)</f>
        <v>0</v>
      </c>
      <c r="AK1389" s="196">
        <f>IFERROR($G1389/SUMIF($A:$A,$A1389,$G:$G)*SUMIF(Summary!$A$247:$A$283,$A1389,Summary!$Q$247:$Q$283),0)</f>
        <v>0</v>
      </c>
      <c r="AL1389" s="196">
        <f>IFERROR($G1389/SUMIF($A:$A,$A1389,$G:$G)*(SUMIF(Summary!$A$247:$A$283,$A1389,Summary!$L$247:$L$283)+SUMIF(Summary!$A$297:$A$333,$A1389,Summary!$L$297:$L$333))-AK1389,0)</f>
        <v>0</v>
      </c>
      <c r="AM1389" s="198"/>
      <c r="AN1389" s="196">
        <f t="shared" ca="1" si="306"/>
        <v>0</v>
      </c>
      <c r="AO1389" s="196">
        <f t="shared" ca="1" si="307"/>
        <v>0</v>
      </c>
    </row>
    <row r="1390" spans="1:41">
      <c r="A1390" s="189">
        <v>3632</v>
      </c>
      <c r="B1390" s="190">
        <v>1</v>
      </c>
      <c r="C1390" s="191" t="s">
        <v>240</v>
      </c>
      <c r="D1390" s="192">
        <f t="shared" si="294"/>
        <v>0</v>
      </c>
      <c r="E1390" s="192">
        <f t="shared" si="295"/>
        <v>0</v>
      </c>
      <c r="F1390" s="192">
        <f t="shared" si="296"/>
        <v>0</v>
      </c>
      <c r="G1390" s="193">
        <f t="shared" si="297"/>
        <v>0</v>
      </c>
      <c r="H1390" s="194">
        <v>0</v>
      </c>
      <c r="I1390" s="194">
        <v>0</v>
      </c>
      <c r="J1390" s="194">
        <v>0</v>
      </c>
      <c r="K1390" s="193">
        <f t="shared" si="298"/>
        <v>0</v>
      </c>
      <c r="L1390" s="194">
        <v>0</v>
      </c>
      <c r="M1390" s="194">
        <v>0</v>
      </c>
      <c r="N1390" s="194">
        <v>0</v>
      </c>
      <c r="O1390" s="193">
        <f t="shared" si="299"/>
        <v>0</v>
      </c>
      <c r="P1390" s="194">
        <v>0</v>
      </c>
      <c r="Q1390" s="194">
        <v>0</v>
      </c>
      <c r="R1390" s="194">
        <v>0</v>
      </c>
      <c r="S1390" s="193">
        <f t="shared" si="300"/>
        <v>0</v>
      </c>
      <c r="T1390" s="193">
        <f t="shared" si="301"/>
        <v>0</v>
      </c>
      <c r="U1390" s="193">
        <f ca="1">OFFSET('Expenditure Study'!$B$7,'Operations Support'!$C1390,'Operations Support'!$B1390)*$G1390</f>
        <v>0</v>
      </c>
      <c r="V1390" s="199">
        <f ca="1">U1390*'Expenditure Study'!$B$31</f>
        <v>0</v>
      </c>
      <c r="W1390" s="199">
        <f ca="1">IF(A1390=10298,1.51,1)*IF($B1390&lt;3,$D1390*'Expenditure Study'!$B$32*OFFSET('Expenditure Study'!$B$7,'Operations Support'!$C1390,'Operations Support'!$B1390),0)</f>
        <v>0</v>
      </c>
      <c r="X1390" s="200">
        <f ca="1">W1390*'Expenditure Study'!$B$31</f>
        <v>0</v>
      </c>
      <c r="Y1390" s="199">
        <f ca="1">U1390*'Expenditure Study'!$B$31</f>
        <v>0</v>
      </c>
      <c r="Z1390" s="200">
        <f ca="1">W1390*'Expenditure Study'!$B$31</f>
        <v>0</v>
      </c>
      <c r="AA1390" s="195">
        <f t="shared" ca="1" si="302"/>
        <v>0</v>
      </c>
      <c r="AB1390" s="195">
        <f t="shared" ca="1" si="303"/>
        <v>0</v>
      </c>
      <c r="AD1390" s="196">
        <f>IFERROR($G1390/SUMIF($A:$A,$A1390,$G:$G)*SUMIF(Summary!$A$166:$A$242,$A1390,Summary!$P$166:$P$242),0)</f>
        <v>0</v>
      </c>
      <c r="AE1390" s="197">
        <f t="shared" ca="1" si="304"/>
        <v>0</v>
      </c>
      <c r="AF1390" s="196">
        <f>IFERROR(G1390/SUMIF(A:A,A1390,G:G)*SUMIF(Summary!$A$166:$A$242,'Operations Support'!A1390,Summary!$Q$166:$Q$242),0)</f>
        <v>0</v>
      </c>
      <c r="AG1390" s="196">
        <f t="shared" ca="1" si="305"/>
        <v>0</v>
      </c>
      <c r="AI1390" s="196">
        <f>IFERROR($G1390/SUMIF($A:$A,$A1390,$G:$G)*SUMIF(Summary!$A$247:$A$283,$A1390,Summary!$P$247:$P$283),0)</f>
        <v>0</v>
      </c>
      <c r="AJ1390" s="196">
        <f>IFERROR($G1390/SUMIF($A:$A,$A1390,$G:$G)*(SUMIF(Summary!$A$247:$A$283,$A1390,Summary!$L$247:$L$283)+SUMIF(Summary!$A$297:$A$333,$A1390,Summary!$L$297:$L$333))-AI1390,0)</f>
        <v>0</v>
      </c>
      <c r="AK1390" s="196">
        <f>IFERROR($G1390/SUMIF($A:$A,$A1390,$G:$G)*SUMIF(Summary!$A$247:$A$283,$A1390,Summary!$Q$247:$Q$283),0)</f>
        <v>0</v>
      </c>
      <c r="AL1390" s="196">
        <f>IFERROR($G1390/SUMIF($A:$A,$A1390,$G:$G)*(SUMIF(Summary!$A$247:$A$283,$A1390,Summary!$L$247:$L$283)+SUMIF(Summary!$A$297:$A$333,$A1390,Summary!$L$297:$L$333))-AK1390,0)</f>
        <v>0</v>
      </c>
      <c r="AM1390" s="198"/>
      <c r="AN1390" s="196">
        <f t="shared" ca="1" si="306"/>
        <v>0</v>
      </c>
      <c r="AO1390" s="196">
        <f t="shared" ca="1" si="307"/>
        <v>0</v>
      </c>
    </row>
    <row r="1391" spans="1:41">
      <c r="A1391" s="189">
        <v>3632</v>
      </c>
      <c r="B1391" s="190">
        <v>2</v>
      </c>
      <c r="C1391" s="191" t="s">
        <v>220</v>
      </c>
      <c r="D1391" s="192">
        <f t="shared" si="294"/>
        <v>46664.229999999996</v>
      </c>
      <c r="E1391" s="192">
        <f t="shared" si="295"/>
        <v>62485.770000000011</v>
      </c>
      <c r="F1391" s="192">
        <f t="shared" si="296"/>
        <v>0</v>
      </c>
      <c r="G1391" s="193">
        <f t="shared" si="297"/>
        <v>109150</v>
      </c>
      <c r="H1391" s="194">
        <v>22582.02</v>
      </c>
      <c r="I1391" s="194">
        <v>29033.98000000001</v>
      </c>
      <c r="J1391" s="194">
        <v>0</v>
      </c>
      <c r="K1391" s="193">
        <f t="shared" si="298"/>
        <v>51616.000000000015</v>
      </c>
      <c r="L1391" s="194">
        <v>22350.21</v>
      </c>
      <c r="M1391" s="194">
        <v>27736.79</v>
      </c>
      <c r="N1391" s="194">
        <v>0</v>
      </c>
      <c r="O1391" s="193">
        <f t="shared" si="299"/>
        <v>50087</v>
      </c>
      <c r="P1391" s="194">
        <v>1732</v>
      </c>
      <c r="Q1391" s="194">
        <v>5715</v>
      </c>
      <c r="R1391" s="194">
        <v>0</v>
      </c>
      <c r="S1391" s="193">
        <f t="shared" si="300"/>
        <v>7447</v>
      </c>
      <c r="T1391" s="193">
        <f t="shared" si="301"/>
        <v>3638.3333333333335</v>
      </c>
      <c r="U1391" s="193">
        <f ca="1">OFFSET('Expenditure Study'!$B$7,'Operations Support'!$C1391,'Operations Support'!$B1391)*$G1391</f>
        <v>200836</v>
      </c>
      <c r="V1391" s="199">
        <f ca="1">U1391*'Expenditure Study'!$B$31</f>
        <v>11866029.6991488</v>
      </c>
      <c r="W1391" s="199">
        <f ca="1">IF(A1391=10298,1.51,1)*IF($B1391&lt;3,$D1391*'Expenditure Study'!$B$32*OFFSET('Expenditure Study'!$B$7,'Operations Support'!$C1391,'Operations Support'!$B1391),0)</f>
        <v>8586.2183199999999</v>
      </c>
      <c r="X1391" s="200">
        <f ca="1">W1391*'Expenditure Study'!$B$31</f>
        <v>507301.08938883228</v>
      </c>
      <c r="Y1391" s="199">
        <f ca="1">U1391*'Expenditure Study'!$B$31</f>
        <v>11866029.6991488</v>
      </c>
      <c r="Z1391" s="200">
        <f ca="1">W1391*'Expenditure Study'!$B$31</f>
        <v>507301.08938883228</v>
      </c>
      <c r="AA1391" s="195">
        <f t="shared" ca="1" si="302"/>
        <v>12373330.788537633</v>
      </c>
      <c r="AB1391" s="195">
        <f t="shared" ca="1" si="303"/>
        <v>12373330.788537633</v>
      </c>
      <c r="AD1391" s="196">
        <f>IFERROR($G1391/SUMIF($A:$A,$A1391,$G:$G)*SUMIF(Summary!$A$166:$A$242,$A1391,Summary!$P$166:$P$242),0)</f>
        <v>3671815.590787278</v>
      </c>
      <c r="AE1391" s="197">
        <f t="shared" ca="1" si="304"/>
        <v>8701515.1977503542</v>
      </c>
      <c r="AF1391" s="196">
        <f>IFERROR(G1391/SUMIF(A:A,A1391,G:G)*SUMIF(Summary!$A$166:$A$242,'Operations Support'!A1391,Summary!$Q$166:$Q$242),0)</f>
        <v>3686879.1867153705</v>
      </c>
      <c r="AG1391" s="196">
        <f t="shared" ca="1" si="305"/>
        <v>8686451.6018222626</v>
      </c>
      <c r="AI1391" s="196">
        <f>IFERROR($G1391/SUMIF($A:$A,$A1391,$G:$G)*SUMIF(Summary!$A$247:$A$283,$A1391,Summary!$P$247:$P$283),0)</f>
        <v>669647.53462291881</v>
      </c>
      <c r="AJ1391" s="196">
        <f>IFERROR($G1391/SUMIF($A:$A,$A1391,$G:$G)*(SUMIF(Summary!$A$247:$A$283,$A1391,Summary!$L$247:$L$283)+SUMIF(Summary!$A$297:$A$333,$A1391,Summary!$L$297:$L$333))-AI1391,0)</f>
        <v>2435709.2033046242</v>
      </c>
      <c r="AK1391" s="196">
        <f>IFERROR($G1391/SUMIF($A:$A,$A1391,$G:$G)*SUMIF(Summary!$A$247:$A$283,$A1391,Summary!$Q$247:$Q$283),0)</f>
        <v>672394.75861235673</v>
      </c>
      <c r="AL1391" s="196">
        <f>IFERROR($G1391/SUMIF($A:$A,$A1391,$G:$G)*(SUMIF(Summary!$A$247:$A$283,$A1391,Summary!$L$247:$L$283)+SUMIF(Summary!$A$297:$A$333,$A1391,Summary!$L$297:$L$333))-AK1391,0)</f>
        <v>2432961.9793151864</v>
      </c>
      <c r="AM1391" s="198"/>
      <c r="AN1391" s="196">
        <f t="shared" ca="1" si="306"/>
        <v>11137224.401054978</v>
      </c>
      <c r="AO1391" s="196">
        <f t="shared" ca="1" si="307"/>
        <v>11119413.581137449</v>
      </c>
    </row>
    <row r="1392" spans="1:41">
      <c r="A1392" s="189">
        <v>3632</v>
      </c>
      <c r="B1392" s="190">
        <v>2</v>
      </c>
      <c r="C1392" s="191" t="s">
        <v>221</v>
      </c>
      <c r="D1392" s="192">
        <f t="shared" si="294"/>
        <v>51544.520000000899</v>
      </c>
      <c r="E1392" s="192">
        <f t="shared" si="295"/>
        <v>76081.479999999399</v>
      </c>
      <c r="F1392" s="192">
        <f t="shared" si="296"/>
        <v>0</v>
      </c>
      <c r="G1392" s="193">
        <f t="shared" si="297"/>
        <v>127626.00000000029</v>
      </c>
      <c r="H1392" s="194">
        <v>25570.010000000599</v>
      </c>
      <c r="I1392" s="194">
        <v>36910.98999999943</v>
      </c>
      <c r="J1392" s="194">
        <v>0</v>
      </c>
      <c r="K1392" s="193">
        <f t="shared" si="298"/>
        <v>62481.000000000029</v>
      </c>
      <c r="L1392" s="194">
        <v>24544.410000000302</v>
      </c>
      <c r="M1392" s="194">
        <v>33360.589999999982</v>
      </c>
      <c r="N1392" s="194">
        <v>0</v>
      </c>
      <c r="O1392" s="193">
        <f t="shared" si="299"/>
        <v>57905.000000000284</v>
      </c>
      <c r="P1392" s="194">
        <v>1430.1</v>
      </c>
      <c r="Q1392" s="194">
        <v>5809.9</v>
      </c>
      <c r="R1392" s="194">
        <v>0</v>
      </c>
      <c r="S1392" s="193">
        <f t="shared" si="300"/>
        <v>7240</v>
      </c>
      <c r="T1392" s="193">
        <f t="shared" si="301"/>
        <v>4254.2000000000098</v>
      </c>
      <c r="U1392" s="193">
        <f ca="1">OFFSET('Expenditure Study'!$B$7,'Operations Support'!$C1392,'Operations Support'!$B1392)*$G1392</f>
        <v>335656.38000000076</v>
      </c>
      <c r="V1392" s="199">
        <f ca="1">U1392*'Expenditure Study'!$B$31</f>
        <v>19831646.586213548</v>
      </c>
      <c r="W1392" s="199">
        <f ca="1">IF(A1392=10298,1.51,1)*IF($B1392&lt;3,$D1392*'Expenditure Study'!$B$32*OFFSET('Expenditure Study'!$B$7,'Operations Support'!$C1392,'Operations Support'!$B1392),0)</f>
        <v>13556.208760000236</v>
      </c>
      <c r="X1392" s="200">
        <f ca="1">W1392*'Expenditure Study'!$B$31</f>
        <v>800943.93312963773</v>
      </c>
      <c r="Y1392" s="199">
        <f ca="1">U1392*'Expenditure Study'!$B$31</f>
        <v>19831646.586213548</v>
      </c>
      <c r="Z1392" s="200">
        <f ca="1">W1392*'Expenditure Study'!$B$31</f>
        <v>800943.93312963773</v>
      </c>
      <c r="AA1392" s="195">
        <f t="shared" ca="1" si="302"/>
        <v>20632590.519343186</v>
      </c>
      <c r="AB1392" s="195">
        <f t="shared" ca="1" si="303"/>
        <v>20632590.519343186</v>
      </c>
      <c r="AD1392" s="196">
        <f>IFERROR($G1392/SUMIF($A:$A,$A1392,$G:$G)*SUMIF(Summary!$A$166:$A$242,$A1392,Summary!$P$166:$P$242),0)</f>
        <v>4293349.8542356221</v>
      </c>
      <c r="AE1392" s="197">
        <f t="shared" ca="1" si="304"/>
        <v>16339240.665107563</v>
      </c>
      <c r="AF1392" s="196">
        <f>IFERROR(G1392/SUMIF(A:A,A1392,G:G)*SUMIF(Summary!$A$166:$A$242,'Operations Support'!A1392,Summary!$Q$166:$Q$242),0)</f>
        <v>4310963.289818936</v>
      </c>
      <c r="AG1392" s="196">
        <f t="shared" ca="1" si="305"/>
        <v>16321627.229524251</v>
      </c>
      <c r="AI1392" s="196">
        <f>IFERROR($G1392/SUMIF($A:$A,$A1392,$G:$G)*SUMIF(Summary!$A$247:$A$283,$A1392,Summary!$P$247:$P$283),0)</f>
        <v>782999.87406124431</v>
      </c>
      <c r="AJ1392" s="196">
        <f>IFERROR($G1392/SUMIF($A:$A,$A1392,$G:$G)*(SUMIF(Summary!$A$247:$A$283,$A1392,Summary!$L$247:$L$283)+SUMIF(Summary!$A$297:$A$333,$A1392,Summary!$L$297:$L$333))-AI1392,0)</f>
        <v>2848005.7057348294</v>
      </c>
      <c r="AK1392" s="196">
        <f>IFERROR($G1392/SUMIF($A:$A,$A1392,$G:$G)*SUMIF(Summary!$A$247:$A$283,$A1392,Summary!$Q$247:$Q$283),0)</f>
        <v>786212.12517325534</v>
      </c>
      <c r="AL1392" s="196">
        <f>IFERROR($G1392/SUMIF($A:$A,$A1392,$G:$G)*(SUMIF(Summary!$A$247:$A$283,$A1392,Summary!$L$247:$L$283)+SUMIF(Summary!$A$297:$A$333,$A1392,Summary!$L$297:$L$333))-AK1392,0)</f>
        <v>2844793.4546228182</v>
      </c>
      <c r="AM1392" s="198"/>
      <c r="AN1392" s="196">
        <f t="shared" ca="1" si="306"/>
        <v>19187246.370842393</v>
      </c>
      <c r="AO1392" s="196">
        <f t="shared" ca="1" si="307"/>
        <v>19166420.684147067</v>
      </c>
    </row>
    <row r="1393" spans="1:41">
      <c r="A1393" s="189">
        <v>3632</v>
      </c>
      <c r="B1393" s="190">
        <v>2</v>
      </c>
      <c r="C1393" s="191" t="s">
        <v>222</v>
      </c>
      <c r="D1393" s="192">
        <f t="shared" si="294"/>
        <v>1770</v>
      </c>
      <c r="E1393" s="192">
        <f t="shared" si="295"/>
        <v>5833</v>
      </c>
      <c r="F1393" s="192">
        <f t="shared" si="296"/>
        <v>0</v>
      </c>
      <c r="G1393" s="193">
        <f t="shared" si="297"/>
        <v>7603</v>
      </c>
      <c r="H1393" s="194">
        <v>924</v>
      </c>
      <c r="I1393" s="194">
        <v>2059</v>
      </c>
      <c r="J1393" s="194">
        <v>0</v>
      </c>
      <c r="K1393" s="193">
        <f t="shared" si="298"/>
        <v>2983</v>
      </c>
      <c r="L1393" s="194">
        <v>567</v>
      </c>
      <c r="M1393" s="194">
        <v>3129</v>
      </c>
      <c r="N1393" s="194">
        <v>0</v>
      </c>
      <c r="O1393" s="193">
        <f t="shared" si="299"/>
        <v>3696</v>
      </c>
      <c r="P1393" s="194">
        <v>279</v>
      </c>
      <c r="Q1393" s="194">
        <v>645</v>
      </c>
      <c r="R1393" s="194">
        <v>0</v>
      </c>
      <c r="S1393" s="193">
        <f t="shared" si="300"/>
        <v>924</v>
      </c>
      <c r="T1393" s="193">
        <f t="shared" si="301"/>
        <v>253.43333333333334</v>
      </c>
      <c r="U1393" s="193">
        <f ca="1">OFFSET('Expenditure Study'!$B$7,'Operations Support'!$C1393,'Operations Support'!$B1393)*$G1393</f>
        <v>20223.98</v>
      </c>
      <c r="V1393" s="199">
        <f ca="1">U1393*'Expenditure Study'!$B$31</f>
        <v>1194897.0668355839</v>
      </c>
      <c r="W1393" s="199">
        <f ca="1">IF(A1393=10298,1.51,1)*IF($B1393&lt;3,$D1393*'Expenditure Study'!$B$32*OFFSET('Expenditure Study'!$B$7,'Operations Support'!$C1393,'Operations Support'!$B1393),0)</f>
        <v>470.82000000000005</v>
      </c>
      <c r="X1393" s="200">
        <f ca="1">W1393*'Expenditure Study'!$B$31</f>
        <v>27817.543184256003</v>
      </c>
      <c r="Y1393" s="199">
        <f ca="1">U1393*'Expenditure Study'!$B$31</f>
        <v>1194897.0668355839</v>
      </c>
      <c r="Z1393" s="200">
        <f ca="1">W1393*'Expenditure Study'!$B$31</f>
        <v>27817.543184256003</v>
      </c>
      <c r="AA1393" s="195">
        <f t="shared" ca="1" si="302"/>
        <v>1222714.6100198398</v>
      </c>
      <c r="AB1393" s="195">
        <f t="shared" ca="1" si="303"/>
        <v>1222714.6100198398</v>
      </c>
      <c r="AD1393" s="196">
        <f>IFERROR($G1393/SUMIF($A:$A,$A1393,$G:$G)*SUMIF(Summary!$A$166:$A$242,$A1393,Summary!$P$166:$P$242),0)</f>
        <v>255765.58806006116</v>
      </c>
      <c r="AE1393" s="197">
        <f t="shared" ca="1" si="304"/>
        <v>966949.02195977862</v>
      </c>
      <c r="AF1393" s="196">
        <f>IFERROR(G1393/SUMIF(A:A,A1393,G:G)*SUMIF(Summary!$A$166:$A$242,'Operations Support'!A1393,Summary!$Q$166:$Q$242),0)</f>
        <v>256814.86446721907</v>
      </c>
      <c r="AG1393" s="196">
        <f t="shared" ca="1" si="305"/>
        <v>965899.74555262073</v>
      </c>
      <c r="AI1393" s="196">
        <f>IFERROR($G1393/SUMIF($A:$A,$A1393,$G:$G)*SUMIF(Summary!$A$247:$A$283,$A1393,Summary!$P$247:$P$283),0)</f>
        <v>46645.260703051317</v>
      </c>
      <c r="AJ1393" s="196">
        <f>IFERROR($G1393/SUMIF($A:$A,$A1393,$G:$G)*(SUMIF(Summary!$A$247:$A$283,$A1393,Summary!$L$247:$L$283)+SUMIF(Summary!$A$297:$A$333,$A1393,Summary!$L$297:$L$333))-AI1393,0)</f>
        <v>169662.82247114115</v>
      </c>
      <c r="AK1393" s="196">
        <f>IFERROR($G1393/SUMIF($A:$A,$A1393,$G:$G)*SUMIF(Summary!$A$247:$A$283,$A1393,Summary!$Q$247:$Q$283),0)</f>
        <v>46836.622535316055</v>
      </c>
      <c r="AL1393" s="196">
        <f>IFERROR($G1393/SUMIF($A:$A,$A1393,$G:$G)*(SUMIF(Summary!$A$247:$A$283,$A1393,Summary!$L$247:$L$283)+SUMIF(Summary!$A$297:$A$333,$A1393,Summary!$L$297:$L$333))-AK1393,0)</f>
        <v>169471.46063887642</v>
      </c>
      <c r="AM1393" s="198"/>
      <c r="AN1393" s="196">
        <f t="shared" ca="1" si="306"/>
        <v>1136611.8444309197</v>
      </c>
      <c r="AO1393" s="196">
        <f t="shared" ca="1" si="307"/>
        <v>1135371.2061914972</v>
      </c>
    </row>
    <row r="1394" spans="1:41">
      <c r="A1394" s="189">
        <v>3632</v>
      </c>
      <c r="B1394" s="190">
        <v>2</v>
      </c>
      <c r="C1394" s="191" t="s">
        <v>223</v>
      </c>
      <c r="D1394" s="192">
        <f t="shared" si="294"/>
        <v>2682</v>
      </c>
      <c r="E1394" s="192">
        <f t="shared" si="295"/>
        <v>11615</v>
      </c>
      <c r="F1394" s="192">
        <f t="shared" si="296"/>
        <v>0</v>
      </c>
      <c r="G1394" s="193">
        <f t="shared" si="297"/>
        <v>14297</v>
      </c>
      <c r="H1394" s="194">
        <v>1472</v>
      </c>
      <c r="I1394" s="194">
        <v>5482</v>
      </c>
      <c r="J1394" s="194">
        <v>0</v>
      </c>
      <c r="K1394" s="193">
        <f t="shared" si="298"/>
        <v>6954</v>
      </c>
      <c r="L1394" s="194">
        <v>1192</v>
      </c>
      <c r="M1394" s="194">
        <v>5109</v>
      </c>
      <c r="N1394" s="194">
        <v>0</v>
      </c>
      <c r="O1394" s="193">
        <f t="shared" si="299"/>
        <v>6301</v>
      </c>
      <c r="P1394" s="194">
        <v>18</v>
      </c>
      <c r="Q1394" s="194">
        <v>1024</v>
      </c>
      <c r="R1394" s="194">
        <v>0</v>
      </c>
      <c r="S1394" s="193">
        <f t="shared" si="300"/>
        <v>1042</v>
      </c>
      <c r="T1394" s="193">
        <f t="shared" si="301"/>
        <v>476.56666666666666</v>
      </c>
      <c r="U1394" s="193">
        <f ca="1">OFFSET('Expenditure Study'!$B$7,'Operations Support'!$C1394,'Operations Support'!$B1394)*$G1394</f>
        <v>27164.3</v>
      </c>
      <c r="V1394" s="199">
        <f ca="1">U1394*'Expenditure Study'!$B$31</f>
        <v>1604953.2482054399</v>
      </c>
      <c r="W1394" s="199">
        <f ca="1">IF(A1394=10298,1.51,1)*IF($B1394&lt;3,$D1394*'Expenditure Study'!$B$32*OFFSET('Expenditure Study'!$B$7,'Operations Support'!$C1394,'Operations Support'!$B1394),0)</f>
        <v>509.57999999999993</v>
      </c>
      <c r="X1394" s="200">
        <f ca="1">W1394*'Expenditure Study'!$B$31</f>
        <v>30107.607272063997</v>
      </c>
      <c r="Y1394" s="199">
        <f ca="1">U1394*'Expenditure Study'!$B$31</f>
        <v>1604953.2482054399</v>
      </c>
      <c r="Z1394" s="200">
        <f ca="1">W1394*'Expenditure Study'!$B$31</f>
        <v>30107.607272063997</v>
      </c>
      <c r="AA1394" s="195">
        <f t="shared" ca="1" si="302"/>
        <v>1635060.855477504</v>
      </c>
      <c r="AB1394" s="195">
        <f t="shared" ca="1" si="303"/>
        <v>1635060.855477504</v>
      </c>
      <c r="AD1394" s="196">
        <f>IFERROR($G1394/SUMIF($A:$A,$A1394,$G:$G)*SUMIF(Summary!$A$166:$A$242,$A1394,Summary!$P$166:$P$242),0)</f>
        <v>480952.33624815132</v>
      </c>
      <c r="AE1394" s="197">
        <f t="shared" ca="1" si="304"/>
        <v>1154108.5192293527</v>
      </c>
      <c r="AF1394" s="196">
        <f>IFERROR(G1394/SUMIF(A:A,A1394,G:G)*SUMIF(Summary!$A$166:$A$242,'Operations Support'!A1394,Summary!$Q$166:$Q$242),0)</f>
        <v>482925.43960118783</v>
      </c>
      <c r="AG1394" s="196">
        <f t="shared" ca="1" si="305"/>
        <v>1152135.4158763161</v>
      </c>
      <c r="AI1394" s="196">
        <f>IFERROR($G1394/SUMIF($A:$A,$A1394,$G:$G)*SUMIF(Summary!$A$247:$A$283,$A1394,Summary!$P$247:$P$283),0)</f>
        <v>87713.704099898037</v>
      </c>
      <c r="AJ1394" s="196">
        <f>IFERROR($G1394/SUMIF($A:$A,$A1394,$G:$G)*(SUMIF(Summary!$A$247:$A$283,$A1394,Summary!$L$247:$L$283)+SUMIF(Summary!$A$297:$A$333,$A1394,Summary!$L$297:$L$333))-AI1394,0)</f>
        <v>319041.08547545772</v>
      </c>
      <c r="AK1394" s="196">
        <f>IFERROR($G1394/SUMIF($A:$A,$A1394,$G:$G)*SUMIF(Summary!$A$247:$A$283,$A1394,Summary!$Q$247:$Q$283),0)</f>
        <v>88073.548913246574</v>
      </c>
      <c r="AL1394" s="196">
        <f>IFERROR($G1394/SUMIF($A:$A,$A1394,$G:$G)*(SUMIF(Summary!$A$247:$A$283,$A1394,Summary!$L$247:$L$283)+SUMIF(Summary!$A$297:$A$333,$A1394,Summary!$L$297:$L$333))-AK1394,0)</f>
        <v>318681.24066210922</v>
      </c>
      <c r="AM1394" s="198"/>
      <c r="AN1394" s="196">
        <f t="shared" ca="1" si="306"/>
        <v>1473149.6047048103</v>
      </c>
      <c r="AO1394" s="196">
        <f t="shared" ca="1" si="307"/>
        <v>1470816.6565384255</v>
      </c>
    </row>
    <row r="1395" spans="1:41">
      <c r="A1395" s="189">
        <v>3632</v>
      </c>
      <c r="B1395" s="190">
        <v>2</v>
      </c>
      <c r="C1395" s="191" t="s">
        <v>224</v>
      </c>
      <c r="D1395" s="192">
        <f t="shared" si="294"/>
        <v>20670.739999999998</v>
      </c>
      <c r="E1395" s="192">
        <f t="shared" si="295"/>
        <v>24414.260000000009</v>
      </c>
      <c r="F1395" s="192">
        <f t="shared" si="296"/>
        <v>0</v>
      </c>
      <c r="G1395" s="193">
        <f t="shared" si="297"/>
        <v>45085.000000000007</v>
      </c>
      <c r="H1395" s="194">
        <v>10354.379999999999</v>
      </c>
      <c r="I1395" s="194">
        <v>11787.62000000001</v>
      </c>
      <c r="J1395" s="194">
        <v>0</v>
      </c>
      <c r="K1395" s="193">
        <f t="shared" si="298"/>
        <v>22142.000000000007</v>
      </c>
      <c r="L1395" s="194">
        <v>9443.86</v>
      </c>
      <c r="M1395" s="194">
        <v>10563.14</v>
      </c>
      <c r="N1395" s="194">
        <v>0</v>
      </c>
      <c r="O1395" s="193">
        <f t="shared" si="299"/>
        <v>20007</v>
      </c>
      <c r="P1395" s="194">
        <v>872.5</v>
      </c>
      <c r="Q1395" s="194">
        <v>2063.5</v>
      </c>
      <c r="R1395" s="194">
        <v>0</v>
      </c>
      <c r="S1395" s="193">
        <f t="shared" si="300"/>
        <v>2936</v>
      </c>
      <c r="T1395" s="193">
        <f t="shared" si="301"/>
        <v>1502.8333333333335</v>
      </c>
      <c r="U1395" s="193">
        <f ca="1">OFFSET('Expenditure Study'!$B$7,'Operations Support'!$C1395,'Operations Support'!$B1395)*$G1395</f>
        <v>102342.95000000001</v>
      </c>
      <c r="V1395" s="199">
        <f ca="1">U1395*'Expenditure Study'!$B$31</f>
        <v>6046747.018455361</v>
      </c>
      <c r="W1395" s="199">
        <f ca="1">IF(A1395=10298,1.51,1)*IF($B1395&lt;3,$D1395*'Expenditure Study'!$B$32*OFFSET('Expenditure Study'!$B$7,'Operations Support'!$C1395,'Operations Support'!$B1395),0)</f>
        <v>4692.2579800000003</v>
      </c>
      <c r="X1395" s="200">
        <f ca="1">W1395*'Expenditure Study'!$B$31</f>
        <v>277233.52659258281</v>
      </c>
      <c r="Y1395" s="199">
        <f ca="1">U1395*'Expenditure Study'!$B$31</f>
        <v>6046747.018455361</v>
      </c>
      <c r="Z1395" s="200">
        <f ca="1">W1395*'Expenditure Study'!$B$31</f>
        <v>277233.52659258281</v>
      </c>
      <c r="AA1395" s="195">
        <f t="shared" ca="1" si="302"/>
        <v>6323980.5450479435</v>
      </c>
      <c r="AB1395" s="195">
        <f t="shared" ca="1" si="303"/>
        <v>6323980.5450479435</v>
      </c>
      <c r="AD1395" s="196">
        <f>IFERROR($G1395/SUMIF($A:$A,$A1395,$G:$G)*SUMIF(Summary!$A$166:$A$242,$A1395,Summary!$P$166:$P$242),0)</f>
        <v>1516663.361526747</v>
      </c>
      <c r="AE1395" s="197">
        <f t="shared" ca="1" si="304"/>
        <v>4807317.1835211962</v>
      </c>
      <c r="AF1395" s="196">
        <f>IFERROR(G1395/SUMIF(A:A,A1395,G:G)*SUMIF(Summary!$A$166:$A$242,'Operations Support'!A1395,Summary!$Q$166:$Q$242),0)</f>
        <v>1522885.461594709</v>
      </c>
      <c r="AG1395" s="196">
        <f t="shared" ca="1" si="305"/>
        <v>4801095.0834532343</v>
      </c>
      <c r="AI1395" s="196">
        <f>IFERROR($G1395/SUMIF($A:$A,$A1395,$G:$G)*SUMIF(Summary!$A$247:$A$283,$A1395,Summary!$P$247:$P$283),0)</f>
        <v>276601.54923018138</v>
      </c>
      <c r="AJ1395" s="196">
        <f>IFERROR($G1395/SUMIF($A:$A,$A1395,$G:$G)*(SUMIF(Summary!$A$247:$A$283,$A1395,Summary!$L$247:$L$283)+SUMIF(Summary!$A$297:$A$333,$A1395,Summary!$L$297:$L$333))-AI1395,0)</f>
        <v>1006082.908208786</v>
      </c>
      <c r="AK1395" s="196">
        <f>IFERROR($G1395/SUMIF($A:$A,$A1395,$G:$G)*SUMIF(Summary!$A$247:$A$283,$A1395,Summary!$Q$247:$Q$283),0)</f>
        <v>277736.30501180125</v>
      </c>
      <c r="AL1395" s="196">
        <f>IFERROR($G1395/SUMIF($A:$A,$A1395,$G:$G)*(SUMIF(Summary!$A$247:$A$283,$A1395,Summary!$L$247:$L$283)+SUMIF(Summary!$A$297:$A$333,$A1395,Summary!$L$297:$L$333))-AK1395,0)</f>
        <v>1004948.1524271662</v>
      </c>
      <c r="AM1395" s="198"/>
      <c r="AN1395" s="196">
        <f t="shared" ca="1" si="306"/>
        <v>5813400.0917299818</v>
      </c>
      <c r="AO1395" s="196">
        <f t="shared" ca="1" si="307"/>
        <v>5806043.235880401</v>
      </c>
    </row>
    <row r="1396" spans="1:41">
      <c r="A1396" s="189">
        <v>3632</v>
      </c>
      <c r="B1396" s="190">
        <v>2</v>
      </c>
      <c r="C1396" s="191" t="s">
        <v>225</v>
      </c>
      <c r="D1396" s="192">
        <f t="shared" si="294"/>
        <v>85808.889999999097</v>
      </c>
      <c r="E1396" s="192">
        <f t="shared" si="295"/>
        <v>78204.109999999026</v>
      </c>
      <c r="F1396" s="192">
        <f t="shared" si="296"/>
        <v>0</v>
      </c>
      <c r="G1396" s="193">
        <f t="shared" si="297"/>
        <v>164012.99999999814</v>
      </c>
      <c r="H1396" s="194">
        <v>41917.0799999991</v>
      </c>
      <c r="I1396" s="194">
        <v>38663.919999999067</v>
      </c>
      <c r="J1396" s="194">
        <v>0</v>
      </c>
      <c r="K1396" s="193">
        <f t="shared" si="298"/>
        <v>80580.999999998166</v>
      </c>
      <c r="L1396" s="194">
        <v>41464.81</v>
      </c>
      <c r="M1396" s="194">
        <v>34939.189999999951</v>
      </c>
      <c r="N1396" s="194">
        <v>0</v>
      </c>
      <c r="O1396" s="193">
        <f t="shared" si="299"/>
        <v>76403.999999999942</v>
      </c>
      <c r="P1396" s="194">
        <v>2427</v>
      </c>
      <c r="Q1396" s="194">
        <v>4601</v>
      </c>
      <c r="R1396" s="194">
        <v>0</v>
      </c>
      <c r="S1396" s="193">
        <f t="shared" si="300"/>
        <v>7028</v>
      </c>
      <c r="T1396" s="193">
        <f t="shared" si="301"/>
        <v>5467.0999999999376</v>
      </c>
      <c r="U1396" s="193">
        <f ca="1">OFFSET('Expenditure Study'!$B$7,'Operations Support'!$C1396,'Operations Support'!$B1396)*$G1396</f>
        <v>459236.39999999473</v>
      </c>
      <c r="V1396" s="199">
        <f ca="1">U1396*'Expenditure Study'!$B$31</f>
        <v>27133147.251140811</v>
      </c>
      <c r="W1396" s="199">
        <f ca="1">IF(A1396=10298,1.51,1)*IF($B1396&lt;3,$D1396*'Expenditure Study'!$B$32*OFFSET('Expenditure Study'!$B$7,'Operations Support'!$C1396,'Operations Support'!$B1396),0)</f>
        <v>24026.489199999745</v>
      </c>
      <c r="X1396" s="200">
        <f ca="1">W1396*'Expenditure Study'!$B$31</f>
        <v>1419561.4053928324</v>
      </c>
      <c r="Y1396" s="199">
        <f ca="1">U1396*'Expenditure Study'!$B$31</f>
        <v>27133147.251140811</v>
      </c>
      <c r="Z1396" s="200">
        <f ca="1">W1396*'Expenditure Study'!$B$31</f>
        <v>1419561.4053928324</v>
      </c>
      <c r="AA1396" s="195">
        <f t="shared" ca="1" si="302"/>
        <v>28552708.656533644</v>
      </c>
      <c r="AB1396" s="195">
        <f t="shared" ca="1" si="303"/>
        <v>28552708.656533644</v>
      </c>
      <c r="AD1396" s="196">
        <f>IFERROR($G1396/SUMIF($A:$A,$A1396,$G:$G)*SUMIF(Summary!$A$166:$A$242,$A1396,Summary!$P$166:$P$242),0)</f>
        <v>5517411.7314868253</v>
      </c>
      <c r="AE1396" s="197">
        <f t="shared" ca="1" si="304"/>
        <v>23035296.925046816</v>
      </c>
      <c r="AF1396" s="196">
        <f>IFERROR(G1396/SUMIF(A:A,A1396,G:G)*SUMIF(Summary!$A$166:$A$242,'Operations Support'!A1396,Summary!$Q$166:$Q$242),0)</f>
        <v>5540046.8717429331</v>
      </c>
      <c r="AG1396" s="196">
        <f t="shared" ca="1" si="305"/>
        <v>23012661.78479071</v>
      </c>
      <c r="AI1396" s="196">
        <f>IFERROR($G1396/SUMIF($A:$A,$A1396,$G:$G)*SUMIF(Summary!$A$247:$A$283,$A1396,Summary!$P$247:$P$283),0)</f>
        <v>1006238.2143482137</v>
      </c>
      <c r="AJ1396" s="196">
        <f>IFERROR($G1396/SUMIF($A:$A,$A1396,$G:$G)*(SUMIF(Summary!$A$247:$A$283,$A1396,Summary!$L$247:$L$283)+SUMIF(Summary!$A$297:$A$333,$A1396,Summary!$L$297:$L$333))-AI1396,0)</f>
        <v>3659990.5960750962</v>
      </c>
      <c r="AK1396" s="196">
        <f>IFERROR($G1396/SUMIF($A:$A,$A1396,$G:$G)*SUMIF(Summary!$A$247:$A$283,$A1396,Summary!$Q$247:$Q$283),0)</f>
        <v>1010366.2990772992</v>
      </c>
      <c r="AL1396" s="196">
        <f>IFERROR($G1396/SUMIF($A:$A,$A1396,$G:$G)*(SUMIF(Summary!$A$247:$A$283,$A1396,Summary!$L$247:$L$283)+SUMIF(Summary!$A$297:$A$333,$A1396,Summary!$L$297:$L$333))-AK1396,0)</f>
        <v>3655862.5113460105</v>
      </c>
      <c r="AM1396" s="198"/>
      <c r="AN1396" s="196">
        <f t="shared" ca="1" si="306"/>
        <v>26695287.521121912</v>
      </c>
      <c r="AO1396" s="196">
        <f t="shared" ca="1" si="307"/>
        <v>26668524.296136722</v>
      </c>
    </row>
    <row r="1397" spans="1:41">
      <c r="A1397" s="189">
        <v>3632</v>
      </c>
      <c r="B1397" s="190">
        <v>2</v>
      </c>
      <c r="C1397" s="191" t="s">
        <v>226</v>
      </c>
      <c r="D1397" s="192">
        <f t="shared" si="294"/>
        <v>57</v>
      </c>
      <c r="E1397" s="192">
        <f t="shared" si="295"/>
        <v>816</v>
      </c>
      <c r="F1397" s="192">
        <f t="shared" si="296"/>
        <v>0</v>
      </c>
      <c r="G1397" s="193">
        <f t="shared" si="297"/>
        <v>873</v>
      </c>
      <c r="H1397" s="194">
        <v>57</v>
      </c>
      <c r="I1397" s="194">
        <v>409</v>
      </c>
      <c r="J1397" s="194">
        <v>0</v>
      </c>
      <c r="K1397" s="193">
        <f t="shared" si="298"/>
        <v>466</v>
      </c>
      <c r="L1397" s="194">
        <v>0</v>
      </c>
      <c r="M1397" s="194">
        <v>407</v>
      </c>
      <c r="N1397" s="194">
        <v>0</v>
      </c>
      <c r="O1397" s="193">
        <f t="shared" si="299"/>
        <v>407</v>
      </c>
      <c r="P1397" s="194">
        <v>0</v>
      </c>
      <c r="Q1397" s="194">
        <v>0</v>
      </c>
      <c r="R1397" s="194">
        <v>0</v>
      </c>
      <c r="S1397" s="193">
        <f t="shared" si="300"/>
        <v>0</v>
      </c>
      <c r="T1397" s="193">
        <f t="shared" si="301"/>
        <v>29.1</v>
      </c>
      <c r="U1397" s="193">
        <f ca="1">OFFSET('Expenditure Study'!$B$7,'Operations Support'!$C1397,'Operations Support'!$B1397)*$G1397</f>
        <v>1571.4</v>
      </c>
      <c r="V1397" s="199">
        <f ca="1">U1397*'Expenditure Study'!$B$31</f>
        <v>92843.310309120003</v>
      </c>
      <c r="W1397" s="199">
        <f ca="1">IF(A1397=10298,1.51,1)*IF($B1397&lt;3,$D1397*'Expenditure Study'!$B$32*OFFSET('Expenditure Study'!$B$7,'Operations Support'!$C1397,'Operations Support'!$B1397),0)</f>
        <v>10.26</v>
      </c>
      <c r="X1397" s="200">
        <f ca="1">W1397*'Expenditure Study'!$B$31</f>
        <v>606.19343500800005</v>
      </c>
      <c r="Y1397" s="199">
        <f ca="1">U1397*'Expenditure Study'!$B$31</f>
        <v>92843.310309120003</v>
      </c>
      <c r="Z1397" s="200">
        <f ca="1">W1397*'Expenditure Study'!$B$31</f>
        <v>606.19343500800005</v>
      </c>
      <c r="AA1397" s="195">
        <f t="shared" ca="1" si="302"/>
        <v>93449.503744128</v>
      </c>
      <c r="AB1397" s="195">
        <f t="shared" ca="1" si="303"/>
        <v>93449.503744128</v>
      </c>
      <c r="AD1397" s="196">
        <f>IFERROR($G1397/SUMIF($A:$A,$A1397,$G:$G)*SUMIF(Summary!$A$166:$A$242,$A1397,Summary!$P$166:$P$242),0)</f>
        <v>29367.796708724636</v>
      </c>
      <c r="AE1397" s="197">
        <f t="shared" ca="1" si="304"/>
        <v>64081.707035403364</v>
      </c>
      <c r="AF1397" s="196">
        <f>IFERROR(G1397/SUMIF(A:A,A1397,G:G)*SUMIF(Summary!$A$166:$A$242,'Operations Support'!A1397,Summary!$Q$166:$Q$242),0)</f>
        <v>29488.277874507727</v>
      </c>
      <c r="AG1397" s="196">
        <f t="shared" ca="1" si="305"/>
        <v>63961.225869620277</v>
      </c>
      <c r="AI1397" s="196">
        <f>IFERROR($G1397/SUMIF($A:$A,$A1397,$G:$G)*SUMIF(Summary!$A$247:$A$283,$A1397,Summary!$P$247:$P$283),0)</f>
        <v>5355.9532544737349</v>
      </c>
      <c r="AJ1397" s="196">
        <f>IFERROR($G1397/SUMIF($A:$A,$A1397,$G:$G)*(SUMIF(Summary!$A$247:$A$283,$A1397,Summary!$L$247:$L$283)+SUMIF(Summary!$A$297:$A$333,$A1397,Summary!$L$297:$L$333))-AI1397,0)</f>
        <v>19481.210577049354</v>
      </c>
      <c r="AK1397" s="196">
        <f>IFERROR($G1397/SUMIF($A:$A,$A1397,$G:$G)*SUMIF(Summary!$A$247:$A$283,$A1397,Summary!$Q$247:$Q$283),0)</f>
        <v>5377.9260125385927</v>
      </c>
      <c r="AL1397" s="196">
        <f>IFERROR($G1397/SUMIF($A:$A,$A1397,$G:$G)*(SUMIF(Summary!$A$247:$A$283,$A1397,Summary!$L$247:$L$283)+SUMIF(Summary!$A$297:$A$333,$A1397,Summary!$L$297:$L$333))-AK1397,0)</f>
        <v>19459.237818984497</v>
      </c>
      <c r="AM1397" s="198"/>
      <c r="AN1397" s="196">
        <f t="shared" ca="1" si="306"/>
        <v>83562.917612452715</v>
      </c>
      <c r="AO1397" s="196">
        <f t="shared" ca="1" si="307"/>
        <v>83420.463688604767</v>
      </c>
    </row>
    <row r="1398" spans="1:41">
      <c r="A1398" s="189">
        <v>3632</v>
      </c>
      <c r="B1398" s="190">
        <v>2</v>
      </c>
      <c r="C1398" s="191" t="s">
        <v>227</v>
      </c>
      <c r="D1398" s="192">
        <f t="shared" si="294"/>
        <v>0</v>
      </c>
      <c r="E1398" s="192">
        <f t="shared" si="295"/>
        <v>0</v>
      </c>
      <c r="F1398" s="192">
        <f t="shared" si="296"/>
        <v>0</v>
      </c>
      <c r="G1398" s="193">
        <f t="shared" si="297"/>
        <v>0</v>
      </c>
      <c r="H1398" s="194">
        <v>0</v>
      </c>
      <c r="I1398" s="194">
        <v>0</v>
      </c>
      <c r="J1398" s="194">
        <v>0</v>
      </c>
      <c r="K1398" s="193">
        <f t="shared" si="298"/>
        <v>0</v>
      </c>
      <c r="L1398" s="194">
        <v>0</v>
      </c>
      <c r="M1398" s="194">
        <v>0</v>
      </c>
      <c r="N1398" s="194">
        <v>0</v>
      </c>
      <c r="O1398" s="193">
        <f t="shared" si="299"/>
        <v>0</v>
      </c>
      <c r="P1398" s="194">
        <v>0</v>
      </c>
      <c r="Q1398" s="194">
        <v>0</v>
      </c>
      <c r="R1398" s="194">
        <v>0</v>
      </c>
      <c r="S1398" s="193">
        <f t="shared" si="300"/>
        <v>0</v>
      </c>
      <c r="T1398" s="193">
        <f t="shared" si="301"/>
        <v>0</v>
      </c>
      <c r="U1398" s="193">
        <f ca="1">OFFSET('Expenditure Study'!$B$7,'Operations Support'!$C1398,'Operations Support'!$B1398)*$G1398</f>
        <v>0</v>
      </c>
      <c r="V1398" s="199">
        <f ca="1">U1398*'Expenditure Study'!$B$31</f>
        <v>0</v>
      </c>
      <c r="W1398" s="199">
        <f ca="1">IF(A1398=10298,1.51,1)*IF($B1398&lt;3,$D1398*'Expenditure Study'!$B$32*OFFSET('Expenditure Study'!$B$7,'Operations Support'!$C1398,'Operations Support'!$B1398),0)</f>
        <v>0</v>
      </c>
      <c r="X1398" s="200">
        <f ca="1">W1398*'Expenditure Study'!$B$31</f>
        <v>0</v>
      </c>
      <c r="Y1398" s="199">
        <f ca="1">U1398*'Expenditure Study'!$B$31</f>
        <v>0</v>
      </c>
      <c r="Z1398" s="200">
        <f ca="1">W1398*'Expenditure Study'!$B$31</f>
        <v>0</v>
      </c>
      <c r="AA1398" s="195">
        <f t="shared" ca="1" si="302"/>
        <v>0</v>
      </c>
      <c r="AB1398" s="195">
        <f t="shared" ca="1" si="303"/>
        <v>0</v>
      </c>
      <c r="AD1398" s="196">
        <f>IFERROR($G1398/SUMIF($A:$A,$A1398,$G:$G)*SUMIF(Summary!$A$166:$A$242,$A1398,Summary!$P$166:$P$242),0)</f>
        <v>0</v>
      </c>
      <c r="AE1398" s="197">
        <f t="shared" ca="1" si="304"/>
        <v>0</v>
      </c>
      <c r="AF1398" s="196">
        <f>IFERROR(G1398/SUMIF(A:A,A1398,G:G)*SUMIF(Summary!$A$166:$A$242,'Operations Support'!A1398,Summary!$Q$166:$Q$242),0)</f>
        <v>0</v>
      </c>
      <c r="AG1398" s="196">
        <f t="shared" ca="1" si="305"/>
        <v>0</v>
      </c>
      <c r="AI1398" s="196">
        <f>IFERROR($G1398/SUMIF($A:$A,$A1398,$G:$G)*SUMIF(Summary!$A$247:$A$283,$A1398,Summary!$P$247:$P$283),0)</f>
        <v>0</v>
      </c>
      <c r="AJ1398" s="196">
        <f>IFERROR($G1398/SUMIF($A:$A,$A1398,$G:$G)*(SUMIF(Summary!$A$247:$A$283,$A1398,Summary!$L$247:$L$283)+SUMIF(Summary!$A$297:$A$333,$A1398,Summary!$L$297:$L$333))-AI1398,0)</f>
        <v>0</v>
      </c>
      <c r="AK1398" s="196">
        <f>IFERROR($G1398/SUMIF($A:$A,$A1398,$G:$G)*SUMIF(Summary!$A$247:$A$283,$A1398,Summary!$Q$247:$Q$283),0)</f>
        <v>0</v>
      </c>
      <c r="AL1398" s="196">
        <f>IFERROR($G1398/SUMIF($A:$A,$A1398,$G:$G)*(SUMIF(Summary!$A$247:$A$283,$A1398,Summary!$L$247:$L$283)+SUMIF(Summary!$A$297:$A$333,$A1398,Summary!$L$297:$L$333))-AK1398,0)</f>
        <v>0</v>
      </c>
      <c r="AM1398" s="198"/>
      <c r="AN1398" s="196">
        <f t="shared" ca="1" si="306"/>
        <v>0</v>
      </c>
      <c r="AO1398" s="196">
        <f t="shared" ca="1" si="307"/>
        <v>0</v>
      </c>
    </row>
    <row r="1399" spans="1:41">
      <c r="A1399" s="189">
        <v>3632</v>
      </c>
      <c r="B1399" s="190">
        <v>2</v>
      </c>
      <c r="C1399" s="191" t="s">
        <v>228</v>
      </c>
      <c r="D1399" s="192">
        <f t="shared" si="294"/>
        <v>0</v>
      </c>
      <c r="E1399" s="192">
        <f t="shared" si="295"/>
        <v>0</v>
      </c>
      <c r="F1399" s="192">
        <f t="shared" si="296"/>
        <v>0</v>
      </c>
      <c r="G1399" s="193">
        <f t="shared" si="297"/>
        <v>0</v>
      </c>
      <c r="H1399" s="194">
        <v>0</v>
      </c>
      <c r="I1399" s="194">
        <v>0</v>
      </c>
      <c r="J1399" s="194">
        <v>0</v>
      </c>
      <c r="K1399" s="193">
        <f t="shared" si="298"/>
        <v>0</v>
      </c>
      <c r="L1399" s="194">
        <v>0</v>
      </c>
      <c r="M1399" s="194">
        <v>0</v>
      </c>
      <c r="N1399" s="194">
        <v>0</v>
      </c>
      <c r="O1399" s="193">
        <f t="shared" si="299"/>
        <v>0</v>
      </c>
      <c r="P1399" s="194">
        <v>0</v>
      </c>
      <c r="Q1399" s="194">
        <v>0</v>
      </c>
      <c r="R1399" s="194">
        <v>0</v>
      </c>
      <c r="S1399" s="193">
        <f t="shared" si="300"/>
        <v>0</v>
      </c>
      <c r="T1399" s="193">
        <f t="shared" si="301"/>
        <v>0</v>
      </c>
      <c r="U1399" s="193">
        <f ca="1">OFFSET('Expenditure Study'!$B$7,'Operations Support'!$C1399,'Operations Support'!$B1399)*$G1399</f>
        <v>0</v>
      </c>
      <c r="V1399" s="199">
        <f ca="1">U1399*'Expenditure Study'!$B$31</f>
        <v>0</v>
      </c>
      <c r="W1399" s="199">
        <f ca="1">IF(A1399=10298,1.51,1)*IF($B1399&lt;3,$D1399*'Expenditure Study'!$B$32*OFFSET('Expenditure Study'!$B$7,'Operations Support'!$C1399,'Operations Support'!$B1399),0)</f>
        <v>0</v>
      </c>
      <c r="X1399" s="200">
        <f ca="1">W1399*'Expenditure Study'!$B$31</f>
        <v>0</v>
      </c>
      <c r="Y1399" s="199">
        <f ca="1">U1399*'Expenditure Study'!$B$31</f>
        <v>0</v>
      </c>
      <c r="Z1399" s="200">
        <f ca="1">W1399*'Expenditure Study'!$B$31</f>
        <v>0</v>
      </c>
      <c r="AA1399" s="195">
        <f t="shared" ca="1" si="302"/>
        <v>0</v>
      </c>
      <c r="AB1399" s="195">
        <f t="shared" ca="1" si="303"/>
        <v>0</v>
      </c>
      <c r="AD1399" s="196">
        <f>IFERROR($G1399/SUMIF($A:$A,$A1399,$G:$G)*SUMIF(Summary!$A$166:$A$242,$A1399,Summary!$P$166:$P$242),0)</f>
        <v>0</v>
      </c>
      <c r="AE1399" s="197">
        <f t="shared" ca="1" si="304"/>
        <v>0</v>
      </c>
      <c r="AF1399" s="196">
        <f>IFERROR(G1399/SUMIF(A:A,A1399,G:G)*SUMIF(Summary!$A$166:$A$242,'Operations Support'!A1399,Summary!$Q$166:$Q$242),0)</f>
        <v>0</v>
      </c>
      <c r="AG1399" s="196">
        <f t="shared" ca="1" si="305"/>
        <v>0</v>
      </c>
      <c r="AI1399" s="196">
        <f>IFERROR($G1399/SUMIF($A:$A,$A1399,$G:$G)*SUMIF(Summary!$A$247:$A$283,$A1399,Summary!$P$247:$P$283),0)</f>
        <v>0</v>
      </c>
      <c r="AJ1399" s="196">
        <f>IFERROR($G1399/SUMIF($A:$A,$A1399,$G:$G)*(SUMIF(Summary!$A$247:$A$283,$A1399,Summary!$L$247:$L$283)+SUMIF(Summary!$A$297:$A$333,$A1399,Summary!$L$297:$L$333))-AI1399,0)</f>
        <v>0</v>
      </c>
      <c r="AK1399" s="196">
        <f>IFERROR($G1399/SUMIF($A:$A,$A1399,$G:$G)*SUMIF(Summary!$A$247:$A$283,$A1399,Summary!$Q$247:$Q$283),0)</f>
        <v>0</v>
      </c>
      <c r="AL1399" s="196">
        <f>IFERROR($G1399/SUMIF($A:$A,$A1399,$G:$G)*(SUMIF(Summary!$A$247:$A$283,$A1399,Summary!$L$247:$L$283)+SUMIF(Summary!$A$297:$A$333,$A1399,Summary!$L$297:$L$333))-AK1399,0)</f>
        <v>0</v>
      </c>
      <c r="AM1399" s="198"/>
      <c r="AN1399" s="196">
        <f t="shared" ca="1" si="306"/>
        <v>0</v>
      </c>
      <c r="AO1399" s="196">
        <f t="shared" ca="1" si="307"/>
        <v>0</v>
      </c>
    </row>
    <row r="1400" spans="1:41">
      <c r="A1400" s="189">
        <v>3632</v>
      </c>
      <c r="B1400" s="190">
        <v>2</v>
      </c>
      <c r="C1400" s="191" t="s">
        <v>229</v>
      </c>
      <c r="D1400" s="192">
        <f t="shared" si="294"/>
        <v>39</v>
      </c>
      <c r="E1400" s="192">
        <f t="shared" si="295"/>
        <v>0</v>
      </c>
      <c r="F1400" s="192">
        <f t="shared" si="296"/>
        <v>0</v>
      </c>
      <c r="G1400" s="193">
        <f t="shared" si="297"/>
        <v>39</v>
      </c>
      <c r="H1400" s="194">
        <v>39</v>
      </c>
      <c r="I1400" s="194">
        <v>0</v>
      </c>
      <c r="J1400" s="194">
        <v>0</v>
      </c>
      <c r="K1400" s="193">
        <f t="shared" si="298"/>
        <v>39</v>
      </c>
      <c r="L1400" s="194">
        <v>0</v>
      </c>
      <c r="M1400" s="194">
        <v>0</v>
      </c>
      <c r="N1400" s="194">
        <v>0</v>
      </c>
      <c r="O1400" s="193">
        <f t="shared" si="299"/>
        <v>0</v>
      </c>
      <c r="P1400" s="194">
        <v>0</v>
      </c>
      <c r="Q1400" s="194">
        <v>0</v>
      </c>
      <c r="R1400" s="194">
        <v>0</v>
      </c>
      <c r="S1400" s="193">
        <f t="shared" si="300"/>
        <v>0</v>
      </c>
      <c r="T1400" s="193">
        <f t="shared" si="301"/>
        <v>1.3</v>
      </c>
      <c r="U1400" s="193">
        <f ca="1">OFFSET('Expenditure Study'!$B$7,'Operations Support'!$C1400,'Operations Support'!$B1400)*$G1400</f>
        <v>74.88</v>
      </c>
      <c r="V1400" s="199">
        <f ca="1">U1400*'Expenditure Study'!$B$31</f>
        <v>4424.1485783039998</v>
      </c>
      <c r="W1400" s="199">
        <f ca="1">IF(A1400=10298,1.51,1)*IF($B1400&lt;3,$D1400*'Expenditure Study'!$B$32*OFFSET('Expenditure Study'!$B$7,'Operations Support'!$C1400,'Operations Support'!$B1400),0)</f>
        <v>7.4880000000000004</v>
      </c>
      <c r="X1400" s="200">
        <f ca="1">W1400*'Expenditure Study'!$B$31</f>
        <v>442.41485783040002</v>
      </c>
      <c r="Y1400" s="199">
        <f ca="1">U1400*'Expenditure Study'!$B$31</f>
        <v>4424.1485783039998</v>
      </c>
      <c r="Z1400" s="200">
        <f ca="1">W1400*'Expenditure Study'!$B$31</f>
        <v>442.41485783040002</v>
      </c>
      <c r="AA1400" s="195">
        <f t="shared" ca="1" si="302"/>
        <v>4866.5634361344</v>
      </c>
      <c r="AB1400" s="195">
        <f t="shared" ca="1" si="303"/>
        <v>4866.5634361344</v>
      </c>
      <c r="AD1400" s="196">
        <f>IFERROR($G1400/SUMIF($A:$A,$A1400,$G:$G)*SUMIF(Summary!$A$166:$A$242,$A1400,Summary!$P$166:$P$242),0)</f>
        <v>1311.9634268502411</v>
      </c>
      <c r="AE1400" s="197">
        <f t="shared" ca="1" si="304"/>
        <v>3554.6000092841587</v>
      </c>
      <c r="AF1400" s="196">
        <f>IFERROR(G1400/SUMIF(A:A,A1400,G:G)*SUMIF(Summary!$A$166:$A$242,'Operations Support'!A1400,Summary!$Q$166:$Q$242),0)</f>
        <v>1317.3457469711354</v>
      </c>
      <c r="AG1400" s="196">
        <f t="shared" ca="1" si="305"/>
        <v>3549.2176891632644</v>
      </c>
      <c r="AI1400" s="196">
        <f>IFERROR($G1400/SUMIF($A:$A,$A1400,$G:$G)*SUMIF(Summary!$A$247:$A$283,$A1400,Summary!$P$247:$P$283),0)</f>
        <v>239.26938937511525</v>
      </c>
      <c r="AJ1400" s="196">
        <f>IFERROR($G1400/SUMIF($A:$A,$A1400,$G:$G)*(SUMIF(Summary!$A$247:$A$283,$A1400,Summary!$L$247:$L$283)+SUMIF(Summary!$A$297:$A$333,$A1400,Summary!$L$297:$L$333))-AI1400,0)</f>
        <v>870.29463058983356</v>
      </c>
      <c r="AK1400" s="196">
        <f>IFERROR($G1400/SUMIF($A:$A,$A1400,$G:$G)*SUMIF(Summary!$A$247:$A$283,$A1400,Summary!$Q$247:$Q$283),0)</f>
        <v>240.25099025086493</v>
      </c>
      <c r="AL1400" s="196">
        <f>IFERROR($G1400/SUMIF($A:$A,$A1400,$G:$G)*(SUMIF(Summary!$A$247:$A$283,$A1400,Summary!$L$247:$L$283)+SUMIF(Summary!$A$297:$A$333,$A1400,Summary!$L$297:$L$333))-AK1400,0)</f>
        <v>869.31302971408388</v>
      </c>
      <c r="AM1400" s="198"/>
      <c r="AN1400" s="196">
        <f t="shared" ca="1" si="306"/>
        <v>4424.8946398739918</v>
      </c>
      <c r="AO1400" s="196">
        <f t="shared" ca="1" si="307"/>
        <v>4418.5307188773486</v>
      </c>
    </row>
    <row r="1401" spans="1:41">
      <c r="A1401" s="189">
        <v>3632</v>
      </c>
      <c r="B1401" s="190">
        <v>2</v>
      </c>
      <c r="C1401" s="191" t="s">
        <v>230</v>
      </c>
      <c r="D1401" s="192">
        <f t="shared" si="294"/>
        <v>0</v>
      </c>
      <c r="E1401" s="192">
        <f t="shared" si="295"/>
        <v>0</v>
      </c>
      <c r="F1401" s="192">
        <f t="shared" si="296"/>
        <v>0</v>
      </c>
      <c r="G1401" s="193">
        <f t="shared" si="297"/>
        <v>0</v>
      </c>
      <c r="H1401" s="194">
        <v>0</v>
      </c>
      <c r="I1401" s="194">
        <v>0</v>
      </c>
      <c r="J1401" s="194">
        <v>0</v>
      </c>
      <c r="K1401" s="193">
        <f t="shared" si="298"/>
        <v>0</v>
      </c>
      <c r="L1401" s="194">
        <v>0</v>
      </c>
      <c r="M1401" s="194">
        <v>0</v>
      </c>
      <c r="N1401" s="194">
        <v>0</v>
      </c>
      <c r="O1401" s="193">
        <f t="shared" si="299"/>
        <v>0</v>
      </c>
      <c r="P1401" s="194">
        <v>0</v>
      </c>
      <c r="Q1401" s="194">
        <v>0</v>
      </c>
      <c r="R1401" s="194">
        <v>0</v>
      </c>
      <c r="S1401" s="193">
        <f t="shared" si="300"/>
        <v>0</v>
      </c>
      <c r="T1401" s="193">
        <f t="shared" si="301"/>
        <v>0</v>
      </c>
      <c r="U1401" s="193">
        <f ca="1">OFFSET('Expenditure Study'!$B$7,'Operations Support'!$C1401,'Operations Support'!$B1401)*$G1401</f>
        <v>0</v>
      </c>
      <c r="V1401" s="199">
        <f ca="1">U1401*'Expenditure Study'!$B$31</f>
        <v>0</v>
      </c>
      <c r="W1401" s="199">
        <f ca="1">IF(A1401=10298,1.51,1)*IF($B1401&lt;3,$D1401*'Expenditure Study'!$B$32*OFFSET('Expenditure Study'!$B$7,'Operations Support'!$C1401,'Operations Support'!$B1401),0)</f>
        <v>0</v>
      </c>
      <c r="X1401" s="200">
        <f ca="1">W1401*'Expenditure Study'!$B$31</f>
        <v>0</v>
      </c>
      <c r="Y1401" s="199">
        <f ca="1">U1401*'Expenditure Study'!$B$31</f>
        <v>0</v>
      </c>
      <c r="Z1401" s="200">
        <f ca="1">W1401*'Expenditure Study'!$B$31</f>
        <v>0</v>
      </c>
      <c r="AA1401" s="195">
        <f t="shared" ca="1" si="302"/>
        <v>0</v>
      </c>
      <c r="AB1401" s="195">
        <f t="shared" ca="1" si="303"/>
        <v>0</v>
      </c>
      <c r="AD1401" s="196">
        <f>IFERROR($G1401/SUMIF($A:$A,$A1401,$G:$G)*SUMIF(Summary!$A$166:$A$242,$A1401,Summary!$P$166:$P$242),0)</f>
        <v>0</v>
      </c>
      <c r="AE1401" s="197">
        <f t="shared" ca="1" si="304"/>
        <v>0</v>
      </c>
      <c r="AF1401" s="196">
        <f>IFERROR(G1401/SUMIF(A:A,A1401,G:G)*SUMIF(Summary!$A$166:$A$242,'Operations Support'!A1401,Summary!$Q$166:$Q$242),0)</f>
        <v>0</v>
      </c>
      <c r="AG1401" s="196">
        <f t="shared" ca="1" si="305"/>
        <v>0</v>
      </c>
      <c r="AI1401" s="196">
        <f>IFERROR($G1401/SUMIF($A:$A,$A1401,$G:$G)*SUMIF(Summary!$A$247:$A$283,$A1401,Summary!$P$247:$P$283),0)</f>
        <v>0</v>
      </c>
      <c r="AJ1401" s="196">
        <f>IFERROR($G1401/SUMIF($A:$A,$A1401,$G:$G)*(SUMIF(Summary!$A$247:$A$283,$A1401,Summary!$L$247:$L$283)+SUMIF(Summary!$A$297:$A$333,$A1401,Summary!$L$297:$L$333))-AI1401,0)</f>
        <v>0</v>
      </c>
      <c r="AK1401" s="196">
        <f>IFERROR($G1401/SUMIF($A:$A,$A1401,$G:$G)*SUMIF(Summary!$A$247:$A$283,$A1401,Summary!$Q$247:$Q$283),0)</f>
        <v>0</v>
      </c>
      <c r="AL1401" s="196">
        <f>IFERROR($G1401/SUMIF($A:$A,$A1401,$G:$G)*(SUMIF(Summary!$A$247:$A$283,$A1401,Summary!$L$247:$L$283)+SUMIF(Summary!$A$297:$A$333,$A1401,Summary!$L$297:$L$333))-AK1401,0)</f>
        <v>0</v>
      </c>
      <c r="AM1401" s="198"/>
      <c r="AN1401" s="196">
        <f t="shared" ca="1" si="306"/>
        <v>0</v>
      </c>
      <c r="AO1401" s="196">
        <f t="shared" ca="1" si="307"/>
        <v>0</v>
      </c>
    </row>
    <row r="1402" spans="1:41" s="201" customFormat="1">
      <c r="A1402" s="189">
        <v>3632</v>
      </c>
      <c r="B1402" s="190">
        <v>2</v>
      </c>
      <c r="C1402" s="191" t="s">
        <v>231</v>
      </c>
      <c r="D1402" s="192">
        <f t="shared" si="294"/>
        <v>0</v>
      </c>
      <c r="E1402" s="192">
        <f t="shared" si="295"/>
        <v>0</v>
      </c>
      <c r="F1402" s="192">
        <f t="shared" si="296"/>
        <v>0</v>
      </c>
      <c r="G1402" s="193">
        <f t="shared" si="297"/>
        <v>0</v>
      </c>
      <c r="H1402" s="194">
        <v>0</v>
      </c>
      <c r="I1402" s="194">
        <v>0</v>
      </c>
      <c r="J1402" s="194">
        <v>0</v>
      </c>
      <c r="K1402" s="193">
        <f t="shared" si="298"/>
        <v>0</v>
      </c>
      <c r="L1402" s="194">
        <v>0</v>
      </c>
      <c r="M1402" s="194">
        <v>0</v>
      </c>
      <c r="N1402" s="194">
        <v>0</v>
      </c>
      <c r="O1402" s="193">
        <f t="shared" si="299"/>
        <v>0</v>
      </c>
      <c r="P1402" s="194">
        <v>0</v>
      </c>
      <c r="Q1402" s="194">
        <v>0</v>
      </c>
      <c r="R1402" s="194">
        <v>0</v>
      </c>
      <c r="S1402" s="193">
        <f t="shared" si="300"/>
        <v>0</v>
      </c>
      <c r="T1402" s="193">
        <f t="shared" si="301"/>
        <v>0</v>
      </c>
      <c r="U1402" s="193">
        <f ca="1">OFFSET('Expenditure Study'!$B$7,'Operations Support'!$C1402,'Operations Support'!$B1402)*$G1402</f>
        <v>0</v>
      </c>
      <c r="V1402" s="199">
        <f ca="1">U1402*'Expenditure Study'!$B$31</f>
        <v>0</v>
      </c>
      <c r="W1402" s="199">
        <f ca="1">IF(A1402=10298,1.51,1)*IF($B1402&lt;3,$D1402*'Expenditure Study'!$B$32*OFFSET('Expenditure Study'!$B$7,'Operations Support'!$C1402,'Operations Support'!$B1402),0)</f>
        <v>0</v>
      </c>
      <c r="X1402" s="200">
        <f ca="1">W1402*'Expenditure Study'!$B$31</f>
        <v>0</v>
      </c>
      <c r="Y1402" s="199">
        <f ca="1">U1402*'Expenditure Study'!$B$31</f>
        <v>0</v>
      </c>
      <c r="Z1402" s="200">
        <f ca="1">W1402*'Expenditure Study'!$B$31</f>
        <v>0</v>
      </c>
      <c r="AA1402" s="195">
        <f t="shared" ca="1" si="302"/>
        <v>0</v>
      </c>
      <c r="AB1402" s="195">
        <f t="shared" ca="1" si="303"/>
        <v>0</v>
      </c>
      <c r="AD1402" s="196">
        <f>IFERROR($G1402/SUMIF($A:$A,$A1402,$G:$G)*SUMIF(Summary!$A$166:$A$242,$A1402,Summary!$P$166:$P$242),0)</f>
        <v>0</v>
      </c>
      <c r="AE1402" s="197">
        <f t="shared" ca="1" si="304"/>
        <v>0</v>
      </c>
      <c r="AF1402" s="196">
        <f>IFERROR(G1402/SUMIF(A:A,A1402,G:G)*SUMIF(Summary!$A$166:$A$242,'Operations Support'!A1402,Summary!$Q$166:$Q$242),0)</f>
        <v>0</v>
      </c>
      <c r="AG1402" s="196">
        <f t="shared" ca="1" si="305"/>
        <v>0</v>
      </c>
      <c r="AH1402" s="180"/>
      <c r="AI1402" s="196">
        <f>IFERROR($G1402/SUMIF($A:$A,$A1402,$G:$G)*SUMIF(Summary!$A$247:$A$283,$A1402,Summary!$P$247:$P$283),0)</f>
        <v>0</v>
      </c>
      <c r="AJ1402" s="196">
        <f>IFERROR($G1402/SUMIF($A:$A,$A1402,$G:$G)*(SUMIF(Summary!$A$247:$A$283,$A1402,Summary!$L$247:$L$283)+SUMIF(Summary!$A$297:$A$333,$A1402,Summary!$L$297:$L$333))-AI1402,0)</f>
        <v>0</v>
      </c>
      <c r="AK1402" s="196">
        <f>IFERROR($G1402/SUMIF($A:$A,$A1402,$G:$G)*SUMIF(Summary!$A$247:$A$283,$A1402,Summary!$Q$247:$Q$283),0)</f>
        <v>0</v>
      </c>
      <c r="AL1402" s="196">
        <f>IFERROR($G1402/SUMIF($A:$A,$A1402,$G:$G)*(SUMIF(Summary!$A$247:$A$283,$A1402,Summary!$L$247:$L$283)+SUMIF(Summary!$A$297:$A$333,$A1402,Summary!$L$297:$L$333))-AK1402,0)</f>
        <v>0</v>
      </c>
      <c r="AM1402" s="198"/>
      <c r="AN1402" s="196">
        <f t="shared" ca="1" si="306"/>
        <v>0</v>
      </c>
      <c r="AO1402" s="196">
        <f t="shared" ca="1" si="307"/>
        <v>0</v>
      </c>
    </row>
    <row r="1403" spans="1:41">
      <c r="A1403" s="189">
        <v>3632</v>
      </c>
      <c r="B1403" s="190">
        <v>2</v>
      </c>
      <c r="C1403" s="191" t="s">
        <v>232</v>
      </c>
      <c r="D1403" s="192">
        <f t="shared" si="294"/>
        <v>0</v>
      </c>
      <c r="E1403" s="192">
        <f t="shared" si="295"/>
        <v>0</v>
      </c>
      <c r="F1403" s="192">
        <f t="shared" si="296"/>
        <v>0</v>
      </c>
      <c r="G1403" s="193">
        <f t="shared" si="297"/>
        <v>0</v>
      </c>
      <c r="H1403" s="194">
        <v>0</v>
      </c>
      <c r="I1403" s="194">
        <v>0</v>
      </c>
      <c r="J1403" s="194">
        <v>0</v>
      </c>
      <c r="K1403" s="193">
        <f t="shared" si="298"/>
        <v>0</v>
      </c>
      <c r="L1403" s="194">
        <v>0</v>
      </c>
      <c r="M1403" s="194">
        <v>0</v>
      </c>
      <c r="N1403" s="194">
        <v>0</v>
      </c>
      <c r="O1403" s="193">
        <f t="shared" si="299"/>
        <v>0</v>
      </c>
      <c r="P1403" s="194">
        <v>0</v>
      </c>
      <c r="Q1403" s="194">
        <v>0</v>
      </c>
      <c r="R1403" s="194">
        <v>0</v>
      </c>
      <c r="S1403" s="193">
        <f t="shared" si="300"/>
        <v>0</v>
      </c>
      <c r="T1403" s="193">
        <f t="shared" si="301"/>
        <v>0</v>
      </c>
      <c r="U1403" s="193">
        <f ca="1">OFFSET('Expenditure Study'!$B$7,'Operations Support'!$C1403,'Operations Support'!$B1403)*$G1403</f>
        <v>0</v>
      </c>
      <c r="V1403" s="199">
        <f ca="1">U1403*'Expenditure Study'!$B$31</f>
        <v>0</v>
      </c>
      <c r="W1403" s="199">
        <f ca="1">IF(A1403=10298,1.51,1)*IF($B1403&lt;3,$D1403*'Expenditure Study'!$B$32*OFFSET('Expenditure Study'!$B$7,'Operations Support'!$C1403,'Operations Support'!$B1403),0)</f>
        <v>0</v>
      </c>
      <c r="X1403" s="200">
        <f ca="1">W1403*'Expenditure Study'!$B$31</f>
        <v>0</v>
      </c>
      <c r="Y1403" s="199">
        <f ca="1">U1403*'Expenditure Study'!$B$31</f>
        <v>0</v>
      </c>
      <c r="Z1403" s="200">
        <f ca="1">W1403*'Expenditure Study'!$B$31</f>
        <v>0</v>
      </c>
      <c r="AA1403" s="195">
        <f t="shared" ca="1" si="302"/>
        <v>0</v>
      </c>
      <c r="AB1403" s="195">
        <f t="shared" ca="1" si="303"/>
        <v>0</v>
      </c>
      <c r="AD1403" s="196">
        <f>IFERROR($G1403/SUMIF($A:$A,$A1403,$G:$G)*SUMIF(Summary!$A$166:$A$242,$A1403,Summary!$P$166:$P$242),0)</f>
        <v>0</v>
      </c>
      <c r="AE1403" s="197">
        <f t="shared" ca="1" si="304"/>
        <v>0</v>
      </c>
      <c r="AF1403" s="196">
        <f>IFERROR(G1403/SUMIF(A:A,A1403,G:G)*SUMIF(Summary!$A$166:$A$242,'Operations Support'!A1403,Summary!$Q$166:$Q$242),0)</f>
        <v>0</v>
      </c>
      <c r="AG1403" s="196">
        <f t="shared" ca="1" si="305"/>
        <v>0</v>
      </c>
      <c r="AI1403" s="196">
        <f>IFERROR($G1403/SUMIF($A:$A,$A1403,$G:$G)*SUMIF(Summary!$A$247:$A$283,$A1403,Summary!$P$247:$P$283),0)</f>
        <v>0</v>
      </c>
      <c r="AJ1403" s="196">
        <f>IFERROR($G1403/SUMIF($A:$A,$A1403,$G:$G)*(SUMIF(Summary!$A$247:$A$283,$A1403,Summary!$L$247:$L$283)+SUMIF(Summary!$A$297:$A$333,$A1403,Summary!$L$297:$L$333))-AI1403,0)</f>
        <v>0</v>
      </c>
      <c r="AK1403" s="196">
        <f>IFERROR($G1403/SUMIF($A:$A,$A1403,$G:$G)*SUMIF(Summary!$A$247:$A$283,$A1403,Summary!$Q$247:$Q$283),0)</f>
        <v>0</v>
      </c>
      <c r="AL1403" s="196">
        <f>IFERROR($G1403/SUMIF($A:$A,$A1403,$G:$G)*(SUMIF(Summary!$A$247:$A$283,$A1403,Summary!$L$247:$L$283)+SUMIF(Summary!$A$297:$A$333,$A1403,Summary!$L$297:$L$333))-AK1403,0)</f>
        <v>0</v>
      </c>
      <c r="AM1403" s="198"/>
      <c r="AN1403" s="196">
        <f t="shared" ca="1" si="306"/>
        <v>0</v>
      </c>
      <c r="AO1403" s="196">
        <f t="shared" ca="1" si="307"/>
        <v>0</v>
      </c>
    </row>
    <row r="1404" spans="1:41">
      <c r="A1404" s="189">
        <v>3632</v>
      </c>
      <c r="B1404" s="190">
        <v>2</v>
      </c>
      <c r="C1404" s="191" t="s">
        <v>233</v>
      </c>
      <c r="D1404" s="192">
        <f t="shared" si="294"/>
        <v>2191.5</v>
      </c>
      <c r="E1404" s="192">
        <f t="shared" si="295"/>
        <v>8394.5</v>
      </c>
      <c r="F1404" s="192">
        <f t="shared" si="296"/>
        <v>0</v>
      </c>
      <c r="G1404" s="193">
        <f t="shared" si="297"/>
        <v>10586</v>
      </c>
      <c r="H1404" s="194">
        <v>1185</v>
      </c>
      <c r="I1404" s="194">
        <v>4080</v>
      </c>
      <c r="J1404" s="194">
        <v>0</v>
      </c>
      <c r="K1404" s="193">
        <f t="shared" si="298"/>
        <v>5265</v>
      </c>
      <c r="L1404" s="194">
        <v>966</v>
      </c>
      <c r="M1404" s="194">
        <v>3297</v>
      </c>
      <c r="N1404" s="194">
        <v>0</v>
      </c>
      <c r="O1404" s="193">
        <f t="shared" si="299"/>
        <v>4263</v>
      </c>
      <c r="P1404" s="194">
        <v>40.5</v>
      </c>
      <c r="Q1404" s="194">
        <v>1017.5</v>
      </c>
      <c r="R1404" s="194">
        <v>0</v>
      </c>
      <c r="S1404" s="193">
        <f t="shared" si="300"/>
        <v>1058</v>
      </c>
      <c r="T1404" s="193">
        <f t="shared" si="301"/>
        <v>352.86666666666667</v>
      </c>
      <c r="U1404" s="193">
        <f ca="1">OFFSET('Expenditure Study'!$B$7,'Operations Support'!$C1404,'Operations Support'!$B1404)*$G1404</f>
        <v>17043.460000000003</v>
      </c>
      <c r="V1404" s="199">
        <f ca="1">U1404*'Expenditure Study'!$B$31</f>
        <v>1006981.8286375682</v>
      </c>
      <c r="W1404" s="199">
        <f ca="1">IF(A1404=10298,1.51,1)*IF($B1404&lt;3,$D1404*'Expenditure Study'!$B$32*OFFSET('Expenditure Study'!$B$7,'Operations Support'!$C1404,'Operations Support'!$B1404),0)</f>
        <v>352.83150000000001</v>
      </c>
      <c r="X1404" s="200">
        <f ca="1">W1404*'Expenditure Study'!$B$31</f>
        <v>20846.407306435201</v>
      </c>
      <c r="Y1404" s="199">
        <f ca="1">U1404*'Expenditure Study'!$B$31</f>
        <v>1006981.8286375682</v>
      </c>
      <c r="Z1404" s="200">
        <f ca="1">W1404*'Expenditure Study'!$B$31</f>
        <v>20846.407306435201</v>
      </c>
      <c r="AA1404" s="195">
        <f t="shared" ca="1" si="302"/>
        <v>1027828.2359440033</v>
      </c>
      <c r="AB1404" s="195">
        <f t="shared" ca="1" si="303"/>
        <v>1027828.2359440033</v>
      </c>
      <c r="AD1404" s="196">
        <f>IFERROR($G1404/SUMIF($A:$A,$A1404,$G:$G)*SUMIF(Summary!$A$166:$A$242,$A1404,Summary!$P$166:$P$242),0)</f>
        <v>356113.97017017059</v>
      </c>
      <c r="AE1404" s="197">
        <f t="shared" ca="1" si="304"/>
        <v>671714.2657738328</v>
      </c>
      <c r="AF1404" s="196">
        <f>IFERROR(G1404/SUMIF(A:A,A1404,G:G)*SUMIF(Summary!$A$166:$A$242,'Operations Support'!A1404,Summary!$Q$166:$Q$242),0)</f>
        <v>357574.92506247282</v>
      </c>
      <c r="AG1404" s="196">
        <f t="shared" ca="1" si="305"/>
        <v>670253.31088153052</v>
      </c>
      <c r="AI1404" s="196">
        <f>IFERROR($G1404/SUMIF($A:$A,$A1404,$G:$G)*SUMIF(Summary!$A$247:$A$283,$A1404,Summary!$P$247:$P$283),0)</f>
        <v>64946.301433973596</v>
      </c>
      <c r="AJ1404" s="196">
        <f>IFERROR($G1404/SUMIF($A:$A,$A1404,$G:$G)*(SUMIF(Summary!$A$247:$A$283,$A1404,Summary!$L$247:$L$283)+SUMIF(Summary!$A$297:$A$333,$A1404,Summary!$L$297:$L$333))-AI1404,0)</f>
        <v>236229.20408779429</v>
      </c>
      <c r="AK1404" s="196">
        <f>IFERROR($G1404/SUMIF($A:$A,$A1404,$G:$G)*SUMIF(Summary!$A$247:$A$283,$A1404,Summary!$Q$247:$Q$283),0)</f>
        <v>65212.743148606569</v>
      </c>
      <c r="AL1404" s="196">
        <f>IFERROR($G1404/SUMIF($A:$A,$A1404,$G:$G)*(SUMIF(Summary!$A$247:$A$283,$A1404,Summary!$L$247:$L$283)+SUMIF(Summary!$A$297:$A$333,$A1404,Summary!$L$297:$L$333))-AK1404,0)</f>
        <v>235962.76237316133</v>
      </c>
      <c r="AM1404" s="198"/>
      <c r="AN1404" s="196">
        <f t="shared" ca="1" si="306"/>
        <v>907943.46986162709</v>
      </c>
      <c r="AO1404" s="196">
        <f t="shared" ca="1" si="307"/>
        <v>906216.0732546919</v>
      </c>
    </row>
    <row r="1405" spans="1:41">
      <c r="A1405" s="189">
        <v>3632</v>
      </c>
      <c r="B1405" s="190">
        <v>2</v>
      </c>
      <c r="C1405" s="191" t="s">
        <v>234</v>
      </c>
      <c r="D1405" s="192">
        <f t="shared" si="294"/>
        <v>0</v>
      </c>
      <c r="E1405" s="192">
        <f t="shared" si="295"/>
        <v>0</v>
      </c>
      <c r="F1405" s="192">
        <f t="shared" si="296"/>
        <v>0</v>
      </c>
      <c r="G1405" s="193">
        <f t="shared" si="297"/>
        <v>0</v>
      </c>
      <c r="H1405" s="194">
        <v>0</v>
      </c>
      <c r="I1405" s="194">
        <v>0</v>
      </c>
      <c r="J1405" s="194">
        <v>0</v>
      </c>
      <c r="K1405" s="193">
        <f t="shared" si="298"/>
        <v>0</v>
      </c>
      <c r="L1405" s="194">
        <v>0</v>
      </c>
      <c r="M1405" s="194">
        <v>0</v>
      </c>
      <c r="N1405" s="194">
        <v>0</v>
      </c>
      <c r="O1405" s="193">
        <f t="shared" si="299"/>
        <v>0</v>
      </c>
      <c r="P1405" s="194">
        <v>0</v>
      </c>
      <c r="Q1405" s="194">
        <v>0</v>
      </c>
      <c r="R1405" s="194">
        <v>0</v>
      </c>
      <c r="S1405" s="193">
        <f t="shared" si="300"/>
        <v>0</v>
      </c>
      <c r="T1405" s="193">
        <f t="shared" si="301"/>
        <v>0</v>
      </c>
      <c r="U1405" s="193">
        <f ca="1">OFFSET('Expenditure Study'!$B$7,'Operations Support'!$C1405,'Operations Support'!$B1405)*$G1405</f>
        <v>0</v>
      </c>
      <c r="V1405" s="199">
        <f ca="1">U1405*'Expenditure Study'!$B$31</f>
        <v>0</v>
      </c>
      <c r="W1405" s="199">
        <f ca="1">IF(A1405=10298,1.51,1)*IF($B1405&lt;3,$D1405*'Expenditure Study'!$B$32*OFFSET('Expenditure Study'!$B$7,'Operations Support'!$C1405,'Operations Support'!$B1405),0)</f>
        <v>0</v>
      </c>
      <c r="X1405" s="200">
        <f ca="1">W1405*'Expenditure Study'!$B$31</f>
        <v>0</v>
      </c>
      <c r="Y1405" s="199">
        <f ca="1">U1405*'Expenditure Study'!$B$31</f>
        <v>0</v>
      </c>
      <c r="Z1405" s="200">
        <f ca="1">W1405*'Expenditure Study'!$B$31</f>
        <v>0</v>
      </c>
      <c r="AA1405" s="195">
        <f t="shared" ca="1" si="302"/>
        <v>0</v>
      </c>
      <c r="AB1405" s="195">
        <f t="shared" ca="1" si="303"/>
        <v>0</v>
      </c>
      <c r="AD1405" s="196">
        <f>IFERROR($G1405/SUMIF($A:$A,$A1405,$G:$G)*SUMIF(Summary!$A$166:$A$242,$A1405,Summary!$P$166:$P$242),0)</f>
        <v>0</v>
      </c>
      <c r="AE1405" s="197">
        <f t="shared" ca="1" si="304"/>
        <v>0</v>
      </c>
      <c r="AF1405" s="196">
        <f>IFERROR(G1405/SUMIF(A:A,A1405,G:G)*SUMIF(Summary!$A$166:$A$242,'Operations Support'!A1405,Summary!$Q$166:$Q$242),0)</f>
        <v>0</v>
      </c>
      <c r="AG1405" s="196">
        <f t="shared" ca="1" si="305"/>
        <v>0</v>
      </c>
      <c r="AI1405" s="196">
        <f>IFERROR($G1405/SUMIF($A:$A,$A1405,$G:$G)*SUMIF(Summary!$A$247:$A$283,$A1405,Summary!$P$247:$P$283),0)</f>
        <v>0</v>
      </c>
      <c r="AJ1405" s="196">
        <f>IFERROR($G1405/SUMIF($A:$A,$A1405,$G:$G)*(SUMIF(Summary!$A$247:$A$283,$A1405,Summary!$L$247:$L$283)+SUMIF(Summary!$A$297:$A$333,$A1405,Summary!$L$297:$L$333))-AI1405,0)</f>
        <v>0</v>
      </c>
      <c r="AK1405" s="196">
        <f>IFERROR($G1405/SUMIF($A:$A,$A1405,$G:$G)*SUMIF(Summary!$A$247:$A$283,$A1405,Summary!$Q$247:$Q$283),0)</f>
        <v>0</v>
      </c>
      <c r="AL1405" s="196">
        <f>IFERROR($G1405/SUMIF($A:$A,$A1405,$G:$G)*(SUMIF(Summary!$A$247:$A$283,$A1405,Summary!$L$247:$L$283)+SUMIF(Summary!$A$297:$A$333,$A1405,Summary!$L$297:$L$333))-AK1405,0)</f>
        <v>0</v>
      </c>
      <c r="AM1405" s="198"/>
      <c r="AN1405" s="196">
        <f t="shared" ca="1" si="306"/>
        <v>0</v>
      </c>
      <c r="AO1405" s="196">
        <f t="shared" ca="1" si="307"/>
        <v>0</v>
      </c>
    </row>
    <row r="1406" spans="1:41">
      <c r="A1406" s="189">
        <v>3632</v>
      </c>
      <c r="B1406" s="190">
        <v>2</v>
      </c>
      <c r="C1406" s="191" t="s">
        <v>235</v>
      </c>
      <c r="D1406" s="192">
        <f t="shared" si="294"/>
        <v>26555.27</v>
      </c>
      <c r="E1406" s="192">
        <f t="shared" si="295"/>
        <v>91124.729999997304</v>
      </c>
      <c r="F1406" s="192">
        <f t="shared" si="296"/>
        <v>0</v>
      </c>
      <c r="G1406" s="193">
        <f t="shared" si="297"/>
        <v>117679.99999999731</v>
      </c>
      <c r="H1406" s="194">
        <v>12827.61</v>
      </c>
      <c r="I1406" s="194">
        <v>43011.389999998399</v>
      </c>
      <c r="J1406" s="194">
        <v>0</v>
      </c>
      <c r="K1406" s="193">
        <f t="shared" si="298"/>
        <v>55838.999999998399</v>
      </c>
      <c r="L1406" s="194">
        <v>12821.66</v>
      </c>
      <c r="M1406" s="194">
        <v>38442.339999998898</v>
      </c>
      <c r="N1406" s="194">
        <v>0</v>
      </c>
      <c r="O1406" s="193">
        <f t="shared" si="299"/>
        <v>51263.999999998894</v>
      </c>
      <c r="P1406" s="194">
        <v>906</v>
      </c>
      <c r="Q1406" s="194">
        <v>9671</v>
      </c>
      <c r="R1406" s="194">
        <v>0</v>
      </c>
      <c r="S1406" s="193">
        <f t="shared" si="300"/>
        <v>10577</v>
      </c>
      <c r="T1406" s="193">
        <f t="shared" si="301"/>
        <v>3922.6666666665769</v>
      </c>
      <c r="U1406" s="193">
        <f ca="1">OFFSET('Expenditure Study'!$B$7,'Operations Support'!$C1406,'Operations Support'!$B1406)*$G1406</f>
        <v>220061.59999999497</v>
      </c>
      <c r="V1406" s="199">
        <f ca="1">U1406*'Expenditure Study'!$B$31</f>
        <v>13001939.299936984</v>
      </c>
      <c r="W1406" s="199">
        <f ca="1">IF(A1406=10298,1.51,1)*IF($B1406&lt;3,$D1406*'Expenditure Study'!$B$32*OFFSET('Expenditure Study'!$B$7,'Operations Support'!$C1406,'Operations Support'!$B1406),0)</f>
        <v>4965.8354900000004</v>
      </c>
      <c r="X1406" s="200">
        <f ca="1">W1406*'Expenditure Study'!$B$31</f>
        <v>293397.35607872665</v>
      </c>
      <c r="Y1406" s="199">
        <f ca="1">U1406*'Expenditure Study'!$B$31</f>
        <v>13001939.299936984</v>
      </c>
      <c r="Z1406" s="200">
        <f ca="1">W1406*'Expenditure Study'!$B$31</f>
        <v>293397.35607872665</v>
      </c>
      <c r="AA1406" s="195">
        <f t="shared" ca="1" si="302"/>
        <v>13295336.656015711</v>
      </c>
      <c r="AB1406" s="195">
        <f t="shared" ca="1" si="303"/>
        <v>13295336.656015711</v>
      </c>
      <c r="AD1406" s="196">
        <f>IFERROR($G1406/SUMIF($A:$A,$A1406,$G:$G)*SUMIF(Summary!$A$166:$A$242,$A1406,Summary!$P$166:$P$242),0)</f>
        <v>3958765.5403008424</v>
      </c>
      <c r="AE1406" s="197">
        <f t="shared" ca="1" si="304"/>
        <v>9336571.1157148685</v>
      </c>
      <c r="AF1406" s="196">
        <f>IFERROR(G1406/SUMIF(A:A,A1406,G:G)*SUMIF(Summary!$A$166:$A$242,'Operations Support'!A1406,Summary!$Q$166:$Q$242),0)</f>
        <v>3975006.3462451193</v>
      </c>
      <c r="AG1406" s="196">
        <f t="shared" ca="1" si="305"/>
        <v>9320330.3097705916</v>
      </c>
      <c r="AI1406" s="196">
        <f>IFERROR($G1406/SUMIF($A:$A,$A1406,$G:$G)*SUMIF(Summary!$A$247:$A$283,$A1406,Summary!$P$247:$P$283),0)</f>
        <v>721980.04465802351</v>
      </c>
      <c r="AJ1406" s="196">
        <f>IFERROR($G1406/SUMIF($A:$A,$A1406,$G:$G)*(SUMIF(Summary!$A$247:$A$283,$A1406,Summary!$L$247:$L$283)+SUMIF(Summary!$A$297:$A$333,$A1406,Summary!$L$297:$L$333))-AI1406,0)</f>
        <v>2626058.2596874172</v>
      </c>
      <c r="AK1406" s="196">
        <f>IFERROR($G1406/SUMIF($A:$A,$A1406,$G:$G)*SUMIF(Summary!$A$247:$A$283,$A1406,Summary!$Q$247:$Q$283),0)</f>
        <v>724941.9623774651</v>
      </c>
      <c r="AL1406" s="196">
        <f>IFERROR($G1406/SUMIF($A:$A,$A1406,$G:$G)*(SUMIF(Summary!$A$247:$A$283,$A1406,Summary!$L$247:$L$283)+SUMIF(Summary!$A$297:$A$333,$A1406,Summary!$L$297:$L$333))-AK1406,0)</f>
        <v>2623096.3419679757</v>
      </c>
      <c r="AM1406" s="198"/>
      <c r="AN1406" s="196">
        <f t="shared" ca="1" si="306"/>
        <v>11962629.375402287</v>
      </c>
      <c r="AO1406" s="196">
        <f t="shared" ca="1" si="307"/>
        <v>11943426.651738567</v>
      </c>
    </row>
    <row r="1407" spans="1:41">
      <c r="A1407" s="189">
        <v>3632</v>
      </c>
      <c r="B1407" s="190">
        <v>2</v>
      </c>
      <c r="C1407" s="191" t="s">
        <v>236</v>
      </c>
      <c r="D1407" s="192">
        <f t="shared" si="294"/>
        <v>0</v>
      </c>
      <c r="E1407" s="192">
        <f t="shared" si="295"/>
        <v>0</v>
      </c>
      <c r="F1407" s="192">
        <f t="shared" si="296"/>
        <v>0</v>
      </c>
      <c r="G1407" s="193">
        <f t="shared" si="297"/>
        <v>0</v>
      </c>
      <c r="H1407" s="194">
        <v>0</v>
      </c>
      <c r="I1407" s="194">
        <v>0</v>
      </c>
      <c r="J1407" s="194">
        <v>0</v>
      </c>
      <c r="K1407" s="193">
        <f t="shared" si="298"/>
        <v>0</v>
      </c>
      <c r="L1407" s="194">
        <v>0</v>
      </c>
      <c r="M1407" s="194">
        <v>0</v>
      </c>
      <c r="N1407" s="194">
        <v>0</v>
      </c>
      <c r="O1407" s="193">
        <f t="shared" si="299"/>
        <v>0</v>
      </c>
      <c r="P1407" s="194">
        <v>0</v>
      </c>
      <c r="Q1407" s="194">
        <v>0</v>
      </c>
      <c r="R1407" s="194">
        <v>0</v>
      </c>
      <c r="S1407" s="193">
        <f t="shared" si="300"/>
        <v>0</v>
      </c>
      <c r="T1407" s="193">
        <f t="shared" si="301"/>
        <v>0</v>
      </c>
      <c r="U1407" s="193">
        <f ca="1">OFFSET('Expenditure Study'!$B$7,'Operations Support'!$C1407,'Operations Support'!$B1407)*$G1407</f>
        <v>0</v>
      </c>
      <c r="V1407" s="199">
        <f ca="1">U1407*'Expenditure Study'!$B$31</f>
        <v>0</v>
      </c>
      <c r="W1407" s="199">
        <f ca="1">IF(A1407=10298,1.51,1)*IF($B1407&lt;3,$D1407*'Expenditure Study'!$B$32*OFFSET('Expenditure Study'!$B$7,'Operations Support'!$C1407,'Operations Support'!$B1407),0)</f>
        <v>0</v>
      </c>
      <c r="X1407" s="200">
        <f ca="1">W1407*'Expenditure Study'!$B$31</f>
        <v>0</v>
      </c>
      <c r="Y1407" s="199">
        <f ca="1">U1407*'Expenditure Study'!$B$31</f>
        <v>0</v>
      </c>
      <c r="Z1407" s="200">
        <f ca="1">W1407*'Expenditure Study'!$B$31</f>
        <v>0</v>
      </c>
      <c r="AA1407" s="195">
        <f t="shared" ca="1" si="302"/>
        <v>0</v>
      </c>
      <c r="AB1407" s="195">
        <f t="shared" ca="1" si="303"/>
        <v>0</v>
      </c>
      <c r="AD1407" s="196">
        <f>IFERROR($G1407/SUMIF($A:$A,$A1407,$G:$G)*SUMIF(Summary!$A$166:$A$242,$A1407,Summary!$P$166:$P$242),0)</f>
        <v>0</v>
      </c>
      <c r="AE1407" s="197">
        <f t="shared" ca="1" si="304"/>
        <v>0</v>
      </c>
      <c r="AF1407" s="196">
        <f>IFERROR(G1407/SUMIF(A:A,A1407,G:G)*SUMIF(Summary!$A$166:$A$242,'Operations Support'!A1407,Summary!$Q$166:$Q$242),0)</f>
        <v>0</v>
      </c>
      <c r="AG1407" s="196">
        <f t="shared" ca="1" si="305"/>
        <v>0</v>
      </c>
      <c r="AI1407" s="196">
        <f>IFERROR($G1407/SUMIF($A:$A,$A1407,$G:$G)*SUMIF(Summary!$A$247:$A$283,$A1407,Summary!$P$247:$P$283),0)</f>
        <v>0</v>
      </c>
      <c r="AJ1407" s="196">
        <f>IFERROR($G1407/SUMIF($A:$A,$A1407,$G:$G)*(SUMIF(Summary!$A$247:$A$283,$A1407,Summary!$L$247:$L$283)+SUMIF(Summary!$A$297:$A$333,$A1407,Summary!$L$297:$L$333))-AI1407,0)</f>
        <v>0</v>
      </c>
      <c r="AK1407" s="196">
        <f>IFERROR($G1407/SUMIF($A:$A,$A1407,$G:$G)*SUMIF(Summary!$A$247:$A$283,$A1407,Summary!$Q$247:$Q$283),0)</f>
        <v>0</v>
      </c>
      <c r="AL1407" s="196">
        <f>IFERROR($G1407/SUMIF($A:$A,$A1407,$G:$G)*(SUMIF(Summary!$A$247:$A$283,$A1407,Summary!$L$247:$L$283)+SUMIF(Summary!$A$297:$A$333,$A1407,Summary!$L$297:$L$333))-AK1407,0)</f>
        <v>0</v>
      </c>
      <c r="AM1407" s="198"/>
      <c r="AN1407" s="196">
        <f t="shared" ca="1" si="306"/>
        <v>0</v>
      </c>
      <c r="AO1407" s="196">
        <f t="shared" ca="1" si="307"/>
        <v>0</v>
      </c>
    </row>
    <row r="1408" spans="1:41">
      <c r="A1408" s="189">
        <v>3632</v>
      </c>
      <c r="B1408" s="190">
        <v>2</v>
      </c>
      <c r="C1408" s="191" t="s">
        <v>237</v>
      </c>
      <c r="D1408" s="192">
        <f t="shared" si="294"/>
        <v>105.84</v>
      </c>
      <c r="E1408" s="192">
        <f t="shared" si="295"/>
        <v>2432.16</v>
      </c>
      <c r="F1408" s="192">
        <f t="shared" si="296"/>
        <v>0</v>
      </c>
      <c r="G1408" s="193">
        <f t="shared" si="297"/>
        <v>2538</v>
      </c>
      <c r="H1408" s="194">
        <v>105.84</v>
      </c>
      <c r="I1408" s="194">
        <v>1598.1599999999999</v>
      </c>
      <c r="J1408" s="194">
        <v>0</v>
      </c>
      <c r="K1408" s="193">
        <f t="shared" si="298"/>
        <v>1703.9999999999998</v>
      </c>
      <c r="L1408" s="194">
        <v>0</v>
      </c>
      <c r="M1408" s="194">
        <v>834</v>
      </c>
      <c r="N1408" s="194">
        <v>0</v>
      </c>
      <c r="O1408" s="193">
        <f t="shared" si="299"/>
        <v>834</v>
      </c>
      <c r="P1408" s="194">
        <v>0</v>
      </c>
      <c r="Q1408" s="194">
        <v>0</v>
      </c>
      <c r="R1408" s="194">
        <v>0</v>
      </c>
      <c r="S1408" s="193">
        <f t="shared" si="300"/>
        <v>0</v>
      </c>
      <c r="T1408" s="193">
        <f t="shared" si="301"/>
        <v>84.6</v>
      </c>
      <c r="U1408" s="193">
        <f ca="1">OFFSET('Expenditure Study'!$B$7,'Operations Support'!$C1408,'Operations Support'!$B1408)*$G1408</f>
        <v>5938.92</v>
      </c>
      <c r="V1408" s="199">
        <f ca="1">U1408*'Expenditure Study'!$B$31</f>
        <v>350890.28411673603</v>
      </c>
      <c r="W1408" s="199">
        <f ca="1">IF(A1408=10298,1.51,1)*IF($B1408&lt;3,$D1408*'Expenditure Study'!$B$32*OFFSET('Expenditure Study'!$B$7,'Operations Support'!$C1408,'Operations Support'!$B1408),0)</f>
        <v>24.766560000000002</v>
      </c>
      <c r="X1408" s="200">
        <f ca="1">W1408*'Expenditure Study'!$B$31</f>
        <v>1463.2871422740482</v>
      </c>
      <c r="Y1408" s="199">
        <f ca="1">U1408*'Expenditure Study'!$B$31</f>
        <v>350890.28411673603</v>
      </c>
      <c r="Z1408" s="200">
        <f ca="1">W1408*'Expenditure Study'!$B$31</f>
        <v>1463.2871422740482</v>
      </c>
      <c r="AA1408" s="195">
        <f t="shared" ca="1" si="302"/>
        <v>352353.57125901006</v>
      </c>
      <c r="AB1408" s="195">
        <f t="shared" ca="1" si="303"/>
        <v>352353.57125901006</v>
      </c>
      <c r="AD1408" s="196">
        <f>IFERROR($G1408/SUMIF($A:$A,$A1408,$G:$G)*SUMIF(Summary!$A$166:$A$242,$A1408,Summary!$P$166:$P$242),0)</f>
        <v>85378.543008869558</v>
      </c>
      <c r="AE1408" s="197">
        <f t="shared" ca="1" si="304"/>
        <v>266975.02825014049</v>
      </c>
      <c r="AF1408" s="196">
        <f>IFERROR(G1408/SUMIF(A:A,A1408,G:G)*SUMIF(Summary!$A$166:$A$242,'Operations Support'!A1408,Summary!$Q$166:$Q$242),0)</f>
        <v>85728.807841352362</v>
      </c>
      <c r="AG1408" s="196">
        <f t="shared" ca="1" si="305"/>
        <v>266624.7634176577</v>
      </c>
      <c r="AI1408" s="196">
        <f>IFERROR($G1408/SUMIF($A:$A,$A1408,$G:$G)*SUMIF(Summary!$A$247:$A$283,$A1408,Summary!$P$247:$P$283),0)</f>
        <v>15570.915647026733</v>
      </c>
      <c r="AJ1408" s="196">
        <f>IFERROR($G1408/SUMIF($A:$A,$A1408,$G:$G)*(SUMIF(Summary!$A$247:$A$283,$A1408,Summary!$L$247:$L$283)+SUMIF(Summary!$A$297:$A$333,$A1408,Summary!$L$297:$L$333))-AI1408,0)</f>
        <v>56636.096729153782</v>
      </c>
      <c r="AK1408" s="196">
        <f>IFERROR($G1408/SUMIF($A:$A,$A1408,$G:$G)*SUMIF(Summary!$A$247:$A$283,$A1408,Summary!$Q$247:$Q$283),0)</f>
        <v>15634.795211710136</v>
      </c>
      <c r="AL1408" s="196">
        <f>IFERROR($G1408/SUMIF($A:$A,$A1408,$G:$G)*(SUMIF(Summary!$A$247:$A$283,$A1408,Summary!$L$247:$L$283)+SUMIF(Summary!$A$297:$A$333,$A1408,Summary!$L$297:$L$333))-AK1408,0)</f>
        <v>56572.217164470378</v>
      </c>
      <c r="AM1408" s="198"/>
      <c r="AN1408" s="196">
        <f t="shared" ca="1" si="306"/>
        <v>323611.12497929425</v>
      </c>
      <c r="AO1408" s="196">
        <f t="shared" ca="1" si="307"/>
        <v>323196.98058212805</v>
      </c>
    </row>
    <row r="1409" spans="1:41">
      <c r="A1409" s="189">
        <v>3632</v>
      </c>
      <c r="B1409" s="190">
        <v>2</v>
      </c>
      <c r="C1409" s="191" t="s">
        <v>238</v>
      </c>
      <c r="D1409" s="192">
        <f t="shared" si="294"/>
        <v>9826.1000000000204</v>
      </c>
      <c r="E1409" s="192">
        <f t="shared" si="295"/>
        <v>25431.9</v>
      </c>
      <c r="F1409" s="192">
        <f t="shared" si="296"/>
        <v>0</v>
      </c>
      <c r="G1409" s="193">
        <f t="shared" si="297"/>
        <v>35258.000000000022</v>
      </c>
      <c r="H1409" s="194">
        <v>4281.1000000000004</v>
      </c>
      <c r="I1409" s="194">
        <v>12618.899999999991</v>
      </c>
      <c r="J1409" s="194">
        <v>0</v>
      </c>
      <c r="K1409" s="193">
        <f t="shared" si="298"/>
        <v>16899.999999999993</v>
      </c>
      <c r="L1409" s="194">
        <v>5432.00000000002</v>
      </c>
      <c r="M1409" s="194">
        <v>11509.000000000011</v>
      </c>
      <c r="N1409" s="194">
        <v>0</v>
      </c>
      <c r="O1409" s="193">
        <f t="shared" si="299"/>
        <v>16941.000000000029</v>
      </c>
      <c r="P1409" s="194">
        <v>113</v>
      </c>
      <c r="Q1409" s="194">
        <v>1304</v>
      </c>
      <c r="R1409" s="194">
        <v>0</v>
      </c>
      <c r="S1409" s="193">
        <f t="shared" si="300"/>
        <v>1417</v>
      </c>
      <c r="T1409" s="193">
        <f t="shared" si="301"/>
        <v>1175.2666666666673</v>
      </c>
      <c r="U1409" s="193">
        <f ca="1">OFFSET('Expenditure Study'!$B$7,'Operations Support'!$C1409,'Operations Support'!$B1409)*$G1409</f>
        <v>84619.200000000055</v>
      </c>
      <c r="V1409" s="199">
        <f ca="1">U1409*'Expenditure Study'!$B$31</f>
        <v>4999571.4927513637</v>
      </c>
      <c r="W1409" s="199">
        <f ca="1">IF(A1409=10298,1.51,1)*IF($B1409&lt;3,$D1409*'Expenditure Study'!$B$32*OFFSET('Expenditure Study'!$B$7,'Operations Support'!$C1409,'Operations Support'!$B1409),0)</f>
        <v>2358.2640000000047</v>
      </c>
      <c r="X1409" s="200">
        <f ca="1">W1409*'Expenditure Study'!$B$31</f>
        <v>139333.73828613147</v>
      </c>
      <c r="Y1409" s="199">
        <f ca="1">U1409*'Expenditure Study'!$B$31</f>
        <v>4999571.4927513637</v>
      </c>
      <c r="Z1409" s="200">
        <f ca="1">W1409*'Expenditure Study'!$B$31</f>
        <v>139333.73828613147</v>
      </c>
      <c r="AA1409" s="195">
        <f t="shared" ca="1" si="302"/>
        <v>5138905.2310374947</v>
      </c>
      <c r="AB1409" s="195">
        <f t="shared" ca="1" si="303"/>
        <v>5138905.2310374947</v>
      </c>
      <c r="AD1409" s="196">
        <f>IFERROR($G1409/SUMIF($A:$A,$A1409,$G:$G)*SUMIF(Summary!$A$166:$A$242,$A1409,Summary!$P$166:$P$242),0)</f>
        <v>1186082.2180483548</v>
      </c>
      <c r="AE1409" s="197">
        <f t="shared" ca="1" si="304"/>
        <v>3952823.0129891401</v>
      </c>
      <c r="AF1409" s="196">
        <f>IFERROR(G1409/SUMIF(A:A,A1409,G:G)*SUMIF(Summary!$A$166:$A$242,'Operations Support'!A1409,Summary!$Q$166:$Q$242),0)</f>
        <v>1190948.1114540596</v>
      </c>
      <c r="AG1409" s="196">
        <f t="shared" ca="1" si="305"/>
        <v>3947957.1195834354</v>
      </c>
      <c r="AI1409" s="196">
        <f>IFERROR($G1409/SUMIF($A:$A,$A1409,$G:$G)*SUMIF(Summary!$A$247:$A$283,$A1409,Summary!$P$247:$P$283),0)</f>
        <v>216311.79822020049</v>
      </c>
      <c r="AJ1409" s="196">
        <f>IFERROR($G1409/SUMIF($A:$A,$A1409,$G:$G)*(SUMIF(Summary!$A$247:$A$283,$A1409,Summary!$L$247:$L$283)+SUMIF(Summary!$A$297:$A$333,$A1409,Summary!$L$297:$L$333))-AI1409,0)</f>
        <v>786790.97654708649</v>
      </c>
      <c r="AK1409" s="196">
        <f>IFERROR($G1409/SUMIF($A:$A,$A1409,$G:$G)*SUMIF(Summary!$A$247:$A$283,$A1409,Summary!$Q$247:$Q$283),0)</f>
        <v>217199.21575038467</v>
      </c>
      <c r="AL1409" s="196">
        <f>IFERROR($G1409/SUMIF($A:$A,$A1409,$G:$G)*(SUMIF(Summary!$A$247:$A$283,$A1409,Summary!$L$247:$L$283)+SUMIF(Summary!$A$297:$A$333,$A1409,Summary!$L$297:$L$333))-AK1409,0)</f>
        <v>785903.55901690223</v>
      </c>
      <c r="AM1409" s="198"/>
      <c r="AN1409" s="196">
        <f t="shared" ca="1" si="306"/>
        <v>4739613.9895362267</v>
      </c>
      <c r="AO1409" s="196">
        <f t="shared" ca="1" si="307"/>
        <v>4733860.6786003374</v>
      </c>
    </row>
    <row r="1410" spans="1:41">
      <c r="A1410" s="189">
        <v>3632</v>
      </c>
      <c r="B1410" s="190">
        <v>2</v>
      </c>
      <c r="C1410" s="191" t="s">
        <v>239</v>
      </c>
      <c r="D1410" s="192">
        <f t="shared" si="294"/>
        <v>0</v>
      </c>
      <c r="E1410" s="192">
        <f t="shared" si="295"/>
        <v>0</v>
      </c>
      <c r="F1410" s="192">
        <f t="shared" si="296"/>
        <v>0</v>
      </c>
      <c r="G1410" s="193">
        <f t="shared" si="297"/>
        <v>0</v>
      </c>
      <c r="H1410" s="194">
        <v>0</v>
      </c>
      <c r="I1410" s="194">
        <v>0</v>
      </c>
      <c r="J1410" s="194">
        <v>0</v>
      </c>
      <c r="K1410" s="193">
        <f t="shared" si="298"/>
        <v>0</v>
      </c>
      <c r="L1410" s="194">
        <v>0</v>
      </c>
      <c r="M1410" s="194">
        <v>0</v>
      </c>
      <c r="N1410" s="194">
        <v>0</v>
      </c>
      <c r="O1410" s="193">
        <f t="shared" si="299"/>
        <v>0</v>
      </c>
      <c r="P1410" s="194">
        <v>0</v>
      </c>
      <c r="Q1410" s="194">
        <v>0</v>
      </c>
      <c r="R1410" s="194">
        <v>0</v>
      </c>
      <c r="S1410" s="193">
        <f t="shared" si="300"/>
        <v>0</v>
      </c>
      <c r="T1410" s="193">
        <f t="shared" si="301"/>
        <v>0</v>
      </c>
      <c r="U1410" s="193">
        <f ca="1">OFFSET('Expenditure Study'!$B$7,'Operations Support'!$C1410,'Operations Support'!$B1410)*$G1410</f>
        <v>0</v>
      </c>
      <c r="V1410" s="199">
        <f ca="1">U1410*'Expenditure Study'!$B$31</f>
        <v>0</v>
      </c>
      <c r="W1410" s="199">
        <f ca="1">IF(A1410=10298,1.51,1)*IF($B1410&lt;3,$D1410*'Expenditure Study'!$B$32*OFFSET('Expenditure Study'!$B$7,'Operations Support'!$C1410,'Operations Support'!$B1410),0)</f>
        <v>0</v>
      </c>
      <c r="X1410" s="200">
        <f ca="1">W1410*'Expenditure Study'!$B$31</f>
        <v>0</v>
      </c>
      <c r="Y1410" s="199">
        <f ca="1">U1410*'Expenditure Study'!$B$31</f>
        <v>0</v>
      </c>
      <c r="Z1410" s="200">
        <f ca="1">W1410*'Expenditure Study'!$B$31</f>
        <v>0</v>
      </c>
      <c r="AA1410" s="195">
        <f t="shared" ca="1" si="302"/>
        <v>0</v>
      </c>
      <c r="AB1410" s="195">
        <f t="shared" ca="1" si="303"/>
        <v>0</v>
      </c>
      <c r="AD1410" s="196">
        <f>IFERROR($G1410/SUMIF($A:$A,$A1410,$G:$G)*SUMIF(Summary!$A$166:$A$242,$A1410,Summary!$P$166:$P$242),0)</f>
        <v>0</v>
      </c>
      <c r="AE1410" s="197">
        <f t="shared" ca="1" si="304"/>
        <v>0</v>
      </c>
      <c r="AF1410" s="196">
        <f>IFERROR(G1410/SUMIF(A:A,A1410,G:G)*SUMIF(Summary!$A$166:$A$242,'Operations Support'!A1410,Summary!$Q$166:$Q$242),0)</f>
        <v>0</v>
      </c>
      <c r="AG1410" s="196">
        <f t="shared" ca="1" si="305"/>
        <v>0</v>
      </c>
      <c r="AI1410" s="196">
        <f>IFERROR($G1410/SUMIF($A:$A,$A1410,$G:$G)*SUMIF(Summary!$A$247:$A$283,$A1410,Summary!$P$247:$P$283),0)</f>
        <v>0</v>
      </c>
      <c r="AJ1410" s="196">
        <f>IFERROR($G1410/SUMIF($A:$A,$A1410,$G:$G)*(SUMIF(Summary!$A$247:$A$283,$A1410,Summary!$L$247:$L$283)+SUMIF(Summary!$A$297:$A$333,$A1410,Summary!$L$297:$L$333))-AI1410,0)</f>
        <v>0</v>
      </c>
      <c r="AK1410" s="196">
        <f>IFERROR($G1410/SUMIF($A:$A,$A1410,$G:$G)*SUMIF(Summary!$A$247:$A$283,$A1410,Summary!$Q$247:$Q$283),0)</f>
        <v>0</v>
      </c>
      <c r="AL1410" s="196">
        <f>IFERROR($G1410/SUMIF($A:$A,$A1410,$G:$G)*(SUMIF(Summary!$A$247:$A$283,$A1410,Summary!$L$247:$L$283)+SUMIF(Summary!$A$297:$A$333,$A1410,Summary!$L$297:$L$333))-AK1410,0)</f>
        <v>0</v>
      </c>
      <c r="AM1410" s="198"/>
      <c r="AN1410" s="196">
        <f t="shared" ca="1" si="306"/>
        <v>0</v>
      </c>
      <c r="AO1410" s="196">
        <f t="shared" ca="1" si="307"/>
        <v>0</v>
      </c>
    </row>
    <row r="1411" spans="1:41">
      <c r="A1411" s="189">
        <v>3632</v>
      </c>
      <c r="B1411" s="190">
        <v>2</v>
      </c>
      <c r="C1411" s="191" t="s">
        <v>240</v>
      </c>
      <c r="D1411" s="192">
        <f t="shared" si="294"/>
        <v>0</v>
      </c>
      <c r="E1411" s="192">
        <f t="shared" si="295"/>
        <v>0</v>
      </c>
      <c r="F1411" s="192">
        <f t="shared" si="296"/>
        <v>0</v>
      </c>
      <c r="G1411" s="193">
        <f t="shared" si="297"/>
        <v>0</v>
      </c>
      <c r="H1411" s="194">
        <v>0</v>
      </c>
      <c r="I1411" s="194">
        <v>0</v>
      </c>
      <c r="J1411" s="194">
        <v>0</v>
      </c>
      <c r="K1411" s="193">
        <f t="shared" si="298"/>
        <v>0</v>
      </c>
      <c r="L1411" s="194">
        <v>0</v>
      </c>
      <c r="M1411" s="194">
        <v>0</v>
      </c>
      <c r="N1411" s="194">
        <v>0</v>
      </c>
      <c r="O1411" s="193">
        <f t="shared" si="299"/>
        <v>0</v>
      </c>
      <c r="P1411" s="194">
        <v>0</v>
      </c>
      <c r="Q1411" s="194">
        <v>0</v>
      </c>
      <c r="R1411" s="194">
        <v>0</v>
      </c>
      <c r="S1411" s="193">
        <f t="shared" si="300"/>
        <v>0</v>
      </c>
      <c r="T1411" s="193">
        <f t="shared" si="301"/>
        <v>0</v>
      </c>
      <c r="U1411" s="193">
        <f ca="1">OFFSET('Expenditure Study'!$B$7,'Operations Support'!$C1411,'Operations Support'!$B1411)*$G1411</f>
        <v>0</v>
      </c>
      <c r="V1411" s="199">
        <f ca="1">U1411*'Expenditure Study'!$B$31</f>
        <v>0</v>
      </c>
      <c r="W1411" s="199">
        <f ca="1">IF(A1411=10298,1.51,1)*IF($B1411&lt;3,$D1411*'Expenditure Study'!$B$32*OFFSET('Expenditure Study'!$B$7,'Operations Support'!$C1411,'Operations Support'!$B1411),0)</f>
        <v>0</v>
      </c>
      <c r="X1411" s="200">
        <f ca="1">W1411*'Expenditure Study'!$B$31</f>
        <v>0</v>
      </c>
      <c r="Y1411" s="199">
        <f ca="1">U1411*'Expenditure Study'!$B$31</f>
        <v>0</v>
      </c>
      <c r="Z1411" s="200">
        <f ca="1">W1411*'Expenditure Study'!$B$31</f>
        <v>0</v>
      </c>
      <c r="AA1411" s="195">
        <f t="shared" ca="1" si="302"/>
        <v>0</v>
      </c>
      <c r="AB1411" s="195">
        <f t="shared" ca="1" si="303"/>
        <v>0</v>
      </c>
      <c r="AD1411" s="196">
        <f>IFERROR($G1411/SUMIF($A:$A,$A1411,$G:$G)*SUMIF(Summary!$A$166:$A$242,$A1411,Summary!$P$166:$P$242),0)</f>
        <v>0</v>
      </c>
      <c r="AE1411" s="197">
        <f t="shared" ca="1" si="304"/>
        <v>0</v>
      </c>
      <c r="AF1411" s="196">
        <f>IFERROR(G1411/SUMIF(A:A,A1411,G:G)*SUMIF(Summary!$A$166:$A$242,'Operations Support'!A1411,Summary!$Q$166:$Q$242),0)</f>
        <v>0</v>
      </c>
      <c r="AG1411" s="196">
        <f t="shared" ca="1" si="305"/>
        <v>0</v>
      </c>
      <c r="AI1411" s="196">
        <f>IFERROR($G1411/SUMIF($A:$A,$A1411,$G:$G)*SUMIF(Summary!$A$247:$A$283,$A1411,Summary!$P$247:$P$283),0)</f>
        <v>0</v>
      </c>
      <c r="AJ1411" s="196">
        <f>IFERROR($G1411/SUMIF($A:$A,$A1411,$G:$G)*(SUMIF(Summary!$A$247:$A$283,$A1411,Summary!$L$247:$L$283)+SUMIF(Summary!$A$297:$A$333,$A1411,Summary!$L$297:$L$333))-AI1411,0)</f>
        <v>0</v>
      </c>
      <c r="AK1411" s="196">
        <f>IFERROR($G1411/SUMIF($A:$A,$A1411,$G:$G)*SUMIF(Summary!$A$247:$A$283,$A1411,Summary!$Q$247:$Q$283),0)</f>
        <v>0</v>
      </c>
      <c r="AL1411" s="196">
        <f>IFERROR($G1411/SUMIF($A:$A,$A1411,$G:$G)*(SUMIF(Summary!$A$247:$A$283,$A1411,Summary!$L$247:$L$283)+SUMIF(Summary!$A$297:$A$333,$A1411,Summary!$L$297:$L$333))-AK1411,0)</f>
        <v>0</v>
      </c>
      <c r="AM1411" s="198"/>
      <c r="AN1411" s="196">
        <f t="shared" ca="1" si="306"/>
        <v>0</v>
      </c>
      <c r="AO1411" s="196">
        <f t="shared" ca="1" si="307"/>
        <v>0</v>
      </c>
    </row>
    <row r="1412" spans="1:41">
      <c r="A1412" s="189">
        <v>3632</v>
      </c>
      <c r="B1412" s="190">
        <v>3</v>
      </c>
      <c r="C1412" s="191" t="s">
        <v>220</v>
      </c>
      <c r="D1412" s="192">
        <f t="shared" si="294"/>
        <v>13477.07</v>
      </c>
      <c r="E1412" s="192">
        <f t="shared" si="295"/>
        <v>10371.43</v>
      </c>
      <c r="F1412" s="192">
        <f t="shared" si="296"/>
        <v>0</v>
      </c>
      <c r="G1412" s="193">
        <f t="shared" si="297"/>
        <v>23848.5</v>
      </c>
      <c r="H1412" s="194">
        <v>5077.57</v>
      </c>
      <c r="I1412" s="194">
        <v>4393.43</v>
      </c>
      <c r="J1412" s="194">
        <v>0</v>
      </c>
      <c r="K1412" s="193">
        <f t="shared" si="298"/>
        <v>9471</v>
      </c>
      <c r="L1412" s="194">
        <v>7460</v>
      </c>
      <c r="M1412" s="194">
        <v>4620.5</v>
      </c>
      <c r="N1412" s="194">
        <v>0</v>
      </c>
      <c r="O1412" s="193">
        <f t="shared" si="299"/>
        <v>12080.5</v>
      </c>
      <c r="P1412" s="194">
        <v>939.5</v>
      </c>
      <c r="Q1412" s="194">
        <v>1357.5</v>
      </c>
      <c r="R1412" s="194">
        <v>0</v>
      </c>
      <c r="S1412" s="193">
        <f t="shared" si="300"/>
        <v>2297</v>
      </c>
      <c r="T1412" s="193">
        <f t="shared" si="301"/>
        <v>993.6875</v>
      </c>
      <c r="U1412" s="193">
        <f ca="1">OFFSET('Expenditure Study'!$B$7,'Operations Support'!$C1412,'Operations Support'!$B1412)*$G1412</f>
        <v>106364.31</v>
      </c>
      <c r="V1412" s="199">
        <f ca="1">U1412*'Expenditure Study'!$B$31</f>
        <v>6284341.7583972476</v>
      </c>
      <c r="W1412" s="199">
        <f ca="1">IF(A1412=10298,1.51,1)*IF($B1412&lt;3,$D1412*'Expenditure Study'!$B$32*OFFSET('Expenditure Study'!$B$7,'Operations Support'!$C1412,'Operations Support'!$B1412),0)</f>
        <v>0</v>
      </c>
      <c r="X1412" s="200">
        <f ca="1">W1412*'Expenditure Study'!$B$31</f>
        <v>0</v>
      </c>
      <c r="Y1412" s="199">
        <f ca="1">U1412*'Expenditure Study'!$B$31</f>
        <v>6284341.7583972476</v>
      </c>
      <c r="Z1412" s="200">
        <f ca="1">W1412*'Expenditure Study'!$B$31</f>
        <v>0</v>
      </c>
      <c r="AA1412" s="195">
        <f t="shared" ca="1" si="302"/>
        <v>6284341.7583972476</v>
      </c>
      <c r="AB1412" s="195">
        <f t="shared" ca="1" si="303"/>
        <v>6284341.7583972476</v>
      </c>
      <c r="AD1412" s="196">
        <f>IFERROR($G1412/SUMIF($A:$A,$A1412,$G:$G)*SUMIF(Summary!$A$166:$A$242,$A1412,Summary!$P$166:$P$242),0)</f>
        <v>802265.63551892247</v>
      </c>
      <c r="AE1412" s="197">
        <f t="shared" ca="1" si="304"/>
        <v>5482076.1228783252</v>
      </c>
      <c r="AF1412" s="196">
        <f>IFERROR(G1412/SUMIF(A:A,A1412,G:G)*SUMIF(Summary!$A$166:$A$242,'Operations Support'!A1412,Summary!$Q$166:$Q$242),0)</f>
        <v>805556.92427284934</v>
      </c>
      <c r="AG1412" s="196">
        <f t="shared" ca="1" si="305"/>
        <v>5478784.8341243984</v>
      </c>
      <c r="AI1412" s="196">
        <f>IFERROR($G1412/SUMIF($A:$A,$A1412,$G:$G)*SUMIF(Summary!$A$247:$A$283,$A1412,Summary!$P$247:$P$283),0)</f>
        <v>146313.231602883</v>
      </c>
      <c r="AJ1412" s="196">
        <f>IFERROR($G1412/SUMIF($A:$A,$A1412,$G:$G)*(SUMIF(Summary!$A$247:$A$283,$A1412,Summary!$L$247:$L$283)+SUMIF(Summary!$A$297:$A$333,$A1412,Summary!$L$297:$L$333))-AI1412,0)</f>
        <v>532185.16660568316</v>
      </c>
      <c r="AK1412" s="196">
        <f>IFERROR($G1412/SUMIF($A:$A,$A1412,$G:$G)*SUMIF(Summary!$A$247:$A$283,$A1412,Summary!$Q$247:$Q$283),0)</f>
        <v>146913.48053840391</v>
      </c>
      <c r="AL1412" s="196">
        <f>IFERROR($G1412/SUMIF($A:$A,$A1412,$G:$G)*(SUMIF(Summary!$A$247:$A$283,$A1412,Summary!$L$247:$L$283)+SUMIF(Summary!$A$297:$A$333,$A1412,Summary!$L$297:$L$333))-AK1412,0)</f>
        <v>531584.91767016216</v>
      </c>
      <c r="AM1412" s="198"/>
      <c r="AN1412" s="196">
        <f t="shared" ca="1" si="306"/>
        <v>6014261.2894840082</v>
      </c>
      <c r="AO1412" s="196">
        <f t="shared" ca="1" si="307"/>
        <v>6010369.7517945608</v>
      </c>
    </row>
    <row r="1413" spans="1:41">
      <c r="A1413" s="189">
        <v>3632</v>
      </c>
      <c r="B1413" s="190">
        <v>3</v>
      </c>
      <c r="C1413" s="191" t="s">
        <v>221</v>
      </c>
      <c r="D1413" s="192">
        <f t="shared" ref="D1413:D1476" si="308">H1413+L1413+P1413</f>
        <v>11044.55</v>
      </c>
      <c r="E1413" s="192">
        <f t="shared" ref="E1413:E1476" si="309">I1413+M1413+Q1413</f>
        <v>3753.95</v>
      </c>
      <c r="F1413" s="192">
        <f t="shared" ref="F1413:F1476" si="310">J1413+N1413+R1413</f>
        <v>0</v>
      </c>
      <c r="G1413" s="193">
        <f t="shared" ref="G1413:G1476" si="311">(SUM(D1413:E1413)-F1413)*IF(A1413=10298,1.51,1)</f>
        <v>14798.5</v>
      </c>
      <c r="H1413" s="194">
        <v>3960.55</v>
      </c>
      <c r="I1413" s="194">
        <v>1558.45</v>
      </c>
      <c r="J1413" s="194">
        <v>0</v>
      </c>
      <c r="K1413" s="193">
        <f t="shared" ref="K1413:K1476" si="312">SUM(H1413:I1413)-J1413</f>
        <v>5519</v>
      </c>
      <c r="L1413" s="194">
        <v>5428</v>
      </c>
      <c r="M1413" s="194">
        <v>1829</v>
      </c>
      <c r="N1413" s="194">
        <v>0</v>
      </c>
      <c r="O1413" s="193">
        <f t="shared" ref="O1413:O1476" si="313">SUM(L1413:M1413)-N1413</f>
        <v>7257</v>
      </c>
      <c r="P1413" s="194">
        <v>1656</v>
      </c>
      <c r="Q1413" s="194">
        <v>366.5</v>
      </c>
      <c r="R1413" s="194">
        <v>0</v>
      </c>
      <c r="S1413" s="193">
        <f t="shared" ref="S1413:S1476" si="314">SUM(P1413:Q1413)-R1413</f>
        <v>2022.5</v>
      </c>
      <c r="T1413" s="193">
        <f t="shared" ref="T1413:T1476" si="315">IF(OR(B1413=1,B1413=2),G1413/30,IF(OR(B1413=3,B1413=5),G1413/24,IF(B1413=4,G1413/18,0)))</f>
        <v>616.60416666666663</v>
      </c>
      <c r="U1413" s="193">
        <f ca="1">OFFSET('Expenditure Study'!$B$7,'Operations Support'!$C1413,'Operations Support'!$B1413)*$G1413</f>
        <v>103589.5</v>
      </c>
      <c r="V1413" s="199">
        <f ca="1">U1413*'Expenditure Study'!$B$31</f>
        <v>6120397.1574816005</v>
      </c>
      <c r="W1413" s="199">
        <f ca="1">IF(A1413=10298,1.51,1)*IF($B1413&lt;3,$D1413*'Expenditure Study'!$B$32*OFFSET('Expenditure Study'!$B$7,'Operations Support'!$C1413,'Operations Support'!$B1413),0)</f>
        <v>0</v>
      </c>
      <c r="X1413" s="200">
        <f ca="1">W1413*'Expenditure Study'!$B$31</f>
        <v>0</v>
      </c>
      <c r="Y1413" s="199">
        <f ca="1">U1413*'Expenditure Study'!$B$31</f>
        <v>6120397.1574816005</v>
      </c>
      <c r="Z1413" s="200">
        <f ca="1">W1413*'Expenditure Study'!$B$31</f>
        <v>0</v>
      </c>
      <c r="AA1413" s="195">
        <f t="shared" ref="AA1413:AA1476" ca="1" si="316">V1413+X1413</f>
        <v>6120397.1574816005</v>
      </c>
      <c r="AB1413" s="195">
        <f t="shared" ref="AB1413:AB1476" ca="1" si="317">Y1413+Z1413</f>
        <v>6120397.1574816005</v>
      </c>
      <c r="AD1413" s="196">
        <f>IFERROR($G1413/SUMIF($A:$A,$A1413,$G:$G)*SUMIF(Summary!$A$166:$A$242,$A1413,Summary!$P$166:$P$242),0)</f>
        <v>497822.84031393065</v>
      </c>
      <c r="AE1413" s="197">
        <f t="shared" ca="1" si="304"/>
        <v>5622574.3171676695</v>
      </c>
      <c r="AF1413" s="196">
        <f>IFERROR(G1413/SUMIF(A:A,A1413,G:G)*SUMIF(Summary!$A$166:$A$242,'Operations Support'!A1413,Summary!$Q$166:$Q$242),0)</f>
        <v>499865.15478339349</v>
      </c>
      <c r="AG1413" s="196">
        <f t="shared" ca="1" si="305"/>
        <v>5620532.0026982073</v>
      </c>
      <c r="AI1413" s="196">
        <f>IFERROR($G1413/SUMIF($A:$A,$A1413,$G:$G)*SUMIF(Summary!$A$247:$A$283,$A1413,Summary!$P$247:$P$283),0)</f>
        <v>90790.463042760079</v>
      </c>
      <c r="AJ1413" s="196">
        <f>IFERROR($G1413/SUMIF($A:$A,$A1413,$G:$G)*(SUMIF(Summary!$A$247:$A$283,$A1413,Summary!$L$247:$L$283)+SUMIF(Summary!$A$297:$A$333,$A1413,Summary!$L$297:$L$333))-AI1413,0)</f>
        <v>330232.18181496538</v>
      </c>
      <c r="AK1413" s="196">
        <f>IFERROR($G1413/SUMIF($A:$A,$A1413,$G:$G)*SUMIF(Summary!$A$247:$A$283,$A1413,Summary!$Q$247:$Q$283),0)</f>
        <v>91162.93023660063</v>
      </c>
      <c r="AL1413" s="196">
        <f>IFERROR($G1413/SUMIF($A:$A,$A1413,$G:$G)*(SUMIF(Summary!$A$247:$A$283,$A1413,Summary!$L$247:$L$283)+SUMIF(Summary!$A$297:$A$333,$A1413,Summary!$L$297:$L$333))-AK1413,0)</f>
        <v>329859.71462112485</v>
      </c>
      <c r="AM1413" s="198"/>
      <c r="AN1413" s="196">
        <f t="shared" ca="1" si="306"/>
        <v>5952806.4989826353</v>
      </c>
      <c r="AO1413" s="196">
        <f t="shared" ca="1" si="307"/>
        <v>5950391.7173193321</v>
      </c>
    </row>
    <row r="1414" spans="1:41">
      <c r="A1414" s="189">
        <v>3632</v>
      </c>
      <c r="B1414" s="190">
        <v>3</v>
      </c>
      <c r="C1414" s="191" t="s">
        <v>222</v>
      </c>
      <c r="D1414" s="192">
        <f t="shared" si="308"/>
        <v>287</v>
      </c>
      <c r="E1414" s="192">
        <f t="shared" si="309"/>
        <v>348</v>
      </c>
      <c r="F1414" s="192">
        <f t="shared" si="310"/>
        <v>0</v>
      </c>
      <c r="G1414" s="193">
        <f t="shared" si="311"/>
        <v>635</v>
      </c>
      <c r="H1414" s="194">
        <v>101</v>
      </c>
      <c r="I1414" s="194">
        <v>155</v>
      </c>
      <c r="J1414" s="194">
        <v>0</v>
      </c>
      <c r="K1414" s="193">
        <f t="shared" si="312"/>
        <v>256</v>
      </c>
      <c r="L1414" s="194">
        <v>179</v>
      </c>
      <c r="M1414" s="194">
        <v>100</v>
      </c>
      <c r="N1414" s="194">
        <v>0</v>
      </c>
      <c r="O1414" s="193">
        <f t="shared" si="313"/>
        <v>279</v>
      </c>
      <c r="P1414" s="194">
        <v>7</v>
      </c>
      <c r="Q1414" s="194">
        <v>93</v>
      </c>
      <c r="R1414" s="194">
        <v>0</v>
      </c>
      <c r="S1414" s="193">
        <f t="shared" si="314"/>
        <v>100</v>
      </c>
      <c r="T1414" s="193">
        <f t="shared" si="315"/>
        <v>26.458333333333332</v>
      </c>
      <c r="U1414" s="193">
        <f ca="1">OFFSET('Expenditure Study'!$B$7,'Operations Support'!$C1414,'Operations Support'!$B1414)*$G1414</f>
        <v>4768.8499999999995</v>
      </c>
      <c r="V1414" s="199">
        <f ca="1">U1414*'Expenditure Study'!$B$31</f>
        <v>281758.82675807999</v>
      </c>
      <c r="W1414" s="199">
        <f ca="1">IF(A1414=10298,1.51,1)*IF($B1414&lt;3,$D1414*'Expenditure Study'!$B$32*OFFSET('Expenditure Study'!$B$7,'Operations Support'!$C1414,'Operations Support'!$B1414),0)</f>
        <v>0</v>
      </c>
      <c r="X1414" s="200">
        <f ca="1">W1414*'Expenditure Study'!$B$31</f>
        <v>0</v>
      </c>
      <c r="Y1414" s="199">
        <f ca="1">U1414*'Expenditure Study'!$B$31</f>
        <v>281758.82675807999</v>
      </c>
      <c r="Z1414" s="200">
        <f ca="1">W1414*'Expenditure Study'!$B$31</f>
        <v>0</v>
      </c>
      <c r="AA1414" s="195">
        <f t="shared" ca="1" si="316"/>
        <v>281758.82675807999</v>
      </c>
      <c r="AB1414" s="195">
        <f t="shared" ca="1" si="317"/>
        <v>281758.82675807999</v>
      </c>
      <c r="AD1414" s="196">
        <f>IFERROR($G1414/SUMIF($A:$A,$A1414,$G:$G)*SUMIF(Summary!$A$166:$A$242,$A1414,Summary!$P$166:$P$242),0)</f>
        <v>21361.455796151364</v>
      </c>
      <c r="AE1414" s="197">
        <f t="shared" ref="AE1414:AE1477" ca="1" si="318">V1414+X1414-AD1414</f>
        <v>260397.37096192862</v>
      </c>
      <c r="AF1414" s="196">
        <f>IFERROR(G1414/SUMIF(A:A,A1414,G:G)*SUMIF(Summary!$A$166:$A$242,'Operations Support'!A1414,Summary!$Q$166:$Q$242),0)</f>
        <v>21449.091008376177</v>
      </c>
      <c r="AG1414" s="196">
        <f t="shared" ref="AG1414:AG1477" ca="1" si="319">Y1414+Z1414-AF1414</f>
        <v>260309.7357497038</v>
      </c>
      <c r="AI1414" s="196">
        <f>IFERROR($G1414/SUMIF($A:$A,$A1414,$G:$G)*SUMIF(Summary!$A$247:$A$283,$A1414,Summary!$P$247:$P$283),0)</f>
        <v>3895.7964680307227</v>
      </c>
      <c r="AJ1414" s="196">
        <f>IFERROR($G1414/SUMIF($A:$A,$A1414,$G:$G)*(SUMIF(Summary!$A$247:$A$283,$A1414,Summary!$L$247:$L$283)+SUMIF(Summary!$A$297:$A$333,$A1414,Summary!$L$297:$L$333))-AI1414,0)</f>
        <v>14170.181805757544</v>
      </c>
      <c r="AK1414" s="196">
        <f>IFERROR($G1414/SUMIF($A:$A,$A1414,$G:$G)*SUMIF(Summary!$A$247:$A$283,$A1414,Summary!$Q$247:$Q$283),0)</f>
        <v>3911.7789438281857</v>
      </c>
      <c r="AL1414" s="196">
        <f>IFERROR($G1414/SUMIF($A:$A,$A1414,$G:$G)*(SUMIF(Summary!$A$247:$A$283,$A1414,Summary!$L$247:$L$283)+SUMIF(Summary!$A$297:$A$333,$A1414,Summary!$L$297:$L$333))-AK1414,0)</f>
        <v>14154.199329960082</v>
      </c>
      <c r="AM1414" s="198"/>
      <c r="AN1414" s="196">
        <f t="shared" ref="AN1414:AN1477" ca="1" si="320">AE1414+AJ1414</f>
        <v>274567.5527676862</v>
      </c>
      <c r="AO1414" s="196">
        <f t="shared" ref="AO1414:AO1477" ca="1" si="321">AG1414+AL1414</f>
        <v>274463.93507966388</v>
      </c>
    </row>
    <row r="1415" spans="1:41">
      <c r="A1415" s="189">
        <v>3632</v>
      </c>
      <c r="B1415" s="190">
        <v>3</v>
      </c>
      <c r="C1415" s="191" t="s">
        <v>223</v>
      </c>
      <c r="D1415" s="192">
        <f t="shared" si="308"/>
        <v>4432.92</v>
      </c>
      <c r="E1415" s="192">
        <f t="shared" si="309"/>
        <v>7487.08</v>
      </c>
      <c r="F1415" s="192">
        <f t="shared" si="310"/>
        <v>0</v>
      </c>
      <c r="G1415" s="193">
        <f t="shared" si="311"/>
        <v>11920</v>
      </c>
      <c r="H1415" s="194">
        <v>1687</v>
      </c>
      <c r="I1415" s="194">
        <v>2503</v>
      </c>
      <c r="J1415" s="194">
        <v>0</v>
      </c>
      <c r="K1415" s="193">
        <f t="shared" si="312"/>
        <v>4190</v>
      </c>
      <c r="L1415" s="194">
        <v>1671</v>
      </c>
      <c r="M1415" s="194">
        <v>2332</v>
      </c>
      <c r="N1415" s="194">
        <v>0</v>
      </c>
      <c r="O1415" s="193">
        <f t="shared" si="313"/>
        <v>4003</v>
      </c>
      <c r="P1415" s="194">
        <v>1074.92</v>
      </c>
      <c r="Q1415" s="194">
        <v>2652.08</v>
      </c>
      <c r="R1415" s="194">
        <v>0</v>
      </c>
      <c r="S1415" s="193">
        <f t="shared" si="314"/>
        <v>3727</v>
      </c>
      <c r="T1415" s="193">
        <f t="shared" si="315"/>
        <v>496.66666666666669</v>
      </c>
      <c r="U1415" s="193">
        <f ca="1">OFFSET('Expenditure Study'!$B$7,'Operations Support'!$C1415,'Operations Support'!$B1415)*$G1415</f>
        <v>26700.800000000003</v>
      </c>
      <c r="V1415" s="199">
        <f ca="1">U1415*'Expenditure Study'!$B$31</f>
        <v>1577568.1939046402</v>
      </c>
      <c r="W1415" s="199">
        <f ca="1">IF(A1415=10298,1.51,1)*IF($B1415&lt;3,$D1415*'Expenditure Study'!$B$32*OFFSET('Expenditure Study'!$B$7,'Operations Support'!$C1415,'Operations Support'!$B1415),0)</f>
        <v>0</v>
      </c>
      <c r="X1415" s="200">
        <f ca="1">W1415*'Expenditure Study'!$B$31</f>
        <v>0</v>
      </c>
      <c r="Y1415" s="199">
        <f ca="1">U1415*'Expenditure Study'!$B$31</f>
        <v>1577568.1939046402</v>
      </c>
      <c r="Z1415" s="200">
        <f ca="1">W1415*'Expenditure Study'!$B$31</f>
        <v>0</v>
      </c>
      <c r="AA1415" s="195">
        <f t="shared" ca="1" si="316"/>
        <v>1577568.1939046402</v>
      </c>
      <c r="AB1415" s="195">
        <f t="shared" ca="1" si="317"/>
        <v>1577568.1939046402</v>
      </c>
      <c r="AD1415" s="196">
        <f>IFERROR($G1415/SUMIF($A:$A,$A1415,$G:$G)*SUMIF(Summary!$A$166:$A$242,$A1415,Summary!$P$166:$P$242),0)</f>
        <v>400989.84738602251</v>
      </c>
      <c r="AE1415" s="197">
        <f t="shared" ca="1" si="318"/>
        <v>1176578.3465186176</v>
      </c>
      <c r="AF1415" s="196">
        <f>IFERROR(G1415/SUMIF(A:A,A1415,G:G)*SUMIF(Summary!$A$166:$A$242,'Operations Support'!A1415,Summary!$Q$166:$Q$242),0)</f>
        <v>402634.90522810089</v>
      </c>
      <c r="AG1415" s="196">
        <f t="shared" ca="1" si="319"/>
        <v>1174933.2886765392</v>
      </c>
      <c r="AI1415" s="196">
        <f>IFERROR($G1415/SUMIF($A:$A,$A1415,$G:$G)*SUMIF(Summary!$A$247:$A$283,$A1415,Summary!$P$247:$P$283),0)</f>
        <v>73130.541573112161</v>
      </c>
      <c r="AJ1415" s="196">
        <f>IFERROR($G1415/SUMIF($A:$A,$A1415,$G:$G)*(SUMIF(Summary!$A$247:$A$283,$A1415,Summary!$L$247:$L$283)+SUMIF(Summary!$A$297:$A$333,$A1415,Summary!$L$297:$L$333))-AI1415,0)</f>
        <v>265997.74350335426</v>
      </c>
      <c r="AK1415" s="196">
        <f>IFERROR($G1415/SUMIF($A:$A,$A1415,$G:$G)*SUMIF(Summary!$A$247:$A$283,$A1415,Summary!$Q$247:$Q$283),0)</f>
        <v>73430.55907154642</v>
      </c>
      <c r="AL1415" s="196">
        <f>IFERROR($G1415/SUMIF($A:$A,$A1415,$G:$G)*(SUMIF(Summary!$A$247:$A$283,$A1415,Summary!$L$247:$L$283)+SUMIF(Summary!$A$297:$A$333,$A1415,Summary!$L$297:$L$333))-AK1415,0)</f>
        <v>265697.72600492003</v>
      </c>
      <c r="AM1415" s="198"/>
      <c r="AN1415" s="196">
        <f t="shared" ca="1" si="320"/>
        <v>1442576.0900219718</v>
      </c>
      <c r="AO1415" s="196">
        <f t="shared" ca="1" si="321"/>
        <v>1440631.0146814592</v>
      </c>
    </row>
    <row r="1416" spans="1:41">
      <c r="A1416" s="189">
        <v>3632</v>
      </c>
      <c r="B1416" s="190">
        <v>3</v>
      </c>
      <c r="C1416" s="191" t="s">
        <v>224</v>
      </c>
      <c r="D1416" s="192">
        <f t="shared" si="308"/>
        <v>4255.6000000000004</v>
      </c>
      <c r="E1416" s="192">
        <f t="shared" si="309"/>
        <v>1495.4</v>
      </c>
      <c r="F1416" s="192">
        <f t="shared" si="310"/>
        <v>0</v>
      </c>
      <c r="G1416" s="193">
        <f t="shared" si="311"/>
        <v>5751</v>
      </c>
      <c r="H1416" s="194">
        <v>1653.6</v>
      </c>
      <c r="I1416" s="194">
        <v>559.4</v>
      </c>
      <c r="J1416" s="194">
        <v>0</v>
      </c>
      <c r="K1416" s="193">
        <f t="shared" si="312"/>
        <v>2213</v>
      </c>
      <c r="L1416" s="194">
        <v>1811.5</v>
      </c>
      <c r="M1416" s="194">
        <v>627.5</v>
      </c>
      <c r="N1416" s="194">
        <v>0</v>
      </c>
      <c r="O1416" s="193">
        <f t="shared" si="313"/>
        <v>2439</v>
      </c>
      <c r="P1416" s="194">
        <v>790.5</v>
      </c>
      <c r="Q1416" s="194">
        <v>308.5</v>
      </c>
      <c r="R1416" s="194">
        <v>0</v>
      </c>
      <c r="S1416" s="193">
        <f t="shared" si="314"/>
        <v>1099</v>
      </c>
      <c r="T1416" s="193">
        <f t="shared" si="315"/>
        <v>239.625</v>
      </c>
      <c r="U1416" s="193">
        <f ca="1">OFFSET('Expenditure Study'!$B$7,'Operations Support'!$C1416,'Operations Support'!$B1416)*$G1416</f>
        <v>52736.67</v>
      </c>
      <c r="V1416" s="199">
        <f ca="1">U1416*'Expenditure Study'!$B$31</f>
        <v>3115850.2083999361</v>
      </c>
      <c r="W1416" s="199">
        <f ca="1">IF(A1416=10298,1.51,1)*IF($B1416&lt;3,$D1416*'Expenditure Study'!$B$32*OFFSET('Expenditure Study'!$B$7,'Operations Support'!$C1416,'Operations Support'!$B1416),0)</f>
        <v>0</v>
      </c>
      <c r="X1416" s="200">
        <f ca="1">W1416*'Expenditure Study'!$B$31</f>
        <v>0</v>
      </c>
      <c r="Y1416" s="199">
        <f ca="1">U1416*'Expenditure Study'!$B$31</f>
        <v>3115850.2083999361</v>
      </c>
      <c r="Z1416" s="200">
        <f ca="1">W1416*'Expenditure Study'!$B$31</f>
        <v>0</v>
      </c>
      <c r="AA1416" s="195">
        <f t="shared" ca="1" si="316"/>
        <v>3115850.2083999361</v>
      </c>
      <c r="AB1416" s="195">
        <f t="shared" ca="1" si="317"/>
        <v>3115850.2083999361</v>
      </c>
      <c r="AD1416" s="196">
        <f>IFERROR($G1416/SUMIF($A:$A,$A1416,$G:$G)*SUMIF(Summary!$A$166:$A$242,$A1416,Summary!$P$166:$P$242),0)</f>
        <v>193464.14532860863</v>
      </c>
      <c r="AE1416" s="197">
        <f t="shared" ca="1" si="318"/>
        <v>2922386.0630713273</v>
      </c>
      <c r="AF1416" s="196">
        <f>IFERROR(G1416/SUMIF(A:A,A1416,G:G)*SUMIF(Summary!$A$166:$A$242,'Operations Support'!A1416,Summary!$Q$166:$Q$242),0)</f>
        <v>194257.83053412818</v>
      </c>
      <c r="AG1416" s="196">
        <f t="shared" ca="1" si="319"/>
        <v>2921592.3778658081</v>
      </c>
      <c r="AI1416" s="196">
        <f>IFERROR($G1416/SUMIF($A:$A,$A1416,$G:$G)*SUMIF(Summary!$A$247:$A$283,$A1416,Summary!$P$247:$P$283),0)</f>
        <v>35283.032264007379</v>
      </c>
      <c r="AJ1416" s="196">
        <f>IFERROR($G1416/SUMIF($A:$A,$A1416,$G:$G)*(SUMIF(Summary!$A$247:$A$283,$A1416,Summary!$L$247:$L$283)+SUMIF(Summary!$A$297:$A$333,$A1416,Summary!$L$297:$L$333))-AI1416,0)</f>
        <v>128334.98514159315</v>
      </c>
      <c r="AK1416" s="196">
        <f>IFERROR($G1416/SUMIF($A:$A,$A1416,$G:$G)*SUMIF(Summary!$A$247:$A$283,$A1416,Summary!$Q$247:$Q$283),0)</f>
        <v>35427.780639300625</v>
      </c>
      <c r="AL1416" s="196">
        <f>IFERROR($G1416/SUMIF($A:$A,$A1416,$G:$G)*(SUMIF(Summary!$A$247:$A$283,$A1416,Summary!$L$247:$L$283)+SUMIF(Summary!$A$297:$A$333,$A1416,Summary!$L$297:$L$333))-AK1416,0)</f>
        <v>128190.2367662999</v>
      </c>
      <c r="AM1416" s="198"/>
      <c r="AN1416" s="196">
        <f t="shared" ca="1" si="320"/>
        <v>3050721.0482129203</v>
      </c>
      <c r="AO1416" s="196">
        <f t="shared" ca="1" si="321"/>
        <v>3049782.6146321078</v>
      </c>
    </row>
    <row r="1417" spans="1:41">
      <c r="A1417" s="189">
        <v>3632</v>
      </c>
      <c r="B1417" s="190">
        <v>3</v>
      </c>
      <c r="C1417" s="191" t="s">
        <v>225</v>
      </c>
      <c r="D1417" s="192">
        <f t="shared" si="308"/>
        <v>36503.39</v>
      </c>
      <c r="E1417" s="192">
        <f t="shared" si="309"/>
        <v>13741.11000000001</v>
      </c>
      <c r="F1417" s="192">
        <f t="shared" si="310"/>
        <v>0</v>
      </c>
      <c r="G1417" s="193">
        <f t="shared" si="311"/>
        <v>50244.500000000007</v>
      </c>
      <c r="H1417" s="194">
        <v>15906.64</v>
      </c>
      <c r="I1417" s="194">
        <v>6254.36</v>
      </c>
      <c r="J1417" s="194">
        <v>0</v>
      </c>
      <c r="K1417" s="193">
        <f t="shared" si="312"/>
        <v>22161</v>
      </c>
      <c r="L1417" s="194">
        <v>18067.75</v>
      </c>
      <c r="M1417" s="194">
        <v>6326.75000000001</v>
      </c>
      <c r="N1417" s="194">
        <v>0</v>
      </c>
      <c r="O1417" s="193">
        <f t="shared" si="313"/>
        <v>24394.500000000011</v>
      </c>
      <c r="P1417" s="194">
        <v>2529</v>
      </c>
      <c r="Q1417" s="194">
        <v>1160</v>
      </c>
      <c r="R1417" s="194">
        <v>0</v>
      </c>
      <c r="S1417" s="193">
        <f t="shared" si="314"/>
        <v>3689</v>
      </c>
      <c r="T1417" s="193">
        <f t="shared" si="315"/>
        <v>2093.5208333333335</v>
      </c>
      <c r="U1417" s="193">
        <f ca="1">OFFSET('Expenditure Study'!$B$7,'Operations Support'!$C1417,'Operations Support'!$B1417)*$G1417</f>
        <v>347189.49500000005</v>
      </c>
      <c r="V1417" s="199">
        <f ca="1">U1417*'Expenditure Study'!$B$31</f>
        <v>20513059.704945698</v>
      </c>
      <c r="W1417" s="199">
        <f ca="1">IF(A1417=10298,1.51,1)*IF($B1417&lt;3,$D1417*'Expenditure Study'!$B$32*OFFSET('Expenditure Study'!$B$7,'Operations Support'!$C1417,'Operations Support'!$B1417),0)</f>
        <v>0</v>
      </c>
      <c r="X1417" s="200">
        <f ca="1">W1417*'Expenditure Study'!$B$31</f>
        <v>0</v>
      </c>
      <c r="Y1417" s="199">
        <f ca="1">U1417*'Expenditure Study'!$B$31</f>
        <v>20513059.704945698</v>
      </c>
      <c r="Z1417" s="200">
        <f ca="1">W1417*'Expenditure Study'!$B$31</f>
        <v>0</v>
      </c>
      <c r="AA1417" s="195">
        <f t="shared" ca="1" si="316"/>
        <v>20513059.704945698</v>
      </c>
      <c r="AB1417" s="195">
        <f t="shared" ca="1" si="317"/>
        <v>20513059.704945698</v>
      </c>
      <c r="AD1417" s="196">
        <f>IFERROR($G1417/SUMIF($A:$A,$A1417,$G:$G)*SUMIF(Summary!$A$166:$A$242,$A1417,Summary!$P$166:$P$242),0)</f>
        <v>1690229.3948814604</v>
      </c>
      <c r="AE1417" s="197">
        <f t="shared" ca="1" si="318"/>
        <v>18822830.310064238</v>
      </c>
      <c r="AF1417" s="196">
        <f>IFERROR(G1417/SUMIF(A:A,A1417,G:G)*SUMIF(Summary!$A$166:$A$242,'Operations Support'!A1417,Summary!$Q$166:$Q$242),0)</f>
        <v>1697163.548299775</v>
      </c>
      <c r="AG1417" s="196">
        <f t="shared" ca="1" si="319"/>
        <v>18815896.156645924</v>
      </c>
      <c r="AI1417" s="196">
        <f>IFERROR($G1417/SUMIF($A:$A,$A1417,$G:$G)*SUMIF(Summary!$A$247:$A$283,$A1417,Summary!$P$247:$P$283),0)</f>
        <v>308255.6624219995</v>
      </c>
      <c r="AJ1417" s="196">
        <f>IFERROR($G1417/SUMIF($A:$A,$A1417,$G:$G)*(SUMIF(Summary!$A$247:$A$283,$A1417,Summary!$L$247:$L$283)+SUMIF(Summary!$A$297:$A$333,$A1417,Summary!$L$297:$L$333))-AI1417,0)</f>
        <v>1121218.4247864331</v>
      </c>
      <c r="AK1417" s="196">
        <f>IFERROR($G1417/SUMIF($A:$A,$A1417,$G:$G)*SUMIF(Summary!$A$247:$A$283,$A1417,Summary!$Q$247:$Q$283),0)</f>
        <v>309520.27896563039</v>
      </c>
      <c r="AL1417" s="196">
        <f>IFERROR($G1417/SUMIF($A:$A,$A1417,$G:$G)*(SUMIF(Summary!$A$247:$A$283,$A1417,Summary!$L$247:$L$283)+SUMIF(Summary!$A$297:$A$333,$A1417,Summary!$L$297:$L$333))-AK1417,0)</f>
        <v>1119953.8082428023</v>
      </c>
      <c r="AM1417" s="198"/>
      <c r="AN1417" s="196">
        <f t="shared" ca="1" si="320"/>
        <v>19944048.734850671</v>
      </c>
      <c r="AO1417" s="196">
        <f t="shared" ca="1" si="321"/>
        <v>19935849.964888725</v>
      </c>
    </row>
    <row r="1418" spans="1:41">
      <c r="A1418" s="189">
        <v>3632</v>
      </c>
      <c r="B1418" s="190">
        <v>3</v>
      </c>
      <c r="C1418" s="191" t="s">
        <v>226</v>
      </c>
      <c r="D1418" s="192">
        <f t="shared" si="308"/>
        <v>0</v>
      </c>
      <c r="E1418" s="192">
        <f t="shared" si="309"/>
        <v>36</v>
      </c>
      <c r="F1418" s="192">
        <f t="shared" si="310"/>
        <v>0</v>
      </c>
      <c r="G1418" s="193">
        <f t="shared" si="311"/>
        <v>36</v>
      </c>
      <c r="H1418" s="194">
        <v>0</v>
      </c>
      <c r="I1418" s="194">
        <v>36</v>
      </c>
      <c r="J1418" s="194">
        <v>0</v>
      </c>
      <c r="K1418" s="193">
        <f t="shared" si="312"/>
        <v>36</v>
      </c>
      <c r="L1418" s="194">
        <v>0</v>
      </c>
      <c r="M1418" s="194">
        <v>0</v>
      </c>
      <c r="N1418" s="194">
        <v>0</v>
      </c>
      <c r="O1418" s="193">
        <f t="shared" si="313"/>
        <v>0</v>
      </c>
      <c r="P1418" s="194">
        <v>0</v>
      </c>
      <c r="Q1418" s="194">
        <v>0</v>
      </c>
      <c r="R1418" s="194">
        <v>0</v>
      </c>
      <c r="S1418" s="193">
        <f t="shared" si="314"/>
        <v>0</v>
      </c>
      <c r="T1418" s="193">
        <f t="shared" si="315"/>
        <v>1.5</v>
      </c>
      <c r="U1418" s="193">
        <f ca="1">OFFSET('Expenditure Study'!$B$7,'Operations Support'!$C1418,'Operations Support'!$B1418)*$G1418</f>
        <v>124.2</v>
      </c>
      <c r="V1418" s="199">
        <f ca="1">U1418*'Expenditure Study'!$B$31</f>
        <v>7338.1310553600006</v>
      </c>
      <c r="W1418" s="199">
        <f ca="1">IF(A1418=10298,1.51,1)*IF($B1418&lt;3,$D1418*'Expenditure Study'!$B$32*OFFSET('Expenditure Study'!$B$7,'Operations Support'!$C1418,'Operations Support'!$B1418),0)</f>
        <v>0</v>
      </c>
      <c r="X1418" s="200">
        <f ca="1">W1418*'Expenditure Study'!$B$31</f>
        <v>0</v>
      </c>
      <c r="Y1418" s="199">
        <f ca="1">U1418*'Expenditure Study'!$B$31</f>
        <v>7338.1310553600006</v>
      </c>
      <c r="Z1418" s="200">
        <f ca="1">W1418*'Expenditure Study'!$B$31</f>
        <v>0</v>
      </c>
      <c r="AA1418" s="195">
        <f t="shared" ca="1" si="316"/>
        <v>7338.1310553600006</v>
      </c>
      <c r="AB1418" s="195">
        <f t="shared" ca="1" si="317"/>
        <v>7338.1310553600006</v>
      </c>
      <c r="AD1418" s="196">
        <f>IFERROR($G1418/SUMIF($A:$A,$A1418,$G:$G)*SUMIF(Summary!$A$166:$A$242,$A1418,Summary!$P$166:$P$242),0)</f>
        <v>1211.0431632463765</v>
      </c>
      <c r="AE1418" s="197">
        <f t="shared" ca="1" si="318"/>
        <v>6127.0878921136245</v>
      </c>
      <c r="AF1418" s="196">
        <f>IFERROR(G1418/SUMIF(A:A,A1418,G:G)*SUMIF(Summary!$A$166:$A$242,'Operations Support'!A1418,Summary!$Q$166:$Q$242),0)</f>
        <v>1216.0114587425865</v>
      </c>
      <c r="AG1418" s="196">
        <f t="shared" ca="1" si="319"/>
        <v>6122.1195966174146</v>
      </c>
      <c r="AI1418" s="196">
        <f>IFERROR($G1418/SUMIF($A:$A,$A1418,$G:$G)*SUMIF(Summary!$A$247:$A$283,$A1418,Summary!$P$247:$P$283),0)</f>
        <v>220.86405173087562</v>
      </c>
      <c r="AJ1418" s="196">
        <f>IFERROR($G1418/SUMIF($A:$A,$A1418,$G:$G)*(SUMIF(Summary!$A$247:$A$283,$A1418,Summary!$L$247:$L$283)+SUMIF(Summary!$A$297:$A$333,$A1418,Summary!$L$297:$L$333))-AI1418,0)</f>
        <v>803.34888977523087</v>
      </c>
      <c r="AK1418" s="196">
        <f>IFERROR($G1418/SUMIF($A:$A,$A1418,$G:$G)*SUMIF(Summary!$A$247:$A$283,$A1418,Summary!$Q$247:$Q$283),0)</f>
        <v>221.77014484695223</v>
      </c>
      <c r="AL1418" s="196">
        <f>IFERROR($G1418/SUMIF($A:$A,$A1418,$G:$G)*(SUMIF(Summary!$A$247:$A$283,$A1418,Summary!$L$247:$L$283)+SUMIF(Summary!$A$297:$A$333,$A1418,Summary!$L$297:$L$333))-AK1418,0)</f>
        <v>802.44279665915428</v>
      </c>
      <c r="AM1418" s="198"/>
      <c r="AN1418" s="196">
        <f t="shared" ca="1" si="320"/>
        <v>6930.436781888855</v>
      </c>
      <c r="AO1418" s="196">
        <f t="shared" ca="1" si="321"/>
        <v>6924.5623932765684</v>
      </c>
    </row>
    <row r="1419" spans="1:41">
      <c r="A1419" s="189">
        <v>3632</v>
      </c>
      <c r="B1419" s="190">
        <v>3</v>
      </c>
      <c r="C1419" s="191" t="s">
        <v>227</v>
      </c>
      <c r="D1419" s="192">
        <f t="shared" si="308"/>
        <v>0</v>
      </c>
      <c r="E1419" s="192">
        <f t="shared" si="309"/>
        <v>0</v>
      </c>
      <c r="F1419" s="192">
        <f t="shared" si="310"/>
        <v>0</v>
      </c>
      <c r="G1419" s="193">
        <f t="shared" si="311"/>
        <v>0</v>
      </c>
      <c r="H1419" s="194">
        <v>0</v>
      </c>
      <c r="I1419" s="194">
        <v>0</v>
      </c>
      <c r="J1419" s="194">
        <v>0</v>
      </c>
      <c r="K1419" s="193">
        <f t="shared" si="312"/>
        <v>0</v>
      </c>
      <c r="L1419" s="194">
        <v>0</v>
      </c>
      <c r="M1419" s="194">
        <v>0</v>
      </c>
      <c r="N1419" s="194">
        <v>0</v>
      </c>
      <c r="O1419" s="193">
        <f t="shared" si="313"/>
        <v>0</v>
      </c>
      <c r="P1419" s="194">
        <v>0</v>
      </c>
      <c r="Q1419" s="194">
        <v>0</v>
      </c>
      <c r="R1419" s="194">
        <v>0</v>
      </c>
      <c r="S1419" s="193">
        <f t="shared" si="314"/>
        <v>0</v>
      </c>
      <c r="T1419" s="193">
        <f t="shared" si="315"/>
        <v>0</v>
      </c>
      <c r="U1419" s="193">
        <f ca="1">OFFSET('Expenditure Study'!$B$7,'Operations Support'!$C1419,'Operations Support'!$B1419)*$G1419</f>
        <v>0</v>
      </c>
      <c r="V1419" s="199">
        <f ca="1">U1419*'Expenditure Study'!$B$31</f>
        <v>0</v>
      </c>
      <c r="W1419" s="199">
        <f ca="1">IF(A1419=10298,1.51,1)*IF($B1419&lt;3,$D1419*'Expenditure Study'!$B$32*OFFSET('Expenditure Study'!$B$7,'Operations Support'!$C1419,'Operations Support'!$B1419),0)</f>
        <v>0</v>
      </c>
      <c r="X1419" s="200">
        <f ca="1">W1419*'Expenditure Study'!$B$31</f>
        <v>0</v>
      </c>
      <c r="Y1419" s="199">
        <f ca="1">U1419*'Expenditure Study'!$B$31</f>
        <v>0</v>
      </c>
      <c r="Z1419" s="200">
        <f ca="1">W1419*'Expenditure Study'!$B$31</f>
        <v>0</v>
      </c>
      <c r="AA1419" s="195">
        <f t="shared" ca="1" si="316"/>
        <v>0</v>
      </c>
      <c r="AB1419" s="195">
        <f t="shared" ca="1" si="317"/>
        <v>0</v>
      </c>
      <c r="AD1419" s="196">
        <f>IFERROR($G1419/SUMIF($A:$A,$A1419,$G:$G)*SUMIF(Summary!$A$166:$A$242,$A1419,Summary!$P$166:$P$242),0)</f>
        <v>0</v>
      </c>
      <c r="AE1419" s="197">
        <f t="shared" ca="1" si="318"/>
        <v>0</v>
      </c>
      <c r="AF1419" s="196">
        <f>IFERROR(G1419/SUMIF(A:A,A1419,G:G)*SUMIF(Summary!$A$166:$A$242,'Operations Support'!A1419,Summary!$Q$166:$Q$242),0)</f>
        <v>0</v>
      </c>
      <c r="AG1419" s="196">
        <f t="shared" ca="1" si="319"/>
        <v>0</v>
      </c>
      <c r="AI1419" s="196">
        <f>IFERROR($G1419/SUMIF($A:$A,$A1419,$G:$G)*SUMIF(Summary!$A$247:$A$283,$A1419,Summary!$P$247:$P$283),0)</f>
        <v>0</v>
      </c>
      <c r="AJ1419" s="196">
        <f>IFERROR($G1419/SUMIF($A:$A,$A1419,$G:$G)*(SUMIF(Summary!$A$247:$A$283,$A1419,Summary!$L$247:$L$283)+SUMIF(Summary!$A$297:$A$333,$A1419,Summary!$L$297:$L$333))-AI1419,0)</f>
        <v>0</v>
      </c>
      <c r="AK1419" s="196">
        <f>IFERROR($G1419/SUMIF($A:$A,$A1419,$G:$G)*SUMIF(Summary!$A$247:$A$283,$A1419,Summary!$Q$247:$Q$283),0)</f>
        <v>0</v>
      </c>
      <c r="AL1419" s="196">
        <f>IFERROR($G1419/SUMIF($A:$A,$A1419,$G:$G)*(SUMIF(Summary!$A$247:$A$283,$A1419,Summary!$L$247:$L$283)+SUMIF(Summary!$A$297:$A$333,$A1419,Summary!$L$297:$L$333))-AK1419,0)</f>
        <v>0</v>
      </c>
      <c r="AM1419" s="198"/>
      <c r="AN1419" s="196">
        <f t="shared" ca="1" si="320"/>
        <v>0</v>
      </c>
      <c r="AO1419" s="196">
        <f t="shared" ca="1" si="321"/>
        <v>0</v>
      </c>
    </row>
    <row r="1420" spans="1:41">
      <c r="A1420" s="189">
        <v>3632</v>
      </c>
      <c r="B1420" s="190">
        <v>3</v>
      </c>
      <c r="C1420" s="191" t="s">
        <v>228</v>
      </c>
      <c r="D1420" s="192">
        <f t="shared" si="308"/>
        <v>0</v>
      </c>
      <c r="E1420" s="192">
        <f t="shared" si="309"/>
        <v>0</v>
      </c>
      <c r="F1420" s="192">
        <f t="shared" si="310"/>
        <v>0</v>
      </c>
      <c r="G1420" s="193">
        <f t="shared" si="311"/>
        <v>0</v>
      </c>
      <c r="H1420" s="194">
        <v>0</v>
      </c>
      <c r="I1420" s="194">
        <v>0</v>
      </c>
      <c r="J1420" s="194">
        <v>0</v>
      </c>
      <c r="K1420" s="193">
        <f t="shared" si="312"/>
        <v>0</v>
      </c>
      <c r="L1420" s="194">
        <v>0</v>
      </c>
      <c r="M1420" s="194">
        <v>0</v>
      </c>
      <c r="N1420" s="194">
        <v>0</v>
      </c>
      <c r="O1420" s="193">
        <f t="shared" si="313"/>
        <v>0</v>
      </c>
      <c r="P1420" s="194">
        <v>0</v>
      </c>
      <c r="Q1420" s="194">
        <v>0</v>
      </c>
      <c r="R1420" s="194">
        <v>0</v>
      </c>
      <c r="S1420" s="193">
        <f t="shared" si="314"/>
        <v>0</v>
      </c>
      <c r="T1420" s="193">
        <f t="shared" si="315"/>
        <v>0</v>
      </c>
      <c r="U1420" s="193">
        <f ca="1">OFFSET('Expenditure Study'!$B$7,'Operations Support'!$C1420,'Operations Support'!$B1420)*$G1420</f>
        <v>0</v>
      </c>
      <c r="V1420" s="199">
        <f ca="1">U1420*'Expenditure Study'!$B$31</f>
        <v>0</v>
      </c>
      <c r="W1420" s="199">
        <f ca="1">IF(A1420=10298,1.51,1)*IF($B1420&lt;3,$D1420*'Expenditure Study'!$B$32*OFFSET('Expenditure Study'!$B$7,'Operations Support'!$C1420,'Operations Support'!$B1420),0)</f>
        <v>0</v>
      </c>
      <c r="X1420" s="200">
        <f ca="1">W1420*'Expenditure Study'!$B$31</f>
        <v>0</v>
      </c>
      <c r="Y1420" s="199">
        <f ca="1">U1420*'Expenditure Study'!$B$31</f>
        <v>0</v>
      </c>
      <c r="Z1420" s="200">
        <f ca="1">W1420*'Expenditure Study'!$B$31</f>
        <v>0</v>
      </c>
      <c r="AA1420" s="195">
        <f t="shared" ca="1" si="316"/>
        <v>0</v>
      </c>
      <c r="AB1420" s="195">
        <f t="shared" ca="1" si="317"/>
        <v>0</v>
      </c>
      <c r="AD1420" s="196">
        <f>IFERROR($G1420/SUMIF($A:$A,$A1420,$G:$G)*SUMIF(Summary!$A$166:$A$242,$A1420,Summary!$P$166:$P$242),0)</f>
        <v>0</v>
      </c>
      <c r="AE1420" s="197">
        <f t="shared" ca="1" si="318"/>
        <v>0</v>
      </c>
      <c r="AF1420" s="196">
        <f>IFERROR(G1420/SUMIF(A:A,A1420,G:G)*SUMIF(Summary!$A$166:$A$242,'Operations Support'!A1420,Summary!$Q$166:$Q$242),0)</f>
        <v>0</v>
      </c>
      <c r="AG1420" s="196">
        <f t="shared" ca="1" si="319"/>
        <v>0</v>
      </c>
      <c r="AI1420" s="196">
        <f>IFERROR($G1420/SUMIF($A:$A,$A1420,$G:$G)*SUMIF(Summary!$A$247:$A$283,$A1420,Summary!$P$247:$P$283),0)</f>
        <v>0</v>
      </c>
      <c r="AJ1420" s="196">
        <f>IFERROR($G1420/SUMIF($A:$A,$A1420,$G:$G)*(SUMIF(Summary!$A$247:$A$283,$A1420,Summary!$L$247:$L$283)+SUMIF(Summary!$A$297:$A$333,$A1420,Summary!$L$297:$L$333))-AI1420,0)</f>
        <v>0</v>
      </c>
      <c r="AK1420" s="196">
        <f>IFERROR($G1420/SUMIF($A:$A,$A1420,$G:$G)*SUMIF(Summary!$A$247:$A$283,$A1420,Summary!$Q$247:$Q$283),0)</f>
        <v>0</v>
      </c>
      <c r="AL1420" s="196">
        <f>IFERROR($G1420/SUMIF($A:$A,$A1420,$G:$G)*(SUMIF(Summary!$A$247:$A$283,$A1420,Summary!$L$247:$L$283)+SUMIF(Summary!$A$297:$A$333,$A1420,Summary!$L$297:$L$333))-AK1420,0)</f>
        <v>0</v>
      </c>
      <c r="AM1420" s="198"/>
      <c r="AN1420" s="196">
        <f t="shared" ca="1" si="320"/>
        <v>0</v>
      </c>
      <c r="AO1420" s="196">
        <f t="shared" ca="1" si="321"/>
        <v>0</v>
      </c>
    </row>
    <row r="1421" spans="1:41">
      <c r="A1421" s="189">
        <v>3632</v>
      </c>
      <c r="B1421" s="190">
        <v>3</v>
      </c>
      <c r="C1421" s="191" t="s">
        <v>229</v>
      </c>
      <c r="D1421" s="192">
        <f t="shared" si="308"/>
        <v>0</v>
      </c>
      <c r="E1421" s="192">
        <f t="shared" si="309"/>
        <v>0</v>
      </c>
      <c r="F1421" s="192">
        <f t="shared" si="310"/>
        <v>0</v>
      </c>
      <c r="G1421" s="193">
        <f t="shared" si="311"/>
        <v>0</v>
      </c>
      <c r="H1421" s="194">
        <v>0</v>
      </c>
      <c r="I1421" s="194">
        <v>0</v>
      </c>
      <c r="J1421" s="194">
        <v>0</v>
      </c>
      <c r="K1421" s="193">
        <f t="shared" si="312"/>
        <v>0</v>
      </c>
      <c r="L1421" s="194">
        <v>0</v>
      </c>
      <c r="M1421" s="194">
        <v>0</v>
      </c>
      <c r="N1421" s="194">
        <v>0</v>
      </c>
      <c r="O1421" s="193">
        <f t="shared" si="313"/>
        <v>0</v>
      </c>
      <c r="P1421" s="194">
        <v>0</v>
      </c>
      <c r="Q1421" s="194">
        <v>0</v>
      </c>
      <c r="R1421" s="194">
        <v>0</v>
      </c>
      <c r="S1421" s="193">
        <f t="shared" si="314"/>
        <v>0</v>
      </c>
      <c r="T1421" s="193">
        <f t="shared" si="315"/>
        <v>0</v>
      </c>
      <c r="U1421" s="193">
        <f ca="1">OFFSET('Expenditure Study'!$B$7,'Operations Support'!$C1421,'Operations Support'!$B1421)*$G1421</f>
        <v>0</v>
      </c>
      <c r="V1421" s="199">
        <f ca="1">U1421*'Expenditure Study'!$B$31</f>
        <v>0</v>
      </c>
      <c r="W1421" s="199">
        <f ca="1">IF(A1421=10298,1.51,1)*IF($B1421&lt;3,$D1421*'Expenditure Study'!$B$32*OFFSET('Expenditure Study'!$B$7,'Operations Support'!$C1421,'Operations Support'!$B1421),0)</f>
        <v>0</v>
      </c>
      <c r="X1421" s="200">
        <f ca="1">W1421*'Expenditure Study'!$B$31</f>
        <v>0</v>
      </c>
      <c r="Y1421" s="199">
        <f ca="1">U1421*'Expenditure Study'!$B$31</f>
        <v>0</v>
      </c>
      <c r="Z1421" s="200">
        <f ca="1">W1421*'Expenditure Study'!$B$31</f>
        <v>0</v>
      </c>
      <c r="AA1421" s="195">
        <f t="shared" ca="1" si="316"/>
        <v>0</v>
      </c>
      <c r="AB1421" s="195">
        <f t="shared" ca="1" si="317"/>
        <v>0</v>
      </c>
      <c r="AD1421" s="196">
        <f>IFERROR($G1421/SUMIF($A:$A,$A1421,$G:$G)*SUMIF(Summary!$A$166:$A$242,$A1421,Summary!$P$166:$P$242),0)</f>
        <v>0</v>
      </c>
      <c r="AE1421" s="197">
        <f t="shared" ca="1" si="318"/>
        <v>0</v>
      </c>
      <c r="AF1421" s="196">
        <f>IFERROR(G1421/SUMIF(A:A,A1421,G:G)*SUMIF(Summary!$A$166:$A$242,'Operations Support'!A1421,Summary!$Q$166:$Q$242),0)</f>
        <v>0</v>
      </c>
      <c r="AG1421" s="196">
        <f t="shared" ca="1" si="319"/>
        <v>0</v>
      </c>
      <c r="AI1421" s="196">
        <f>IFERROR($G1421/SUMIF($A:$A,$A1421,$G:$G)*SUMIF(Summary!$A$247:$A$283,$A1421,Summary!$P$247:$P$283),0)</f>
        <v>0</v>
      </c>
      <c r="AJ1421" s="196">
        <f>IFERROR($G1421/SUMIF($A:$A,$A1421,$G:$G)*(SUMIF(Summary!$A$247:$A$283,$A1421,Summary!$L$247:$L$283)+SUMIF(Summary!$A$297:$A$333,$A1421,Summary!$L$297:$L$333))-AI1421,0)</f>
        <v>0</v>
      </c>
      <c r="AK1421" s="196">
        <f>IFERROR($G1421/SUMIF($A:$A,$A1421,$G:$G)*SUMIF(Summary!$A$247:$A$283,$A1421,Summary!$Q$247:$Q$283),0)</f>
        <v>0</v>
      </c>
      <c r="AL1421" s="196">
        <f>IFERROR($G1421/SUMIF($A:$A,$A1421,$G:$G)*(SUMIF(Summary!$A$247:$A$283,$A1421,Summary!$L$247:$L$283)+SUMIF(Summary!$A$297:$A$333,$A1421,Summary!$L$297:$L$333))-AK1421,0)</f>
        <v>0</v>
      </c>
      <c r="AM1421" s="198"/>
      <c r="AN1421" s="196">
        <f t="shared" ca="1" si="320"/>
        <v>0</v>
      </c>
      <c r="AO1421" s="196">
        <f t="shared" ca="1" si="321"/>
        <v>0</v>
      </c>
    </row>
    <row r="1422" spans="1:41">
      <c r="A1422" s="189">
        <v>3632</v>
      </c>
      <c r="B1422" s="190">
        <v>3</v>
      </c>
      <c r="C1422" s="191" t="s">
        <v>230</v>
      </c>
      <c r="D1422" s="192">
        <f t="shared" si="308"/>
        <v>0</v>
      </c>
      <c r="E1422" s="192">
        <f t="shared" si="309"/>
        <v>1</v>
      </c>
      <c r="F1422" s="192">
        <f t="shared" si="310"/>
        <v>0</v>
      </c>
      <c r="G1422" s="193">
        <f t="shared" si="311"/>
        <v>1</v>
      </c>
      <c r="H1422" s="194">
        <v>0</v>
      </c>
      <c r="I1422" s="194">
        <v>1</v>
      </c>
      <c r="J1422" s="194">
        <v>0</v>
      </c>
      <c r="K1422" s="193">
        <f t="shared" si="312"/>
        <v>1</v>
      </c>
      <c r="L1422" s="194">
        <v>0</v>
      </c>
      <c r="M1422" s="194">
        <v>0</v>
      </c>
      <c r="N1422" s="194">
        <v>0</v>
      </c>
      <c r="O1422" s="193">
        <f t="shared" si="313"/>
        <v>0</v>
      </c>
      <c r="P1422" s="194">
        <v>0</v>
      </c>
      <c r="Q1422" s="194">
        <v>0</v>
      </c>
      <c r="R1422" s="194">
        <v>0</v>
      </c>
      <c r="S1422" s="193">
        <f t="shared" si="314"/>
        <v>0</v>
      </c>
      <c r="T1422" s="193">
        <f t="shared" si="315"/>
        <v>4.1666666666666664E-2</v>
      </c>
      <c r="U1422" s="193">
        <f ca="1">OFFSET('Expenditure Study'!$B$7,'Operations Support'!$C1422,'Operations Support'!$B1422)*$G1422</f>
        <v>0</v>
      </c>
      <c r="V1422" s="199">
        <f ca="1">U1422*'Expenditure Study'!$B$31</f>
        <v>0</v>
      </c>
      <c r="W1422" s="199">
        <f ca="1">IF(A1422=10298,1.51,1)*IF($B1422&lt;3,$D1422*'Expenditure Study'!$B$32*OFFSET('Expenditure Study'!$B$7,'Operations Support'!$C1422,'Operations Support'!$B1422),0)</f>
        <v>0</v>
      </c>
      <c r="X1422" s="200">
        <f ca="1">W1422*'Expenditure Study'!$B$31</f>
        <v>0</v>
      </c>
      <c r="Y1422" s="199">
        <f ca="1">U1422*'Expenditure Study'!$B$31</f>
        <v>0</v>
      </c>
      <c r="Z1422" s="200">
        <f ca="1">W1422*'Expenditure Study'!$B$31</f>
        <v>0</v>
      </c>
      <c r="AA1422" s="195">
        <f t="shared" ca="1" si="316"/>
        <v>0</v>
      </c>
      <c r="AB1422" s="195">
        <f t="shared" ca="1" si="317"/>
        <v>0</v>
      </c>
      <c r="AD1422" s="196">
        <f>IFERROR($G1422/SUMIF($A:$A,$A1422,$G:$G)*SUMIF(Summary!$A$166:$A$242,$A1422,Summary!$P$166:$P$242),0)</f>
        <v>33.640087867954904</v>
      </c>
      <c r="AE1422" s="197">
        <f t="shared" ca="1" si="318"/>
        <v>-33.640087867954904</v>
      </c>
      <c r="AF1422" s="196">
        <f>IFERROR(G1422/SUMIF(A:A,A1422,G:G)*SUMIF(Summary!$A$166:$A$242,'Operations Support'!A1422,Summary!$Q$166:$Q$242),0)</f>
        <v>33.778096076182962</v>
      </c>
      <c r="AG1422" s="196">
        <f t="shared" ca="1" si="319"/>
        <v>-33.778096076182962</v>
      </c>
      <c r="AI1422" s="196">
        <f>IFERROR($G1422/SUMIF($A:$A,$A1422,$G:$G)*SUMIF(Summary!$A$247:$A$283,$A1422,Summary!$P$247:$P$283),0)</f>
        <v>6.1351125480798787</v>
      </c>
      <c r="AJ1422" s="196">
        <f>IFERROR($G1422/SUMIF($A:$A,$A1422,$G:$G)*(SUMIF(Summary!$A$247:$A$283,$A1422,Summary!$L$247:$L$283)+SUMIF(Summary!$A$297:$A$333,$A1422,Summary!$L$297:$L$333))-AI1422,0)</f>
        <v>22.315246938200861</v>
      </c>
      <c r="AK1422" s="196">
        <f>IFERROR($G1422/SUMIF($A:$A,$A1422,$G:$G)*SUMIF(Summary!$A$247:$A$283,$A1422,Summary!$Q$247:$Q$283),0)</f>
        <v>6.1602818013042295</v>
      </c>
      <c r="AL1422" s="196">
        <f>IFERROR($G1422/SUMIF($A:$A,$A1422,$G:$G)*(SUMIF(Summary!$A$247:$A$283,$A1422,Summary!$L$247:$L$283)+SUMIF(Summary!$A$297:$A$333,$A1422,Summary!$L$297:$L$333))-AK1422,0)</f>
        <v>22.290077684976509</v>
      </c>
      <c r="AM1422" s="198"/>
      <c r="AN1422" s="196">
        <f t="shared" ca="1" si="320"/>
        <v>-11.324840929754043</v>
      </c>
      <c r="AO1422" s="196">
        <f t="shared" ca="1" si="321"/>
        <v>-11.488018391206452</v>
      </c>
    </row>
    <row r="1423" spans="1:41">
      <c r="A1423" s="189">
        <v>3632</v>
      </c>
      <c r="B1423" s="190">
        <v>3</v>
      </c>
      <c r="C1423" s="191" t="s">
        <v>231</v>
      </c>
      <c r="D1423" s="192">
        <f t="shared" si="308"/>
        <v>0</v>
      </c>
      <c r="E1423" s="192">
        <f t="shared" si="309"/>
        <v>0</v>
      </c>
      <c r="F1423" s="192">
        <f t="shared" si="310"/>
        <v>0</v>
      </c>
      <c r="G1423" s="193">
        <f t="shared" si="311"/>
        <v>0</v>
      </c>
      <c r="H1423" s="194">
        <v>0</v>
      </c>
      <c r="I1423" s="194">
        <v>0</v>
      </c>
      <c r="J1423" s="194">
        <v>0</v>
      </c>
      <c r="K1423" s="193">
        <f t="shared" si="312"/>
        <v>0</v>
      </c>
      <c r="L1423" s="194">
        <v>0</v>
      </c>
      <c r="M1423" s="194">
        <v>0</v>
      </c>
      <c r="N1423" s="194">
        <v>0</v>
      </c>
      <c r="O1423" s="193">
        <f t="shared" si="313"/>
        <v>0</v>
      </c>
      <c r="P1423" s="194">
        <v>0</v>
      </c>
      <c r="Q1423" s="194">
        <v>0</v>
      </c>
      <c r="R1423" s="194">
        <v>0</v>
      </c>
      <c r="S1423" s="193">
        <f t="shared" si="314"/>
        <v>0</v>
      </c>
      <c r="T1423" s="193">
        <f t="shared" si="315"/>
        <v>0</v>
      </c>
      <c r="U1423" s="193">
        <f ca="1">OFFSET('Expenditure Study'!$B$7,'Operations Support'!$C1423,'Operations Support'!$B1423)*$G1423</f>
        <v>0</v>
      </c>
      <c r="V1423" s="199">
        <f ca="1">U1423*'Expenditure Study'!$B$31</f>
        <v>0</v>
      </c>
      <c r="W1423" s="199">
        <f ca="1">IF(A1423=10298,1.51,1)*IF($B1423&lt;3,$D1423*'Expenditure Study'!$B$32*OFFSET('Expenditure Study'!$B$7,'Operations Support'!$C1423,'Operations Support'!$B1423),0)</f>
        <v>0</v>
      </c>
      <c r="X1423" s="200">
        <f ca="1">W1423*'Expenditure Study'!$B$31</f>
        <v>0</v>
      </c>
      <c r="Y1423" s="199">
        <f ca="1">U1423*'Expenditure Study'!$B$31</f>
        <v>0</v>
      </c>
      <c r="Z1423" s="200">
        <f ca="1">W1423*'Expenditure Study'!$B$31</f>
        <v>0</v>
      </c>
      <c r="AA1423" s="195">
        <f t="shared" ca="1" si="316"/>
        <v>0</v>
      </c>
      <c r="AB1423" s="195">
        <f t="shared" ca="1" si="317"/>
        <v>0</v>
      </c>
      <c r="AD1423" s="196">
        <f>IFERROR($G1423/SUMIF($A:$A,$A1423,$G:$G)*SUMIF(Summary!$A$166:$A$242,$A1423,Summary!$P$166:$P$242),0)</f>
        <v>0</v>
      </c>
      <c r="AE1423" s="197">
        <f t="shared" ca="1" si="318"/>
        <v>0</v>
      </c>
      <c r="AF1423" s="196">
        <f>IFERROR(G1423/SUMIF(A:A,A1423,G:G)*SUMIF(Summary!$A$166:$A$242,'Operations Support'!A1423,Summary!$Q$166:$Q$242),0)</f>
        <v>0</v>
      </c>
      <c r="AG1423" s="196">
        <f t="shared" ca="1" si="319"/>
        <v>0</v>
      </c>
      <c r="AI1423" s="196">
        <f>IFERROR($G1423/SUMIF($A:$A,$A1423,$G:$G)*SUMIF(Summary!$A$247:$A$283,$A1423,Summary!$P$247:$P$283),0)</f>
        <v>0</v>
      </c>
      <c r="AJ1423" s="196">
        <f>IFERROR($G1423/SUMIF($A:$A,$A1423,$G:$G)*(SUMIF(Summary!$A$247:$A$283,$A1423,Summary!$L$247:$L$283)+SUMIF(Summary!$A$297:$A$333,$A1423,Summary!$L$297:$L$333))-AI1423,0)</f>
        <v>0</v>
      </c>
      <c r="AK1423" s="196">
        <f>IFERROR($G1423/SUMIF($A:$A,$A1423,$G:$G)*SUMIF(Summary!$A$247:$A$283,$A1423,Summary!$Q$247:$Q$283),0)</f>
        <v>0</v>
      </c>
      <c r="AL1423" s="196">
        <f>IFERROR($G1423/SUMIF($A:$A,$A1423,$G:$G)*(SUMIF(Summary!$A$247:$A$283,$A1423,Summary!$L$247:$L$283)+SUMIF(Summary!$A$297:$A$333,$A1423,Summary!$L$297:$L$333))-AK1423,0)</f>
        <v>0</v>
      </c>
      <c r="AM1423" s="198"/>
      <c r="AN1423" s="196">
        <f t="shared" ca="1" si="320"/>
        <v>0</v>
      </c>
      <c r="AO1423" s="196">
        <f t="shared" ca="1" si="321"/>
        <v>0</v>
      </c>
    </row>
    <row r="1424" spans="1:41" s="201" customFormat="1">
      <c r="A1424" s="189">
        <v>3632</v>
      </c>
      <c r="B1424" s="190">
        <v>3</v>
      </c>
      <c r="C1424" s="191" t="s">
        <v>232</v>
      </c>
      <c r="D1424" s="192">
        <f t="shared" si="308"/>
        <v>0</v>
      </c>
      <c r="E1424" s="192">
        <f t="shared" si="309"/>
        <v>0</v>
      </c>
      <c r="F1424" s="192">
        <f t="shared" si="310"/>
        <v>0</v>
      </c>
      <c r="G1424" s="193">
        <f t="shared" si="311"/>
        <v>0</v>
      </c>
      <c r="H1424" s="194">
        <v>0</v>
      </c>
      <c r="I1424" s="194">
        <v>0</v>
      </c>
      <c r="J1424" s="194">
        <v>0</v>
      </c>
      <c r="K1424" s="193">
        <f t="shared" si="312"/>
        <v>0</v>
      </c>
      <c r="L1424" s="194">
        <v>0</v>
      </c>
      <c r="M1424" s="194">
        <v>0</v>
      </c>
      <c r="N1424" s="194">
        <v>0</v>
      </c>
      <c r="O1424" s="193">
        <f t="shared" si="313"/>
        <v>0</v>
      </c>
      <c r="P1424" s="194">
        <v>0</v>
      </c>
      <c r="Q1424" s="194">
        <v>0</v>
      </c>
      <c r="R1424" s="194">
        <v>0</v>
      </c>
      <c r="S1424" s="193">
        <f t="shared" si="314"/>
        <v>0</v>
      </c>
      <c r="T1424" s="193">
        <f t="shared" si="315"/>
        <v>0</v>
      </c>
      <c r="U1424" s="193">
        <f ca="1">OFFSET('Expenditure Study'!$B$7,'Operations Support'!$C1424,'Operations Support'!$B1424)*$G1424</f>
        <v>0</v>
      </c>
      <c r="V1424" s="199">
        <f ca="1">U1424*'Expenditure Study'!$B$31</f>
        <v>0</v>
      </c>
      <c r="W1424" s="199">
        <f ca="1">IF(A1424=10298,1.51,1)*IF($B1424&lt;3,$D1424*'Expenditure Study'!$B$32*OFFSET('Expenditure Study'!$B$7,'Operations Support'!$C1424,'Operations Support'!$B1424),0)</f>
        <v>0</v>
      </c>
      <c r="X1424" s="200">
        <f ca="1">W1424*'Expenditure Study'!$B$31</f>
        <v>0</v>
      </c>
      <c r="Y1424" s="199">
        <f ca="1">U1424*'Expenditure Study'!$B$31</f>
        <v>0</v>
      </c>
      <c r="Z1424" s="200">
        <f ca="1">W1424*'Expenditure Study'!$B$31</f>
        <v>0</v>
      </c>
      <c r="AA1424" s="195">
        <f t="shared" ca="1" si="316"/>
        <v>0</v>
      </c>
      <c r="AB1424" s="195">
        <f t="shared" ca="1" si="317"/>
        <v>0</v>
      </c>
      <c r="AD1424" s="196">
        <f>IFERROR($G1424/SUMIF($A:$A,$A1424,$G:$G)*SUMIF(Summary!$A$166:$A$242,$A1424,Summary!$P$166:$P$242),0)</f>
        <v>0</v>
      </c>
      <c r="AE1424" s="197">
        <f t="shared" ca="1" si="318"/>
        <v>0</v>
      </c>
      <c r="AF1424" s="196">
        <f>IFERROR(G1424/SUMIF(A:A,A1424,G:G)*SUMIF(Summary!$A$166:$A$242,'Operations Support'!A1424,Summary!$Q$166:$Q$242),0)</f>
        <v>0</v>
      </c>
      <c r="AG1424" s="196">
        <f t="shared" ca="1" si="319"/>
        <v>0</v>
      </c>
      <c r="AH1424" s="180"/>
      <c r="AI1424" s="196">
        <f>IFERROR($G1424/SUMIF($A:$A,$A1424,$G:$G)*SUMIF(Summary!$A$247:$A$283,$A1424,Summary!$P$247:$P$283),0)</f>
        <v>0</v>
      </c>
      <c r="AJ1424" s="196">
        <f>IFERROR($G1424/SUMIF($A:$A,$A1424,$G:$G)*(SUMIF(Summary!$A$247:$A$283,$A1424,Summary!$L$247:$L$283)+SUMIF(Summary!$A$297:$A$333,$A1424,Summary!$L$297:$L$333))-AI1424,0)</f>
        <v>0</v>
      </c>
      <c r="AK1424" s="196">
        <f>IFERROR($G1424/SUMIF($A:$A,$A1424,$G:$G)*SUMIF(Summary!$A$247:$A$283,$A1424,Summary!$Q$247:$Q$283),0)</f>
        <v>0</v>
      </c>
      <c r="AL1424" s="196">
        <f>IFERROR($G1424/SUMIF($A:$A,$A1424,$G:$G)*(SUMIF(Summary!$A$247:$A$283,$A1424,Summary!$L$247:$L$283)+SUMIF(Summary!$A$297:$A$333,$A1424,Summary!$L$297:$L$333))-AK1424,0)</f>
        <v>0</v>
      </c>
      <c r="AM1424" s="198"/>
      <c r="AN1424" s="196">
        <f t="shared" ca="1" si="320"/>
        <v>0</v>
      </c>
      <c r="AO1424" s="196">
        <f t="shared" ca="1" si="321"/>
        <v>0</v>
      </c>
    </row>
    <row r="1425" spans="1:41">
      <c r="A1425" s="189">
        <v>3632</v>
      </c>
      <c r="B1425" s="190">
        <v>3</v>
      </c>
      <c r="C1425" s="191" t="s">
        <v>233</v>
      </c>
      <c r="D1425" s="192">
        <f t="shared" si="308"/>
        <v>258.85000000000008</v>
      </c>
      <c r="E1425" s="192">
        <f t="shared" si="309"/>
        <v>366.15</v>
      </c>
      <c r="F1425" s="192">
        <f t="shared" si="310"/>
        <v>0</v>
      </c>
      <c r="G1425" s="193">
        <f t="shared" si="311"/>
        <v>625</v>
      </c>
      <c r="H1425" s="194">
        <v>97.050000000000097</v>
      </c>
      <c r="I1425" s="194">
        <v>142.94999999999999</v>
      </c>
      <c r="J1425" s="194">
        <v>0</v>
      </c>
      <c r="K1425" s="193">
        <f t="shared" si="312"/>
        <v>240.00000000000009</v>
      </c>
      <c r="L1425" s="194">
        <v>125.8</v>
      </c>
      <c r="M1425" s="194">
        <v>214.2</v>
      </c>
      <c r="N1425" s="194">
        <v>0</v>
      </c>
      <c r="O1425" s="193">
        <f t="shared" si="313"/>
        <v>340</v>
      </c>
      <c r="P1425" s="194">
        <v>36</v>
      </c>
      <c r="Q1425" s="194">
        <v>9</v>
      </c>
      <c r="R1425" s="194">
        <v>0</v>
      </c>
      <c r="S1425" s="193">
        <f t="shared" si="314"/>
        <v>45</v>
      </c>
      <c r="T1425" s="193">
        <f t="shared" si="315"/>
        <v>26.041666666666668</v>
      </c>
      <c r="U1425" s="193">
        <f ca="1">OFFSET('Expenditure Study'!$B$7,'Operations Support'!$C1425,'Operations Support'!$B1425)*$G1425</f>
        <v>1637.5</v>
      </c>
      <c r="V1425" s="199">
        <f ca="1">U1425*'Expenditure Study'!$B$31</f>
        <v>96748.708559999999</v>
      </c>
      <c r="W1425" s="199">
        <f ca="1">IF(A1425=10298,1.51,1)*IF($B1425&lt;3,$D1425*'Expenditure Study'!$B$32*OFFSET('Expenditure Study'!$B$7,'Operations Support'!$C1425,'Operations Support'!$B1425),0)</f>
        <v>0</v>
      </c>
      <c r="X1425" s="200">
        <f ca="1">W1425*'Expenditure Study'!$B$31</f>
        <v>0</v>
      </c>
      <c r="Y1425" s="199">
        <f ca="1">U1425*'Expenditure Study'!$B$31</f>
        <v>96748.708559999999</v>
      </c>
      <c r="Z1425" s="200">
        <f ca="1">W1425*'Expenditure Study'!$B$31</f>
        <v>0</v>
      </c>
      <c r="AA1425" s="195">
        <f t="shared" ca="1" si="316"/>
        <v>96748.708559999999</v>
      </c>
      <c r="AB1425" s="195">
        <f t="shared" ca="1" si="317"/>
        <v>96748.708559999999</v>
      </c>
      <c r="AD1425" s="196">
        <f>IFERROR($G1425/SUMIF($A:$A,$A1425,$G:$G)*SUMIF(Summary!$A$166:$A$242,$A1425,Summary!$P$166:$P$242),0)</f>
        <v>21025.054917471818</v>
      </c>
      <c r="AE1425" s="197">
        <f t="shared" ca="1" si="318"/>
        <v>75723.653642528181</v>
      </c>
      <c r="AF1425" s="196">
        <f>IFERROR(G1425/SUMIF(A:A,A1425,G:G)*SUMIF(Summary!$A$166:$A$242,'Operations Support'!A1425,Summary!$Q$166:$Q$242),0)</f>
        <v>21111.310047614352</v>
      </c>
      <c r="AG1425" s="196">
        <f t="shared" ca="1" si="319"/>
        <v>75637.39851238564</v>
      </c>
      <c r="AI1425" s="196">
        <f>IFERROR($G1425/SUMIF($A:$A,$A1425,$G:$G)*SUMIF(Summary!$A$247:$A$283,$A1425,Summary!$P$247:$P$283),0)</f>
        <v>3834.4453425499246</v>
      </c>
      <c r="AJ1425" s="196">
        <f>IFERROR($G1425/SUMIF($A:$A,$A1425,$G:$G)*(SUMIF(Summary!$A$247:$A$283,$A1425,Summary!$L$247:$L$283)+SUMIF(Summary!$A$297:$A$333,$A1425,Summary!$L$297:$L$333))-AI1425,0)</f>
        <v>13947.029336375539</v>
      </c>
      <c r="AK1425" s="196">
        <f>IFERROR($G1425/SUMIF($A:$A,$A1425,$G:$G)*SUMIF(Summary!$A$247:$A$283,$A1425,Summary!$Q$247:$Q$283),0)</f>
        <v>3850.1761258151437</v>
      </c>
      <c r="AL1425" s="196">
        <f>IFERROR($G1425/SUMIF($A:$A,$A1425,$G:$G)*(SUMIF(Summary!$A$247:$A$283,$A1425,Summary!$L$247:$L$283)+SUMIF(Summary!$A$297:$A$333,$A1425,Summary!$L$297:$L$333))-AK1425,0)</f>
        <v>13931.29855311032</v>
      </c>
      <c r="AM1425" s="198"/>
      <c r="AN1425" s="196">
        <f t="shared" ca="1" si="320"/>
        <v>89670.682978903715</v>
      </c>
      <c r="AO1425" s="196">
        <f t="shared" ca="1" si="321"/>
        <v>89568.697065495959</v>
      </c>
    </row>
    <row r="1426" spans="1:41">
      <c r="A1426" s="189">
        <v>3632</v>
      </c>
      <c r="B1426" s="190">
        <v>3</v>
      </c>
      <c r="C1426" s="191" t="s">
        <v>234</v>
      </c>
      <c r="D1426" s="192">
        <f t="shared" si="308"/>
        <v>0</v>
      </c>
      <c r="E1426" s="192">
        <f t="shared" si="309"/>
        <v>0</v>
      </c>
      <c r="F1426" s="192">
        <f t="shared" si="310"/>
        <v>0</v>
      </c>
      <c r="G1426" s="193">
        <f t="shared" si="311"/>
        <v>0</v>
      </c>
      <c r="H1426" s="194">
        <v>0</v>
      </c>
      <c r="I1426" s="194">
        <v>0</v>
      </c>
      <c r="J1426" s="194">
        <v>0</v>
      </c>
      <c r="K1426" s="193">
        <f t="shared" si="312"/>
        <v>0</v>
      </c>
      <c r="L1426" s="194">
        <v>0</v>
      </c>
      <c r="M1426" s="194">
        <v>0</v>
      </c>
      <c r="N1426" s="194">
        <v>0</v>
      </c>
      <c r="O1426" s="193">
        <f t="shared" si="313"/>
        <v>0</v>
      </c>
      <c r="P1426" s="194">
        <v>0</v>
      </c>
      <c r="Q1426" s="194">
        <v>0</v>
      </c>
      <c r="R1426" s="194">
        <v>0</v>
      </c>
      <c r="S1426" s="193">
        <f t="shared" si="314"/>
        <v>0</v>
      </c>
      <c r="T1426" s="193">
        <f t="shared" si="315"/>
        <v>0</v>
      </c>
      <c r="U1426" s="193">
        <f ca="1">OFFSET('Expenditure Study'!$B$7,'Operations Support'!$C1426,'Operations Support'!$B1426)*$G1426</f>
        <v>0</v>
      </c>
      <c r="V1426" s="199">
        <f ca="1">U1426*'Expenditure Study'!$B$31</f>
        <v>0</v>
      </c>
      <c r="W1426" s="199">
        <f ca="1">IF(A1426=10298,1.51,1)*IF($B1426&lt;3,$D1426*'Expenditure Study'!$B$32*OFFSET('Expenditure Study'!$B$7,'Operations Support'!$C1426,'Operations Support'!$B1426),0)</f>
        <v>0</v>
      </c>
      <c r="X1426" s="200">
        <f ca="1">W1426*'Expenditure Study'!$B$31</f>
        <v>0</v>
      </c>
      <c r="Y1426" s="199">
        <f ca="1">U1426*'Expenditure Study'!$B$31</f>
        <v>0</v>
      </c>
      <c r="Z1426" s="200">
        <f ca="1">W1426*'Expenditure Study'!$B$31</f>
        <v>0</v>
      </c>
      <c r="AA1426" s="195">
        <f t="shared" ca="1" si="316"/>
        <v>0</v>
      </c>
      <c r="AB1426" s="195">
        <f t="shared" ca="1" si="317"/>
        <v>0</v>
      </c>
      <c r="AD1426" s="196">
        <f>IFERROR($G1426/SUMIF($A:$A,$A1426,$G:$G)*SUMIF(Summary!$A$166:$A$242,$A1426,Summary!$P$166:$P$242),0)</f>
        <v>0</v>
      </c>
      <c r="AE1426" s="197">
        <f t="shared" ca="1" si="318"/>
        <v>0</v>
      </c>
      <c r="AF1426" s="196">
        <f>IFERROR(G1426/SUMIF(A:A,A1426,G:G)*SUMIF(Summary!$A$166:$A$242,'Operations Support'!A1426,Summary!$Q$166:$Q$242),0)</f>
        <v>0</v>
      </c>
      <c r="AG1426" s="196">
        <f t="shared" ca="1" si="319"/>
        <v>0</v>
      </c>
      <c r="AI1426" s="196">
        <f>IFERROR($G1426/SUMIF($A:$A,$A1426,$G:$G)*SUMIF(Summary!$A$247:$A$283,$A1426,Summary!$P$247:$P$283),0)</f>
        <v>0</v>
      </c>
      <c r="AJ1426" s="196">
        <f>IFERROR($G1426/SUMIF($A:$A,$A1426,$G:$G)*(SUMIF(Summary!$A$247:$A$283,$A1426,Summary!$L$247:$L$283)+SUMIF(Summary!$A$297:$A$333,$A1426,Summary!$L$297:$L$333))-AI1426,0)</f>
        <v>0</v>
      </c>
      <c r="AK1426" s="196">
        <f>IFERROR($G1426/SUMIF($A:$A,$A1426,$G:$G)*SUMIF(Summary!$A$247:$A$283,$A1426,Summary!$Q$247:$Q$283),0)</f>
        <v>0</v>
      </c>
      <c r="AL1426" s="196">
        <f>IFERROR($G1426/SUMIF($A:$A,$A1426,$G:$G)*(SUMIF(Summary!$A$247:$A$283,$A1426,Summary!$L$247:$L$283)+SUMIF(Summary!$A$297:$A$333,$A1426,Summary!$L$297:$L$333))-AK1426,0)</f>
        <v>0</v>
      </c>
      <c r="AM1426" s="198"/>
      <c r="AN1426" s="196">
        <f t="shared" ca="1" si="320"/>
        <v>0</v>
      </c>
      <c r="AO1426" s="196">
        <f t="shared" ca="1" si="321"/>
        <v>0</v>
      </c>
    </row>
    <row r="1427" spans="1:41">
      <c r="A1427" s="189">
        <v>3632</v>
      </c>
      <c r="B1427" s="190">
        <v>3</v>
      </c>
      <c r="C1427" s="191" t="s">
        <v>235</v>
      </c>
      <c r="D1427" s="192">
        <f t="shared" si="308"/>
        <v>11520</v>
      </c>
      <c r="E1427" s="192">
        <f t="shared" si="309"/>
        <v>22230</v>
      </c>
      <c r="F1427" s="192">
        <f t="shared" si="310"/>
        <v>0</v>
      </c>
      <c r="G1427" s="193">
        <f t="shared" si="311"/>
        <v>33750</v>
      </c>
      <c r="H1427" s="194">
        <v>4579.5</v>
      </c>
      <c r="I1427" s="194">
        <v>8987.5</v>
      </c>
      <c r="J1427" s="194">
        <v>0</v>
      </c>
      <c r="K1427" s="193">
        <f t="shared" si="312"/>
        <v>13567</v>
      </c>
      <c r="L1427" s="194">
        <v>6097.5</v>
      </c>
      <c r="M1427" s="194">
        <v>9788.5</v>
      </c>
      <c r="N1427" s="194">
        <v>0</v>
      </c>
      <c r="O1427" s="193">
        <f t="shared" si="313"/>
        <v>15886</v>
      </c>
      <c r="P1427" s="194">
        <v>843</v>
      </c>
      <c r="Q1427" s="194">
        <v>3454</v>
      </c>
      <c r="R1427" s="194">
        <v>0</v>
      </c>
      <c r="S1427" s="193">
        <f t="shared" si="314"/>
        <v>4297</v>
      </c>
      <c r="T1427" s="193">
        <f t="shared" si="315"/>
        <v>1406.25</v>
      </c>
      <c r="U1427" s="193">
        <f ca="1">OFFSET('Expenditure Study'!$B$7,'Operations Support'!$C1427,'Operations Support'!$B1427)*$G1427</f>
        <v>106650</v>
      </c>
      <c r="V1427" s="199">
        <f ca="1">U1427*'Expenditure Study'!$B$31</f>
        <v>6301221.2323200004</v>
      </c>
      <c r="W1427" s="199">
        <f ca="1">IF(A1427=10298,1.51,1)*IF($B1427&lt;3,$D1427*'Expenditure Study'!$B$32*OFFSET('Expenditure Study'!$B$7,'Operations Support'!$C1427,'Operations Support'!$B1427),0)</f>
        <v>0</v>
      </c>
      <c r="X1427" s="200">
        <f ca="1">W1427*'Expenditure Study'!$B$31</f>
        <v>0</v>
      </c>
      <c r="Y1427" s="199">
        <f ca="1">U1427*'Expenditure Study'!$B$31</f>
        <v>6301221.2323200004</v>
      </c>
      <c r="Z1427" s="200">
        <f ca="1">W1427*'Expenditure Study'!$B$31</f>
        <v>0</v>
      </c>
      <c r="AA1427" s="195">
        <f t="shared" ca="1" si="316"/>
        <v>6301221.2323200004</v>
      </c>
      <c r="AB1427" s="195">
        <f t="shared" ca="1" si="317"/>
        <v>6301221.2323200004</v>
      </c>
      <c r="AD1427" s="196">
        <f>IFERROR($G1427/SUMIF($A:$A,$A1427,$G:$G)*SUMIF(Summary!$A$166:$A$242,$A1427,Summary!$P$166:$P$242),0)</f>
        <v>1135352.965543478</v>
      </c>
      <c r="AE1427" s="197">
        <f t="shared" ca="1" si="318"/>
        <v>5165868.2667765226</v>
      </c>
      <c r="AF1427" s="196">
        <f>IFERROR(G1427/SUMIF(A:A,A1427,G:G)*SUMIF(Summary!$A$166:$A$242,'Operations Support'!A1427,Summary!$Q$166:$Q$242),0)</f>
        <v>1140010.7425711749</v>
      </c>
      <c r="AG1427" s="196">
        <f t="shared" ca="1" si="319"/>
        <v>5161210.4897488253</v>
      </c>
      <c r="AI1427" s="196">
        <f>IFERROR($G1427/SUMIF($A:$A,$A1427,$G:$G)*SUMIF(Summary!$A$247:$A$283,$A1427,Summary!$P$247:$P$283),0)</f>
        <v>207060.04849769591</v>
      </c>
      <c r="AJ1427" s="196">
        <f>IFERROR($G1427/SUMIF($A:$A,$A1427,$G:$G)*(SUMIF(Summary!$A$247:$A$283,$A1427,Summary!$L$247:$L$283)+SUMIF(Summary!$A$297:$A$333,$A1427,Summary!$L$297:$L$333))-AI1427,0)</f>
        <v>753139.58416427893</v>
      </c>
      <c r="AK1427" s="196">
        <f>IFERROR($G1427/SUMIF($A:$A,$A1427,$G:$G)*SUMIF(Summary!$A$247:$A$283,$A1427,Summary!$Q$247:$Q$283),0)</f>
        <v>207909.51079401773</v>
      </c>
      <c r="AL1427" s="196">
        <f>IFERROR($G1427/SUMIF($A:$A,$A1427,$G:$G)*(SUMIF(Summary!$A$247:$A$283,$A1427,Summary!$L$247:$L$283)+SUMIF(Summary!$A$297:$A$333,$A1427,Summary!$L$297:$L$333))-AK1427,0)</f>
        <v>752290.12186795718</v>
      </c>
      <c r="AM1427" s="198"/>
      <c r="AN1427" s="196">
        <f t="shared" ca="1" si="320"/>
        <v>5919007.8509408012</v>
      </c>
      <c r="AO1427" s="196">
        <f t="shared" ca="1" si="321"/>
        <v>5913500.6116167828</v>
      </c>
    </row>
    <row r="1428" spans="1:41">
      <c r="A1428" s="189">
        <v>3632</v>
      </c>
      <c r="B1428" s="190">
        <v>3</v>
      </c>
      <c r="C1428" s="191" t="s">
        <v>236</v>
      </c>
      <c r="D1428" s="192">
        <f t="shared" si="308"/>
        <v>0</v>
      </c>
      <c r="E1428" s="192">
        <f t="shared" si="309"/>
        <v>0</v>
      </c>
      <c r="F1428" s="192">
        <f t="shared" si="310"/>
        <v>0</v>
      </c>
      <c r="G1428" s="193">
        <f t="shared" si="311"/>
        <v>0</v>
      </c>
      <c r="H1428" s="194">
        <v>0</v>
      </c>
      <c r="I1428" s="194">
        <v>0</v>
      </c>
      <c r="J1428" s="194">
        <v>0</v>
      </c>
      <c r="K1428" s="193">
        <f t="shared" si="312"/>
        <v>0</v>
      </c>
      <c r="L1428" s="194">
        <v>0</v>
      </c>
      <c r="M1428" s="194">
        <v>0</v>
      </c>
      <c r="N1428" s="194">
        <v>0</v>
      </c>
      <c r="O1428" s="193">
        <f t="shared" si="313"/>
        <v>0</v>
      </c>
      <c r="P1428" s="194">
        <v>0</v>
      </c>
      <c r="Q1428" s="194">
        <v>0</v>
      </c>
      <c r="R1428" s="194">
        <v>0</v>
      </c>
      <c r="S1428" s="193">
        <f t="shared" si="314"/>
        <v>0</v>
      </c>
      <c r="T1428" s="193">
        <f t="shared" si="315"/>
        <v>0</v>
      </c>
      <c r="U1428" s="193">
        <f ca="1">OFFSET('Expenditure Study'!$B$7,'Operations Support'!$C1428,'Operations Support'!$B1428)*$G1428</f>
        <v>0</v>
      </c>
      <c r="V1428" s="199">
        <f ca="1">U1428*'Expenditure Study'!$B$31</f>
        <v>0</v>
      </c>
      <c r="W1428" s="199">
        <f ca="1">IF(A1428=10298,1.51,1)*IF($B1428&lt;3,$D1428*'Expenditure Study'!$B$32*OFFSET('Expenditure Study'!$B$7,'Operations Support'!$C1428,'Operations Support'!$B1428),0)</f>
        <v>0</v>
      </c>
      <c r="X1428" s="200">
        <f ca="1">W1428*'Expenditure Study'!$B$31</f>
        <v>0</v>
      </c>
      <c r="Y1428" s="199">
        <f ca="1">U1428*'Expenditure Study'!$B$31</f>
        <v>0</v>
      </c>
      <c r="Z1428" s="200">
        <f ca="1">W1428*'Expenditure Study'!$B$31</f>
        <v>0</v>
      </c>
      <c r="AA1428" s="195">
        <f t="shared" ca="1" si="316"/>
        <v>0</v>
      </c>
      <c r="AB1428" s="195">
        <f t="shared" ca="1" si="317"/>
        <v>0</v>
      </c>
      <c r="AD1428" s="196">
        <f>IFERROR($G1428/SUMIF($A:$A,$A1428,$G:$G)*SUMIF(Summary!$A$166:$A$242,$A1428,Summary!$P$166:$P$242),0)</f>
        <v>0</v>
      </c>
      <c r="AE1428" s="197">
        <f t="shared" ca="1" si="318"/>
        <v>0</v>
      </c>
      <c r="AF1428" s="196">
        <f>IFERROR(G1428/SUMIF(A:A,A1428,G:G)*SUMIF(Summary!$A$166:$A$242,'Operations Support'!A1428,Summary!$Q$166:$Q$242),0)</f>
        <v>0</v>
      </c>
      <c r="AG1428" s="196">
        <f t="shared" ca="1" si="319"/>
        <v>0</v>
      </c>
      <c r="AI1428" s="196">
        <f>IFERROR($G1428/SUMIF($A:$A,$A1428,$G:$G)*SUMIF(Summary!$A$247:$A$283,$A1428,Summary!$P$247:$P$283),0)</f>
        <v>0</v>
      </c>
      <c r="AJ1428" s="196">
        <f>IFERROR($G1428/SUMIF($A:$A,$A1428,$G:$G)*(SUMIF(Summary!$A$247:$A$283,$A1428,Summary!$L$247:$L$283)+SUMIF(Summary!$A$297:$A$333,$A1428,Summary!$L$297:$L$333))-AI1428,0)</f>
        <v>0</v>
      </c>
      <c r="AK1428" s="196">
        <f>IFERROR($G1428/SUMIF($A:$A,$A1428,$G:$G)*SUMIF(Summary!$A$247:$A$283,$A1428,Summary!$Q$247:$Q$283),0)</f>
        <v>0</v>
      </c>
      <c r="AL1428" s="196">
        <f>IFERROR($G1428/SUMIF($A:$A,$A1428,$G:$G)*(SUMIF(Summary!$A$247:$A$283,$A1428,Summary!$L$247:$L$283)+SUMIF(Summary!$A$297:$A$333,$A1428,Summary!$L$297:$L$333))-AK1428,0)</f>
        <v>0</v>
      </c>
      <c r="AM1428" s="198"/>
      <c r="AN1428" s="196">
        <f t="shared" ca="1" si="320"/>
        <v>0</v>
      </c>
      <c r="AO1428" s="196">
        <f t="shared" ca="1" si="321"/>
        <v>0</v>
      </c>
    </row>
    <row r="1429" spans="1:41">
      <c r="A1429" s="189">
        <v>3632</v>
      </c>
      <c r="B1429" s="190">
        <v>3</v>
      </c>
      <c r="C1429" s="191" t="s">
        <v>237</v>
      </c>
      <c r="D1429" s="192">
        <f t="shared" si="308"/>
        <v>0</v>
      </c>
      <c r="E1429" s="192">
        <f t="shared" si="309"/>
        <v>0</v>
      </c>
      <c r="F1429" s="192">
        <f t="shared" si="310"/>
        <v>0</v>
      </c>
      <c r="G1429" s="193">
        <f t="shared" si="311"/>
        <v>0</v>
      </c>
      <c r="H1429" s="194">
        <v>0</v>
      </c>
      <c r="I1429" s="194">
        <v>0</v>
      </c>
      <c r="J1429" s="194">
        <v>0</v>
      </c>
      <c r="K1429" s="193">
        <f t="shared" si="312"/>
        <v>0</v>
      </c>
      <c r="L1429" s="194">
        <v>0</v>
      </c>
      <c r="M1429" s="194">
        <v>0</v>
      </c>
      <c r="N1429" s="194">
        <v>0</v>
      </c>
      <c r="O1429" s="193">
        <f t="shared" si="313"/>
        <v>0</v>
      </c>
      <c r="P1429" s="194">
        <v>0</v>
      </c>
      <c r="Q1429" s="194">
        <v>0</v>
      </c>
      <c r="R1429" s="194">
        <v>0</v>
      </c>
      <c r="S1429" s="193">
        <f t="shared" si="314"/>
        <v>0</v>
      </c>
      <c r="T1429" s="193">
        <f t="shared" si="315"/>
        <v>0</v>
      </c>
      <c r="U1429" s="193">
        <f ca="1">OFFSET('Expenditure Study'!$B$7,'Operations Support'!$C1429,'Operations Support'!$B1429)*$G1429</f>
        <v>0</v>
      </c>
      <c r="V1429" s="199">
        <f ca="1">U1429*'Expenditure Study'!$B$31</f>
        <v>0</v>
      </c>
      <c r="W1429" s="199">
        <f ca="1">IF(A1429=10298,1.51,1)*IF($B1429&lt;3,$D1429*'Expenditure Study'!$B$32*OFFSET('Expenditure Study'!$B$7,'Operations Support'!$C1429,'Operations Support'!$B1429),0)</f>
        <v>0</v>
      </c>
      <c r="X1429" s="200">
        <f ca="1">W1429*'Expenditure Study'!$B$31</f>
        <v>0</v>
      </c>
      <c r="Y1429" s="199">
        <f ca="1">U1429*'Expenditure Study'!$B$31</f>
        <v>0</v>
      </c>
      <c r="Z1429" s="200">
        <f ca="1">W1429*'Expenditure Study'!$B$31</f>
        <v>0</v>
      </c>
      <c r="AA1429" s="195">
        <f t="shared" ca="1" si="316"/>
        <v>0</v>
      </c>
      <c r="AB1429" s="195">
        <f t="shared" ca="1" si="317"/>
        <v>0</v>
      </c>
      <c r="AD1429" s="196">
        <f>IFERROR($G1429/SUMIF($A:$A,$A1429,$G:$G)*SUMIF(Summary!$A$166:$A$242,$A1429,Summary!$P$166:$P$242),0)</f>
        <v>0</v>
      </c>
      <c r="AE1429" s="197">
        <f t="shared" ca="1" si="318"/>
        <v>0</v>
      </c>
      <c r="AF1429" s="196">
        <f>IFERROR(G1429/SUMIF(A:A,A1429,G:G)*SUMIF(Summary!$A$166:$A$242,'Operations Support'!A1429,Summary!$Q$166:$Q$242),0)</f>
        <v>0</v>
      </c>
      <c r="AG1429" s="196">
        <f t="shared" ca="1" si="319"/>
        <v>0</v>
      </c>
      <c r="AI1429" s="196">
        <f>IFERROR($G1429/SUMIF($A:$A,$A1429,$G:$G)*SUMIF(Summary!$A$247:$A$283,$A1429,Summary!$P$247:$P$283),0)</f>
        <v>0</v>
      </c>
      <c r="AJ1429" s="196">
        <f>IFERROR($G1429/SUMIF($A:$A,$A1429,$G:$G)*(SUMIF(Summary!$A$247:$A$283,$A1429,Summary!$L$247:$L$283)+SUMIF(Summary!$A$297:$A$333,$A1429,Summary!$L$297:$L$333))-AI1429,0)</f>
        <v>0</v>
      </c>
      <c r="AK1429" s="196">
        <f>IFERROR($G1429/SUMIF($A:$A,$A1429,$G:$G)*SUMIF(Summary!$A$247:$A$283,$A1429,Summary!$Q$247:$Q$283),0)</f>
        <v>0</v>
      </c>
      <c r="AL1429" s="196">
        <f>IFERROR($G1429/SUMIF($A:$A,$A1429,$G:$G)*(SUMIF(Summary!$A$247:$A$283,$A1429,Summary!$L$247:$L$283)+SUMIF(Summary!$A$297:$A$333,$A1429,Summary!$L$297:$L$333))-AK1429,0)</f>
        <v>0</v>
      </c>
      <c r="AM1429" s="198"/>
      <c r="AN1429" s="196">
        <f t="shared" ca="1" si="320"/>
        <v>0</v>
      </c>
      <c r="AO1429" s="196">
        <f t="shared" ca="1" si="321"/>
        <v>0</v>
      </c>
    </row>
    <row r="1430" spans="1:41">
      <c r="A1430" s="189">
        <v>3632</v>
      </c>
      <c r="B1430" s="190">
        <v>3</v>
      </c>
      <c r="C1430" s="191" t="s">
        <v>238</v>
      </c>
      <c r="D1430" s="192">
        <f t="shared" si="308"/>
        <v>2123.5</v>
      </c>
      <c r="E1430" s="192">
        <f t="shared" si="309"/>
        <v>547.5</v>
      </c>
      <c r="F1430" s="192">
        <f t="shared" si="310"/>
        <v>0</v>
      </c>
      <c r="G1430" s="193">
        <f t="shared" si="311"/>
        <v>2671</v>
      </c>
      <c r="H1430" s="194">
        <v>949</v>
      </c>
      <c r="I1430" s="194">
        <v>306</v>
      </c>
      <c r="J1430" s="194">
        <v>0</v>
      </c>
      <c r="K1430" s="193">
        <f t="shared" si="312"/>
        <v>1255</v>
      </c>
      <c r="L1430" s="194">
        <v>1125.5</v>
      </c>
      <c r="M1430" s="194">
        <v>241.5</v>
      </c>
      <c r="N1430" s="194">
        <v>0</v>
      </c>
      <c r="O1430" s="193">
        <f t="shared" si="313"/>
        <v>1367</v>
      </c>
      <c r="P1430" s="194">
        <v>49</v>
      </c>
      <c r="Q1430" s="194">
        <v>0</v>
      </c>
      <c r="R1430" s="194">
        <v>0</v>
      </c>
      <c r="S1430" s="193">
        <f t="shared" si="314"/>
        <v>49</v>
      </c>
      <c r="T1430" s="193">
        <f t="shared" si="315"/>
        <v>111.29166666666667</v>
      </c>
      <c r="U1430" s="193">
        <f ca="1">OFFSET('Expenditure Study'!$B$7,'Operations Support'!$C1430,'Operations Support'!$B1430)*$G1430</f>
        <v>15598.64</v>
      </c>
      <c r="V1430" s="199">
        <f ca="1">U1430*'Expenditure Study'!$B$31</f>
        <v>921617.267354112</v>
      </c>
      <c r="W1430" s="199">
        <f ca="1">IF(A1430=10298,1.51,1)*IF($B1430&lt;3,$D1430*'Expenditure Study'!$B$32*OFFSET('Expenditure Study'!$B$7,'Operations Support'!$C1430,'Operations Support'!$B1430),0)</f>
        <v>0</v>
      </c>
      <c r="X1430" s="200">
        <f ca="1">W1430*'Expenditure Study'!$B$31</f>
        <v>0</v>
      </c>
      <c r="Y1430" s="199">
        <f ca="1">U1430*'Expenditure Study'!$B$31</f>
        <v>921617.267354112</v>
      </c>
      <c r="Z1430" s="200">
        <f ca="1">W1430*'Expenditure Study'!$B$31</f>
        <v>0</v>
      </c>
      <c r="AA1430" s="195">
        <f t="shared" ca="1" si="316"/>
        <v>921617.267354112</v>
      </c>
      <c r="AB1430" s="195">
        <f t="shared" ca="1" si="317"/>
        <v>921617.267354112</v>
      </c>
      <c r="AD1430" s="196">
        <f>IFERROR($G1430/SUMIF($A:$A,$A1430,$G:$G)*SUMIF(Summary!$A$166:$A$242,$A1430,Summary!$P$166:$P$242),0)</f>
        <v>89852.674695307549</v>
      </c>
      <c r="AE1430" s="197">
        <f t="shared" ca="1" si="318"/>
        <v>831764.5926588045</v>
      </c>
      <c r="AF1430" s="196">
        <f>IFERROR(G1430/SUMIF(A:A,A1430,G:G)*SUMIF(Summary!$A$166:$A$242,'Operations Support'!A1430,Summary!$Q$166:$Q$242),0)</f>
        <v>90221.294619484688</v>
      </c>
      <c r="AG1430" s="196">
        <f t="shared" ca="1" si="319"/>
        <v>831395.97273462731</v>
      </c>
      <c r="AI1430" s="196">
        <f>IFERROR($G1430/SUMIF($A:$A,$A1430,$G:$G)*SUMIF(Summary!$A$247:$A$283,$A1430,Summary!$P$247:$P$283),0)</f>
        <v>16386.885615921357</v>
      </c>
      <c r="AJ1430" s="196">
        <f>IFERROR($G1430/SUMIF($A:$A,$A1430,$G:$G)*(SUMIF(Summary!$A$247:$A$283,$A1430,Summary!$L$247:$L$283)+SUMIF(Summary!$A$297:$A$333,$A1430,Summary!$L$297:$L$333))-AI1430,0)</f>
        <v>59604.024571934497</v>
      </c>
      <c r="AK1430" s="196">
        <f>IFERROR($G1430/SUMIF($A:$A,$A1430,$G:$G)*SUMIF(Summary!$A$247:$A$283,$A1430,Summary!$Q$247:$Q$283),0)</f>
        <v>16454.112691283597</v>
      </c>
      <c r="AL1430" s="196">
        <f>IFERROR($G1430/SUMIF($A:$A,$A1430,$G:$G)*(SUMIF(Summary!$A$247:$A$283,$A1430,Summary!$L$247:$L$283)+SUMIF(Summary!$A$297:$A$333,$A1430,Summary!$L$297:$L$333))-AK1430,0)</f>
        <v>59536.797496572261</v>
      </c>
      <c r="AM1430" s="198"/>
      <c r="AN1430" s="196">
        <f t="shared" ca="1" si="320"/>
        <v>891368.61723073898</v>
      </c>
      <c r="AO1430" s="196">
        <f t="shared" ca="1" si="321"/>
        <v>890932.77023119957</v>
      </c>
    </row>
    <row r="1431" spans="1:41">
      <c r="A1431" s="189">
        <v>3632</v>
      </c>
      <c r="B1431" s="190">
        <v>3</v>
      </c>
      <c r="C1431" s="191" t="s">
        <v>239</v>
      </c>
      <c r="D1431" s="192">
        <f t="shared" si="308"/>
        <v>0</v>
      </c>
      <c r="E1431" s="192">
        <f t="shared" si="309"/>
        <v>0</v>
      </c>
      <c r="F1431" s="192">
        <f t="shared" si="310"/>
        <v>0</v>
      </c>
      <c r="G1431" s="193">
        <f t="shared" si="311"/>
        <v>0</v>
      </c>
      <c r="H1431" s="194">
        <v>0</v>
      </c>
      <c r="I1431" s="194">
        <v>0</v>
      </c>
      <c r="J1431" s="194">
        <v>0</v>
      </c>
      <c r="K1431" s="193">
        <f t="shared" si="312"/>
        <v>0</v>
      </c>
      <c r="L1431" s="194">
        <v>0</v>
      </c>
      <c r="M1431" s="194">
        <v>0</v>
      </c>
      <c r="N1431" s="194">
        <v>0</v>
      </c>
      <c r="O1431" s="193">
        <f t="shared" si="313"/>
        <v>0</v>
      </c>
      <c r="P1431" s="194">
        <v>0</v>
      </c>
      <c r="Q1431" s="194">
        <v>0</v>
      </c>
      <c r="R1431" s="194">
        <v>0</v>
      </c>
      <c r="S1431" s="193">
        <f t="shared" si="314"/>
        <v>0</v>
      </c>
      <c r="T1431" s="193">
        <f t="shared" si="315"/>
        <v>0</v>
      </c>
      <c r="U1431" s="193">
        <f ca="1">OFFSET('Expenditure Study'!$B$7,'Operations Support'!$C1431,'Operations Support'!$B1431)*$G1431</f>
        <v>0</v>
      </c>
      <c r="V1431" s="199">
        <f ca="1">U1431*'Expenditure Study'!$B$31</f>
        <v>0</v>
      </c>
      <c r="W1431" s="199">
        <f ca="1">IF(A1431=10298,1.51,1)*IF($B1431&lt;3,$D1431*'Expenditure Study'!$B$32*OFFSET('Expenditure Study'!$B$7,'Operations Support'!$C1431,'Operations Support'!$B1431),0)</f>
        <v>0</v>
      </c>
      <c r="X1431" s="200">
        <f ca="1">W1431*'Expenditure Study'!$B$31</f>
        <v>0</v>
      </c>
      <c r="Y1431" s="199">
        <f ca="1">U1431*'Expenditure Study'!$B$31</f>
        <v>0</v>
      </c>
      <c r="Z1431" s="200">
        <f ca="1">W1431*'Expenditure Study'!$B$31</f>
        <v>0</v>
      </c>
      <c r="AA1431" s="195">
        <f t="shared" ca="1" si="316"/>
        <v>0</v>
      </c>
      <c r="AB1431" s="195">
        <f t="shared" ca="1" si="317"/>
        <v>0</v>
      </c>
      <c r="AD1431" s="196">
        <f>IFERROR($G1431/SUMIF($A:$A,$A1431,$G:$G)*SUMIF(Summary!$A$166:$A$242,$A1431,Summary!$P$166:$P$242),0)</f>
        <v>0</v>
      </c>
      <c r="AE1431" s="197">
        <f t="shared" ca="1" si="318"/>
        <v>0</v>
      </c>
      <c r="AF1431" s="196">
        <f>IFERROR(G1431/SUMIF(A:A,A1431,G:G)*SUMIF(Summary!$A$166:$A$242,'Operations Support'!A1431,Summary!$Q$166:$Q$242),0)</f>
        <v>0</v>
      </c>
      <c r="AG1431" s="196">
        <f t="shared" ca="1" si="319"/>
        <v>0</v>
      </c>
      <c r="AI1431" s="196">
        <f>IFERROR($G1431/SUMIF($A:$A,$A1431,$G:$G)*SUMIF(Summary!$A$247:$A$283,$A1431,Summary!$P$247:$P$283),0)</f>
        <v>0</v>
      </c>
      <c r="AJ1431" s="196">
        <f>IFERROR($G1431/SUMIF($A:$A,$A1431,$G:$G)*(SUMIF(Summary!$A$247:$A$283,$A1431,Summary!$L$247:$L$283)+SUMIF(Summary!$A$297:$A$333,$A1431,Summary!$L$297:$L$333))-AI1431,0)</f>
        <v>0</v>
      </c>
      <c r="AK1431" s="196">
        <f>IFERROR($G1431/SUMIF($A:$A,$A1431,$G:$G)*SUMIF(Summary!$A$247:$A$283,$A1431,Summary!$Q$247:$Q$283),0)</f>
        <v>0</v>
      </c>
      <c r="AL1431" s="196">
        <f>IFERROR($G1431/SUMIF($A:$A,$A1431,$G:$G)*(SUMIF(Summary!$A$247:$A$283,$A1431,Summary!$L$247:$L$283)+SUMIF(Summary!$A$297:$A$333,$A1431,Summary!$L$297:$L$333))-AK1431,0)</f>
        <v>0</v>
      </c>
      <c r="AM1431" s="198"/>
      <c r="AN1431" s="196">
        <f t="shared" ca="1" si="320"/>
        <v>0</v>
      </c>
      <c r="AO1431" s="196">
        <f t="shared" ca="1" si="321"/>
        <v>0</v>
      </c>
    </row>
    <row r="1432" spans="1:41">
      <c r="A1432" s="189">
        <v>3632</v>
      </c>
      <c r="B1432" s="190">
        <v>3</v>
      </c>
      <c r="C1432" s="191" t="s">
        <v>240</v>
      </c>
      <c r="D1432" s="192">
        <f t="shared" si="308"/>
        <v>0</v>
      </c>
      <c r="E1432" s="192">
        <f t="shared" si="309"/>
        <v>0</v>
      </c>
      <c r="F1432" s="192">
        <f t="shared" si="310"/>
        <v>0</v>
      </c>
      <c r="G1432" s="193">
        <f t="shared" si="311"/>
        <v>0</v>
      </c>
      <c r="H1432" s="194">
        <v>0</v>
      </c>
      <c r="I1432" s="194">
        <v>0</v>
      </c>
      <c r="J1432" s="194">
        <v>0</v>
      </c>
      <c r="K1432" s="193">
        <f t="shared" si="312"/>
        <v>0</v>
      </c>
      <c r="L1432" s="194">
        <v>0</v>
      </c>
      <c r="M1432" s="194">
        <v>0</v>
      </c>
      <c r="N1432" s="194">
        <v>0</v>
      </c>
      <c r="O1432" s="193">
        <f t="shared" si="313"/>
        <v>0</v>
      </c>
      <c r="P1432" s="194">
        <v>0</v>
      </c>
      <c r="Q1432" s="194">
        <v>0</v>
      </c>
      <c r="R1432" s="194">
        <v>0</v>
      </c>
      <c r="S1432" s="193">
        <f t="shared" si="314"/>
        <v>0</v>
      </c>
      <c r="T1432" s="193">
        <f t="shared" si="315"/>
        <v>0</v>
      </c>
      <c r="U1432" s="193">
        <f ca="1">OFFSET('Expenditure Study'!$B$7,'Operations Support'!$C1432,'Operations Support'!$B1432)*$G1432</f>
        <v>0</v>
      </c>
      <c r="V1432" s="199">
        <f ca="1">U1432*'Expenditure Study'!$B$31</f>
        <v>0</v>
      </c>
      <c r="W1432" s="199">
        <f ca="1">IF(A1432=10298,1.51,1)*IF($B1432&lt;3,$D1432*'Expenditure Study'!$B$32*OFFSET('Expenditure Study'!$B$7,'Operations Support'!$C1432,'Operations Support'!$B1432),0)</f>
        <v>0</v>
      </c>
      <c r="X1432" s="200">
        <f ca="1">W1432*'Expenditure Study'!$B$31</f>
        <v>0</v>
      </c>
      <c r="Y1432" s="199">
        <f ca="1">U1432*'Expenditure Study'!$B$31</f>
        <v>0</v>
      </c>
      <c r="Z1432" s="200">
        <f ca="1">W1432*'Expenditure Study'!$B$31</f>
        <v>0</v>
      </c>
      <c r="AA1432" s="195">
        <f t="shared" ca="1" si="316"/>
        <v>0</v>
      </c>
      <c r="AB1432" s="195">
        <f t="shared" ca="1" si="317"/>
        <v>0</v>
      </c>
      <c r="AD1432" s="196">
        <f>IFERROR($G1432/SUMIF($A:$A,$A1432,$G:$G)*SUMIF(Summary!$A$166:$A$242,$A1432,Summary!$P$166:$P$242),0)</f>
        <v>0</v>
      </c>
      <c r="AE1432" s="197">
        <f t="shared" ca="1" si="318"/>
        <v>0</v>
      </c>
      <c r="AF1432" s="196">
        <f>IFERROR(G1432/SUMIF(A:A,A1432,G:G)*SUMIF(Summary!$A$166:$A$242,'Operations Support'!A1432,Summary!$Q$166:$Q$242),0)</f>
        <v>0</v>
      </c>
      <c r="AG1432" s="196">
        <f t="shared" ca="1" si="319"/>
        <v>0</v>
      </c>
      <c r="AI1432" s="196">
        <f>IFERROR($G1432/SUMIF($A:$A,$A1432,$G:$G)*SUMIF(Summary!$A$247:$A$283,$A1432,Summary!$P$247:$P$283),0)</f>
        <v>0</v>
      </c>
      <c r="AJ1432" s="196">
        <f>IFERROR($G1432/SUMIF($A:$A,$A1432,$G:$G)*(SUMIF(Summary!$A$247:$A$283,$A1432,Summary!$L$247:$L$283)+SUMIF(Summary!$A$297:$A$333,$A1432,Summary!$L$297:$L$333))-AI1432,0)</f>
        <v>0</v>
      </c>
      <c r="AK1432" s="196">
        <f>IFERROR($G1432/SUMIF($A:$A,$A1432,$G:$G)*SUMIF(Summary!$A$247:$A$283,$A1432,Summary!$Q$247:$Q$283),0)</f>
        <v>0</v>
      </c>
      <c r="AL1432" s="196">
        <f>IFERROR($G1432/SUMIF($A:$A,$A1432,$G:$G)*(SUMIF(Summary!$A$247:$A$283,$A1432,Summary!$L$247:$L$283)+SUMIF(Summary!$A$297:$A$333,$A1432,Summary!$L$297:$L$333))-AK1432,0)</f>
        <v>0</v>
      </c>
      <c r="AM1432" s="198"/>
      <c r="AN1432" s="196">
        <f t="shared" ca="1" si="320"/>
        <v>0</v>
      </c>
      <c r="AO1432" s="196">
        <f t="shared" ca="1" si="321"/>
        <v>0</v>
      </c>
    </row>
    <row r="1433" spans="1:41">
      <c r="A1433" s="189">
        <v>3632</v>
      </c>
      <c r="B1433" s="190">
        <v>4</v>
      </c>
      <c r="C1433" s="191" t="s">
        <v>220</v>
      </c>
      <c r="D1433" s="192">
        <f t="shared" si="308"/>
        <v>11821.279999999999</v>
      </c>
      <c r="E1433" s="192">
        <f t="shared" si="309"/>
        <v>1138.72</v>
      </c>
      <c r="F1433" s="192">
        <f t="shared" si="310"/>
        <v>508</v>
      </c>
      <c r="G1433" s="193">
        <f t="shared" si="311"/>
        <v>12451.999999999998</v>
      </c>
      <c r="H1433" s="194">
        <v>5023.28</v>
      </c>
      <c r="I1433" s="194">
        <v>417.72</v>
      </c>
      <c r="J1433" s="194">
        <v>142</v>
      </c>
      <c r="K1433" s="193">
        <f t="shared" si="312"/>
        <v>5299</v>
      </c>
      <c r="L1433" s="194">
        <v>5259</v>
      </c>
      <c r="M1433" s="194">
        <v>512</v>
      </c>
      <c r="N1433" s="194">
        <v>240</v>
      </c>
      <c r="O1433" s="193">
        <f t="shared" si="313"/>
        <v>5531</v>
      </c>
      <c r="P1433" s="194">
        <v>1539</v>
      </c>
      <c r="Q1433" s="194">
        <v>209</v>
      </c>
      <c r="R1433" s="194">
        <v>126</v>
      </c>
      <c r="S1433" s="193">
        <f t="shared" si="314"/>
        <v>1622</v>
      </c>
      <c r="T1433" s="193">
        <f t="shared" si="315"/>
        <v>691.77777777777771</v>
      </c>
      <c r="U1433" s="193">
        <f ca="1">OFFSET('Expenditure Study'!$B$7,'Operations Support'!$C1433,'Operations Support'!$B1433)*$G1433</f>
        <v>183417.96</v>
      </c>
      <c r="V1433" s="199">
        <f ca="1">U1433*'Expenditure Study'!$B$31</f>
        <v>10836916.492647167</v>
      </c>
      <c r="W1433" s="199">
        <f ca="1">IF(A1433=10298,1.51,1)*IF($B1433&lt;3,$D1433*'Expenditure Study'!$B$32*OFFSET('Expenditure Study'!$B$7,'Operations Support'!$C1433,'Operations Support'!$B1433),0)</f>
        <v>0</v>
      </c>
      <c r="X1433" s="200">
        <f ca="1">W1433*'Expenditure Study'!$B$31</f>
        <v>0</v>
      </c>
      <c r="Y1433" s="199">
        <f ca="1">U1433*'Expenditure Study'!$B$31</f>
        <v>10836916.492647167</v>
      </c>
      <c r="Z1433" s="200">
        <f ca="1">W1433*'Expenditure Study'!$B$31</f>
        <v>0</v>
      </c>
      <c r="AA1433" s="195">
        <f t="shared" ca="1" si="316"/>
        <v>10836916.492647167</v>
      </c>
      <c r="AB1433" s="195">
        <f t="shared" ca="1" si="317"/>
        <v>10836916.492647167</v>
      </c>
      <c r="AD1433" s="196">
        <f>IFERROR($G1433/SUMIF($A:$A,$A1433,$G:$G)*SUMIF(Summary!$A$166:$A$242,$A1433,Summary!$P$166:$P$242),0)</f>
        <v>418886.37413177441</v>
      </c>
      <c r="AE1433" s="197">
        <f t="shared" ca="1" si="318"/>
        <v>10418030.118515393</v>
      </c>
      <c r="AF1433" s="196">
        <f>IFERROR(G1433/SUMIF(A:A,A1433,G:G)*SUMIF(Summary!$A$166:$A$242,'Operations Support'!A1433,Summary!$Q$166:$Q$242),0)</f>
        <v>420604.8523406302</v>
      </c>
      <c r="AG1433" s="196">
        <f t="shared" ca="1" si="319"/>
        <v>10416311.640306538</v>
      </c>
      <c r="AI1433" s="196">
        <f>IFERROR($G1433/SUMIF($A:$A,$A1433,$G:$G)*SUMIF(Summary!$A$247:$A$283,$A1433,Summary!$P$247:$P$283),0)</f>
        <v>76394.421448690642</v>
      </c>
      <c r="AJ1433" s="196">
        <f>IFERROR($G1433/SUMIF($A:$A,$A1433,$G:$G)*(SUMIF(Summary!$A$247:$A$283,$A1433,Summary!$L$247:$L$283)+SUMIF(Summary!$A$297:$A$333,$A1433,Summary!$L$297:$L$333))-AI1433,0)</f>
        <v>277869.45487447706</v>
      </c>
      <c r="AK1433" s="196">
        <f>IFERROR($G1433/SUMIF($A:$A,$A1433,$G:$G)*SUMIF(Summary!$A$247:$A$283,$A1433,Summary!$Q$247:$Q$283),0)</f>
        <v>76707.828989840258</v>
      </c>
      <c r="AL1433" s="196">
        <f>IFERROR($G1433/SUMIF($A:$A,$A1433,$G:$G)*(SUMIF(Summary!$A$247:$A$283,$A1433,Summary!$L$247:$L$283)+SUMIF(Summary!$A$297:$A$333,$A1433,Summary!$L$297:$L$333))-AK1433,0)</f>
        <v>277556.04733332747</v>
      </c>
      <c r="AM1433" s="198"/>
      <c r="AN1433" s="196">
        <f t="shared" ca="1" si="320"/>
        <v>10695899.573389869</v>
      </c>
      <c r="AO1433" s="196">
        <f t="shared" ca="1" si="321"/>
        <v>10693867.687639866</v>
      </c>
    </row>
    <row r="1434" spans="1:41">
      <c r="A1434" s="189">
        <v>3632</v>
      </c>
      <c r="B1434" s="190">
        <v>4</v>
      </c>
      <c r="C1434" s="191" t="s">
        <v>221</v>
      </c>
      <c r="D1434" s="192">
        <f t="shared" si="308"/>
        <v>19966</v>
      </c>
      <c r="E1434" s="192">
        <f t="shared" si="309"/>
        <v>952</v>
      </c>
      <c r="F1434" s="192">
        <f t="shared" si="310"/>
        <v>1503</v>
      </c>
      <c r="G1434" s="193">
        <f t="shared" si="311"/>
        <v>19415</v>
      </c>
      <c r="H1434" s="194">
        <v>7627.75</v>
      </c>
      <c r="I1434" s="194">
        <v>456.25</v>
      </c>
      <c r="J1434" s="194">
        <v>278</v>
      </c>
      <c r="K1434" s="193">
        <f t="shared" si="312"/>
        <v>7806</v>
      </c>
      <c r="L1434" s="194">
        <v>7573.25</v>
      </c>
      <c r="M1434" s="194">
        <v>346.75</v>
      </c>
      <c r="N1434" s="194">
        <v>683</v>
      </c>
      <c r="O1434" s="193">
        <f t="shared" si="313"/>
        <v>7237</v>
      </c>
      <c r="P1434" s="194">
        <v>4765</v>
      </c>
      <c r="Q1434" s="194">
        <v>149</v>
      </c>
      <c r="R1434" s="194">
        <v>542</v>
      </c>
      <c r="S1434" s="193">
        <f t="shared" si="314"/>
        <v>4372</v>
      </c>
      <c r="T1434" s="193">
        <f t="shared" si="315"/>
        <v>1078.6111111111111</v>
      </c>
      <c r="U1434" s="193">
        <f ca="1">OFFSET('Expenditure Study'!$B$7,'Operations Support'!$C1434,'Operations Support'!$B1434)*$G1434</f>
        <v>422082.1</v>
      </c>
      <c r="V1434" s="199">
        <f ca="1">U1434*'Expenditure Study'!$B$31</f>
        <v>24937953.02674368</v>
      </c>
      <c r="W1434" s="199">
        <f ca="1">IF(A1434=10298,1.51,1)*IF($B1434&lt;3,$D1434*'Expenditure Study'!$B$32*OFFSET('Expenditure Study'!$B$7,'Operations Support'!$C1434,'Operations Support'!$B1434),0)</f>
        <v>0</v>
      </c>
      <c r="X1434" s="200">
        <f ca="1">W1434*'Expenditure Study'!$B$31</f>
        <v>0</v>
      </c>
      <c r="Y1434" s="199">
        <f ca="1">U1434*'Expenditure Study'!$B$31</f>
        <v>24937953.02674368</v>
      </c>
      <c r="Z1434" s="200">
        <f ca="1">W1434*'Expenditure Study'!$B$31</f>
        <v>0</v>
      </c>
      <c r="AA1434" s="195">
        <f t="shared" ca="1" si="316"/>
        <v>24937953.02674368</v>
      </c>
      <c r="AB1434" s="195">
        <f t="shared" ca="1" si="317"/>
        <v>24937953.02674368</v>
      </c>
      <c r="AD1434" s="196">
        <f>IFERROR($G1434/SUMIF($A:$A,$A1434,$G:$G)*SUMIF(Summary!$A$166:$A$242,$A1434,Summary!$P$166:$P$242),0)</f>
        <v>653122.30595634447</v>
      </c>
      <c r="AE1434" s="197">
        <f t="shared" ca="1" si="318"/>
        <v>24284830.720787335</v>
      </c>
      <c r="AF1434" s="196">
        <f>IFERROR(G1434/SUMIF(A:A,A1434,G:G)*SUMIF(Summary!$A$166:$A$242,'Operations Support'!A1434,Summary!$Q$166:$Q$242),0)</f>
        <v>655801.73531909217</v>
      </c>
      <c r="AG1434" s="196">
        <f t="shared" ca="1" si="319"/>
        <v>24282151.291424587</v>
      </c>
      <c r="AI1434" s="196">
        <f>IFERROR($G1434/SUMIF($A:$A,$A1434,$G:$G)*SUMIF(Summary!$A$247:$A$283,$A1434,Summary!$P$247:$P$283),0)</f>
        <v>119113.21012097085</v>
      </c>
      <c r="AJ1434" s="196">
        <f>IFERROR($G1434/SUMIF($A:$A,$A1434,$G:$G)*(SUMIF(Summary!$A$247:$A$283,$A1434,Summary!$L$247:$L$283)+SUMIF(Summary!$A$297:$A$333,$A1434,Summary!$L$297:$L$333))-AI1434,0)</f>
        <v>433250.5193051697</v>
      </c>
      <c r="AK1434" s="196">
        <f>IFERROR($G1434/SUMIF($A:$A,$A1434,$G:$G)*SUMIF(Summary!$A$247:$A$283,$A1434,Summary!$Q$247:$Q$283),0)</f>
        <v>119601.87117232161</v>
      </c>
      <c r="AL1434" s="196">
        <f>IFERROR($G1434/SUMIF($A:$A,$A1434,$G:$G)*(SUMIF(Summary!$A$247:$A$283,$A1434,Summary!$L$247:$L$283)+SUMIF(Summary!$A$297:$A$333,$A1434,Summary!$L$297:$L$333))-AK1434,0)</f>
        <v>432761.85825381894</v>
      </c>
      <c r="AM1434" s="198"/>
      <c r="AN1434" s="196">
        <f t="shared" ca="1" si="320"/>
        <v>24718081.240092505</v>
      </c>
      <c r="AO1434" s="196">
        <f t="shared" ca="1" si="321"/>
        <v>24714913.149678405</v>
      </c>
    </row>
    <row r="1435" spans="1:41">
      <c r="A1435" s="189">
        <v>3632</v>
      </c>
      <c r="B1435" s="190">
        <v>4</v>
      </c>
      <c r="C1435" s="191" t="s">
        <v>222</v>
      </c>
      <c r="D1435" s="192">
        <f t="shared" si="308"/>
        <v>51</v>
      </c>
      <c r="E1435" s="192">
        <f t="shared" si="309"/>
        <v>4</v>
      </c>
      <c r="F1435" s="192">
        <f t="shared" si="310"/>
        <v>0</v>
      </c>
      <c r="G1435" s="193">
        <f t="shared" si="311"/>
        <v>55</v>
      </c>
      <c r="H1435" s="194">
        <v>27</v>
      </c>
      <c r="I1435" s="194">
        <v>4</v>
      </c>
      <c r="J1435" s="194">
        <v>0</v>
      </c>
      <c r="K1435" s="193">
        <f t="shared" si="312"/>
        <v>31</v>
      </c>
      <c r="L1435" s="194">
        <v>24</v>
      </c>
      <c r="M1435" s="194">
        <v>0</v>
      </c>
      <c r="N1435" s="194">
        <v>0</v>
      </c>
      <c r="O1435" s="193">
        <f t="shared" si="313"/>
        <v>24</v>
      </c>
      <c r="P1435" s="194">
        <v>0</v>
      </c>
      <c r="Q1435" s="194">
        <v>0</v>
      </c>
      <c r="R1435" s="194">
        <v>0</v>
      </c>
      <c r="S1435" s="193">
        <f t="shared" si="314"/>
        <v>0</v>
      </c>
      <c r="T1435" s="193">
        <f t="shared" si="315"/>
        <v>3.0555555555555554</v>
      </c>
      <c r="U1435" s="193">
        <f ca="1">OFFSET('Expenditure Study'!$B$7,'Operations Support'!$C1435,'Operations Support'!$B1435)*$G1435</f>
        <v>555.5</v>
      </c>
      <c r="V1435" s="199">
        <f ca="1">U1435*'Expenditure Study'!$B$31</f>
        <v>32820.706934399997</v>
      </c>
      <c r="W1435" s="199">
        <f ca="1">IF(A1435=10298,1.51,1)*IF($B1435&lt;3,$D1435*'Expenditure Study'!$B$32*OFFSET('Expenditure Study'!$B$7,'Operations Support'!$C1435,'Operations Support'!$B1435),0)</f>
        <v>0</v>
      </c>
      <c r="X1435" s="200">
        <f ca="1">W1435*'Expenditure Study'!$B$31</f>
        <v>0</v>
      </c>
      <c r="Y1435" s="199">
        <f ca="1">U1435*'Expenditure Study'!$B$31</f>
        <v>32820.706934399997</v>
      </c>
      <c r="Z1435" s="200">
        <f ca="1">W1435*'Expenditure Study'!$B$31</f>
        <v>0</v>
      </c>
      <c r="AA1435" s="195">
        <f t="shared" ca="1" si="316"/>
        <v>32820.706934399997</v>
      </c>
      <c r="AB1435" s="195">
        <f t="shared" ca="1" si="317"/>
        <v>32820.706934399997</v>
      </c>
      <c r="AD1435" s="196">
        <f>IFERROR($G1435/SUMIF($A:$A,$A1435,$G:$G)*SUMIF(Summary!$A$166:$A$242,$A1435,Summary!$P$166:$P$242),0)</f>
        <v>1850.2048327375198</v>
      </c>
      <c r="AE1435" s="197">
        <f t="shared" ca="1" si="318"/>
        <v>30970.502101662478</v>
      </c>
      <c r="AF1435" s="196">
        <f>IFERROR(G1435/SUMIF(A:A,A1435,G:G)*SUMIF(Summary!$A$166:$A$242,'Operations Support'!A1435,Summary!$Q$166:$Q$242),0)</f>
        <v>1857.7952841900631</v>
      </c>
      <c r="AG1435" s="196">
        <f t="shared" ca="1" si="319"/>
        <v>30962.911650209935</v>
      </c>
      <c r="AI1435" s="196">
        <f>IFERROR($G1435/SUMIF($A:$A,$A1435,$G:$G)*SUMIF(Summary!$A$247:$A$283,$A1435,Summary!$P$247:$P$283),0)</f>
        <v>337.43119014439333</v>
      </c>
      <c r="AJ1435" s="196">
        <f>IFERROR($G1435/SUMIF($A:$A,$A1435,$G:$G)*(SUMIF(Summary!$A$247:$A$283,$A1435,Summary!$L$247:$L$283)+SUMIF(Summary!$A$297:$A$333,$A1435,Summary!$L$297:$L$333))-AI1435,0)</f>
        <v>1227.3385816010473</v>
      </c>
      <c r="AK1435" s="196">
        <f>IFERROR($G1435/SUMIF($A:$A,$A1435,$G:$G)*SUMIF(Summary!$A$247:$A$283,$A1435,Summary!$Q$247:$Q$283),0)</f>
        <v>338.81549907173263</v>
      </c>
      <c r="AL1435" s="196">
        <f>IFERROR($G1435/SUMIF($A:$A,$A1435,$G:$G)*(SUMIF(Summary!$A$247:$A$283,$A1435,Summary!$L$247:$L$283)+SUMIF(Summary!$A$297:$A$333,$A1435,Summary!$L$297:$L$333))-AK1435,0)</f>
        <v>1225.9542726737081</v>
      </c>
      <c r="AM1435" s="198"/>
      <c r="AN1435" s="196">
        <f t="shared" ca="1" si="320"/>
        <v>32197.840683263526</v>
      </c>
      <c r="AO1435" s="196">
        <f t="shared" ca="1" si="321"/>
        <v>32188.865922883644</v>
      </c>
    </row>
    <row r="1436" spans="1:41">
      <c r="A1436" s="189">
        <v>3632</v>
      </c>
      <c r="B1436" s="190">
        <v>4</v>
      </c>
      <c r="C1436" s="191" t="s">
        <v>223</v>
      </c>
      <c r="D1436" s="192">
        <f t="shared" si="308"/>
        <v>3854.9399999999996</v>
      </c>
      <c r="E1436" s="192">
        <f t="shared" si="309"/>
        <v>1222.06</v>
      </c>
      <c r="F1436" s="192">
        <f t="shared" si="310"/>
        <v>87</v>
      </c>
      <c r="G1436" s="193">
        <f t="shared" si="311"/>
        <v>4990</v>
      </c>
      <c r="H1436" s="194">
        <v>1527.7</v>
      </c>
      <c r="I1436" s="194">
        <v>419.3</v>
      </c>
      <c r="J1436" s="194">
        <v>15</v>
      </c>
      <c r="K1436" s="193">
        <f t="shared" si="312"/>
        <v>1932</v>
      </c>
      <c r="L1436" s="194">
        <v>1728.5</v>
      </c>
      <c r="M1436" s="194">
        <v>386.5</v>
      </c>
      <c r="N1436" s="194">
        <v>50</v>
      </c>
      <c r="O1436" s="193">
        <f t="shared" si="313"/>
        <v>2065</v>
      </c>
      <c r="P1436" s="194">
        <v>598.74</v>
      </c>
      <c r="Q1436" s="194">
        <v>416.26</v>
      </c>
      <c r="R1436" s="194">
        <v>22</v>
      </c>
      <c r="S1436" s="193">
        <f t="shared" si="314"/>
        <v>993</v>
      </c>
      <c r="T1436" s="193">
        <f t="shared" si="315"/>
        <v>277.22222222222223</v>
      </c>
      <c r="U1436" s="193">
        <f ca="1">OFFSET('Expenditure Study'!$B$7,'Operations Support'!$C1436,'Operations Support'!$B1436)*$G1436</f>
        <v>39021.800000000003</v>
      </c>
      <c r="V1436" s="199">
        <f ca="1">U1436*'Expenditure Study'!$B$31</f>
        <v>2305532.06454144</v>
      </c>
      <c r="W1436" s="199">
        <f ca="1">IF(A1436=10298,1.51,1)*IF($B1436&lt;3,$D1436*'Expenditure Study'!$B$32*OFFSET('Expenditure Study'!$B$7,'Operations Support'!$C1436,'Operations Support'!$B1436),0)</f>
        <v>0</v>
      </c>
      <c r="X1436" s="200">
        <f ca="1">W1436*'Expenditure Study'!$B$31</f>
        <v>0</v>
      </c>
      <c r="Y1436" s="199">
        <f ca="1">U1436*'Expenditure Study'!$B$31</f>
        <v>2305532.06454144</v>
      </c>
      <c r="Z1436" s="200">
        <f ca="1">W1436*'Expenditure Study'!$B$31</f>
        <v>0</v>
      </c>
      <c r="AA1436" s="195">
        <f t="shared" ca="1" si="316"/>
        <v>2305532.06454144</v>
      </c>
      <c r="AB1436" s="195">
        <f t="shared" ca="1" si="317"/>
        <v>2305532.06454144</v>
      </c>
      <c r="AD1436" s="196">
        <f>IFERROR($G1436/SUMIF($A:$A,$A1436,$G:$G)*SUMIF(Summary!$A$166:$A$242,$A1436,Summary!$P$166:$P$242),0)</f>
        <v>167864.03846109498</v>
      </c>
      <c r="AE1436" s="197">
        <f t="shared" ca="1" si="318"/>
        <v>2137668.0260803448</v>
      </c>
      <c r="AF1436" s="196">
        <f>IFERROR(G1436/SUMIF(A:A,A1436,G:G)*SUMIF(Summary!$A$166:$A$242,'Operations Support'!A1436,Summary!$Q$166:$Q$242),0)</f>
        <v>168552.69942015299</v>
      </c>
      <c r="AG1436" s="196">
        <f t="shared" ca="1" si="319"/>
        <v>2136979.3651212868</v>
      </c>
      <c r="AI1436" s="196">
        <f>IFERROR($G1436/SUMIF($A:$A,$A1436,$G:$G)*SUMIF(Summary!$A$247:$A$283,$A1436,Summary!$P$247:$P$283),0)</f>
        <v>30614.211614918597</v>
      </c>
      <c r="AJ1436" s="196">
        <f>IFERROR($G1436/SUMIF($A:$A,$A1436,$G:$G)*(SUMIF(Summary!$A$247:$A$283,$A1436,Summary!$L$247:$L$283)+SUMIF(Summary!$A$297:$A$333,$A1436,Summary!$L$297:$L$333))-AI1436,0)</f>
        <v>111353.08222162229</v>
      </c>
      <c r="AK1436" s="196">
        <f>IFERROR($G1436/SUMIF($A:$A,$A1436,$G:$G)*SUMIF(Summary!$A$247:$A$283,$A1436,Summary!$Q$247:$Q$283),0)</f>
        <v>30739.806188508108</v>
      </c>
      <c r="AL1436" s="196">
        <f>IFERROR($G1436/SUMIF($A:$A,$A1436,$G:$G)*(SUMIF(Summary!$A$247:$A$283,$A1436,Summary!$L$247:$L$283)+SUMIF(Summary!$A$297:$A$333,$A1436,Summary!$L$297:$L$333))-AK1436,0)</f>
        <v>111227.48764803278</v>
      </c>
      <c r="AM1436" s="198"/>
      <c r="AN1436" s="196">
        <f t="shared" ca="1" si="320"/>
        <v>2249021.1083019669</v>
      </c>
      <c r="AO1436" s="196">
        <f t="shared" ca="1" si="321"/>
        <v>2248206.8527693194</v>
      </c>
    </row>
    <row r="1437" spans="1:41">
      <c r="A1437" s="189">
        <v>3632</v>
      </c>
      <c r="B1437" s="190">
        <v>4</v>
      </c>
      <c r="C1437" s="191" t="s">
        <v>224</v>
      </c>
      <c r="D1437" s="192">
        <f t="shared" si="308"/>
        <v>5787.5</v>
      </c>
      <c r="E1437" s="192">
        <f t="shared" si="309"/>
        <v>720.5</v>
      </c>
      <c r="F1437" s="192">
        <f t="shared" si="310"/>
        <v>222</v>
      </c>
      <c r="G1437" s="193">
        <f t="shared" si="311"/>
        <v>6286</v>
      </c>
      <c r="H1437" s="194">
        <v>2275.5</v>
      </c>
      <c r="I1437" s="194">
        <v>340.5</v>
      </c>
      <c r="J1437" s="194">
        <v>24</v>
      </c>
      <c r="K1437" s="193">
        <f t="shared" si="312"/>
        <v>2592</v>
      </c>
      <c r="L1437" s="194">
        <v>2250.5</v>
      </c>
      <c r="M1437" s="194">
        <v>257.5</v>
      </c>
      <c r="N1437" s="194">
        <v>128</v>
      </c>
      <c r="O1437" s="193">
        <f t="shared" si="313"/>
        <v>2380</v>
      </c>
      <c r="P1437" s="194">
        <v>1261.5</v>
      </c>
      <c r="Q1437" s="194">
        <v>122.5</v>
      </c>
      <c r="R1437" s="194">
        <v>70</v>
      </c>
      <c r="S1437" s="193">
        <f t="shared" si="314"/>
        <v>1314</v>
      </c>
      <c r="T1437" s="193">
        <f t="shared" si="315"/>
        <v>349.22222222222223</v>
      </c>
      <c r="U1437" s="193">
        <f ca="1">OFFSET('Expenditure Study'!$B$7,'Operations Support'!$C1437,'Operations Support'!$B1437)*$G1437</f>
        <v>90958.42</v>
      </c>
      <c r="V1437" s="199">
        <f ca="1">U1437*'Expenditure Study'!$B$31</f>
        <v>5374112.7741423361</v>
      </c>
      <c r="W1437" s="199">
        <f ca="1">IF(A1437=10298,1.51,1)*IF($B1437&lt;3,$D1437*'Expenditure Study'!$B$32*OFFSET('Expenditure Study'!$B$7,'Operations Support'!$C1437,'Operations Support'!$B1437),0)</f>
        <v>0</v>
      </c>
      <c r="X1437" s="200">
        <f ca="1">W1437*'Expenditure Study'!$B$31</f>
        <v>0</v>
      </c>
      <c r="Y1437" s="199">
        <f ca="1">U1437*'Expenditure Study'!$B$31</f>
        <v>5374112.7741423361</v>
      </c>
      <c r="Z1437" s="200">
        <f ca="1">W1437*'Expenditure Study'!$B$31</f>
        <v>0</v>
      </c>
      <c r="AA1437" s="195">
        <f t="shared" ca="1" si="316"/>
        <v>5374112.7741423361</v>
      </c>
      <c r="AB1437" s="195">
        <f t="shared" ca="1" si="317"/>
        <v>5374112.7741423361</v>
      </c>
      <c r="AD1437" s="196">
        <f>IFERROR($G1437/SUMIF($A:$A,$A1437,$G:$G)*SUMIF(Summary!$A$166:$A$242,$A1437,Summary!$P$166:$P$242),0)</f>
        <v>211461.59233796454</v>
      </c>
      <c r="AE1437" s="197">
        <f t="shared" ca="1" si="318"/>
        <v>5162651.181804372</v>
      </c>
      <c r="AF1437" s="196">
        <f>IFERROR(G1437/SUMIF(A:A,A1437,G:G)*SUMIF(Summary!$A$166:$A$242,'Operations Support'!A1437,Summary!$Q$166:$Q$242),0)</f>
        <v>212329.11193488611</v>
      </c>
      <c r="AG1437" s="196">
        <f t="shared" ca="1" si="319"/>
        <v>5161783.6622074498</v>
      </c>
      <c r="AI1437" s="196">
        <f>IFERROR($G1437/SUMIF($A:$A,$A1437,$G:$G)*SUMIF(Summary!$A$247:$A$283,$A1437,Summary!$P$247:$P$283),0)</f>
        <v>38565.317477230121</v>
      </c>
      <c r="AJ1437" s="196">
        <f>IFERROR($G1437/SUMIF($A:$A,$A1437,$G:$G)*(SUMIF(Summary!$A$247:$A$283,$A1437,Summary!$L$247:$L$283)+SUMIF(Summary!$A$297:$A$333,$A1437,Summary!$L$297:$L$333))-AI1437,0)</f>
        <v>140273.64225353059</v>
      </c>
      <c r="AK1437" s="196">
        <f>IFERROR($G1437/SUMIF($A:$A,$A1437,$G:$G)*SUMIF(Summary!$A$247:$A$283,$A1437,Summary!$Q$247:$Q$283),0)</f>
        <v>38723.531402998386</v>
      </c>
      <c r="AL1437" s="196">
        <f>IFERROR($G1437/SUMIF($A:$A,$A1437,$G:$G)*(SUMIF(Summary!$A$247:$A$283,$A1437,Summary!$L$247:$L$283)+SUMIF(Summary!$A$297:$A$333,$A1437,Summary!$L$297:$L$333))-AK1437,0)</f>
        <v>140115.42832776235</v>
      </c>
      <c r="AM1437" s="198"/>
      <c r="AN1437" s="196">
        <f t="shared" ca="1" si="320"/>
        <v>5302924.8240579022</v>
      </c>
      <c r="AO1437" s="196">
        <f t="shared" ca="1" si="321"/>
        <v>5301899.0905352123</v>
      </c>
    </row>
    <row r="1438" spans="1:41">
      <c r="A1438" s="189">
        <v>3632</v>
      </c>
      <c r="B1438" s="190">
        <v>4</v>
      </c>
      <c r="C1438" s="191" t="s">
        <v>225</v>
      </c>
      <c r="D1438" s="192">
        <f t="shared" si="308"/>
        <v>26496.760000000002</v>
      </c>
      <c r="E1438" s="192">
        <f t="shared" si="309"/>
        <v>1375.24</v>
      </c>
      <c r="F1438" s="192">
        <f t="shared" si="310"/>
        <v>1492</v>
      </c>
      <c r="G1438" s="193">
        <f t="shared" si="311"/>
        <v>26380.000000000004</v>
      </c>
      <c r="H1438" s="194">
        <v>10490</v>
      </c>
      <c r="I1438" s="194">
        <v>739</v>
      </c>
      <c r="J1438" s="194">
        <v>138</v>
      </c>
      <c r="K1438" s="193">
        <f t="shared" si="312"/>
        <v>11091</v>
      </c>
      <c r="L1438" s="194">
        <v>10877.26</v>
      </c>
      <c r="M1438" s="194">
        <v>471.74</v>
      </c>
      <c r="N1438" s="194">
        <v>904</v>
      </c>
      <c r="O1438" s="193">
        <f t="shared" si="313"/>
        <v>10445</v>
      </c>
      <c r="P1438" s="194">
        <v>5129.5</v>
      </c>
      <c r="Q1438" s="194">
        <v>164.5</v>
      </c>
      <c r="R1438" s="194">
        <v>450</v>
      </c>
      <c r="S1438" s="193">
        <f t="shared" si="314"/>
        <v>4844</v>
      </c>
      <c r="T1438" s="193">
        <f t="shared" si="315"/>
        <v>1465.5555555555557</v>
      </c>
      <c r="U1438" s="193">
        <f ca="1">OFFSET('Expenditure Study'!$B$7,'Operations Support'!$C1438,'Operations Support'!$B1438)*$G1438</f>
        <v>495680.20000000007</v>
      </c>
      <c r="V1438" s="199">
        <f ca="1">U1438*'Expenditure Study'!$B$31</f>
        <v>29286362.875580166</v>
      </c>
      <c r="W1438" s="199">
        <f ca="1">IF(A1438=10298,1.51,1)*IF($B1438&lt;3,$D1438*'Expenditure Study'!$B$32*OFFSET('Expenditure Study'!$B$7,'Operations Support'!$C1438,'Operations Support'!$B1438),0)</f>
        <v>0</v>
      </c>
      <c r="X1438" s="200">
        <f ca="1">W1438*'Expenditure Study'!$B$31</f>
        <v>0</v>
      </c>
      <c r="Y1438" s="199">
        <f ca="1">U1438*'Expenditure Study'!$B$31</f>
        <v>29286362.875580166</v>
      </c>
      <c r="Z1438" s="200">
        <f ca="1">W1438*'Expenditure Study'!$B$31</f>
        <v>0</v>
      </c>
      <c r="AA1438" s="195">
        <f t="shared" ca="1" si="316"/>
        <v>29286362.875580166</v>
      </c>
      <c r="AB1438" s="195">
        <f t="shared" ca="1" si="317"/>
        <v>29286362.875580166</v>
      </c>
      <c r="AD1438" s="196">
        <f>IFERROR($G1438/SUMIF($A:$A,$A1438,$G:$G)*SUMIF(Summary!$A$166:$A$242,$A1438,Summary!$P$166:$P$242),0)</f>
        <v>887425.51795665047</v>
      </c>
      <c r="AE1438" s="197">
        <f t="shared" ca="1" si="318"/>
        <v>28398937.357623514</v>
      </c>
      <c r="AF1438" s="196">
        <f>IFERROR(G1438/SUMIF(A:A,A1438,G:G)*SUMIF(Summary!$A$166:$A$242,'Operations Support'!A1438,Summary!$Q$166:$Q$242),0)</f>
        <v>891066.17448970664</v>
      </c>
      <c r="AG1438" s="196">
        <f t="shared" ca="1" si="319"/>
        <v>28395296.701090459</v>
      </c>
      <c r="AI1438" s="196">
        <f>IFERROR($G1438/SUMIF($A:$A,$A1438,$G:$G)*SUMIF(Summary!$A$247:$A$283,$A1438,Summary!$P$247:$P$283),0)</f>
        <v>161844.26901834723</v>
      </c>
      <c r="AJ1438" s="196">
        <f>IFERROR($G1438/SUMIF($A:$A,$A1438,$G:$G)*(SUMIF(Summary!$A$247:$A$283,$A1438,Summary!$L$247:$L$283)+SUMIF(Summary!$A$297:$A$333,$A1438,Summary!$L$297:$L$333))-AI1438,0)</f>
        <v>588676.21422973881</v>
      </c>
      <c r="AK1438" s="196">
        <f>IFERROR($G1438/SUMIF($A:$A,$A1438,$G:$G)*SUMIF(Summary!$A$247:$A$283,$A1438,Summary!$Q$247:$Q$283),0)</f>
        <v>162508.2339184056</v>
      </c>
      <c r="AL1438" s="196">
        <f>IFERROR($G1438/SUMIF($A:$A,$A1438,$G:$G)*(SUMIF(Summary!$A$247:$A$283,$A1438,Summary!$L$247:$L$283)+SUMIF(Summary!$A$297:$A$333,$A1438,Summary!$L$297:$L$333))-AK1438,0)</f>
        <v>588012.24932968046</v>
      </c>
      <c r="AM1438" s="198"/>
      <c r="AN1438" s="196">
        <f t="shared" ca="1" si="320"/>
        <v>28987613.571853254</v>
      </c>
      <c r="AO1438" s="196">
        <f t="shared" ca="1" si="321"/>
        <v>28983308.950420137</v>
      </c>
    </row>
    <row r="1439" spans="1:41">
      <c r="A1439" s="189">
        <v>3632</v>
      </c>
      <c r="B1439" s="190">
        <v>4</v>
      </c>
      <c r="C1439" s="191" t="s">
        <v>226</v>
      </c>
      <c r="D1439" s="192">
        <f t="shared" si="308"/>
        <v>0</v>
      </c>
      <c r="E1439" s="192">
        <f t="shared" si="309"/>
        <v>6</v>
      </c>
      <c r="F1439" s="192">
        <f t="shared" si="310"/>
        <v>0</v>
      </c>
      <c r="G1439" s="193">
        <f t="shared" si="311"/>
        <v>6</v>
      </c>
      <c r="H1439" s="194">
        <v>0</v>
      </c>
      <c r="I1439" s="194">
        <v>6</v>
      </c>
      <c r="J1439" s="194">
        <v>0</v>
      </c>
      <c r="K1439" s="193">
        <f t="shared" si="312"/>
        <v>6</v>
      </c>
      <c r="L1439" s="194">
        <v>0</v>
      </c>
      <c r="M1439" s="194">
        <v>0</v>
      </c>
      <c r="N1439" s="194">
        <v>0</v>
      </c>
      <c r="O1439" s="193">
        <f t="shared" si="313"/>
        <v>0</v>
      </c>
      <c r="P1439" s="194">
        <v>0</v>
      </c>
      <c r="Q1439" s="194">
        <v>0</v>
      </c>
      <c r="R1439" s="194">
        <v>0</v>
      </c>
      <c r="S1439" s="193">
        <f t="shared" si="314"/>
        <v>0</v>
      </c>
      <c r="T1439" s="193">
        <f t="shared" si="315"/>
        <v>0.33333333333333331</v>
      </c>
      <c r="U1439" s="193">
        <f ca="1">OFFSET('Expenditure Study'!$B$7,'Operations Support'!$C1439,'Operations Support'!$B1439)*$G1439</f>
        <v>84.24</v>
      </c>
      <c r="V1439" s="199">
        <f ca="1">U1439*'Expenditure Study'!$B$31</f>
        <v>4977.1671505919994</v>
      </c>
      <c r="W1439" s="199">
        <f ca="1">IF(A1439=10298,1.51,1)*IF($B1439&lt;3,$D1439*'Expenditure Study'!$B$32*OFFSET('Expenditure Study'!$B$7,'Operations Support'!$C1439,'Operations Support'!$B1439),0)</f>
        <v>0</v>
      </c>
      <c r="X1439" s="200">
        <f ca="1">W1439*'Expenditure Study'!$B$31</f>
        <v>0</v>
      </c>
      <c r="Y1439" s="199">
        <f ca="1">U1439*'Expenditure Study'!$B$31</f>
        <v>4977.1671505919994</v>
      </c>
      <c r="Z1439" s="200">
        <f ca="1">W1439*'Expenditure Study'!$B$31</f>
        <v>0</v>
      </c>
      <c r="AA1439" s="195">
        <f t="shared" ca="1" si="316"/>
        <v>4977.1671505919994</v>
      </c>
      <c r="AB1439" s="195">
        <f t="shared" ca="1" si="317"/>
        <v>4977.1671505919994</v>
      </c>
      <c r="AD1439" s="196">
        <f>IFERROR($G1439/SUMIF($A:$A,$A1439,$G:$G)*SUMIF(Summary!$A$166:$A$242,$A1439,Summary!$P$166:$P$242),0)</f>
        <v>201.84052720772942</v>
      </c>
      <c r="AE1439" s="197">
        <f t="shared" ca="1" si="318"/>
        <v>4775.3266233842696</v>
      </c>
      <c r="AF1439" s="196">
        <f>IFERROR(G1439/SUMIF(A:A,A1439,G:G)*SUMIF(Summary!$A$166:$A$242,'Operations Support'!A1439,Summary!$Q$166:$Q$242),0)</f>
        <v>202.66857645709774</v>
      </c>
      <c r="AG1439" s="196">
        <f t="shared" ca="1" si="319"/>
        <v>4774.4985741349019</v>
      </c>
      <c r="AI1439" s="196">
        <f>IFERROR($G1439/SUMIF($A:$A,$A1439,$G:$G)*SUMIF(Summary!$A$247:$A$283,$A1439,Summary!$P$247:$P$283),0)</f>
        <v>36.810675288479267</v>
      </c>
      <c r="AJ1439" s="196">
        <f>IFERROR($G1439/SUMIF($A:$A,$A1439,$G:$G)*(SUMIF(Summary!$A$247:$A$283,$A1439,Summary!$L$247:$L$283)+SUMIF(Summary!$A$297:$A$333,$A1439,Summary!$L$297:$L$333))-AI1439,0)</f>
        <v>133.89148162920515</v>
      </c>
      <c r="AK1439" s="196">
        <f>IFERROR($G1439/SUMIF($A:$A,$A1439,$G:$G)*SUMIF(Summary!$A$247:$A$283,$A1439,Summary!$Q$247:$Q$283),0)</f>
        <v>36.961690807825377</v>
      </c>
      <c r="AL1439" s="196">
        <f>IFERROR($G1439/SUMIF($A:$A,$A1439,$G:$G)*(SUMIF(Summary!$A$247:$A$283,$A1439,Summary!$L$247:$L$283)+SUMIF(Summary!$A$297:$A$333,$A1439,Summary!$L$297:$L$333))-AK1439,0)</f>
        <v>133.74046610985903</v>
      </c>
      <c r="AM1439" s="198"/>
      <c r="AN1439" s="196">
        <f t="shared" ca="1" si="320"/>
        <v>4909.218105013475</v>
      </c>
      <c r="AO1439" s="196">
        <f t="shared" ca="1" si="321"/>
        <v>4908.2390402447609</v>
      </c>
    </row>
    <row r="1440" spans="1:41">
      <c r="A1440" s="189">
        <v>3632</v>
      </c>
      <c r="B1440" s="190">
        <v>4</v>
      </c>
      <c r="C1440" s="191" t="s">
        <v>227</v>
      </c>
      <c r="D1440" s="192">
        <f t="shared" si="308"/>
        <v>0</v>
      </c>
      <c r="E1440" s="192">
        <f t="shared" si="309"/>
        <v>0</v>
      </c>
      <c r="F1440" s="192">
        <f t="shared" si="310"/>
        <v>0</v>
      </c>
      <c r="G1440" s="193">
        <f t="shared" si="311"/>
        <v>0</v>
      </c>
      <c r="H1440" s="194">
        <v>0</v>
      </c>
      <c r="I1440" s="194">
        <v>0</v>
      </c>
      <c r="J1440" s="194">
        <v>0</v>
      </c>
      <c r="K1440" s="193">
        <f t="shared" si="312"/>
        <v>0</v>
      </c>
      <c r="L1440" s="194">
        <v>0</v>
      </c>
      <c r="M1440" s="194">
        <v>0</v>
      </c>
      <c r="N1440" s="194">
        <v>0</v>
      </c>
      <c r="O1440" s="193">
        <f t="shared" si="313"/>
        <v>0</v>
      </c>
      <c r="P1440" s="194">
        <v>0</v>
      </c>
      <c r="Q1440" s="194">
        <v>0</v>
      </c>
      <c r="R1440" s="194">
        <v>0</v>
      </c>
      <c r="S1440" s="193">
        <f t="shared" si="314"/>
        <v>0</v>
      </c>
      <c r="T1440" s="193">
        <f t="shared" si="315"/>
        <v>0</v>
      </c>
      <c r="U1440" s="193">
        <f ca="1">OFFSET('Expenditure Study'!$B$7,'Operations Support'!$C1440,'Operations Support'!$B1440)*$G1440</f>
        <v>0</v>
      </c>
      <c r="V1440" s="199">
        <f ca="1">U1440*'Expenditure Study'!$B$31</f>
        <v>0</v>
      </c>
      <c r="W1440" s="199">
        <f ca="1">IF(A1440=10298,1.51,1)*IF($B1440&lt;3,$D1440*'Expenditure Study'!$B$32*OFFSET('Expenditure Study'!$B$7,'Operations Support'!$C1440,'Operations Support'!$B1440),0)</f>
        <v>0</v>
      </c>
      <c r="X1440" s="200">
        <f ca="1">W1440*'Expenditure Study'!$B$31</f>
        <v>0</v>
      </c>
      <c r="Y1440" s="199">
        <f ca="1">U1440*'Expenditure Study'!$B$31</f>
        <v>0</v>
      </c>
      <c r="Z1440" s="200">
        <f ca="1">W1440*'Expenditure Study'!$B$31</f>
        <v>0</v>
      </c>
      <c r="AA1440" s="195">
        <f t="shared" ca="1" si="316"/>
        <v>0</v>
      </c>
      <c r="AB1440" s="195">
        <f t="shared" ca="1" si="317"/>
        <v>0</v>
      </c>
      <c r="AD1440" s="196">
        <f>IFERROR($G1440/SUMIF($A:$A,$A1440,$G:$G)*SUMIF(Summary!$A$166:$A$242,$A1440,Summary!$P$166:$P$242),0)</f>
        <v>0</v>
      </c>
      <c r="AE1440" s="197">
        <f t="shared" ca="1" si="318"/>
        <v>0</v>
      </c>
      <c r="AF1440" s="196">
        <f>IFERROR(G1440/SUMIF(A:A,A1440,G:G)*SUMIF(Summary!$A$166:$A$242,'Operations Support'!A1440,Summary!$Q$166:$Q$242),0)</f>
        <v>0</v>
      </c>
      <c r="AG1440" s="196">
        <f t="shared" ca="1" si="319"/>
        <v>0</v>
      </c>
      <c r="AI1440" s="196">
        <f>IFERROR($G1440/SUMIF($A:$A,$A1440,$G:$G)*SUMIF(Summary!$A$247:$A$283,$A1440,Summary!$P$247:$P$283),0)</f>
        <v>0</v>
      </c>
      <c r="AJ1440" s="196">
        <f>IFERROR($G1440/SUMIF($A:$A,$A1440,$G:$G)*(SUMIF(Summary!$A$247:$A$283,$A1440,Summary!$L$247:$L$283)+SUMIF(Summary!$A$297:$A$333,$A1440,Summary!$L$297:$L$333))-AI1440,0)</f>
        <v>0</v>
      </c>
      <c r="AK1440" s="196">
        <f>IFERROR($G1440/SUMIF($A:$A,$A1440,$G:$G)*SUMIF(Summary!$A$247:$A$283,$A1440,Summary!$Q$247:$Q$283),0)</f>
        <v>0</v>
      </c>
      <c r="AL1440" s="196">
        <f>IFERROR($G1440/SUMIF($A:$A,$A1440,$G:$G)*(SUMIF(Summary!$A$247:$A$283,$A1440,Summary!$L$247:$L$283)+SUMIF(Summary!$A$297:$A$333,$A1440,Summary!$L$297:$L$333))-AK1440,0)</f>
        <v>0</v>
      </c>
      <c r="AM1440" s="198"/>
      <c r="AN1440" s="196">
        <f t="shared" ca="1" si="320"/>
        <v>0</v>
      </c>
      <c r="AO1440" s="196">
        <f t="shared" ca="1" si="321"/>
        <v>0</v>
      </c>
    </row>
    <row r="1441" spans="1:41">
      <c r="A1441" s="189">
        <v>3632</v>
      </c>
      <c r="B1441" s="190">
        <v>4</v>
      </c>
      <c r="C1441" s="191" t="s">
        <v>228</v>
      </c>
      <c r="D1441" s="192">
        <f t="shared" si="308"/>
        <v>0</v>
      </c>
      <c r="E1441" s="192">
        <f t="shared" si="309"/>
        <v>0</v>
      </c>
      <c r="F1441" s="192">
        <f t="shared" si="310"/>
        <v>0</v>
      </c>
      <c r="G1441" s="193">
        <f t="shared" si="311"/>
        <v>0</v>
      </c>
      <c r="H1441" s="194">
        <v>0</v>
      </c>
      <c r="I1441" s="194">
        <v>0</v>
      </c>
      <c r="J1441" s="194">
        <v>0</v>
      </c>
      <c r="K1441" s="193">
        <f t="shared" si="312"/>
        <v>0</v>
      </c>
      <c r="L1441" s="194">
        <v>0</v>
      </c>
      <c r="M1441" s="194">
        <v>0</v>
      </c>
      <c r="N1441" s="194">
        <v>0</v>
      </c>
      <c r="O1441" s="193">
        <f t="shared" si="313"/>
        <v>0</v>
      </c>
      <c r="P1441" s="194">
        <v>0</v>
      </c>
      <c r="Q1441" s="194">
        <v>0</v>
      </c>
      <c r="R1441" s="194">
        <v>0</v>
      </c>
      <c r="S1441" s="193">
        <f t="shared" si="314"/>
        <v>0</v>
      </c>
      <c r="T1441" s="193">
        <f t="shared" si="315"/>
        <v>0</v>
      </c>
      <c r="U1441" s="193">
        <f ca="1">OFFSET('Expenditure Study'!$B$7,'Operations Support'!$C1441,'Operations Support'!$B1441)*$G1441</f>
        <v>0</v>
      </c>
      <c r="V1441" s="199">
        <f ca="1">U1441*'Expenditure Study'!$B$31</f>
        <v>0</v>
      </c>
      <c r="W1441" s="199">
        <f ca="1">IF(A1441=10298,1.51,1)*IF($B1441&lt;3,$D1441*'Expenditure Study'!$B$32*OFFSET('Expenditure Study'!$B$7,'Operations Support'!$C1441,'Operations Support'!$B1441),0)</f>
        <v>0</v>
      </c>
      <c r="X1441" s="200">
        <f ca="1">W1441*'Expenditure Study'!$B$31</f>
        <v>0</v>
      </c>
      <c r="Y1441" s="199">
        <f ca="1">U1441*'Expenditure Study'!$B$31</f>
        <v>0</v>
      </c>
      <c r="Z1441" s="200">
        <f ca="1">W1441*'Expenditure Study'!$B$31</f>
        <v>0</v>
      </c>
      <c r="AA1441" s="195">
        <f t="shared" ca="1" si="316"/>
        <v>0</v>
      </c>
      <c r="AB1441" s="195">
        <f t="shared" ca="1" si="317"/>
        <v>0</v>
      </c>
      <c r="AD1441" s="196">
        <f>IFERROR($G1441/SUMIF($A:$A,$A1441,$G:$G)*SUMIF(Summary!$A$166:$A$242,$A1441,Summary!$P$166:$P$242),0)</f>
        <v>0</v>
      </c>
      <c r="AE1441" s="197">
        <f t="shared" ca="1" si="318"/>
        <v>0</v>
      </c>
      <c r="AF1441" s="196">
        <f>IFERROR(G1441/SUMIF(A:A,A1441,G:G)*SUMIF(Summary!$A$166:$A$242,'Operations Support'!A1441,Summary!$Q$166:$Q$242),0)</f>
        <v>0</v>
      </c>
      <c r="AG1441" s="196">
        <f t="shared" ca="1" si="319"/>
        <v>0</v>
      </c>
      <c r="AI1441" s="196">
        <f>IFERROR($G1441/SUMIF($A:$A,$A1441,$G:$G)*SUMIF(Summary!$A$247:$A$283,$A1441,Summary!$P$247:$P$283),0)</f>
        <v>0</v>
      </c>
      <c r="AJ1441" s="196">
        <f>IFERROR($G1441/SUMIF($A:$A,$A1441,$G:$G)*(SUMIF(Summary!$A$247:$A$283,$A1441,Summary!$L$247:$L$283)+SUMIF(Summary!$A$297:$A$333,$A1441,Summary!$L$297:$L$333))-AI1441,0)</f>
        <v>0</v>
      </c>
      <c r="AK1441" s="196">
        <f>IFERROR($G1441/SUMIF($A:$A,$A1441,$G:$G)*SUMIF(Summary!$A$247:$A$283,$A1441,Summary!$Q$247:$Q$283),0)</f>
        <v>0</v>
      </c>
      <c r="AL1441" s="196">
        <f>IFERROR($G1441/SUMIF($A:$A,$A1441,$G:$G)*(SUMIF(Summary!$A$247:$A$283,$A1441,Summary!$L$247:$L$283)+SUMIF(Summary!$A$297:$A$333,$A1441,Summary!$L$297:$L$333))-AK1441,0)</f>
        <v>0</v>
      </c>
      <c r="AM1441" s="198"/>
      <c r="AN1441" s="196">
        <f t="shared" ca="1" si="320"/>
        <v>0</v>
      </c>
      <c r="AO1441" s="196">
        <f t="shared" ca="1" si="321"/>
        <v>0</v>
      </c>
    </row>
    <row r="1442" spans="1:41">
      <c r="A1442" s="189">
        <v>3632</v>
      </c>
      <c r="B1442" s="190">
        <v>4</v>
      </c>
      <c r="C1442" s="191" t="s">
        <v>229</v>
      </c>
      <c r="D1442" s="192">
        <f t="shared" si="308"/>
        <v>0</v>
      </c>
      <c r="E1442" s="192">
        <f t="shared" si="309"/>
        <v>0</v>
      </c>
      <c r="F1442" s="192">
        <f t="shared" si="310"/>
        <v>0</v>
      </c>
      <c r="G1442" s="193">
        <f t="shared" si="311"/>
        <v>0</v>
      </c>
      <c r="H1442" s="194">
        <v>0</v>
      </c>
      <c r="I1442" s="194">
        <v>0</v>
      </c>
      <c r="J1442" s="194">
        <v>0</v>
      </c>
      <c r="K1442" s="193">
        <f t="shared" si="312"/>
        <v>0</v>
      </c>
      <c r="L1442" s="194">
        <v>0</v>
      </c>
      <c r="M1442" s="194">
        <v>0</v>
      </c>
      <c r="N1442" s="194">
        <v>0</v>
      </c>
      <c r="O1442" s="193">
        <f t="shared" si="313"/>
        <v>0</v>
      </c>
      <c r="P1442" s="194">
        <v>0</v>
      </c>
      <c r="Q1442" s="194">
        <v>0</v>
      </c>
      <c r="R1442" s="194">
        <v>0</v>
      </c>
      <c r="S1442" s="193">
        <f t="shared" si="314"/>
        <v>0</v>
      </c>
      <c r="T1442" s="193">
        <f t="shared" si="315"/>
        <v>0</v>
      </c>
      <c r="U1442" s="193">
        <f ca="1">OFFSET('Expenditure Study'!$B$7,'Operations Support'!$C1442,'Operations Support'!$B1442)*$G1442</f>
        <v>0</v>
      </c>
      <c r="V1442" s="199">
        <f ca="1">U1442*'Expenditure Study'!$B$31</f>
        <v>0</v>
      </c>
      <c r="W1442" s="199">
        <f ca="1">IF(A1442=10298,1.51,1)*IF($B1442&lt;3,$D1442*'Expenditure Study'!$B$32*OFFSET('Expenditure Study'!$B$7,'Operations Support'!$C1442,'Operations Support'!$B1442),0)</f>
        <v>0</v>
      </c>
      <c r="X1442" s="200">
        <f ca="1">W1442*'Expenditure Study'!$B$31</f>
        <v>0</v>
      </c>
      <c r="Y1442" s="199">
        <f ca="1">U1442*'Expenditure Study'!$B$31</f>
        <v>0</v>
      </c>
      <c r="Z1442" s="200">
        <f ca="1">W1442*'Expenditure Study'!$B$31</f>
        <v>0</v>
      </c>
      <c r="AA1442" s="195">
        <f t="shared" ca="1" si="316"/>
        <v>0</v>
      </c>
      <c r="AB1442" s="195">
        <f t="shared" ca="1" si="317"/>
        <v>0</v>
      </c>
      <c r="AD1442" s="196">
        <f>IFERROR($G1442/SUMIF($A:$A,$A1442,$G:$G)*SUMIF(Summary!$A$166:$A$242,$A1442,Summary!$P$166:$P$242),0)</f>
        <v>0</v>
      </c>
      <c r="AE1442" s="197">
        <f t="shared" ca="1" si="318"/>
        <v>0</v>
      </c>
      <c r="AF1442" s="196">
        <f>IFERROR(G1442/SUMIF(A:A,A1442,G:G)*SUMIF(Summary!$A$166:$A$242,'Operations Support'!A1442,Summary!$Q$166:$Q$242),0)</f>
        <v>0</v>
      </c>
      <c r="AG1442" s="196">
        <f t="shared" ca="1" si="319"/>
        <v>0</v>
      </c>
      <c r="AI1442" s="196">
        <f>IFERROR($G1442/SUMIF($A:$A,$A1442,$G:$G)*SUMIF(Summary!$A$247:$A$283,$A1442,Summary!$P$247:$P$283),0)</f>
        <v>0</v>
      </c>
      <c r="AJ1442" s="196">
        <f>IFERROR($G1442/SUMIF($A:$A,$A1442,$G:$G)*(SUMIF(Summary!$A$247:$A$283,$A1442,Summary!$L$247:$L$283)+SUMIF(Summary!$A$297:$A$333,$A1442,Summary!$L$297:$L$333))-AI1442,0)</f>
        <v>0</v>
      </c>
      <c r="AK1442" s="196">
        <f>IFERROR($G1442/SUMIF($A:$A,$A1442,$G:$G)*SUMIF(Summary!$A$247:$A$283,$A1442,Summary!$Q$247:$Q$283),0)</f>
        <v>0</v>
      </c>
      <c r="AL1442" s="196">
        <f>IFERROR($G1442/SUMIF($A:$A,$A1442,$G:$G)*(SUMIF(Summary!$A$247:$A$283,$A1442,Summary!$L$247:$L$283)+SUMIF(Summary!$A$297:$A$333,$A1442,Summary!$L$297:$L$333))-AK1442,0)</f>
        <v>0</v>
      </c>
      <c r="AM1442" s="198"/>
      <c r="AN1442" s="196">
        <f t="shared" ca="1" si="320"/>
        <v>0</v>
      </c>
      <c r="AO1442" s="196">
        <f t="shared" ca="1" si="321"/>
        <v>0</v>
      </c>
    </row>
    <row r="1443" spans="1:41">
      <c r="A1443" s="189">
        <v>3632</v>
      </c>
      <c r="B1443" s="190">
        <v>4</v>
      </c>
      <c r="C1443" s="191" t="s">
        <v>230</v>
      </c>
      <c r="D1443" s="192">
        <f t="shared" si="308"/>
        <v>0</v>
      </c>
      <c r="E1443" s="192">
        <f t="shared" si="309"/>
        <v>0</v>
      </c>
      <c r="F1443" s="192">
        <f t="shared" si="310"/>
        <v>0</v>
      </c>
      <c r="G1443" s="193">
        <f t="shared" si="311"/>
        <v>0</v>
      </c>
      <c r="H1443" s="194">
        <v>0</v>
      </c>
      <c r="I1443" s="194">
        <v>0</v>
      </c>
      <c r="J1443" s="194">
        <v>0</v>
      </c>
      <c r="K1443" s="193">
        <f t="shared" si="312"/>
        <v>0</v>
      </c>
      <c r="L1443" s="194">
        <v>0</v>
      </c>
      <c r="M1443" s="194">
        <v>0</v>
      </c>
      <c r="N1443" s="194">
        <v>0</v>
      </c>
      <c r="O1443" s="193">
        <f t="shared" si="313"/>
        <v>0</v>
      </c>
      <c r="P1443" s="194">
        <v>0</v>
      </c>
      <c r="Q1443" s="194">
        <v>0</v>
      </c>
      <c r="R1443" s="194">
        <v>0</v>
      </c>
      <c r="S1443" s="193">
        <f t="shared" si="314"/>
        <v>0</v>
      </c>
      <c r="T1443" s="193">
        <f t="shared" si="315"/>
        <v>0</v>
      </c>
      <c r="U1443" s="193">
        <f ca="1">OFFSET('Expenditure Study'!$B$7,'Operations Support'!$C1443,'Operations Support'!$B1443)*$G1443</f>
        <v>0</v>
      </c>
      <c r="V1443" s="199">
        <f ca="1">U1443*'Expenditure Study'!$B$31</f>
        <v>0</v>
      </c>
      <c r="W1443" s="199">
        <f ca="1">IF(A1443=10298,1.51,1)*IF($B1443&lt;3,$D1443*'Expenditure Study'!$B$32*OFFSET('Expenditure Study'!$B$7,'Operations Support'!$C1443,'Operations Support'!$B1443),0)</f>
        <v>0</v>
      </c>
      <c r="X1443" s="200">
        <f ca="1">W1443*'Expenditure Study'!$B$31</f>
        <v>0</v>
      </c>
      <c r="Y1443" s="199">
        <f ca="1">U1443*'Expenditure Study'!$B$31</f>
        <v>0</v>
      </c>
      <c r="Z1443" s="200">
        <f ca="1">W1443*'Expenditure Study'!$B$31</f>
        <v>0</v>
      </c>
      <c r="AA1443" s="195">
        <f t="shared" ca="1" si="316"/>
        <v>0</v>
      </c>
      <c r="AB1443" s="195">
        <f t="shared" ca="1" si="317"/>
        <v>0</v>
      </c>
      <c r="AD1443" s="196">
        <f>IFERROR($G1443/SUMIF($A:$A,$A1443,$G:$G)*SUMIF(Summary!$A$166:$A$242,$A1443,Summary!$P$166:$P$242),0)</f>
        <v>0</v>
      </c>
      <c r="AE1443" s="197">
        <f t="shared" ca="1" si="318"/>
        <v>0</v>
      </c>
      <c r="AF1443" s="196">
        <f>IFERROR(G1443/SUMIF(A:A,A1443,G:G)*SUMIF(Summary!$A$166:$A$242,'Operations Support'!A1443,Summary!$Q$166:$Q$242),0)</f>
        <v>0</v>
      </c>
      <c r="AG1443" s="196">
        <f t="shared" ca="1" si="319"/>
        <v>0</v>
      </c>
      <c r="AI1443" s="196">
        <f>IFERROR($G1443/SUMIF($A:$A,$A1443,$G:$G)*SUMIF(Summary!$A$247:$A$283,$A1443,Summary!$P$247:$P$283),0)</f>
        <v>0</v>
      </c>
      <c r="AJ1443" s="196">
        <f>IFERROR($G1443/SUMIF($A:$A,$A1443,$G:$G)*(SUMIF(Summary!$A$247:$A$283,$A1443,Summary!$L$247:$L$283)+SUMIF(Summary!$A$297:$A$333,$A1443,Summary!$L$297:$L$333))-AI1443,0)</f>
        <v>0</v>
      </c>
      <c r="AK1443" s="196">
        <f>IFERROR($G1443/SUMIF($A:$A,$A1443,$G:$G)*SUMIF(Summary!$A$247:$A$283,$A1443,Summary!$Q$247:$Q$283),0)</f>
        <v>0</v>
      </c>
      <c r="AL1443" s="196">
        <f>IFERROR($G1443/SUMIF($A:$A,$A1443,$G:$G)*(SUMIF(Summary!$A$247:$A$283,$A1443,Summary!$L$247:$L$283)+SUMIF(Summary!$A$297:$A$333,$A1443,Summary!$L$297:$L$333))-AK1443,0)</f>
        <v>0</v>
      </c>
      <c r="AM1443" s="198"/>
      <c r="AN1443" s="196">
        <f t="shared" ca="1" si="320"/>
        <v>0</v>
      </c>
      <c r="AO1443" s="196">
        <f t="shared" ca="1" si="321"/>
        <v>0</v>
      </c>
    </row>
    <row r="1444" spans="1:41">
      <c r="A1444" s="189">
        <v>3632</v>
      </c>
      <c r="B1444" s="190">
        <v>4</v>
      </c>
      <c r="C1444" s="191" t="s">
        <v>231</v>
      </c>
      <c r="D1444" s="192">
        <f t="shared" si="308"/>
        <v>0</v>
      </c>
      <c r="E1444" s="192">
        <f t="shared" si="309"/>
        <v>0</v>
      </c>
      <c r="F1444" s="192">
        <f t="shared" si="310"/>
        <v>0</v>
      </c>
      <c r="G1444" s="193">
        <f t="shared" si="311"/>
        <v>0</v>
      </c>
      <c r="H1444" s="194">
        <v>0</v>
      </c>
      <c r="I1444" s="194">
        <v>0</v>
      </c>
      <c r="J1444" s="194">
        <v>0</v>
      </c>
      <c r="K1444" s="193">
        <f t="shared" si="312"/>
        <v>0</v>
      </c>
      <c r="L1444" s="194">
        <v>0</v>
      </c>
      <c r="M1444" s="194">
        <v>0</v>
      </c>
      <c r="N1444" s="194">
        <v>0</v>
      </c>
      <c r="O1444" s="193">
        <f t="shared" si="313"/>
        <v>0</v>
      </c>
      <c r="P1444" s="194">
        <v>0</v>
      </c>
      <c r="Q1444" s="194">
        <v>0</v>
      </c>
      <c r="R1444" s="194">
        <v>0</v>
      </c>
      <c r="S1444" s="193">
        <f t="shared" si="314"/>
        <v>0</v>
      </c>
      <c r="T1444" s="193">
        <f t="shared" si="315"/>
        <v>0</v>
      </c>
      <c r="U1444" s="193">
        <f ca="1">OFFSET('Expenditure Study'!$B$7,'Operations Support'!$C1444,'Operations Support'!$B1444)*$G1444</f>
        <v>0</v>
      </c>
      <c r="V1444" s="199">
        <f ca="1">U1444*'Expenditure Study'!$B$31</f>
        <v>0</v>
      </c>
      <c r="W1444" s="199">
        <f ca="1">IF(A1444=10298,1.51,1)*IF($B1444&lt;3,$D1444*'Expenditure Study'!$B$32*OFFSET('Expenditure Study'!$B$7,'Operations Support'!$C1444,'Operations Support'!$B1444),0)</f>
        <v>0</v>
      </c>
      <c r="X1444" s="200">
        <f ca="1">W1444*'Expenditure Study'!$B$31</f>
        <v>0</v>
      </c>
      <c r="Y1444" s="199">
        <f ca="1">U1444*'Expenditure Study'!$B$31</f>
        <v>0</v>
      </c>
      <c r="Z1444" s="200">
        <f ca="1">W1444*'Expenditure Study'!$B$31</f>
        <v>0</v>
      </c>
      <c r="AA1444" s="195">
        <f t="shared" ca="1" si="316"/>
        <v>0</v>
      </c>
      <c r="AB1444" s="195">
        <f t="shared" ca="1" si="317"/>
        <v>0</v>
      </c>
      <c r="AD1444" s="196">
        <f>IFERROR($G1444/SUMIF($A:$A,$A1444,$G:$G)*SUMIF(Summary!$A$166:$A$242,$A1444,Summary!$P$166:$P$242),0)</f>
        <v>0</v>
      </c>
      <c r="AE1444" s="197">
        <f t="shared" ca="1" si="318"/>
        <v>0</v>
      </c>
      <c r="AF1444" s="196">
        <f>IFERROR(G1444/SUMIF(A:A,A1444,G:G)*SUMIF(Summary!$A$166:$A$242,'Operations Support'!A1444,Summary!$Q$166:$Q$242),0)</f>
        <v>0</v>
      </c>
      <c r="AG1444" s="196">
        <f t="shared" ca="1" si="319"/>
        <v>0</v>
      </c>
      <c r="AI1444" s="196">
        <f>IFERROR($G1444/SUMIF($A:$A,$A1444,$G:$G)*SUMIF(Summary!$A$247:$A$283,$A1444,Summary!$P$247:$P$283),0)</f>
        <v>0</v>
      </c>
      <c r="AJ1444" s="196">
        <f>IFERROR($G1444/SUMIF($A:$A,$A1444,$G:$G)*(SUMIF(Summary!$A$247:$A$283,$A1444,Summary!$L$247:$L$283)+SUMIF(Summary!$A$297:$A$333,$A1444,Summary!$L$297:$L$333))-AI1444,0)</f>
        <v>0</v>
      </c>
      <c r="AK1444" s="196">
        <f>IFERROR($G1444/SUMIF($A:$A,$A1444,$G:$G)*SUMIF(Summary!$A$247:$A$283,$A1444,Summary!$Q$247:$Q$283),0)</f>
        <v>0</v>
      </c>
      <c r="AL1444" s="196">
        <f>IFERROR($G1444/SUMIF($A:$A,$A1444,$G:$G)*(SUMIF(Summary!$A$247:$A$283,$A1444,Summary!$L$247:$L$283)+SUMIF(Summary!$A$297:$A$333,$A1444,Summary!$L$297:$L$333))-AK1444,0)</f>
        <v>0</v>
      </c>
      <c r="AM1444" s="198"/>
      <c r="AN1444" s="196">
        <f t="shared" ca="1" si="320"/>
        <v>0</v>
      </c>
      <c r="AO1444" s="196">
        <f t="shared" ca="1" si="321"/>
        <v>0</v>
      </c>
    </row>
    <row r="1445" spans="1:41">
      <c r="A1445" s="189">
        <v>3632</v>
      </c>
      <c r="B1445" s="190">
        <v>4</v>
      </c>
      <c r="C1445" s="191" t="s">
        <v>232</v>
      </c>
      <c r="D1445" s="192">
        <f t="shared" si="308"/>
        <v>0</v>
      </c>
      <c r="E1445" s="192">
        <f t="shared" si="309"/>
        <v>0</v>
      </c>
      <c r="F1445" s="192">
        <f t="shared" si="310"/>
        <v>0</v>
      </c>
      <c r="G1445" s="193">
        <f t="shared" si="311"/>
        <v>0</v>
      </c>
      <c r="H1445" s="194">
        <v>0</v>
      </c>
      <c r="I1445" s="194">
        <v>0</v>
      </c>
      <c r="J1445" s="194">
        <v>0</v>
      </c>
      <c r="K1445" s="193">
        <f t="shared" si="312"/>
        <v>0</v>
      </c>
      <c r="L1445" s="194">
        <v>0</v>
      </c>
      <c r="M1445" s="194">
        <v>0</v>
      </c>
      <c r="N1445" s="194">
        <v>0</v>
      </c>
      <c r="O1445" s="193">
        <f t="shared" si="313"/>
        <v>0</v>
      </c>
      <c r="P1445" s="194">
        <v>0</v>
      </c>
      <c r="Q1445" s="194">
        <v>0</v>
      </c>
      <c r="R1445" s="194">
        <v>0</v>
      </c>
      <c r="S1445" s="193">
        <f t="shared" si="314"/>
        <v>0</v>
      </c>
      <c r="T1445" s="193">
        <f t="shared" si="315"/>
        <v>0</v>
      </c>
      <c r="U1445" s="193">
        <f ca="1">OFFSET('Expenditure Study'!$B$7,'Operations Support'!$C1445,'Operations Support'!$B1445)*$G1445</f>
        <v>0</v>
      </c>
      <c r="V1445" s="199">
        <f ca="1">U1445*'Expenditure Study'!$B$31</f>
        <v>0</v>
      </c>
      <c r="W1445" s="199">
        <f ca="1">IF(A1445=10298,1.51,1)*IF($B1445&lt;3,$D1445*'Expenditure Study'!$B$32*OFFSET('Expenditure Study'!$B$7,'Operations Support'!$C1445,'Operations Support'!$B1445),0)</f>
        <v>0</v>
      </c>
      <c r="X1445" s="200">
        <f ca="1">W1445*'Expenditure Study'!$B$31</f>
        <v>0</v>
      </c>
      <c r="Y1445" s="199">
        <f ca="1">U1445*'Expenditure Study'!$B$31</f>
        <v>0</v>
      </c>
      <c r="Z1445" s="200">
        <f ca="1">W1445*'Expenditure Study'!$B$31</f>
        <v>0</v>
      </c>
      <c r="AA1445" s="195">
        <f t="shared" ca="1" si="316"/>
        <v>0</v>
      </c>
      <c r="AB1445" s="195">
        <f t="shared" ca="1" si="317"/>
        <v>0</v>
      </c>
      <c r="AD1445" s="196">
        <f>IFERROR($G1445/SUMIF($A:$A,$A1445,$G:$G)*SUMIF(Summary!$A$166:$A$242,$A1445,Summary!$P$166:$P$242),0)</f>
        <v>0</v>
      </c>
      <c r="AE1445" s="197">
        <f t="shared" ca="1" si="318"/>
        <v>0</v>
      </c>
      <c r="AF1445" s="196">
        <f>IFERROR(G1445/SUMIF(A:A,A1445,G:G)*SUMIF(Summary!$A$166:$A$242,'Operations Support'!A1445,Summary!$Q$166:$Q$242),0)</f>
        <v>0</v>
      </c>
      <c r="AG1445" s="196">
        <f t="shared" ca="1" si="319"/>
        <v>0</v>
      </c>
      <c r="AI1445" s="196">
        <f>IFERROR($G1445/SUMIF($A:$A,$A1445,$G:$G)*SUMIF(Summary!$A$247:$A$283,$A1445,Summary!$P$247:$P$283),0)</f>
        <v>0</v>
      </c>
      <c r="AJ1445" s="196">
        <f>IFERROR($G1445/SUMIF($A:$A,$A1445,$G:$G)*(SUMIF(Summary!$A$247:$A$283,$A1445,Summary!$L$247:$L$283)+SUMIF(Summary!$A$297:$A$333,$A1445,Summary!$L$297:$L$333))-AI1445,0)</f>
        <v>0</v>
      </c>
      <c r="AK1445" s="196">
        <f>IFERROR($G1445/SUMIF($A:$A,$A1445,$G:$G)*SUMIF(Summary!$A$247:$A$283,$A1445,Summary!$Q$247:$Q$283),0)</f>
        <v>0</v>
      </c>
      <c r="AL1445" s="196">
        <f>IFERROR($G1445/SUMIF($A:$A,$A1445,$G:$G)*(SUMIF(Summary!$A$247:$A$283,$A1445,Summary!$L$247:$L$283)+SUMIF(Summary!$A$297:$A$333,$A1445,Summary!$L$297:$L$333))-AK1445,0)</f>
        <v>0</v>
      </c>
      <c r="AM1445" s="198"/>
      <c r="AN1445" s="196">
        <f t="shared" ca="1" si="320"/>
        <v>0</v>
      </c>
      <c r="AO1445" s="196">
        <f t="shared" ca="1" si="321"/>
        <v>0</v>
      </c>
    </row>
    <row r="1446" spans="1:41" s="201" customFormat="1">
      <c r="A1446" s="189">
        <v>3632</v>
      </c>
      <c r="B1446" s="190">
        <v>4</v>
      </c>
      <c r="C1446" s="191" t="s">
        <v>233</v>
      </c>
      <c r="D1446" s="192">
        <f t="shared" si="308"/>
        <v>171</v>
      </c>
      <c r="E1446" s="192">
        <f t="shared" si="309"/>
        <v>157</v>
      </c>
      <c r="F1446" s="192">
        <f t="shared" si="310"/>
        <v>0</v>
      </c>
      <c r="G1446" s="193">
        <f t="shared" si="311"/>
        <v>328</v>
      </c>
      <c r="H1446" s="194">
        <v>65</v>
      </c>
      <c r="I1446" s="194">
        <v>51</v>
      </c>
      <c r="J1446" s="194">
        <v>0</v>
      </c>
      <c r="K1446" s="193">
        <f t="shared" si="312"/>
        <v>116</v>
      </c>
      <c r="L1446" s="194">
        <v>74</v>
      </c>
      <c r="M1446" s="194">
        <v>63</v>
      </c>
      <c r="N1446" s="194">
        <v>0</v>
      </c>
      <c r="O1446" s="193">
        <f t="shared" si="313"/>
        <v>137</v>
      </c>
      <c r="P1446" s="194">
        <v>32</v>
      </c>
      <c r="Q1446" s="194">
        <v>43</v>
      </c>
      <c r="R1446" s="194">
        <v>0</v>
      </c>
      <c r="S1446" s="193">
        <f t="shared" si="314"/>
        <v>75</v>
      </c>
      <c r="T1446" s="193">
        <f t="shared" si="315"/>
        <v>18.222222222222221</v>
      </c>
      <c r="U1446" s="193">
        <f ca="1">OFFSET('Expenditure Study'!$B$7,'Operations Support'!$C1446,'Operations Support'!$B1446)*$G1446</f>
        <v>3017.6</v>
      </c>
      <c r="V1446" s="199">
        <f ca="1">U1446*'Expenditure Study'!$B$31</f>
        <v>178289.40638207999</v>
      </c>
      <c r="W1446" s="199">
        <f ca="1">IF(A1446=10298,1.51,1)*IF($B1446&lt;3,$D1446*'Expenditure Study'!$B$32*OFFSET('Expenditure Study'!$B$7,'Operations Support'!$C1446,'Operations Support'!$B1446),0)</f>
        <v>0</v>
      </c>
      <c r="X1446" s="200">
        <f ca="1">W1446*'Expenditure Study'!$B$31</f>
        <v>0</v>
      </c>
      <c r="Y1446" s="199">
        <f ca="1">U1446*'Expenditure Study'!$B$31</f>
        <v>178289.40638207999</v>
      </c>
      <c r="Z1446" s="200">
        <f ca="1">W1446*'Expenditure Study'!$B$31</f>
        <v>0</v>
      </c>
      <c r="AA1446" s="195">
        <f t="shared" ca="1" si="316"/>
        <v>178289.40638207999</v>
      </c>
      <c r="AB1446" s="195">
        <f t="shared" ca="1" si="317"/>
        <v>178289.40638207999</v>
      </c>
      <c r="AD1446" s="196">
        <f>IFERROR($G1446/SUMIF($A:$A,$A1446,$G:$G)*SUMIF(Summary!$A$166:$A$242,$A1446,Summary!$P$166:$P$242),0)</f>
        <v>11033.948820689209</v>
      </c>
      <c r="AE1446" s="197">
        <f t="shared" ca="1" si="318"/>
        <v>167255.45756139079</v>
      </c>
      <c r="AF1446" s="196">
        <f>IFERROR(G1446/SUMIF(A:A,A1446,G:G)*SUMIF(Summary!$A$166:$A$242,'Operations Support'!A1446,Summary!$Q$166:$Q$242),0)</f>
        <v>11079.215512988012</v>
      </c>
      <c r="AG1446" s="196">
        <f t="shared" ca="1" si="319"/>
        <v>167210.19086909198</v>
      </c>
      <c r="AH1446" s="180"/>
      <c r="AI1446" s="196">
        <f>IFERROR($G1446/SUMIF($A:$A,$A1446,$G:$G)*SUMIF(Summary!$A$247:$A$283,$A1446,Summary!$P$247:$P$283),0)</f>
        <v>2012.3169157702002</v>
      </c>
      <c r="AJ1446" s="196">
        <f>IFERROR($G1446/SUMIF($A:$A,$A1446,$G:$G)*(SUMIF(Summary!$A$247:$A$283,$A1446,Summary!$L$247:$L$283)+SUMIF(Summary!$A$297:$A$333,$A1446,Summary!$L$297:$L$333))-AI1446,0)</f>
        <v>7319.4009957298831</v>
      </c>
      <c r="AK1446" s="196">
        <f>IFERROR($G1446/SUMIF($A:$A,$A1446,$G:$G)*SUMIF(Summary!$A$247:$A$283,$A1446,Summary!$Q$247:$Q$283),0)</f>
        <v>2020.5724308277872</v>
      </c>
      <c r="AL1446" s="196">
        <f>IFERROR($G1446/SUMIF($A:$A,$A1446,$G:$G)*(SUMIF(Summary!$A$247:$A$283,$A1446,Summary!$L$247:$L$283)+SUMIF(Summary!$A$297:$A$333,$A1446,Summary!$L$297:$L$333))-AK1446,0)</f>
        <v>7311.1454806722959</v>
      </c>
      <c r="AM1446" s="198"/>
      <c r="AN1446" s="196">
        <f t="shared" ca="1" si="320"/>
        <v>174574.85855712066</v>
      </c>
      <c r="AO1446" s="196">
        <f t="shared" ca="1" si="321"/>
        <v>174521.33634976429</v>
      </c>
    </row>
    <row r="1447" spans="1:41" s="201" customFormat="1">
      <c r="A1447" s="189">
        <v>3632</v>
      </c>
      <c r="B1447" s="190">
        <v>4</v>
      </c>
      <c r="C1447" s="191" t="s">
        <v>234</v>
      </c>
      <c r="D1447" s="192">
        <f t="shared" si="308"/>
        <v>0</v>
      </c>
      <c r="E1447" s="192">
        <f t="shared" si="309"/>
        <v>0</v>
      </c>
      <c r="F1447" s="192">
        <f t="shared" si="310"/>
        <v>0</v>
      </c>
      <c r="G1447" s="193">
        <f t="shared" si="311"/>
        <v>0</v>
      </c>
      <c r="H1447" s="194">
        <v>0</v>
      </c>
      <c r="I1447" s="194">
        <v>0</v>
      </c>
      <c r="J1447" s="194">
        <v>0</v>
      </c>
      <c r="K1447" s="193">
        <f t="shared" si="312"/>
        <v>0</v>
      </c>
      <c r="L1447" s="194">
        <v>0</v>
      </c>
      <c r="M1447" s="194">
        <v>0</v>
      </c>
      <c r="N1447" s="194">
        <v>0</v>
      </c>
      <c r="O1447" s="193">
        <f t="shared" si="313"/>
        <v>0</v>
      </c>
      <c r="P1447" s="194">
        <v>0</v>
      </c>
      <c r="Q1447" s="194">
        <v>0</v>
      </c>
      <c r="R1447" s="194">
        <v>0</v>
      </c>
      <c r="S1447" s="193">
        <f t="shared" si="314"/>
        <v>0</v>
      </c>
      <c r="T1447" s="193">
        <f t="shared" si="315"/>
        <v>0</v>
      </c>
      <c r="U1447" s="193">
        <f ca="1">OFFSET('Expenditure Study'!$B$7,'Operations Support'!$C1447,'Operations Support'!$B1447)*$G1447</f>
        <v>0</v>
      </c>
      <c r="V1447" s="199">
        <f ca="1">U1447*'Expenditure Study'!$B$31</f>
        <v>0</v>
      </c>
      <c r="W1447" s="199">
        <f ca="1">IF(A1447=10298,1.51,1)*IF($B1447&lt;3,$D1447*'Expenditure Study'!$B$32*OFFSET('Expenditure Study'!$B$7,'Operations Support'!$C1447,'Operations Support'!$B1447),0)</f>
        <v>0</v>
      </c>
      <c r="X1447" s="200">
        <f ca="1">W1447*'Expenditure Study'!$B$31</f>
        <v>0</v>
      </c>
      <c r="Y1447" s="199">
        <f ca="1">U1447*'Expenditure Study'!$B$31</f>
        <v>0</v>
      </c>
      <c r="Z1447" s="200">
        <f ca="1">W1447*'Expenditure Study'!$B$31</f>
        <v>0</v>
      </c>
      <c r="AA1447" s="195">
        <f t="shared" ca="1" si="316"/>
        <v>0</v>
      </c>
      <c r="AB1447" s="195">
        <f t="shared" ca="1" si="317"/>
        <v>0</v>
      </c>
      <c r="AD1447" s="196">
        <f>IFERROR($G1447/SUMIF($A:$A,$A1447,$G:$G)*SUMIF(Summary!$A$166:$A$242,$A1447,Summary!$P$166:$P$242),0)</f>
        <v>0</v>
      </c>
      <c r="AE1447" s="197">
        <f t="shared" ca="1" si="318"/>
        <v>0</v>
      </c>
      <c r="AF1447" s="196">
        <f>IFERROR(G1447/SUMIF(A:A,A1447,G:G)*SUMIF(Summary!$A$166:$A$242,'Operations Support'!A1447,Summary!$Q$166:$Q$242),0)</f>
        <v>0</v>
      </c>
      <c r="AG1447" s="196">
        <f t="shared" ca="1" si="319"/>
        <v>0</v>
      </c>
      <c r="AH1447" s="180"/>
      <c r="AI1447" s="196">
        <f>IFERROR($G1447/SUMIF($A:$A,$A1447,$G:$G)*SUMIF(Summary!$A$247:$A$283,$A1447,Summary!$P$247:$P$283),0)</f>
        <v>0</v>
      </c>
      <c r="AJ1447" s="196">
        <f>IFERROR($G1447/SUMIF($A:$A,$A1447,$G:$G)*(SUMIF(Summary!$A$247:$A$283,$A1447,Summary!$L$247:$L$283)+SUMIF(Summary!$A$297:$A$333,$A1447,Summary!$L$297:$L$333))-AI1447,0)</f>
        <v>0</v>
      </c>
      <c r="AK1447" s="196">
        <f>IFERROR($G1447/SUMIF($A:$A,$A1447,$G:$G)*SUMIF(Summary!$A$247:$A$283,$A1447,Summary!$Q$247:$Q$283),0)</f>
        <v>0</v>
      </c>
      <c r="AL1447" s="196">
        <f>IFERROR($G1447/SUMIF($A:$A,$A1447,$G:$G)*(SUMIF(Summary!$A$247:$A$283,$A1447,Summary!$L$247:$L$283)+SUMIF(Summary!$A$297:$A$333,$A1447,Summary!$L$297:$L$333))-AK1447,0)</f>
        <v>0</v>
      </c>
      <c r="AM1447" s="198"/>
      <c r="AN1447" s="196">
        <f t="shared" ca="1" si="320"/>
        <v>0</v>
      </c>
      <c r="AO1447" s="196">
        <f t="shared" ca="1" si="321"/>
        <v>0</v>
      </c>
    </row>
    <row r="1448" spans="1:41">
      <c r="A1448" s="189">
        <v>3632</v>
      </c>
      <c r="B1448" s="190">
        <v>4</v>
      </c>
      <c r="C1448" s="191" t="s">
        <v>235</v>
      </c>
      <c r="D1448" s="192">
        <f t="shared" si="308"/>
        <v>1781</v>
      </c>
      <c r="E1448" s="192">
        <f t="shared" si="309"/>
        <v>273</v>
      </c>
      <c r="F1448" s="192">
        <f t="shared" si="310"/>
        <v>132</v>
      </c>
      <c r="G1448" s="193">
        <f t="shared" si="311"/>
        <v>1922</v>
      </c>
      <c r="H1448" s="194">
        <v>620</v>
      </c>
      <c r="I1448" s="194">
        <v>116</v>
      </c>
      <c r="J1448" s="194">
        <v>1</v>
      </c>
      <c r="K1448" s="193">
        <f t="shared" si="312"/>
        <v>735</v>
      </c>
      <c r="L1448" s="194">
        <v>649</v>
      </c>
      <c r="M1448" s="194">
        <v>106</v>
      </c>
      <c r="N1448" s="194">
        <v>99</v>
      </c>
      <c r="O1448" s="193">
        <f t="shared" si="313"/>
        <v>656</v>
      </c>
      <c r="P1448" s="194">
        <v>512</v>
      </c>
      <c r="Q1448" s="194">
        <v>51</v>
      </c>
      <c r="R1448" s="194">
        <v>32</v>
      </c>
      <c r="S1448" s="193">
        <f t="shared" si="314"/>
        <v>531</v>
      </c>
      <c r="T1448" s="193">
        <f t="shared" si="315"/>
        <v>106.77777777777777</v>
      </c>
      <c r="U1448" s="193">
        <f ca="1">OFFSET('Expenditure Study'!$B$7,'Operations Support'!$C1448,'Operations Support'!$B1448)*$G1448</f>
        <v>73151.320000000007</v>
      </c>
      <c r="V1448" s="199">
        <f ca="1">U1448*'Expenditure Study'!$B$31</f>
        <v>4322012.6653186567</v>
      </c>
      <c r="W1448" s="199">
        <f ca="1">IF(A1448=10298,1.51,1)*IF($B1448&lt;3,$D1448*'Expenditure Study'!$B$32*OFFSET('Expenditure Study'!$B$7,'Operations Support'!$C1448,'Operations Support'!$B1448),0)</f>
        <v>0</v>
      </c>
      <c r="X1448" s="200">
        <f ca="1">W1448*'Expenditure Study'!$B$31</f>
        <v>0</v>
      </c>
      <c r="Y1448" s="199">
        <f ca="1">U1448*'Expenditure Study'!$B$31</f>
        <v>4322012.6653186567</v>
      </c>
      <c r="Z1448" s="200">
        <f ca="1">W1448*'Expenditure Study'!$B$31</f>
        <v>0</v>
      </c>
      <c r="AA1448" s="195">
        <f t="shared" ca="1" si="316"/>
        <v>4322012.6653186567</v>
      </c>
      <c r="AB1448" s="195">
        <f t="shared" ca="1" si="317"/>
        <v>4322012.6653186567</v>
      </c>
      <c r="AD1448" s="196">
        <f>IFERROR($G1448/SUMIF($A:$A,$A1448,$G:$G)*SUMIF(Summary!$A$166:$A$242,$A1448,Summary!$P$166:$P$242),0)</f>
        <v>64656.248882209329</v>
      </c>
      <c r="AE1448" s="197">
        <f t="shared" ca="1" si="318"/>
        <v>4257356.4164364478</v>
      </c>
      <c r="AF1448" s="196">
        <f>IFERROR(G1448/SUMIF(A:A,A1448,G:G)*SUMIF(Summary!$A$166:$A$242,'Operations Support'!A1448,Summary!$Q$166:$Q$242),0)</f>
        <v>64921.500658423654</v>
      </c>
      <c r="AG1448" s="196">
        <f t="shared" ca="1" si="319"/>
        <v>4257091.1646602331</v>
      </c>
      <c r="AI1448" s="196">
        <f>IFERROR($G1448/SUMIF($A:$A,$A1448,$G:$G)*SUMIF(Summary!$A$247:$A$283,$A1448,Summary!$P$247:$P$283),0)</f>
        <v>11791.686317409527</v>
      </c>
      <c r="AJ1448" s="196">
        <f>IFERROR($G1448/SUMIF($A:$A,$A1448,$G:$G)*(SUMIF(Summary!$A$247:$A$283,$A1448,Summary!$L$247:$L$283)+SUMIF(Summary!$A$297:$A$333,$A1448,Summary!$L$297:$L$333))-AI1448,0)</f>
        <v>42889.904615222054</v>
      </c>
      <c r="AK1448" s="196">
        <f>IFERROR($G1448/SUMIF($A:$A,$A1448,$G:$G)*SUMIF(Summary!$A$247:$A$283,$A1448,Summary!$Q$247:$Q$283),0)</f>
        <v>11840.061622106728</v>
      </c>
      <c r="AL1448" s="196">
        <f>IFERROR($G1448/SUMIF($A:$A,$A1448,$G:$G)*(SUMIF(Summary!$A$247:$A$283,$A1448,Summary!$L$247:$L$283)+SUMIF(Summary!$A$297:$A$333,$A1448,Summary!$L$297:$L$333))-AK1448,0)</f>
        <v>42841.529310524857</v>
      </c>
      <c r="AM1448" s="198"/>
      <c r="AN1448" s="196">
        <f t="shared" ca="1" si="320"/>
        <v>4300246.3210516702</v>
      </c>
      <c r="AO1448" s="196">
        <f t="shared" ca="1" si="321"/>
        <v>4299932.6939707575</v>
      </c>
    </row>
    <row r="1449" spans="1:41">
      <c r="A1449" s="189">
        <v>3632</v>
      </c>
      <c r="B1449" s="190">
        <v>4</v>
      </c>
      <c r="C1449" s="191" t="s">
        <v>236</v>
      </c>
      <c r="D1449" s="192">
        <f t="shared" si="308"/>
        <v>0</v>
      </c>
      <c r="E1449" s="192">
        <f t="shared" si="309"/>
        <v>0</v>
      </c>
      <c r="F1449" s="192">
        <f t="shared" si="310"/>
        <v>0</v>
      </c>
      <c r="G1449" s="193">
        <f t="shared" si="311"/>
        <v>0</v>
      </c>
      <c r="H1449" s="194">
        <v>0</v>
      </c>
      <c r="I1449" s="194">
        <v>0</v>
      </c>
      <c r="J1449" s="194">
        <v>0</v>
      </c>
      <c r="K1449" s="193">
        <f t="shared" si="312"/>
        <v>0</v>
      </c>
      <c r="L1449" s="194">
        <v>0</v>
      </c>
      <c r="M1449" s="194">
        <v>0</v>
      </c>
      <c r="N1449" s="194">
        <v>0</v>
      </c>
      <c r="O1449" s="193">
        <f t="shared" si="313"/>
        <v>0</v>
      </c>
      <c r="P1449" s="194">
        <v>0</v>
      </c>
      <c r="Q1449" s="194">
        <v>0</v>
      </c>
      <c r="R1449" s="194">
        <v>0</v>
      </c>
      <c r="S1449" s="193">
        <f t="shared" si="314"/>
        <v>0</v>
      </c>
      <c r="T1449" s="193">
        <f t="shared" si="315"/>
        <v>0</v>
      </c>
      <c r="U1449" s="193">
        <f ca="1">OFFSET('Expenditure Study'!$B$7,'Operations Support'!$C1449,'Operations Support'!$B1449)*$G1449</f>
        <v>0</v>
      </c>
      <c r="V1449" s="199">
        <f ca="1">U1449*'Expenditure Study'!$B$31</f>
        <v>0</v>
      </c>
      <c r="W1449" s="199">
        <f ca="1">IF(A1449=10298,1.51,1)*IF($B1449&lt;3,$D1449*'Expenditure Study'!$B$32*OFFSET('Expenditure Study'!$B$7,'Operations Support'!$C1449,'Operations Support'!$B1449),0)</f>
        <v>0</v>
      </c>
      <c r="X1449" s="200">
        <f ca="1">W1449*'Expenditure Study'!$B$31</f>
        <v>0</v>
      </c>
      <c r="Y1449" s="199">
        <f ca="1">U1449*'Expenditure Study'!$B$31</f>
        <v>0</v>
      </c>
      <c r="Z1449" s="200">
        <f ca="1">W1449*'Expenditure Study'!$B$31</f>
        <v>0</v>
      </c>
      <c r="AA1449" s="195">
        <f t="shared" ca="1" si="316"/>
        <v>0</v>
      </c>
      <c r="AB1449" s="195">
        <f t="shared" ca="1" si="317"/>
        <v>0</v>
      </c>
      <c r="AD1449" s="196">
        <f>IFERROR($G1449/SUMIF($A:$A,$A1449,$G:$G)*SUMIF(Summary!$A$166:$A$242,$A1449,Summary!$P$166:$P$242),0)</f>
        <v>0</v>
      </c>
      <c r="AE1449" s="197">
        <f t="shared" ca="1" si="318"/>
        <v>0</v>
      </c>
      <c r="AF1449" s="196">
        <f>IFERROR(G1449/SUMIF(A:A,A1449,G:G)*SUMIF(Summary!$A$166:$A$242,'Operations Support'!A1449,Summary!$Q$166:$Q$242),0)</f>
        <v>0</v>
      </c>
      <c r="AG1449" s="196">
        <f t="shared" ca="1" si="319"/>
        <v>0</v>
      </c>
      <c r="AI1449" s="196">
        <f>IFERROR($G1449/SUMIF($A:$A,$A1449,$G:$G)*SUMIF(Summary!$A$247:$A$283,$A1449,Summary!$P$247:$P$283),0)</f>
        <v>0</v>
      </c>
      <c r="AJ1449" s="196">
        <f>IFERROR($G1449/SUMIF($A:$A,$A1449,$G:$G)*(SUMIF(Summary!$A$247:$A$283,$A1449,Summary!$L$247:$L$283)+SUMIF(Summary!$A$297:$A$333,$A1449,Summary!$L$297:$L$333))-AI1449,0)</f>
        <v>0</v>
      </c>
      <c r="AK1449" s="196">
        <f>IFERROR($G1449/SUMIF($A:$A,$A1449,$G:$G)*SUMIF(Summary!$A$247:$A$283,$A1449,Summary!$Q$247:$Q$283),0)</f>
        <v>0</v>
      </c>
      <c r="AL1449" s="196">
        <f>IFERROR($G1449/SUMIF($A:$A,$A1449,$G:$G)*(SUMIF(Summary!$A$247:$A$283,$A1449,Summary!$L$247:$L$283)+SUMIF(Summary!$A$297:$A$333,$A1449,Summary!$L$297:$L$333))-AK1449,0)</f>
        <v>0</v>
      </c>
      <c r="AM1449" s="198"/>
      <c r="AN1449" s="196">
        <f t="shared" ca="1" si="320"/>
        <v>0</v>
      </c>
      <c r="AO1449" s="196">
        <f t="shared" ca="1" si="321"/>
        <v>0</v>
      </c>
    </row>
    <row r="1450" spans="1:41">
      <c r="A1450" s="189">
        <v>3632</v>
      </c>
      <c r="B1450" s="190">
        <v>4</v>
      </c>
      <c r="C1450" s="191" t="s">
        <v>237</v>
      </c>
      <c r="D1450" s="192">
        <f t="shared" si="308"/>
        <v>0</v>
      </c>
      <c r="E1450" s="192">
        <f t="shared" si="309"/>
        <v>0</v>
      </c>
      <c r="F1450" s="192">
        <f t="shared" si="310"/>
        <v>0</v>
      </c>
      <c r="G1450" s="193">
        <f t="shared" si="311"/>
        <v>0</v>
      </c>
      <c r="H1450" s="194">
        <v>0</v>
      </c>
      <c r="I1450" s="194">
        <v>0</v>
      </c>
      <c r="J1450" s="194">
        <v>0</v>
      </c>
      <c r="K1450" s="193">
        <f t="shared" si="312"/>
        <v>0</v>
      </c>
      <c r="L1450" s="194">
        <v>0</v>
      </c>
      <c r="M1450" s="194">
        <v>0</v>
      </c>
      <c r="N1450" s="194">
        <v>0</v>
      </c>
      <c r="O1450" s="193">
        <f t="shared" si="313"/>
        <v>0</v>
      </c>
      <c r="P1450" s="194">
        <v>0</v>
      </c>
      <c r="Q1450" s="194">
        <v>0</v>
      </c>
      <c r="R1450" s="194">
        <v>0</v>
      </c>
      <c r="S1450" s="193">
        <f t="shared" si="314"/>
        <v>0</v>
      </c>
      <c r="T1450" s="193">
        <f t="shared" si="315"/>
        <v>0</v>
      </c>
      <c r="U1450" s="193">
        <f ca="1">OFFSET('Expenditure Study'!$B$7,'Operations Support'!$C1450,'Operations Support'!$B1450)*$G1450</f>
        <v>0</v>
      </c>
      <c r="V1450" s="199">
        <f ca="1">U1450*'Expenditure Study'!$B$31</f>
        <v>0</v>
      </c>
      <c r="W1450" s="199">
        <f ca="1">IF(A1450=10298,1.51,1)*IF($B1450&lt;3,$D1450*'Expenditure Study'!$B$32*OFFSET('Expenditure Study'!$B$7,'Operations Support'!$C1450,'Operations Support'!$B1450),0)</f>
        <v>0</v>
      </c>
      <c r="X1450" s="200">
        <f ca="1">W1450*'Expenditure Study'!$B$31</f>
        <v>0</v>
      </c>
      <c r="Y1450" s="199">
        <f ca="1">U1450*'Expenditure Study'!$B$31</f>
        <v>0</v>
      </c>
      <c r="Z1450" s="200">
        <f ca="1">W1450*'Expenditure Study'!$B$31</f>
        <v>0</v>
      </c>
      <c r="AA1450" s="195">
        <f t="shared" ca="1" si="316"/>
        <v>0</v>
      </c>
      <c r="AB1450" s="195">
        <f t="shared" ca="1" si="317"/>
        <v>0</v>
      </c>
      <c r="AD1450" s="196">
        <f>IFERROR($G1450/SUMIF($A:$A,$A1450,$G:$G)*SUMIF(Summary!$A$166:$A$242,$A1450,Summary!$P$166:$P$242),0)</f>
        <v>0</v>
      </c>
      <c r="AE1450" s="197">
        <f t="shared" ca="1" si="318"/>
        <v>0</v>
      </c>
      <c r="AF1450" s="196">
        <f>IFERROR(G1450/SUMIF(A:A,A1450,G:G)*SUMIF(Summary!$A$166:$A$242,'Operations Support'!A1450,Summary!$Q$166:$Q$242),0)</f>
        <v>0</v>
      </c>
      <c r="AG1450" s="196">
        <f t="shared" ca="1" si="319"/>
        <v>0</v>
      </c>
      <c r="AI1450" s="196">
        <f>IFERROR($G1450/SUMIF($A:$A,$A1450,$G:$G)*SUMIF(Summary!$A$247:$A$283,$A1450,Summary!$P$247:$P$283),0)</f>
        <v>0</v>
      </c>
      <c r="AJ1450" s="196">
        <f>IFERROR($G1450/SUMIF($A:$A,$A1450,$G:$G)*(SUMIF(Summary!$A$247:$A$283,$A1450,Summary!$L$247:$L$283)+SUMIF(Summary!$A$297:$A$333,$A1450,Summary!$L$297:$L$333))-AI1450,0)</f>
        <v>0</v>
      </c>
      <c r="AK1450" s="196">
        <f>IFERROR($G1450/SUMIF($A:$A,$A1450,$G:$G)*SUMIF(Summary!$A$247:$A$283,$A1450,Summary!$Q$247:$Q$283),0)</f>
        <v>0</v>
      </c>
      <c r="AL1450" s="196">
        <f>IFERROR($G1450/SUMIF($A:$A,$A1450,$G:$G)*(SUMIF(Summary!$A$247:$A$283,$A1450,Summary!$L$247:$L$283)+SUMIF(Summary!$A$297:$A$333,$A1450,Summary!$L$297:$L$333))-AK1450,0)</f>
        <v>0</v>
      </c>
      <c r="AM1450" s="198"/>
      <c r="AN1450" s="196">
        <f t="shared" ca="1" si="320"/>
        <v>0</v>
      </c>
      <c r="AO1450" s="196">
        <f t="shared" ca="1" si="321"/>
        <v>0</v>
      </c>
    </row>
    <row r="1451" spans="1:41">
      <c r="A1451" s="189">
        <v>3632</v>
      </c>
      <c r="B1451" s="190">
        <v>4</v>
      </c>
      <c r="C1451" s="191" t="s">
        <v>238</v>
      </c>
      <c r="D1451" s="192">
        <f t="shared" si="308"/>
        <v>42</v>
      </c>
      <c r="E1451" s="192">
        <f t="shared" si="309"/>
        <v>3</v>
      </c>
      <c r="F1451" s="192">
        <f t="shared" si="310"/>
        <v>0</v>
      </c>
      <c r="G1451" s="193">
        <f t="shared" si="311"/>
        <v>45</v>
      </c>
      <c r="H1451" s="194">
        <v>23</v>
      </c>
      <c r="I1451" s="194">
        <v>3</v>
      </c>
      <c r="J1451" s="194">
        <v>0</v>
      </c>
      <c r="K1451" s="193">
        <f t="shared" si="312"/>
        <v>26</v>
      </c>
      <c r="L1451" s="194">
        <v>19</v>
      </c>
      <c r="M1451" s="194">
        <v>0</v>
      </c>
      <c r="N1451" s="194">
        <v>0</v>
      </c>
      <c r="O1451" s="193">
        <f t="shared" si="313"/>
        <v>19</v>
      </c>
      <c r="P1451" s="194">
        <v>0</v>
      </c>
      <c r="Q1451" s="194">
        <v>0</v>
      </c>
      <c r="R1451" s="194">
        <v>0</v>
      </c>
      <c r="S1451" s="193">
        <f t="shared" si="314"/>
        <v>0</v>
      </c>
      <c r="T1451" s="193">
        <f t="shared" si="315"/>
        <v>2.5</v>
      </c>
      <c r="U1451" s="193">
        <f ca="1">OFFSET('Expenditure Study'!$B$7,'Operations Support'!$C1451,'Operations Support'!$B1451)*$G1451</f>
        <v>709.65</v>
      </c>
      <c r="V1451" s="199">
        <f ca="1">U1451*'Expenditure Study'!$B$31</f>
        <v>41928.379254719999</v>
      </c>
      <c r="W1451" s="199">
        <f ca="1">IF(A1451=10298,1.51,1)*IF($B1451&lt;3,$D1451*'Expenditure Study'!$B$32*OFFSET('Expenditure Study'!$B$7,'Operations Support'!$C1451,'Operations Support'!$B1451),0)</f>
        <v>0</v>
      </c>
      <c r="X1451" s="200">
        <f ca="1">W1451*'Expenditure Study'!$B$31</f>
        <v>0</v>
      </c>
      <c r="Y1451" s="199">
        <f ca="1">U1451*'Expenditure Study'!$B$31</f>
        <v>41928.379254719999</v>
      </c>
      <c r="Z1451" s="200">
        <f ca="1">W1451*'Expenditure Study'!$B$31</f>
        <v>0</v>
      </c>
      <c r="AA1451" s="195">
        <f t="shared" ca="1" si="316"/>
        <v>41928.379254719999</v>
      </c>
      <c r="AB1451" s="195">
        <f t="shared" ca="1" si="317"/>
        <v>41928.379254719999</v>
      </c>
      <c r="AD1451" s="196">
        <f>IFERROR($G1451/SUMIF($A:$A,$A1451,$G:$G)*SUMIF(Summary!$A$166:$A$242,$A1451,Summary!$P$166:$P$242),0)</f>
        <v>1513.8039540579707</v>
      </c>
      <c r="AE1451" s="197">
        <f t="shared" ca="1" si="318"/>
        <v>40414.575300662029</v>
      </c>
      <c r="AF1451" s="196">
        <f>IFERROR(G1451/SUMIF(A:A,A1451,G:G)*SUMIF(Summary!$A$166:$A$242,'Operations Support'!A1451,Summary!$Q$166:$Q$242),0)</f>
        <v>1520.0143234282332</v>
      </c>
      <c r="AG1451" s="196">
        <f t="shared" ca="1" si="319"/>
        <v>40408.36493129177</v>
      </c>
      <c r="AI1451" s="196">
        <f>IFERROR($G1451/SUMIF($A:$A,$A1451,$G:$G)*SUMIF(Summary!$A$247:$A$283,$A1451,Summary!$P$247:$P$283),0)</f>
        <v>276.0800646635945</v>
      </c>
      <c r="AJ1451" s="196">
        <f>IFERROR($G1451/SUMIF($A:$A,$A1451,$G:$G)*(SUMIF(Summary!$A$247:$A$283,$A1451,Summary!$L$247:$L$283)+SUMIF(Summary!$A$297:$A$333,$A1451,Summary!$L$297:$L$333))-AI1451,0)</f>
        <v>1004.1861122190386</v>
      </c>
      <c r="AK1451" s="196">
        <f>IFERROR($G1451/SUMIF($A:$A,$A1451,$G:$G)*SUMIF(Summary!$A$247:$A$283,$A1451,Summary!$Q$247:$Q$283),0)</f>
        <v>277.21268105869029</v>
      </c>
      <c r="AL1451" s="196">
        <f>IFERROR($G1451/SUMIF($A:$A,$A1451,$G:$G)*(SUMIF(Summary!$A$247:$A$283,$A1451,Summary!$L$247:$L$283)+SUMIF(Summary!$A$297:$A$333,$A1451,Summary!$L$297:$L$333))-AK1451,0)</f>
        <v>1003.0534958239427</v>
      </c>
      <c r="AM1451" s="198"/>
      <c r="AN1451" s="196">
        <f t="shared" ca="1" si="320"/>
        <v>41418.761412881067</v>
      </c>
      <c r="AO1451" s="196">
        <f t="shared" ca="1" si="321"/>
        <v>41411.418427115714</v>
      </c>
    </row>
    <row r="1452" spans="1:41">
      <c r="A1452" s="189">
        <v>3632</v>
      </c>
      <c r="B1452" s="190">
        <v>4</v>
      </c>
      <c r="C1452" s="191" t="s">
        <v>239</v>
      </c>
      <c r="D1452" s="192">
        <f t="shared" si="308"/>
        <v>0</v>
      </c>
      <c r="E1452" s="192">
        <f t="shared" si="309"/>
        <v>0</v>
      </c>
      <c r="F1452" s="192">
        <f t="shared" si="310"/>
        <v>0</v>
      </c>
      <c r="G1452" s="193">
        <f t="shared" si="311"/>
        <v>0</v>
      </c>
      <c r="H1452" s="194">
        <v>0</v>
      </c>
      <c r="I1452" s="194">
        <v>0</v>
      </c>
      <c r="J1452" s="194">
        <v>0</v>
      </c>
      <c r="K1452" s="193">
        <f t="shared" si="312"/>
        <v>0</v>
      </c>
      <c r="L1452" s="194">
        <v>0</v>
      </c>
      <c r="M1452" s="194">
        <v>0</v>
      </c>
      <c r="N1452" s="194">
        <v>0</v>
      </c>
      <c r="O1452" s="193">
        <f t="shared" si="313"/>
        <v>0</v>
      </c>
      <c r="P1452" s="194">
        <v>0</v>
      </c>
      <c r="Q1452" s="194">
        <v>0</v>
      </c>
      <c r="R1452" s="194">
        <v>0</v>
      </c>
      <c r="S1452" s="193">
        <f t="shared" si="314"/>
        <v>0</v>
      </c>
      <c r="T1452" s="193">
        <f t="shared" si="315"/>
        <v>0</v>
      </c>
      <c r="U1452" s="193">
        <f ca="1">OFFSET('Expenditure Study'!$B$7,'Operations Support'!$C1452,'Operations Support'!$B1452)*$G1452</f>
        <v>0</v>
      </c>
      <c r="V1452" s="199">
        <f ca="1">U1452*'Expenditure Study'!$B$31</f>
        <v>0</v>
      </c>
      <c r="W1452" s="199">
        <f ca="1">IF(A1452=10298,1.51,1)*IF($B1452&lt;3,$D1452*'Expenditure Study'!$B$32*OFFSET('Expenditure Study'!$B$7,'Operations Support'!$C1452,'Operations Support'!$B1452),0)</f>
        <v>0</v>
      </c>
      <c r="X1452" s="200">
        <f ca="1">W1452*'Expenditure Study'!$B$31</f>
        <v>0</v>
      </c>
      <c r="Y1452" s="199">
        <f ca="1">U1452*'Expenditure Study'!$B$31</f>
        <v>0</v>
      </c>
      <c r="Z1452" s="200">
        <f ca="1">W1452*'Expenditure Study'!$B$31</f>
        <v>0</v>
      </c>
      <c r="AA1452" s="195">
        <f t="shared" ca="1" si="316"/>
        <v>0</v>
      </c>
      <c r="AB1452" s="195">
        <f t="shared" ca="1" si="317"/>
        <v>0</v>
      </c>
      <c r="AD1452" s="196">
        <f>IFERROR($G1452/SUMIF($A:$A,$A1452,$G:$G)*SUMIF(Summary!$A$166:$A$242,$A1452,Summary!$P$166:$P$242),0)</f>
        <v>0</v>
      </c>
      <c r="AE1452" s="197">
        <f t="shared" ca="1" si="318"/>
        <v>0</v>
      </c>
      <c r="AF1452" s="196">
        <f>IFERROR(G1452/SUMIF(A:A,A1452,G:G)*SUMIF(Summary!$A$166:$A$242,'Operations Support'!A1452,Summary!$Q$166:$Q$242),0)</f>
        <v>0</v>
      </c>
      <c r="AG1452" s="196">
        <f t="shared" ca="1" si="319"/>
        <v>0</v>
      </c>
      <c r="AI1452" s="196">
        <f>IFERROR($G1452/SUMIF($A:$A,$A1452,$G:$G)*SUMIF(Summary!$A$247:$A$283,$A1452,Summary!$P$247:$P$283),0)</f>
        <v>0</v>
      </c>
      <c r="AJ1452" s="196">
        <f>IFERROR($G1452/SUMIF($A:$A,$A1452,$G:$G)*(SUMIF(Summary!$A$247:$A$283,$A1452,Summary!$L$247:$L$283)+SUMIF(Summary!$A$297:$A$333,$A1452,Summary!$L$297:$L$333))-AI1452,0)</f>
        <v>0</v>
      </c>
      <c r="AK1452" s="196">
        <f>IFERROR($G1452/SUMIF($A:$A,$A1452,$G:$G)*SUMIF(Summary!$A$247:$A$283,$A1452,Summary!$Q$247:$Q$283),0)</f>
        <v>0</v>
      </c>
      <c r="AL1452" s="196">
        <f>IFERROR($G1452/SUMIF($A:$A,$A1452,$G:$G)*(SUMIF(Summary!$A$247:$A$283,$A1452,Summary!$L$247:$L$283)+SUMIF(Summary!$A$297:$A$333,$A1452,Summary!$L$297:$L$333))-AK1452,0)</f>
        <v>0</v>
      </c>
      <c r="AM1452" s="198"/>
      <c r="AN1452" s="196">
        <f t="shared" ca="1" si="320"/>
        <v>0</v>
      </c>
      <c r="AO1452" s="196">
        <f t="shared" ca="1" si="321"/>
        <v>0</v>
      </c>
    </row>
    <row r="1453" spans="1:41">
      <c r="A1453" s="189">
        <v>3632</v>
      </c>
      <c r="B1453" s="190">
        <v>4</v>
      </c>
      <c r="C1453" s="191" t="s">
        <v>240</v>
      </c>
      <c r="D1453" s="192">
        <f t="shared" si="308"/>
        <v>0</v>
      </c>
      <c r="E1453" s="192">
        <f t="shared" si="309"/>
        <v>0</v>
      </c>
      <c r="F1453" s="192">
        <f t="shared" si="310"/>
        <v>0</v>
      </c>
      <c r="G1453" s="193">
        <f t="shared" si="311"/>
        <v>0</v>
      </c>
      <c r="H1453" s="194">
        <v>0</v>
      </c>
      <c r="I1453" s="194">
        <v>0</v>
      </c>
      <c r="J1453" s="194">
        <v>0</v>
      </c>
      <c r="K1453" s="193">
        <f t="shared" si="312"/>
        <v>0</v>
      </c>
      <c r="L1453" s="194">
        <v>0</v>
      </c>
      <c r="M1453" s="194">
        <v>0</v>
      </c>
      <c r="N1453" s="194">
        <v>0</v>
      </c>
      <c r="O1453" s="193">
        <f t="shared" si="313"/>
        <v>0</v>
      </c>
      <c r="P1453" s="194">
        <v>0</v>
      </c>
      <c r="Q1453" s="194">
        <v>0</v>
      </c>
      <c r="R1453" s="194">
        <v>0</v>
      </c>
      <c r="S1453" s="193">
        <f t="shared" si="314"/>
        <v>0</v>
      </c>
      <c r="T1453" s="193">
        <f t="shared" si="315"/>
        <v>0</v>
      </c>
      <c r="U1453" s="193">
        <f ca="1">OFFSET('Expenditure Study'!$B$7,'Operations Support'!$C1453,'Operations Support'!$B1453)*$G1453</f>
        <v>0</v>
      </c>
      <c r="V1453" s="199">
        <f ca="1">U1453*'Expenditure Study'!$B$31</f>
        <v>0</v>
      </c>
      <c r="W1453" s="199">
        <f ca="1">IF(A1453=10298,1.51,1)*IF($B1453&lt;3,$D1453*'Expenditure Study'!$B$32*OFFSET('Expenditure Study'!$B$7,'Operations Support'!$C1453,'Operations Support'!$B1453),0)</f>
        <v>0</v>
      </c>
      <c r="X1453" s="200">
        <f ca="1">W1453*'Expenditure Study'!$B$31</f>
        <v>0</v>
      </c>
      <c r="Y1453" s="199">
        <f ca="1">U1453*'Expenditure Study'!$B$31</f>
        <v>0</v>
      </c>
      <c r="Z1453" s="200">
        <f ca="1">W1453*'Expenditure Study'!$B$31</f>
        <v>0</v>
      </c>
      <c r="AA1453" s="195">
        <f t="shared" ca="1" si="316"/>
        <v>0</v>
      </c>
      <c r="AB1453" s="195">
        <f t="shared" ca="1" si="317"/>
        <v>0</v>
      </c>
      <c r="AD1453" s="196">
        <f>IFERROR($G1453/SUMIF($A:$A,$A1453,$G:$G)*SUMIF(Summary!$A$166:$A$242,$A1453,Summary!$P$166:$P$242),0)</f>
        <v>0</v>
      </c>
      <c r="AE1453" s="197">
        <f t="shared" ca="1" si="318"/>
        <v>0</v>
      </c>
      <c r="AF1453" s="196">
        <f>IFERROR(G1453/SUMIF(A:A,A1453,G:G)*SUMIF(Summary!$A$166:$A$242,'Operations Support'!A1453,Summary!$Q$166:$Q$242),0)</f>
        <v>0</v>
      </c>
      <c r="AG1453" s="196">
        <f t="shared" ca="1" si="319"/>
        <v>0</v>
      </c>
      <c r="AI1453" s="196">
        <f>IFERROR($G1453/SUMIF($A:$A,$A1453,$G:$G)*SUMIF(Summary!$A$247:$A$283,$A1453,Summary!$P$247:$P$283),0)</f>
        <v>0</v>
      </c>
      <c r="AJ1453" s="196">
        <f>IFERROR($G1453/SUMIF($A:$A,$A1453,$G:$G)*(SUMIF(Summary!$A$247:$A$283,$A1453,Summary!$L$247:$L$283)+SUMIF(Summary!$A$297:$A$333,$A1453,Summary!$L$297:$L$333))-AI1453,0)</f>
        <v>0</v>
      </c>
      <c r="AK1453" s="196">
        <f>IFERROR($G1453/SUMIF($A:$A,$A1453,$G:$G)*SUMIF(Summary!$A$247:$A$283,$A1453,Summary!$Q$247:$Q$283),0)</f>
        <v>0</v>
      </c>
      <c r="AL1453" s="196">
        <f>IFERROR($G1453/SUMIF($A:$A,$A1453,$G:$G)*(SUMIF(Summary!$A$247:$A$283,$A1453,Summary!$L$247:$L$283)+SUMIF(Summary!$A$297:$A$333,$A1453,Summary!$L$297:$L$333))-AK1453,0)</f>
        <v>0</v>
      </c>
      <c r="AM1453" s="198"/>
      <c r="AN1453" s="196">
        <f t="shared" ca="1" si="320"/>
        <v>0</v>
      </c>
      <c r="AO1453" s="196">
        <f t="shared" ca="1" si="321"/>
        <v>0</v>
      </c>
    </row>
    <row r="1454" spans="1:41">
      <c r="A1454" s="189">
        <v>3632</v>
      </c>
      <c r="B1454" s="190">
        <v>5</v>
      </c>
      <c r="C1454" s="191" t="s">
        <v>220</v>
      </c>
      <c r="D1454" s="192">
        <f t="shared" si="308"/>
        <v>0</v>
      </c>
      <c r="E1454" s="192">
        <f t="shared" si="309"/>
        <v>0</v>
      </c>
      <c r="F1454" s="192">
        <f t="shared" si="310"/>
        <v>0</v>
      </c>
      <c r="G1454" s="193">
        <f t="shared" si="311"/>
        <v>0</v>
      </c>
      <c r="H1454" s="194">
        <v>0</v>
      </c>
      <c r="I1454" s="194">
        <v>0</v>
      </c>
      <c r="J1454" s="194">
        <v>0</v>
      </c>
      <c r="K1454" s="193">
        <f t="shared" si="312"/>
        <v>0</v>
      </c>
      <c r="L1454" s="194">
        <v>0</v>
      </c>
      <c r="M1454" s="194">
        <v>0</v>
      </c>
      <c r="N1454" s="194">
        <v>0</v>
      </c>
      <c r="O1454" s="193">
        <f t="shared" si="313"/>
        <v>0</v>
      </c>
      <c r="P1454" s="194">
        <v>0</v>
      </c>
      <c r="Q1454" s="194">
        <v>0</v>
      </c>
      <c r="R1454" s="194">
        <v>0</v>
      </c>
      <c r="S1454" s="193">
        <f t="shared" si="314"/>
        <v>0</v>
      </c>
      <c r="T1454" s="193">
        <f t="shared" si="315"/>
        <v>0</v>
      </c>
      <c r="U1454" s="193">
        <f ca="1">OFFSET('Expenditure Study'!$B$7,'Operations Support'!$C1454,'Operations Support'!$B1454)*$G1454</f>
        <v>0</v>
      </c>
      <c r="V1454" s="199">
        <f ca="1">U1454*'Expenditure Study'!$B$31</f>
        <v>0</v>
      </c>
      <c r="W1454" s="199">
        <f ca="1">IF(A1454=10298,1.51,1)*IF($B1454&lt;3,$D1454*'Expenditure Study'!$B$32*OFFSET('Expenditure Study'!$B$7,'Operations Support'!$C1454,'Operations Support'!$B1454),0)</f>
        <v>0</v>
      </c>
      <c r="X1454" s="200">
        <f ca="1">W1454*'Expenditure Study'!$B$31</f>
        <v>0</v>
      </c>
      <c r="Y1454" s="199">
        <f ca="1">U1454*'Expenditure Study'!$B$31</f>
        <v>0</v>
      </c>
      <c r="Z1454" s="200">
        <f ca="1">W1454*'Expenditure Study'!$B$31</f>
        <v>0</v>
      </c>
      <c r="AA1454" s="195">
        <f t="shared" ca="1" si="316"/>
        <v>0</v>
      </c>
      <c r="AB1454" s="195">
        <f t="shared" ca="1" si="317"/>
        <v>0</v>
      </c>
      <c r="AD1454" s="196">
        <f>IFERROR($G1454/SUMIF($A:$A,$A1454,$G:$G)*SUMIF(Summary!$A$166:$A$242,$A1454,Summary!$P$166:$P$242),0)</f>
        <v>0</v>
      </c>
      <c r="AE1454" s="197">
        <f t="shared" ca="1" si="318"/>
        <v>0</v>
      </c>
      <c r="AF1454" s="196">
        <f>IFERROR(G1454/SUMIF(A:A,A1454,G:G)*SUMIF(Summary!$A$166:$A$242,'Operations Support'!A1454,Summary!$Q$166:$Q$242),0)</f>
        <v>0</v>
      </c>
      <c r="AG1454" s="196">
        <f t="shared" ca="1" si="319"/>
        <v>0</v>
      </c>
      <c r="AI1454" s="196">
        <f>IFERROR($G1454/SUMIF($A:$A,$A1454,$G:$G)*SUMIF(Summary!$A$247:$A$283,$A1454,Summary!$P$247:$P$283),0)</f>
        <v>0</v>
      </c>
      <c r="AJ1454" s="196">
        <f>IFERROR($G1454/SUMIF($A:$A,$A1454,$G:$G)*(SUMIF(Summary!$A$247:$A$283,$A1454,Summary!$L$247:$L$283)+SUMIF(Summary!$A$297:$A$333,$A1454,Summary!$L$297:$L$333))-AI1454,0)</f>
        <v>0</v>
      </c>
      <c r="AK1454" s="196">
        <f>IFERROR($G1454/SUMIF($A:$A,$A1454,$G:$G)*SUMIF(Summary!$A$247:$A$283,$A1454,Summary!$Q$247:$Q$283),0)</f>
        <v>0</v>
      </c>
      <c r="AL1454" s="196">
        <f>IFERROR($G1454/SUMIF($A:$A,$A1454,$G:$G)*(SUMIF(Summary!$A$247:$A$283,$A1454,Summary!$L$247:$L$283)+SUMIF(Summary!$A$297:$A$333,$A1454,Summary!$L$297:$L$333))-AK1454,0)</f>
        <v>0</v>
      </c>
      <c r="AM1454" s="198"/>
      <c r="AN1454" s="196">
        <f t="shared" ca="1" si="320"/>
        <v>0</v>
      </c>
      <c r="AO1454" s="196">
        <f t="shared" ca="1" si="321"/>
        <v>0</v>
      </c>
    </row>
    <row r="1455" spans="1:41">
      <c r="A1455" s="189">
        <v>3632</v>
      </c>
      <c r="B1455" s="190">
        <v>5</v>
      </c>
      <c r="C1455" s="191" t="s">
        <v>221</v>
      </c>
      <c r="D1455" s="192">
        <f t="shared" si="308"/>
        <v>0</v>
      </c>
      <c r="E1455" s="192">
        <f t="shared" si="309"/>
        <v>0</v>
      </c>
      <c r="F1455" s="192">
        <f t="shared" si="310"/>
        <v>0</v>
      </c>
      <c r="G1455" s="193">
        <f t="shared" si="311"/>
        <v>0</v>
      </c>
      <c r="H1455" s="194">
        <v>0</v>
      </c>
      <c r="I1455" s="194">
        <v>0</v>
      </c>
      <c r="J1455" s="194">
        <v>0</v>
      </c>
      <c r="K1455" s="193">
        <f t="shared" si="312"/>
        <v>0</v>
      </c>
      <c r="L1455" s="194">
        <v>0</v>
      </c>
      <c r="M1455" s="194">
        <v>0</v>
      </c>
      <c r="N1455" s="194">
        <v>0</v>
      </c>
      <c r="O1455" s="193">
        <f t="shared" si="313"/>
        <v>0</v>
      </c>
      <c r="P1455" s="194">
        <v>0</v>
      </c>
      <c r="Q1455" s="194">
        <v>0</v>
      </c>
      <c r="R1455" s="194">
        <v>0</v>
      </c>
      <c r="S1455" s="193">
        <f t="shared" si="314"/>
        <v>0</v>
      </c>
      <c r="T1455" s="193">
        <f t="shared" si="315"/>
        <v>0</v>
      </c>
      <c r="U1455" s="193">
        <f ca="1">OFFSET('Expenditure Study'!$B$7,'Operations Support'!$C1455,'Operations Support'!$B1455)*$G1455</f>
        <v>0</v>
      </c>
      <c r="V1455" s="199">
        <f ca="1">U1455*'Expenditure Study'!$B$31</f>
        <v>0</v>
      </c>
      <c r="W1455" s="199">
        <f ca="1">IF(A1455=10298,1.51,1)*IF($B1455&lt;3,$D1455*'Expenditure Study'!$B$32*OFFSET('Expenditure Study'!$B$7,'Operations Support'!$C1455,'Operations Support'!$B1455),0)</f>
        <v>0</v>
      </c>
      <c r="X1455" s="200">
        <f ca="1">W1455*'Expenditure Study'!$B$31</f>
        <v>0</v>
      </c>
      <c r="Y1455" s="199">
        <f ca="1">U1455*'Expenditure Study'!$B$31</f>
        <v>0</v>
      </c>
      <c r="Z1455" s="200">
        <f ca="1">W1455*'Expenditure Study'!$B$31</f>
        <v>0</v>
      </c>
      <c r="AA1455" s="195">
        <f t="shared" ca="1" si="316"/>
        <v>0</v>
      </c>
      <c r="AB1455" s="195">
        <f t="shared" ca="1" si="317"/>
        <v>0</v>
      </c>
      <c r="AD1455" s="196">
        <f>IFERROR($G1455/SUMIF($A:$A,$A1455,$G:$G)*SUMIF(Summary!$A$166:$A$242,$A1455,Summary!$P$166:$P$242),0)</f>
        <v>0</v>
      </c>
      <c r="AE1455" s="197">
        <f t="shared" ca="1" si="318"/>
        <v>0</v>
      </c>
      <c r="AF1455" s="196">
        <f>IFERROR(G1455/SUMIF(A:A,A1455,G:G)*SUMIF(Summary!$A$166:$A$242,'Operations Support'!A1455,Summary!$Q$166:$Q$242),0)</f>
        <v>0</v>
      </c>
      <c r="AG1455" s="196">
        <f t="shared" ca="1" si="319"/>
        <v>0</v>
      </c>
      <c r="AI1455" s="196">
        <f>IFERROR($G1455/SUMIF($A:$A,$A1455,$G:$G)*SUMIF(Summary!$A$247:$A$283,$A1455,Summary!$P$247:$P$283),0)</f>
        <v>0</v>
      </c>
      <c r="AJ1455" s="196">
        <f>IFERROR($G1455/SUMIF($A:$A,$A1455,$G:$G)*(SUMIF(Summary!$A$247:$A$283,$A1455,Summary!$L$247:$L$283)+SUMIF(Summary!$A$297:$A$333,$A1455,Summary!$L$297:$L$333))-AI1455,0)</f>
        <v>0</v>
      </c>
      <c r="AK1455" s="196">
        <f>IFERROR($G1455/SUMIF($A:$A,$A1455,$G:$G)*SUMIF(Summary!$A$247:$A$283,$A1455,Summary!$Q$247:$Q$283),0)</f>
        <v>0</v>
      </c>
      <c r="AL1455" s="196">
        <f>IFERROR($G1455/SUMIF($A:$A,$A1455,$G:$G)*(SUMIF(Summary!$A$247:$A$283,$A1455,Summary!$L$247:$L$283)+SUMIF(Summary!$A$297:$A$333,$A1455,Summary!$L$297:$L$333))-AK1455,0)</f>
        <v>0</v>
      </c>
      <c r="AM1455" s="198"/>
      <c r="AN1455" s="196">
        <f t="shared" ca="1" si="320"/>
        <v>0</v>
      </c>
      <c r="AO1455" s="196">
        <f t="shared" ca="1" si="321"/>
        <v>0</v>
      </c>
    </row>
    <row r="1456" spans="1:41">
      <c r="A1456" s="189">
        <v>3632</v>
      </c>
      <c r="B1456" s="190">
        <v>5</v>
      </c>
      <c r="C1456" s="191" t="s">
        <v>222</v>
      </c>
      <c r="D1456" s="192">
        <f t="shared" si="308"/>
        <v>0</v>
      </c>
      <c r="E1456" s="192">
        <f t="shared" si="309"/>
        <v>0</v>
      </c>
      <c r="F1456" s="192">
        <f t="shared" si="310"/>
        <v>0</v>
      </c>
      <c r="G1456" s="193">
        <f t="shared" si="311"/>
        <v>0</v>
      </c>
      <c r="H1456" s="194">
        <v>0</v>
      </c>
      <c r="I1456" s="194">
        <v>0</v>
      </c>
      <c r="J1456" s="194">
        <v>0</v>
      </c>
      <c r="K1456" s="193">
        <f t="shared" si="312"/>
        <v>0</v>
      </c>
      <c r="L1456" s="194">
        <v>0</v>
      </c>
      <c r="M1456" s="194">
        <v>0</v>
      </c>
      <c r="N1456" s="194">
        <v>0</v>
      </c>
      <c r="O1456" s="193">
        <f t="shared" si="313"/>
        <v>0</v>
      </c>
      <c r="P1456" s="194">
        <v>0</v>
      </c>
      <c r="Q1456" s="194">
        <v>0</v>
      </c>
      <c r="R1456" s="194">
        <v>0</v>
      </c>
      <c r="S1456" s="193">
        <f t="shared" si="314"/>
        <v>0</v>
      </c>
      <c r="T1456" s="193">
        <f t="shared" si="315"/>
        <v>0</v>
      </c>
      <c r="U1456" s="193">
        <f ca="1">OFFSET('Expenditure Study'!$B$7,'Operations Support'!$C1456,'Operations Support'!$B1456)*$G1456</f>
        <v>0</v>
      </c>
      <c r="V1456" s="199">
        <f ca="1">U1456*'Expenditure Study'!$B$31</f>
        <v>0</v>
      </c>
      <c r="W1456" s="199">
        <f ca="1">IF(A1456=10298,1.51,1)*IF($B1456&lt;3,$D1456*'Expenditure Study'!$B$32*OFFSET('Expenditure Study'!$B$7,'Operations Support'!$C1456,'Operations Support'!$B1456),0)</f>
        <v>0</v>
      </c>
      <c r="X1456" s="200">
        <f ca="1">W1456*'Expenditure Study'!$B$31</f>
        <v>0</v>
      </c>
      <c r="Y1456" s="199">
        <f ca="1">U1456*'Expenditure Study'!$B$31</f>
        <v>0</v>
      </c>
      <c r="Z1456" s="200">
        <f ca="1">W1456*'Expenditure Study'!$B$31</f>
        <v>0</v>
      </c>
      <c r="AA1456" s="195">
        <f t="shared" ca="1" si="316"/>
        <v>0</v>
      </c>
      <c r="AB1456" s="195">
        <f t="shared" ca="1" si="317"/>
        <v>0</v>
      </c>
      <c r="AD1456" s="196">
        <f>IFERROR($G1456/SUMIF($A:$A,$A1456,$G:$G)*SUMIF(Summary!$A$166:$A$242,$A1456,Summary!$P$166:$P$242),0)</f>
        <v>0</v>
      </c>
      <c r="AE1456" s="197">
        <f t="shared" ca="1" si="318"/>
        <v>0</v>
      </c>
      <c r="AF1456" s="196">
        <f>IFERROR(G1456/SUMIF(A:A,A1456,G:G)*SUMIF(Summary!$A$166:$A$242,'Operations Support'!A1456,Summary!$Q$166:$Q$242),0)</f>
        <v>0</v>
      </c>
      <c r="AG1456" s="196">
        <f t="shared" ca="1" si="319"/>
        <v>0</v>
      </c>
      <c r="AI1456" s="196">
        <f>IFERROR($G1456/SUMIF($A:$A,$A1456,$G:$G)*SUMIF(Summary!$A$247:$A$283,$A1456,Summary!$P$247:$P$283),0)</f>
        <v>0</v>
      </c>
      <c r="AJ1456" s="196">
        <f>IFERROR($G1456/SUMIF($A:$A,$A1456,$G:$G)*(SUMIF(Summary!$A$247:$A$283,$A1456,Summary!$L$247:$L$283)+SUMIF(Summary!$A$297:$A$333,$A1456,Summary!$L$297:$L$333))-AI1456,0)</f>
        <v>0</v>
      </c>
      <c r="AK1456" s="196">
        <f>IFERROR($G1456/SUMIF($A:$A,$A1456,$G:$G)*SUMIF(Summary!$A$247:$A$283,$A1456,Summary!$Q$247:$Q$283),0)</f>
        <v>0</v>
      </c>
      <c r="AL1456" s="196">
        <f>IFERROR($G1456/SUMIF($A:$A,$A1456,$G:$G)*(SUMIF(Summary!$A$247:$A$283,$A1456,Summary!$L$247:$L$283)+SUMIF(Summary!$A$297:$A$333,$A1456,Summary!$L$297:$L$333))-AK1456,0)</f>
        <v>0</v>
      </c>
      <c r="AM1456" s="198"/>
      <c r="AN1456" s="196">
        <f t="shared" ca="1" si="320"/>
        <v>0</v>
      </c>
      <c r="AO1456" s="196">
        <f t="shared" ca="1" si="321"/>
        <v>0</v>
      </c>
    </row>
    <row r="1457" spans="1:41">
      <c r="A1457" s="189">
        <v>3632</v>
      </c>
      <c r="B1457" s="190">
        <v>5</v>
      </c>
      <c r="C1457" s="191" t="s">
        <v>223</v>
      </c>
      <c r="D1457" s="192">
        <f t="shared" si="308"/>
        <v>0</v>
      </c>
      <c r="E1457" s="192">
        <f t="shared" si="309"/>
        <v>0</v>
      </c>
      <c r="F1457" s="192">
        <f t="shared" si="310"/>
        <v>0</v>
      </c>
      <c r="G1457" s="193">
        <f t="shared" si="311"/>
        <v>0</v>
      </c>
      <c r="H1457" s="194">
        <v>0</v>
      </c>
      <c r="I1457" s="194">
        <v>0</v>
      </c>
      <c r="J1457" s="194">
        <v>0</v>
      </c>
      <c r="K1457" s="193">
        <f t="shared" si="312"/>
        <v>0</v>
      </c>
      <c r="L1457" s="194">
        <v>0</v>
      </c>
      <c r="M1457" s="194">
        <v>0</v>
      </c>
      <c r="N1457" s="194">
        <v>0</v>
      </c>
      <c r="O1457" s="193">
        <f t="shared" si="313"/>
        <v>0</v>
      </c>
      <c r="P1457" s="194">
        <v>0</v>
      </c>
      <c r="Q1457" s="194">
        <v>0</v>
      </c>
      <c r="R1457" s="194">
        <v>0</v>
      </c>
      <c r="S1457" s="193">
        <f t="shared" si="314"/>
        <v>0</v>
      </c>
      <c r="T1457" s="193">
        <f t="shared" si="315"/>
        <v>0</v>
      </c>
      <c r="U1457" s="193">
        <f ca="1">OFFSET('Expenditure Study'!$B$7,'Operations Support'!$C1457,'Operations Support'!$B1457)*$G1457</f>
        <v>0</v>
      </c>
      <c r="V1457" s="199">
        <f ca="1">U1457*'Expenditure Study'!$B$31</f>
        <v>0</v>
      </c>
      <c r="W1457" s="199">
        <f ca="1">IF(A1457=10298,1.51,1)*IF($B1457&lt;3,$D1457*'Expenditure Study'!$B$32*OFFSET('Expenditure Study'!$B$7,'Operations Support'!$C1457,'Operations Support'!$B1457),0)</f>
        <v>0</v>
      </c>
      <c r="X1457" s="200">
        <f ca="1">W1457*'Expenditure Study'!$B$31</f>
        <v>0</v>
      </c>
      <c r="Y1457" s="199">
        <f ca="1">U1457*'Expenditure Study'!$B$31</f>
        <v>0</v>
      </c>
      <c r="Z1457" s="200">
        <f ca="1">W1457*'Expenditure Study'!$B$31</f>
        <v>0</v>
      </c>
      <c r="AA1457" s="195">
        <f t="shared" ca="1" si="316"/>
        <v>0</v>
      </c>
      <c r="AB1457" s="195">
        <f t="shared" ca="1" si="317"/>
        <v>0</v>
      </c>
      <c r="AD1457" s="196">
        <f>IFERROR($G1457/SUMIF($A:$A,$A1457,$G:$G)*SUMIF(Summary!$A$166:$A$242,$A1457,Summary!$P$166:$P$242),0)</f>
        <v>0</v>
      </c>
      <c r="AE1457" s="197">
        <f t="shared" ca="1" si="318"/>
        <v>0</v>
      </c>
      <c r="AF1457" s="196">
        <f>IFERROR(G1457/SUMIF(A:A,A1457,G:G)*SUMIF(Summary!$A$166:$A$242,'Operations Support'!A1457,Summary!$Q$166:$Q$242),0)</f>
        <v>0</v>
      </c>
      <c r="AG1457" s="196">
        <f t="shared" ca="1" si="319"/>
        <v>0</v>
      </c>
      <c r="AI1457" s="196">
        <f>IFERROR($G1457/SUMIF($A:$A,$A1457,$G:$G)*SUMIF(Summary!$A$247:$A$283,$A1457,Summary!$P$247:$P$283),0)</f>
        <v>0</v>
      </c>
      <c r="AJ1457" s="196">
        <f>IFERROR($G1457/SUMIF($A:$A,$A1457,$G:$G)*(SUMIF(Summary!$A$247:$A$283,$A1457,Summary!$L$247:$L$283)+SUMIF(Summary!$A$297:$A$333,$A1457,Summary!$L$297:$L$333))-AI1457,0)</f>
        <v>0</v>
      </c>
      <c r="AK1457" s="196">
        <f>IFERROR($G1457/SUMIF($A:$A,$A1457,$G:$G)*SUMIF(Summary!$A$247:$A$283,$A1457,Summary!$Q$247:$Q$283),0)</f>
        <v>0</v>
      </c>
      <c r="AL1457" s="196">
        <f>IFERROR($G1457/SUMIF($A:$A,$A1457,$G:$G)*(SUMIF(Summary!$A$247:$A$283,$A1457,Summary!$L$247:$L$283)+SUMIF(Summary!$A$297:$A$333,$A1457,Summary!$L$297:$L$333))-AK1457,0)</f>
        <v>0</v>
      </c>
      <c r="AM1457" s="198"/>
      <c r="AN1457" s="196">
        <f t="shared" ca="1" si="320"/>
        <v>0</v>
      </c>
      <c r="AO1457" s="196">
        <f t="shared" ca="1" si="321"/>
        <v>0</v>
      </c>
    </row>
    <row r="1458" spans="1:41">
      <c r="A1458" s="189">
        <v>3632</v>
      </c>
      <c r="B1458" s="190">
        <v>5</v>
      </c>
      <c r="C1458" s="191" t="s">
        <v>224</v>
      </c>
      <c r="D1458" s="192">
        <f t="shared" si="308"/>
        <v>0</v>
      </c>
      <c r="E1458" s="192">
        <f t="shared" si="309"/>
        <v>0</v>
      </c>
      <c r="F1458" s="192">
        <f t="shared" si="310"/>
        <v>0</v>
      </c>
      <c r="G1458" s="193">
        <f t="shared" si="311"/>
        <v>0</v>
      </c>
      <c r="H1458" s="194">
        <v>0</v>
      </c>
      <c r="I1458" s="194">
        <v>0</v>
      </c>
      <c r="J1458" s="194">
        <v>0</v>
      </c>
      <c r="K1458" s="193">
        <f t="shared" si="312"/>
        <v>0</v>
      </c>
      <c r="L1458" s="194">
        <v>0</v>
      </c>
      <c r="M1458" s="194">
        <v>0</v>
      </c>
      <c r="N1458" s="194">
        <v>0</v>
      </c>
      <c r="O1458" s="193">
        <f t="shared" si="313"/>
        <v>0</v>
      </c>
      <c r="P1458" s="194">
        <v>0</v>
      </c>
      <c r="Q1458" s="194">
        <v>0</v>
      </c>
      <c r="R1458" s="194">
        <v>0</v>
      </c>
      <c r="S1458" s="193">
        <f t="shared" si="314"/>
        <v>0</v>
      </c>
      <c r="T1458" s="193">
        <f t="shared" si="315"/>
        <v>0</v>
      </c>
      <c r="U1458" s="193">
        <f ca="1">OFFSET('Expenditure Study'!$B$7,'Operations Support'!$C1458,'Operations Support'!$B1458)*$G1458</f>
        <v>0</v>
      </c>
      <c r="V1458" s="199">
        <f ca="1">U1458*'Expenditure Study'!$B$31</f>
        <v>0</v>
      </c>
      <c r="W1458" s="199">
        <f ca="1">IF(A1458=10298,1.51,1)*IF($B1458&lt;3,$D1458*'Expenditure Study'!$B$32*OFFSET('Expenditure Study'!$B$7,'Operations Support'!$C1458,'Operations Support'!$B1458),0)</f>
        <v>0</v>
      </c>
      <c r="X1458" s="200">
        <f ca="1">W1458*'Expenditure Study'!$B$31</f>
        <v>0</v>
      </c>
      <c r="Y1458" s="199">
        <f ca="1">U1458*'Expenditure Study'!$B$31</f>
        <v>0</v>
      </c>
      <c r="Z1458" s="200">
        <f ca="1">W1458*'Expenditure Study'!$B$31</f>
        <v>0</v>
      </c>
      <c r="AA1458" s="195">
        <f t="shared" ca="1" si="316"/>
        <v>0</v>
      </c>
      <c r="AB1458" s="195">
        <f t="shared" ca="1" si="317"/>
        <v>0</v>
      </c>
      <c r="AD1458" s="196">
        <f>IFERROR($G1458/SUMIF($A:$A,$A1458,$G:$G)*SUMIF(Summary!$A$166:$A$242,$A1458,Summary!$P$166:$P$242),0)</f>
        <v>0</v>
      </c>
      <c r="AE1458" s="197">
        <f t="shared" ca="1" si="318"/>
        <v>0</v>
      </c>
      <c r="AF1458" s="196">
        <f>IFERROR(G1458/SUMIF(A:A,A1458,G:G)*SUMIF(Summary!$A$166:$A$242,'Operations Support'!A1458,Summary!$Q$166:$Q$242),0)</f>
        <v>0</v>
      </c>
      <c r="AG1458" s="196">
        <f t="shared" ca="1" si="319"/>
        <v>0</v>
      </c>
      <c r="AI1458" s="196">
        <f>IFERROR($G1458/SUMIF($A:$A,$A1458,$G:$G)*SUMIF(Summary!$A$247:$A$283,$A1458,Summary!$P$247:$P$283),0)</f>
        <v>0</v>
      </c>
      <c r="AJ1458" s="196">
        <f>IFERROR($G1458/SUMIF($A:$A,$A1458,$G:$G)*(SUMIF(Summary!$A$247:$A$283,$A1458,Summary!$L$247:$L$283)+SUMIF(Summary!$A$297:$A$333,$A1458,Summary!$L$297:$L$333))-AI1458,0)</f>
        <v>0</v>
      </c>
      <c r="AK1458" s="196">
        <f>IFERROR($G1458/SUMIF($A:$A,$A1458,$G:$G)*SUMIF(Summary!$A$247:$A$283,$A1458,Summary!$Q$247:$Q$283),0)</f>
        <v>0</v>
      </c>
      <c r="AL1458" s="196">
        <f>IFERROR($G1458/SUMIF($A:$A,$A1458,$G:$G)*(SUMIF(Summary!$A$247:$A$283,$A1458,Summary!$L$247:$L$283)+SUMIF(Summary!$A$297:$A$333,$A1458,Summary!$L$297:$L$333))-AK1458,0)</f>
        <v>0</v>
      </c>
      <c r="AM1458" s="198"/>
      <c r="AN1458" s="196">
        <f t="shared" ca="1" si="320"/>
        <v>0</v>
      </c>
      <c r="AO1458" s="196">
        <f t="shared" ca="1" si="321"/>
        <v>0</v>
      </c>
    </row>
    <row r="1459" spans="1:41">
      <c r="A1459" s="189">
        <v>3632</v>
      </c>
      <c r="B1459" s="190">
        <v>5</v>
      </c>
      <c r="C1459" s="191" t="s">
        <v>225</v>
      </c>
      <c r="D1459" s="192">
        <f t="shared" si="308"/>
        <v>0</v>
      </c>
      <c r="E1459" s="192">
        <f t="shared" si="309"/>
        <v>0</v>
      </c>
      <c r="F1459" s="192">
        <f t="shared" si="310"/>
        <v>0</v>
      </c>
      <c r="G1459" s="193">
        <f t="shared" si="311"/>
        <v>0</v>
      </c>
      <c r="H1459" s="194">
        <v>0</v>
      </c>
      <c r="I1459" s="194">
        <v>0</v>
      </c>
      <c r="J1459" s="194">
        <v>0</v>
      </c>
      <c r="K1459" s="193">
        <f t="shared" si="312"/>
        <v>0</v>
      </c>
      <c r="L1459" s="194">
        <v>0</v>
      </c>
      <c r="M1459" s="194">
        <v>0</v>
      </c>
      <c r="N1459" s="194">
        <v>0</v>
      </c>
      <c r="O1459" s="193">
        <f t="shared" si="313"/>
        <v>0</v>
      </c>
      <c r="P1459" s="194">
        <v>0</v>
      </c>
      <c r="Q1459" s="194">
        <v>0</v>
      </c>
      <c r="R1459" s="194">
        <v>0</v>
      </c>
      <c r="S1459" s="193">
        <f t="shared" si="314"/>
        <v>0</v>
      </c>
      <c r="T1459" s="193">
        <f t="shared" si="315"/>
        <v>0</v>
      </c>
      <c r="U1459" s="193">
        <f ca="1">OFFSET('Expenditure Study'!$B$7,'Operations Support'!$C1459,'Operations Support'!$B1459)*$G1459</f>
        <v>0</v>
      </c>
      <c r="V1459" s="199">
        <f ca="1">U1459*'Expenditure Study'!$B$31</f>
        <v>0</v>
      </c>
      <c r="W1459" s="199">
        <f ca="1">IF(A1459=10298,1.51,1)*IF($B1459&lt;3,$D1459*'Expenditure Study'!$B$32*OFFSET('Expenditure Study'!$B$7,'Operations Support'!$C1459,'Operations Support'!$B1459),0)</f>
        <v>0</v>
      </c>
      <c r="X1459" s="200">
        <f ca="1">W1459*'Expenditure Study'!$B$31</f>
        <v>0</v>
      </c>
      <c r="Y1459" s="199">
        <f ca="1">U1459*'Expenditure Study'!$B$31</f>
        <v>0</v>
      </c>
      <c r="Z1459" s="200">
        <f ca="1">W1459*'Expenditure Study'!$B$31</f>
        <v>0</v>
      </c>
      <c r="AA1459" s="195">
        <f t="shared" ca="1" si="316"/>
        <v>0</v>
      </c>
      <c r="AB1459" s="195">
        <f t="shared" ca="1" si="317"/>
        <v>0</v>
      </c>
      <c r="AD1459" s="196">
        <f>IFERROR($G1459/SUMIF($A:$A,$A1459,$G:$G)*SUMIF(Summary!$A$166:$A$242,$A1459,Summary!$P$166:$P$242),0)</f>
        <v>0</v>
      </c>
      <c r="AE1459" s="197">
        <f t="shared" ca="1" si="318"/>
        <v>0</v>
      </c>
      <c r="AF1459" s="196">
        <f>IFERROR(G1459/SUMIF(A:A,A1459,G:G)*SUMIF(Summary!$A$166:$A$242,'Operations Support'!A1459,Summary!$Q$166:$Q$242),0)</f>
        <v>0</v>
      </c>
      <c r="AG1459" s="196">
        <f t="shared" ca="1" si="319"/>
        <v>0</v>
      </c>
      <c r="AI1459" s="196">
        <f>IFERROR($G1459/SUMIF($A:$A,$A1459,$G:$G)*SUMIF(Summary!$A$247:$A$283,$A1459,Summary!$P$247:$P$283),0)</f>
        <v>0</v>
      </c>
      <c r="AJ1459" s="196">
        <f>IFERROR($G1459/SUMIF($A:$A,$A1459,$G:$G)*(SUMIF(Summary!$A$247:$A$283,$A1459,Summary!$L$247:$L$283)+SUMIF(Summary!$A$297:$A$333,$A1459,Summary!$L$297:$L$333))-AI1459,0)</f>
        <v>0</v>
      </c>
      <c r="AK1459" s="196">
        <f>IFERROR($G1459/SUMIF($A:$A,$A1459,$G:$G)*SUMIF(Summary!$A$247:$A$283,$A1459,Summary!$Q$247:$Q$283),0)</f>
        <v>0</v>
      </c>
      <c r="AL1459" s="196">
        <f>IFERROR($G1459/SUMIF($A:$A,$A1459,$G:$G)*(SUMIF(Summary!$A$247:$A$283,$A1459,Summary!$L$247:$L$283)+SUMIF(Summary!$A$297:$A$333,$A1459,Summary!$L$297:$L$333))-AK1459,0)</f>
        <v>0</v>
      </c>
      <c r="AM1459" s="198"/>
      <c r="AN1459" s="196">
        <f t="shared" ca="1" si="320"/>
        <v>0</v>
      </c>
      <c r="AO1459" s="196">
        <f t="shared" ca="1" si="321"/>
        <v>0</v>
      </c>
    </row>
    <row r="1460" spans="1:41">
      <c r="A1460" s="189">
        <v>3632</v>
      </c>
      <c r="B1460" s="190">
        <v>5</v>
      </c>
      <c r="C1460" s="191" t="s">
        <v>226</v>
      </c>
      <c r="D1460" s="192">
        <f t="shared" si="308"/>
        <v>0</v>
      </c>
      <c r="E1460" s="192">
        <f t="shared" si="309"/>
        <v>0</v>
      </c>
      <c r="F1460" s="192">
        <f t="shared" si="310"/>
        <v>0</v>
      </c>
      <c r="G1460" s="193">
        <f t="shared" si="311"/>
        <v>0</v>
      </c>
      <c r="H1460" s="194">
        <v>0</v>
      </c>
      <c r="I1460" s="194">
        <v>0</v>
      </c>
      <c r="J1460" s="194">
        <v>0</v>
      </c>
      <c r="K1460" s="193">
        <f t="shared" si="312"/>
        <v>0</v>
      </c>
      <c r="L1460" s="194">
        <v>0</v>
      </c>
      <c r="M1460" s="194">
        <v>0</v>
      </c>
      <c r="N1460" s="194">
        <v>0</v>
      </c>
      <c r="O1460" s="193">
        <f t="shared" si="313"/>
        <v>0</v>
      </c>
      <c r="P1460" s="194">
        <v>0</v>
      </c>
      <c r="Q1460" s="194">
        <v>0</v>
      </c>
      <c r="R1460" s="194">
        <v>0</v>
      </c>
      <c r="S1460" s="193">
        <f t="shared" si="314"/>
        <v>0</v>
      </c>
      <c r="T1460" s="193">
        <f t="shared" si="315"/>
        <v>0</v>
      </c>
      <c r="U1460" s="193">
        <f ca="1">OFFSET('Expenditure Study'!$B$7,'Operations Support'!$C1460,'Operations Support'!$B1460)*$G1460</f>
        <v>0</v>
      </c>
      <c r="V1460" s="199">
        <f ca="1">U1460*'Expenditure Study'!$B$31</f>
        <v>0</v>
      </c>
      <c r="W1460" s="199">
        <f ca="1">IF(A1460=10298,1.51,1)*IF($B1460&lt;3,$D1460*'Expenditure Study'!$B$32*OFFSET('Expenditure Study'!$B$7,'Operations Support'!$C1460,'Operations Support'!$B1460),0)</f>
        <v>0</v>
      </c>
      <c r="X1460" s="200">
        <f ca="1">W1460*'Expenditure Study'!$B$31</f>
        <v>0</v>
      </c>
      <c r="Y1460" s="199">
        <f ca="1">U1460*'Expenditure Study'!$B$31</f>
        <v>0</v>
      </c>
      <c r="Z1460" s="200">
        <f ca="1">W1460*'Expenditure Study'!$B$31</f>
        <v>0</v>
      </c>
      <c r="AA1460" s="195">
        <f t="shared" ca="1" si="316"/>
        <v>0</v>
      </c>
      <c r="AB1460" s="195">
        <f t="shared" ca="1" si="317"/>
        <v>0</v>
      </c>
      <c r="AD1460" s="196">
        <f>IFERROR($G1460/SUMIF($A:$A,$A1460,$G:$G)*SUMIF(Summary!$A$166:$A$242,$A1460,Summary!$P$166:$P$242),0)</f>
        <v>0</v>
      </c>
      <c r="AE1460" s="197">
        <f t="shared" ca="1" si="318"/>
        <v>0</v>
      </c>
      <c r="AF1460" s="196">
        <f>IFERROR(G1460/SUMIF(A:A,A1460,G:G)*SUMIF(Summary!$A$166:$A$242,'Operations Support'!A1460,Summary!$Q$166:$Q$242),0)</f>
        <v>0</v>
      </c>
      <c r="AG1460" s="196">
        <f t="shared" ca="1" si="319"/>
        <v>0</v>
      </c>
      <c r="AI1460" s="196">
        <f>IFERROR($G1460/SUMIF($A:$A,$A1460,$G:$G)*SUMIF(Summary!$A$247:$A$283,$A1460,Summary!$P$247:$P$283),0)</f>
        <v>0</v>
      </c>
      <c r="AJ1460" s="196">
        <f>IFERROR($G1460/SUMIF($A:$A,$A1460,$G:$G)*(SUMIF(Summary!$A$247:$A$283,$A1460,Summary!$L$247:$L$283)+SUMIF(Summary!$A$297:$A$333,$A1460,Summary!$L$297:$L$333))-AI1460,0)</f>
        <v>0</v>
      </c>
      <c r="AK1460" s="196">
        <f>IFERROR($G1460/SUMIF($A:$A,$A1460,$G:$G)*SUMIF(Summary!$A$247:$A$283,$A1460,Summary!$Q$247:$Q$283),0)</f>
        <v>0</v>
      </c>
      <c r="AL1460" s="196">
        <f>IFERROR($G1460/SUMIF($A:$A,$A1460,$G:$G)*(SUMIF(Summary!$A$247:$A$283,$A1460,Summary!$L$247:$L$283)+SUMIF(Summary!$A$297:$A$333,$A1460,Summary!$L$297:$L$333))-AK1460,0)</f>
        <v>0</v>
      </c>
      <c r="AM1460" s="198"/>
      <c r="AN1460" s="196">
        <f t="shared" ca="1" si="320"/>
        <v>0</v>
      </c>
      <c r="AO1460" s="196">
        <f t="shared" ca="1" si="321"/>
        <v>0</v>
      </c>
    </row>
    <row r="1461" spans="1:41">
      <c r="A1461" s="189">
        <v>3632</v>
      </c>
      <c r="B1461" s="190">
        <v>5</v>
      </c>
      <c r="C1461" s="191" t="s">
        <v>227</v>
      </c>
      <c r="D1461" s="192">
        <f t="shared" si="308"/>
        <v>9554.85</v>
      </c>
      <c r="E1461" s="192">
        <f t="shared" si="309"/>
        <v>5658.65</v>
      </c>
      <c r="F1461" s="192">
        <f t="shared" si="310"/>
        <v>0</v>
      </c>
      <c r="G1461" s="193">
        <f t="shared" si="311"/>
        <v>15213.5</v>
      </c>
      <c r="H1461" s="194">
        <v>3969.85</v>
      </c>
      <c r="I1461" s="194">
        <v>3525.15</v>
      </c>
      <c r="J1461" s="194">
        <v>0</v>
      </c>
      <c r="K1461" s="193">
        <f t="shared" si="312"/>
        <v>7495</v>
      </c>
      <c r="L1461" s="194">
        <v>5582</v>
      </c>
      <c r="M1461" s="194">
        <v>1896.5</v>
      </c>
      <c r="N1461" s="194">
        <v>0</v>
      </c>
      <c r="O1461" s="193">
        <f t="shared" si="313"/>
        <v>7478.5</v>
      </c>
      <c r="P1461" s="194">
        <v>3</v>
      </c>
      <c r="Q1461" s="194">
        <v>237</v>
      </c>
      <c r="R1461" s="194">
        <v>0</v>
      </c>
      <c r="S1461" s="193">
        <f t="shared" si="314"/>
        <v>240</v>
      </c>
      <c r="T1461" s="193">
        <f t="shared" si="315"/>
        <v>633.89583333333337</v>
      </c>
      <c r="U1461" s="193">
        <f ca="1">OFFSET('Expenditure Study'!$B$7,'Operations Support'!$C1461,'Operations Support'!$B1461)*$G1461</f>
        <v>83674.25</v>
      </c>
      <c r="V1461" s="199">
        <f ca="1">U1461*'Expenditure Study'!$B$31</f>
        <v>4943740.8410544004</v>
      </c>
      <c r="W1461" s="199">
        <f ca="1">IF(A1461=10298,1.51,1)*IF($B1461&lt;3,$D1461*'Expenditure Study'!$B$32*OFFSET('Expenditure Study'!$B$7,'Operations Support'!$C1461,'Operations Support'!$B1461),0)</f>
        <v>0</v>
      </c>
      <c r="X1461" s="200">
        <f ca="1">W1461*'Expenditure Study'!$B$31</f>
        <v>0</v>
      </c>
      <c r="Y1461" s="199">
        <f ca="1">U1461*'Expenditure Study'!$B$31</f>
        <v>4943740.8410544004</v>
      </c>
      <c r="Z1461" s="200">
        <f ca="1">W1461*'Expenditure Study'!$B$31</f>
        <v>0</v>
      </c>
      <c r="AA1461" s="195">
        <f t="shared" ca="1" si="316"/>
        <v>4943740.8410544004</v>
      </c>
      <c r="AB1461" s="195">
        <f t="shared" ca="1" si="317"/>
        <v>4943740.8410544004</v>
      </c>
      <c r="AD1461" s="196">
        <f>IFERROR($G1461/SUMIF($A:$A,$A1461,$G:$G)*SUMIF(Summary!$A$166:$A$242,$A1461,Summary!$P$166:$P$242),0)</f>
        <v>511783.47677913198</v>
      </c>
      <c r="AE1461" s="197">
        <f t="shared" ca="1" si="318"/>
        <v>4431957.3642752683</v>
      </c>
      <c r="AF1461" s="196">
        <f>IFERROR(G1461/SUMIF(A:A,A1461,G:G)*SUMIF(Summary!$A$166:$A$242,'Operations Support'!A1461,Summary!$Q$166:$Q$242),0)</f>
        <v>513883.06465500948</v>
      </c>
      <c r="AG1461" s="196">
        <f t="shared" ca="1" si="319"/>
        <v>4429857.7763993908</v>
      </c>
      <c r="AI1461" s="196">
        <f>IFERROR($G1461/SUMIF($A:$A,$A1461,$G:$G)*SUMIF(Summary!$A$247:$A$283,$A1461,Summary!$P$247:$P$283),0)</f>
        <v>93336.534750213235</v>
      </c>
      <c r="AJ1461" s="196">
        <f>IFERROR($G1461/SUMIF($A:$A,$A1461,$G:$G)*(SUMIF(Summary!$A$247:$A$283,$A1461,Summary!$L$247:$L$283)+SUMIF(Summary!$A$297:$A$333,$A1461,Summary!$L$297:$L$333))-AI1461,0)</f>
        <v>339493.00929431885</v>
      </c>
      <c r="AK1461" s="196">
        <f>IFERROR($G1461/SUMIF($A:$A,$A1461,$G:$G)*SUMIF(Summary!$A$247:$A$283,$A1461,Summary!$Q$247:$Q$283),0)</f>
        <v>93719.4471841419</v>
      </c>
      <c r="AL1461" s="196">
        <f>IFERROR($G1461/SUMIF($A:$A,$A1461,$G:$G)*(SUMIF(Summary!$A$247:$A$283,$A1461,Summary!$L$247:$L$283)+SUMIF(Summary!$A$297:$A$333,$A1461,Summary!$L$297:$L$333))-AK1461,0)</f>
        <v>339110.09686039016</v>
      </c>
      <c r="AM1461" s="198"/>
      <c r="AN1461" s="196">
        <f t="shared" ca="1" si="320"/>
        <v>4771450.3735695872</v>
      </c>
      <c r="AO1461" s="196">
        <f t="shared" ca="1" si="321"/>
        <v>4768967.8732597809</v>
      </c>
    </row>
    <row r="1462" spans="1:41">
      <c r="A1462" s="189">
        <v>3632</v>
      </c>
      <c r="B1462" s="190">
        <v>5</v>
      </c>
      <c r="C1462" s="191" t="s">
        <v>228</v>
      </c>
      <c r="D1462" s="192">
        <f t="shared" si="308"/>
        <v>0</v>
      </c>
      <c r="E1462" s="192">
        <f t="shared" si="309"/>
        <v>0</v>
      </c>
      <c r="F1462" s="192">
        <f t="shared" si="310"/>
        <v>0</v>
      </c>
      <c r="G1462" s="193">
        <f t="shared" si="311"/>
        <v>0</v>
      </c>
      <c r="H1462" s="194">
        <v>0</v>
      </c>
      <c r="I1462" s="194">
        <v>0</v>
      </c>
      <c r="J1462" s="194">
        <v>0</v>
      </c>
      <c r="K1462" s="193">
        <f t="shared" si="312"/>
        <v>0</v>
      </c>
      <c r="L1462" s="194">
        <v>0</v>
      </c>
      <c r="M1462" s="194">
        <v>0</v>
      </c>
      <c r="N1462" s="194">
        <v>0</v>
      </c>
      <c r="O1462" s="193">
        <f t="shared" si="313"/>
        <v>0</v>
      </c>
      <c r="P1462" s="194">
        <v>0</v>
      </c>
      <c r="Q1462" s="194">
        <v>0</v>
      </c>
      <c r="R1462" s="194">
        <v>0</v>
      </c>
      <c r="S1462" s="193">
        <f t="shared" si="314"/>
        <v>0</v>
      </c>
      <c r="T1462" s="193">
        <f t="shared" si="315"/>
        <v>0</v>
      </c>
      <c r="U1462" s="193">
        <f ca="1">OFFSET('Expenditure Study'!$B$7,'Operations Support'!$C1462,'Operations Support'!$B1462)*$G1462</f>
        <v>0</v>
      </c>
      <c r="V1462" s="199">
        <f ca="1">U1462*'Expenditure Study'!$B$31</f>
        <v>0</v>
      </c>
      <c r="W1462" s="199">
        <f ca="1">IF(A1462=10298,1.51,1)*IF($B1462&lt;3,$D1462*'Expenditure Study'!$B$32*OFFSET('Expenditure Study'!$B$7,'Operations Support'!$C1462,'Operations Support'!$B1462),0)</f>
        <v>0</v>
      </c>
      <c r="X1462" s="200">
        <f ca="1">W1462*'Expenditure Study'!$B$31</f>
        <v>0</v>
      </c>
      <c r="Y1462" s="199">
        <f ca="1">U1462*'Expenditure Study'!$B$31</f>
        <v>0</v>
      </c>
      <c r="Z1462" s="200">
        <f ca="1">W1462*'Expenditure Study'!$B$31</f>
        <v>0</v>
      </c>
      <c r="AA1462" s="195">
        <f t="shared" ca="1" si="316"/>
        <v>0</v>
      </c>
      <c r="AB1462" s="195">
        <f t="shared" ca="1" si="317"/>
        <v>0</v>
      </c>
      <c r="AD1462" s="196">
        <f>IFERROR($G1462/SUMIF($A:$A,$A1462,$G:$G)*SUMIF(Summary!$A$166:$A$242,$A1462,Summary!$P$166:$P$242),0)</f>
        <v>0</v>
      </c>
      <c r="AE1462" s="197">
        <f t="shared" ca="1" si="318"/>
        <v>0</v>
      </c>
      <c r="AF1462" s="196">
        <f>IFERROR(G1462/SUMIF(A:A,A1462,G:G)*SUMIF(Summary!$A$166:$A$242,'Operations Support'!A1462,Summary!$Q$166:$Q$242),0)</f>
        <v>0</v>
      </c>
      <c r="AG1462" s="196">
        <f t="shared" ca="1" si="319"/>
        <v>0</v>
      </c>
      <c r="AI1462" s="196">
        <f>IFERROR($G1462/SUMIF($A:$A,$A1462,$G:$G)*SUMIF(Summary!$A$247:$A$283,$A1462,Summary!$P$247:$P$283),0)</f>
        <v>0</v>
      </c>
      <c r="AJ1462" s="196">
        <f>IFERROR($G1462/SUMIF($A:$A,$A1462,$G:$G)*(SUMIF(Summary!$A$247:$A$283,$A1462,Summary!$L$247:$L$283)+SUMIF(Summary!$A$297:$A$333,$A1462,Summary!$L$297:$L$333))-AI1462,0)</f>
        <v>0</v>
      </c>
      <c r="AK1462" s="196">
        <f>IFERROR($G1462/SUMIF($A:$A,$A1462,$G:$G)*SUMIF(Summary!$A$247:$A$283,$A1462,Summary!$Q$247:$Q$283),0)</f>
        <v>0</v>
      </c>
      <c r="AL1462" s="196">
        <f>IFERROR($G1462/SUMIF($A:$A,$A1462,$G:$G)*(SUMIF(Summary!$A$247:$A$283,$A1462,Summary!$L$247:$L$283)+SUMIF(Summary!$A$297:$A$333,$A1462,Summary!$L$297:$L$333))-AK1462,0)</f>
        <v>0</v>
      </c>
      <c r="AM1462" s="198"/>
      <c r="AN1462" s="196">
        <f t="shared" ca="1" si="320"/>
        <v>0</v>
      </c>
      <c r="AO1462" s="196">
        <f t="shared" ca="1" si="321"/>
        <v>0</v>
      </c>
    </row>
    <row r="1463" spans="1:41">
      <c r="A1463" s="189">
        <v>3632</v>
      </c>
      <c r="B1463" s="190">
        <v>5</v>
      </c>
      <c r="C1463" s="191" t="s">
        <v>229</v>
      </c>
      <c r="D1463" s="192">
        <f t="shared" si="308"/>
        <v>0</v>
      </c>
      <c r="E1463" s="192">
        <f t="shared" si="309"/>
        <v>0</v>
      </c>
      <c r="F1463" s="192">
        <f t="shared" si="310"/>
        <v>0</v>
      </c>
      <c r="G1463" s="193">
        <f t="shared" si="311"/>
        <v>0</v>
      </c>
      <c r="H1463" s="194">
        <v>0</v>
      </c>
      <c r="I1463" s="194">
        <v>0</v>
      </c>
      <c r="J1463" s="194">
        <v>0</v>
      </c>
      <c r="K1463" s="193">
        <f t="shared" si="312"/>
        <v>0</v>
      </c>
      <c r="L1463" s="194">
        <v>0</v>
      </c>
      <c r="M1463" s="194">
        <v>0</v>
      </c>
      <c r="N1463" s="194">
        <v>0</v>
      </c>
      <c r="O1463" s="193">
        <f t="shared" si="313"/>
        <v>0</v>
      </c>
      <c r="P1463" s="194">
        <v>0</v>
      </c>
      <c r="Q1463" s="194">
        <v>0</v>
      </c>
      <c r="R1463" s="194">
        <v>0</v>
      </c>
      <c r="S1463" s="193">
        <f t="shared" si="314"/>
        <v>0</v>
      </c>
      <c r="T1463" s="193">
        <f t="shared" si="315"/>
        <v>0</v>
      </c>
      <c r="U1463" s="193">
        <f ca="1">OFFSET('Expenditure Study'!$B$7,'Operations Support'!$C1463,'Operations Support'!$B1463)*$G1463</f>
        <v>0</v>
      </c>
      <c r="V1463" s="199">
        <f ca="1">U1463*'Expenditure Study'!$B$31</f>
        <v>0</v>
      </c>
      <c r="W1463" s="199">
        <f ca="1">IF(A1463=10298,1.51,1)*IF($B1463&lt;3,$D1463*'Expenditure Study'!$B$32*OFFSET('Expenditure Study'!$B$7,'Operations Support'!$C1463,'Operations Support'!$B1463),0)</f>
        <v>0</v>
      </c>
      <c r="X1463" s="200">
        <f ca="1">W1463*'Expenditure Study'!$B$31</f>
        <v>0</v>
      </c>
      <c r="Y1463" s="199">
        <f ca="1">U1463*'Expenditure Study'!$B$31</f>
        <v>0</v>
      </c>
      <c r="Z1463" s="200">
        <f ca="1">W1463*'Expenditure Study'!$B$31</f>
        <v>0</v>
      </c>
      <c r="AA1463" s="195">
        <f t="shared" ca="1" si="316"/>
        <v>0</v>
      </c>
      <c r="AB1463" s="195">
        <f t="shared" ca="1" si="317"/>
        <v>0</v>
      </c>
      <c r="AD1463" s="196">
        <f>IFERROR($G1463/SUMIF($A:$A,$A1463,$G:$G)*SUMIF(Summary!$A$166:$A$242,$A1463,Summary!$P$166:$P$242),0)</f>
        <v>0</v>
      </c>
      <c r="AE1463" s="197">
        <f t="shared" ca="1" si="318"/>
        <v>0</v>
      </c>
      <c r="AF1463" s="196">
        <f>IFERROR(G1463/SUMIF(A:A,A1463,G:G)*SUMIF(Summary!$A$166:$A$242,'Operations Support'!A1463,Summary!$Q$166:$Q$242),0)</f>
        <v>0</v>
      </c>
      <c r="AG1463" s="196">
        <f t="shared" ca="1" si="319"/>
        <v>0</v>
      </c>
      <c r="AI1463" s="196">
        <f>IFERROR($G1463/SUMIF($A:$A,$A1463,$G:$G)*SUMIF(Summary!$A$247:$A$283,$A1463,Summary!$P$247:$P$283),0)</f>
        <v>0</v>
      </c>
      <c r="AJ1463" s="196">
        <f>IFERROR($G1463/SUMIF($A:$A,$A1463,$G:$G)*(SUMIF(Summary!$A$247:$A$283,$A1463,Summary!$L$247:$L$283)+SUMIF(Summary!$A$297:$A$333,$A1463,Summary!$L$297:$L$333))-AI1463,0)</f>
        <v>0</v>
      </c>
      <c r="AK1463" s="196">
        <f>IFERROR($G1463/SUMIF($A:$A,$A1463,$G:$G)*SUMIF(Summary!$A$247:$A$283,$A1463,Summary!$Q$247:$Q$283),0)</f>
        <v>0</v>
      </c>
      <c r="AL1463" s="196">
        <f>IFERROR($G1463/SUMIF($A:$A,$A1463,$G:$G)*(SUMIF(Summary!$A$247:$A$283,$A1463,Summary!$L$247:$L$283)+SUMIF(Summary!$A$297:$A$333,$A1463,Summary!$L$297:$L$333))-AK1463,0)</f>
        <v>0</v>
      </c>
      <c r="AM1463" s="198"/>
      <c r="AN1463" s="196">
        <f t="shared" ca="1" si="320"/>
        <v>0</v>
      </c>
      <c r="AO1463" s="196">
        <f t="shared" ca="1" si="321"/>
        <v>0</v>
      </c>
    </row>
    <row r="1464" spans="1:41">
      <c r="A1464" s="189">
        <v>3632</v>
      </c>
      <c r="B1464" s="190">
        <v>5</v>
      </c>
      <c r="C1464" s="191" t="s">
        <v>230</v>
      </c>
      <c r="D1464" s="192">
        <f t="shared" si="308"/>
        <v>12351.14999999987</v>
      </c>
      <c r="E1464" s="192">
        <f t="shared" si="309"/>
        <v>16435.850000000009</v>
      </c>
      <c r="F1464" s="192">
        <f t="shared" si="310"/>
        <v>0</v>
      </c>
      <c r="G1464" s="193">
        <f t="shared" si="311"/>
        <v>28786.99999999988</v>
      </c>
      <c r="H1464" s="194">
        <v>4416.5499999999001</v>
      </c>
      <c r="I1464" s="194">
        <v>8494</v>
      </c>
      <c r="J1464" s="194">
        <v>0</v>
      </c>
      <c r="K1464" s="193">
        <f t="shared" si="312"/>
        <v>12910.549999999901</v>
      </c>
      <c r="L1464" s="194">
        <v>6461.6999999998698</v>
      </c>
      <c r="M1464" s="194">
        <v>7831.8500000000104</v>
      </c>
      <c r="N1464" s="194">
        <v>0</v>
      </c>
      <c r="O1464" s="193">
        <f t="shared" si="313"/>
        <v>14293.549999999879</v>
      </c>
      <c r="P1464" s="194">
        <v>1472.9000000000999</v>
      </c>
      <c r="Q1464" s="194">
        <v>110</v>
      </c>
      <c r="R1464" s="194">
        <v>0</v>
      </c>
      <c r="S1464" s="193">
        <f t="shared" si="314"/>
        <v>1582.9000000000999</v>
      </c>
      <c r="T1464" s="193">
        <f t="shared" si="315"/>
        <v>1199.4583333333283</v>
      </c>
      <c r="U1464" s="193">
        <f ca="1">OFFSET('Expenditure Study'!$B$7,'Operations Support'!$C1464,'Operations Support'!$B1464)*$G1464</f>
        <v>624965.76999999746</v>
      </c>
      <c r="V1464" s="199">
        <f ca="1">U1464*'Expenditure Study'!$B$31</f>
        <v>36924965.582721069</v>
      </c>
      <c r="W1464" s="199">
        <f ca="1">IF(A1464=10298,1.51,1)*IF($B1464&lt;3,$D1464*'Expenditure Study'!$B$32*OFFSET('Expenditure Study'!$B$7,'Operations Support'!$C1464,'Operations Support'!$B1464),0)</f>
        <v>0</v>
      </c>
      <c r="X1464" s="200">
        <f ca="1">W1464*'Expenditure Study'!$B$31</f>
        <v>0</v>
      </c>
      <c r="Y1464" s="199">
        <f ca="1">U1464*'Expenditure Study'!$B$31</f>
        <v>36924965.582721069</v>
      </c>
      <c r="Z1464" s="200">
        <f ca="1">W1464*'Expenditure Study'!$B$31</f>
        <v>0</v>
      </c>
      <c r="AA1464" s="195">
        <f t="shared" ca="1" si="316"/>
        <v>36924965.582721069</v>
      </c>
      <c r="AB1464" s="195">
        <f t="shared" ca="1" si="317"/>
        <v>36924965.582721069</v>
      </c>
      <c r="AD1464" s="196">
        <f>IFERROR($G1464/SUMIF($A:$A,$A1464,$G:$G)*SUMIF(Summary!$A$166:$A$242,$A1464,Summary!$P$166:$P$242),0)</f>
        <v>968397.20945481386</v>
      </c>
      <c r="AE1464" s="197">
        <f t="shared" ca="1" si="318"/>
        <v>35956568.373266257</v>
      </c>
      <c r="AF1464" s="196">
        <f>IFERROR(G1464/SUMIF(A:A,A1464,G:G)*SUMIF(Summary!$A$166:$A$242,'Operations Support'!A1464,Summary!$Q$166:$Q$242),0)</f>
        <v>972370.05174507492</v>
      </c>
      <c r="AG1464" s="196">
        <f t="shared" ca="1" si="319"/>
        <v>35952595.530975997</v>
      </c>
      <c r="AI1464" s="196">
        <f>IFERROR($G1464/SUMIF($A:$A,$A1464,$G:$G)*SUMIF(Summary!$A$247:$A$283,$A1464,Summary!$P$247:$P$283),0)</f>
        <v>176611.48492157474</v>
      </c>
      <c r="AJ1464" s="196">
        <f>IFERROR($G1464/SUMIF($A:$A,$A1464,$G:$G)*(SUMIF(Summary!$A$247:$A$283,$A1464,Summary!$L$247:$L$283)+SUMIF(Summary!$A$297:$A$333,$A1464,Summary!$L$297:$L$333))-AI1464,0)</f>
        <v>642389.01360998559</v>
      </c>
      <c r="AK1464" s="196">
        <f>IFERROR($G1464/SUMIF($A:$A,$A1464,$G:$G)*SUMIF(Summary!$A$247:$A$283,$A1464,Summary!$Q$247:$Q$283),0)</f>
        <v>177336.03221414413</v>
      </c>
      <c r="AL1464" s="196">
        <f>IFERROR($G1464/SUMIF($A:$A,$A1464,$G:$G)*(SUMIF(Summary!$A$247:$A$283,$A1464,Summary!$L$247:$L$283)+SUMIF(Summary!$A$297:$A$333,$A1464,Summary!$L$297:$L$333))-AK1464,0)</f>
        <v>641664.46631741617</v>
      </c>
      <c r="AM1464" s="198"/>
      <c r="AN1464" s="196">
        <f t="shared" ca="1" si="320"/>
        <v>36598957.38687624</v>
      </c>
      <c r="AO1464" s="196">
        <f t="shared" ca="1" si="321"/>
        <v>36594259.997293413</v>
      </c>
    </row>
    <row r="1465" spans="1:41">
      <c r="A1465" s="189">
        <v>3632</v>
      </c>
      <c r="B1465" s="190">
        <v>5</v>
      </c>
      <c r="C1465" s="191" t="s">
        <v>231</v>
      </c>
      <c r="D1465" s="192">
        <f t="shared" si="308"/>
        <v>0</v>
      </c>
      <c r="E1465" s="192">
        <f t="shared" si="309"/>
        <v>0</v>
      </c>
      <c r="F1465" s="192">
        <f t="shared" si="310"/>
        <v>0</v>
      </c>
      <c r="G1465" s="193">
        <f t="shared" si="311"/>
        <v>0</v>
      </c>
      <c r="H1465" s="194">
        <v>0</v>
      </c>
      <c r="I1465" s="194">
        <v>0</v>
      </c>
      <c r="J1465" s="194">
        <v>0</v>
      </c>
      <c r="K1465" s="193">
        <f t="shared" si="312"/>
        <v>0</v>
      </c>
      <c r="L1465" s="194">
        <v>0</v>
      </c>
      <c r="M1465" s="194">
        <v>0</v>
      </c>
      <c r="N1465" s="194">
        <v>0</v>
      </c>
      <c r="O1465" s="193">
        <f t="shared" si="313"/>
        <v>0</v>
      </c>
      <c r="P1465" s="194">
        <v>0</v>
      </c>
      <c r="Q1465" s="194">
        <v>0</v>
      </c>
      <c r="R1465" s="194">
        <v>0</v>
      </c>
      <c r="S1465" s="193">
        <f t="shared" si="314"/>
        <v>0</v>
      </c>
      <c r="T1465" s="193">
        <f t="shared" si="315"/>
        <v>0</v>
      </c>
      <c r="U1465" s="193">
        <f ca="1">OFFSET('Expenditure Study'!$B$7,'Operations Support'!$C1465,'Operations Support'!$B1465)*$G1465</f>
        <v>0</v>
      </c>
      <c r="V1465" s="199">
        <f ca="1">U1465*'Expenditure Study'!$B$31</f>
        <v>0</v>
      </c>
      <c r="W1465" s="199">
        <f ca="1">IF(A1465=10298,1.51,1)*IF($B1465&lt;3,$D1465*'Expenditure Study'!$B$32*OFFSET('Expenditure Study'!$B$7,'Operations Support'!$C1465,'Operations Support'!$B1465),0)</f>
        <v>0</v>
      </c>
      <c r="X1465" s="200">
        <f ca="1">W1465*'Expenditure Study'!$B$31</f>
        <v>0</v>
      </c>
      <c r="Y1465" s="199">
        <f ca="1">U1465*'Expenditure Study'!$B$31</f>
        <v>0</v>
      </c>
      <c r="Z1465" s="200">
        <f ca="1">W1465*'Expenditure Study'!$B$31</f>
        <v>0</v>
      </c>
      <c r="AA1465" s="195">
        <f t="shared" ca="1" si="316"/>
        <v>0</v>
      </c>
      <c r="AB1465" s="195">
        <f t="shared" ca="1" si="317"/>
        <v>0</v>
      </c>
      <c r="AD1465" s="196">
        <f>IFERROR($G1465/SUMIF($A:$A,$A1465,$G:$G)*SUMIF(Summary!$A$166:$A$242,$A1465,Summary!$P$166:$P$242),0)</f>
        <v>0</v>
      </c>
      <c r="AE1465" s="197">
        <f t="shared" ca="1" si="318"/>
        <v>0</v>
      </c>
      <c r="AF1465" s="196">
        <f>IFERROR(G1465/SUMIF(A:A,A1465,G:G)*SUMIF(Summary!$A$166:$A$242,'Operations Support'!A1465,Summary!$Q$166:$Q$242),0)</f>
        <v>0</v>
      </c>
      <c r="AG1465" s="196">
        <f t="shared" ca="1" si="319"/>
        <v>0</v>
      </c>
      <c r="AI1465" s="196">
        <f>IFERROR($G1465/SUMIF($A:$A,$A1465,$G:$G)*SUMIF(Summary!$A$247:$A$283,$A1465,Summary!$P$247:$P$283),0)</f>
        <v>0</v>
      </c>
      <c r="AJ1465" s="196">
        <f>IFERROR($G1465/SUMIF($A:$A,$A1465,$G:$G)*(SUMIF(Summary!$A$247:$A$283,$A1465,Summary!$L$247:$L$283)+SUMIF(Summary!$A$297:$A$333,$A1465,Summary!$L$297:$L$333))-AI1465,0)</f>
        <v>0</v>
      </c>
      <c r="AK1465" s="196">
        <f>IFERROR($G1465/SUMIF($A:$A,$A1465,$G:$G)*SUMIF(Summary!$A$247:$A$283,$A1465,Summary!$Q$247:$Q$283),0)</f>
        <v>0</v>
      </c>
      <c r="AL1465" s="196">
        <f>IFERROR($G1465/SUMIF($A:$A,$A1465,$G:$G)*(SUMIF(Summary!$A$247:$A$283,$A1465,Summary!$L$247:$L$283)+SUMIF(Summary!$A$297:$A$333,$A1465,Summary!$L$297:$L$333))-AK1465,0)</f>
        <v>0</v>
      </c>
      <c r="AM1465" s="198"/>
      <c r="AN1465" s="196">
        <f t="shared" ca="1" si="320"/>
        <v>0</v>
      </c>
      <c r="AO1465" s="196">
        <f t="shared" ca="1" si="321"/>
        <v>0</v>
      </c>
    </row>
    <row r="1466" spans="1:41">
      <c r="A1466" s="189">
        <v>3632</v>
      </c>
      <c r="B1466" s="190">
        <v>5</v>
      </c>
      <c r="C1466" s="191" t="s">
        <v>232</v>
      </c>
      <c r="D1466" s="192">
        <f t="shared" si="308"/>
        <v>0</v>
      </c>
      <c r="E1466" s="192">
        <f t="shared" si="309"/>
        <v>0</v>
      </c>
      <c r="F1466" s="192">
        <f t="shared" si="310"/>
        <v>0</v>
      </c>
      <c r="G1466" s="193">
        <f t="shared" si="311"/>
        <v>0</v>
      </c>
      <c r="H1466" s="194">
        <v>0</v>
      </c>
      <c r="I1466" s="194">
        <v>0</v>
      </c>
      <c r="J1466" s="194">
        <v>0</v>
      </c>
      <c r="K1466" s="193">
        <f t="shared" si="312"/>
        <v>0</v>
      </c>
      <c r="L1466" s="194">
        <v>0</v>
      </c>
      <c r="M1466" s="194">
        <v>0</v>
      </c>
      <c r="N1466" s="194">
        <v>0</v>
      </c>
      <c r="O1466" s="193">
        <f t="shared" si="313"/>
        <v>0</v>
      </c>
      <c r="P1466" s="194">
        <v>0</v>
      </c>
      <c r="Q1466" s="194">
        <v>0</v>
      </c>
      <c r="R1466" s="194">
        <v>0</v>
      </c>
      <c r="S1466" s="193">
        <f t="shared" si="314"/>
        <v>0</v>
      </c>
      <c r="T1466" s="193">
        <f t="shared" si="315"/>
        <v>0</v>
      </c>
      <c r="U1466" s="193">
        <f ca="1">OFFSET('Expenditure Study'!$B$7,'Operations Support'!$C1466,'Operations Support'!$B1466)*$G1466</f>
        <v>0</v>
      </c>
      <c r="V1466" s="199">
        <f ca="1">U1466*'Expenditure Study'!$B$31</f>
        <v>0</v>
      </c>
      <c r="W1466" s="199">
        <f ca="1">IF(A1466=10298,1.51,1)*IF($B1466&lt;3,$D1466*'Expenditure Study'!$B$32*OFFSET('Expenditure Study'!$B$7,'Operations Support'!$C1466,'Operations Support'!$B1466),0)</f>
        <v>0</v>
      </c>
      <c r="X1466" s="200">
        <f ca="1">W1466*'Expenditure Study'!$B$31</f>
        <v>0</v>
      </c>
      <c r="Y1466" s="199">
        <f ca="1">U1466*'Expenditure Study'!$B$31</f>
        <v>0</v>
      </c>
      <c r="Z1466" s="200">
        <f ca="1">W1466*'Expenditure Study'!$B$31</f>
        <v>0</v>
      </c>
      <c r="AA1466" s="195">
        <f t="shared" ca="1" si="316"/>
        <v>0</v>
      </c>
      <c r="AB1466" s="195">
        <f t="shared" ca="1" si="317"/>
        <v>0</v>
      </c>
      <c r="AD1466" s="196">
        <f>IFERROR($G1466/SUMIF($A:$A,$A1466,$G:$G)*SUMIF(Summary!$A$166:$A$242,$A1466,Summary!$P$166:$P$242),0)</f>
        <v>0</v>
      </c>
      <c r="AE1466" s="197">
        <f t="shared" ca="1" si="318"/>
        <v>0</v>
      </c>
      <c r="AF1466" s="196">
        <f>IFERROR(G1466/SUMIF(A:A,A1466,G:G)*SUMIF(Summary!$A$166:$A$242,'Operations Support'!A1466,Summary!$Q$166:$Q$242),0)</f>
        <v>0</v>
      </c>
      <c r="AG1466" s="196">
        <f t="shared" ca="1" si="319"/>
        <v>0</v>
      </c>
      <c r="AI1466" s="196">
        <f>IFERROR($G1466/SUMIF($A:$A,$A1466,$G:$G)*SUMIF(Summary!$A$247:$A$283,$A1466,Summary!$P$247:$P$283),0)</f>
        <v>0</v>
      </c>
      <c r="AJ1466" s="196">
        <f>IFERROR($G1466/SUMIF($A:$A,$A1466,$G:$G)*(SUMIF(Summary!$A$247:$A$283,$A1466,Summary!$L$247:$L$283)+SUMIF(Summary!$A$297:$A$333,$A1466,Summary!$L$297:$L$333))-AI1466,0)</f>
        <v>0</v>
      </c>
      <c r="AK1466" s="196">
        <f>IFERROR($G1466/SUMIF($A:$A,$A1466,$G:$G)*SUMIF(Summary!$A$247:$A$283,$A1466,Summary!$Q$247:$Q$283),0)</f>
        <v>0</v>
      </c>
      <c r="AL1466" s="196">
        <f>IFERROR($G1466/SUMIF($A:$A,$A1466,$G:$G)*(SUMIF(Summary!$A$247:$A$283,$A1466,Summary!$L$247:$L$283)+SUMIF(Summary!$A$297:$A$333,$A1466,Summary!$L$297:$L$333))-AK1466,0)</f>
        <v>0</v>
      </c>
      <c r="AM1466" s="198"/>
      <c r="AN1466" s="196">
        <f t="shared" ca="1" si="320"/>
        <v>0</v>
      </c>
      <c r="AO1466" s="196">
        <f t="shared" ca="1" si="321"/>
        <v>0</v>
      </c>
    </row>
    <row r="1467" spans="1:41">
      <c r="A1467" s="189">
        <v>3632</v>
      </c>
      <c r="B1467" s="190">
        <v>5</v>
      </c>
      <c r="C1467" s="191" t="s">
        <v>233</v>
      </c>
      <c r="D1467" s="192">
        <f t="shared" si="308"/>
        <v>0</v>
      </c>
      <c r="E1467" s="192">
        <f t="shared" si="309"/>
        <v>0</v>
      </c>
      <c r="F1467" s="192">
        <f t="shared" si="310"/>
        <v>0</v>
      </c>
      <c r="G1467" s="193">
        <f t="shared" si="311"/>
        <v>0</v>
      </c>
      <c r="H1467" s="194">
        <v>0</v>
      </c>
      <c r="I1467" s="194">
        <v>0</v>
      </c>
      <c r="J1467" s="194">
        <v>0</v>
      </c>
      <c r="K1467" s="193">
        <f t="shared" si="312"/>
        <v>0</v>
      </c>
      <c r="L1467" s="194">
        <v>0</v>
      </c>
      <c r="M1467" s="194">
        <v>0</v>
      </c>
      <c r="N1467" s="194">
        <v>0</v>
      </c>
      <c r="O1467" s="193">
        <f t="shared" si="313"/>
        <v>0</v>
      </c>
      <c r="P1467" s="194">
        <v>0</v>
      </c>
      <c r="Q1467" s="194">
        <v>0</v>
      </c>
      <c r="R1467" s="194">
        <v>0</v>
      </c>
      <c r="S1467" s="193">
        <f t="shared" si="314"/>
        <v>0</v>
      </c>
      <c r="T1467" s="193">
        <f t="shared" si="315"/>
        <v>0</v>
      </c>
      <c r="U1467" s="193">
        <f ca="1">OFFSET('Expenditure Study'!$B$7,'Operations Support'!$C1467,'Operations Support'!$B1467)*$G1467</f>
        <v>0</v>
      </c>
      <c r="V1467" s="199">
        <f ca="1">U1467*'Expenditure Study'!$B$31</f>
        <v>0</v>
      </c>
      <c r="W1467" s="199">
        <f ca="1">IF(A1467=10298,1.51,1)*IF($B1467&lt;3,$D1467*'Expenditure Study'!$B$32*OFFSET('Expenditure Study'!$B$7,'Operations Support'!$C1467,'Operations Support'!$B1467),0)</f>
        <v>0</v>
      </c>
      <c r="X1467" s="200">
        <f ca="1">W1467*'Expenditure Study'!$B$31</f>
        <v>0</v>
      </c>
      <c r="Y1467" s="199">
        <f ca="1">U1467*'Expenditure Study'!$B$31</f>
        <v>0</v>
      </c>
      <c r="Z1467" s="200">
        <f ca="1">W1467*'Expenditure Study'!$B$31</f>
        <v>0</v>
      </c>
      <c r="AA1467" s="195">
        <f t="shared" ca="1" si="316"/>
        <v>0</v>
      </c>
      <c r="AB1467" s="195">
        <f t="shared" ca="1" si="317"/>
        <v>0</v>
      </c>
      <c r="AD1467" s="196">
        <f>IFERROR($G1467/SUMIF($A:$A,$A1467,$G:$G)*SUMIF(Summary!$A$166:$A$242,$A1467,Summary!$P$166:$P$242),0)</f>
        <v>0</v>
      </c>
      <c r="AE1467" s="197">
        <f t="shared" ca="1" si="318"/>
        <v>0</v>
      </c>
      <c r="AF1467" s="196">
        <f>IFERROR(G1467/SUMIF(A:A,A1467,G:G)*SUMIF(Summary!$A$166:$A$242,'Operations Support'!A1467,Summary!$Q$166:$Q$242),0)</f>
        <v>0</v>
      </c>
      <c r="AG1467" s="196">
        <f t="shared" ca="1" si="319"/>
        <v>0</v>
      </c>
      <c r="AI1467" s="196">
        <f>IFERROR($G1467/SUMIF($A:$A,$A1467,$G:$G)*SUMIF(Summary!$A$247:$A$283,$A1467,Summary!$P$247:$P$283),0)</f>
        <v>0</v>
      </c>
      <c r="AJ1467" s="196">
        <f>IFERROR($G1467/SUMIF($A:$A,$A1467,$G:$G)*(SUMIF(Summary!$A$247:$A$283,$A1467,Summary!$L$247:$L$283)+SUMIF(Summary!$A$297:$A$333,$A1467,Summary!$L$297:$L$333))-AI1467,0)</f>
        <v>0</v>
      </c>
      <c r="AK1467" s="196">
        <f>IFERROR($G1467/SUMIF($A:$A,$A1467,$G:$G)*SUMIF(Summary!$A$247:$A$283,$A1467,Summary!$Q$247:$Q$283),0)</f>
        <v>0</v>
      </c>
      <c r="AL1467" s="196">
        <f>IFERROR($G1467/SUMIF($A:$A,$A1467,$G:$G)*(SUMIF(Summary!$A$247:$A$283,$A1467,Summary!$L$247:$L$283)+SUMIF(Summary!$A$297:$A$333,$A1467,Summary!$L$297:$L$333))-AK1467,0)</f>
        <v>0</v>
      </c>
      <c r="AM1467" s="198"/>
      <c r="AN1467" s="196">
        <f t="shared" ca="1" si="320"/>
        <v>0</v>
      </c>
      <c r="AO1467" s="196">
        <f t="shared" ca="1" si="321"/>
        <v>0</v>
      </c>
    </row>
    <row r="1468" spans="1:41">
      <c r="A1468" s="189">
        <v>3632</v>
      </c>
      <c r="B1468" s="190">
        <v>5</v>
      </c>
      <c r="C1468" s="191" t="s">
        <v>234</v>
      </c>
      <c r="D1468" s="192">
        <f t="shared" si="308"/>
        <v>0</v>
      </c>
      <c r="E1468" s="192">
        <f t="shared" si="309"/>
        <v>0</v>
      </c>
      <c r="F1468" s="192">
        <f t="shared" si="310"/>
        <v>0</v>
      </c>
      <c r="G1468" s="193">
        <f t="shared" si="311"/>
        <v>0</v>
      </c>
      <c r="H1468" s="194">
        <v>0</v>
      </c>
      <c r="I1468" s="194">
        <v>0</v>
      </c>
      <c r="J1468" s="194">
        <v>0</v>
      </c>
      <c r="K1468" s="193">
        <f t="shared" si="312"/>
        <v>0</v>
      </c>
      <c r="L1468" s="194">
        <v>0</v>
      </c>
      <c r="M1468" s="194">
        <v>0</v>
      </c>
      <c r="N1468" s="194">
        <v>0</v>
      </c>
      <c r="O1468" s="193">
        <f t="shared" si="313"/>
        <v>0</v>
      </c>
      <c r="P1468" s="194">
        <v>0</v>
      </c>
      <c r="Q1468" s="194">
        <v>0</v>
      </c>
      <c r="R1468" s="194">
        <v>0</v>
      </c>
      <c r="S1468" s="193">
        <f t="shared" si="314"/>
        <v>0</v>
      </c>
      <c r="T1468" s="193">
        <f t="shared" si="315"/>
        <v>0</v>
      </c>
      <c r="U1468" s="193">
        <f ca="1">OFFSET('Expenditure Study'!$B$7,'Operations Support'!$C1468,'Operations Support'!$B1468)*$G1468</f>
        <v>0</v>
      </c>
      <c r="V1468" s="199">
        <f ca="1">U1468*'Expenditure Study'!$B$31</f>
        <v>0</v>
      </c>
      <c r="W1468" s="199">
        <f ca="1">IF(A1468=10298,1.51,1)*IF($B1468&lt;3,$D1468*'Expenditure Study'!$B$32*OFFSET('Expenditure Study'!$B$7,'Operations Support'!$C1468,'Operations Support'!$B1468),0)</f>
        <v>0</v>
      </c>
      <c r="X1468" s="200">
        <f ca="1">W1468*'Expenditure Study'!$B$31</f>
        <v>0</v>
      </c>
      <c r="Y1468" s="199">
        <f ca="1">U1468*'Expenditure Study'!$B$31</f>
        <v>0</v>
      </c>
      <c r="Z1468" s="200">
        <f ca="1">W1468*'Expenditure Study'!$B$31</f>
        <v>0</v>
      </c>
      <c r="AA1468" s="195">
        <f t="shared" ca="1" si="316"/>
        <v>0</v>
      </c>
      <c r="AB1468" s="195">
        <f t="shared" ca="1" si="317"/>
        <v>0</v>
      </c>
      <c r="AD1468" s="196">
        <f>IFERROR($G1468/SUMIF($A:$A,$A1468,$G:$G)*SUMIF(Summary!$A$166:$A$242,$A1468,Summary!$P$166:$P$242),0)</f>
        <v>0</v>
      </c>
      <c r="AE1468" s="197">
        <f t="shared" ca="1" si="318"/>
        <v>0</v>
      </c>
      <c r="AF1468" s="196">
        <f>IFERROR(G1468/SUMIF(A:A,A1468,G:G)*SUMIF(Summary!$A$166:$A$242,'Operations Support'!A1468,Summary!$Q$166:$Q$242),0)</f>
        <v>0</v>
      </c>
      <c r="AG1468" s="196">
        <f t="shared" ca="1" si="319"/>
        <v>0</v>
      </c>
      <c r="AI1468" s="196">
        <f>IFERROR($G1468/SUMIF($A:$A,$A1468,$G:$G)*SUMIF(Summary!$A$247:$A$283,$A1468,Summary!$P$247:$P$283),0)</f>
        <v>0</v>
      </c>
      <c r="AJ1468" s="196">
        <f>IFERROR($G1468/SUMIF($A:$A,$A1468,$G:$G)*(SUMIF(Summary!$A$247:$A$283,$A1468,Summary!$L$247:$L$283)+SUMIF(Summary!$A$297:$A$333,$A1468,Summary!$L$297:$L$333))-AI1468,0)</f>
        <v>0</v>
      </c>
      <c r="AK1468" s="196">
        <f>IFERROR($G1468/SUMIF($A:$A,$A1468,$G:$G)*SUMIF(Summary!$A$247:$A$283,$A1468,Summary!$Q$247:$Q$283),0)</f>
        <v>0</v>
      </c>
      <c r="AL1468" s="196">
        <f>IFERROR($G1468/SUMIF($A:$A,$A1468,$G:$G)*(SUMIF(Summary!$A$247:$A$283,$A1468,Summary!$L$247:$L$283)+SUMIF(Summary!$A$297:$A$333,$A1468,Summary!$L$297:$L$333))-AK1468,0)</f>
        <v>0</v>
      </c>
      <c r="AM1468" s="198"/>
      <c r="AN1468" s="196">
        <f t="shared" ca="1" si="320"/>
        <v>0</v>
      </c>
      <c r="AO1468" s="196">
        <f t="shared" ca="1" si="321"/>
        <v>0</v>
      </c>
    </row>
    <row r="1469" spans="1:41" s="201" customFormat="1">
      <c r="A1469" s="189">
        <v>3632</v>
      </c>
      <c r="B1469" s="190">
        <v>5</v>
      </c>
      <c r="C1469" s="191" t="s">
        <v>235</v>
      </c>
      <c r="D1469" s="192">
        <f t="shared" si="308"/>
        <v>0</v>
      </c>
      <c r="E1469" s="192">
        <f t="shared" si="309"/>
        <v>0</v>
      </c>
      <c r="F1469" s="192">
        <f t="shared" si="310"/>
        <v>0</v>
      </c>
      <c r="G1469" s="193">
        <f t="shared" si="311"/>
        <v>0</v>
      </c>
      <c r="H1469" s="194">
        <v>0</v>
      </c>
      <c r="I1469" s="194">
        <v>0</v>
      </c>
      <c r="J1469" s="194">
        <v>0</v>
      </c>
      <c r="K1469" s="193">
        <f t="shared" si="312"/>
        <v>0</v>
      </c>
      <c r="L1469" s="194">
        <v>0</v>
      </c>
      <c r="M1469" s="194">
        <v>0</v>
      </c>
      <c r="N1469" s="194">
        <v>0</v>
      </c>
      <c r="O1469" s="193">
        <f t="shared" si="313"/>
        <v>0</v>
      </c>
      <c r="P1469" s="194">
        <v>0</v>
      </c>
      <c r="Q1469" s="194">
        <v>0</v>
      </c>
      <c r="R1469" s="194">
        <v>0</v>
      </c>
      <c r="S1469" s="193">
        <f t="shared" si="314"/>
        <v>0</v>
      </c>
      <c r="T1469" s="193">
        <f t="shared" si="315"/>
        <v>0</v>
      </c>
      <c r="U1469" s="193">
        <f ca="1">OFFSET('Expenditure Study'!$B$7,'Operations Support'!$C1469,'Operations Support'!$B1469)*$G1469</f>
        <v>0</v>
      </c>
      <c r="V1469" s="199">
        <f ca="1">U1469*'Expenditure Study'!$B$31</f>
        <v>0</v>
      </c>
      <c r="W1469" s="199">
        <f ca="1">IF(A1469=10298,1.51,1)*IF($B1469&lt;3,$D1469*'Expenditure Study'!$B$32*OFFSET('Expenditure Study'!$B$7,'Operations Support'!$C1469,'Operations Support'!$B1469),0)</f>
        <v>0</v>
      </c>
      <c r="X1469" s="200">
        <f ca="1">W1469*'Expenditure Study'!$B$31</f>
        <v>0</v>
      </c>
      <c r="Y1469" s="199">
        <f ca="1">U1469*'Expenditure Study'!$B$31</f>
        <v>0</v>
      </c>
      <c r="Z1469" s="200">
        <f ca="1">W1469*'Expenditure Study'!$B$31</f>
        <v>0</v>
      </c>
      <c r="AA1469" s="195">
        <f t="shared" ca="1" si="316"/>
        <v>0</v>
      </c>
      <c r="AB1469" s="195">
        <f t="shared" ca="1" si="317"/>
        <v>0</v>
      </c>
      <c r="AD1469" s="196">
        <f>IFERROR($G1469/SUMIF($A:$A,$A1469,$G:$G)*SUMIF(Summary!$A$166:$A$242,$A1469,Summary!$P$166:$P$242),0)</f>
        <v>0</v>
      </c>
      <c r="AE1469" s="197">
        <f t="shared" ca="1" si="318"/>
        <v>0</v>
      </c>
      <c r="AF1469" s="196">
        <f>IFERROR(G1469/SUMIF(A:A,A1469,G:G)*SUMIF(Summary!$A$166:$A$242,'Operations Support'!A1469,Summary!$Q$166:$Q$242),0)</f>
        <v>0</v>
      </c>
      <c r="AG1469" s="196">
        <f t="shared" ca="1" si="319"/>
        <v>0</v>
      </c>
      <c r="AH1469" s="180"/>
      <c r="AI1469" s="196">
        <f>IFERROR($G1469/SUMIF($A:$A,$A1469,$G:$G)*SUMIF(Summary!$A$247:$A$283,$A1469,Summary!$P$247:$P$283),0)</f>
        <v>0</v>
      </c>
      <c r="AJ1469" s="196">
        <f>IFERROR($G1469/SUMIF($A:$A,$A1469,$G:$G)*(SUMIF(Summary!$A$247:$A$283,$A1469,Summary!$L$247:$L$283)+SUMIF(Summary!$A$297:$A$333,$A1469,Summary!$L$297:$L$333))-AI1469,0)</f>
        <v>0</v>
      </c>
      <c r="AK1469" s="196">
        <f>IFERROR($G1469/SUMIF($A:$A,$A1469,$G:$G)*SUMIF(Summary!$A$247:$A$283,$A1469,Summary!$Q$247:$Q$283),0)</f>
        <v>0</v>
      </c>
      <c r="AL1469" s="196">
        <f>IFERROR($G1469/SUMIF($A:$A,$A1469,$G:$G)*(SUMIF(Summary!$A$247:$A$283,$A1469,Summary!$L$247:$L$283)+SUMIF(Summary!$A$297:$A$333,$A1469,Summary!$L$297:$L$333))-AK1469,0)</f>
        <v>0</v>
      </c>
      <c r="AM1469" s="198"/>
      <c r="AN1469" s="196">
        <f t="shared" ca="1" si="320"/>
        <v>0</v>
      </c>
      <c r="AO1469" s="196">
        <f t="shared" ca="1" si="321"/>
        <v>0</v>
      </c>
    </row>
    <row r="1470" spans="1:41">
      <c r="A1470" s="189">
        <v>3632</v>
      </c>
      <c r="B1470" s="190">
        <v>5</v>
      </c>
      <c r="C1470" s="191" t="s">
        <v>236</v>
      </c>
      <c r="D1470" s="192">
        <f t="shared" si="308"/>
        <v>0</v>
      </c>
      <c r="E1470" s="192">
        <f t="shared" si="309"/>
        <v>0</v>
      </c>
      <c r="F1470" s="192">
        <f t="shared" si="310"/>
        <v>0</v>
      </c>
      <c r="G1470" s="193">
        <f t="shared" si="311"/>
        <v>0</v>
      </c>
      <c r="H1470" s="194">
        <v>0</v>
      </c>
      <c r="I1470" s="194">
        <v>0</v>
      </c>
      <c r="J1470" s="194">
        <v>0</v>
      </c>
      <c r="K1470" s="193">
        <f t="shared" si="312"/>
        <v>0</v>
      </c>
      <c r="L1470" s="194">
        <v>0</v>
      </c>
      <c r="M1470" s="194">
        <v>0</v>
      </c>
      <c r="N1470" s="194">
        <v>0</v>
      </c>
      <c r="O1470" s="193">
        <f t="shared" si="313"/>
        <v>0</v>
      </c>
      <c r="P1470" s="194">
        <v>0</v>
      </c>
      <c r="Q1470" s="194">
        <v>0</v>
      </c>
      <c r="R1470" s="194">
        <v>0</v>
      </c>
      <c r="S1470" s="193">
        <f t="shared" si="314"/>
        <v>0</v>
      </c>
      <c r="T1470" s="193">
        <f t="shared" si="315"/>
        <v>0</v>
      </c>
      <c r="U1470" s="193">
        <f ca="1">OFFSET('Expenditure Study'!$B$7,'Operations Support'!$C1470,'Operations Support'!$B1470)*$G1470</f>
        <v>0</v>
      </c>
      <c r="V1470" s="199">
        <f ca="1">U1470*'Expenditure Study'!$B$31</f>
        <v>0</v>
      </c>
      <c r="W1470" s="199">
        <f ca="1">IF(A1470=10298,1.51,1)*IF($B1470&lt;3,$D1470*'Expenditure Study'!$B$32*OFFSET('Expenditure Study'!$B$7,'Operations Support'!$C1470,'Operations Support'!$B1470),0)</f>
        <v>0</v>
      </c>
      <c r="X1470" s="200">
        <f ca="1">W1470*'Expenditure Study'!$B$31</f>
        <v>0</v>
      </c>
      <c r="Y1470" s="199">
        <f ca="1">U1470*'Expenditure Study'!$B$31</f>
        <v>0</v>
      </c>
      <c r="Z1470" s="200">
        <f ca="1">W1470*'Expenditure Study'!$B$31</f>
        <v>0</v>
      </c>
      <c r="AA1470" s="195">
        <f t="shared" ca="1" si="316"/>
        <v>0</v>
      </c>
      <c r="AB1470" s="195">
        <f t="shared" ca="1" si="317"/>
        <v>0</v>
      </c>
      <c r="AD1470" s="196">
        <f>IFERROR($G1470/SUMIF($A:$A,$A1470,$G:$G)*SUMIF(Summary!$A$166:$A$242,$A1470,Summary!$P$166:$P$242),0)</f>
        <v>0</v>
      </c>
      <c r="AE1470" s="197">
        <f t="shared" ca="1" si="318"/>
        <v>0</v>
      </c>
      <c r="AF1470" s="196">
        <f>IFERROR(G1470/SUMIF(A:A,A1470,G:G)*SUMIF(Summary!$A$166:$A$242,'Operations Support'!A1470,Summary!$Q$166:$Q$242),0)</f>
        <v>0</v>
      </c>
      <c r="AG1470" s="196">
        <f t="shared" ca="1" si="319"/>
        <v>0</v>
      </c>
      <c r="AI1470" s="196">
        <f>IFERROR($G1470/SUMIF($A:$A,$A1470,$G:$G)*SUMIF(Summary!$A$247:$A$283,$A1470,Summary!$P$247:$P$283),0)</f>
        <v>0</v>
      </c>
      <c r="AJ1470" s="196">
        <f>IFERROR($G1470/SUMIF($A:$A,$A1470,$G:$G)*(SUMIF(Summary!$A$247:$A$283,$A1470,Summary!$L$247:$L$283)+SUMIF(Summary!$A$297:$A$333,$A1470,Summary!$L$297:$L$333))-AI1470,0)</f>
        <v>0</v>
      </c>
      <c r="AK1470" s="196">
        <f>IFERROR($G1470/SUMIF($A:$A,$A1470,$G:$G)*SUMIF(Summary!$A$247:$A$283,$A1470,Summary!$Q$247:$Q$283),0)</f>
        <v>0</v>
      </c>
      <c r="AL1470" s="196">
        <f>IFERROR($G1470/SUMIF($A:$A,$A1470,$G:$G)*(SUMIF(Summary!$A$247:$A$283,$A1470,Summary!$L$247:$L$283)+SUMIF(Summary!$A$297:$A$333,$A1470,Summary!$L$297:$L$333))-AK1470,0)</f>
        <v>0</v>
      </c>
      <c r="AM1470" s="198"/>
      <c r="AN1470" s="196">
        <f t="shared" ca="1" si="320"/>
        <v>0</v>
      </c>
      <c r="AO1470" s="196">
        <f t="shared" ca="1" si="321"/>
        <v>0</v>
      </c>
    </row>
    <row r="1471" spans="1:41">
      <c r="A1471" s="189">
        <v>3632</v>
      </c>
      <c r="B1471" s="190">
        <v>5</v>
      </c>
      <c r="C1471" s="191" t="s">
        <v>237</v>
      </c>
      <c r="D1471" s="192">
        <f t="shared" si="308"/>
        <v>0</v>
      </c>
      <c r="E1471" s="192">
        <f t="shared" si="309"/>
        <v>0</v>
      </c>
      <c r="F1471" s="192">
        <f t="shared" si="310"/>
        <v>0</v>
      </c>
      <c r="G1471" s="193">
        <f t="shared" si="311"/>
        <v>0</v>
      </c>
      <c r="H1471" s="194">
        <v>0</v>
      </c>
      <c r="I1471" s="194">
        <v>0</v>
      </c>
      <c r="J1471" s="194">
        <v>0</v>
      </c>
      <c r="K1471" s="193">
        <f t="shared" si="312"/>
        <v>0</v>
      </c>
      <c r="L1471" s="194">
        <v>0</v>
      </c>
      <c r="M1471" s="194">
        <v>0</v>
      </c>
      <c r="N1471" s="194">
        <v>0</v>
      </c>
      <c r="O1471" s="193">
        <f t="shared" si="313"/>
        <v>0</v>
      </c>
      <c r="P1471" s="194">
        <v>0</v>
      </c>
      <c r="Q1471" s="194">
        <v>0</v>
      </c>
      <c r="R1471" s="194">
        <v>0</v>
      </c>
      <c r="S1471" s="193">
        <f t="shared" si="314"/>
        <v>0</v>
      </c>
      <c r="T1471" s="193">
        <f t="shared" si="315"/>
        <v>0</v>
      </c>
      <c r="U1471" s="193">
        <f ca="1">OFFSET('Expenditure Study'!$B$7,'Operations Support'!$C1471,'Operations Support'!$B1471)*$G1471</f>
        <v>0</v>
      </c>
      <c r="V1471" s="199">
        <f ca="1">U1471*'Expenditure Study'!$B$31</f>
        <v>0</v>
      </c>
      <c r="W1471" s="199">
        <f ca="1">IF(A1471=10298,1.51,1)*IF($B1471&lt;3,$D1471*'Expenditure Study'!$B$32*OFFSET('Expenditure Study'!$B$7,'Operations Support'!$C1471,'Operations Support'!$B1471),0)</f>
        <v>0</v>
      </c>
      <c r="X1471" s="200">
        <f ca="1">W1471*'Expenditure Study'!$B$31</f>
        <v>0</v>
      </c>
      <c r="Y1471" s="199">
        <f ca="1">U1471*'Expenditure Study'!$B$31</f>
        <v>0</v>
      </c>
      <c r="Z1471" s="200">
        <f ca="1">W1471*'Expenditure Study'!$B$31</f>
        <v>0</v>
      </c>
      <c r="AA1471" s="195">
        <f t="shared" ca="1" si="316"/>
        <v>0</v>
      </c>
      <c r="AB1471" s="195">
        <f t="shared" ca="1" si="317"/>
        <v>0</v>
      </c>
      <c r="AD1471" s="196">
        <f>IFERROR($G1471/SUMIF($A:$A,$A1471,$G:$G)*SUMIF(Summary!$A$166:$A$242,$A1471,Summary!$P$166:$P$242),0)</f>
        <v>0</v>
      </c>
      <c r="AE1471" s="197">
        <f t="shared" ca="1" si="318"/>
        <v>0</v>
      </c>
      <c r="AF1471" s="196">
        <f>IFERROR(G1471/SUMIF(A:A,A1471,G:G)*SUMIF(Summary!$A$166:$A$242,'Operations Support'!A1471,Summary!$Q$166:$Q$242),0)</f>
        <v>0</v>
      </c>
      <c r="AG1471" s="196">
        <f t="shared" ca="1" si="319"/>
        <v>0</v>
      </c>
      <c r="AI1471" s="196">
        <f>IFERROR($G1471/SUMIF($A:$A,$A1471,$G:$G)*SUMIF(Summary!$A$247:$A$283,$A1471,Summary!$P$247:$P$283),0)</f>
        <v>0</v>
      </c>
      <c r="AJ1471" s="196">
        <f>IFERROR($G1471/SUMIF($A:$A,$A1471,$G:$G)*(SUMIF(Summary!$A$247:$A$283,$A1471,Summary!$L$247:$L$283)+SUMIF(Summary!$A$297:$A$333,$A1471,Summary!$L$297:$L$333))-AI1471,0)</f>
        <v>0</v>
      </c>
      <c r="AK1471" s="196">
        <f>IFERROR($G1471/SUMIF($A:$A,$A1471,$G:$G)*SUMIF(Summary!$A$247:$A$283,$A1471,Summary!$Q$247:$Q$283),0)</f>
        <v>0</v>
      </c>
      <c r="AL1471" s="196">
        <f>IFERROR($G1471/SUMIF($A:$A,$A1471,$G:$G)*(SUMIF(Summary!$A$247:$A$283,$A1471,Summary!$L$247:$L$283)+SUMIF(Summary!$A$297:$A$333,$A1471,Summary!$L$297:$L$333))-AK1471,0)</f>
        <v>0</v>
      </c>
      <c r="AM1471" s="198"/>
      <c r="AN1471" s="196">
        <f t="shared" ca="1" si="320"/>
        <v>0</v>
      </c>
      <c r="AO1471" s="196">
        <f t="shared" ca="1" si="321"/>
        <v>0</v>
      </c>
    </row>
    <row r="1472" spans="1:41">
      <c r="A1472" s="189">
        <v>3632</v>
      </c>
      <c r="B1472" s="190">
        <v>5</v>
      </c>
      <c r="C1472" s="191" t="s">
        <v>238</v>
      </c>
      <c r="D1472" s="192">
        <f t="shared" si="308"/>
        <v>0</v>
      </c>
      <c r="E1472" s="192">
        <f t="shared" si="309"/>
        <v>0</v>
      </c>
      <c r="F1472" s="192">
        <f t="shared" si="310"/>
        <v>0</v>
      </c>
      <c r="G1472" s="193">
        <f t="shared" si="311"/>
        <v>0</v>
      </c>
      <c r="H1472" s="194">
        <v>0</v>
      </c>
      <c r="I1472" s="194">
        <v>0</v>
      </c>
      <c r="J1472" s="194">
        <v>0</v>
      </c>
      <c r="K1472" s="193">
        <f t="shared" si="312"/>
        <v>0</v>
      </c>
      <c r="L1472" s="194">
        <v>0</v>
      </c>
      <c r="M1472" s="194">
        <v>0</v>
      </c>
      <c r="N1472" s="194">
        <v>0</v>
      </c>
      <c r="O1472" s="193">
        <f t="shared" si="313"/>
        <v>0</v>
      </c>
      <c r="P1472" s="194">
        <v>0</v>
      </c>
      <c r="Q1472" s="194">
        <v>0</v>
      </c>
      <c r="R1472" s="194">
        <v>0</v>
      </c>
      <c r="S1472" s="193">
        <f t="shared" si="314"/>
        <v>0</v>
      </c>
      <c r="T1472" s="193">
        <f t="shared" si="315"/>
        <v>0</v>
      </c>
      <c r="U1472" s="193">
        <f ca="1">OFFSET('Expenditure Study'!$B$7,'Operations Support'!$C1472,'Operations Support'!$B1472)*$G1472</f>
        <v>0</v>
      </c>
      <c r="V1472" s="199">
        <f ca="1">U1472*'Expenditure Study'!$B$31</f>
        <v>0</v>
      </c>
      <c r="W1472" s="199">
        <f ca="1">IF(A1472=10298,1.51,1)*IF($B1472&lt;3,$D1472*'Expenditure Study'!$B$32*OFFSET('Expenditure Study'!$B$7,'Operations Support'!$C1472,'Operations Support'!$B1472),0)</f>
        <v>0</v>
      </c>
      <c r="X1472" s="200">
        <f ca="1">W1472*'Expenditure Study'!$B$31</f>
        <v>0</v>
      </c>
      <c r="Y1472" s="199">
        <f ca="1">U1472*'Expenditure Study'!$B$31</f>
        <v>0</v>
      </c>
      <c r="Z1472" s="200">
        <f ca="1">W1472*'Expenditure Study'!$B$31</f>
        <v>0</v>
      </c>
      <c r="AA1472" s="195">
        <f t="shared" ca="1" si="316"/>
        <v>0</v>
      </c>
      <c r="AB1472" s="195">
        <f t="shared" ca="1" si="317"/>
        <v>0</v>
      </c>
      <c r="AD1472" s="196">
        <f>IFERROR($G1472/SUMIF($A:$A,$A1472,$G:$G)*SUMIF(Summary!$A$166:$A$242,$A1472,Summary!$P$166:$P$242),0)</f>
        <v>0</v>
      </c>
      <c r="AE1472" s="197">
        <f t="shared" ca="1" si="318"/>
        <v>0</v>
      </c>
      <c r="AF1472" s="196">
        <f>IFERROR(G1472/SUMIF(A:A,A1472,G:G)*SUMIF(Summary!$A$166:$A$242,'Operations Support'!A1472,Summary!$Q$166:$Q$242),0)</f>
        <v>0</v>
      </c>
      <c r="AG1472" s="196">
        <f t="shared" ca="1" si="319"/>
        <v>0</v>
      </c>
      <c r="AI1472" s="196">
        <f>IFERROR($G1472/SUMIF($A:$A,$A1472,$G:$G)*SUMIF(Summary!$A$247:$A$283,$A1472,Summary!$P$247:$P$283),0)</f>
        <v>0</v>
      </c>
      <c r="AJ1472" s="196">
        <f>IFERROR($G1472/SUMIF($A:$A,$A1472,$G:$G)*(SUMIF(Summary!$A$247:$A$283,$A1472,Summary!$L$247:$L$283)+SUMIF(Summary!$A$297:$A$333,$A1472,Summary!$L$297:$L$333))-AI1472,0)</f>
        <v>0</v>
      </c>
      <c r="AK1472" s="196">
        <f>IFERROR($G1472/SUMIF($A:$A,$A1472,$G:$G)*SUMIF(Summary!$A$247:$A$283,$A1472,Summary!$Q$247:$Q$283),0)</f>
        <v>0</v>
      </c>
      <c r="AL1472" s="196">
        <f>IFERROR($G1472/SUMIF($A:$A,$A1472,$G:$G)*(SUMIF(Summary!$A$247:$A$283,$A1472,Summary!$L$247:$L$283)+SUMIF(Summary!$A$297:$A$333,$A1472,Summary!$L$297:$L$333))-AK1472,0)</f>
        <v>0</v>
      </c>
      <c r="AM1472" s="198"/>
      <c r="AN1472" s="196">
        <f t="shared" ca="1" si="320"/>
        <v>0</v>
      </c>
      <c r="AO1472" s="196">
        <f t="shared" ca="1" si="321"/>
        <v>0</v>
      </c>
    </row>
    <row r="1473" spans="1:41">
      <c r="A1473" s="189">
        <v>3632</v>
      </c>
      <c r="B1473" s="190">
        <v>5</v>
      </c>
      <c r="C1473" s="191" t="s">
        <v>239</v>
      </c>
      <c r="D1473" s="192">
        <f t="shared" si="308"/>
        <v>0</v>
      </c>
      <c r="E1473" s="192">
        <f t="shared" si="309"/>
        <v>0</v>
      </c>
      <c r="F1473" s="192">
        <f t="shared" si="310"/>
        <v>0</v>
      </c>
      <c r="G1473" s="193">
        <f t="shared" si="311"/>
        <v>0</v>
      </c>
      <c r="H1473" s="194">
        <v>0</v>
      </c>
      <c r="I1473" s="194">
        <v>0</v>
      </c>
      <c r="J1473" s="194">
        <v>0</v>
      </c>
      <c r="K1473" s="193">
        <f t="shared" si="312"/>
        <v>0</v>
      </c>
      <c r="L1473" s="194">
        <v>0</v>
      </c>
      <c r="M1473" s="194">
        <v>0</v>
      </c>
      <c r="N1473" s="194">
        <v>0</v>
      </c>
      <c r="O1473" s="193">
        <f t="shared" si="313"/>
        <v>0</v>
      </c>
      <c r="P1473" s="194">
        <v>0</v>
      </c>
      <c r="Q1473" s="194">
        <v>0</v>
      </c>
      <c r="R1473" s="194">
        <v>0</v>
      </c>
      <c r="S1473" s="193">
        <f t="shared" si="314"/>
        <v>0</v>
      </c>
      <c r="T1473" s="193">
        <f t="shared" si="315"/>
        <v>0</v>
      </c>
      <c r="U1473" s="193">
        <f ca="1">OFFSET('Expenditure Study'!$B$7,'Operations Support'!$C1473,'Operations Support'!$B1473)*$G1473</f>
        <v>0</v>
      </c>
      <c r="V1473" s="199">
        <f ca="1">U1473*'Expenditure Study'!$B$31</f>
        <v>0</v>
      </c>
      <c r="W1473" s="199">
        <f ca="1">IF(A1473=10298,1.51,1)*IF($B1473&lt;3,$D1473*'Expenditure Study'!$B$32*OFFSET('Expenditure Study'!$B$7,'Operations Support'!$C1473,'Operations Support'!$B1473),0)</f>
        <v>0</v>
      </c>
      <c r="X1473" s="200">
        <f ca="1">W1473*'Expenditure Study'!$B$31</f>
        <v>0</v>
      </c>
      <c r="Y1473" s="199">
        <f ca="1">U1473*'Expenditure Study'!$B$31</f>
        <v>0</v>
      </c>
      <c r="Z1473" s="200">
        <f ca="1">W1473*'Expenditure Study'!$B$31</f>
        <v>0</v>
      </c>
      <c r="AA1473" s="195">
        <f t="shared" ca="1" si="316"/>
        <v>0</v>
      </c>
      <c r="AB1473" s="195">
        <f t="shared" ca="1" si="317"/>
        <v>0</v>
      </c>
      <c r="AD1473" s="196">
        <f>IFERROR($G1473/SUMIF($A:$A,$A1473,$G:$G)*SUMIF(Summary!$A$166:$A$242,$A1473,Summary!$P$166:$P$242),0)</f>
        <v>0</v>
      </c>
      <c r="AE1473" s="197">
        <f t="shared" ca="1" si="318"/>
        <v>0</v>
      </c>
      <c r="AF1473" s="196">
        <f>IFERROR(G1473/SUMIF(A:A,A1473,G:G)*SUMIF(Summary!$A$166:$A$242,'Operations Support'!A1473,Summary!$Q$166:$Q$242),0)</f>
        <v>0</v>
      </c>
      <c r="AG1473" s="196">
        <f t="shared" ca="1" si="319"/>
        <v>0</v>
      </c>
      <c r="AI1473" s="196">
        <f>IFERROR($G1473/SUMIF($A:$A,$A1473,$G:$G)*SUMIF(Summary!$A$247:$A$283,$A1473,Summary!$P$247:$P$283),0)</f>
        <v>0</v>
      </c>
      <c r="AJ1473" s="196">
        <f>IFERROR($G1473/SUMIF($A:$A,$A1473,$G:$G)*(SUMIF(Summary!$A$247:$A$283,$A1473,Summary!$L$247:$L$283)+SUMIF(Summary!$A$297:$A$333,$A1473,Summary!$L$297:$L$333))-AI1473,0)</f>
        <v>0</v>
      </c>
      <c r="AK1473" s="196">
        <f>IFERROR($G1473/SUMIF($A:$A,$A1473,$G:$G)*SUMIF(Summary!$A$247:$A$283,$A1473,Summary!$Q$247:$Q$283),0)</f>
        <v>0</v>
      </c>
      <c r="AL1473" s="196">
        <f>IFERROR($G1473/SUMIF($A:$A,$A1473,$G:$G)*(SUMIF(Summary!$A$247:$A$283,$A1473,Summary!$L$247:$L$283)+SUMIF(Summary!$A$297:$A$333,$A1473,Summary!$L$297:$L$333))-AK1473,0)</f>
        <v>0</v>
      </c>
      <c r="AM1473" s="198"/>
      <c r="AN1473" s="196">
        <f t="shared" ca="1" si="320"/>
        <v>0</v>
      </c>
      <c r="AO1473" s="196">
        <f t="shared" ca="1" si="321"/>
        <v>0</v>
      </c>
    </row>
    <row r="1474" spans="1:41">
      <c r="A1474" s="189">
        <v>3632</v>
      </c>
      <c r="B1474" s="190">
        <v>5</v>
      </c>
      <c r="C1474" s="191" t="s">
        <v>240</v>
      </c>
      <c r="D1474" s="192">
        <f t="shared" si="308"/>
        <v>0</v>
      </c>
      <c r="E1474" s="192">
        <f t="shared" si="309"/>
        <v>0</v>
      </c>
      <c r="F1474" s="192">
        <f t="shared" si="310"/>
        <v>0</v>
      </c>
      <c r="G1474" s="193">
        <f t="shared" si="311"/>
        <v>0</v>
      </c>
      <c r="H1474" s="194">
        <v>0</v>
      </c>
      <c r="I1474" s="194">
        <v>0</v>
      </c>
      <c r="J1474" s="194">
        <v>0</v>
      </c>
      <c r="K1474" s="193">
        <f t="shared" si="312"/>
        <v>0</v>
      </c>
      <c r="L1474" s="194">
        <v>0</v>
      </c>
      <c r="M1474" s="194">
        <v>0</v>
      </c>
      <c r="N1474" s="194">
        <v>0</v>
      </c>
      <c r="O1474" s="193">
        <f t="shared" si="313"/>
        <v>0</v>
      </c>
      <c r="P1474" s="194">
        <v>0</v>
      </c>
      <c r="Q1474" s="194">
        <v>0</v>
      </c>
      <c r="R1474" s="194">
        <v>0</v>
      </c>
      <c r="S1474" s="193">
        <f t="shared" si="314"/>
        <v>0</v>
      </c>
      <c r="T1474" s="193">
        <f t="shared" si="315"/>
        <v>0</v>
      </c>
      <c r="U1474" s="193">
        <f ca="1">OFFSET('Expenditure Study'!$B$7,'Operations Support'!$C1474,'Operations Support'!$B1474)*$G1474</f>
        <v>0</v>
      </c>
      <c r="V1474" s="199">
        <f ca="1">U1474*'Expenditure Study'!$B$31</f>
        <v>0</v>
      </c>
      <c r="W1474" s="199">
        <f ca="1">IF(A1474=10298,1.51,1)*IF($B1474&lt;3,$D1474*'Expenditure Study'!$B$32*OFFSET('Expenditure Study'!$B$7,'Operations Support'!$C1474,'Operations Support'!$B1474),0)</f>
        <v>0</v>
      </c>
      <c r="X1474" s="200">
        <f ca="1">W1474*'Expenditure Study'!$B$31</f>
        <v>0</v>
      </c>
      <c r="Y1474" s="199">
        <f ca="1">U1474*'Expenditure Study'!$B$31</f>
        <v>0</v>
      </c>
      <c r="Z1474" s="200">
        <f ca="1">W1474*'Expenditure Study'!$B$31</f>
        <v>0</v>
      </c>
      <c r="AA1474" s="195">
        <f t="shared" ca="1" si="316"/>
        <v>0</v>
      </c>
      <c r="AB1474" s="195">
        <f t="shared" ca="1" si="317"/>
        <v>0</v>
      </c>
      <c r="AD1474" s="196">
        <f>IFERROR($G1474/SUMIF($A:$A,$A1474,$G:$G)*SUMIF(Summary!$A$166:$A$242,$A1474,Summary!$P$166:$P$242),0)</f>
        <v>0</v>
      </c>
      <c r="AE1474" s="197">
        <f t="shared" ca="1" si="318"/>
        <v>0</v>
      </c>
      <c r="AF1474" s="196">
        <f>IFERROR(G1474/SUMIF(A:A,A1474,G:G)*SUMIF(Summary!$A$166:$A$242,'Operations Support'!A1474,Summary!$Q$166:$Q$242),0)</f>
        <v>0</v>
      </c>
      <c r="AG1474" s="196">
        <f t="shared" ca="1" si="319"/>
        <v>0</v>
      </c>
      <c r="AI1474" s="196">
        <f>IFERROR($G1474/SUMIF($A:$A,$A1474,$G:$G)*SUMIF(Summary!$A$247:$A$283,$A1474,Summary!$P$247:$P$283),0)</f>
        <v>0</v>
      </c>
      <c r="AJ1474" s="196">
        <f>IFERROR($G1474/SUMIF($A:$A,$A1474,$G:$G)*(SUMIF(Summary!$A$247:$A$283,$A1474,Summary!$L$247:$L$283)+SUMIF(Summary!$A$297:$A$333,$A1474,Summary!$L$297:$L$333))-AI1474,0)</f>
        <v>0</v>
      </c>
      <c r="AK1474" s="196">
        <f>IFERROR($G1474/SUMIF($A:$A,$A1474,$G:$G)*SUMIF(Summary!$A$247:$A$283,$A1474,Summary!$Q$247:$Q$283),0)</f>
        <v>0</v>
      </c>
      <c r="AL1474" s="196">
        <f>IFERROR($G1474/SUMIF($A:$A,$A1474,$G:$G)*(SUMIF(Summary!$A$247:$A$283,$A1474,Summary!$L$247:$L$283)+SUMIF(Summary!$A$297:$A$333,$A1474,Summary!$L$297:$L$333))-AK1474,0)</f>
        <v>0</v>
      </c>
      <c r="AM1474" s="198"/>
      <c r="AN1474" s="196">
        <f t="shared" ca="1" si="320"/>
        <v>0</v>
      </c>
      <c r="AO1474" s="196">
        <f t="shared" ca="1" si="321"/>
        <v>0</v>
      </c>
    </row>
    <row r="1475" spans="1:41">
      <c r="A1475" s="189">
        <v>3639</v>
      </c>
      <c r="B1475" s="190">
        <v>1</v>
      </c>
      <c r="C1475" s="191" t="s">
        <v>220</v>
      </c>
      <c r="D1475" s="192">
        <f t="shared" si="308"/>
        <v>19613</v>
      </c>
      <c r="E1475" s="192">
        <f t="shared" si="309"/>
        <v>20861</v>
      </c>
      <c r="F1475" s="192">
        <f t="shared" si="310"/>
        <v>0</v>
      </c>
      <c r="G1475" s="193">
        <f t="shared" si="311"/>
        <v>40474</v>
      </c>
      <c r="H1475" s="194">
        <v>8028</v>
      </c>
      <c r="I1475" s="194">
        <v>9131</v>
      </c>
      <c r="J1475" s="194">
        <v>0</v>
      </c>
      <c r="K1475" s="193">
        <f t="shared" si="312"/>
        <v>17159</v>
      </c>
      <c r="L1475" s="194">
        <v>9567</v>
      </c>
      <c r="M1475" s="194">
        <v>10766</v>
      </c>
      <c r="N1475" s="194">
        <v>0</v>
      </c>
      <c r="O1475" s="193">
        <f t="shared" si="313"/>
        <v>20333</v>
      </c>
      <c r="P1475" s="194">
        <v>2018</v>
      </c>
      <c r="Q1475" s="194">
        <v>964</v>
      </c>
      <c r="R1475" s="194">
        <v>0</v>
      </c>
      <c r="S1475" s="193">
        <f t="shared" si="314"/>
        <v>2982</v>
      </c>
      <c r="T1475" s="193">
        <f t="shared" si="315"/>
        <v>1349.1333333333334</v>
      </c>
      <c r="U1475" s="193">
        <f ca="1">OFFSET('Expenditure Study'!$B$7,'Operations Support'!$C1475,'Operations Support'!$B1475)*$G1475</f>
        <v>40474</v>
      </c>
      <c r="V1475" s="199">
        <f ca="1">U1475*'Expenditure Study'!$B$31</f>
        <v>2391332.6596992002</v>
      </c>
      <c r="W1475" s="199">
        <f ca="1">IF(A1475=10298,1.51,1)*IF($B1475&lt;3,$D1475*'Expenditure Study'!$B$32*OFFSET('Expenditure Study'!$B$7,'Operations Support'!$C1475,'Operations Support'!$B1475),0)</f>
        <v>1961.3000000000002</v>
      </c>
      <c r="X1475" s="200">
        <f ca="1">W1475*'Expenditure Study'!$B$31</f>
        <v>115879.84250304001</v>
      </c>
      <c r="Y1475" s="199">
        <f ca="1">U1475*'Expenditure Study'!$B$31</f>
        <v>2391332.6596992002</v>
      </c>
      <c r="Z1475" s="200">
        <f ca="1">W1475*'Expenditure Study'!$B$31</f>
        <v>115879.84250304001</v>
      </c>
      <c r="AA1475" s="195">
        <f t="shared" ca="1" si="316"/>
        <v>2507212.5022022403</v>
      </c>
      <c r="AB1475" s="195">
        <f t="shared" ca="1" si="317"/>
        <v>2507212.5022022403</v>
      </c>
      <c r="AD1475" s="196">
        <f>IFERROR($G1475/SUMIF($A:$A,$A1475,$G:$G)*SUMIF(Summary!$A$166:$A$242,$A1475,Summary!$P$166:$P$242),0)</f>
        <v>1884216.8437676106</v>
      </c>
      <c r="AE1475" s="197">
        <f t="shared" ca="1" si="318"/>
        <v>622995.65843462967</v>
      </c>
      <c r="AF1475" s="196">
        <f>IFERROR(G1475/SUMIF(A:A,A1475,G:G)*SUMIF(Summary!$A$166:$A$242,'Operations Support'!A1475,Summary!$Q$166:$Q$242),0)</f>
        <v>1896217.9019438035</v>
      </c>
      <c r="AG1475" s="196">
        <f t="shared" ca="1" si="319"/>
        <v>610994.60025843675</v>
      </c>
      <c r="AI1475" s="196">
        <f>IFERROR($G1475/SUMIF($A:$A,$A1475,$G:$G)*SUMIF(Summary!$A$247:$A$283,$A1475,Summary!$P$247:$P$283),0)</f>
        <v>343634.13219600776</v>
      </c>
      <c r="AJ1475" s="196">
        <f>IFERROR($G1475/SUMIF($A:$A,$A1475,$G:$G)*(SUMIF(Summary!$A$247:$A$283,$A1475,Summary!$L$247:$L$283)+SUMIF(Summary!$A$297:$A$333,$A1475,Summary!$L$297:$L$333))-AI1475,0)</f>
        <v>1080643.2631317573</v>
      </c>
      <c r="AK1475" s="196">
        <f>IFERROR($G1475/SUMIF($A:$A,$A1475,$G:$G)*SUMIF(Summary!$A$247:$A$283,$A1475,Summary!$Q$247:$Q$283),0)</f>
        <v>345822.82572427689</v>
      </c>
      <c r="AL1475" s="196">
        <f>IFERROR($G1475/SUMIF($A:$A,$A1475,$G:$G)*(SUMIF(Summary!$A$247:$A$283,$A1475,Summary!$L$247:$L$283)+SUMIF(Summary!$A$297:$A$333,$A1475,Summary!$L$297:$L$333))-AK1475,0)</f>
        <v>1078454.5696034881</v>
      </c>
      <c r="AM1475" s="198"/>
      <c r="AN1475" s="196">
        <f t="shared" ca="1" si="320"/>
        <v>1703638.9215663869</v>
      </c>
      <c r="AO1475" s="196">
        <f t="shared" ca="1" si="321"/>
        <v>1689449.1698619248</v>
      </c>
    </row>
    <row r="1476" spans="1:41">
      <c r="A1476" s="189">
        <v>3639</v>
      </c>
      <c r="B1476" s="190">
        <v>1</v>
      </c>
      <c r="C1476" s="191" t="s">
        <v>221</v>
      </c>
      <c r="D1476" s="192">
        <f t="shared" si="308"/>
        <v>7418</v>
      </c>
      <c r="E1476" s="192">
        <f t="shared" si="309"/>
        <v>4998</v>
      </c>
      <c r="F1476" s="192">
        <f t="shared" si="310"/>
        <v>0</v>
      </c>
      <c r="G1476" s="193">
        <f t="shared" si="311"/>
        <v>12416</v>
      </c>
      <c r="H1476" s="194">
        <v>3041</v>
      </c>
      <c r="I1476" s="194">
        <v>2725</v>
      </c>
      <c r="J1476" s="194">
        <v>0</v>
      </c>
      <c r="K1476" s="193">
        <f t="shared" si="312"/>
        <v>5766</v>
      </c>
      <c r="L1476" s="194">
        <v>3983</v>
      </c>
      <c r="M1476" s="194">
        <v>2019</v>
      </c>
      <c r="N1476" s="194">
        <v>0</v>
      </c>
      <c r="O1476" s="193">
        <f t="shared" si="313"/>
        <v>6002</v>
      </c>
      <c r="P1476" s="194">
        <v>394</v>
      </c>
      <c r="Q1476" s="194">
        <v>254</v>
      </c>
      <c r="R1476" s="194">
        <v>0</v>
      </c>
      <c r="S1476" s="193">
        <f t="shared" si="314"/>
        <v>648</v>
      </c>
      <c r="T1476" s="193">
        <f t="shared" si="315"/>
        <v>413.86666666666667</v>
      </c>
      <c r="U1476" s="193">
        <f ca="1">OFFSET('Expenditure Study'!$B$7,'Operations Support'!$C1476,'Operations Support'!$B1476)*$G1476</f>
        <v>16637.440000000002</v>
      </c>
      <c r="V1476" s="199">
        <f ca="1">U1476*'Expenditure Study'!$B$31</f>
        <v>982992.87556915218</v>
      </c>
      <c r="W1476" s="199">
        <f ca="1">IF(A1476=10298,1.51,1)*IF($B1476&lt;3,$D1476*'Expenditure Study'!$B$32*OFFSET('Expenditure Study'!$B$7,'Operations Support'!$C1476,'Operations Support'!$B1476),0)</f>
        <v>994.01200000000017</v>
      </c>
      <c r="X1476" s="200">
        <f ca="1">W1476*'Expenditure Study'!$B$31</f>
        <v>58729.390713369612</v>
      </c>
      <c r="Y1476" s="199">
        <f ca="1">U1476*'Expenditure Study'!$B$31</f>
        <v>982992.87556915218</v>
      </c>
      <c r="Z1476" s="200">
        <f ca="1">W1476*'Expenditure Study'!$B$31</f>
        <v>58729.390713369612</v>
      </c>
      <c r="AA1476" s="195">
        <f t="shared" ca="1" si="316"/>
        <v>1041722.2662825218</v>
      </c>
      <c r="AB1476" s="195">
        <f t="shared" ca="1" si="317"/>
        <v>1041722.2662825218</v>
      </c>
      <c r="AD1476" s="196">
        <f>IFERROR($G1476/SUMIF($A:$A,$A1476,$G:$G)*SUMIF(Summary!$A$166:$A$242,$A1476,Summary!$P$166:$P$242),0)</f>
        <v>578011.47235802375</v>
      </c>
      <c r="AE1476" s="197">
        <f t="shared" ca="1" si="318"/>
        <v>463710.79392449802</v>
      </c>
      <c r="AF1476" s="196">
        <f>IFERROR(G1476/SUMIF(A:A,A1476,G:G)*SUMIF(Summary!$A$166:$A$242,'Operations Support'!A1476,Summary!$Q$166:$Q$242),0)</f>
        <v>581692.97500949411</v>
      </c>
      <c r="AG1476" s="196">
        <f t="shared" ca="1" si="319"/>
        <v>460029.29127302766</v>
      </c>
      <c r="AI1476" s="196">
        <f>IFERROR($G1476/SUMIF($A:$A,$A1476,$G:$G)*SUMIF(Summary!$A$247:$A$283,$A1476,Summary!$P$247:$P$283),0)</f>
        <v>105414.86844259605</v>
      </c>
      <c r="AJ1476" s="196">
        <f>IFERROR($G1476/SUMIF($A:$A,$A1476,$G:$G)*(SUMIF(Summary!$A$247:$A$283,$A1476,Summary!$L$247:$L$283)+SUMIF(Summary!$A$297:$A$333,$A1476,Summary!$L$297:$L$333))-AI1476,0)</f>
        <v>331503.35412966099</v>
      </c>
      <c r="AK1476" s="196">
        <f>IFERROR($G1476/SUMIF($A:$A,$A1476,$G:$G)*SUMIF(Summary!$A$247:$A$283,$A1476,Summary!$Q$247:$Q$283),0)</f>
        <v>106086.28265534964</v>
      </c>
      <c r="AL1476" s="196">
        <f>IFERROR($G1476/SUMIF($A:$A,$A1476,$G:$G)*(SUMIF(Summary!$A$247:$A$283,$A1476,Summary!$L$247:$L$283)+SUMIF(Summary!$A$297:$A$333,$A1476,Summary!$L$297:$L$333))-AK1476,0)</f>
        <v>330831.9399169074</v>
      </c>
      <c r="AM1476" s="198"/>
      <c r="AN1476" s="196">
        <f t="shared" ca="1" si="320"/>
        <v>795214.14805415901</v>
      </c>
      <c r="AO1476" s="196">
        <f t="shared" ca="1" si="321"/>
        <v>790861.231189935</v>
      </c>
    </row>
    <row r="1477" spans="1:41">
      <c r="A1477" s="189">
        <v>3639</v>
      </c>
      <c r="B1477" s="190">
        <v>1</v>
      </c>
      <c r="C1477" s="191" t="s">
        <v>222</v>
      </c>
      <c r="D1477" s="192">
        <f t="shared" ref="D1477:D1540" si="322">H1477+L1477+P1477</f>
        <v>2594.69</v>
      </c>
      <c r="E1477" s="192">
        <f t="shared" ref="E1477:E1540" si="323">I1477+M1477+Q1477</f>
        <v>5091.3099999999995</v>
      </c>
      <c r="F1477" s="192">
        <f t="shared" ref="F1477:F1540" si="324">J1477+N1477+R1477</f>
        <v>0</v>
      </c>
      <c r="G1477" s="193">
        <f t="shared" ref="G1477:G1540" si="325">(SUM(D1477:E1477)-F1477)*IF(A1477=10298,1.51,1)</f>
        <v>7686</v>
      </c>
      <c r="H1477" s="194">
        <v>1183.06</v>
      </c>
      <c r="I1477" s="194">
        <v>2208.94</v>
      </c>
      <c r="J1477" s="194">
        <v>0</v>
      </c>
      <c r="K1477" s="193">
        <f t="shared" ref="K1477:K1540" si="326">SUM(H1477:I1477)-J1477</f>
        <v>3392</v>
      </c>
      <c r="L1477" s="194">
        <v>1306.6300000000001</v>
      </c>
      <c r="M1477" s="194">
        <v>2625.37</v>
      </c>
      <c r="N1477" s="194">
        <v>0</v>
      </c>
      <c r="O1477" s="193">
        <f t="shared" ref="O1477:O1540" si="327">SUM(L1477:M1477)-N1477</f>
        <v>3932</v>
      </c>
      <c r="P1477" s="194">
        <v>105</v>
      </c>
      <c r="Q1477" s="194">
        <v>257</v>
      </c>
      <c r="R1477" s="194">
        <v>0</v>
      </c>
      <c r="S1477" s="193">
        <f t="shared" ref="S1477:S1540" si="328">SUM(P1477:Q1477)-R1477</f>
        <v>362</v>
      </c>
      <c r="T1477" s="193">
        <f t="shared" ref="T1477:T1540" si="329">IF(OR(B1477=1,B1477=2),G1477/30,IF(OR(B1477=3,B1477=5),G1477/24,IF(B1477=4,G1477/18,0)))</f>
        <v>256.2</v>
      </c>
      <c r="U1477" s="193">
        <f ca="1">OFFSET('Expenditure Study'!$B$7,'Operations Support'!$C1477,'Operations Support'!$B1477)*$G1477</f>
        <v>10529.820000000002</v>
      </c>
      <c r="V1477" s="199">
        <f ca="1">U1477*'Expenditure Study'!$B$31</f>
        <v>622135.25885145611</v>
      </c>
      <c r="W1477" s="199">
        <f ca="1">IF(A1477=10298,1.51,1)*IF($B1477&lt;3,$D1477*'Expenditure Study'!$B$32*OFFSET('Expenditure Study'!$B$7,'Operations Support'!$C1477,'Operations Support'!$B1477),0)</f>
        <v>355.47253000000001</v>
      </c>
      <c r="X1477" s="200">
        <f ca="1">W1477*'Expenditure Study'!$B$31</f>
        <v>21002.447759423423</v>
      </c>
      <c r="Y1477" s="199">
        <f ca="1">U1477*'Expenditure Study'!$B$31</f>
        <v>622135.25885145611</v>
      </c>
      <c r="Z1477" s="200">
        <f ca="1">W1477*'Expenditure Study'!$B$31</f>
        <v>21002.447759423423</v>
      </c>
      <c r="AA1477" s="195">
        <f t="shared" ref="AA1477:AA1540" ca="1" si="330">V1477+X1477</f>
        <v>643137.70661087951</v>
      </c>
      <c r="AB1477" s="195">
        <f t="shared" ref="AB1477:AB1540" ca="1" si="331">Y1477+Z1477</f>
        <v>643137.70661087951</v>
      </c>
      <c r="AD1477" s="196">
        <f>IFERROR($G1477/SUMIF($A:$A,$A1477,$G:$G)*SUMIF(Summary!$A$166:$A$242,$A1477,Summary!$P$166:$P$242),0)</f>
        <v>357812.19205410522</v>
      </c>
      <c r="AE1477" s="197">
        <f t="shared" ca="1" si="318"/>
        <v>285325.51455677429</v>
      </c>
      <c r="AF1477" s="196">
        <f>IFERROR(G1477/SUMIF(A:A,A1477,G:G)*SUMIF(Summary!$A$166:$A$242,'Operations Support'!A1477,Summary!$Q$166:$Q$242),0)</f>
        <v>360091.18926570326</v>
      </c>
      <c r="AG1477" s="196">
        <f t="shared" ca="1" si="319"/>
        <v>283046.51734517625</v>
      </c>
      <c r="AI1477" s="196">
        <f>IFERROR($G1477/SUMIF($A:$A,$A1477,$G:$G)*SUMIF(Summary!$A$247:$A$283,$A1477,Summary!$P$247:$P$283),0)</f>
        <v>65256.014726948553</v>
      </c>
      <c r="AJ1477" s="196">
        <f>IFERROR($G1477/SUMIF($A:$A,$A1477,$G:$G)*(SUMIF(Summary!$A$247:$A$283,$A1477,Summary!$L$247:$L$283)+SUMIF(Summary!$A$297:$A$333,$A1477,Summary!$L$297:$L$333))-AI1477,0)</f>
        <v>205213.81925262362</v>
      </c>
      <c r="AK1477" s="196">
        <f>IFERROR($G1477/SUMIF($A:$A,$A1477,$G:$G)*SUMIF(Summary!$A$247:$A$283,$A1477,Summary!$Q$247:$Q$283),0)</f>
        <v>65671.646946602559</v>
      </c>
      <c r="AL1477" s="196">
        <f>IFERROR($G1477/SUMIF($A:$A,$A1477,$G:$G)*(SUMIF(Summary!$A$247:$A$283,$A1477,Summary!$L$247:$L$283)+SUMIF(Summary!$A$297:$A$333,$A1477,Summary!$L$297:$L$333))-AK1477,0)</f>
        <v>204798.18703296961</v>
      </c>
      <c r="AM1477" s="198"/>
      <c r="AN1477" s="196">
        <f t="shared" ca="1" si="320"/>
        <v>490539.33380939788</v>
      </c>
      <c r="AO1477" s="196">
        <f t="shared" ca="1" si="321"/>
        <v>487844.70437814586</v>
      </c>
    </row>
    <row r="1478" spans="1:41">
      <c r="A1478" s="189">
        <v>3639</v>
      </c>
      <c r="B1478" s="190">
        <v>1</v>
      </c>
      <c r="C1478" s="191" t="s">
        <v>223</v>
      </c>
      <c r="D1478" s="192">
        <f t="shared" si="322"/>
        <v>75</v>
      </c>
      <c r="E1478" s="192">
        <f t="shared" si="323"/>
        <v>333</v>
      </c>
      <c r="F1478" s="192">
        <f t="shared" si="324"/>
        <v>0</v>
      </c>
      <c r="G1478" s="193">
        <f t="shared" si="325"/>
        <v>408</v>
      </c>
      <c r="H1478" s="194">
        <v>42</v>
      </c>
      <c r="I1478" s="194">
        <v>108</v>
      </c>
      <c r="J1478" s="194">
        <v>0</v>
      </c>
      <c r="K1478" s="193">
        <f t="shared" si="326"/>
        <v>150</v>
      </c>
      <c r="L1478" s="194">
        <v>21</v>
      </c>
      <c r="M1478" s="194">
        <v>198</v>
      </c>
      <c r="N1478" s="194">
        <v>0</v>
      </c>
      <c r="O1478" s="193">
        <f t="shared" si="327"/>
        <v>219</v>
      </c>
      <c r="P1478" s="194">
        <v>12</v>
      </c>
      <c r="Q1478" s="194">
        <v>27</v>
      </c>
      <c r="R1478" s="194">
        <v>0</v>
      </c>
      <c r="S1478" s="193">
        <f t="shared" si="328"/>
        <v>39</v>
      </c>
      <c r="T1478" s="193">
        <f t="shared" si="329"/>
        <v>13.6</v>
      </c>
      <c r="U1478" s="193">
        <f ca="1">OFFSET('Expenditure Study'!$B$7,'Operations Support'!$C1478,'Operations Support'!$B1478)*$G1478</f>
        <v>514.08000000000004</v>
      </c>
      <c r="V1478" s="199">
        <f ca="1">U1478*'Expenditure Study'!$B$31</f>
        <v>30373.481585664002</v>
      </c>
      <c r="W1478" s="199">
        <f ca="1">IF(A1478=10298,1.51,1)*IF($B1478&lt;3,$D1478*'Expenditure Study'!$B$32*OFFSET('Expenditure Study'!$B$7,'Operations Support'!$C1478,'Operations Support'!$B1478),0)</f>
        <v>9.4499999999999993</v>
      </c>
      <c r="X1478" s="200">
        <f ca="1">W1478*'Expenditure Study'!$B$31</f>
        <v>558.33605855999997</v>
      </c>
      <c r="Y1478" s="199">
        <f ca="1">U1478*'Expenditure Study'!$B$31</f>
        <v>30373.481585664002</v>
      </c>
      <c r="Z1478" s="200">
        <f ca="1">W1478*'Expenditure Study'!$B$31</f>
        <v>558.33605855999997</v>
      </c>
      <c r="AA1478" s="195">
        <f t="shared" ca="1" si="330"/>
        <v>30931.817644224</v>
      </c>
      <c r="AB1478" s="195">
        <f t="shared" ca="1" si="331"/>
        <v>30931.817644224</v>
      </c>
      <c r="AD1478" s="196">
        <f>IFERROR($G1478/SUMIF($A:$A,$A1478,$G:$G)*SUMIF(Summary!$A$166:$A$242,$A1478,Summary!$P$166:$P$242),0)</f>
        <v>18993.933692177325</v>
      </c>
      <c r="AE1478" s="197">
        <f t="shared" ref="AE1478:AE1541" ca="1" si="332">V1478+X1478-AD1478</f>
        <v>11937.883952046675</v>
      </c>
      <c r="AF1478" s="196">
        <f>IFERROR(G1478/SUMIF(A:A,A1478,G:G)*SUMIF(Summary!$A$166:$A$242,'Operations Support'!A1478,Summary!$Q$166:$Q$242),0)</f>
        <v>19114.910905595487</v>
      </c>
      <c r="AG1478" s="196">
        <f t="shared" ref="AG1478:AG1541" ca="1" si="333">Y1478+Z1478-AF1478</f>
        <v>11816.906738628513</v>
      </c>
      <c r="AI1478" s="196">
        <f>IFERROR($G1478/SUMIF($A:$A,$A1478,$G:$G)*SUMIF(Summary!$A$247:$A$283,$A1478,Summary!$P$247:$P$283),0)</f>
        <v>3464.0195171213904</v>
      </c>
      <c r="AJ1478" s="196">
        <f>IFERROR($G1478/SUMIF($A:$A,$A1478,$G:$G)*(SUMIF(Summary!$A$247:$A$283,$A1478,Summary!$L$247:$L$283)+SUMIF(Summary!$A$297:$A$333,$A1478,Summary!$L$297:$L$333))-AI1478,0)</f>
        <v>10893.473621528809</v>
      </c>
      <c r="AK1478" s="196">
        <f>IFERROR($G1478/SUMIF($A:$A,$A1478,$G:$G)*SUMIF(Summary!$A$247:$A$283,$A1478,Summary!$Q$247:$Q$283),0)</f>
        <v>3486.0827418961544</v>
      </c>
      <c r="AL1478" s="196">
        <f>IFERROR($G1478/SUMIF($A:$A,$A1478,$G:$G)*(SUMIF(Summary!$A$247:$A$283,$A1478,Summary!$L$247:$L$283)+SUMIF(Summary!$A$297:$A$333,$A1478,Summary!$L$297:$L$333))-AK1478,0)</f>
        <v>10871.410396754045</v>
      </c>
      <c r="AM1478" s="198"/>
      <c r="AN1478" s="196">
        <f t="shared" ref="AN1478:AN1541" ca="1" si="334">AE1478+AJ1478</f>
        <v>22831.357573575486</v>
      </c>
      <c r="AO1478" s="196">
        <f t="shared" ref="AO1478:AO1541" ca="1" si="335">AG1478+AL1478</f>
        <v>22688.31713538256</v>
      </c>
    </row>
    <row r="1479" spans="1:41">
      <c r="A1479" s="189">
        <v>3639</v>
      </c>
      <c r="B1479" s="190">
        <v>1</v>
      </c>
      <c r="C1479" s="191" t="s">
        <v>224</v>
      </c>
      <c r="D1479" s="192">
        <f t="shared" si="322"/>
        <v>2535</v>
      </c>
      <c r="E1479" s="192">
        <f t="shared" si="323"/>
        <v>1021</v>
      </c>
      <c r="F1479" s="192">
        <f t="shared" si="324"/>
        <v>0</v>
      </c>
      <c r="G1479" s="193">
        <f t="shared" si="325"/>
        <v>3556</v>
      </c>
      <c r="H1479" s="194">
        <v>627</v>
      </c>
      <c r="I1479" s="194">
        <v>659</v>
      </c>
      <c r="J1479" s="194">
        <v>0</v>
      </c>
      <c r="K1479" s="193">
        <f t="shared" si="326"/>
        <v>1286</v>
      </c>
      <c r="L1479" s="194">
        <v>1875</v>
      </c>
      <c r="M1479" s="194">
        <v>353</v>
      </c>
      <c r="N1479" s="194">
        <v>0</v>
      </c>
      <c r="O1479" s="193">
        <f t="shared" si="327"/>
        <v>2228</v>
      </c>
      <c r="P1479" s="194">
        <v>33</v>
      </c>
      <c r="Q1479" s="194">
        <v>9</v>
      </c>
      <c r="R1479" s="194">
        <v>0</v>
      </c>
      <c r="S1479" s="193">
        <f t="shared" si="328"/>
        <v>42</v>
      </c>
      <c r="T1479" s="193">
        <f t="shared" si="329"/>
        <v>118.53333333333333</v>
      </c>
      <c r="U1479" s="193">
        <f ca="1">OFFSET('Expenditure Study'!$B$7,'Operations Support'!$C1479,'Operations Support'!$B1479)*$G1479</f>
        <v>5262.88</v>
      </c>
      <c r="V1479" s="199">
        <f ca="1">U1479*'Expenditure Study'!$B$31</f>
        <v>310947.69056870398</v>
      </c>
      <c r="W1479" s="199">
        <f ca="1">IF(A1479=10298,1.51,1)*IF($B1479&lt;3,$D1479*'Expenditure Study'!$B$32*OFFSET('Expenditure Study'!$B$7,'Operations Support'!$C1479,'Operations Support'!$B1479),0)</f>
        <v>375.18</v>
      </c>
      <c r="X1479" s="200">
        <f ca="1">W1479*'Expenditure Study'!$B$31</f>
        <v>22166.827772544002</v>
      </c>
      <c r="Y1479" s="199">
        <f ca="1">U1479*'Expenditure Study'!$B$31</f>
        <v>310947.69056870398</v>
      </c>
      <c r="Z1479" s="200">
        <f ca="1">W1479*'Expenditure Study'!$B$31</f>
        <v>22166.827772544002</v>
      </c>
      <c r="AA1479" s="195">
        <f t="shared" ca="1" si="330"/>
        <v>333114.51834124798</v>
      </c>
      <c r="AB1479" s="195">
        <f t="shared" ca="1" si="331"/>
        <v>333114.51834124798</v>
      </c>
      <c r="AD1479" s="196">
        <f>IFERROR($G1479/SUMIF($A:$A,$A1479,$G:$G)*SUMIF(Summary!$A$166:$A$242,$A1479,Summary!$P$166:$P$242),0)</f>
        <v>165545.16717985924</v>
      </c>
      <c r="AE1479" s="197">
        <f t="shared" ca="1" si="332"/>
        <v>167569.35116138874</v>
      </c>
      <c r="AF1479" s="196">
        <f>IFERROR(G1479/SUMIF(A:A,A1479,G:G)*SUMIF(Summary!$A$166:$A$242,'Operations Support'!A1479,Summary!$Q$166:$Q$242),0)</f>
        <v>166599.56661837638</v>
      </c>
      <c r="AG1479" s="196">
        <f t="shared" ca="1" si="333"/>
        <v>166514.9517228716</v>
      </c>
      <c r="AI1479" s="196">
        <f>IFERROR($G1479/SUMIF($A:$A,$A1479,$G:$G)*SUMIF(Summary!$A$247:$A$283,$A1479,Summary!$P$247:$P$283),0)</f>
        <v>30191.307360008985</v>
      </c>
      <c r="AJ1479" s="196">
        <f>IFERROR($G1479/SUMIF($A:$A,$A1479,$G:$G)*(SUMIF(Summary!$A$247:$A$283,$A1479,Summary!$L$247:$L$283)+SUMIF(Summary!$A$297:$A$333,$A1479,Summary!$L$297:$L$333))-AI1479,0)</f>
        <v>94944.098524893256</v>
      </c>
      <c r="AK1479" s="196">
        <f>IFERROR($G1479/SUMIF($A:$A,$A1479,$G:$G)*SUMIF(Summary!$A$247:$A$283,$A1479,Summary!$Q$247:$Q$283),0)</f>
        <v>30383.60350534982</v>
      </c>
      <c r="AL1479" s="196">
        <f>IFERROR($G1479/SUMIF($A:$A,$A1479,$G:$G)*(SUMIF(Summary!$A$247:$A$283,$A1479,Summary!$L$247:$L$283)+SUMIF(Summary!$A$297:$A$333,$A1479,Summary!$L$297:$L$333))-AK1479,0)</f>
        <v>94751.80237955242</v>
      </c>
      <c r="AM1479" s="198"/>
      <c r="AN1479" s="196">
        <f t="shared" ca="1" si="334"/>
        <v>262513.44968628197</v>
      </c>
      <c r="AO1479" s="196">
        <f t="shared" ca="1" si="335"/>
        <v>261266.75410242402</v>
      </c>
    </row>
    <row r="1480" spans="1:41">
      <c r="A1480" s="189">
        <v>3639</v>
      </c>
      <c r="B1480" s="190">
        <v>1</v>
      </c>
      <c r="C1480" s="191" t="s">
        <v>225</v>
      </c>
      <c r="D1480" s="192">
        <f t="shared" si="322"/>
        <v>2313</v>
      </c>
      <c r="E1480" s="192">
        <f t="shared" si="323"/>
        <v>1848</v>
      </c>
      <c r="F1480" s="192">
        <f t="shared" si="324"/>
        <v>0</v>
      </c>
      <c r="G1480" s="193">
        <f t="shared" si="325"/>
        <v>4161</v>
      </c>
      <c r="H1480" s="194">
        <v>1001</v>
      </c>
      <c r="I1480" s="194">
        <v>927</v>
      </c>
      <c r="J1480" s="194">
        <v>0</v>
      </c>
      <c r="K1480" s="193">
        <f t="shared" si="326"/>
        <v>1928</v>
      </c>
      <c r="L1480" s="194">
        <v>1252</v>
      </c>
      <c r="M1480" s="194">
        <v>879</v>
      </c>
      <c r="N1480" s="194">
        <v>0</v>
      </c>
      <c r="O1480" s="193">
        <f t="shared" si="327"/>
        <v>2131</v>
      </c>
      <c r="P1480" s="194">
        <v>60</v>
      </c>
      <c r="Q1480" s="194">
        <v>42</v>
      </c>
      <c r="R1480" s="194">
        <v>0</v>
      </c>
      <c r="S1480" s="193">
        <f t="shared" si="328"/>
        <v>102</v>
      </c>
      <c r="T1480" s="193">
        <f t="shared" si="329"/>
        <v>138.69999999999999</v>
      </c>
      <c r="U1480" s="193">
        <f ca="1">OFFSET('Expenditure Study'!$B$7,'Operations Support'!$C1480,'Operations Support'!$B1480)*$G1480</f>
        <v>7323.36</v>
      </c>
      <c r="V1480" s="199">
        <f ca="1">U1480*'Expenditure Study'!$B$31</f>
        <v>432687.40294348798</v>
      </c>
      <c r="W1480" s="199">
        <f ca="1">IF(A1480=10298,1.51,1)*IF($B1480&lt;3,$D1480*'Expenditure Study'!$B$32*OFFSET('Expenditure Study'!$B$7,'Operations Support'!$C1480,'Operations Support'!$B1480),0)</f>
        <v>407.08800000000002</v>
      </c>
      <c r="X1480" s="200">
        <f ca="1">W1480*'Expenditure Study'!$B$31</f>
        <v>24052.053905510402</v>
      </c>
      <c r="Y1480" s="199">
        <f ca="1">U1480*'Expenditure Study'!$B$31</f>
        <v>432687.40294348798</v>
      </c>
      <c r="Z1480" s="200">
        <f ca="1">W1480*'Expenditure Study'!$B$31</f>
        <v>24052.053905510402</v>
      </c>
      <c r="AA1480" s="195">
        <f t="shared" ca="1" si="330"/>
        <v>456739.45684899838</v>
      </c>
      <c r="AB1480" s="195">
        <f t="shared" ca="1" si="331"/>
        <v>456739.45684899838</v>
      </c>
      <c r="AD1480" s="196">
        <f>IFERROR($G1480/SUMIF($A:$A,$A1480,$G:$G)*SUMIF(Summary!$A$166:$A$242,$A1480,Summary!$P$166:$P$242),0)</f>
        <v>193710.19140477906</v>
      </c>
      <c r="AE1480" s="197">
        <f t="shared" ca="1" si="332"/>
        <v>263029.26544421935</v>
      </c>
      <c r="AF1480" s="196">
        <f>IFERROR(G1480/SUMIF(A:A,A1480,G:G)*SUMIF(Summary!$A$166:$A$242,'Operations Support'!A1480,Summary!$Q$166:$Q$242),0)</f>
        <v>194943.98107397754</v>
      </c>
      <c r="AG1480" s="196">
        <f t="shared" ca="1" si="333"/>
        <v>261795.47577502084</v>
      </c>
      <c r="AI1480" s="196">
        <f>IFERROR($G1480/SUMIF($A:$A,$A1480,$G:$G)*SUMIF(Summary!$A$247:$A$283,$A1480,Summary!$P$247:$P$283),0)</f>
        <v>35327.904928289478</v>
      </c>
      <c r="AJ1480" s="196">
        <f>IFERROR($G1480/SUMIF($A:$A,$A1480,$G:$G)*(SUMIF(Summary!$A$247:$A$283,$A1480,Summary!$L$247:$L$283)+SUMIF(Summary!$A$297:$A$333,$A1480,Summary!$L$297:$L$333))-AI1480,0)</f>
        <v>111097.41112544455</v>
      </c>
      <c r="AK1480" s="196">
        <f>IFERROR($G1480/SUMIF($A:$A,$A1480,$G:$G)*SUMIF(Summary!$A$247:$A$283,$A1480,Summary!$Q$247:$Q$283),0)</f>
        <v>35552.917375073281</v>
      </c>
      <c r="AL1480" s="196">
        <f>IFERROR($G1480/SUMIF($A:$A,$A1480,$G:$G)*(SUMIF(Summary!$A$247:$A$283,$A1480,Summary!$L$247:$L$283)+SUMIF(Summary!$A$297:$A$333,$A1480,Summary!$L$297:$L$333))-AK1480,0)</f>
        <v>110872.39867866074</v>
      </c>
      <c r="AM1480" s="198"/>
      <c r="AN1480" s="196">
        <f t="shared" ca="1" si="334"/>
        <v>374126.67656966392</v>
      </c>
      <c r="AO1480" s="196">
        <f t="shared" ca="1" si="335"/>
        <v>372667.87445368158</v>
      </c>
    </row>
    <row r="1481" spans="1:41">
      <c r="A1481" s="189">
        <v>3639</v>
      </c>
      <c r="B1481" s="190">
        <v>1</v>
      </c>
      <c r="C1481" s="191" t="s">
        <v>226</v>
      </c>
      <c r="D1481" s="192">
        <f t="shared" si="322"/>
        <v>60</v>
      </c>
      <c r="E1481" s="192">
        <f t="shared" si="323"/>
        <v>273</v>
      </c>
      <c r="F1481" s="192">
        <f t="shared" si="324"/>
        <v>0</v>
      </c>
      <c r="G1481" s="193">
        <f t="shared" si="325"/>
        <v>333</v>
      </c>
      <c r="H1481" s="194">
        <v>54</v>
      </c>
      <c r="I1481" s="194">
        <v>72</v>
      </c>
      <c r="J1481" s="194">
        <v>0</v>
      </c>
      <c r="K1481" s="193">
        <f t="shared" si="326"/>
        <v>126</v>
      </c>
      <c r="L1481" s="194">
        <v>6</v>
      </c>
      <c r="M1481" s="194">
        <v>201</v>
      </c>
      <c r="N1481" s="194">
        <v>0</v>
      </c>
      <c r="O1481" s="193">
        <f t="shared" si="327"/>
        <v>207</v>
      </c>
      <c r="P1481" s="194">
        <v>0</v>
      </c>
      <c r="Q1481" s="194">
        <v>0</v>
      </c>
      <c r="R1481" s="194">
        <v>0</v>
      </c>
      <c r="S1481" s="193">
        <f t="shared" si="328"/>
        <v>0</v>
      </c>
      <c r="T1481" s="193">
        <f t="shared" si="329"/>
        <v>11.1</v>
      </c>
      <c r="U1481" s="193">
        <f ca="1">OFFSET('Expenditure Study'!$B$7,'Operations Support'!$C1481,'Operations Support'!$B1481)*$G1481</f>
        <v>316.34999999999997</v>
      </c>
      <c r="V1481" s="199">
        <f ca="1">U1481*'Expenditure Study'!$B$31</f>
        <v>18690.964246079999</v>
      </c>
      <c r="W1481" s="199">
        <f ca="1">IF(A1481=10298,1.51,1)*IF($B1481&lt;3,$D1481*'Expenditure Study'!$B$32*OFFSET('Expenditure Study'!$B$7,'Operations Support'!$C1481,'Operations Support'!$B1481),0)</f>
        <v>5.6999999999999993</v>
      </c>
      <c r="X1481" s="200">
        <f ca="1">W1481*'Expenditure Study'!$B$31</f>
        <v>336.77413055999995</v>
      </c>
      <c r="Y1481" s="199">
        <f ca="1">U1481*'Expenditure Study'!$B$31</f>
        <v>18690.964246079999</v>
      </c>
      <c r="Z1481" s="200">
        <f ca="1">W1481*'Expenditure Study'!$B$31</f>
        <v>336.77413055999995</v>
      </c>
      <c r="AA1481" s="195">
        <f t="shared" ca="1" si="330"/>
        <v>19027.738376639998</v>
      </c>
      <c r="AB1481" s="195">
        <f t="shared" ca="1" si="331"/>
        <v>19027.738376639998</v>
      </c>
      <c r="AD1481" s="196">
        <f>IFERROR($G1481/SUMIF($A:$A,$A1481,$G:$G)*SUMIF(Summary!$A$166:$A$242,$A1481,Summary!$P$166:$P$242),0)</f>
        <v>15502.40176346826</v>
      </c>
      <c r="AE1481" s="197">
        <f t="shared" ca="1" si="332"/>
        <v>3525.3366131717376</v>
      </c>
      <c r="AF1481" s="196">
        <f>IFERROR(G1481/SUMIF(A:A,A1481,G:G)*SUMIF(Summary!$A$166:$A$242,'Operations Support'!A1481,Summary!$Q$166:$Q$242),0)</f>
        <v>15601.140518537497</v>
      </c>
      <c r="AG1481" s="196">
        <f t="shared" ca="1" si="333"/>
        <v>3426.597858102501</v>
      </c>
      <c r="AI1481" s="196">
        <f>IFERROR($G1481/SUMIF($A:$A,$A1481,$G:$G)*SUMIF(Summary!$A$247:$A$283,$A1481,Summary!$P$247:$P$283),0)</f>
        <v>2827.2512235329</v>
      </c>
      <c r="AJ1481" s="196">
        <f>IFERROR($G1481/SUMIF($A:$A,$A1481,$G:$G)*(SUMIF(Summary!$A$247:$A$283,$A1481,Summary!$L$247:$L$283)+SUMIF(Summary!$A$297:$A$333,$A1481,Summary!$L$297:$L$333))-AI1481,0)</f>
        <v>8890.9968528654263</v>
      </c>
      <c r="AK1481" s="196">
        <f>IFERROR($G1481/SUMIF($A:$A,$A1481,$G:$G)*SUMIF(Summary!$A$247:$A$283,$A1481,Summary!$Q$247:$Q$283),0)</f>
        <v>2845.258708459362</v>
      </c>
      <c r="AL1481" s="196">
        <f>IFERROR($G1481/SUMIF($A:$A,$A1481,$G:$G)*(SUMIF(Summary!$A$247:$A$283,$A1481,Summary!$L$247:$L$283)+SUMIF(Summary!$A$297:$A$333,$A1481,Summary!$L$297:$L$333))-AK1481,0)</f>
        <v>8872.9893679389643</v>
      </c>
      <c r="AM1481" s="198"/>
      <c r="AN1481" s="196">
        <f t="shared" ca="1" si="334"/>
        <v>12416.333466037164</v>
      </c>
      <c r="AO1481" s="196">
        <f t="shared" ca="1" si="335"/>
        <v>12299.587226041465</v>
      </c>
    </row>
    <row r="1482" spans="1:41">
      <c r="A1482" s="189">
        <v>3639</v>
      </c>
      <c r="B1482" s="190">
        <v>1</v>
      </c>
      <c r="C1482" s="191" t="s">
        <v>227</v>
      </c>
      <c r="D1482" s="192">
        <f t="shared" si="322"/>
        <v>0</v>
      </c>
      <c r="E1482" s="192">
        <f t="shared" si="323"/>
        <v>0</v>
      </c>
      <c r="F1482" s="192">
        <f t="shared" si="324"/>
        <v>0</v>
      </c>
      <c r="G1482" s="193">
        <f t="shared" si="325"/>
        <v>0</v>
      </c>
      <c r="H1482" s="194">
        <v>0</v>
      </c>
      <c r="I1482" s="194">
        <v>0</v>
      </c>
      <c r="J1482" s="194">
        <v>0</v>
      </c>
      <c r="K1482" s="193">
        <f t="shared" si="326"/>
        <v>0</v>
      </c>
      <c r="L1482" s="194">
        <v>0</v>
      </c>
      <c r="M1482" s="194">
        <v>0</v>
      </c>
      <c r="N1482" s="194">
        <v>0</v>
      </c>
      <c r="O1482" s="193">
        <f t="shared" si="327"/>
        <v>0</v>
      </c>
      <c r="P1482" s="194">
        <v>0</v>
      </c>
      <c r="Q1482" s="194">
        <v>0</v>
      </c>
      <c r="R1482" s="194">
        <v>0</v>
      </c>
      <c r="S1482" s="193">
        <f t="shared" si="328"/>
        <v>0</v>
      </c>
      <c r="T1482" s="193">
        <f t="shared" si="329"/>
        <v>0</v>
      </c>
      <c r="U1482" s="193">
        <f ca="1">OFFSET('Expenditure Study'!$B$7,'Operations Support'!$C1482,'Operations Support'!$B1482)*$G1482</f>
        <v>0</v>
      </c>
      <c r="V1482" s="199">
        <f ca="1">U1482*'Expenditure Study'!$B$31</f>
        <v>0</v>
      </c>
      <c r="W1482" s="199">
        <f ca="1">IF(A1482=10298,1.51,1)*IF($B1482&lt;3,$D1482*'Expenditure Study'!$B$32*OFFSET('Expenditure Study'!$B$7,'Operations Support'!$C1482,'Operations Support'!$B1482),0)</f>
        <v>0</v>
      </c>
      <c r="X1482" s="200">
        <f ca="1">W1482*'Expenditure Study'!$B$31</f>
        <v>0</v>
      </c>
      <c r="Y1482" s="199">
        <f ca="1">U1482*'Expenditure Study'!$B$31</f>
        <v>0</v>
      </c>
      <c r="Z1482" s="200">
        <f ca="1">W1482*'Expenditure Study'!$B$31</f>
        <v>0</v>
      </c>
      <c r="AA1482" s="195">
        <f t="shared" ca="1" si="330"/>
        <v>0</v>
      </c>
      <c r="AB1482" s="195">
        <f t="shared" ca="1" si="331"/>
        <v>0</v>
      </c>
      <c r="AD1482" s="196">
        <f>IFERROR($G1482/SUMIF($A:$A,$A1482,$G:$G)*SUMIF(Summary!$A$166:$A$242,$A1482,Summary!$P$166:$P$242),0)</f>
        <v>0</v>
      </c>
      <c r="AE1482" s="197">
        <f t="shared" ca="1" si="332"/>
        <v>0</v>
      </c>
      <c r="AF1482" s="196">
        <f>IFERROR(G1482/SUMIF(A:A,A1482,G:G)*SUMIF(Summary!$A$166:$A$242,'Operations Support'!A1482,Summary!$Q$166:$Q$242),0)</f>
        <v>0</v>
      </c>
      <c r="AG1482" s="196">
        <f t="shared" ca="1" si="333"/>
        <v>0</v>
      </c>
      <c r="AI1482" s="196">
        <f>IFERROR($G1482/SUMIF($A:$A,$A1482,$G:$G)*SUMIF(Summary!$A$247:$A$283,$A1482,Summary!$P$247:$P$283),0)</f>
        <v>0</v>
      </c>
      <c r="AJ1482" s="196">
        <f>IFERROR($G1482/SUMIF($A:$A,$A1482,$G:$G)*(SUMIF(Summary!$A$247:$A$283,$A1482,Summary!$L$247:$L$283)+SUMIF(Summary!$A$297:$A$333,$A1482,Summary!$L$297:$L$333))-AI1482,0)</f>
        <v>0</v>
      </c>
      <c r="AK1482" s="196">
        <f>IFERROR($G1482/SUMIF($A:$A,$A1482,$G:$G)*SUMIF(Summary!$A$247:$A$283,$A1482,Summary!$Q$247:$Q$283),0)</f>
        <v>0</v>
      </c>
      <c r="AL1482" s="196">
        <f>IFERROR($G1482/SUMIF($A:$A,$A1482,$G:$G)*(SUMIF(Summary!$A$247:$A$283,$A1482,Summary!$L$247:$L$283)+SUMIF(Summary!$A$297:$A$333,$A1482,Summary!$L$297:$L$333))-AK1482,0)</f>
        <v>0</v>
      </c>
      <c r="AM1482" s="198"/>
      <c r="AN1482" s="196">
        <f t="shared" ca="1" si="334"/>
        <v>0</v>
      </c>
      <c r="AO1482" s="196">
        <f t="shared" ca="1" si="335"/>
        <v>0</v>
      </c>
    </row>
    <row r="1483" spans="1:41">
      <c r="A1483" s="189">
        <v>3639</v>
      </c>
      <c r="B1483" s="190">
        <v>1</v>
      </c>
      <c r="C1483" s="191" t="s">
        <v>228</v>
      </c>
      <c r="D1483" s="192">
        <f t="shared" si="322"/>
        <v>15</v>
      </c>
      <c r="E1483" s="192">
        <f t="shared" si="323"/>
        <v>51</v>
      </c>
      <c r="F1483" s="192">
        <f t="shared" si="324"/>
        <v>0</v>
      </c>
      <c r="G1483" s="193">
        <f t="shared" si="325"/>
        <v>66</v>
      </c>
      <c r="H1483" s="194">
        <v>0</v>
      </c>
      <c r="I1483" s="194">
        <v>9</v>
      </c>
      <c r="J1483" s="194">
        <v>0</v>
      </c>
      <c r="K1483" s="193">
        <f t="shared" si="326"/>
        <v>9</v>
      </c>
      <c r="L1483" s="194">
        <v>15</v>
      </c>
      <c r="M1483" s="194">
        <v>42</v>
      </c>
      <c r="N1483" s="194">
        <v>0</v>
      </c>
      <c r="O1483" s="193">
        <f t="shared" si="327"/>
        <v>57</v>
      </c>
      <c r="P1483" s="194">
        <v>0</v>
      </c>
      <c r="Q1483" s="194">
        <v>0</v>
      </c>
      <c r="R1483" s="194">
        <v>0</v>
      </c>
      <c r="S1483" s="193">
        <f t="shared" si="328"/>
        <v>0</v>
      </c>
      <c r="T1483" s="193">
        <f t="shared" si="329"/>
        <v>2.2000000000000002</v>
      </c>
      <c r="U1483" s="193">
        <f ca="1">OFFSET('Expenditure Study'!$B$7,'Operations Support'!$C1483,'Operations Support'!$B1483)*$G1483</f>
        <v>104.28</v>
      </c>
      <c r="V1483" s="199">
        <f ca="1">U1483*'Expenditure Study'!$B$31</f>
        <v>6161.1940938240004</v>
      </c>
      <c r="W1483" s="199">
        <f ca="1">IF(A1483=10298,1.51,1)*IF($B1483&lt;3,$D1483*'Expenditure Study'!$B$32*OFFSET('Expenditure Study'!$B$7,'Operations Support'!$C1483,'Operations Support'!$B1483),0)</f>
        <v>2.37</v>
      </c>
      <c r="X1483" s="200">
        <f ca="1">W1483*'Expenditure Study'!$B$31</f>
        <v>140.02713849600002</v>
      </c>
      <c r="Y1483" s="199">
        <f ca="1">U1483*'Expenditure Study'!$B$31</f>
        <v>6161.1940938240004</v>
      </c>
      <c r="Z1483" s="200">
        <f ca="1">W1483*'Expenditure Study'!$B$31</f>
        <v>140.02713849600002</v>
      </c>
      <c r="AA1483" s="195">
        <f t="shared" ca="1" si="330"/>
        <v>6301.2212323200001</v>
      </c>
      <c r="AB1483" s="195">
        <f t="shared" ca="1" si="331"/>
        <v>6301.2212323200001</v>
      </c>
      <c r="AD1483" s="196">
        <f>IFERROR($G1483/SUMIF($A:$A,$A1483,$G:$G)*SUMIF(Summary!$A$166:$A$242,$A1483,Summary!$P$166:$P$242),0)</f>
        <v>3072.5480972639793</v>
      </c>
      <c r="AE1483" s="197">
        <f t="shared" ca="1" si="332"/>
        <v>3228.6731350560208</v>
      </c>
      <c r="AF1483" s="196">
        <f>IFERROR(G1483/SUMIF(A:A,A1483,G:G)*SUMIF(Summary!$A$166:$A$242,'Operations Support'!A1483,Summary!$Q$166:$Q$242),0)</f>
        <v>3092.117940611035</v>
      </c>
      <c r="AG1483" s="196">
        <f t="shared" ca="1" si="333"/>
        <v>3209.1032917089651</v>
      </c>
      <c r="AI1483" s="196">
        <f>IFERROR($G1483/SUMIF($A:$A,$A1483,$G:$G)*SUMIF(Summary!$A$247:$A$283,$A1483,Summary!$P$247:$P$283),0)</f>
        <v>560.35609835787204</v>
      </c>
      <c r="AJ1483" s="196">
        <f>IFERROR($G1483/SUMIF($A:$A,$A1483,$G:$G)*(SUMIF(Summary!$A$247:$A$283,$A1483,Summary!$L$247:$L$283)+SUMIF(Summary!$A$297:$A$333,$A1483,Summary!$L$297:$L$333))-AI1483,0)</f>
        <v>1762.179556423778</v>
      </c>
      <c r="AK1483" s="196">
        <f>IFERROR($G1483/SUMIF($A:$A,$A1483,$G:$G)*SUMIF(Summary!$A$247:$A$283,$A1483,Summary!$Q$247:$Q$283),0)</f>
        <v>563.92514942437799</v>
      </c>
      <c r="AL1483" s="196">
        <f>IFERROR($G1483/SUMIF($A:$A,$A1483,$G:$G)*(SUMIF(Summary!$A$247:$A$283,$A1483,Summary!$L$247:$L$283)+SUMIF(Summary!$A$297:$A$333,$A1483,Summary!$L$297:$L$333))-AK1483,0)</f>
        <v>1758.6105053572719</v>
      </c>
      <c r="AM1483" s="198"/>
      <c r="AN1483" s="196">
        <f t="shared" ca="1" si="334"/>
        <v>4990.8526914797985</v>
      </c>
      <c r="AO1483" s="196">
        <f t="shared" ca="1" si="335"/>
        <v>4967.713797066237</v>
      </c>
    </row>
    <row r="1484" spans="1:41">
      <c r="A1484" s="189">
        <v>3639</v>
      </c>
      <c r="B1484" s="190">
        <v>1</v>
      </c>
      <c r="C1484" s="191" t="s">
        <v>229</v>
      </c>
      <c r="D1484" s="192">
        <f t="shared" si="322"/>
        <v>0</v>
      </c>
      <c r="E1484" s="192">
        <f t="shared" si="323"/>
        <v>60</v>
      </c>
      <c r="F1484" s="192">
        <f t="shared" si="324"/>
        <v>0</v>
      </c>
      <c r="G1484" s="193">
        <f t="shared" si="325"/>
        <v>60</v>
      </c>
      <c r="H1484" s="194">
        <v>0</v>
      </c>
      <c r="I1484" s="194">
        <v>29</v>
      </c>
      <c r="J1484" s="194">
        <v>0</v>
      </c>
      <c r="K1484" s="193">
        <f t="shared" si="326"/>
        <v>29</v>
      </c>
      <c r="L1484" s="194">
        <v>0</v>
      </c>
      <c r="M1484" s="194">
        <v>31</v>
      </c>
      <c r="N1484" s="194">
        <v>0</v>
      </c>
      <c r="O1484" s="193">
        <f t="shared" si="327"/>
        <v>31</v>
      </c>
      <c r="P1484" s="194">
        <v>0</v>
      </c>
      <c r="Q1484" s="194">
        <v>0</v>
      </c>
      <c r="R1484" s="194">
        <v>0</v>
      </c>
      <c r="S1484" s="193">
        <f t="shared" si="328"/>
        <v>0</v>
      </c>
      <c r="T1484" s="193">
        <f t="shared" si="329"/>
        <v>2</v>
      </c>
      <c r="U1484" s="193">
        <f ca="1">OFFSET('Expenditure Study'!$B$7,'Operations Support'!$C1484,'Operations Support'!$B1484)*$G1484</f>
        <v>199.8</v>
      </c>
      <c r="V1484" s="199">
        <f ca="1">U1484*'Expenditure Study'!$B$31</f>
        <v>11804.81952384</v>
      </c>
      <c r="W1484" s="199">
        <f ca="1">IF(A1484=10298,1.51,1)*IF($B1484&lt;3,$D1484*'Expenditure Study'!$B$32*OFFSET('Expenditure Study'!$B$7,'Operations Support'!$C1484,'Operations Support'!$B1484),0)</f>
        <v>0</v>
      </c>
      <c r="X1484" s="200">
        <f ca="1">W1484*'Expenditure Study'!$B$31</f>
        <v>0</v>
      </c>
      <c r="Y1484" s="199">
        <f ca="1">U1484*'Expenditure Study'!$B$31</f>
        <v>11804.81952384</v>
      </c>
      <c r="Z1484" s="200">
        <f ca="1">W1484*'Expenditure Study'!$B$31</f>
        <v>0</v>
      </c>
      <c r="AA1484" s="195">
        <f t="shared" ca="1" si="330"/>
        <v>11804.81952384</v>
      </c>
      <c r="AB1484" s="195">
        <f t="shared" ca="1" si="331"/>
        <v>11804.81952384</v>
      </c>
      <c r="AD1484" s="196">
        <f>IFERROR($G1484/SUMIF($A:$A,$A1484,$G:$G)*SUMIF(Summary!$A$166:$A$242,$A1484,Summary!$P$166:$P$242),0)</f>
        <v>2793.2255429672541</v>
      </c>
      <c r="AE1484" s="197">
        <f t="shared" ca="1" si="332"/>
        <v>9011.5939808727453</v>
      </c>
      <c r="AF1484" s="196">
        <f>IFERROR(G1484/SUMIF(A:A,A1484,G:G)*SUMIF(Summary!$A$166:$A$242,'Operations Support'!A1484,Summary!$Q$166:$Q$242),0)</f>
        <v>2811.0163096463957</v>
      </c>
      <c r="AG1484" s="196">
        <f t="shared" ca="1" si="333"/>
        <v>8993.8032141936055</v>
      </c>
      <c r="AI1484" s="196">
        <f>IFERROR($G1484/SUMIF($A:$A,$A1484,$G:$G)*SUMIF(Summary!$A$247:$A$283,$A1484,Summary!$P$247:$P$283),0)</f>
        <v>509.41463487079278</v>
      </c>
      <c r="AJ1484" s="196">
        <f>IFERROR($G1484/SUMIF($A:$A,$A1484,$G:$G)*(SUMIF(Summary!$A$247:$A$283,$A1484,Summary!$L$247:$L$283)+SUMIF(Summary!$A$297:$A$333,$A1484,Summary!$L$297:$L$333))-AI1484,0)</f>
        <v>1601.9814149307072</v>
      </c>
      <c r="AK1484" s="196">
        <f>IFERROR($G1484/SUMIF($A:$A,$A1484,$G:$G)*SUMIF(Summary!$A$247:$A$283,$A1484,Summary!$Q$247:$Q$283),0)</f>
        <v>512.65922674943454</v>
      </c>
      <c r="AL1484" s="196">
        <f>IFERROR($G1484/SUMIF($A:$A,$A1484,$G:$G)*(SUMIF(Summary!$A$247:$A$283,$A1484,Summary!$L$247:$L$283)+SUMIF(Summary!$A$297:$A$333,$A1484,Summary!$L$297:$L$333))-AK1484,0)</f>
        <v>1598.7368230520653</v>
      </c>
      <c r="AM1484" s="198"/>
      <c r="AN1484" s="196">
        <f t="shared" ca="1" si="334"/>
        <v>10613.575395803453</v>
      </c>
      <c r="AO1484" s="196">
        <f t="shared" ca="1" si="335"/>
        <v>10592.540037245672</v>
      </c>
    </row>
    <row r="1485" spans="1:41">
      <c r="A1485" s="189">
        <v>3639</v>
      </c>
      <c r="B1485" s="190">
        <v>1</v>
      </c>
      <c r="C1485" s="191" t="s">
        <v>230</v>
      </c>
      <c r="D1485" s="192">
        <f t="shared" si="322"/>
        <v>0</v>
      </c>
      <c r="E1485" s="192">
        <f t="shared" si="323"/>
        <v>0</v>
      </c>
      <c r="F1485" s="192">
        <f t="shared" si="324"/>
        <v>0</v>
      </c>
      <c r="G1485" s="193">
        <f t="shared" si="325"/>
        <v>0</v>
      </c>
      <c r="H1485" s="194">
        <v>0</v>
      </c>
      <c r="I1485" s="194">
        <v>0</v>
      </c>
      <c r="J1485" s="194">
        <v>0</v>
      </c>
      <c r="K1485" s="193">
        <f t="shared" si="326"/>
        <v>0</v>
      </c>
      <c r="L1485" s="194">
        <v>0</v>
      </c>
      <c r="M1485" s="194">
        <v>0</v>
      </c>
      <c r="N1485" s="194">
        <v>0</v>
      </c>
      <c r="O1485" s="193">
        <f t="shared" si="327"/>
        <v>0</v>
      </c>
      <c r="P1485" s="194">
        <v>0</v>
      </c>
      <c r="Q1485" s="194">
        <v>0</v>
      </c>
      <c r="R1485" s="194">
        <v>0</v>
      </c>
      <c r="S1485" s="193">
        <f t="shared" si="328"/>
        <v>0</v>
      </c>
      <c r="T1485" s="193">
        <f t="shared" si="329"/>
        <v>0</v>
      </c>
      <c r="U1485" s="193">
        <f ca="1">OFFSET('Expenditure Study'!$B$7,'Operations Support'!$C1485,'Operations Support'!$B1485)*$G1485</f>
        <v>0</v>
      </c>
      <c r="V1485" s="199">
        <f ca="1">U1485*'Expenditure Study'!$B$31</f>
        <v>0</v>
      </c>
      <c r="W1485" s="199">
        <f ca="1">IF(A1485=10298,1.51,1)*IF($B1485&lt;3,$D1485*'Expenditure Study'!$B$32*OFFSET('Expenditure Study'!$B$7,'Operations Support'!$C1485,'Operations Support'!$B1485),0)</f>
        <v>0</v>
      </c>
      <c r="X1485" s="200">
        <f ca="1">W1485*'Expenditure Study'!$B$31</f>
        <v>0</v>
      </c>
      <c r="Y1485" s="199">
        <f ca="1">U1485*'Expenditure Study'!$B$31</f>
        <v>0</v>
      </c>
      <c r="Z1485" s="200">
        <f ca="1">W1485*'Expenditure Study'!$B$31</f>
        <v>0</v>
      </c>
      <c r="AA1485" s="195">
        <f t="shared" ca="1" si="330"/>
        <v>0</v>
      </c>
      <c r="AB1485" s="195">
        <f t="shared" ca="1" si="331"/>
        <v>0</v>
      </c>
      <c r="AD1485" s="196">
        <f>IFERROR($G1485/SUMIF($A:$A,$A1485,$G:$G)*SUMIF(Summary!$A$166:$A$242,$A1485,Summary!$P$166:$P$242),0)</f>
        <v>0</v>
      </c>
      <c r="AE1485" s="197">
        <f t="shared" ca="1" si="332"/>
        <v>0</v>
      </c>
      <c r="AF1485" s="196">
        <f>IFERROR(G1485/SUMIF(A:A,A1485,G:G)*SUMIF(Summary!$A$166:$A$242,'Operations Support'!A1485,Summary!$Q$166:$Q$242),0)</f>
        <v>0</v>
      </c>
      <c r="AG1485" s="196">
        <f t="shared" ca="1" si="333"/>
        <v>0</v>
      </c>
      <c r="AI1485" s="196">
        <f>IFERROR($G1485/SUMIF($A:$A,$A1485,$G:$G)*SUMIF(Summary!$A$247:$A$283,$A1485,Summary!$P$247:$P$283),0)</f>
        <v>0</v>
      </c>
      <c r="AJ1485" s="196">
        <f>IFERROR($G1485/SUMIF($A:$A,$A1485,$G:$G)*(SUMIF(Summary!$A$247:$A$283,$A1485,Summary!$L$247:$L$283)+SUMIF(Summary!$A$297:$A$333,$A1485,Summary!$L$297:$L$333))-AI1485,0)</f>
        <v>0</v>
      </c>
      <c r="AK1485" s="196">
        <f>IFERROR($G1485/SUMIF($A:$A,$A1485,$G:$G)*SUMIF(Summary!$A$247:$A$283,$A1485,Summary!$Q$247:$Q$283),0)</f>
        <v>0</v>
      </c>
      <c r="AL1485" s="196">
        <f>IFERROR($G1485/SUMIF($A:$A,$A1485,$G:$G)*(SUMIF(Summary!$A$247:$A$283,$A1485,Summary!$L$247:$L$283)+SUMIF(Summary!$A$297:$A$333,$A1485,Summary!$L$297:$L$333))-AK1485,0)</f>
        <v>0</v>
      </c>
      <c r="AM1485" s="198"/>
      <c r="AN1485" s="196">
        <f t="shared" ca="1" si="334"/>
        <v>0</v>
      </c>
      <c r="AO1485" s="196">
        <f t="shared" ca="1" si="335"/>
        <v>0</v>
      </c>
    </row>
    <row r="1486" spans="1:41">
      <c r="A1486" s="189">
        <v>3639</v>
      </c>
      <c r="B1486" s="190">
        <v>1</v>
      </c>
      <c r="C1486" s="191" t="s">
        <v>231</v>
      </c>
      <c r="D1486" s="192">
        <f t="shared" si="322"/>
        <v>15</v>
      </c>
      <c r="E1486" s="192">
        <f t="shared" si="323"/>
        <v>0</v>
      </c>
      <c r="F1486" s="192">
        <f t="shared" si="324"/>
        <v>0</v>
      </c>
      <c r="G1486" s="193">
        <f t="shared" si="325"/>
        <v>15</v>
      </c>
      <c r="H1486" s="194">
        <v>15</v>
      </c>
      <c r="I1486" s="194">
        <v>0</v>
      </c>
      <c r="J1486" s="194">
        <v>0</v>
      </c>
      <c r="K1486" s="193">
        <f t="shared" si="326"/>
        <v>15</v>
      </c>
      <c r="L1486" s="194">
        <v>0</v>
      </c>
      <c r="M1486" s="194">
        <v>0</v>
      </c>
      <c r="N1486" s="194">
        <v>0</v>
      </c>
      <c r="O1486" s="193">
        <f t="shared" si="327"/>
        <v>0</v>
      </c>
      <c r="P1486" s="194">
        <v>0</v>
      </c>
      <c r="Q1486" s="194">
        <v>0</v>
      </c>
      <c r="R1486" s="194">
        <v>0</v>
      </c>
      <c r="S1486" s="193">
        <f t="shared" si="328"/>
        <v>0</v>
      </c>
      <c r="T1486" s="193">
        <f t="shared" si="329"/>
        <v>0.5</v>
      </c>
      <c r="U1486" s="193">
        <f ca="1">OFFSET('Expenditure Study'!$B$7,'Operations Support'!$C1486,'Operations Support'!$B1486)*$G1486</f>
        <v>22.8</v>
      </c>
      <c r="V1486" s="199">
        <f ca="1">U1486*'Expenditure Study'!$B$31</f>
        <v>1347.09652224</v>
      </c>
      <c r="W1486" s="199">
        <f ca="1">IF(A1486=10298,1.51,1)*IF($B1486&lt;3,$D1486*'Expenditure Study'!$B$32*OFFSET('Expenditure Study'!$B$7,'Operations Support'!$C1486,'Operations Support'!$B1486),0)</f>
        <v>2.2800000000000002</v>
      </c>
      <c r="X1486" s="200">
        <f ca="1">W1486*'Expenditure Study'!$B$31</f>
        <v>134.70965222400002</v>
      </c>
      <c r="Y1486" s="199">
        <f ca="1">U1486*'Expenditure Study'!$B$31</f>
        <v>1347.09652224</v>
      </c>
      <c r="Z1486" s="200">
        <f ca="1">W1486*'Expenditure Study'!$B$31</f>
        <v>134.70965222400002</v>
      </c>
      <c r="AA1486" s="195">
        <f t="shared" ca="1" si="330"/>
        <v>1481.8061744639999</v>
      </c>
      <c r="AB1486" s="195">
        <f t="shared" ca="1" si="331"/>
        <v>1481.8061744639999</v>
      </c>
      <c r="AD1486" s="196">
        <f>IFERROR($G1486/SUMIF($A:$A,$A1486,$G:$G)*SUMIF(Summary!$A$166:$A$242,$A1486,Summary!$P$166:$P$242),0)</f>
        <v>698.30638574181353</v>
      </c>
      <c r="AE1486" s="197">
        <f t="shared" ca="1" si="332"/>
        <v>783.49978872218639</v>
      </c>
      <c r="AF1486" s="196">
        <f>IFERROR(G1486/SUMIF(A:A,A1486,G:G)*SUMIF(Summary!$A$166:$A$242,'Operations Support'!A1486,Summary!$Q$166:$Q$242),0)</f>
        <v>702.75407741159893</v>
      </c>
      <c r="AG1486" s="196">
        <f t="shared" ca="1" si="333"/>
        <v>779.052097052401</v>
      </c>
      <c r="AI1486" s="196">
        <f>IFERROR($G1486/SUMIF($A:$A,$A1486,$G:$G)*SUMIF(Summary!$A$247:$A$283,$A1486,Summary!$P$247:$P$283),0)</f>
        <v>127.3536587176982</v>
      </c>
      <c r="AJ1486" s="196">
        <f>IFERROR($G1486/SUMIF($A:$A,$A1486,$G:$G)*(SUMIF(Summary!$A$247:$A$283,$A1486,Summary!$L$247:$L$283)+SUMIF(Summary!$A$297:$A$333,$A1486,Summary!$L$297:$L$333))-AI1486,0)</f>
        <v>400.49535373267679</v>
      </c>
      <c r="AK1486" s="196">
        <f>IFERROR($G1486/SUMIF($A:$A,$A1486,$G:$G)*SUMIF(Summary!$A$247:$A$283,$A1486,Summary!$Q$247:$Q$283),0)</f>
        <v>128.16480668735863</v>
      </c>
      <c r="AL1486" s="196">
        <f>IFERROR($G1486/SUMIF($A:$A,$A1486,$G:$G)*(SUMIF(Summary!$A$247:$A$283,$A1486,Summary!$L$247:$L$283)+SUMIF(Summary!$A$297:$A$333,$A1486,Summary!$L$297:$L$333))-AK1486,0)</f>
        <v>399.68420576301634</v>
      </c>
      <c r="AM1486" s="198"/>
      <c r="AN1486" s="196">
        <f t="shared" ca="1" si="334"/>
        <v>1183.9951424548631</v>
      </c>
      <c r="AO1486" s="196">
        <f t="shared" ca="1" si="335"/>
        <v>1178.7363028154173</v>
      </c>
    </row>
    <row r="1487" spans="1:41">
      <c r="A1487" s="189">
        <v>3639</v>
      </c>
      <c r="B1487" s="190">
        <v>1</v>
      </c>
      <c r="C1487" s="191" t="s">
        <v>232</v>
      </c>
      <c r="D1487" s="192">
        <f t="shared" si="322"/>
        <v>0</v>
      </c>
      <c r="E1487" s="192">
        <f t="shared" si="323"/>
        <v>0</v>
      </c>
      <c r="F1487" s="192">
        <f t="shared" si="324"/>
        <v>0</v>
      </c>
      <c r="G1487" s="193">
        <f t="shared" si="325"/>
        <v>0</v>
      </c>
      <c r="H1487" s="194">
        <v>0</v>
      </c>
      <c r="I1487" s="194">
        <v>0</v>
      </c>
      <c r="J1487" s="194">
        <v>0</v>
      </c>
      <c r="K1487" s="193">
        <f t="shared" si="326"/>
        <v>0</v>
      </c>
      <c r="L1487" s="194">
        <v>0</v>
      </c>
      <c r="M1487" s="194">
        <v>0</v>
      </c>
      <c r="N1487" s="194">
        <v>0</v>
      </c>
      <c r="O1487" s="193">
        <f t="shared" si="327"/>
        <v>0</v>
      </c>
      <c r="P1487" s="194">
        <v>0</v>
      </c>
      <c r="Q1487" s="194">
        <v>0</v>
      </c>
      <c r="R1487" s="194">
        <v>0</v>
      </c>
      <c r="S1487" s="193">
        <f t="shared" si="328"/>
        <v>0</v>
      </c>
      <c r="T1487" s="193">
        <f t="shared" si="329"/>
        <v>0</v>
      </c>
      <c r="U1487" s="193">
        <f ca="1">OFFSET('Expenditure Study'!$B$7,'Operations Support'!$C1487,'Operations Support'!$B1487)*$G1487</f>
        <v>0</v>
      </c>
      <c r="V1487" s="199">
        <f ca="1">U1487*'Expenditure Study'!$B$31</f>
        <v>0</v>
      </c>
      <c r="W1487" s="199">
        <f ca="1">IF(A1487=10298,1.51,1)*IF($B1487&lt;3,$D1487*'Expenditure Study'!$B$32*OFFSET('Expenditure Study'!$B$7,'Operations Support'!$C1487,'Operations Support'!$B1487),0)</f>
        <v>0</v>
      </c>
      <c r="X1487" s="200">
        <f ca="1">W1487*'Expenditure Study'!$B$31</f>
        <v>0</v>
      </c>
      <c r="Y1487" s="199">
        <f ca="1">U1487*'Expenditure Study'!$B$31</f>
        <v>0</v>
      </c>
      <c r="Z1487" s="200">
        <f ca="1">W1487*'Expenditure Study'!$B$31</f>
        <v>0</v>
      </c>
      <c r="AA1487" s="195">
        <f t="shared" ca="1" si="330"/>
        <v>0</v>
      </c>
      <c r="AB1487" s="195">
        <f t="shared" ca="1" si="331"/>
        <v>0</v>
      </c>
      <c r="AD1487" s="196">
        <f>IFERROR($G1487/SUMIF($A:$A,$A1487,$G:$G)*SUMIF(Summary!$A$166:$A$242,$A1487,Summary!$P$166:$P$242),0)</f>
        <v>0</v>
      </c>
      <c r="AE1487" s="197">
        <f t="shared" ca="1" si="332"/>
        <v>0</v>
      </c>
      <c r="AF1487" s="196">
        <f>IFERROR(G1487/SUMIF(A:A,A1487,G:G)*SUMIF(Summary!$A$166:$A$242,'Operations Support'!A1487,Summary!$Q$166:$Q$242),0)</f>
        <v>0</v>
      </c>
      <c r="AG1487" s="196">
        <f t="shared" ca="1" si="333"/>
        <v>0</v>
      </c>
      <c r="AI1487" s="196">
        <f>IFERROR($G1487/SUMIF($A:$A,$A1487,$G:$G)*SUMIF(Summary!$A$247:$A$283,$A1487,Summary!$P$247:$P$283),0)</f>
        <v>0</v>
      </c>
      <c r="AJ1487" s="196">
        <f>IFERROR($G1487/SUMIF($A:$A,$A1487,$G:$G)*(SUMIF(Summary!$A$247:$A$283,$A1487,Summary!$L$247:$L$283)+SUMIF(Summary!$A$297:$A$333,$A1487,Summary!$L$297:$L$333))-AI1487,0)</f>
        <v>0</v>
      </c>
      <c r="AK1487" s="196">
        <f>IFERROR($G1487/SUMIF($A:$A,$A1487,$G:$G)*SUMIF(Summary!$A$247:$A$283,$A1487,Summary!$Q$247:$Q$283),0)</f>
        <v>0</v>
      </c>
      <c r="AL1487" s="196">
        <f>IFERROR($G1487/SUMIF($A:$A,$A1487,$G:$G)*(SUMIF(Summary!$A$247:$A$283,$A1487,Summary!$L$247:$L$283)+SUMIF(Summary!$A$297:$A$333,$A1487,Summary!$L$297:$L$333))-AK1487,0)</f>
        <v>0</v>
      </c>
      <c r="AM1487" s="198"/>
      <c r="AN1487" s="196">
        <f t="shared" ca="1" si="334"/>
        <v>0</v>
      </c>
      <c r="AO1487" s="196">
        <f t="shared" ca="1" si="335"/>
        <v>0</v>
      </c>
    </row>
    <row r="1488" spans="1:41">
      <c r="A1488" s="189">
        <v>3639</v>
      </c>
      <c r="B1488" s="190">
        <v>1</v>
      </c>
      <c r="C1488" s="191" t="s">
        <v>233</v>
      </c>
      <c r="D1488" s="192">
        <f t="shared" si="322"/>
        <v>1104</v>
      </c>
      <c r="E1488" s="192">
        <f t="shared" si="323"/>
        <v>185</v>
      </c>
      <c r="F1488" s="192">
        <f t="shared" si="324"/>
        <v>0</v>
      </c>
      <c r="G1488" s="193">
        <f t="shared" si="325"/>
        <v>1289</v>
      </c>
      <c r="H1488" s="194">
        <v>408</v>
      </c>
      <c r="I1488" s="194">
        <v>139</v>
      </c>
      <c r="J1488" s="194">
        <v>0</v>
      </c>
      <c r="K1488" s="193">
        <f t="shared" si="326"/>
        <v>547</v>
      </c>
      <c r="L1488" s="194">
        <v>660</v>
      </c>
      <c r="M1488" s="194">
        <v>28</v>
      </c>
      <c r="N1488" s="194">
        <v>0</v>
      </c>
      <c r="O1488" s="193">
        <f t="shared" si="327"/>
        <v>688</v>
      </c>
      <c r="P1488" s="194">
        <v>36</v>
      </c>
      <c r="Q1488" s="194">
        <v>18</v>
      </c>
      <c r="R1488" s="194">
        <v>0</v>
      </c>
      <c r="S1488" s="193">
        <f t="shared" si="328"/>
        <v>54</v>
      </c>
      <c r="T1488" s="193">
        <f t="shared" si="329"/>
        <v>42.966666666666669</v>
      </c>
      <c r="U1488" s="193">
        <f ca="1">OFFSET('Expenditure Study'!$B$7,'Operations Support'!$C1488,'Operations Support'!$B1488)*$G1488</f>
        <v>1237.44</v>
      </c>
      <c r="V1488" s="199">
        <f ca="1">U1488*'Expenditure Study'!$B$31</f>
        <v>73111.891249152002</v>
      </c>
      <c r="W1488" s="199">
        <f ca="1">IF(A1488=10298,1.51,1)*IF($B1488&lt;3,$D1488*'Expenditure Study'!$B$32*OFFSET('Expenditure Study'!$B$7,'Operations Support'!$C1488,'Operations Support'!$B1488),0)</f>
        <v>105.98399999999999</v>
      </c>
      <c r="X1488" s="200">
        <f ca="1">W1488*'Expenditure Study'!$B$31</f>
        <v>6261.8718339072002</v>
      </c>
      <c r="Y1488" s="199">
        <f ca="1">U1488*'Expenditure Study'!$B$31</f>
        <v>73111.891249152002</v>
      </c>
      <c r="Z1488" s="200">
        <f ca="1">W1488*'Expenditure Study'!$B$31</f>
        <v>6261.8718339072002</v>
      </c>
      <c r="AA1488" s="195">
        <f t="shared" ca="1" si="330"/>
        <v>79373.763083059195</v>
      </c>
      <c r="AB1488" s="195">
        <f t="shared" ca="1" si="331"/>
        <v>79373.763083059195</v>
      </c>
      <c r="AD1488" s="196">
        <f>IFERROR($G1488/SUMIF($A:$A,$A1488,$G:$G)*SUMIF(Summary!$A$166:$A$242,$A1488,Summary!$P$166:$P$242),0)</f>
        <v>60007.795414746506</v>
      </c>
      <c r="AE1488" s="197">
        <f t="shared" ca="1" si="332"/>
        <v>19365.967668312689</v>
      </c>
      <c r="AF1488" s="196">
        <f>IFERROR(G1488/SUMIF(A:A,A1488,G:G)*SUMIF(Summary!$A$166:$A$242,'Operations Support'!A1488,Summary!$Q$166:$Q$242),0)</f>
        <v>60390.000385570063</v>
      </c>
      <c r="AG1488" s="196">
        <f t="shared" ca="1" si="333"/>
        <v>18983.762697489132</v>
      </c>
      <c r="AI1488" s="196">
        <f>IFERROR($G1488/SUMIF($A:$A,$A1488,$G:$G)*SUMIF(Summary!$A$247:$A$283,$A1488,Summary!$P$247:$P$283),0)</f>
        <v>10943.924405807531</v>
      </c>
      <c r="AJ1488" s="196">
        <f>IFERROR($G1488/SUMIF($A:$A,$A1488,$G:$G)*(SUMIF(Summary!$A$247:$A$283,$A1488,Summary!$L$247:$L$283)+SUMIF(Summary!$A$297:$A$333,$A1488,Summary!$L$297:$L$333))-AI1488,0)</f>
        <v>34415.900730761365</v>
      </c>
      <c r="AK1488" s="196">
        <f>IFERROR($G1488/SUMIF($A:$A,$A1488,$G:$G)*SUMIF(Summary!$A$247:$A$283,$A1488,Summary!$Q$247:$Q$283),0)</f>
        <v>11013.629054667019</v>
      </c>
      <c r="AL1488" s="196">
        <f>IFERROR($G1488/SUMIF($A:$A,$A1488,$G:$G)*(SUMIF(Summary!$A$247:$A$283,$A1488,Summary!$L$247:$L$283)+SUMIF(Summary!$A$297:$A$333,$A1488,Summary!$L$297:$L$333))-AK1488,0)</f>
        <v>34346.196081901871</v>
      </c>
      <c r="AM1488" s="198"/>
      <c r="AN1488" s="196">
        <f t="shared" ca="1" si="334"/>
        <v>53781.868399074054</v>
      </c>
      <c r="AO1488" s="196">
        <f t="shared" ca="1" si="335"/>
        <v>53329.958779391003</v>
      </c>
    </row>
    <row r="1489" spans="1:41">
      <c r="A1489" s="189">
        <v>3639</v>
      </c>
      <c r="B1489" s="190">
        <v>1</v>
      </c>
      <c r="C1489" s="191" t="s">
        <v>234</v>
      </c>
      <c r="D1489" s="192">
        <f t="shared" si="322"/>
        <v>0</v>
      </c>
      <c r="E1489" s="192">
        <f t="shared" si="323"/>
        <v>0</v>
      </c>
      <c r="F1489" s="192">
        <f t="shared" si="324"/>
        <v>0</v>
      </c>
      <c r="G1489" s="193">
        <f t="shared" si="325"/>
        <v>0</v>
      </c>
      <c r="H1489" s="194">
        <v>0</v>
      </c>
      <c r="I1489" s="194">
        <v>0</v>
      </c>
      <c r="J1489" s="194">
        <v>0</v>
      </c>
      <c r="K1489" s="193">
        <f t="shared" si="326"/>
        <v>0</v>
      </c>
      <c r="L1489" s="194">
        <v>0</v>
      </c>
      <c r="M1489" s="194">
        <v>0</v>
      </c>
      <c r="N1489" s="194">
        <v>0</v>
      </c>
      <c r="O1489" s="193">
        <f t="shared" si="327"/>
        <v>0</v>
      </c>
      <c r="P1489" s="194">
        <v>0</v>
      </c>
      <c r="Q1489" s="194">
        <v>0</v>
      </c>
      <c r="R1489" s="194">
        <v>0</v>
      </c>
      <c r="S1489" s="193">
        <f t="shared" si="328"/>
        <v>0</v>
      </c>
      <c r="T1489" s="193">
        <f t="shared" si="329"/>
        <v>0</v>
      </c>
      <c r="U1489" s="193">
        <f ca="1">OFFSET('Expenditure Study'!$B$7,'Operations Support'!$C1489,'Operations Support'!$B1489)*$G1489</f>
        <v>0</v>
      </c>
      <c r="V1489" s="199">
        <f ca="1">U1489*'Expenditure Study'!$B$31</f>
        <v>0</v>
      </c>
      <c r="W1489" s="199">
        <f ca="1">IF(A1489=10298,1.51,1)*IF($B1489&lt;3,$D1489*'Expenditure Study'!$B$32*OFFSET('Expenditure Study'!$B$7,'Operations Support'!$C1489,'Operations Support'!$B1489),0)</f>
        <v>0</v>
      </c>
      <c r="X1489" s="200">
        <f ca="1">W1489*'Expenditure Study'!$B$31</f>
        <v>0</v>
      </c>
      <c r="Y1489" s="199">
        <f ca="1">U1489*'Expenditure Study'!$B$31</f>
        <v>0</v>
      </c>
      <c r="Z1489" s="200">
        <f ca="1">W1489*'Expenditure Study'!$B$31</f>
        <v>0</v>
      </c>
      <c r="AA1489" s="195">
        <f t="shared" ca="1" si="330"/>
        <v>0</v>
      </c>
      <c r="AB1489" s="195">
        <f t="shared" ca="1" si="331"/>
        <v>0</v>
      </c>
      <c r="AD1489" s="196">
        <f>IFERROR($G1489/SUMIF($A:$A,$A1489,$G:$G)*SUMIF(Summary!$A$166:$A$242,$A1489,Summary!$P$166:$P$242),0)</f>
        <v>0</v>
      </c>
      <c r="AE1489" s="197">
        <f t="shared" ca="1" si="332"/>
        <v>0</v>
      </c>
      <c r="AF1489" s="196">
        <f>IFERROR(G1489/SUMIF(A:A,A1489,G:G)*SUMIF(Summary!$A$166:$A$242,'Operations Support'!A1489,Summary!$Q$166:$Q$242),0)</f>
        <v>0</v>
      </c>
      <c r="AG1489" s="196">
        <f t="shared" ca="1" si="333"/>
        <v>0</v>
      </c>
      <c r="AI1489" s="196">
        <f>IFERROR($G1489/SUMIF($A:$A,$A1489,$G:$G)*SUMIF(Summary!$A$247:$A$283,$A1489,Summary!$P$247:$P$283),0)</f>
        <v>0</v>
      </c>
      <c r="AJ1489" s="196">
        <f>IFERROR($G1489/SUMIF($A:$A,$A1489,$G:$G)*(SUMIF(Summary!$A$247:$A$283,$A1489,Summary!$L$247:$L$283)+SUMIF(Summary!$A$297:$A$333,$A1489,Summary!$L$297:$L$333))-AI1489,0)</f>
        <v>0</v>
      </c>
      <c r="AK1489" s="196">
        <f>IFERROR($G1489/SUMIF($A:$A,$A1489,$G:$G)*SUMIF(Summary!$A$247:$A$283,$A1489,Summary!$Q$247:$Q$283),0)</f>
        <v>0</v>
      </c>
      <c r="AL1489" s="196">
        <f>IFERROR($G1489/SUMIF($A:$A,$A1489,$G:$G)*(SUMIF(Summary!$A$247:$A$283,$A1489,Summary!$L$247:$L$283)+SUMIF(Summary!$A$297:$A$333,$A1489,Summary!$L$297:$L$333))-AK1489,0)</f>
        <v>0</v>
      </c>
      <c r="AM1489" s="198"/>
      <c r="AN1489" s="196">
        <f t="shared" ca="1" si="334"/>
        <v>0</v>
      </c>
      <c r="AO1489" s="196">
        <f t="shared" ca="1" si="335"/>
        <v>0</v>
      </c>
    </row>
    <row r="1490" spans="1:41">
      <c r="A1490" s="189">
        <v>3639</v>
      </c>
      <c r="B1490" s="190">
        <v>1</v>
      </c>
      <c r="C1490" s="191" t="s">
        <v>235</v>
      </c>
      <c r="D1490" s="192">
        <f t="shared" si="322"/>
        <v>1867</v>
      </c>
      <c r="E1490" s="192">
        <f t="shared" si="323"/>
        <v>904</v>
      </c>
      <c r="F1490" s="192">
        <f t="shared" si="324"/>
        <v>0</v>
      </c>
      <c r="G1490" s="193">
        <f t="shared" si="325"/>
        <v>2771</v>
      </c>
      <c r="H1490" s="194">
        <v>737</v>
      </c>
      <c r="I1490" s="194">
        <v>409</v>
      </c>
      <c r="J1490" s="194">
        <v>0</v>
      </c>
      <c r="K1490" s="193">
        <f t="shared" si="326"/>
        <v>1146</v>
      </c>
      <c r="L1490" s="194">
        <v>872</v>
      </c>
      <c r="M1490" s="194">
        <v>464</v>
      </c>
      <c r="N1490" s="194">
        <v>0</v>
      </c>
      <c r="O1490" s="193">
        <f t="shared" si="327"/>
        <v>1336</v>
      </c>
      <c r="P1490" s="194">
        <v>258</v>
      </c>
      <c r="Q1490" s="194">
        <v>31</v>
      </c>
      <c r="R1490" s="194">
        <v>0</v>
      </c>
      <c r="S1490" s="193">
        <f t="shared" si="328"/>
        <v>289</v>
      </c>
      <c r="T1490" s="193">
        <f t="shared" si="329"/>
        <v>92.36666666666666</v>
      </c>
      <c r="U1490" s="193">
        <f ca="1">OFFSET('Expenditure Study'!$B$7,'Operations Support'!$C1490,'Operations Support'!$B1490)*$G1490</f>
        <v>3048.1000000000004</v>
      </c>
      <c r="V1490" s="199">
        <f ca="1">U1490*'Expenditure Study'!$B$31</f>
        <v>180091.44339648003</v>
      </c>
      <c r="W1490" s="199">
        <f ca="1">IF(A1490=10298,1.51,1)*IF($B1490&lt;3,$D1490*'Expenditure Study'!$B$32*OFFSET('Expenditure Study'!$B$7,'Operations Support'!$C1490,'Operations Support'!$B1490),0)</f>
        <v>205.37000000000003</v>
      </c>
      <c r="X1490" s="200">
        <f ca="1">W1490*'Expenditure Study'!$B$31</f>
        <v>12133.912840896002</v>
      </c>
      <c r="Y1490" s="199">
        <f ca="1">U1490*'Expenditure Study'!$B$31</f>
        <v>180091.44339648003</v>
      </c>
      <c r="Z1490" s="200">
        <f ca="1">W1490*'Expenditure Study'!$B$31</f>
        <v>12133.912840896002</v>
      </c>
      <c r="AA1490" s="195">
        <f t="shared" ca="1" si="330"/>
        <v>192225.35623737602</v>
      </c>
      <c r="AB1490" s="195">
        <f t="shared" ca="1" si="331"/>
        <v>192225.35623737602</v>
      </c>
      <c r="AD1490" s="196">
        <f>IFERROR($G1490/SUMIF($A:$A,$A1490,$G:$G)*SUMIF(Summary!$A$166:$A$242,$A1490,Summary!$P$166:$P$242),0)</f>
        <v>129000.46632603768</v>
      </c>
      <c r="AE1490" s="197">
        <f t="shared" ca="1" si="332"/>
        <v>63224.889911338338</v>
      </c>
      <c r="AF1490" s="196">
        <f>IFERROR(G1490/SUMIF(A:A,A1490,G:G)*SUMIF(Summary!$A$166:$A$242,'Operations Support'!A1490,Summary!$Q$166:$Q$242),0)</f>
        <v>129822.10323383604</v>
      </c>
      <c r="AG1490" s="196">
        <f t="shared" ca="1" si="333"/>
        <v>62403.253003539983</v>
      </c>
      <c r="AI1490" s="196">
        <f>IFERROR($G1490/SUMIF($A:$A,$A1490,$G:$G)*SUMIF(Summary!$A$247:$A$283,$A1490,Summary!$P$247:$P$283),0)</f>
        <v>23526.465887116115</v>
      </c>
      <c r="AJ1490" s="196">
        <f>IFERROR($G1490/SUMIF($A:$A,$A1490,$G:$G)*(SUMIF(Summary!$A$247:$A$283,$A1490,Summary!$L$247:$L$283)+SUMIF(Summary!$A$297:$A$333,$A1490,Summary!$L$297:$L$333))-AI1490,0)</f>
        <v>73984.841679549834</v>
      </c>
      <c r="AK1490" s="196">
        <f>IFERROR($G1490/SUMIF($A:$A,$A1490,$G:$G)*SUMIF(Summary!$A$247:$A$283,$A1490,Summary!$Q$247:$Q$283),0)</f>
        <v>23676.311955378053</v>
      </c>
      <c r="AL1490" s="196">
        <f>IFERROR($G1490/SUMIF($A:$A,$A1490,$G:$G)*(SUMIF(Summary!$A$247:$A$283,$A1490,Summary!$L$247:$L$283)+SUMIF(Summary!$A$297:$A$333,$A1490,Summary!$L$297:$L$333))-AK1490,0)</f>
        <v>73834.995611287901</v>
      </c>
      <c r="AM1490" s="198"/>
      <c r="AN1490" s="196">
        <f t="shared" ca="1" si="334"/>
        <v>137209.73159088817</v>
      </c>
      <c r="AO1490" s="196">
        <f t="shared" ca="1" si="335"/>
        <v>136238.24861482787</v>
      </c>
    </row>
    <row r="1491" spans="1:41" s="201" customFormat="1">
      <c r="A1491" s="189">
        <v>3639</v>
      </c>
      <c r="B1491" s="190">
        <v>1</v>
      </c>
      <c r="C1491" s="191" t="s">
        <v>236</v>
      </c>
      <c r="D1491" s="192">
        <f t="shared" si="322"/>
        <v>0</v>
      </c>
      <c r="E1491" s="192">
        <f t="shared" si="323"/>
        <v>0</v>
      </c>
      <c r="F1491" s="192">
        <f t="shared" si="324"/>
        <v>0</v>
      </c>
      <c r="G1491" s="193">
        <f t="shared" si="325"/>
        <v>0</v>
      </c>
      <c r="H1491" s="194">
        <v>0</v>
      </c>
      <c r="I1491" s="194">
        <v>0</v>
      </c>
      <c r="J1491" s="194">
        <v>0</v>
      </c>
      <c r="K1491" s="193">
        <f t="shared" si="326"/>
        <v>0</v>
      </c>
      <c r="L1491" s="194">
        <v>0</v>
      </c>
      <c r="M1491" s="194">
        <v>0</v>
      </c>
      <c r="N1491" s="194">
        <v>0</v>
      </c>
      <c r="O1491" s="193">
        <f t="shared" si="327"/>
        <v>0</v>
      </c>
      <c r="P1491" s="194">
        <v>0</v>
      </c>
      <c r="Q1491" s="194">
        <v>0</v>
      </c>
      <c r="R1491" s="194">
        <v>0</v>
      </c>
      <c r="S1491" s="193">
        <f t="shared" si="328"/>
        <v>0</v>
      </c>
      <c r="T1491" s="193">
        <f t="shared" si="329"/>
        <v>0</v>
      </c>
      <c r="U1491" s="193">
        <f ca="1">OFFSET('Expenditure Study'!$B$7,'Operations Support'!$C1491,'Operations Support'!$B1491)*$G1491</f>
        <v>0</v>
      </c>
      <c r="V1491" s="199">
        <f ca="1">U1491*'Expenditure Study'!$B$31</f>
        <v>0</v>
      </c>
      <c r="W1491" s="199">
        <f ca="1">IF(A1491=10298,1.51,1)*IF($B1491&lt;3,$D1491*'Expenditure Study'!$B$32*OFFSET('Expenditure Study'!$B$7,'Operations Support'!$C1491,'Operations Support'!$B1491),0)</f>
        <v>0</v>
      </c>
      <c r="X1491" s="200">
        <f ca="1">W1491*'Expenditure Study'!$B$31</f>
        <v>0</v>
      </c>
      <c r="Y1491" s="199">
        <f ca="1">U1491*'Expenditure Study'!$B$31</f>
        <v>0</v>
      </c>
      <c r="Z1491" s="200">
        <f ca="1">W1491*'Expenditure Study'!$B$31</f>
        <v>0</v>
      </c>
      <c r="AA1491" s="195">
        <f t="shared" ca="1" si="330"/>
        <v>0</v>
      </c>
      <c r="AB1491" s="195">
        <f t="shared" ca="1" si="331"/>
        <v>0</v>
      </c>
      <c r="AD1491" s="196">
        <f>IFERROR($G1491/SUMIF($A:$A,$A1491,$G:$G)*SUMIF(Summary!$A$166:$A$242,$A1491,Summary!$P$166:$P$242),0)</f>
        <v>0</v>
      </c>
      <c r="AE1491" s="197">
        <f t="shared" ca="1" si="332"/>
        <v>0</v>
      </c>
      <c r="AF1491" s="196">
        <f>IFERROR(G1491/SUMIF(A:A,A1491,G:G)*SUMIF(Summary!$A$166:$A$242,'Operations Support'!A1491,Summary!$Q$166:$Q$242),0)</f>
        <v>0</v>
      </c>
      <c r="AG1491" s="196">
        <f t="shared" ca="1" si="333"/>
        <v>0</v>
      </c>
      <c r="AH1491" s="180"/>
      <c r="AI1491" s="196">
        <f>IFERROR($G1491/SUMIF($A:$A,$A1491,$G:$G)*SUMIF(Summary!$A$247:$A$283,$A1491,Summary!$P$247:$P$283),0)</f>
        <v>0</v>
      </c>
      <c r="AJ1491" s="196">
        <f>IFERROR($G1491/SUMIF($A:$A,$A1491,$G:$G)*(SUMIF(Summary!$A$247:$A$283,$A1491,Summary!$L$247:$L$283)+SUMIF(Summary!$A$297:$A$333,$A1491,Summary!$L$297:$L$333))-AI1491,0)</f>
        <v>0</v>
      </c>
      <c r="AK1491" s="196">
        <f>IFERROR($G1491/SUMIF($A:$A,$A1491,$G:$G)*SUMIF(Summary!$A$247:$A$283,$A1491,Summary!$Q$247:$Q$283),0)</f>
        <v>0</v>
      </c>
      <c r="AL1491" s="196">
        <f>IFERROR($G1491/SUMIF($A:$A,$A1491,$G:$G)*(SUMIF(Summary!$A$247:$A$283,$A1491,Summary!$L$247:$L$283)+SUMIF(Summary!$A$297:$A$333,$A1491,Summary!$L$297:$L$333))-AK1491,0)</f>
        <v>0</v>
      </c>
      <c r="AM1491" s="198"/>
      <c r="AN1491" s="196">
        <f t="shared" ca="1" si="334"/>
        <v>0</v>
      </c>
      <c r="AO1491" s="196">
        <f t="shared" ca="1" si="335"/>
        <v>0</v>
      </c>
    </row>
    <row r="1492" spans="1:41">
      <c r="A1492" s="189">
        <v>3639</v>
      </c>
      <c r="B1492" s="190">
        <v>1</v>
      </c>
      <c r="C1492" s="191" t="s">
        <v>237</v>
      </c>
      <c r="D1492" s="192">
        <f t="shared" si="322"/>
        <v>0</v>
      </c>
      <c r="E1492" s="192">
        <f t="shared" si="323"/>
        <v>0</v>
      </c>
      <c r="F1492" s="192">
        <f t="shared" si="324"/>
        <v>0</v>
      </c>
      <c r="G1492" s="193">
        <f t="shared" si="325"/>
        <v>0</v>
      </c>
      <c r="H1492" s="194">
        <v>0</v>
      </c>
      <c r="I1492" s="194">
        <v>0</v>
      </c>
      <c r="J1492" s="194">
        <v>0</v>
      </c>
      <c r="K1492" s="193">
        <f t="shared" si="326"/>
        <v>0</v>
      </c>
      <c r="L1492" s="194">
        <v>0</v>
      </c>
      <c r="M1492" s="194">
        <v>0</v>
      </c>
      <c r="N1492" s="194">
        <v>0</v>
      </c>
      <c r="O1492" s="193">
        <f t="shared" si="327"/>
        <v>0</v>
      </c>
      <c r="P1492" s="194">
        <v>0</v>
      </c>
      <c r="Q1492" s="194">
        <v>0</v>
      </c>
      <c r="R1492" s="194">
        <v>0</v>
      </c>
      <c r="S1492" s="193">
        <f t="shared" si="328"/>
        <v>0</v>
      </c>
      <c r="T1492" s="193">
        <f t="shared" si="329"/>
        <v>0</v>
      </c>
      <c r="U1492" s="193">
        <f ca="1">OFFSET('Expenditure Study'!$B$7,'Operations Support'!$C1492,'Operations Support'!$B1492)*$G1492</f>
        <v>0</v>
      </c>
      <c r="V1492" s="199">
        <f ca="1">U1492*'Expenditure Study'!$B$31</f>
        <v>0</v>
      </c>
      <c r="W1492" s="199">
        <f ca="1">IF(A1492=10298,1.51,1)*IF($B1492&lt;3,$D1492*'Expenditure Study'!$B$32*OFFSET('Expenditure Study'!$B$7,'Operations Support'!$C1492,'Operations Support'!$B1492),0)</f>
        <v>0</v>
      </c>
      <c r="X1492" s="200">
        <f ca="1">W1492*'Expenditure Study'!$B$31</f>
        <v>0</v>
      </c>
      <c r="Y1492" s="199">
        <f ca="1">U1492*'Expenditure Study'!$B$31</f>
        <v>0</v>
      </c>
      <c r="Z1492" s="200">
        <f ca="1">W1492*'Expenditure Study'!$B$31</f>
        <v>0</v>
      </c>
      <c r="AA1492" s="195">
        <f t="shared" ca="1" si="330"/>
        <v>0</v>
      </c>
      <c r="AB1492" s="195">
        <f t="shared" ca="1" si="331"/>
        <v>0</v>
      </c>
      <c r="AD1492" s="196">
        <f>IFERROR($G1492/SUMIF($A:$A,$A1492,$G:$G)*SUMIF(Summary!$A$166:$A$242,$A1492,Summary!$P$166:$P$242),0)</f>
        <v>0</v>
      </c>
      <c r="AE1492" s="197">
        <f t="shared" ca="1" si="332"/>
        <v>0</v>
      </c>
      <c r="AF1492" s="196">
        <f>IFERROR(G1492/SUMIF(A:A,A1492,G:G)*SUMIF(Summary!$A$166:$A$242,'Operations Support'!A1492,Summary!$Q$166:$Q$242),0)</f>
        <v>0</v>
      </c>
      <c r="AG1492" s="196">
        <f t="shared" ca="1" si="333"/>
        <v>0</v>
      </c>
      <c r="AI1492" s="196">
        <f>IFERROR($G1492/SUMIF($A:$A,$A1492,$G:$G)*SUMIF(Summary!$A$247:$A$283,$A1492,Summary!$P$247:$P$283),0)</f>
        <v>0</v>
      </c>
      <c r="AJ1492" s="196">
        <f>IFERROR($G1492/SUMIF($A:$A,$A1492,$G:$G)*(SUMIF(Summary!$A$247:$A$283,$A1492,Summary!$L$247:$L$283)+SUMIF(Summary!$A$297:$A$333,$A1492,Summary!$L$297:$L$333))-AI1492,0)</f>
        <v>0</v>
      </c>
      <c r="AK1492" s="196">
        <f>IFERROR($G1492/SUMIF($A:$A,$A1492,$G:$G)*SUMIF(Summary!$A$247:$A$283,$A1492,Summary!$Q$247:$Q$283),0)</f>
        <v>0</v>
      </c>
      <c r="AL1492" s="196">
        <f>IFERROR($G1492/SUMIF($A:$A,$A1492,$G:$G)*(SUMIF(Summary!$A$247:$A$283,$A1492,Summary!$L$247:$L$283)+SUMIF(Summary!$A$297:$A$333,$A1492,Summary!$L$297:$L$333))-AK1492,0)</f>
        <v>0</v>
      </c>
      <c r="AM1492" s="198"/>
      <c r="AN1492" s="196">
        <f t="shared" ca="1" si="334"/>
        <v>0</v>
      </c>
      <c r="AO1492" s="196">
        <f t="shared" ca="1" si="335"/>
        <v>0</v>
      </c>
    </row>
    <row r="1493" spans="1:41">
      <c r="A1493" s="189">
        <v>3639</v>
      </c>
      <c r="B1493" s="190">
        <v>1</v>
      </c>
      <c r="C1493" s="191" t="s">
        <v>238</v>
      </c>
      <c r="D1493" s="192">
        <f t="shared" si="322"/>
        <v>403</v>
      </c>
      <c r="E1493" s="192">
        <f t="shared" si="323"/>
        <v>260</v>
      </c>
      <c r="F1493" s="192">
        <f t="shared" si="324"/>
        <v>0</v>
      </c>
      <c r="G1493" s="193">
        <f t="shared" si="325"/>
        <v>663</v>
      </c>
      <c r="H1493" s="194">
        <v>3</v>
      </c>
      <c r="I1493" s="194">
        <v>0</v>
      </c>
      <c r="J1493" s="194">
        <v>0</v>
      </c>
      <c r="K1493" s="193">
        <f t="shared" si="326"/>
        <v>3</v>
      </c>
      <c r="L1493" s="194">
        <v>400</v>
      </c>
      <c r="M1493" s="194">
        <v>183</v>
      </c>
      <c r="N1493" s="194">
        <v>0</v>
      </c>
      <c r="O1493" s="193">
        <f t="shared" si="327"/>
        <v>583</v>
      </c>
      <c r="P1493" s="194">
        <v>0</v>
      </c>
      <c r="Q1493" s="194">
        <v>77</v>
      </c>
      <c r="R1493" s="194">
        <v>0</v>
      </c>
      <c r="S1493" s="193">
        <f t="shared" si="328"/>
        <v>77</v>
      </c>
      <c r="T1493" s="193">
        <f t="shared" si="329"/>
        <v>22.1</v>
      </c>
      <c r="U1493" s="193">
        <f ca="1">OFFSET('Expenditure Study'!$B$7,'Operations Support'!$C1493,'Operations Support'!$B1493)*$G1493</f>
        <v>1180.1400000000001</v>
      </c>
      <c r="V1493" s="199">
        <f ca="1">U1493*'Expenditure Study'!$B$31</f>
        <v>69726.424989312014</v>
      </c>
      <c r="W1493" s="199">
        <f ca="1">IF(A1493=10298,1.51,1)*IF($B1493&lt;3,$D1493*'Expenditure Study'!$B$32*OFFSET('Expenditure Study'!$B$7,'Operations Support'!$C1493,'Operations Support'!$B1493),0)</f>
        <v>71.734000000000009</v>
      </c>
      <c r="X1493" s="200">
        <f ca="1">W1493*'Expenditure Study'!$B$31</f>
        <v>4238.2728915072003</v>
      </c>
      <c r="Y1493" s="199">
        <f ca="1">U1493*'Expenditure Study'!$B$31</f>
        <v>69726.424989312014</v>
      </c>
      <c r="Z1493" s="200">
        <f ca="1">W1493*'Expenditure Study'!$B$31</f>
        <v>4238.2728915072003</v>
      </c>
      <c r="AA1493" s="195">
        <f t="shared" ca="1" si="330"/>
        <v>73964.697880819207</v>
      </c>
      <c r="AB1493" s="195">
        <f t="shared" ca="1" si="331"/>
        <v>73964.697880819207</v>
      </c>
      <c r="AD1493" s="196">
        <f>IFERROR($G1493/SUMIF($A:$A,$A1493,$G:$G)*SUMIF(Summary!$A$166:$A$242,$A1493,Summary!$P$166:$P$242),0)</f>
        <v>30865.142249788154</v>
      </c>
      <c r="AE1493" s="197">
        <f t="shared" ca="1" si="332"/>
        <v>43099.555631031049</v>
      </c>
      <c r="AF1493" s="196">
        <f>IFERROR(G1493/SUMIF(A:A,A1493,G:G)*SUMIF(Summary!$A$166:$A$242,'Operations Support'!A1493,Summary!$Q$166:$Q$242),0)</f>
        <v>31061.730221592668</v>
      </c>
      <c r="AG1493" s="196">
        <f t="shared" ca="1" si="333"/>
        <v>42902.967659226539</v>
      </c>
      <c r="AI1493" s="196">
        <f>IFERROR($G1493/SUMIF($A:$A,$A1493,$G:$G)*SUMIF(Summary!$A$247:$A$283,$A1493,Summary!$P$247:$P$283),0)</f>
        <v>5629.0317153222595</v>
      </c>
      <c r="AJ1493" s="196">
        <f>IFERROR($G1493/SUMIF($A:$A,$A1493,$G:$G)*(SUMIF(Summary!$A$247:$A$283,$A1493,Summary!$L$247:$L$283)+SUMIF(Summary!$A$297:$A$333,$A1493,Summary!$L$297:$L$333))-AI1493,0)</f>
        <v>17701.894634984314</v>
      </c>
      <c r="AK1493" s="196">
        <f>IFERROR($G1493/SUMIF($A:$A,$A1493,$G:$G)*SUMIF(Summary!$A$247:$A$283,$A1493,Summary!$Q$247:$Q$283),0)</f>
        <v>5664.8844555812511</v>
      </c>
      <c r="AL1493" s="196">
        <f>IFERROR($G1493/SUMIF($A:$A,$A1493,$G:$G)*(SUMIF(Summary!$A$247:$A$283,$A1493,Summary!$L$247:$L$283)+SUMIF(Summary!$A$297:$A$333,$A1493,Summary!$L$297:$L$333))-AK1493,0)</f>
        <v>17666.041894725324</v>
      </c>
      <c r="AM1493" s="198"/>
      <c r="AN1493" s="196">
        <f t="shared" ca="1" si="334"/>
        <v>60801.450266015367</v>
      </c>
      <c r="AO1493" s="196">
        <f t="shared" ca="1" si="335"/>
        <v>60569.009553951866</v>
      </c>
    </row>
    <row r="1494" spans="1:41">
      <c r="A1494" s="189">
        <v>3639</v>
      </c>
      <c r="B1494" s="190">
        <v>1</v>
      </c>
      <c r="C1494" s="191" t="s">
        <v>239</v>
      </c>
      <c r="D1494" s="192">
        <f t="shared" si="322"/>
        <v>0</v>
      </c>
      <c r="E1494" s="192">
        <f t="shared" si="323"/>
        <v>0</v>
      </c>
      <c r="F1494" s="192">
        <f t="shared" si="324"/>
        <v>0</v>
      </c>
      <c r="G1494" s="193">
        <f t="shared" si="325"/>
        <v>0</v>
      </c>
      <c r="H1494" s="194">
        <v>0</v>
      </c>
      <c r="I1494" s="194">
        <v>0</v>
      </c>
      <c r="J1494" s="194">
        <v>0</v>
      </c>
      <c r="K1494" s="193">
        <f t="shared" si="326"/>
        <v>0</v>
      </c>
      <c r="L1494" s="194">
        <v>0</v>
      </c>
      <c r="M1494" s="194">
        <v>0</v>
      </c>
      <c r="N1494" s="194">
        <v>0</v>
      </c>
      <c r="O1494" s="193">
        <f t="shared" si="327"/>
        <v>0</v>
      </c>
      <c r="P1494" s="194">
        <v>0</v>
      </c>
      <c r="Q1494" s="194">
        <v>0</v>
      </c>
      <c r="R1494" s="194">
        <v>0</v>
      </c>
      <c r="S1494" s="193">
        <f t="shared" si="328"/>
        <v>0</v>
      </c>
      <c r="T1494" s="193">
        <f t="shared" si="329"/>
        <v>0</v>
      </c>
      <c r="U1494" s="193">
        <f ca="1">OFFSET('Expenditure Study'!$B$7,'Operations Support'!$C1494,'Operations Support'!$B1494)*$G1494</f>
        <v>0</v>
      </c>
      <c r="V1494" s="199">
        <f ca="1">U1494*'Expenditure Study'!$B$31</f>
        <v>0</v>
      </c>
      <c r="W1494" s="199">
        <f ca="1">IF(A1494=10298,1.51,1)*IF($B1494&lt;3,$D1494*'Expenditure Study'!$B$32*OFFSET('Expenditure Study'!$B$7,'Operations Support'!$C1494,'Operations Support'!$B1494),0)</f>
        <v>0</v>
      </c>
      <c r="X1494" s="200">
        <f ca="1">W1494*'Expenditure Study'!$B$31</f>
        <v>0</v>
      </c>
      <c r="Y1494" s="199">
        <f ca="1">U1494*'Expenditure Study'!$B$31</f>
        <v>0</v>
      </c>
      <c r="Z1494" s="200">
        <f ca="1">W1494*'Expenditure Study'!$B$31</f>
        <v>0</v>
      </c>
      <c r="AA1494" s="195">
        <f t="shared" ca="1" si="330"/>
        <v>0</v>
      </c>
      <c r="AB1494" s="195">
        <f t="shared" ca="1" si="331"/>
        <v>0</v>
      </c>
      <c r="AD1494" s="196">
        <f>IFERROR($G1494/SUMIF($A:$A,$A1494,$G:$G)*SUMIF(Summary!$A$166:$A$242,$A1494,Summary!$P$166:$P$242),0)</f>
        <v>0</v>
      </c>
      <c r="AE1494" s="197">
        <f t="shared" ca="1" si="332"/>
        <v>0</v>
      </c>
      <c r="AF1494" s="196">
        <f>IFERROR(G1494/SUMIF(A:A,A1494,G:G)*SUMIF(Summary!$A$166:$A$242,'Operations Support'!A1494,Summary!$Q$166:$Q$242),0)</f>
        <v>0</v>
      </c>
      <c r="AG1494" s="196">
        <f t="shared" ca="1" si="333"/>
        <v>0</v>
      </c>
      <c r="AI1494" s="196">
        <f>IFERROR($G1494/SUMIF($A:$A,$A1494,$G:$G)*SUMIF(Summary!$A$247:$A$283,$A1494,Summary!$P$247:$P$283),0)</f>
        <v>0</v>
      </c>
      <c r="AJ1494" s="196">
        <f>IFERROR($G1494/SUMIF($A:$A,$A1494,$G:$G)*(SUMIF(Summary!$A$247:$A$283,$A1494,Summary!$L$247:$L$283)+SUMIF(Summary!$A$297:$A$333,$A1494,Summary!$L$297:$L$333))-AI1494,0)</f>
        <v>0</v>
      </c>
      <c r="AK1494" s="196">
        <f>IFERROR($G1494/SUMIF($A:$A,$A1494,$G:$G)*SUMIF(Summary!$A$247:$A$283,$A1494,Summary!$Q$247:$Q$283),0)</f>
        <v>0</v>
      </c>
      <c r="AL1494" s="196">
        <f>IFERROR($G1494/SUMIF($A:$A,$A1494,$G:$G)*(SUMIF(Summary!$A$247:$A$283,$A1494,Summary!$L$247:$L$283)+SUMIF(Summary!$A$297:$A$333,$A1494,Summary!$L$297:$L$333))-AK1494,0)</f>
        <v>0</v>
      </c>
      <c r="AM1494" s="198"/>
      <c r="AN1494" s="196">
        <f t="shared" ca="1" si="334"/>
        <v>0</v>
      </c>
      <c r="AO1494" s="196">
        <f t="shared" ca="1" si="335"/>
        <v>0</v>
      </c>
    </row>
    <row r="1495" spans="1:41">
      <c r="A1495" s="189">
        <v>3639</v>
      </c>
      <c r="B1495" s="190">
        <v>1</v>
      </c>
      <c r="C1495" s="191" t="s">
        <v>240</v>
      </c>
      <c r="D1495" s="192">
        <f t="shared" si="322"/>
        <v>76</v>
      </c>
      <c r="E1495" s="192">
        <f t="shared" si="323"/>
        <v>985</v>
      </c>
      <c r="F1495" s="192">
        <f t="shared" si="324"/>
        <v>0</v>
      </c>
      <c r="G1495" s="193">
        <f t="shared" si="325"/>
        <v>1061</v>
      </c>
      <c r="H1495" s="194">
        <v>19</v>
      </c>
      <c r="I1495" s="194">
        <v>492</v>
      </c>
      <c r="J1495" s="194">
        <v>0</v>
      </c>
      <c r="K1495" s="193">
        <f t="shared" si="326"/>
        <v>511</v>
      </c>
      <c r="L1495" s="194">
        <v>57</v>
      </c>
      <c r="M1495" s="194">
        <v>493</v>
      </c>
      <c r="N1495" s="194">
        <v>0</v>
      </c>
      <c r="O1495" s="193">
        <f t="shared" si="327"/>
        <v>550</v>
      </c>
      <c r="P1495" s="194">
        <v>0</v>
      </c>
      <c r="Q1495" s="194">
        <v>0</v>
      </c>
      <c r="R1495" s="194">
        <v>0</v>
      </c>
      <c r="S1495" s="193">
        <f t="shared" si="328"/>
        <v>0</v>
      </c>
      <c r="T1495" s="193">
        <f t="shared" si="329"/>
        <v>35.366666666666667</v>
      </c>
      <c r="U1495" s="193">
        <f ca="1">OFFSET('Expenditure Study'!$B$7,'Operations Support'!$C1495,'Operations Support'!$B1495)*$G1495</f>
        <v>1061</v>
      </c>
      <c r="V1495" s="199">
        <f ca="1">U1495*'Expenditure Study'!$B$31</f>
        <v>62687.254828800003</v>
      </c>
      <c r="W1495" s="199">
        <f ca="1">IF(A1495=10298,1.51,1)*IF($B1495&lt;3,$D1495*'Expenditure Study'!$B$32*OFFSET('Expenditure Study'!$B$7,'Operations Support'!$C1495,'Operations Support'!$B1495),0)</f>
        <v>7.6000000000000005</v>
      </c>
      <c r="X1495" s="200">
        <f ca="1">W1495*'Expenditure Study'!$B$31</f>
        <v>449.03217408000006</v>
      </c>
      <c r="Y1495" s="199">
        <f ca="1">U1495*'Expenditure Study'!$B$31</f>
        <v>62687.254828800003</v>
      </c>
      <c r="Z1495" s="200">
        <f ca="1">W1495*'Expenditure Study'!$B$31</f>
        <v>449.03217408000006</v>
      </c>
      <c r="AA1495" s="195">
        <f t="shared" ca="1" si="330"/>
        <v>63136.287002880003</v>
      </c>
      <c r="AB1495" s="195">
        <f t="shared" ca="1" si="331"/>
        <v>63136.287002880003</v>
      </c>
      <c r="AD1495" s="196">
        <f>IFERROR($G1495/SUMIF($A:$A,$A1495,$G:$G)*SUMIF(Summary!$A$166:$A$242,$A1495,Summary!$P$166:$P$242),0)</f>
        <v>49393.538351470939</v>
      </c>
      <c r="AE1495" s="197">
        <f t="shared" ca="1" si="332"/>
        <v>13742.748651409063</v>
      </c>
      <c r="AF1495" s="196">
        <f>IFERROR(G1495/SUMIF(A:A,A1495,G:G)*SUMIF(Summary!$A$166:$A$242,'Operations Support'!A1495,Summary!$Q$166:$Q$242),0)</f>
        <v>49708.138408913757</v>
      </c>
      <c r="AG1495" s="196">
        <f t="shared" ca="1" si="333"/>
        <v>13428.148593966245</v>
      </c>
      <c r="AI1495" s="196">
        <f>IFERROR($G1495/SUMIF($A:$A,$A1495,$G:$G)*SUMIF(Summary!$A$247:$A$283,$A1495,Summary!$P$247:$P$283),0)</f>
        <v>9008.1487932985183</v>
      </c>
      <c r="AJ1495" s="196">
        <f>IFERROR($G1495/SUMIF($A:$A,$A1495,$G:$G)*(SUMIF(Summary!$A$247:$A$283,$A1495,Summary!$L$247:$L$283)+SUMIF(Summary!$A$297:$A$333,$A1495,Summary!$L$297:$L$333))-AI1495,0)</f>
        <v>28328.371354024675</v>
      </c>
      <c r="AK1495" s="196">
        <f>IFERROR($G1495/SUMIF($A:$A,$A1495,$G:$G)*SUMIF(Summary!$A$247:$A$283,$A1495,Summary!$Q$247:$Q$283),0)</f>
        <v>9065.5239930191674</v>
      </c>
      <c r="AL1495" s="196">
        <f>IFERROR($G1495/SUMIF($A:$A,$A1495,$G:$G)*(SUMIF(Summary!$A$247:$A$283,$A1495,Summary!$L$247:$L$283)+SUMIF(Summary!$A$297:$A$333,$A1495,Summary!$L$297:$L$333))-AK1495,0)</f>
        <v>28270.996154304026</v>
      </c>
      <c r="AM1495" s="198"/>
      <c r="AN1495" s="196">
        <f t="shared" ca="1" si="334"/>
        <v>42071.120005433739</v>
      </c>
      <c r="AO1495" s="196">
        <f t="shared" ca="1" si="335"/>
        <v>41699.144748270272</v>
      </c>
    </row>
    <row r="1496" spans="1:41">
      <c r="A1496" s="189">
        <v>3639</v>
      </c>
      <c r="B1496" s="190">
        <v>2</v>
      </c>
      <c r="C1496" s="191" t="s">
        <v>220</v>
      </c>
      <c r="D1496" s="192">
        <f t="shared" si="322"/>
        <v>7655</v>
      </c>
      <c r="E1496" s="192">
        <f t="shared" si="323"/>
        <v>2130</v>
      </c>
      <c r="F1496" s="192">
        <f t="shared" si="324"/>
        <v>0</v>
      </c>
      <c r="G1496" s="193">
        <f t="shared" si="325"/>
        <v>9785</v>
      </c>
      <c r="H1496" s="194">
        <v>3233</v>
      </c>
      <c r="I1496" s="194">
        <v>1041</v>
      </c>
      <c r="J1496" s="194">
        <v>0</v>
      </c>
      <c r="K1496" s="193">
        <f t="shared" si="326"/>
        <v>4274</v>
      </c>
      <c r="L1496" s="194">
        <v>3451</v>
      </c>
      <c r="M1496" s="194">
        <v>981</v>
      </c>
      <c r="N1496" s="194">
        <v>0</v>
      </c>
      <c r="O1496" s="193">
        <f t="shared" si="327"/>
        <v>4432</v>
      </c>
      <c r="P1496" s="194">
        <v>971</v>
      </c>
      <c r="Q1496" s="194">
        <v>108</v>
      </c>
      <c r="R1496" s="194">
        <v>0</v>
      </c>
      <c r="S1496" s="193">
        <f t="shared" si="328"/>
        <v>1079</v>
      </c>
      <c r="T1496" s="193">
        <f t="shared" si="329"/>
        <v>326.16666666666669</v>
      </c>
      <c r="U1496" s="193">
        <f ca="1">OFFSET('Expenditure Study'!$B$7,'Operations Support'!$C1496,'Operations Support'!$B1496)*$G1496</f>
        <v>18004.400000000001</v>
      </c>
      <c r="V1496" s="199">
        <f ca="1">U1496*'Expenditure Study'!$B$31</f>
        <v>1063757.2203955201</v>
      </c>
      <c r="W1496" s="199">
        <f ca="1">IF(A1496=10298,1.51,1)*IF($B1496&lt;3,$D1496*'Expenditure Study'!$B$32*OFFSET('Expenditure Study'!$B$7,'Operations Support'!$C1496,'Operations Support'!$B1496),0)</f>
        <v>1408.52</v>
      </c>
      <c r="X1496" s="200">
        <f ca="1">W1496*'Expenditure Study'!$B$31</f>
        <v>83219.841820415997</v>
      </c>
      <c r="Y1496" s="199">
        <f ca="1">U1496*'Expenditure Study'!$B$31</f>
        <v>1063757.2203955201</v>
      </c>
      <c r="Z1496" s="200">
        <f ca="1">W1496*'Expenditure Study'!$B$31</f>
        <v>83219.841820415997</v>
      </c>
      <c r="AA1496" s="195">
        <f t="shared" ca="1" si="330"/>
        <v>1146977.0622159361</v>
      </c>
      <c r="AB1496" s="195">
        <f t="shared" ca="1" si="331"/>
        <v>1146977.0622159361</v>
      </c>
      <c r="AD1496" s="196">
        <f>IFERROR($G1496/SUMIF($A:$A,$A1496,$G:$G)*SUMIF(Summary!$A$166:$A$242,$A1496,Summary!$P$166:$P$242),0)</f>
        <v>455528.53229890962</v>
      </c>
      <c r="AE1496" s="197">
        <f t="shared" ca="1" si="332"/>
        <v>691448.52991702652</v>
      </c>
      <c r="AF1496" s="196">
        <f>IFERROR(G1496/SUMIF(A:A,A1496,G:G)*SUMIF(Summary!$A$166:$A$242,'Operations Support'!A1496,Summary!$Q$166:$Q$242),0)</f>
        <v>458429.90983149962</v>
      </c>
      <c r="AG1496" s="196">
        <f t="shared" ca="1" si="333"/>
        <v>688547.15238443646</v>
      </c>
      <c r="AI1496" s="196">
        <f>IFERROR($G1496/SUMIF($A:$A,$A1496,$G:$G)*SUMIF(Summary!$A$247:$A$283,$A1496,Summary!$P$247:$P$283),0)</f>
        <v>83077.036703511782</v>
      </c>
      <c r="AJ1496" s="196">
        <f>IFERROR($G1496/SUMIF($A:$A,$A1496,$G:$G)*(SUMIF(Summary!$A$247:$A$283,$A1496,Summary!$L$247:$L$283)+SUMIF(Summary!$A$297:$A$333,$A1496,Summary!$L$297:$L$333))-AI1496,0)</f>
        <v>261256.46908494947</v>
      </c>
      <c r="AK1496" s="196">
        <f>IFERROR($G1496/SUMIF($A:$A,$A1496,$G:$G)*SUMIF(Summary!$A$247:$A$283,$A1496,Summary!$Q$247:$Q$283),0)</f>
        <v>83606.175562386939</v>
      </c>
      <c r="AL1496" s="196">
        <f>IFERROR($G1496/SUMIF($A:$A,$A1496,$G:$G)*(SUMIF(Summary!$A$247:$A$283,$A1496,Summary!$L$247:$L$283)+SUMIF(Summary!$A$297:$A$333,$A1496,Summary!$L$297:$L$333))-AK1496,0)</f>
        <v>260727.33022607432</v>
      </c>
      <c r="AM1496" s="198"/>
      <c r="AN1496" s="196">
        <f t="shared" ca="1" si="334"/>
        <v>952704.99900197599</v>
      </c>
      <c r="AO1496" s="196">
        <f t="shared" ca="1" si="335"/>
        <v>949274.48261051078</v>
      </c>
    </row>
    <row r="1497" spans="1:41">
      <c r="A1497" s="189">
        <v>3639</v>
      </c>
      <c r="B1497" s="190">
        <v>2</v>
      </c>
      <c r="C1497" s="191" t="s">
        <v>221</v>
      </c>
      <c r="D1497" s="192">
        <f t="shared" si="322"/>
        <v>5191</v>
      </c>
      <c r="E1497" s="192">
        <f t="shared" si="323"/>
        <v>929</v>
      </c>
      <c r="F1497" s="192">
        <f t="shared" si="324"/>
        <v>0</v>
      </c>
      <c r="G1497" s="193">
        <f t="shared" si="325"/>
        <v>6120</v>
      </c>
      <c r="H1497" s="194">
        <v>2236</v>
      </c>
      <c r="I1497" s="194">
        <v>411</v>
      </c>
      <c r="J1497" s="194">
        <v>0</v>
      </c>
      <c r="K1497" s="193">
        <f t="shared" si="326"/>
        <v>2647</v>
      </c>
      <c r="L1497" s="194">
        <v>2371</v>
      </c>
      <c r="M1497" s="194">
        <v>431</v>
      </c>
      <c r="N1497" s="194">
        <v>0</v>
      </c>
      <c r="O1497" s="193">
        <f t="shared" si="327"/>
        <v>2802</v>
      </c>
      <c r="P1497" s="194">
        <v>584</v>
      </c>
      <c r="Q1497" s="194">
        <v>87</v>
      </c>
      <c r="R1497" s="194">
        <v>0</v>
      </c>
      <c r="S1497" s="193">
        <f t="shared" si="328"/>
        <v>671</v>
      </c>
      <c r="T1497" s="193">
        <f t="shared" si="329"/>
        <v>204</v>
      </c>
      <c r="U1497" s="193">
        <f ca="1">OFFSET('Expenditure Study'!$B$7,'Operations Support'!$C1497,'Operations Support'!$B1497)*$G1497</f>
        <v>16095.599999999999</v>
      </c>
      <c r="V1497" s="199">
        <f ca="1">U1497*'Expenditure Study'!$B$31</f>
        <v>950979.24488447991</v>
      </c>
      <c r="W1497" s="199">
        <f ca="1">IF(A1497=10298,1.51,1)*IF($B1497&lt;3,$D1497*'Expenditure Study'!$B$32*OFFSET('Expenditure Study'!$B$7,'Operations Support'!$C1497,'Operations Support'!$B1497),0)</f>
        <v>1365.2329999999999</v>
      </c>
      <c r="X1497" s="200">
        <f ca="1">W1497*'Expenditure Study'!$B$31</f>
        <v>80662.308173126396</v>
      </c>
      <c r="Y1497" s="199">
        <f ca="1">U1497*'Expenditure Study'!$B$31</f>
        <v>950979.24488447991</v>
      </c>
      <c r="Z1497" s="200">
        <f ca="1">W1497*'Expenditure Study'!$B$31</f>
        <v>80662.308173126396</v>
      </c>
      <c r="AA1497" s="195">
        <f t="shared" ca="1" si="330"/>
        <v>1031641.5530576063</v>
      </c>
      <c r="AB1497" s="195">
        <f t="shared" ca="1" si="331"/>
        <v>1031641.5530576063</v>
      </c>
      <c r="AD1497" s="196">
        <f>IFERROR($G1497/SUMIF($A:$A,$A1497,$G:$G)*SUMIF(Summary!$A$166:$A$242,$A1497,Summary!$P$166:$P$242),0)</f>
        <v>284909.0053826599</v>
      </c>
      <c r="AE1497" s="197">
        <f t="shared" ca="1" si="332"/>
        <v>746732.54767494649</v>
      </c>
      <c r="AF1497" s="196">
        <f>IFERROR(G1497/SUMIF(A:A,A1497,G:G)*SUMIF(Summary!$A$166:$A$242,'Operations Support'!A1497,Summary!$Q$166:$Q$242),0)</f>
        <v>286723.66358393233</v>
      </c>
      <c r="AG1497" s="196">
        <f t="shared" ca="1" si="333"/>
        <v>744917.889473674</v>
      </c>
      <c r="AI1497" s="196">
        <f>IFERROR($G1497/SUMIF($A:$A,$A1497,$G:$G)*SUMIF(Summary!$A$247:$A$283,$A1497,Summary!$P$247:$P$283),0)</f>
        <v>51960.292756820862</v>
      </c>
      <c r="AJ1497" s="196">
        <f>IFERROR($G1497/SUMIF($A:$A,$A1497,$G:$G)*(SUMIF(Summary!$A$247:$A$283,$A1497,Summary!$L$247:$L$283)+SUMIF(Summary!$A$297:$A$333,$A1497,Summary!$L$297:$L$333))-AI1497,0)</f>
        <v>163402.10432293217</v>
      </c>
      <c r="AK1497" s="196">
        <f>IFERROR($G1497/SUMIF($A:$A,$A1497,$G:$G)*SUMIF(Summary!$A$247:$A$283,$A1497,Summary!$Q$247:$Q$283),0)</f>
        <v>52291.241128442321</v>
      </c>
      <c r="AL1497" s="196">
        <f>IFERROR($G1497/SUMIF($A:$A,$A1497,$G:$G)*(SUMIF(Summary!$A$247:$A$283,$A1497,Summary!$L$247:$L$283)+SUMIF(Summary!$A$297:$A$333,$A1497,Summary!$L$297:$L$333))-AK1497,0)</f>
        <v>163071.15595131071</v>
      </c>
      <c r="AM1497" s="198"/>
      <c r="AN1497" s="196">
        <f t="shared" ca="1" si="334"/>
        <v>910134.65199787868</v>
      </c>
      <c r="AO1497" s="196">
        <f t="shared" ca="1" si="335"/>
        <v>907989.04542498477</v>
      </c>
    </row>
    <row r="1498" spans="1:41">
      <c r="A1498" s="189">
        <v>3639</v>
      </c>
      <c r="B1498" s="190">
        <v>2</v>
      </c>
      <c r="C1498" s="191" t="s">
        <v>222</v>
      </c>
      <c r="D1498" s="192">
        <f t="shared" si="322"/>
        <v>1148.5</v>
      </c>
      <c r="E1498" s="192">
        <f t="shared" si="323"/>
        <v>949.5</v>
      </c>
      <c r="F1498" s="192">
        <f t="shared" si="324"/>
        <v>0</v>
      </c>
      <c r="G1498" s="193">
        <f t="shared" si="325"/>
        <v>2098</v>
      </c>
      <c r="H1498" s="194">
        <v>526.5</v>
      </c>
      <c r="I1498" s="194">
        <v>473.5</v>
      </c>
      <c r="J1498" s="194">
        <v>0</v>
      </c>
      <c r="K1498" s="193">
        <f t="shared" si="326"/>
        <v>1000</v>
      </c>
      <c r="L1498" s="194">
        <v>592</v>
      </c>
      <c r="M1498" s="194">
        <v>476</v>
      </c>
      <c r="N1498" s="194">
        <v>0</v>
      </c>
      <c r="O1498" s="193">
        <f t="shared" si="327"/>
        <v>1068</v>
      </c>
      <c r="P1498" s="194">
        <v>30</v>
      </c>
      <c r="Q1498" s="194">
        <v>0</v>
      </c>
      <c r="R1498" s="194">
        <v>0</v>
      </c>
      <c r="S1498" s="193">
        <f t="shared" si="328"/>
        <v>30</v>
      </c>
      <c r="T1498" s="193">
        <f t="shared" si="329"/>
        <v>69.933333333333337</v>
      </c>
      <c r="U1498" s="193">
        <f ca="1">OFFSET('Expenditure Study'!$B$7,'Operations Support'!$C1498,'Operations Support'!$B1498)*$G1498</f>
        <v>5580.68</v>
      </c>
      <c r="V1498" s="199">
        <f ca="1">U1498*'Expenditure Study'!$B$31</f>
        <v>329724.32542694401</v>
      </c>
      <c r="W1498" s="199">
        <f ca="1">IF(A1498=10298,1.51,1)*IF($B1498&lt;3,$D1498*'Expenditure Study'!$B$32*OFFSET('Expenditure Study'!$B$7,'Operations Support'!$C1498,'Operations Support'!$B1498),0)</f>
        <v>305.50100000000003</v>
      </c>
      <c r="X1498" s="200">
        <f ca="1">W1498*'Expenditure Study'!$B$31</f>
        <v>18049.970817580801</v>
      </c>
      <c r="Y1498" s="199">
        <f ca="1">U1498*'Expenditure Study'!$B$31</f>
        <v>329724.32542694401</v>
      </c>
      <c r="Z1498" s="200">
        <f ca="1">W1498*'Expenditure Study'!$B$31</f>
        <v>18049.970817580801</v>
      </c>
      <c r="AA1498" s="195">
        <f t="shared" ca="1" si="330"/>
        <v>347774.29624452483</v>
      </c>
      <c r="AB1498" s="195">
        <f t="shared" ca="1" si="331"/>
        <v>347774.29624452483</v>
      </c>
      <c r="AD1498" s="196">
        <f>IFERROR($G1498/SUMIF($A:$A,$A1498,$G:$G)*SUMIF(Summary!$A$166:$A$242,$A1498,Summary!$P$166:$P$242),0)</f>
        <v>97669.786485754972</v>
      </c>
      <c r="AE1498" s="197">
        <f t="shared" ca="1" si="332"/>
        <v>250104.50975876985</v>
      </c>
      <c r="AF1498" s="196">
        <f>IFERROR(G1498/SUMIF(A:A,A1498,G:G)*SUMIF(Summary!$A$166:$A$242,'Operations Support'!A1498,Summary!$Q$166:$Q$242),0)</f>
        <v>98291.870293968954</v>
      </c>
      <c r="AG1498" s="196">
        <f t="shared" ca="1" si="333"/>
        <v>249482.42595055589</v>
      </c>
      <c r="AI1498" s="196">
        <f>IFERROR($G1498/SUMIF($A:$A,$A1498,$G:$G)*SUMIF(Summary!$A$247:$A$283,$A1498,Summary!$P$247:$P$283),0)</f>
        <v>17812.53173264872</v>
      </c>
      <c r="AJ1498" s="196">
        <f>IFERROR($G1498/SUMIF($A:$A,$A1498,$G:$G)*(SUMIF(Summary!$A$247:$A$283,$A1498,Summary!$L$247:$L$283)+SUMIF(Summary!$A$297:$A$333,$A1498,Summary!$L$297:$L$333))-AI1498,0)</f>
        <v>56015.950142077061</v>
      </c>
      <c r="AK1498" s="196">
        <f>IFERROR($G1498/SUMIF($A:$A,$A1498,$G:$G)*SUMIF(Summary!$A$247:$A$283,$A1498,Summary!$Q$247:$Q$283),0)</f>
        <v>17925.98429533856</v>
      </c>
      <c r="AL1498" s="196">
        <f>IFERROR($G1498/SUMIF($A:$A,$A1498,$G:$G)*(SUMIF(Summary!$A$247:$A$283,$A1498,Summary!$L$247:$L$283)+SUMIF(Summary!$A$297:$A$333,$A1498,Summary!$L$297:$L$333))-AK1498,0)</f>
        <v>55902.497579387222</v>
      </c>
      <c r="AM1498" s="198"/>
      <c r="AN1498" s="196">
        <f t="shared" ca="1" si="334"/>
        <v>306120.45990084694</v>
      </c>
      <c r="AO1498" s="196">
        <f t="shared" ca="1" si="335"/>
        <v>305384.9235299431</v>
      </c>
    </row>
    <row r="1499" spans="1:41">
      <c r="A1499" s="189">
        <v>3639</v>
      </c>
      <c r="B1499" s="190">
        <v>2</v>
      </c>
      <c r="C1499" s="191" t="s">
        <v>223</v>
      </c>
      <c r="D1499" s="192">
        <f t="shared" si="322"/>
        <v>2794</v>
      </c>
      <c r="E1499" s="192">
        <f t="shared" si="323"/>
        <v>1095</v>
      </c>
      <c r="F1499" s="192">
        <f t="shared" si="324"/>
        <v>0</v>
      </c>
      <c r="G1499" s="193">
        <f t="shared" si="325"/>
        <v>3889</v>
      </c>
      <c r="H1499" s="194">
        <v>1236</v>
      </c>
      <c r="I1499" s="194">
        <v>234</v>
      </c>
      <c r="J1499" s="194">
        <v>0</v>
      </c>
      <c r="K1499" s="193">
        <f t="shared" si="326"/>
        <v>1470</v>
      </c>
      <c r="L1499" s="194">
        <v>1063</v>
      </c>
      <c r="M1499" s="194">
        <v>816</v>
      </c>
      <c r="N1499" s="194">
        <v>0</v>
      </c>
      <c r="O1499" s="193">
        <f t="shared" si="327"/>
        <v>1879</v>
      </c>
      <c r="P1499" s="194">
        <v>495</v>
      </c>
      <c r="Q1499" s="194">
        <v>45</v>
      </c>
      <c r="R1499" s="194">
        <v>0</v>
      </c>
      <c r="S1499" s="193">
        <f t="shared" si="328"/>
        <v>540</v>
      </c>
      <c r="T1499" s="193">
        <f t="shared" si="329"/>
        <v>129.63333333333333</v>
      </c>
      <c r="U1499" s="193">
        <f ca="1">OFFSET('Expenditure Study'!$B$7,'Operations Support'!$C1499,'Operations Support'!$B1499)*$G1499</f>
        <v>7389.0999999999995</v>
      </c>
      <c r="V1499" s="199">
        <f ca="1">U1499*'Expenditure Study'!$B$31</f>
        <v>436571.53124927997</v>
      </c>
      <c r="W1499" s="199">
        <f ca="1">IF(A1499=10298,1.51,1)*IF($B1499&lt;3,$D1499*'Expenditure Study'!$B$32*OFFSET('Expenditure Study'!$B$7,'Operations Support'!$C1499,'Operations Support'!$B1499),0)</f>
        <v>530.86</v>
      </c>
      <c r="X1499" s="200">
        <f ca="1">W1499*'Expenditure Study'!$B$31</f>
        <v>31364.897359488001</v>
      </c>
      <c r="Y1499" s="199">
        <f ca="1">U1499*'Expenditure Study'!$B$31</f>
        <v>436571.53124927997</v>
      </c>
      <c r="Z1499" s="200">
        <f ca="1">W1499*'Expenditure Study'!$B$31</f>
        <v>31364.897359488001</v>
      </c>
      <c r="AA1499" s="195">
        <f t="shared" ca="1" si="330"/>
        <v>467936.42860876798</v>
      </c>
      <c r="AB1499" s="195">
        <f t="shared" ca="1" si="331"/>
        <v>467936.42860876798</v>
      </c>
      <c r="AD1499" s="196">
        <f>IFERROR($G1499/SUMIF($A:$A,$A1499,$G:$G)*SUMIF(Summary!$A$166:$A$242,$A1499,Summary!$P$166:$P$242),0)</f>
        <v>181047.5689433275</v>
      </c>
      <c r="AE1499" s="197">
        <f t="shared" ca="1" si="332"/>
        <v>286888.85966544051</v>
      </c>
      <c r="AF1499" s="196">
        <f>IFERROR(G1499/SUMIF(A:A,A1499,G:G)*SUMIF(Summary!$A$166:$A$242,'Operations Support'!A1499,Summary!$Q$166:$Q$242),0)</f>
        <v>182200.70713691387</v>
      </c>
      <c r="AG1499" s="196">
        <f t="shared" ca="1" si="333"/>
        <v>285735.72147185414</v>
      </c>
      <c r="AI1499" s="196">
        <f>IFERROR($G1499/SUMIF($A:$A,$A1499,$G:$G)*SUMIF(Summary!$A$247:$A$283,$A1499,Summary!$P$247:$P$283),0)</f>
        <v>33018.558583541882</v>
      </c>
      <c r="AJ1499" s="196">
        <f>IFERROR($G1499/SUMIF($A:$A,$A1499,$G:$G)*(SUMIF(Summary!$A$247:$A$283,$A1499,Summary!$L$247:$L$283)+SUMIF(Summary!$A$297:$A$333,$A1499,Summary!$L$297:$L$333))-AI1499,0)</f>
        <v>103835.09537775867</v>
      </c>
      <c r="AK1499" s="196">
        <f>IFERROR($G1499/SUMIF($A:$A,$A1499,$G:$G)*SUMIF(Summary!$A$247:$A$283,$A1499,Summary!$Q$247:$Q$283),0)</f>
        <v>33228.862213809181</v>
      </c>
      <c r="AL1499" s="196">
        <f>IFERROR($G1499/SUMIF($A:$A,$A1499,$G:$G)*(SUMIF(Summary!$A$247:$A$283,$A1499,Summary!$L$247:$L$283)+SUMIF(Summary!$A$297:$A$333,$A1499,Summary!$L$297:$L$333))-AK1499,0)</f>
        <v>103624.79174749137</v>
      </c>
      <c r="AM1499" s="198"/>
      <c r="AN1499" s="196">
        <f t="shared" ca="1" si="334"/>
        <v>390723.95504319918</v>
      </c>
      <c r="AO1499" s="196">
        <f t="shared" ca="1" si="335"/>
        <v>389360.51321934548</v>
      </c>
    </row>
    <row r="1500" spans="1:41">
      <c r="A1500" s="189">
        <v>3639</v>
      </c>
      <c r="B1500" s="190">
        <v>2</v>
      </c>
      <c r="C1500" s="191" t="s">
        <v>224</v>
      </c>
      <c r="D1500" s="192">
        <f t="shared" si="322"/>
        <v>4078</v>
      </c>
      <c r="E1500" s="192">
        <f t="shared" si="323"/>
        <v>1597</v>
      </c>
      <c r="F1500" s="192">
        <f t="shared" si="324"/>
        <v>0</v>
      </c>
      <c r="G1500" s="193">
        <f t="shared" si="325"/>
        <v>5675</v>
      </c>
      <c r="H1500" s="194">
        <v>1808</v>
      </c>
      <c r="I1500" s="194">
        <v>854</v>
      </c>
      <c r="J1500" s="194">
        <v>0</v>
      </c>
      <c r="K1500" s="193">
        <f t="shared" si="326"/>
        <v>2662</v>
      </c>
      <c r="L1500" s="194">
        <v>1752</v>
      </c>
      <c r="M1500" s="194">
        <v>713</v>
      </c>
      <c r="N1500" s="194">
        <v>0</v>
      </c>
      <c r="O1500" s="193">
        <f t="shared" si="327"/>
        <v>2465</v>
      </c>
      <c r="P1500" s="194">
        <v>518</v>
      </c>
      <c r="Q1500" s="194">
        <v>30</v>
      </c>
      <c r="R1500" s="194">
        <v>0</v>
      </c>
      <c r="S1500" s="193">
        <f t="shared" si="328"/>
        <v>548</v>
      </c>
      <c r="T1500" s="193">
        <f t="shared" si="329"/>
        <v>189.16666666666666</v>
      </c>
      <c r="U1500" s="193">
        <f ca="1">OFFSET('Expenditure Study'!$B$7,'Operations Support'!$C1500,'Operations Support'!$B1500)*$G1500</f>
        <v>12882.25</v>
      </c>
      <c r="V1500" s="199">
        <f ca="1">U1500*'Expenditure Study'!$B$31</f>
        <v>761124.30586079997</v>
      </c>
      <c r="W1500" s="199">
        <f ca="1">IF(A1500=10298,1.51,1)*IF($B1500&lt;3,$D1500*'Expenditure Study'!$B$32*OFFSET('Expenditure Study'!$B$7,'Operations Support'!$C1500,'Operations Support'!$B1500),0)</f>
        <v>925.70600000000002</v>
      </c>
      <c r="X1500" s="200">
        <f ca="1">W1500*'Expenditure Study'!$B$31</f>
        <v>54693.654965644804</v>
      </c>
      <c r="Y1500" s="199">
        <f ca="1">U1500*'Expenditure Study'!$B$31</f>
        <v>761124.30586079997</v>
      </c>
      <c r="Z1500" s="200">
        <f ca="1">W1500*'Expenditure Study'!$B$31</f>
        <v>54693.654965644804</v>
      </c>
      <c r="AA1500" s="195">
        <f t="shared" ca="1" si="330"/>
        <v>815817.96082644479</v>
      </c>
      <c r="AB1500" s="195">
        <f t="shared" ca="1" si="331"/>
        <v>815817.96082644479</v>
      </c>
      <c r="AD1500" s="196">
        <f>IFERROR($G1500/SUMIF($A:$A,$A1500,$G:$G)*SUMIF(Summary!$A$166:$A$242,$A1500,Summary!$P$166:$P$242),0)</f>
        <v>264192.5826056528</v>
      </c>
      <c r="AE1500" s="197">
        <f t="shared" ca="1" si="332"/>
        <v>551625.37822079193</v>
      </c>
      <c r="AF1500" s="196">
        <f>IFERROR(G1500/SUMIF(A:A,A1500,G:G)*SUMIF(Summary!$A$166:$A$242,'Operations Support'!A1500,Summary!$Q$166:$Q$242),0)</f>
        <v>265875.29262072156</v>
      </c>
      <c r="AG1500" s="196">
        <f t="shared" ca="1" si="333"/>
        <v>549942.66820572317</v>
      </c>
      <c r="AI1500" s="196">
        <f>IFERROR($G1500/SUMIF($A:$A,$A1500,$G:$G)*SUMIF(Summary!$A$247:$A$283,$A1500,Summary!$P$247:$P$283),0)</f>
        <v>48182.134214862483</v>
      </c>
      <c r="AJ1500" s="196">
        <f>IFERROR($G1500/SUMIF($A:$A,$A1500,$G:$G)*(SUMIF(Summary!$A$247:$A$283,$A1500,Summary!$L$247:$L$283)+SUMIF(Summary!$A$297:$A$333,$A1500,Summary!$L$297:$L$333))-AI1500,0)</f>
        <v>151520.74216219605</v>
      </c>
      <c r="AK1500" s="196">
        <f>IFERROR($G1500/SUMIF($A:$A,$A1500,$G:$G)*SUMIF(Summary!$A$247:$A$283,$A1500,Summary!$Q$247:$Q$283),0)</f>
        <v>48489.018530050686</v>
      </c>
      <c r="AL1500" s="196">
        <f>IFERROR($G1500/SUMIF($A:$A,$A1500,$G:$G)*(SUMIF(Summary!$A$247:$A$283,$A1500,Summary!$L$247:$L$283)+SUMIF(Summary!$A$297:$A$333,$A1500,Summary!$L$297:$L$333))-AK1500,0)</f>
        <v>151213.85784700786</v>
      </c>
      <c r="AM1500" s="198"/>
      <c r="AN1500" s="196">
        <f t="shared" ca="1" si="334"/>
        <v>703146.12038298801</v>
      </c>
      <c r="AO1500" s="196">
        <f t="shared" ca="1" si="335"/>
        <v>701156.52605273109</v>
      </c>
    </row>
    <row r="1501" spans="1:41">
      <c r="A1501" s="189">
        <v>3639</v>
      </c>
      <c r="B1501" s="190">
        <v>2</v>
      </c>
      <c r="C1501" s="191" t="s">
        <v>225</v>
      </c>
      <c r="D1501" s="192">
        <f t="shared" si="322"/>
        <v>7910.5</v>
      </c>
      <c r="E1501" s="192">
        <f t="shared" si="323"/>
        <v>1757.5</v>
      </c>
      <c r="F1501" s="192">
        <f t="shared" si="324"/>
        <v>0</v>
      </c>
      <c r="G1501" s="193">
        <f t="shared" si="325"/>
        <v>9668</v>
      </c>
      <c r="H1501" s="194">
        <v>3739.5</v>
      </c>
      <c r="I1501" s="194">
        <v>1004.5</v>
      </c>
      <c r="J1501" s="194">
        <v>0</v>
      </c>
      <c r="K1501" s="193">
        <f t="shared" si="326"/>
        <v>4744</v>
      </c>
      <c r="L1501" s="194">
        <v>3651</v>
      </c>
      <c r="M1501" s="194">
        <v>675</v>
      </c>
      <c r="N1501" s="194">
        <v>0</v>
      </c>
      <c r="O1501" s="193">
        <f t="shared" si="327"/>
        <v>4326</v>
      </c>
      <c r="P1501" s="194">
        <v>520</v>
      </c>
      <c r="Q1501" s="194">
        <v>78</v>
      </c>
      <c r="R1501" s="194">
        <v>0</v>
      </c>
      <c r="S1501" s="193">
        <f t="shared" si="328"/>
        <v>598</v>
      </c>
      <c r="T1501" s="193">
        <f t="shared" si="329"/>
        <v>322.26666666666665</v>
      </c>
      <c r="U1501" s="193">
        <f ca="1">OFFSET('Expenditure Study'!$B$7,'Operations Support'!$C1501,'Operations Support'!$B1501)*$G1501</f>
        <v>27070.399999999998</v>
      </c>
      <c r="V1501" s="199">
        <f ca="1">U1501*'Expenditure Study'!$B$31</f>
        <v>1599405.3375283198</v>
      </c>
      <c r="W1501" s="199">
        <f ca="1">IF(A1501=10298,1.51,1)*IF($B1501&lt;3,$D1501*'Expenditure Study'!$B$32*OFFSET('Expenditure Study'!$B$7,'Operations Support'!$C1501,'Operations Support'!$B1501),0)</f>
        <v>2214.94</v>
      </c>
      <c r="X1501" s="200">
        <f ca="1">W1501*'Expenditure Study'!$B$31</f>
        <v>130865.700481152</v>
      </c>
      <c r="Y1501" s="199">
        <f ca="1">U1501*'Expenditure Study'!$B$31</f>
        <v>1599405.3375283198</v>
      </c>
      <c r="Z1501" s="200">
        <f ca="1">W1501*'Expenditure Study'!$B$31</f>
        <v>130865.700481152</v>
      </c>
      <c r="AA1501" s="195">
        <f t="shared" ca="1" si="330"/>
        <v>1730271.0380094717</v>
      </c>
      <c r="AB1501" s="195">
        <f t="shared" ca="1" si="331"/>
        <v>1730271.0380094717</v>
      </c>
      <c r="AD1501" s="196">
        <f>IFERROR($G1501/SUMIF($A:$A,$A1501,$G:$G)*SUMIF(Summary!$A$166:$A$242,$A1501,Summary!$P$166:$P$242),0)</f>
        <v>450081.74249012355</v>
      </c>
      <c r="AE1501" s="197">
        <f t="shared" ca="1" si="332"/>
        <v>1280189.2955193482</v>
      </c>
      <c r="AF1501" s="196">
        <f>IFERROR(G1501/SUMIF(A:A,A1501,G:G)*SUMIF(Summary!$A$166:$A$242,'Operations Support'!A1501,Summary!$Q$166:$Q$242),0)</f>
        <v>452948.42802768922</v>
      </c>
      <c r="AG1501" s="196">
        <f t="shared" ca="1" si="333"/>
        <v>1277322.6099817825</v>
      </c>
      <c r="AI1501" s="196">
        <f>IFERROR($G1501/SUMIF($A:$A,$A1501,$G:$G)*SUMIF(Summary!$A$247:$A$283,$A1501,Summary!$P$247:$P$283),0)</f>
        <v>82083.678165513746</v>
      </c>
      <c r="AJ1501" s="196">
        <f>IFERROR($G1501/SUMIF($A:$A,$A1501,$G:$G)*(SUMIF(Summary!$A$247:$A$283,$A1501,Summary!$L$247:$L$283)+SUMIF(Summary!$A$297:$A$333,$A1501,Summary!$L$297:$L$333))-AI1501,0)</f>
        <v>258132.60532583465</v>
      </c>
      <c r="AK1501" s="196">
        <f>IFERROR($G1501/SUMIF($A:$A,$A1501,$G:$G)*SUMIF(Summary!$A$247:$A$283,$A1501,Summary!$Q$247:$Q$283),0)</f>
        <v>82606.490070225555</v>
      </c>
      <c r="AL1501" s="196">
        <f>IFERROR($G1501/SUMIF($A:$A,$A1501,$G:$G)*(SUMIF(Summary!$A$247:$A$283,$A1501,Summary!$L$247:$L$283)+SUMIF(Summary!$A$297:$A$333,$A1501,Summary!$L$297:$L$333))-AK1501,0)</f>
        <v>257609.79342112283</v>
      </c>
      <c r="AM1501" s="198"/>
      <c r="AN1501" s="196">
        <f t="shared" ca="1" si="334"/>
        <v>1538321.9008451828</v>
      </c>
      <c r="AO1501" s="196">
        <f t="shared" ca="1" si="335"/>
        <v>1534932.4034029054</v>
      </c>
    </row>
    <row r="1502" spans="1:41">
      <c r="A1502" s="189">
        <v>3639</v>
      </c>
      <c r="B1502" s="190">
        <v>2</v>
      </c>
      <c r="C1502" s="191" t="s">
        <v>226</v>
      </c>
      <c r="D1502" s="192">
        <f t="shared" si="322"/>
        <v>201</v>
      </c>
      <c r="E1502" s="192">
        <f t="shared" si="323"/>
        <v>99</v>
      </c>
      <c r="F1502" s="192">
        <f t="shared" si="324"/>
        <v>0</v>
      </c>
      <c r="G1502" s="193">
        <f t="shared" si="325"/>
        <v>300</v>
      </c>
      <c r="H1502" s="194">
        <v>81</v>
      </c>
      <c r="I1502" s="194">
        <v>69</v>
      </c>
      <c r="J1502" s="194">
        <v>0</v>
      </c>
      <c r="K1502" s="193">
        <f t="shared" si="326"/>
        <v>150</v>
      </c>
      <c r="L1502" s="194">
        <v>120</v>
      </c>
      <c r="M1502" s="194">
        <v>30</v>
      </c>
      <c r="N1502" s="194">
        <v>0</v>
      </c>
      <c r="O1502" s="193">
        <f t="shared" si="327"/>
        <v>150</v>
      </c>
      <c r="P1502" s="194">
        <v>0</v>
      </c>
      <c r="Q1502" s="194">
        <v>0</v>
      </c>
      <c r="R1502" s="194">
        <v>0</v>
      </c>
      <c r="S1502" s="193">
        <f t="shared" si="328"/>
        <v>0</v>
      </c>
      <c r="T1502" s="193">
        <f t="shared" si="329"/>
        <v>10</v>
      </c>
      <c r="U1502" s="193">
        <f ca="1">OFFSET('Expenditure Study'!$B$7,'Operations Support'!$C1502,'Operations Support'!$B1502)*$G1502</f>
        <v>540</v>
      </c>
      <c r="V1502" s="199">
        <f ca="1">U1502*'Expenditure Study'!$B$31</f>
        <v>31904.917632000001</v>
      </c>
      <c r="W1502" s="199">
        <f ca="1">IF(A1502=10298,1.51,1)*IF($B1502&lt;3,$D1502*'Expenditure Study'!$B$32*OFFSET('Expenditure Study'!$B$7,'Operations Support'!$C1502,'Operations Support'!$B1502),0)</f>
        <v>36.180000000000007</v>
      </c>
      <c r="X1502" s="200">
        <f ca="1">W1502*'Expenditure Study'!$B$31</f>
        <v>2137.6294813440004</v>
      </c>
      <c r="Y1502" s="199">
        <f ca="1">U1502*'Expenditure Study'!$B$31</f>
        <v>31904.917632000001</v>
      </c>
      <c r="Z1502" s="200">
        <f ca="1">W1502*'Expenditure Study'!$B$31</f>
        <v>2137.6294813440004</v>
      </c>
      <c r="AA1502" s="195">
        <f t="shared" ca="1" si="330"/>
        <v>34042.547113344001</v>
      </c>
      <c r="AB1502" s="195">
        <f t="shared" ca="1" si="331"/>
        <v>34042.547113344001</v>
      </c>
      <c r="AD1502" s="196">
        <f>IFERROR($G1502/SUMIF($A:$A,$A1502,$G:$G)*SUMIF(Summary!$A$166:$A$242,$A1502,Summary!$P$166:$P$242),0)</f>
        <v>13966.127714836271</v>
      </c>
      <c r="AE1502" s="197">
        <f t="shared" ca="1" si="332"/>
        <v>20076.419398507729</v>
      </c>
      <c r="AF1502" s="196">
        <f>IFERROR(G1502/SUMIF(A:A,A1502,G:G)*SUMIF(Summary!$A$166:$A$242,'Operations Support'!A1502,Summary!$Q$166:$Q$242),0)</f>
        <v>14055.081548231979</v>
      </c>
      <c r="AG1502" s="196">
        <f t="shared" ca="1" si="333"/>
        <v>19987.465565112019</v>
      </c>
      <c r="AI1502" s="196">
        <f>IFERROR($G1502/SUMIF($A:$A,$A1502,$G:$G)*SUMIF(Summary!$A$247:$A$283,$A1502,Summary!$P$247:$P$283),0)</f>
        <v>2547.0731743539641</v>
      </c>
      <c r="AJ1502" s="196">
        <f>IFERROR($G1502/SUMIF($A:$A,$A1502,$G:$G)*(SUMIF(Summary!$A$247:$A$283,$A1502,Summary!$L$247:$L$283)+SUMIF(Summary!$A$297:$A$333,$A1502,Summary!$L$297:$L$333))-AI1502,0)</f>
        <v>8009.9070746535381</v>
      </c>
      <c r="AK1502" s="196">
        <f>IFERROR($G1502/SUMIF($A:$A,$A1502,$G:$G)*SUMIF(Summary!$A$247:$A$283,$A1502,Summary!$Q$247:$Q$283),0)</f>
        <v>2563.2961337471729</v>
      </c>
      <c r="AL1502" s="196">
        <f>IFERROR($G1502/SUMIF($A:$A,$A1502,$G:$G)*(SUMIF(Summary!$A$247:$A$283,$A1502,Summary!$L$247:$L$283)+SUMIF(Summary!$A$297:$A$333,$A1502,Summary!$L$297:$L$333))-AK1502,0)</f>
        <v>7993.6841152603283</v>
      </c>
      <c r="AM1502" s="198"/>
      <c r="AN1502" s="196">
        <f t="shared" ca="1" si="334"/>
        <v>28086.326473161265</v>
      </c>
      <c r="AO1502" s="196">
        <f t="shared" ca="1" si="335"/>
        <v>27981.149680372349</v>
      </c>
    </row>
    <row r="1503" spans="1:41">
      <c r="A1503" s="189">
        <v>3639</v>
      </c>
      <c r="B1503" s="190">
        <v>2</v>
      </c>
      <c r="C1503" s="191" t="s">
        <v>227</v>
      </c>
      <c r="D1503" s="192">
        <f t="shared" si="322"/>
        <v>0</v>
      </c>
      <c r="E1503" s="192">
        <f t="shared" si="323"/>
        <v>0</v>
      </c>
      <c r="F1503" s="192">
        <f t="shared" si="324"/>
        <v>0</v>
      </c>
      <c r="G1503" s="193">
        <f t="shared" si="325"/>
        <v>0</v>
      </c>
      <c r="H1503" s="194">
        <v>0</v>
      </c>
      <c r="I1503" s="194">
        <v>0</v>
      </c>
      <c r="J1503" s="194">
        <v>0</v>
      </c>
      <c r="K1503" s="193">
        <f t="shared" si="326"/>
        <v>0</v>
      </c>
      <c r="L1503" s="194">
        <v>0</v>
      </c>
      <c r="M1503" s="194">
        <v>0</v>
      </c>
      <c r="N1503" s="194">
        <v>0</v>
      </c>
      <c r="O1503" s="193">
        <f t="shared" si="327"/>
        <v>0</v>
      </c>
      <c r="P1503" s="194">
        <v>0</v>
      </c>
      <c r="Q1503" s="194">
        <v>0</v>
      </c>
      <c r="R1503" s="194">
        <v>0</v>
      </c>
      <c r="S1503" s="193">
        <f t="shared" si="328"/>
        <v>0</v>
      </c>
      <c r="T1503" s="193">
        <f t="shared" si="329"/>
        <v>0</v>
      </c>
      <c r="U1503" s="193">
        <f ca="1">OFFSET('Expenditure Study'!$B$7,'Operations Support'!$C1503,'Operations Support'!$B1503)*$G1503</f>
        <v>0</v>
      </c>
      <c r="V1503" s="199">
        <f ca="1">U1503*'Expenditure Study'!$B$31</f>
        <v>0</v>
      </c>
      <c r="W1503" s="199">
        <f ca="1">IF(A1503=10298,1.51,1)*IF($B1503&lt;3,$D1503*'Expenditure Study'!$B$32*OFFSET('Expenditure Study'!$B$7,'Operations Support'!$C1503,'Operations Support'!$B1503),0)</f>
        <v>0</v>
      </c>
      <c r="X1503" s="200">
        <f ca="1">W1503*'Expenditure Study'!$B$31</f>
        <v>0</v>
      </c>
      <c r="Y1503" s="199">
        <f ca="1">U1503*'Expenditure Study'!$B$31</f>
        <v>0</v>
      </c>
      <c r="Z1503" s="200">
        <f ca="1">W1503*'Expenditure Study'!$B$31</f>
        <v>0</v>
      </c>
      <c r="AA1503" s="195">
        <f t="shared" ca="1" si="330"/>
        <v>0</v>
      </c>
      <c r="AB1503" s="195">
        <f t="shared" ca="1" si="331"/>
        <v>0</v>
      </c>
      <c r="AD1503" s="196">
        <f>IFERROR($G1503/SUMIF($A:$A,$A1503,$G:$G)*SUMIF(Summary!$A$166:$A$242,$A1503,Summary!$P$166:$P$242),0)</f>
        <v>0</v>
      </c>
      <c r="AE1503" s="197">
        <f t="shared" ca="1" si="332"/>
        <v>0</v>
      </c>
      <c r="AF1503" s="196">
        <f>IFERROR(G1503/SUMIF(A:A,A1503,G:G)*SUMIF(Summary!$A$166:$A$242,'Operations Support'!A1503,Summary!$Q$166:$Q$242),0)</f>
        <v>0</v>
      </c>
      <c r="AG1503" s="196">
        <f t="shared" ca="1" si="333"/>
        <v>0</v>
      </c>
      <c r="AI1503" s="196">
        <f>IFERROR($G1503/SUMIF($A:$A,$A1503,$G:$G)*SUMIF(Summary!$A$247:$A$283,$A1503,Summary!$P$247:$P$283),0)</f>
        <v>0</v>
      </c>
      <c r="AJ1503" s="196">
        <f>IFERROR($G1503/SUMIF($A:$A,$A1503,$G:$G)*(SUMIF(Summary!$A$247:$A$283,$A1503,Summary!$L$247:$L$283)+SUMIF(Summary!$A$297:$A$333,$A1503,Summary!$L$297:$L$333))-AI1503,0)</f>
        <v>0</v>
      </c>
      <c r="AK1503" s="196">
        <f>IFERROR($G1503/SUMIF($A:$A,$A1503,$G:$G)*SUMIF(Summary!$A$247:$A$283,$A1503,Summary!$Q$247:$Q$283),0)</f>
        <v>0</v>
      </c>
      <c r="AL1503" s="196">
        <f>IFERROR($G1503/SUMIF($A:$A,$A1503,$G:$G)*(SUMIF(Summary!$A$247:$A$283,$A1503,Summary!$L$247:$L$283)+SUMIF(Summary!$A$297:$A$333,$A1503,Summary!$L$297:$L$333))-AK1503,0)</f>
        <v>0</v>
      </c>
      <c r="AM1503" s="198"/>
      <c r="AN1503" s="196">
        <f t="shared" ca="1" si="334"/>
        <v>0</v>
      </c>
      <c r="AO1503" s="196">
        <f t="shared" ca="1" si="335"/>
        <v>0</v>
      </c>
    </row>
    <row r="1504" spans="1:41">
      <c r="A1504" s="189">
        <v>3639</v>
      </c>
      <c r="B1504" s="190">
        <v>2</v>
      </c>
      <c r="C1504" s="191" t="s">
        <v>228</v>
      </c>
      <c r="D1504" s="192">
        <f t="shared" si="322"/>
        <v>426</v>
      </c>
      <c r="E1504" s="192">
        <f t="shared" si="323"/>
        <v>294</v>
      </c>
      <c r="F1504" s="192">
        <f t="shared" si="324"/>
        <v>0</v>
      </c>
      <c r="G1504" s="193">
        <f t="shared" si="325"/>
        <v>720</v>
      </c>
      <c r="H1504" s="194">
        <v>171</v>
      </c>
      <c r="I1504" s="194">
        <v>198</v>
      </c>
      <c r="J1504" s="194">
        <v>0</v>
      </c>
      <c r="K1504" s="193">
        <f t="shared" si="326"/>
        <v>369</v>
      </c>
      <c r="L1504" s="194">
        <v>255</v>
      </c>
      <c r="M1504" s="194">
        <v>96</v>
      </c>
      <c r="N1504" s="194">
        <v>0</v>
      </c>
      <c r="O1504" s="193">
        <f t="shared" si="327"/>
        <v>351</v>
      </c>
      <c r="P1504" s="194">
        <v>0</v>
      </c>
      <c r="Q1504" s="194">
        <v>0</v>
      </c>
      <c r="R1504" s="194">
        <v>0</v>
      </c>
      <c r="S1504" s="193">
        <f t="shared" si="328"/>
        <v>0</v>
      </c>
      <c r="T1504" s="193">
        <f t="shared" si="329"/>
        <v>24</v>
      </c>
      <c r="U1504" s="193">
        <f ca="1">OFFSET('Expenditure Study'!$B$7,'Operations Support'!$C1504,'Operations Support'!$B1504)*$G1504</f>
        <v>1375.2</v>
      </c>
      <c r="V1504" s="199">
        <f ca="1">U1504*'Expenditure Study'!$B$31</f>
        <v>81251.190236160008</v>
      </c>
      <c r="W1504" s="199">
        <f ca="1">IF(A1504=10298,1.51,1)*IF($B1504&lt;3,$D1504*'Expenditure Study'!$B$32*OFFSET('Expenditure Study'!$B$7,'Operations Support'!$C1504,'Operations Support'!$B1504),0)</f>
        <v>81.366</v>
      </c>
      <c r="X1504" s="200">
        <f ca="1">W1504*'Expenditure Study'!$B$31</f>
        <v>4807.3620889727999</v>
      </c>
      <c r="Y1504" s="199">
        <f ca="1">U1504*'Expenditure Study'!$B$31</f>
        <v>81251.190236160008</v>
      </c>
      <c r="Z1504" s="200">
        <f ca="1">W1504*'Expenditure Study'!$B$31</f>
        <v>4807.3620889727999</v>
      </c>
      <c r="AA1504" s="195">
        <f t="shared" ca="1" si="330"/>
        <v>86058.552325132812</v>
      </c>
      <c r="AB1504" s="195">
        <f t="shared" ca="1" si="331"/>
        <v>86058.552325132812</v>
      </c>
      <c r="AD1504" s="196">
        <f>IFERROR($G1504/SUMIF($A:$A,$A1504,$G:$G)*SUMIF(Summary!$A$166:$A$242,$A1504,Summary!$P$166:$P$242),0)</f>
        <v>33518.706515607053</v>
      </c>
      <c r="AE1504" s="197">
        <f t="shared" ca="1" si="332"/>
        <v>52539.845809525759</v>
      </c>
      <c r="AF1504" s="196">
        <f>IFERROR(G1504/SUMIF(A:A,A1504,G:G)*SUMIF(Summary!$A$166:$A$242,'Operations Support'!A1504,Summary!$Q$166:$Q$242),0)</f>
        <v>33732.195715756745</v>
      </c>
      <c r="AG1504" s="196">
        <f t="shared" ca="1" si="333"/>
        <v>52326.356609376067</v>
      </c>
      <c r="AI1504" s="196">
        <f>IFERROR($G1504/SUMIF($A:$A,$A1504,$G:$G)*SUMIF(Summary!$A$247:$A$283,$A1504,Summary!$P$247:$P$283),0)</f>
        <v>6112.9756184495136</v>
      </c>
      <c r="AJ1504" s="196">
        <f>IFERROR($G1504/SUMIF($A:$A,$A1504,$G:$G)*(SUMIF(Summary!$A$247:$A$283,$A1504,Summary!$L$247:$L$283)+SUMIF(Summary!$A$297:$A$333,$A1504,Summary!$L$297:$L$333))-AI1504,0)</f>
        <v>19223.776979168491</v>
      </c>
      <c r="AK1504" s="196">
        <f>IFERROR($G1504/SUMIF($A:$A,$A1504,$G:$G)*SUMIF(Summary!$A$247:$A$283,$A1504,Summary!$Q$247:$Q$283),0)</f>
        <v>6151.9107209932145</v>
      </c>
      <c r="AL1504" s="196">
        <f>IFERROR($G1504/SUMIF($A:$A,$A1504,$G:$G)*(SUMIF(Summary!$A$247:$A$283,$A1504,Summary!$L$247:$L$283)+SUMIF(Summary!$A$297:$A$333,$A1504,Summary!$L$297:$L$333))-AK1504,0)</f>
        <v>19184.841876624789</v>
      </c>
      <c r="AM1504" s="198"/>
      <c r="AN1504" s="196">
        <f t="shared" ca="1" si="334"/>
        <v>71763.622788694251</v>
      </c>
      <c r="AO1504" s="196">
        <f t="shared" ca="1" si="335"/>
        <v>71511.198486000852</v>
      </c>
    </row>
    <row r="1505" spans="1:41">
      <c r="A1505" s="189">
        <v>3639</v>
      </c>
      <c r="B1505" s="190">
        <v>2</v>
      </c>
      <c r="C1505" s="191" t="s">
        <v>229</v>
      </c>
      <c r="D1505" s="192">
        <f t="shared" si="322"/>
        <v>0</v>
      </c>
      <c r="E1505" s="192">
        <f t="shared" si="323"/>
        <v>0</v>
      </c>
      <c r="F1505" s="192">
        <f t="shared" si="324"/>
        <v>0</v>
      </c>
      <c r="G1505" s="193">
        <f t="shared" si="325"/>
        <v>0</v>
      </c>
      <c r="H1505" s="194">
        <v>0</v>
      </c>
      <c r="I1505" s="194">
        <v>0</v>
      </c>
      <c r="J1505" s="194">
        <v>0</v>
      </c>
      <c r="K1505" s="193">
        <f t="shared" si="326"/>
        <v>0</v>
      </c>
      <c r="L1505" s="194">
        <v>0</v>
      </c>
      <c r="M1505" s="194">
        <v>0</v>
      </c>
      <c r="N1505" s="194">
        <v>0</v>
      </c>
      <c r="O1505" s="193">
        <f t="shared" si="327"/>
        <v>0</v>
      </c>
      <c r="P1505" s="194">
        <v>0</v>
      </c>
      <c r="Q1505" s="194">
        <v>0</v>
      </c>
      <c r="R1505" s="194">
        <v>0</v>
      </c>
      <c r="S1505" s="193">
        <f t="shared" si="328"/>
        <v>0</v>
      </c>
      <c r="T1505" s="193">
        <f t="shared" si="329"/>
        <v>0</v>
      </c>
      <c r="U1505" s="193">
        <f ca="1">OFFSET('Expenditure Study'!$B$7,'Operations Support'!$C1505,'Operations Support'!$B1505)*$G1505</f>
        <v>0</v>
      </c>
      <c r="V1505" s="199">
        <f ca="1">U1505*'Expenditure Study'!$B$31</f>
        <v>0</v>
      </c>
      <c r="W1505" s="199">
        <f ca="1">IF(A1505=10298,1.51,1)*IF($B1505&lt;3,$D1505*'Expenditure Study'!$B$32*OFFSET('Expenditure Study'!$B$7,'Operations Support'!$C1505,'Operations Support'!$B1505),0)</f>
        <v>0</v>
      </c>
      <c r="X1505" s="200">
        <f ca="1">W1505*'Expenditure Study'!$B$31</f>
        <v>0</v>
      </c>
      <c r="Y1505" s="199">
        <f ca="1">U1505*'Expenditure Study'!$B$31</f>
        <v>0</v>
      </c>
      <c r="Z1505" s="200">
        <f ca="1">W1505*'Expenditure Study'!$B$31</f>
        <v>0</v>
      </c>
      <c r="AA1505" s="195">
        <f t="shared" ca="1" si="330"/>
        <v>0</v>
      </c>
      <c r="AB1505" s="195">
        <f t="shared" ca="1" si="331"/>
        <v>0</v>
      </c>
      <c r="AD1505" s="196">
        <f>IFERROR($G1505/SUMIF($A:$A,$A1505,$G:$G)*SUMIF(Summary!$A$166:$A$242,$A1505,Summary!$P$166:$P$242),0)</f>
        <v>0</v>
      </c>
      <c r="AE1505" s="197">
        <f t="shared" ca="1" si="332"/>
        <v>0</v>
      </c>
      <c r="AF1505" s="196">
        <f>IFERROR(G1505/SUMIF(A:A,A1505,G:G)*SUMIF(Summary!$A$166:$A$242,'Operations Support'!A1505,Summary!$Q$166:$Q$242),0)</f>
        <v>0</v>
      </c>
      <c r="AG1505" s="196">
        <f t="shared" ca="1" si="333"/>
        <v>0</v>
      </c>
      <c r="AI1505" s="196">
        <f>IFERROR($G1505/SUMIF($A:$A,$A1505,$G:$G)*SUMIF(Summary!$A$247:$A$283,$A1505,Summary!$P$247:$P$283),0)</f>
        <v>0</v>
      </c>
      <c r="AJ1505" s="196">
        <f>IFERROR($G1505/SUMIF($A:$A,$A1505,$G:$G)*(SUMIF(Summary!$A$247:$A$283,$A1505,Summary!$L$247:$L$283)+SUMIF(Summary!$A$297:$A$333,$A1505,Summary!$L$297:$L$333))-AI1505,0)</f>
        <v>0</v>
      </c>
      <c r="AK1505" s="196">
        <f>IFERROR($G1505/SUMIF($A:$A,$A1505,$G:$G)*SUMIF(Summary!$A$247:$A$283,$A1505,Summary!$Q$247:$Q$283),0)</f>
        <v>0</v>
      </c>
      <c r="AL1505" s="196">
        <f>IFERROR($G1505/SUMIF($A:$A,$A1505,$G:$G)*(SUMIF(Summary!$A$247:$A$283,$A1505,Summary!$L$247:$L$283)+SUMIF(Summary!$A$297:$A$333,$A1505,Summary!$L$297:$L$333))-AK1505,0)</f>
        <v>0</v>
      </c>
      <c r="AM1505" s="198"/>
      <c r="AN1505" s="196">
        <f t="shared" ca="1" si="334"/>
        <v>0</v>
      </c>
      <c r="AO1505" s="196">
        <f t="shared" ca="1" si="335"/>
        <v>0</v>
      </c>
    </row>
    <row r="1506" spans="1:41">
      <c r="A1506" s="189">
        <v>3639</v>
      </c>
      <c r="B1506" s="190">
        <v>2</v>
      </c>
      <c r="C1506" s="191" t="s">
        <v>230</v>
      </c>
      <c r="D1506" s="192">
        <f t="shared" si="322"/>
        <v>0</v>
      </c>
      <c r="E1506" s="192">
        <f t="shared" si="323"/>
        <v>0</v>
      </c>
      <c r="F1506" s="192">
        <f t="shared" si="324"/>
        <v>0</v>
      </c>
      <c r="G1506" s="193">
        <f t="shared" si="325"/>
        <v>0</v>
      </c>
      <c r="H1506" s="194">
        <v>0</v>
      </c>
      <c r="I1506" s="194">
        <v>0</v>
      </c>
      <c r="J1506" s="194">
        <v>0</v>
      </c>
      <c r="K1506" s="193">
        <f t="shared" si="326"/>
        <v>0</v>
      </c>
      <c r="L1506" s="194">
        <v>0</v>
      </c>
      <c r="M1506" s="194">
        <v>0</v>
      </c>
      <c r="N1506" s="194">
        <v>0</v>
      </c>
      <c r="O1506" s="193">
        <f t="shared" si="327"/>
        <v>0</v>
      </c>
      <c r="P1506" s="194">
        <v>0</v>
      </c>
      <c r="Q1506" s="194">
        <v>0</v>
      </c>
      <c r="R1506" s="194">
        <v>0</v>
      </c>
      <c r="S1506" s="193">
        <f t="shared" si="328"/>
        <v>0</v>
      </c>
      <c r="T1506" s="193">
        <f t="shared" si="329"/>
        <v>0</v>
      </c>
      <c r="U1506" s="193">
        <f ca="1">OFFSET('Expenditure Study'!$B$7,'Operations Support'!$C1506,'Operations Support'!$B1506)*$G1506</f>
        <v>0</v>
      </c>
      <c r="V1506" s="199">
        <f ca="1">U1506*'Expenditure Study'!$B$31</f>
        <v>0</v>
      </c>
      <c r="W1506" s="199">
        <f ca="1">IF(A1506=10298,1.51,1)*IF($B1506&lt;3,$D1506*'Expenditure Study'!$B$32*OFFSET('Expenditure Study'!$B$7,'Operations Support'!$C1506,'Operations Support'!$B1506),0)</f>
        <v>0</v>
      </c>
      <c r="X1506" s="200">
        <f ca="1">W1506*'Expenditure Study'!$B$31</f>
        <v>0</v>
      </c>
      <c r="Y1506" s="199">
        <f ca="1">U1506*'Expenditure Study'!$B$31</f>
        <v>0</v>
      </c>
      <c r="Z1506" s="200">
        <f ca="1">W1506*'Expenditure Study'!$B$31</f>
        <v>0</v>
      </c>
      <c r="AA1506" s="195">
        <f t="shared" ca="1" si="330"/>
        <v>0</v>
      </c>
      <c r="AB1506" s="195">
        <f t="shared" ca="1" si="331"/>
        <v>0</v>
      </c>
      <c r="AD1506" s="196">
        <f>IFERROR($G1506/SUMIF($A:$A,$A1506,$G:$G)*SUMIF(Summary!$A$166:$A$242,$A1506,Summary!$P$166:$P$242),0)</f>
        <v>0</v>
      </c>
      <c r="AE1506" s="197">
        <f t="shared" ca="1" si="332"/>
        <v>0</v>
      </c>
      <c r="AF1506" s="196">
        <f>IFERROR(G1506/SUMIF(A:A,A1506,G:G)*SUMIF(Summary!$A$166:$A$242,'Operations Support'!A1506,Summary!$Q$166:$Q$242),0)</f>
        <v>0</v>
      </c>
      <c r="AG1506" s="196">
        <f t="shared" ca="1" si="333"/>
        <v>0</v>
      </c>
      <c r="AI1506" s="196">
        <f>IFERROR($G1506/SUMIF($A:$A,$A1506,$G:$G)*SUMIF(Summary!$A$247:$A$283,$A1506,Summary!$P$247:$P$283),0)</f>
        <v>0</v>
      </c>
      <c r="AJ1506" s="196">
        <f>IFERROR($G1506/SUMIF($A:$A,$A1506,$G:$G)*(SUMIF(Summary!$A$247:$A$283,$A1506,Summary!$L$247:$L$283)+SUMIF(Summary!$A$297:$A$333,$A1506,Summary!$L$297:$L$333))-AI1506,0)</f>
        <v>0</v>
      </c>
      <c r="AK1506" s="196">
        <f>IFERROR($G1506/SUMIF($A:$A,$A1506,$G:$G)*SUMIF(Summary!$A$247:$A$283,$A1506,Summary!$Q$247:$Q$283),0)</f>
        <v>0</v>
      </c>
      <c r="AL1506" s="196">
        <f>IFERROR($G1506/SUMIF($A:$A,$A1506,$G:$G)*(SUMIF(Summary!$A$247:$A$283,$A1506,Summary!$L$247:$L$283)+SUMIF(Summary!$A$297:$A$333,$A1506,Summary!$L$297:$L$333))-AK1506,0)</f>
        <v>0</v>
      </c>
      <c r="AM1506" s="198"/>
      <c r="AN1506" s="196">
        <f t="shared" ca="1" si="334"/>
        <v>0</v>
      </c>
      <c r="AO1506" s="196">
        <f t="shared" ca="1" si="335"/>
        <v>0</v>
      </c>
    </row>
    <row r="1507" spans="1:41">
      <c r="A1507" s="189">
        <v>3639</v>
      </c>
      <c r="B1507" s="190">
        <v>2</v>
      </c>
      <c r="C1507" s="191" t="s">
        <v>231</v>
      </c>
      <c r="D1507" s="192">
        <f t="shared" si="322"/>
        <v>69</v>
      </c>
      <c r="E1507" s="192">
        <f t="shared" si="323"/>
        <v>0</v>
      </c>
      <c r="F1507" s="192">
        <f t="shared" si="324"/>
        <v>0</v>
      </c>
      <c r="G1507" s="193">
        <f t="shared" si="325"/>
        <v>69</v>
      </c>
      <c r="H1507" s="194">
        <v>69</v>
      </c>
      <c r="I1507" s="194">
        <v>0</v>
      </c>
      <c r="J1507" s="194">
        <v>0</v>
      </c>
      <c r="K1507" s="193">
        <f t="shared" si="326"/>
        <v>69</v>
      </c>
      <c r="L1507" s="194">
        <v>0</v>
      </c>
      <c r="M1507" s="194">
        <v>0</v>
      </c>
      <c r="N1507" s="194">
        <v>0</v>
      </c>
      <c r="O1507" s="193">
        <f t="shared" si="327"/>
        <v>0</v>
      </c>
      <c r="P1507" s="194">
        <v>0</v>
      </c>
      <c r="Q1507" s="194">
        <v>0</v>
      </c>
      <c r="R1507" s="194">
        <v>0</v>
      </c>
      <c r="S1507" s="193">
        <f t="shared" si="328"/>
        <v>0</v>
      </c>
      <c r="T1507" s="193">
        <f t="shared" si="329"/>
        <v>2.2999999999999998</v>
      </c>
      <c r="U1507" s="193">
        <f ca="1">OFFSET('Expenditure Study'!$B$7,'Operations Support'!$C1507,'Operations Support'!$B1507)*$G1507</f>
        <v>242.88</v>
      </c>
      <c r="V1507" s="199">
        <f ca="1">U1507*'Expenditure Study'!$B$31</f>
        <v>14350.122952704</v>
      </c>
      <c r="W1507" s="199">
        <f ca="1">IF(A1507=10298,1.51,1)*IF($B1507&lt;3,$D1507*'Expenditure Study'!$B$32*OFFSET('Expenditure Study'!$B$7,'Operations Support'!$C1507,'Operations Support'!$B1507),0)</f>
        <v>24.288</v>
      </c>
      <c r="X1507" s="200">
        <f ca="1">W1507*'Expenditure Study'!$B$31</f>
        <v>1435.0122952704</v>
      </c>
      <c r="Y1507" s="199">
        <f ca="1">U1507*'Expenditure Study'!$B$31</f>
        <v>14350.122952704</v>
      </c>
      <c r="Z1507" s="200">
        <f ca="1">W1507*'Expenditure Study'!$B$31</f>
        <v>1435.0122952704</v>
      </c>
      <c r="AA1507" s="195">
        <f t="shared" ca="1" si="330"/>
        <v>15785.1352479744</v>
      </c>
      <c r="AB1507" s="195">
        <f t="shared" ca="1" si="331"/>
        <v>15785.1352479744</v>
      </c>
      <c r="AD1507" s="196">
        <f>IFERROR($G1507/SUMIF($A:$A,$A1507,$G:$G)*SUMIF(Summary!$A$166:$A$242,$A1507,Summary!$P$166:$P$242),0)</f>
        <v>3212.2093744123422</v>
      </c>
      <c r="AE1507" s="197">
        <f t="shared" ca="1" si="332"/>
        <v>12572.925873562057</v>
      </c>
      <c r="AF1507" s="196">
        <f>IFERROR(G1507/SUMIF(A:A,A1507,G:G)*SUMIF(Summary!$A$166:$A$242,'Operations Support'!A1507,Summary!$Q$166:$Q$242),0)</f>
        <v>3232.6687560933547</v>
      </c>
      <c r="AG1507" s="196">
        <f t="shared" ca="1" si="333"/>
        <v>12552.466491881045</v>
      </c>
      <c r="AI1507" s="196">
        <f>IFERROR($G1507/SUMIF($A:$A,$A1507,$G:$G)*SUMIF(Summary!$A$247:$A$283,$A1507,Summary!$P$247:$P$283),0)</f>
        <v>585.8268301014117</v>
      </c>
      <c r="AJ1507" s="196">
        <f>IFERROR($G1507/SUMIF($A:$A,$A1507,$G:$G)*(SUMIF(Summary!$A$247:$A$283,$A1507,Summary!$L$247:$L$283)+SUMIF(Summary!$A$297:$A$333,$A1507,Summary!$L$297:$L$333))-AI1507,0)</f>
        <v>1842.278627170313</v>
      </c>
      <c r="AK1507" s="196">
        <f>IFERROR($G1507/SUMIF($A:$A,$A1507,$G:$G)*SUMIF(Summary!$A$247:$A$283,$A1507,Summary!$Q$247:$Q$283),0)</f>
        <v>589.55811076184966</v>
      </c>
      <c r="AL1507" s="196">
        <f>IFERROR($G1507/SUMIF($A:$A,$A1507,$G:$G)*(SUMIF(Summary!$A$247:$A$283,$A1507,Summary!$L$247:$L$283)+SUMIF(Summary!$A$297:$A$333,$A1507,Summary!$L$297:$L$333))-AK1507,0)</f>
        <v>1838.5473465098753</v>
      </c>
      <c r="AM1507" s="198"/>
      <c r="AN1507" s="196">
        <f t="shared" ca="1" si="334"/>
        <v>14415.20450073237</v>
      </c>
      <c r="AO1507" s="196">
        <f t="shared" ca="1" si="335"/>
        <v>14391.01383839092</v>
      </c>
    </row>
    <row r="1508" spans="1:41">
      <c r="A1508" s="189">
        <v>3639</v>
      </c>
      <c r="B1508" s="190">
        <v>2</v>
      </c>
      <c r="C1508" s="191" t="s">
        <v>232</v>
      </c>
      <c r="D1508" s="192">
        <f t="shared" si="322"/>
        <v>0</v>
      </c>
      <c r="E1508" s="192">
        <f t="shared" si="323"/>
        <v>0</v>
      </c>
      <c r="F1508" s="192">
        <f t="shared" si="324"/>
        <v>0</v>
      </c>
      <c r="G1508" s="193">
        <f t="shared" si="325"/>
        <v>0</v>
      </c>
      <c r="H1508" s="194">
        <v>0</v>
      </c>
      <c r="I1508" s="194">
        <v>0</v>
      </c>
      <c r="J1508" s="194">
        <v>0</v>
      </c>
      <c r="K1508" s="193">
        <f t="shared" si="326"/>
        <v>0</v>
      </c>
      <c r="L1508" s="194">
        <v>0</v>
      </c>
      <c r="M1508" s="194">
        <v>0</v>
      </c>
      <c r="N1508" s="194">
        <v>0</v>
      </c>
      <c r="O1508" s="193">
        <f t="shared" si="327"/>
        <v>0</v>
      </c>
      <c r="P1508" s="194">
        <v>0</v>
      </c>
      <c r="Q1508" s="194">
        <v>0</v>
      </c>
      <c r="R1508" s="194">
        <v>0</v>
      </c>
      <c r="S1508" s="193">
        <f t="shared" si="328"/>
        <v>0</v>
      </c>
      <c r="T1508" s="193">
        <f t="shared" si="329"/>
        <v>0</v>
      </c>
      <c r="U1508" s="193">
        <f ca="1">OFFSET('Expenditure Study'!$B$7,'Operations Support'!$C1508,'Operations Support'!$B1508)*$G1508</f>
        <v>0</v>
      </c>
      <c r="V1508" s="199">
        <f ca="1">U1508*'Expenditure Study'!$B$31</f>
        <v>0</v>
      </c>
      <c r="W1508" s="199">
        <f ca="1">IF(A1508=10298,1.51,1)*IF($B1508&lt;3,$D1508*'Expenditure Study'!$B$32*OFFSET('Expenditure Study'!$B$7,'Operations Support'!$C1508,'Operations Support'!$B1508),0)</f>
        <v>0</v>
      </c>
      <c r="X1508" s="200">
        <f ca="1">W1508*'Expenditure Study'!$B$31</f>
        <v>0</v>
      </c>
      <c r="Y1508" s="199">
        <f ca="1">U1508*'Expenditure Study'!$B$31</f>
        <v>0</v>
      </c>
      <c r="Z1508" s="200">
        <f ca="1">W1508*'Expenditure Study'!$B$31</f>
        <v>0</v>
      </c>
      <c r="AA1508" s="195">
        <f t="shared" ca="1" si="330"/>
        <v>0</v>
      </c>
      <c r="AB1508" s="195">
        <f t="shared" ca="1" si="331"/>
        <v>0</v>
      </c>
      <c r="AD1508" s="196">
        <f>IFERROR($G1508/SUMIF($A:$A,$A1508,$G:$G)*SUMIF(Summary!$A$166:$A$242,$A1508,Summary!$P$166:$P$242),0)</f>
        <v>0</v>
      </c>
      <c r="AE1508" s="197">
        <f t="shared" ca="1" si="332"/>
        <v>0</v>
      </c>
      <c r="AF1508" s="196">
        <f>IFERROR(G1508/SUMIF(A:A,A1508,G:G)*SUMIF(Summary!$A$166:$A$242,'Operations Support'!A1508,Summary!$Q$166:$Q$242),0)</f>
        <v>0</v>
      </c>
      <c r="AG1508" s="196">
        <f t="shared" ca="1" si="333"/>
        <v>0</v>
      </c>
      <c r="AI1508" s="196">
        <f>IFERROR($G1508/SUMIF($A:$A,$A1508,$G:$G)*SUMIF(Summary!$A$247:$A$283,$A1508,Summary!$P$247:$P$283),0)</f>
        <v>0</v>
      </c>
      <c r="AJ1508" s="196">
        <f>IFERROR($G1508/SUMIF($A:$A,$A1508,$G:$G)*(SUMIF(Summary!$A$247:$A$283,$A1508,Summary!$L$247:$L$283)+SUMIF(Summary!$A$297:$A$333,$A1508,Summary!$L$297:$L$333))-AI1508,0)</f>
        <v>0</v>
      </c>
      <c r="AK1508" s="196">
        <f>IFERROR($G1508/SUMIF($A:$A,$A1508,$G:$G)*SUMIF(Summary!$A$247:$A$283,$A1508,Summary!$Q$247:$Q$283),0)</f>
        <v>0</v>
      </c>
      <c r="AL1508" s="196">
        <f>IFERROR($G1508/SUMIF($A:$A,$A1508,$G:$G)*(SUMIF(Summary!$A$247:$A$283,$A1508,Summary!$L$247:$L$283)+SUMIF(Summary!$A$297:$A$333,$A1508,Summary!$L$297:$L$333))-AK1508,0)</f>
        <v>0</v>
      </c>
      <c r="AM1508" s="198"/>
      <c r="AN1508" s="196">
        <f t="shared" ca="1" si="334"/>
        <v>0</v>
      </c>
      <c r="AO1508" s="196">
        <f t="shared" ca="1" si="335"/>
        <v>0</v>
      </c>
    </row>
    <row r="1509" spans="1:41">
      <c r="A1509" s="189">
        <v>3639</v>
      </c>
      <c r="B1509" s="190">
        <v>2</v>
      </c>
      <c r="C1509" s="191" t="s">
        <v>233</v>
      </c>
      <c r="D1509" s="192">
        <f t="shared" si="322"/>
        <v>540</v>
      </c>
      <c r="E1509" s="192">
        <f t="shared" si="323"/>
        <v>663</v>
      </c>
      <c r="F1509" s="192">
        <f t="shared" si="324"/>
        <v>0</v>
      </c>
      <c r="G1509" s="193">
        <f t="shared" si="325"/>
        <v>1203</v>
      </c>
      <c r="H1509" s="194">
        <v>255</v>
      </c>
      <c r="I1509" s="194">
        <v>321</v>
      </c>
      <c r="J1509" s="194">
        <v>0</v>
      </c>
      <c r="K1509" s="193">
        <f t="shared" si="326"/>
        <v>576</v>
      </c>
      <c r="L1509" s="194">
        <v>285</v>
      </c>
      <c r="M1509" s="194">
        <v>342</v>
      </c>
      <c r="N1509" s="194">
        <v>0</v>
      </c>
      <c r="O1509" s="193">
        <f t="shared" si="327"/>
        <v>627</v>
      </c>
      <c r="P1509" s="194">
        <v>0</v>
      </c>
      <c r="Q1509" s="194">
        <v>0</v>
      </c>
      <c r="R1509" s="194">
        <v>0</v>
      </c>
      <c r="S1509" s="193">
        <f t="shared" si="328"/>
        <v>0</v>
      </c>
      <c r="T1509" s="193">
        <f t="shared" si="329"/>
        <v>40.1</v>
      </c>
      <c r="U1509" s="193">
        <f ca="1">OFFSET('Expenditure Study'!$B$7,'Operations Support'!$C1509,'Operations Support'!$B1509)*$G1509</f>
        <v>1936.8300000000002</v>
      </c>
      <c r="V1509" s="199">
        <f ca="1">U1509*'Expenditure Study'!$B$31</f>
        <v>114434.077068864</v>
      </c>
      <c r="W1509" s="199">
        <f ca="1">IF(A1509=10298,1.51,1)*IF($B1509&lt;3,$D1509*'Expenditure Study'!$B$32*OFFSET('Expenditure Study'!$B$7,'Operations Support'!$C1509,'Operations Support'!$B1509),0)</f>
        <v>86.940000000000012</v>
      </c>
      <c r="X1509" s="200">
        <f ca="1">W1509*'Expenditure Study'!$B$31</f>
        <v>5136.6917387520007</v>
      </c>
      <c r="Y1509" s="199">
        <f ca="1">U1509*'Expenditure Study'!$B$31</f>
        <v>114434.077068864</v>
      </c>
      <c r="Z1509" s="200">
        <f ca="1">W1509*'Expenditure Study'!$B$31</f>
        <v>5136.6917387520007</v>
      </c>
      <c r="AA1509" s="195">
        <f t="shared" ca="1" si="330"/>
        <v>119570.768807616</v>
      </c>
      <c r="AB1509" s="195">
        <f t="shared" ca="1" si="331"/>
        <v>119570.768807616</v>
      </c>
      <c r="AD1509" s="196">
        <f>IFERROR($G1509/SUMIF($A:$A,$A1509,$G:$G)*SUMIF(Summary!$A$166:$A$242,$A1509,Summary!$P$166:$P$242),0)</f>
        <v>56004.172136493442</v>
      </c>
      <c r="AE1509" s="197">
        <f t="shared" ca="1" si="332"/>
        <v>63566.596671122556</v>
      </c>
      <c r="AF1509" s="196">
        <f>IFERROR(G1509/SUMIF(A:A,A1509,G:G)*SUMIF(Summary!$A$166:$A$242,'Operations Support'!A1509,Summary!$Q$166:$Q$242),0)</f>
        <v>56360.877008410229</v>
      </c>
      <c r="AG1509" s="196">
        <f t="shared" ca="1" si="333"/>
        <v>63209.891799205769</v>
      </c>
      <c r="AI1509" s="196">
        <f>IFERROR($G1509/SUMIF($A:$A,$A1509,$G:$G)*SUMIF(Summary!$A$247:$A$283,$A1509,Summary!$P$247:$P$283),0)</f>
        <v>10213.763429159395</v>
      </c>
      <c r="AJ1509" s="196">
        <f>IFERROR($G1509/SUMIF($A:$A,$A1509,$G:$G)*(SUMIF(Summary!$A$247:$A$283,$A1509,Summary!$L$247:$L$283)+SUMIF(Summary!$A$297:$A$333,$A1509,Summary!$L$297:$L$333))-AI1509,0)</f>
        <v>32119.727369360684</v>
      </c>
      <c r="AK1509" s="196">
        <f>IFERROR($G1509/SUMIF($A:$A,$A1509,$G:$G)*SUMIF(Summary!$A$247:$A$283,$A1509,Summary!$Q$247:$Q$283),0)</f>
        <v>10278.817496326163</v>
      </c>
      <c r="AL1509" s="196">
        <f>IFERROR($G1509/SUMIF($A:$A,$A1509,$G:$G)*(SUMIF(Summary!$A$247:$A$283,$A1509,Summary!$L$247:$L$283)+SUMIF(Summary!$A$297:$A$333,$A1509,Summary!$L$297:$L$333))-AK1509,0)</f>
        <v>32054.673302193914</v>
      </c>
      <c r="AM1509" s="198"/>
      <c r="AN1509" s="196">
        <f t="shared" ca="1" si="334"/>
        <v>95686.324040483247</v>
      </c>
      <c r="AO1509" s="196">
        <f t="shared" ca="1" si="335"/>
        <v>95264.565101399683</v>
      </c>
    </row>
    <row r="1510" spans="1:41">
      <c r="A1510" s="189">
        <v>3639</v>
      </c>
      <c r="B1510" s="190">
        <v>2</v>
      </c>
      <c r="C1510" s="191" t="s">
        <v>234</v>
      </c>
      <c r="D1510" s="192">
        <f t="shared" si="322"/>
        <v>0</v>
      </c>
      <c r="E1510" s="192">
        <f t="shared" si="323"/>
        <v>0</v>
      </c>
      <c r="F1510" s="192">
        <f t="shared" si="324"/>
        <v>0</v>
      </c>
      <c r="G1510" s="193">
        <f t="shared" si="325"/>
        <v>0</v>
      </c>
      <c r="H1510" s="194">
        <v>0</v>
      </c>
      <c r="I1510" s="194">
        <v>0</v>
      </c>
      <c r="J1510" s="194">
        <v>0</v>
      </c>
      <c r="K1510" s="193">
        <f t="shared" si="326"/>
        <v>0</v>
      </c>
      <c r="L1510" s="194">
        <v>0</v>
      </c>
      <c r="M1510" s="194">
        <v>0</v>
      </c>
      <c r="N1510" s="194">
        <v>0</v>
      </c>
      <c r="O1510" s="193">
        <f t="shared" si="327"/>
        <v>0</v>
      </c>
      <c r="P1510" s="194">
        <v>0</v>
      </c>
      <c r="Q1510" s="194">
        <v>0</v>
      </c>
      <c r="R1510" s="194">
        <v>0</v>
      </c>
      <c r="S1510" s="193">
        <f t="shared" si="328"/>
        <v>0</v>
      </c>
      <c r="T1510" s="193">
        <f t="shared" si="329"/>
        <v>0</v>
      </c>
      <c r="U1510" s="193">
        <f ca="1">OFFSET('Expenditure Study'!$B$7,'Operations Support'!$C1510,'Operations Support'!$B1510)*$G1510</f>
        <v>0</v>
      </c>
      <c r="V1510" s="199">
        <f ca="1">U1510*'Expenditure Study'!$B$31</f>
        <v>0</v>
      </c>
      <c r="W1510" s="199">
        <f ca="1">IF(A1510=10298,1.51,1)*IF($B1510&lt;3,$D1510*'Expenditure Study'!$B$32*OFFSET('Expenditure Study'!$B$7,'Operations Support'!$C1510,'Operations Support'!$B1510),0)</f>
        <v>0</v>
      </c>
      <c r="X1510" s="200">
        <f ca="1">W1510*'Expenditure Study'!$B$31</f>
        <v>0</v>
      </c>
      <c r="Y1510" s="199">
        <f ca="1">U1510*'Expenditure Study'!$B$31</f>
        <v>0</v>
      </c>
      <c r="Z1510" s="200">
        <f ca="1">W1510*'Expenditure Study'!$B$31</f>
        <v>0</v>
      </c>
      <c r="AA1510" s="195">
        <f t="shared" ca="1" si="330"/>
        <v>0</v>
      </c>
      <c r="AB1510" s="195">
        <f t="shared" ca="1" si="331"/>
        <v>0</v>
      </c>
      <c r="AD1510" s="196">
        <f>IFERROR($G1510/SUMIF($A:$A,$A1510,$G:$G)*SUMIF(Summary!$A$166:$A$242,$A1510,Summary!$P$166:$P$242),0)</f>
        <v>0</v>
      </c>
      <c r="AE1510" s="197">
        <f t="shared" ca="1" si="332"/>
        <v>0</v>
      </c>
      <c r="AF1510" s="196">
        <f>IFERROR(G1510/SUMIF(A:A,A1510,G:G)*SUMIF(Summary!$A$166:$A$242,'Operations Support'!A1510,Summary!$Q$166:$Q$242),0)</f>
        <v>0</v>
      </c>
      <c r="AG1510" s="196">
        <f t="shared" ca="1" si="333"/>
        <v>0</v>
      </c>
      <c r="AI1510" s="196">
        <f>IFERROR($G1510/SUMIF($A:$A,$A1510,$G:$G)*SUMIF(Summary!$A$247:$A$283,$A1510,Summary!$P$247:$P$283),0)</f>
        <v>0</v>
      </c>
      <c r="AJ1510" s="196">
        <f>IFERROR($G1510/SUMIF($A:$A,$A1510,$G:$G)*(SUMIF(Summary!$A$247:$A$283,$A1510,Summary!$L$247:$L$283)+SUMIF(Summary!$A$297:$A$333,$A1510,Summary!$L$297:$L$333))-AI1510,0)</f>
        <v>0</v>
      </c>
      <c r="AK1510" s="196">
        <f>IFERROR($G1510/SUMIF($A:$A,$A1510,$G:$G)*SUMIF(Summary!$A$247:$A$283,$A1510,Summary!$Q$247:$Q$283),0)</f>
        <v>0</v>
      </c>
      <c r="AL1510" s="196">
        <f>IFERROR($G1510/SUMIF($A:$A,$A1510,$G:$G)*(SUMIF(Summary!$A$247:$A$283,$A1510,Summary!$L$247:$L$283)+SUMIF(Summary!$A$297:$A$333,$A1510,Summary!$L$297:$L$333))-AK1510,0)</f>
        <v>0</v>
      </c>
      <c r="AM1510" s="198"/>
      <c r="AN1510" s="196">
        <f t="shared" ca="1" si="334"/>
        <v>0</v>
      </c>
      <c r="AO1510" s="196">
        <f t="shared" ca="1" si="335"/>
        <v>0</v>
      </c>
    </row>
    <row r="1511" spans="1:41">
      <c r="A1511" s="189">
        <v>3639</v>
      </c>
      <c r="B1511" s="190">
        <v>2</v>
      </c>
      <c r="C1511" s="191" t="s">
        <v>235</v>
      </c>
      <c r="D1511" s="192">
        <f t="shared" si="322"/>
        <v>3312</v>
      </c>
      <c r="E1511" s="192">
        <f t="shared" si="323"/>
        <v>918</v>
      </c>
      <c r="F1511" s="192">
        <f t="shared" si="324"/>
        <v>0</v>
      </c>
      <c r="G1511" s="193">
        <f t="shared" si="325"/>
        <v>4230</v>
      </c>
      <c r="H1511" s="194">
        <v>1572</v>
      </c>
      <c r="I1511" s="194">
        <v>318</v>
      </c>
      <c r="J1511" s="194">
        <v>0</v>
      </c>
      <c r="K1511" s="193">
        <f t="shared" si="326"/>
        <v>1890</v>
      </c>
      <c r="L1511" s="194">
        <v>1413</v>
      </c>
      <c r="M1511" s="194">
        <v>435</v>
      </c>
      <c r="N1511" s="194">
        <v>0</v>
      </c>
      <c r="O1511" s="193">
        <f t="shared" si="327"/>
        <v>1848</v>
      </c>
      <c r="P1511" s="194">
        <v>327</v>
      </c>
      <c r="Q1511" s="194">
        <v>165</v>
      </c>
      <c r="R1511" s="194">
        <v>0</v>
      </c>
      <c r="S1511" s="193">
        <f t="shared" si="328"/>
        <v>492</v>
      </c>
      <c r="T1511" s="193">
        <f t="shared" si="329"/>
        <v>141</v>
      </c>
      <c r="U1511" s="193">
        <f ca="1">OFFSET('Expenditure Study'!$B$7,'Operations Support'!$C1511,'Operations Support'!$B1511)*$G1511</f>
        <v>7910.1</v>
      </c>
      <c r="V1511" s="199">
        <f ca="1">U1511*'Expenditure Study'!$B$31</f>
        <v>467353.86844608001</v>
      </c>
      <c r="W1511" s="199">
        <f ca="1">IF(A1511=10298,1.51,1)*IF($B1511&lt;3,$D1511*'Expenditure Study'!$B$32*OFFSET('Expenditure Study'!$B$7,'Operations Support'!$C1511,'Operations Support'!$B1511),0)</f>
        <v>619.34400000000016</v>
      </c>
      <c r="X1511" s="200">
        <f ca="1">W1511*'Expenditure Study'!$B$31</f>
        <v>36592.813529395207</v>
      </c>
      <c r="Y1511" s="199">
        <f ca="1">U1511*'Expenditure Study'!$B$31</f>
        <v>467353.86844608001</v>
      </c>
      <c r="Z1511" s="200">
        <f ca="1">W1511*'Expenditure Study'!$B$31</f>
        <v>36592.813529395207</v>
      </c>
      <c r="AA1511" s="195">
        <f t="shared" ca="1" si="330"/>
        <v>503946.68197547522</v>
      </c>
      <c r="AB1511" s="195">
        <f t="shared" ca="1" si="331"/>
        <v>503946.68197547522</v>
      </c>
      <c r="AD1511" s="196">
        <f>IFERROR($G1511/SUMIF($A:$A,$A1511,$G:$G)*SUMIF(Summary!$A$166:$A$242,$A1511,Summary!$P$166:$P$242),0)</f>
        <v>196922.4007791914</v>
      </c>
      <c r="AE1511" s="197">
        <f t="shared" ca="1" si="332"/>
        <v>307024.28119628382</v>
      </c>
      <c r="AF1511" s="196">
        <f>IFERROR(G1511/SUMIF(A:A,A1511,G:G)*SUMIF(Summary!$A$166:$A$242,'Operations Support'!A1511,Summary!$Q$166:$Q$242),0)</f>
        <v>198176.64983007088</v>
      </c>
      <c r="AG1511" s="196">
        <f t="shared" ca="1" si="333"/>
        <v>305770.03214540437</v>
      </c>
      <c r="AI1511" s="196">
        <f>IFERROR($G1511/SUMIF($A:$A,$A1511,$G:$G)*SUMIF(Summary!$A$247:$A$283,$A1511,Summary!$P$247:$P$283),0)</f>
        <v>35913.731758390888</v>
      </c>
      <c r="AJ1511" s="196">
        <f>IFERROR($G1511/SUMIF($A:$A,$A1511,$G:$G)*(SUMIF(Summary!$A$247:$A$283,$A1511,Summary!$L$247:$L$283)+SUMIF(Summary!$A$297:$A$333,$A1511,Summary!$L$297:$L$333))-AI1511,0)</f>
        <v>112939.68975261487</v>
      </c>
      <c r="AK1511" s="196">
        <f>IFERROR($G1511/SUMIF($A:$A,$A1511,$G:$G)*SUMIF(Summary!$A$247:$A$283,$A1511,Summary!$Q$247:$Q$283),0)</f>
        <v>36142.47548583513</v>
      </c>
      <c r="AL1511" s="196">
        <f>IFERROR($G1511/SUMIF($A:$A,$A1511,$G:$G)*(SUMIF(Summary!$A$247:$A$283,$A1511,Summary!$L$247:$L$283)+SUMIF(Summary!$A$297:$A$333,$A1511,Summary!$L$297:$L$333))-AK1511,0)</f>
        <v>112710.94602517062</v>
      </c>
      <c r="AM1511" s="198"/>
      <c r="AN1511" s="196">
        <f t="shared" ca="1" si="334"/>
        <v>419963.9709488987</v>
      </c>
      <c r="AO1511" s="196">
        <f t="shared" ca="1" si="335"/>
        <v>418480.97817057499</v>
      </c>
    </row>
    <row r="1512" spans="1:41">
      <c r="A1512" s="189">
        <v>3639</v>
      </c>
      <c r="B1512" s="190">
        <v>2</v>
      </c>
      <c r="C1512" s="191" t="s">
        <v>236</v>
      </c>
      <c r="D1512" s="192">
        <f t="shared" si="322"/>
        <v>0</v>
      </c>
      <c r="E1512" s="192">
        <f t="shared" si="323"/>
        <v>0</v>
      </c>
      <c r="F1512" s="192">
        <f t="shared" si="324"/>
        <v>0</v>
      </c>
      <c r="G1512" s="193">
        <f t="shared" si="325"/>
        <v>0</v>
      </c>
      <c r="H1512" s="194">
        <v>0</v>
      </c>
      <c r="I1512" s="194">
        <v>0</v>
      </c>
      <c r="J1512" s="194">
        <v>0</v>
      </c>
      <c r="K1512" s="193">
        <f t="shared" si="326"/>
        <v>0</v>
      </c>
      <c r="L1512" s="194">
        <v>0</v>
      </c>
      <c r="M1512" s="194">
        <v>0</v>
      </c>
      <c r="N1512" s="194">
        <v>0</v>
      </c>
      <c r="O1512" s="193">
        <f t="shared" si="327"/>
        <v>0</v>
      </c>
      <c r="P1512" s="194">
        <v>0</v>
      </c>
      <c r="Q1512" s="194">
        <v>0</v>
      </c>
      <c r="R1512" s="194">
        <v>0</v>
      </c>
      <c r="S1512" s="193">
        <f t="shared" si="328"/>
        <v>0</v>
      </c>
      <c r="T1512" s="193">
        <f t="shared" si="329"/>
        <v>0</v>
      </c>
      <c r="U1512" s="193">
        <f ca="1">OFFSET('Expenditure Study'!$B$7,'Operations Support'!$C1512,'Operations Support'!$B1512)*$G1512</f>
        <v>0</v>
      </c>
      <c r="V1512" s="199">
        <f ca="1">U1512*'Expenditure Study'!$B$31</f>
        <v>0</v>
      </c>
      <c r="W1512" s="199">
        <f ca="1">IF(A1512=10298,1.51,1)*IF($B1512&lt;3,$D1512*'Expenditure Study'!$B$32*OFFSET('Expenditure Study'!$B$7,'Operations Support'!$C1512,'Operations Support'!$B1512),0)</f>
        <v>0</v>
      </c>
      <c r="X1512" s="200">
        <f ca="1">W1512*'Expenditure Study'!$B$31</f>
        <v>0</v>
      </c>
      <c r="Y1512" s="199">
        <f ca="1">U1512*'Expenditure Study'!$B$31</f>
        <v>0</v>
      </c>
      <c r="Z1512" s="200">
        <f ca="1">W1512*'Expenditure Study'!$B$31</f>
        <v>0</v>
      </c>
      <c r="AA1512" s="195">
        <f t="shared" ca="1" si="330"/>
        <v>0</v>
      </c>
      <c r="AB1512" s="195">
        <f t="shared" ca="1" si="331"/>
        <v>0</v>
      </c>
      <c r="AD1512" s="196">
        <f>IFERROR($G1512/SUMIF($A:$A,$A1512,$G:$G)*SUMIF(Summary!$A$166:$A$242,$A1512,Summary!$P$166:$P$242),0)</f>
        <v>0</v>
      </c>
      <c r="AE1512" s="197">
        <f t="shared" ca="1" si="332"/>
        <v>0</v>
      </c>
      <c r="AF1512" s="196">
        <f>IFERROR(G1512/SUMIF(A:A,A1512,G:G)*SUMIF(Summary!$A$166:$A$242,'Operations Support'!A1512,Summary!$Q$166:$Q$242),0)</f>
        <v>0</v>
      </c>
      <c r="AG1512" s="196">
        <f t="shared" ca="1" si="333"/>
        <v>0</v>
      </c>
      <c r="AI1512" s="196">
        <f>IFERROR($G1512/SUMIF($A:$A,$A1512,$G:$G)*SUMIF(Summary!$A$247:$A$283,$A1512,Summary!$P$247:$P$283),0)</f>
        <v>0</v>
      </c>
      <c r="AJ1512" s="196">
        <f>IFERROR($G1512/SUMIF($A:$A,$A1512,$G:$G)*(SUMIF(Summary!$A$247:$A$283,$A1512,Summary!$L$247:$L$283)+SUMIF(Summary!$A$297:$A$333,$A1512,Summary!$L$297:$L$333))-AI1512,0)</f>
        <v>0</v>
      </c>
      <c r="AK1512" s="196">
        <f>IFERROR($G1512/SUMIF($A:$A,$A1512,$G:$G)*SUMIF(Summary!$A$247:$A$283,$A1512,Summary!$Q$247:$Q$283),0)</f>
        <v>0</v>
      </c>
      <c r="AL1512" s="196">
        <f>IFERROR($G1512/SUMIF($A:$A,$A1512,$G:$G)*(SUMIF(Summary!$A$247:$A$283,$A1512,Summary!$L$247:$L$283)+SUMIF(Summary!$A$297:$A$333,$A1512,Summary!$L$297:$L$333))-AK1512,0)</f>
        <v>0</v>
      </c>
      <c r="AM1512" s="198"/>
      <c r="AN1512" s="196">
        <f t="shared" ca="1" si="334"/>
        <v>0</v>
      </c>
      <c r="AO1512" s="196">
        <f t="shared" ca="1" si="335"/>
        <v>0</v>
      </c>
    </row>
    <row r="1513" spans="1:41" s="201" customFormat="1">
      <c r="A1513" s="189">
        <v>3639</v>
      </c>
      <c r="B1513" s="190">
        <v>2</v>
      </c>
      <c r="C1513" s="191" t="s">
        <v>237</v>
      </c>
      <c r="D1513" s="192">
        <f t="shared" si="322"/>
        <v>96</v>
      </c>
      <c r="E1513" s="192">
        <f t="shared" si="323"/>
        <v>198</v>
      </c>
      <c r="F1513" s="192">
        <f t="shared" si="324"/>
        <v>0</v>
      </c>
      <c r="G1513" s="193">
        <f t="shared" si="325"/>
        <v>294</v>
      </c>
      <c r="H1513" s="194">
        <v>90</v>
      </c>
      <c r="I1513" s="194">
        <v>132</v>
      </c>
      <c r="J1513" s="194">
        <v>0</v>
      </c>
      <c r="K1513" s="193">
        <f t="shared" si="326"/>
        <v>222</v>
      </c>
      <c r="L1513" s="194">
        <v>6</v>
      </c>
      <c r="M1513" s="194">
        <v>66</v>
      </c>
      <c r="N1513" s="194">
        <v>0</v>
      </c>
      <c r="O1513" s="193">
        <f t="shared" si="327"/>
        <v>72</v>
      </c>
      <c r="P1513" s="194">
        <v>0</v>
      </c>
      <c r="Q1513" s="194">
        <v>0</v>
      </c>
      <c r="R1513" s="194">
        <v>0</v>
      </c>
      <c r="S1513" s="193">
        <f t="shared" si="328"/>
        <v>0</v>
      </c>
      <c r="T1513" s="193">
        <f t="shared" si="329"/>
        <v>9.8000000000000007</v>
      </c>
      <c r="U1513" s="193">
        <f ca="1">OFFSET('Expenditure Study'!$B$7,'Operations Support'!$C1513,'Operations Support'!$B1513)*$G1513</f>
        <v>687.95999999999992</v>
      </c>
      <c r="V1513" s="199">
        <f ca="1">U1513*'Expenditure Study'!$B$31</f>
        <v>40646.865063167999</v>
      </c>
      <c r="W1513" s="199">
        <f ca="1">IF(A1513=10298,1.51,1)*IF($B1513&lt;3,$D1513*'Expenditure Study'!$B$32*OFFSET('Expenditure Study'!$B$7,'Operations Support'!$C1513,'Operations Support'!$B1513),0)</f>
        <v>22.464000000000002</v>
      </c>
      <c r="X1513" s="200">
        <f ca="1">W1513*'Expenditure Study'!$B$31</f>
        <v>1327.2445734912001</v>
      </c>
      <c r="Y1513" s="199">
        <f ca="1">U1513*'Expenditure Study'!$B$31</f>
        <v>40646.865063167999</v>
      </c>
      <c r="Z1513" s="200">
        <f ca="1">W1513*'Expenditure Study'!$B$31</f>
        <v>1327.2445734912001</v>
      </c>
      <c r="AA1513" s="195">
        <f t="shared" ca="1" si="330"/>
        <v>41974.109636659203</v>
      </c>
      <c r="AB1513" s="195">
        <f t="shared" ca="1" si="331"/>
        <v>41974.109636659203</v>
      </c>
      <c r="AD1513" s="196">
        <f>IFERROR($G1513/SUMIF($A:$A,$A1513,$G:$G)*SUMIF(Summary!$A$166:$A$242,$A1513,Summary!$P$166:$P$242),0)</f>
        <v>13686.805160539543</v>
      </c>
      <c r="AE1513" s="197">
        <f t="shared" ca="1" si="332"/>
        <v>28287.304476119658</v>
      </c>
      <c r="AF1513" s="196">
        <f>IFERROR(G1513/SUMIF(A:A,A1513,G:G)*SUMIF(Summary!$A$166:$A$242,'Operations Support'!A1513,Summary!$Q$166:$Q$242),0)</f>
        <v>13773.979917267337</v>
      </c>
      <c r="AG1513" s="196">
        <f t="shared" ca="1" si="333"/>
        <v>28200.129719391865</v>
      </c>
      <c r="AH1513" s="180"/>
      <c r="AI1513" s="196">
        <f>IFERROR($G1513/SUMIF($A:$A,$A1513,$G:$G)*SUMIF(Summary!$A$247:$A$283,$A1513,Summary!$P$247:$P$283),0)</f>
        <v>2496.1317108668845</v>
      </c>
      <c r="AJ1513" s="196">
        <f>IFERROR($G1513/SUMIF($A:$A,$A1513,$G:$G)*(SUMIF(Summary!$A$247:$A$283,$A1513,Summary!$L$247:$L$283)+SUMIF(Summary!$A$297:$A$333,$A1513,Summary!$L$297:$L$333))-AI1513,0)</f>
        <v>7849.7089331604657</v>
      </c>
      <c r="AK1513" s="196">
        <f>IFERROR($G1513/SUMIF($A:$A,$A1513,$G:$G)*SUMIF(Summary!$A$247:$A$283,$A1513,Summary!$Q$247:$Q$283),0)</f>
        <v>2512.0302110722291</v>
      </c>
      <c r="AL1513" s="196">
        <f>IFERROR($G1513/SUMIF($A:$A,$A1513,$G:$G)*(SUMIF(Summary!$A$247:$A$283,$A1513,Summary!$L$247:$L$283)+SUMIF(Summary!$A$297:$A$333,$A1513,Summary!$L$297:$L$333))-AK1513,0)</f>
        <v>7833.8104329551206</v>
      </c>
      <c r="AM1513" s="198"/>
      <c r="AN1513" s="196">
        <f t="shared" ca="1" si="334"/>
        <v>36137.013409280124</v>
      </c>
      <c r="AO1513" s="196">
        <f t="shared" ca="1" si="335"/>
        <v>36033.940152346986</v>
      </c>
    </row>
    <row r="1514" spans="1:41">
      <c r="A1514" s="189">
        <v>3639</v>
      </c>
      <c r="B1514" s="190">
        <v>2</v>
      </c>
      <c r="C1514" s="191" t="s">
        <v>238</v>
      </c>
      <c r="D1514" s="192">
        <f t="shared" si="322"/>
        <v>652</v>
      </c>
      <c r="E1514" s="192">
        <f t="shared" si="323"/>
        <v>357</v>
      </c>
      <c r="F1514" s="192">
        <f t="shared" si="324"/>
        <v>0</v>
      </c>
      <c r="G1514" s="193">
        <f t="shared" si="325"/>
        <v>1009</v>
      </c>
      <c r="H1514" s="194">
        <v>247</v>
      </c>
      <c r="I1514" s="194">
        <v>210</v>
      </c>
      <c r="J1514" s="194">
        <v>0</v>
      </c>
      <c r="K1514" s="193">
        <f t="shared" si="326"/>
        <v>457</v>
      </c>
      <c r="L1514" s="194">
        <v>405</v>
      </c>
      <c r="M1514" s="194">
        <v>126</v>
      </c>
      <c r="N1514" s="194">
        <v>0</v>
      </c>
      <c r="O1514" s="193">
        <f t="shared" si="327"/>
        <v>531</v>
      </c>
      <c r="P1514" s="194">
        <v>0</v>
      </c>
      <c r="Q1514" s="194">
        <v>21</v>
      </c>
      <c r="R1514" s="194">
        <v>0</v>
      </c>
      <c r="S1514" s="193">
        <f t="shared" si="328"/>
        <v>21</v>
      </c>
      <c r="T1514" s="193">
        <f t="shared" si="329"/>
        <v>33.633333333333333</v>
      </c>
      <c r="U1514" s="193">
        <f ca="1">OFFSET('Expenditure Study'!$B$7,'Operations Support'!$C1514,'Operations Support'!$B1514)*$G1514</f>
        <v>2421.6</v>
      </c>
      <c r="V1514" s="199">
        <f ca="1">U1514*'Expenditure Study'!$B$31</f>
        <v>143075.83062528001</v>
      </c>
      <c r="W1514" s="199">
        <f ca="1">IF(A1514=10298,1.51,1)*IF($B1514&lt;3,$D1514*'Expenditure Study'!$B$32*OFFSET('Expenditure Study'!$B$7,'Operations Support'!$C1514,'Operations Support'!$B1514),0)</f>
        <v>156.47999999999999</v>
      </c>
      <c r="X1514" s="200">
        <f ca="1">W1514*'Expenditure Study'!$B$31</f>
        <v>9245.3361315839993</v>
      </c>
      <c r="Y1514" s="199">
        <f ca="1">U1514*'Expenditure Study'!$B$31</f>
        <v>143075.83062528001</v>
      </c>
      <c r="Z1514" s="200">
        <f ca="1">W1514*'Expenditure Study'!$B$31</f>
        <v>9245.3361315839993</v>
      </c>
      <c r="AA1514" s="195">
        <f t="shared" ca="1" si="330"/>
        <v>152321.166756864</v>
      </c>
      <c r="AB1514" s="195">
        <f t="shared" ca="1" si="331"/>
        <v>152321.166756864</v>
      </c>
      <c r="AD1514" s="196">
        <f>IFERROR($G1514/SUMIF($A:$A,$A1514,$G:$G)*SUMIF(Summary!$A$166:$A$242,$A1514,Summary!$P$166:$P$242),0)</f>
        <v>46972.742880899321</v>
      </c>
      <c r="AE1514" s="197">
        <f t="shared" ca="1" si="332"/>
        <v>105348.42387596468</v>
      </c>
      <c r="AF1514" s="196">
        <f>IFERROR(G1514/SUMIF(A:A,A1514,G:G)*SUMIF(Summary!$A$166:$A$242,'Operations Support'!A1514,Summary!$Q$166:$Q$242),0)</f>
        <v>47271.924273886885</v>
      </c>
      <c r="AG1514" s="196">
        <f t="shared" ca="1" si="333"/>
        <v>105049.2424829771</v>
      </c>
      <c r="AI1514" s="196">
        <f>IFERROR($G1514/SUMIF($A:$A,$A1514,$G:$G)*SUMIF(Summary!$A$247:$A$283,$A1514,Summary!$P$247:$P$283),0)</f>
        <v>8566.6561097438316</v>
      </c>
      <c r="AJ1514" s="196">
        <f>IFERROR($G1514/SUMIF($A:$A,$A1514,$G:$G)*(SUMIF(Summary!$A$247:$A$283,$A1514,Summary!$L$247:$L$283)+SUMIF(Summary!$A$297:$A$333,$A1514,Summary!$L$297:$L$333))-AI1514,0)</f>
        <v>26939.987461084726</v>
      </c>
      <c r="AK1514" s="196">
        <f>IFERROR($G1514/SUMIF($A:$A,$A1514,$G:$G)*SUMIF(Summary!$A$247:$A$283,$A1514,Summary!$Q$247:$Q$283),0)</f>
        <v>8621.2193298363236</v>
      </c>
      <c r="AL1514" s="196">
        <f>IFERROR($G1514/SUMIF($A:$A,$A1514,$G:$G)*(SUMIF(Summary!$A$247:$A$283,$A1514,Summary!$L$247:$L$283)+SUMIF(Summary!$A$297:$A$333,$A1514,Summary!$L$297:$L$333))-AK1514,0)</f>
        <v>26885.424240992234</v>
      </c>
      <c r="AM1514" s="198"/>
      <c r="AN1514" s="196">
        <f t="shared" ca="1" si="334"/>
        <v>132288.41133704942</v>
      </c>
      <c r="AO1514" s="196">
        <f t="shared" ca="1" si="335"/>
        <v>131934.66672396933</v>
      </c>
    </row>
    <row r="1515" spans="1:41">
      <c r="A1515" s="189">
        <v>3639</v>
      </c>
      <c r="B1515" s="190">
        <v>2</v>
      </c>
      <c r="C1515" s="191" t="s">
        <v>239</v>
      </c>
      <c r="D1515" s="192">
        <f t="shared" si="322"/>
        <v>0</v>
      </c>
      <c r="E1515" s="192">
        <f t="shared" si="323"/>
        <v>0</v>
      </c>
      <c r="F1515" s="192">
        <f t="shared" si="324"/>
        <v>0</v>
      </c>
      <c r="G1515" s="193">
        <f t="shared" si="325"/>
        <v>0</v>
      </c>
      <c r="H1515" s="194">
        <v>0</v>
      </c>
      <c r="I1515" s="194">
        <v>0</v>
      </c>
      <c r="J1515" s="194">
        <v>0</v>
      </c>
      <c r="K1515" s="193">
        <f t="shared" si="326"/>
        <v>0</v>
      </c>
      <c r="L1515" s="194">
        <v>0</v>
      </c>
      <c r="M1515" s="194">
        <v>0</v>
      </c>
      <c r="N1515" s="194">
        <v>0</v>
      </c>
      <c r="O1515" s="193">
        <f t="shared" si="327"/>
        <v>0</v>
      </c>
      <c r="P1515" s="194">
        <v>0</v>
      </c>
      <c r="Q1515" s="194">
        <v>0</v>
      </c>
      <c r="R1515" s="194">
        <v>0</v>
      </c>
      <c r="S1515" s="193">
        <f t="shared" si="328"/>
        <v>0</v>
      </c>
      <c r="T1515" s="193">
        <f t="shared" si="329"/>
        <v>0</v>
      </c>
      <c r="U1515" s="193">
        <f ca="1">OFFSET('Expenditure Study'!$B$7,'Operations Support'!$C1515,'Operations Support'!$B1515)*$G1515</f>
        <v>0</v>
      </c>
      <c r="V1515" s="199">
        <f ca="1">U1515*'Expenditure Study'!$B$31</f>
        <v>0</v>
      </c>
      <c r="W1515" s="199">
        <f ca="1">IF(A1515=10298,1.51,1)*IF($B1515&lt;3,$D1515*'Expenditure Study'!$B$32*OFFSET('Expenditure Study'!$B$7,'Operations Support'!$C1515,'Operations Support'!$B1515),0)</f>
        <v>0</v>
      </c>
      <c r="X1515" s="200">
        <f ca="1">W1515*'Expenditure Study'!$B$31</f>
        <v>0</v>
      </c>
      <c r="Y1515" s="199">
        <f ca="1">U1515*'Expenditure Study'!$B$31</f>
        <v>0</v>
      </c>
      <c r="Z1515" s="200">
        <f ca="1">W1515*'Expenditure Study'!$B$31</f>
        <v>0</v>
      </c>
      <c r="AA1515" s="195">
        <f t="shared" ca="1" si="330"/>
        <v>0</v>
      </c>
      <c r="AB1515" s="195">
        <f t="shared" ca="1" si="331"/>
        <v>0</v>
      </c>
      <c r="AD1515" s="196">
        <f>IFERROR($G1515/SUMIF($A:$A,$A1515,$G:$G)*SUMIF(Summary!$A$166:$A$242,$A1515,Summary!$P$166:$P$242),0)</f>
        <v>0</v>
      </c>
      <c r="AE1515" s="197">
        <f t="shared" ca="1" si="332"/>
        <v>0</v>
      </c>
      <c r="AF1515" s="196">
        <f>IFERROR(G1515/SUMIF(A:A,A1515,G:G)*SUMIF(Summary!$A$166:$A$242,'Operations Support'!A1515,Summary!$Q$166:$Q$242),0)</f>
        <v>0</v>
      </c>
      <c r="AG1515" s="196">
        <f t="shared" ca="1" si="333"/>
        <v>0</v>
      </c>
      <c r="AI1515" s="196">
        <f>IFERROR($G1515/SUMIF($A:$A,$A1515,$G:$G)*SUMIF(Summary!$A$247:$A$283,$A1515,Summary!$P$247:$P$283),0)</f>
        <v>0</v>
      </c>
      <c r="AJ1515" s="196">
        <f>IFERROR($G1515/SUMIF($A:$A,$A1515,$G:$G)*(SUMIF(Summary!$A$247:$A$283,$A1515,Summary!$L$247:$L$283)+SUMIF(Summary!$A$297:$A$333,$A1515,Summary!$L$297:$L$333))-AI1515,0)</f>
        <v>0</v>
      </c>
      <c r="AK1515" s="196">
        <f>IFERROR($G1515/SUMIF($A:$A,$A1515,$G:$G)*SUMIF(Summary!$A$247:$A$283,$A1515,Summary!$Q$247:$Q$283),0)</f>
        <v>0</v>
      </c>
      <c r="AL1515" s="196">
        <f>IFERROR($G1515/SUMIF($A:$A,$A1515,$G:$G)*(SUMIF(Summary!$A$247:$A$283,$A1515,Summary!$L$247:$L$283)+SUMIF(Summary!$A$297:$A$333,$A1515,Summary!$L$297:$L$333))-AK1515,0)</f>
        <v>0</v>
      </c>
      <c r="AM1515" s="198"/>
      <c r="AN1515" s="196">
        <f t="shared" ca="1" si="334"/>
        <v>0</v>
      </c>
      <c r="AO1515" s="196">
        <f t="shared" ca="1" si="335"/>
        <v>0</v>
      </c>
    </row>
    <row r="1516" spans="1:41">
      <c r="A1516" s="189">
        <v>3639</v>
      </c>
      <c r="B1516" s="190">
        <v>2</v>
      </c>
      <c r="C1516" s="191" t="s">
        <v>240</v>
      </c>
      <c r="D1516" s="192">
        <f t="shared" si="322"/>
        <v>0</v>
      </c>
      <c r="E1516" s="192">
        <f t="shared" si="323"/>
        <v>0</v>
      </c>
      <c r="F1516" s="192">
        <f t="shared" si="324"/>
        <v>0</v>
      </c>
      <c r="G1516" s="193">
        <f t="shared" si="325"/>
        <v>0</v>
      </c>
      <c r="H1516" s="194">
        <v>0</v>
      </c>
      <c r="I1516" s="194">
        <v>0</v>
      </c>
      <c r="J1516" s="194">
        <v>0</v>
      </c>
      <c r="K1516" s="193">
        <f t="shared" si="326"/>
        <v>0</v>
      </c>
      <c r="L1516" s="194">
        <v>0</v>
      </c>
      <c r="M1516" s="194">
        <v>0</v>
      </c>
      <c r="N1516" s="194">
        <v>0</v>
      </c>
      <c r="O1516" s="193">
        <f t="shared" si="327"/>
        <v>0</v>
      </c>
      <c r="P1516" s="194">
        <v>0</v>
      </c>
      <c r="Q1516" s="194">
        <v>0</v>
      </c>
      <c r="R1516" s="194">
        <v>0</v>
      </c>
      <c r="S1516" s="193">
        <f t="shared" si="328"/>
        <v>0</v>
      </c>
      <c r="T1516" s="193">
        <f t="shared" si="329"/>
        <v>0</v>
      </c>
      <c r="U1516" s="193">
        <f ca="1">OFFSET('Expenditure Study'!$B$7,'Operations Support'!$C1516,'Operations Support'!$B1516)*$G1516</f>
        <v>0</v>
      </c>
      <c r="V1516" s="199">
        <f ca="1">U1516*'Expenditure Study'!$B$31</f>
        <v>0</v>
      </c>
      <c r="W1516" s="199">
        <f ca="1">IF(A1516=10298,1.51,1)*IF($B1516&lt;3,$D1516*'Expenditure Study'!$B$32*OFFSET('Expenditure Study'!$B$7,'Operations Support'!$C1516,'Operations Support'!$B1516),0)</f>
        <v>0</v>
      </c>
      <c r="X1516" s="200">
        <f ca="1">W1516*'Expenditure Study'!$B$31</f>
        <v>0</v>
      </c>
      <c r="Y1516" s="199">
        <f ca="1">U1516*'Expenditure Study'!$B$31</f>
        <v>0</v>
      </c>
      <c r="Z1516" s="200">
        <f ca="1">W1516*'Expenditure Study'!$B$31</f>
        <v>0</v>
      </c>
      <c r="AA1516" s="195">
        <f t="shared" ca="1" si="330"/>
        <v>0</v>
      </c>
      <c r="AB1516" s="195">
        <f t="shared" ca="1" si="331"/>
        <v>0</v>
      </c>
      <c r="AD1516" s="196">
        <f>IFERROR($G1516/SUMIF($A:$A,$A1516,$G:$G)*SUMIF(Summary!$A$166:$A$242,$A1516,Summary!$P$166:$P$242),0)</f>
        <v>0</v>
      </c>
      <c r="AE1516" s="197">
        <f t="shared" ca="1" si="332"/>
        <v>0</v>
      </c>
      <c r="AF1516" s="196">
        <f>IFERROR(G1516/SUMIF(A:A,A1516,G:G)*SUMIF(Summary!$A$166:$A$242,'Operations Support'!A1516,Summary!$Q$166:$Q$242),0)</f>
        <v>0</v>
      </c>
      <c r="AG1516" s="196">
        <f t="shared" ca="1" si="333"/>
        <v>0</v>
      </c>
      <c r="AI1516" s="196">
        <f>IFERROR($G1516/SUMIF($A:$A,$A1516,$G:$G)*SUMIF(Summary!$A$247:$A$283,$A1516,Summary!$P$247:$P$283),0)</f>
        <v>0</v>
      </c>
      <c r="AJ1516" s="196">
        <f>IFERROR($G1516/SUMIF($A:$A,$A1516,$G:$G)*(SUMIF(Summary!$A$247:$A$283,$A1516,Summary!$L$247:$L$283)+SUMIF(Summary!$A$297:$A$333,$A1516,Summary!$L$297:$L$333))-AI1516,0)</f>
        <v>0</v>
      </c>
      <c r="AK1516" s="196">
        <f>IFERROR($G1516/SUMIF($A:$A,$A1516,$G:$G)*SUMIF(Summary!$A$247:$A$283,$A1516,Summary!$Q$247:$Q$283),0)</f>
        <v>0</v>
      </c>
      <c r="AL1516" s="196">
        <f>IFERROR($G1516/SUMIF($A:$A,$A1516,$G:$G)*(SUMIF(Summary!$A$247:$A$283,$A1516,Summary!$L$247:$L$283)+SUMIF(Summary!$A$297:$A$333,$A1516,Summary!$L$297:$L$333))-AK1516,0)</f>
        <v>0</v>
      </c>
      <c r="AM1516" s="198"/>
      <c r="AN1516" s="196">
        <f t="shared" ca="1" si="334"/>
        <v>0</v>
      </c>
      <c r="AO1516" s="196">
        <f t="shared" ca="1" si="335"/>
        <v>0</v>
      </c>
    </row>
    <row r="1517" spans="1:41">
      <c r="A1517" s="189">
        <v>3639</v>
      </c>
      <c r="B1517" s="190">
        <v>3</v>
      </c>
      <c r="C1517" s="191" t="s">
        <v>220</v>
      </c>
      <c r="D1517" s="192">
        <f t="shared" si="322"/>
        <v>1770</v>
      </c>
      <c r="E1517" s="192">
        <f t="shared" si="323"/>
        <v>147</v>
      </c>
      <c r="F1517" s="192">
        <f t="shared" si="324"/>
        <v>0</v>
      </c>
      <c r="G1517" s="193">
        <f t="shared" si="325"/>
        <v>1917</v>
      </c>
      <c r="H1517" s="194">
        <v>789</v>
      </c>
      <c r="I1517" s="194">
        <v>27</v>
      </c>
      <c r="J1517" s="194">
        <v>0</v>
      </c>
      <c r="K1517" s="193">
        <f t="shared" si="326"/>
        <v>816</v>
      </c>
      <c r="L1517" s="194">
        <v>714</v>
      </c>
      <c r="M1517" s="194">
        <v>120</v>
      </c>
      <c r="N1517" s="194">
        <v>0</v>
      </c>
      <c r="O1517" s="193">
        <f t="shared" si="327"/>
        <v>834</v>
      </c>
      <c r="P1517" s="194">
        <v>267</v>
      </c>
      <c r="Q1517" s="194">
        <v>0</v>
      </c>
      <c r="R1517" s="194">
        <v>0</v>
      </c>
      <c r="S1517" s="193">
        <f t="shared" si="328"/>
        <v>267</v>
      </c>
      <c r="T1517" s="193">
        <f t="shared" si="329"/>
        <v>79.875</v>
      </c>
      <c r="U1517" s="193">
        <f ca="1">OFFSET('Expenditure Study'!$B$7,'Operations Support'!$C1517,'Operations Support'!$B1517)*$G1517</f>
        <v>8549.82</v>
      </c>
      <c r="V1517" s="199">
        <f ca="1">U1517*'Expenditure Study'!$B$31</f>
        <v>505150.56086745596</v>
      </c>
      <c r="W1517" s="199">
        <f ca="1">IF(A1517=10298,1.51,1)*IF($B1517&lt;3,$D1517*'Expenditure Study'!$B$32*OFFSET('Expenditure Study'!$B$7,'Operations Support'!$C1517,'Operations Support'!$B1517),0)</f>
        <v>0</v>
      </c>
      <c r="X1517" s="200">
        <f ca="1">W1517*'Expenditure Study'!$B$31</f>
        <v>0</v>
      </c>
      <c r="Y1517" s="199">
        <f ca="1">U1517*'Expenditure Study'!$B$31</f>
        <v>505150.56086745596</v>
      </c>
      <c r="Z1517" s="200">
        <f ca="1">W1517*'Expenditure Study'!$B$31</f>
        <v>0</v>
      </c>
      <c r="AA1517" s="195">
        <f t="shared" ca="1" si="330"/>
        <v>505150.56086745596</v>
      </c>
      <c r="AB1517" s="195">
        <f t="shared" ca="1" si="331"/>
        <v>505150.56086745596</v>
      </c>
      <c r="AD1517" s="196">
        <f>IFERROR($G1517/SUMIF($A:$A,$A1517,$G:$G)*SUMIF(Summary!$A$166:$A$242,$A1517,Summary!$P$166:$P$242),0)</f>
        <v>89243.556097803768</v>
      </c>
      <c r="AE1517" s="197">
        <f t="shared" ca="1" si="332"/>
        <v>415907.00476965221</v>
      </c>
      <c r="AF1517" s="196">
        <f>IFERROR(G1517/SUMIF(A:A,A1517,G:G)*SUMIF(Summary!$A$166:$A$242,'Operations Support'!A1517,Summary!$Q$166:$Q$242),0)</f>
        <v>89811.97109320233</v>
      </c>
      <c r="AG1517" s="196">
        <f t="shared" ca="1" si="333"/>
        <v>415338.58977425366</v>
      </c>
      <c r="AI1517" s="196">
        <f>IFERROR($G1517/SUMIF($A:$A,$A1517,$G:$G)*SUMIF(Summary!$A$247:$A$283,$A1517,Summary!$P$247:$P$283),0)</f>
        <v>16275.797584121829</v>
      </c>
      <c r="AJ1517" s="196">
        <f>IFERROR($G1517/SUMIF($A:$A,$A1517,$G:$G)*(SUMIF(Summary!$A$247:$A$283,$A1517,Summary!$L$247:$L$283)+SUMIF(Summary!$A$297:$A$333,$A1517,Summary!$L$297:$L$333))-AI1517,0)</f>
        <v>51183.30620703609</v>
      </c>
      <c r="AK1517" s="196">
        <f>IFERROR($G1517/SUMIF($A:$A,$A1517,$G:$G)*SUMIF(Summary!$A$247:$A$283,$A1517,Summary!$Q$247:$Q$283),0)</f>
        <v>16379.462294644432</v>
      </c>
      <c r="AL1517" s="196">
        <f>IFERROR($G1517/SUMIF($A:$A,$A1517,$G:$G)*(SUMIF(Summary!$A$247:$A$283,$A1517,Summary!$L$247:$L$283)+SUMIF(Summary!$A$297:$A$333,$A1517,Summary!$L$297:$L$333))-AK1517,0)</f>
        <v>51079.64149651349</v>
      </c>
      <c r="AM1517" s="198"/>
      <c r="AN1517" s="196">
        <f t="shared" ca="1" si="334"/>
        <v>467090.31097668828</v>
      </c>
      <c r="AO1517" s="196">
        <f t="shared" ca="1" si="335"/>
        <v>466418.23127076717</v>
      </c>
    </row>
    <row r="1518" spans="1:41">
      <c r="A1518" s="189">
        <v>3639</v>
      </c>
      <c r="B1518" s="190">
        <v>3</v>
      </c>
      <c r="C1518" s="191" t="s">
        <v>221</v>
      </c>
      <c r="D1518" s="192">
        <f t="shared" si="322"/>
        <v>1030</v>
      </c>
      <c r="E1518" s="192">
        <f t="shared" si="323"/>
        <v>120</v>
      </c>
      <c r="F1518" s="192">
        <f t="shared" si="324"/>
        <v>0</v>
      </c>
      <c r="G1518" s="193">
        <f t="shared" si="325"/>
        <v>1150</v>
      </c>
      <c r="H1518" s="194">
        <v>462</v>
      </c>
      <c r="I1518" s="194">
        <v>66</v>
      </c>
      <c r="J1518" s="194">
        <v>0</v>
      </c>
      <c r="K1518" s="193">
        <f t="shared" si="326"/>
        <v>528</v>
      </c>
      <c r="L1518" s="194">
        <v>511</v>
      </c>
      <c r="M1518" s="194">
        <v>21</v>
      </c>
      <c r="N1518" s="194">
        <v>0</v>
      </c>
      <c r="O1518" s="193">
        <f t="shared" si="327"/>
        <v>532</v>
      </c>
      <c r="P1518" s="194">
        <v>57</v>
      </c>
      <c r="Q1518" s="194">
        <v>33</v>
      </c>
      <c r="R1518" s="194">
        <v>0</v>
      </c>
      <c r="S1518" s="193">
        <f t="shared" si="328"/>
        <v>90</v>
      </c>
      <c r="T1518" s="193">
        <f t="shared" si="329"/>
        <v>47.916666666666664</v>
      </c>
      <c r="U1518" s="193">
        <f ca="1">OFFSET('Expenditure Study'!$B$7,'Operations Support'!$C1518,'Operations Support'!$B1518)*$G1518</f>
        <v>8050</v>
      </c>
      <c r="V1518" s="199">
        <f ca="1">U1518*'Expenditure Study'!$B$31</f>
        <v>475619.60544000001</v>
      </c>
      <c r="W1518" s="199">
        <f ca="1">IF(A1518=10298,1.51,1)*IF($B1518&lt;3,$D1518*'Expenditure Study'!$B$32*OFFSET('Expenditure Study'!$B$7,'Operations Support'!$C1518,'Operations Support'!$B1518),0)</f>
        <v>0</v>
      </c>
      <c r="X1518" s="200">
        <f ca="1">W1518*'Expenditure Study'!$B$31</f>
        <v>0</v>
      </c>
      <c r="Y1518" s="199">
        <f ca="1">U1518*'Expenditure Study'!$B$31</f>
        <v>475619.60544000001</v>
      </c>
      <c r="Z1518" s="200">
        <f ca="1">W1518*'Expenditure Study'!$B$31</f>
        <v>0</v>
      </c>
      <c r="AA1518" s="195">
        <f t="shared" ca="1" si="330"/>
        <v>475619.60544000001</v>
      </c>
      <c r="AB1518" s="195">
        <f t="shared" ca="1" si="331"/>
        <v>475619.60544000001</v>
      </c>
      <c r="AD1518" s="196">
        <f>IFERROR($G1518/SUMIF($A:$A,$A1518,$G:$G)*SUMIF(Summary!$A$166:$A$242,$A1518,Summary!$P$166:$P$242),0)</f>
        <v>53536.822906872374</v>
      </c>
      <c r="AE1518" s="197">
        <f t="shared" ca="1" si="332"/>
        <v>422082.78253312764</v>
      </c>
      <c r="AF1518" s="196">
        <f>IFERROR(G1518/SUMIF(A:A,A1518,G:G)*SUMIF(Summary!$A$166:$A$242,'Operations Support'!A1518,Summary!$Q$166:$Q$242),0)</f>
        <v>53877.812601555917</v>
      </c>
      <c r="AG1518" s="196">
        <f t="shared" ca="1" si="333"/>
        <v>421741.79283844412</v>
      </c>
      <c r="AI1518" s="196">
        <f>IFERROR($G1518/SUMIF($A:$A,$A1518,$G:$G)*SUMIF(Summary!$A$247:$A$283,$A1518,Summary!$P$247:$P$283),0)</f>
        <v>9763.7805016901966</v>
      </c>
      <c r="AJ1518" s="196">
        <f>IFERROR($G1518/SUMIF($A:$A,$A1518,$G:$G)*(SUMIF(Summary!$A$247:$A$283,$A1518,Summary!$L$247:$L$283)+SUMIF(Summary!$A$297:$A$333,$A1518,Summary!$L$297:$L$333))-AI1518,0)</f>
        <v>30704.643786171888</v>
      </c>
      <c r="AK1518" s="196">
        <f>IFERROR($G1518/SUMIF($A:$A,$A1518,$G:$G)*SUMIF(Summary!$A$247:$A$283,$A1518,Summary!$Q$247:$Q$283),0)</f>
        <v>9825.9685126974964</v>
      </c>
      <c r="AL1518" s="196">
        <f>IFERROR($G1518/SUMIF($A:$A,$A1518,$G:$G)*(SUMIF(Summary!$A$247:$A$283,$A1518,Summary!$L$247:$L$283)+SUMIF(Summary!$A$297:$A$333,$A1518,Summary!$L$297:$L$333))-AK1518,0)</f>
        <v>30642.455775164592</v>
      </c>
      <c r="AM1518" s="198"/>
      <c r="AN1518" s="196">
        <f t="shared" ca="1" si="334"/>
        <v>452787.4263192995</v>
      </c>
      <c r="AO1518" s="196">
        <f t="shared" ca="1" si="335"/>
        <v>452384.24861360871</v>
      </c>
    </row>
    <row r="1519" spans="1:41">
      <c r="A1519" s="189">
        <v>3639</v>
      </c>
      <c r="B1519" s="190">
        <v>3</v>
      </c>
      <c r="C1519" s="191" t="s">
        <v>222</v>
      </c>
      <c r="D1519" s="192">
        <f t="shared" si="322"/>
        <v>262</v>
      </c>
      <c r="E1519" s="192">
        <f t="shared" si="323"/>
        <v>48</v>
      </c>
      <c r="F1519" s="192">
        <f t="shared" si="324"/>
        <v>0</v>
      </c>
      <c r="G1519" s="193">
        <f t="shared" si="325"/>
        <v>310</v>
      </c>
      <c r="H1519" s="194">
        <v>57</v>
      </c>
      <c r="I1519" s="194">
        <v>12</v>
      </c>
      <c r="J1519" s="194">
        <v>0</v>
      </c>
      <c r="K1519" s="193">
        <f t="shared" si="326"/>
        <v>69</v>
      </c>
      <c r="L1519" s="194">
        <v>93</v>
      </c>
      <c r="M1519" s="194">
        <v>3</v>
      </c>
      <c r="N1519" s="194">
        <v>0</v>
      </c>
      <c r="O1519" s="193">
        <f t="shared" si="327"/>
        <v>96</v>
      </c>
      <c r="P1519" s="194">
        <v>112</v>
      </c>
      <c r="Q1519" s="194">
        <v>33</v>
      </c>
      <c r="R1519" s="194">
        <v>0</v>
      </c>
      <c r="S1519" s="193">
        <f t="shared" si="328"/>
        <v>145</v>
      </c>
      <c r="T1519" s="193">
        <f t="shared" si="329"/>
        <v>12.916666666666666</v>
      </c>
      <c r="U1519" s="193">
        <f ca="1">OFFSET('Expenditure Study'!$B$7,'Operations Support'!$C1519,'Operations Support'!$B1519)*$G1519</f>
        <v>2328.1</v>
      </c>
      <c r="V1519" s="199">
        <f ca="1">U1519*'Expenditure Study'!$B$31</f>
        <v>137551.55322048001</v>
      </c>
      <c r="W1519" s="199">
        <f ca="1">IF(A1519=10298,1.51,1)*IF($B1519&lt;3,$D1519*'Expenditure Study'!$B$32*OFFSET('Expenditure Study'!$B$7,'Operations Support'!$C1519,'Operations Support'!$B1519),0)</f>
        <v>0</v>
      </c>
      <c r="X1519" s="200">
        <f ca="1">W1519*'Expenditure Study'!$B$31</f>
        <v>0</v>
      </c>
      <c r="Y1519" s="199">
        <f ca="1">U1519*'Expenditure Study'!$B$31</f>
        <v>137551.55322048001</v>
      </c>
      <c r="Z1519" s="200">
        <f ca="1">W1519*'Expenditure Study'!$B$31</f>
        <v>0</v>
      </c>
      <c r="AA1519" s="195">
        <f t="shared" ca="1" si="330"/>
        <v>137551.55322048001</v>
      </c>
      <c r="AB1519" s="195">
        <f t="shared" ca="1" si="331"/>
        <v>137551.55322048001</v>
      </c>
      <c r="AD1519" s="196">
        <f>IFERROR($G1519/SUMIF($A:$A,$A1519,$G:$G)*SUMIF(Summary!$A$166:$A$242,$A1519,Summary!$P$166:$P$242),0)</f>
        <v>14431.665305330813</v>
      </c>
      <c r="AE1519" s="197">
        <f t="shared" ca="1" si="332"/>
        <v>123119.8879151492</v>
      </c>
      <c r="AF1519" s="196">
        <f>IFERROR(G1519/SUMIF(A:A,A1519,G:G)*SUMIF(Summary!$A$166:$A$242,'Operations Support'!A1519,Summary!$Q$166:$Q$242),0)</f>
        <v>14523.584266506377</v>
      </c>
      <c r="AG1519" s="196">
        <f t="shared" ca="1" si="333"/>
        <v>123027.96895397363</v>
      </c>
      <c r="AI1519" s="196">
        <f>IFERROR($G1519/SUMIF($A:$A,$A1519,$G:$G)*SUMIF(Summary!$A$247:$A$283,$A1519,Summary!$P$247:$P$283),0)</f>
        <v>2631.9756134990962</v>
      </c>
      <c r="AJ1519" s="196">
        <f>IFERROR($G1519/SUMIF($A:$A,$A1519,$G:$G)*(SUMIF(Summary!$A$247:$A$283,$A1519,Summary!$L$247:$L$283)+SUMIF(Summary!$A$297:$A$333,$A1519,Summary!$L$297:$L$333))-AI1519,0)</f>
        <v>8276.9039771419884</v>
      </c>
      <c r="AK1519" s="196">
        <f>IFERROR($G1519/SUMIF($A:$A,$A1519,$G:$G)*SUMIF(Summary!$A$247:$A$283,$A1519,Summary!$Q$247:$Q$283),0)</f>
        <v>2648.739338205412</v>
      </c>
      <c r="AL1519" s="196">
        <f>IFERROR($G1519/SUMIF($A:$A,$A1519,$G:$G)*(SUMIF(Summary!$A$247:$A$283,$A1519,Summary!$L$247:$L$283)+SUMIF(Summary!$A$297:$A$333,$A1519,Summary!$L$297:$L$333))-AK1519,0)</f>
        <v>8260.1402524356727</v>
      </c>
      <c r="AM1519" s="198"/>
      <c r="AN1519" s="196">
        <f t="shared" ca="1" si="334"/>
        <v>131396.79189229119</v>
      </c>
      <c r="AO1519" s="196">
        <f t="shared" ca="1" si="335"/>
        <v>131288.10920640931</v>
      </c>
    </row>
    <row r="1520" spans="1:41">
      <c r="A1520" s="189">
        <v>3639</v>
      </c>
      <c r="B1520" s="190">
        <v>3</v>
      </c>
      <c r="C1520" s="191" t="s">
        <v>223</v>
      </c>
      <c r="D1520" s="192">
        <f t="shared" si="322"/>
        <v>1533</v>
      </c>
      <c r="E1520" s="192">
        <f t="shared" si="323"/>
        <v>1380</v>
      </c>
      <c r="F1520" s="192">
        <f t="shared" si="324"/>
        <v>0</v>
      </c>
      <c r="G1520" s="193">
        <f t="shared" si="325"/>
        <v>2913</v>
      </c>
      <c r="H1520" s="194">
        <v>515</v>
      </c>
      <c r="I1520" s="194">
        <v>549</v>
      </c>
      <c r="J1520" s="194">
        <v>0</v>
      </c>
      <c r="K1520" s="193">
        <f t="shared" si="326"/>
        <v>1064</v>
      </c>
      <c r="L1520" s="194">
        <v>543</v>
      </c>
      <c r="M1520" s="194">
        <v>477</v>
      </c>
      <c r="N1520" s="194">
        <v>0</v>
      </c>
      <c r="O1520" s="193">
        <f t="shared" si="327"/>
        <v>1020</v>
      </c>
      <c r="P1520" s="194">
        <v>475</v>
      </c>
      <c r="Q1520" s="194">
        <v>354</v>
      </c>
      <c r="R1520" s="194">
        <v>0</v>
      </c>
      <c r="S1520" s="193">
        <f t="shared" si="328"/>
        <v>829</v>
      </c>
      <c r="T1520" s="193">
        <f t="shared" si="329"/>
        <v>121.375</v>
      </c>
      <c r="U1520" s="193">
        <f ca="1">OFFSET('Expenditure Study'!$B$7,'Operations Support'!$C1520,'Operations Support'!$B1520)*$G1520</f>
        <v>6525.1200000000008</v>
      </c>
      <c r="V1520" s="199">
        <f ca="1">U1520*'Expenditure Study'!$B$31</f>
        <v>385524.84470169607</v>
      </c>
      <c r="W1520" s="199">
        <f ca="1">IF(A1520=10298,1.51,1)*IF($B1520&lt;3,$D1520*'Expenditure Study'!$B$32*OFFSET('Expenditure Study'!$B$7,'Operations Support'!$C1520,'Operations Support'!$B1520),0)</f>
        <v>0</v>
      </c>
      <c r="X1520" s="200">
        <f ca="1">W1520*'Expenditure Study'!$B$31</f>
        <v>0</v>
      </c>
      <c r="Y1520" s="199">
        <f ca="1">U1520*'Expenditure Study'!$B$31</f>
        <v>385524.84470169607</v>
      </c>
      <c r="Z1520" s="200">
        <f ca="1">W1520*'Expenditure Study'!$B$31</f>
        <v>0</v>
      </c>
      <c r="AA1520" s="195">
        <f t="shared" ca="1" si="330"/>
        <v>385524.84470169607</v>
      </c>
      <c r="AB1520" s="195">
        <f t="shared" ca="1" si="331"/>
        <v>385524.84470169607</v>
      </c>
      <c r="AD1520" s="196">
        <f>IFERROR($G1520/SUMIF($A:$A,$A1520,$G:$G)*SUMIF(Summary!$A$166:$A$242,$A1520,Summary!$P$166:$P$242),0)</f>
        <v>135611.10011106016</v>
      </c>
      <c r="AE1520" s="197">
        <f t="shared" ca="1" si="332"/>
        <v>249913.74459063591</v>
      </c>
      <c r="AF1520" s="196">
        <f>IFERROR(G1520/SUMIF(A:A,A1520,G:G)*SUMIF(Summary!$A$166:$A$242,'Operations Support'!A1520,Summary!$Q$166:$Q$242),0)</f>
        <v>136474.8418333325</v>
      </c>
      <c r="AG1520" s="196">
        <f t="shared" ca="1" si="333"/>
        <v>249050.00286836358</v>
      </c>
      <c r="AI1520" s="196">
        <f>IFERROR($G1520/SUMIF($A:$A,$A1520,$G:$G)*SUMIF(Summary!$A$247:$A$283,$A1520,Summary!$P$247:$P$283),0)</f>
        <v>24732.080522976987</v>
      </c>
      <c r="AJ1520" s="196">
        <f>IFERROR($G1520/SUMIF($A:$A,$A1520,$G:$G)*(SUMIF(Summary!$A$247:$A$283,$A1520,Summary!$L$247:$L$283)+SUMIF(Summary!$A$297:$A$333,$A1520,Summary!$L$297:$L$333))-AI1520,0)</f>
        <v>77776.197694885836</v>
      </c>
      <c r="AK1520" s="196">
        <f>IFERROR($G1520/SUMIF($A:$A,$A1520,$G:$G)*SUMIF(Summary!$A$247:$A$283,$A1520,Summary!$Q$247:$Q$283),0)</f>
        <v>24889.605458685044</v>
      </c>
      <c r="AL1520" s="196">
        <f>IFERROR($G1520/SUMIF($A:$A,$A1520,$G:$G)*(SUMIF(Summary!$A$247:$A$283,$A1520,Summary!$L$247:$L$283)+SUMIF(Summary!$A$297:$A$333,$A1520,Summary!$L$297:$L$333))-AK1520,0)</f>
        <v>77618.672759177774</v>
      </c>
      <c r="AM1520" s="198"/>
      <c r="AN1520" s="196">
        <f t="shared" ca="1" si="334"/>
        <v>327689.94228552177</v>
      </c>
      <c r="AO1520" s="196">
        <f t="shared" ca="1" si="335"/>
        <v>326668.67562754138</v>
      </c>
    </row>
    <row r="1521" spans="1:41">
      <c r="A1521" s="189">
        <v>3639</v>
      </c>
      <c r="B1521" s="190">
        <v>3</v>
      </c>
      <c r="C1521" s="191" t="s">
        <v>224</v>
      </c>
      <c r="D1521" s="192">
        <f t="shared" si="322"/>
        <v>1501</v>
      </c>
      <c r="E1521" s="192">
        <f t="shared" si="323"/>
        <v>156</v>
      </c>
      <c r="F1521" s="192">
        <f t="shared" si="324"/>
        <v>0</v>
      </c>
      <c r="G1521" s="193">
        <f t="shared" si="325"/>
        <v>1657</v>
      </c>
      <c r="H1521" s="194">
        <v>570</v>
      </c>
      <c r="I1521" s="194">
        <v>102</v>
      </c>
      <c r="J1521" s="194">
        <v>0</v>
      </c>
      <c r="K1521" s="193">
        <f t="shared" si="326"/>
        <v>672</v>
      </c>
      <c r="L1521" s="194">
        <v>582</v>
      </c>
      <c r="M1521" s="194">
        <v>54</v>
      </c>
      <c r="N1521" s="194">
        <v>0</v>
      </c>
      <c r="O1521" s="193">
        <f t="shared" si="327"/>
        <v>636</v>
      </c>
      <c r="P1521" s="194">
        <v>349</v>
      </c>
      <c r="Q1521" s="194">
        <v>0</v>
      </c>
      <c r="R1521" s="194">
        <v>0</v>
      </c>
      <c r="S1521" s="193">
        <f t="shared" si="328"/>
        <v>349</v>
      </c>
      <c r="T1521" s="193">
        <f t="shared" si="329"/>
        <v>69.041666666666671</v>
      </c>
      <c r="U1521" s="193">
        <f ca="1">OFFSET('Expenditure Study'!$B$7,'Operations Support'!$C1521,'Operations Support'!$B1521)*$G1521</f>
        <v>15194.69</v>
      </c>
      <c r="V1521" s="199">
        <f ca="1">U1521*'Expenditure Study'!$B$31</f>
        <v>897750.61646995205</v>
      </c>
      <c r="W1521" s="199">
        <f ca="1">IF(A1521=10298,1.51,1)*IF($B1521&lt;3,$D1521*'Expenditure Study'!$B$32*OFFSET('Expenditure Study'!$B$7,'Operations Support'!$C1521,'Operations Support'!$B1521),0)</f>
        <v>0</v>
      </c>
      <c r="X1521" s="200">
        <f ca="1">W1521*'Expenditure Study'!$B$31</f>
        <v>0</v>
      </c>
      <c r="Y1521" s="199">
        <f ca="1">U1521*'Expenditure Study'!$B$31</f>
        <v>897750.61646995205</v>
      </c>
      <c r="Z1521" s="200">
        <f ca="1">W1521*'Expenditure Study'!$B$31</f>
        <v>0</v>
      </c>
      <c r="AA1521" s="195">
        <f t="shared" ca="1" si="330"/>
        <v>897750.61646995205</v>
      </c>
      <c r="AB1521" s="195">
        <f t="shared" ca="1" si="331"/>
        <v>897750.61646995205</v>
      </c>
      <c r="AD1521" s="196">
        <f>IFERROR($G1521/SUMIF($A:$A,$A1521,$G:$G)*SUMIF(Summary!$A$166:$A$242,$A1521,Summary!$P$166:$P$242),0)</f>
        <v>77139.578744945655</v>
      </c>
      <c r="AE1521" s="197">
        <f t="shared" ca="1" si="332"/>
        <v>820611.03772500635</v>
      </c>
      <c r="AF1521" s="196">
        <f>IFERROR(G1521/SUMIF(A:A,A1521,G:G)*SUMIF(Summary!$A$166:$A$242,'Operations Support'!A1521,Summary!$Q$166:$Q$242),0)</f>
        <v>77630.900418067948</v>
      </c>
      <c r="AG1521" s="196">
        <f t="shared" ca="1" si="333"/>
        <v>820119.71605188411</v>
      </c>
      <c r="AI1521" s="196">
        <f>IFERROR($G1521/SUMIF($A:$A,$A1521,$G:$G)*SUMIF(Summary!$A$247:$A$283,$A1521,Summary!$P$247:$P$283),0)</f>
        <v>14068.334166348393</v>
      </c>
      <c r="AJ1521" s="196">
        <f>IFERROR($G1521/SUMIF($A:$A,$A1521,$G:$G)*(SUMIF(Summary!$A$247:$A$283,$A1521,Summary!$L$247:$L$283)+SUMIF(Summary!$A$297:$A$333,$A1521,Summary!$L$297:$L$333))-AI1521,0)</f>
        <v>44241.386742336363</v>
      </c>
      <c r="AK1521" s="196">
        <f>IFERROR($G1521/SUMIF($A:$A,$A1521,$G:$G)*SUMIF(Summary!$A$247:$A$283,$A1521,Summary!$Q$247:$Q$283),0)</f>
        <v>14157.938978730215</v>
      </c>
      <c r="AL1521" s="196">
        <f>IFERROR($G1521/SUMIF($A:$A,$A1521,$G:$G)*(SUMIF(Summary!$A$247:$A$283,$A1521,Summary!$L$247:$L$283)+SUMIF(Summary!$A$297:$A$333,$A1521,Summary!$L$297:$L$333))-AK1521,0)</f>
        <v>44151.781929954544</v>
      </c>
      <c r="AM1521" s="198"/>
      <c r="AN1521" s="196">
        <f t="shared" ca="1" si="334"/>
        <v>864852.42446734267</v>
      </c>
      <c r="AO1521" s="196">
        <f t="shared" ca="1" si="335"/>
        <v>864271.49798183865</v>
      </c>
    </row>
    <row r="1522" spans="1:41">
      <c r="A1522" s="189">
        <v>3639</v>
      </c>
      <c r="B1522" s="190">
        <v>3</v>
      </c>
      <c r="C1522" s="191" t="s">
        <v>225</v>
      </c>
      <c r="D1522" s="192">
        <f t="shared" si="322"/>
        <v>6849</v>
      </c>
      <c r="E1522" s="192">
        <f t="shared" si="323"/>
        <v>1209</v>
      </c>
      <c r="F1522" s="192">
        <f t="shared" si="324"/>
        <v>0</v>
      </c>
      <c r="G1522" s="193">
        <f t="shared" si="325"/>
        <v>8058</v>
      </c>
      <c r="H1522" s="194">
        <v>2721</v>
      </c>
      <c r="I1522" s="194">
        <v>330</v>
      </c>
      <c r="J1522" s="194">
        <v>0</v>
      </c>
      <c r="K1522" s="193">
        <f t="shared" si="326"/>
        <v>3051</v>
      </c>
      <c r="L1522" s="194">
        <v>2289</v>
      </c>
      <c r="M1522" s="194">
        <v>822</v>
      </c>
      <c r="N1522" s="194">
        <v>0</v>
      </c>
      <c r="O1522" s="193">
        <f t="shared" si="327"/>
        <v>3111</v>
      </c>
      <c r="P1522" s="194">
        <v>1839</v>
      </c>
      <c r="Q1522" s="194">
        <v>57</v>
      </c>
      <c r="R1522" s="194">
        <v>0</v>
      </c>
      <c r="S1522" s="193">
        <f t="shared" si="328"/>
        <v>1896</v>
      </c>
      <c r="T1522" s="193">
        <f t="shared" si="329"/>
        <v>335.75</v>
      </c>
      <c r="U1522" s="193">
        <f ca="1">OFFSET('Expenditure Study'!$B$7,'Operations Support'!$C1522,'Operations Support'!$B1522)*$G1522</f>
        <v>55680.78</v>
      </c>
      <c r="V1522" s="199">
        <f ca="1">U1522*'Expenditure Study'!$B$31</f>
        <v>3289797.5918250238</v>
      </c>
      <c r="W1522" s="199">
        <f ca="1">IF(A1522=10298,1.51,1)*IF($B1522&lt;3,$D1522*'Expenditure Study'!$B$32*OFFSET('Expenditure Study'!$B$7,'Operations Support'!$C1522,'Operations Support'!$B1522),0)</f>
        <v>0</v>
      </c>
      <c r="X1522" s="200">
        <f ca="1">W1522*'Expenditure Study'!$B$31</f>
        <v>0</v>
      </c>
      <c r="Y1522" s="199">
        <f ca="1">U1522*'Expenditure Study'!$B$31</f>
        <v>3289797.5918250238</v>
      </c>
      <c r="Z1522" s="200">
        <f ca="1">W1522*'Expenditure Study'!$B$31</f>
        <v>0</v>
      </c>
      <c r="AA1522" s="195">
        <f t="shared" ca="1" si="330"/>
        <v>3289797.5918250238</v>
      </c>
      <c r="AB1522" s="195">
        <f t="shared" ca="1" si="331"/>
        <v>3289797.5918250238</v>
      </c>
      <c r="AD1522" s="196">
        <f>IFERROR($G1522/SUMIF($A:$A,$A1522,$G:$G)*SUMIF(Summary!$A$166:$A$242,$A1522,Summary!$P$166:$P$242),0)</f>
        <v>375130.19042050221</v>
      </c>
      <c r="AE1522" s="197">
        <f t="shared" ca="1" si="332"/>
        <v>2914667.4014045214</v>
      </c>
      <c r="AF1522" s="196">
        <f>IFERROR(G1522/SUMIF(A:A,A1522,G:G)*SUMIF(Summary!$A$166:$A$242,'Operations Support'!A1522,Summary!$Q$166:$Q$242),0)</f>
        <v>377519.4903855109</v>
      </c>
      <c r="AG1522" s="196">
        <f t="shared" ca="1" si="333"/>
        <v>2912278.1014395128</v>
      </c>
      <c r="AI1522" s="196">
        <f>IFERROR($G1522/SUMIF($A:$A,$A1522,$G:$G)*SUMIF(Summary!$A$247:$A$283,$A1522,Summary!$P$247:$P$283),0)</f>
        <v>68414.385463147468</v>
      </c>
      <c r="AJ1522" s="196">
        <f>IFERROR($G1522/SUMIF($A:$A,$A1522,$G:$G)*(SUMIF(Summary!$A$247:$A$283,$A1522,Summary!$L$247:$L$283)+SUMIF(Summary!$A$297:$A$333,$A1522,Summary!$L$297:$L$333))-AI1522,0)</f>
        <v>215146.10402519396</v>
      </c>
      <c r="AK1522" s="196">
        <f>IFERROR($G1522/SUMIF($A:$A,$A1522,$G:$G)*SUMIF(Summary!$A$247:$A$283,$A1522,Summary!$Q$247:$Q$283),0)</f>
        <v>68850.134152449056</v>
      </c>
      <c r="AL1522" s="196">
        <f>IFERROR($G1522/SUMIF($A:$A,$A1522,$G:$G)*(SUMIF(Summary!$A$247:$A$283,$A1522,Summary!$L$247:$L$283)+SUMIF(Summary!$A$297:$A$333,$A1522,Summary!$L$297:$L$333))-AK1522,0)</f>
        <v>214710.35533589238</v>
      </c>
      <c r="AM1522" s="198"/>
      <c r="AN1522" s="196">
        <f t="shared" ca="1" si="334"/>
        <v>3129813.5054297154</v>
      </c>
      <c r="AO1522" s="196">
        <f t="shared" ca="1" si="335"/>
        <v>3126988.456775405</v>
      </c>
    </row>
    <row r="1523" spans="1:41">
      <c r="A1523" s="189">
        <v>3639</v>
      </c>
      <c r="B1523" s="190">
        <v>3</v>
      </c>
      <c r="C1523" s="191" t="s">
        <v>226</v>
      </c>
      <c r="D1523" s="192">
        <f t="shared" si="322"/>
        <v>6</v>
      </c>
      <c r="E1523" s="192">
        <f t="shared" si="323"/>
        <v>0</v>
      </c>
      <c r="F1523" s="192">
        <f t="shared" si="324"/>
        <v>0</v>
      </c>
      <c r="G1523" s="193">
        <f t="shared" si="325"/>
        <v>6</v>
      </c>
      <c r="H1523" s="194">
        <v>0</v>
      </c>
      <c r="I1523" s="194">
        <v>0</v>
      </c>
      <c r="J1523" s="194">
        <v>0</v>
      </c>
      <c r="K1523" s="193">
        <f t="shared" si="326"/>
        <v>0</v>
      </c>
      <c r="L1523" s="194">
        <v>0</v>
      </c>
      <c r="M1523" s="194">
        <v>0</v>
      </c>
      <c r="N1523" s="194">
        <v>0</v>
      </c>
      <c r="O1523" s="193">
        <f t="shared" si="327"/>
        <v>0</v>
      </c>
      <c r="P1523" s="194">
        <v>6</v>
      </c>
      <c r="Q1523" s="194">
        <v>0</v>
      </c>
      <c r="R1523" s="194">
        <v>0</v>
      </c>
      <c r="S1523" s="193">
        <f t="shared" si="328"/>
        <v>6</v>
      </c>
      <c r="T1523" s="193">
        <f t="shared" si="329"/>
        <v>0.25</v>
      </c>
      <c r="U1523" s="193">
        <f ca="1">OFFSET('Expenditure Study'!$B$7,'Operations Support'!$C1523,'Operations Support'!$B1523)*$G1523</f>
        <v>20.700000000000003</v>
      </c>
      <c r="V1523" s="199">
        <f ca="1">U1523*'Expenditure Study'!$B$31</f>
        <v>1223.0218425600001</v>
      </c>
      <c r="W1523" s="199">
        <f ca="1">IF(A1523=10298,1.51,1)*IF($B1523&lt;3,$D1523*'Expenditure Study'!$B$32*OFFSET('Expenditure Study'!$B$7,'Operations Support'!$C1523,'Operations Support'!$B1523),0)</f>
        <v>0</v>
      </c>
      <c r="X1523" s="200">
        <f ca="1">W1523*'Expenditure Study'!$B$31</f>
        <v>0</v>
      </c>
      <c r="Y1523" s="199">
        <f ca="1">U1523*'Expenditure Study'!$B$31</f>
        <v>1223.0218425600001</v>
      </c>
      <c r="Z1523" s="200">
        <f ca="1">W1523*'Expenditure Study'!$B$31</f>
        <v>0</v>
      </c>
      <c r="AA1523" s="195">
        <f t="shared" ca="1" si="330"/>
        <v>1223.0218425600001</v>
      </c>
      <c r="AB1523" s="195">
        <f t="shared" ca="1" si="331"/>
        <v>1223.0218425600001</v>
      </c>
      <c r="AD1523" s="196">
        <f>IFERROR($G1523/SUMIF($A:$A,$A1523,$G:$G)*SUMIF(Summary!$A$166:$A$242,$A1523,Summary!$P$166:$P$242),0)</f>
        <v>279.3225542967254</v>
      </c>
      <c r="AE1523" s="197">
        <f t="shared" ca="1" si="332"/>
        <v>943.69928826327464</v>
      </c>
      <c r="AF1523" s="196">
        <f>IFERROR(G1523/SUMIF(A:A,A1523,G:G)*SUMIF(Summary!$A$166:$A$242,'Operations Support'!A1523,Summary!$Q$166:$Q$242),0)</f>
        <v>281.10163096463953</v>
      </c>
      <c r="AG1523" s="196">
        <f t="shared" ca="1" si="333"/>
        <v>941.92021159536057</v>
      </c>
      <c r="AI1523" s="196">
        <f>IFERROR($G1523/SUMIF($A:$A,$A1523,$G:$G)*SUMIF(Summary!$A$247:$A$283,$A1523,Summary!$P$247:$P$283),0)</f>
        <v>50.941463487079275</v>
      </c>
      <c r="AJ1523" s="196">
        <f>IFERROR($G1523/SUMIF($A:$A,$A1523,$G:$G)*(SUMIF(Summary!$A$247:$A$283,$A1523,Summary!$L$247:$L$283)+SUMIF(Summary!$A$297:$A$333,$A1523,Summary!$L$297:$L$333))-AI1523,0)</f>
        <v>160.19814149307075</v>
      </c>
      <c r="AK1523" s="196">
        <f>IFERROR($G1523/SUMIF($A:$A,$A1523,$G:$G)*SUMIF(Summary!$A$247:$A$283,$A1523,Summary!$Q$247:$Q$283),0)</f>
        <v>51.265922674943454</v>
      </c>
      <c r="AL1523" s="196">
        <f>IFERROR($G1523/SUMIF($A:$A,$A1523,$G:$G)*(SUMIF(Summary!$A$247:$A$283,$A1523,Summary!$L$247:$L$283)+SUMIF(Summary!$A$297:$A$333,$A1523,Summary!$L$297:$L$333))-AK1523,0)</f>
        <v>159.87368230520656</v>
      </c>
      <c r="AM1523" s="198"/>
      <c r="AN1523" s="196">
        <f t="shared" ca="1" si="334"/>
        <v>1103.8974297563454</v>
      </c>
      <c r="AO1523" s="196">
        <f t="shared" ca="1" si="335"/>
        <v>1101.7938939005671</v>
      </c>
    </row>
    <row r="1524" spans="1:41">
      <c r="A1524" s="189">
        <v>3639</v>
      </c>
      <c r="B1524" s="190">
        <v>3</v>
      </c>
      <c r="C1524" s="191" t="s">
        <v>227</v>
      </c>
      <c r="D1524" s="192">
        <f t="shared" si="322"/>
        <v>0</v>
      </c>
      <c r="E1524" s="192">
        <f t="shared" si="323"/>
        <v>0</v>
      </c>
      <c r="F1524" s="192">
        <f t="shared" si="324"/>
        <v>0</v>
      </c>
      <c r="G1524" s="193">
        <f t="shared" si="325"/>
        <v>0</v>
      </c>
      <c r="H1524" s="194">
        <v>0</v>
      </c>
      <c r="I1524" s="194">
        <v>0</v>
      </c>
      <c r="J1524" s="194">
        <v>0</v>
      </c>
      <c r="K1524" s="193">
        <f t="shared" si="326"/>
        <v>0</v>
      </c>
      <c r="L1524" s="194">
        <v>0</v>
      </c>
      <c r="M1524" s="194">
        <v>0</v>
      </c>
      <c r="N1524" s="194">
        <v>0</v>
      </c>
      <c r="O1524" s="193">
        <f t="shared" si="327"/>
        <v>0</v>
      </c>
      <c r="P1524" s="194">
        <v>0</v>
      </c>
      <c r="Q1524" s="194">
        <v>0</v>
      </c>
      <c r="R1524" s="194">
        <v>0</v>
      </c>
      <c r="S1524" s="193">
        <f t="shared" si="328"/>
        <v>0</v>
      </c>
      <c r="T1524" s="193">
        <f t="shared" si="329"/>
        <v>0</v>
      </c>
      <c r="U1524" s="193">
        <f ca="1">OFFSET('Expenditure Study'!$B$7,'Operations Support'!$C1524,'Operations Support'!$B1524)*$G1524</f>
        <v>0</v>
      </c>
      <c r="V1524" s="199">
        <f ca="1">U1524*'Expenditure Study'!$B$31</f>
        <v>0</v>
      </c>
      <c r="W1524" s="199">
        <f ca="1">IF(A1524=10298,1.51,1)*IF($B1524&lt;3,$D1524*'Expenditure Study'!$B$32*OFFSET('Expenditure Study'!$B$7,'Operations Support'!$C1524,'Operations Support'!$B1524),0)</f>
        <v>0</v>
      </c>
      <c r="X1524" s="200">
        <f ca="1">W1524*'Expenditure Study'!$B$31</f>
        <v>0</v>
      </c>
      <c r="Y1524" s="199">
        <f ca="1">U1524*'Expenditure Study'!$B$31</f>
        <v>0</v>
      </c>
      <c r="Z1524" s="200">
        <f ca="1">W1524*'Expenditure Study'!$B$31</f>
        <v>0</v>
      </c>
      <c r="AA1524" s="195">
        <f t="shared" ca="1" si="330"/>
        <v>0</v>
      </c>
      <c r="AB1524" s="195">
        <f t="shared" ca="1" si="331"/>
        <v>0</v>
      </c>
      <c r="AD1524" s="196">
        <f>IFERROR($G1524/SUMIF($A:$A,$A1524,$G:$G)*SUMIF(Summary!$A$166:$A$242,$A1524,Summary!$P$166:$P$242),0)</f>
        <v>0</v>
      </c>
      <c r="AE1524" s="197">
        <f t="shared" ca="1" si="332"/>
        <v>0</v>
      </c>
      <c r="AF1524" s="196">
        <f>IFERROR(G1524/SUMIF(A:A,A1524,G:G)*SUMIF(Summary!$A$166:$A$242,'Operations Support'!A1524,Summary!$Q$166:$Q$242),0)</f>
        <v>0</v>
      </c>
      <c r="AG1524" s="196">
        <f t="shared" ca="1" si="333"/>
        <v>0</v>
      </c>
      <c r="AI1524" s="196">
        <f>IFERROR($G1524/SUMIF($A:$A,$A1524,$G:$G)*SUMIF(Summary!$A$247:$A$283,$A1524,Summary!$P$247:$P$283),0)</f>
        <v>0</v>
      </c>
      <c r="AJ1524" s="196">
        <f>IFERROR($G1524/SUMIF($A:$A,$A1524,$G:$G)*(SUMIF(Summary!$A$247:$A$283,$A1524,Summary!$L$247:$L$283)+SUMIF(Summary!$A$297:$A$333,$A1524,Summary!$L$297:$L$333))-AI1524,0)</f>
        <v>0</v>
      </c>
      <c r="AK1524" s="196">
        <f>IFERROR($G1524/SUMIF($A:$A,$A1524,$G:$G)*SUMIF(Summary!$A$247:$A$283,$A1524,Summary!$Q$247:$Q$283),0)</f>
        <v>0</v>
      </c>
      <c r="AL1524" s="196">
        <f>IFERROR($G1524/SUMIF($A:$A,$A1524,$G:$G)*(SUMIF(Summary!$A$247:$A$283,$A1524,Summary!$L$247:$L$283)+SUMIF(Summary!$A$297:$A$333,$A1524,Summary!$L$297:$L$333))-AK1524,0)</f>
        <v>0</v>
      </c>
      <c r="AM1524" s="198"/>
      <c r="AN1524" s="196">
        <f t="shared" ca="1" si="334"/>
        <v>0</v>
      </c>
      <c r="AO1524" s="196">
        <f t="shared" ca="1" si="335"/>
        <v>0</v>
      </c>
    </row>
    <row r="1525" spans="1:41">
      <c r="A1525" s="189">
        <v>3639</v>
      </c>
      <c r="B1525" s="190">
        <v>3</v>
      </c>
      <c r="C1525" s="191" t="s">
        <v>228</v>
      </c>
      <c r="D1525" s="192">
        <f t="shared" si="322"/>
        <v>652</v>
      </c>
      <c r="E1525" s="192">
        <f t="shared" si="323"/>
        <v>138</v>
      </c>
      <c r="F1525" s="192">
        <f t="shared" si="324"/>
        <v>0</v>
      </c>
      <c r="G1525" s="193">
        <f t="shared" si="325"/>
        <v>790</v>
      </c>
      <c r="H1525" s="194">
        <v>287</v>
      </c>
      <c r="I1525" s="194">
        <v>54</v>
      </c>
      <c r="J1525" s="194">
        <v>0</v>
      </c>
      <c r="K1525" s="193">
        <f t="shared" si="326"/>
        <v>341</v>
      </c>
      <c r="L1525" s="194">
        <v>281</v>
      </c>
      <c r="M1525" s="194">
        <v>84</v>
      </c>
      <c r="N1525" s="194">
        <v>0</v>
      </c>
      <c r="O1525" s="193">
        <f t="shared" si="327"/>
        <v>365</v>
      </c>
      <c r="P1525" s="194">
        <v>84</v>
      </c>
      <c r="Q1525" s="194">
        <v>0</v>
      </c>
      <c r="R1525" s="194">
        <v>0</v>
      </c>
      <c r="S1525" s="193">
        <f t="shared" si="328"/>
        <v>84</v>
      </c>
      <c r="T1525" s="193">
        <f t="shared" si="329"/>
        <v>32.916666666666664</v>
      </c>
      <c r="U1525" s="193">
        <f ca="1">OFFSET('Expenditure Study'!$B$7,'Operations Support'!$C1525,'Operations Support'!$B1525)*$G1525</f>
        <v>1927.6</v>
      </c>
      <c r="V1525" s="199">
        <f ca="1">U1525*'Expenditure Study'!$B$31</f>
        <v>113888.73931008</v>
      </c>
      <c r="W1525" s="199">
        <f ca="1">IF(A1525=10298,1.51,1)*IF($B1525&lt;3,$D1525*'Expenditure Study'!$B$32*OFFSET('Expenditure Study'!$B$7,'Operations Support'!$C1525,'Operations Support'!$B1525),0)</f>
        <v>0</v>
      </c>
      <c r="X1525" s="200">
        <f ca="1">W1525*'Expenditure Study'!$B$31</f>
        <v>0</v>
      </c>
      <c r="Y1525" s="199">
        <f ca="1">U1525*'Expenditure Study'!$B$31</f>
        <v>113888.73931008</v>
      </c>
      <c r="Z1525" s="200">
        <f ca="1">W1525*'Expenditure Study'!$B$31</f>
        <v>0</v>
      </c>
      <c r="AA1525" s="195">
        <f t="shared" ca="1" si="330"/>
        <v>113888.73931008</v>
      </c>
      <c r="AB1525" s="195">
        <f t="shared" ca="1" si="331"/>
        <v>113888.73931008</v>
      </c>
      <c r="AD1525" s="196">
        <f>IFERROR($G1525/SUMIF($A:$A,$A1525,$G:$G)*SUMIF(Summary!$A$166:$A$242,$A1525,Summary!$P$166:$P$242),0)</f>
        <v>36777.469649068844</v>
      </c>
      <c r="AE1525" s="197">
        <f t="shared" ca="1" si="332"/>
        <v>77111.269661011145</v>
      </c>
      <c r="AF1525" s="196">
        <f>IFERROR(G1525/SUMIF(A:A,A1525,G:G)*SUMIF(Summary!$A$166:$A$242,'Operations Support'!A1525,Summary!$Q$166:$Q$242),0)</f>
        <v>37011.714743677541</v>
      </c>
      <c r="AG1525" s="196">
        <f t="shared" ca="1" si="333"/>
        <v>76877.024566402455</v>
      </c>
      <c r="AI1525" s="196">
        <f>IFERROR($G1525/SUMIF($A:$A,$A1525,$G:$G)*SUMIF(Summary!$A$247:$A$283,$A1525,Summary!$P$247:$P$283),0)</f>
        <v>6707.2926924654384</v>
      </c>
      <c r="AJ1525" s="196">
        <f>IFERROR($G1525/SUMIF($A:$A,$A1525,$G:$G)*(SUMIF(Summary!$A$247:$A$283,$A1525,Summary!$L$247:$L$283)+SUMIF(Summary!$A$297:$A$333,$A1525,Summary!$L$297:$L$333))-AI1525,0)</f>
        <v>21092.755296587646</v>
      </c>
      <c r="AK1525" s="196">
        <f>IFERROR($G1525/SUMIF($A:$A,$A1525,$G:$G)*SUMIF(Summary!$A$247:$A$283,$A1525,Summary!$Q$247:$Q$283),0)</f>
        <v>6750.0131522008878</v>
      </c>
      <c r="AL1525" s="196">
        <f>IFERROR($G1525/SUMIF($A:$A,$A1525,$G:$G)*(SUMIF(Summary!$A$247:$A$283,$A1525,Summary!$L$247:$L$283)+SUMIF(Summary!$A$297:$A$333,$A1525,Summary!$L$297:$L$333))-AK1525,0)</f>
        <v>21050.034836852195</v>
      </c>
      <c r="AM1525" s="198"/>
      <c r="AN1525" s="196">
        <f t="shared" ca="1" si="334"/>
        <v>98204.024957598798</v>
      </c>
      <c r="AO1525" s="196">
        <f t="shared" ca="1" si="335"/>
        <v>97927.059403254651</v>
      </c>
    </row>
    <row r="1526" spans="1:41">
      <c r="A1526" s="189">
        <v>3639</v>
      </c>
      <c r="B1526" s="190">
        <v>3</v>
      </c>
      <c r="C1526" s="191" t="s">
        <v>229</v>
      </c>
      <c r="D1526" s="192">
        <f t="shared" si="322"/>
        <v>0</v>
      </c>
      <c r="E1526" s="192">
        <f t="shared" si="323"/>
        <v>0</v>
      </c>
      <c r="F1526" s="192">
        <f t="shared" si="324"/>
        <v>0</v>
      </c>
      <c r="G1526" s="193">
        <f t="shared" si="325"/>
        <v>0</v>
      </c>
      <c r="H1526" s="194">
        <v>0</v>
      </c>
      <c r="I1526" s="194">
        <v>0</v>
      </c>
      <c r="J1526" s="194">
        <v>0</v>
      </c>
      <c r="K1526" s="193">
        <f t="shared" si="326"/>
        <v>0</v>
      </c>
      <c r="L1526" s="194">
        <v>0</v>
      </c>
      <c r="M1526" s="194">
        <v>0</v>
      </c>
      <c r="N1526" s="194">
        <v>0</v>
      </c>
      <c r="O1526" s="193">
        <f t="shared" si="327"/>
        <v>0</v>
      </c>
      <c r="P1526" s="194">
        <v>0</v>
      </c>
      <c r="Q1526" s="194">
        <v>0</v>
      </c>
      <c r="R1526" s="194">
        <v>0</v>
      </c>
      <c r="S1526" s="193">
        <f t="shared" si="328"/>
        <v>0</v>
      </c>
      <c r="T1526" s="193">
        <f t="shared" si="329"/>
        <v>0</v>
      </c>
      <c r="U1526" s="193">
        <f ca="1">OFFSET('Expenditure Study'!$B$7,'Operations Support'!$C1526,'Operations Support'!$B1526)*$G1526</f>
        <v>0</v>
      </c>
      <c r="V1526" s="199">
        <f ca="1">U1526*'Expenditure Study'!$B$31</f>
        <v>0</v>
      </c>
      <c r="W1526" s="199">
        <f ca="1">IF(A1526=10298,1.51,1)*IF($B1526&lt;3,$D1526*'Expenditure Study'!$B$32*OFFSET('Expenditure Study'!$B$7,'Operations Support'!$C1526,'Operations Support'!$B1526),0)</f>
        <v>0</v>
      </c>
      <c r="X1526" s="200">
        <f ca="1">W1526*'Expenditure Study'!$B$31</f>
        <v>0</v>
      </c>
      <c r="Y1526" s="199">
        <f ca="1">U1526*'Expenditure Study'!$B$31</f>
        <v>0</v>
      </c>
      <c r="Z1526" s="200">
        <f ca="1">W1526*'Expenditure Study'!$B$31</f>
        <v>0</v>
      </c>
      <c r="AA1526" s="195">
        <f t="shared" ca="1" si="330"/>
        <v>0</v>
      </c>
      <c r="AB1526" s="195">
        <f t="shared" ca="1" si="331"/>
        <v>0</v>
      </c>
      <c r="AD1526" s="196">
        <f>IFERROR($G1526/SUMIF($A:$A,$A1526,$G:$G)*SUMIF(Summary!$A$166:$A$242,$A1526,Summary!$P$166:$P$242),0)</f>
        <v>0</v>
      </c>
      <c r="AE1526" s="197">
        <f t="shared" ca="1" si="332"/>
        <v>0</v>
      </c>
      <c r="AF1526" s="196">
        <f>IFERROR(G1526/SUMIF(A:A,A1526,G:G)*SUMIF(Summary!$A$166:$A$242,'Operations Support'!A1526,Summary!$Q$166:$Q$242),0)</f>
        <v>0</v>
      </c>
      <c r="AG1526" s="196">
        <f t="shared" ca="1" si="333"/>
        <v>0</v>
      </c>
      <c r="AI1526" s="196">
        <f>IFERROR($G1526/SUMIF($A:$A,$A1526,$G:$G)*SUMIF(Summary!$A$247:$A$283,$A1526,Summary!$P$247:$P$283),0)</f>
        <v>0</v>
      </c>
      <c r="AJ1526" s="196">
        <f>IFERROR($G1526/SUMIF($A:$A,$A1526,$G:$G)*(SUMIF(Summary!$A$247:$A$283,$A1526,Summary!$L$247:$L$283)+SUMIF(Summary!$A$297:$A$333,$A1526,Summary!$L$297:$L$333))-AI1526,0)</f>
        <v>0</v>
      </c>
      <c r="AK1526" s="196">
        <f>IFERROR($G1526/SUMIF($A:$A,$A1526,$G:$G)*SUMIF(Summary!$A$247:$A$283,$A1526,Summary!$Q$247:$Q$283),0)</f>
        <v>0</v>
      </c>
      <c r="AL1526" s="196">
        <f>IFERROR($G1526/SUMIF($A:$A,$A1526,$G:$G)*(SUMIF(Summary!$A$247:$A$283,$A1526,Summary!$L$247:$L$283)+SUMIF(Summary!$A$297:$A$333,$A1526,Summary!$L$297:$L$333))-AK1526,0)</f>
        <v>0</v>
      </c>
      <c r="AM1526" s="198"/>
      <c r="AN1526" s="196">
        <f t="shared" ca="1" si="334"/>
        <v>0</v>
      </c>
      <c r="AO1526" s="196">
        <f t="shared" ca="1" si="335"/>
        <v>0</v>
      </c>
    </row>
    <row r="1527" spans="1:41">
      <c r="A1527" s="189">
        <v>3639</v>
      </c>
      <c r="B1527" s="190">
        <v>3</v>
      </c>
      <c r="C1527" s="191" t="s">
        <v>230</v>
      </c>
      <c r="D1527" s="192">
        <f t="shared" si="322"/>
        <v>0</v>
      </c>
      <c r="E1527" s="192">
        <f t="shared" si="323"/>
        <v>0</v>
      </c>
      <c r="F1527" s="192">
        <f t="shared" si="324"/>
        <v>0</v>
      </c>
      <c r="G1527" s="193">
        <f t="shared" si="325"/>
        <v>0</v>
      </c>
      <c r="H1527" s="194">
        <v>0</v>
      </c>
      <c r="I1527" s="194">
        <v>0</v>
      </c>
      <c r="J1527" s="194">
        <v>0</v>
      </c>
      <c r="K1527" s="193">
        <f t="shared" si="326"/>
        <v>0</v>
      </c>
      <c r="L1527" s="194">
        <v>0</v>
      </c>
      <c r="M1527" s="194">
        <v>0</v>
      </c>
      <c r="N1527" s="194">
        <v>0</v>
      </c>
      <c r="O1527" s="193">
        <f t="shared" si="327"/>
        <v>0</v>
      </c>
      <c r="P1527" s="194">
        <v>0</v>
      </c>
      <c r="Q1527" s="194">
        <v>0</v>
      </c>
      <c r="R1527" s="194">
        <v>0</v>
      </c>
      <c r="S1527" s="193">
        <f t="shared" si="328"/>
        <v>0</v>
      </c>
      <c r="T1527" s="193">
        <f t="shared" si="329"/>
        <v>0</v>
      </c>
      <c r="U1527" s="193">
        <f ca="1">OFFSET('Expenditure Study'!$B$7,'Operations Support'!$C1527,'Operations Support'!$B1527)*$G1527</f>
        <v>0</v>
      </c>
      <c r="V1527" s="199">
        <f ca="1">U1527*'Expenditure Study'!$B$31</f>
        <v>0</v>
      </c>
      <c r="W1527" s="199">
        <f ca="1">IF(A1527=10298,1.51,1)*IF($B1527&lt;3,$D1527*'Expenditure Study'!$B$32*OFFSET('Expenditure Study'!$B$7,'Operations Support'!$C1527,'Operations Support'!$B1527),0)</f>
        <v>0</v>
      </c>
      <c r="X1527" s="200">
        <f ca="1">W1527*'Expenditure Study'!$B$31</f>
        <v>0</v>
      </c>
      <c r="Y1527" s="199">
        <f ca="1">U1527*'Expenditure Study'!$B$31</f>
        <v>0</v>
      </c>
      <c r="Z1527" s="200">
        <f ca="1">W1527*'Expenditure Study'!$B$31</f>
        <v>0</v>
      </c>
      <c r="AA1527" s="195">
        <f t="shared" ca="1" si="330"/>
        <v>0</v>
      </c>
      <c r="AB1527" s="195">
        <f t="shared" ca="1" si="331"/>
        <v>0</v>
      </c>
      <c r="AD1527" s="196">
        <f>IFERROR($G1527/SUMIF($A:$A,$A1527,$G:$G)*SUMIF(Summary!$A$166:$A$242,$A1527,Summary!$P$166:$P$242),0)</f>
        <v>0</v>
      </c>
      <c r="AE1527" s="197">
        <f t="shared" ca="1" si="332"/>
        <v>0</v>
      </c>
      <c r="AF1527" s="196">
        <f>IFERROR(G1527/SUMIF(A:A,A1527,G:G)*SUMIF(Summary!$A$166:$A$242,'Operations Support'!A1527,Summary!$Q$166:$Q$242),0)</f>
        <v>0</v>
      </c>
      <c r="AG1527" s="196">
        <f t="shared" ca="1" si="333"/>
        <v>0</v>
      </c>
      <c r="AI1527" s="196">
        <f>IFERROR($G1527/SUMIF($A:$A,$A1527,$G:$G)*SUMIF(Summary!$A$247:$A$283,$A1527,Summary!$P$247:$P$283),0)</f>
        <v>0</v>
      </c>
      <c r="AJ1527" s="196">
        <f>IFERROR($G1527/SUMIF($A:$A,$A1527,$G:$G)*(SUMIF(Summary!$A$247:$A$283,$A1527,Summary!$L$247:$L$283)+SUMIF(Summary!$A$297:$A$333,$A1527,Summary!$L$297:$L$333))-AI1527,0)</f>
        <v>0</v>
      </c>
      <c r="AK1527" s="196">
        <f>IFERROR($G1527/SUMIF($A:$A,$A1527,$G:$G)*SUMIF(Summary!$A$247:$A$283,$A1527,Summary!$Q$247:$Q$283),0)</f>
        <v>0</v>
      </c>
      <c r="AL1527" s="196">
        <f>IFERROR($G1527/SUMIF($A:$A,$A1527,$G:$G)*(SUMIF(Summary!$A$247:$A$283,$A1527,Summary!$L$247:$L$283)+SUMIF(Summary!$A$297:$A$333,$A1527,Summary!$L$297:$L$333))-AK1527,0)</f>
        <v>0</v>
      </c>
      <c r="AM1527" s="198"/>
      <c r="AN1527" s="196">
        <f t="shared" ca="1" si="334"/>
        <v>0</v>
      </c>
      <c r="AO1527" s="196">
        <f t="shared" ca="1" si="335"/>
        <v>0</v>
      </c>
    </row>
    <row r="1528" spans="1:41">
      <c r="A1528" s="189">
        <v>3639</v>
      </c>
      <c r="B1528" s="190">
        <v>3</v>
      </c>
      <c r="C1528" s="191" t="s">
        <v>231</v>
      </c>
      <c r="D1528" s="192">
        <f t="shared" si="322"/>
        <v>0</v>
      </c>
      <c r="E1528" s="192">
        <f t="shared" si="323"/>
        <v>0</v>
      </c>
      <c r="F1528" s="192">
        <f t="shared" si="324"/>
        <v>0</v>
      </c>
      <c r="G1528" s="193">
        <f t="shared" si="325"/>
        <v>0</v>
      </c>
      <c r="H1528" s="194">
        <v>0</v>
      </c>
      <c r="I1528" s="194">
        <v>0</v>
      </c>
      <c r="J1528" s="194">
        <v>0</v>
      </c>
      <c r="K1528" s="193">
        <f t="shared" si="326"/>
        <v>0</v>
      </c>
      <c r="L1528" s="194">
        <v>0</v>
      </c>
      <c r="M1528" s="194">
        <v>0</v>
      </c>
      <c r="N1528" s="194">
        <v>0</v>
      </c>
      <c r="O1528" s="193">
        <f t="shared" si="327"/>
        <v>0</v>
      </c>
      <c r="P1528" s="194">
        <v>0</v>
      </c>
      <c r="Q1528" s="194">
        <v>0</v>
      </c>
      <c r="R1528" s="194">
        <v>0</v>
      </c>
      <c r="S1528" s="193">
        <f t="shared" si="328"/>
        <v>0</v>
      </c>
      <c r="T1528" s="193">
        <f t="shared" si="329"/>
        <v>0</v>
      </c>
      <c r="U1528" s="193">
        <f ca="1">OFFSET('Expenditure Study'!$B$7,'Operations Support'!$C1528,'Operations Support'!$B1528)*$G1528</f>
        <v>0</v>
      </c>
      <c r="V1528" s="199">
        <f ca="1">U1528*'Expenditure Study'!$B$31</f>
        <v>0</v>
      </c>
      <c r="W1528" s="199">
        <f ca="1">IF(A1528=10298,1.51,1)*IF($B1528&lt;3,$D1528*'Expenditure Study'!$B$32*OFFSET('Expenditure Study'!$B$7,'Operations Support'!$C1528,'Operations Support'!$B1528),0)</f>
        <v>0</v>
      </c>
      <c r="X1528" s="200">
        <f ca="1">W1528*'Expenditure Study'!$B$31</f>
        <v>0</v>
      </c>
      <c r="Y1528" s="199">
        <f ca="1">U1528*'Expenditure Study'!$B$31</f>
        <v>0</v>
      </c>
      <c r="Z1528" s="200">
        <f ca="1">W1528*'Expenditure Study'!$B$31</f>
        <v>0</v>
      </c>
      <c r="AA1528" s="195">
        <f t="shared" ca="1" si="330"/>
        <v>0</v>
      </c>
      <c r="AB1528" s="195">
        <f t="shared" ca="1" si="331"/>
        <v>0</v>
      </c>
      <c r="AD1528" s="196">
        <f>IFERROR($G1528/SUMIF($A:$A,$A1528,$G:$G)*SUMIF(Summary!$A$166:$A$242,$A1528,Summary!$P$166:$P$242),0)</f>
        <v>0</v>
      </c>
      <c r="AE1528" s="197">
        <f t="shared" ca="1" si="332"/>
        <v>0</v>
      </c>
      <c r="AF1528" s="196">
        <f>IFERROR(G1528/SUMIF(A:A,A1528,G:G)*SUMIF(Summary!$A$166:$A$242,'Operations Support'!A1528,Summary!$Q$166:$Q$242),0)</f>
        <v>0</v>
      </c>
      <c r="AG1528" s="196">
        <f t="shared" ca="1" si="333"/>
        <v>0</v>
      </c>
      <c r="AI1528" s="196">
        <f>IFERROR($G1528/SUMIF($A:$A,$A1528,$G:$G)*SUMIF(Summary!$A$247:$A$283,$A1528,Summary!$P$247:$P$283),0)</f>
        <v>0</v>
      </c>
      <c r="AJ1528" s="196">
        <f>IFERROR($G1528/SUMIF($A:$A,$A1528,$G:$G)*(SUMIF(Summary!$A$247:$A$283,$A1528,Summary!$L$247:$L$283)+SUMIF(Summary!$A$297:$A$333,$A1528,Summary!$L$297:$L$333))-AI1528,0)</f>
        <v>0</v>
      </c>
      <c r="AK1528" s="196">
        <f>IFERROR($G1528/SUMIF($A:$A,$A1528,$G:$G)*SUMIF(Summary!$A$247:$A$283,$A1528,Summary!$Q$247:$Q$283),0)</f>
        <v>0</v>
      </c>
      <c r="AL1528" s="196">
        <f>IFERROR($G1528/SUMIF($A:$A,$A1528,$G:$G)*(SUMIF(Summary!$A$247:$A$283,$A1528,Summary!$L$247:$L$283)+SUMIF(Summary!$A$297:$A$333,$A1528,Summary!$L$297:$L$333))-AK1528,0)</f>
        <v>0</v>
      </c>
      <c r="AM1528" s="198"/>
      <c r="AN1528" s="196">
        <f t="shared" ca="1" si="334"/>
        <v>0</v>
      </c>
      <c r="AO1528" s="196">
        <f t="shared" ca="1" si="335"/>
        <v>0</v>
      </c>
    </row>
    <row r="1529" spans="1:41">
      <c r="A1529" s="189">
        <v>3639</v>
      </c>
      <c r="B1529" s="190">
        <v>3</v>
      </c>
      <c r="C1529" s="191" t="s">
        <v>232</v>
      </c>
      <c r="D1529" s="192">
        <f t="shared" si="322"/>
        <v>0</v>
      </c>
      <c r="E1529" s="192">
        <f t="shared" si="323"/>
        <v>0</v>
      </c>
      <c r="F1529" s="192">
        <f t="shared" si="324"/>
        <v>0</v>
      </c>
      <c r="G1529" s="193">
        <f t="shared" si="325"/>
        <v>0</v>
      </c>
      <c r="H1529" s="194">
        <v>0</v>
      </c>
      <c r="I1529" s="194">
        <v>0</v>
      </c>
      <c r="J1529" s="194">
        <v>0</v>
      </c>
      <c r="K1529" s="193">
        <f t="shared" si="326"/>
        <v>0</v>
      </c>
      <c r="L1529" s="194">
        <v>0</v>
      </c>
      <c r="M1529" s="194">
        <v>0</v>
      </c>
      <c r="N1529" s="194">
        <v>0</v>
      </c>
      <c r="O1529" s="193">
        <f t="shared" si="327"/>
        <v>0</v>
      </c>
      <c r="P1529" s="194">
        <v>0</v>
      </c>
      <c r="Q1529" s="194">
        <v>0</v>
      </c>
      <c r="R1529" s="194">
        <v>0</v>
      </c>
      <c r="S1529" s="193">
        <f t="shared" si="328"/>
        <v>0</v>
      </c>
      <c r="T1529" s="193">
        <f t="shared" si="329"/>
        <v>0</v>
      </c>
      <c r="U1529" s="193">
        <f ca="1">OFFSET('Expenditure Study'!$B$7,'Operations Support'!$C1529,'Operations Support'!$B1529)*$G1529</f>
        <v>0</v>
      </c>
      <c r="V1529" s="199">
        <f ca="1">U1529*'Expenditure Study'!$B$31</f>
        <v>0</v>
      </c>
      <c r="W1529" s="199">
        <f ca="1">IF(A1529=10298,1.51,1)*IF($B1529&lt;3,$D1529*'Expenditure Study'!$B$32*OFFSET('Expenditure Study'!$B$7,'Operations Support'!$C1529,'Operations Support'!$B1529),0)</f>
        <v>0</v>
      </c>
      <c r="X1529" s="200">
        <f ca="1">W1529*'Expenditure Study'!$B$31</f>
        <v>0</v>
      </c>
      <c r="Y1529" s="199">
        <f ca="1">U1529*'Expenditure Study'!$B$31</f>
        <v>0</v>
      </c>
      <c r="Z1529" s="200">
        <f ca="1">W1529*'Expenditure Study'!$B$31</f>
        <v>0</v>
      </c>
      <c r="AA1529" s="195">
        <f t="shared" ca="1" si="330"/>
        <v>0</v>
      </c>
      <c r="AB1529" s="195">
        <f t="shared" ca="1" si="331"/>
        <v>0</v>
      </c>
      <c r="AD1529" s="196">
        <f>IFERROR($G1529/SUMIF($A:$A,$A1529,$G:$G)*SUMIF(Summary!$A$166:$A$242,$A1529,Summary!$P$166:$P$242),0)</f>
        <v>0</v>
      </c>
      <c r="AE1529" s="197">
        <f t="shared" ca="1" si="332"/>
        <v>0</v>
      </c>
      <c r="AF1529" s="196">
        <f>IFERROR(G1529/SUMIF(A:A,A1529,G:G)*SUMIF(Summary!$A$166:$A$242,'Operations Support'!A1529,Summary!$Q$166:$Q$242),0)</f>
        <v>0</v>
      </c>
      <c r="AG1529" s="196">
        <f t="shared" ca="1" si="333"/>
        <v>0</v>
      </c>
      <c r="AI1529" s="196">
        <f>IFERROR($G1529/SUMIF($A:$A,$A1529,$G:$G)*SUMIF(Summary!$A$247:$A$283,$A1529,Summary!$P$247:$P$283),0)</f>
        <v>0</v>
      </c>
      <c r="AJ1529" s="196">
        <f>IFERROR($G1529/SUMIF($A:$A,$A1529,$G:$G)*(SUMIF(Summary!$A$247:$A$283,$A1529,Summary!$L$247:$L$283)+SUMIF(Summary!$A$297:$A$333,$A1529,Summary!$L$297:$L$333))-AI1529,0)</f>
        <v>0</v>
      </c>
      <c r="AK1529" s="196">
        <f>IFERROR($G1529/SUMIF($A:$A,$A1529,$G:$G)*SUMIF(Summary!$A$247:$A$283,$A1529,Summary!$Q$247:$Q$283),0)</f>
        <v>0</v>
      </c>
      <c r="AL1529" s="196">
        <f>IFERROR($G1529/SUMIF($A:$A,$A1529,$G:$G)*(SUMIF(Summary!$A$247:$A$283,$A1529,Summary!$L$247:$L$283)+SUMIF(Summary!$A$297:$A$333,$A1529,Summary!$L$297:$L$333))-AK1529,0)</f>
        <v>0</v>
      </c>
      <c r="AM1529" s="198"/>
      <c r="AN1529" s="196">
        <f t="shared" ca="1" si="334"/>
        <v>0</v>
      </c>
      <c r="AO1529" s="196">
        <f t="shared" ca="1" si="335"/>
        <v>0</v>
      </c>
    </row>
    <row r="1530" spans="1:41">
      <c r="A1530" s="189">
        <v>3639</v>
      </c>
      <c r="B1530" s="190">
        <v>3</v>
      </c>
      <c r="C1530" s="191" t="s">
        <v>233</v>
      </c>
      <c r="D1530" s="192">
        <f t="shared" si="322"/>
        <v>603</v>
      </c>
      <c r="E1530" s="192">
        <f t="shared" si="323"/>
        <v>1353</v>
      </c>
      <c r="F1530" s="192">
        <f t="shared" si="324"/>
        <v>0</v>
      </c>
      <c r="G1530" s="193">
        <f t="shared" si="325"/>
        <v>1956</v>
      </c>
      <c r="H1530" s="194">
        <v>282</v>
      </c>
      <c r="I1530" s="194">
        <v>483</v>
      </c>
      <c r="J1530" s="194">
        <v>0</v>
      </c>
      <c r="K1530" s="193">
        <f t="shared" si="326"/>
        <v>765</v>
      </c>
      <c r="L1530" s="194">
        <v>240</v>
      </c>
      <c r="M1530" s="194">
        <v>552</v>
      </c>
      <c r="N1530" s="194">
        <v>0</v>
      </c>
      <c r="O1530" s="193">
        <f t="shared" si="327"/>
        <v>792</v>
      </c>
      <c r="P1530" s="194">
        <v>81</v>
      </c>
      <c r="Q1530" s="194">
        <v>318</v>
      </c>
      <c r="R1530" s="194">
        <v>0</v>
      </c>
      <c r="S1530" s="193">
        <f t="shared" si="328"/>
        <v>399</v>
      </c>
      <c r="T1530" s="193">
        <f t="shared" si="329"/>
        <v>81.5</v>
      </c>
      <c r="U1530" s="193">
        <f ca="1">OFFSET('Expenditure Study'!$B$7,'Operations Support'!$C1530,'Operations Support'!$B1530)*$G1530</f>
        <v>5124.72</v>
      </c>
      <c r="V1530" s="199">
        <f ca="1">U1530*'Expenditure Study'!$B$31</f>
        <v>302784.75830937602</v>
      </c>
      <c r="W1530" s="199">
        <f ca="1">IF(A1530=10298,1.51,1)*IF($B1530&lt;3,$D1530*'Expenditure Study'!$B$32*OFFSET('Expenditure Study'!$B$7,'Operations Support'!$C1530,'Operations Support'!$B1530),0)</f>
        <v>0</v>
      </c>
      <c r="X1530" s="200">
        <f ca="1">W1530*'Expenditure Study'!$B$31</f>
        <v>0</v>
      </c>
      <c r="Y1530" s="199">
        <f ca="1">U1530*'Expenditure Study'!$B$31</f>
        <v>302784.75830937602</v>
      </c>
      <c r="Z1530" s="200">
        <f ca="1">W1530*'Expenditure Study'!$B$31</f>
        <v>0</v>
      </c>
      <c r="AA1530" s="195">
        <f t="shared" ca="1" si="330"/>
        <v>302784.75830937602</v>
      </c>
      <c r="AB1530" s="195">
        <f t="shared" ca="1" si="331"/>
        <v>302784.75830937602</v>
      </c>
      <c r="AD1530" s="196">
        <f>IFERROR($G1530/SUMIF($A:$A,$A1530,$G:$G)*SUMIF(Summary!$A$166:$A$242,$A1530,Summary!$P$166:$P$242),0)</f>
        <v>91059.152700732477</v>
      </c>
      <c r="AE1530" s="197">
        <f t="shared" ca="1" si="332"/>
        <v>211725.60560864356</v>
      </c>
      <c r="AF1530" s="196">
        <f>IFERROR(G1530/SUMIF(A:A,A1530,G:G)*SUMIF(Summary!$A$166:$A$242,'Operations Support'!A1530,Summary!$Q$166:$Q$242),0)</f>
        <v>91639.131694472482</v>
      </c>
      <c r="AG1530" s="196">
        <f t="shared" ca="1" si="333"/>
        <v>211145.62661490354</v>
      </c>
      <c r="AI1530" s="196">
        <f>IFERROR($G1530/SUMIF($A:$A,$A1530,$G:$G)*SUMIF(Summary!$A$247:$A$283,$A1530,Summary!$P$247:$P$283),0)</f>
        <v>16606.917096787842</v>
      </c>
      <c r="AJ1530" s="196">
        <f>IFERROR($G1530/SUMIF($A:$A,$A1530,$G:$G)*(SUMIF(Summary!$A$247:$A$283,$A1530,Summary!$L$247:$L$283)+SUMIF(Summary!$A$297:$A$333,$A1530,Summary!$L$297:$L$333))-AI1530,0)</f>
        <v>52224.594126741053</v>
      </c>
      <c r="AK1530" s="196">
        <f>IFERROR($G1530/SUMIF($A:$A,$A1530,$G:$G)*SUMIF(Summary!$A$247:$A$283,$A1530,Summary!$Q$247:$Q$283),0)</f>
        <v>16712.690792031564</v>
      </c>
      <c r="AL1530" s="196">
        <f>IFERROR($G1530/SUMIF($A:$A,$A1530,$G:$G)*(SUMIF(Summary!$A$247:$A$283,$A1530,Summary!$L$247:$L$283)+SUMIF(Summary!$A$297:$A$333,$A1530,Summary!$L$297:$L$333))-AK1530,0)</f>
        <v>52118.820431497334</v>
      </c>
      <c r="AM1530" s="198"/>
      <c r="AN1530" s="196">
        <f t="shared" ca="1" si="334"/>
        <v>263950.19973538461</v>
      </c>
      <c r="AO1530" s="196">
        <f t="shared" ca="1" si="335"/>
        <v>263264.44704640086</v>
      </c>
    </row>
    <row r="1531" spans="1:41">
      <c r="A1531" s="189">
        <v>3639</v>
      </c>
      <c r="B1531" s="190">
        <v>3</v>
      </c>
      <c r="C1531" s="191" t="s">
        <v>234</v>
      </c>
      <c r="D1531" s="192">
        <f t="shared" si="322"/>
        <v>0</v>
      </c>
      <c r="E1531" s="192">
        <f t="shared" si="323"/>
        <v>0</v>
      </c>
      <c r="F1531" s="192">
        <f t="shared" si="324"/>
        <v>0</v>
      </c>
      <c r="G1531" s="193">
        <f t="shared" si="325"/>
        <v>0</v>
      </c>
      <c r="H1531" s="194">
        <v>0</v>
      </c>
      <c r="I1531" s="194">
        <v>0</v>
      </c>
      <c r="J1531" s="194">
        <v>0</v>
      </c>
      <c r="K1531" s="193">
        <f t="shared" si="326"/>
        <v>0</v>
      </c>
      <c r="L1531" s="194">
        <v>0</v>
      </c>
      <c r="M1531" s="194">
        <v>0</v>
      </c>
      <c r="N1531" s="194">
        <v>0</v>
      </c>
      <c r="O1531" s="193">
        <f t="shared" si="327"/>
        <v>0</v>
      </c>
      <c r="P1531" s="194">
        <v>0</v>
      </c>
      <c r="Q1531" s="194">
        <v>0</v>
      </c>
      <c r="R1531" s="194">
        <v>0</v>
      </c>
      <c r="S1531" s="193">
        <f t="shared" si="328"/>
        <v>0</v>
      </c>
      <c r="T1531" s="193">
        <f t="shared" si="329"/>
        <v>0</v>
      </c>
      <c r="U1531" s="193">
        <f ca="1">OFFSET('Expenditure Study'!$B$7,'Operations Support'!$C1531,'Operations Support'!$B1531)*$G1531</f>
        <v>0</v>
      </c>
      <c r="V1531" s="199">
        <f ca="1">U1531*'Expenditure Study'!$B$31</f>
        <v>0</v>
      </c>
      <c r="W1531" s="199">
        <f ca="1">IF(A1531=10298,1.51,1)*IF($B1531&lt;3,$D1531*'Expenditure Study'!$B$32*OFFSET('Expenditure Study'!$B$7,'Operations Support'!$C1531,'Operations Support'!$B1531),0)</f>
        <v>0</v>
      </c>
      <c r="X1531" s="200">
        <f ca="1">W1531*'Expenditure Study'!$B$31</f>
        <v>0</v>
      </c>
      <c r="Y1531" s="199">
        <f ca="1">U1531*'Expenditure Study'!$B$31</f>
        <v>0</v>
      </c>
      <c r="Z1531" s="200">
        <f ca="1">W1531*'Expenditure Study'!$B$31</f>
        <v>0</v>
      </c>
      <c r="AA1531" s="195">
        <f t="shared" ca="1" si="330"/>
        <v>0</v>
      </c>
      <c r="AB1531" s="195">
        <f t="shared" ca="1" si="331"/>
        <v>0</v>
      </c>
      <c r="AD1531" s="196">
        <f>IFERROR($G1531/SUMIF($A:$A,$A1531,$G:$G)*SUMIF(Summary!$A$166:$A$242,$A1531,Summary!$P$166:$P$242),0)</f>
        <v>0</v>
      </c>
      <c r="AE1531" s="197">
        <f t="shared" ca="1" si="332"/>
        <v>0</v>
      </c>
      <c r="AF1531" s="196">
        <f>IFERROR(G1531/SUMIF(A:A,A1531,G:G)*SUMIF(Summary!$A$166:$A$242,'Operations Support'!A1531,Summary!$Q$166:$Q$242),0)</f>
        <v>0</v>
      </c>
      <c r="AG1531" s="196">
        <f t="shared" ca="1" si="333"/>
        <v>0</v>
      </c>
      <c r="AI1531" s="196">
        <f>IFERROR($G1531/SUMIF($A:$A,$A1531,$G:$G)*SUMIF(Summary!$A$247:$A$283,$A1531,Summary!$P$247:$P$283),0)</f>
        <v>0</v>
      </c>
      <c r="AJ1531" s="196">
        <f>IFERROR($G1531/SUMIF($A:$A,$A1531,$G:$G)*(SUMIF(Summary!$A$247:$A$283,$A1531,Summary!$L$247:$L$283)+SUMIF(Summary!$A$297:$A$333,$A1531,Summary!$L$297:$L$333))-AI1531,0)</f>
        <v>0</v>
      </c>
      <c r="AK1531" s="196">
        <f>IFERROR($G1531/SUMIF($A:$A,$A1531,$G:$G)*SUMIF(Summary!$A$247:$A$283,$A1531,Summary!$Q$247:$Q$283),0)</f>
        <v>0</v>
      </c>
      <c r="AL1531" s="196">
        <f>IFERROR($G1531/SUMIF($A:$A,$A1531,$G:$G)*(SUMIF(Summary!$A$247:$A$283,$A1531,Summary!$L$247:$L$283)+SUMIF(Summary!$A$297:$A$333,$A1531,Summary!$L$297:$L$333))-AK1531,0)</f>
        <v>0</v>
      </c>
      <c r="AM1531" s="198"/>
      <c r="AN1531" s="196">
        <f t="shared" ca="1" si="334"/>
        <v>0</v>
      </c>
      <c r="AO1531" s="196">
        <f t="shared" ca="1" si="335"/>
        <v>0</v>
      </c>
    </row>
    <row r="1532" spans="1:41">
      <c r="A1532" s="189">
        <v>3639</v>
      </c>
      <c r="B1532" s="190">
        <v>3</v>
      </c>
      <c r="C1532" s="191" t="s">
        <v>235</v>
      </c>
      <c r="D1532" s="192">
        <f t="shared" si="322"/>
        <v>1959</v>
      </c>
      <c r="E1532" s="192">
        <f t="shared" si="323"/>
        <v>267</v>
      </c>
      <c r="F1532" s="192">
        <f t="shared" si="324"/>
        <v>0</v>
      </c>
      <c r="G1532" s="193">
        <f t="shared" si="325"/>
        <v>2226</v>
      </c>
      <c r="H1532" s="194">
        <v>765</v>
      </c>
      <c r="I1532" s="194">
        <v>66</v>
      </c>
      <c r="J1532" s="194">
        <v>0</v>
      </c>
      <c r="K1532" s="193">
        <f t="shared" si="326"/>
        <v>831</v>
      </c>
      <c r="L1532" s="194">
        <v>444</v>
      </c>
      <c r="M1532" s="194">
        <v>33</v>
      </c>
      <c r="N1532" s="194">
        <v>0</v>
      </c>
      <c r="O1532" s="193">
        <f t="shared" si="327"/>
        <v>477</v>
      </c>
      <c r="P1532" s="194">
        <v>750</v>
      </c>
      <c r="Q1532" s="194">
        <v>168</v>
      </c>
      <c r="R1532" s="194">
        <v>0</v>
      </c>
      <c r="S1532" s="193">
        <f t="shared" si="328"/>
        <v>918</v>
      </c>
      <c r="T1532" s="193">
        <f t="shared" si="329"/>
        <v>92.75</v>
      </c>
      <c r="U1532" s="193">
        <f ca="1">OFFSET('Expenditure Study'!$B$7,'Operations Support'!$C1532,'Operations Support'!$B1532)*$G1532</f>
        <v>7034.1600000000008</v>
      </c>
      <c r="V1532" s="199">
        <f ca="1">U1532*'Expenditure Study'!$B$31</f>
        <v>415600.54705612804</v>
      </c>
      <c r="W1532" s="199">
        <f ca="1">IF(A1532=10298,1.51,1)*IF($B1532&lt;3,$D1532*'Expenditure Study'!$B$32*OFFSET('Expenditure Study'!$B$7,'Operations Support'!$C1532,'Operations Support'!$B1532),0)</f>
        <v>0</v>
      </c>
      <c r="X1532" s="200">
        <f ca="1">W1532*'Expenditure Study'!$B$31</f>
        <v>0</v>
      </c>
      <c r="Y1532" s="199">
        <f ca="1">U1532*'Expenditure Study'!$B$31</f>
        <v>415600.54705612804</v>
      </c>
      <c r="Z1532" s="200">
        <f ca="1">W1532*'Expenditure Study'!$B$31</f>
        <v>0</v>
      </c>
      <c r="AA1532" s="195">
        <f t="shared" ca="1" si="330"/>
        <v>415600.54705612804</v>
      </c>
      <c r="AB1532" s="195">
        <f t="shared" ca="1" si="331"/>
        <v>415600.54705612804</v>
      </c>
      <c r="AD1532" s="196">
        <f>IFERROR($G1532/SUMIF($A:$A,$A1532,$G:$G)*SUMIF(Summary!$A$166:$A$242,$A1532,Summary!$P$166:$P$242),0)</f>
        <v>103628.66764408513</v>
      </c>
      <c r="AE1532" s="197">
        <f t="shared" ca="1" si="332"/>
        <v>311971.87941204291</v>
      </c>
      <c r="AF1532" s="196">
        <f>IFERROR(G1532/SUMIF(A:A,A1532,G:G)*SUMIF(Summary!$A$166:$A$242,'Operations Support'!A1532,Summary!$Q$166:$Q$242),0)</f>
        <v>104288.70508788127</v>
      </c>
      <c r="AG1532" s="196">
        <f t="shared" ca="1" si="333"/>
        <v>311311.84196824674</v>
      </c>
      <c r="AI1532" s="196">
        <f>IFERROR($G1532/SUMIF($A:$A,$A1532,$G:$G)*SUMIF(Summary!$A$247:$A$283,$A1532,Summary!$P$247:$P$283),0)</f>
        <v>18899.282953706414</v>
      </c>
      <c r="AJ1532" s="196">
        <f>IFERROR($G1532/SUMIF($A:$A,$A1532,$G:$G)*(SUMIF(Summary!$A$247:$A$283,$A1532,Summary!$L$247:$L$283)+SUMIF(Summary!$A$297:$A$333,$A1532,Summary!$L$297:$L$333))-AI1532,0)</f>
        <v>59433.510493929236</v>
      </c>
      <c r="AK1532" s="196">
        <f>IFERROR($G1532/SUMIF($A:$A,$A1532,$G:$G)*SUMIF(Summary!$A$247:$A$283,$A1532,Summary!$Q$247:$Q$283),0)</f>
        <v>19019.657312404022</v>
      </c>
      <c r="AL1532" s="196">
        <f>IFERROR($G1532/SUMIF($A:$A,$A1532,$G:$G)*(SUMIF(Summary!$A$247:$A$283,$A1532,Summary!$L$247:$L$283)+SUMIF(Summary!$A$297:$A$333,$A1532,Summary!$L$297:$L$333))-AK1532,0)</f>
        <v>59313.136135231623</v>
      </c>
      <c r="AM1532" s="198"/>
      <c r="AN1532" s="196">
        <f t="shared" ca="1" si="334"/>
        <v>371405.38990597217</v>
      </c>
      <c r="AO1532" s="196">
        <f t="shared" ca="1" si="335"/>
        <v>370624.97810347838</v>
      </c>
    </row>
    <row r="1533" spans="1:41">
      <c r="A1533" s="189">
        <v>3639</v>
      </c>
      <c r="B1533" s="190">
        <v>3</v>
      </c>
      <c r="C1533" s="191" t="s">
        <v>236</v>
      </c>
      <c r="D1533" s="192">
        <f t="shared" si="322"/>
        <v>0</v>
      </c>
      <c r="E1533" s="192">
        <f t="shared" si="323"/>
        <v>0</v>
      </c>
      <c r="F1533" s="192">
        <f t="shared" si="324"/>
        <v>0</v>
      </c>
      <c r="G1533" s="193">
        <f t="shared" si="325"/>
        <v>0</v>
      </c>
      <c r="H1533" s="194">
        <v>0</v>
      </c>
      <c r="I1533" s="194">
        <v>0</v>
      </c>
      <c r="J1533" s="194">
        <v>0</v>
      </c>
      <c r="K1533" s="193">
        <f t="shared" si="326"/>
        <v>0</v>
      </c>
      <c r="L1533" s="194">
        <v>0</v>
      </c>
      <c r="M1533" s="194">
        <v>0</v>
      </c>
      <c r="N1533" s="194">
        <v>0</v>
      </c>
      <c r="O1533" s="193">
        <f t="shared" si="327"/>
        <v>0</v>
      </c>
      <c r="P1533" s="194">
        <v>0</v>
      </c>
      <c r="Q1533" s="194">
        <v>0</v>
      </c>
      <c r="R1533" s="194">
        <v>0</v>
      </c>
      <c r="S1533" s="193">
        <f t="shared" si="328"/>
        <v>0</v>
      </c>
      <c r="T1533" s="193">
        <f t="shared" si="329"/>
        <v>0</v>
      </c>
      <c r="U1533" s="193">
        <f ca="1">OFFSET('Expenditure Study'!$B$7,'Operations Support'!$C1533,'Operations Support'!$B1533)*$G1533</f>
        <v>0</v>
      </c>
      <c r="V1533" s="199">
        <f ca="1">U1533*'Expenditure Study'!$B$31</f>
        <v>0</v>
      </c>
      <c r="W1533" s="199">
        <f ca="1">IF(A1533=10298,1.51,1)*IF($B1533&lt;3,$D1533*'Expenditure Study'!$B$32*OFFSET('Expenditure Study'!$B$7,'Operations Support'!$C1533,'Operations Support'!$B1533),0)</f>
        <v>0</v>
      </c>
      <c r="X1533" s="200">
        <f ca="1">W1533*'Expenditure Study'!$B$31</f>
        <v>0</v>
      </c>
      <c r="Y1533" s="199">
        <f ca="1">U1533*'Expenditure Study'!$B$31</f>
        <v>0</v>
      </c>
      <c r="Z1533" s="200">
        <f ca="1">W1533*'Expenditure Study'!$B$31</f>
        <v>0</v>
      </c>
      <c r="AA1533" s="195">
        <f t="shared" ca="1" si="330"/>
        <v>0</v>
      </c>
      <c r="AB1533" s="195">
        <f t="shared" ca="1" si="331"/>
        <v>0</v>
      </c>
      <c r="AD1533" s="196">
        <f>IFERROR($G1533/SUMIF($A:$A,$A1533,$G:$G)*SUMIF(Summary!$A$166:$A$242,$A1533,Summary!$P$166:$P$242),0)</f>
        <v>0</v>
      </c>
      <c r="AE1533" s="197">
        <f t="shared" ca="1" si="332"/>
        <v>0</v>
      </c>
      <c r="AF1533" s="196">
        <f>IFERROR(G1533/SUMIF(A:A,A1533,G:G)*SUMIF(Summary!$A$166:$A$242,'Operations Support'!A1533,Summary!$Q$166:$Q$242),0)</f>
        <v>0</v>
      </c>
      <c r="AG1533" s="196">
        <f t="shared" ca="1" si="333"/>
        <v>0</v>
      </c>
      <c r="AI1533" s="196">
        <f>IFERROR($G1533/SUMIF($A:$A,$A1533,$G:$G)*SUMIF(Summary!$A$247:$A$283,$A1533,Summary!$P$247:$P$283),0)</f>
        <v>0</v>
      </c>
      <c r="AJ1533" s="196">
        <f>IFERROR($G1533/SUMIF($A:$A,$A1533,$G:$G)*(SUMIF(Summary!$A$247:$A$283,$A1533,Summary!$L$247:$L$283)+SUMIF(Summary!$A$297:$A$333,$A1533,Summary!$L$297:$L$333))-AI1533,0)</f>
        <v>0</v>
      </c>
      <c r="AK1533" s="196">
        <f>IFERROR($G1533/SUMIF($A:$A,$A1533,$G:$G)*SUMIF(Summary!$A$247:$A$283,$A1533,Summary!$Q$247:$Q$283),0)</f>
        <v>0</v>
      </c>
      <c r="AL1533" s="196">
        <f>IFERROR($G1533/SUMIF($A:$A,$A1533,$G:$G)*(SUMIF(Summary!$A$247:$A$283,$A1533,Summary!$L$247:$L$283)+SUMIF(Summary!$A$297:$A$333,$A1533,Summary!$L$297:$L$333))-AK1533,0)</f>
        <v>0</v>
      </c>
      <c r="AM1533" s="198"/>
      <c r="AN1533" s="196">
        <f t="shared" ca="1" si="334"/>
        <v>0</v>
      </c>
      <c r="AO1533" s="196">
        <f t="shared" ca="1" si="335"/>
        <v>0</v>
      </c>
    </row>
    <row r="1534" spans="1:41">
      <c r="A1534" s="189">
        <v>3639</v>
      </c>
      <c r="B1534" s="190">
        <v>3</v>
      </c>
      <c r="C1534" s="191" t="s">
        <v>237</v>
      </c>
      <c r="D1534" s="192">
        <f t="shared" si="322"/>
        <v>0</v>
      </c>
      <c r="E1534" s="192">
        <f t="shared" si="323"/>
        <v>0</v>
      </c>
      <c r="F1534" s="192">
        <f t="shared" si="324"/>
        <v>0</v>
      </c>
      <c r="G1534" s="193">
        <f t="shared" si="325"/>
        <v>0</v>
      </c>
      <c r="H1534" s="194">
        <v>0</v>
      </c>
      <c r="I1534" s="194">
        <v>0</v>
      </c>
      <c r="J1534" s="194">
        <v>0</v>
      </c>
      <c r="K1534" s="193">
        <f t="shared" si="326"/>
        <v>0</v>
      </c>
      <c r="L1534" s="194">
        <v>0</v>
      </c>
      <c r="M1534" s="194">
        <v>0</v>
      </c>
      <c r="N1534" s="194">
        <v>0</v>
      </c>
      <c r="O1534" s="193">
        <f t="shared" si="327"/>
        <v>0</v>
      </c>
      <c r="P1534" s="194">
        <v>0</v>
      </c>
      <c r="Q1534" s="194">
        <v>0</v>
      </c>
      <c r="R1534" s="194">
        <v>0</v>
      </c>
      <c r="S1534" s="193">
        <f t="shared" si="328"/>
        <v>0</v>
      </c>
      <c r="T1534" s="193">
        <f t="shared" si="329"/>
        <v>0</v>
      </c>
      <c r="U1534" s="193">
        <f ca="1">OFFSET('Expenditure Study'!$B$7,'Operations Support'!$C1534,'Operations Support'!$B1534)*$G1534</f>
        <v>0</v>
      </c>
      <c r="V1534" s="199">
        <f ca="1">U1534*'Expenditure Study'!$B$31</f>
        <v>0</v>
      </c>
      <c r="W1534" s="199">
        <f ca="1">IF(A1534=10298,1.51,1)*IF($B1534&lt;3,$D1534*'Expenditure Study'!$B$32*OFFSET('Expenditure Study'!$B$7,'Operations Support'!$C1534,'Operations Support'!$B1534),0)</f>
        <v>0</v>
      </c>
      <c r="X1534" s="200">
        <f ca="1">W1534*'Expenditure Study'!$B$31</f>
        <v>0</v>
      </c>
      <c r="Y1534" s="199">
        <f ca="1">U1534*'Expenditure Study'!$B$31</f>
        <v>0</v>
      </c>
      <c r="Z1534" s="200">
        <f ca="1">W1534*'Expenditure Study'!$B$31</f>
        <v>0</v>
      </c>
      <c r="AA1534" s="195">
        <f t="shared" ca="1" si="330"/>
        <v>0</v>
      </c>
      <c r="AB1534" s="195">
        <f t="shared" ca="1" si="331"/>
        <v>0</v>
      </c>
      <c r="AD1534" s="196">
        <f>IFERROR($G1534/SUMIF($A:$A,$A1534,$G:$G)*SUMIF(Summary!$A$166:$A$242,$A1534,Summary!$P$166:$P$242),0)</f>
        <v>0</v>
      </c>
      <c r="AE1534" s="197">
        <f t="shared" ca="1" si="332"/>
        <v>0</v>
      </c>
      <c r="AF1534" s="196">
        <f>IFERROR(G1534/SUMIF(A:A,A1534,G:G)*SUMIF(Summary!$A$166:$A$242,'Operations Support'!A1534,Summary!$Q$166:$Q$242),0)</f>
        <v>0</v>
      </c>
      <c r="AG1534" s="196">
        <f t="shared" ca="1" si="333"/>
        <v>0</v>
      </c>
      <c r="AI1534" s="196">
        <f>IFERROR($G1534/SUMIF($A:$A,$A1534,$G:$G)*SUMIF(Summary!$A$247:$A$283,$A1534,Summary!$P$247:$P$283),0)</f>
        <v>0</v>
      </c>
      <c r="AJ1534" s="196">
        <f>IFERROR($G1534/SUMIF($A:$A,$A1534,$G:$G)*(SUMIF(Summary!$A$247:$A$283,$A1534,Summary!$L$247:$L$283)+SUMIF(Summary!$A$297:$A$333,$A1534,Summary!$L$297:$L$333))-AI1534,0)</f>
        <v>0</v>
      </c>
      <c r="AK1534" s="196">
        <f>IFERROR($G1534/SUMIF($A:$A,$A1534,$G:$G)*SUMIF(Summary!$A$247:$A$283,$A1534,Summary!$Q$247:$Q$283),0)</f>
        <v>0</v>
      </c>
      <c r="AL1534" s="196">
        <f>IFERROR($G1534/SUMIF($A:$A,$A1534,$G:$G)*(SUMIF(Summary!$A$247:$A$283,$A1534,Summary!$L$247:$L$283)+SUMIF(Summary!$A$297:$A$333,$A1534,Summary!$L$297:$L$333))-AK1534,0)</f>
        <v>0</v>
      </c>
      <c r="AM1534" s="198"/>
      <c r="AN1534" s="196">
        <f t="shared" ca="1" si="334"/>
        <v>0</v>
      </c>
      <c r="AO1534" s="196">
        <f t="shared" ca="1" si="335"/>
        <v>0</v>
      </c>
    </row>
    <row r="1535" spans="1:41" s="201" customFormat="1">
      <c r="A1535" s="189">
        <v>3639</v>
      </c>
      <c r="B1535" s="190">
        <v>3</v>
      </c>
      <c r="C1535" s="191" t="s">
        <v>238</v>
      </c>
      <c r="D1535" s="192">
        <f t="shared" si="322"/>
        <v>240</v>
      </c>
      <c r="E1535" s="192">
        <f t="shared" si="323"/>
        <v>0</v>
      </c>
      <c r="F1535" s="192">
        <f t="shared" si="324"/>
        <v>0</v>
      </c>
      <c r="G1535" s="193">
        <f t="shared" si="325"/>
        <v>240</v>
      </c>
      <c r="H1535" s="194">
        <v>108</v>
      </c>
      <c r="I1535" s="194">
        <v>0</v>
      </c>
      <c r="J1535" s="194">
        <v>0</v>
      </c>
      <c r="K1535" s="193">
        <f t="shared" si="326"/>
        <v>108</v>
      </c>
      <c r="L1535" s="194">
        <v>84</v>
      </c>
      <c r="M1535" s="194">
        <v>0</v>
      </c>
      <c r="N1535" s="194">
        <v>0</v>
      </c>
      <c r="O1535" s="193">
        <f t="shared" si="327"/>
        <v>84</v>
      </c>
      <c r="P1535" s="194">
        <v>48</v>
      </c>
      <c r="Q1535" s="194">
        <v>0</v>
      </c>
      <c r="R1535" s="194">
        <v>0</v>
      </c>
      <c r="S1535" s="193">
        <f t="shared" si="328"/>
        <v>48</v>
      </c>
      <c r="T1535" s="193">
        <f t="shared" si="329"/>
        <v>10</v>
      </c>
      <c r="U1535" s="193">
        <f ca="1">OFFSET('Expenditure Study'!$B$7,'Operations Support'!$C1535,'Operations Support'!$B1535)*$G1535</f>
        <v>1401.6</v>
      </c>
      <c r="V1535" s="199">
        <f ca="1">U1535*'Expenditure Study'!$B$31</f>
        <v>82810.986209280003</v>
      </c>
      <c r="W1535" s="199">
        <f ca="1">IF(A1535=10298,1.51,1)*IF($B1535&lt;3,$D1535*'Expenditure Study'!$B$32*OFFSET('Expenditure Study'!$B$7,'Operations Support'!$C1535,'Operations Support'!$B1535),0)</f>
        <v>0</v>
      </c>
      <c r="X1535" s="200">
        <f ca="1">W1535*'Expenditure Study'!$B$31</f>
        <v>0</v>
      </c>
      <c r="Y1535" s="199">
        <f ca="1">U1535*'Expenditure Study'!$B$31</f>
        <v>82810.986209280003</v>
      </c>
      <c r="Z1535" s="200">
        <f ca="1">W1535*'Expenditure Study'!$B$31</f>
        <v>0</v>
      </c>
      <c r="AA1535" s="195">
        <f t="shared" ca="1" si="330"/>
        <v>82810.986209280003</v>
      </c>
      <c r="AB1535" s="195">
        <f t="shared" ca="1" si="331"/>
        <v>82810.986209280003</v>
      </c>
      <c r="AD1535" s="196">
        <f>IFERROR($G1535/SUMIF($A:$A,$A1535,$G:$G)*SUMIF(Summary!$A$166:$A$242,$A1535,Summary!$P$166:$P$242),0)</f>
        <v>11172.902171869016</v>
      </c>
      <c r="AE1535" s="197">
        <f t="shared" ca="1" si="332"/>
        <v>71638.084037410983</v>
      </c>
      <c r="AF1535" s="196">
        <f>IFERROR(G1535/SUMIF(A:A,A1535,G:G)*SUMIF(Summary!$A$166:$A$242,'Operations Support'!A1535,Summary!$Q$166:$Q$242),0)</f>
        <v>11244.065238585583</v>
      </c>
      <c r="AG1535" s="196">
        <f t="shared" ca="1" si="333"/>
        <v>71566.920970694424</v>
      </c>
      <c r="AH1535" s="180"/>
      <c r="AI1535" s="196">
        <f>IFERROR($G1535/SUMIF($A:$A,$A1535,$G:$G)*SUMIF(Summary!$A$247:$A$283,$A1535,Summary!$P$247:$P$283),0)</f>
        <v>2037.6585394831711</v>
      </c>
      <c r="AJ1535" s="196">
        <f>IFERROR($G1535/SUMIF($A:$A,$A1535,$G:$G)*(SUMIF(Summary!$A$247:$A$283,$A1535,Summary!$L$247:$L$283)+SUMIF(Summary!$A$297:$A$333,$A1535,Summary!$L$297:$L$333))-AI1535,0)</f>
        <v>6407.9256597228286</v>
      </c>
      <c r="AK1535" s="196">
        <f>IFERROR($G1535/SUMIF($A:$A,$A1535,$G:$G)*SUMIF(Summary!$A$247:$A$283,$A1535,Summary!$Q$247:$Q$283),0)</f>
        <v>2050.6369069977382</v>
      </c>
      <c r="AL1535" s="196">
        <f>IFERROR($G1535/SUMIF($A:$A,$A1535,$G:$G)*(SUMIF(Summary!$A$247:$A$283,$A1535,Summary!$L$247:$L$283)+SUMIF(Summary!$A$297:$A$333,$A1535,Summary!$L$297:$L$333))-AK1535,0)</f>
        <v>6394.9472922082614</v>
      </c>
      <c r="AM1535" s="198"/>
      <c r="AN1535" s="196">
        <f t="shared" ca="1" si="334"/>
        <v>78046.009697133806</v>
      </c>
      <c r="AO1535" s="196">
        <f t="shared" ca="1" si="335"/>
        <v>77961.868262902688</v>
      </c>
    </row>
    <row r="1536" spans="1:41">
      <c r="A1536" s="189">
        <v>3639</v>
      </c>
      <c r="B1536" s="190">
        <v>3</v>
      </c>
      <c r="C1536" s="191" t="s">
        <v>239</v>
      </c>
      <c r="D1536" s="192">
        <f t="shared" si="322"/>
        <v>0</v>
      </c>
      <c r="E1536" s="192">
        <f t="shared" si="323"/>
        <v>0</v>
      </c>
      <c r="F1536" s="192">
        <f t="shared" si="324"/>
        <v>0</v>
      </c>
      <c r="G1536" s="193">
        <f t="shared" si="325"/>
        <v>0</v>
      </c>
      <c r="H1536" s="194">
        <v>0</v>
      </c>
      <c r="I1536" s="194">
        <v>0</v>
      </c>
      <c r="J1536" s="194">
        <v>0</v>
      </c>
      <c r="K1536" s="193">
        <f t="shared" si="326"/>
        <v>0</v>
      </c>
      <c r="L1536" s="194">
        <v>0</v>
      </c>
      <c r="M1536" s="194">
        <v>0</v>
      </c>
      <c r="N1536" s="194">
        <v>0</v>
      </c>
      <c r="O1536" s="193">
        <f t="shared" si="327"/>
        <v>0</v>
      </c>
      <c r="P1536" s="194">
        <v>0</v>
      </c>
      <c r="Q1536" s="194">
        <v>0</v>
      </c>
      <c r="R1536" s="194">
        <v>0</v>
      </c>
      <c r="S1536" s="193">
        <f t="shared" si="328"/>
        <v>0</v>
      </c>
      <c r="T1536" s="193">
        <f t="shared" si="329"/>
        <v>0</v>
      </c>
      <c r="U1536" s="193">
        <f ca="1">OFFSET('Expenditure Study'!$B$7,'Operations Support'!$C1536,'Operations Support'!$B1536)*$G1536</f>
        <v>0</v>
      </c>
      <c r="V1536" s="199">
        <f ca="1">U1536*'Expenditure Study'!$B$31</f>
        <v>0</v>
      </c>
      <c r="W1536" s="199">
        <f ca="1">IF(A1536=10298,1.51,1)*IF($B1536&lt;3,$D1536*'Expenditure Study'!$B$32*OFFSET('Expenditure Study'!$B$7,'Operations Support'!$C1536,'Operations Support'!$B1536),0)</f>
        <v>0</v>
      </c>
      <c r="X1536" s="200">
        <f ca="1">W1536*'Expenditure Study'!$B$31</f>
        <v>0</v>
      </c>
      <c r="Y1536" s="199">
        <f ca="1">U1536*'Expenditure Study'!$B$31</f>
        <v>0</v>
      </c>
      <c r="Z1536" s="200">
        <f ca="1">W1536*'Expenditure Study'!$B$31</f>
        <v>0</v>
      </c>
      <c r="AA1536" s="195">
        <f t="shared" ca="1" si="330"/>
        <v>0</v>
      </c>
      <c r="AB1536" s="195">
        <f t="shared" ca="1" si="331"/>
        <v>0</v>
      </c>
      <c r="AD1536" s="196">
        <f>IFERROR($G1536/SUMIF($A:$A,$A1536,$G:$G)*SUMIF(Summary!$A$166:$A$242,$A1536,Summary!$P$166:$P$242),0)</f>
        <v>0</v>
      </c>
      <c r="AE1536" s="197">
        <f t="shared" ca="1" si="332"/>
        <v>0</v>
      </c>
      <c r="AF1536" s="196">
        <f>IFERROR(G1536/SUMIF(A:A,A1536,G:G)*SUMIF(Summary!$A$166:$A$242,'Operations Support'!A1536,Summary!$Q$166:$Q$242),0)</f>
        <v>0</v>
      </c>
      <c r="AG1536" s="196">
        <f t="shared" ca="1" si="333"/>
        <v>0</v>
      </c>
      <c r="AI1536" s="196">
        <f>IFERROR($G1536/SUMIF($A:$A,$A1536,$G:$G)*SUMIF(Summary!$A$247:$A$283,$A1536,Summary!$P$247:$P$283),0)</f>
        <v>0</v>
      </c>
      <c r="AJ1536" s="196">
        <f>IFERROR($G1536/SUMIF($A:$A,$A1536,$G:$G)*(SUMIF(Summary!$A$247:$A$283,$A1536,Summary!$L$247:$L$283)+SUMIF(Summary!$A$297:$A$333,$A1536,Summary!$L$297:$L$333))-AI1536,0)</f>
        <v>0</v>
      </c>
      <c r="AK1536" s="196">
        <f>IFERROR($G1536/SUMIF($A:$A,$A1536,$G:$G)*SUMIF(Summary!$A$247:$A$283,$A1536,Summary!$Q$247:$Q$283),0)</f>
        <v>0</v>
      </c>
      <c r="AL1536" s="196">
        <f>IFERROR($G1536/SUMIF($A:$A,$A1536,$G:$G)*(SUMIF(Summary!$A$247:$A$283,$A1536,Summary!$L$247:$L$283)+SUMIF(Summary!$A$297:$A$333,$A1536,Summary!$L$297:$L$333))-AK1536,0)</f>
        <v>0</v>
      </c>
      <c r="AM1536" s="198"/>
      <c r="AN1536" s="196">
        <f t="shared" ca="1" si="334"/>
        <v>0</v>
      </c>
      <c r="AO1536" s="196">
        <f t="shared" ca="1" si="335"/>
        <v>0</v>
      </c>
    </row>
    <row r="1537" spans="1:41">
      <c r="A1537" s="189">
        <v>3639</v>
      </c>
      <c r="B1537" s="190">
        <v>3</v>
      </c>
      <c r="C1537" s="191" t="s">
        <v>240</v>
      </c>
      <c r="D1537" s="192">
        <f t="shared" si="322"/>
        <v>0</v>
      </c>
      <c r="E1537" s="192">
        <f t="shared" si="323"/>
        <v>0</v>
      </c>
      <c r="F1537" s="192">
        <f t="shared" si="324"/>
        <v>0</v>
      </c>
      <c r="G1537" s="193">
        <f t="shared" si="325"/>
        <v>0</v>
      </c>
      <c r="H1537" s="194">
        <v>0</v>
      </c>
      <c r="I1537" s="194">
        <v>0</v>
      </c>
      <c r="J1537" s="194">
        <v>0</v>
      </c>
      <c r="K1537" s="193">
        <f t="shared" si="326"/>
        <v>0</v>
      </c>
      <c r="L1537" s="194">
        <v>0</v>
      </c>
      <c r="M1537" s="194">
        <v>0</v>
      </c>
      <c r="N1537" s="194">
        <v>0</v>
      </c>
      <c r="O1537" s="193">
        <f t="shared" si="327"/>
        <v>0</v>
      </c>
      <c r="P1537" s="194">
        <v>0</v>
      </c>
      <c r="Q1537" s="194">
        <v>0</v>
      </c>
      <c r="R1537" s="194">
        <v>0</v>
      </c>
      <c r="S1537" s="193">
        <f t="shared" si="328"/>
        <v>0</v>
      </c>
      <c r="T1537" s="193">
        <f t="shared" si="329"/>
        <v>0</v>
      </c>
      <c r="U1537" s="193">
        <f ca="1">OFFSET('Expenditure Study'!$B$7,'Operations Support'!$C1537,'Operations Support'!$B1537)*$G1537</f>
        <v>0</v>
      </c>
      <c r="V1537" s="199">
        <f ca="1">U1537*'Expenditure Study'!$B$31</f>
        <v>0</v>
      </c>
      <c r="W1537" s="199">
        <f ca="1">IF(A1537=10298,1.51,1)*IF($B1537&lt;3,$D1537*'Expenditure Study'!$B$32*OFFSET('Expenditure Study'!$B$7,'Operations Support'!$C1537,'Operations Support'!$B1537),0)</f>
        <v>0</v>
      </c>
      <c r="X1537" s="200">
        <f ca="1">W1537*'Expenditure Study'!$B$31</f>
        <v>0</v>
      </c>
      <c r="Y1537" s="199">
        <f ca="1">U1537*'Expenditure Study'!$B$31</f>
        <v>0</v>
      </c>
      <c r="Z1537" s="200">
        <f ca="1">W1537*'Expenditure Study'!$B$31</f>
        <v>0</v>
      </c>
      <c r="AA1537" s="195">
        <f t="shared" ca="1" si="330"/>
        <v>0</v>
      </c>
      <c r="AB1537" s="195">
        <f t="shared" ca="1" si="331"/>
        <v>0</v>
      </c>
      <c r="AD1537" s="196">
        <f>IFERROR($G1537/SUMIF($A:$A,$A1537,$G:$G)*SUMIF(Summary!$A$166:$A$242,$A1537,Summary!$P$166:$P$242),0)</f>
        <v>0</v>
      </c>
      <c r="AE1537" s="197">
        <f t="shared" ca="1" si="332"/>
        <v>0</v>
      </c>
      <c r="AF1537" s="196">
        <f>IFERROR(G1537/SUMIF(A:A,A1537,G:G)*SUMIF(Summary!$A$166:$A$242,'Operations Support'!A1537,Summary!$Q$166:$Q$242),0)</f>
        <v>0</v>
      </c>
      <c r="AG1537" s="196">
        <f t="shared" ca="1" si="333"/>
        <v>0</v>
      </c>
      <c r="AI1537" s="196">
        <f>IFERROR($G1537/SUMIF($A:$A,$A1537,$G:$G)*SUMIF(Summary!$A$247:$A$283,$A1537,Summary!$P$247:$P$283),0)</f>
        <v>0</v>
      </c>
      <c r="AJ1537" s="196">
        <f>IFERROR($G1537/SUMIF($A:$A,$A1537,$G:$G)*(SUMIF(Summary!$A$247:$A$283,$A1537,Summary!$L$247:$L$283)+SUMIF(Summary!$A$297:$A$333,$A1537,Summary!$L$297:$L$333))-AI1537,0)</f>
        <v>0</v>
      </c>
      <c r="AK1537" s="196">
        <f>IFERROR($G1537/SUMIF($A:$A,$A1537,$G:$G)*SUMIF(Summary!$A$247:$A$283,$A1537,Summary!$Q$247:$Q$283),0)</f>
        <v>0</v>
      </c>
      <c r="AL1537" s="196">
        <f>IFERROR($G1537/SUMIF($A:$A,$A1537,$G:$G)*(SUMIF(Summary!$A$247:$A$283,$A1537,Summary!$L$247:$L$283)+SUMIF(Summary!$A$297:$A$333,$A1537,Summary!$L$297:$L$333))-AK1537,0)</f>
        <v>0</v>
      </c>
      <c r="AM1537" s="198"/>
      <c r="AN1537" s="196">
        <f t="shared" ca="1" si="334"/>
        <v>0</v>
      </c>
      <c r="AO1537" s="196">
        <f t="shared" ca="1" si="335"/>
        <v>0</v>
      </c>
    </row>
    <row r="1538" spans="1:41">
      <c r="A1538" s="189">
        <v>3639</v>
      </c>
      <c r="B1538" s="190">
        <v>4</v>
      </c>
      <c r="C1538" s="191" t="s">
        <v>220</v>
      </c>
      <c r="D1538" s="192">
        <f t="shared" si="322"/>
        <v>88</v>
      </c>
      <c r="E1538" s="192">
        <f t="shared" si="323"/>
        <v>0</v>
      </c>
      <c r="F1538" s="192">
        <f t="shared" si="324"/>
        <v>0</v>
      </c>
      <c r="G1538" s="193">
        <f t="shared" si="325"/>
        <v>88</v>
      </c>
      <c r="H1538" s="194">
        <v>36</v>
      </c>
      <c r="I1538" s="194">
        <v>0</v>
      </c>
      <c r="J1538" s="194">
        <v>0</v>
      </c>
      <c r="K1538" s="193">
        <f t="shared" si="326"/>
        <v>36</v>
      </c>
      <c r="L1538" s="194">
        <v>22</v>
      </c>
      <c r="M1538" s="194">
        <v>0</v>
      </c>
      <c r="N1538" s="194">
        <v>0</v>
      </c>
      <c r="O1538" s="193">
        <f t="shared" si="327"/>
        <v>22</v>
      </c>
      <c r="P1538" s="194">
        <v>30</v>
      </c>
      <c r="Q1538" s="194">
        <v>0</v>
      </c>
      <c r="R1538" s="194">
        <v>0</v>
      </c>
      <c r="S1538" s="193">
        <f t="shared" si="328"/>
        <v>30</v>
      </c>
      <c r="T1538" s="193">
        <f t="shared" si="329"/>
        <v>4.8888888888888893</v>
      </c>
      <c r="U1538" s="193">
        <f ca="1">OFFSET('Expenditure Study'!$B$7,'Operations Support'!$C1538,'Operations Support'!$B1538)*$G1538</f>
        <v>1296.24</v>
      </c>
      <c r="V1538" s="199">
        <f ca="1">U1538*'Expenditure Study'!$B$31</f>
        <v>76585.982280191995</v>
      </c>
      <c r="W1538" s="199">
        <f ca="1">IF(A1538=10298,1.51,1)*IF($B1538&lt;3,$D1538*'Expenditure Study'!$B$32*OFFSET('Expenditure Study'!$B$7,'Operations Support'!$C1538,'Operations Support'!$B1538),0)</f>
        <v>0</v>
      </c>
      <c r="X1538" s="200">
        <f ca="1">W1538*'Expenditure Study'!$B$31</f>
        <v>0</v>
      </c>
      <c r="Y1538" s="199">
        <f ca="1">U1538*'Expenditure Study'!$B$31</f>
        <v>76585.982280191995</v>
      </c>
      <c r="Z1538" s="200">
        <f ca="1">W1538*'Expenditure Study'!$B$31</f>
        <v>0</v>
      </c>
      <c r="AA1538" s="195">
        <f t="shared" ca="1" si="330"/>
        <v>76585.982280191995</v>
      </c>
      <c r="AB1538" s="195">
        <f t="shared" ca="1" si="331"/>
        <v>76585.982280191995</v>
      </c>
      <c r="AD1538" s="196">
        <f>IFERROR($G1538/SUMIF($A:$A,$A1538,$G:$G)*SUMIF(Summary!$A$166:$A$242,$A1538,Summary!$P$166:$P$242),0)</f>
        <v>4096.7307963519725</v>
      </c>
      <c r="AE1538" s="197">
        <f t="shared" ca="1" si="332"/>
        <v>72489.251483840024</v>
      </c>
      <c r="AF1538" s="196">
        <f>IFERROR(G1538/SUMIF(A:A,A1538,G:G)*SUMIF(Summary!$A$166:$A$242,'Operations Support'!A1538,Summary!$Q$166:$Q$242),0)</f>
        <v>4122.8239208147133</v>
      </c>
      <c r="AG1538" s="196">
        <f t="shared" ca="1" si="333"/>
        <v>72463.158359377281</v>
      </c>
      <c r="AI1538" s="196">
        <f>IFERROR($G1538/SUMIF($A:$A,$A1538,$G:$G)*SUMIF(Summary!$A$247:$A$283,$A1538,Summary!$P$247:$P$283),0)</f>
        <v>747.14146447716269</v>
      </c>
      <c r="AJ1538" s="196">
        <f>IFERROR($G1538/SUMIF($A:$A,$A1538,$G:$G)*(SUMIF(Summary!$A$247:$A$283,$A1538,Summary!$L$247:$L$283)+SUMIF(Summary!$A$297:$A$333,$A1538,Summary!$L$297:$L$333))-AI1538,0)</f>
        <v>2349.5727418983706</v>
      </c>
      <c r="AK1538" s="196">
        <f>IFERROR($G1538/SUMIF($A:$A,$A1538,$G:$G)*SUMIF(Summary!$A$247:$A$283,$A1538,Summary!$Q$247:$Q$283),0)</f>
        <v>751.90019923250395</v>
      </c>
      <c r="AL1538" s="196">
        <f>IFERROR($G1538/SUMIF($A:$A,$A1538,$G:$G)*(SUMIF(Summary!$A$247:$A$283,$A1538,Summary!$L$247:$L$283)+SUMIF(Summary!$A$297:$A$333,$A1538,Summary!$L$297:$L$333))-AK1538,0)</f>
        <v>2344.8140071430294</v>
      </c>
      <c r="AM1538" s="198"/>
      <c r="AN1538" s="196">
        <f t="shared" ca="1" si="334"/>
        <v>74838.824225738397</v>
      </c>
      <c r="AO1538" s="196">
        <f t="shared" ca="1" si="335"/>
        <v>74807.972366520306</v>
      </c>
    </row>
    <row r="1539" spans="1:41">
      <c r="A1539" s="189">
        <v>3639</v>
      </c>
      <c r="B1539" s="190">
        <v>4</v>
      </c>
      <c r="C1539" s="191" t="s">
        <v>221</v>
      </c>
      <c r="D1539" s="192">
        <f t="shared" si="322"/>
        <v>0</v>
      </c>
      <c r="E1539" s="192">
        <f t="shared" si="323"/>
        <v>0</v>
      </c>
      <c r="F1539" s="192">
        <f t="shared" si="324"/>
        <v>0</v>
      </c>
      <c r="G1539" s="193">
        <f t="shared" si="325"/>
        <v>0</v>
      </c>
      <c r="H1539" s="194">
        <v>0</v>
      </c>
      <c r="I1539" s="194">
        <v>0</v>
      </c>
      <c r="J1539" s="194">
        <v>0</v>
      </c>
      <c r="K1539" s="193">
        <f t="shared" si="326"/>
        <v>0</v>
      </c>
      <c r="L1539" s="194">
        <v>0</v>
      </c>
      <c r="M1539" s="194">
        <v>0</v>
      </c>
      <c r="N1539" s="194">
        <v>0</v>
      </c>
      <c r="O1539" s="193">
        <f t="shared" si="327"/>
        <v>0</v>
      </c>
      <c r="P1539" s="194">
        <v>0</v>
      </c>
      <c r="Q1539" s="194">
        <v>0</v>
      </c>
      <c r="R1539" s="194">
        <v>0</v>
      </c>
      <c r="S1539" s="193">
        <f t="shared" si="328"/>
        <v>0</v>
      </c>
      <c r="T1539" s="193">
        <f t="shared" si="329"/>
        <v>0</v>
      </c>
      <c r="U1539" s="193">
        <f ca="1">OFFSET('Expenditure Study'!$B$7,'Operations Support'!$C1539,'Operations Support'!$B1539)*$G1539</f>
        <v>0</v>
      </c>
      <c r="V1539" s="199">
        <f ca="1">U1539*'Expenditure Study'!$B$31</f>
        <v>0</v>
      </c>
      <c r="W1539" s="199">
        <f ca="1">IF(A1539=10298,1.51,1)*IF($B1539&lt;3,$D1539*'Expenditure Study'!$B$32*OFFSET('Expenditure Study'!$B$7,'Operations Support'!$C1539,'Operations Support'!$B1539),0)</f>
        <v>0</v>
      </c>
      <c r="X1539" s="200">
        <f ca="1">W1539*'Expenditure Study'!$B$31</f>
        <v>0</v>
      </c>
      <c r="Y1539" s="199">
        <f ca="1">U1539*'Expenditure Study'!$B$31</f>
        <v>0</v>
      </c>
      <c r="Z1539" s="200">
        <f ca="1">W1539*'Expenditure Study'!$B$31</f>
        <v>0</v>
      </c>
      <c r="AA1539" s="195">
        <f t="shared" ca="1" si="330"/>
        <v>0</v>
      </c>
      <c r="AB1539" s="195">
        <f t="shared" ca="1" si="331"/>
        <v>0</v>
      </c>
      <c r="AD1539" s="196">
        <f>IFERROR($G1539/SUMIF($A:$A,$A1539,$G:$G)*SUMIF(Summary!$A$166:$A$242,$A1539,Summary!$P$166:$P$242),0)</f>
        <v>0</v>
      </c>
      <c r="AE1539" s="197">
        <f t="shared" ca="1" si="332"/>
        <v>0</v>
      </c>
      <c r="AF1539" s="196">
        <f>IFERROR(G1539/SUMIF(A:A,A1539,G:G)*SUMIF(Summary!$A$166:$A$242,'Operations Support'!A1539,Summary!$Q$166:$Q$242),0)</f>
        <v>0</v>
      </c>
      <c r="AG1539" s="196">
        <f t="shared" ca="1" si="333"/>
        <v>0</v>
      </c>
      <c r="AI1539" s="196">
        <f>IFERROR($G1539/SUMIF($A:$A,$A1539,$G:$G)*SUMIF(Summary!$A$247:$A$283,$A1539,Summary!$P$247:$P$283),0)</f>
        <v>0</v>
      </c>
      <c r="AJ1539" s="196">
        <f>IFERROR($G1539/SUMIF($A:$A,$A1539,$G:$G)*(SUMIF(Summary!$A$247:$A$283,$A1539,Summary!$L$247:$L$283)+SUMIF(Summary!$A$297:$A$333,$A1539,Summary!$L$297:$L$333))-AI1539,0)</f>
        <v>0</v>
      </c>
      <c r="AK1539" s="196">
        <f>IFERROR($G1539/SUMIF($A:$A,$A1539,$G:$G)*SUMIF(Summary!$A$247:$A$283,$A1539,Summary!$Q$247:$Q$283),0)</f>
        <v>0</v>
      </c>
      <c r="AL1539" s="196">
        <f>IFERROR($G1539/SUMIF($A:$A,$A1539,$G:$G)*(SUMIF(Summary!$A$247:$A$283,$A1539,Summary!$L$247:$L$283)+SUMIF(Summary!$A$297:$A$333,$A1539,Summary!$L$297:$L$333))-AK1539,0)</f>
        <v>0</v>
      </c>
      <c r="AM1539" s="198"/>
      <c r="AN1539" s="196">
        <f t="shared" ca="1" si="334"/>
        <v>0</v>
      </c>
      <c r="AO1539" s="196">
        <f t="shared" ca="1" si="335"/>
        <v>0</v>
      </c>
    </row>
    <row r="1540" spans="1:41">
      <c r="A1540" s="189">
        <v>3639</v>
      </c>
      <c r="B1540" s="190">
        <v>4</v>
      </c>
      <c r="C1540" s="191" t="s">
        <v>222</v>
      </c>
      <c r="D1540" s="192">
        <f t="shared" si="322"/>
        <v>0</v>
      </c>
      <c r="E1540" s="192">
        <f t="shared" si="323"/>
        <v>0</v>
      </c>
      <c r="F1540" s="192">
        <f t="shared" si="324"/>
        <v>0</v>
      </c>
      <c r="G1540" s="193">
        <f t="shared" si="325"/>
        <v>0</v>
      </c>
      <c r="H1540" s="194">
        <v>0</v>
      </c>
      <c r="I1540" s="194">
        <v>0</v>
      </c>
      <c r="J1540" s="194">
        <v>0</v>
      </c>
      <c r="K1540" s="193">
        <f t="shared" si="326"/>
        <v>0</v>
      </c>
      <c r="L1540" s="194">
        <v>0</v>
      </c>
      <c r="M1540" s="194">
        <v>0</v>
      </c>
      <c r="N1540" s="194">
        <v>0</v>
      </c>
      <c r="O1540" s="193">
        <f t="shared" si="327"/>
        <v>0</v>
      </c>
      <c r="P1540" s="194">
        <v>0</v>
      </c>
      <c r="Q1540" s="194">
        <v>0</v>
      </c>
      <c r="R1540" s="194">
        <v>0</v>
      </c>
      <c r="S1540" s="193">
        <f t="shared" si="328"/>
        <v>0</v>
      </c>
      <c r="T1540" s="193">
        <f t="shared" si="329"/>
        <v>0</v>
      </c>
      <c r="U1540" s="193">
        <f ca="1">OFFSET('Expenditure Study'!$B$7,'Operations Support'!$C1540,'Operations Support'!$B1540)*$G1540</f>
        <v>0</v>
      </c>
      <c r="V1540" s="199">
        <f ca="1">U1540*'Expenditure Study'!$B$31</f>
        <v>0</v>
      </c>
      <c r="W1540" s="199">
        <f ca="1">IF(A1540=10298,1.51,1)*IF($B1540&lt;3,$D1540*'Expenditure Study'!$B$32*OFFSET('Expenditure Study'!$B$7,'Operations Support'!$C1540,'Operations Support'!$B1540),0)</f>
        <v>0</v>
      </c>
      <c r="X1540" s="200">
        <f ca="1">W1540*'Expenditure Study'!$B$31</f>
        <v>0</v>
      </c>
      <c r="Y1540" s="199">
        <f ca="1">U1540*'Expenditure Study'!$B$31</f>
        <v>0</v>
      </c>
      <c r="Z1540" s="200">
        <f ca="1">W1540*'Expenditure Study'!$B$31</f>
        <v>0</v>
      </c>
      <c r="AA1540" s="195">
        <f t="shared" ca="1" si="330"/>
        <v>0</v>
      </c>
      <c r="AB1540" s="195">
        <f t="shared" ca="1" si="331"/>
        <v>0</v>
      </c>
      <c r="AD1540" s="196">
        <f>IFERROR($G1540/SUMIF($A:$A,$A1540,$G:$G)*SUMIF(Summary!$A$166:$A$242,$A1540,Summary!$P$166:$P$242),0)</f>
        <v>0</v>
      </c>
      <c r="AE1540" s="197">
        <f t="shared" ca="1" si="332"/>
        <v>0</v>
      </c>
      <c r="AF1540" s="196">
        <f>IFERROR(G1540/SUMIF(A:A,A1540,G:G)*SUMIF(Summary!$A$166:$A$242,'Operations Support'!A1540,Summary!$Q$166:$Q$242),0)</f>
        <v>0</v>
      </c>
      <c r="AG1540" s="196">
        <f t="shared" ca="1" si="333"/>
        <v>0</v>
      </c>
      <c r="AI1540" s="196">
        <f>IFERROR($G1540/SUMIF($A:$A,$A1540,$G:$G)*SUMIF(Summary!$A$247:$A$283,$A1540,Summary!$P$247:$P$283),0)</f>
        <v>0</v>
      </c>
      <c r="AJ1540" s="196">
        <f>IFERROR($G1540/SUMIF($A:$A,$A1540,$G:$G)*(SUMIF(Summary!$A$247:$A$283,$A1540,Summary!$L$247:$L$283)+SUMIF(Summary!$A$297:$A$333,$A1540,Summary!$L$297:$L$333))-AI1540,0)</f>
        <v>0</v>
      </c>
      <c r="AK1540" s="196">
        <f>IFERROR($G1540/SUMIF($A:$A,$A1540,$G:$G)*SUMIF(Summary!$A$247:$A$283,$A1540,Summary!$Q$247:$Q$283),0)</f>
        <v>0</v>
      </c>
      <c r="AL1540" s="196">
        <f>IFERROR($G1540/SUMIF($A:$A,$A1540,$G:$G)*(SUMIF(Summary!$A$247:$A$283,$A1540,Summary!$L$247:$L$283)+SUMIF(Summary!$A$297:$A$333,$A1540,Summary!$L$297:$L$333))-AK1540,0)</f>
        <v>0</v>
      </c>
      <c r="AM1540" s="198"/>
      <c r="AN1540" s="196">
        <f t="shared" ca="1" si="334"/>
        <v>0</v>
      </c>
      <c r="AO1540" s="196">
        <f t="shared" ca="1" si="335"/>
        <v>0</v>
      </c>
    </row>
    <row r="1541" spans="1:41">
      <c r="A1541" s="189">
        <v>3639</v>
      </c>
      <c r="B1541" s="190">
        <v>4</v>
      </c>
      <c r="C1541" s="191" t="s">
        <v>223</v>
      </c>
      <c r="D1541" s="192">
        <f t="shared" ref="D1541:D1604" si="336">H1541+L1541+P1541</f>
        <v>1389</v>
      </c>
      <c r="E1541" s="192">
        <f t="shared" ref="E1541:E1604" si="337">I1541+M1541+Q1541</f>
        <v>108</v>
      </c>
      <c r="F1541" s="192">
        <f t="shared" ref="F1541:F1604" si="338">J1541+N1541+R1541</f>
        <v>45</v>
      </c>
      <c r="G1541" s="193">
        <f t="shared" ref="G1541:G1604" si="339">(SUM(D1541:E1541)-F1541)*IF(A1541=10298,1.51,1)</f>
        <v>1452</v>
      </c>
      <c r="H1541" s="194">
        <v>456</v>
      </c>
      <c r="I1541" s="194">
        <v>81</v>
      </c>
      <c r="J1541" s="194">
        <v>15</v>
      </c>
      <c r="K1541" s="193">
        <f t="shared" ref="K1541:K1604" si="340">SUM(H1541:I1541)-J1541</f>
        <v>522</v>
      </c>
      <c r="L1541" s="194">
        <v>369</v>
      </c>
      <c r="M1541" s="194">
        <v>27</v>
      </c>
      <c r="N1541" s="194">
        <v>18</v>
      </c>
      <c r="O1541" s="193">
        <f t="shared" ref="O1541:O1604" si="341">SUM(L1541:M1541)-N1541</f>
        <v>378</v>
      </c>
      <c r="P1541" s="194">
        <v>564</v>
      </c>
      <c r="Q1541" s="194">
        <v>0</v>
      </c>
      <c r="R1541" s="194">
        <v>12</v>
      </c>
      <c r="S1541" s="193">
        <f t="shared" ref="S1541:S1604" si="342">SUM(P1541:Q1541)-R1541</f>
        <v>552</v>
      </c>
      <c r="T1541" s="193">
        <f t="shared" ref="T1541:T1604" si="343">IF(OR(B1541=1,B1541=2),G1541/30,IF(OR(B1541=3,B1541=5),G1541/24,IF(B1541=4,G1541/18,0)))</f>
        <v>80.666666666666671</v>
      </c>
      <c r="U1541" s="193">
        <f ca="1">OFFSET('Expenditure Study'!$B$7,'Operations Support'!$C1541,'Operations Support'!$B1541)*$G1541</f>
        <v>11354.640000000001</v>
      </c>
      <c r="V1541" s="199">
        <f ca="1">U1541*'Expenditure Study'!$B$31</f>
        <v>670868.24803891208</v>
      </c>
      <c r="W1541" s="199">
        <f ca="1">IF(A1541=10298,1.51,1)*IF($B1541&lt;3,$D1541*'Expenditure Study'!$B$32*OFFSET('Expenditure Study'!$B$7,'Operations Support'!$C1541,'Operations Support'!$B1541),0)</f>
        <v>0</v>
      </c>
      <c r="X1541" s="200">
        <f ca="1">W1541*'Expenditure Study'!$B$31</f>
        <v>0</v>
      </c>
      <c r="Y1541" s="199">
        <f ca="1">U1541*'Expenditure Study'!$B$31</f>
        <v>670868.24803891208</v>
      </c>
      <c r="Z1541" s="200">
        <f ca="1">W1541*'Expenditure Study'!$B$31</f>
        <v>0</v>
      </c>
      <c r="AA1541" s="195">
        <f t="shared" ref="AA1541:AA1604" ca="1" si="344">V1541+X1541</f>
        <v>670868.24803891208</v>
      </c>
      <c r="AB1541" s="195">
        <f t="shared" ref="AB1541:AB1604" ca="1" si="345">Y1541+Z1541</f>
        <v>670868.24803891208</v>
      </c>
      <c r="AD1541" s="196">
        <f>IFERROR($G1541/SUMIF($A:$A,$A1541,$G:$G)*SUMIF(Summary!$A$166:$A$242,$A1541,Summary!$P$166:$P$242),0)</f>
        <v>67596.058139807545</v>
      </c>
      <c r="AE1541" s="197">
        <f t="shared" ca="1" si="332"/>
        <v>603272.18989910453</v>
      </c>
      <c r="AF1541" s="196">
        <f>IFERROR(G1541/SUMIF(A:A,A1541,G:G)*SUMIF(Summary!$A$166:$A$242,'Operations Support'!A1541,Summary!$Q$166:$Q$242),0)</f>
        <v>68026.594693442763</v>
      </c>
      <c r="AG1541" s="196">
        <f t="shared" ca="1" si="333"/>
        <v>602841.65334546927</v>
      </c>
      <c r="AI1541" s="196">
        <f>IFERROR($G1541/SUMIF($A:$A,$A1541,$G:$G)*SUMIF(Summary!$A$247:$A$283,$A1541,Summary!$P$247:$P$283),0)</f>
        <v>12327.834163873185</v>
      </c>
      <c r="AJ1541" s="196">
        <f>IFERROR($G1541/SUMIF($A:$A,$A1541,$G:$G)*(SUMIF(Summary!$A$247:$A$283,$A1541,Summary!$L$247:$L$283)+SUMIF(Summary!$A$297:$A$333,$A1541,Summary!$L$297:$L$333))-AI1541,0)</f>
        <v>38767.950241323109</v>
      </c>
      <c r="AK1541" s="196">
        <f>IFERROR($G1541/SUMIF($A:$A,$A1541,$G:$G)*SUMIF(Summary!$A$247:$A$283,$A1541,Summary!$Q$247:$Q$283),0)</f>
        <v>12406.353287336315</v>
      </c>
      <c r="AL1541" s="196">
        <f>IFERROR($G1541/SUMIF($A:$A,$A1541,$G:$G)*(SUMIF(Summary!$A$247:$A$283,$A1541,Summary!$L$247:$L$283)+SUMIF(Summary!$A$297:$A$333,$A1541,Summary!$L$297:$L$333))-AK1541,0)</f>
        <v>38689.431117859982</v>
      </c>
      <c r="AM1541" s="198"/>
      <c r="AN1541" s="196">
        <f t="shared" ca="1" si="334"/>
        <v>642040.14014042763</v>
      </c>
      <c r="AO1541" s="196">
        <f t="shared" ca="1" si="335"/>
        <v>641531.08446332929</v>
      </c>
    </row>
    <row r="1542" spans="1:41">
      <c r="A1542" s="189">
        <v>3639</v>
      </c>
      <c r="B1542" s="190">
        <v>4</v>
      </c>
      <c r="C1542" s="191" t="s">
        <v>224</v>
      </c>
      <c r="D1542" s="192">
        <f t="shared" si="336"/>
        <v>183</v>
      </c>
      <c r="E1542" s="192">
        <f t="shared" si="337"/>
        <v>84</v>
      </c>
      <c r="F1542" s="192">
        <f t="shared" si="338"/>
        <v>0</v>
      </c>
      <c r="G1542" s="193">
        <f t="shared" si="339"/>
        <v>267</v>
      </c>
      <c r="H1542" s="194">
        <v>66</v>
      </c>
      <c r="I1542" s="194">
        <v>27</v>
      </c>
      <c r="J1542" s="194">
        <v>0</v>
      </c>
      <c r="K1542" s="193">
        <f t="shared" si="340"/>
        <v>93</v>
      </c>
      <c r="L1542" s="194">
        <v>45</v>
      </c>
      <c r="M1542" s="194">
        <v>57</v>
      </c>
      <c r="N1542" s="194">
        <v>0</v>
      </c>
      <c r="O1542" s="193">
        <f t="shared" si="341"/>
        <v>102</v>
      </c>
      <c r="P1542" s="194">
        <v>72</v>
      </c>
      <c r="Q1542" s="194">
        <v>0</v>
      </c>
      <c r="R1542" s="194">
        <v>0</v>
      </c>
      <c r="S1542" s="193">
        <f t="shared" si="342"/>
        <v>72</v>
      </c>
      <c r="T1542" s="193">
        <f t="shared" si="343"/>
        <v>14.833333333333334</v>
      </c>
      <c r="U1542" s="193">
        <f ca="1">OFFSET('Expenditure Study'!$B$7,'Operations Support'!$C1542,'Operations Support'!$B1542)*$G1542</f>
        <v>3863.4900000000002</v>
      </c>
      <c r="V1542" s="199">
        <f ca="1">U1542*'Expenditure Study'!$B$31</f>
        <v>228267.27818899203</v>
      </c>
      <c r="W1542" s="199">
        <f ca="1">IF(A1542=10298,1.51,1)*IF($B1542&lt;3,$D1542*'Expenditure Study'!$B$32*OFFSET('Expenditure Study'!$B$7,'Operations Support'!$C1542,'Operations Support'!$B1542),0)</f>
        <v>0</v>
      </c>
      <c r="X1542" s="200">
        <f ca="1">W1542*'Expenditure Study'!$B$31</f>
        <v>0</v>
      </c>
      <c r="Y1542" s="199">
        <f ca="1">U1542*'Expenditure Study'!$B$31</f>
        <v>228267.27818899203</v>
      </c>
      <c r="Z1542" s="200">
        <f ca="1">W1542*'Expenditure Study'!$B$31</f>
        <v>0</v>
      </c>
      <c r="AA1542" s="195">
        <f t="shared" ca="1" si="344"/>
        <v>228267.27818899203</v>
      </c>
      <c r="AB1542" s="195">
        <f t="shared" ca="1" si="345"/>
        <v>228267.27818899203</v>
      </c>
      <c r="AD1542" s="196">
        <f>IFERROR($G1542/SUMIF($A:$A,$A1542,$G:$G)*SUMIF(Summary!$A$166:$A$242,$A1542,Summary!$P$166:$P$242),0)</f>
        <v>12429.853666204281</v>
      </c>
      <c r="AE1542" s="197">
        <f t="shared" ref="AE1542:AE1605" ca="1" si="346">V1542+X1542-AD1542</f>
        <v>215837.42452278774</v>
      </c>
      <c r="AF1542" s="196">
        <f>IFERROR(G1542/SUMIF(A:A,A1542,G:G)*SUMIF(Summary!$A$166:$A$242,'Operations Support'!A1542,Summary!$Q$166:$Q$242),0)</f>
        <v>12509.02257792646</v>
      </c>
      <c r="AG1542" s="196">
        <f t="shared" ref="AG1542:AG1605" ca="1" si="347">Y1542+Z1542-AF1542</f>
        <v>215758.25561106557</v>
      </c>
      <c r="AI1542" s="196">
        <f>IFERROR($G1542/SUMIF($A:$A,$A1542,$G:$G)*SUMIF(Summary!$A$247:$A$283,$A1542,Summary!$P$247:$P$283),0)</f>
        <v>2266.8951251750277</v>
      </c>
      <c r="AJ1542" s="196">
        <f>IFERROR($G1542/SUMIF($A:$A,$A1542,$G:$G)*(SUMIF(Summary!$A$247:$A$283,$A1542,Summary!$L$247:$L$283)+SUMIF(Summary!$A$297:$A$333,$A1542,Summary!$L$297:$L$333))-AI1542,0)</f>
        <v>7128.8172964416481</v>
      </c>
      <c r="AK1542" s="196">
        <f>IFERROR($G1542/SUMIF($A:$A,$A1542,$G:$G)*SUMIF(Summary!$A$247:$A$283,$A1542,Summary!$Q$247:$Q$283),0)</f>
        <v>2281.3335590349839</v>
      </c>
      <c r="AL1542" s="196">
        <f>IFERROR($G1542/SUMIF($A:$A,$A1542,$G:$G)*(SUMIF(Summary!$A$247:$A$283,$A1542,Summary!$L$247:$L$283)+SUMIF(Summary!$A$297:$A$333,$A1542,Summary!$L$297:$L$333))-AK1542,0)</f>
        <v>7114.3788625816924</v>
      </c>
      <c r="AM1542" s="198"/>
      <c r="AN1542" s="196">
        <f t="shared" ref="AN1542:AN1605" ca="1" si="348">AE1542+AJ1542</f>
        <v>222966.24181922938</v>
      </c>
      <c r="AO1542" s="196">
        <f t="shared" ref="AO1542:AO1605" ca="1" si="349">AG1542+AL1542</f>
        <v>222872.63447364725</v>
      </c>
    </row>
    <row r="1543" spans="1:41">
      <c r="A1543" s="189">
        <v>3639</v>
      </c>
      <c r="B1543" s="190">
        <v>4</v>
      </c>
      <c r="C1543" s="191" t="s">
        <v>225</v>
      </c>
      <c r="D1543" s="192">
        <f t="shared" si="336"/>
        <v>472</v>
      </c>
      <c r="E1543" s="192">
        <f t="shared" si="337"/>
        <v>9</v>
      </c>
      <c r="F1543" s="192">
        <f t="shared" si="338"/>
        <v>0</v>
      </c>
      <c r="G1543" s="193">
        <f t="shared" si="339"/>
        <v>481</v>
      </c>
      <c r="H1543" s="194">
        <v>185</v>
      </c>
      <c r="I1543" s="194">
        <v>6</v>
      </c>
      <c r="J1543" s="194">
        <v>0</v>
      </c>
      <c r="K1543" s="193">
        <f t="shared" si="340"/>
        <v>191</v>
      </c>
      <c r="L1543" s="194">
        <v>205</v>
      </c>
      <c r="M1543" s="194">
        <v>3</v>
      </c>
      <c r="N1543" s="194">
        <v>0</v>
      </c>
      <c r="O1543" s="193">
        <f t="shared" si="341"/>
        <v>208</v>
      </c>
      <c r="P1543" s="194">
        <v>82</v>
      </c>
      <c r="Q1543" s="194">
        <v>0</v>
      </c>
      <c r="R1543" s="194">
        <v>0</v>
      </c>
      <c r="S1543" s="193">
        <f t="shared" si="342"/>
        <v>82</v>
      </c>
      <c r="T1543" s="193">
        <f t="shared" si="343"/>
        <v>26.722222222222221</v>
      </c>
      <c r="U1543" s="193">
        <f ca="1">OFFSET('Expenditure Study'!$B$7,'Operations Support'!$C1543,'Operations Support'!$B1543)*$G1543</f>
        <v>9037.99</v>
      </c>
      <c r="V1543" s="199">
        <f ca="1">U1543*'Expenditure Study'!$B$31</f>
        <v>533993.19723859197</v>
      </c>
      <c r="W1543" s="199">
        <f ca="1">IF(A1543=10298,1.51,1)*IF($B1543&lt;3,$D1543*'Expenditure Study'!$B$32*OFFSET('Expenditure Study'!$B$7,'Operations Support'!$C1543,'Operations Support'!$B1543),0)</f>
        <v>0</v>
      </c>
      <c r="X1543" s="200">
        <f ca="1">W1543*'Expenditure Study'!$B$31</f>
        <v>0</v>
      </c>
      <c r="Y1543" s="199">
        <f ca="1">U1543*'Expenditure Study'!$B$31</f>
        <v>533993.19723859197</v>
      </c>
      <c r="Z1543" s="200">
        <f ca="1">W1543*'Expenditure Study'!$B$31</f>
        <v>0</v>
      </c>
      <c r="AA1543" s="195">
        <f t="shared" ca="1" si="344"/>
        <v>533993.19723859197</v>
      </c>
      <c r="AB1543" s="195">
        <f t="shared" ca="1" si="345"/>
        <v>533993.19723859197</v>
      </c>
      <c r="AD1543" s="196">
        <f>IFERROR($G1543/SUMIF($A:$A,$A1543,$G:$G)*SUMIF(Summary!$A$166:$A$242,$A1543,Summary!$P$166:$P$242),0)</f>
        <v>22392.358102787486</v>
      </c>
      <c r="AE1543" s="197">
        <f t="shared" ca="1" si="346"/>
        <v>511600.8391358045</v>
      </c>
      <c r="AF1543" s="196">
        <f>IFERROR(G1543/SUMIF(A:A,A1543,G:G)*SUMIF(Summary!$A$166:$A$242,'Operations Support'!A1543,Summary!$Q$166:$Q$242),0)</f>
        <v>22534.980748998601</v>
      </c>
      <c r="AG1543" s="196">
        <f t="shared" ca="1" si="347"/>
        <v>511458.21648959338</v>
      </c>
      <c r="AI1543" s="196">
        <f>IFERROR($G1543/SUMIF($A:$A,$A1543,$G:$G)*SUMIF(Summary!$A$247:$A$283,$A1543,Summary!$P$247:$P$283),0)</f>
        <v>4083.8073228808553</v>
      </c>
      <c r="AJ1543" s="196">
        <f>IFERROR($G1543/SUMIF($A:$A,$A1543,$G:$G)*(SUMIF(Summary!$A$247:$A$283,$A1543,Summary!$L$247:$L$283)+SUMIF(Summary!$A$297:$A$333,$A1543,Summary!$L$297:$L$333))-AI1543,0)</f>
        <v>12842.551009694502</v>
      </c>
      <c r="AK1543" s="196">
        <f>IFERROR($G1543/SUMIF($A:$A,$A1543,$G:$G)*SUMIF(Summary!$A$247:$A$283,$A1543,Summary!$Q$247:$Q$283),0)</f>
        <v>4109.8181344412997</v>
      </c>
      <c r="AL1543" s="196">
        <f>IFERROR($G1543/SUMIF($A:$A,$A1543,$G:$G)*(SUMIF(Summary!$A$247:$A$283,$A1543,Summary!$L$247:$L$283)+SUMIF(Summary!$A$297:$A$333,$A1543,Summary!$L$297:$L$333))-AK1543,0)</f>
        <v>12816.540198134058</v>
      </c>
      <c r="AM1543" s="198"/>
      <c r="AN1543" s="196">
        <f t="shared" ca="1" si="348"/>
        <v>524443.39014549903</v>
      </c>
      <c r="AO1543" s="196">
        <f t="shared" ca="1" si="349"/>
        <v>524274.75668772747</v>
      </c>
    </row>
    <row r="1544" spans="1:41">
      <c r="A1544" s="189">
        <v>3639</v>
      </c>
      <c r="B1544" s="190">
        <v>4</v>
      </c>
      <c r="C1544" s="191" t="s">
        <v>226</v>
      </c>
      <c r="D1544" s="192">
        <f t="shared" si="336"/>
        <v>0</v>
      </c>
      <c r="E1544" s="192">
        <f t="shared" si="337"/>
        <v>0</v>
      </c>
      <c r="F1544" s="192">
        <f t="shared" si="338"/>
        <v>0</v>
      </c>
      <c r="G1544" s="193">
        <f t="shared" si="339"/>
        <v>0</v>
      </c>
      <c r="H1544" s="194">
        <v>0</v>
      </c>
      <c r="I1544" s="194">
        <v>0</v>
      </c>
      <c r="J1544" s="194">
        <v>0</v>
      </c>
      <c r="K1544" s="193">
        <f t="shared" si="340"/>
        <v>0</v>
      </c>
      <c r="L1544" s="194">
        <v>0</v>
      </c>
      <c r="M1544" s="194">
        <v>0</v>
      </c>
      <c r="N1544" s="194">
        <v>0</v>
      </c>
      <c r="O1544" s="193">
        <f t="shared" si="341"/>
        <v>0</v>
      </c>
      <c r="P1544" s="194">
        <v>0</v>
      </c>
      <c r="Q1544" s="194">
        <v>0</v>
      </c>
      <c r="R1544" s="194">
        <v>0</v>
      </c>
      <c r="S1544" s="193">
        <f t="shared" si="342"/>
        <v>0</v>
      </c>
      <c r="T1544" s="193">
        <f t="shared" si="343"/>
        <v>0</v>
      </c>
      <c r="U1544" s="193">
        <f ca="1">OFFSET('Expenditure Study'!$B$7,'Operations Support'!$C1544,'Operations Support'!$B1544)*$G1544</f>
        <v>0</v>
      </c>
      <c r="V1544" s="199">
        <f ca="1">U1544*'Expenditure Study'!$B$31</f>
        <v>0</v>
      </c>
      <c r="W1544" s="199">
        <f ca="1">IF(A1544=10298,1.51,1)*IF($B1544&lt;3,$D1544*'Expenditure Study'!$B$32*OFFSET('Expenditure Study'!$B$7,'Operations Support'!$C1544,'Operations Support'!$B1544),0)</f>
        <v>0</v>
      </c>
      <c r="X1544" s="200">
        <f ca="1">W1544*'Expenditure Study'!$B$31</f>
        <v>0</v>
      </c>
      <c r="Y1544" s="199">
        <f ca="1">U1544*'Expenditure Study'!$B$31</f>
        <v>0</v>
      </c>
      <c r="Z1544" s="200">
        <f ca="1">W1544*'Expenditure Study'!$B$31</f>
        <v>0</v>
      </c>
      <c r="AA1544" s="195">
        <f t="shared" ca="1" si="344"/>
        <v>0</v>
      </c>
      <c r="AB1544" s="195">
        <f t="shared" ca="1" si="345"/>
        <v>0</v>
      </c>
      <c r="AD1544" s="196">
        <f>IFERROR($G1544/SUMIF($A:$A,$A1544,$G:$G)*SUMIF(Summary!$A$166:$A$242,$A1544,Summary!$P$166:$P$242),0)</f>
        <v>0</v>
      </c>
      <c r="AE1544" s="197">
        <f t="shared" ca="1" si="346"/>
        <v>0</v>
      </c>
      <c r="AF1544" s="196">
        <f>IFERROR(G1544/SUMIF(A:A,A1544,G:G)*SUMIF(Summary!$A$166:$A$242,'Operations Support'!A1544,Summary!$Q$166:$Q$242),0)</f>
        <v>0</v>
      </c>
      <c r="AG1544" s="196">
        <f t="shared" ca="1" si="347"/>
        <v>0</v>
      </c>
      <c r="AI1544" s="196">
        <f>IFERROR($G1544/SUMIF($A:$A,$A1544,$G:$G)*SUMIF(Summary!$A$247:$A$283,$A1544,Summary!$P$247:$P$283),0)</f>
        <v>0</v>
      </c>
      <c r="AJ1544" s="196">
        <f>IFERROR($G1544/SUMIF($A:$A,$A1544,$G:$G)*(SUMIF(Summary!$A$247:$A$283,$A1544,Summary!$L$247:$L$283)+SUMIF(Summary!$A$297:$A$333,$A1544,Summary!$L$297:$L$333))-AI1544,0)</f>
        <v>0</v>
      </c>
      <c r="AK1544" s="196">
        <f>IFERROR($G1544/SUMIF($A:$A,$A1544,$G:$G)*SUMIF(Summary!$A$247:$A$283,$A1544,Summary!$Q$247:$Q$283),0)</f>
        <v>0</v>
      </c>
      <c r="AL1544" s="196">
        <f>IFERROR($G1544/SUMIF($A:$A,$A1544,$G:$G)*(SUMIF(Summary!$A$247:$A$283,$A1544,Summary!$L$247:$L$283)+SUMIF(Summary!$A$297:$A$333,$A1544,Summary!$L$297:$L$333))-AK1544,0)</f>
        <v>0</v>
      </c>
      <c r="AM1544" s="198"/>
      <c r="AN1544" s="196">
        <f t="shared" ca="1" si="348"/>
        <v>0</v>
      </c>
      <c r="AO1544" s="196">
        <f t="shared" ca="1" si="349"/>
        <v>0</v>
      </c>
    </row>
    <row r="1545" spans="1:41">
      <c r="A1545" s="189">
        <v>3639</v>
      </c>
      <c r="B1545" s="190">
        <v>4</v>
      </c>
      <c r="C1545" s="191" t="s">
        <v>227</v>
      </c>
      <c r="D1545" s="192">
        <f t="shared" si="336"/>
        <v>0</v>
      </c>
      <c r="E1545" s="192">
        <f t="shared" si="337"/>
        <v>0</v>
      </c>
      <c r="F1545" s="192">
        <f t="shared" si="338"/>
        <v>0</v>
      </c>
      <c r="G1545" s="193">
        <f t="shared" si="339"/>
        <v>0</v>
      </c>
      <c r="H1545" s="194">
        <v>0</v>
      </c>
      <c r="I1545" s="194">
        <v>0</v>
      </c>
      <c r="J1545" s="194">
        <v>0</v>
      </c>
      <c r="K1545" s="193">
        <f t="shared" si="340"/>
        <v>0</v>
      </c>
      <c r="L1545" s="194">
        <v>0</v>
      </c>
      <c r="M1545" s="194">
        <v>0</v>
      </c>
      <c r="N1545" s="194">
        <v>0</v>
      </c>
      <c r="O1545" s="193">
        <f t="shared" si="341"/>
        <v>0</v>
      </c>
      <c r="P1545" s="194">
        <v>0</v>
      </c>
      <c r="Q1545" s="194">
        <v>0</v>
      </c>
      <c r="R1545" s="194">
        <v>0</v>
      </c>
      <c r="S1545" s="193">
        <f t="shared" si="342"/>
        <v>0</v>
      </c>
      <c r="T1545" s="193">
        <f t="shared" si="343"/>
        <v>0</v>
      </c>
      <c r="U1545" s="193">
        <f ca="1">OFFSET('Expenditure Study'!$B$7,'Operations Support'!$C1545,'Operations Support'!$B1545)*$G1545</f>
        <v>0</v>
      </c>
      <c r="V1545" s="199">
        <f ca="1">U1545*'Expenditure Study'!$B$31</f>
        <v>0</v>
      </c>
      <c r="W1545" s="199">
        <f ca="1">IF(A1545=10298,1.51,1)*IF($B1545&lt;3,$D1545*'Expenditure Study'!$B$32*OFFSET('Expenditure Study'!$B$7,'Operations Support'!$C1545,'Operations Support'!$B1545),0)</f>
        <v>0</v>
      </c>
      <c r="X1545" s="200">
        <f ca="1">W1545*'Expenditure Study'!$B$31</f>
        <v>0</v>
      </c>
      <c r="Y1545" s="199">
        <f ca="1">U1545*'Expenditure Study'!$B$31</f>
        <v>0</v>
      </c>
      <c r="Z1545" s="200">
        <f ca="1">W1545*'Expenditure Study'!$B$31</f>
        <v>0</v>
      </c>
      <c r="AA1545" s="195">
        <f t="shared" ca="1" si="344"/>
        <v>0</v>
      </c>
      <c r="AB1545" s="195">
        <f t="shared" ca="1" si="345"/>
        <v>0</v>
      </c>
      <c r="AD1545" s="196">
        <f>IFERROR($G1545/SUMIF($A:$A,$A1545,$G:$G)*SUMIF(Summary!$A$166:$A$242,$A1545,Summary!$P$166:$P$242),0)</f>
        <v>0</v>
      </c>
      <c r="AE1545" s="197">
        <f t="shared" ca="1" si="346"/>
        <v>0</v>
      </c>
      <c r="AF1545" s="196">
        <f>IFERROR(G1545/SUMIF(A:A,A1545,G:G)*SUMIF(Summary!$A$166:$A$242,'Operations Support'!A1545,Summary!$Q$166:$Q$242),0)</f>
        <v>0</v>
      </c>
      <c r="AG1545" s="196">
        <f t="shared" ca="1" si="347"/>
        <v>0</v>
      </c>
      <c r="AI1545" s="196">
        <f>IFERROR($G1545/SUMIF($A:$A,$A1545,$G:$G)*SUMIF(Summary!$A$247:$A$283,$A1545,Summary!$P$247:$P$283),0)</f>
        <v>0</v>
      </c>
      <c r="AJ1545" s="196">
        <f>IFERROR($G1545/SUMIF($A:$A,$A1545,$G:$G)*(SUMIF(Summary!$A$247:$A$283,$A1545,Summary!$L$247:$L$283)+SUMIF(Summary!$A$297:$A$333,$A1545,Summary!$L$297:$L$333))-AI1545,0)</f>
        <v>0</v>
      </c>
      <c r="AK1545" s="196">
        <f>IFERROR($G1545/SUMIF($A:$A,$A1545,$G:$G)*SUMIF(Summary!$A$247:$A$283,$A1545,Summary!$Q$247:$Q$283),0)</f>
        <v>0</v>
      </c>
      <c r="AL1545" s="196">
        <f>IFERROR($G1545/SUMIF($A:$A,$A1545,$G:$G)*(SUMIF(Summary!$A$247:$A$283,$A1545,Summary!$L$247:$L$283)+SUMIF(Summary!$A$297:$A$333,$A1545,Summary!$L$297:$L$333))-AK1545,0)</f>
        <v>0</v>
      </c>
      <c r="AM1545" s="198"/>
      <c r="AN1545" s="196">
        <f t="shared" ca="1" si="348"/>
        <v>0</v>
      </c>
      <c r="AO1545" s="196">
        <f t="shared" ca="1" si="349"/>
        <v>0</v>
      </c>
    </row>
    <row r="1546" spans="1:41">
      <c r="A1546" s="189">
        <v>3639</v>
      </c>
      <c r="B1546" s="190">
        <v>4</v>
      </c>
      <c r="C1546" s="191" t="s">
        <v>228</v>
      </c>
      <c r="D1546" s="192">
        <f t="shared" si="336"/>
        <v>0</v>
      </c>
      <c r="E1546" s="192">
        <f t="shared" si="337"/>
        <v>0</v>
      </c>
      <c r="F1546" s="192">
        <f t="shared" si="338"/>
        <v>0</v>
      </c>
      <c r="G1546" s="193">
        <f t="shared" si="339"/>
        <v>0</v>
      </c>
      <c r="H1546" s="194">
        <v>0</v>
      </c>
      <c r="I1546" s="194">
        <v>0</v>
      </c>
      <c r="J1546" s="194">
        <v>0</v>
      </c>
      <c r="K1546" s="193">
        <f t="shared" si="340"/>
        <v>0</v>
      </c>
      <c r="L1546" s="194">
        <v>0</v>
      </c>
      <c r="M1546" s="194">
        <v>0</v>
      </c>
      <c r="N1546" s="194">
        <v>0</v>
      </c>
      <c r="O1546" s="193">
        <f t="shared" si="341"/>
        <v>0</v>
      </c>
      <c r="P1546" s="194">
        <v>0</v>
      </c>
      <c r="Q1546" s="194">
        <v>0</v>
      </c>
      <c r="R1546" s="194">
        <v>0</v>
      </c>
      <c r="S1546" s="193">
        <f t="shared" si="342"/>
        <v>0</v>
      </c>
      <c r="T1546" s="193">
        <f t="shared" si="343"/>
        <v>0</v>
      </c>
      <c r="U1546" s="193">
        <f ca="1">OFFSET('Expenditure Study'!$B$7,'Operations Support'!$C1546,'Operations Support'!$B1546)*$G1546</f>
        <v>0</v>
      </c>
      <c r="V1546" s="199">
        <f ca="1">U1546*'Expenditure Study'!$B$31</f>
        <v>0</v>
      </c>
      <c r="W1546" s="199">
        <f ca="1">IF(A1546=10298,1.51,1)*IF($B1546&lt;3,$D1546*'Expenditure Study'!$B$32*OFFSET('Expenditure Study'!$B$7,'Operations Support'!$C1546,'Operations Support'!$B1546),0)</f>
        <v>0</v>
      </c>
      <c r="X1546" s="200">
        <f ca="1">W1546*'Expenditure Study'!$B$31</f>
        <v>0</v>
      </c>
      <c r="Y1546" s="199">
        <f ca="1">U1546*'Expenditure Study'!$B$31</f>
        <v>0</v>
      </c>
      <c r="Z1546" s="200">
        <f ca="1">W1546*'Expenditure Study'!$B$31</f>
        <v>0</v>
      </c>
      <c r="AA1546" s="195">
        <f t="shared" ca="1" si="344"/>
        <v>0</v>
      </c>
      <c r="AB1546" s="195">
        <f t="shared" ca="1" si="345"/>
        <v>0</v>
      </c>
      <c r="AD1546" s="196">
        <f>IFERROR($G1546/SUMIF($A:$A,$A1546,$G:$G)*SUMIF(Summary!$A$166:$A$242,$A1546,Summary!$P$166:$P$242),0)</f>
        <v>0</v>
      </c>
      <c r="AE1546" s="197">
        <f t="shared" ca="1" si="346"/>
        <v>0</v>
      </c>
      <c r="AF1546" s="196">
        <f>IFERROR(G1546/SUMIF(A:A,A1546,G:G)*SUMIF(Summary!$A$166:$A$242,'Operations Support'!A1546,Summary!$Q$166:$Q$242),0)</f>
        <v>0</v>
      </c>
      <c r="AG1546" s="196">
        <f t="shared" ca="1" si="347"/>
        <v>0</v>
      </c>
      <c r="AI1546" s="196">
        <f>IFERROR($G1546/SUMIF($A:$A,$A1546,$G:$G)*SUMIF(Summary!$A$247:$A$283,$A1546,Summary!$P$247:$P$283),0)</f>
        <v>0</v>
      </c>
      <c r="AJ1546" s="196">
        <f>IFERROR($G1546/SUMIF($A:$A,$A1546,$G:$G)*(SUMIF(Summary!$A$247:$A$283,$A1546,Summary!$L$247:$L$283)+SUMIF(Summary!$A$297:$A$333,$A1546,Summary!$L$297:$L$333))-AI1546,0)</f>
        <v>0</v>
      </c>
      <c r="AK1546" s="196">
        <f>IFERROR($G1546/SUMIF($A:$A,$A1546,$G:$G)*SUMIF(Summary!$A$247:$A$283,$A1546,Summary!$Q$247:$Q$283),0)</f>
        <v>0</v>
      </c>
      <c r="AL1546" s="196">
        <f>IFERROR($G1546/SUMIF($A:$A,$A1546,$G:$G)*(SUMIF(Summary!$A$247:$A$283,$A1546,Summary!$L$247:$L$283)+SUMIF(Summary!$A$297:$A$333,$A1546,Summary!$L$297:$L$333))-AK1546,0)</f>
        <v>0</v>
      </c>
      <c r="AM1546" s="198"/>
      <c r="AN1546" s="196">
        <f t="shared" ca="1" si="348"/>
        <v>0</v>
      </c>
      <c r="AO1546" s="196">
        <f t="shared" ca="1" si="349"/>
        <v>0</v>
      </c>
    </row>
    <row r="1547" spans="1:41">
      <c r="A1547" s="189">
        <v>3639</v>
      </c>
      <c r="B1547" s="190">
        <v>4</v>
      </c>
      <c r="C1547" s="191" t="s">
        <v>229</v>
      </c>
      <c r="D1547" s="192">
        <f t="shared" si="336"/>
        <v>0</v>
      </c>
      <c r="E1547" s="192">
        <f t="shared" si="337"/>
        <v>0</v>
      </c>
      <c r="F1547" s="192">
        <f t="shared" si="338"/>
        <v>0</v>
      </c>
      <c r="G1547" s="193">
        <f t="shared" si="339"/>
        <v>0</v>
      </c>
      <c r="H1547" s="194">
        <v>0</v>
      </c>
      <c r="I1547" s="194">
        <v>0</v>
      </c>
      <c r="J1547" s="194">
        <v>0</v>
      </c>
      <c r="K1547" s="193">
        <f t="shared" si="340"/>
        <v>0</v>
      </c>
      <c r="L1547" s="194">
        <v>0</v>
      </c>
      <c r="M1547" s="194">
        <v>0</v>
      </c>
      <c r="N1547" s="194">
        <v>0</v>
      </c>
      <c r="O1547" s="193">
        <f t="shared" si="341"/>
        <v>0</v>
      </c>
      <c r="P1547" s="194">
        <v>0</v>
      </c>
      <c r="Q1547" s="194">
        <v>0</v>
      </c>
      <c r="R1547" s="194">
        <v>0</v>
      </c>
      <c r="S1547" s="193">
        <f t="shared" si="342"/>
        <v>0</v>
      </c>
      <c r="T1547" s="193">
        <f t="shared" si="343"/>
        <v>0</v>
      </c>
      <c r="U1547" s="193">
        <f ca="1">OFFSET('Expenditure Study'!$B$7,'Operations Support'!$C1547,'Operations Support'!$B1547)*$G1547</f>
        <v>0</v>
      </c>
      <c r="V1547" s="199">
        <f ca="1">U1547*'Expenditure Study'!$B$31</f>
        <v>0</v>
      </c>
      <c r="W1547" s="199">
        <f ca="1">IF(A1547=10298,1.51,1)*IF($B1547&lt;3,$D1547*'Expenditure Study'!$B$32*OFFSET('Expenditure Study'!$B$7,'Operations Support'!$C1547,'Operations Support'!$B1547),0)</f>
        <v>0</v>
      </c>
      <c r="X1547" s="200">
        <f ca="1">W1547*'Expenditure Study'!$B$31</f>
        <v>0</v>
      </c>
      <c r="Y1547" s="199">
        <f ca="1">U1547*'Expenditure Study'!$B$31</f>
        <v>0</v>
      </c>
      <c r="Z1547" s="200">
        <f ca="1">W1547*'Expenditure Study'!$B$31</f>
        <v>0</v>
      </c>
      <c r="AA1547" s="195">
        <f t="shared" ca="1" si="344"/>
        <v>0</v>
      </c>
      <c r="AB1547" s="195">
        <f t="shared" ca="1" si="345"/>
        <v>0</v>
      </c>
      <c r="AD1547" s="196">
        <f>IFERROR($G1547/SUMIF($A:$A,$A1547,$G:$G)*SUMIF(Summary!$A$166:$A$242,$A1547,Summary!$P$166:$P$242),0)</f>
        <v>0</v>
      </c>
      <c r="AE1547" s="197">
        <f t="shared" ca="1" si="346"/>
        <v>0</v>
      </c>
      <c r="AF1547" s="196">
        <f>IFERROR(G1547/SUMIF(A:A,A1547,G:G)*SUMIF(Summary!$A$166:$A$242,'Operations Support'!A1547,Summary!$Q$166:$Q$242),0)</f>
        <v>0</v>
      </c>
      <c r="AG1547" s="196">
        <f t="shared" ca="1" si="347"/>
        <v>0</v>
      </c>
      <c r="AI1547" s="196">
        <f>IFERROR($G1547/SUMIF($A:$A,$A1547,$G:$G)*SUMIF(Summary!$A$247:$A$283,$A1547,Summary!$P$247:$P$283),0)</f>
        <v>0</v>
      </c>
      <c r="AJ1547" s="196">
        <f>IFERROR($G1547/SUMIF($A:$A,$A1547,$G:$G)*(SUMIF(Summary!$A$247:$A$283,$A1547,Summary!$L$247:$L$283)+SUMIF(Summary!$A$297:$A$333,$A1547,Summary!$L$297:$L$333))-AI1547,0)</f>
        <v>0</v>
      </c>
      <c r="AK1547" s="196">
        <f>IFERROR($G1547/SUMIF($A:$A,$A1547,$G:$G)*SUMIF(Summary!$A$247:$A$283,$A1547,Summary!$Q$247:$Q$283),0)</f>
        <v>0</v>
      </c>
      <c r="AL1547" s="196">
        <f>IFERROR($G1547/SUMIF($A:$A,$A1547,$G:$G)*(SUMIF(Summary!$A$247:$A$283,$A1547,Summary!$L$247:$L$283)+SUMIF(Summary!$A$297:$A$333,$A1547,Summary!$L$297:$L$333))-AK1547,0)</f>
        <v>0</v>
      </c>
      <c r="AM1547" s="198"/>
      <c r="AN1547" s="196">
        <f t="shared" ca="1" si="348"/>
        <v>0</v>
      </c>
      <c r="AO1547" s="196">
        <f t="shared" ca="1" si="349"/>
        <v>0</v>
      </c>
    </row>
    <row r="1548" spans="1:41">
      <c r="A1548" s="189">
        <v>3639</v>
      </c>
      <c r="B1548" s="190">
        <v>4</v>
      </c>
      <c r="C1548" s="191" t="s">
        <v>230</v>
      </c>
      <c r="D1548" s="192">
        <f t="shared" si="336"/>
        <v>0</v>
      </c>
      <c r="E1548" s="192">
        <f t="shared" si="337"/>
        <v>0</v>
      </c>
      <c r="F1548" s="192">
        <f t="shared" si="338"/>
        <v>0</v>
      </c>
      <c r="G1548" s="193">
        <f t="shared" si="339"/>
        <v>0</v>
      </c>
      <c r="H1548" s="194">
        <v>0</v>
      </c>
      <c r="I1548" s="194">
        <v>0</v>
      </c>
      <c r="J1548" s="194">
        <v>0</v>
      </c>
      <c r="K1548" s="193">
        <f t="shared" si="340"/>
        <v>0</v>
      </c>
      <c r="L1548" s="194">
        <v>0</v>
      </c>
      <c r="M1548" s="194">
        <v>0</v>
      </c>
      <c r="N1548" s="194">
        <v>0</v>
      </c>
      <c r="O1548" s="193">
        <f t="shared" si="341"/>
        <v>0</v>
      </c>
      <c r="P1548" s="194">
        <v>0</v>
      </c>
      <c r="Q1548" s="194">
        <v>0</v>
      </c>
      <c r="R1548" s="194">
        <v>0</v>
      </c>
      <c r="S1548" s="193">
        <f t="shared" si="342"/>
        <v>0</v>
      </c>
      <c r="T1548" s="193">
        <f t="shared" si="343"/>
        <v>0</v>
      </c>
      <c r="U1548" s="193">
        <f ca="1">OFFSET('Expenditure Study'!$B$7,'Operations Support'!$C1548,'Operations Support'!$B1548)*$G1548</f>
        <v>0</v>
      </c>
      <c r="V1548" s="199">
        <f ca="1">U1548*'Expenditure Study'!$B$31</f>
        <v>0</v>
      </c>
      <c r="W1548" s="199">
        <f ca="1">IF(A1548=10298,1.51,1)*IF($B1548&lt;3,$D1548*'Expenditure Study'!$B$32*OFFSET('Expenditure Study'!$B$7,'Operations Support'!$C1548,'Operations Support'!$B1548),0)</f>
        <v>0</v>
      </c>
      <c r="X1548" s="200">
        <f ca="1">W1548*'Expenditure Study'!$B$31</f>
        <v>0</v>
      </c>
      <c r="Y1548" s="199">
        <f ca="1">U1548*'Expenditure Study'!$B$31</f>
        <v>0</v>
      </c>
      <c r="Z1548" s="200">
        <f ca="1">W1548*'Expenditure Study'!$B$31</f>
        <v>0</v>
      </c>
      <c r="AA1548" s="195">
        <f t="shared" ca="1" si="344"/>
        <v>0</v>
      </c>
      <c r="AB1548" s="195">
        <f t="shared" ca="1" si="345"/>
        <v>0</v>
      </c>
      <c r="AD1548" s="196">
        <f>IFERROR($G1548/SUMIF($A:$A,$A1548,$G:$G)*SUMIF(Summary!$A$166:$A$242,$A1548,Summary!$P$166:$P$242),0)</f>
        <v>0</v>
      </c>
      <c r="AE1548" s="197">
        <f t="shared" ca="1" si="346"/>
        <v>0</v>
      </c>
      <c r="AF1548" s="196">
        <f>IFERROR(G1548/SUMIF(A:A,A1548,G:G)*SUMIF(Summary!$A$166:$A$242,'Operations Support'!A1548,Summary!$Q$166:$Q$242),0)</f>
        <v>0</v>
      </c>
      <c r="AG1548" s="196">
        <f t="shared" ca="1" si="347"/>
        <v>0</v>
      </c>
      <c r="AI1548" s="196">
        <f>IFERROR($G1548/SUMIF($A:$A,$A1548,$G:$G)*SUMIF(Summary!$A$247:$A$283,$A1548,Summary!$P$247:$P$283),0)</f>
        <v>0</v>
      </c>
      <c r="AJ1548" s="196">
        <f>IFERROR($G1548/SUMIF($A:$A,$A1548,$G:$G)*(SUMIF(Summary!$A$247:$A$283,$A1548,Summary!$L$247:$L$283)+SUMIF(Summary!$A$297:$A$333,$A1548,Summary!$L$297:$L$333))-AI1548,0)</f>
        <v>0</v>
      </c>
      <c r="AK1548" s="196">
        <f>IFERROR($G1548/SUMIF($A:$A,$A1548,$G:$G)*SUMIF(Summary!$A$247:$A$283,$A1548,Summary!$Q$247:$Q$283),0)</f>
        <v>0</v>
      </c>
      <c r="AL1548" s="196">
        <f>IFERROR($G1548/SUMIF($A:$A,$A1548,$G:$G)*(SUMIF(Summary!$A$247:$A$283,$A1548,Summary!$L$247:$L$283)+SUMIF(Summary!$A$297:$A$333,$A1548,Summary!$L$297:$L$333))-AK1548,0)</f>
        <v>0</v>
      </c>
      <c r="AM1548" s="198"/>
      <c r="AN1548" s="196">
        <f t="shared" ca="1" si="348"/>
        <v>0</v>
      </c>
      <c r="AO1548" s="196">
        <f t="shared" ca="1" si="349"/>
        <v>0</v>
      </c>
    </row>
    <row r="1549" spans="1:41">
      <c r="A1549" s="189">
        <v>3639</v>
      </c>
      <c r="B1549" s="190">
        <v>4</v>
      </c>
      <c r="C1549" s="191" t="s">
        <v>231</v>
      </c>
      <c r="D1549" s="192">
        <f t="shared" si="336"/>
        <v>0</v>
      </c>
      <c r="E1549" s="192">
        <f t="shared" si="337"/>
        <v>0</v>
      </c>
      <c r="F1549" s="192">
        <f t="shared" si="338"/>
        <v>0</v>
      </c>
      <c r="G1549" s="193">
        <f t="shared" si="339"/>
        <v>0</v>
      </c>
      <c r="H1549" s="194">
        <v>0</v>
      </c>
      <c r="I1549" s="194">
        <v>0</v>
      </c>
      <c r="J1549" s="194">
        <v>0</v>
      </c>
      <c r="K1549" s="193">
        <f t="shared" si="340"/>
        <v>0</v>
      </c>
      <c r="L1549" s="194">
        <v>0</v>
      </c>
      <c r="M1549" s="194">
        <v>0</v>
      </c>
      <c r="N1549" s="194">
        <v>0</v>
      </c>
      <c r="O1549" s="193">
        <f t="shared" si="341"/>
        <v>0</v>
      </c>
      <c r="P1549" s="194">
        <v>0</v>
      </c>
      <c r="Q1549" s="194">
        <v>0</v>
      </c>
      <c r="R1549" s="194">
        <v>0</v>
      </c>
      <c r="S1549" s="193">
        <f t="shared" si="342"/>
        <v>0</v>
      </c>
      <c r="T1549" s="193">
        <f t="shared" si="343"/>
        <v>0</v>
      </c>
      <c r="U1549" s="193">
        <f ca="1">OFFSET('Expenditure Study'!$B$7,'Operations Support'!$C1549,'Operations Support'!$B1549)*$G1549</f>
        <v>0</v>
      </c>
      <c r="V1549" s="199">
        <f ca="1">U1549*'Expenditure Study'!$B$31</f>
        <v>0</v>
      </c>
      <c r="W1549" s="199">
        <f ca="1">IF(A1549=10298,1.51,1)*IF($B1549&lt;3,$D1549*'Expenditure Study'!$B$32*OFFSET('Expenditure Study'!$B$7,'Operations Support'!$C1549,'Operations Support'!$B1549),0)</f>
        <v>0</v>
      </c>
      <c r="X1549" s="200">
        <f ca="1">W1549*'Expenditure Study'!$B$31</f>
        <v>0</v>
      </c>
      <c r="Y1549" s="199">
        <f ca="1">U1549*'Expenditure Study'!$B$31</f>
        <v>0</v>
      </c>
      <c r="Z1549" s="200">
        <f ca="1">W1549*'Expenditure Study'!$B$31</f>
        <v>0</v>
      </c>
      <c r="AA1549" s="195">
        <f t="shared" ca="1" si="344"/>
        <v>0</v>
      </c>
      <c r="AB1549" s="195">
        <f t="shared" ca="1" si="345"/>
        <v>0</v>
      </c>
      <c r="AD1549" s="196">
        <f>IFERROR($G1549/SUMIF($A:$A,$A1549,$G:$G)*SUMIF(Summary!$A$166:$A$242,$A1549,Summary!$P$166:$P$242),0)</f>
        <v>0</v>
      </c>
      <c r="AE1549" s="197">
        <f t="shared" ca="1" si="346"/>
        <v>0</v>
      </c>
      <c r="AF1549" s="196">
        <f>IFERROR(G1549/SUMIF(A:A,A1549,G:G)*SUMIF(Summary!$A$166:$A$242,'Operations Support'!A1549,Summary!$Q$166:$Q$242),0)</f>
        <v>0</v>
      </c>
      <c r="AG1549" s="196">
        <f t="shared" ca="1" si="347"/>
        <v>0</v>
      </c>
      <c r="AI1549" s="196">
        <f>IFERROR($G1549/SUMIF($A:$A,$A1549,$G:$G)*SUMIF(Summary!$A$247:$A$283,$A1549,Summary!$P$247:$P$283),0)</f>
        <v>0</v>
      </c>
      <c r="AJ1549" s="196">
        <f>IFERROR($G1549/SUMIF($A:$A,$A1549,$G:$G)*(SUMIF(Summary!$A$247:$A$283,$A1549,Summary!$L$247:$L$283)+SUMIF(Summary!$A$297:$A$333,$A1549,Summary!$L$297:$L$333))-AI1549,0)</f>
        <v>0</v>
      </c>
      <c r="AK1549" s="196">
        <f>IFERROR($G1549/SUMIF($A:$A,$A1549,$G:$G)*SUMIF(Summary!$A$247:$A$283,$A1549,Summary!$Q$247:$Q$283),0)</f>
        <v>0</v>
      </c>
      <c r="AL1549" s="196">
        <f>IFERROR($G1549/SUMIF($A:$A,$A1549,$G:$G)*(SUMIF(Summary!$A$247:$A$283,$A1549,Summary!$L$247:$L$283)+SUMIF(Summary!$A$297:$A$333,$A1549,Summary!$L$297:$L$333))-AK1549,0)</f>
        <v>0</v>
      </c>
      <c r="AM1549" s="198"/>
      <c r="AN1549" s="196">
        <f t="shared" ca="1" si="348"/>
        <v>0</v>
      </c>
      <c r="AO1549" s="196">
        <f t="shared" ca="1" si="349"/>
        <v>0</v>
      </c>
    </row>
    <row r="1550" spans="1:41">
      <c r="A1550" s="189">
        <v>3639</v>
      </c>
      <c r="B1550" s="190">
        <v>4</v>
      </c>
      <c r="C1550" s="191" t="s">
        <v>232</v>
      </c>
      <c r="D1550" s="192">
        <f t="shared" si="336"/>
        <v>0</v>
      </c>
      <c r="E1550" s="192">
        <f t="shared" si="337"/>
        <v>0</v>
      </c>
      <c r="F1550" s="192">
        <f t="shared" si="338"/>
        <v>0</v>
      </c>
      <c r="G1550" s="193">
        <f t="shared" si="339"/>
        <v>0</v>
      </c>
      <c r="H1550" s="194">
        <v>0</v>
      </c>
      <c r="I1550" s="194">
        <v>0</v>
      </c>
      <c r="J1550" s="194">
        <v>0</v>
      </c>
      <c r="K1550" s="193">
        <f t="shared" si="340"/>
        <v>0</v>
      </c>
      <c r="L1550" s="194">
        <v>0</v>
      </c>
      <c r="M1550" s="194">
        <v>0</v>
      </c>
      <c r="N1550" s="194">
        <v>0</v>
      </c>
      <c r="O1550" s="193">
        <f t="shared" si="341"/>
        <v>0</v>
      </c>
      <c r="P1550" s="194">
        <v>0</v>
      </c>
      <c r="Q1550" s="194">
        <v>0</v>
      </c>
      <c r="R1550" s="194">
        <v>0</v>
      </c>
      <c r="S1550" s="193">
        <f t="shared" si="342"/>
        <v>0</v>
      </c>
      <c r="T1550" s="193">
        <f t="shared" si="343"/>
        <v>0</v>
      </c>
      <c r="U1550" s="193">
        <f ca="1">OFFSET('Expenditure Study'!$B$7,'Operations Support'!$C1550,'Operations Support'!$B1550)*$G1550</f>
        <v>0</v>
      </c>
      <c r="V1550" s="199">
        <f ca="1">U1550*'Expenditure Study'!$B$31</f>
        <v>0</v>
      </c>
      <c r="W1550" s="199">
        <f ca="1">IF(A1550=10298,1.51,1)*IF($B1550&lt;3,$D1550*'Expenditure Study'!$B$32*OFFSET('Expenditure Study'!$B$7,'Operations Support'!$C1550,'Operations Support'!$B1550),0)</f>
        <v>0</v>
      </c>
      <c r="X1550" s="200">
        <f ca="1">W1550*'Expenditure Study'!$B$31</f>
        <v>0</v>
      </c>
      <c r="Y1550" s="199">
        <f ca="1">U1550*'Expenditure Study'!$B$31</f>
        <v>0</v>
      </c>
      <c r="Z1550" s="200">
        <f ca="1">W1550*'Expenditure Study'!$B$31</f>
        <v>0</v>
      </c>
      <c r="AA1550" s="195">
        <f t="shared" ca="1" si="344"/>
        <v>0</v>
      </c>
      <c r="AB1550" s="195">
        <f t="shared" ca="1" si="345"/>
        <v>0</v>
      </c>
      <c r="AD1550" s="196">
        <f>IFERROR($G1550/SUMIF($A:$A,$A1550,$G:$G)*SUMIF(Summary!$A$166:$A$242,$A1550,Summary!$P$166:$P$242),0)</f>
        <v>0</v>
      </c>
      <c r="AE1550" s="197">
        <f t="shared" ca="1" si="346"/>
        <v>0</v>
      </c>
      <c r="AF1550" s="196">
        <f>IFERROR(G1550/SUMIF(A:A,A1550,G:G)*SUMIF(Summary!$A$166:$A$242,'Operations Support'!A1550,Summary!$Q$166:$Q$242),0)</f>
        <v>0</v>
      </c>
      <c r="AG1550" s="196">
        <f t="shared" ca="1" si="347"/>
        <v>0</v>
      </c>
      <c r="AI1550" s="196">
        <f>IFERROR($G1550/SUMIF($A:$A,$A1550,$G:$G)*SUMIF(Summary!$A$247:$A$283,$A1550,Summary!$P$247:$P$283),0)</f>
        <v>0</v>
      </c>
      <c r="AJ1550" s="196">
        <f>IFERROR($G1550/SUMIF($A:$A,$A1550,$G:$G)*(SUMIF(Summary!$A$247:$A$283,$A1550,Summary!$L$247:$L$283)+SUMIF(Summary!$A$297:$A$333,$A1550,Summary!$L$297:$L$333))-AI1550,0)</f>
        <v>0</v>
      </c>
      <c r="AK1550" s="196">
        <f>IFERROR($G1550/SUMIF($A:$A,$A1550,$G:$G)*SUMIF(Summary!$A$247:$A$283,$A1550,Summary!$Q$247:$Q$283),0)</f>
        <v>0</v>
      </c>
      <c r="AL1550" s="196">
        <f>IFERROR($G1550/SUMIF($A:$A,$A1550,$G:$G)*(SUMIF(Summary!$A$247:$A$283,$A1550,Summary!$L$247:$L$283)+SUMIF(Summary!$A$297:$A$333,$A1550,Summary!$L$297:$L$333))-AK1550,0)</f>
        <v>0</v>
      </c>
      <c r="AM1550" s="198"/>
      <c r="AN1550" s="196">
        <f t="shared" ca="1" si="348"/>
        <v>0</v>
      </c>
      <c r="AO1550" s="196">
        <f t="shared" ca="1" si="349"/>
        <v>0</v>
      </c>
    </row>
    <row r="1551" spans="1:41">
      <c r="A1551" s="189">
        <v>3639</v>
      </c>
      <c r="B1551" s="190">
        <v>4</v>
      </c>
      <c r="C1551" s="191" t="s">
        <v>233</v>
      </c>
      <c r="D1551" s="192">
        <f t="shared" si="336"/>
        <v>0</v>
      </c>
      <c r="E1551" s="192">
        <f t="shared" si="337"/>
        <v>0</v>
      </c>
      <c r="F1551" s="192">
        <f t="shared" si="338"/>
        <v>0</v>
      </c>
      <c r="G1551" s="193">
        <f t="shared" si="339"/>
        <v>0</v>
      </c>
      <c r="H1551" s="194">
        <v>0</v>
      </c>
      <c r="I1551" s="194">
        <v>0</v>
      </c>
      <c r="J1551" s="194">
        <v>0</v>
      </c>
      <c r="K1551" s="193">
        <f t="shared" si="340"/>
        <v>0</v>
      </c>
      <c r="L1551" s="194">
        <v>0</v>
      </c>
      <c r="M1551" s="194">
        <v>0</v>
      </c>
      <c r="N1551" s="194">
        <v>0</v>
      </c>
      <c r="O1551" s="193">
        <f t="shared" si="341"/>
        <v>0</v>
      </c>
      <c r="P1551" s="194">
        <v>0</v>
      </c>
      <c r="Q1551" s="194">
        <v>0</v>
      </c>
      <c r="R1551" s="194">
        <v>0</v>
      </c>
      <c r="S1551" s="193">
        <f t="shared" si="342"/>
        <v>0</v>
      </c>
      <c r="T1551" s="193">
        <f t="shared" si="343"/>
        <v>0</v>
      </c>
      <c r="U1551" s="193">
        <f ca="1">OFFSET('Expenditure Study'!$B$7,'Operations Support'!$C1551,'Operations Support'!$B1551)*$G1551</f>
        <v>0</v>
      </c>
      <c r="V1551" s="199">
        <f ca="1">U1551*'Expenditure Study'!$B$31</f>
        <v>0</v>
      </c>
      <c r="W1551" s="199">
        <f ca="1">IF(A1551=10298,1.51,1)*IF($B1551&lt;3,$D1551*'Expenditure Study'!$B$32*OFFSET('Expenditure Study'!$B$7,'Operations Support'!$C1551,'Operations Support'!$B1551),0)</f>
        <v>0</v>
      </c>
      <c r="X1551" s="200">
        <f ca="1">W1551*'Expenditure Study'!$B$31</f>
        <v>0</v>
      </c>
      <c r="Y1551" s="199">
        <f ca="1">U1551*'Expenditure Study'!$B$31</f>
        <v>0</v>
      </c>
      <c r="Z1551" s="200">
        <f ca="1">W1551*'Expenditure Study'!$B$31</f>
        <v>0</v>
      </c>
      <c r="AA1551" s="195">
        <f t="shared" ca="1" si="344"/>
        <v>0</v>
      </c>
      <c r="AB1551" s="195">
        <f t="shared" ca="1" si="345"/>
        <v>0</v>
      </c>
      <c r="AD1551" s="196">
        <f>IFERROR($G1551/SUMIF($A:$A,$A1551,$G:$G)*SUMIF(Summary!$A$166:$A$242,$A1551,Summary!$P$166:$P$242),0)</f>
        <v>0</v>
      </c>
      <c r="AE1551" s="197">
        <f t="shared" ca="1" si="346"/>
        <v>0</v>
      </c>
      <c r="AF1551" s="196">
        <f>IFERROR(G1551/SUMIF(A:A,A1551,G:G)*SUMIF(Summary!$A$166:$A$242,'Operations Support'!A1551,Summary!$Q$166:$Q$242),0)</f>
        <v>0</v>
      </c>
      <c r="AG1551" s="196">
        <f t="shared" ca="1" si="347"/>
        <v>0</v>
      </c>
      <c r="AI1551" s="196">
        <f>IFERROR($G1551/SUMIF($A:$A,$A1551,$G:$G)*SUMIF(Summary!$A$247:$A$283,$A1551,Summary!$P$247:$P$283),0)</f>
        <v>0</v>
      </c>
      <c r="AJ1551" s="196">
        <f>IFERROR($G1551/SUMIF($A:$A,$A1551,$G:$G)*(SUMIF(Summary!$A$247:$A$283,$A1551,Summary!$L$247:$L$283)+SUMIF(Summary!$A$297:$A$333,$A1551,Summary!$L$297:$L$333))-AI1551,0)</f>
        <v>0</v>
      </c>
      <c r="AK1551" s="196">
        <f>IFERROR($G1551/SUMIF($A:$A,$A1551,$G:$G)*SUMIF(Summary!$A$247:$A$283,$A1551,Summary!$Q$247:$Q$283),0)</f>
        <v>0</v>
      </c>
      <c r="AL1551" s="196">
        <f>IFERROR($G1551/SUMIF($A:$A,$A1551,$G:$G)*(SUMIF(Summary!$A$247:$A$283,$A1551,Summary!$L$247:$L$283)+SUMIF(Summary!$A$297:$A$333,$A1551,Summary!$L$297:$L$333))-AK1551,0)</f>
        <v>0</v>
      </c>
      <c r="AM1551" s="198"/>
      <c r="AN1551" s="196">
        <f t="shared" ca="1" si="348"/>
        <v>0</v>
      </c>
      <c r="AO1551" s="196">
        <f t="shared" ca="1" si="349"/>
        <v>0</v>
      </c>
    </row>
    <row r="1552" spans="1:41">
      <c r="A1552" s="189">
        <v>3639</v>
      </c>
      <c r="B1552" s="190">
        <v>4</v>
      </c>
      <c r="C1552" s="191" t="s">
        <v>234</v>
      </c>
      <c r="D1552" s="192">
        <f t="shared" si="336"/>
        <v>0</v>
      </c>
      <c r="E1552" s="192">
        <f t="shared" si="337"/>
        <v>0</v>
      </c>
      <c r="F1552" s="192">
        <f t="shared" si="338"/>
        <v>0</v>
      </c>
      <c r="G1552" s="193">
        <f t="shared" si="339"/>
        <v>0</v>
      </c>
      <c r="H1552" s="194">
        <v>0</v>
      </c>
      <c r="I1552" s="194">
        <v>0</v>
      </c>
      <c r="J1552" s="194">
        <v>0</v>
      </c>
      <c r="K1552" s="193">
        <f t="shared" si="340"/>
        <v>0</v>
      </c>
      <c r="L1552" s="194">
        <v>0</v>
      </c>
      <c r="M1552" s="194">
        <v>0</v>
      </c>
      <c r="N1552" s="194">
        <v>0</v>
      </c>
      <c r="O1552" s="193">
        <f t="shared" si="341"/>
        <v>0</v>
      </c>
      <c r="P1552" s="194">
        <v>0</v>
      </c>
      <c r="Q1552" s="194">
        <v>0</v>
      </c>
      <c r="R1552" s="194">
        <v>0</v>
      </c>
      <c r="S1552" s="193">
        <f t="shared" si="342"/>
        <v>0</v>
      </c>
      <c r="T1552" s="193">
        <f t="shared" si="343"/>
        <v>0</v>
      </c>
      <c r="U1552" s="193">
        <f ca="1">OFFSET('Expenditure Study'!$B$7,'Operations Support'!$C1552,'Operations Support'!$B1552)*$G1552</f>
        <v>0</v>
      </c>
      <c r="V1552" s="199">
        <f ca="1">U1552*'Expenditure Study'!$B$31</f>
        <v>0</v>
      </c>
      <c r="W1552" s="199">
        <f ca="1">IF(A1552=10298,1.51,1)*IF($B1552&lt;3,$D1552*'Expenditure Study'!$B$32*OFFSET('Expenditure Study'!$B$7,'Operations Support'!$C1552,'Operations Support'!$B1552),0)</f>
        <v>0</v>
      </c>
      <c r="X1552" s="200">
        <f ca="1">W1552*'Expenditure Study'!$B$31</f>
        <v>0</v>
      </c>
      <c r="Y1552" s="199">
        <f ca="1">U1552*'Expenditure Study'!$B$31</f>
        <v>0</v>
      </c>
      <c r="Z1552" s="200">
        <f ca="1">W1552*'Expenditure Study'!$B$31</f>
        <v>0</v>
      </c>
      <c r="AA1552" s="195">
        <f t="shared" ca="1" si="344"/>
        <v>0</v>
      </c>
      <c r="AB1552" s="195">
        <f t="shared" ca="1" si="345"/>
        <v>0</v>
      </c>
      <c r="AD1552" s="196">
        <f>IFERROR($G1552/SUMIF($A:$A,$A1552,$G:$G)*SUMIF(Summary!$A$166:$A$242,$A1552,Summary!$P$166:$P$242),0)</f>
        <v>0</v>
      </c>
      <c r="AE1552" s="197">
        <f t="shared" ca="1" si="346"/>
        <v>0</v>
      </c>
      <c r="AF1552" s="196">
        <f>IFERROR(G1552/SUMIF(A:A,A1552,G:G)*SUMIF(Summary!$A$166:$A$242,'Operations Support'!A1552,Summary!$Q$166:$Q$242),0)</f>
        <v>0</v>
      </c>
      <c r="AG1552" s="196">
        <f t="shared" ca="1" si="347"/>
        <v>0</v>
      </c>
      <c r="AI1552" s="196">
        <f>IFERROR($G1552/SUMIF($A:$A,$A1552,$G:$G)*SUMIF(Summary!$A$247:$A$283,$A1552,Summary!$P$247:$P$283),0)</f>
        <v>0</v>
      </c>
      <c r="AJ1552" s="196">
        <f>IFERROR($G1552/SUMIF($A:$A,$A1552,$G:$G)*(SUMIF(Summary!$A$247:$A$283,$A1552,Summary!$L$247:$L$283)+SUMIF(Summary!$A$297:$A$333,$A1552,Summary!$L$297:$L$333))-AI1552,0)</f>
        <v>0</v>
      </c>
      <c r="AK1552" s="196">
        <f>IFERROR($G1552/SUMIF($A:$A,$A1552,$G:$G)*SUMIF(Summary!$A$247:$A$283,$A1552,Summary!$Q$247:$Q$283),0)</f>
        <v>0</v>
      </c>
      <c r="AL1552" s="196">
        <f>IFERROR($G1552/SUMIF($A:$A,$A1552,$G:$G)*(SUMIF(Summary!$A$247:$A$283,$A1552,Summary!$L$247:$L$283)+SUMIF(Summary!$A$297:$A$333,$A1552,Summary!$L$297:$L$333))-AK1552,0)</f>
        <v>0</v>
      </c>
      <c r="AM1552" s="198"/>
      <c r="AN1552" s="196">
        <f t="shared" ca="1" si="348"/>
        <v>0</v>
      </c>
      <c r="AO1552" s="196">
        <f t="shared" ca="1" si="349"/>
        <v>0</v>
      </c>
    </row>
    <row r="1553" spans="1:41">
      <c r="A1553" s="189">
        <v>3639</v>
      </c>
      <c r="B1553" s="190">
        <v>4</v>
      </c>
      <c r="C1553" s="191" t="s">
        <v>235</v>
      </c>
      <c r="D1553" s="192">
        <f t="shared" si="336"/>
        <v>0</v>
      </c>
      <c r="E1553" s="192">
        <f t="shared" si="337"/>
        <v>0</v>
      </c>
      <c r="F1553" s="192">
        <f t="shared" si="338"/>
        <v>0</v>
      </c>
      <c r="G1553" s="193">
        <f t="shared" si="339"/>
        <v>0</v>
      </c>
      <c r="H1553" s="194">
        <v>0</v>
      </c>
      <c r="I1553" s="194">
        <v>0</v>
      </c>
      <c r="J1553" s="194">
        <v>0</v>
      </c>
      <c r="K1553" s="193">
        <f t="shared" si="340"/>
        <v>0</v>
      </c>
      <c r="L1553" s="194">
        <v>0</v>
      </c>
      <c r="M1553" s="194">
        <v>0</v>
      </c>
      <c r="N1553" s="194">
        <v>0</v>
      </c>
      <c r="O1553" s="193">
        <f t="shared" si="341"/>
        <v>0</v>
      </c>
      <c r="P1553" s="194">
        <v>0</v>
      </c>
      <c r="Q1553" s="194">
        <v>0</v>
      </c>
      <c r="R1553" s="194">
        <v>0</v>
      </c>
      <c r="S1553" s="193">
        <f t="shared" si="342"/>
        <v>0</v>
      </c>
      <c r="T1553" s="193">
        <f t="shared" si="343"/>
        <v>0</v>
      </c>
      <c r="U1553" s="193">
        <f ca="1">OFFSET('Expenditure Study'!$B$7,'Operations Support'!$C1553,'Operations Support'!$B1553)*$G1553</f>
        <v>0</v>
      </c>
      <c r="V1553" s="199">
        <f ca="1">U1553*'Expenditure Study'!$B$31</f>
        <v>0</v>
      </c>
      <c r="W1553" s="199">
        <f ca="1">IF(A1553=10298,1.51,1)*IF($B1553&lt;3,$D1553*'Expenditure Study'!$B$32*OFFSET('Expenditure Study'!$B$7,'Operations Support'!$C1553,'Operations Support'!$B1553),0)</f>
        <v>0</v>
      </c>
      <c r="X1553" s="200">
        <f ca="1">W1553*'Expenditure Study'!$B$31</f>
        <v>0</v>
      </c>
      <c r="Y1553" s="199">
        <f ca="1">U1553*'Expenditure Study'!$B$31</f>
        <v>0</v>
      </c>
      <c r="Z1553" s="200">
        <f ca="1">W1553*'Expenditure Study'!$B$31</f>
        <v>0</v>
      </c>
      <c r="AA1553" s="195">
        <f t="shared" ca="1" si="344"/>
        <v>0</v>
      </c>
      <c r="AB1553" s="195">
        <f t="shared" ca="1" si="345"/>
        <v>0</v>
      </c>
      <c r="AD1553" s="196">
        <f>IFERROR($G1553/SUMIF($A:$A,$A1553,$G:$G)*SUMIF(Summary!$A$166:$A$242,$A1553,Summary!$P$166:$P$242),0)</f>
        <v>0</v>
      </c>
      <c r="AE1553" s="197">
        <f t="shared" ca="1" si="346"/>
        <v>0</v>
      </c>
      <c r="AF1553" s="196">
        <f>IFERROR(G1553/SUMIF(A:A,A1553,G:G)*SUMIF(Summary!$A$166:$A$242,'Operations Support'!A1553,Summary!$Q$166:$Q$242),0)</f>
        <v>0</v>
      </c>
      <c r="AG1553" s="196">
        <f t="shared" ca="1" si="347"/>
        <v>0</v>
      </c>
      <c r="AI1553" s="196">
        <f>IFERROR($G1553/SUMIF($A:$A,$A1553,$G:$G)*SUMIF(Summary!$A$247:$A$283,$A1553,Summary!$P$247:$P$283),0)</f>
        <v>0</v>
      </c>
      <c r="AJ1553" s="196">
        <f>IFERROR($G1553/SUMIF($A:$A,$A1553,$G:$G)*(SUMIF(Summary!$A$247:$A$283,$A1553,Summary!$L$247:$L$283)+SUMIF(Summary!$A$297:$A$333,$A1553,Summary!$L$297:$L$333))-AI1553,0)</f>
        <v>0</v>
      </c>
      <c r="AK1553" s="196">
        <f>IFERROR($G1553/SUMIF($A:$A,$A1553,$G:$G)*SUMIF(Summary!$A$247:$A$283,$A1553,Summary!$Q$247:$Q$283),0)</f>
        <v>0</v>
      </c>
      <c r="AL1553" s="196">
        <f>IFERROR($G1553/SUMIF($A:$A,$A1553,$G:$G)*(SUMIF(Summary!$A$247:$A$283,$A1553,Summary!$L$247:$L$283)+SUMIF(Summary!$A$297:$A$333,$A1553,Summary!$L$297:$L$333))-AK1553,0)</f>
        <v>0</v>
      </c>
      <c r="AM1553" s="198"/>
      <c r="AN1553" s="196">
        <f t="shared" ca="1" si="348"/>
        <v>0</v>
      </c>
      <c r="AO1553" s="196">
        <f t="shared" ca="1" si="349"/>
        <v>0</v>
      </c>
    </row>
    <row r="1554" spans="1:41">
      <c r="A1554" s="189">
        <v>3639</v>
      </c>
      <c r="B1554" s="190">
        <v>4</v>
      </c>
      <c r="C1554" s="191" t="s">
        <v>236</v>
      </c>
      <c r="D1554" s="192">
        <f t="shared" si="336"/>
        <v>0</v>
      </c>
      <c r="E1554" s="192">
        <f t="shared" si="337"/>
        <v>0</v>
      </c>
      <c r="F1554" s="192">
        <f t="shared" si="338"/>
        <v>0</v>
      </c>
      <c r="G1554" s="193">
        <f t="shared" si="339"/>
        <v>0</v>
      </c>
      <c r="H1554" s="194">
        <v>0</v>
      </c>
      <c r="I1554" s="194">
        <v>0</v>
      </c>
      <c r="J1554" s="194">
        <v>0</v>
      </c>
      <c r="K1554" s="193">
        <f t="shared" si="340"/>
        <v>0</v>
      </c>
      <c r="L1554" s="194">
        <v>0</v>
      </c>
      <c r="M1554" s="194">
        <v>0</v>
      </c>
      <c r="N1554" s="194">
        <v>0</v>
      </c>
      <c r="O1554" s="193">
        <f t="shared" si="341"/>
        <v>0</v>
      </c>
      <c r="P1554" s="194">
        <v>0</v>
      </c>
      <c r="Q1554" s="194">
        <v>0</v>
      </c>
      <c r="R1554" s="194">
        <v>0</v>
      </c>
      <c r="S1554" s="193">
        <f t="shared" si="342"/>
        <v>0</v>
      </c>
      <c r="T1554" s="193">
        <f t="shared" si="343"/>
        <v>0</v>
      </c>
      <c r="U1554" s="193">
        <f ca="1">OFFSET('Expenditure Study'!$B$7,'Operations Support'!$C1554,'Operations Support'!$B1554)*$G1554</f>
        <v>0</v>
      </c>
      <c r="V1554" s="199">
        <f ca="1">U1554*'Expenditure Study'!$B$31</f>
        <v>0</v>
      </c>
      <c r="W1554" s="199">
        <f ca="1">IF(A1554=10298,1.51,1)*IF($B1554&lt;3,$D1554*'Expenditure Study'!$B$32*OFFSET('Expenditure Study'!$B$7,'Operations Support'!$C1554,'Operations Support'!$B1554),0)</f>
        <v>0</v>
      </c>
      <c r="X1554" s="200">
        <f ca="1">W1554*'Expenditure Study'!$B$31</f>
        <v>0</v>
      </c>
      <c r="Y1554" s="199">
        <f ca="1">U1554*'Expenditure Study'!$B$31</f>
        <v>0</v>
      </c>
      <c r="Z1554" s="200">
        <f ca="1">W1554*'Expenditure Study'!$B$31</f>
        <v>0</v>
      </c>
      <c r="AA1554" s="195">
        <f t="shared" ca="1" si="344"/>
        <v>0</v>
      </c>
      <c r="AB1554" s="195">
        <f t="shared" ca="1" si="345"/>
        <v>0</v>
      </c>
      <c r="AD1554" s="196">
        <f>IFERROR($G1554/SUMIF($A:$A,$A1554,$G:$G)*SUMIF(Summary!$A$166:$A$242,$A1554,Summary!$P$166:$P$242),0)</f>
        <v>0</v>
      </c>
      <c r="AE1554" s="197">
        <f t="shared" ca="1" si="346"/>
        <v>0</v>
      </c>
      <c r="AF1554" s="196">
        <f>IFERROR(G1554/SUMIF(A:A,A1554,G:G)*SUMIF(Summary!$A$166:$A$242,'Operations Support'!A1554,Summary!$Q$166:$Q$242),0)</f>
        <v>0</v>
      </c>
      <c r="AG1554" s="196">
        <f t="shared" ca="1" si="347"/>
        <v>0</v>
      </c>
      <c r="AI1554" s="196">
        <f>IFERROR($G1554/SUMIF($A:$A,$A1554,$G:$G)*SUMIF(Summary!$A$247:$A$283,$A1554,Summary!$P$247:$P$283),0)</f>
        <v>0</v>
      </c>
      <c r="AJ1554" s="196">
        <f>IFERROR($G1554/SUMIF($A:$A,$A1554,$G:$G)*(SUMIF(Summary!$A$247:$A$283,$A1554,Summary!$L$247:$L$283)+SUMIF(Summary!$A$297:$A$333,$A1554,Summary!$L$297:$L$333))-AI1554,0)</f>
        <v>0</v>
      </c>
      <c r="AK1554" s="196">
        <f>IFERROR($G1554/SUMIF($A:$A,$A1554,$G:$G)*SUMIF(Summary!$A$247:$A$283,$A1554,Summary!$Q$247:$Q$283),0)</f>
        <v>0</v>
      </c>
      <c r="AL1554" s="196">
        <f>IFERROR($G1554/SUMIF($A:$A,$A1554,$G:$G)*(SUMIF(Summary!$A$247:$A$283,$A1554,Summary!$L$247:$L$283)+SUMIF(Summary!$A$297:$A$333,$A1554,Summary!$L$297:$L$333))-AK1554,0)</f>
        <v>0</v>
      </c>
      <c r="AM1554" s="198"/>
      <c r="AN1554" s="196">
        <f t="shared" ca="1" si="348"/>
        <v>0</v>
      </c>
      <c r="AO1554" s="196">
        <f t="shared" ca="1" si="349"/>
        <v>0</v>
      </c>
    </row>
    <row r="1555" spans="1:41">
      <c r="A1555" s="189">
        <v>3639</v>
      </c>
      <c r="B1555" s="190">
        <v>4</v>
      </c>
      <c r="C1555" s="191" t="s">
        <v>237</v>
      </c>
      <c r="D1555" s="192">
        <f t="shared" si="336"/>
        <v>0</v>
      </c>
      <c r="E1555" s="192">
        <f t="shared" si="337"/>
        <v>0</v>
      </c>
      <c r="F1555" s="192">
        <f t="shared" si="338"/>
        <v>0</v>
      </c>
      <c r="G1555" s="193">
        <f t="shared" si="339"/>
        <v>0</v>
      </c>
      <c r="H1555" s="194">
        <v>0</v>
      </c>
      <c r="I1555" s="194">
        <v>0</v>
      </c>
      <c r="J1555" s="194">
        <v>0</v>
      </c>
      <c r="K1555" s="193">
        <f t="shared" si="340"/>
        <v>0</v>
      </c>
      <c r="L1555" s="194">
        <v>0</v>
      </c>
      <c r="M1555" s="194">
        <v>0</v>
      </c>
      <c r="N1555" s="194">
        <v>0</v>
      </c>
      <c r="O1555" s="193">
        <f t="shared" si="341"/>
        <v>0</v>
      </c>
      <c r="P1555" s="194">
        <v>0</v>
      </c>
      <c r="Q1555" s="194">
        <v>0</v>
      </c>
      <c r="R1555" s="194">
        <v>0</v>
      </c>
      <c r="S1555" s="193">
        <f t="shared" si="342"/>
        <v>0</v>
      </c>
      <c r="T1555" s="193">
        <f t="shared" si="343"/>
        <v>0</v>
      </c>
      <c r="U1555" s="193">
        <f ca="1">OFFSET('Expenditure Study'!$B$7,'Operations Support'!$C1555,'Operations Support'!$B1555)*$G1555</f>
        <v>0</v>
      </c>
      <c r="V1555" s="199">
        <f ca="1">U1555*'Expenditure Study'!$B$31</f>
        <v>0</v>
      </c>
      <c r="W1555" s="199">
        <f ca="1">IF(A1555=10298,1.51,1)*IF($B1555&lt;3,$D1555*'Expenditure Study'!$B$32*OFFSET('Expenditure Study'!$B$7,'Operations Support'!$C1555,'Operations Support'!$B1555),0)</f>
        <v>0</v>
      </c>
      <c r="X1555" s="200">
        <f ca="1">W1555*'Expenditure Study'!$B$31</f>
        <v>0</v>
      </c>
      <c r="Y1555" s="199">
        <f ca="1">U1555*'Expenditure Study'!$B$31</f>
        <v>0</v>
      </c>
      <c r="Z1555" s="200">
        <f ca="1">W1555*'Expenditure Study'!$B$31</f>
        <v>0</v>
      </c>
      <c r="AA1555" s="195">
        <f t="shared" ca="1" si="344"/>
        <v>0</v>
      </c>
      <c r="AB1555" s="195">
        <f t="shared" ca="1" si="345"/>
        <v>0</v>
      </c>
      <c r="AD1555" s="196">
        <f>IFERROR($G1555/SUMIF($A:$A,$A1555,$G:$G)*SUMIF(Summary!$A$166:$A$242,$A1555,Summary!$P$166:$P$242),0)</f>
        <v>0</v>
      </c>
      <c r="AE1555" s="197">
        <f t="shared" ca="1" si="346"/>
        <v>0</v>
      </c>
      <c r="AF1555" s="196">
        <f>IFERROR(G1555/SUMIF(A:A,A1555,G:G)*SUMIF(Summary!$A$166:$A$242,'Operations Support'!A1555,Summary!$Q$166:$Q$242),0)</f>
        <v>0</v>
      </c>
      <c r="AG1555" s="196">
        <f t="shared" ca="1" si="347"/>
        <v>0</v>
      </c>
      <c r="AI1555" s="196">
        <f>IFERROR($G1555/SUMIF($A:$A,$A1555,$G:$G)*SUMIF(Summary!$A$247:$A$283,$A1555,Summary!$P$247:$P$283),0)</f>
        <v>0</v>
      </c>
      <c r="AJ1555" s="196">
        <f>IFERROR($G1555/SUMIF($A:$A,$A1555,$G:$G)*(SUMIF(Summary!$A$247:$A$283,$A1555,Summary!$L$247:$L$283)+SUMIF(Summary!$A$297:$A$333,$A1555,Summary!$L$297:$L$333))-AI1555,0)</f>
        <v>0</v>
      </c>
      <c r="AK1555" s="196">
        <f>IFERROR($G1555/SUMIF($A:$A,$A1555,$G:$G)*SUMIF(Summary!$A$247:$A$283,$A1555,Summary!$Q$247:$Q$283),0)</f>
        <v>0</v>
      </c>
      <c r="AL1555" s="196">
        <f>IFERROR($G1555/SUMIF($A:$A,$A1555,$G:$G)*(SUMIF(Summary!$A$247:$A$283,$A1555,Summary!$L$247:$L$283)+SUMIF(Summary!$A$297:$A$333,$A1555,Summary!$L$297:$L$333))-AK1555,0)</f>
        <v>0</v>
      </c>
      <c r="AM1555" s="198"/>
      <c r="AN1555" s="196">
        <f t="shared" ca="1" si="348"/>
        <v>0</v>
      </c>
      <c r="AO1555" s="196">
        <f t="shared" ca="1" si="349"/>
        <v>0</v>
      </c>
    </row>
    <row r="1556" spans="1:41">
      <c r="A1556" s="189">
        <v>3639</v>
      </c>
      <c r="B1556" s="190">
        <v>4</v>
      </c>
      <c r="C1556" s="191" t="s">
        <v>238</v>
      </c>
      <c r="D1556" s="192">
        <f t="shared" si="336"/>
        <v>0</v>
      </c>
      <c r="E1556" s="192">
        <f t="shared" si="337"/>
        <v>0</v>
      </c>
      <c r="F1556" s="192">
        <f t="shared" si="338"/>
        <v>0</v>
      </c>
      <c r="G1556" s="193">
        <f t="shared" si="339"/>
        <v>0</v>
      </c>
      <c r="H1556" s="194">
        <v>0</v>
      </c>
      <c r="I1556" s="194">
        <v>0</v>
      </c>
      <c r="J1556" s="194">
        <v>0</v>
      </c>
      <c r="K1556" s="193">
        <f t="shared" si="340"/>
        <v>0</v>
      </c>
      <c r="L1556" s="194">
        <v>0</v>
      </c>
      <c r="M1556" s="194">
        <v>0</v>
      </c>
      <c r="N1556" s="194">
        <v>0</v>
      </c>
      <c r="O1556" s="193">
        <f t="shared" si="341"/>
        <v>0</v>
      </c>
      <c r="P1556" s="194">
        <v>0</v>
      </c>
      <c r="Q1556" s="194">
        <v>0</v>
      </c>
      <c r="R1556" s="194">
        <v>0</v>
      </c>
      <c r="S1556" s="193">
        <f t="shared" si="342"/>
        <v>0</v>
      </c>
      <c r="T1556" s="193">
        <f t="shared" si="343"/>
        <v>0</v>
      </c>
      <c r="U1556" s="193">
        <f ca="1">OFFSET('Expenditure Study'!$B$7,'Operations Support'!$C1556,'Operations Support'!$B1556)*$G1556</f>
        <v>0</v>
      </c>
      <c r="V1556" s="199">
        <f ca="1">U1556*'Expenditure Study'!$B$31</f>
        <v>0</v>
      </c>
      <c r="W1556" s="199">
        <f ca="1">IF(A1556=10298,1.51,1)*IF($B1556&lt;3,$D1556*'Expenditure Study'!$B$32*OFFSET('Expenditure Study'!$B$7,'Operations Support'!$C1556,'Operations Support'!$B1556),0)</f>
        <v>0</v>
      </c>
      <c r="X1556" s="200">
        <f ca="1">W1556*'Expenditure Study'!$B$31</f>
        <v>0</v>
      </c>
      <c r="Y1556" s="199">
        <f ca="1">U1556*'Expenditure Study'!$B$31</f>
        <v>0</v>
      </c>
      <c r="Z1556" s="200">
        <f ca="1">W1556*'Expenditure Study'!$B$31</f>
        <v>0</v>
      </c>
      <c r="AA1556" s="195">
        <f t="shared" ca="1" si="344"/>
        <v>0</v>
      </c>
      <c r="AB1556" s="195">
        <f t="shared" ca="1" si="345"/>
        <v>0</v>
      </c>
      <c r="AD1556" s="196">
        <f>IFERROR($G1556/SUMIF($A:$A,$A1556,$G:$G)*SUMIF(Summary!$A$166:$A$242,$A1556,Summary!$P$166:$P$242),0)</f>
        <v>0</v>
      </c>
      <c r="AE1556" s="197">
        <f t="shared" ca="1" si="346"/>
        <v>0</v>
      </c>
      <c r="AF1556" s="196">
        <f>IFERROR(G1556/SUMIF(A:A,A1556,G:G)*SUMIF(Summary!$A$166:$A$242,'Operations Support'!A1556,Summary!$Q$166:$Q$242),0)</f>
        <v>0</v>
      </c>
      <c r="AG1556" s="196">
        <f t="shared" ca="1" si="347"/>
        <v>0</v>
      </c>
      <c r="AI1556" s="196">
        <f>IFERROR($G1556/SUMIF($A:$A,$A1556,$G:$G)*SUMIF(Summary!$A$247:$A$283,$A1556,Summary!$P$247:$P$283),0)</f>
        <v>0</v>
      </c>
      <c r="AJ1556" s="196">
        <f>IFERROR($G1556/SUMIF($A:$A,$A1556,$G:$G)*(SUMIF(Summary!$A$247:$A$283,$A1556,Summary!$L$247:$L$283)+SUMIF(Summary!$A$297:$A$333,$A1556,Summary!$L$297:$L$333))-AI1556,0)</f>
        <v>0</v>
      </c>
      <c r="AK1556" s="196">
        <f>IFERROR($G1556/SUMIF($A:$A,$A1556,$G:$G)*SUMIF(Summary!$A$247:$A$283,$A1556,Summary!$Q$247:$Q$283),0)</f>
        <v>0</v>
      </c>
      <c r="AL1556" s="196">
        <f>IFERROR($G1556/SUMIF($A:$A,$A1556,$G:$G)*(SUMIF(Summary!$A$247:$A$283,$A1556,Summary!$L$247:$L$283)+SUMIF(Summary!$A$297:$A$333,$A1556,Summary!$L$297:$L$333))-AK1556,0)</f>
        <v>0</v>
      </c>
      <c r="AM1556" s="198"/>
      <c r="AN1556" s="196">
        <f t="shared" ca="1" si="348"/>
        <v>0</v>
      </c>
      <c r="AO1556" s="196">
        <f t="shared" ca="1" si="349"/>
        <v>0</v>
      </c>
    </row>
    <row r="1557" spans="1:41" s="201" customFormat="1">
      <c r="A1557" s="189">
        <v>3639</v>
      </c>
      <c r="B1557" s="190">
        <v>4</v>
      </c>
      <c r="C1557" s="191" t="s">
        <v>239</v>
      </c>
      <c r="D1557" s="192">
        <f t="shared" si="336"/>
        <v>0</v>
      </c>
      <c r="E1557" s="192">
        <f t="shared" si="337"/>
        <v>0</v>
      </c>
      <c r="F1557" s="192">
        <f t="shared" si="338"/>
        <v>0</v>
      </c>
      <c r="G1557" s="193">
        <f t="shared" si="339"/>
        <v>0</v>
      </c>
      <c r="H1557" s="194">
        <v>0</v>
      </c>
      <c r="I1557" s="194">
        <v>0</v>
      </c>
      <c r="J1557" s="194">
        <v>0</v>
      </c>
      <c r="K1557" s="193">
        <f t="shared" si="340"/>
        <v>0</v>
      </c>
      <c r="L1557" s="194">
        <v>0</v>
      </c>
      <c r="M1557" s="194">
        <v>0</v>
      </c>
      <c r="N1557" s="194">
        <v>0</v>
      </c>
      <c r="O1557" s="193">
        <f t="shared" si="341"/>
        <v>0</v>
      </c>
      <c r="P1557" s="194">
        <v>0</v>
      </c>
      <c r="Q1557" s="194">
        <v>0</v>
      </c>
      <c r="R1557" s="194">
        <v>0</v>
      </c>
      <c r="S1557" s="193">
        <f t="shared" si="342"/>
        <v>0</v>
      </c>
      <c r="T1557" s="193">
        <f t="shared" si="343"/>
        <v>0</v>
      </c>
      <c r="U1557" s="193">
        <f ca="1">OFFSET('Expenditure Study'!$B$7,'Operations Support'!$C1557,'Operations Support'!$B1557)*$G1557</f>
        <v>0</v>
      </c>
      <c r="V1557" s="199">
        <f ca="1">U1557*'Expenditure Study'!$B$31</f>
        <v>0</v>
      </c>
      <c r="W1557" s="199">
        <f ca="1">IF(A1557=10298,1.51,1)*IF($B1557&lt;3,$D1557*'Expenditure Study'!$B$32*OFFSET('Expenditure Study'!$B$7,'Operations Support'!$C1557,'Operations Support'!$B1557),0)</f>
        <v>0</v>
      </c>
      <c r="X1557" s="200">
        <f ca="1">W1557*'Expenditure Study'!$B$31</f>
        <v>0</v>
      </c>
      <c r="Y1557" s="199">
        <f ca="1">U1557*'Expenditure Study'!$B$31</f>
        <v>0</v>
      </c>
      <c r="Z1557" s="200">
        <f ca="1">W1557*'Expenditure Study'!$B$31</f>
        <v>0</v>
      </c>
      <c r="AA1557" s="195">
        <f t="shared" ca="1" si="344"/>
        <v>0</v>
      </c>
      <c r="AB1557" s="195">
        <f t="shared" ca="1" si="345"/>
        <v>0</v>
      </c>
      <c r="AD1557" s="196">
        <f>IFERROR($G1557/SUMIF($A:$A,$A1557,$G:$G)*SUMIF(Summary!$A$166:$A$242,$A1557,Summary!$P$166:$P$242),0)</f>
        <v>0</v>
      </c>
      <c r="AE1557" s="197">
        <f t="shared" ca="1" si="346"/>
        <v>0</v>
      </c>
      <c r="AF1557" s="196">
        <f>IFERROR(G1557/SUMIF(A:A,A1557,G:G)*SUMIF(Summary!$A$166:$A$242,'Operations Support'!A1557,Summary!$Q$166:$Q$242),0)</f>
        <v>0</v>
      </c>
      <c r="AG1557" s="196">
        <f t="shared" ca="1" si="347"/>
        <v>0</v>
      </c>
      <c r="AH1557" s="180"/>
      <c r="AI1557" s="196">
        <f>IFERROR($G1557/SUMIF($A:$A,$A1557,$G:$G)*SUMIF(Summary!$A$247:$A$283,$A1557,Summary!$P$247:$P$283),0)</f>
        <v>0</v>
      </c>
      <c r="AJ1557" s="196">
        <f>IFERROR($G1557/SUMIF($A:$A,$A1557,$G:$G)*(SUMIF(Summary!$A$247:$A$283,$A1557,Summary!$L$247:$L$283)+SUMIF(Summary!$A$297:$A$333,$A1557,Summary!$L$297:$L$333))-AI1557,0)</f>
        <v>0</v>
      </c>
      <c r="AK1557" s="196">
        <f>IFERROR($G1557/SUMIF($A:$A,$A1557,$G:$G)*SUMIF(Summary!$A$247:$A$283,$A1557,Summary!$Q$247:$Q$283),0)</f>
        <v>0</v>
      </c>
      <c r="AL1557" s="196">
        <f>IFERROR($G1557/SUMIF($A:$A,$A1557,$G:$G)*(SUMIF(Summary!$A$247:$A$283,$A1557,Summary!$L$247:$L$283)+SUMIF(Summary!$A$297:$A$333,$A1557,Summary!$L$297:$L$333))-AK1557,0)</f>
        <v>0</v>
      </c>
      <c r="AM1557" s="198"/>
      <c r="AN1557" s="196">
        <f t="shared" ca="1" si="348"/>
        <v>0</v>
      </c>
      <c r="AO1557" s="196">
        <f t="shared" ca="1" si="349"/>
        <v>0</v>
      </c>
    </row>
    <row r="1558" spans="1:41" s="201" customFormat="1">
      <c r="A1558" s="189">
        <v>3639</v>
      </c>
      <c r="B1558" s="190">
        <v>4</v>
      </c>
      <c r="C1558" s="191" t="s">
        <v>240</v>
      </c>
      <c r="D1558" s="192">
        <f t="shared" si="336"/>
        <v>0</v>
      </c>
      <c r="E1558" s="192">
        <f t="shared" si="337"/>
        <v>0</v>
      </c>
      <c r="F1558" s="192">
        <f t="shared" si="338"/>
        <v>0</v>
      </c>
      <c r="G1558" s="193">
        <f t="shared" si="339"/>
        <v>0</v>
      </c>
      <c r="H1558" s="194">
        <v>0</v>
      </c>
      <c r="I1558" s="194">
        <v>0</v>
      </c>
      <c r="J1558" s="194">
        <v>0</v>
      </c>
      <c r="K1558" s="193">
        <f t="shared" si="340"/>
        <v>0</v>
      </c>
      <c r="L1558" s="194">
        <v>0</v>
      </c>
      <c r="M1558" s="194">
        <v>0</v>
      </c>
      <c r="N1558" s="194">
        <v>0</v>
      </c>
      <c r="O1558" s="193">
        <f t="shared" si="341"/>
        <v>0</v>
      </c>
      <c r="P1558" s="194">
        <v>0</v>
      </c>
      <c r="Q1558" s="194">
        <v>0</v>
      </c>
      <c r="R1558" s="194">
        <v>0</v>
      </c>
      <c r="S1558" s="193">
        <f t="shared" si="342"/>
        <v>0</v>
      </c>
      <c r="T1558" s="193">
        <f t="shared" si="343"/>
        <v>0</v>
      </c>
      <c r="U1558" s="193">
        <f ca="1">OFFSET('Expenditure Study'!$B$7,'Operations Support'!$C1558,'Operations Support'!$B1558)*$G1558</f>
        <v>0</v>
      </c>
      <c r="V1558" s="199">
        <f ca="1">U1558*'Expenditure Study'!$B$31</f>
        <v>0</v>
      </c>
      <c r="W1558" s="199">
        <f ca="1">IF(A1558=10298,1.51,1)*IF($B1558&lt;3,$D1558*'Expenditure Study'!$B$32*OFFSET('Expenditure Study'!$B$7,'Operations Support'!$C1558,'Operations Support'!$B1558),0)</f>
        <v>0</v>
      </c>
      <c r="X1558" s="200">
        <f ca="1">W1558*'Expenditure Study'!$B$31</f>
        <v>0</v>
      </c>
      <c r="Y1558" s="199">
        <f ca="1">U1558*'Expenditure Study'!$B$31</f>
        <v>0</v>
      </c>
      <c r="Z1558" s="200">
        <f ca="1">W1558*'Expenditure Study'!$B$31</f>
        <v>0</v>
      </c>
      <c r="AA1558" s="195">
        <f t="shared" ca="1" si="344"/>
        <v>0</v>
      </c>
      <c r="AB1558" s="195">
        <f t="shared" ca="1" si="345"/>
        <v>0</v>
      </c>
      <c r="AD1558" s="196">
        <f>IFERROR($G1558/SUMIF($A:$A,$A1558,$G:$G)*SUMIF(Summary!$A$166:$A$242,$A1558,Summary!$P$166:$P$242),0)</f>
        <v>0</v>
      </c>
      <c r="AE1558" s="197">
        <f t="shared" ca="1" si="346"/>
        <v>0</v>
      </c>
      <c r="AF1558" s="196">
        <f>IFERROR(G1558/SUMIF(A:A,A1558,G:G)*SUMIF(Summary!$A$166:$A$242,'Operations Support'!A1558,Summary!$Q$166:$Q$242),0)</f>
        <v>0</v>
      </c>
      <c r="AG1558" s="196">
        <f t="shared" ca="1" si="347"/>
        <v>0</v>
      </c>
      <c r="AH1558" s="180"/>
      <c r="AI1558" s="196">
        <f>IFERROR($G1558/SUMIF($A:$A,$A1558,$G:$G)*SUMIF(Summary!$A$247:$A$283,$A1558,Summary!$P$247:$P$283),0)</f>
        <v>0</v>
      </c>
      <c r="AJ1558" s="196">
        <f>IFERROR($G1558/SUMIF($A:$A,$A1558,$G:$G)*(SUMIF(Summary!$A$247:$A$283,$A1558,Summary!$L$247:$L$283)+SUMIF(Summary!$A$297:$A$333,$A1558,Summary!$L$297:$L$333))-AI1558,0)</f>
        <v>0</v>
      </c>
      <c r="AK1558" s="196">
        <f>IFERROR($G1558/SUMIF($A:$A,$A1558,$G:$G)*SUMIF(Summary!$A$247:$A$283,$A1558,Summary!$Q$247:$Q$283),0)</f>
        <v>0</v>
      </c>
      <c r="AL1558" s="196">
        <f>IFERROR($G1558/SUMIF($A:$A,$A1558,$G:$G)*(SUMIF(Summary!$A$247:$A$283,$A1558,Summary!$L$247:$L$283)+SUMIF(Summary!$A$297:$A$333,$A1558,Summary!$L$297:$L$333))-AK1558,0)</f>
        <v>0</v>
      </c>
      <c r="AM1558" s="198"/>
      <c r="AN1558" s="196">
        <f t="shared" ca="1" si="348"/>
        <v>0</v>
      </c>
      <c r="AO1558" s="196">
        <f t="shared" ca="1" si="349"/>
        <v>0</v>
      </c>
    </row>
    <row r="1559" spans="1:41">
      <c r="A1559" s="189">
        <v>3639</v>
      </c>
      <c r="B1559" s="190">
        <v>5</v>
      </c>
      <c r="C1559" s="191" t="s">
        <v>220</v>
      </c>
      <c r="D1559" s="192">
        <f t="shared" si="336"/>
        <v>0</v>
      </c>
      <c r="E1559" s="192">
        <f t="shared" si="337"/>
        <v>0</v>
      </c>
      <c r="F1559" s="192">
        <f t="shared" si="338"/>
        <v>0</v>
      </c>
      <c r="G1559" s="193">
        <f t="shared" si="339"/>
        <v>0</v>
      </c>
      <c r="H1559" s="194">
        <v>0</v>
      </c>
      <c r="I1559" s="194">
        <v>0</v>
      </c>
      <c r="J1559" s="194">
        <v>0</v>
      </c>
      <c r="K1559" s="193">
        <f t="shared" si="340"/>
        <v>0</v>
      </c>
      <c r="L1559" s="194">
        <v>0</v>
      </c>
      <c r="M1559" s="194">
        <v>0</v>
      </c>
      <c r="N1559" s="194">
        <v>0</v>
      </c>
      <c r="O1559" s="193">
        <f t="shared" si="341"/>
        <v>0</v>
      </c>
      <c r="P1559" s="194">
        <v>0</v>
      </c>
      <c r="Q1559" s="194">
        <v>0</v>
      </c>
      <c r="R1559" s="194">
        <v>0</v>
      </c>
      <c r="S1559" s="193">
        <f t="shared" si="342"/>
        <v>0</v>
      </c>
      <c r="T1559" s="193">
        <f t="shared" si="343"/>
        <v>0</v>
      </c>
      <c r="U1559" s="193">
        <f ca="1">OFFSET('Expenditure Study'!$B$7,'Operations Support'!$C1559,'Operations Support'!$B1559)*$G1559</f>
        <v>0</v>
      </c>
      <c r="V1559" s="199">
        <f ca="1">U1559*'Expenditure Study'!$B$31</f>
        <v>0</v>
      </c>
      <c r="W1559" s="199">
        <f ca="1">IF(A1559=10298,1.51,1)*IF($B1559&lt;3,$D1559*'Expenditure Study'!$B$32*OFFSET('Expenditure Study'!$B$7,'Operations Support'!$C1559,'Operations Support'!$B1559),0)</f>
        <v>0</v>
      </c>
      <c r="X1559" s="200">
        <f ca="1">W1559*'Expenditure Study'!$B$31</f>
        <v>0</v>
      </c>
      <c r="Y1559" s="199">
        <f ca="1">U1559*'Expenditure Study'!$B$31</f>
        <v>0</v>
      </c>
      <c r="Z1559" s="200">
        <f ca="1">W1559*'Expenditure Study'!$B$31</f>
        <v>0</v>
      </c>
      <c r="AA1559" s="195">
        <f t="shared" ca="1" si="344"/>
        <v>0</v>
      </c>
      <c r="AB1559" s="195">
        <f t="shared" ca="1" si="345"/>
        <v>0</v>
      </c>
      <c r="AD1559" s="196">
        <f>IFERROR($G1559/SUMIF($A:$A,$A1559,$G:$G)*SUMIF(Summary!$A$166:$A$242,$A1559,Summary!$P$166:$P$242),0)</f>
        <v>0</v>
      </c>
      <c r="AE1559" s="197">
        <f t="shared" ca="1" si="346"/>
        <v>0</v>
      </c>
      <c r="AF1559" s="196">
        <f>IFERROR(G1559/SUMIF(A:A,A1559,G:G)*SUMIF(Summary!$A$166:$A$242,'Operations Support'!A1559,Summary!$Q$166:$Q$242),0)</f>
        <v>0</v>
      </c>
      <c r="AG1559" s="196">
        <f t="shared" ca="1" si="347"/>
        <v>0</v>
      </c>
      <c r="AI1559" s="196">
        <f>IFERROR($G1559/SUMIF($A:$A,$A1559,$G:$G)*SUMIF(Summary!$A$247:$A$283,$A1559,Summary!$P$247:$P$283),0)</f>
        <v>0</v>
      </c>
      <c r="AJ1559" s="196">
        <f>IFERROR($G1559/SUMIF($A:$A,$A1559,$G:$G)*(SUMIF(Summary!$A$247:$A$283,$A1559,Summary!$L$247:$L$283)+SUMIF(Summary!$A$297:$A$333,$A1559,Summary!$L$297:$L$333))-AI1559,0)</f>
        <v>0</v>
      </c>
      <c r="AK1559" s="196">
        <f>IFERROR($G1559/SUMIF($A:$A,$A1559,$G:$G)*SUMIF(Summary!$A$247:$A$283,$A1559,Summary!$Q$247:$Q$283),0)</f>
        <v>0</v>
      </c>
      <c r="AL1559" s="196">
        <f>IFERROR($G1559/SUMIF($A:$A,$A1559,$G:$G)*(SUMIF(Summary!$A$247:$A$283,$A1559,Summary!$L$247:$L$283)+SUMIF(Summary!$A$297:$A$333,$A1559,Summary!$L$297:$L$333))-AK1559,0)</f>
        <v>0</v>
      </c>
      <c r="AM1559" s="198"/>
      <c r="AN1559" s="196">
        <f t="shared" ca="1" si="348"/>
        <v>0</v>
      </c>
      <c r="AO1559" s="196">
        <f t="shared" ca="1" si="349"/>
        <v>0</v>
      </c>
    </row>
    <row r="1560" spans="1:41">
      <c r="A1560" s="189">
        <v>3639</v>
      </c>
      <c r="B1560" s="190">
        <v>5</v>
      </c>
      <c r="C1560" s="191" t="s">
        <v>221</v>
      </c>
      <c r="D1560" s="192">
        <f t="shared" si="336"/>
        <v>0</v>
      </c>
      <c r="E1560" s="192">
        <f t="shared" si="337"/>
        <v>0</v>
      </c>
      <c r="F1560" s="192">
        <f t="shared" si="338"/>
        <v>0</v>
      </c>
      <c r="G1560" s="193">
        <f t="shared" si="339"/>
        <v>0</v>
      </c>
      <c r="H1560" s="194">
        <v>0</v>
      </c>
      <c r="I1560" s="194">
        <v>0</v>
      </c>
      <c r="J1560" s="194">
        <v>0</v>
      </c>
      <c r="K1560" s="193">
        <f t="shared" si="340"/>
        <v>0</v>
      </c>
      <c r="L1560" s="194">
        <v>0</v>
      </c>
      <c r="M1560" s="194">
        <v>0</v>
      </c>
      <c r="N1560" s="194">
        <v>0</v>
      </c>
      <c r="O1560" s="193">
        <f t="shared" si="341"/>
        <v>0</v>
      </c>
      <c r="P1560" s="194">
        <v>0</v>
      </c>
      <c r="Q1560" s="194">
        <v>0</v>
      </c>
      <c r="R1560" s="194">
        <v>0</v>
      </c>
      <c r="S1560" s="193">
        <f t="shared" si="342"/>
        <v>0</v>
      </c>
      <c r="T1560" s="193">
        <f t="shared" si="343"/>
        <v>0</v>
      </c>
      <c r="U1560" s="193">
        <f ca="1">OFFSET('Expenditure Study'!$B$7,'Operations Support'!$C1560,'Operations Support'!$B1560)*$G1560</f>
        <v>0</v>
      </c>
      <c r="V1560" s="199">
        <f ca="1">U1560*'Expenditure Study'!$B$31</f>
        <v>0</v>
      </c>
      <c r="W1560" s="199">
        <f ca="1">IF(A1560=10298,1.51,1)*IF($B1560&lt;3,$D1560*'Expenditure Study'!$B$32*OFFSET('Expenditure Study'!$B$7,'Operations Support'!$C1560,'Operations Support'!$B1560),0)</f>
        <v>0</v>
      </c>
      <c r="X1560" s="200">
        <f ca="1">W1560*'Expenditure Study'!$B$31</f>
        <v>0</v>
      </c>
      <c r="Y1560" s="199">
        <f ca="1">U1560*'Expenditure Study'!$B$31</f>
        <v>0</v>
      </c>
      <c r="Z1560" s="200">
        <f ca="1">W1560*'Expenditure Study'!$B$31</f>
        <v>0</v>
      </c>
      <c r="AA1560" s="195">
        <f t="shared" ca="1" si="344"/>
        <v>0</v>
      </c>
      <c r="AB1560" s="195">
        <f t="shared" ca="1" si="345"/>
        <v>0</v>
      </c>
      <c r="AD1560" s="196">
        <f>IFERROR($G1560/SUMIF($A:$A,$A1560,$G:$G)*SUMIF(Summary!$A$166:$A$242,$A1560,Summary!$P$166:$P$242),0)</f>
        <v>0</v>
      </c>
      <c r="AE1560" s="197">
        <f t="shared" ca="1" si="346"/>
        <v>0</v>
      </c>
      <c r="AF1560" s="196">
        <f>IFERROR(G1560/SUMIF(A:A,A1560,G:G)*SUMIF(Summary!$A$166:$A$242,'Operations Support'!A1560,Summary!$Q$166:$Q$242),0)</f>
        <v>0</v>
      </c>
      <c r="AG1560" s="196">
        <f t="shared" ca="1" si="347"/>
        <v>0</v>
      </c>
      <c r="AI1560" s="196">
        <f>IFERROR($G1560/SUMIF($A:$A,$A1560,$G:$G)*SUMIF(Summary!$A$247:$A$283,$A1560,Summary!$P$247:$P$283),0)</f>
        <v>0</v>
      </c>
      <c r="AJ1560" s="196">
        <f>IFERROR($G1560/SUMIF($A:$A,$A1560,$G:$G)*(SUMIF(Summary!$A$247:$A$283,$A1560,Summary!$L$247:$L$283)+SUMIF(Summary!$A$297:$A$333,$A1560,Summary!$L$297:$L$333))-AI1560,0)</f>
        <v>0</v>
      </c>
      <c r="AK1560" s="196">
        <f>IFERROR($G1560/SUMIF($A:$A,$A1560,$G:$G)*SUMIF(Summary!$A$247:$A$283,$A1560,Summary!$Q$247:$Q$283),0)</f>
        <v>0</v>
      </c>
      <c r="AL1560" s="196">
        <f>IFERROR($G1560/SUMIF($A:$A,$A1560,$G:$G)*(SUMIF(Summary!$A$247:$A$283,$A1560,Summary!$L$247:$L$283)+SUMIF(Summary!$A$297:$A$333,$A1560,Summary!$L$297:$L$333))-AK1560,0)</f>
        <v>0</v>
      </c>
      <c r="AM1560" s="198"/>
      <c r="AN1560" s="196">
        <f t="shared" ca="1" si="348"/>
        <v>0</v>
      </c>
      <c r="AO1560" s="196">
        <f t="shared" ca="1" si="349"/>
        <v>0</v>
      </c>
    </row>
    <row r="1561" spans="1:41">
      <c r="A1561" s="189">
        <v>3639</v>
      </c>
      <c r="B1561" s="190">
        <v>5</v>
      </c>
      <c r="C1561" s="191" t="s">
        <v>222</v>
      </c>
      <c r="D1561" s="192">
        <f t="shared" si="336"/>
        <v>0</v>
      </c>
      <c r="E1561" s="192">
        <f t="shared" si="337"/>
        <v>0</v>
      </c>
      <c r="F1561" s="192">
        <f t="shared" si="338"/>
        <v>0</v>
      </c>
      <c r="G1561" s="193">
        <f t="shared" si="339"/>
        <v>0</v>
      </c>
      <c r="H1561" s="194">
        <v>0</v>
      </c>
      <c r="I1561" s="194">
        <v>0</v>
      </c>
      <c r="J1561" s="194">
        <v>0</v>
      </c>
      <c r="K1561" s="193">
        <f t="shared" si="340"/>
        <v>0</v>
      </c>
      <c r="L1561" s="194">
        <v>0</v>
      </c>
      <c r="M1561" s="194">
        <v>0</v>
      </c>
      <c r="N1561" s="194">
        <v>0</v>
      </c>
      <c r="O1561" s="193">
        <f t="shared" si="341"/>
        <v>0</v>
      </c>
      <c r="P1561" s="194">
        <v>0</v>
      </c>
      <c r="Q1561" s="194">
        <v>0</v>
      </c>
      <c r="R1561" s="194">
        <v>0</v>
      </c>
      <c r="S1561" s="193">
        <f t="shared" si="342"/>
        <v>0</v>
      </c>
      <c r="T1561" s="193">
        <f t="shared" si="343"/>
        <v>0</v>
      </c>
      <c r="U1561" s="193">
        <f ca="1">OFFSET('Expenditure Study'!$B$7,'Operations Support'!$C1561,'Operations Support'!$B1561)*$G1561</f>
        <v>0</v>
      </c>
      <c r="V1561" s="199">
        <f ca="1">U1561*'Expenditure Study'!$B$31</f>
        <v>0</v>
      </c>
      <c r="W1561" s="199">
        <f ca="1">IF(A1561=10298,1.51,1)*IF($B1561&lt;3,$D1561*'Expenditure Study'!$B$32*OFFSET('Expenditure Study'!$B$7,'Operations Support'!$C1561,'Operations Support'!$B1561),0)</f>
        <v>0</v>
      </c>
      <c r="X1561" s="200">
        <f ca="1">W1561*'Expenditure Study'!$B$31</f>
        <v>0</v>
      </c>
      <c r="Y1561" s="199">
        <f ca="1">U1561*'Expenditure Study'!$B$31</f>
        <v>0</v>
      </c>
      <c r="Z1561" s="200">
        <f ca="1">W1561*'Expenditure Study'!$B$31</f>
        <v>0</v>
      </c>
      <c r="AA1561" s="195">
        <f t="shared" ca="1" si="344"/>
        <v>0</v>
      </c>
      <c r="AB1561" s="195">
        <f t="shared" ca="1" si="345"/>
        <v>0</v>
      </c>
      <c r="AD1561" s="196">
        <f>IFERROR($G1561/SUMIF($A:$A,$A1561,$G:$G)*SUMIF(Summary!$A$166:$A$242,$A1561,Summary!$P$166:$P$242),0)</f>
        <v>0</v>
      </c>
      <c r="AE1561" s="197">
        <f t="shared" ca="1" si="346"/>
        <v>0</v>
      </c>
      <c r="AF1561" s="196">
        <f>IFERROR(G1561/SUMIF(A:A,A1561,G:G)*SUMIF(Summary!$A$166:$A$242,'Operations Support'!A1561,Summary!$Q$166:$Q$242),0)</f>
        <v>0</v>
      </c>
      <c r="AG1561" s="196">
        <f t="shared" ca="1" si="347"/>
        <v>0</v>
      </c>
      <c r="AI1561" s="196">
        <f>IFERROR($G1561/SUMIF($A:$A,$A1561,$G:$G)*SUMIF(Summary!$A$247:$A$283,$A1561,Summary!$P$247:$P$283),0)</f>
        <v>0</v>
      </c>
      <c r="AJ1561" s="196">
        <f>IFERROR($G1561/SUMIF($A:$A,$A1561,$G:$G)*(SUMIF(Summary!$A$247:$A$283,$A1561,Summary!$L$247:$L$283)+SUMIF(Summary!$A$297:$A$333,$A1561,Summary!$L$297:$L$333))-AI1561,0)</f>
        <v>0</v>
      </c>
      <c r="AK1561" s="196">
        <f>IFERROR($G1561/SUMIF($A:$A,$A1561,$G:$G)*SUMIF(Summary!$A$247:$A$283,$A1561,Summary!$Q$247:$Q$283),0)</f>
        <v>0</v>
      </c>
      <c r="AL1561" s="196">
        <f>IFERROR($G1561/SUMIF($A:$A,$A1561,$G:$G)*(SUMIF(Summary!$A$247:$A$283,$A1561,Summary!$L$247:$L$283)+SUMIF(Summary!$A$297:$A$333,$A1561,Summary!$L$297:$L$333))-AK1561,0)</f>
        <v>0</v>
      </c>
      <c r="AM1561" s="198"/>
      <c r="AN1561" s="196">
        <f t="shared" ca="1" si="348"/>
        <v>0</v>
      </c>
      <c r="AO1561" s="196">
        <f t="shared" ca="1" si="349"/>
        <v>0</v>
      </c>
    </row>
    <row r="1562" spans="1:41">
      <c r="A1562" s="189">
        <v>3639</v>
      </c>
      <c r="B1562" s="190">
        <v>5</v>
      </c>
      <c r="C1562" s="191" t="s">
        <v>223</v>
      </c>
      <c r="D1562" s="192">
        <f t="shared" si="336"/>
        <v>0</v>
      </c>
      <c r="E1562" s="192">
        <f t="shared" si="337"/>
        <v>0</v>
      </c>
      <c r="F1562" s="192">
        <f t="shared" si="338"/>
        <v>0</v>
      </c>
      <c r="G1562" s="193">
        <f t="shared" si="339"/>
        <v>0</v>
      </c>
      <c r="H1562" s="194">
        <v>0</v>
      </c>
      <c r="I1562" s="194">
        <v>0</v>
      </c>
      <c r="J1562" s="194">
        <v>0</v>
      </c>
      <c r="K1562" s="193">
        <f t="shared" si="340"/>
        <v>0</v>
      </c>
      <c r="L1562" s="194">
        <v>0</v>
      </c>
      <c r="M1562" s="194">
        <v>0</v>
      </c>
      <c r="N1562" s="194">
        <v>0</v>
      </c>
      <c r="O1562" s="193">
        <f t="shared" si="341"/>
        <v>0</v>
      </c>
      <c r="P1562" s="194">
        <v>0</v>
      </c>
      <c r="Q1562" s="194">
        <v>0</v>
      </c>
      <c r="R1562" s="194">
        <v>0</v>
      </c>
      <c r="S1562" s="193">
        <f t="shared" si="342"/>
        <v>0</v>
      </c>
      <c r="T1562" s="193">
        <f t="shared" si="343"/>
        <v>0</v>
      </c>
      <c r="U1562" s="193">
        <f ca="1">OFFSET('Expenditure Study'!$B$7,'Operations Support'!$C1562,'Operations Support'!$B1562)*$G1562</f>
        <v>0</v>
      </c>
      <c r="V1562" s="199">
        <f ca="1">U1562*'Expenditure Study'!$B$31</f>
        <v>0</v>
      </c>
      <c r="W1562" s="199">
        <f ca="1">IF(A1562=10298,1.51,1)*IF($B1562&lt;3,$D1562*'Expenditure Study'!$B$32*OFFSET('Expenditure Study'!$B$7,'Operations Support'!$C1562,'Operations Support'!$B1562),0)</f>
        <v>0</v>
      </c>
      <c r="X1562" s="200">
        <f ca="1">W1562*'Expenditure Study'!$B$31</f>
        <v>0</v>
      </c>
      <c r="Y1562" s="199">
        <f ca="1">U1562*'Expenditure Study'!$B$31</f>
        <v>0</v>
      </c>
      <c r="Z1562" s="200">
        <f ca="1">W1562*'Expenditure Study'!$B$31</f>
        <v>0</v>
      </c>
      <c r="AA1562" s="195">
        <f t="shared" ca="1" si="344"/>
        <v>0</v>
      </c>
      <c r="AB1562" s="195">
        <f t="shared" ca="1" si="345"/>
        <v>0</v>
      </c>
      <c r="AD1562" s="196">
        <f>IFERROR($G1562/SUMIF($A:$A,$A1562,$G:$G)*SUMIF(Summary!$A$166:$A$242,$A1562,Summary!$P$166:$P$242),0)</f>
        <v>0</v>
      </c>
      <c r="AE1562" s="197">
        <f t="shared" ca="1" si="346"/>
        <v>0</v>
      </c>
      <c r="AF1562" s="196">
        <f>IFERROR(G1562/SUMIF(A:A,A1562,G:G)*SUMIF(Summary!$A$166:$A$242,'Operations Support'!A1562,Summary!$Q$166:$Q$242),0)</f>
        <v>0</v>
      </c>
      <c r="AG1562" s="196">
        <f t="shared" ca="1" si="347"/>
        <v>0</v>
      </c>
      <c r="AI1562" s="196">
        <f>IFERROR($G1562/SUMIF($A:$A,$A1562,$G:$G)*SUMIF(Summary!$A$247:$A$283,$A1562,Summary!$P$247:$P$283),0)</f>
        <v>0</v>
      </c>
      <c r="AJ1562" s="196">
        <f>IFERROR($G1562/SUMIF($A:$A,$A1562,$G:$G)*(SUMIF(Summary!$A$247:$A$283,$A1562,Summary!$L$247:$L$283)+SUMIF(Summary!$A$297:$A$333,$A1562,Summary!$L$297:$L$333))-AI1562,0)</f>
        <v>0</v>
      </c>
      <c r="AK1562" s="196">
        <f>IFERROR($G1562/SUMIF($A:$A,$A1562,$G:$G)*SUMIF(Summary!$A$247:$A$283,$A1562,Summary!$Q$247:$Q$283),0)</f>
        <v>0</v>
      </c>
      <c r="AL1562" s="196">
        <f>IFERROR($G1562/SUMIF($A:$A,$A1562,$G:$G)*(SUMIF(Summary!$A$247:$A$283,$A1562,Summary!$L$247:$L$283)+SUMIF(Summary!$A$297:$A$333,$A1562,Summary!$L$297:$L$333))-AK1562,0)</f>
        <v>0</v>
      </c>
      <c r="AM1562" s="198"/>
      <c r="AN1562" s="196">
        <f t="shared" ca="1" si="348"/>
        <v>0</v>
      </c>
      <c r="AO1562" s="196">
        <f t="shared" ca="1" si="349"/>
        <v>0</v>
      </c>
    </row>
    <row r="1563" spans="1:41">
      <c r="A1563" s="189">
        <v>3639</v>
      </c>
      <c r="B1563" s="190">
        <v>5</v>
      </c>
      <c r="C1563" s="191" t="s">
        <v>224</v>
      </c>
      <c r="D1563" s="192">
        <f t="shared" si="336"/>
        <v>0</v>
      </c>
      <c r="E1563" s="192">
        <f t="shared" si="337"/>
        <v>0</v>
      </c>
      <c r="F1563" s="192">
        <f t="shared" si="338"/>
        <v>0</v>
      </c>
      <c r="G1563" s="193">
        <f t="shared" si="339"/>
        <v>0</v>
      </c>
      <c r="H1563" s="194">
        <v>0</v>
      </c>
      <c r="I1563" s="194">
        <v>0</v>
      </c>
      <c r="J1563" s="194">
        <v>0</v>
      </c>
      <c r="K1563" s="193">
        <f t="shared" si="340"/>
        <v>0</v>
      </c>
      <c r="L1563" s="194">
        <v>0</v>
      </c>
      <c r="M1563" s="194">
        <v>0</v>
      </c>
      <c r="N1563" s="194">
        <v>0</v>
      </c>
      <c r="O1563" s="193">
        <f t="shared" si="341"/>
        <v>0</v>
      </c>
      <c r="P1563" s="194">
        <v>0</v>
      </c>
      <c r="Q1563" s="194">
        <v>0</v>
      </c>
      <c r="R1563" s="194">
        <v>0</v>
      </c>
      <c r="S1563" s="193">
        <f t="shared" si="342"/>
        <v>0</v>
      </c>
      <c r="T1563" s="193">
        <f t="shared" si="343"/>
        <v>0</v>
      </c>
      <c r="U1563" s="193">
        <f ca="1">OFFSET('Expenditure Study'!$B$7,'Operations Support'!$C1563,'Operations Support'!$B1563)*$G1563</f>
        <v>0</v>
      </c>
      <c r="V1563" s="199">
        <f ca="1">U1563*'Expenditure Study'!$B$31</f>
        <v>0</v>
      </c>
      <c r="W1563" s="199">
        <f ca="1">IF(A1563=10298,1.51,1)*IF($B1563&lt;3,$D1563*'Expenditure Study'!$B$32*OFFSET('Expenditure Study'!$B$7,'Operations Support'!$C1563,'Operations Support'!$B1563),0)</f>
        <v>0</v>
      </c>
      <c r="X1563" s="200">
        <f ca="1">W1563*'Expenditure Study'!$B$31</f>
        <v>0</v>
      </c>
      <c r="Y1563" s="199">
        <f ca="1">U1563*'Expenditure Study'!$B$31</f>
        <v>0</v>
      </c>
      <c r="Z1563" s="200">
        <f ca="1">W1563*'Expenditure Study'!$B$31</f>
        <v>0</v>
      </c>
      <c r="AA1563" s="195">
        <f t="shared" ca="1" si="344"/>
        <v>0</v>
      </c>
      <c r="AB1563" s="195">
        <f t="shared" ca="1" si="345"/>
        <v>0</v>
      </c>
      <c r="AD1563" s="196">
        <f>IFERROR($G1563/SUMIF($A:$A,$A1563,$G:$G)*SUMIF(Summary!$A$166:$A$242,$A1563,Summary!$P$166:$P$242),0)</f>
        <v>0</v>
      </c>
      <c r="AE1563" s="197">
        <f t="shared" ca="1" si="346"/>
        <v>0</v>
      </c>
      <c r="AF1563" s="196">
        <f>IFERROR(G1563/SUMIF(A:A,A1563,G:G)*SUMIF(Summary!$A$166:$A$242,'Operations Support'!A1563,Summary!$Q$166:$Q$242),0)</f>
        <v>0</v>
      </c>
      <c r="AG1563" s="196">
        <f t="shared" ca="1" si="347"/>
        <v>0</v>
      </c>
      <c r="AI1563" s="196">
        <f>IFERROR($G1563/SUMIF($A:$A,$A1563,$G:$G)*SUMIF(Summary!$A$247:$A$283,$A1563,Summary!$P$247:$P$283),0)</f>
        <v>0</v>
      </c>
      <c r="AJ1563" s="196">
        <f>IFERROR($G1563/SUMIF($A:$A,$A1563,$G:$G)*(SUMIF(Summary!$A$247:$A$283,$A1563,Summary!$L$247:$L$283)+SUMIF(Summary!$A$297:$A$333,$A1563,Summary!$L$297:$L$333))-AI1563,0)</f>
        <v>0</v>
      </c>
      <c r="AK1563" s="196">
        <f>IFERROR($G1563/SUMIF($A:$A,$A1563,$G:$G)*SUMIF(Summary!$A$247:$A$283,$A1563,Summary!$Q$247:$Q$283),0)</f>
        <v>0</v>
      </c>
      <c r="AL1563" s="196">
        <f>IFERROR($G1563/SUMIF($A:$A,$A1563,$G:$G)*(SUMIF(Summary!$A$247:$A$283,$A1563,Summary!$L$247:$L$283)+SUMIF(Summary!$A$297:$A$333,$A1563,Summary!$L$297:$L$333))-AK1563,0)</f>
        <v>0</v>
      </c>
      <c r="AM1563" s="198"/>
      <c r="AN1563" s="196">
        <f t="shared" ca="1" si="348"/>
        <v>0</v>
      </c>
      <c r="AO1563" s="196">
        <f t="shared" ca="1" si="349"/>
        <v>0</v>
      </c>
    </row>
    <row r="1564" spans="1:41">
      <c r="A1564" s="189">
        <v>3639</v>
      </c>
      <c r="B1564" s="190">
        <v>5</v>
      </c>
      <c r="C1564" s="191" t="s">
        <v>225</v>
      </c>
      <c r="D1564" s="192">
        <f t="shared" si="336"/>
        <v>0</v>
      </c>
      <c r="E1564" s="192">
        <f t="shared" si="337"/>
        <v>0</v>
      </c>
      <c r="F1564" s="192">
        <f t="shared" si="338"/>
        <v>0</v>
      </c>
      <c r="G1564" s="193">
        <f t="shared" si="339"/>
        <v>0</v>
      </c>
      <c r="H1564" s="194">
        <v>0</v>
      </c>
      <c r="I1564" s="194">
        <v>0</v>
      </c>
      <c r="J1564" s="194">
        <v>0</v>
      </c>
      <c r="K1564" s="193">
        <f t="shared" si="340"/>
        <v>0</v>
      </c>
      <c r="L1564" s="194">
        <v>0</v>
      </c>
      <c r="M1564" s="194">
        <v>0</v>
      </c>
      <c r="N1564" s="194">
        <v>0</v>
      </c>
      <c r="O1564" s="193">
        <f t="shared" si="341"/>
        <v>0</v>
      </c>
      <c r="P1564" s="194">
        <v>0</v>
      </c>
      <c r="Q1564" s="194">
        <v>0</v>
      </c>
      <c r="R1564" s="194">
        <v>0</v>
      </c>
      <c r="S1564" s="193">
        <f t="shared" si="342"/>
        <v>0</v>
      </c>
      <c r="T1564" s="193">
        <f t="shared" si="343"/>
        <v>0</v>
      </c>
      <c r="U1564" s="193">
        <f ca="1">OFFSET('Expenditure Study'!$B$7,'Operations Support'!$C1564,'Operations Support'!$B1564)*$G1564</f>
        <v>0</v>
      </c>
      <c r="V1564" s="199">
        <f ca="1">U1564*'Expenditure Study'!$B$31</f>
        <v>0</v>
      </c>
      <c r="W1564" s="199">
        <f ca="1">IF(A1564=10298,1.51,1)*IF($B1564&lt;3,$D1564*'Expenditure Study'!$B$32*OFFSET('Expenditure Study'!$B$7,'Operations Support'!$C1564,'Operations Support'!$B1564),0)</f>
        <v>0</v>
      </c>
      <c r="X1564" s="200">
        <f ca="1">W1564*'Expenditure Study'!$B$31</f>
        <v>0</v>
      </c>
      <c r="Y1564" s="199">
        <f ca="1">U1564*'Expenditure Study'!$B$31</f>
        <v>0</v>
      </c>
      <c r="Z1564" s="200">
        <f ca="1">W1564*'Expenditure Study'!$B$31</f>
        <v>0</v>
      </c>
      <c r="AA1564" s="195">
        <f t="shared" ca="1" si="344"/>
        <v>0</v>
      </c>
      <c r="AB1564" s="195">
        <f t="shared" ca="1" si="345"/>
        <v>0</v>
      </c>
      <c r="AD1564" s="196">
        <f>IFERROR($G1564/SUMIF($A:$A,$A1564,$G:$G)*SUMIF(Summary!$A$166:$A$242,$A1564,Summary!$P$166:$P$242),0)</f>
        <v>0</v>
      </c>
      <c r="AE1564" s="197">
        <f t="shared" ca="1" si="346"/>
        <v>0</v>
      </c>
      <c r="AF1564" s="196">
        <f>IFERROR(G1564/SUMIF(A:A,A1564,G:G)*SUMIF(Summary!$A$166:$A$242,'Operations Support'!A1564,Summary!$Q$166:$Q$242),0)</f>
        <v>0</v>
      </c>
      <c r="AG1564" s="196">
        <f t="shared" ca="1" si="347"/>
        <v>0</v>
      </c>
      <c r="AI1564" s="196">
        <f>IFERROR($G1564/SUMIF($A:$A,$A1564,$G:$G)*SUMIF(Summary!$A$247:$A$283,$A1564,Summary!$P$247:$P$283),0)</f>
        <v>0</v>
      </c>
      <c r="AJ1564" s="196">
        <f>IFERROR($G1564/SUMIF($A:$A,$A1564,$G:$G)*(SUMIF(Summary!$A$247:$A$283,$A1564,Summary!$L$247:$L$283)+SUMIF(Summary!$A$297:$A$333,$A1564,Summary!$L$297:$L$333))-AI1564,0)</f>
        <v>0</v>
      </c>
      <c r="AK1564" s="196">
        <f>IFERROR($G1564/SUMIF($A:$A,$A1564,$G:$G)*SUMIF(Summary!$A$247:$A$283,$A1564,Summary!$Q$247:$Q$283),0)</f>
        <v>0</v>
      </c>
      <c r="AL1564" s="196">
        <f>IFERROR($G1564/SUMIF($A:$A,$A1564,$G:$G)*(SUMIF(Summary!$A$247:$A$283,$A1564,Summary!$L$247:$L$283)+SUMIF(Summary!$A$297:$A$333,$A1564,Summary!$L$297:$L$333))-AK1564,0)</f>
        <v>0</v>
      </c>
      <c r="AM1564" s="198"/>
      <c r="AN1564" s="196">
        <f t="shared" ca="1" si="348"/>
        <v>0</v>
      </c>
      <c r="AO1564" s="196">
        <f t="shared" ca="1" si="349"/>
        <v>0</v>
      </c>
    </row>
    <row r="1565" spans="1:41">
      <c r="A1565" s="189">
        <v>3639</v>
      </c>
      <c r="B1565" s="190">
        <v>5</v>
      </c>
      <c r="C1565" s="191" t="s">
        <v>226</v>
      </c>
      <c r="D1565" s="192">
        <f t="shared" si="336"/>
        <v>0</v>
      </c>
      <c r="E1565" s="192">
        <f t="shared" si="337"/>
        <v>0</v>
      </c>
      <c r="F1565" s="192">
        <f t="shared" si="338"/>
        <v>0</v>
      </c>
      <c r="G1565" s="193">
        <f t="shared" si="339"/>
        <v>0</v>
      </c>
      <c r="H1565" s="194">
        <v>0</v>
      </c>
      <c r="I1565" s="194">
        <v>0</v>
      </c>
      <c r="J1565" s="194">
        <v>0</v>
      </c>
      <c r="K1565" s="193">
        <f t="shared" si="340"/>
        <v>0</v>
      </c>
      <c r="L1565" s="194">
        <v>0</v>
      </c>
      <c r="M1565" s="194">
        <v>0</v>
      </c>
      <c r="N1565" s="194">
        <v>0</v>
      </c>
      <c r="O1565" s="193">
        <f t="shared" si="341"/>
        <v>0</v>
      </c>
      <c r="P1565" s="194">
        <v>0</v>
      </c>
      <c r="Q1565" s="194">
        <v>0</v>
      </c>
      <c r="R1565" s="194">
        <v>0</v>
      </c>
      <c r="S1565" s="193">
        <f t="shared" si="342"/>
        <v>0</v>
      </c>
      <c r="T1565" s="193">
        <f t="shared" si="343"/>
        <v>0</v>
      </c>
      <c r="U1565" s="193">
        <f ca="1">OFFSET('Expenditure Study'!$B$7,'Operations Support'!$C1565,'Operations Support'!$B1565)*$G1565</f>
        <v>0</v>
      </c>
      <c r="V1565" s="199">
        <f ca="1">U1565*'Expenditure Study'!$B$31</f>
        <v>0</v>
      </c>
      <c r="W1565" s="199">
        <f ca="1">IF(A1565=10298,1.51,1)*IF($B1565&lt;3,$D1565*'Expenditure Study'!$B$32*OFFSET('Expenditure Study'!$B$7,'Operations Support'!$C1565,'Operations Support'!$B1565),0)</f>
        <v>0</v>
      </c>
      <c r="X1565" s="200">
        <f ca="1">W1565*'Expenditure Study'!$B$31</f>
        <v>0</v>
      </c>
      <c r="Y1565" s="199">
        <f ca="1">U1565*'Expenditure Study'!$B$31</f>
        <v>0</v>
      </c>
      <c r="Z1565" s="200">
        <f ca="1">W1565*'Expenditure Study'!$B$31</f>
        <v>0</v>
      </c>
      <c r="AA1565" s="195">
        <f t="shared" ca="1" si="344"/>
        <v>0</v>
      </c>
      <c r="AB1565" s="195">
        <f t="shared" ca="1" si="345"/>
        <v>0</v>
      </c>
      <c r="AD1565" s="196">
        <f>IFERROR($G1565/SUMIF($A:$A,$A1565,$G:$G)*SUMIF(Summary!$A$166:$A$242,$A1565,Summary!$P$166:$P$242),0)</f>
        <v>0</v>
      </c>
      <c r="AE1565" s="197">
        <f t="shared" ca="1" si="346"/>
        <v>0</v>
      </c>
      <c r="AF1565" s="196">
        <f>IFERROR(G1565/SUMIF(A:A,A1565,G:G)*SUMIF(Summary!$A$166:$A$242,'Operations Support'!A1565,Summary!$Q$166:$Q$242),0)</f>
        <v>0</v>
      </c>
      <c r="AG1565" s="196">
        <f t="shared" ca="1" si="347"/>
        <v>0</v>
      </c>
      <c r="AI1565" s="196">
        <f>IFERROR($G1565/SUMIF($A:$A,$A1565,$G:$G)*SUMIF(Summary!$A$247:$A$283,$A1565,Summary!$P$247:$P$283),0)</f>
        <v>0</v>
      </c>
      <c r="AJ1565" s="196">
        <f>IFERROR($G1565/SUMIF($A:$A,$A1565,$G:$G)*(SUMIF(Summary!$A$247:$A$283,$A1565,Summary!$L$247:$L$283)+SUMIF(Summary!$A$297:$A$333,$A1565,Summary!$L$297:$L$333))-AI1565,0)</f>
        <v>0</v>
      </c>
      <c r="AK1565" s="196">
        <f>IFERROR($G1565/SUMIF($A:$A,$A1565,$G:$G)*SUMIF(Summary!$A$247:$A$283,$A1565,Summary!$Q$247:$Q$283),0)</f>
        <v>0</v>
      </c>
      <c r="AL1565" s="196">
        <f>IFERROR($G1565/SUMIF($A:$A,$A1565,$G:$G)*(SUMIF(Summary!$A$247:$A$283,$A1565,Summary!$L$247:$L$283)+SUMIF(Summary!$A$297:$A$333,$A1565,Summary!$L$297:$L$333))-AK1565,0)</f>
        <v>0</v>
      </c>
      <c r="AM1565" s="198"/>
      <c r="AN1565" s="196">
        <f t="shared" ca="1" si="348"/>
        <v>0</v>
      </c>
      <c r="AO1565" s="196">
        <f t="shared" ca="1" si="349"/>
        <v>0</v>
      </c>
    </row>
    <row r="1566" spans="1:41">
      <c r="A1566" s="189">
        <v>3639</v>
      </c>
      <c r="B1566" s="190">
        <v>5</v>
      </c>
      <c r="C1566" s="191" t="s">
        <v>227</v>
      </c>
      <c r="D1566" s="192">
        <f t="shared" si="336"/>
        <v>0</v>
      </c>
      <c r="E1566" s="192">
        <f t="shared" si="337"/>
        <v>0</v>
      </c>
      <c r="F1566" s="192">
        <f t="shared" si="338"/>
        <v>0</v>
      </c>
      <c r="G1566" s="193">
        <f t="shared" si="339"/>
        <v>0</v>
      </c>
      <c r="H1566" s="194">
        <v>0</v>
      </c>
      <c r="I1566" s="194">
        <v>0</v>
      </c>
      <c r="J1566" s="194">
        <v>0</v>
      </c>
      <c r="K1566" s="193">
        <f t="shared" si="340"/>
        <v>0</v>
      </c>
      <c r="L1566" s="194">
        <v>0</v>
      </c>
      <c r="M1566" s="194">
        <v>0</v>
      </c>
      <c r="N1566" s="194">
        <v>0</v>
      </c>
      <c r="O1566" s="193">
        <f t="shared" si="341"/>
        <v>0</v>
      </c>
      <c r="P1566" s="194">
        <v>0</v>
      </c>
      <c r="Q1566" s="194">
        <v>0</v>
      </c>
      <c r="R1566" s="194">
        <v>0</v>
      </c>
      <c r="S1566" s="193">
        <f t="shared" si="342"/>
        <v>0</v>
      </c>
      <c r="T1566" s="193">
        <f t="shared" si="343"/>
        <v>0</v>
      </c>
      <c r="U1566" s="193">
        <f ca="1">OFFSET('Expenditure Study'!$B$7,'Operations Support'!$C1566,'Operations Support'!$B1566)*$G1566</f>
        <v>0</v>
      </c>
      <c r="V1566" s="199">
        <f ca="1">U1566*'Expenditure Study'!$B$31</f>
        <v>0</v>
      </c>
      <c r="W1566" s="199">
        <f ca="1">IF(A1566=10298,1.51,1)*IF($B1566&lt;3,$D1566*'Expenditure Study'!$B$32*OFFSET('Expenditure Study'!$B$7,'Operations Support'!$C1566,'Operations Support'!$B1566),0)</f>
        <v>0</v>
      </c>
      <c r="X1566" s="200">
        <f ca="1">W1566*'Expenditure Study'!$B$31</f>
        <v>0</v>
      </c>
      <c r="Y1566" s="199">
        <f ca="1">U1566*'Expenditure Study'!$B$31</f>
        <v>0</v>
      </c>
      <c r="Z1566" s="200">
        <f ca="1">W1566*'Expenditure Study'!$B$31</f>
        <v>0</v>
      </c>
      <c r="AA1566" s="195">
        <f t="shared" ca="1" si="344"/>
        <v>0</v>
      </c>
      <c r="AB1566" s="195">
        <f t="shared" ca="1" si="345"/>
        <v>0</v>
      </c>
      <c r="AD1566" s="196">
        <f>IFERROR($G1566/SUMIF($A:$A,$A1566,$G:$G)*SUMIF(Summary!$A$166:$A$242,$A1566,Summary!$P$166:$P$242),0)</f>
        <v>0</v>
      </c>
      <c r="AE1566" s="197">
        <f t="shared" ca="1" si="346"/>
        <v>0</v>
      </c>
      <c r="AF1566" s="196">
        <f>IFERROR(G1566/SUMIF(A:A,A1566,G:G)*SUMIF(Summary!$A$166:$A$242,'Operations Support'!A1566,Summary!$Q$166:$Q$242),0)</f>
        <v>0</v>
      </c>
      <c r="AG1566" s="196">
        <f t="shared" ca="1" si="347"/>
        <v>0</v>
      </c>
      <c r="AI1566" s="196">
        <f>IFERROR($G1566/SUMIF($A:$A,$A1566,$G:$G)*SUMIF(Summary!$A$247:$A$283,$A1566,Summary!$P$247:$P$283),0)</f>
        <v>0</v>
      </c>
      <c r="AJ1566" s="196">
        <f>IFERROR($G1566/SUMIF($A:$A,$A1566,$G:$G)*(SUMIF(Summary!$A$247:$A$283,$A1566,Summary!$L$247:$L$283)+SUMIF(Summary!$A$297:$A$333,$A1566,Summary!$L$297:$L$333))-AI1566,0)</f>
        <v>0</v>
      </c>
      <c r="AK1566" s="196">
        <f>IFERROR($G1566/SUMIF($A:$A,$A1566,$G:$G)*SUMIF(Summary!$A$247:$A$283,$A1566,Summary!$Q$247:$Q$283),0)</f>
        <v>0</v>
      </c>
      <c r="AL1566" s="196">
        <f>IFERROR($G1566/SUMIF($A:$A,$A1566,$G:$G)*(SUMIF(Summary!$A$247:$A$283,$A1566,Summary!$L$247:$L$283)+SUMIF(Summary!$A$297:$A$333,$A1566,Summary!$L$297:$L$333))-AK1566,0)</f>
        <v>0</v>
      </c>
      <c r="AM1566" s="198"/>
      <c r="AN1566" s="196">
        <f t="shared" ca="1" si="348"/>
        <v>0</v>
      </c>
      <c r="AO1566" s="196">
        <f t="shared" ca="1" si="349"/>
        <v>0</v>
      </c>
    </row>
    <row r="1567" spans="1:41">
      <c r="A1567" s="189">
        <v>3639</v>
      </c>
      <c r="B1567" s="190">
        <v>5</v>
      </c>
      <c r="C1567" s="191" t="s">
        <v>228</v>
      </c>
      <c r="D1567" s="192">
        <f t="shared" si="336"/>
        <v>0</v>
      </c>
      <c r="E1567" s="192">
        <f t="shared" si="337"/>
        <v>0</v>
      </c>
      <c r="F1567" s="192">
        <f t="shared" si="338"/>
        <v>0</v>
      </c>
      <c r="G1567" s="193">
        <f t="shared" si="339"/>
        <v>0</v>
      </c>
      <c r="H1567" s="194">
        <v>0</v>
      </c>
      <c r="I1567" s="194">
        <v>0</v>
      </c>
      <c r="J1567" s="194">
        <v>0</v>
      </c>
      <c r="K1567" s="193">
        <f t="shared" si="340"/>
        <v>0</v>
      </c>
      <c r="L1567" s="194">
        <v>0</v>
      </c>
      <c r="M1567" s="194">
        <v>0</v>
      </c>
      <c r="N1567" s="194">
        <v>0</v>
      </c>
      <c r="O1567" s="193">
        <f t="shared" si="341"/>
        <v>0</v>
      </c>
      <c r="P1567" s="194">
        <v>0</v>
      </c>
      <c r="Q1567" s="194">
        <v>0</v>
      </c>
      <c r="R1567" s="194">
        <v>0</v>
      </c>
      <c r="S1567" s="193">
        <f t="shared" si="342"/>
        <v>0</v>
      </c>
      <c r="T1567" s="193">
        <f t="shared" si="343"/>
        <v>0</v>
      </c>
      <c r="U1567" s="193">
        <f ca="1">OFFSET('Expenditure Study'!$B$7,'Operations Support'!$C1567,'Operations Support'!$B1567)*$G1567</f>
        <v>0</v>
      </c>
      <c r="V1567" s="199">
        <f ca="1">U1567*'Expenditure Study'!$B$31</f>
        <v>0</v>
      </c>
      <c r="W1567" s="199">
        <f ca="1">IF(A1567=10298,1.51,1)*IF($B1567&lt;3,$D1567*'Expenditure Study'!$B$32*OFFSET('Expenditure Study'!$B$7,'Operations Support'!$C1567,'Operations Support'!$B1567),0)</f>
        <v>0</v>
      </c>
      <c r="X1567" s="200">
        <f ca="1">W1567*'Expenditure Study'!$B$31</f>
        <v>0</v>
      </c>
      <c r="Y1567" s="199">
        <f ca="1">U1567*'Expenditure Study'!$B$31</f>
        <v>0</v>
      </c>
      <c r="Z1567" s="200">
        <f ca="1">W1567*'Expenditure Study'!$B$31</f>
        <v>0</v>
      </c>
      <c r="AA1567" s="195">
        <f t="shared" ca="1" si="344"/>
        <v>0</v>
      </c>
      <c r="AB1567" s="195">
        <f t="shared" ca="1" si="345"/>
        <v>0</v>
      </c>
      <c r="AD1567" s="196">
        <f>IFERROR($G1567/SUMIF($A:$A,$A1567,$G:$G)*SUMIF(Summary!$A$166:$A$242,$A1567,Summary!$P$166:$P$242),0)</f>
        <v>0</v>
      </c>
      <c r="AE1567" s="197">
        <f t="shared" ca="1" si="346"/>
        <v>0</v>
      </c>
      <c r="AF1567" s="196">
        <f>IFERROR(G1567/SUMIF(A:A,A1567,G:G)*SUMIF(Summary!$A$166:$A$242,'Operations Support'!A1567,Summary!$Q$166:$Q$242),0)</f>
        <v>0</v>
      </c>
      <c r="AG1567" s="196">
        <f t="shared" ca="1" si="347"/>
        <v>0</v>
      </c>
      <c r="AI1567" s="196">
        <f>IFERROR($G1567/SUMIF($A:$A,$A1567,$G:$G)*SUMIF(Summary!$A$247:$A$283,$A1567,Summary!$P$247:$P$283),0)</f>
        <v>0</v>
      </c>
      <c r="AJ1567" s="196">
        <f>IFERROR($G1567/SUMIF($A:$A,$A1567,$G:$G)*(SUMIF(Summary!$A$247:$A$283,$A1567,Summary!$L$247:$L$283)+SUMIF(Summary!$A$297:$A$333,$A1567,Summary!$L$297:$L$333))-AI1567,0)</f>
        <v>0</v>
      </c>
      <c r="AK1567" s="196">
        <f>IFERROR($G1567/SUMIF($A:$A,$A1567,$G:$G)*SUMIF(Summary!$A$247:$A$283,$A1567,Summary!$Q$247:$Q$283),0)</f>
        <v>0</v>
      </c>
      <c r="AL1567" s="196">
        <f>IFERROR($G1567/SUMIF($A:$A,$A1567,$G:$G)*(SUMIF(Summary!$A$247:$A$283,$A1567,Summary!$L$247:$L$283)+SUMIF(Summary!$A$297:$A$333,$A1567,Summary!$L$297:$L$333))-AK1567,0)</f>
        <v>0</v>
      </c>
      <c r="AM1567" s="198"/>
      <c r="AN1567" s="196">
        <f t="shared" ca="1" si="348"/>
        <v>0</v>
      </c>
      <c r="AO1567" s="196">
        <f t="shared" ca="1" si="349"/>
        <v>0</v>
      </c>
    </row>
    <row r="1568" spans="1:41">
      <c r="A1568" s="189">
        <v>3639</v>
      </c>
      <c r="B1568" s="190">
        <v>5</v>
      </c>
      <c r="C1568" s="191" t="s">
        <v>229</v>
      </c>
      <c r="D1568" s="192">
        <f t="shared" si="336"/>
        <v>0</v>
      </c>
      <c r="E1568" s="192">
        <f t="shared" si="337"/>
        <v>0</v>
      </c>
      <c r="F1568" s="192">
        <f t="shared" si="338"/>
        <v>0</v>
      </c>
      <c r="G1568" s="193">
        <f t="shared" si="339"/>
        <v>0</v>
      </c>
      <c r="H1568" s="194">
        <v>0</v>
      </c>
      <c r="I1568" s="194">
        <v>0</v>
      </c>
      <c r="J1568" s="194">
        <v>0</v>
      </c>
      <c r="K1568" s="193">
        <f t="shared" si="340"/>
        <v>0</v>
      </c>
      <c r="L1568" s="194">
        <v>0</v>
      </c>
      <c r="M1568" s="194">
        <v>0</v>
      </c>
      <c r="N1568" s="194">
        <v>0</v>
      </c>
      <c r="O1568" s="193">
        <f t="shared" si="341"/>
        <v>0</v>
      </c>
      <c r="P1568" s="194">
        <v>0</v>
      </c>
      <c r="Q1568" s="194">
        <v>0</v>
      </c>
      <c r="R1568" s="194">
        <v>0</v>
      </c>
      <c r="S1568" s="193">
        <f t="shared" si="342"/>
        <v>0</v>
      </c>
      <c r="T1568" s="193">
        <f t="shared" si="343"/>
        <v>0</v>
      </c>
      <c r="U1568" s="193">
        <f ca="1">OFFSET('Expenditure Study'!$B$7,'Operations Support'!$C1568,'Operations Support'!$B1568)*$G1568</f>
        <v>0</v>
      </c>
      <c r="V1568" s="199">
        <f ca="1">U1568*'Expenditure Study'!$B$31</f>
        <v>0</v>
      </c>
      <c r="W1568" s="199">
        <f ca="1">IF(A1568=10298,1.51,1)*IF($B1568&lt;3,$D1568*'Expenditure Study'!$B$32*OFFSET('Expenditure Study'!$B$7,'Operations Support'!$C1568,'Operations Support'!$B1568),0)</f>
        <v>0</v>
      </c>
      <c r="X1568" s="200">
        <f ca="1">W1568*'Expenditure Study'!$B$31</f>
        <v>0</v>
      </c>
      <c r="Y1568" s="199">
        <f ca="1">U1568*'Expenditure Study'!$B$31</f>
        <v>0</v>
      </c>
      <c r="Z1568" s="200">
        <f ca="1">W1568*'Expenditure Study'!$B$31</f>
        <v>0</v>
      </c>
      <c r="AA1568" s="195">
        <f t="shared" ca="1" si="344"/>
        <v>0</v>
      </c>
      <c r="AB1568" s="195">
        <f t="shared" ca="1" si="345"/>
        <v>0</v>
      </c>
      <c r="AD1568" s="196">
        <f>IFERROR($G1568/SUMIF($A:$A,$A1568,$G:$G)*SUMIF(Summary!$A$166:$A$242,$A1568,Summary!$P$166:$P$242),0)</f>
        <v>0</v>
      </c>
      <c r="AE1568" s="197">
        <f t="shared" ca="1" si="346"/>
        <v>0</v>
      </c>
      <c r="AF1568" s="196">
        <f>IFERROR(G1568/SUMIF(A:A,A1568,G:G)*SUMIF(Summary!$A$166:$A$242,'Operations Support'!A1568,Summary!$Q$166:$Q$242),0)</f>
        <v>0</v>
      </c>
      <c r="AG1568" s="196">
        <f t="shared" ca="1" si="347"/>
        <v>0</v>
      </c>
      <c r="AI1568" s="196">
        <f>IFERROR($G1568/SUMIF($A:$A,$A1568,$G:$G)*SUMIF(Summary!$A$247:$A$283,$A1568,Summary!$P$247:$P$283),0)</f>
        <v>0</v>
      </c>
      <c r="AJ1568" s="196">
        <f>IFERROR($G1568/SUMIF($A:$A,$A1568,$G:$G)*(SUMIF(Summary!$A$247:$A$283,$A1568,Summary!$L$247:$L$283)+SUMIF(Summary!$A$297:$A$333,$A1568,Summary!$L$297:$L$333))-AI1568,0)</f>
        <v>0</v>
      </c>
      <c r="AK1568" s="196">
        <f>IFERROR($G1568/SUMIF($A:$A,$A1568,$G:$G)*SUMIF(Summary!$A$247:$A$283,$A1568,Summary!$Q$247:$Q$283),0)</f>
        <v>0</v>
      </c>
      <c r="AL1568" s="196">
        <f>IFERROR($G1568/SUMIF($A:$A,$A1568,$G:$G)*(SUMIF(Summary!$A$247:$A$283,$A1568,Summary!$L$247:$L$283)+SUMIF(Summary!$A$297:$A$333,$A1568,Summary!$L$297:$L$333))-AK1568,0)</f>
        <v>0</v>
      </c>
      <c r="AM1568" s="198"/>
      <c r="AN1568" s="196">
        <f t="shared" ca="1" si="348"/>
        <v>0</v>
      </c>
      <c r="AO1568" s="196">
        <f t="shared" ca="1" si="349"/>
        <v>0</v>
      </c>
    </row>
    <row r="1569" spans="1:41">
      <c r="A1569" s="189">
        <v>3639</v>
      </c>
      <c r="B1569" s="190">
        <v>5</v>
      </c>
      <c r="C1569" s="191" t="s">
        <v>230</v>
      </c>
      <c r="D1569" s="192">
        <f t="shared" si="336"/>
        <v>0</v>
      </c>
      <c r="E1569" s="192">
        <f t="shared" si="337"/>
        <v>0</v>
      </c>
      <c r="F1569" s="192">
        <f t="shared" si="338"/>
        <v>0</v>
      </c>
      <c r="G1569" s="193">
        <f t="shared" si="339"/>
        <v>0</v>
      </c>
      <c r="H1569" s="194">
        <v>0</v>
      </c>
      <c r="I1569" s="194">
        <v>0</v>
      </c>
      <c r="J1569" s="194">
        <v>0</v>
      </c>
      <c r="K1569" s="193">
        <f t="shared" si="340"/>
        <v>0</v>
      </c>
      <c r="L1569" s="194">
        <v>0</v>
      </c>
      <c r="M1569" s="194">
        <v>0</v>
      </c>
      <c r="N1569" s="194">
        <v>0</v>
      </c>
      <c r="O1569" s="193">
        <f t="shared" si="341"/>
        <v>0</v>
      </c>
      <c r="P1569" s="194">
        <v>0</v>
      </c>
      <c r="Q1569" s="194">
        <v>0</v>
      </c>
      <c r="R1569" s="194">
        <v>0</v>
      </c>
      <c r="S1569" s="193">
        <f t="shared" si="342"/>
        <v>0</v>
      </c>
      <c r="T1569" s="193">
        <f t="shared" si="343"/>
        <v>0</v>
      </c>
      <c r="U1569" s="193">
        <f ca="1">OFFSET('Expenditure Study'!$B$7,'Operations Support'!$C1569,'Operations Support'!$B1569)*$G1569</f>
        <v>0</v>
      </c>
      <c r="V1569" s="199">
        <f ca="1">U1569*'Expenditure Study'!$B$31</f>
        <v>0</v>
      </c>
      <c r="W1569" s="199">
        <f ca="1">IF(A1569=10298,1.51,1)*IF($B1569&lt;3,$D1569*'Expenditure Study'!$B$32*OFFSET('Expenditure Study'!$B$7,'Operations Support'!$C1569,'Operations Support'!$B1569),0)</f>
        <v>0</v>
      </c>
      <c r="X1569" s="200">
        <f ca="1">W1569*'Expenditure Study'!$B$31</f>
        <v>0</v>
      </c>
      <c r="Y1569" s="199">
        <f ca="1">U1569*'Expenditure Study'!$B$31</f>
        <v>0</v>
      </c>
      <c r="Z1569" s="200">
        <f ca="1">W1569*'Expenditure Study'!$B$31</f>
        <v>0</v>
      </c>
      <c r="AA1569" s="195">
        <f t="shared" ca="1" si="344"/>
        <v>0</v>
      </c>
      <c r="AB1569" s="195">
        <f t="shared" ca="1" si="345"/>
        <v>0</v>
      </c>
      <c r="AD1569" s="196">
        <f>IFERROR($G1569/SUMIF($A:$A,$A1569,$G:$G)*SUMIF(Summary!$A$166:$A$242,$A1569,Summary!$P$166:$P$242),0)</f>
        <v>0</v>
      </c>
      <c r="AE1569" s="197">
        <f t="shared" ca="1" si="346"/>
        <v>0</v>
      </c>
      <c r="AF1569" s="196">
        <f>IFERROR(G1569/SUMIF(A:A,A1569,G:G)*SUMIF(Summary!$A$166:$A$242,'Operations Support'!A1569,Summary!$Q$166:$Q$242),0)</f>
        <v>0</v>
      </c>
      <c r="AG1569" s="196">
        <f t="shared" ca="1" si="347"/>
        <v>0</v>
      </c>
      <c r="AI1569" s="196">
        <f>IFERROR($G1569/SUMIF($A:$A,$A1569,$G:$G)*SUMIF(Summary!$A$247:$A$283,$A1569,Summary!$P$247:$P$283),0)</f>
        <v>0</v>
      </c>
      <c r="AJ1569" s="196">
        <f>IFERROR($G1569/SUMIF($A:$A,$A1569,$G:$G)*(SUMIF(Summary!$A$247:$A$283,$A1569,Summary!$L$247:$L$283)+SUMIF(Summary!$A$297:$A$333,$A1569,Summary!$L$297:$L$333))-AI1569,0)</f>
        <v>0</v>
      </c>
      <c r="AK1569" s="196">
        <f>IFERROR($G1569/SUMIF($A:$A,$A1569,$G:$G)*SUMIF(Summary!$A$247:$A$283,$A1569,Summary!$Q$247:$Q$283),0)</f>
        <v>0</v>
      </c>
      <c r="AL1569" s="196">
        <f>IFERROR($G1569/SUMIF($A:$A,$A1569,$G:$G)*(SUMIF(Summary!$A$247:$A$283,$A1569,Summary!$L$247:$L$283)+SUMIF(Summary!$A$297:$A$333,$A1569,Summary!$L$297:$L$333))-AK1569,0)</f>
        <v>0</v>
      </c>
      <c r="AM1569" s="198"/>
      <c r="AN1569" s="196">
        <f t="shared" ca="1" si="348"/>
        <v>0</v>
      </c>
      <c r="AO1569" s="196">
        <f t="shared" ca="1" si="349"/>
        <v>0</v>
      </c>
    </row>
    <row r="1570" spans="1:41">
      <c r="A1570" s="189">
        <v>3639</v>
      </c>
      <c r="B1570" s="190">
        <v>5</v>
      </c>
      <c r="C1570" s="191" t="s">
        <v>231</v>
      </c>
      <c r="D1570" s="192">
        <f t="shared" si="336"/>
        <v>0</v>
      </c>
      <c r="E1570" s="192">
        <f t="shared" si="337"/>
        <v>0</v>
      </c>
      <c r="F1570" s="192">
        <f t="shared" si="338"/>
        <v>0</v>
      </c>
      <c r="G1570" s="193">
        <f t="shared" si="339"/>
        <v>0</v>
      </c>
      <c r="H1570" s="194">
        <v>0</v>
      </c>
      <c r="I1570" s="194">
        <v>0</v>
      </c>
      <c r="J1570" s="194">
        <v>0</v>
      </c>
      <c r="K1570" s="193">
        <f t="shared" si="340"/>
        <v>0</v>
      </c>
      <c r="L1570" s="194">
        <v>0</v>
      </c>
      <c r="M1570" s="194">
        <v>0</v>
      </c>
      <c r="N1570" s="194">
        <v>0</v>
      </c>
      <c r="O1570" s="193">
        <f t="shared" si="341"/>
        <v>0</v>
      </c>
      <c r="P1570" s="194">
        <v>0</v>
      </c>
      <c r="Q1570" s="194">
        <v>0</v>
      </c>
      <c r="R1570" s="194">
        <v>0</v>
      </c>
      <c r="S1570" s="193">
        <f t="shared" si="342"/>
        <v>0</v>
      </c>
      <c r="T1570" s="193">
        <f t="shared" si="343"/>
        <v>0</v>
      </c>
      <c r="U1570" s="193">
        <f ca="1">OFFSET('Expenditure Study'!$B$7,'Operations Support'!$C1570,'Operations Support'!$B1570)*$G1570</f>
        <v>0</v>
      </c>
      <c r="V1570" s="199">
        <f ca="1">U1570*'Expenditure Study'!$B$31</f>
        <v>0</v>
      </c>
      <c r="W1570" s="199">
        <f ca="1">IF(A1570=10298,1.51,1)*IF($B1570&lt;3,$D1570*'Expenditure Study'!$B$32*OFFSET('Expenditure Study'!$B$7,'Operations Support'!$C1570,'Operations Support'!$B1570),0)</f>
        <v>0</v>
      </c>
      <c r="X1570" s="200">
        <f ca="1">W1570*'Expenditure Study'!$B$31</f>
        <v>0</v>
      </c>
      <c r="Y1570" s="199">
        <f ca="1">U1570*'Expenditure Study'!$B$31</f>
        <v>0</v>
      </c>
      <c r="Z1570" s="200">
        <f ca="1">W1570*'Expenditure Study'!$B$31</f>
        <v>0</v>
      </c>
      <c r="AA1570" s="195">
        <f t="shared" ca="1" si="344"/>
        <v>0</v>
      </c>
      <c r="AB1570" s="195">
        <f t="shared" ca="1" si="345"/>
        <v>0</v>
      </c>
      <c r="AD1570" s="196">
        <f>IFERROR($G1570/SUMIF($A:$A,$A1570,$G:$G)*SUMIF(Summary!$A$166:$A$242,$A1570,Summary!$P$166:$P$242),0)</f>
        <v>0</v>
      </c>
      <c r="AE1570" s="197">
        <f t="shared" ca="1" si="346"/>
        <v>0</v>
      </c>
      <c r="AF1570" s="196">
        <f>IFERROR(G1570/SUMIF(A:A,A1570,G:G)*SUMIF(Summary!$A$166:$A$242,'Operations Support'!A1570,Summary!$Q$166:$Q$242),0)</f>
        <v>0</v>
      </c>
      <c r="AG1570" s="196">
        <f t="shared" ca="1" si="347"/>
        <v>0</v>
      </c>
      <c r="AI1570" s="196">
        <f>IFERROR($G1570/SUMIF($A:$A,$A1570,$G:$G)*SUMIF(Summary!$A$247:$A$283,$A1570,Summary!$P$247:$P$283),0)</f>
        <v>0</v>
      </c>
      <c r="AJ1570" s="196">
        <f>IFERROR($G1570/SUMIF($A:$A,$A1570,$G:$G)*(SUMIF(Summary!$A$247:$A$283,$A1570,Summary!$L$247:$L$283)+SUMIF(Summary!$A$297:$A$333,$A1570,Summary!$L$297:$L$333))-AI1570,0)</f>
        <v>0</v>
      </c>
      <c r="AK1570" s="196">
        <f>IFERROR($G1570/SUMIF($A:$A,$A1570,$G:$G)*SUMIF(Summary!$A$247:$A$283,$A1570,Summary!$Q$247:$Q$283),0)</f>
        <v>0</v>
      </c>
      <c r="AL1570" s="196">
        <f>IFERROR($G1570/SUMIF($A:$A,$A1570,$G:$G)*(SUMIF(Summary!$A$247:$A$283,$A1570,Summary!$L$247:$L$283)+SUMIF(Summary!$A$297:$A$333,$A1570,Summary!$L$297:$L$333))-AK1570,0)</f>
        <v>0</v>
      </c>
      <c r="AM1570" s="198"/>
      <c r="AN1570" s="196">
        <f t="shared" ca="1" si="348"/>
        <v>0</v>
      </c>
      <c r="AO1570" s="196">
        <f t="shared" ca="1" si="349"/>
        <v>0</v>
      </c>
    </row>
    <row r="1571" spans="1:41">
      <c r="A1571" s="189">
        <v>3639</v>
      </c>
      <c r="B1571" s="190">
        <v>5</v>
      </c>
      <c r="C1571" s="191" t="s">
        <v>232</v>
      </c>
      <c r="D1571" s="192">
        <f t="shared" si="336"/>
        <v>0</v>
      </c>
      <c r="E1571" s="192">
        <f t="shared" si="337"/>
        <v>0</v>
      </c>
      <c r="F1571" s="192">
        <f t="shared" si="338"/>
        <v>0</v>
      </c>
      <c r="G1571" s="193">
        <f t="shared" si="339"/>
        <v>0</v>
      </c>
      <c r="H1571" s="194">
        <v>0</v>
      </c>
      <c r="I1571" s="194">
        <v>0</v>
      </c>
      <c r="J1571" s="194">
        <v>0</v>
      </c>
      <c r="K1571" s="193">
        <f t="shared" si="340"/>
        <v>0</v>
      </c>
      <c r="L1571" s="194">
        <v>0</v>
      </c>
      <c r="M1571" s="194">
        <v>0</v>
      </c>
      <c r="N1571" s="194">
        <v>0</v>
      </c>
      <c r="O1571" s="193">
        <f t="shared" si="341"/>
        <v>0</v>
      </c>
      <c r="P1571" s="194">
        <v>0</v>
      </c>
      <c r="Q1571" s="194">
        <v>0</v>
      </c>
      <c r="R1571" s="194">
        <v>0</v>
      </c>
      <c r="S1571" s="193">
        <f t="shared" si="342"/>
        <v>0</v>
      </c>
      <c r="T1571" s="193">
        <f t="shared" si="343"/>
        <v>0</v>
      </c>
      <c r="U1571" s="193">
        <f ca="1">OFFSET('Expenditure Study'!$B$7,'Operations Support'!$C1571,'Operations Support'!$B1571)*$G1571</f>
        <v>0</v>
      </c>
      <c r="V1571" s="199">
        <f ca="1">U1571*'Expenditure Study'!$B$31</f>
        <v>0</v>
      </c>
      <c r="W1571" s="199">
        <f ca="1">IF(A1571=10298,1.51,1)*IF($B1571&lt;3,$D1571*'Expenditure Study'!$B$32*OFFSET('Expenditure Study'!$B$7,'Operations Support'!$C1571,'Operations Support'!$B1571),0)</f>
        <v>0</v>
      </c>
      <c r="X1571" s="200">
        <f ca="1">W1571*'Expenditure Study'!$B$31</f>
        <v>0</v>
      </c>
      <c r="Y1571" s="199">
        <f ca="1">U1571*'Expenditure Study'!$B$31</f>
        <v>0</v>
      </c>
      <c r="Z1571" s="200">
        <f ca="1">W1571*'Expenditure Study'!$B$31</f>
        <v>0</v>
      </c>
      <c r="AA1571" s="195">
        <f t="shared" ca="1" si="344"/>
        <v>0</v>
      </c>
      <c r="AB1571" s="195">
        <f t="shared" ca="1" si="345"/>
        <v>0</v>
      </c>
      <c r="AD1571" s="196">
        <f>IFERROR($G1571/SUMIF($A:$A,$A1571,$G:$G)*SUMIF(Summary!$A$166:$A$242,$A1571,Summary!$P$166:$P$242),0)</f>
        <v>0</v>
      </c>
      <c r="AE1571" s="197">
        <f t="shared" ca="1" si="346"/>
        <v>0</v>
      </c>
      <c r="AF1571" s="196">
        <f>IFERROR(G1571/SUMIF(A:A,A1571,G:G)*SUMIF(Summary!$A$166:$A$242,'Operations Support'!A1571,Summary!$Q$166:$Q$242),0)</f>
        <v>0</v>
      </c>
      <c r="AG1571" s="196">
        <f t="shared" ca="1" si="347"/>
        <v>0</v>
      </c>
      <c r="AI1571" s="196">
        <f>IFERROR($G1571/SUMIF($A:$A,$A1571,$G:$G)*SUMIF(Summary!$A$247:$A$283,$A1571,Summary!$P$247:$P$283),0)</f>
        <v>0</v>
      </c>
      <c r="AJ1571" s="196">
        <f>IFERROR($G1571/SUMIF($A:$A,$A1571,$G:$G)*(SUMIF(Summary!$A$247:$A$283,$A1571,Summary!$L$247:$L$283)+SUMIF(Summary!$A$297:$A$333,$A1571,Summary!$L$297:$L$333))-AI1571,0)</f>
        <v>0</v>
      </c>
      <c r="AK1571" s="196">
        <f>IFERROR($G1571/SUMIF($A:$A,$A1571,$G:$G)*SUMIF(Summary!$A$247:$A$283,$A1571,Summary!$Q$247:$Q$283),0)</f>
        <v>0</v>
      </c>
      <c r="AL1571" s="196">
        <f>IFERROR($G1571/SUMIF($A:$A,$A1571,$G:$G)*(SUMIF(Summary!$A$247:$A$283,$A1571,Summary!$L$247:$L$283)+SUMIF(Summary!$A$297:$A$333,$A1571,Summary!$L$297:$L$333))-AK1571,0)</f>
        <v>0</v>
      </c>
      <c r="AM1571" s="198"/>
      <c r="AN1571" s="196">
        <f t="shared" ca="1" si="348"/>
        <v>0</v>
      </c>
      <c r="AO1571" s="196">
        <f t="shared" ca="1" si="349"/>
        <v>0</v>
      </c>
    </row>
    <row r="1572" spans="1:41">
      <c r="A1572" s="189">
        <v>3639</v>
      </c>
      <c r="B1572" s="190">
        <v>5</v>
      </c>
      <c r="C1572" s="191" t="s">
        <v>233</v>
      </c>
      <c r="D1572" s="192">
        <f t="shared" si="336"/>
        <v>0</v>
      </c>
      <c r="E1572" s="192">
        <f t="shared" si="337"/>
        <v>0</v>
      </c>
      <c r="F1572" s="192">
        <f t="shared" si="338"/>
        <v>0</v>
      </c>
      <c r="G1572" s="193">
        <f t="shared" si="339"/>
        <v>0</v>
      </c>
      <c r="H1572" s="194">
        <v>0</v>
      </c>
      <c r="I1572" s="194">
        <v>0</v>
      </c>
      <c r="J1572" s="194">
        <v>0</v>
      </c>
      <c r="K1572" s="193">
        <f t="shared" si="340"/>
        <v>0</v>
      </c>
      <c r="L1572" s="194">
        <v>0</v>
      </c>
      <c r="M1572" s="194">
        <v>0</v>
      </c>
      <c r="N1572" s="194">
        <v>0</v>
      </c>
      <c r="O1572" s="193">
        <f t="shared" si="341"/>
        <v>0</v>
      </c>
      <c r="P1572" s="194">
        <v>0</v>
      </c>
      <c r="Q1572" s="194">
        <v>0</v>
      </c>
      <c r="R1572" s="194">
        <v>0</v>
      </c>
      <c r="S1572" s="193">
        <f t="shared" si="342"/>
        <v>0</v>
      </c>
      <c r="T1572" s="193">
        <f t="shared" si="343"/>
        <v>0</v>
      </c>
      <c r="U1572" s="193">
        <f ca="1">OFFSET('Expenditure Study'!$B$7,'Operations Support'!$C1572,'Operations Support'!$B1572)*$G1572</f>
        <v>0</v>
      </c>
      <c r="V1572" s="199">
        <f ca="1">U1572*'Expenditure Study'!$B$31</f>
        <v>0</v>
      </c>
      <c r="W1572" s="199">
        <f ca="1">IF(A1572=10298,1.51,1)*IF($B1572&lt;3,$D1572*'Expenditure Study'!$B$32*OFFSET('Expenditure Study'!$B$7,'Operations Support'!$C1572,'Operations Support'!$B1572),0)</f>
        <v>0</v>
      </c>
      <c r="X1572" s="200">
        <f ca="1">W1572*'Expenditure Study'!$B$31</f>
        <v>0</v>
      </c>
      <c r="Y1572" s="199">
        <f ca="1">U1572*'Expenditure Study'!$B$31</f>
        <v>0</v>
      </c>
      <c r="Z1572" s="200">
        <f ca="1">W1572*'Expenditure Study'!$B$31</f>
        <v>0</v>
      </c>
      <c r="AA1572" s="195">
        <f t="shared" ca="1" si="344"/>
        <v>0</v>
      </c>
      <c r="AB1572" s="195">
        <f t="shared" ca="1" si="345"/>
        <v>0</v>
      </c>
      <c r="AD1572" s="196">
        <f>IFERROR($G1572/SUMIF($A:$A,$A1572,$G:$G)*SUMIF(Summary!$A$166:$A$242,$A1572,Summary!$P$166:$P$242),0)</f>
        <v>0</v>
      </c>
      <c r="AE1572" s="197">
        <f t="shared" ca="1" si="346"/>
        <v>0</v>
      </c>
      <c r="AF1572" s="196">
        <f>IFERROR(G1572/SUMIF(A:A,A1572,G:G)*SUMIF(Summary!$A$166:$A$242,'Operations Support'!A1572,Summary!$Q$166:$Q$242),0)</f>
        <v>0</v>
      </c>
      <c r="AG1572" s="196">
        <f t="shared" ca="1" si="347"/>
        <v>0</v>
      </c>
      <c r="AI1572" s="196">
        <f>IFERROR($G1572/SUMIF($A:$A,$A1572,$G:$G)*SUMIF(Summary!$A$247:$A$283,$A1572,Summary!$P$247:$P$283),0)</f>
        <v>0</v>
      </c>
      <c r="AJ1572" s="196">
        <f>IFERROR($G1572/SUMIF($A:$A,$A1572,$G:$G)*(SUMIF(Summary!$A$247:$A$283,$A1572,Summary!$L$247:$L$283)+SUMIF(Summary!$A$297:$A$333,$A1572,Summary!$L$297:$L$333))-AI1572,0)</f>
        <v>0</v>
      </c>
      <c r="AK1572" s="196">
        <f>IFERROR($G1572/SUMIF($A:$A,$A1572,$G:$G)*SUMIF(Summary!$A$247:$A$283,$A1572,Summary!$Q$247:$Q$283),0)</f>
        <v>0</v>
      </c>
      <c r="AL1572" s="196">
        <f>IFERROR($G1572/SUMIF($A:$A,$A1572,$G:$G)*(SUMIF(Summary!$A$247:$A$283,$A1572,Summary!$L$247:$L$283)+SUMIF(Summary!$A$297:$A$333,$A1572,Summary!$L$297:$L$333))-AK1572,0)</f>
        <v>0</v>
      </c>
      <c r="AM1572" s="198"/>
      <c r="AN1572" s="196">
        <f t="shared" ca="1" si="348"/>
        <v>0</v>
      </c>
      <c r="AO1572" s="196">
        <f t="shared" ca="1" si="349"/>
        <v>0</v>
      </c>
    </row>
    <row r="1573" spans="1:41">
      <c r="A1573" s="189">
        <v>3639</v>
      </c>
      <c r="B1573" s="190">
        <v>5</v>
      </c>
      <c r="C1573" s="191" t="s">
        <v>234</v>
      </c>
      <c r="D1573" s="192">
        <f t="shared" si="336"/>
        <v>0</v>
      </c>
      <c r="E1573" s="192">
        <f t="shared" si="337"/>
        <v>0</v>
      </c>
      <c r="F1573" s="192">
        <f t="shared" si="338"/>
        <v>0</v>
      </c>
      <c r="G1573" s="193">
        <f t="shared" si="339"/>
        <v>0</v>
      </c>
      <c r="H1573" s="194">
        <v>0</v>
      </c>
      <c r="I1573" s="194">
        <v>0</v>
      </c>
      <c r="J1573" s="194">
        <v>0</v>
      </c>
      <c r="K1573" s="193">
        <f t="shared" si="340"/>
        <v>0</v>
      </c>
      <c r="L1573" s="194">
        <v>0</v>
      </c>
      <c r="M1573" s="194">
        <v>0</v>
      </c>
      <c r="N1573" s="194">
        <v>0</v>
      </c>
      <c r="O1573" s="193">
        <f t="shared" si="341"/>
        <v>0</v>
      </c>
      <c r="P1573" s="194">
        <v>0</v>
      </c>
      <c r="Q1573" s="194">
        <v>0</v>
      </c>
      <c r="R1573" s="194">
        <v>0</v>
      </c>
      <c r="S1573" s="193">
        <f t="shared" si="342"/>
        <v>0</v>
      </c>
      <c r="T1573" s="193">
        <f t="shared" si="343"/>
        <v>0</v>
      </c>
      <c r="U1573" s="193">
        <f ca="1">OFFSET('Expenditure Study'!$B$7,'Operations Support'!$C1573,'Operations Support'!$B1573)*$G1573</f>
        <v>0</v>
      </c>
      <c r="V1573" s="199">
        <f ca="1">U1573*'Expenditure Study'!$B$31</f>
        <v>0</v>
      </c>
      <c r="W1573" s="199">
        <f ca="1">IF(A1573=10298,1.51,1)*IF($B1573&lt;3,$D1573*'Expenditure Study'!$B$32*OFFSET('Expenditure Study'!$B$7,'Operations Support'!$C1573,'Operations Support'!$B1573),0)</f>
        <v>0</v>
      </c>
      <c r="X1573" s="200">
        <f ca="1">W1573*'Expenditure Study'!$B$31</f>
        <v>0</v>
      </c>
      <c r="Y1573" s="199">
        <f ca="1">U1573*'Expenditure Study'!$B$31</f>
        <v>0</v>
      </c>
      <c r="Z1573" s="200">
        <f ca="1">W1573*'Expenditure Study'!$B$31</f>
        <v>0</v>
      </c>
      <c r="AA1573" s="195">
        <f t="shared" ca="1" si="344"/>
        <v>0</v>
      </c>
      <c r="AB1573" s="195">
        <f t="shared" ca="1" si="345"/>
        <v>0</v>
      </c>
      <c r="AD1573" s="196">
        <f>IFERROR($G1573/SUMIF($A:$A,$A1573,$G:$G)*SUMIF(Summary!$A$166:$A$242,$A1573,Summary!$P$166:$P$242),0)</f>
        <v>0</v>
      </c>
      <c r="AE1573" s="197">
        <f t="shared" ca="1" si="346"/>
        <v>0</v>
      </c>
      <c r="AF1573" s="196">
        <f>IFERROR(G1573/SUMIF(A:A,A1573,G:G)*SUMIF(Summary!$A$166:$A$242,'Operations Support'!A1573,Summary!$Q$166:$Q$242),0)</f>
        <v>0</v>
      </c>
      <c r="AG1573" s="196">
        <f t="shared" ca="1" si="347"/>
        <v>0</v>
      </c>
      <c r="AI1573" s="196">
        <f>IFERROR($G1573/SUMIF($A:$A,$A1573,$G:$G)*SUMIF(Summary!$A$247:$A$283,$A1573,Summary!$P$247:$P$283),0)</f>
        <v>0</v>
      </c>
      <c r="AJ1573" s="196">
        <f>IFERROR($G1573/SUMIF($A:$A,$A1573,$G:$G)*(SUMIF(Summary!$A$247:$A$283,$A1573,Summary!$L$247:$L$283)+SUMIF(Summary!$A$297:$A$333,$A1573,Summary!$L$297:$L$333))-AI1573,0)</f>
        <v>0</v>
      </c>
      <c r="AK1573" s="196">
        <f>IFERROR($G1573/SUMIF($A:$A,$A1573,$G:$G)*SUMIF(Summary!$A$247:$A$283,$A1573,Summary!$Q$247:$Q$283),0)</f>
        <v>0</v>
      </c>
      <c r="AL1573" s="196">
        <f>IFERROR($G1573/SUMIF($A:$A,$A1573,$G:$G)*(SUMIF(Summary!$A$247:$A$283,$A1573,Summary!$L$247:$L$283)+SUMIF(Summary!$A$297:$A$333,$A1573,Summary!$L$297:$L$333))-AK1573,0)</f>
        <v>0</v>
      </c>
      <c r="AM1573" s="198"/>
      <c r="AN1573" s="196">
        <f t="shared" ca="1" si="348"/>
        <v>0</v>
      </c>
      <c r="AO1573" s="196">
        <f t="shared" ca="1" si="349"/>
        <v>0</v>
      </c>
    </row>
    <row r="1574" spans="1:41">
      <c r="A1574" s="189">
        <v>3639</v>
      </c>
      <c r="B1574" s="190">
        <v>5</v>
      </c>
      <c r="C1574" s="191" t="s">
        <v>235</v>
      </c>
      <c r="D1574" s="192">
        <f t="shared" si="336"/>
        <v>0</v>
      </c>
      <c r="E1574" s="192">
        <f t="shared" si="337"/>
        <v>0</v>
      </c>
      <c r="F1574" s="192">
        <f t="shared" si="338"/>
        <v>0</v>
      </c>
      <c r="G1574" s="193">
        <f t="shared" si="339"/>
        <v>0</v>
      </c>
      <c r="H1574" s="194">
        <v>0</v>
      </c>
      <c r="I1574" s="194">
        <v>0</v>
      </c>
      <c r="J1574" s="194">
        <v>0</v>
      </c>
      <c r="K1574" s="193">
        <f t="shared" si="340"/>
        <v>0</v>
      </c>
      <c r="L1574" s="194">
        <v>0</v>
      </c>
      <c r="M1574" s="194">
        <v>0</v>
      </c>
      <c r="N1574" s="194">
        <v>0</v>
      </c>
      <c r="O1574" s="193">
        <f t="shared" si="341"/>
        <v>0</v>
      </c>
      <c r="P1574" s="194">
        <v>0</v>
      </c>
      <c r="Q1574" s="194">
        <v>0</v>
      </c>
      <c r="R1574" s="194">
        <v>0</v>
      </c>
      <c r="S1574" s="193">
        <f t="shared" si="342"/>
        <v>0</v>
      </c>
      <c r="T1574" s="193">
        <f t="shared" si="343"/>
        <v>0</v>
      </c>
      <c r="U1574" s="193">
        <f ca="1">OFFSET('Expenditure Study'!$B$7,'Operations Support'!$C1574,'Operations Support'!$B1574)*$G1574</f>
        <v>0</v>
      </c>
      <c r="V1574" s="199">
        <f ca="1">U1574*'Expenditure Study'!$B$31</f>
        <v>0</v>
      </c>
      <c r="W1574" s="199">
        <f ca="1">IF(A1574=10298,1.51,1)*IF($B1574&lt;3,$D1574*'Expenditure Study'!$B$32*OFFSET('Expenditure Study'!$B$7,'Operations Support'!$C1574,'Operations Support'!$B1574),0)</f>
        <v>0</v>
      </c>
      <c r="X1574" s="200">
        <f ca="1">W1574*'Expenditure Study'!$B$31</f>
        <v>0</v>
      </c>
      <c r="Y1574" s="199">
        <f ca="1">U1574*'Expenditure Study'!$B$31</f>
        <v>0</v>
      </c>
      <c r="Z1574" s="200">
        <f ca="1">W1574*'Expenditure Study'!$B$31</f>
        <v>0</v>
      </c>
      <c r="AA1574" s="195">
        <f t="shared" ca="1" si="344"/>
        <v>0</v>
      </c>
      <c r="AB1574" s="195">
        <f t="shared" ca="1" si="345"/>
        <v>0</v>
      </c>
      <c r="AD1574" s="196">
        <f>IFERROR($G1574/SUMIF($A:$A,$A1574,$G:$G)*SUMIF(Summary!$A$166:$A$242,$A1574,Summary!$P$166:$P$242),0)</f>
        <v>0</v>
      </c>
      <c r="AE1574" s="197">
        <f t="shared" ca="1" si="346"/>
        <v>0</v>
      </c>
      <c r="AF1574" s="196">
        <f>IFERROR(G1574/SUMIF(A:A,A1574,G:G)*SUMIF(Summary!$A$166:$A$242,'Operations Support'!A1574,Summary!$Q$166:$Q$242),0)</f>
        <v>0</v>
      </c>
      <c r="AG1574" s="196">
        <f t="shared" ca="1" si="347"/>
        <v>0</v>
      </c>
      <c r="AI1574" s="196">
        <f>IFERROR($G1574/SUMIF($A:$A,$A1574,$G:$G)*SUMIF(Summary!$A$247:$A$283,$A1574,Summary!$P$247:$P$283),0)</f>
        <v>0</v>
      </c>
      <c r="AJ1574" s="196">
        <f>IFERROR($G1574/SUMIF($A:$A,$A1574,$G:$G)*(SUMIF(Summary!$A$247:$A$283,$A1574,Summary!$L$247:$L$283)+SUMIF(Summary!$A$297:$A$333,$A1574,Summary!$L$297:$L$333))-AI1574,0)</f>
        <v>0</v>
      </c>
      <c r="AK1574" s="196">
        <f>IFERROR($G1574/SUMIF($A:$A,$A1574,$G:$G)*SUMIF(Summary!$A$247:$A$283,$A1574,Summary!$Q$247:$Q$283),0)</f>
        <v>0</v>
      </c>
      <c r="AL1574" s="196">
        <f>IFERROR($G1574/SUMIF($A:$A,$A1574,$G:$G)*(SUMIF(Summary!$A$247:$A$283,$A1574,Summary!$L$247:$L$283)+SUMIF(Summary!$A$297:$A$333,$A1574,Summary!$L$297:$L$333))-AK1574,0)</f>
        <v>0</v>
      </c>
      <c r="AM1574" s="198"/>
      <c r="AN1574" s="196">
        <f t="shared" ca="1" si="348"/>
        <v>0</v>
      </c>
      <c r="AO1574" s="196">
        <f t="shared" ca="1" si="349"/>
        <v>0</v>
      </c>
    </row>
    <row r="1575" spans="1:41">
      <c r="A1575" s="189">
        <v>3639</v>
      </c>
      <c r="B1575" s="190">
        <v>5</v>
      </c>
      <c r="C1575" s="191" t="s">
        <v>236</v>
      </c>
      <c r="D1575" s="192">
        <f t="shared" si="336"/>
        <v>0</v>
      </c>
      <c r="E1575" s="192">
        <f t="shared" si="337"/>
        <v>0</v>
      </c>
      <c r="F1575" s="192">
        <f t="shared" si="338"/>
        <v>0</v>
      </c>
      <c r="G1575" s="193">
        <f t="shared" si="339"/>
        <v>0</v>
      </c>
      <c r="H1575" s="194">
        <v>0</v>
      </c>
      <c r="I1575" s="194">
        <v>0</v>
      </c>
      <c r="J1575" s="194">
        <v>0</v>
      </c>
      <c r="K1575" s="193">
        <f t="shared" si="340"/>
        <v>0</v>
      </c>
      <c r="L1575" s="194">
        <v>0</v>
      </c>
      <c r="M1575" s="194">
        <v>0</v>
      </c>
      <c r="N1575" s="194">
        <v>0</v>
      </c>
      <c r="O1575" s="193">
        <f t="shared" si="341"/>
        <v>0</v>
      </c>
      <c r="P1575" s="194">
        <v>0</v>
      </c>
      <c r="Q1575" s="194">
        <v>0</v>
      </c>
      <c r="R1575" s="194">
        <v>0</v>
      </c>
      <c r="S1575" s="193">
        <f t="shared" si="342"/>
        <v>0</v>
      </c>
      <c r="T1575" s="193">
        <f t="shared" si="343"/>
        <v>0</v>
      </c>
      <c r="U1575" s="193">
        <f ca="1">OFFSET('Expenditure Study'!$B$7,'Operations Support'!$C1575,'Operations Support'!$B1575)*$G1575</f>
        <v>0</v>
      </c>
      <c r="V1575" s="199">
        <f ca="1">U1575*'Expenditure Study'!$B$31</f>
        <v>0</v>
      </c>
      <c r="W1575" s="199">
        <f ca="1">IF(A1575=10298,1.51,1)*IF($B1575&lt;3,$D1575*'Expenditure Study'!$B$32*OFFSET('Expenditure Study'!$B$7,'Operations Support'!$C1575,'Operations Support'!$B1575),0)</f>
        <v>0</v>
      </c>
      <c r="X1575" s="200">
        <f ca="1">W1575*'Expenditure Study'!$B$31</f>
        <v>0</v>
      </c>
      <c r="Y1575" s="199">
        <f ca="1">U1575*'Expenditure Study'!$B$31</f>
        <v>0</v>
      </c>
      <c r="Z1575" s="200">
        <f ca="1">W1575*'Expenditure Study'!$B$31</f>
        <v>0</v>
      </c>
      <c r="AA1575" s="195">
        <f t="shared" ca="1" si="344"/>
        <v>0</v>
      </c>
      <c r="AB1575" s="195">
        <f t="shared" ca="1" si="345"/>
        <v>0</v>
      </c>
      <c r="AD1575" s="196">
        <f>IFERROR($G1575/SUMIF($A:$A,$A1575,$G:$G)*SUMIF(Summary!$A$166:$A$242,$A1575,Summary!$P$166:$P$242),0)</f>
        <v>0</v>
      </c>
      <c r="AE1575" s="197">
        <f t="shared" ca="1" si="346"/>
        <v>0</v>
      </c>
      <c r="AF1575" s="196">
        <f>IFERROR(G1575/SUMIF(A:A,A1575,G:G)*SUMIF(Summary!$A$166:$A$242,'Operations Support'!A1575,Summary!$Q$166:$Q$242),0)</f>
        <v>0</v>
      </c>
      <c r="AG1575" s="196">
        <f t="shared" ca="1" si="347"/>
        <v>0</v>
      </c>
      <c r="AI1575" s="196">
        <f>IFERROR($G1575/SUMIF($A:$A,$A1575,$G:$G)*SUMIF(Summary!$A$247:$A$283,$A1575,Summary!$P$247:$P$283),0)</f>
        <v>0</v>
      </c>
      <c r="AJ1575" s="196">
        <f>IFERROR($G1575/SUMIF($A:$A,$A1575,$G:$G)*(SUMIF(Summary!$A$247:$A$283,$A1575,Summary!$L$247:$L$283)+SUMIF(Summary!$A$297:$A$333,$A1575,Summary!$L$297:$L$333))-AI1575,0)</f>
        <v>0</v>
      </c>
      <c r="AK1575" s="196">
        <f>IFERROR($G1575/SUMIF($A:$A,$A1575,$G:$G)*SUMIF(Summary!$A$247:$A$283,$A1575,Summary!$Q$247:$Q$283),0)</f>
        <v>0</v>
      </c>
      <c r="AL1575" s="196">
        <f>IFERROR($G1575/SUMIF($A:$A,$A1575,$G:$G)*(SUMIF(Summary!$A$247:$A$283,$A1575,Summary!$L$247:$L$283)+SUMIF(Summary!$A$297:$A$333,$A1575,Summary!$L$297:$L$333))-AK1575,0)</f>
        <v>0</v>
      </c>
      <c r="AM1575" s="198"/>
      <c r="AN1575" s="196">
        <f t="shared" ca="1" si="348"/>
        <v>0</v>
      </c>
      <c r="AO1575" s="196">
        <f t="shared" ca="1" si="349"/>
        <v>0</v>
      </c>
    </row>
    <row r="1576" spans="1:41">
      <c r="A1576" s="189">
        <v>3639</v>
      </c>
      <c r="B1576" s="190">
        <v>5</v>
      </c>
      <c r="C1576" s="191" t="s">
        <v>237</v>
      </c>
      <c r="D1576" s="192">
        <f t="shared" si="336"/>
        <v>0</v>
      </c>
      <c r="E1576" s="192">
        <f t="shared" si="337"/>
        <v>0</v>
      </c>
      <c r="F1576" s="192">
        <f t="shared" si="338"/>
        <v>0</v>
      </c>
      <c r="G1576" s="193">
        <f t="shared" si="339"/>
        <v>0</v>
      </c>
      <c r="H1576" s="194">
        <v>0</v>
      </c>
      <c r="I1576" s="194">
        <v>0</v>
      </c>
      <c r="J1576" s="194">
        <v>0</v>
      </c>
      <c r="K1576" s="193">
        <f t="shared" si="340"/>
        <v>0</v>
      </c>
      <c r="L1576" s="194">
        <v>0</v>
      </c>
      <c r="M1576" s="194">
        <v>0</v>
      </c>
      <c r="N1576" s="194">
        <v>0</v>
      </c>
      <c r="O1576" s="193">
        <f t="shared" si="341"/>
        <v>0</v>
      </c>
      <c r="P1576" s="194">
        <v>0</v>
      </c>
      <c r="Q1576" s="194">
        <v>0</v>
      </c>
      <c r="R1576" s="194">
        <v>0</v>
      </c>
      <c r="S1576" s="193">
        <f t="shared" si="342"/>
        <v>0</v>
      </c>
      <c r="T1576" s="193">
        <f t="shared" si="343"/>
        <v>0</v>
      </c>
      <c r="U1576" s="193">
        <f ca="1">OFFSET('Expenditure Study'!$B$7,'Operations Support'!$C1576,'Operations Support'!$B1576)*$G1576</f>
        <v>0</v>
      </c>
      <c r="V1576" s="199">
        <f ca="1">U1576*'Expenditure Study'!$B$31</f>
        <v>0</v>
      </c>
      <c r="W1576" s="199">
        <f ca="1">IF(A1576=10298,1.51,1)*IF($B1576&lt;3,$D1576*'Expenditure Study'!$B$32*OFFSET('Expenditure Study'!$B$7,'Operations Support'!$C1576,'Operations Support'!$B1576),0)</f>
        <v>0</v>
      </c>
      <c r="X1576" s="200">
        <f ca="1">W1576*'Expenditure Study'!$B$31</f>
        <v>0</v>
      </c>
      <c r="Y1576" s="199">
        <f ca="1">U1576*'Expenditure Study'!$B$31</f>
        <v>0</v>
      </c>
      <c r="Z1576" s="200">
        <f ca="1">W1576*'Expenditure Study'!$B$31</f>
        <v>0</v>
      </c>
      <c r="AA1576" s="195">
        <f t="shared" ca="1" si="344"/>
        <v>0</v>
      </c>
      <c r="AB1576" s="195">
        <f t="shared" ca="1" si="345"/>
        <v>0</v>
      </c>
      <c r="AD1576" s="196">
        <f>IFERROR($G1576/SUMIF($A:$A,$A1576,$G:$G)*SUMIF(Summary!$A$166:$A$242,$A1576,Summary!$P$166:$P$242),0)</f>
        <v>0</v>
      </c>
      <c r="AE1576" s="197">
        <f t="shared" ca="1" si="346"/>
        <v>0</v>
      </c>
      <c r="AF1576" s="196">
        <f>IFERROR(G1576/SUMIF(A:A,A1576,G:G)*SUMIF(Summary!$A$166:$A$242,'Operations Support'!A1576,Summary!$Q$166:$Q$242),0)</f>
        <v>0</v>
      </c>
      <c r="AG1576" s="196">
        <f t="shared" ca="1" si="347"/>
        <v>0</v>
      </c>
      <c r="AI1576" s="196">
        <f>IFERROR($G1576/SUMIF($A:$A,$A1576,$G:$G)*SUMIF(Summary!$A$247:$A$283,$A1576,Summary!$P$247:$P$283),0)</f>
        <v>0</v>
      </c>
      <c r="AJ1576" s="196">
        <f>IFERROR($G1576/SUMIF($A:$A,$A1576,$G:$G)*(SUMIF(Summary!$A$247:$A$283,$A1576,Summary!$L$247:$L$283)+SUMIF(Summary!$A$297:$A$333,$A1576,Summary!$L$297:$L$333))-AI1576,0)</f>
        <v>0</v>
      </c>
      <c r="AK1576" s="196">
        <f>IFERROR($G1576/SUMIF($A:$A,$A1576,$G:$G)*SUMIF(Summary!$A$247:$A$283,$A1576,Summary!$Q$247:$Q$283),0)</f>
        <v>0</v>
      </c>
      <c r="AL1576" s="196">
        <f>IFERROR($G1576/SUMIF($A:$A,$A1576,$G:$G)*(SUMIF(Summary!$A$247:$A$283,$A1576,Summary!$L$247:$L$283)+SUMIF(Summary!$A$297:$A$333,$A1576,Summary!$L$297:$L$333))-AK1576,0)</f>
        <v>0</v>
      </c>
      <c r="AM1576" s="198"/>
      <c r="AN1576" s="196">
        <f t="shared" ca="1" si="348"/>
        <v>0</v>
      </c>
      <c r="AO1576" s="196">
        <f t="shared" ca="1" si="349"/>
        <v>0</v>
      </c>
    </row>
    <row r="1577" spans="1:41">
      <c r="A1577" s="189">
        <v>3639</v>
      </c>
      <c r="B1577" s="190">
        <v>5</v>
      </c>
      <c r="C1577" s="191" t="s">
        <v>238</v>
      </c>
      <c r="D1577" s="192">
        <f t="shared" si="336"/>
        <v>0</v>
      </c>
      <c r="E1577" s="192">
        <f t="shared" si="337"/>
        <v>0</v>
      </c>
      <c r="F1577" s="192">
        <f t="shared" si="338"/>
        <v>0</v>
      </c>
      <c r="G1577" s="193">
        <f t="shared" si="339"/>
        <v>0</v>
      </c>
      <c r="H1577" s="194">
        <v>0</v>
      </c>
      <c r="I1577" s="194">
        <v>0</v>
      </c>
      <c r="J1577" s="194">
        <v>0</v>
      </c>
      <c r="K1577" s="193">
        <f t="shared" si="340"/>
        <v>0</v>
      </c>
      <c r="L1577" s="194">
        <v>0</v>
      </c>
      <c r="M1577" s="194">
        <v>0</v>
      </c>
      <c r="N1577" s="194">
        <v>0</v>
      </c>
      <c r="O1577" s="193">
        <f t="shared" si="341"/>
        <v>0</v>
      </c>
      <c r="P1577" s="194">
        <v>0</v>
      </c>
      <c r="Q1577" s="194">
        <v>0</v>
      </c>
      <c r="R1577" s="194">
        <v>0</v>
      </c>
      <c r="S1577" s="193">
        <f t="shared" si="342"/>
        <v>0</v>
      </c>
      <c r="T1577" s="193">
        <f t="shared" si="343"/>
        <v>0</v>
      </c>
      <c r="U1577" s="193">
        <f ca="1">OFFSET('Expenditure Study'!$B$7,'Operations Support'!$C1577,'Operations Support'!$B1577)*$G1577</f>
        <v>0</v>
      </c>
      <c r="V1577" s="199">
        <f ca="1">U1577*'Expenditure Study'!$B$31</f>
        <v>0</v>
      </c>
      <c r="W1577" s="199">
        <f ca="1">IF(A1577=10298,1.51,1)*IF($B1577&lt;3,$D1577*'Expenditure Study'!$B$32*OFFSET('Expenditure Study'!$B$7,'Operations Support'!$C1577,'Operations Support'!$B1577),0)</f>
        <v>0</v>
      </c>
      <c r="X1577" s="200">
        <f ca="1">W1577*'Expenditure Study'!$B$31</f>
        <v>0</v>
      </c>
      <c r="Y1577" s="199">
        <f ca="1">U1577*'Expenditure Study'!$B$31</f>
        <v>0</v>
      </c>
      <c r="Z1577" s="200">
        <f ca="1">W1577*'Expenditure Study'!$B$31</f>
        <v>0</v>
      </c>
      <c r="AA1577" s="195">
        <f t="shared" ca="1" si="344"/>
        <v>0</v>
      </c>
      <c r="AB1577" s="195">
        <f t="shared" ca="1" si="345"/>
        <v>0</v>
      </c>
      <c r="AD1577" s="196">
        <f>IFERROR($G1577/SUMIF($A:$A,$A1577,$G:$G)*SUMIF(Summary!$A$166:$A$242,$A1577,Summary!$P$166:$P$242),0)</f>
        <v>0</v>
      </c>
      <c r="AE1577" s="197">
        <f t="shared" ca="1" si="346"/>
        <v>0</v>
      </c>
      <c r="AF1577" s="196">
        <f>IFERROR(G1577/SUMIF(A:A,A1577,G:G)*SUMIF(Summary!$A$166:$A$242,'Operations Support'!A1577,Summary!$Q$166:$Q$242),0)</f>
        <v>0</v>
      </c>
      <c r="AG1577" s="196">
        <f t="shared" ca="1" si="347"/>
        <v>0</v>
      </c>
      <c r="AI1577" s="196">
        <f>IFERROR($G1577/SUMIF($A:$A,$A1577,$G:$G)*SUMIF(Summary!$A$247:$A$283,$A1577,Summary!$P$247:$P$283),0)</f>
        <v>0</v>
      </c>
      <c r="AJ1577" s="196">
        <f>IFERROR($G1577/SUMIF($A:$A,$A1577,$G:$G)*(SUMIF(Summary!$A$247:$A$283,$A1577,Summary!$L$247:$L$283)+SUMIF(Summary!$A$297:$A$333,$A1577,Summary!$L$297:$L$333))-AI1577,0)</f>
        <v>0</v>
      </c>
      <c r="AK1577" s="196">
        <f>IFERROR($G1577/SUMIF($A:$A,$A1577,$G:$G)*SUMIF(Summary!$A$247:$A$283,$A1577,Summary!$Q$247:$Q$283),0)</f>
        <v>0</v>
      </c>
      <c r="AL1577" s="196">
        <f>IFERROR($G1577/SUMIF($A:$A,$A1577,$G:$G)*(SUMIF(Summary!$A$247:$A$283,$A1577,Summary!$L$247:$L$283)+SUMIF(Summary!$A$297:$A$333,$A1577,Summary!$L$297:$L$333))-AK1577,0)</f>
        <v>0</v>
      </c>
      <c r="AM1577" s="198"/>
      <c r="AN1577" s="196">
        <f t="shared" ca="1" si="348"/>
        <v>0</v>
      </c>
      <c r="AO1577" s="196">
        <f t="shared" ca="1" si="349"/>
        <v>0</v>
      </c>
    </row>
    <row r="1578" spans="1:41">
      <c r="A1578" s="189">
        <v>3639</v>
      </c>
      <c r="B1578" s="190">
        <v>5</v>
      </c>
      <c r="C1578" s="191" t="s">
        <v>239</v>
      </c>
      <c r="D1578" s="192">
        <f t="shared" si="336"/>
        <v>0</v>
      </c>
      <c r="E1578" s="192">
        <f t="shared" si="337"/>
        <v>0</v>
      </c>
      <c r="F1578" s="192">
        <f t="shared" si="338"/>
        <v>0</v>
      </c>
      <c r="G1578" s="193">
        <f t="shared" si="339"/>
        <v>0</v>
      </c>
      <c r="H1578" s="194">
        <v>0</v>
      </c>
      <c r="I1578" s="194">
        <v>0</v>
      </c>
      <c r="J1578" s="194">
        <v>0</v>
      </c>
      <c r="K1578" s="193">
        <f t="shared" si="340"/>
        <v>0</v>
      </c>
      <c r="L1578" s="194">
        <v>0</v>
      </c>
      <c r="M1578" s="194">
        <v>0</v>
      </c>
      <c r="N1578" s="194">
        <v>0</v>
      </c>
      <c r="O1578" s="193">
        <f t="shared" si="341"/>
        <v>0</v>
      </c>
      <c r="P1578" s="194">
        <v>0</v>
      </c>
      <c r="Q1578" s="194">
        <v>0</v>
      </c>
      <c r="R1578" s="194">
        <v>0</v>
      </c>
      <c r="S1578" s="193">
        <f t="shared" si="342"/>
        <v>0</v>
      </c>
      <c r="T1578" s="193">
        <f t="shared" si="343"/>
        <v>0</v>
      </c>
      <c r="U1578" s="193">
        <f ca="1">OFFSET('Expenditure Study'!$B$7,'Operations Support'!$C1578,'Operations Support'!$B1578)*$G1578</f>
        <v>0</v>
      </c>
      <c r="V1578" s="199">
        <f ca="1">U1578*'Expenditure Study'!$B$31</f>
        <v>0</v>
      </c>
      <c r="W1578" s="199">
        <f ca="1">IF(A1578=10298,1.51,1)*IF($B1578&lt;3,$D1578*'Expenditure Study'!$B$32*OFFSET('Expenditure Study'!$B$7,'Operations Support'!$C1578,'Operations Support'!$B1578),0)</f>
        <v>0</v>
      </c>
      <c r="X1578" s="200">
        <f ca="1">W1578*'Expenditure Study'!$B$31</f>
        <v>0</v>
      </c>
      <c r="Y1578" s="199">
        <f ca="1">U1578*'Expenditure Study'!$B$31</f>
        <v>0</v>
      </c>
      <c r="Z1578" s="200">
        <f ca="1">W1578*'Expenditure Study'!$B$31</f>
        <v>0</v>
      </c>
      <c r="AA1578" s="195">
        <f t="shared" ca="1" si="344"/>
        <v>0</v>
      </c>
      <c r="AB1578" s="195">
        <f t="shared" ca="1" si="345"/>
        <v>0</v>
      </c>
      <c r="AD1578" s="196">
        <f>IFERROR($G1578/SUMIF($A:$A,$A1578,$G:$G)*SUMIF(Summary!$A$166:$A$242,$A1578,Summary!$P$166:$P$242),0)</f>
        <v>0</v>
      </c>
      <c r="AE1578" s="197">
        <f t="shared" ca="1" si="346"/>
        <v>0</v>
      </c>
      <c r="AF1578" s="196">
        <f>IFERROR(G1578/SUMIF(A:A,A1578,G:G)*SUMIF(Summary!$A$166:$A$242,'Operations Support'!A1578,Summary!$Q$166:$Q$242),0)</f>
        <v>0</v>
      </c>
      <c r="AG1578" s="196">
        <f t="shared" ca="1" si="347"/>
        <v>0</v>
      </c>
      <c r="AI1578" s="196">
        <f>IFERROR($G1578/SUMIF($A:$A,$A1578,$G:$G)*SUMIF(Summary!$A$247:$A$283,$A1578,Summary!$P$247:$P$283),0)</f>
        <v>0</v>
      </c>
      <c r="AJ1578" s="196">
        <f>IFERROR($G1578/SUMIF($A:$A,$A1578,$G:$G)*(SUMIF(Summary!$A$247:$A$283,$A1578,Summary!$L$247:$L$283)+SUMIF(Summary!$A$297:$A$333,$A1578,Summary!$L$297:$L$333))-AI1578,0)</f>
        <v>0</v>
      </c>
      <c r="AK1578" s="196">
        <f>IFERROR($G1578/SUMIF($A:$A,$A1578,$G:$G)*SUMIF(Summary!$A$247:$A$283,$A1578,Summary!$Q$247:$Q$283),0)</f>
        <v>0</v>
      </c>
      <c r="AL1578" s="196">
        <f>IFERROR($G1578/SUMIF($A:$A,$A1578,$G:$G)*(SUMIF(Summary!$A$247:$A$283,$A1578,Summary!$L$247:$L$283)+SUMIF(Summary!$A$297:$A$333,$A1578,Summary!$L$297:$L$333))-AK1578,0)</f>
        <v>0</v>
      </c>
      <c r="AM1578" s="198"/>
      <c r="AN1578" s="196">
        <f t="shared" ca="1" si="348"/>
        <v>0</v>
      </c>
      <c r="AO1578" s="196">
        <f t="shared" ca="1" si="349"/>
        <v>0</v>
      </c>
    </row>
    <row r="1579" spans="1:41">
      <c r="A1579" s="189">
        <v>3639</v>
      </c>
      <c r="B1579" s="190">
        <v>5</v>
      </c>
      <c r="C1579" s="191" t="s">
        <v>240</v>
      </c>
      <c r="D1579" s="192">
        <f t="shared" si="336"/>
        <v>0</v>
      </c>
      <c r="E1579" s="192">
        <f t="shared" si="337"/>
        <v>0</v>
      </c>
      <c r="F1579" s="192">
        <f t="shared" si="338"/>
        <v>0</v>
      </c>
      <c r="G1579" s="193">
        <f t="shared" si="339"/>
        <v>0</v>
      </c>
      <c r="H1579" s="194">
        <v>0</v>
      </c>
      <c r="I1579" s="194">
        <v>0</v>
      </c>
      <c r="J1579" s="194">
        <v>0</v>
      </c>
      <c r="K1579" s="193">
        <f t="shared" si="340"/>
        <v>0</v>
      </c>
      <c r="L1579" s="194">
        <v>0</v>
      </c>
      <c r="M1579" s="194">
        <v>0</v>
      </c>
      <c r="N1579" s="194">
        <v>0</v>
      </c>
      <c r="O1579" s="193">
        <f t="shared" si="341"/>
        <v>0</v>
      </c>
      <c r="P1579" s="194">
        <v>0</v>
      </c>
      <c r="Q1579" s="194">
        <v>0</v>
      </c>
      <c r="R1579" s="194">
        <v>0</v>
      </c>
      <c r="S1579" s="193">
        <f t="shared" si="342"/>
        <v>0</v>
      </c>
      <c r="T1579" s="193">
        <f t="shared" si="343"/>
        <v>0</v>
      </c>
      <c r="U1579" s="193">
        <f ca="1">OFFSET('Expenditure Study'!$B$7,'Operations Support'!$C1579,'Operations Support'!$B1579)*$G1579</f>
        <v>0</v>
      </c>
      <c r="V1579" s="199">
        <f ca="1">U1579*'Expenditure Study'!$B$31</f>
        <v>0</v>
      </c>
      <c r="W1579" s="199">
        <f ca="1">IF(A1579=10298,1.51,1)*IF($B1579&lt;3,$D1579*'Expenditure Study'!$B$32*OFFSET('Expenditure Study'!$B$7,'Operations Support'!$C1579,'Operations Support'!$B1579),0)</f>
        <v>0</v>
      </c>
      <c r="X1579" s="200">
        <f ca="1">W1579*'Expenditure Study'!$B$31</f>
        <v>0</v>
      </c>
      <c r="Y1579" s="199">
        <f ca="1">U1579*'Expenditure Study'!$B$31</f>
        <v>0</v>
      </c>
      <c r="Z1579" s="200">
        <f ca="1">W1579*'Expenditure Study'!$B$31</f>
        <v>0</v>
      </c>
      <c r="AA1579" s="195">
        <f t="shared" ca="1" si="344"/>
        <v>0</v>
      </c>
      <c r="AB1579" s="195">
        <f t="shared" ca="1" si="345"/>
        <v>0</v>
      </c>
      <c r="AD1579" s="196">
        <f>IFERROR($G1579/SUMIF($A:$A,$A1579,$G:$G)*SUMIF(Summary!$A$166:$A$242,$A1579,Summary!$P$166:$P$242),0)</f>
        <v>0</v>
      </c>
      <c r="AE1579" s="197">
        <f t="shared" ca="1" si="346"/>
        <v>0</v>
      </c>
      <c r="AF1579" s="196">
        <f>IFERROR(G1579/SUMIF(A:A,A1579,G:G)*SUMIF(Summary!$A$166:$A$242,'Operations Support'!A1579,Summary!$Q$166:$Q$242),0)</f>
        <v>0</v>
      </c>
      <c r="AG1579" s="196">
        <f t="shared" ca="1" si="347"/>
        <v>0</v>
      </c>
      <c r="AI1579" s="196">
        <f>IFERROR($G1579/SUMIF($A:$A,$A1579,$G:$G)*SUMIF(Summary!$A$247:$A$283,$A1579,Summary!$P$247:$P$283),0)</f>
        <v>0</v>
      </c>
      <c r="AJ1579" s="196">
        <f>IFERROR($G1579/SUMIF($A:$A,$A1579,$G:$G)*(SUMIF(Summary!$A$247:$A$283,$A1579,Summary!$L$247:$L$283)+SUMIF(Summary!$A$297:$A$333,$A1579,Summary!$L$297:$L$333))-AI1579,0)</f>
        <v>0</v>
      </c>
      <c r="AK1579" s="196">
        <f>IFERROR($G1579/SUMIF($A:$A,$A1579,$G:$G)*SUMIF(Summary!$A$247:$A$283,$A1579,Summary!$Q$247:$Q$283),0)</f>
        <v>0</v>
      </c>
      <c r="AL1579" s="196">
        <f>IFERROR($G1579/SUMIF($A:$A,$A1579,$G:$G)*(SUMIF(Summary!$A$247:$A$283,$A1579,Summary!$L$247:$L$283)+SUMIF(Summary!$A$297:$A$333,$A1579,Summary!$L$297:$L$333))-AK1579,0)</f>
        <v>0</v>
      </c>
      <c r="AM1579" s="198"/>
      <c r="AN1579" s="196">
        <f t="shared" ca="1" si="348"/>
        <v>0</v>
      </c>
      <c r="AO1579" s="196">
        <f t="shared" ca="1" si="349"/>
        <v>0</v>
      </c>
    </row>
    <row r="1580" spans="1:41" s="201" customFormat="1">
      <c r="A1580" s="189">
        <v>3642</v>
      </c>
      <c r="B1580" s="190">
        <v>1</v>
      </c>
      <c r="C1580" s="191" t="s">
        <v>220</v>
      </c>
      <c r="D1580" s="192">
        <f t="shared" si="336"/>
        <v>17295.5</v>
      </c>
      <c r="E1580" s="192">
        <f t="shared" si="337"/>
        <v>55581.5</v>
      </c>
      <c r="F1580" s="192">
        <f t="shared" si="338"/>
        <v>0</v>
      </c>
      <c r="G1580" s="193">
        <f t="shared" si="339"/>
        <v>72877</v>
      </c>
      <c r="H1580" s="194">
        <v>6223.5</v>
      </c>
      <c r="I1580" s="194">
        <v>24381.5</v>
      </c>
      <c r="J1580" s="194">
        <v>0</v>
      </c>
      <c r="K1580" s="193">
        <f t="shared" si="340"/>
        <v>30605</v>
      </c>
      <c r="L1580" s="194">
        <v>9666</v>
      </c>
      <c r="M1580" s="194">
        <v>29415</v>
      </c>
      <c r="N1580" s="194">
        <v>0</v>
      </c>
      <c r="O1580" s="193">
        <f t="shared" si="341"/>
        <v>39081</v>
      </c>
      <c r="P1580" s="194">
        <v>1406</v>
      </c>
      <c r="Q1580" s="194">
        <v>1785</v>
      </c>
      <c r="R1580" s="194">
        <v>0</v>
      </c>
      <c r="S1580" s="193">
        <f t="shared" si="342"/>
        <v>3191</v>
      </c>
      <c r="T1580" s="193">
        <f t="shared" si="343"/>
        <v>2429.2333333333331</v>
      </c>
      <c r="U1580" s="193">
        <f ca="1">OFFSET('Expenditure Study'!$B$7,'Operations Support'!$C1580,'Operations Support'!$B1580)*$G1580</f>
        <v>72877</v>
      </c>
      <c r="V1580" s="199">
        <f ca="1">U1580*'Expenditure Study'!$B$31</f>
        <v>4305804.9671616005</v>
      </c>
      <c r="W1580" s="199">
        <f ca="1">IF(A1580=10298,1.51,1)*IF($B1580&lt;3,$D1580*'Expenditure Study'!$B$32*OFFSET('Expenditure Study'!$B$7,'Operations Support'!$C1580,'Operations Support'!$B1580),0)</f>
        <v>1729.5500000000002</v>
      </c>
      <c r="X1580" s="200">
        <f ca="1">W1580*'Expenditure Study'!$B$31</f>
        <v>102187.31535264001</v>
      </c>
      <c r="Y1580" s="199">
        <f ca="1">U1580*'Expenditure Study'!$B$31</f>
        <v>4305804.9671616005</v>
      </c>
      <c r="Z1580" s="200">
        <f ca="1">W1580*'Expenditure Study'!$B$31</f>
        <v>102187.31535264001</v>
      </c>
      <c r="AA1580" s="195">
        <f t="shared" ca="1" si="344"/>
        <v>4407992.2825142406</v>
      </c>
      <c r="AB1580" s="195">
        <f t="shared" ca="1" si="345"/>
        <v>4407992.2825142406</v>
      </c>
      <c r="AD1580" s="196">
        <f>IFERROR($G1580/SUMIF($A:$A,$A1580,$G:$G)*SUMIF(Summary!$A$166:$A$242,$A1580,Summary!$P$166:$P$242),0)</f>
        <v>4379263.3470175406</v>
      </c>
      <c r="AE1580" s="197">
        <f t="shared" ca="1" si="346"/>
        <v>28728.935496699996</v>
      </c>
      <c r="AF1580" s="196">
        <f>IFERROR(G1580/SUMIF(A:A,A1580,G:G)*SUMIF(Summary!$A$166:$A$242,'Operations Support'!A1580,Summary!$Q$166:$Q$242),0)</f>
        <v>4400056.2895394154</v>
      </c>
      <c r="AG1580" s="196">
        <f t="shared" ca="1" si="347"/>
        <v>7935.9929748252034</v>
      </c>
      <c r="AH1580" s="180"/>
      <c r="AI1580" s="196">
        <f>IFERROR($G1580/SUMIF($A:$A,$A1580,$G:$G)*SUMIF(Summary!$A$247:$A$283,$A1580,Summary!$P$247:$P$283),0)</f>
        <v>798668.3511973524</v>
      </c>
      <c r="AJ1580" s="196">
        <f>IFERROR($G1580/SUMIF($A:$A,$A1580,$G:$G)*(SUMIF(Summary!$A$247:$A$283,$A1580,Summary!$L$247:$L$283)+SUMIF(Summary!$A$297:$A$333,$A1580,Summary!$L$297:$L$333))-AI1580,0)</f>
        <v>1488754.7456708562</v>
      </c>
      <c r="AK1580" s="196">
        <f>IFERROR($G1580/SUMIF($A:$A,$A1580,$G:$G)*SUMIF(Summary!$A$247:$A$283,$A1580,Summary!$Q$247:$Q$283),0)</f>
        <v>802460.46503124572</v>
      </c>
      <c r="AL1580" s="196">
        <f>IFERROR($G1580/SUMIF($A:$A,$A1580,$G:$G)*(SUMIF(Summary!$A$247:$A$283,$A1580,Summary!$L$247:$L$283)+SUMIF(Summary!$A$297:$A$333,$A1580,Summary!$L$297:$L$333))-AK1580,0)</f>
        <v>1484962.6318369629</v>
      </c>
      <c r="AM1580" s="198"/>
      <c r="AN1580" s="196">
        <f t="shared" ca="1" si="348"/>
        <v>1517483.6811675562</v>
      </c>
      <c r="AO1580" s="196">
        <f t="shared" ca="1" si="349"/>
        <v>1492898.6248117881</v>
      </c>
    </row>
    <row r="1581" spans="1:41">
      <c r="A1581" s="189">
        <v>3642</v>
      </c>
      <c r="B1581" s="190">
        <v>1</v>
      </c>
      <c r="C1581" s="191" t="s">
        <v>221</v>
      </c>
      <c r="D1581" s="192">
        <f t="shared" si="336"/>
        <v>8492.5800000000309</v>
      </c>
      <c r="E1581" s="192">
        <f t="shared" si="337"/>
        <v>14095.419999999991</v>
      </c>
      <c r="F1581" s="192">
        <f t="shared" si="338"/>
        <v>0</v>
      </c>
      <c r="G1581" s="193">
        <f t="shared" si="339"/>
        <v>22588.000000000022</v>
      </c>
      <c r="H1581" s="194">
        <v>2954</v>
      </c>
      <c r="I1581" s="194">
        <v>6142</v>
      </c>
      <c r="J1581" s="194">
        <v>0</v>
      </c>
      <c r="K1581" s="193">
        <f t="shared" si="340"/>
        <v>9096</v>
      </c>
      <c r="L1581" s="194">
        <v>5111.5800000000299</v>
      </c>
      <c r="M1581" s="194">
        <v>7870.4199999999901</v>
      </c>
      <c r="N1581" s="194">
        <v>0</v>
      </c>
      <c r="O1581" s="193">
        <f t="shared" si="341"/>
        <v>12982.00000000002</v>
      </c>
      <c r="P1581" s="194">
        <v>427</v>
      </c>
      <c r="Q1581" s="194">
        <v>83</v>
      </c>
      <c r="R1581" s="194">
        <v>0</v>
      </c>
      <c r="S1581" s="193">
        <f t="shared" si="342"/>
        <v>510</v>
      </c>
      <c r="T1581" s="193">
        <f t="shared" si="343"/>
        <v>752.93333333333408</v>
      </c>
      <c r="U1581" s="193">
        <f ca="1">OFFSET('Expenditure Study'!$B$7,'Operations Support'!$C1581,'Operations Support'!$B1581)*$G1581</f>
        <v>30267.920000000031</v>
      </c>
      <c r="V1581" s="199">
        <f ca="1">U1581*'Expenditure Study'!$B$31</f>
        <v>1788324.9897999379</v>
      </c>
      <c r="W1581" s="199">
        <f ca="1">IF(A1581=10298,1.51,1)*IF($B1581&lt;3,$D1581*'Expenditure Study'!$B$32*OFFSET('Expenditure Study'!$B$7,'Operations Support'!$C1581,'Operations Support'!$B1581),0)</f>
        <v>1138.0057200000042</v>
      </c>
      <c r="X1581" s="200">
        <f ca="1">W1581*'Expenditure Study'!$B$31</f>
        <v>67236.997706194423</v>
      </c>
      <c r="Y1581" s="199">
        <f ca="1">U1581*'Expenditure Study'!$B$31</f>
        <v>1788324.9897999379</v>
      </c>
      <c r="Z1581" s="200">
        <f ca="1">W1581*'Expenditure Study'!$B$31</f>
        <v>67236.997706194423</v>
      </c>
      <c r="AA1581" s="195">
        <f t="shared" ca="1" si="344"/>
        <v>1855561.9875061323</v>
      </c>
      <c r="AB1581" s="195">
        <f t="shared" ca="1" si="345"/>
        <v>1855561.9875061323</v>
      </c>
      <c r="AD1581" s="196">
        <f>IFERROR($G1581/SUMIF($A:$A,$A1581,$G:$G)*SUMIF(Summary!$A$166:$A$242,$A1581,Summary!$P$166:$P$242),0)</f>
        <v>1357339.0847926275</v>
      </c>
      <c r="AE1581" s="197">
        <f t="shared" ca="1" si="346"/>
        <v>498222.90271350485</v>
      </c>
      <c r="AF1581" s="196">
        <f>IFERROR(G1581/SUMIF(A:A,A1581,G:G)*SUMIF(Summary!$A$166:$A$242,'Operations Support'!A1581,Summary!$Q$166:$Q$242),0)</f>
        <v>1363783.7928031671</v>
      </c>
      <c r="AG1581" s="196">
        <f t="shared" ca="1" si="347"/>
        <v>491778.19470296521</v>
      </c>
      <c r="AI1581" s="196">
        <f>IFERROR($G1581/SUMIF($A:$A,$A1581,$G:$G)*SUMIF(Summary!$A$247:$A$283,$A1581,Summary!$P$247:$P$283),0)</f>
        <v>247544.77704688467</v>
      </c>
      <c r="AJ1581" s="196">
        <f>IFERROR($G1581/SUMIF($A:$A,$A1581,$G:$G)*(SUMIF(Summary!$A$247:$A$283,$A1581,Summary!$L$247:$L$283)+SUMIF(Summary!$A$297:$A$333,$A1581,Summary!$L$297:$L$333))-AI1581,0)</f>
        <v>461434.9135559001</v>
      </c>
      <c r="AK1581" s="196">
        <f>IFERROR($G1581/SUMIF($A:$A,$A1581,$G:$G)*SUMIF(Summary!$A$247:$A$283,$A1581,Summary!$Q$247:$Q$283),0)</f>
        <v>248720.13096211146</v>
      </c>
      <c r="AL1581" s="196">
        <f>IFERROR($G1581/SUMIF($A:$A,$A1581,$G:$G)*(SUMIF(Summary!$A$247:$A$283,$A1581,Summary!$L$247:$L$283)+SUMIF(Summary!$A$297:$A$333,$A1581,Summary!$L$297:$L$333))-AK1581,0)</f>
        <v>460259.55964067328</v>
      </c>
      <c r="AM1581" s="198"/>
      <c r="AN1581" s="196">
        <f t="shared" ca="1" si="348"/>
        <v>959657.81626940495</v>
      </c>
      <c r="AO1581" s="196">
        <f t="shared" ca="1" si="349"/>
        <v>952037.75434363843</v>
      </c>
    </row>
    <row r="1582" spans="1:41">
      <c r="A1582" s="189">
        <v>3642</v>
      </c>
      <c r="B1582" s="190">
        <v>1</v>
      </c>
      <c r="C1582" s="191" t="s">
        <v>222</v>
      </c>
      <c r="D1582" s="192">
        <f t="shared" si="336"/>
        <v>2751.75</v>
      </c>
      <c r="E1582" s="192">
        <f t="shared" si="337"/>
        <v>4200.25</v>
      </c>
      <c r="F1582" s="192">
        <f t="shared" si="338"/>
        <v>0</v>
      </c>
      <c r="G1582" s="193">
        <f t="shared" si="339"/>
        <v>6952</v>
      </c>
      <c r="H1582" s="194">
        <v>1171.75</v>
      </c>
      <c r="I1582" s="194">
        <v>1904.25</v>
      </c>
      <c r="J1582" s="194">
        <v>0</v>
      </c>
      <c r="K1582" s="193">
        <f t="shared" si="340"/>
        <v>3076</v>
      </c>
      <c r="L1582" s="194">
        <v>1316</v>
      </c>
      <c r="M1582" s="194">
        <v>2263</v>
      </c>
      <c r="N1582" s="194">
        <v>0</v>
      </c>
      <c r="O1582" s="193">
        <f t="shared" si="341"/>
        <v>3579</v>
      </c>
      <c r="P1582" s="194">
        <v>264</v>
      </c>
      <c r="Q1582" s="194">
        <v>33</v>
      </c>
      <c r="R1582" s="194">
        <v>0</v>
      </c>
      <c r="S1582" s="193">
        <f t="shared" si="342"/>
        <v>297</v>
      </c>
      <c r="T1582" s="193">
        <f t="shared" si="343"/>
        <v>231.73333333333332</v>
      </c>
      <c r="U1582" s="193">
        <f ca="1">OFFSET('Expenditure Study'!$B$7,'Operations Support'!$C1582,'Operations Support'!$B1582)*$G1582</f>
        <v>9524.2400000000016</v>
      </c>
      <c r="V1582" s="199">
        <f ca="1">U1582*'Expenditure Study'!$B$31</f>
        <v>562722.39390259213</v>
      </c>
      <c r="W1582" s="199">
        <f ca="1">IF(A1582=10298,1.51,1)*IF($B1582&lt;3,$D1582*'Expenditure Study'!$B$32*OFFSET('Expenditure Study'!$B$7,'Operations Support'!$C1582,'Operations Support'!$B1582),0)</f>
        <v>376.98975000000007</v>
      </c>
      <c r="X1582" s="200">
        <f ca="1">W1582*'Expenditure Study'!$B$31</f>
        <v>22273.753558996803</v>
      </c>
      <c r="Y1582" s="199">
        <f ca="1">U1582*'Expenditure Study'!$B$31</f>
        <v>562722.39390259213</v>
      </c>
      <c r="Z1582" s="200">
        <f ca="1">W1582*'Expenditure Study'!$B$31</f>
        <v>22273.753558996803</v>
      </c>
      <c r="AA1582" s="195">
        <f t="shared" ca="1" si="344"/>
        <v>584996.14746158896</v>
      </c>
      <c r="AB1582" s="195">
        <f t="shared" ca="1" si="345"/>
        <v>584996.14746158896</v>
      </c>
      <c r="AD1582" s="196">
        <f>IFERROR($G1582/SUMIF($A:$A,$A1582,$G:$G)*SUMIF(Summary!$A$166:$A$242,$A1582,Summary!$P$166:$P$242),0)</f>
        <v>417753.7328439143</v>
      </c>
      <c r="AE1582" s="197">
        <f t="shared" ca="1" si="346"/>
        <v>167242.41461767466</v>
      </c>
      <c r="AF1582" s="196">
        <f>IFERROR(G1582/SUMIF(A:A,A1582,G:G)*SUMIF(Summary!$A$166:$A$242,'Operations Support'!A1582,Summary!$Q$166:$Q$242),0)</f>
        <v>419737.24666051037</v>
      </c>
      <c r="AG1582" s="196">
        <f t="shared" ca="1" si="347"/>
        <v>165258.90080107859</v>
      </c>
      <c r="AI1582" s="196">
        <f>IFERROR($G1582/SUMIF($A:$A,$A1582,$G:$G)*SUMIF(Summary!$A$247:$A$283,$A1582,Summary!$P$247:$P$283),0)</f>
        <v>76187.855942533235</v>
      </c>
      <c r="AJ1582" s="196">
        <f>IFERROR($G1582/SUMIF($A:$A,$A1582,$G:$G)*(SUMIF(Summary!$A$247:$A$283,$A1582,Summary!$L$247:$L$283)+SUMIF(Summary!$A$297:$A$333,$A1582,Summary!$L$297:$L$333))-AI1582,0)</f>
        <v>142017.68722510245</v>
      </c>
      <c r="AK1582" s="196">
        <f>IFERROR($G1582/SUMIF($A:$A,$A1582,$G:$G)*SUMIF(Summary!$A$247:$A$283,$A1582,Summary!$Q$247:$Q$283),0)</f>
        <v>76549.599364644819</v>
      </c>
      <c r="AL1582" s="196">
        <f>IFERROR($G1582/SUMIF($A:$A,$A1582,$G:$G)*(SUMIF(Summary!$A$247:$A$283,$A1582,Summary!$L$247:$L$283)+SUMIF(Summary!$A$297:$A$333,$A1582,Summary!$L$297:$L$333))-AK1582,0)</f>
        <v>141655.94380299086</v>
      </c>
      <c r="AM1582" s="198"/>
      <c r="AN1582" s="196">
        <f t="shared" ca="1" si="348"/>
        <v>309260.10184277711</v>
      </c>
      <c r="AO1582" s="196">
        <f t="shared" ca="1" si="349"/>
        <v>306914.84460406948</v>
      </c>
    </row>
    <row r="1583" spans="1:41">
      <c r="A1583" s="189">
        <v>3642</v>
      </c>
      <c r="B1583" s="190">
        <v>1</v>
      </c>
      <c r="C1583" s="191" t="s">
        <v>223</v>
      </c>
      <c r="D1583" s="192">
        <f t="shared" si="336"/>
        <v>969</v>
      </c>
      <c r="E1583" s="192">
        <f t="shared" si="337"/>
        <v>1188</v>
      </c>
      <c r="F1583" s="192">
        <f t="shared" si="338"/>
        <v>0</v>
      </c>
      <c r="G1583" s="193">
        <f t="shared" si="339"/>
        <v>2157</v>
      </c>
      <c r="H1583" s="194">
        <v>441</v>
      </c>
      <c r="I1583" s="194">
        <v>607</v>
      </c>
      <c r="J1583" s="194">
        <v>0</v>
      </c>
      <c r="K1583" s="193">
        <f t="shared" si="340"/>
        <v>1048</v>
      </c>
      <c r="L1583" s="194">
        <v>471</v>
      </c>
      <c r="M1583" s="194">
        <v>581</v>
      </c>
      <c r="N1583" s="194">
        <v>0</v>
      </c>
      <c r="O1583" s="193">
        <f t="shared" si="341"/>
        <v>1052</v>
      </c>
      <c r="P1583" s="194">
        <v>57</v>
      </c>
      <c r="Q1583" s="194">
        <v>0</v>
      </c>
      <c r="R1583" s="194">
        <v>0</v>
      </c>
      <c r="S1583" s="193">
        <f t="shared" si="342"/>
        <v>57</v>
      </c>
      <c r="T1583" s="193">
        <f t="shared" si="343"/>
        <v>71.900000000000006</v>
      </c>
      <c r="U1583" s="193">
        <f ca="1">OFFSET('Expenditure Study'!$B$7,'Operations Support'!$C1583,'Operations Support'!$B1583)*$G1583</f>
        <v>2717.82</v>
      </c>
      <c r="V1583" s="199">
        <f ca="1">U1583*'Expenditure Study'!$B$31</f>
        <v>160577.45044185602</v>
      </c>
      <c r="W1583" s="199">
        <f ca="1">IF(A1583=10298,1.51,1)*IF($B1583&lt;3,$D1583*'Expenditure Study'!$B$32*OFFSET('Expenditure Study'!$B$7,'Operations Support'!$C1583,'Operations Support'!$B1583),0)</f>
        <v>122.09400000000001</v>
      </c>
      <c r="X1583" s="200">
        <f ca="1">W1583*'Expenditure Study'!$B$31</f>
        <v>7213.7018765952007</v>
      </c>
      <c r="Y1583" s="199">
        <f ca="1">U1583*'Expenditure Study'!$B$31</f>
        <v>160577.45044185602</v>
      </c>
      <c r="Z1583" s="200">
        <f ca="1">W1583*'Expenditure Study'!$B$31</f>
        <v>7213.7018765952007</v>
      </c>
      <c r="AA1583" s="195">
        <f t="shared" ca="1" si="344"/>
        <v>167791.15231845123</v>
      </c>
      <c r="AB1583" s="195">
        <f t="shared" ca="1" si="345"/>
        <v>167791.15231845123</v>
      </c>
      <c r="AD1583" s="196">
        <f>IFERROR($G1583/SUMIF($A:$A,$A1583,$G:$G)*SUMIF(Summary!$A$166:$A$242,$A1583,Summary!$P$166:$P$242),0)</f>
        <v>129616.62855931</v>
      </c>
      <c r="AE1583" s="197">
        <f t="shared" ca="1" si="346"/>
        <v>38174.52375914123</v>
      </c>
      <c r="AF1583" s="196">
        <f>IFERROR(G1583/SUMIF(A:A,A1583,G:G)*SUMIF(Summary!$A$166:$A$242,'Operations Support'!A1583,Summary!$Q$166:$Q$242),0)</f>
        <v>130232.05423571935</v>
      </c>
      <c r="AG1583" s="196">
        <f t="shared" ca="1" si="347"/>
        <v>37559.098082731885</v>
      </c>
      <c r="AI1583" s="196">
        <f>IFERROR($G1583/SUMIF($A:$A,$A1583,$G:$G)*SUMIF(Summary!$A$247:$A$283,$A1583,Summary!$P$247:$P$283),0)</f>
        <v>23638.838502307852</v>
      </c>
      <c r="AJ1583" s="196">
        <f>IFERROR($G1583/SUMIF($A:$A,$A1583,$G:$G)*(SUMIF(Summary!$A$247:$A$283,$A1583,Summary!$L$247:$L$283)+SUMIF(Summary!$A$297:$A$333,$A1583,Summary!$L$297:$L$333))-AI1583,0)</f>
        <v>44063.888283162545</v>
      </c>
      <c r="AK1583" s="196">
        <f>IFERROR($G1583/SUMIF($A:$A,$A1583,$G:$G)*SUMIF(Summary!$A$247:$A$283,$A1583,Summary!$Q$247:$Q$283),0)</f>
        <v>23751.076787908354</v>
      </c>
      <c r="AL1583" s="196">
        <f>IFERROR($G1583/SUMIF($A:$A,$A1583,$G:$G)*(SUMIF(Summary!$A$247:$A$283,$A1583,Summary!$L$247:$L$283)+SUMIF(Summary!$A$297:$A$333,$A1583,Summary!$L$297:$L$333))-AK1583,0)</f>
        <v>43951.649997562039</v>
      </c>
      <c r="AM1583" s="198"/>
      <c r="AN1583" s="196">
        <f t="shared" ca="1" si="348"/>
        <v>82238.412042303768</v>
      </c>
      <c r="AO1583" s="196">
        <f t="shared" ca="1" si="349"/>
        <v>81510.748080293924</v>
      </c>
    </row>
    <row r="1584" spans="1:41">
      <c r="A1584" s="189">
        <v>3642</v>
      </c>
      <c r="B1584" s="190">
        <v>1</v>
      </c>
      <c r="C1584" s="191" t="s">
        <v>224</v>
      </c>
      <c r="D1584" s="192">
        <f t="shared" si="336"/>
        <v>0</v>
      </c>
      <c r="E1584" s="192">
        <f t="shared" si="337"/>
        <v>0</v>
      </c>
      <c r="F1584" s="192">
        <f t="shared" si="338"/>
        <v>0</v>
      </c>
      <c r="G1584" s="193">
        <f t="shared" si="339"/>
        <v>0</v>
      </c>
      <c r="H1584" s="194">
        <v>0</v>
      </c>
      <c r="I1584" s="194">
        <v>0</v>
      </c>
      <c r="J1584" s="194">
        <v>0</v>
      </c>
      <c r="K1584" s="193">
        <f t="shared" si="340"/>
        <v>0</v>
      </c>
      <c r="L1584" s="194">
        <v>0</v>
      </c>
      <c r="M1584" s="194">
        <v>0</v>
      </c>
      <c r="N1584" s="194">
        <v>0</v>
      </c>
      <c r="O1584" s="193">
        <f t="shared" si="341"/>
        <v>0</v>
      </c>
      <c r="P1584" s="194">
        <v>0</v>
      </c>
      <c r="Q1584" s="194">
        <v>0</v>
      </c>
      <c r="R1584" s="194">
        <v>0</v>
      </c>
      <c r="S1584" s="193">
        <f t="shared" si="342"/>
        <v>0</v>
      </c>
      <c r="T1584" s="193">
        <f t="shared" si="343"/>
        <v>0</v>
      </c>
      <c r="U1584" s="193">
        <f ca="1">OFFSET('Expenditure Study'!$B$7,'Operations Support'!$C1584,'Operations Support'!$B1584)*$G1584</f>
        <v>0</v>
      </c>
      <c r="V1584" s="199">
        <f ca="1">U1584*'Expenditure Study'!$B$31</f>
        <v>0</v>
      </c>
      <c r="W1584" s="199">
        <f ca="1">IF(A1584=10298,1.51,1)*IF($B1584&lt;3,$D1584*'Expenditure Study'!$B$32*OFFSET('Expenditure Study'!$B$7,'Operations Support'!$C1584,'Operations Support'!$B1584),0)</f>
        <v>0</v>
      </c>
      <c r="X1584" s="200">
        <f ca="1">W1584*'Expenditure Study'!$B$31</f>
        <v>0</v>
      </c>
      <c r="Y1584" s="199">
        <f ca="1">U1584*'Expenditure Study'!$B$31</f>
        <v>0</v>
      </c>
      <c r="Z1584" s="200">
        <f ca="1">W1584*'Expenditure Study'!$B$31</f>
        <v>0</v>
      </c>
      <c r="AA1584" s="195">
        <f t="shared" ca="1" si="344"/>
        <v>0</v>
      </c>
      <c r="AB1584" s="195">
        <f t="shared" ca="1" si="345"/>
        <v>0</v>
      </c>
      <c r="AD1584" s="196">
        <f>IFERROR($G1584/SUMIF($A:$A,$A1584,$G:$G)*SUMIF(Summary!$A$166:$A$242,$A1584,Summary!$P$166:$P$242),0)</f>
        <v>0</v>
      </c>
      <c r="AE1584" s="197">
        <f t="shared" ca="1" si="346"/>
        <v>0</v>
      </c>
      <c r="AF1584" s="196">
        <f>IFERROR(G1584/SUMIF(A:A,A1584,G:G)*SUMIF(Summary!$A$166:$A$242,'Operations Support'!A1584,Summary!$Q$166:$Q$242),0)</f>
        <v>0</v>
      </c>
      <c r="AG1584" s="196">
        <f t="shared" ca="1" si="347"/>
        <v>0</v>
      </c>
      <c r="AI1584" s="196">
        <f>IFERROR($G1584/SUMIF($A:$A,$A1584,$G:$G)*SUMIF(Summary!$A$247:$A$283,$A1584,Summary!$P$247:$P$283),0)</f>
        <v>0</v>
      </c>
      <c r="AJ1584" s="196">
        <f>IFERROR($G1584/SUMIF($A:$A,$A1584,$G:$G)*(SUMIF(Summary!$A$247:$A$283,$A1584,Summary!$L$247:$L$283)+SUMIF(Summary!$A$297:$A$333,$A1584,Summary!$L$297:$L$333))-AI1584,0)</f>
        <v>0</v>
      </c>
      <c r="AK1584" s="196">
        <f>IFERROR($G1584/SUMIF($A:$A,$A1584,$G:$G)*SUMIF(Summary!$A$247:$A$283,$A1584,Summary!$Q$247:$Q$283),0)</f>
        <v>0</v>
      </c>
      <c r="AL1584" s="196">
        <f>IFERROR($G1584/SUMIF($A:$A,$A1584,$G:$G)*(SUMIF(Summary!$A$247:$A$283,$A1584,Summary!$L$247:$L$283)+SUMIF(Summary!$A$297:$A$333,$A1584,Summary!$L$297:$L$333))-AK1584,0)</f>
        <v>0</v>
      </c>
      <c r="AM1584" s="198"/>
      <c r="AN1584" s="196">
        <f t="shared" ca="1" si="348"/>
        <v>0</v>
      </c>
      <c r="AO1584" s="196">
        <f t="shared" ca="1" si="349"/>
        <v>0</v>
      </c>
    </row>
    <row r="1585" spans="1:41">
      <c r="A1585" s="189">
        <v>3642</v>
      </c>
      <c r="B1585" s="190">
        <v>1</v>
      </c>
      <c r="C1585" s="191" t="s">
        <v>225</v>
      </c>
      <c r="D1585" s="192">
        <f t="shared" si="336"/>
        <v>3771</v>
      </c>
      <c r="E1585" s="192">
        <f t="shared" si="337"/>
        <v>3337</v>
      </c>
      <c r="F1585" s="192">
        <f t="shared" si="338"/>
        <v>0</v>
      </c>
      <c r="G1585" s="193">
        <f t="shared" si="339"/>
        <v>7108</v>
      </c>
      <c r="H1585" s="194">
        <v>1363</v>
      </c>
      <c r="I1585" s="194">
        <v>1768</v>
      </c>
      <c r="J1585" s="194">
        <v>0</v>
      </c>
      <c r="K1585" s="193">
        <f t="shared" si="340"/>
        <v>3131</v>
      </c>
      <c r="L1585" s="194">
        <v>2201</v>
      </c>
      <c r="M1585" s="194">
        <v>1521</v>
      </c>
      <c r="N1585" s="194">
        <v>0</v>
      </c>
      <c r="O1585" s="193">
        <f t="shared" si="341"/>
        <v>3722</v>
      </c>
      <c r="P1585" s="194">
        <v>207</v>
      </c>
      <c r="Q1585" s="194">
        <v>48</v>
      </c>
      <c r="R1585" s="194">
        <v>0</v>
      </c>
      <c r="S1585" s="193">
        <f t="shared" si="342"/>
        <v>255</v>
      </c>
      <c r="T1585" s="193">
        <f t="shared" si="343"/>
        <v>236.93333333333334</v>
      </c>
      <c r="U1585" s="193">
        <f ca="1">OFFSET('Expenditure Study'!$B$7,'Operations Support'!$C1585,'Operations Support'!$B1585)*$G1585</f>
        <v>12510.08</v>
      </c>
      <c r="V1585" s="199">
        <f ca="1">U1585*'Expenditure Study'!$B$31</f>
        <v>739135.31846246403</v>
      </c>
      <c r="W1585" s="199">
        <f ca="1">IF(A1585=10298,1.51,1)*IF($B1585&lt;3,$D1585*'Expenditure Study'!$B$32*OFFSET('Expenditure Study'!$B$7,'Operations Support'!$C1585,'Operations Support'!$B1585),0)</f>
        <v>663.69600000000003</v>
      </c>
      <c r="X1585" s="200">
        <f ca="1">W1585*'Expenditure Study'!$B$31</f>
        <v>39213.270764236804</v>
      </c>
      <c r="Y1585" s="199">
        <f ca="1">U1585*'Expenditure Study'!$B$31</f>
        <v>739135.31846246403</v>
      </c>
      <c r="Z1585" s="200">
        <f ca="1">W1585*'Expenditure Study'!$B$31</f>
        <v>39213.270764236804</v>
      </c>
      <c r="AA1585" s="195">
        <f t="shared" ca="1" si="344"/>
        <v>778348.58922670083</v>
      </c>
      <c r="AB1585" s="195">
        <f t="shared" ca="1" si="345"/>
        <v>778348.58922670083</v>
      </c>
      <c r="AD1585" s="196">
        <f>IFERROR($G1585/SUMIF($A:$A,$A1585,$G:$G)*SUMIF(Summary!$A$166:$A$242,$A1585,Summary!$P$166:$P$242),0)</f>
        <v>427127.9535463957</v>
      </c>
      <c r="AE1585" s="197">
        <f t="shared" ca="1" si="346"/>
        <v>351220.63568030513</v>
      </c>
      <c r="AF1585" s="196">
        <f>IFERROR(G1585/SUMIF(A:A,A1585,G:G)*SUMIF(Summary!$A$166:$A$242,'Operations Support'!A1585,Summary!$Q$166:$Q$242),0)</f>
        <v>429155.97659132734</v>
      </c>
      <c r="AG1585" s="196">
        <f t="shared" ca="1" si="347"/>
        <v>349192.61263537349</v>
      </c>
      <c r="AI1585" s="196">
        <f>IFERROR($G1585/SUMIF($A:$A,$A1585,$G:$G)*SUMIF(Summary!$A$247:$A$283,$A1585,Summary!$P$247:$P$283),0)</f>
        <v>77897.47986759583</v>
      </c>
      <c r="AJ1585" s="196">
        <f>IFERROR($G1585/SUMIF($A:$A,$A1585,$G:$G)*(SUMIF(Summary!$A$247:$A$283,$A1585,Summary!$L$247:$L$283)+SUMIF(Summary!$A$297:$A$333,$A1585,Summary!$L$297:$L$333))-AI1585,0)</f>
        <v>145204.50529286943</v>
      </c>
      <c r="AK1585" s="196">
        <f>IFERROR($G1585/SUMIF($A:$A,$A1585,$G:$G)*SUMIF(Summary!$A$247:$A$283,$A1585,Summary!$Q$247:$Q$283),0)</f>
        <v>78267.340662240415</v>
      </c>
      <c r="AL1585" s="196">
        <f>IFERROR($G1585/SUMIF($A:$A,$A1585,$G:$G)*(SUMIF(Summary!$A$247:$A$283,$A1585,Summary!$L$247:$L$283)+SUMIF(Summary!$A$297:$A$333,$A1585,Summary!$L$297:$L$333))-AK1585,0)</f>
        <v>144834.64449822484</v>
      </c>
      <c r="AM1585" s="198"/>
      <c r="AN1585" s="196">
        <f t="shared" ca="1" si="348"/>
        <v>496425.1409731746</v>
      </c>
      <c r="AO1585" s="196">
        <f t="shared" ca="1" si="349"/>
        <v>494027.25713359832</v>
      </c>
    </row>
    <row r="1586" spans="1:41">
      <c r="A1586" s="189">
        <v>3642</v>
      </c>
      <c r="B1586" s="190">
        <v>1</v>
      </c>
      <c r="C1586" s="191" t="s">
        <v>226</v>
      </c>
      <c r="D1586" s="192">
        <f t="shared" si="336"/>
        <v>226</v>
      </c>
      <c r="E1586" s="192">
        <f t="shared" si="337"/>
        <v>524</v>
      </c>
      <c r="F1586" s="192">
        <f t="shared" si="338"/>
        <v>0</v>
      </c>
      <c r="G1586" s="193">
        <f t="shared" si="339"/>
        <v>750</v>
      </c>
      <c r="H1586" s="194">
        <v>144</v>
      </c>
      <c r="I1586" s="194">
        <v>256</v>
      </c>
      <c r="J1586" s="194">
        <v>0</v>
      </c>
      <c r="K1586" s="193">
        <f t="shared" si="340"/>
        <v>400</v>
      </c>
      <c r="L1586" s="194">
        <v>82</v>
      </c>
      <c r="M1586" s="194">
        <v>268</v>
      </c>
      <c r="N1586" s="194">
        <v>0</v>
      </c>
      <c r="O1586" s="193">
        <f t="shared" si="341"/>
        <v>350</v>
      </c>
      <c r="P1586" s="194">
        <v>0</v>
      </c>
      <c r="Q1586" s="194">
        <v>0</v>
      </c>
      <c r="R1586" s="194">
        <v>0</v>
      </c>
      <c r="S1586" s="193">
        <f t="shared" si="342"/>
        <v>0</v>
      </c>
      <c r="T1586" s="193">
        <f t="shared" si="343"/>
        <v>25</v>
      </c>
      <c r="U1586" s="193">
        <f ca="1">OFFSET('Expenditure Study'!$B$7,'Operations Support'!$C1586,'Operations Support'!$B1586)*$G1586</f>
        <v>712.5</v>
      </c>
      <c r="V1586" s="199">
        <f ca="1">U1586*'Expenditure Study'!$B$31</f>
        <v>42096.766320000002</v>
      </c>
      <c r="W1586" s="199">
        <f ca="1">IF(A1586=10298,1.51,1)*IF($B1586&lt;3,$D1586*'Expenditure Study'!$B$32*OFFSET('Expenditure Study'!$B$7,'Operations Support'!$C1586,'Operations Support'!$B1586),0)</f>
        <v>21.47</v>
      </c>
      <c r="X1586" s="200">
        <f ca="1">W1586*'Expenditure Study'!$B$31</f>
        <v>1268.515891776</v>
      </c>
      <c r="Y1586" s="199">
        <f ca="1">U1586*'Expenditure Study'!$B$31</f>
        <v>42096.766320000002</v>
      </c>
      <c r="Z1586" s="200">
        <f ca="1">W1586*'Expenditure Study'!$B$31</f>
        <v>1268.515891776</v>
      </c>
      <c r="AA1586" s="195">
        <f t="shared" ca="1" si="344"/>
        <v>43365.282211776001</v>
      </c>
      <c r="AB1586" s="195">
        <f t="shared" ca="1" si="345"/>
        <v>43365.282211776001</v>
      </c>
      <c r="AD1586" s="196">
        <f>IFERROR($G1586/SUMIF($A:$A,$A1586,$G:$G)*SUMIF(Summary!$A$166:$A$242,$A1586,Summary!$P$166:$P$242),0)</f>
        <v>45068.368761929763</v>
      </c>
      <c r="AE1586" s="197">
        <f t="shared" ca="1" si="346"/>
        <v>-1703.0865501537628</v>
      </c>
      <c r="AF1586" s="196">
        <f>IFERROR(G1586/SUMIF(A:A,A1586,G:G)*SUMIF(Summary!$A$166:$A$242,'Operations Support'!A1586,Summary!$Q$166:$Q$242),0)</f>
        <v>45282.355436620077</v>
      </c>
      <c r="AG1586" s="196">
        <f t="shared" ca="1" si="347"/>
        <v>-1917.0732248440763</v>
      </c>
      <c r="AI1586" s="196">
        <f>IFERROR($G1586/SUMIF($A:$A,$A1586,$G:$G)*SUMIF(Summary!$A$247:$A$283,$A1586,Summary!$P$247:$P$283),0)</f>
        <v>8219.3457935701845</v>
      </c>
      <c r="AJ1586" s="196">
        <f>IFERROR($G1586/SUMIF($A:$A,$A1586,$G:$G)*(SUMIF(Summary!$A$247:$A$283,$A1586,Summary!$L$247:$L$283)+SUMIF(Summary!$A$297:$A$333,$A1586,Summary!$L$297:$L$333))-AI1586,0)</f>
        <v>15321.240710418129</v>
      </c>
      <c r="AK1586" s="196">
        <f>IFERROR($G1586/SUMIF($A:$A,$A1586,$G:$G)*SUMIF(Summary!$A$247:$A$283,$A1586,Summary!$Q$247:$Q$283),0)</f>
        <v>8258.3716230557548</v>
      </c>
      <c r="AL1586" s="196">
        <f>IFERROR($G1586/SUMIF($A:$A,$A1586,$G:$G)*(SUMIF(Summary!$A$247:$A$283,$A1586,Summary!$L$247:$L$283)+SUMIF(Summary!$A$297:$A$333,$A1586,Summary!$L$297:$L$333))-AK1586,0)</f>
        <v>15282.214880932559</v>
      </c>
      <c r="AM1586" s="198"/>
      <c r="AN1586" s="196">
        <f t="shared" ca="1" si="348"/>
        <v>13618.154160264367</v>
      </c>
      <c r="AO1586" s="196">
        <f t="shared" ca="1" si="349"/>
        <v>13365.141656088483</v>
      </c>
    </row>
    <row r="1587" spans="1:41">
      <c r="A1587" s="189">
        <v>3642</v>
      </c>
      <c r="B1587" s="190">
        <v>1</v>
      </c>
      <c r="C1587" s="191" t="s">
        <v>227</v>
      </c>
      <c r="D1587" s="192">
        <f t="shared" si="336"/>
        <v>0</v>
      </c>
      <c r="E1587" s="192">
        <f t="shared" si="337"/>
        <v>0</v>
      </c>
      <c r="F1587" s="192">
        <f t="shared" si="338"/>
        <v>0</v>
      </c>
      <c r="G1587" s="193">
        <f t="shared" si="339"/>
        <v>0</v>
      </c>
      <c r="H1587" s="194">
        <v>0</v>
      </c>
      <c r="I1587" s="194">
        <v>0</v>
      </c>
      <c r="J1587" s="194">
        <v>0</v>
      </c>
      <c r="K1587" s="193">
        <f t="shared" si="340"/>
        <v>0</v>
      </c>
      <c r="L1587" s="194">
        <v>0</v>
      </c>
      <c r="M1587" s="194">
        <v>0</v>
      </c>
      <c r="N1587" s="194">
        <v>0</v>
      </c>
      <c r="O1587" s="193">
        <f t="shared" si="341"/>
        <v>0</v>
      </c>
      <c r="P1587" s="194">
        <v>0</v>
      </c>
      <c r="Q1587" s="194">
        <v>0</v>
      </c>
      <c r="R1587" s="194">
        <v>0</v>
      </c>
      <c r="S1587" s="193">
        <f t="shared" si="342"/>
        <v>0</v>
      </c>
      <c r="T1587" s="193">
        <f t="shared" si="343"/>
        <v>0</v>
      </c>
      <c r="U1587" s="193">
        <f ca="1">OFFSET('Expenditure Study'!$B$7,'Operations Support'!$C1587,'Operations Support'!$B1587)*$G1587</f>
        <v>0</v>
      </c>
      <c r="V1587" s="199">
        <f ca="1">U1587*'Expenditure Study'!$B$31</f>
        <v>0</v>
      </c>
      <c r="W1587" s="199">
        <f ca="1">IF(A1587=10298,1.51,1)*IF($B1587&lt;3,$D1587*'Expenditure Study'!$B$32*OFFSET('Expenditure Study'!$B$7,'Operations Support'!$C1587,'Operations Support'!$B1587),0)</f>
        <v>0</v>
      </c>
      <c r="X1587" s="200">
        <f ca="1">W1587*'Expenditure Study'!$B$31</f>
        <v>0</v>
      </c>
      <c r="Y1587" s="199">
        <f ca="1">U1587*'Expenditure Study'!$B$31</f>
        <v>0</v>
      </c>
      <c r="Z1587" s="200">
        <f ca="1">W1587*'Expenditure Study'!$B$31</f>
        <v>0</v>
      </c>
      <c r="AA1587" s="195">
        <f t="shared" ca="1" si="344"/>
        <v>0</v>
      </c>
      <c r="AB1587" s="195">
        <f t="shared" ca="1" si="345"/>
        <v>0</v>
      </c>
      <c r="AD1587" s="196">
        <f>IFERROR($G1587/SUMIF($A:$A,$A1587,$G:$G)*SUMIF(Summary!$A$166:$A$242,$A1587,Summary!$P$166:$P$242),0)</f>
        <v>0</v>
      </c>
      <c r="AE1587" s="197">
        <f t="shared" ca="1" si="346"/>
        <v>0</v>
      </c>
      <c r="AF1587" s="196">
        <f>IFERROR(G1587/SUMIF(A:A,A1587,G:G)*SUMIF(Summary!$A$166:$A$242,'Operations Support'!A1587,Summary!$Q$166:$Q$242),0)</f>
        <v>0</v>
      </c>
      <c r="AG1587" s="196">
        <f t="shared" ca="1" si="347"/>
        <v>0</v>
      </c>
      <c r="AI1587" s="196">
        <f>IFERROR($G1587/SUMIF($A:$A,$A1587,$G:$G)*SUMIF(Summary!$A$247:$A$283,$A1587,Summary!$P$247:$P$283),0)</f>
        <v>0</v>
      </c>
      <c r="AJ1587" s="196">
        <f>IFERROR($G1587/SUMIF($A:$A,$A1587,$G:$G)*(SUMIF(Summary!$A$247:$A$283,$A1587,Summary!$L$247:$L$283)+SUMIF(Summary!$A$297:$A$333,$A1587,Summary!$L$297:$L$333))-AI1587,0)</f>
        <v>0</v>
      </c>
      <c r="AK1587" s="196">
        <f>IFERROR($G1587/SUMIF($A:$A,$A1587,$G:$G)*SUMIF(Summary!$A$247:$A$283,$A1587,Summary!$Q$247:$Q$283),0)</f>
        <v>0</v>
      </c>
      <c r="AL1587" s="196">
        <f>IFERROR($G1587/SUMIF($A:$A,$A1587,$G:$G)*(SUMIF(Summary!$A$247:$A$283,$A1587,Summary!$L$247:$L$283)+SUMIF(Summary!$A$297:$A$333,$A1587,Summary!$L$297:$L$333))-AK1587,0)</f>
        <v>0</v>
      </c>
      <c r="AM1587" s="198"/>
      <c r="AN1587" s="196">
        <f t="shared" ca="1" si="348"/>
        <v>0</v>
      </c>
      <c r="AO1587" s="196">
        <f t="shared" ca="1" si="349"/>
        <v>0</v>
      </c>
    </row>
    <row r="1588" spans="1:41">
      <c r="A1588" s="189">
        <v>3642</v>
      </c>
      <c r="B1588" s="190">
        <v>1</v>
      </c>
      <c r="C1588" s="191" t="s">
        <v>228</v>
      </c>
      <c r="D1588" s="192">
        <f t="shared" si="336"/>
        <v>525</v>
      </c>
      <c r="E1588" s="192">
        <f t="shared" si="337"/>
        <v>279</v>
      </c>
      <c r="F1588" s="192">
        <f t="shared" si="338"/>
        <v>0</v>
      </c>
      <c r="G1588" s="193">
        <f t="shared" si="339"/>
        <v>804</v>
      </c>
      <c r="H1588" s="194">
        <v>150</v>
      </c>
      <c r="I1588" s="194">
        <v>135</v>
      </c>
      <c r="J1588" s="194">
        <v>0</v>
      </c>
      <c r="K1588" s="193">
        <f t="shared" si="340"/>
        <v>285</v>
      </c>
      <c r="L1588" s="194">
        <v>375</v>
      </c>
      <c r="M1588" s="194">
        <v>144</v>
      </c>
      <c r="N1588" s="194">
        <v>0</v>
      </c>
      <c r="O1588" s="193">
        <f t="shared" si="341"/>
        <v>519</v>
      </c>
      <c r="P1588" s="194">
        <v>0</v>
      </c>
      <c r="Q1588" s="194">
        <v>0</v>
      </c>
      <c r="R1588" s="194">
        <v>0</v>
      </c>
      <c r="S1588" s="193">
        <f t="shared" si="342"/>
        <v>0</v>
      </c>
      <c r="T1588" s="193">
        <f t="shared" si="343"/>
        <v>26.8</v>
      </c>
      <c r="U1588" s="193">
        <f ca="1">OFFSET('Expenditure Study'!$B$7,'Operations Support'!$C1588,'Operations Support'!$B1588)*$G1588</f>
        <v>1270.3200000000002</v>
      </c>
      <c r="V1588" s="199">
        <f ca="1">U1588*'Expenditure Study'!$B$31</f>
        <v>75054.546233856017</v>
      </c>
      <c r="W1588" s="199">
        <f ca="1">IF(A1588=10298,1.51,1)*IF($B1588&lt;3,$D1588*'Expenditure Study'!$B$32*OFFSET('Expenditure Study'!$B$7,'Operations Support'!$C1588,'Operations Support'!$B1588),0)</f>
        <v>82.95</v>
      </c>
      <c r="X1588" s="200">
        <f ca="1">W1588*'Expenditure Study'!$B$31</f>
        <v>4900.9498473600006</v>
      </c>
      <c r="Y1588" s="199">
        <f ca="1">U1588*'Expenditure Study'!$B$31</f>
        <v>75054.546233856017</v>
      </c>
      <c r="Z1588" s="200">
        <f ca="1">W1588*'Expenditure Study'!$B$31</f>
        <v>4900.9498473600006</v>
      </c>
      <c r="AA1588" s="195">
        <f t="shared" ca="1" si="344"/>
        <v>79955.496081216013</v>
      </c>
      <c r="AB1588" s="195">
        <f t="shared" ca="1" si="345"/>
        <v>79955.496081216013</v>
      </c>
      <c r="AD1588" s="196">
        <f>IFERROR($G1588/SUMIF($A:$A,$A1588,$G:$G)*SUMIF(Summary!$A$166:$A$242,$A1588,Summary!$P$166:$P$242),0)</f>
        <v>48313.291312788708</v>
      </c>
      <c r="AE1588" s="197">
        <f t="shared" ca="1" si="346"/>
        <v>31642.204768427306</v>
      </c>
      <c r="AF1588" s="196">
        <f>IFERROR(G1588/SUMIF(A:A,A1588,G:G)*SUMIF(Summary!$A$166:$A$242,'Operations Support'!A1588,Summary!$Q$166:$Q$242),0)</f>
        <v>48542.685028056723</v>
      </c>
      <c r="AG1588" s="196">
        <f t="shared" ca="1" si="347"/>
        <v>31412.81105315929</v>
      </c>
      <c r="AI1588" s="196">
        <f>IFERROR($G1588/SUMIF($A:$A,$A1588,$G:$G)*SUMIF(Summary!$A$247:$A$283,$A1588,Summary!$P$247:$P$283),0)</f>
        <v>8811.1386907072374</v>
      </c>
      <c r="AJ1588" s="196">
        <f>IFERROR($G1588/SUMIF($A:$A,$A1588,$G:$G)*(SUMIF(Summary!$A$247:$A$283,$A1588,Summary!$L$247:$L$283)+SUMIF(Summary!$A$297:$A$333,$A1588,Summary!$L$297:$L$333))-AI1588,0)</f>
        <v>16424.370041568236</v>
      </c>
      <c r="AK1588" s="196">
        <f>IFERROR($G1588/SUMIF($A:$A,$A1588,$G:$G)*SUMIF(Summary!$A$247:$A$283,$A1588,Summary!$Q$247:$Q$283),0)</f>
        <v>8852.9743799157695</v>
      </c>
      <c r="AL1588" s="196">
        <f>IFERROR($G1588/SUMIF($A:$A,$A1588,$G:$G)*(SUMIF(Summary!$A$247:$A$283,$A1588,Summary!$L$247:$L$283)+SUMIF(Summary!$A$297:$A$333,$A1588,Summary!$L$297:$L$333))-AK1588,0)</f>
        <v>16382.534352359704</v>
      </c>
      <c r="AM1588" s="198"/>
      <c r="AN1588" s="196">
        <f t="shared" ca="1" si="348"/>
        <v>48066.574809995538</v>
      </c>
      <c r="AO1588" s="196">
        <f t="shared" ca="1" si="349"/>
        <v>47795.345405518994</v>
      </c>
    </row>
    <row r="1589" spans="1:41">
      <c r="A1589" s="189">
        <v>3642</v>
      </c>
      <c r="B1589" s="190">
        <v>1</v>
      </c>
      <c r="C1589" s="191" t="s">
        <v>229</v>
      </c>
      <c r="D1589" s="192">
        <f t="shared" si="336"/>
        <v>0</v>
      </c>
      <c r="E1589" s="192">
        <f t="shared" si="337"/>
        <v>0</v>
      </c>
      <c r="F1589" s="192">
        <f t="shared" si="338"/>
        <v>0</v>
      </c>
      <c r="G1589" s="193">
        <f t="shared" si="339"/>
        <v>0</v>
      </c>
      <c r="H1589" s="194">
        <v>0</v>
      </c>
      <c r="I1589" s="194">
        <v>0</v>
      </c>
      <c r="J1589" s="194">
        <v>0</v>
      </c>
      <c r="K1589" s="193">
        <f t="shared" si="340"/>
        <v>0</v>
      </c>
      <c r="L1589" s="194">
        <v>0</v>
      </c>
      <c r="M1589" s="194">
        <v>0</v>
      </c>
      <c r="N1589" s="194">
        <v>0</v>
      </c>
      <c r="O1589" s="193">
        <f t="shared" si="341"/>
        <v>0</v>
      </c>
      <c r="P1589" s="194">
        <v>0</v>
      </c>
      <c r="Q1589" s="194">
        <v>0</v>
      </c>
      <c r="R1589" s="194">
        <v>0</v>
      </c>
      <c r="S1589" s="193">
        <f t="shared" si="342"/>
        <v>0</v>
      </c>
      <c r="T1589" s="193">
        <f t="shared" si="343"/>
        <v>0</v>
      </c>
      <c r="U1589" s="193">
        <f ca="1">OFFSET('Expenditure Study'!$B$7,'Operations Support'!$C1589,'Operations Support'!$B1589)*$G1589</f>
        <v>0</v>
      </c>
      <c r="V1589" s="199">
        <f ca="1">U1589*'Expenditure Study'!$B$31</f>
        <v>0</v>
      </c>
      <c r="W1589" s="199">
        <f ca="1">IF(A1589=10298,1.51,1)*IF($B1589&lt;3,$D1589*'Expenditure Study'!$B$32*OFFSET('Expenditure Study'!$B$7,'Operations Support'!$C1589,'Operations Support'!$B1589),0)</f>
        <v>0</v>
      </c>
      <c r="X1589" s="200">
        <f ca="1">W1589*'Expenditure Study'!$B$31</f>
        <v>0</v>
      </c>
      <c r="Y1589" s="199">
        <f ca="1">U1589*'Expenditure Study'!$B$31</f>
        <v>0</v>
      </c>
      <c r="Z1589" s="200">
        <f ca="1">W1589*'Expenditure Study'!$B$31</f>
        <v>0</v>
      </c>
      <c r="AA1589" s="195">
        <f t="shared" ca="1" si="344"/>
        <v>0</v>
      </c>
      <c r="AB1589" s="195">
        <f t="shared" ca="1" si="345"/>
        <v>0</v>
      </c>
      <c r="AD1589" s="196">
        <f>IFERROR($G1589/SUMIF($A:$A,$A1589,$G:$G)*SUMIF(Summary!$A$166:$A$242,$A1589,Summary!$P$166:$P$242),0)</f>
        <v>0</v>
      </c>
      <c r="AE1589" s="197">
        <f t="shared" ca="1" si="346"/>
        <v>0</v>
      </c>
      <c r="AF1589" s="196">
        <f>IFERROR(G1589/SUMIF(A:A,A1589,G:G)*SUMIF(Summary!$A$166:$A$242,'Operations Support'!A1589,Summary!$Q$166:$Q$242),0)</f>
        <v>0</v>
      </c>
      <c r="AG1589" s="196">
        <f t="shared" ca="1" si="347"/>
        <v>0</v>
      </c>
      <c r="AI1589" s="196">
        <f>IFERROR($G1589/SUMIF($A:$A,$A1589,$G:$G)*SUMIF(Summary!$A$247:$A$283,$A1589,Summary!$P$247:$P$283),0)</f>
        <v>0</v>
      </c>
      <c r="AJ1589" s="196">
        <f>IFERROR($G1589/SUMIF($A:$A,$A1589,$G:$G)*(SUMIF(Summary!$A$247:$A$283,$A1589,Summary!$L$247:$L$283)+SUMIF(Summary!$A$297:$A$333,$A1589,Summary!$L$297:$L$333))-AI1589,0)</f>
        <v>0</v>
      </c>
      <c r="AK1589" s="196">
        <f>IFERROR($G1589/SUMIF($A:$A,$A1589,$G:$G)*SUMIF(Summary!$A$247:$A$283,$A1589,Summary!$Q$247:$Q$283),0)</f>
        <v>0</v>
      </c>
      <c r="AL1589" s="196">
        <f>IFERROR($G1589/SUMIF($A:$A,$A1589,$G:$G)*(SUMIF(Summary!$A$247:$A$283,$A1589,Summary!$L$247:$L$283)+SUMIF(Summary!$A$297:$A$333,$A1589,Summary!$L$297:$L$333))-AK1589,0)</f>
        <v>0</v>
      </c>
      <c r="AM1589" s="198"/>
      <c r="AN1589" s="196">
        <f t="shared" ca="1" si="348"/>
        <v>0</v>
      </c>
      <c r="AO1589" s="196">
        <f t="shared" ca="1" si="349"/>
        <v>0</v>
      </c>
    </row>
    <row r="1590" spans="1:41">
      <c r="A1590" s="189">
        <v>3642</v>
      </c>
      <c r="B1590" s="190">
        <v>1</v>
      </c>
      <c r="C1590" s="191" t="s">
        <v>230</v>
      </c>
      <c r="D1590" s="192">
        <f t="shared" si="336"/>
        <v>0</v>
      </c>
      <c r="E1590" s="192">
        <f t="shared" si="337"/>
        <v>0</v>
      </c>
      <c r="F1590" s="192">
        <f t="shared" si="338"/>
        <v>0</v>
      </c>
      <c r="G1590" s="193">
        <f t="shared" si="339"/>
        <v>0</v>
      </c>
      <c r="H1590" s="194">
        <v>0</v>
      </c>
      <c r="I1590" s="194">
        <v>0</v>
      </c>
      <c r="J1590" s="194">
        <v>0</v>
      </c>
      <c r="K1590" s="193">
        <f t="shared" si="340"/>
        <v>0</v>
      </c>
      <c r="L1590" s="194">
        <v>0</v>
      </c>
      <c r="M1590" s="194">
        <v>0</v>
      </c>
      <c r="N1590" s="194">
        <v>0</v>
      </c>
      <c r="O1590" s="193">
        <f t="shared" si="341"/>
        <v>0</v>
      </c>
      <c r="P1590" s="194">
        <v>0</v>
      </c>
      <c r="Q1590" s="194">
        <v>0</v>
      </c>
      <c r="R1590" s="194">
        <v>0</v>
      </c>
      <c r="S1590" s="193">
        <f t="shared" si="342"/>
        <v>0</v>
      </c>
      <c r="T1590" s="193">
        <f t="shared" si="343"/>
        <v>0</v>
      </c>
      <c r="U1590" s="193">
        <f ca="1">OFFSET('Expenditure Study'!$B$7,'Operations Support'!$C1590,'Operations Support'!$B1590)*$G1590</f>
        <v>0</v>
      </c>
      <c r="V1590" s="199">
        <f ca="1">U1590*'Expenditure Study'!$B$31</f>
        <v>0</v>
      </c>
      <c r="W1590" s="199">
        <f ca="1">IF(A1590=10298,1.51,1)*IF($B1590&lt;3,$D1590*'Expenditure Study'!$B$32*OFFSET('Expenditure Study'!$B$7,'Operations Support'!$C1590,'Operations Support'!$B1590),0)</f>
        <v>0</v>
      </c>
      <c r="X1590" s="200">
        <f ca="1">W1590*'Expenditure Study'!$B$31</f>
        <v>0</v>
      </c>
      <c r="Y1590" s="199">
        <f ca="1">U1590*'Expenditure Study'!$B$31</f>
        <v>0</v>
      </c>
      <c r="Z1590" s="200">
        <f ca="1">W1590*'Expenditure Study'!$B$31</f>
        <v>0</v>
      </c>
      <c r="AA1590" s="195">
        <f t="shared" ca="1" si="344"/>
        <v>0</v>
      </c>
      <c r="AB1590" s="195">
        <f t="shared" ca="1" si="345"/>
        <v>0</v>
      </c>
      <c r="AD1590" s="196">
        <f>IFERROR($G1590/SUMIF($A:$A,$A1590,$G:$G)*SUMIF(Summary!$A$166:$A$242,$A1590,Summary!$P$166:$P$242),0)</f>
        <v>0</v>
      </c>
      <c r="AE1590" s="197">
        <f t="shared" ca="1" si="346"/>
        <v>0</v>
      </c>
      <c r="AF1590" s="196">
        <f>IFERROR(G1590/SUMIF(A:A,A1590,G:G)*SUMIF(Summary!$A$166:$A$242,'Operations Support'!A1590,Summary!$Q$166:$Q$242),0)</f>
        <v>0</v>
      </c>
      <c r="AG1590" s="196">
        <f t="shared" ca="1" si="347"/>
        <v>0</v>
      </c>
      <c r="AI1590" s="196">
        <f>IFERROR($G1590/SUMIF($A:$A,$A1590,$G:$G)*SUMIF(Summary!$A$247:$A$283,$A1590,Summary!$P$247:$P$283),0)</f>
        <v>0</v>
      </c>
      <c r="AJ1590" s="196">
        <f>IFERROR($G1590/SUMIF($A:$A,$A1590,$G:$G)*(SUMIF(Summary!$A$247:$A$283,$A1590,Summary!$L$247:$L$283)+SUMIF(Summary!$A$297:$A$333,$A1590,Summary!$L$297:$L$333))-AI1590,0)</f>
        <v>0</v>
      </c>
      <c r="AK1590" s="196">
        <f>IFERROR($G1590/SUMIF($A:$A,$A1590,$G:$G)*SUMIF(Summary!$A$247:$A$283,$A1590,Summary!$Q$247:$Q$283),0)</f>
        <v>0</v>
      </c>
      <c r="AL1590" s="196">
        <f>IFERROR($G1590/SUMIF($A:$A,$A1590,$G:$G)*(SUMIF(Summary!$A$247:$A$283,$A1590,Summary!$L$247:$L$283)+SUMIF(Summary!$A$297:$A$333,$A1590,Summary!$L$297:$L$333))-AK1590,0)</f>
        <v>0</v>
      </c>
      <c r="AM1590" s="198"/>
      <c r="AN1590" s="196">
        <f t="shared" ca="1" si="348"/>
        <v>0</v>
      </c>
      <c r="AO1590" s="196">
        <f t="shared" ca="1" si="349"/>
        <v>0</v>
      </c>
    </row>
    <row r="1591" spans="1:41">
      <c r="A1591" s="189">
        <v>3642</v>
      </c>
      <c r="B1591" s="190">
        <v>1</v>
      </c>
      <c r="C1591" s="191" t="s">
        <v>231</v>
      </c>
      <c r="D1591" s="192">
        <f t="shared" si="336"/>
        <v>101</v>
      </c>
      <c r="E1591" s="192">
        <f t="shared" si="337"/>
        <v>0</v>
      </c>
      <c r="F1591" s="192">
        <f t="shared" si="338"/>
        <v>0</v>
      </c>
      <c r="G1591" s="193">
        <f t="shared" si="339"/>
        <v>101</v>
      </c>
      <c r="H1591" s="194">
        <v>56</v>
      </c>
      <c r="I1591" s="194">
        <v>0</v>
      </c>
      <c r="J1591" s="194">
        <v>0</v>
      </c>
      <c r="K1591" s="193">
        <f t="shared" si="340"/>
        <v>56</v>
      </c>
      <c r="L1591" s="194">
        <v>45</v>
      </c>
      <c r="M1591" s="194">
        <v>0</v>
      </c>
      <c r="N1591" s="194">
        <v>0</v>
      </c>
      <c r="O1591" s="193">
        <f t="shared" si="341"/>
        <v>45</v>
      </c>
      <c r="P1591" s="194">
        <v>0</v>
      </c>
      <c r="Q1591" s="194">
        <v>0</v>
      </c>
      <c r="R1591" s="194">
        <v>0</v>
      </c>
      <c r="S1591" s="193">
        <f t="shared" si="342"/>
        <v>0</v>
      </c>
      <c r="T1591" s="193">
        <f t="shared" si="343"/>
        <v>3.3666666666666667</v>
      </c>
      <c r="U1591" s="193">
        <f ca="1">OFFSET('Expenditure Study'!$B$7,'Operations Support'!$C1591,'Operations Support'!$B1591)*$G1591</f>
        <v>153.52000000000001</v>
      </c>
      <c r="V1591" s="199">
        <f ca="1">U1591*'Expenditure Study'!$B$31</f>
        <v>9070.4499164160006</v>
      </c>
      <c r="W1591" s="199">
        <f ca="1">IF(A1591=10298,1.51,1)*IF($B1591&lt;3,$D1591*'Expenditure Study'!$B$32*OFFSET('Expenditure Study'!$B$7,'Operations Support'!$C1591,'Operations Support'!$B1591),0)</f>
        <v>15.352000000000002</v>
      </c>
      <c r="X1591" s="200">
        <f ca="1">W1591*'Expenditure Study'!$B$31</f>
        <v>907.04499164160018</v>
      </c>
      <c r="Y1591" s="199">
        <f ca="1">U1591*'Expenditure Study'!$B$31</f>
        <v>9070.4499164160006</v>
      </c>
      <c r="Z1591" s="200">
        <f ca="1">W1591*'Expenditure Study'!$B$31</f>
        <v>907.04499164160018</v>
      </c>
      <c r="AA1591" s="195">
        <f t="shared" ca="1" si="344"/>
        <v>9977.4949080576007</v>
      </c>
      <c r="AB1591" s="195">
        <f t="shared" ca="1" si="345"/>
        <v>9977.4949080576007</v>
      </c>
      <c r="AD1591" s="196">
        <f>IFERROR($G1591/SUMIF($A:$A,$A1591,$G:$G)*SUMIF(Summary!$A$166:$A$242,$A1591,Summary!$P$166:$P$242),0)</f>
        <v>6069.2069932732084</v>
      </c>
      <c r="AE1591" s="197">
        <f t="shared" ca="1" si="346"/>
        <v>3908.2879147843923</v>
      </c>
      <c r="AF1591" s="196">
        <f>IFERROR(G1591/SUMIF(A:A,A1591,G:G)*SUMIF(Summary!$A$166:$A$242,'Operations Support'!A1591,Summary!$Q$166:$Q$242),0)</f>
        <v>6098.0238654648365</v>
      </c>
      <c r="AG1591" s="196">
        <f t="shared" ca="1" si="347"/>
        <v>3879.4710425927642</v>
      </c>
      <c r="AI1591" s="196">
        <f>IFERROR($G1591/SUMIF($A:$A,$A1591,$G:$G)*SUMIF(Summary!$A$247:$A$283,$A1591,Summary!$P$247:$P$283),0)</f>
        <v>1106.8719002007847</v>
      </c>
      <c r="AJ1591" s="196">
        <f>IFERROR($G1591/SUMIF($A:$A,$A1591,$G:$G)*(SUMIF(Summary!$A$247:$A$283,$A1591,Summary!$L$247:$L$283)+SUMIF(Summary!$A$297:$A$333,$A1591,Summary!$L$297:$L$333))-AI1591,0)</f>
        <v>2063.2604156696416</v>
      </c>
      <c r="AK1591" s="196">
        <f>IFERROR($G1591/SUMIF($A:$A,$A1591,$G:$G)*SUMIF(Summary!$A$247:$A$283,$A1591,Summary!$Q$247:$Q$283),0)</f>
        <v>1112.1273785715084</v>
      </c>
      <c r="AL1591" s="196">
        <f>IFERROR($G1591/SUMIF($A:$A,$A1591,$G:$G)*(SUMIF(Summary!$A$247:$A$283,$A1591,Summary!$L$247:$L$283)+SUMIF(Summary!$A$297:$A$333,$A1591,Summary!$L$297:$L$333))-AK1591,0)</f>
        <v>2058.0049372989179</v>
      </c>
      <c r="AM1591" s="198"/>
      <c r="AN1591" s="196">
        <f t="shared" ca="1" si="348"/>
        <v>5971.5483304540339</v>
      </c>
      <c r="AO1591" s="196">
        <f t="shared" ca="1" si="349"/>
        <v>5937.4759798916821</v>
      </c>
    </row>
    <row r="1592" spans="1:41">
      <c r="A1592" s="189">
        <v>3642</v>
      </c>
      <c r="B1592" s="190">
        <v>1</v>
      </c>
      <c r="C1592" s="191" t="s">
        <v>232</v>
      </c>
      <c r="D1592" s="192">
        <f t="shared" si="336"/>
        <v>0</v>
      </c>
      <c r="E1592" s="192">
        <f t="shared" si="337"/>
        <v>0</v>
      </c>
      <c r="F1592" s="192">
        <f t="shared" si="338"/>
        <v>0</v>
      </c>
      <c r="G1592" s="193">
        <f t="shared" si="339"/>
        <v>0</v>
      </c>
      <c r="H1592" s="194">
        <v>0</v>
      </c>
      <c r="I1592" s="194">
        <v>0</v>
      </c>
      <c r="J1592" s="194">
        <v>0</v>
      </c>
      <c r="K1592" s="193">
        <f t="shared" si="340"/>
        <v>0</v>
      </c>
      <c r="L1592" s="194">
        <v>0</v>
      </c>
      <c r="M1592" s="194">
        <v>0</v>
      </c>
      <c r="N1592" s="194">
        <v>0</v>
      </c>
      <c r="O1592" s="193">
        <f t="shared" si="341"/>
        <v>0</v>
      </c>
      <c r="P1592" s="194">
        <v>0</v>
      </c>
      <c r="Q1592" s="194">
        <v>0</v>
      </c>
      <c r="R1592" s="194">
        <v>0</v>
      </c>
      <c r="S1592" s="193">
        <f t="shared" si="342"/>
        <v>0</v>
      </c>
      <c r="T1592" s="193">
        <f t="shared" si="343"/>
        <v>0</v>
      </c>
      <c r="U1592" s="193">
        <f ca="1">OFFSET('Expenditure Study'!$B$7,'Operations Support'!$C1592,'Operations Support'!$B1592)*$G1592</f>
        <v>0</v>
      </c>
      <c r="V1592" s="199">
        <f ca="1">U1592*'Expenditure Study'!$B$31</f>
        <v>0</v>
      </c>
      <c r="W1592" s="199">
        <f ca="1">IF(A1592=10298,1.51,1)*IF($B1592&lt;3,$D1592*'Expenditure Study'!$B$32*OFFSET('Expenditure Study'!$B$7,'Operations Support'!$C1592,'Operations Support'!$B1592),0)</f>
        <v>0</v>
      </c>
      <c r="X1592" s="200">
        <f ca="1">W1592*'Expenditure Study'!$B$31</f>
        <v>0</v>
      </c>
      <c r="Y1592" s="199">
        <f ca="1">U1592*'Expenditure Study'!$B$31</f>
        <v>0</v>
      </c>
      <c r="Z1592" s="200">
        <f ca="1">W1592*'Expenditure Study'!$B$31</f>
        <v>0</v>
      </c>
      <c r="AA1592" s="195">
        <f t="shared" ca="1" si="344"/>
        <v>0</v>
      </c>
      <c r="AB1592" s="195">
        <f t="shared" ca="1" si="345"/>
        <v>0</v>
      </c>
      <c r="AD1592" s="196">
        <f>IFERROR($G1592/SUMIF($A:$A,$A1592,$G:$G)*SUMIF(Summary!$A$166:$A$242,$A1592,Summary!$P$166:$P$242),0)</f>
        <v>0</v>
      </c>
      <c r="AE1592" s="197">
        <f t="shared" ca="1" si="346"/>
        <v>0</v>
      </c>
      <c r="AF1592" s="196">
        <f>IFERROR(G1592/SUMIF(A:A,A1592,G:G)*SUMIF(Summary!$A$166:$A$242,'Operations Support'!A1592,Summary!$Q$166:$Q$242),0)</f>
        <v>0</v>
      </c>
      <c r="AG1592" s="196">
        <f t="shared" ca="1" si="347"/>
        <v>0</v>
      </c>
      <c r="AI1592" s="196">
        <f>IFERROR($G1592/SUMIF($A:$A,$A1592,$G:$G)*SUMIF(Summary!$A$247:$A$283,$A1592,Summary!$P$247:$P$283),0)</f>
        <v>0</v>
      </c>
      <c r="AJ1592" s="196">
        <f>IFERROR($G1592/SUMIF($A:$A,$A1592,$G:$G)*(SUMIF(Summary!$A$247:$A$283,$A1592,Summary!$L$247:$L$283)+SUMIF(Summary!$A$297:$A$333,$A1592,Summary!$L$297:$L$333))-AI1592,0)</f>
        <v>0</v>
      </c>
      <c r="AK1592" s="196">
        <f>IFERROR($G1592/SUMIF($A:$A,$A1592,$G:$G)*SUMIF(Summary!$A$247:$A$283,$A1592,Summary!$Q$247:$Q$283),0)</f>
        <v>0</v>
      </c>
      <c r="AL1592" s="196">
        <f>IFERROR($G1592/SUMIF($A:$A,$A1592,$G:$G)*(SUMIF(Summary!$A$247:$A$283,$A1592,Summary!$L$247:$L$283)+SUMIF(Summary!$A$297:$A$333,$A1592,Summary!$L$297:$L$333))-AK1592,0)</f>
        <v>0</v>
      </c>
      <c r="AM1592" s="198"/>
      <c r="AN1592" s="196">
        <f t="shared" ca="1" si="348"/>
        <v>0</v>
      </c>
      <c r="AO1592" s="196">
        <f t="shared" ca="1" si="349"/>
        <v>0</v>
      </c>
    </row>
    <row r="1593" spans="1:41">
      <c r="A1593" s="189">
        <v>3642</v>
      </c>
      <c r="B1593" s="190">
        <v>1</v>
      </c>
      <c r="C1593" s="191" t="s">
        <v>233</v>
      </c>
      <c r="D1593" s="192">
        <f t="shared" si="336"/>
        <v>669.5</v>
      </c>
      <c r="E1593" s="192">
        <f t="shared" si="337"/>
        <v>1251.5</v>
      </c>
      <c r="F1593" s="192">
        <f t="shared" si="338"/>
        <v>0</v>
      </c>
      <c r="G1593" s="193">
        <f t="shared" si="339"/>
        <v>1921</v>
      </c>
      <c r="H1593" s="194">
        <v>297</v>
      </c>
      <c r="I1593" s="194">
        <v>756</v>
      </c>
      <c r="J1593" s="194">
        <v>0</v>
      </c>
      <c r="K1593" s="193">
        <f t="shared" si="340"/>
        <v>1053</v>
      </c>
      <c r="L1593" s="194">
        <v>324.5</v>
      </c>
      <c r="M1593" s="194">
        <v>447.5</v>
      </c>
      <c r="N1593" s="194">
        <v>0</v>
      </c>
      <c r="O1593" s="193">
        <f t="shared" si="341"/>
        <v>772</v>
      </c>
      <c r="P1593" s="194">
        <v>48</v>
      </c>
      <c r="Q1593" s="194">
        <v>48</v>
      </c>
      <c r="R1593" s="194">
        <v>0</v>
      </c>
      <c r="S1593" s="193">
        <f t="shared" si="342"/>
        <v>96</v>
      </c>
      <c r="T1593" s="193">
        <f t="shared" si="343"/>
        <v>64.033333333333331</v>
      </c>
      <c r="U1593" s="193">
        <f ca="1">OFFSET('Expenditure Study'!$B$7,'Operations Support'!$C1593,'Operations Support'!$B1593)*$G1593</f>
        <v>1844.1599999999999</v>
      </c>
      <c r="V1593" s="199">
        <f ca="1">U1593*'Expenditure Study'!$B$31</f>
        <v>108958.83870412799</v>
      </c>
      <c r="W1593" s="199">
        <f ca="1">IF(A1593=10298,1.51,1)*IF($B1593&lt;3,$D1593*'Expenditure Study'!$B$32*OFFSET('Expenditure Study'!$B$7,'Operations Support'!$C1593,'Operations Support'!$B1593),0)</f>
        <v>64.272000000000006</v>
      </c>
      <c r="X1593" s="200">
        <f ca="1">W1593*'Expenditure Study'!$B$31</f>
        <v>3797.3941963776006</v>
      </c>
      <c r="Y1593" s="199">
        <f ca="1">U1593*'Expenditure Study'!$B$31</f>
        <v>108958.83870412799</v>
      </c>
      <c r="Z1593" s="200">
        <f ca="1">W1593*'Expenditure Study'!$B$31</f>
        <v>3797.3941963776006</v>
      </c>
      <c r="AA1593" s="195">
        <f t="shared" ca="1" si="344"/>
        <v>112756.23290050559</v>
      </c>
      <c r="AB1593" s="195">
        <f t="shared" ca="1" si="345"/>
        <v>112756.23290050559</v>
      </c>
      <c r="AD1593" s="196">
        <f>IFERROR($G1593/SUMIF($A:$A,$A1593,$G:$G)*SUMIF(Summary!$A$166:$A$242,$A1593,Summary!$P$166:$P$242),0)</f>
        <v>115435.11518888944</v>
      </c>
      <c r="AE1593" s="197">
        <f t="shared" ca="1" si="346"/>
        <v>-2678.8822883838438</v>
      </c>
      <c r="AF1593" s="196">
        <f>IFERROR(G1593/SUMIF(A:A,A1593,G:G)*SUMIF(Summary!$A$166:$A$242,'Operations Support'!A1593,Summary!$Q$166:$Q$242),0)</f>
        <v>115983.20639166288</v>
      </c>
      <c r="AG1593" s="196">
        <f t="shared" ca="1" si="347"/>
        <v>-3226.9734911572887</v>
      </c>
      <c r="AI1593" s="196">
        <f>IFERROR($G1593/SUMIF($A:$A,$A1593,$G:$G)*SUMIF(Summary!$A$247:$A$283,$A1593,Summary!$P$247:$P$283),0)</f>
        <v>21052.484359264432</v>
      </c>
      <c r="AJ1593" s="196">
        <f>IFERROR($G1593/SUMIF($A:$A,$A1593,$G:$G)*(SUMIF(Summary!$A$247:$A$283,$A1593,Summary!$L$247:$L$283)+SUMIF(Summary!$A$297:$A$333,$A1593,Summary!$L$297:$L$333))-AI1593,0)</f>
        <v>39242.804539617639</v>
      </c>
      <c r="AK1593" s="196">
        <f>IFERROR($G1593/SUMIF($A:$A,$A1593,$G:$G)*SUMIF(Summary!$A$247:$A$283,$A1593,Summary!$Q$247:$Q$283),0)</f>
        <v>21152.44251718681</v>
      </c>
      <c r="AL1593" s="196">
        <f>IFERROR($G1593/SUMIF($A:$A,$A1593,$G:$G)*(SUMIF(Summary!$A$247:$A$283,$A1593,Summary!$L$247:$L$283)+SUMIF(Summary!$A$297:$A$333,$A1593,Summary!$L$297:$L$333))-AK1593,0)</f>
        <v>39142.846381695257</v>
      </c>
      <c r="AM1593" s="198"/>
      <c r="AN1593" s="196">
        <f t="shared" ca="1" si="348"/>
        <v>36563.922251233795</v>
      </c>
      <c r="AO1593" s="196">
        <f t="shared" ca="1" si="349"/>
        <v>35915.872890537968</v>
      </c>
    </row>
    <row r="1594" spans="1:41">
      <c r="A1594" s="189">
        <v>3642</v>
      </c>
      <c r="B1594" s="190">
        <v>1</v>
      </c>
      <c r="C1594" s="191" t="s">
        <v>234</v>
      </c>
      <c r="D1594" s="192">
        <f t="shared" si="336"/>
        <v>36</v>
      </c>
      <c r="E1594" s="192">
        <f t="shared" si="337"/>
        <v>0</v>
      </c>
      <c r="F1594" s="192">
        <f t="shared" si="338"/>
        <v>0</v>
      </c>
      <c r="G1594" s="193">
        <f t="shared" si="339"/>
        <v>36</v>
      </c>
      <c r="H1594" s="194">
        <v>0</v>
      </c>
      <c r="I1594" s="194">
        <v>0</v>
      </c>
      <c r="J1594" s="194">
        <v>0</v>
      </c>
      <c r="K1594" s="193">
        <f t="shared" si="340"/>
        <v>0</v>
      </c>
      <c r="L1594" s="194">
        <v>0</v>
      </c>
      <c r="M1594" s="194">
        <v>0</v>
      </c>
      <c r="N1594" s="194">
        <v>0</v>
      </c>
      <c r="O1594" s="193">
        <f t="shared" si="341"/>
        <v>0</v>
      </c>
      <c r="P1594" s="194">
        <v>36</v>
      </c>
      <c r="Q1594" s="194">
        <v>0</v>
      </c>
      <c r="R1594" s="194">
        <v>0</v>
      </c>
      <c r="S1594" s="193">
        <f t="shared" si="342"/>
        <v>36</v>
      </c>
      <c r="T1594" s="193">
        <f t="shared" si="343"/>
        <v>1.2</v>
      </c>
      <c r="U1594" s="193">
        <f ca="1">OFFSET('Expenditure Study'!$B$7,'Operations Support'!$C1594,'Operations Support'!$B1594)*$G1594</f>
        <v>419.04</v>
      </c>
      <c r="V1594" s="199">
        <f ca="1">U1594*'Expenditure Study'!$B$31</f>
        <v>24758.216082432002</v>
      </c>
      <c r="W1594" s="199">
        <f ca="1">IF(A1594=10298,1.51,1)*IF($B1594&lt;3,$D1594*'Expenditure Study'!$B$32*OFFSET('Expenditure Study'!$B$7,'Operations Support'!$C1594,'Operations Support'!$B1594),0)</f>
        <v>41.904000000000003</v>
      </c>
      <c r="X1594" s="200">
        <f ca="1">W1594*'Expenditure Study'!$B$31</f>
        <v>2475.8216082432004</v>
      </c>
      <c r="Y1594" s="199">
        <f ca="1">U1594*'Expenditure Study'!$B$31</f>
        <v>24758.216082432002</v>
      </c>
      <c r="Z1594" s="200">
        <f ca="1">W1594*'Expenditure Study'!$B$31</f>
        <v>2475.8216082432004</v>
      </c>
      <c r="AA1594" s="195">
        <f t="shared" ca="1" si="344"/>
        <v>27234.037690675203</v>
      </c>
      <c r="AB1594" s="195">
        <f t="shared" ca="1" si="345"/>
        <v>27234.037690675203</v>
      </c>
      <c r="AD1594" s="196">
        <f>IFERROR($G1594/SUMIF($A:$A,$A1594,$G:$G)*SUMIF(Summary!$A$166:$A$242,$A1594,Summary!$P$166:$P$242),0)</f>
        <v>2163.2817005726283</v>
      </c>
      <c r="AE1594" s="197">
        <f t="shared" ca="1" si="346"/>
        <v>25070.755990102574</v>
      </c>
      <c r="AF1594" s="196">
        <f>IFERROR(G1594/SUMIF(A:A,A1594,G:G)*SUMIF(Summary!$A$166:$A$242,'Operations Support'!A1594,Summary!$Q$166:$Q$242),0)</f>
        <v>2173.5530609577636</v>
      </c>
      <c r="AG1594" s="196">
        <f t="shared" ca="1" si="347"/>
        <v>25060.484629717437</v>
      </c>
      <c r="AI1594" s="196">
        <f>IFERROR($G1594/SUMIF($A:$A,$A1594,$G:$G)*SUMIF(Summary!$A$247:$A$283,$A1594,Summary!$P$247:$P$283),0)</f>
        <v>394.52859809136879</v>
      </c>
      <c r="AJ1594" s="196">
        <f>IFERROR($G1594/SUMIF($A:$A,$A1594,$G:$G)*(SUMIF(Summary!$A$247:$A$283,$A1594,Summary!$L$247:$L$283)+SUMIF(Summary!$A$297:$A$333,$A1594,Summary!$L$297:$L$333))-AI1594,0)</f>
        <v>735.41955410007017</v>
      </c>
      <c r="AK1594" s="196">
        <f>IFERROR($G1594/SUMIF($A:$A,$A1594,$G:$G)*SUMIF(Summary!$A$247:$A$283,$A1594,Summary!$Q$247:$Q$283),0)</f>
        <v>396.40183790667623</v>
      </c>
      <c r="AL1594" s="196">
        <f>IFERROR($G1594/SUMIF($A:$A,$A1594,$G:$G)*(SUMIF(Summary!$A$247:$A$283,$A1594,Summary!$L$247:$L$283)+SUMIF(Summary!$A$297:$A$333,$A1594,Summary!$L$297:$L$333))-AK1594,0)</f>
        <v>733.54631428476273</v>
      </c>
      <c r="AM1594" s="198"/>
      <c r="AN1594" s="196">
        <f t="shared" ca="1" si="348"/>
        <v>25806.175544202644</v>
      </c>
      <c r="AO1594" s="196">
        <f t="shared" ca="1" si="349"/>
        <v>25794.030944002199</v>
      </c>
    </row>
    <row r="1595" spans="1:41">
      <c r="A1595" s="189">
        <v>3642</v>
      </c>
      <c r="B1595" s="190">
        <v>1</v>
      </c>
      <c r="C1595" s="191" t="s">
        <v>235</v>
      </c>
      <c r="D1595" s="192">
        <f t="shared" si="336"/>
        <v>2335</v>
      </c>
      <c r="E1595" s="192">
        <f t="shared" si="337"/>
        <v>7875</v>
      </c>
      <c r="F1595" s="192">
        <f t="shared" si="338"/>
        <v>0</v>
      </c>
      <c r="G1595" s="193">
        <f t="shared" si="339"/>
        <v>10210</v>
      </c>
      <c r="H1595" s="194">
        <v>1289</v>
      </c>
      <c r="I1595" s="194">
        <v>3222</v>
      </c>
      <c r="J1595" s="194">
        <v>0</v>
      </c>
      <c r="K1595" s="193">
        <f t="shared" si="340"/>
        <v>4511</v>
      </c>
      <c r="L1595" s="194">
        <v>929</v>
      </c>
      <c r="M1595" s="194">
        <v>4590</v>
      </c>
      <c r="N1595" s="194">
        <v>0</v>
      </c>
      <c r="O1595" s="193">
        <f t="shared" si="341"/>
        <v>5519</v>
      </c>
      <c r="P1595" s="194">
        <v>117</v>
      </c>
      <c r="Q1595" s="194">
        <v>63</v>
      </c>
      <c r="R1595" s="194">
        <v>0</v>
      </c>
      <c r="S1595" s="193">
        <f t="shared" si="342"/>
        <v>180</v>
      </c>
      <c r="T1595" s="193">
        <f t="shared" si="343"/>
        <v>340.33333333333331</v>
      </c>
      <c r="U1595" s="193">
        <f ca="1">OFFSET('Expenditure Study'!$B$7,'Operations Support'!$C1595,'Operations Support'!$B1595)*$G1595</f>
        <v>11231</v>
      </c>
      <c r="V1595" s="199">
        <f ca="1">U1595*'Expenditure Study'!$B$31</f>
        <v>663563.20356479997</v>
      </c>
      <c r="W1595" s="199">
        <f ca="1">IF(A1595=10298,1.51,1)*IF($B1595&lt;3,$D1595*'Expenditure Study'!$B$32*OFFSET('Expenditure Study'!$B$7,'Operations Support'!$C1595,'Operations Support'!$B1595),0)</f>
        <v>256.85000000000002</v>
      </c>
      <c r="X1595" s="200">
        <f ca="1">W1595*'Expenditure Study'!$B$31</f>
        <v>15175.514988480001</v>
      </c>
      <c r="Y1595" s="199">
        <f ca="1">U1595*'Expenditure Study'!$B$31</f>
        <v>663563.20356479997</v>
      </c>
      <c r="Z1595" s="200">
        <f ca="1">W1595*'Expenditure Study'!$B$31</f>
        <v>15175.514988480001</v>
      </c>
      <c r="AA1595" s="195">
        <f t="shared" ca="1" si="344"/>
        <v>678738.71855327999</v>
      </c>
      <c r="AB1595" s="195">
        <f t="shared" ca="1" si="345"/>
        <v>678738.71855327999</v>
      </c>
      <c r="AD1595" s="196">
        <f>IFERROR($G1595/SUMIF($A:$A,$A1595,$G:$G)*SUMIF(Summary!$A$166:$A$242,$A1595,Summary!$P$166:$P$242),0)</f>
        <v>613530.72674573713</v>
      </c>
      <c r="AE1595" s="197">
        <f t="shared" ca="1" si="346"/>
        <v>65207.991807542858</v>
      </c>
      <c r="AF1595" s="196">
        <f>IFERROR(G1595/SUMIF(A:A,A1595,G:G)*SUMIF(Summary!$A$166:$A$242,'Operations Support'!A1595,Summary!$Q$166:$Q$242),0)</f>
        <v>616443.79867718788</v>
      </c>
      <c r="AG1595" s="196">
        <f t="shared" ca="1" si="347"/>
        <v>62294.919876092114</v>
      </c>
      <c r="AI1595" s="196">
        <f>IFERROR($G1595/SUMIF($A:$A,$A1595,$G:$G)*SUMIF(Summary!$A$247:$A$283,$A1595,Summary!$P$247:$P$283),0)</f>
        <v>111892.69406980211</v>
      </c>
      <c r="AJ1595" s="196">
        <f>IFERROR($G1595/SUMIF($A:$A,$A1595,$G:$G)*(SUMIF(Summary!$A$247:$A$283,$A1595,Summary!$L$247:$L$283)+SUMIF(Summary!$A$297:$A$333,$A1595,Summary!$L$297:$L$333))-AI1595,0)</f>
        <v>208573.1568711588</v>
      </c>
      <c r="AK1595" s="196">
        <f>IFERROR($G1595/SUMIF($A:$A,$A1595,$G:$G)*SUMIF(Summary!$A$247:$A$283,$A1595,Summary!$Q$247:$Q$283),0)</f>
        <v>112423.96569519902</v>
      </c>
      <c r="AL1595" s="196">
        <f>IFERROR($G1595/SUMIF($A:$A,$A1595,$G:$G)*(SUMIF(Summary!$A$247:$A$283,$A1595,Summary!$L$247:$L$283)+SUMIF(Summary!$A$297:$A$333,$A1595,Summary!$L$297:$L$333))-AK1595,0)</f>
        <v>208041.88524576189</v>
      </c>
      <c r="AM1595" s="198"/>
      <c r="AN1595" s="196">
        <f t="shared" ca="1" si="348"/>
        <v>273781.14867870166</v>
      </c>
      <c r="AO1595" s="196">
        <f t="shared" ca="1" si="349"/>
        <v>270336.80512185401</v>
      </c>
    </row>
    <row r="1596" spans="1:41">
      <c r="A1596" s="189">
        <v>3642</v>
      </c>
      <c r="B1596" s="190">
        <v>1</v>
      </c>
      <c r="C1596" s="191" t="s">
        <v>236</v>
      </c>
      <c r="D1596" s="192">
        <f t="shared" si="336"/>
        <v>0</v>
      </c>
      <c r="E1596" s="192">
        <f t="shared" si="337"/>
        <v>0</v>
      </c>
      <c r="F1596" s="192">
        <f t="shared" si="338"/>
        <v>0</v>
      </c>
      <c r="G1596" s="193">
        <f t="shared" si="339"/>
        <v>0</v>
      </c>
      <c r="H1596" s="194">
        <v>0</v>
      </c>
      <c r="I1596" s="194">
        <v>0</v>
      </c>
      <c r="J1596" s="194">
        <v>0</v>
      </c>
      <c r="K1596" s="193">
        <f t="shared" si="340"/>
        <v>0</v>
      </c>
      <c r="L1596" s="194">
        <v>0</v>
      </c>
      <c r="M1596" s="194">
        <v>0</v>
      </c>
      <c r="N1596" s="194">
        <v>0</v>
      </c>
      <c r="O1596" s="193">
        <f t="shared" si="341"/>
        <v>0</v>
      </c>
      <c r="P1596" s="194">
        <v>0</v>
      </c>
      <c r="Q1596" s="194">
        <v>0</v>
      </c>
      <c r="R1596" s="194">
        <v>0</v>
      </c>
      <c r="S1596" s="193">
        <f t="shared" si="342"/>
        <v>0</v>
      </c>
      <c r="T1596" s="193">
        <f t="shared" si="343"/>
        <v>0</v>
      </c>
      <c r="U1596" s="193">
        <f ca="1">OFFSET('Expenditure Study'!$B$7,'Operations Support'!$C1596,'Operations Support'!$B1596)*$G1596</f>
        <v>0</v>
      </c>
      <c r="V1596" s="199">
        <f ca="1">U1596*'Expenditure Study'!$B$31</f>
        <v>0</v>
      </c>
      <c r="W1596" s="199">
        <f ca="1">IF(A1596=10298,1.51,1)*IF($B1596&lt;3,$D1596*'Expenditure Study'!$B$32*OFFSET('Expenditure Study'!$B$7,'Operations Support'!$C1596,'Operations Support'!$B1596),0)</f>
        <v>0</v>
      </c>
      <c r="X1596" s="200">
        <f ca="1">W1596*'Expenditure Study'!$B$31</f>
        <v>0</v>
      </c>
      <c r="Y1596" s="199">
        <f ca="1">U1596*'Expenditure Study'!$B$31</f>
        <v>0</v>
      </c>
      <c r="Z1596" s="200">
        <f ca="1">W1596*'Expenditure Study'!$B$31</f>
        <v>0</v>
      </c>
      <c r="AA1596" s="195">
        <f t="shared" ca="1" si="344"/>
        <v>0</v>
      </c>
      <c r="AB1596" s="195">
        <f t="shared" ca="1" si="345"/>
        <v>0</v>
      </c>
      <c r="AD1596" s="196">
        <f>IFERROR($G1596/SUMIF($A:$A,$A1596,$G:$G)*SUMIF(Summary!$A$166:$A$242,$A1596,Summary!$P$166:$P$242),0)</f>
        <v>0</v>
      </c>
      <c r="AE1596" s="197">
        <f t="shared" ca="1" si="346"/>
        <v>0</v>
      </c>
      <c r="AF1596" s="196">
        <f>IFERROR(G1596/SUMIF(A:A,A1596,G:G)*SUMIF(Summary!$A$166:$A$242,'Operations Support'!A1596,Summary!$Q$166:$Q$242),0)</f>
        <v>0</v>
      </c>
      <c r="AG1596" s="196">
        <f t="shared" ca="1" si="347"/>
        <v>0</v>
      </c>
      <c r="AI1596" s="196">
        <f>IFERROR($G1596/SUMIF($A:$A,$A1596,$G:$G)*SUMIF(Summary!$A$247:$A$283,$A1596,Summary!$P$247:$P$283),0)</f>
        <v>0</v>
      </c>
      <c r="AJ1596" s="196">
        <f>IFERROR($G1596/SUMIF($A:$A,$A1596,$G:$G)*(SUMIF(Summary!$A$247:$A$283,$A1596,Summary!$L$247:$L$283)+SUMIF(Summary!$A$297:$A$333,$A1596,Summary!$L$297:$L$333))-AI1596,0)</f>
        <v>0</v>
      </c>
      <c r="AK1596" s="196">
        <f>IFERROR($G1596/SUMIF($A:$A,$A1596,$G:$G)*SUMIF(Summary!$A$247:$A$283,$A1596,Summary!$Q$247:$Q$283),0)</f>
        <v>0</v>
      </c>
      <c r="AL1596" s="196">
        <f>IFERROR($G1596/SUMIF($A:$A,$A1596,$G:$G)*(SUMIF(Summary!$A$247:$A$283,$A1596,Summary!$L$247:$L$283)+SUMIF(Summary!$A$297:$A$333,$A1596,Summary!$L$297:$L$333))-AK1596,0)</f>
        <v>0</v>
      </c>
      <c r="AM1596" s="198"/>
      <c r="AN1596" s="196">
        <f t="shared" ca="1" si="348"/>
        <v>0</v>
      </c>
      <c r="AO1596" s="196">
        <f t="shared" ca="1" si="349"/>
        <v>0</v>
      </c>
    </row>
    <row r="1597" spans="1:41">
      <c r="A1597" s="189">
        <v>3642</v>
      </c>
      <c r="B1597" s="190">
        <v>1</v>
      </c>
      <c r="C1597" s="191" t="s">
        <v>237</v>
      </c>
      <c r="D1597" s="192">
        <f t="shared" si="336"/>
        <v>0</v>
      </c>
      <c r="E1597" s="192">
        <f t="shared" si="337"/>
        <v>0</v>
      </c>
      <c r="F1597" s="192">
        <f t="shared" si="338"/>
        <v>0</v>
      </c>
      <c r="G1597" s="193">
        <f t="shared" si="339"/>
        <v>0</v>
      </c>
      <c r="H1597" s="194">
        <v>0</v>
      </c>
      <c r="I1597" s="194">
        <v>0</v>
      </c>
      <c r="J1597" s="194">
        <v>0</v>
      </c>
      <c r="K1597" s="193">
        <f t="shared" si="340"/>
        <v>0</v>
      </c>
      <c r="L1597" s="194">
        <v>0</v>
      </c>
      <c r="M1597" s="194">
        <v>0</v>
      </c>
      <c r="N1597" s="194">
        <v>0</v>
      </c>
      <c r="O1597" s="193">
        <f t="shared" si="341"/>
        <v>0</v>
      </c>
      <c r="P1597" s="194">
        <v>0</v>
      </c>
      <c r="Q1597" s="194">
        <v>0</v>
      </c>
      <c r="R1597" s="194">
        <v>0</v>
      </c>
      <c r="S1597" s="193">
        <f t="shared" si="342"/>
        <v>0</v>
      </c>
      <c r="T1597" s="193">
        <f t="shared" si="343"/>
        <v>0</v>
      </c>
      <c r="U1597" s="193">
        <f ca="1">OFFSET('Expenditure Study'!$B$7,'Operations Support'!$C1597,'Operations Support'!$B1597)*$G1597</f>
        <v>0</v>
      </c>
      <c r="V1597" s="199">
        <f ca="1">U1597*'Expenditure Study'!$B$31</f>
        <v>0</v>
      </c>
      <c r="W1597" s="199">
        <f ca="1">IF(A1597=10298,1.51,1)*IF($B1597&lt;3,$D1597*'Expenditure Study'!$B$32*OFFSET('Expenditure Study'!$B$7,'Operations Support'!$C1597,'Operations Support'!$B1597),0)</f>
        <v>0</v>
      </c>
      <c r="X1597" s="200">
        <f ca="1">W1597*'Expenditure Study'!$B$31</f>
        <v>0</v>
      </c>
      <c r="Y1597" s="199">
        <f ca="1">U1597*'Expenditure Study'!$B$31</f>
        <v>0</v>
      </c>
      <c r="Z1597" s="200">
        <f ca="1">W1597*'Expenditure Study'!$B$31</f>
        <v>0</v>
      </c>
      <c r="AA1597" s="195">
        <f t="shared" ca="1" si="344"/>
        <v>0</v>
      </c>
      <c r="AB1597" s="195">
        <f t="shared" ca="1" si="345"/>
        <v>0</v>
      </c>
      <c r="AD1597" s="196">
        <f>IFERROR($G1597/SUMIF($A:$A,$A1597,$G:$G)*SUMIF(Summary!$A$166:$A$242,$A1597,Summary!$P$166:$P$242),0)</f>
        <v>0</v>
      </c>
      <c r="AE1597" s="197">
        <f t="shared" ca="1" si="346"/>
        <v>0</v>
      </c>
      <c r="AF1597" s="196">
        <f>IFERROR(G1597/SUMIF(A:A,A1597,G:G)*SUMIF(Summary!$A$166:$A$242,'Operations Support'!A1597,Summary!$Q$166:$Q$242),0)</f>
        <v>0</v>
      </c>
      <c r="AG1597" s="196">
        <f t="shared" ca="1" si="347"/>
        <v>0</v>
      </c>
      <c r="AI1597" s="196">
        <f>IFERROR($G1597/SUMIF($A:$A,$A1597,$G:$G)*SUMIF(Summary!$A$247:$A$283,$A1597,Summary!$P$247:$P$283),0)</f>
        <v>0</v>
      </c>
      <c r="AJ1597" s="196">
        <f>IFERROR($G1597/SUMIF($A:$A,$A1597,$G:$G)*(SUMIF(Summary!$A$247:$A$283,$A1597,Summary!$L$247:$L$283)+SUMIF(Summary!$A$297:$A$333,$A1597,Summary!$L$297:$L$333))-AI1597,0)</f>
        <v>0</v>
      </c>
      <c r="AK1597" s="196">
        <f>IFERROR($G1597/SUMIF($A:$A,$A1597,$G:$G)*SUMIF(Summary!$A$247:$A$283,$A1597,Summary!$Q$247:$Q$283),0)</f>
        <v>0</v>
      </c>
      <c r="AL1597" s="196">
        <f>IFERROR($G1597/SUMIF($A:$A,$A1597,$G:$G)*(SUMIF(Summary!$A$247:$A$283,$A1597,Summary!$L$247:$L$283)+SUMIF(Summary!$A$297:$A$333,$A1597,Summary!$L$297:$L$333))-AK1597,0)</f>
        <v>0</v>
      </c>
      <c r="AM1597" s="198"/>
      <c r="AN1597" s="196">
        <f t="shared" ca="1" si="348"/>
        <v>0</v>
      </c>
      <c r="AO1597" s="196">
        <f t="shared" ca="1" si="349"/>
        <v>0</v>
      </c>
    </row>
    <row r="1598" spans="1:41">
      <c r="A1598" s="189">
        <v>3642</v>
      </c>
      <c r="B1598" s="190">
        <v>1</v>
      </c>
      <c r="C1598" s="191" t="s">
        <v>238</v>
      </c>
      <c r="D1598" s="192">
        <f t="shared" si="336"/>
        <v>443.5</v>
      </c>
      <c r="E1598" s="192">
        <f t="shared" si="337"/>
        <v>779.5</v>
      </c>
      <c r="F1598" s="192">
        <f t="shared" si="338"/>
        <v>0</v>
      </c>
      <c r="G1598" s="193">
        <f t="shared" si="339"/>
        <v>1223</v>
      </c>
      <c r="H1598" s="194">
        <v>192</v>
      </c>
      <c r="I1598" s="194">
        <v>343</v>
      </c>
      <c r="J1598" s="194">
        <v>0</v>
      </c>
      <c r="K1598" s="193">
        <f t="shared" si="340"/>
        <v>535</v>
      </c>
      <c r="L1598" s="194">
        <v>212.5</v>
      </c>
      <c r="M1598" s="194">
        <v>436.5</v>
      </c>
      <c r="N1598" s="194">
        <v>0</v>
      </c>
      <c r="O1598" s="193">
        <f t="shared" si="341"/>
        <v>649</v>
      </c>
      <c r="P1598" s="194">
        <v>39</v>
      </c>
      <c r="Q1598" s="194">
        <v>0</v>
      </c>
      <c r="R1598" s="194">
        <v>0</v>
      </c>
      <c r="S1598" s="193">
        <f t="shared" si="342"/>
        <v>39</v>
      </c>
      <c r="T1598" s="193">
        <f t="shared" si="343"/>
        <v>40.766666666666666</v>
      </c>
      <c r="U1598" s="193">
        <f ca="1">OFFSET('Expenditure Study'!$B$7,'Operations Support'!$C1598,'Operations Support'!$B1598)*$G1598</f>
        <v>2176.94</v>
      </c>
      <c r="V1598" s="199">
        <f ca="1">U1598*'Expenditure Study'!$B$31</f>
        <v>128620.53961075201</v>
      </c>
      <c r="W1598" s="199">
        <f ca="1">IF(A1598=10298,1.51,1)*IF($B1598&lt;3,$D1598*'Expenditure Study'!$B$32*OFFSET('Expenditure Study'!$B$7,'Operations Support'!$C1598,'Operations Support'!$B1598),0)</f>
        <v>78.942999999999998</v>
      </c>
      <c r="X1598" s="200">
        <f ca="1">W1598*'Expenditure Study'!$B$31</f>
        <v>4664.2035418943997</v>
      </c>
      <c r="Y1598" s="199">
        <f ca="1">U1598*'Expenditure Study'!$B$31</f>
        <v>128620.53961075201</v>
      </c>
      <c r="Z1598" s="200">
        <f ca="1">W1598*'Expenditure Study'!$B$31</f>
        <v>4664.2035418943997</v>
      </c>
      <c r="AA1598" s="195">
        <f t="shared" ca="1" si="344"/>
        <v>133284.74315264641</v>
      </c>
      <c r="AB1598" s="195">
        <f t="shared" ca="1" si="345"/>
        <v>133284.74315264641</v>
      </c>
      <c r="AD1598" s="196">
        <f>IFERROR($G1598/SUMIF($A:$A,$A1598,$G:$G)*SUMIF(Summary!$A$166:$A$242,$A1598,Summary!$P$166:$P$242),0)</f>
        <v>73491.486661120143</v>
      </c>
      <c r="AE1598" s="197">
        <f t="shared" ca="1" si="346"/>
        <v>59793.256491526263</v>
      </c>
      <c r="AF1598" s="196">
        <f>IFERROR(G1598/SUMIF(A:A,A1598,G:G)*SUMIF(Summary!$A$166:$A$242,'Operations Support'!A1598,Summary!$Q$166:$Q$242),0)</f>
        <v>73840.427598648472</v>
      </c>
      <c r="AG1598" s="196">
        <f t="shared" ca="1" si="347"/>
        <v>59444.315553997934</v>
      </c>
      <c r="AI1598" s="196">
        <f>IFERROR($G1598/SUMIF($A:$A,$A1598,$G:$G)*SUMIF(Summary!$A$247:$A$283,$A1598,Summary!$P$247:$P$283),0)</f>
        <v>13403.01320738178</v>
      </c>
      <c r="AJ1598" s="196">
        <f>IFERROR($G1598/SUMIF($A:$A,$A1598,$G:$G)*(SUMIF(Summary!$A$247:$A$283,$A1598,Summary!$L$247:$L$283)+SUMIF(Summary!$A$297:$A$333,$A1598,Summary!$L$297:$L$333))-AI1598,0)</f>
        <v>24983.836518455166</v>
      </c>
      <c r="AK1598" s="196">
        <f>IFERROR($G1598/SUMIF($A:$A,$A1598,$G:$G)*SUMIF(Summary!$A$247:$A$283,$A1598,Summary!$Q$247:$Q$283),0)</f>
        <v>13466.651326662919</v>
      </c>
      <c r="AL1598" s="196">
        <f>IFERROR($G1598/SUMIF($A:$A,$A1598,$G:$G)*(SUMIF(Summary!$A$247:$A$283,$A1598,Summary!$L$247:$L$283)+SUMIF(Summary!$A$297:$A$333,$A1598,Summary!$L$297:$L$333))-AK1598,0)</f>
        <v>24920.198399174027</v>
      </c>
      <c r="AM1598" s="198"/>
      <c r="AN1598" s="196">
        <f t="shared" ca="1" si="348"/>
        <v>84777.093009981429</v>
      </c>
      <c r="AO1598" s="196">
        <f t="shared" ca="1" si="349"/>
        <v>84364.513953171961</v>
      </c>
    </row>
    <row r="1599" spans="1:41">
      <c r="A1599" s="189">
        <v>3642</v>
      </c>
      <c r="B1599" s="190">
        <v>1</v>
      </c>
      <c r="C1599" s="191" t="s">
        <v>239</v>
      </c>
      <c r="D1599" s="192">
        <f t="shared" si="336"/>
        <v>0</v>
      </c>
      <c r="E1599" s="192">
        <f t="shared" si="337"/>
        <v>0</v>
      </c>
      <c r="F1599" s="192">
        <f t="shared" si="338"/>
        <v>0</v>
      </c>
      <c r="G1599" s="193">
        <f t="shared" si="339"/>
        <v>0</v>
      </c>
      <c r="H1599" s="194">
        <v>0</v>
      </c>
      <c r="I1599" s="194">
        <v>0</v>
      </c>
      <c r="J1599" s="194">
        <v>0</v>
      </c>
      <c r="K1599" s="193">
        <f t="shared" si="340"/>
        <v>0</v>
      </c>
      <c r="L1599" s="194">
        <v>0</v>
      </c>
      <c r="M1599" s="194">
        <v>0</v>
      </c>
      <c r="N1599" s="194">
        <v>0</v>
      </c>
      <c r="O1599" s="193">
        <f t="shared" si="341"/>
        <v>0</v>
      </c>
      <c r="P1599" s="194">
        <v>0</v>
      </c>
      <c r="Q1599" s="194">
        <v>0</v>
      </c>
      <c r="R1599" s="194">
        <v>0</v>
      </c>
      <c r="S1599" s="193">
        <f t="shared" si="342"/>
        <v>0</v>
      </c>
      <c r="T1599" s="193">
        <f t="shared" si="343"/>
        <v>0</v>
      </c>
      <c r="U1599" s="193">
        <f ca="1">OFFSET('Expenditure Study'!$B$7,'Operations Support'!$C1599,'Operations Support'!$B1599)*$G1599</f>
        <v>0</v>
      </c>
      <c r="V1599" s="199">
        <f ca="1">U1599*'Expenditure Study'!$B$31</f>
        <v>0</v>
      </c>
      <c r="W1599" s="199">
        <f ca="1">IF(A1599=10298,1.51,1)*IF($B1599&lt;3,$D1599*'Expenditure Study'!$B$32*OFFSET('Expenditure Study'!$B$7,'Operations Support'!$C1599,'Operations Support'!$B1599),0)</f>
        <v>0</v>
      </c>
      <c r="X1599" s="200">
        <f ca="1">W1599*'Expenditure Study'!$B$31</f>
        <v>0</v>
      </c>
      <c r="Y1599" s="199">
        <f ca="1">U1599*'Expenditure Study'!$B$31</f>
        <v>0</v>
      </c>
      <c r="Z1599" s="200">
        <f ca="1">W1599*'Expenditure Study'!$B$31</f>
        <v>0</v>
      </c>
      <c r="AA1599" s="195">
        <f t="shared" ca="1" si="344"/>
        <v>0</v>
      </c>
      <c r="AB1599" s="195">
        <f t="shared" ca="1" si="345"/>
        <v>0</v>
      </c>
      <c r="AD1599" s="196">
        <f>IFERROR($G1599/SUMIF($A:$A,$A1599,$G:$G)*SUMIF(Summary!$A$166:$A$242,$A1599,Summary!$P$166:$P$242),0)</f>
        <v>0</v>
      </c>
      <c r="AE1599" s="197">
        <f t="shared" ca="1" si="346"/>
        <v>0</v>
      </c>
      <c r="AF1599" s="196">
        <f>IFERROR(G1599/SUMIF(A:A,A1599,G:G)*SUMIF(Summary!$A$166:$A$242,'Operations Support'!A1599,Summary!$Q$166:$Q$242),0)</f>
        <v>0</v>
      </c>
      <c r="AG1599" s="196">
        <f t="shared" ca="1" si="347"/>
        <v>0</v>
      </c>
      <c r="AI1599" s="196">
        <f>IFERROR($G1599/SUMIF($A:$A,$A1599,$G:$G)*SUMIF(Summary!$A$247:$A$283,$A1599,Summary!$P$247:$P$283),0)</f>
        <v>0</v>
      </c>
      <c r="AJ1599" s="196">
        <f>IFERROR($G1599/SUMIF($A:$A,$A1599,$G:$G)*(SUMIF(Summary!$A$247:$A$283,$A1599,Summary!$L$247:$L$283)+SUMIF(Summary!$A$297:$A$333,$A1599,Summary!$L$297:$L$333))-AI1599,0)</f>
        <v>0</v>
      </c>
      <c r="AK1599" s="196">
        <f>IFERROR($G1599/SUMIF($A:$A,$A1599,$G:$G)*SUMIF(Summary!$A$247:$A$283,$A1599,Summary!$Q$247:$Q$283),0)</f>
        <v>0</v>
      </c>
      <c r="AL1599" s="196">
        <f>IFERROR($G1599/SUMIF($A:$A,$A1599,$G:$G)*(SUMIF(Summary!$A$247:$A$283,$A1599,Summary!$L$247:$L$283)+SUMIF(Summary!$A$297:$A$333,$A1599,Summary!$L$297:$L$333))-AK1599,0)</f>
        <v>0</v>
      </c>
      <c r="AM1599" s="198"/>
      <c r="AN1599" s="196">
        <f t="shared" ca="1" si="348"/>
        <v>0</v>
      </c>
      <c r="AO1599" s="196">
        <f t="shared" ca="1" si="349"/>
        <v>0</v>
      </c>
    </row>
    <row r="1600" spans="1:41">
      <c r="A1600" s="189">
        <v>3642</v>
      </c>
      <c r="B1600" s="190">
        <v>1</v>
      </c>
      <c r="C1600" s="191" t="s">
        <v>240</v>
      </c>
      <c r="D1600" s="192">
        <f t="shared" si="336"/>
        <v>0</v>
      </c>
      <c r="E1600" s="192">
        <f t="shared" si="337"/>
        <v>0</v>
      </c>
      <c r="F1600" s="192">
        <f t="shared" si="338"/>
        <v>0</v>
      </c>
      <c r="G1600" s="193">
        <f t="shared" si="339"/>
        <v>0</v>
      </c>
      <c r="H1600" s="194">
        <v>0</v>
      </c>
      <c r="I1600" s="194">
        <v>0</v>
      </c>
      <c r="J1600" s="194">
        <v>0</v>
      </c>
      <c r="K1600" s="193">
        <f t="shared" si="340"/>
        <v>0</v>
      </c>
      <c r="L1600" s="194">
        <v>0</v>
      </c>
      <c r="M1600" s="194">
        <v>0</v>
      </c>
      <c r="N1600" s="194">
        <v>0</v>
      </c>
      <c r="O1600" s="193">
        <f t="shared" si="341"/>
        <v>0</v>
      </c>
      <c r="P1600" s="194">
        <v>0</v>
      </c>
      <c r="Q1600" s="194">
        <v>0</v>
      </c>
      <c r="R1600" s="194">
        <v>0</v>
      </c>
      <c r="S1600" s="193">
        <f t="shared" si="342"/>
        <v>0</v>
      </c>
      <c r="T1600" s="193">
        <f t="shared" si="343"/>
        <v>0</v>
      </c>
      <c r="U1600" s="193">
        <f ca="1">OFFSET('Expenditure Study'!$B$7,'Operations Support'!$C1600,'Operations Support'!$B1600)*$G1600</f>
        <v>0</v>
      </c>
      <c r="V1600" s="199">
        <f ca="1">U1600*'Expenditure Study'!$B$31</f>
        <v>0</v>
      </c>
      <c r="W1600" s="199">
        <f ca="1">IF(A1600=10298,1.51,1)*IF($B1600&lt;3,$D1600*'Expenditure Study'!$B$32*OFFSET('Expenditure Study'!$B$7,'Operations Support'!$C1600,'Operations Support'!$B1600),0)</f>
        <v>0</v>
      </c>
      <c r="X1600" s="200">
        <f ca="1">W1600*'Expenditure Study'!$B$31</f>
        <v>0</v>
      </c>
      <c r="Y1600" s="199">
        <f ca="1">U1600*'Expenditure Study'!$B$31</f>
        <v>0</v>
      </c>
      <c r="Z1600" s="200">
        <f ca="1">W1600*'Expenditure Study'!$B$31</f>
        <v>0</v>
      </c>
      <c r="AA1600" s="195">
        <f t="shared" ca="1" si="344"/>
        <v>0</v>
      </c>
      <c r="AB1600" s="195">
        <f t="shared" ca="1" si="345"/>
        <v>0</v>
      </c>
      <c r="AD1600" s="196">
        <f>IFERROR($G1600/SUMIF($A:$A,$A1600,$G:$G)*SUMIF(Summary!$A$166:$A$242,$A1600,Summary!$P$166:$P$242),0)</f>
        <v>0</v>
      </c>
      <c r="AE1600" s="197">
        <f t="shared" ca="1" si="346"/>
        <v>0</v>
      </c>
      <c r="AF1600" s="196">
        <f>IFERROR(G1600/SUMIF(A:A,A1600,G:G)*SUMIF(Summary!$A$166:$A$242,'Operations Support'!A1600,Summary!$Q$166:$Q$242),0)</f>
        <v>0</v>
      </c>
      <c r="AG1600" s="196">
        <f t="shared" ca="1" si="347"/>
        <v>0</v>
      </c>
      <c r="AI1600" s="196">
        <f>IFERROR($G1600/SUMIF($A:$A,$A1600,$G:$G)*SUMIF(Summary!$A$247:$A$283,$A1600,Summary!$P$247:$P$283),0)</f>
        <v>0</v>
      </c>
      <c r="AJ1600" s="196">
        <f>IFERROR($G1600/SUMIF($A:$A,$A1600,$G:$G)*(SUMIF(Summary!$A$247:$A$283,$A1600,Summary!$L$247:$L$283)+SUMIF(Summary!$A$297:$A$333,$A1600,Summary!$L$297:$L$333))-AI1600,0)</f>
        <v>0</v>
      </c>
      <c r="AK1600" s="196">
        <f>IFERROR($G1600/SUMIF($A:$A,$A1600,$G:$G)*SUMIF(Summary!$A$247:$A$283,$A1600,Summary!$Q$247:$Q$283),0)</f>
        <v>0</v>
      </c>
      <c r="AL1600" s="196">
        <f>IFERROR($G1600/SUMIF($A:$A,$A1600,$G:$G)*(SUMIF(Summary!$A$247:$A$283,$A1600,Summary!$L$247:$L$283)+SUMIF(Summary!$A$297:$A$333,$A1600,Summary!$L$297:$L$333))-AK1600,0)</f>
        <v>0</v>
      </c>
      <c r="AM1600" s="198"/>
      <c r="AN1600" s="196">
        <f t="shared" ca="1" si="348"/>
        <v>0</v>
      </c>
      <c r="AO1600" s="196">
        <f t="shared" ca="1" si="349"/>
        <v>0</v>
      </c>
    </row>
    <row r="1601" spans="1:41">
      <c r="A1601" s="189">
        <v>3642</v>
      </c>
      <c r="B1601" s="190">
        <v>2</v>
      </c>
      <c r="C1601" s="191" t="s">
        <v>220</v>
      </c>
      <c r="D1601" s="192">
        <f t="shared" si="336"/>
        <v>4268.5</v>
      </c>
      <c r="E1601" s="192">
        <f t="shared" si="337"/>
        <v>9225.5</v>
      </c>
      <c r="F1601" s="192">
        <f t="shared" si="338"/>
        <v>0</v>
      </c>
      <c r="G1601" s="193">
        <f t="shared" si="339"/>
        <v>13494</v>
      </c>
      <c r="H1601" s="194">
        <v>1797</v>
      </c>
      <c r="I1601" s="194">
        <v>4458</v>
      </c>
      <c r="J1601" s="194">
        <v>0</v>
      </c>
      <c r="K1601" s="193">
        <f t="shared" si="340"/>
        <v>6255</v>
      </c>
      <c r="L1601" s="194">
        <v>1751.5</v>
      </c>
      <c r="M1601" s="194">
        <v>4429.5</v>
      </c>
      <c r="N1601" s="194">
        <v>0</v>
      </c>
      <c r="O1601" s="193">
        <f t="shared" si="341"/>
        <v>6181</v>
      </c>
      <c r="P1601" s="194">
        <v>720</v>
      </c>
      <c r="Q1601" s="194">
        <v>338</v>
      </c>
      <c r="R1601" s="194">
        <v>0</v>
      </c>
      <c r="S1601" s="193">
        <f t="shared" si="342"/>
        <v>1058</v>
      </c>
      <c r="T1601" s="193">
        <f t="shared" si="343"/>
        <v>449.8</v>
      </c>
      <c r="U1601" s="193">
        <f ca="1">OFFSET('Expenditure Study'!$B$7,'Operations Support'!$C1601,'Operations Support'!$B1601)*$G1601</f>
        <v>24828.960000000003</v>
      </c>
      <c r="V1601" s="199">
        <f ca="1">U1601*'Expenditure Study'!$B$31</f>
        <v>1466973.9327559683</v>
      </c>
      <c r="W1601" s="199">
        <f ca="1">IF(A1601=10298,1.51,1)*IF($B1601&lt;3,$D1601*'Expenditure Study'!$B$32*OFFSET('Expenditure Study'!$B$7,'Operations Support'!$C1601,'Operations Support'!$B1601),0)</f>
        <v>785.40400000000011</v>
      </c>
      <c r="X1601" s="200">
        <f ca="1">W1601*'Expenditure Study'!$B$31</f>
        <v>46404.166533043208</v>
      </c>
      <c r="Y1601" s="199">
        <f ca="1">U1601*'Expenditure Study'!$B$31</f>
        <v>1466973.9327559683</v>
      </c>
      <c r="Z1601" s="200">
        <f ca="1">W1601*'Expenditure Study'!$B$31</f>
        <v>46404.166533043208</v>
      </c>
      <c r="AA1601" s="195">
        <f t="shared" ca="1" si="344"/>
        <v>1513378.0992890114</v>
      </c>
      <c r="AB1601" s="195">
        <f t="shared" ca="1" si="345"/>
        <v>1513378.0992890114</v>
      </c>
      <c r="AD1601" s="196">
        <f>IFERROR($G1601/SUMIF($A:$A,$A1601,$G:$G)*SUMIF(Summary!$A$166:$A$242,$A1601,Summary!$P$166:$P$242),0)</f>
        <v>810870.09076464025</v>
      </c>
      <c r="AE1601" s="197">
        <f t="shared" ca="1" si="346"/>
        <v>702508.00852437119</v>
      </c>
      <c r="AF1601" s="196">
        <f>IFERROR(G1601/SUMIF(A:A,A1601,G:G)*SUMIF(Summary!$A$166:$A$242,'Operations Support'!A1601,Summary!$Q$166:$Q$242),0)</f>
        <v>814720.13901566842</v>
      </c>
      <c r="AG1601" s="196">
        <f t="shared" ca="1" si="347"/>
        <v>698657.96027334302</v>
      </c>
      <c r="AI1601" s="196">
        <f>IFERROR($G1601/SUMIF($A:$A,$A1601,$G:$G)*SUMIF(Summary!$A$247:$A$283,$A1601,Summary!$P$247:$P$283),0)</f>
        <v>147882.46951791475</v>
      </c>
      <c r="AJ1601" s="196">
        <f>IFERROR($G1601/SUMIF($A:$A,$A1601,$G:$G)*(SUMIF(Summary!$A$247:$A$283,$A1601,Summary!$L$247:$L$283)+SUMIF(Summary!$A$297:$A$333,$A1601,Summary!$L$297:$L$333))-AI1601,0)</f>
        <v>275659.76286184299</v>
      </c>
      <c r="AK1601" s="196">
        <f>IFERROR($G1601/SUMIF($A:$A,$A1601,$G:$G)*SUMIF(Summary!$A$247:$A$283,$A1601,Summary!$Q$247:$Q$283),0)</f>
        <v>148584.62224201913</v>
      </c>
      <c r="AL1601" s="196">
        <f>IFERROR($G1601/SUMIF($A:$A,$A1601,$G:$G)*(SUMIF(Summary!$A$247:$A$283,$A1601,Summary!$L$247:$L$283)+SUMIF(Summary!$A$297:$A$333,$A1601,Summary!$L$297:$L$333))-AK1601,0)</f>
        <v>274957.61013773864</v>
      </c>
      <c r="AM1601" s="198"/>
      <c r="AN1601" s="196">
        <f t="shared" ca="1" si="348"/>
        <v>978167.77138621418</v>
      </c>
      <c r="AO1601" s="196">
        <f t="shared" ca="1" si="349"/>
        <v>973615.57041108166</v>
      </c>
    </row>
    <row r="1602" spans="1:41" s="201" customFormat="1">
      <c r="A1602" s="189">
        <v>3642</v>
      </c>
      <c r="B1602" s="190">
        <v>2</v>
      </c>
      <c r="C1602" s="191" t="s">
        <v>221</v>
      </c>
      <c r="D1602" s="192">
        <f t="shared" si="336"/>
        <v>4716</v>
      </c>
      <c r="E1602" s="192">
        <f t="shared" si="337"/>
        <v>1135</v>
      </c>
      <c r="F1602" s="192">
        <f t="shared" si="338"/>
        <v>0</v>
      </c>
      <c r="G1602" s="193">
        <f t="shared" si="339"/>
        <v>5851</v>
      </c>
      <c r="H1602" s="194">
        <v>2362</v>
      </c>
      <c r="I1602" s="194">
        <v>418</v>
      </c>
      <c r="J1602" s="194">
        <v>0</v>
      </c>
      <c r="K1602" s="193">
        <f t="shared" si="340"/>
        <v>2780</v>
      </c>
      <c r="L1602" s="194">
        <v>2123</v>
      </c>
      <c r="M1602" s="194">
        <v>626</v>
      </c>
      <c r="N1602" s="194">
        <v>0</v>
      </c>
      <c r="O1602" s="193">
        <f t="shared" si="341"/>
        <v>2749</v>
      </c>
      <c r="P1602" s="194">
        <v>231</v>
      </c>
      <c r="Q1602" s="194">
        <v>91</v>
      </c>
      <c r="R1602" s="194">
        <v>0</v>
      </c>
      <c r="S1602" s="193">
        <f t="shared" si="342"/>
        <v>322</v>
      </c>
      <c r="T1602" s="193">
        <f t="shared" si="343"/>
        <v>195.03333333333333</v>
      </c>
      <c r="U1602" s="193">
        <f ca="1">OFFSET('Expenditure Study'!$B$7,'Operations Support'!$C1602,'Operations Support'!$B1602)*$G1602</f>
        <v>15388.13</v>
      </c>
      <c r="V1602" s="199">
        <f ca="1">U1602*'Expenditure Study'!$B$31</f>
        <v>909179.66696390393</v>
      </c>
      <c r="W1602" s="199">
        <f ca="1">IF(A1602=10298,1.51,1)*IF($B1602&lt;3,$D1602*'Expenditure Study'!$B$32*OFFSET('Expenditure Study'!$B$7,'Operations Support'!$C1602,'Operations Support'!$B1602),0)</f>
        <v>1240.308</v>
      </c>
      <c r="X1602" s="200">
        <f ca="1">W1602*'Expenditure Study'!$B$31</f>
        <v>73281.341811686405</v>
      </c>
      <c r="Y1602" s="199">
        <f ca="1">U1602*'Expenditure Study'!$B$31</f>
        <v>909179.66696390393</v>
      </c>
      <c r="Z1602" s="200">
        <f ca="1">W1602*'Expenditure Study'!$B$31</f>
        <v>73281.341811686405</v>
      </c>
      <c r="AA1602" s="195">
        <f t="shared" ca="1" si="344"/>
        <v>982461.00877559034</v>
      </c>
      <c r="AB1602" s="195">
        <f t="shared" ca="1" si="345"/>
        <v>982461.00877559034</v>
      </c>
      <c r="AD1602" s="196">
        <f>IFERROR($G1602/SUMIF($A:$A,$A1602,$G:$G)*SUMIF(Summary!$A$166:$A$242,$A1602,Summary!$P$166:$P$242),0)</f>
        <v>351593.3675014014</v>
      </c>
      <c r="AE1602" s="197">
        <f t="shared" ca="1" si="346"/>
        <v>630867.64127418888</v>
      </c>
      <c r="AF1602" s="196">
        <f>IFERROR(G1602/SUMIF(A:A,A1602,G:G)*SUMIF(Summary!$A$166:$A$242,'Operations Support'!A1602,Summary!$Q$166:$Q$242),0)</f>
        <v>353262.74887955212</v>
      </c>
      <c r="AG1602" s="196">
        <f t="shared" ca="1" si="347"/>
        <v>629198.25989603822</v>
      </c>
      <c r="AH1602" s="180"/>
      <c r="AI1602" s="196">
        <f>IFERROR($G1602/SUMIF($A:$A,$A1602,$G:$G)*SUMIF(Summary!$A$247:$A$283,$A1602,Summary!$P$247:$P$283),0)</f>
        <v>64121.856317572201</v>
      </c>
      <c r="AJ1602" s="196">
        <f>IFERROR($G1602/SUMIF($A:$A,$A1602,$G:$G)*(SUMIF(Summary!$A$247:$A$283,$A1602,Summary!$L$247:$L$283)+SUMIF(Summary!$A$297:$A$333,$A1602,Summary!$L$297:$L$333))-AI1602,0)</f>
        <v>119526.10586220864</v>
      </c>
      <c r="AK1602" s="196">
        <f>IFERROR($G1602/SUMIF($A:$A,$A1602,$G:$G)*SUMIF(Summary!$A$247:$A$283,$A1602,Summary!$Q$247:$Q$283),0)</f>
        <v>64426.30982199897</v>
      </c>
      <c r="AL1602" s="196">
        <f>IFERROR($G1602/SUMIF($A:$A,$A1602,$G:$G)*(SUMIF(Summary!$A$247:$A$283,$A1602,Summary!$L$247:$L$283)+SUMIF(Summary!$A$297:$A$333,$A1602,Summary!$L$297:$L$333))-AK1602,0)</f>
        <v>119221.65235778189</v>
      </c>
      <c r="AM1602" s="198"/>
      <c r="AN1602" s="196">
        <f t="shared" ca="1" si="348"/>
        <v>750393.74713639752</v>
      </c>
      <c r="AO1602" s="196">
        <f t="shared" ca="1" si="349"/>
        <v>748419.9122538201</v>
      </c>
    </row>
    <row r="1603" spans="1:41">
      <c r="A1603" s="189">
        <v>3642</v>
      </c>
      <c r="B1603" s="190">
        <v>2</v>
      </c>
      <c r="C1603" s="191" t="s">
        <v>222</v>
      </c>
      <c r="D1603" s="192">
        <f t="shared" si="336"/>
        <v>914.25</v>
      </c>
      <c r="E1603" s="192">
        <f t="shared" si="337"/>
        <v>473.75</v>
      </c>
      <c r="F1603" s="192">
        <f t="shared" si="338"/>
        <v>0</v>
      </c>
      <c r="G1603" s="193">
        <f t="shared" si="339"/>
        <v>1388</v>
      </c>
      <c r="H1603" s="194">
        <v>409.5</v>
      </c>
      <c r="I1603" s="194">
        <v>310.5</v>
      </c>
      <c r="J1603" s="194">
        <v>0</v>
      </c>
      <c r="K1603" s="193">
        <f t="shared" si="340"/>
        <v>720</v>
      </c>
      <c r="L1603" s="194">
        <v>504.75</v>
      </c>
      <c r="M1603" s="194">
        <v>163.25</v>
      </c>
      <c r="N1603" s="194">
        <v>0</v>
      </c>
      <c r="O1603" s="193">
        <f t="shared" si="341"/>
        <v>668</v>
      </c>
      <c r="P1603" s="194">
        <v>0</v>
      </c>
      <c r="Q1603" s="194">
        <v>0</v>
      </c>
      <c r="R1603" s="194">
        <v>0</v>
      </c>
      <c r="S1603" s="193">
        <f t="shared" si="342"/>
        <v>0</v>
      </c>
      <c r="T1603" s="193">
        <f t="shared" si="343"/>
        <v>46.266666666666666</v>
      </c>
      <c r="U1603" s="193">
        <f ca="1">OFFSET('Expenditure Study'!$B$7,'Operations Support'!$C1603,'Operations Support'!$B1603)*$G1603</f>
        <v>3692.0800000000004</v>
      </c>
      <c r="V1603" s="199">
        <f ca="1">U1603*'Expenditure Study'!$B$31</f>
        <v>218139.83016806401</v>
      </c>
      <c r="W1603" s="199">
        <f ca="1">IF(A1603=10298,1.51,1)*IF($B1603&lt;3,$D1603*'Expenditure Study'!$B$32*OFFSET('Expenditure Study'!$B$7,'Operations Support'!$C1603,'Operations Support'!$B1603),0)</f>
        <v>243.19050000000004</v>
      </c>
      <c r="X1603" s="200">
        <f ca="1">W1603*'Expenditure Study'!$B$31</f>
        <v>14368.468280342402</v>
      </c>
      <c r="Y1603" s="199">
        <f ca="1">U1603*'Expenditure Study'!$B$31</f>
        <v>218139.83016806401</v>
      </c>
      <c r="Z1603" s="200">
        <f ca="1">W1603*'Expenditure Study'!$B$31</f>
        <v>14368.468280342402</v>
      </c>
      <c r="AA1603" s="195">
        <f t="shared" ca="1" si="344"/>
        <v>232508.29844840642</v>
      </c>
      <c r="AB1603" s="195">
        <f t="shared" ca="1" si="345"/>
        <v>232508.29844840642</v>
      </c>
      <c r="AD1603" s="196">
        <f>IFERROR($G1603/SUMIF($A:$A,$A1603,$G:$G)*SUMIF(Summary!$A$166:$A$242,$A1603,Summary!$P$166:$P$242),0)</f>
        <v>83406.527788744686</v>
      </c>
      <c r="AE1603" s="197">
        <f t="shared" ca="1" si="346"/>
        <v>149101.77065966174</v>
      </c>
      <c r="AF1603" s="196">
        <f>IFERROR(G1603/SUMIF(A:A,A1603,G:G)*SUMIF(Summary!$A$166:$A$242,'Operations Support'!A1603,Summary!$Q$166:$Q$242),0)</f>
        <v>83802.545794704885</v>
      </c>
      <c r="AG1603" s="196">
        <f t="shared" ca="1" si="347"/>
        <v>148705.75265370152</v>
      </c>
      <c r="AI1603" s="196">
        <f>IFERROR($G1603/SUMIF($A:$A,$A1603,$G:$G)*SUMIF(Summary!$A$247:$A$283,$A1603,Summary!$P$247:$P$283),0)</f>
        <v>15211.269281967221</v>
      </c>
      <c r="AJ1603" s="196">
        <f>IFERROR($G1603/SUMIF($A:$A,$A1603,$G:$G)*(SUMIF(Summary!$A$247:$A$283,$A1603,Summary!$L$247:$L$283)+SUMIF(Summary!$A$297:$A$333,$A1603,Summary!$L$297:$L$333))-AI1603,0)</f>
        <v>28354.509474747152</v>
      </c>
      <c r="AK1603" s="196">
        <f>IFERROR($G1603/SUMIF($A:$A,$A1603,$G:$G)*SUMIF(Summary!$A$247:$A$283,$A1603,Summary!$Q$247:$Q$283),0)</f>
        <v>15283.493083735186</v>
      </c>
      <c r="AL1603" s="196">
        <f>IFERROR($G1603/SUMIF($A:$A,$A1603,$G:$G)*(SUMIF(Summary!$A$247:$A$283,$A1603,Summary!$L$247:$L$283)+SUMIF(Summary!$A$297:$A$333,$A1603,Summary!$L$297:$L$333))-AK1603,0)</f>
        <v>28282.285672979189</v>
      </c>
      <c r="AM1603" s="198"/>
      <c r="AN1603" s="196">
        <f t="shared" ca="1" si="348"/>
        <v>177456.28013440888</v>
      </c>
      <c r="AO1603" s="196">
        <f t="shared" ca="1" si="349"/>
        <v>176988.03832668072</v>
      </c>
    </row>
    <row r="1604" spans="1:41">
      <c r="A1604" s="189">
        <v>3642</v>
      </c>
      <c r="B1604" s="190">
        <v>2</v>
      </c>
      <c r="C1604" s="191" t="s">
        <v>223</v>
      </c>
      <c r="D1604" s="192">
        <f t="shared" si="336"/>
        <v>1119</v>
      </c>
      <c r="E1604" s="192">
        <f t="shared" si="337"/>
        <v>1659</v>
      </c>
      <c r="F1604" s="192">
        <f t="shared" si="338"/>
        <v>0</v>
      </c>
      <c r="G1604" s="193">
        <f t="shared" si="339"/>
        <v>2778</v>
      </c>
      <c r="H1604" s="194">
        <v>438</v>
      </c>
      <c r="I1604" s="194">
        <v>716</v>
      </c>
      <c r="J1604" s="194">
        <v>0</v>
      </c>
      <c r="K1604" s="193">
        <f t="shared" si="340"/>
        <v>1154</v>
      </c>
      <c r="L1604" s="194">
        <v>459</v>
      </c>
      <c r="M1604" s="194">
        <v>847</v>
      </c>
      <c r="N1604" s="194">
        <v>0</v>
      </c>
      <c r="O1604" s="193">
        <f t="shared" si="341"/>
        <v>1306</v>
      </c>
      <c r="P1604" s="194">
        <v>222</v>
      </c>
      <c r="Q1604" s="194">
        <v>96</v>
      </c>
      <c r="R1604" s="194">
        <v>0</v>
      </c>
      <c r="S1604" s="193">
        <f t="shared" si="342"/>
        <v>318</v>
      </c>
      <c r="T1604" s="193">
        <f t="shared" si="343"/>
        <v>92.6</v>
      </c>
      <c r="U1604" s="193">
        <f ca="1">OFFSET('Expenditure Study'!$B$7,'Operations Support'!$C1604,'Operations Support'!$B1604)*$G1604</f>
        <v>5278.2</v>
      </c>
      <c r="V1604" s="199">
        <f ca="1">U1604*'Expenditure Study'!$B$31</f>
        <v>311852.84489855997</v>
      </c>
      <c r="W1604" s="199">
        <f ca="1">IF(A1604=10298,1.51,1)*IF($B1604&lt;3,$D1604*'Expenditure Study'!$B$32*OFFSET('Expenditure Study'!$B$7,'Operations Support'!$C1604,'Operations Support'!$B1604),0)</f>
        <v>212.61</v>
      </c>
      <c r="X1604" s="200">
        <f ca="1">W1604*'Expenditure Study'!$B$31</f>
        <v>12561.675069888001</v>
      </c>
      <c r="Y1604" s="199">
        <f ca="1">U1604*'Expenditure Study'!$B$31</f>
        <v>311852.84489855997</v>
      </c>
      <c r="Z1604" s="200">
        <f ca="1">W1604*'Expenditure Study'!$B$31</f>
        <v>12561.675069888001</v>
      </c>
      <c r="AA1604" s="195">
        <f t="shared" ca="1" si="344"/>
        <v>324414.51996844797</v>
      </c>
      <c r="AB1604" s="195">
        <f t="shared" ca="1" si="345"/>
        <v>324414.51996844797</v>
      </c>
      <c r="AD1604" s="196">
        <f>IFERROR($G1604/SUMIF($A:$A,$A1604,$G:$G)*SUMIF(Summary!$A$166:$A$242,$A1604,Summary!$P$166:$P$242),0)</f>
        <v>166933.23789418786</v>
      </c>
      <c r="AE1604" s="197">
        <f t="shared" ca="1" si="346"/>
        <v>157481.28207426012</v>
      </c>
      <c r="AF1604" s="196">
        <f>IFERROR(G1604/SUMIF(A:A,A1604,G:G)*SUMIF(Summary!$A$166:$A$242,'Operations Support'!A1604,Summary!$Q$166:$Q$242),0)</f>
        <v>167725.84453724077</v>
      </c>
      <c r="AG1604" s="196">
        <f t="shared" ca="1" si="347"/>
        <v>156688.6754312072</v>
      </c>
      <c r="AI1604" s="196">
        <f>IFERROR($G1604/SUMIF($A:$A,$A1604,$G:$G)*SUMIF(Summary!$A$247:$A$283,$A1604,Summary!$P$247:$P$283),0)</f>
        <v>30444.456819383962</v>
      </c>
      <c r="AJ1604" s="196">
        <f>IFERROR($G1604/SUMIF($A:$A,$A1604,$G:$G)*(SUMIF(Summary!$A$247:$A$283,$A1604,Summary!$L$247:$L$283)+SUMIF(Summary!$A$297:$A$333,$A1604,Summary!$L$297:$L$333))-AI1604,0)</f>
        <v>56749.875591388758</v>
      </c>
      <c r="AK1604" s="196">
        <f>IFERROR($G1604/SUMIF($A:$A,$A1604,$G:$G)*SUMIF(Summary!$A$247:$A$283,$A1604,Summary!$Q$247:$Q$283),0)</f>
        <v>30589.008491798519</v>
      </c>
      <c r="AL1604" s="196">
        <f>IFERROR($G1604/SUMIF($A:$A,$A1604,$G:$G)*(SUMIF(Summary!$A$247:$A$283,$A1604,Summary!$L$247:$L$283)+SUMIF(Summary!$A$297:$A$333,$A1604,Summary!$L$297:$L$333))-AK1604,0)</f>
        <v>56605.323918974202</v>
      </c>
      <c r="AM1604" s="198"/>
      <c r="AN1604" s="196">
        <f t="shared" ca="1" si="348"/>
        <v>214231.15766564888</v>
      </c>
      <c r="AO1604" s="196">
        <f t="shared" ca="1" si="349"/>
        <v>213293.9993501814</v>
      </c>
    </row>
    <row r="1605" spans="1:41">
      <c r="A1605" s="189">
        <v>3642</v>
      </c>
      <c r="B1605" s="190">
        <v>2</v>
      </c>
      <c r="C1605" s="191" t="s">
        <v>224</v>
      </c>
      <c r="D1605" s="192">
        <f t="shared" ref="D1605:D1668" si="350">H1605+L1605+P1605</f>
        <v>0</v>
      </c>
      <c r="E1605" s="192">
        <f t="shared" ref="E1605:E1668" si="351">I1605+M1605+Q1605</f>
        <v>0</v>
      </c>
      <c r="F1605" s="192">
        <f t="shared" ref="F1605:F1668" si="352">J1605+N1605+R1605</f>
        <v>0</v>
      </c>
      <c r="G1605" s="193">
        <f t="shared" ref="G1605:G1668" si="353">(SUM(D1605:E1605)-F1605)*IF(A1605=10298,1.51,1)</f>
        <v>0</v>
      </c>
      <c r="H1605" s="194">
        <v>0</v>
      </c>
      <c r="I1605" s="194">
        <v>0</v>
      </c>
      <c r="J1605" s="194">
        <v>0</v>
      </c>
      <c r="K1605" s="193">
        <f t="shared" ref="K1605:K1668" si="354">SUM(H1605:I1605)-J1605</f>
        <v>0</v>
      </c>
      <c r="L1605" s="194">
        <v>0</v>
      </c>
      <c r="M1605" s="194">
        <v>0</v>
      </c>
      <c r="N1605" s="194">
        <v>0</v>
      </c>
      <c r="O1605" s="193">
        <f t="shared" ref="O1605:O1668" si="355">SUM(L1605:M1605)-N1605</f>
        <v>0</v>
      </c>
      <c r="P1605" s="194">
        <v>0</v>
      </c>
      <c r="Q1605" s="194">
        <v>0</v>
      </c>
      <c r="R1605" s="194">
        <v>0</v>
      </c>
      <c r="S1605" s="193">
        <f t="shared" ref="S1605:S1668" si="356">SUM(P1605:Q1605)-R1605</f>
        <v>0</v>
      </c>
      <c r="T1605" s="193">
        <f t="shared" ref="T1605:T1668" si="357">IF(OR(B1605=1,B1605=2),G1605/30,IF(OR(B1605=3,B1605=5),G1605/24,IF(B1605=4,G1605/18,0)))</f>
        <v>0</v>
      </c>
      <c r="U1605" s="193">
        <f ca="1">OFFSET('Expenditure Study'!$B$7,'Operations Support'!$C1605,'Operations Support'!$B1605)*$G1605</f>
        <v>0</v>
      </c>
      <c r="V1605" s="199">
        <f ca="1">U1605*'Expenditure Study'!$B$31</f>
        <v>0</v>
      </c>
      <c r="W1605" s="199">
        <f ca="1">IF(A1605=10298,1.51,1)*IF($B1605&lt;3,$D1605*'Expenditure Study'!$B$32*OFFSET('Expenditure Study'!$B$7,'Operations Support'!$C1605,'Operations Support'!$B1605),0)</f>
        <v>0</v>
      </c>
      <c r="X1605" s="200">
        <f ca="1">W1605*'Expenditure Study'!$B$31</f>
        <v>0</v>
      </c>
      <c r="Y1605" s="199">
        <f ca="1">U1605*'Expenditure Study'!$B$31</f>
        <v>0</v>
      </c>
      <c r="Z1605" s="200">
        <f ca="1">W1605*'Expenditure Study'!$B$31</f>
        <v>0</v>
      </c>
      <c r="AA1605" s="195">
        <f t="shared" ref="AA1605:AA1668" ca="1" si="358">V1605+X1605</f>
        <v>0</v>
      </c>
      <c r="AB1605" s="195">
        <f t="shared" ref="AB1605:AB1668" ca="1" si="359">Y1605+Z1605</f>
        <v>0</v>
      </c>
      <c r="AD1605" s="196">
        <f>IFERROR($G1605/SUMIF($A:$A,$A1605,$G:$G)*SUMIF(Summary!$A$166:$A$242,$A1605,Summary!$P$166:$P$242),0)</f>
        <v>0</v>
      </c>
      <c r="AE1605" s="197">
        <f t="shared" ca="1" si="346"/>
        <v>0</v>
      </c>
      <c r="AF1605" s="196">
        <f>IFERROR(G1605/SUMIF(A:A,A1605,G:G)*SUMIF(Summary!$A$166:$A$242,'Operations Support'!A1605,Summary!$Q$166:$Q$242),0)</f>
        <v>0</v>
      </c>
      <c r="AG1605" s="196">
        <f t="shared" ca="1" si="347"/>
        <v>0</v>
      </c>
      <c r="AI1605" s="196">
        <f>IFERROR($G1605/SUMIF($A:$A,$A1605,$G:$G)*SUMIF(Summary!$A$247:$A$283,$A1605,Summary!$P$247:$P$283),0)</f>
        <v>0</v>
      </c>
      <c r="AJ1605" s="196">
        <f>IFERROR($G1605/SUMIF($A:$A,$A1605,$G:$G)*(SUMIF(Summary!$A$247:$A$283,$A1605,Summary!$L$247:$L$283)+SUMIF(Summary!$A$297:$A$333,$A1605,Summary!$L$297:$L$333))-AI1605,0)</f>
        <v>0</v>
      </c>
      <c r="AK1605" s="196">
        <f>IFERROR($G1605/SUMIF($A:$A,$A1605,$G:$G)*SUMIF(Summary!$A$247:$A$283,$A1605,Summary!$Q$247:$Q$283),0)</f>
        <v>0</v>
      </c>
      <c r="AL1605" s="196">
        <f>IFERROR($G1605/SUMIF($A:$A,$A1605,$G:$G)*(SUMIF(Summary!$A$247:$A$283,$A1605,Summary!$L$247:$L$283)+SUMIF(Summary!$A$297:$A$333,$A1605,Summary!$L$297:$L$333))-AK1605,0)</f>
        <v>0</v>
      </c>
      <c r="AM1605" s="198"/>
      <c r="AN1605" s="196">
        <f t="shared" ca="1" si="348"/>
        <v>0</v>
      </c>
      <c r="AO1605" s="196">
        <f t="shared" ca="1" si="349"/>
        <v>0</v>
      </c>
    </row>
    <row r="1606" spans="1:41">
      <c r="A1606" s="189">
        <v>3642</v>
      </c>
      <c r="B1606" s="190">
        <v>2</v>
      </c>
      <c r="C1606" s="191" t="s">
        <v>225</v>
      </c>
      <c r="D1606" s="192">
        <f t="shared" si="350"/>
        <v>2025</v>
      </c>
      <c r="E1606" s="192">
        <f t="shared" si="351"/>
        <v>565</v>
      </c>
      <c r="F1606" s="192">
        <f t="shared" si="352"/>
        <v>0</v>
      </c>
      <c r="G1606" s="193">
        <f t="shared" si="353"/>
        <v>2590</v>
      </c>
      <c r="H1606" s="194">
        <v>830</v>
      </c>
      <c r="I1606" s="194">
        <v>304</v>
      </c>
      <c r="J1606" s="194">
        <v>0</v>
      </c>
      <c r="K1606" s="193">
        <f t="shared" si="354"/>
        <v>1134</v>
      </c>
      <c r="L1606" s="194">
        <v>1115</v>
      </c>
      <c r="M1606" s="194">
        <v>261</v>
      </c>
      <c r="N1606" s="194">
        <v>0</v>
      </c>
      <c r="O1606" s="193">
        <f t="shared" si="355"/>
        <v>1376</v>
      </c>
      <c r="P1606" s="194">
        <v>80</v>
      </c>
      <c r="Q1606" s="194">
        <v>0</v>
      </c>
      <c r="R1606" s="194">
        <v>0</v>
      </c>
      <c r="S1606" s="193">
        <f t="shared" si="356"/>
        <v>80</v>
      </c>
      <c r="T1606" s="193">
        <f t="shared" si="357"/>
        <v>86.333333333333329</v>
      </c>
      <c r="U1606" s="193">
        <f ca="1">OFFSET('Expenditure Study'!$B$7,'Operations Support'!$C1606,'Operations Support'!$B1606)*$G1606</f>
        <v>7251.9999999999991</v>
      </c>
      <c r="V1606" s="199">
        <f ca="1">U1606*'Expenditure Study'!$B$31</f>
        <v>428471.22716159996</v>
      </c>
      <c r="W1606" s="199">
        <f ca="1">IF(A1606=10298,1.51,1)*IF($B1606&lt;3,$D1606*'Expenditure Study'!$B$32*OFFSET('Expenditure Study'!$B$7,'Operations Support'!$C1606,'Operations Support'!$B1606),0)</f>
        <v>567</v>
      </c>
      <c r="X1606" s="200">
        <f ca="1">W1606*'Expenditure Study'!$B$31</f>
        <v>33500.163513600004</v>
      </c>
      <c r="Y1606" s="199">
        <f ca="1">U1606*'Expenditure Study'!$B$31</f>
        <v>428471.22716159996</v>
      </c>
      <c r="Z1606" s="200">
        <f ca="1">W1606*'Expenditure Study'!$B$31</f>
        <v>33500.163513600004</v>
      </c>
      <c r="AA1606" s="195">
        <f t="shared" ca="1" si="358"/>
        <v>461971.39067519997</v>
      </c>
      <c r="AB1606" s="195">
        <f t="shared" ca="1" si="359"/>
        <v>461971.39067519997</v>
      </c>
      <c r="AD1606" s="196">
        <f>IFERROR($G1606/SUMIF($A:$A,$A1606,$G:$G)*SUMIF(Summary!$A$166:$A$242,$A1606,Summary!$P$166:$P$242),0)</f>
        <v>155636.10012453079</v>
      </c>
      <c r="AE1606" s="197">
        <f t="shared" ref="AE1606:AE1669" ca="1" si="360">V1606+X1606-AD1606</f>
        <v>306335.29055066919</v>
      </c>
      <c r="AF1606" s="196">
        <f>IFERROR(G1606/SUMIF(A:A,A1606,G:G)*SUMIF(Summary!$A$166:$A$242,'Operations Support'!A1606,Summary!$Q$166:$Q$242),0)</f>
        <v>156375.06744112799</v>
      </c>
      <c r="AG1606" s="196">
        <f t="shared" ref="AG1606:AG1669" ca="1" si="361">Y1606+Z1606-AF1606</f>
        <v>305596.32323407196</v>
      </c>
      <c r="AI1606" s="196">
        <f>IFERROR($G1606/SUMIF($A:$A,$A1606,$G:$G)*SUMIF(Summary!$A$247:$A$283,$A1606,Summary!$P$247:$P$283),0)</f>
        <v>28384.140807129035</v>
      </c>
      <c r="AJ1606" s="196">
        <f>IFERROR($G1606/SUMIF($A:$A,$A1606,$G:$G)*(SUMIF(Summary!$A$247:$A$283,$A1606,Summary!$L$247:$L$283)+SUMIF(Summary!$A$297:$A$333,$A1606,Summary!$L$297:$L$333))-AI1606,0)</f>
        <v>52909.351253310611</v>
      </c>
      <c r="AK1606" s="196">
        <f>IFERROR($G1606/SUMIF($A:$A,$A1606,$G:$G)*SUMIF(Summary!$A$247:$A$283,$A1606,Summary!$Q$247:$Q$283),0)</f>
        <v>28518.91000495254</v>
      </c>
      <c r="AL1606" s="196">
        <f>IFERROR($G1606/SUMIF($A:$A,$A1606,$G:$G)*(SUMIF(Summary!$A$247:$A$283,$A1606,Summary!$L$247:$L$283)+SUMIF(Summary!$A$297:$A$333,$A1606,Summary!$L$297:$L$333))-AK1606,0)</f>
        <v>52774.582055487102</v>
      </c>
      <c r="AM1606" s="198"/>
      <c r="AN1606" s="196">
        <f t="shared" ref="AN1606:AN1669" ca="1" si="362">AE1606+AJ1606</f>
        <v>359244.64180397982</v>
      </c>
      <c r="AO1606" s="196">
        <f t="shared" ref="AO1606:AO1669" ca="1" si="363">AG1606+AL1606</f>
        <v>358370.90528955904</v>
      </c>
    </row>
    <row r="1607" spans="1:41">
      <c r="A1607" s="189">
        <v>3642</v>
      </c>
      <c r="B1607" s="190">
        <v>2</v>
      </c>
      <c r="C1607" s="191" t="s">
        <v>226</v>
      </c>
      <c r="D1607" s="192">
        <f t="shared" si="350"/>
        <v>296</v>
      </c>
      <c r="E1607" s="192">
        <f t="shared" si="351"/>
        <v>294</v>
      </c>
      <c r="F1607" s="192">
        <f t="shared" si="352"/>
        <v>0</v>
      </c>
      <c r="G1607" s="193">
        <f t="shared" si="353"/>
        <v>590</v>
      </c>
      <c r="H1607" s="194">
        <v>95</v>
      </c>
      <c r="I1607" s="194">
        <v>117</v>
      </c>
      <c r="J1607" s="194">
        <v>0</v>
      </c>
      <c r="K1607" s="193">
        <f t="shared" si="354"/>
        <v>212</v>
      </c>
      <c r="L1607" s="194">
        <v>201</v>
      </c>
      <c r="M1607" s="194">
        <v>177</v>
      </c>
      <c r="N1607" s="194">
        <v>0</v>
      </c>
      <c r="O1607" s="193">
        <f t="shared" si="355"/>
        <v>378</v>
      </c>
      <c r="P1607" s="194">
        <v>0</v>
      </c>
      <c r="Q1607" s="194">
        <v>0</v>
      </c>
      <c r="R1607" s="194">
        <v>0</v>
      </c>
      <c r="S1607" s="193">
        <f t="shared" si="356"/>
        <v>0</v>
      </c>
      <c r="T1607" s="193">
        <f t="shared" si="357"/>
        <v>19.666666666666668</v>
      </c>
      <c r="U1607" s="193">
        <f ca="1">OFFSET('Expenditure Study'!$B$7,'Operations Support'!$C1607,'Operations Support'!$B1607)*$G1607</f>
        <v>1062</v>
      </c>
      <c r="V1607" s="199">
        <f ca="1">U1607*'Expenditure Study'!$B$31</f>
        <v>62746.338009600004</v>
      </c>
      <c r="W1607" s="199">
        <f ca="1">IF(A1607=10298,1.51,1)*IF($B1607&lt;3,$D1607*'Expenditure Study'!$B$32*OFFSET('Expenditure Study'!$B$7,'Operations Support'!$C1607,'Operations Support'!$B1607),0)</f>
        <v>53.28</v>
      </c>
      <c r="X1607" s="200">
        <f ca="1">W1607*'Expenditure Study'!$B$31</f>
        <v>3147.9518730240002</v>
      </c>
      <c r="Y1607" s="199">
        <f ca="1">U1607*'Expenditure Study'!$B$31</f>
        <v>62746.338009600004</v>
      </c>
      <c r="Z1607" s="200">
        <f ca="1">W1607*'Expenditure Study'!$B$31</f>
        <v>3147.9518730240002</v>
      </c>
      <c r="AA1607" s="195">
        <f t="shared" ca="1" si="358"/>
        <v>65894.289882623998</v>
      </c>
      <c r="AB1607" s="195">
        <f t="shared" ca="1" si="359"/>
        <v>65894.289882623998</v>
      </c>
      <c r="AD1607" s="196">
        <f>IFERROR($G1607/SUMIF($A:$A,$A1607,$G:$G)*SUMIF(Summary!$A$166:$A$242,$A1607,Summary!$P$166:$P$242),0)</f>
        <v>35453.783426051414</v>
      </c>
      <c r="AE1607" s="197">
        <f t="shared" ca="1" si="360"/>
        <v>30440.506456572584</v>
      </c>
      <c r="AF1607" s="196">
        <f>IFERROR(G1607/SUMIF(A:A,A1607,G:G)*SUMIF(Summary!$A$166:$A$242,'Operations Support'!A1607,Summary!$Q$166:$Q$242),0)</f>
        <v>35622.119610141126</v>
      </c>
      <c r="AG1607" s="196">
        <f t="shared" ca="1" si="361"/>
        <v>30272.170272482872</v>
      </c>
      <c r="AI1607" s="196">
        <f>IFERROR($G1607/SUMIF($A:$A,$A1607,$G:$G)*SUMIF(Summary!$A$247:$A$283,$A1607,Summary!$P$247:$P$283),0)</f>
        <v>6465.8853576085448</v>
      </c>
      <c r="AJ1607" s="196">
        <f>IFERROR($G1607/SUMIF($A:$A,$A1607,$G:$G)*(SUMIF(Summary!$A$247:$A$283,$A1607,Summary!$L$247:$L$283)+SUMIF(Summary!$A$297:$A$333,$A1607,Summary!$L$297:$L$333))-AI1607,0)</f>
        <v>12052.709358862263</v>
      </c>
      <c r="AK1607" s="196">
        <f>IFERROR($G1607/SUMIF($A:$A,$A1607,$G:$G)*SUMIF(Summary!$A$247:$A$283,$A1607,Summary!$Q$247:$Q$283),0)</f>
        <v>6496.5856768038611</v>
      </c>
      <c r="AL1607" s="196">
        <f>IFERROR($G1607/SUMIF($A:$A,$A1607,$G:$G)*(SUMIF(Summary!$A$247:$A$283,$A1607,Summary!$L$247:$L$283)+SUMIF(Summary!$A$297:$A$333,$A1607,Summary!$L$297:$L$333))-AK1607,0)</f>
        <v>12022.009039666948</v>
      </c>
      <c r="AM1607" s="198"/>
      <c r="AN1607" s="196">
        <f t="shared" ca="1" si="362"/>
        <v>42493.215815434844</v>
      </c>
      <c r="AO1607" s="196">
        <f t="shared" ca="1" si="363"/>
        <v>42294.179312149819</v>
      </c>
    </row>
    <row r="1608" spans="1:41">
      <c r="A1608" s="189">
        <v>3642</v>
      </c>
      <c r="B1608" s="190">
        <v>2</v>
      </c>
      <c r="C1608" s="191" t="s">
        <v>227</v>
      </c>
      <c r="D1608" s="192">
        <f t="shared" si="350"/>
        <v>0</v>
      </c>
      <c r="E1608" s="192">
        <f t="shared" si="351"/>
        <v>0</v>
      </c>
      <c r="F1608" s="192">
        <f t="shared" si="352"/>
        <v>0</v>
      </c>
      <c r="G1608" s="193">
        <f t="shared" si="353"/>
        <v>0</v>
      </c>
      <c r="H1608" s="194">
        <v>0</v>
      </c>
      <c r="I1608" s="194">
        <v>0</v>
      </c>
      <c r="J1608" s="194">
        <v>0</v>
      </c>
      <c r="K1608" s="193">
        <f t="shared" si="354"/>
        <v>0</v>
      </c>
      <c r="L1608" s="194">
        <v>0</v>
      </c>
      <c r="M1608" s="194">
        <v>0</v>
      </c>
      <c r="N1608" s="194">
        <v>0</v>
      </c>
      <c r="O1608" s="193">
        <f t="shared" si="355"/>
        <v>0</v>
      </c>
      <c r="P1608" s="194">
        <v>0</v>
      </c>
      <c r="Q1608" s="194">
        <v>0</v>
      </c>
      <c r="R1608" s="194">
        <v>0</v>
      </c>
      <c r="S1608" s="193">
        <f t="shared" si="356"/>
        <v>0</v>
      </c>
      <c r="T1608" s="193">
        <f t="shared" si="357"/>
        <v>0</v>
      </c>
      <c r="U1608" s="193">
        <f ca="1">OFFSET('Expenditure Study'!$B$7,'Operations Support'!$C1608,'Operations Support'!$B1608)*$G1608</f>
        <v>0</v>
      </c>
      <c r="V1608" s="199">
        <f ca="1">U1608*'Expenditure Study'!$B$31</f>
        <v>0</v>
      </c>
      <c r="W1608" s="199">
        <f ca="1">IF(A1608=10298,1.51,1)*IF($B1608&lt;3,$D1608*'Expenditure Study'!$B$32*OFFSET('Expenditure Study'!$B$7,'Operations Support'!$C1608,'Operations Support'!$B1608),0)</f>
        <v>0</v>
      </c>
      <c r="X1608" s="200">
        <f ca="1">W1608*'Expenditure Study'!$B$31</f>
        <v>0</v>
      </c>
      <c r="Y1608" s="199">
        <f ca="1">U1608*'Expenditure Study'!$B$31</f>
        <v>0</v>
      </c>
      <c r="Z1608" s="200">
        <f ca="1">W1608*'Expenditure Study'!$B$31</f>
        <v>0</v>
      </c>
      <c r="AA1608" s="195">
        <f t="shared" ca="1" si="358"/>
        <v>0</v>
      </c>
      <c r="AB1608" s="195">
        <f t="shared" ca="1" si="359"/>
        <v>0</v>
      </c>
      <c r="AD1608" s="196">
        <f>IFERROR($G1608/SUMIF($A:$A,$A1608,$G:$G)*SUMIF(Summary!$A$166:$A$242,$A1608,Summary!$P$166:$P$242),0)</f>
        <v>0</v>
      </c>
      <c r="AE1608" s="197">
        <f t="shared" ca="1" si="360"/>
        <v>0</v>
      </c>
      <c r="AF1608" s="196">
        <f>IFERROR(G1608/SUMIF(A:A,A1608,G:G)*SUMIF(Summary!$A$166:$A$242,'Operations Support'!A1608,Summary!$Q$166:$Q$242),0)</f>
        <v>0</v>
      </c>
      <c r="AG1608" s="196">
        <f t="shared" ca="1" si="361"/>
        <v>0</v>
      </c>
      <c r="AI1608" s="196">
        <f>IFERROR($G1608/SUMIF($A:$A,$A1608,$G:$G)*SUMIF(Summary!$A$247:$A$283,$A1608,Summary!$P$247:$P$283),0)</f>
        <v>0</v>
      </c>
      <c r="AJ1608" s="196">
        <f>IFERROR($G1608/SUMIF($A:$A,$A1608,$G:$G)*(SUMIF(Summary!$A$247:$A$283,$A1608,Summary!$L$247:$L$283)+SUMIF(Summary!$A$297:$A$333,$A1608,Summary!$L$297:$L$333))-AI1608,0)</f>
        <v>0</v>
      </c>
      <c r="AK1608" s="196">
        <f>IFERROR($G1608/SUMIF($A:$A,$A1608,$G:$G)*SUMIF(Summary!$A$247:$A$283,$A1608,Summary!$Q$247:$Q$283),0)</f>
        <v>0</v>
      </c>
      <c r="AL1608" s="196">
        <f>IFERROR($G1608/SUMIF($A:$A,$A1608,$G:$G)*(SUMIF(Summary!$A$247:$A$283,$A1608,Summary!$L$247:$L$283)+SUMIF(Summary!$A$297:$A$333,$A1608,Summary!$L$297:$L$333))-AK1608,0)</f>
        <v>0</v>
      </c>
      <c r="AM1608" s="198"/>
      <c r="AN1608" s="196">
        <f t="shared" ca="1" si="362"/>
        <v>0</v>
      </c>
      <c r="AO1608" s="196">
        <f t="shared" ca="1" si="363"/>
        <v>0</v>
      </c>
    </row>
    <row r="1609" spans="1:41">
      <c r="A1609" s="189">
        <v>3642</v>
      </c>
      <c r="B1609" s="190">
        <v>2</v>
      </c>
      <c r="C1609" s="191" t="s">
        <v>228</v>
      </c>
      <c r="D1609" s="192">
        <f t="shared" si="350"/>
        <v>285</v>
      </c>
      <c r="E1609" s="192">
        <f t="shared" si="351"/>
        <v>1185</v>
      </c>
      <c r="F1609" s="192">
        <f t="shared" si="352"/>
        <v>0</v>
      </c>
      <c r="G1609" s="193">
        <f t="shared" si="353"/>
        <v>1470</v>
      </c>
      <c r="H1609" s="194">
        <v>90</v>
      </c>
      <c r="I1609" s="194">
        <v>608</v>
      </c>
      <c r="J1609" s="194">
        <v>0</v>
      </c>
      <c r="K1609" s="193">
        <f t="shared" si="354"/>
        <v>698</v>
      </c>
      <c r="L1609" s="194">
        <v>168</v>
      </c>
      <c r="M1609" s="194">
        <v>523</v>
      </c>
      <c r="N1609" s="194">
        <v>0</v>
      </c>
      <c r="O1609" s="193">
        <f t="shared" si="355"/>
        <v>691</v>
      </c>
      <c r="P1609" s="194">
        <v>27</v>
      </c>
      <c r="Q1609" s="194">
        <v>54</v>
      </c>
      <c r="R1609" s="194">
        <v>0</v>
      </c>
      <c r="S1609" s="193">
        <f t="shared" si="356"/>
        <v>81</v>
      </c>
      <c r="T1609" s="193">
        <f t="shared" si="357"/>
        <v>49</v>
      </c>
      <c r="U1609" s="193">
        <f ca="1">OFFSET('Expenditure Study'!$B$7,'Operations Support'!$C1609,'Operations Support'!$B1609)*$G1609</f>
        <v>2807.7</v>
      </c>
      <c r="V1609" s="199">
        <f ca="1">U1609*'Expenditure Study'!$B$31</f>
        <v>165887.84673215999</v>
      </c>
      <c r="W1609" s="199">
        <f ca="1">IF(A1609=10298,1.51,1)*IF($B1609&lt;3,$D1609*'Expenditure Study'!$B$32*OFFSET('Expenditure Study'!$B$7,'Operations Support'!$C1609,'Operations Support'!$B1609),0)</f>
        <v>54.434999999999995</v>
      </c>
      <c r="X1609" s="200">
        <f ca="1">W1609*'Expenditure Study'!$B$31</f>
        <v>3216.1929468479998</v>
      </c>
      <c r="Y1609" s="199">
        <f ca="1">U1609*'Expenditure Study'!$B$31</f>
        <v>165887.84673215999</v>
      </c>
      <c r="Z1609" s="200">
        <f ca="1">W1609*'Expenditure Study'!$B$31</f>
        <v>3216.1929468479998</v>
      </c>
      <c r="AA1609" s="195">
        <f t="shared" ca="1" si="358"/>
        <v>169104.03967900798</v>
      </c>
      <c r="AB1609" s="195">
        <f t="shared" ca="1" si="359"/>
        <v>169104.03967900798</v>
      </c>
      <c r="AD1609" s="196">
        <f>IFERROR($G1609/SUMIF($A:$A,$A1609,$G:$G)*SUMIF(Summary!$A$166:$A$242,$A1609,Summary!$P$166:$P$242),0)</f>
        <v>88334.002773382337</v>
      </c>
      <c r="AE1609" s="197">
        <f t="shared" ca="1" si="360"/>
        <v>80770.036905625646</v>
      </c>
      <c r="AF1609" s="196">
        <f>IFERROR(G1609/SUMIF(A:A,A1609,G:G)*SUMIF(Summary!$A$166:$A$242,'Operations Support'!A1609,Summary!$Q$166:$Q$242),0)</f>
        <v>88753.416655775349</v>
      </c>
      <c r="AG1609" s="196">
        <f t="shared" ca="1" si="361"/>
        <v>80350.623023232634</v>
      </c>
      <c r="AI1609" s="196">
        <f>IFERROR($G1609/SUMIF($A:$A,$A1609,$G:$G)*SUMIF(Summary!$A$247:$A$283,$A1609,Summary!$P$247:$P$283),0)</f>
        <v>16109.917755397561</v>
      </c>
      <c r="AJ1609" s="196">
        <f>IFERROR($G1609/SUMIF($A:$A,$A1609,$G:$G)*(SUMIF(Summary!$A$247:$A$283,$A1609,Summary!$L$247:$L$283)+SUMIF(Summary!$A$297:$A$333,$A1609,Summary!$L$297:$L$333))-AI1609,0)</f>
        <v>30029.631792419532</v>
      </c>
      <c r="AK1609" s="196">
        <f>IFERROR($G1609/SUMIF($A:$A,$A1609,$G:$G)*SUMIF(Summary!$A$247:$A$283,$A1609,Summary!$Q$247:$Q$283),0)</f>
        <v>16186.408381189281</v>
      </c>
      <c r="AL1609" s="196">
        <f>IFERROR($G1609/SUMIF($A:$A,$A1609,$G:$G)*(SUMIF(Summary!$A$247:$A$283,$A1609,Summary!$L$247:$L$283)+SUMIF(Summary!$A$297:$A$333,$A1609,Summary!$L$297:$L$333))-AK1609,0)</f>
        <v>29953.141166627811</v>
      </c>
      <c r="AM1609" s="198"/>
      <c r="AN1609" s="196">
        <f t="shared" ca="1" si="362"/>
        <v>110799.66869804518</v>
      </c>
      <c r="AO1609" s="196">
        <f t="shared" ca="1" si="363"/>
        <v>110303.76418986045</v>
      </c>
    </row>
    <row r="1610" spans="1:41">
      <c r="A1610" s="189">
        <v>3642</v>
      </c>
      <c r="B1610" s="190">
        <v>2</v>
      </c>
      <c r="C1610" s="191" t="s">
        <v>229</v>
      </c>
      <c r="D1610" s="192">
        <f t="shared" si="350"/>
        <v>0</v>
      </c>
      <c r="E1610" s="192">
        <f t="shared" si="351"/>
        <v>0</v>
      </c>
      <c r="F1610" s="192">
        <f t="shared" si="352"/>
        <v>0</v>
      </c>
      <c r="G1610" s="193">
        <f t="shared" si="353"/>
        <v>0</v>
      </c>
      <c r="H1610" s="194">
        <v>0</v>
      </c>
      <c r="I1610" s="194">
        <v>0</v>
      </c>
      <c r="J1610" s="194">
        <v>0</v>
      </c>
      <c r="K1610" s="193">
        <f t="shared" si="354"/>
        <v>0</v>
      </c>
      <c r="L1610" s="194">
        <v>0</v>
      </c>
      <c r="M1610" s="194">
        <v>0</v>
      </c>
      <c r="N1610" s="194">
        <v>0</v>
      </c>
      <c r="O1610" s="193">
        <f t="shared" si="355"/>
        <v>0</v>
      </c>
      <c r="P1610" s="194">
        <v>0</v>
      </c>
      <c r="Q1610" s="194">
        <v>0</v>
      </c>
      <c r="R1610" s="194">
        <v>0</v>
      </c>
      <c r="S1610" s="193">
        <f t="shared" si="356"/>
        <v>0</v>
      </c>
      <c r="T1610" s="193">
        <f t="shared" si="357"/>
        <v>0</v>
      </c>
      <c r="U1610" s="193">
        <f ca="1">OFFSET('Expenditure Study'!$B$7,'Operations Support'!$C1610,'Operations Support'!$B1610)*$G1610</f>
        <v>0</v>
      </c>
      <c r="V1610" s="199">
        <f ca="1">U1610*'Expenditure Study'!$B$31</f>
        <v>0</v>
      </c>
      <c r="W1610" s="199">
        <f ca="1">IF(A1610=10298,1.51,1)*IF($B1610&lt;3,$D1610*'Expenditure Study'!$B$32*OFFSET('Expenditure Study'!$B$7,'Operations Support'!$C1610,'Operations Support'!$B1610),0)</f>
        <v>0</v>
      </c>
      <c r="X1610" s="200">
        <f ca="1">W1610*'Expenditure Study'!$B$31</f>
        <v>0</v>
      </c>
      <c r="Y1610" s="199">
        <f ca="1">U1610*'Expenditure Study'!$B$31</f>
        <v>0</v>
      </c>
      <c r="Z1610" s="200">
        <f ca="1">W1610*'Expenditure Study'!$B$31</f>
        <v>0</v>
      </c>
      <c r="AA1610" s="195">
        <f t="shared" ca="1" si="358"/>
        <v>0</v>
      </c>
      <c r="AB1610" s="195">
        <f t="shared" ca="1" si="359"/>
        <v>0</v>
      </c>
      <c r="AD1610" s="196">
        <f>IFERROR($G1610/SUMIF($A:$A,$A1610,$G:$G)*SUMIF(Summary!$A$166:$A$242,$A1610,Summary!$P$166:$P$242),0)</f>
        <v>0</v>
      </c>
      <c r="AE1610" s="197">
        <f t="shared" ca="1" si="360"/>
        <v>0</v>
      </c>
      <c r="AF1610" s="196">
        <f>IFERROR(G1610/SUMIF(A:A,A1610,G:G)*SUMIF(Summary!$A$166:$A$242,'Operations Support'!A1610,Summary!$Q$166:$Q$242),0)</f>
        <v>0</v>
      </c>
      <c r="AG1610" s="196">
        <f t="shared" ca="1" si="361"/>
        <v>0</v>
      </c>
      <c r="AI1610" s="196">
        <f>IFERROR($G1610/SUMIF($A:$A,$A1610,$G:$G)*SUMIF(Summary!$A$247:$A$283,$A1610,Summary!$P$247:$P$283),0)</f>
        <v>0</v>
      </c>
      <c r="AJ1610" s="196">
        <f>IFERROR($G1610/SUMIF($A:$A,$A1610,$G:$G)*(SUMIF(Summary!$A$247:$A$283,$A1610,Summary!$L$247:$L$283)+SUMIF(Summary!$A$297:$A$333,$A1610,Summary!$L$297:$L$333))-AI1610,0)</f>
        <v>0</v>
      </c>
      <c r="AK1610" s="196">
        <f>IFERROR($G1610/SUMIF($A:$A,$A1610,$G:$G)*SUMIF(Summary!$A$247:$A$283,$A1610,Summary!$Q$247:$Q$283),0)</f>
        <v>0</v>
      </c>
      <c r="AL1610" s="196">
        <f>IFERROR($G1610/SUMIF($A:$A,$A1610,$G:$G)*(SUMIF(Summary!$A$247:$A$283,$A1610,Summary!$L$247:$L$283)+SUMIF(Summary!$A$297:$A$333,$A1610,Summary!$L$297:$L$333))-AK1610,0)</f>
        <v>0</v>
      </c>
      <c r="AM1610" s="198"/>
      <c r="AN1610" s="196">
        <f t="shared" ca="1" si="362"/>
        <v>0</v>
      </c>
      <c r="AO1610" s="196">
        <f t="shared" ca="1" si="363"/>
        <v>0</v>
      </c>
    </row>
    <row r="1611" spans="1:41">
      <c r="A1611" s="189">
        <v>3642</v>
      </c>
      <c r="B1611" s="190">
        <v>2</v>
      </c>
      <c r="C1611" s="191" t="s">
        <v>230</v>
      </c>
      <c r="D1611" s="192">
        <f t="shared" si="350"/>
        <v>0</v>
      </c>
      <c r="E1611" s="192">
        <f t="shared" si="351"/>
        <v>0</v>
      </c>
      <c r="F1611" s="192">
        <f t="shared" si="352"/>
        <v>0</v>
      </c>
      <c r="G1611" s="193">
        <f t="shared" si="353"/>
        <v>0</v>
      </c>
      <c r="H1611" s="194">
        <v>0</v>
      </c>
      <c r="I1611" s="194">
        <v>0</v>
      </c>
      <c r="J1611" s="194">
        <v>0</v>
      </c>
      <c r="K1611" s="193">
        <f t="shared" si="354"/>
        <v>0</v>
      </c>
      <c r="L1611" s="194">
        <v>0</v>
      </c>
      <c r="M1611" s="194">
        <v>0</v>
      </c>
      <c r="N1611" s="194">
        <v>0</v>
      </c>
      <c r="O1611" s="193">
        <f t="shared" si="355"/>
        <v>0</v>
      </c>
      <c r="P1611" s="194">
        <v>0</v>
      </c>
      <c r="Q1611" s="194">
        <v>0</v>
      </c>
      <c r="R1611" s="194">
        <v>0</v>
      </c>
      <c r="S1611" s="193">
        <f t="shared" si="356"/>
        <v>0</v>
      </c>
      <c r="T1611" s="193">
        <f t="shared" si="357"/>
        <v>0</v>
      </c>
      <c r="U1611" s="193">
        <f ca="1">OFFSET('Expenditure Study'!$B$7,'Operations Support'!$C1611,'Operations Support'!$B1611)*$G1611</f>
        <v>0</v>
      </c>
      <c r="V1611" s="199">
        <f ca="1">U1611*'Expenditure Study'!$B$31</f>
        <v>0</v>
      </c>
      <c r="W1611" s="199">
        <f ca="1">IF(A1611=10298,1.51,1)*IF($B1611&lt;3,$D1611*'Expenditure Study'!$B$32*OFFSET('Expenditure Study'!$B$7,'Operations Support'!$C1611,'Operations Support'!$B1611),0)</f>
        <v>0</v>
      </c>
      <c r="X1611" s="200">
        <f ca="1">W1611*'Expenditure Study'!$B$31</f>
        <v>0</v>
      </c>
      <c r="Y1611" s="199">
        <f ca="1">U1611*'Expenditure Study'!$B$31</f>
        <v>0</v>
      </c>
      <c r="Z1611" s="200">
        <f ca="1">W1611*'Expenditure Study'!$B$31</f>
        <v>0</v>
      </c>
      <c r="AA1611" s="195">
        <f t="shared" ca="1" si="358"/>
        <v>0</v>
      </c>
      <c r="AB1611" s="195">
        <f t="shared" ca="1" si="359"/>
        <v>0</v>
      </c>
      <c r="AD1611" s="196">
        <f>IFERROR($G1611/SUMIF($A:$A,$A1611,$G:$G)*SUMIF(Summary!$A$166:$A$242,$A1611,Summary!$P$166:$P$242),0)</f>
        <v>0</v>
      </c>
      <c r="AE1611" s="197">
        <f t="shared" ca="1" si="360"/>
        <v>0</v>
      </c>
      <c r="AF1611" s="196">
        <f>IFERROR(G1611/SUMIF(A:A,A1611,G:G)*SUMIF(Summary!$A$166:$A$242,'Operations Support'!A1611,Summary!$Q$166:$Q$242),0)</f>
        <v>0</v>
      </c>
      <c r="AG1611" s="196">
        <f t="shared" ca="1" si="361"/>
        <v>0</v>
      </c>
      <c r="AI1611" s="196">
        <f>IFERROR($G1611/SUMIF($A:$A,$A1611,$G:$G)*SUMIF(Summary!$A$247:$A$283,$A1611,Summary!$P$247:$P$283),0)</f>
        <v>0</v>
      </c>
      <c r="AJ1611" s="196">
        <f>IFERROR($G1611/SUMIF($A:$A,$A1611,$G:$G)*(SUMIF(Summary!$A$247:$A$283,$A1611,Summary!$L$247:$L$283)+SUMIF(Summary!$A$297:$A$333,$A1611,Summary!$L$297:$L$333))-AI1611,0)</f>
        <v>0</v>
      </c>
      <c r="AK1611" s="196">
        <f>IFERROR($G1611/SUMIF($A:$A,$A1611,$G:$G)*SUMIF(Summary!$A$247:$A$283,$A1611,Summary!$Q$247:$Q$283),0)</f>
        <v>0</v>
      </c>
      <c r="AL1611" s="196">
        <f>IFERROR($G1611/SUMIF($A:$A,$A1611,$G:$G)*(SUMIF(Summary!$A$247:$A$283,$A1611,Summary!$L$247:$L$283)+SUMIF(Summary!$A$297:$A$333,$A1611,Summary!$L$297:$L$333))-AK1611,0)</f>
        <v>0</v>
      </c>
      <c r="AM1611" s="198"/>
      <c r="AN1611" s="196">
        <f t="shared" ca="1" si="362"/>
        <v>0</v>
      </c>
      <c r="AO1611" s="196">
        <f t="shared" ca="1" si="363"/>
        <v>0</v>
      </c>
    </row>
    <row r="1612" spans="1:41">
      <c r="A1612" s="189">
        <v>3642</v>
      </c>
      <c r="B1612" s="190">
        <v>2</v>
      </c>
      <c r="C1612" s="191" t="s">
        <v>231</v>
      </c>
      <c r="D1612" s="192">
        <f t="shared" si="350"/>
        <v>24</v>
      </c>
      <c r="E1612" s="192">
        <f t="shared" si="351"/>
        <v>0</v>
      </c>
      <c r="F1612" s="192">
        <f t="shared" si="352"/>
        <v>0</v>
      </c>
      <c r="G1612" s="193">
        <f t="shared" si="353"/>
        <v>24</v>
      </c>
      <c r="H1612" s="194">
        <v>24</v>
      </c>
      <c r="I1612" s="194">
        <v>0</v>
      </c>
      <c r="J1612" s="194">
        <v>0</v>
      </c>
      <c r="K1612" s="193">
        <f t="shared" si="354"/>
        <v>24</v>
      </c>
      <c r="L1612" s="194">
        <v>0</v>
      </c>
      <c r="M1612" s="194">
        <v>0</v>
      </c>
      <c r="N1612" s="194">
        <v>0</v>
      </c>
      <c r="O1612" s="193">
        <f t="shared" si="355"/>
        <v>0</v>
      </c>
      <c r="P1612" s="194">
        <v>0</v>
      </c>
      <c r="Q1612" s="194">
        <v>0</v>
      </c>
      <c r="R1612" s="194">
        <v>0</v>
      </c>
      <c r="S1612" s="193">
        <f t="shared" si="356"/>
        <v>0</v>
      </c>
      <c r="T1612" s="193">
        <f t="shared" si="357"/>
        <v>0.8</v>
      </c>
      <c r="U1612" s="193">
        <f ca="1">OFFSET('Expenditure Study'!$B$7,'Operations Support'!$C1612,'Operations Support'!$B1612)*$G1612</f>
        <v>84.48</v>
      </c>
      <c r="V1612" s="199">
        <f ca="1">U1612*'Expenditure Study'!$B$31</f>
        <v>4991.3471139840003</v>
      </c>
      <c r="W1612" s="199">
        <f ca="1">IF(A1612=10298,1.51,1)*IF($B1612&lt;3,$D1612*'Expenditure Study'!$B$32*OFFSET('Expenditure Study'!$B$7,'Operations Support'!$C1612,'Operations Support'!$B1612),0)</f>
        <v>8.4480000000000022</v>
      </c>
      <c r="X1612" s="200">
        <f ca="1">W1612*'Expenditure Study'!$B$31</f>
        <v>499.13471139840016</v>
      </c>
      <c r="Y1612" s="199">
        <f ca="1">U1612*'Expenditure Study'!$B$31</f>
        <v>4991.3471139840003</v>
      </c>
      <c r="Z1612" s="200">
        <f ca="1">W1612*'Expenditure Study'!$B$31</f>
        <v>499.13471139840016</v>
      </c>
      <c r="AA1612" s="195">
        <f t="shared" ca="1" si="358"/>
        <v>5490.4818253824005</v>
      </c>
      <c r="AB1612" s="195">
        <f t="shared" ca="1" si="359"/>
        <v>5490.4818253824005</v>
      </c>
      <c r="AD1612" s="196">
        <f>IFERROR($G1612/SUMIF($A:$A,$A1612,$G:$G)*SUMIF(Summary!$A$166:$A$242,$A1612,Summary!$P$166:$P$242),0)</f>
        <v>1442.1878003817524</v>
      </c>
      <c r="AE1612" s="197">
        <f t="shared" ca="1" si="360"/>
        <v>4048.2940250006482</v>
      </c>
      <c r="AF1612" s="196">
        <f>IFERROR(G1612/SUMIF(A:A,A1612,G:G)*SUMIF(Summary!$A$166:$A$242,'Operations Support'!A1612,Summary!$Q$166:$Q$242),0)</f>
        <v>1449.0353739718423</v>
      </c>
      <c r="AG1612" s="196">
        <f t="shared" ca="1" si="361"/>
        <v>4041.4464514105584</v>
      </c>
      <c r="AI1612" s="196">
        <f>IFERROR($G1612/SUMIF($A:$A,$A1612,$G:$G)*SUMIF(Summary!$A$247:$A$283,$A1612,Summary!$P$247:$P$283),0)</f>
        <v>263.0190653942459</v>
      </c>
      <c r="AJ1612" s="196">
        <f>IFERROR($G1612/SUMIF($A:$A,$A1612,$G:$G)*(SUMIF(Summary!$A$247:$A$283,$A1612,Summary!$L$247:$L$283)+SUMIF(Summary!$A$297:$A$333,$A1612,Summary!$L$297:$L$333))-AI1612,0)</f>
        <v>490.27970273338019</v>
      </c>
      <c r="AK1612" s="196">
        <f>IFERROR($G1612/SUMIF($A:$A,$A1612,$G:$G)*SUMIF(Summary!$A$247:$A$283,$A1612,Summary!$Q$247:$Q$283),0)</f>
        <v>264.26789193778416</v>
      </c>
      <c r="AL1612" s="196">
        <f>IFERROR($G1612/SUMIF($A:$A,$A1612,$G:$G)*(SUMIF(Summary!$A$247:$A$283,$A1612,Summary!$L$247:$L$283)+SUMIF(Summary!$A$297:$A$333,$A1612,Summary!$L$297:$L$333))-AK1612,0)</f>
        <v>489.03087618984193</v>
      </c>
      <c r="AM1612" s="198"/>
      <c r="AN1612" s="196">
        <f t="shared" ca="1" si="362"/>
        <v>4538.5737277340286</v>
      </c>
      <c r="AO1612" s="196">
        <f t="shared" ca="1" si="363"/>
        <v>4530.4773276004007</v>
      </c>
    </row>
    <row r="1613" spans="1:41">
      <c r="A1613" s="189">
        <v>3642</v>
      </c>
      <c r="B1613" s="190">
        <v>2</v>
      </c>
      <c r="C1613" s="191" t="s">
        <v>232</v>
      </c>
      <c r="D1613" s="192">
        <f t="shared" si="350"/>
        <v>0</v>
      </c>
      <c r="E1613" s="192">
        <f t="shared" si="351"/>
        <v>0</v>
      </c>
      <c r="F1613" s="192">
        <f t="shared" si="352"/>
        <v>0</v>
      </c>
      <c r="G1613" s="193">
        <f t="shared" si="353"/>
        <v>0</v>
      </c>
      <c r="H1613" s="194">
        <v>0</v>
      </c>
      <c r="I1613" s="194">
        <v>0</v>
      </c>
      <c r="J1613" s="194">
        <v>0</v>
      </c>
      <c r="K1613" s="193">
        <f t="shared" si="354"/>
        <v>0</v>
      </c>
      <c r="L1613" s="194">
        <v>0</v>
      </c>
      <c r="M1613" s="194">
        <v>0</v>
      </c>
      <c r="N1613" s="194">
        <v>0</v>
      </c>
      <c r="O1613" s="193">
        <f t="shared" si="355"/>
        <v>0</v>
      </c>
      <c r="P1613" s="194">
        <v>0</v>
      </c>
      <c r="Q1613" s="194">
        <v>0</v>
      </c>
      <c r="R1613" s="194">
        <v>0</v>
      </c>
      <c r="S1613" s="193">
        <f t="shared" si="356"/>
        <v>0</v>
      </c>
      <c r="T1613" s="193">
        <f t="shared" si="357"/>
        <v>0</v>
      </c>
      <c r="U1613" s="193">
        <f ca="1">OFFSET('Expenditure Study'!$B$7,'Operations Support'!$C1613,'Operations Support'!$B1613)*$G1613</f>
        <v>0</v>
      </c>
      <c r="V1613" s="199">
        <f ca="1">U1613*'Expenditure Study'!$B$31</f>
        <v>0</v>
      </c>
      <c r="W1613" s="199">
        <f ca="1">IF(A1613=10298,1.51,1)*IF($B1613&lt;3,$D1613*'Expenditure Study'!$B$32*OFFSET('Expenditure Study'!$B$7,'Operations Support'!$C1613,'Operations Support'!$B1613),0)</f>
        <v>0</v>
      </c>
      <c r="X1613" s="200">
        <f ca="1">W1613*'Expenditure Study'!$B$31</f>
        <v>0</v>
      </c>
      <c r="Y1613" s="199">
        <f ca="1">U1613*'Expenditure Study'!$B$31</f>
        <v>0</v>
      </c>
      <c r="Z1613" s="200">
        <f ca="1">W1613*'Expenditure Study'!$B$31</f>
        <v>0</v>
      </c>
      <c r="AA1613" s="195">
        <f t="shared" ca="1" si="358"/>
        <v>0</v>
      </c>
      <c r="AB1613" s="195">
        <f t="shared" ca="1" si="359"/>
        <v>0</v>
      </c>
      <c r="AD1613" s="196">
        <f>IFERROR($G1613/SUMIF($A:$A,$A1613,$G:$G)*SUMIF(Summary!$A$166:$A$242,$A1613,Summary!$P$166:$P$242),0)</f>
        <v>0</v>
      </c>
      <c r="AE1613" s="197">
        <f t="shared" ca="1" si="360"/>
        <v>0</v>
      </c>
      <c r="AF1613" s="196">
        <f>IFERROR(G1613/SUMIF(A:A,A1613,G:G)*SUMIF(Summary!$A$166:$A$242,'Operations Support'!A1613,Summary!$Q$166:$Q$242),0)</f>
        <v>0</v>
      </c>
      <c r="AG1613" s="196">
        <f t="shared" ca="1" si="361"/>
        <v>0</v>
      </c>
      <c r="AI1613" s="196">
        <f>IFERROR($G1613/SUMIF($A:$A,$A1613,$G:$G)*SUMIF(Summary!$A$247:$A$283,$A1613,Summary!$P$247:$P$283),0)</f>
        <v>0</v>
      </c>
      <c r="AJ1613" s="196">
        <f>IFERROR($G1613/SUMIF($A:$A,$A1613,$G:$G)*(SUMIF(Summary!$A$247:$A$283,$A1613,Summary!$L$247:$L$283)+SUMIF(Summary!$A$297:$A$333,$A1613,Summary!$L$297:$L$333))-AI1613,0)</f>
        <v>0</v>
      </c>
      <c r="AK1613" s="196">
        <f>IFERROR($G1613/SUMIF($A:$A,$A1613,$G:$G)*SUMIF(Summary!$A$247:$A$283,$A1613,Summary!$Q$247:$Q$283),0)</f>
        <v>0</v>
      </c>
      <c r="AL1613" s="196">
        <f>IFERROR($G1613/SUMIF($A:$A,$A1613,$G:$G)*(SUMIF(Summary!$A$247:$A$283,$A1613,Summary!$L$247:$L$283)+SUMIF(Summary!$A$297:$A$333,$A1613,Summary!$L$297:$L$333))-AK1613,0)</f>
        <v>0</v>
      </c>
      <c r="AM1613" s="198"/>
      <c r="AN1613" s="196">
        <f t="shared" ca="1" si="362"/>
        <v>0</v>
      </c>
      <c r="AO1613" s="196">
        <f t="shared" ca="1" si="363"/>
        <v>0</v>
      </c>
    </row>
    <row r="1614" spans="1:41">
      <c r="A1614" s="189">
        <v>3642</v>
      </c>
      <c r="B1614" s="190">
        <v>2</v>
      </c>
      <c r="C1614" s="191" t="s">
        <v>233</v>
      </c>
      <c r="D1614" s="192">
        <f t="shared" si="350"/>
        <v>2791</v>
      </c>
      <c r="E1614" s="192">
        <f t="shared" si="351"/>
        <v>3038</v>
      </c>
      <c r="F1614" s="192">
        <f t="shared" si="352"/>
        <v>0</v>
      </c>
      <c r="G1614" s="193">
        <f t="shared" si="353"/>
        <v>5829</v>
      </c>
      <c r="H1614" s="194">
        <v>1109</v>
      </c>
      <c r="I1614" s="194">
        <v>1562</v>
      </c>
      <c r="J1614" s="194">
        <v>0</v>
      </c>
      <c r="K1614" s="193">
        <f t="shared" si="354"/>
        <v>2671</v>
      </c>
      <c r="L1614" s="194">
        <v>1319</v>
      </c>
      <c r="M1614" s="194">
        <v>1476</v>
      </c>
      <c r="N1614" s="194">
        <v>0</v>
      </c>
      <c r="O1614" s="193">
        <f t="shared" si="355"/>
        <v>2795</v>
      </c>
      <c r="P1614" s="194">
        <v>363</v>
      </c>
      <c r="Q1614" s="194">
        <v>0</v>
      </c>
      <c r="R1614" s="194">
        <v>0</v>
      </c>
      <c r="S1614" s="193">
        <f t="shared" si="356"/>
        <v>363</v>
      </c>
      <c r="T1614" s="193">
        <f t="shared" si="357"/>
        <v>194.3</v>
      </c>
      <c r="U1614" s="193">
        <f ca="1">OFFSET('Expenditure Study'!$B$7,'Operations Support'!$C1614,'Operations Support'!$B1614)*$G1614</f>
        <v>9384.69</v>
      </c>
      <c r="V1614" s="199">
        <f ca="1">U1614*'Expenditure Study'!$B$31</f>
        <v>554477.33602195198</v>
      </c>
      <c r="W1614" s="199">
        <f ca="1">IF(A1614=10298,1.51,1)*IF($B1614&lt;3,$D1614*'Expenditure Study'!$B$32*OFFSET('Expenditure Study'!$B$7,'Operations Support'!$C1614,'Operations Support'!$B1614),0)</f>
        <v>449.35100000000006</v>
      </c>
      <c r="X1614" s="200">
        <f ca="1">W1614*'Expenditure Study'!$B$31</f>
        <v>26549.086375660805</v>
      </c>
      <c r="Y1614" s="199">
        <f ca="1">U1614*'Expenditure Study'!$B$31</f>
        <v>554477.33602195198</v>
      </c>
      <c r="Z1614" s="200">
        <f ca="1">W1614*'Expenditure Study'!$B$31</f>
        <v>26549.086375660805</v>
      </c>
      <c r="AA1614" s="195">
        <f t="shared" ca="1" si="358"/>
        <v>581026.42239761283</v>
      </c>
      <c r="AB1614" s="195">
        <f t="shared" ca="1" si="359"/>
        <v>581026.42239761283</v>
      </c>
      <c r="AD1614" s="196">
        <f>IFERROR($G1614/SUMIF($A:$A,$A1614,$G:$G)*SUMIF(Summary!$A$166:$A$242,$A1614,Summary!$P$166:$P$242),0)</f>
        <v>350271.36201771814</v>
      </c>
      <c r="AE1614" s="197">
        <f t="shared" ca="1" si="360"/>
        <v>230755.06037989468</v>
      </c>
      <c r="AF1614" s="196">
        <f>IFERROR(G1614/SUMIF(A:A,A1614,G:G)*SUMIF(Summary!$A$166:$A$242,'Operations Support'!A1614,Summary!$Q$166:$Q$242),0)</f>
        <v>351934.46645341127</v>
      </c>
      <c r="AG1614" s="196">
        <f t="shared" ca="1" si="361"/>
        <v>229091.95594420156</v>
      </c>
      <c r="AI1614" s="196">
        <f>IFERROR($G1614/SUMIF($A:$A,$A1614,$G:$G)*SUMIF(Summary!$A$247:$A$283,$A1614,Summary!$P$247:$P$283),0)</f>
        <v>63880.755507627473</v>
      </c>
      <c r="AJ1614" s="196">
        <f>IFERROR($G1614/SUMIF($A:$A,$A1614,$G:$G)*(SUMIF(Summary!$A$247:$A$283,$A1614,Summary!$L$247:$L$283)+SUMIF(Summary!$A$297:$A$333,$A1614,Summary!$L$297:$L$333))-AI1614,0)</f>
        <v>119076.68280136972</v>
      </c>
      <c r="AK1614" s="196">
        <f>IFERROR($G1614/SUMIF($A:$A,$A1614,$G:$G)*SUMIF(Summary!$A$247:$A$283,$A1614,Summary!$Q$247:$Q$283),0)</f>
        <v>64184.064254389334</v>
      </c>
      <c r="AL1614" s="196">
        <f>IFERROR($G1614/SUMIF($A:$A,$A1614,$G:$G)*(SUMIF(Summary!$A$247:$A$283,$A1614,Summary!$L$247:$L$283)+SUMIF(Summary!$A$297:$A$333,$A1614,Summary!$L$297:$L$333))-AK1614,0)</f>
        <v>118773.37405460786</v>
      </c>
      <c r="AM1614" s="198"/>
      <c r="AN1614" s="196">
        <f t="shared" ca="1" si="362"/>
        <v>349831.74318126438</v>
      </c>
      <c r="AO1614" s="196">
        <f t="shared" ca="1" si="363"/>
        <v>347865.32999880944</v>
      </c>
    </row>
    <row r="1615" spans="1:41">
      <c r="A1615" s="189">
        <v>3642</v>
      </c>
      <c r="B1615" s="190">
        <v>2</v>
      </c>
      <c r="C1615" s="191" t="s">
        <v>234</v>
      </c>
      <c r="D1615" s="192">
        <f t="shared" si="350"/>
        <v>102</v>
      </c>
      <c r="E1615" s="192">
        <f t="shared" si="351"/>
        <v>10</v>
      </c>
      <c r="F1615" s="192">
        <f t="shared" si="352"/>
        <v>0</v>
      </c>
      <c r="G1615" s="193">
        <f t="shared" si="353"/>
        <v>112</v>
      </c>
      <c r="H1615" s="194">
        <v>72</v>
      </c>
      <c r="I1615" s="194">
        <v>10</v>
      </c>
      <c r="J1615" s="194">
        <v>0</v>
      </c>
      <c r="K1615" s="193">
        <f t="shared" si="354"/>
        <v>82</v>
      </c>
      <c r="L1615" s="194">
        <v>30</v>
      </c>
      <c r="M1615" s="194">
        <v>0</v>
      </c>
      <c r="N1615" s="194">
        <v>0</v>
      </c>
      <c r="O1615" s="193">
        <f t="shared" si="355"/>
        <v>30</v>
      </c>
      <c r="P1615" s="194">
        <v>0</v>
      </c>
      <c r="Q1615" s="194">
        <v>0</v>
      </c>
      <c r="R1615" s="194">
        <v>0</v>
      </c>
      <c r="S1615" s="193">
        <f t="shared" si="356"/>
        <v>0</v>
      </c>
      <c r="T1615" s="193">
        <f t="shared" si="357"/>
        <v>3.7333333333333334</v>
      </c>
      <c r="U1615" s="193">
        <f ca="1">OFFSET('Expenditure Study'!$B$7,'Operations Support'!$C1615,'Operations Support'!$B1615)*$G1615</f>
        <v>529.76</v>
      </c>
      <c r="V1615" s="199">
        <f ca="1">U1615*'Expenditure Study'!$B$31</f>
        <v>31299.905860608</v>
      </c>
      <c r="W1615" s="199">
        <f ca="1">IF(A1615=10298,1.51,1)*IF($B1615&lt;3,$D1615*'Expenditure Study'!$B$32*OFFSET('Expenditure Study'!$B$7,'Operations Support'!$C1615,'Operations Support'!$B1615),0)</f>
        <v>48.246000000000009</v>
      </c>
      <c r="X1615" s="200">
        <f ca="1">W1615*'Expenditure Study'!$B$31</f>
        <v>2850.5271408768008</v>
      </c>
      <c r="Y1615" s="199">
        <f ca="1">U1615*'Expenditure Study'!$B$31</f>
        <v>31299.905860608</v>
      </c>
      <c r="Z1615" s="200">
        <f ca="1">W1615*'Expenditure Study'!$B$31</f>
        <v>2850.5271408768008</v>
      </c>
      <c r="AA1615" s="195">
        <f t="shared" ca="1" si="358"/>
        <v>34150.433001484802</v>
      </c>
      <c r="AB1615" s="195">
        <f t="shared" ca="1" si="359"/>
        <v>34150.433001484802</v>
      </c>
      <c r="AD1615" s="196">
        <f>IFERROR($G1615/SUMIF($A:$A,$A1615,$G:$G)*SUMIF(Summary!$A$166:$A$242,$A1615,Summary!$P$166:$P$242),0)</f>
        <v>6730.2097351148441</v>
      </c>
      <c r="AE1615" s="197">
        <f t="shared" ca="1" si="360"/>
        <v>27420.223266369958</v>
      </c>
      <c r="AF1615" s="196">
        <f>IFERROR(G1615/SUMIF(A:A,A1615,G:G)*SUMIF(Summary!$A$166:$A$242,'Operations Support'!A1615,Summary!$Q$166:$Q$242),0)</f>
        <v>6762.165078535264</v>
      </c>
      <c r="AG1615" s="196">
        <f t="shared" ca="1" si="361"/>
        <v>27388.267922949537</v>
      </c>
      <c r="AI1615" s="196">
        <f>IFERROR($G1615/SUMIF($A:$A,$A1615,$G:$G)*SUMIF(Summary!$A$247:$A$283,$A1615,Summary!$P$247:$P$283),0)</f>
        <v>1227.4223051731474</v>
      </c>
      <c r="AJ1615" s="196">
        <f>IFERROR($G1615/SUMIF($A:$A,$A1615,$G:$G)*(SUMIF(Summary!$A$247:$A$283,$A1615,Summary!$L$247:$L$283)+SUMIF(Summary!$A$297:$A$333,$A1615,Summary!$L$297:$L$333))-AI1615,0)</f>
        <v>2287.9719460891074</v>
      </c>
      <c r="AK1615" s="196">
        <f>IFERROR($G1615/SUMIF($A:$A,$A1615,$G:$G)*SUMIF(Summary!$A$247:$A$283,$A1615,Summary!$Q$247:$Q$283),0)</f>
        <v>1233.250162376326</v>
      </c>
      <c r="AL1615" s="196">
        <f>IFERROR($G1615/SUMIF($A:$A,$A1615,$G:$G)*(SUMIF(Summary!$A$247:$A$283,$A1615,Summary!$L$247:$L$283)+SUMIF(Summary!$A$297:$A$333,$A1615,Summary!$L$297:$L$333))-AK1615,0)</f>
        <v>2282.1440888859288</v>
      </c>
      <c r="AM1615" s="198"/>
      <c r="AN1615" s="196">
        <f t="shared" ca="1" si="362"/>
        <v>29708.195212459064</v>
      </c>
      <c r="AO1615" s="196">
        <f t="shared" ca="1" si="363"/>
        <v>29670.412011835466</v>
      </c>
    </row>
    <row r="1616" spans="1:41">
      <c r="A1616" s="189">
        <v>3642</v>
      </c>
      <c r="B1616" s="190">
        <v>2</v>
      </c>
      <c r="C1616" s="191" t="s">
        <v>235</v>
      </c>
      <c r="D1616" s="192">
        <f t="shared" si="350"/>
        <v>6196.5</v>
      </c>
      <c r="E1616" s="192">
        <f t="shared" si="351"/>
        <v>4357.5</v>
      </c>
      <c r="F1616" s="192">
        <f t="shared" si="352"/>
        <v>0</v>
      </c>
      <c r="G1616" s="193">
        <f t="shared" si="353"/>
        <v>10554</v>
      </c>
      <c r="H1616" s="194">
        <v>2611</v>
      </c>
      <c r="I1616" s="194">
        <v>2517</v>
      </c>
      <c r="J1616" s="194">
        <v>0</v>
      </c>
      <c r="K1616" s="193">
        <f t="shared" si="354"/>
        <v>5128</v>
      </c>
      <c r="L1616" s="194">
        <v>2976.5</v>
      </c>
      <c r="M1616" s="194">
        <v>1786.5</v>
      </c>
      <c r="N1616" s="194">
        <v>0</v>
      </c>
      <c r="O1616" s="193">
        <f t="shared" si="355"/>
        <v>4763</v>
      </c>
      <c r="P1616" s="194">
        <v>609</v>
      </c>
      <c r="Q1616" s="194">
        <v>54</v>
      </c>
      <c r="R1616" s="194">
        <v>0</v>
      </c>
      <c r="S1616" s="193">
        <f t="shared" si="356"/>
        <v>663</v>
      </c>
      <c r="T1616" s="193">
        <f t="shared" si="357"/>
        <v>351.8</v>
      </c>
      <c r="U1616" s="193">
        <f ca="1">OFFSET('Expenditure Study'!$B$7,'Operations Support'!$C1616,'Operations Support'!$B1616)*$G1616</f>
        <v>19735.98</v>
      </c>
      <c r="V1616" s="199">
        <f ca="1">U1616*'Expenditure Study'!$B$31</f>
        <v>1166064.474605184</v>
      </c>
      <c r="W1616" s="199">
        <f ca="1">IF(A1616=10298,1.51,1)*IF($B1616&lt;3,$D1616*'Expenditure Study'!$B$32*OFFSET('Expenditure Study'!$B$7,'Operations Support'!$C1616,'Operations Support'!$B1616),0)</f>
        <v>1158.7455000000002</v>
      </c>
      <c r="X1616" s="200">
        <f ca="1">W1616*'Expenditure Study'!$B$31</f>
        <v>68462.369877686418</v>
      </c>
      <c r="Y1616" s="199">
        <f ca="1">U1616*'Expenditure Study'!$B$31</f>
        <v>1166064.474605184</v>
      </c>
      <c r="Z1616" s="200">
        <f ca="1">W1616*'Expenditure Study'!$B$31</f>
        <v>68462.369877686418</v>
      </c>
      <c r="AA1616" s="195">
        <f t="shared" ca="1" si="358"/>
        <v>1234526.8444828705</v>
      </c>
      <c r="AB1616" s="195">
        <f t="shared" ca="1" si="359"/>
        <v>1234526.8444828705</v>
      </c>
      <c r="AD1616" s="196">
        <f>IFERROR($G1616/SUMIF($A:$A,$A1616,$G:$G)*SUMIF(Summary!$A$166:$A$242,$A1616,Summary!$P$166:$P$242),0)</f>
        <v>634202.08521787566</v>
      </c>
      <c r="AE1616" s="197">
        <f t="shared" ca="1" si="360"/>
        <v>600324.75926499488</v>
      </c>
      <c r="AF1616" s="196">
        <f>IFERROR(G1616/SUMIF(A:A,A1616,G:G)*SUMIF(Summary!$A$166:$A$242,'Operations Support'!A1616,Summary!$Q$166:$Q$242),0)</f>
        <v>637213.30570411775</v>
      </c>
      <c r="AG1616" s="196">
        <f t="shared" ca="1" si="361"/>
        <v>597313.53877875279</v>
      </c>
      <c r="AI1616" s="196">
        <f>IFERROR($G1616/SUMIF($A:$A,$A1616,$G:$G)*SUMIF(Summary!$A$247:$A$283,$A1616,Summary!$P$247:$P$283),0)</f>
        <v>115662.63400711963</v>
      </c>
      <c r="AJ1616" s="196">
        <f>IFERROR($G1616/SUMIF($A:$A,$A1616,$G:$G)*(SUMIF(Summary!$A$247:$A$283,$A1616,Summary!$L$247:$L$283)+SUMIF(Summary!$A$297:$A$333,$A1616,Summary!$L$297:$L$333))-AI1616,0)</f>
        <v>215600.49927700392</v>
      </c>
      <c r="AK1616" s="196">
        <f>IFERROR($G1616/SUMIF($A:$A,$A1616,$G:$G)*SUMIF(Summary!$A$247:$A$283,$A1616,Summary!$Q$247:$Q$283),0)</f>
        <v>116211.80547964059</v>
      </c>
      <c r="AL1616" s="196">
        <f>IFERROR($G1616/SUMIF($A:$A,$A1616,$G:$G)*(SUMIF(Summary!$A$247:$A$283,$A1616,Summary!$L$247:$L$283)+SUMIF(Summary!$A$297:$A$333,$A1616,Summary!$L$297:$L$333))-AK1616,0)</f>
        <v>215051.32780448295</v>
      </c>
      <c r="AM1616" s="198"/>
      <c r="AN1616" s="196">
        <f t="shared" ca="1" si="362"/>
        <v>815925.2585419988</v>
      </c>
      <c r="AO1616" s="196">
        <f t="shared" ca="1" si="363"/>
        <v>812364.86658323579</v>
      </c>
    </row>
    <row r="1617" spans="1:41">
      <c r="A1617" s="189">
        <v>3642</v>
      </c>
      <c r="B1617" s="190">
        <v>2</v>
      </c>
      <c r="C1617" s="191" t="s">
        <v>236</v>
      </c>
      <c r="D1617" s="192">
        <f t="shared" si="350"/>
        <v>0</v>
      </c>
      <c r="E1617" s="192">
        <f t="shared" si="351"/>
        <v>0</v>
      </c>
      <c r="F1617" s="192">
        <f t="shared" si="352"/>
        <v>0</v>
      </c>
      <c r="G1617" s="193">
        <f t="shared" si="353"/>
        <v>0</v>
      </c>
      <c r="H1617" s="194">
        <v>0</v>
      </c>
      <c r="I1617" s="194">
        <v>0</v>
      </c>
      <c r="J1617" s="194">
        <v>0</v>
      </c>
      <c r="K1617" s="193">
        <f t="shared" si="354"/>
        <v>0</v>
      </c>
      <c r="L1617" s="194">
        <v>0</v>
      </c>
      <c r="M1617" s="194">
        <v>0</v>
      </c>
      <c r="N1617" s="194">
        <v>0</v>
      </c>
      <c r="O1617" s="193">
        <f t="shared" si="355"/>
        <v>0</v>
      </c>
      <c r="P1617" s="194">
        <v>0</v>
      </c>
      <c r="Q1617" s="194">
        <v>0</v>
      </c>
      <c r="R1617" s="194">
        <v>0</v>
      </c>
      <c r="S1617" s="193">
        <f t="shared" si="356"/>
        <v>0</v>
      </c>
      <c r="T1617" s="193">
        <f t="shared" si="357"/>
        <v>0</v>
      </c>
      <c r="U1617" s="193">
        <f ca="1">OFFSET('Expenditure Study'!$B$7,'Operations Support'!$C1617,'Operations Support'!$B1617)*$G1617</f>
        <v>0</v>
      </c>
      <c r="V1617" s="199">
        <f ca="1">U1617*'Expenditure Study'!$B$31</f>
        <v>0</v>
      </c>
      <c r="W1617" s="199">
        <f ca="1">IF(A1617=10298,1.51,1)*IF($B1617&lt;3,$D1617*'Expenditure Study'!$B$32*OFFSET('Expenditure Study'!$B$7,'Operations Support'!$C1617,'Operations Support'!$B1617),0)</f>
        <v>0</v>
      </c>
      <c r="X1617" s="200">
        <f ca="1">W1617*'Expenditure Study'!$B$31</f>
        <v>0</v>
      </c>
      <c r="Y1617" s="199">
        <f ca="1">U1617*'Expenditure Study'!$B$31</f>
        <v>0</v>
      </c>
      <c r="Z1617" s="200">
        <f ca="1">W1617*'Expenditure Study'!$B$31</f>
        <v>0</v>
      </c>
      <c r="AA1617" s="195">
        <f t="shared" ca="1" si="358"/>
        <v>0</v>
      </c>
      <c r="AB1617" s="195">
        <f t="shared" ca="1" si="359"/>
        <v>0</v>
      </c>
      <c r="AD1617" s="196">
        <f>IFERROR($G1617/SUMIF($A:$A,$A1617,$G:$G)*SUMIF(Summary!$A$166:$A$242,$A1617,Summary!$P$166:$P$242),0)</f>
        <v>0</v>
      </c>
      <c r="AE1617" s="197">
        <f t="shared" ca="1" si="360"/>
        <v>0</v>
      </c>
      <c r="AF1617" s="196">
        <f>IFERROR(G1617/SUMIF(A:A,A1617,G:G)*SUMIF(Summary!$A$166:$A$242,'Operations Support'!A1617,Summary!$Q$166:$Q$242),0)</f>
        <v>0</v>
      </c>
      <c r="AG1617" s="196">
        <f t="shared" ca="1" si="361"/>
        <v>0</v>
      </c>
      <c r="AI1617" s="196">
        <f>IFERROR($G1617/SUMIF($A:$A,$A1617,$G:$G)*SUMIF(Summary!$A$247:$A$283,$A1617,Summary!$P$247:$P$283),0)</f>
        <v>0</v>
      </c>
      <c r="AJ1617" s="196">
        <f>IFERROR($G1617/SUMIF($A:$A,$A1617,$G:$G)*(SUMIF(Summary!$A$247:$A$283,$A1617,Summary!$L$247:$L$283)+SUMIF(Summary!$A$297:$A$333,$A1617,Summary!$L$297:$L$333))-AI1617,0)</f>
        <v>0</v>
      </c>
      <c r="AK1617" s="196">
        <f>IFERROR($G1617/SUMIF($A:$A,$A1617,$G:$G)*SUMIF(Summary!$A$247:$A$283,$A1617,Summary!$Q$247:$Q$283),0)</f>
        <v>0</v>
      </c>
      <c r="AL1617" s="196">
        <f>IFERROR($G1617/SUMIF($A:$A,$A1617,$G:$G)*(SUMIF(Summary!$A$247:$A$283,$A1617,Summary!$L$247:$L$283)+SUMIF(Summary!$A$297:$A$333,$A1617,Summary!$L$297:$L$333))-AK1617,0)</f>
        <v>0</v>
      </c>
      <c r="AM1617" s="198"/>
      <c r="AN1617" s="196">
        <f t="shared" ca="1" si="362"/>
        <v>0</v>
      </c>
      <c r="AO1617" s="196">
        <f t="shared" ca="1" si="363"/>
        <v>0</v>
      </c>
    </row>
    <row r="1618" spans="1:41">
      <c r="A1618" s="189">
        <v>3642</v>
      </c>
      <c r="B1618" s="190">
        <v>2</v>
      </c>
      <c r="C1618" s="191" t="s">
        <v>237</v>
      </c>
      <c r="D1618" s="192">
        <f t="shared" si="350"/>
        <v>78</v>
      </c>
      <c r="E1618" s="192">
        <f t="shared" si="351"/>
        <v>54</v>
      </c>
      <c r="F1618" s="192">
        <f t="shared" si="352"/>
        <v>0</v>
      </c>
      <c r="G1618" s="193">
        <f t="shared" si="353"/>
        <v>132</v>
      </c>
      <c r="H1618" s="194">
        <v>54</v>
      </c>
      <c r="I1618" s="194">
        <v>48</v>
      </c>
      <c r="J1618" s="194">
        <v>0</v>
      </c>
      <c r="K1618" s="193">
        <f t="shared" si="354"/>
        <v>102</v>
      </c>
      <c r="L1618" s="194">
        <v>24</v>
      </c>
      <c r="M1618" s="194">
        <v>6</v>
      </c>
      <c r="N1618" s="194">
        <v>0</v>
      </c>
      <c r="O1618" s="193">
        <f t="shared" si="355"/>
        <v>30</v>
      </c>
      <c r="P1618" s="194">
        <v>0</v>
      </c>
      <c r="Q1618" s="194">
        <v>0</v>
      </c>
      <c r="R1618" s="194">
        <v>0</v>
      </c>
      <c r="S1618" s="193">
        <f t="shared" si="356"/>
        <v>0</v>
      </c>
      <c r="T1618" s="193">
        <f t="shared" si="357"/>
        <v>4.4000000000000004</v>
      </c>
      <c r="U1618" s="193">
        <f ca="1">OFFSET('Expenditure Study'!$B$7,'Operations Support'!$C1618,'Operations Support'!$B1618)*$G1618</f>
        <v>308.88</v>
      </c>
      <c r="V1618" s="199">
        <f ca="1">U1618*'Expenditure Study'!$B$31</f>
        <v>18249.612885504001</v>
      </c>
      <c r="W1618" s="199">
        <f ca="1">IF(A1618=10298,1.51,1)*IF($B1618&lt;3,$D1618*'Expenditure Study'!$B$32*OFFSET('Expenditure Study'!$B$7,'Operations Support'!$C1618,'Operations Support'!$B1618),0)</f>
        <v>18.251999999999999</v>
      </c>
      <c r="X1618" s="200">
        <f ca="1">W1618*'Expenditure Study'!$B$31</f>
        <v>1078.3862159615999</v>
      </c>
      <c r="Y1618" s="199">
        <f ca="1">U1618*'Expenditure Study'!$B$31</f>
        <v>18249.612885504001</v>
      </c>
      <c r="Z1618" s="200">
        <f ca="1">W1618*'Expenditure Study'!$B$31</f>
        <v>1078.3862159615999</v>
      </c>
      <c r="AA1618" s="195">
        <f t="shared" ca="1" si="358"/>
        <v>19327.999101465601</v>
      </c>
      <c r="AB1618" s="195">
        <f t="shared" ca="1" si="359"/>
        <v>19327.999101465601</v>
      </c>
      <c r="AD1618" s="196">
        <f>IFERROR($G1618/SUMIF($A:$A,$A1618,$G:$G)*SUMIF(Summary!$A$166:$A$242,$A1618,Summary!$P$166:$P$242),0)</f>
        <v>7932.0329020996378</v>
      </c>
      <c r="AE1618" s="197">
        <f t="shared" ca="1" si="360"/>
        <v>11395.966199365963</v>
      </c>
      <c r="AF1618" s="196">
        <f>IFERROR(G1618/SUMIF(A:A,A1618,G:G)*SUMIF(Summary!$A$166:$A$242,'Operations Support'!A1618,Summary!$Q$166:$Q$242),0)</f>
        <v>7969.6945568451329</v>
      </c>
      <c r="AG1618" s="196">
        <f t="shared" ca="1" si="361"/>
        <v>11358.304544620467</v>
      </c>
      <c r="AI1618" s="196">
        <f>IFERROR($G1618/SUMIF($A:$A,$A1618,$G:$G)*SUMIF(Summary!$A$247:$A$283,$A1618,Summary!$P$247:$P$283),0)</f>
        <v>1446.6048596683524</v>
      </c>
      <c r="AJ1618" s="196">
        <f>IFERROR($G1618/SUMIF($A:$A,$A1618,$G:$G)*(SUMIF(Summary!$A$247:$A$283,$A1618,Summary!$L$247:$L$283)+SUMIF(Summary!$A$297:$A$333,$A1618,Summary!$L$297:$L$333))-AI1618,0)</f>
        <v>2696.5383650335907</v>
      </c>
      <c r="AK1618" s="196">
        <f>IFERROR($G1618/SUMIF($A:$A,$A1618,$G:$G)*SUMIF(Summary!$A$247:$A$283,$A1618,Summary!$Q$247:$Q$283),0)</f>
        <v>1453.4734056578129</v>
      </c>
      <c r="AL1618" s="196">
        <f>IFERROR($G1618/SUMIF($A:$A,$A1618,$G:$G)*(SUMIF(Summary!$A$247:$A$283,$A1618,Summary!$L$247:$L$283)+SUMIF(Summary!$A$297:$A$333,$A1618,Summary!$L$297:$L$333))-AK1618,0)</f>
        <v>2689.6698190441302</v>
      </c>
      <c r="AM1618" s="198"/>
      <c r="AN1618" s="196">
        <f t="shared" ca="1" si="362"/>
        <v>14092.504564399555</v>
      </c>
      <c r="AO1618" s="196">
        <f t="shared" ca="1" si="363"/>
        <v>14047.974363664598</v>
      </c>
    </row>
    <row r="1619" spans="1:41">
      <c r="A1619" s="189">
        <v>3642</v>
      </c>
      <c r="B1619" s="190">
        <v>2</v>
      </c>
      <c r="C1619" s="191" t="s">
        <v>238</v>
      </c>
      <c r="D1619" s="192">
        <f t="shared" si="350"/>
        <v>351</v>
      </c>
      <c r="E1619" s="192">
        <f t="shared" si="351"/>
        <v>630</v>
      </c>
      <c r="F1619" s="192">
        <f t="shared" si="352"/>
        <v>0</v>
      </c>
      <c r="G1619" s="193">
        <f t="shared" si="353"/>
        <v>981</v>
      </c>
      <c r="H1619" s="194">
        <v>180</v>
      </c>
      <c r="I1619" s="194">
        <v>437</v>
      </c>
      <c r="J1619" s="194">
        <v>0</v>
      </c>
      <c r="K1619" s="193">
        <f t="shared" si="354"/>
        <v>617</v>
      </c>
      <c r="L1619" s="194">
        <v>171</v>
      </c>
      <c r="M1619" s="194">
        <v>193</v>
      </c>
      <c r="N1619" s="194">
        <v>0</v>
      </c>
      <c r="O1619" s="193">
        <f t="shared" si="355"/>
        <v>364</v>
      </c>
      <c r="P1619" s="194">
        <v>0</v>
      </c>
      <c r="Q1619" s="194">
        <v>0</v>
      </c>
      <c r="R1619" s="194">
        <v>0</v>
      </c>
      <c r="S1619" s="193">
        <f t="shared" si="356"/>
        <v>0</v>
      </c>
      <c r="T1619" s="193">
        <f t="shared" si="357"/>
        <v>32.700000000000003</v>
      </c>
      <c r="U1619" s="193">
        <f ca="1">OFFSET('Expenditure Study'!$B$7,'Operations Support'!$C1619,'Operations Support'!$B1619)*$G1619</f>
        <v>2354.4</v>
      </c>
      <c r="V1619" s="199">
        <f ca="1">U1619*'Expenditure Study'!$B$31</f>
        <v>139105.44087552</v>
      </c>
      <c r="W1619" s="199">
        <f ca="1">IF(A1619=10298,1.51,1)*IF($B1619&lt;3,$D1619*'Expenditure Study'!$B$32*OFFSET('Expenditure Study'!$B$7,'Operations Support'!$C1619,'Operations Support'!$B1619),0)</f>
        <v>84.24</v>
      </c>
      <c r="X1619" s="200">
        <f ca="1">W1619*'Expenditure Study'!$B$31</f>
        <v>4977.1671505919994</v>
      </c>
      <c r="Y1619" s="199">
        <f ca="1">U1619*'Expenditure Study'!$B$31</f>
        <v>139105.44087552</v>
      </c>
      <c r="Z1619" s="200">
        <f ca="1">W1619*'Expenditure Study'!$B$31</f>
        <v>4977.1671505919994</v>
      </c>
      <c r="AA1619" s="195">
        <f t="shared" ca="1" si="358"/>
        <v>144082.60802611199</v>
      </c>
      <c r="AB1619" s="195">
        <f t="shared" ca="1" si="359"/>
        <v>144082.60802611199</v>
      </c>
      <c r="AD1619" s="196">
        <f>IFERROR($G1619/SUMIF($A:$A,$A1619,$G:$G)*SUMIF(Summary!$A$166:$A$242,$A1619,Summary!$P$166:$P$242),0)</f>
        <v>58949.426340604128</v>
      </c>
      <c r="AE1619" s="197">
        <f t="shared" ca="1" si="360"/>
        <v>85133.181685507865</v>
      </c>
      <c r="AF1619" s="196">
        <f>IFERROR(G1619/SUMIF(A:A,A1619,G:G)*SUMIF(Summary!$A$166:$A$242,'Operations Support'!A1619,Summary!$Q$166:$Q$242),0)</f>
        <v>59229.320911099057</v>
      </c>
      <c r="AG1619" s="196">
        <f t="shared" ca="1" si="361"/>
        <v>84853.287115012936</v>
      </c>
      <c r="AI1619" s="196">
        <f>IFERROR($G1619/SUMIF($A:$A,$A1619,$G:$G)*SUMIF(Summary!$A$247:$A$283,$A1619,Summary!$P$247:$P$283),0)</f>
        <v>10750.9042979898</v>
      </c>
      <c r="AJ1619" s="196">
        <f>IFERROR($G1619/SUMIF($A:$A,$A1619,$G:$G)*(SUMIF(Summary!$A$247:$A$283,$A1619,Summary!$L$247:$L$283)+SUMIF(Summary!$A$297:$A$333,$A1619,Summary!$L$297:$L$333))-AI1619,0)</f>
        <v>20040.182849226912</v>
      </c>
      <c r="AK1619" s="196">
        <f>IFERROR($G1619/SUMIF($A:$A,$A1619,$G:$G)*SUMIF(Summary!$A$247:$A$283,$A1619,Summary!$Q$247:$Q$283),0)</f>
        <v>10801.950082956928</v>
      </c>
      <c r="AL1619" s="196">
        <f>IFERROR($G1619/SUMIF($A:$A,$A1619,$G:$G)*(SUMIF(Summary!$A$247:$A$283,$A1619,Summary!$L$247:$L$283)+SUMIF(Summary!$A$297:$A$333,$A1619,Summary!$L$297:$L$333))-AK1619,0)</f>
        <v>19989.137064259783</v>
      </c>
      <c r="AM1619" s="198"/>
      <c r="AN1619" s="196">
        <f t="shared" ca="1" si="362"/>
        <v>105173.36453473478</v>
      </c>
      <c r="AO1619" s="196">
        <f t="shared" ca="1" si="363"/>
        <v>104842.42417927273</v>
      </c>
    </row>
    <row r="1620" spans="1:41">
      <c r="A1620" s="189">
        <v>3642</v>
      </c>
      <c r="B1620" s="190">
        <v>2</v>
      </c>
      <c r="C1620" s="191" t="s">
        <v>239</v>
      </c>
      <c r="D1620" s="192">
        <f t="shared" si="350"/>
        <v>0</v>
      </c>
      <c r="E1620" s="192">
        <f t="shared" si="351"/>
        <v>0</v>
      </c>
      <c r="F1620" s="192">
        <f t="shared" si="352"/>
        <v>0</v>
      </c>
      <c r="G1620" s="193">
        <f t="shared" si="353"/>
        <v>0</v>
      </c>
      <c r="H1620" s="194">
        <v>0</v>
      </c>
      <c r="I1620" s="194">
        <v>0</v>
      </c>
      <c r="J1620" s="194">
        <v>0</v>
      </c>
      <c r="K1620" s="193">
        <f t="shared" si="354"/>
        <v>0</v>
      </c>
      <c r="L1620" s="194">
        <v>0</v>
      </c>
      <c r="M1620" s="194">
        <v>0</v>
      </c>
      <c r="N1620" s="194">
        <v>0</v>
      </c>
      <c r="O1620" s="193">
        <f t="shared" si="355"/>
        <v>0</v>
      </c>
      <c r="P1620" s="194">
        <v>0</v>
      </c>
      <c r="Q1620" s="194">
        <v>0</v>
      </c>
      <c r="R1620" s="194">
        <v>0</v>
      </c>
      <c r="S1620" s="193">
        <f t="shared" si="356"/>
        <v>0</v>
      </c>
      <c r="T1620" s="193">
        <f t="shared" si="357"/>
        <v>0</v>
      </c>
      <c r="U1620" s="193">
        <f ca="1">OFFSET('Expenditure Study'!$B$7,'Operations Support'!$C1620,'Operations Support'!$B1620)*$G1620</f>
        <v>0</v>
      </c>
      <c r="V1620" s="199">
        <f ca="1">U1620*'Expenditure Study'!$B$31</f>
        <v>0</v>
      </c>
      <c r="W1620" s="199">
        <f ca="1">IF(A1620=10298,1.51,1)*IF($B1620&lt;3,$D1620*'Expenditure Study'!$B$32*OFFSET('Expenditure Study'!$B$7,'Operations Support'!$C1620,'Operations Support'!$B1620),0)</f>
        <v>0</v>
      </c>
      <c r="X1620" s="200">
        <f ca="1">W1620*'Expenditure Study'!$B$31</f>
        <v>0</v>
      </c>
      <c r="Y1620" s="199">
        <f ca="1">U1620*'Expenditure Study'!$B$31</f>
        <v>0</v>
      </c>
      <c r="Z1620" s="200">
        <f ca="1">W1620*'Expenditure Study'!$B$31</f>
        <v>0</v>
      </c>
      <c r="AA1620" s="195">
        <f t="shared" ca="1" si="358"/>
        <v>0</v>
      </c>
      <c r="AB1620" s="195">
        <f t="shared" ca="1" si="359"/>
        <v>0</v>
      </c>
      <c r="AD1620" s="196">
        <f>IFERROR($G1620/SUMIF($A:$A,$A1620,$G:$G)*SUMIF(Summary!$A$166:$A$242,$A1620,Summary!$P$166:$P$242),0)</f>
        <v>0</v>
      </c>
      <c r="AE1620" s="197">
        <f t="shared" ca="1" si="360"/>
        <v>0</v>
      </c>
      <c r="AF1620" s="196">
        <f>IFERROR(G1620/SUMIF(A:A,A1620,G:G)*SUMIF(Summary!$A$166:$A$242,'Operations Support'!A1620,Summary!$Q$166:$Q$242),0)</f>
        <v>0</v>
      </c>
      <c r="AG1620" s="196">
        <f t="shared" ca="1" si="361"/>
        <v>0</v>
      </c>
      <c r="AI1620" s="196">
        <f>IFERROR($G1620/SUMIF($A:$A,$A1620,$G:$G)*SUMIF(Summary!$A$247:$A$283,$A1620,Summary!$P$247:$P$283),0)</f>
        <v>0</v>
      </c>
      <c r="AJ1620" s="196">
        <f>IFERROR($G1620/SUMIF($A:$A,$A1620,$G:$G)*(SUMIF(Summary!$A$247:$A$283,$A1620,Summary!$L$247:$L$283)+SUMIF(Summary!$A$297:$A$333,$A1620,Summary!$L$297:$L$333))-AI1620,0)</f>
        <v>0</v>
      </c>
      <c r="AK1620" s="196">
        <f>IFERROR($G1620/SUMIF($A:$A,$A1620,$G:$G)*SUMIF(Summary!$A$247:$A$283,$A1620,Summary!$Q$247:$Q$283),0)</f>
        <v>0</v>
      </c>
      <c r="AL1620" s="196">
        <f>IFERROR($G1620/SUMIF($A:$A,$A1620,$G:$G)*(SUMIF(Summary!$A$247:$A$283,$A1620,Summary!$L$247:$L$283)+SUMIF(Summary!$A$297:$A$333,$A1620,Summary!$L$297:$L$333))-AK1620,0)</f>
        <v>0</v>
      </c>
      <c r="AM1620" s="198"/>
      <c r="AN1620" s="196">
        <f t="shared" ca="1" si="362"/>
        <v>0</v>
      </c>
      <c r="AO1620" s="196">
        <f t="shared" ca="1" si="363"/>
        <v>0</v>
      </c>
    </row>
    <row r="1621" spans="1:41">
      <c r="A1621" s="189">
        <v>3642</v>
      </c>
      <c r="B1621" s="190">
        <v>2</v>
      </c>
      <c r="C1621" s="191" t="s">
        <v>240</v>
      </c>
      <c r="D1621" s="192">
        <f t="shared" si="350"/>
        <v>0</v>
      </c>
      <c r="E1621" s="192">
        <f t="shared" si="351"/>
        <v>0</v>
      </c>
      <c r="F1621" s="192">
        <f t="shared" si="352"/>
        <v>0</v>
      </c>
      <c r="G1621" s="193">
        <f t="shared" si="353"/>
        <v>0</v>
      </c>
      <c r="H1621" s="194">
        <v>0</v>
      </c>
      <c r="I1621" s="194">
        <v>0</v>
      </c>
      <c r="J1621" s="194">
        <v>0</v>
      </c>
      <c r="K1621" s="193">
        <f t="shared" si="354"/>
        <v>0</v>
      </c>
      <c r="L1621" s="194">
        <v>0</v>
      </c>
      <c r="M1621" s="194">
        <v>0</v>
      </c>
      <c r="N1621" s="194">
        <v>0</v>
      </c>
      <c r="O1621" s="193">
        <f t="shared" si="355"/>
        <v>0</v>
      </c>
      <c r="P1621" s="194">
        <v>0</v>
      </c>
      <c r="Q1621" s="194">
        <v>0</v>
      </c>
      <c r="R1621" s="194">
        <v>0</v>
      </c>
      <c r="S1621" s="193">
        <f t="shared" si="356"/>
        <v>0</v>
      </c>
      <c r="T1621" s="193">
        <f t="shared" si="357"/>
        <v>0</v>
      </c>
      <c r="U1621" s="193">
        <f ca="1">OFFSET('Expenditure Study'!$B$7,'Operations Support'!$C1621,'Operations Support'!$B1621)*$G1621</f>
        <v>0</v>
      </c>
      <c r="V1621" s="199">
        <f ca="1">U1621*'Expenditure Study'!$B$31</f>
        <v>0</v>
      </c>
      <c r="W1621" s="199">
        <f ca="1">IF(A1621=10298,1.51,1)*IF($B1621&lt;3,$D1621*'Expenditure Study'!$B$32*OFFSET('Expenditure Study'!$B$7,'Operations Support'!$C1621,'Operations Support'!$B1621),0)</f>
        <v>0</v>
      </c>
      <c r="X1621" s="200">
        <f ca="1">W1621*'Expenditure Study'!$B$31</f>
        <v>0</v>
      </c>
      <c r="Y1621" s="199">
        <f ca="1">U1621*'Expenditure Study'!$B$31</f>
        <v>0</v>
      </c>
      <c r="Z1621" s="200">
        <f ca="1">W1621*'Expenditure Study'!$B$31</f>
        <v>0</v>
      </c>
      <c r="AA1621" s="195">
        <f t="shared" ca="1" si="358"/>
        <v>0</v>
      </c>
      <c r="AB1621" s="195">
        <f t="shared" ca="1" si="359"/>
        <v>0</v>
      </c>
      <c r="AD1621" s="196">
        <f>IFERROR($G1621/SUMIF($A:$A,$A1621,$G:$G)*SUMIF(Summary!$A$166:$A$242,$A1621,Summary!$P$166:$P$242),0)</f>
        <v>0</v>
      </c>
      <c r="AE1621" s="197">
        <f t="shared" ca="1" si="360"/>
        <v>0</v>
      </c>
      <c r="AF1621" s="196">
        <f>IFERROR(G1621/SUMIF(A:A,A1621,G:G)*SUMIF(Summary!$A$166:$A$242,'Operations Support'!A1621,Summary!$Q$166:$Q$242),0)</f>
        <v>0</v>
      </c>
      <c r="AG1621" s="196">
        <f t="shared" ca="1" si="361"/>
        <v>0</v>
      </c>
      <c r="AI1621" s="196">
        <f>IFERROR($G1621/SUMIF($A:$A,$A1621,$G:$G)*SUMIF(Summary!$A$247:$A$283,$A1621,Summary!$P$247:$P$283),0)</f>
        <v>0</v>
      </c>
      <c r="AJ1621" s="196">
        <f>IFERROR($G1621/SUMIF($A:$A,$A1621,$G:$G)*(SUMIF(Summary!$A$247:$A$283,$A1621,Summary!$L$247:$L$283)+SUMIF(Summary!$A$297:$A$333,$A1621,Summary!$L$297:$L$333))-AI1621,0)</f>
        <v>0</v>
      </c>
      <c r="AK1621" s="196">
        <f>IFERROR($G1621/SUMIF($A:$A,$A1621,$G:$G)*SUMIF(Summary!$A$247:$A$283,$A1621,Summary!$Q$247:$Q$283),0)</f>
        <v>0</v>
      </c>
      <c r="AL1621" s="196">
        <f>IFERROR($G1621/SUMIF($A:$A,$A1621,$G:$G)*(SUMIF(Summary!$A$247:$A$283,$A1621,Summary!$L$247:$L$283)+SUMIF(Summary!$A$297:$A$333,$A1621,Summary!$L$297:$L$333))-AK1621,0)</f>
        <v>0</v>
      </c>
      <c r="AM1621" s="198"/>
      <c r="AN1621" s="196">
        <f t="shared" ca="1" si="362"/>
        <v>0</v>
      </c>
      <c r="AO1621" s="196">
        <f t="shared" ca="1" si="363"/>
        <v>0</v>
      </c>
    </row>
    <row r="1622" spans="1:41">
      <c r="A1622" s="189">
        <v>3642</v>
      </c>
      <c r="B1622" s="190">
        <v>3</v>
      </c>
      <c r="C1622" s="191" t="s">
        <v>220</v>
      </c>
      <c r="D1622" s="192">
        <f t="shared" si="350"/>
        <v>3213.4</v>
      </c>
      <c r="E1622" s="192">
        <f t="shared" si="351"/>
        <v>2183.6</v>
      </c>
      <c r="F1622" s="192">
        <f t="shared" si="352"/>
        <v>0</v>
      </c>
      <c r="G1622" s="193">
        <f t="shared" si="353"/>
        <v>5397</v>
      </c>
      <c r="H1622" s="194">
        <v>1417.9</v>
      </c>
      <c r="I1622" s="194">
        <v>1013.1</v>
      </c>
      <c r="J1622" s="194">
        <v>0</v>
      </c>
      <c r="K1622" s="193">
        <f t="shared" si="354"/>
        <v>2431</v>
      </c>
      <c r="L1622" s="194">
        <v>1438.5</v>
      </c>
      <c r="M1622" s="194">
        <v>1077.5</v>
      </c>
      <c r="N1622" s="194">
        <v>0</v>
      </c>
      <c r="O1622" s="193">
        <f t="shared" si="355"/>
        <v>2516</v>
      </c>
      <c r="P1622" s="194">
        <v>357</v>
      </c>
      <c r="Q1622" s="194">
        <v>93</v>
      </c>
      <c r="R1622" s="194">
        <v>0</v>
      </c>
      <c r="S1622" s="193">
        <f t="shared" si="356"/>
        <v>450</v>
      </c>
      <c r="T1622" s="193">
        <f t="shared" si="357"/>
        <v>224.875</v>
      </c>
      <c r="U1622" s="193">
        <f ca="1">OFFSET('Expenditure Study'!$B$7,'Operations Support'!$C1622,'Operations Support'!$B1622)*$G1622</f>
        <v>24070.62</v>
      </c>
      <c r="V1622" s="199">
        <f ca="1">U1622*'Expenditure Study'!$B$31</f>
        <v>1422168.793428096</v>
      </c>
      <c r="W1622" s="199">
        <f ca="1">IF(A1622=10298,1.51,1)*IF($B1622&lt;3,$D1622*'Expenditure Study'!$B$32*OFFSET('Expenditure Study'!$B$7,'Operations Support'!$C1622,'Operations Support'!$B1622),0)</f>
        <v>0</v>
      </c>
      <c r="X1622" s="200">
        <f ca="1">W1622*'Expenditure Study'!$B$31</f>
        <v>0</v>
      </c>
      <c r="Y1622" s="199">
        <f ca="1">U1622*'Expenditure Study'!$B$31</f>
        <v>1422168.793428096</v>
      </c>
      <c r="Z1622" s="200">
        <f ca="1">W1622*'Expenditure Study'!$B$31</f>
        <v>0</v>
      </c>
      <c r="AA1622" s="195">
        <f t="shared" ca="1" si="358"/>
        <v>1422168.793428096</v>
      </c>
      <c r="AB1622" s="195">
        <f t="shared" ca="1" si="359"/>
        <v>1422168.793428096</v>
      </c>
      <c r="AD1622" s="196">
        <f>IFERROR($G1622/SUMIF($A:$A,$A1622,$G:$G)*SUMIF(Summary!$A$166:$A$242,$A1622,Summary!$P$166:$P$242),0)</f>
        <v>324311.98161084659</v>
      </c>
      <c r="AE1622" s="197">
        <f t="shared" ca="1" si="360"/>
        <v>1097856.8118172493</v>
      </c>
      <c r="AF1622" s="196">
        <f>IFERROR(G1622/SUMIF(A:A,A1622,G:G)*SUMIF(Summary!$A$166:$A$242,'Operations Support'!A1622,Summary!$Q$166:$Q$242),0)</f>
        <v>325851.8297219181</v>
      </c>
      <c r="AG1622" s="196">
        <f t="shared" ca="1" si="361"/>
        <v>1096316.9637061779</v>
      </c>
      <c r="AI1622" s="196">
        <f>IFERROR($G1622/SUMIF($A:$A,$A1622,$G:$G)*SUMIF(Summary!$A$247:$A$283,$A1622,Summary!$P$247:$P$283),0)</f>
        <v>59146.41233053105</v>
      </c>
      <c r="AJ1622" s="196">
        <f>IFERROR($G1622/SUMIF($A:$A,$A1622,$G:$G)*(SUMIF(Summary!$A$247:$A$283,$A1622,Summary!$L$247:$L$283)+SUMIF(Summary!$A$297:$A$333,$A1622,Summary!$L$297:$L$333))-AI1622,0)</f>
        <v>110251.64815216887</v>
      </c>
      <c r="AK1622" s="196">
        <f>IFERROR($G1622/SUMIF($A:$A,$A1622,$G:$G)*SUMIF(Summary!$A$247:$A$283,$A1622,Summary!$Q$247:$Q$283),0)</f>
        <v>59427.242199509215</v>
      </c>
      <c r="AL1622" s="196">
        <f>IFERROR($G1622/SUMIF($A:$A,$A1622,$G:$G)*(SUMIF(Summary!$A$247:$A$283,$A1622,Summary!$L$247:$L$283)+SUMIF(Summary!$A$297:$A$333,$A1622,Summary!$L$297:$L$333))-AK1622,0)</f>
        <v>109970.8182831907</v>
      </c>
      <c r="AM1622" s="198"/>
      <c r="AN1622" s="196">
        <f t="shared" ca="1" si="362"/>
        <v>1208108.4599694181</v>
      </c>
      <c r="AO1622" s="196">
        <f t="shared" ca="1" si="363"/>
        <v>1206287.7819893686</v>
      </c>
    </row>
    <row r="1623" spans="1:41">
      <c r="A1623" s="189">
        <v>3642</v>
      </c>
      <c r="B1623" s="190">
        <v>3</v>
      </c>
      <c r="C1623" s="191" t="s">
        <v>221</v>
      </c>
      <c r="D1623" s="192">
        <f t="shared" si="350"/>
        <v>516</v>
      </c>
      <c r="E1623" s="192">
        <f t="shared" si="351"/>
        <v>12</v>
      </c>
      <c r="F1623" s="192">
        <f t="shared" si="352"/>
        <v>0</v>
      </c>
      <c r="G1623" s="193">
        <f t="shared" si="353"/>
        <v>528</v>
      </c>
      <c r="H1623" s="194">
        <v>305</v>
      </c>
      <c r="I1623" s="194">
        <v>12</v>
      </c>
      <c r="J1623" s="194">
        <v>0</v>
      </c>
      <c r="K1623" s="193">
        <f t="shared" si="354"/>
        <v>317</v>
      </c>
      <c r="L1623" s="194">
        <v>202</v>
      </c>
      <c r="M1623" s="194">
        <v>0</v>
      </c>
      <c r="N1623" s="194">
        <v>0</v>
      </c>
      <c r="O1623" s="193">
        <f t="shared" si="355"/>
        <v>202</v>
      </c>
      <c r="P1623" s="194">
        <v>9</v>
      </c>
      <c r="Q1623" s="194">
        <v>0</v>
      </c>
      <c r="R1623" s="194">
        <v>0</v>
      </c>
      <c r="S1623" s="193">
        <f t="shared" si="356"/>
        <v>9</v>
      </c>
      <c r="T1623" s="193">
        <f t="shared" si="357"/>
        <v>22</v>
      </c>
      <c r="U1623" s="193">
        <f ca="1">OFFSET('Expenditure Study'!$B$7,'Operations Support'!$C1623,'Operations Support'!$B1623)*$G1623</f>
        <v>3696</v>
      </c>
      <c r="V1623" s="199">
        <f ca="1">U1623*'Expenditure Study'!$B$31</f>
        <v>218371.43623680001</v>
      </c>
      <c r="W1623" s="199">
        <f ca="1">IF(A1623=10298,1.51,1)*IF($B1623&lt;3,$D1623*'Expenditure Study'!$B$32*OFFSET('Expenditure Study'!$B$7,'Operations Support'!$C1623,'Operations Support'!$B1623),0)</f>
        <v>0</v>
      </c>
      <c r="X1623" s="200">
        <f ca="1">W1623*'Expenditure Study'!$B$31</f>
        <v>0</v>
      </c>
      <c r="Y1623" s="199">
        <f ca="1">U1623*'Expenditure Study'!$B$31</f>
        <v>218371.43623680001</v>
      </c>
      <c r="Z1623" s="200">
        <f ca="1">W1623*'Expenditure Study'!$B$31</f>
        <v>0</v>
      </c>
      <c r="AA1623" s="195">
        <f t="shared" ca="1" si="358"/>
        <v>218371.43623680001</v>
      </c>
      <c r="AB1623" s="195">
        <f t="shared" ca="1" si="359"/>
        <v>218371.43623680001</v>
      </c>
      <c r="AD1623" s="196">
        <f>IFERROR($G1623/SUMIF($A:$A,$A1623,$G:$G)*SUMIF(Summary!$A$166:$A$242,$A1623,Summary!$P$166:$P$242),0)</f>
        <v>31728.131608398551</v>
      </c>
      <c r="AE1623" s="197">
        <f t="shared" ca="1" si="360"/>
        <v>186643.30462840147</v>
      </c>
      <c r="AF1623" s="196">
        <f>IFERROR(G1623/SUMIF(A:A,A1623,G:G)*SUMIF(Summary!$A$166:$A$242,'Operations Support'!A1623,Summary!$Q$166:$Q$242),0)</f>
        <v>31878.778227380531</v>
      </c>
      <c r="AG1623" s="196">
        <f t="shared" ca="1" si="361"/>
        <v>186492.65800941948</v>
      </c>
      <c r="AI1623" s="196">
        <f>IFERROR($G1623/SUMIF($A:$A,$A1623,$G:$G)*SUMIF(Summary!$A$247:$A$283,$A1623,Summary!$P$247:$P$283),0)</f>
        <v>5786.4194386734098</v>
      </c>
      <c r="AJ1623" s="196">
        <f>IFERROR($G1623/SUMIF($A:$A,$A1623,$G:$G)*(SUMIF(Summary!$A$247:$A$283,$A1623,Summary!$L$247:$L$283)+SUMIF(Summary!$A$297:$A$333,$A1623,Summary!$L$297:$L$333))-AI1623,0)</f>
        <v>10786.153460134363</v>
      </c>
      <c r="AK1623" s="196">
        <f>IFERROR($G1623/SUMIF($A:$A,$A1623,$G:$G)*SUMIF(Summary!$A$247:$A$283,$A1623,Summary!$Q$247:$Q$283),0)</f>
        <v>5813.8936226312517</v>
      </c>
      <c r="AL1623" s="196">
        <f>IFERROR($G1623/SUMIF($A:$A,$A1623,$G:$G)*(SUMIF(Summary!$A$247:$A$283,$A1623,Summary!$L$247:$L$283)+SUMIF(Summary!$A$297:$A$333,$A1623,Summary!$L$297:$L$333))-AK1623,0)</f>
        <v>10758.679276176521</v>
      </c>
      <c r="AM1623" s="198"/>
      <c r="AN1623" s="196">
        <f t="shared" ca="1" si="362"/>
        <v>197429.45808853584</v>
      </c>
      <c r="AO1623" s="196">
        <f t="shared" ca="1" si="363"/>
        <v>197251.337285596</v>
      </c>
    </row>
    <row r="1624" spans="1:41" s="201" customFormat="1">
      <c r="A1624" s="189">
        <v>3642</v>
      </c>
      <c r="B1624" s="190">
        <v>3</v>
      </c>
      <c r="C1624" s="191" t="s">
        <v>222</v>
      </c>
      <c r="D1624" s="192">
        <f t="shared" si="350"/>
        <v>0</v>
      </c>
      <c r="E1624" s="192">
        <f t="shared" si="351"/>
        <v>0</v>
      </c>
      <c r="F1624" s="192">
        <f t="shared" si="352"/>
        <v>0</v>
      </c>
      <c r="G1624" s="193">
        <f t="shared" si="353"/>
        <v>0</v>
      </c>
      <c r="H1624" s="194">
        <v>0</v>
      </c>
      <c r="I1624" s="194">
        <v>0</v>
      </c>
      <c r="J1624" s="194">
        <v>0</v>
      </c>
      <c r="K1624" s="193">
        <f t="shared" si="354"/>
        <v>0</v>
      </c>
      <c r="L1624" s="194">
        <v>0</v>
      </c>
      <c r="M1624" s="194">
        <v>0</v>
      </c>
      <c r="N1624" s="194">
        <v>0</v>
      </c>
      <c r="O1624" s="193">
        <f t="shared" si="355"/>
        <v>0</v>
      </c>
      <c r="P1624" s="194">
        <v>0</v>
      </c>
      <c r="Q1624" s="194">
        <v>0</v>
      </c>
      <c r="R1624" s="194">
        <v>0</v>
      </c>
      <c r="S1624" s="193">
        <f t="shared" si="356"/>
        <v>0</v>
      </c>
      <c r="T1624" s="193">
        <f t="shared" si="357"/>
        <v>0</v>
      </c>
      <c r="U1624" s="193">
        <f ca="1">OFFSET('Expenditure Study'!$B$7,'Operations Support'!$C1624,'Operations Support'!$B1624)*$G1624</f>
        <v>0</v>
      </c>
      <c r="V1624" s="199">
        <f ca="1">U1624*'Expenditure Study'!$B$31</f>
        <v>0</v>
      </c>
      <c r="W1624" s="199">
        <f ca="1">IF(A1624=10298,1.51,1)*IF($B1624&lt;3,$D1624*'Expenditure Study'!$B$32*OFFSET('Expenditure Study'!$B$7,'Operations Support'!$C1624,'Operations Support'!$B1624),0)</f>
        <v>0</v>
      </c>
      <c r="X1624" s="200">
        <f ca="1">W1624*'Expenditure Study'!$B$31</f>
        <v>0</v>
      </c>
      <c r="Y1624" s="199">
        <f ca="1">U1624*'Expenditure Study'!$B$31</f>
        <v>0</v>
      </c>
      <c r="Z1624" s="200">
        <f ca="1">W1624*'Expenditure Study'!$B$31</f>
        <v>0</v>
      </c>
      <c r="AA1624" s="195">
        <f t="shared" ca="1" si="358"/>
        <v>0</v>
      </c>
      <c r="AB1624" s="195">
        <f t="shared" ca="1" si="359"/>
        <v>0</v>
      </c>
      <c r="AD1624" s="196">
        <f>IFERROR($G1624/SUMIF($A:$A,$A1624,$G:$G)*SUMIF(Summary!$A$166:$A$242,$A1624,Summary!$P$166:$P$242),0)</f>
        <v>0</v>
      </c>
      <c r="AE1624" s="197">
        <f t="shared" ca="1" si="360"/>
        <v>0</v>
      </c>
      <c r="AF1624" s="196">
        <f>IFERROR(G1624/SUMIF(A:A,A1624,G:G)*SUMIF(Summary!$A$166:$A$242,'Operations Support'!A1624,Summary!$Q$166:$Q$242),0)</f>
        <v>0</v>
      </c>
      <c r="AG1624" s="196">
        <f t="shared" ca="1" si="361"/>
        <v>0</v>
      </c>
      <c r="AH1624" s="180"/>
      <c r="AI1624" s="196">
        <f>IFERROR($G1624/SUMIF($A:$A,$A1624,$G:$G)*SUMIF(Summary!$A$247:$A$283,$A1624,Summary!$P$247:$P$283),0)</f>
        <v>0</v>
      </c>
      <c r="AJ1624" s="196">
        <f>IFERROR($G1624/SUMIF($A:$A,$A1624,$G:$G)*(SUMIF(Summary!$A$247:$A$283,$A1624,Summary!$L$247:$L$283)+SUMIF(Summary!$A$297:$A$333,$A1624,Summary!$L$297:$L$333))-AI1624,0)</f>
        <v>0</v>
      </c>
      <c r="AK1624" s="196">
        <f>IFERROR($G1624/SUMIF($A:$A,$A1624,$G:$G)*SUMIF(Summary!$A$247:$A$283,$A1624,Summary!$Q$247:$Q$283),0)</f>
        <v>0</v>
      </c>
      <c r="AL1624" s="196">
        <f>IFERROR($G1624/SUMIF($A:$A,$A1624,$G:$G)*(SUMIF(Summary!$A$247:$A$283,$A1624,Summary!$L$247:$L$283)+SUMIF(Summary!$A$297:$A$333,$A1624,Summary!$L$297:$L$333))-AK1624,0)</f>
        <v>0</v>
      </c>
      <c r="AM1624" s="198"/>
      <c r="AN1624" s="196">
        <f t="shared" ca="1" si="362"/>
        <v>0</v>
      </c>
      <c r="AO1624" s="196">
        <f t="shared" ca="1" si="363"/>
        <v>0</v>
      </c>
    </row>
    <row r="1625" spans="1:41">
      <c r="A1625" s="189">
        <v>3642</v>
      </c>
      <c r="B1625" s="190">
        <v>3</v>
      </c>
      <c r="C1625" s="191" t="s">
        <v>223</v>
      </c>
      <c r="D1625" s="192">
        <f t="shared" si="350"/>
        <v>1755</v>
      </c>
      <c r="E1625" s="192">
        <f t="shared" si="351"/>
        <v>651</v>
      </c>
      <c r="F1625" s="192">
        <f t="shared" si="352"/>
        <v>0</v>
      </c>
      <c r="G1625" s="193">
        <f t="shared" si="353"/>
        <v>2406</v>
      </c>
      <c r="H1625" s="194">
        <v>882</v>
      </c>
      <c r="I1625" s="194">
        <v>303</v>
      </c>
      <c r="J1625" s="194">
        <v>0</v>
      </c>
      <c r="K1625" s="193">
        <f t="shared" si="354"/>
        <v>1185</v>
      </c>
      <c r="L1625" s="194">
        <v>759</v>
      </c>
      <c r="M1625" s="194">
        <v>342</v>
      </c>
      <c r="N1625" s="194">
        <v>0</v>
      </c>
      <c r="O1625" s="193">
        <f t="shared" si="355"/>
        <v>1101</v>
      </c>
      <c r="P1625" s="194">
        <v>114</v>
      </c>
      <c r="Q1625" s="194">
        <v>6</v>
      </c>
      <c r="R1625" s="194">
        <v>0</v>
      </c>
      <c r="S1625" s="193">
        <f t="shared" si="356"/>
        <v>120</v>
      </c>
      <c r="T1625" s="193">
        <f t="shared" si="357"/>
        <v>100.25</v>
      </c>
      <c r="U1625" s="193">
        <f ca="1">OFFSET('Expenditure Study'!$B$7,'Operations Support'!$C1625,'Operations Support'!$B1625)*$G1625</f>
        <v>5389.4400000000005</v>
      </c>
      <c r="V1625" s="199">
        <f ca="1">U1625*'Expenditure Study'!$B$31</f>
        <v>318425.25793075201</v>
      </c>
      <c r="W1625" s="199">
        <f ca="1">IF(A1625=10298,1.51,1)*IF($B1625&lt;3,$D1625*'Expenditure Study'!$B$32*OFFSET('Expenditure Study'!$B$7,'Operations Support'!$C1625,'Operations Support'!$B1625),0)</f>
        <v>0</v>
      </c>
      <c r="X1625" s="200">
        <f ca="1">W1625*'Expenditure Study'!$B$31</f>
        <v>0</v>
      </c>
      <c r="Y1625" s="199">
        <f ca="1">U1625*'Expenditure Study'!$B$31</f>
        <v>318425.25793075201</v>
      </c>
      <c r="Z1625" s="200">
        <f ca="1">W1625*'Expenditure Study'!$B$31</f>
        <v>0</v>
      </c>
      <c r="AA1625" s="195">
        <f t="shared" ca="1" si="358"/>
        <v>318425.25793075201</v>
      </c>
      <c r="AB1625" s="195">
        <f t="shared" ca="1" si="359"/>
        <v>318425.25793075201</v>
      </c>
      <c r="AD1625" s="196">
        <f>IFERROR($G1625/SUMIF($A:$A,$A1625,$G:$G)*SUMIF(Summary!$A$166:$A$242,$A1625,Summary!$P$166:$P$242),0)</f>
        <v>144579.32698827068</v>
      </c>
      <c r="AE1625" s="197">
        <f t="shared" ca="1" si="360"/>
        <v>173845.93094248133</v>
      </c>
      <c r="AF1625" s="196">
        <f>IFERROR(G1625/SUMIF(A:A,A1625,G:G)*SUMIF(Summary!$A$166:$A$242,'Operations Support'!A1625,Summary!$Q$166:$Q$242),0)</f>
        <v>145265.79624067721</v>
      </c>
      <c r="AG1625" s="196">
        <f t="shared" ca="1" si="361"/>
        <v>173159.46169007479</v>
      </c>
      <c r="AI1625" s="196">
        <f>IFERROR($G1625/SUMIF($A:$A,$A1625,$G:$G)*SUMIF(Summary!$A$247:$A$283,$A1625,Summary!$P$247:$P$283),0)</f>
        <v>26367.661305773152</v>
      </c>
      <c r="AJ1625" s="196">
        <f>IFERROR($G1625/SUMIF($A:$A,$A1625,$G:$G)*(SUMIF(Summary!$A$247:$A$283,$A1625,Summary!$L$247:$L$283)+SUMIF(Summary!$A$297:$A$333,$A1625,Summary!$L$297:$L$333))-AI1625,0)</f>
        <v>49150.540199021365</v>
      </c>
      <c r="AK1625" s="196">
        <f>IFERROR($G1625/SUMIF($A:$A,$A1625,$G:$G)*SUMIF(Summary!$A$247:$A$283,$A1625,Summary!$Q$247:$Q$283),0)</f>
        <v>26492.856166762864</v>
      </c>
      <c r="AL1625" s="196">
        <f>IFERROR($G1625/SUMIF($A:$A,$A1625,$G:$G)*(SUMIF(Summary!$A$247:$A$283,$A1625,Summary!$L$247:$L$283)+SUMIF(Summary!$A$297:$A$333,$A1625,Summary!$L$297:$L$333))-AK1625,0)</f>
        <v>49025.34533803165</v>
      </c>
      <c r="AM1625" s="198"/>
      <c r="AN1625" s="196">
        <f t="shared" ca="1" si="362"/>
        <v>222996.4711415027</v>
      </c>
      <c r="AO1625" s="196">
        <f t="shared" ca="1" si="363"/>
        <v>222184.80702810644</v>
      </c>
    </row>
    <row r="1626" spans="1:41">
      <c r="A1626" s="189">
        <v>3642</v>
      </c>
      <c r="B1626" s="190">
        <v>3</v>
      </c>
      <c r="C1626" s="191" t="s">
        <v>224</v>
      </c>
      <c r="D1626" s="192">
        <f t="shared" si="350"/>
        <v>0</v>
      </c>
      <c r="E1626" s="192">
        <f t="shared" si="351"/>
        <v>0</v>
      </c>
      <c r="F1626" s="192">
        <f t="shared" si="352"/>
        <v>0</v>
      </c>
      <c r="G1626" s="193">
        <f t="shared" si="353"/>
        <v>0</v>
      </c>
      <c r="H1626" s="194">
        <v>0</v>
      </c>
      <c r="I1626" s="194">
        <v>0</v>
      </c>
      <c r="J1626" s="194">
        <v>0</v>
      </c>
      <c r="K1626" s="193">
        <f t="shared" si="354"/>
        <v>0</v>
      </c>
      <c r="L1626" s="194">
        <v>0</v>
      </c>
      <c r="M1626" s="194">
        <v>0</v>
      </c>
      <c r="N1626" s="194">
        <v>0</v>
      </c>
      <c r="O1626" s="193">
        <f t="shared" si="355"/>
        <v>0</v>
      </c>
      <c r="P1626" s="194">
        <v>0</v>
      </c>
      <c r="Q1626" s="194">
        <v>0</v>
      </c>
      <c r="R1626" s="194">
        <v>0</v>
      </c>
      <c r="S1626" s="193">
        <f t="shared" si="356"/>
        <v>0</v>
      </c>
      <c r="T1626" s="193">
        <f t="shared" si="357"/>
        <v>0</v>
      </c>
      <c r="U1626" s="193">
        <f ca="1">OFFSET('Expenditure Study'!$B$7,'Operations Support'!$C1626,'Operations Support'!$B1626)*$G1626</f>
        <v>0</v>
      </c>
      <c r="V1626" s="199">
        <f ca="1">U1626*'Expenditure Study'!$B$31</f>
        <v>0</v>
      </c>
      <c r="W1626" s="199">
        <f ca="1">IF(A1626=10298,1.51,1)*IF($B1626&lt;3,$D1626*'Expenditure Study'!$B$32*OFFSET('Expenditure Study'!$B$7,'Operations Support'!$C1626,'Operations Support'!$B1626),0)</f>
        <v>0</v>
      </c>
      <c r="X1626" s="200">
        <f ca="1">W1626*'Expenditure Study'!$B$31</f>
        <v>0</v>
      </c>
      <c r="Y1626" s="199">
        <f ca="1">U1626*'Expenditure Study'!$B$31</f>
        <v>0</v>
      </c>
      <c r="Z1626" s="200">
        <f ca="1">W1626*'Expenditure Study'!$B$31</f>
        <v>0</v>
      </c>
      <c r="AA1626" s="195">
        <f t="shared" ca="1" si="358"/>
        <v>0</v>
      </c>
      <c r="AB1626" s="195">
        <f t="shared" ca="1" si="359"/>
        <v>0</v>
      </c>
      <c r="AD1626" s="196">
        <f>IFERROR($G1626/SUMIF($A:$A,$A1626,$G:$G)*SUMIF(Summary!$A$166:$A$242,$A1626,Summary!$P$166:$P$242),0)</f>
        <v>0</v>
      </c>
      <c r="AE1626" s="197">
        <f t="shared" ca="1" si="360"/>
        <v>0</v>
      </c>
      <c r="AF1626" s="196">
        <f>IFERROR(G1626/SUMIF(A:A,A1626,G:G)*SUMIF(Summary!$A$166:$A$242,'Operations Support'!A1626,Summary!$Q$166:$Q$242),0)</f>
        <v>0</v>
      </c>
      <c r="AG1626" s="196">
        <f t="shared" ca="1" si="361"/>
        <v>0</v>
      </c>
      <c r="AI1626" s="196">
        <f>IFERROR($G1626/SUMIF($A:$A,$A1626,$G:$G)*SUMIF(Summary!$A$247:$A$283,$A1626,Summary!$P$247:$P$283),0)</f>
        <v>0</v>
      </c>
      <c r="AJ1626" s="196">
        <f>IFERROR($G1626/SUMIF($A:$A,$A1626,$G:$G)*(SUMIF(Summary!$A$247:$A$283,$A1626,Summary!$L$247:$L$283)+SUMIF(Summary!$A$297:$A$333,$A1626,Summary!$L$297:$L$333))-AI1626,0)</f>
        <v>0</v>
      </c>
      <c r="AK1626" s="196">
        <f>IFERROR($G1626/SUMIF($A:$A,$A1626,$G:$G)*SUMIF(Summary!$A$247:$A$283,$A1626,Summary!$Q$247:$Q$283),0)</f>
        <v>0</v>
      </c>
      <c r="AL1626" s="196">
        <f>IFERROR($G1626/SUMIF($A:$A,$A1626,$G:$G)*(SUMIF(Summary!$A$247:$A$283,$A1626,Summary!$L$247:$L$283)+SUMIF(Summary!$A$297:$A$333,$A1626,Summary!$L$297:$L$333))-AK1626,0)</f>
        <v>0</v>
      </c>
      <c r="AM1626" s="198"/>
      <c r="AN1626" s="196">
        <f t="shared" ca="1" si="362"/>
        <v>0</v>
      </c>
      <c r="AO1626" s="196">
        <f t="shared" ca="1" si="363"/>
        <v>0</v>
      </c>
    </row>
    <row r="1627" spans="1:41">
      <c r="A1627" s="189">
        <v>3642</v>
      </c>
      <c r="B1627" s="190">
        <v>3</v>
      </c>
      <c r="C1627" s="191" t="s">
        <v>225</v>
      </c>
      <c r="D1627" s="192">
        <f t="shared" si="350"/>
        <v>531</v>
      </c>
      <c r="E1627" s="192">
        <f t="shared" si="351"/>
        <v>42</v>
      </c>
      <c r="F1627" s="192">
        <f t="shared" si="352"/>
        <v>0</v>
      </c>
      <c r="G1627" s="193">
        <f t="shared" si="353"/>
        <v>573</v>
      </c>
      <c r="H1627" s="194">
        <v>205</v>
      </c>
      <c r="I1627" s="194">
        <v>30</v>
      </c>
      <c r="J1627" s="194">
        <v>0</v>
      </c>
      <c r="K1627" s="193">
        <f t="shared" si="354"/>
        <v>235</v>
      </c>
      <c r="L1627" s="194">
        <v>302</v>
      </c>
      <c r="M1627" s="194">
        <v>0</v>
      </c>
      <c r="N1627" s="194">
        <v>0</v>
      </c>
      <c r="O1627" s="193">
        <f t="shared" si="355"/>
        <v>302</v>
      </c>
      <c r="P1627" s="194">
        <v>24</v>
      </c>
      <c r="Q1627" s="194">
        <v>12</v>
      </c>
      <c r="R1627" s="194">
        <v>0</v>
      </c>
      <c r="S1627" s="193">
        <f t="shared" si="356"/>
        <v>36</v>
      </c>
      <c r="T1627" s="193">
        <f t="shared" si="357"/>
        <v>23.875</v>
      </c>
      <c r="U1627" s="193">
        <f ca="1">OFFSET('Expenditure Study'!$B$7,'Operations Support'!$C1627,'Operations Support'!$B1627)*$G1627</f>
        <v>3959.4300000000003</v>
      </c>
      <c r="V1627" s="199">
        <f ca="1">U1627*'Expenditure Study'!$B$31</f>
        <v>233935.71855494403</v>
      </c>
      <c r="W1627" s="199">
        <f ca="1">IF(A1627=10298,1.51,1)*IF($B1627&lt;3,$D1627*'Expenditure Study'!$B$32*OFFSET('Expenditure Study'!$B$7,'Operations Support'!$C1627,'Operations Support'!$B1627),0)</f>
        <v>0</v>
      </c>
      <c r="X1627" s="200">
        <f ca="1">W1627*'Expenditure Study'!$B$31</f>
        <v>0</v>
      </c>
      <c r="Y1627" s="199">
        <f ca="1">U1627*'Expenditure Study'!$B$31</f>
        <v>233935.71855494403</v>
      </c>
      <c r="Z1627" s="200">
        <f ca="1">W1627*'Expenditure Study'!$B$31</f>
        <v>0</v>
      </c>
      <c r="AA1627" s="195">
        <f t="shared" ca="1" si="358"/>
        <v>233935.71855494403</v>
      </c>
      <c r="AB1627" s="195">
        <f t="shared" ca="1" si="359"/>
        <v>233935.71855494403</v>
      </c>
      <c r="AD1627" s="196">
        <f>IFERROR($G1627/SUMIF($A:$A,$A1627,$G:$G)*SUMIF(Summary!$A$166:$A$242,$A1627,Summary!$P$166:$P$242),0)</f>
        <v>34432.233734114336</v>
      </c>
      <c r="AE1627" s="197">
        <f t="shared" ca="1" si="360"/>
        <v>199503.4848208297</v>
      </c>
      <c r="AF1627" s="196">
        <f>IFERROR(G1627/SUMIF(A:A,A1627,G:G)*SUMIF(Summary!$A$166:$A$242,'Operations Support'!A1627,Summary!$Q$166:$Q$242),0)</f>
        <v>34595.719553577735</v>
      </c>
      <c r="AG1627" s="196">
        <f t="shared" ca="1" si="361"/>
        <v>199339.99900136629</v>
      </c>
      <c r="AI1627" s="196">
        <f>IFERROR($G1627/SUMIF($A:$A,$A1627,$G:$G)*SUMIF(Summary!$A$247:$A$283,$A1627,Summary!$P$247:$P$283),0)</f>
        <v>6279.5801862876206</v>
      </c>
      <c r="AJ1627" s="196">
        <f>IFERROR($G1627/SUMIF($A:$A,$A1627,$G:$G)*(SUMIF(Summary!$A$247:$A$283,$A1627,Summary!$L$247:$L$283)+SUMIF(Summary!$A$297:$A$333,$A1627,Summary!$L$297:$L$333))-AI1627,0)</f>
        <v>11705.427902759449</v>
      </c>
      <c r="AK1627" s="196">
        <f>IFERROR($G1627/SUMIF($A:$A,$A1627,$G:$G)*SUMIF(Summary!$A$247:$A$283,$A1627,Summary!$Q$247:$Q$283),0)</f>
        <v>6309.3959200145973</v>
      </c>
      <c r="AL1627" s="196">
        <f>IFERROR($G1627/SUMIF($A:$A,$A1627,$G:$G)*(SUMIF(Summary!$A$247:$A$283,$A1627,Summary!$L$247:$L$283)+SUMIF(Summary!$A$297:$A$333,$A1627,Summary!$L$297:$L$333))-AK1627,0)</f>
        <v>11675.612169032473</v>
      </c>
      <c r="AM1627" s="198"/>
      <c r="AN1627" s="196">
        <f t="shared" ca="1" si="362"/>
        <v>211208.91272358916</v>
      </c>
      <c r="AO1627" s="196">
        <f t="shared" ca="1" si="363"/>
        <v>211015.61117039877</v>
      </c>
    </row>
    <row r="1628" spans="1:41">
      <c r="A1628" s="189">
        <v>3642</v>
      </c>
      <c r="B1628" s="190">
        <v>3</v>
      </c>
      <c r="C1628" s="191" t="s">
        <v>226</v>
      </c>
      <c r="D1628" s="192">
        <f t="shared" si="350"/>
        <v>189</v>
      </c>
      <c r="E1628" s="192">
        <f t="shared" si="351"/>
        <v>9</v>
      </c>
      <c r="F1628" s="192">
        <f t="shared" si="352"/>
        <v>0</v>
      </c>
      <c r="G1628" s="193">
        <f t="shared" si="353"/>
        <v>198</v>
      </c>
      <c r="H1628" s="194">
        <v>90</v>
      </c>
      <c r="I1628" s="194">
        <v>9</v>
      </c>
      <c r="J1628" s="194">
        <v>0</v>
      </c>
      <c r="K1628" s="193">
        <f t="shared" si="354"/>
        <v>99</v>
      </c>
      <c r="L1628" s="194">
        <v>72</v>
      </c>
      <c r="M1628" s="194">
        <v>0</v>
      </c>
      <c r="N1628" s="194">
        <v>0</v>
      </c>
      <c r="O1628" s="193">
        <f t="shared" si="355"/>
        <v>72</v>
      </c>
      <c r="P1628" s="194">
        <v>27</v>
      </c>
      <c r="Q1628" s="194">
        <v>0</v>
      </c>
      <c r="R1628" s="194">
        <v>0</v>
      </c>
      <c r="S1628" s="193">
        <f t="shared" si="356"/>
        <v>27</v>
      </c>
      <c r="T1628" s="193">
        <f t="shared" si="357"/>
        <v>8.25</v>
      </c>
      <c r="U1628" s="193">
        <f ca="1">OFFSET('Expenditure Study'!$B$7,'Operations Support'!$C1628,'Operations Support'!$B1628)*$G1628</f>
        <v>683.1</v>
      </c>
      <c r="V1628" s="199">
        <f ca="1">U1628*'Expenditure Study'!$B$31</f>
        <v>40359.720804479999</v>
      </c>
      <c r="W1628" s="199">
        <f ca="1">IF(A1628=10298,1.51,1)*IF($B1628&lt;3,$D1628*'Expenditure Study'!$B$32*OFFSET('Expenditure Study'!$B$7,'Operations Support'!$C1628,'Operations Support'!$B1628),0)</f>
        <v>0</v>
      </c>
      <c r="X1628" s="200">
        <f ca="1">W1628*'Expenditure Study'!$B$31</f>
        <v>0</v>
      </c>
      <c r="Y1628" s="199">
        <f ca="1">U1628*'Expenditure Study'!$B$31</f>
        <v>40359.720804479999</v>
      </c>
      <c r="Z1628" s="200">
        <f ca="1">W1628*'Expenditure Study'!$B$31</f>
        <v>0</v>
      </c>
      <c r="AA1628" s="195">
        <f t="shared" ca="1" si="358"/>
        <v>40359.720804479999</v>
      </c>
      <c r="AB1628" s="195">
        <f t="shared" ca="1" si="359"/>
        <v>40359.720804479999</v>
      </c>
      <c r="AD1628" s="196">
        <f>IFERROR($G1628/SUMIF($A:$A,$A1628,$G:$G)*SUMIF(Summary!$A$166:$A$242,$A1628,Summary!$P$166:$P$242),0)</f>
        <v>11898.049353149458</v>
      </c>
      <c r="AE1628" s="197">
        <f t="shared" ca="1" si="360"/>
        <v>28461.671451330541</v>
      </c>
      <c r="AF1628" s="196">
        <f>IFERROR(G1628/SUMIF(A:A,A1628,G:G)*SUMIF(Summary!$A$166:$A$242,'Operations Support'!A1628,Summary!$Q$166:$Q$242),0)</f>
        <v>11954.541835267701</v>
      </c>
      <c r="AG1628" s="196">
        <f t="shared" ca="1" si="361"/>
        <v>28405.178969212298</v>
      </c>
      <c r="AI1628" s="196">
        <f>IFERROR($G1628/SUMIF($A:$A,$A1628,$G:$G)*SUMIF(Summary!$A$247:$A$283,$A1628,Summary!$P$247:$P$283),0)</f>
        <v>2169.9072895025288</v>
      </c>
      <c r="AJ1628" s="196">
        <f>IFERROR($G1628/SUMIF($A:$A,$A1628,$G:$G)*(SUMIF(Summary!$A$247:$A$283,$A1628,Summary!$L$247:$L$283)+SUMIF(Summary!$A$297:$A$333,$A1628,Summary!$L$297:$L$333))-AI1628,0)</f>
        <v>4044.8075475503861</v>
      </c>
      <c r="AK1628" s="196">
        <f>IFERROR($G1628/SUMIF($A:$A,$A1628,$G:$G)*SUMIF(Summary!$A$247:$A$283,$A1628,Summary!$Q$247:$Q$283),0)</f>
        <v>2180.2101084867195</v>
      </c>
      <c r="AL1628" s="196">
        <f>IFERROR($G1628/SUMIF($A:$A,$A1628,$G:$G)*(SUMIF(Summary!$A$247:$A$283,$A1628,Summary!$L$247:$L$283)+SUMIF(Summary!$A$297:$A$333,$A1628,Summary!$L$297:$L$333))-AK1628,0)</f>
        <v>4034.5047285661954</v>
      </c>
      <c r="AM1628" s="198"/>
      <c r="AN1628" s="196">
        <f t="shared" ca="1" si="362"/>
        <v>32506.478998880928</v>
      </c>
      <c r="AO1628" s="196">
        <f t="shared" ca="1" si="363"/>
        <v>32439.683697778495</v>
      </c>
    </row>
    <row r="1629" spans="1:41">
      <c r="A1629" s="189">
        <v>3642</v>
      </c>
      <c r="B1629" s="190">
        <v>3</v>
      </c>
      <c r="C1629" s="191" t="s">
        <v>227</v>
      </c>
      <c r="D1629" s="192">
        <f t="shared" si="350"/>
        <v>0</v>
      </c>
      <c r="E1629" s="192">
        <f t="shared" si="351"/>
        <v>0</v>
      </c>
      <c r="F1629" s="192">
        <f t="shared" si="352"/>
        <v>0</v>
      </c>
      <c r="G1629" s="193">
        <f t="shared" si="353"/>
        <v>0</v>
      </c>
      <c r="H1629" s="194">
        <v>0</v>
      </c>
      <c r="I1629" s="194">
        <v>0</v>
      </c>
      <c r="J1629" s="194">
        <v>0</v>
      </c>
      <c r="K1629" s="193">
        <f t="shared" si="354"/>
        <v>0</v>
      </c>
      <c r="L1629" s="194">
        <v>0</v>
      </c>
      <c r="M1629" s="194">
        <v>0</v>
      </c>
      <c r="N1629" s="194">
        <v>0</v>
      </c>
      <c r="O1629" s="193">
        <f t="shared" si="355"/>
        <v>0</v>
      </c>
      <c r="P1629" s="194">
        <v>0</v>
      </c>
      <c r="Q1629" s="194">
        <v>0</v>
      </c>
      <c r="R1629" s="194">
        <v>0</v>
      </c>
      <c r="S1629" s="193">
        <f t="shared" si="356"/>
        <v>0</v>
      </c>
      <c r="T1629" s="193">
        <f t="shared" si="357"/>
        <v>0</v>
      </c>
      <c r="U1629" s="193">
        <f ca="1">OFFSET('Expenditure Study'!$B$7,'Operations Support'!$C1629,'Operations Support'!$B1629)*$G1629</f>
        <v>0</v>
      </c>
      <c r="V1629" s="199">
        <f ca="1">U1629*'Expenditure Study'!$B$31</f>
        <v>0</v>
      </c>
      <c r="W1629" s="199">
        <f ca="1">IF(A1629=10298,1.51,1)*IF($B1629&lt;3,$D1629*'Expenditure Study'!$B$32*OFFSET('Expenditure Study'!$B$7,'Operations Support'!$C1629,'Operations Support'!$B1629),0)</f>
        <v>0</v>
      </c>
      <c r="X1629" s="200">
        <f ca="1">W1629*'Expenditure Study'!$B$31</f>
        <v>0</v>
      </c>
      <c r="Y1629" s="199">
        <f ca="1">U1629*'Expenditure Study'!$B$31</f>
        <v>0</v>
      </c>
      <c r="Z1629" s="200">
        <f ca="1">W1629*'Expenditure Study'!$B$31</f>
        <v>0</v>
      </c>
      <c r="AA1629" s="195">
        <f t="shared" ca="1" si="358"/>
        <v>0</v>
      </c>
      <c r="AB1629" s="195">
        <f t="shared" ca="1" si="359"/>
        <v>0</v>
      </c>
      <c r="AD1629" s="196">
        <f>IFERROR($G1629/SUMIF($A:$A,$A1629,$G:$G)*SUMIF(Summary!$A$166:$A$242,$A1629,Summary!$P$166:$P$242),0)</f>
        <v>0</v>
      </c>
      <c r="AE1629" s="197">
        <f t="shared" ca="1" si="360"/>
        <v>0</v>
      </c>
      <c r="AF1629" s="196">
        <f>IFERROR(G1629/SUMIF(A:A,A1629,G:G)*SUMIF(Summary!$A$166:$A$242,'Operations Support'!A1629,Summary!$Q$166:$Q$242),0)</f>
        <v>0</v>
      </c>
      <c r="AG1629" s="196">
        <f t="shared" ca="1" si="361"/>
        <v>0</v>
      </c>
      <c r="AI1629" s="196">
        <f>IFERROR($G1629/SUMIF($A:$A,$A1629,$G:$G)*SUMIF(Summary!$A$247:$A$283,$A1629,Summary!$P$247:$P$283),0)</f>
        <v>0</v>
      </c>
      <c r="AJ1629" s="196">
        <f>IFERROR($G1629/SUMIF($A:$A,$A1629,$G:$G)*(SUMIF(Summary!$A$247:$A$283,$A1629,Summary!$L$247:$L$283)+SUMIF(Summary!$A$297:$A$333,$A1629,Summary!$L$297:$L$333))-AI1629,0)</f>
        <v>0</v>
      </c>
      <c r="AK1629" s="196">
        <f>IFERROR($G1629/SUMIF($A:$A,$A1629,$G:$G)*SUMIF(Summary!$A$247:$A$283,$A1629,Summary!$Q$247:$Q$283),0)</f>
        <v>0</v>
      </c>
      <c r="AL1629" s="196">
        <f>IFERROR($G1629/SUMIF($A:$A,$A1629,$G:$G)*(SUMIF(Summary!$A$247:$A$283,$A1629,Summary!$L$247:$L$283)+SUMIF(Summary!$A$297:$A$333,$A1629,Summary!$L$297:$L$333))-AK1629,0)</f>
        <v>0</v>
      </c>
      <c r="AM1629" s="198"/>
      <c r="AN1629" s="196">
        <f t="shared" ca="1" si="362"/>
        <v>0</v>
      </c>
      <c r="AO1629" s="196">
        <f t="shared" ca="1" si="363"/>
        <v>0</v>
      </c>
    </row>
    <row r="1630" spans="1:41">
      <c r="A1630" s="189">
        <v>3642</v>
      </c>
      <c r="B1630" s="190">
        <v>3</v>
      </c>
      <c r="C1630" s="191" t="s">
        <v>228</v>
      </c>
      <c r="D1630" s="192">
        <f t="shared" si="350"/>
        <v>0</v>
      </c>
      <c r="E1630" s="192">
        <f t="shared" si="351"/>
        <v>0</v>
      </c>
      <c r="F1630" s="192">
        <f t="shared" si="352"/>
        <v>0</v>
      </c>
      <c r="G1630" s="193">
        <f t="shared" si="353"/>
        <v>0</v>
      </c>
      <c r="H1630" s="194">
        <v>0</v>
      </c>
      <c r="I1630" s="194">
        <v>0</v>
      </c>
      <c r="J1630" s="194">
        <v>0</v>
      </c>
      <c r="K1630" s="193">
        <f t="shared" si="354"/>
        <v>0</v>
      </c>
      <c r="L1630" s="194">
        <v>0</v>
      </c>
      <c r="M1630" s="194">
        <v>0</v>
      </c>
      <c r="N1630" s="194">
        <v>0</v>
      </c>
      <c r="O1630" s="193">
        <f t="shared" si="355"/>
        <v>0</v>
      </c>
      <c r="P1630" s="194">
        <v>0</v>
      </c>
      <c r="Q1630" s="194">
        <v>0</v>
      </c>
      <c r="R1630" s="194">
        <v>0</v>
      </c>
      <c r="S1630" s="193">
        <f t="shared" si="356"/>
        <v>0</v>
      </c>
      <c r="T1630" s="193">
        <f t="shared" si="357"/>
        <v>0</v>
      </c>
      <c r="U1630" s="193">
        <f ca="1">OFFSET('Expenditure Study'!$B$7,'Operations Support'!$C1630,'Operations Support'!$B1630)*$G1630</f>
        <v>0</v>
      </c>
      <c r="V1630" s="199">
        <f ca="1">U1630*'Expenditure Study'!$B$31</f>
        <v>0</v>
      </c>
      <c r="W1630" s="199">
        <f ca="1">IF(A1630=10298,1.51,1)*IF($B1630&lt;3,$D1630*'Expenditure Study'!$B$32*OFFSET('Expenditure Study'!$B$7,'Operations Support'!$C1630,'Operations Support'!$B1630),0)</f>
        <v>0</v>
      </c>
      <c r="X1630" s="200">
        <f ca="1">W1630*'Expenditure Study'!$B$31</f>
        <v>0</v>
      </c>
      <c r="Y1630" s="199">
        <f ca="1">U1630*'Expenditure Study'!$B$31</f>
        <v>0</v>
      </c>
      <c r="Z1630" s="200">
        <f ca="1">W1630*'Expenditure Study'!$B$31</f>
        <v>0</v>
      </c>
      <c r="AA1630" s="195">
        <f t="shared" ca="1" si="358"/>
        <v>0</v>
      </c>
      <c r="AB1630" s="195">
        <f t="shared" ca="1" si="359"/>
        <v>0</v>
      </c>
      <c r="AD1630" s="196">
        <f>IFERROR($G1630/SUMIF($A:$A,$A1630,$G:$G)*SUMIF(Summary!$A$166:$A$242,$A1630,Summary!$P$166:$P$242),0)</f>
        <v>0</v>
      </c>
      <c r="AE1630" s="197">
        <f t="shared" ca="1" si="360"/>
        <v>0</v>
      </c>
      <c r="AF1630" s="196">
        <f>IFERROR(G1630/SUMIF(A:A,A1630,G:G)*SUMIF(Summary!$A$166:$A$242,'Operations Support'!A1630,Summary!$Q$166:$Q$242),0)</f>
        <v>0</v>
      </c>
      <c r="AG1630" s="196">
        <f t="shared" ca="1" si="361"/>
        <v>0</v>
      </c>
      <c r="AI1630" s="196">
        <f>IFERROR($G1630/SUMIF($A:$A,$A1630,$G:$G)*SUMIF(Summary!$A$247:$A$283,$A1630,Summary!$P$247:$P$283),0)</f>
        <v>0</v>
      </c>
      <c r="AJ1630" s="196">
        <f>IFERROR($G1630/SUMIF($A:$A,$A1630,$G:$G)*(SUMIF(Summary!$A$247:$A$283,$A1630,Summary!$L$247:$L$283)+SUMIF(Summary!$A$297:$A$333,$A1630,Summary!$L$297:$L$333))-AI1630,0)</f>
        <v>0</v>
      </c>
      <c r="AK1630" s="196">
        <f>IFERROR($G1630/SUMIF($A:$A,$A1630,$G:$G)*SUMIF(Summary!$A$247:$A$283,$A1630,Summary!$Q$247:$Q$283),0)</f>
        <v>0</v>
      </c>
      <c r="AL1630" s="196">
        <f>IFERROR($G1630/SUMIF($A:$A,$A1630,$G:$G)*(SUMIF(Summary!$A$247:$A$283,$A1630,Summary!$L$247:$L$283)+SUMIF(Summary!$A$297:$A$333,$A1630,Summary!$L$297:$L$333))-AK1630,0)</f>
        <v>0</v>
      </c>
      <c r="AM1630" s="198"/>
      <c r="AN1630" s="196">
        <f t="shared" ca="1" si="362"/>
        <v>0</v>
      </c>
      <c r="AO1630" s="196">
        <f t="shared" ca="1" si="363"/>
        <v>0</v>
      </c>
    </row>
    <row r="1631" spans="1:41">
      <c r="A1631" s="189">
        <v>3642</v>
      </c>
      <c r="B1631" s="190">
        <v>3</v>
      </c>
      <c r="C1631" s="191" t="s">
        <v>229</v>
      </c>
      <c r="D1631" s="192">
        <f t="shared" si="350"/>
        <v>0</v>
      </c>
      <c r="E1631" s="192">
        <f t="shared" si="351"/>
        <v>0</v>
      </c>
      <c r="F1631" s="192">
        <f t="shared" si="352"/>
        <v>0</v>
      </c>
      <c r="G1631" s="193">
        <f t="shared" si="353"/>
        <v>0</v>
      </c>
      <c r="H1631" s="194">
        <v>0</v>
      </c>
      <c r="I1631" s="194">
        <v>0</v>
      </c>
      <c r="J1631" s="194">
        <v>0</v>
      </c>
      <c r="K1631" s="193">
        <f t="shared" si="354"/>
        <v>0</v>
      </c>
      <c r="L1631" s="194">
        <v>0</v>
      </c>
      <c r="M1631" s="194">
        <v>0</v>
      </c>
      <c r="N1631" s="194">
        <v>0</v>
      </c>
      <c r="O1631" s="193">
        <f t="shared" si="355"/>
        <v>0</v>
      </c>
      <c r="P1631" s="194">
        <v>0</v>
      </c>
      <c r="Q1631" s="194">
        <v>0</v>
      </c>
      <c r="R1631" s="194">
        <v>0</v>
      </c>
      <c r="S1631" s="193">
        <f t="shared" si="356"/>
        <v>0</v>
      </c>
      <c r="T1631" s="193">
        <f t="shared" si="357"/>
        <v>0</v>
      </c>
      <c r="U1631" s="193">
        <f ca="1">OFFSET('Expenditure Study'!$B$7,'Operations Support'!$C1631,'Operations Support'!$B1631)*$G1631</f>
        <v>0</v>
      </c>
      <c r="V1631" s="199">
        <f ca="1">U1631*'Expenditure Study'!$B$31</f>
        <v>0</v>
      </c>
      <c r="W1631" s="199">
        <f ca="1">IF(A1631=10298,1.51,1)*IF($B1631&lt;3,$D1631*'Expenditure Study'!$B$32*OFFSET('Expenditure Study'!$B$7,'Operations Support'!$C1631,'Operations Support'!$B1631),0)</f>
        <v>0</v>
      </c>
      <c r="X1631" s="200">
        <f ca="1">W1631*'Expenditure Study'!$B$31</f>
        <v>0</v>
      </c>
      <c r="Y1631" s="199">
        <f ca="1">U1631*'Expenditure Study'!$B$31</f>
        <v>0</v>
      </c>
      <c r="Z1631" s="200">
        <f ca="1">W1631*'Expenditure Study'!$B$31</f>
        <v>0</v>
      </c>
      <c r="AA1631" s="195">
        <f t="shared" ca="1" si="358"/>
        <v>0</v>
      </c>
      <c r="AB1631" s="195">
        <f t="shared" ca="1" si="359"/>
        <v>0</v>
      </c>
      <c r="AD1631" s="196">
        <f>IFERROR($G1631/SUMIF($A:$A,$A1631,$G:$G)*SUMIF(Summary!$A$166:$A$242,$A1631,Summary!$P$166:$P$242),0)</f>
        <v>0</v>
      </c>
      <c r="AE1631" s="197">
        <f t="shared" ca="1" si="360"/>
        <v>0</v>
      </c>
      <c r="AF1631" s="196">
        <f>IFERROR(G1631/SUMIF(A:A,A1631,G:G)*SUMIF(Summary!$A$166:$A$242,'Operations Support'!A1631,Summary!$Q$166:$Q$242),0)</f>
        <v>0</v>
      </c>
      <c r="AG1631" s="196">
        <f t="shared" ca="1" si="361"/>
        <v>0</v>
      </c>
      <c r="AI1631" s="196">
        <f>IFERROR($G1631/SUMIF($A:$A,$A1631,$G:$G)*SUMIF(Summary!$A$247:$A$283,$A1631,Summary!$P$247:$P$283),0)</f>
        <v>0</v>
      </c>
      <c r="AJ1631" s="196">
        <f>IFERROR($G1631/SUMIF($A:$A,$A1631,$G:$G)*(SUMIF(Summary!$A$247:$A$283,$A1631,Summary!$L$247:$L$283)+SUMIF(Summary!$A$297:$A$333,$A1631,Summary!$L$297:$L$333))-AI1631,0)</f>
        <v>0</v>
      </c>
      <c r="AK1631" s="196">
        <f>IFERROR($G1631/SUMIF($A:$A,$A1631,$G:$G)*SUMIF(Summary!$A$247:$A$283,$A1631,Summary!$Q$247:$Q$283),0)</f>
        <v>0</v>
      </c>
      <c r="AL1631" s="196">
        <f>IFERROR($G1631/SUMIF($A:$A,$A1631,$G:$G)*(SUMIF(Summary!$A$247:$A$283,$A1631,Summary!$L$247:$L$283)+SUMIF(Summary!$A$297:$A$333,$A1631,Summary!$L$297:$L$333))-AK1631,0)</f>
        <v>0</v>
      </c>
      <c r="AM1631" s="198"/>
      <c r="AN1631" s="196">
        <f t="shared" ca="1" si="362"/>
        <v>0</v>
      </c>
      <c r="AO1631" s="196">
        <f t="shared" ca="1" si="363"/>
        <v>0</v>
      </c>
    </row>
    <row r="1632" spans="1:41">
      <c r="A1632" s="189">
        <v>3642</v>
      </c>
      <c r="B1632" s="190">
        <v>3</v>
      </c>
      <c r="C1632" s="191" t="s">
        <v>230</v>
      </c>
      <c r="D1632" s="192">
        <f t="shared" si="350"/>
        <v>0</v>
      </c>
      <c r="E1632" s="192">
        <f t="shared" si="351"/>
        <v>0</v>
      </c>
      <c r="F1632" s="192">
        <f t="shared" si="352"/>
        <v>0</v>
      </c>
      <c r="G1632" s="193">
        <f t="shared" si="353"/>
        <v>0</v>
      </c>
      <c r="H1632" s="194">
        <v>0</v>
      </c>
      <c r="I1632" s="194">
        <v>0</v>
      </c>
      <c r="J1632" s="194">
        <v>0</v>
      </c>
      <c r="K1632" s="193">
        <f t="shared" si="354"/>
        <v>0</v>
      </c>
      <c r="L1632" s="194">
        <v>0</v>
      </c>
      <c r="M1632" s="194">
        <v>0</v>
      </c>
      <c r="N1632" s="194">
        <v>0</v>
      </c>
      <c r="O1632" s="193">
        <f t="shared" si="355"/>
        <v>0</v>
      </c>
      <c r="P1632" s="194">
        <v>0</v>
      </c>
      <c r="Q1632" s="194">
        <v>0</v>
      </c>
      <c r="R1632" s="194">
        <v>0</v>
      </c>
      <c r="S1632" s="193">
        <f t="shared" si="356"/>
        <v>0</v>
      </c>
      <c r="T1632" s="193">
        <f t="shared" si="357"/>
        <v>0</v>
      </c>
      <c r="U1632" s="193">
        <f ca="1">OFFSET('Expenditure Study'!$B$7,'Operations Support'!$C1632,'Operations Support'!$B1632)*$G1632</f>
        <v>0</v>
      </c>
      <c r="V1632" s="199">
        <f ca="1">U1632*'Expenditure Study'!$B$31</f>
        <v>0</v>
      </c>
      <c r="W1632" s="199">
        <f ca="1">IF(A1632=10298,1.51,1)*IF($B1632&lt;3,$D1632*'Expenditure Study'!$B$32*OFFSET('Expenditure Study'!$B$7,'Operations Support'!$C1632,'Operations Support'!$B1632),0)</f>
        <v>0</v>
      </c>
      <c r="X1632" s="200">
        <f ca="1">W1632*'Expenditure Study'!$B$31</f>
        <v>0</v>
      </c>
      <c r="Y1632" s="199">
        <f ca="1">U1632*'Expenditure Study'!$B$31</f>
        <v>0</v>
      </c>
      <c r="Z1632" s="200">
        <f ca="1">W1632*'Expenditure Study'!$B$31</f>
        <v>0</v>
      </c>
      <c r="AA1632" s="195">
        <f t="shared" ca="1" si="358"/>
        <v>0</v>
      </c>
      <c r="AB1632" s="195">
        <f t="shared" ca="1" si="359"/>
        <v>0</v>
      </c>
      <c r="AD1632" s="196">
        <f>IFERROR($G1632/SUMIF($A:$A,$A1632,$G:$G)*SUMIF(Summary!$A$166:$A$242,$A1632,Summary!$P$166:$P$242),0)</f>
        <v>0</v>
      </c>
      <c r="AE1632" s="197">
        <f t="shared" ca="1" si="360"/>
        <v>0</v>
      </c>
      <c r="AF1632" s="196">
        <f>IFERROR(G1632/SUMIF(A:A,A1632,G:G)*SUMIF(Summary!$A$166:$A$242,'Operations Support'!A1632,Summary!$Q$166:$Q$242),0)</f>
        <v>0</v>
      </c>
      <c r="AG1632" s="196">
        <f t="shared" ca="1" si="361"/>
        <v>0</v>
      </c>
      <c r="AI1632" s="196">
        <f>IFERROR($G1632/SUMIF($A:$A,$A1632,$G:$G)*SUMIF(Summary!$A$247:$A$283,$A1632,Summary!$P$247:$P$283),0)</f>
        <v>0</v>
      </c>
      <c r="AJ1632" s="196">
        <f>IFERROR($G1632/SUMIF($A:$A,$A1632,$G:$G)*(SUMIF(Summary!$A$247:$A$283,$A1632,Summary!$L$247:$L$283)+SUMIF(Summary!$A$297:$A$333,$A1632,Summary!$L$297:$L$333))-AI1632,0)</f>
        <v>0</v>
      </c>
      <c r="AK1632" s="196">
        <f>IFERROR($G1632/SUMIF($A:$A,$A1632,$G:$G)*SUMIF(Summary!$A$247:$A$283,$A1632,Summary!$Q$247:$Q$283),0)</f>
        <v>0</v>
      </c>
      <c r="AL1632" s="196">
        <f>IFERROR($G1632/SUMIF($A:$A,$A1632,$G:$G)*(SUMIF(Summary!$A$247:$A$283,$A1632,Summary!$L$247:$L$283)+SUMIF(Summary!$A$297:$A$333,$A1632,Summary!$L$297:$L$333))-AK1632,0)</f>
        <v>0</v>
      </c>
      <c r="AM1632" s="198"/>
      <c r="AN1632" s="196">
        <f t="shared" ca="1" si="362"/>
        <v>0</v>
      </c>
      <c r="AO1632" s="196">
        <f t="shared" ca="1" si="363"/>
        <v>0</v>
      </c>
    </row>
    <row r="1633" spans="1:41">
      <c r="A1633" s="189">
        <v>3642</v>
      </c>
      <c r="B1633" s="190">
        <v>3</v>
      </c>
      <c r="C1633" s="191" t="s">
        <v>231</v>
      </c>
      <c r="D1633" s="192">
        <f t="shared" si="350"/>
        <v>0</v>
      </c>
      <c r="E1633" s="192">
        <f t="shared" si="351"/>
        <v>0</v>
      </c>
      <c r="F1633" s="192">
        <f t="shared" si="352"/>
        <v>0</v>
      </c>
      <c r="G1633" s="193">
        <f t="shared" si="353"/>
        <v>0</v>
      </c>
      <c r="H1633" s="194">
        <v>0</v>
      </c>
      <c r="I1633" s="194">
        <v>0</v>
      </c>
      <c r="J1633" s="194">
        <v>0</v>
      </c>
      <c r="K1633" s="193">
        <f t="shared" si="354"/>
        <v>0</v>
      </c>
      <c r="L1633" s="194">
        <v>0</v>
      </c>
      <c r="M1633" s="194">
        <v>0</v>
      </c>
      <c r="N1633" s="194">
        <v>0</v>
      </c>
      <c r="O1633" s="193">
        <f t="shared" si="355"/>
        <v>0</v>
      </c>
      <c r="P1633" s="194">
        <v>0</v>
      </c>
      <c r="Q1633" s="194">
        <v>0</v>
      </c>
      <c r="R1633" s="194">
        <v>0</v>
      </c>
      <c r="S1633" s="193">
        <f t="shared" si="356"/>
        <v>0</v>
      </c>
      <c r="T1633" s="193">
        <f t="shared" si="357"/>
        <v>0</v>
      </c>
      <c r="U1633" s="193">
        <f ca="1">OFFSET('Expenditure Study'!$B$7,'Operations Support'!$C1633,'Operations Support'!$B1633)*$G1633</f>
        <v>0</v>
      </c>
      <c r="V1633" s="199">
        <f ca="1">U1633*'Expenditure Study'!$B$31</f>
        <v>0</v>
      </c>
      <c r="W1633" s="199">
        <f ca="1">IF(A1633=10298,1.51,1)*IF($B1633&lt;3,$D1633*'Expenditure Study'!$B$32*OFFSET('Expenditure Study'!$B$7,'Operations Support'!$C1633,'Operations Support'!$B1633),0)</f>
        <v>0</v>
      </c>
      <c r="X1633" s="200">
        <f ca="1">W1633*'Expenditure Study'!$B$31</f>
        <v>0</v>
      </c>
      <c r="Y1633" s="199">
        <f ca="1">U1633*'Expenditure Study'!$B$31</f>
        <v>0</v>
      </c>
      <c r="Z1633" s="200">
        <f ca="1">W1633*'Expenditure Study'!$B$31</f>
        <v>0</v>
      </c>
      <c r="AA1633" s="195">
        <f t="shared" ca="1" si="358"/>
        <v>0</v>
      </c>
      <c r="AB1633" s="195">
        <f t="shared" ca="1" si="359"/>
        <v>0</v>
      </c>
      <c r="AD1633" s="196">
        <f>IFERROR($G1633/SUMIF($A:$A,$A1633,$G:$G)*SUMIF(Summary!$A$166:$A$242,$A1633,Summary!$P$166:$P$242),0)</f>
        <v>0</v>
      </c>
      <c r="AE1633" s="197">
        <f t="shared" ca="1" si="360"/>
        <v>0</v>
      </c>
      <c r="AF1633" s="196">
        <f>IFERROR(G1633/SUMIF(A:A,A1633,G:G)*SUMIF(Summary!$A$166:$A$242,'Operations Support'!A1633,Summary!$Q$166:$Q$242),0)</f>
        <v>0</v>
      </c>
      <c r="AG1633" s="196">
        <f t="shared" ca="1" si="361"/>
        <v>0</v>
      </c>
      <c r="AI1633" s="196">
        <f>IFERROR($G1633/SUMIF($A:$A,$A1633,$G:$G)*SUMIF(Summary!$A$247:$A$283,$A1633,Summary!$P$247:$P$283),0)</f>
        <v>0</v>
      </c>
      <c r="AJ1633" s="196">
        <f>IFERROR($G1633/SUMIF($A:$A,$A1633,$G:$G)*(SUMIF(Summary!$A$247:$A$283,$A1633,Summary!$L$247:$L$283)+SUMIF(Summary!$A$297:$A$333,$A1633,Summary!$L$297:$L$333))-AI1633,0)</f>
        <v>0</v>
      </c>
      <c r="AK1633" s="196">
        <f>IFERROR($G1633/SUMIF($A:$A,$A1633,$G:$G)*SUMIF(Summary!$A$247:$A$283,$A1633,Summary!$Q$247:$Q$283),0)</f>
        <v>0</v>
      </c>
      <c r="AL1633" s="196">
        <f>IFERROR($G1633/SUMIF($A:$A,$A1633,$G:$G)*(SUMIF(Summary!$A$247:$A$283,$A1633,Summary!$L$247:$L$283)+SUMIF(Summary!$A$297:$A$333,$A1633,Summary!$L$297:$L$333))-AK1633,0)</f>
        <v>0</v>
      </c>
      <c r="AM1633" s="198"/>
      <c r="AN1633" s="196">
        <f t="shared" ca="1" si="362"/>
        <v>0</v>
      </c>
      <c r="AO1633" s="196">
        <f t="shared" ca="1" si="363"/>
        <v>0</v>
      </c>
    </row>
    <row r="1634" spans="1:41">
      <c r="A1634" s="189">
        <v>3642</v>
      </c>
      <c r="B1634" s="190">
        <v>3</v>
      </c>
      <c r="C1634" s="191" t="s">
        <v>232</v>
      </c>
      <c r="D1634" s="192">
        <f t="shared" si="350"/>
        <v>0</v>
      </c>
      <c r="E1634" s="192">
        <f t="shared" si="351"/>
        <v>0</v>
      </c>
      <c r="F1634" s="192">
        <f t="shared" si="352"/>
        <v>0</v>
      </c>
      <c r="G1634" s="193">
        <f t="shared" si="353"/>
        <v>0</v>
      </c>
      <c r="H1634" s="194">
        <v>0</v>
      </c>
      <c r="I1634" s="194">
        <v>0</v>
      </c>
      <c r="J1634" s="194">
        <v>0</v>
      </c>
      <c r="K1634" s="193">
        <f t="shared" si="354"/>
        <v>0</v>
      </c>
      <c r="L1634" s="194">
        <v>0</v>
      </c>
      <c r="M1634" s="194">
        <v>0</v>
      </c>
      <c r="N1634" s="194">
        <v>0</v>
      </c>
      <c r="O1634" s="193">
        <f t="shared" si="355"/>
        <v>0</v>
      </c>
      <c r="P1634" s="194">
        <v>0</v>
      </c>
      <c r="Q1634" s="194">
        <v>0</v>
      </c>
      <c r="R1634" s="194">
        <v>0</v>
      </c>
      <c r="S1634" s="193">
        <f t="shared" si="356"/>
        <v>0</v>
      </c>
      <c r="T1634" s="193">
        <f t="shared" si="357"/>
        <v>0</v>
      </c>
      <c r="U1634" s="193">
        <f ca="1">OFFSET('Expenditure Study'!$B$7,'Operations Support'!$C1634,'Operations Support'!$B1634)*$G1634</f>
        <v>0</v>
      </c>
      <c r="V1634" s="199">
        <f ca="1">U1634*'Expenditure Study'!$B$31</f>
        <v>0</v>
      </c>
      <c r="W1634" s="199">
        <f ca="1">IF(A1634=10298,1.51,1)*IF($B1634&lt;3,$D1634*'Expenditure Study'!$B$32*OFFSET('Expenditure Study'!$B$7,'Operations Support'!$C1634,'Operations Support'!$B1634),0)</f>
        <v>0</v>
      </c>
      <c r="X1634" s="200">
        <f ca="1">W1634*'Expenditure Study'!$B$31</f>
        <v>0</v>
      </c>
      <c r="Y1634" s="199">
        <f ca="1">U1634*'Expenditure Study'!$B$31</f>
        <v>0</v>
      </c>
      <c r="Z1634" s="200">
        <f ca="1">W1634*'Expenditure Study'!$B$31</f>
        <v>0</v>
      </c>
      <c r="AA1634" s="195">
        <f t="shared" ca="1" si="358"/>
        <v>0</v>
      </c>
      <c r="AB1634" s="195">
        <f t="shared" ca="1" si="359"/>
        <v>0</v>
      </c>
      <c r="AD1634" s="196">
        <f>IFERROR($G1634/SUMIF($A:$A,$A1634,$G:$G)*SUMIF(Summary!$A$166:$A$242,$A1634,Summary!$P$166:$P$242),0)</f>
        <v>0</v>
      </c>
      <c r="AE1634" s="197">
        <f t="shared" ca="1" si="360"/>
        <v>0</v>
      </c>
      <c r="AF1634" s="196">
        <f>IFERROR(G1634/SUMIF(A:A,A1634,G:G)*SUMIF(Summary!$A$166:$A$242,'Operations Support'!A1634,Summary!$Q$166:$Q$242),0)</f>
        <v>0</v>
      </c>
      <c r="AG1634" s="196">
        <f t="shared" ca="1" si="361"/>
        <v>0</v>
      </c>
      <c r="AI1634" s="196">
        <f>IFERROR($G1634/SUMIF($A:$A,$A1634,$G:$G)*SUMIF(Summary!$A$247:$A$283,$A1634,Summary!$P$247:$P$283),0)</f>
        <v>0</v>
      </c>
      <c r="AJ1634" s="196">
        <f>IFERROR($G1634/SUMIF($A:$A,$A1634,$G:$G)*(SUMIF(Summary!$A$247:$A$283,$A1634,Summary!$L$247:$L$283)+SUMIF(Summary!$A$297:$A$333,$A1634,Summary!$L$297:$L$333))-AI1634,0)</f>
        <v>0</v>
      </c>
      <c r="AK1634" s="196">
        <f>IFERROR($G1634/SUMIF($A:$A,$A1634,$G:$G)*SUMIF(Summary!$A$247:$A$283,$A1634,Summary!$Q$247:$Q$283),0)</f>
        <v>0</v>
      </c>
      <c r="AL1634" s="196">
        <f>IFERROR($G1634/SUMIF($A:$A,$A1634,$G:$G)*(SUMIF(Summary!$A$247:$A$283,$A1634,Summary!$L$247:$L$283)+SUMIF(Summary!$A$297:$A$333,$A1634,Summary!$L$297:$L$333))-AK1634,0)</f>
        <v>0</v>
      </c>
      <c r="AM1634" s="198"/>
      <c r="AN1634" s="196">
        <f t="shared" ca="1" si="362"/>
        <v>0</v>
      </c>
      <c r="AO1634" s="196">
        <f t="shared" ca="1" si="363"/>
        <v>0</v>
      </c>
    </row>
    <row r="1635" spans="1:41">
      <c r="A1635" s="189">
        <v>3642</v>
      </c>
      <c r="B1635" s="190">
        <v>3</v>
      </c>
      <c r="C1635" s="191" t="s">
        <v>233</v>
      </c>
      <c r="D1635" s="192">
        <f t="shared" si="350"/>
        <v>630</v>
      </c>
      <c r="E1635" s="192">
        <f t="shared" si="351"/>
        <v>132</v>
      </c>
      <c r="F1635" s="192">
        <f t="shared" si="352"/>
        <v>0</v>
      </c>
      <c r="G1635" s="193">
        <f t="shared" si="353"/>
        <v>762</v>
      </c>
      <c r="H1635" s="194">
        <v>246</v>
      </c>
      <c r="I1635" s="194">
        <v>96</v>
      </c>
      <c r="J1635" s="194">
        <v>0</v>
      </c>
      <c r="K1635" s="193">
        <f t="shared" si="354"/>
        <v>342</v>
      </c>
      <c r="L1635" s="194">
        <v>303</v>
      </c>
      <c r="M1635" s="194">
        <v>36</v>
      </c>
      <c r="N1635" s="194">
        <v>0</v>
      </c>
      <c r="O1635" s="193">
        <f t="shared" si="355"/>
        <v>339</v>
      </c>
      <c r="P1635" s="194">
        <v>81</v>
      </c>
      <c r="Q1635" s="194">
        <v>0</v>
      </c>
      <c r="R1635" s="194">
        <v>0</v>
      </c>
      <c r="S1635" s="193">
        <f t="shared" si="356"/>
        <v>81</v>
      </c>
      <c r="T1635" s="193">
        <f t="shared" si="357"/>
        <v>31.75</v>
      </c>
      <c r="U1635" s="193">
        <f ca="1">OFFSET('Expenditure Study'!$B$7,'Operations Support'!$C1635,'Operations Support'!$B1635)*$G1635</f>
        <v>1996.44</v>
      </c>
      <c r="V1635" s="199">
        <f ca="1">U1635*'Expenditure Study'!$B$31</f>
        <v>117956.02547635201</v>
      </c>
      <c r="W1635" s="199">
        <f ca="1">IF(A1635=10298,1.51,1)*IF($B1635&lt;3,$D1635*'Expenditure Study'!$B$32*OFFSET('Expenditure Study'!$B$7,'Operations Support'!$C1635,'Operations Support'!$B1635),0)</f>
        <v>0</v>
      </c>
      <c r="X1635" s="200">
        <f ca="1">W1635*'Expenditure Study'!$B$31</f>
        <v>0</v>
      </c>
      <c r="Y1635" s="199">
        <f ca="1">U1635*'Expenditure Study'!$B$31</f>
        <v>117956.02547635201</v>
      </c>
      <c r="Z1635" s="200">
        <f ca="1">W1635*'Expenditure Study'!$B$31</f>
        <v>0</v>
      </c>
      <c r="AA1635" s="195">
        <f t="shared" ca="1" si="358"/>
        <v>117956.02547635201</v>
      </c>
      <c r="AB1635" s="195">
        <f t="shared" ca="1" si="359"/>
        <v>117956.02547635201</v>
      </c>
      <c r="AD1635" s="196">
        <f>IFERROR($G1635/SUMIF($A:$A,$A1635,$G:$G)*SUMIF(Summary!$A$166:$A$242,$A1635,Summary!$P$166:$P$242),0)</f>
        <v>45789.462662120641</v>
      </c>
      <c r="AE1635" s="197">
        <f t="shared" ca="1" si="360"/>
        <v>72166.562814231365</v>
      </c>
      <c r="AF1635" s="196">
        <f>IFERROR(G1635/SUMIF(A:A,A1635,G:G)*SUMIF(Summary!$A$166:$A$242,'Operations Support'!A1635,Summary!$Q$166:$Q$242),0)</f>
        <v>46006.873123605998</v>
      </c>
      <c r="AG1635" s="196">
        <f t="shared" ca="1" si="361"/>
        <v>71949.152352746009</v>
      </c>
      <c r="AI1635" s="196">
        <f>IFERROR($G1635/SUMIF($A:$A,$A1635,$G:$G)*SUMIF(Summary!$A$247:$A$283,$A1635,Summary!$P$247:$P$283),0)</f>
        <v>8350.8553262673067</v>
      </c>
      <c r="AJ1635" s="196">
        <f>IFERROR($G1635/SUMIF($A:$A,$A1635,$G:$G)*(SUMIF(Summary!$A$247:$A$283,$A1635,Summary!$L$247:$L$283)+SUMIF(Summary!$A$297:$A$333,$A1635,Summary!$L$297:$L$333))-AI1635,0)</f>
        <v>15566.380561784821</v>
      </c>
      <c r="AK1635" s="196">
        <f>IFERROR($G1635/SUMIF($A:$A,$A1635,$G:$G)*SUMIF(Summary!$A$247:$A$283,$A1635,Summary!$Q$247:$Q$283),0)</f>
        <v>8390.5055690246481</v>
      </c>
      <c r="AL1635" s="196">
        <f>IFERROR($G1635/SUMIF($A:$A,$A1635,$G:$G)*(SUMIF(Summary!$A$247:$A$283,$A1635,Summary!$L$247:$L$283)+SUMIF(Summary!$A$297:$A$333,$A1635,Summary!$L$297:$L$333))-AK1635,0)</f>
        <v>15526.73031902748</v>
      </c>
      <c r="AM1635" s="198"/>
      <c r="AN1635" s="196">
        <f t="shared" ca="1" si="362"/>
        <v>87732.943376016192</v>
      </c>
      <c r="AO1635" s="196">
        <f t="shared" ca="1" si="363"/>
        <v>87475.882671773492</v>
      </c>
    </row>
    <row r="1636" spans="1:41">
      <c r="A1636" s="189">
        <v>3642</v>
      </c>
      <c r="B1636" s="190">
        <v>3</v>
      </c>
      <c r="C1636" s="191" t="s">
        <v>234</v>
      </c>
      <c r="D1636" s="192">
        <f t="shared" si="350"/>
        <v>187</v>
      </c>
      <c r="E1636" s="192">
        <f t="shared" si="351"/>
        <v>0</v>
      </c>
      <c r="F1636" s="192">
        <f t="shared" si="352"/>
        <v>0</v>
      </c>
      <c r="G1636" s="193">
        <f t="shared" si="353"/>
        <v>187</v>
      </c>
      <c r="H1636" s="194">
        <v>89</v>
      </c>
      <c r="I1636" s="194">
        <v>0</v>
      </c>
      <c r="J1636" s="194">
        <v>0</v>
      </c>
      <c r="K1636" s="193">
        <f t="shared" si="354"/>
        <v>89</v>
      </c>
      <c r="L1636" s="194">
        <v>98</v>
      </c>
      <c r="M1636" s="194">
        <v>0</v>
      </c>
      <c r="N1636" s="194">
        <v>0</v>
      </c>
      <c r="O1636" s="193">
        <f t="shared" si="355"/>
        <v>98</v>
      </c>
      <c r="P1636" s="194">
        <v>0</v>
      </c>
      <c r="Q1636" s="194">
        <v>0</v>
      </c>
      <c r="R1636" s="194">
        <v>0</v>
      </c>
      <c r="S1636" s="193">
        <f t="shared" si="356"/>
        <v>0</v>
      </c>
      <c r="T1636" s="193">
        <f t="shared" si="357"/>
        <v>7.791666666666667</v>
      </c>
      <c r="U1636" s="193">
        <f ca="1">OFFSET('Expenditure Study'!$B$7,'Operations Support'!$C1636,'Operations Support'!$B1636)*$G1636</f>
        <v>8229.869999999999</v>
      </c>
      <c r="V1636" s="199">
        <f ca="1">U1636*'Expenditure Study'!$B$31</f>
        <v>486246.89717049594</v>
      </c>
      <c r="W1636" s="199">
        <f ca="1">IF(A1636=10298,1.51,1)*IF($B1636&lt;3,$D1636*'Expenditure Study'!$B$32*OFFSET('Expenditure Study'!$B$7,'Operations Support'!$C1636,'Operations Support'!$B1636),0)</f>
        <v>0</v>
      </c>
      <c r="X1636" s="200">
        <f ca="1">W1636*'Expenditure Study'!$B$31</f>
        <v>0</v>
      </c>
      <c r="Y1636" s="199">
        <f ca="1">U1636*'Expenditure Study'!$B$31</f>
        <v>486246.89717049594</v>
      </c>
      <c r="Z1636" s="200">
        <f ca="1">W1636*'Expenditure Study'!$B$31</f>
        <v>0</v>
      </c>
      <c r="AA1636" s="195">
        <f t="shared" ca="1" si="358"/>
        <v>486246.89717049594</v>
      </c>
      <c r="AB1636" s="195">
        <f t="shared" ca="1" si="359"/>
        <v>486246.89717049594</v>
      </c>
      <c r="AD1636" s="196">
        <f>IFERROR($G1636/SUMIF($A:$A,$A1636,$G:$G)*SUMIF(Summary!$A$166:$A$242,$A1636,Summary!$P$166:$P$242),0)</f>
        <v>11237.04661130782</v>
      </c>
      <c r="AE1636" s="197">
        <f t="shared" ca="1" si="360"/>
        <v>475009.85055918811</v>
      </c>
      <c r="AF1636" s="196">
        <f>IFERROR(G1636/SUMIF(A:A,A1636,G:G)*SUMIF(Summary!$A$166:$A$242,'Operations Support'!A1636,Summary!$Q$166:$Q$242),0)</f>
        <v>11290.400622197272</v>
      </c>
      <c r="AG1636" s="196">
        <f t="shared" ca="1" si="361"/>
        <v>474956.49654829869</v>
      </c>
      <c r="AI1636" s="196">
        <f>IFERROR($G1636/SUMIF($A:$A,$A1636,$G:$G)*SUMIF(Summary!$A$247:$A$283,$A1636,Summary!$P$247:$P$283),0)</f>
        <v>2049.3568845301656</v>
      </c>
      <c r="AJ1636" s="196">
        <f>IFERROR($G1636/SUMIF($A:$A,$A1636,$G:$G)*(SUMIF(Summary!$A$247:$A$283,$A1636,Summary!$L$247:$L$283)+SUMIF(Summary!$A$297:$A$333,$A1636,Summary!$L$297:$L$333))-AI1636,0)</f>
        <v>3820.0960171309202</v>
      </c>
      <c r="AK1636" s="196">
        <f>IFERROR($G1636/SUMIF($A:$A,$A1636,$G:$G)*SUMIF(Summary!$A$247:$A$283,$A1636,Summary!$Q$247:$Q$283),0)</f>
        <v>2059.0873246819015</v>
      </c>
      <c r="AL1636" s="196">
        <f>IFERROR($G1636/SUMIF($A:$A,$A1636,$G:$G)*(SUMIF(Summary!$A$247:$A$283,$A1636,Summary!$L$247:$L$283)+SUMIF(Summary!$A$297:$A$333,$A1636,Summary!$L$297:$L$333))-AK1636,0)</f>
        <v>3810.3655769791844</v>
      </c>
      <c r="AM1636" s="198"/>
      <c r="AN1636" s="196">
        <f t="shared" ca="1" si="362"/>
        <v>478829.94657631905</v>
      </c>
      <c r="AO1636" s="196">
        <f t="shared" ca="1" si="363"/>
        <v>478766.86212527787</v>
      </c>
    </row>
    <row r="1637" spans="1:41">
      <c r="A1637" s="189">
        <v>3642</v>
      </c>
      <c r="B1637" s="190">
        <v>3</v>
      </c>
      <c r="C1637" s="191" t="s">
        <v>235</v>
      </c>
      <c r="D1637" s="192">
        <f t="shared" si="350"/>
        <v>2919</v>
      </c>
      <c r="E1637" s="192">
        <f t="shared" si="351"/>
        <v>627</v>
      </c>
      <c r="F1637" s="192">
        <f t="shared" si="352"/>
        <v>0</v>
      </c>
      <c r="G1637" s="193">
        <f t="shared" si="353"/>
        <v>3546</v>
      </c>
      <c r="H1637" s="194">
        <v>1167</v>
      </c>
      <c r="I1637" s="194">
        <v>345</v>
      </c>
      <c r="J1637" s="194">
        <v>0</v>
      </c>
      <c r="K1637" s="193">
        <f t="shared" si="354"/>
        <v>1512</v>
      </c>
      <c r="L1637" s="194">
        <v>1395</v>
      </c>
      <c r="M1637" s="194">
        <v>144</v>
      </c>
      <c r="N1637" s="194">
        <v>0</v>
      </c>
      <c r="O1637" s="193">
        <f t="shared" si="355"/>
        <v>1539</v>
      </c>
      <c r="P1637" s="194">
        <v>357</v>
      </c>
      <c r="Q1637" s="194">
        <v>138</v>
      </c>
      <c r="R1637" s="194">
        <v>0</v>
      </c>
      <c r="S1637" s="193">
        <f t="shared" si="356"/>
        <v>495</v>
      </c>
      <c r="T1637" s="193">
        <f t="shared" si="357"/>
        <v>147.75</v>
      </c>
      <c r="U1637" s="193">
        <f ca="1">OFFSET('Expenditure Study'!$B$7,'Operations Support'!$C1637,'Operations Support'!$B1637)*$G1637</f>
        <v>11205.36</v>
      </c>
      <c r="V1637" s="199">
        <f ca="1">U1637*'Expenditure Study'!$B$31</f>
        <v>662048.31080908806</v>
      </c>
      <c r="W1637" s="199">
        <f ca="1">IF(A1637=10298,1.51,1)*IF($B1637&lt;3,$D1637*'Expenditure Study'!$B$32*OFFSET('Expenditure Study'!$B$7,'Operations Support'!$C1637,'Operations Support'!$B1637),0)</f>
        <v>0</v>
      </c>
      <c r="X1637" s="200">
        <f ca="1">W1637*'Expenditure Study'!$B$31</f>
        <v>0</v>
      </c>
      <c r="Y1637" s="199">
        <f ca="1">U1637*'Expenditure Study'!$B$31</f>
        <v>662048.31080908806</v>
      </c>
      <c r="Z1637" s="200">
        <f ca="1">W1637*'Expenditure Study'!$B$31</f>
        <v>0</v>
      </c>
      <c r="AA1637" s="195">
        <f t="shared" ca="1" si="358"/>
        <v>662048.31080908806</v>
      </c>
      <c r="AB1637" s="195">
        <f t="shared" ca="1" si="359"/>
        <v>662048.31080908806</v>
      </c>
      <c r="AD1637" s="196">
        <f>IFERROR($G1637/SUMIF($A:$A,$A1637,$G:$G)*SUMIF(Summary!$A$166:$A$242,$A1637,Summary!$P$166:$P$242),0)</f>
        <v>213083.24750640392</v>
      </c>
      <c r="AE1637" s="197">
        <f t="shared" ca="1" si="360"/>
        <v>448965.06330268411</v>
      </c>
      <c r="AF1637" s="196">
        <f>IFERROR(G1637/SUMIF(A:A,A1637,G:G)*SUMIF(Summary!$A$166:$A$242,'Operations Support'!A1637,Summary!$Q$166:$Q$242),0)</f>
        <v>214094.97650433969</v>
      </c>
      <c r="AG1637" s="196">
        <f t="shared" ca="1" si="361"/>
        <v>447953.33430474834</v>
      </c>
      <c r="AI1637" s="196">
        <f>IFERROR($G1637/SUMIF($A:$A,$A1637,$G:$G)*SUMIF(Summary!$A$247:$A$283,$A1637,Summary!$P$247:$P$283),0)</f>
        <v>38861.066911999827</v>
      </c>
      <c r="AJ1637" s="196">
        <f>IFERROR($G1637/SUMIF($A:$A,$A1637,$G:$G)*(SUMIF(Summary!$A$247:$A$283,$A1637,Summary!$L$247:$L$283)+SUMIF(Summary!$A$297:$A$333,$A1637,Summary!$L$297:$L$333))-AI1637,0)</f>
        <v>72438.826078856917</v>
      </c>
      <c r="AK1637" s="196">
        <f>IFERROR($G1637/SUMIF($A:$A,$A1637,$G:$G)*SUMIF(Summary!$A$247:$A$283,$A1637,Summary!$Q$247:$Q$283),0)</f>
        <v>39045.581033807612</v>
      </c>
      <c r="AL1637" s="196">
        <f>IFERROR($G1637/SUMIF($A:$A,$A1637,$G:$G)*(SUMIF(Summary!$A$247:$A$283,$A1637,Summary!$L$247:$L$283)+SUMIF(Summary!$A$297:$A$333,$A1637,Summary!$L$297:$L$333))-AK1637,0)</f>
        <v>72254.311957049125</v>
      </c>
      <c r="AM1637" s="198"/>
      <c r="AN1637" s="196">
        <f t="shared" ca="1" si="362"/>
        <v>521403.88938154106</v>
      </c>
      <c r="AO1637" s="196">
        <f t="shared" ca="1" si="363"/>
        <v>520207.64626179746</v>
      </c>
    </row>
    <row r="1638" spans="1:41">
      <c r="A1638" s="189">
        <v>3642</v>
      </c>
      <c r="B1638" s="190">
        <v>3</v>
      </c>
      <c r="C1638" s="191" t="s">
        <v>236</v>
      </c>
      <c r="D1638" s="192">
        <f t="shared" si="350"/>
        <v>0</v>
      </c>
      <c r="E1638" s="192">
        <f t="shared" si="351"/>
        <v>0</v>
      </c>
      <c r="F1638" s="192">
        <f t="shared" si="352"/>
        <v>0</v>
      </c>
      <c r="G1638" s="193">
        <f t="shared" si="353"/>
        <v>0</v>
      </c>
      <c r="H1638" s="194">
        <v>0</v>
      </c>
      <c r="I1638" s="194">
        <v>0</v>
      </c>
      <c r="J1638" s="194">
        <v>0</v>
      </c>
      <c r="K1638" s="193">
        <f t="shared" si="354"/>
        <v>0</v>
      </c>
      <c r="L1638" s="194">
        <v>0</v>
      </c>
      <c r="M1638" s="194">
        <v>0</v>
      </c>
      <c r="N1638" s="194">
        <v>0</v>
      </c>
      <c r="O1638" s="193">
        <f t="shared" si="355"/>
        <v>0</v>
      </c>
      <c r="P1638" s="194">
        <v>0</v>
      </c>
      <c r="Q1638" s="194">
        <v>0</v>
      </c>
      <c r="R1638" s="194">
        <v>0</v>
      </c>
      <c r="S1638" s="193">
        <f t="shared" si="356"/>
        <v>0</v>
      </c>
      <c r="T1638" s="193">
        <f t="shared" si="357"/>
        <v>0</v>
      </c>
      <c r="U1638" s="193">
        <f ca="1">OFFSET('Expenditure Study'!$B$7,'Operations Support'!$C1638,'Operations Support'!$B1638)*$G1638</f>
        <v>0</v>
      </c>
      <c r="V1638" s="199">
        <f ca="1">U1638*'Expenditure Study'!$B$31</f>
        <v>0</v>
      </c>
      <c r="W1638" s="199">
        <f ca="1">IF(A1638=10298,1.51,1)*IF($B1638&lt;3,$D1638*'Expenditure Study'!$B$32*OFFSET('Expenditure Study'!$B$7,'Operations Support'!$C1638,'Operations Support'!$B1638),0)</f>
        <v>0</v>
      </c>
      <c r="X1638" s="200">
        <f ca="1">W1638*'Expenditure Study'!$B$31</f>
        <v>0</v>
      </c>
      <c r="Y1638" s="199">
        <f ca="1">U1638*'Expenditure Study'!$B$31</f>
        <v>0</v>
      </c>
      <c r="Z1638" s="200">
        <f ca="1">W1638*'Expenditure Study'!$B$31</f>
        <v>0</v>
      </c>
      <c r="AA1638" s="195">
        <f t="shared" ca="1" si="358"/>
        <v>0</v>
      </c>
      <c r="AB1638" s="195">
        <f t="shared" ca="1" si="359"/>
        <v>0</v>
      </c>
      <c r="AD1638" s="196">
        <f>IFERROR($G1638/SUMIF($A:$A,$A1638,$G:$G)*SUMIF(Summary!$A$166:$A$242,$A1638,Summary!$P$166:$P$242),0)</f>
        <v>0</v>
      </c>
      <c r="AE1638" s="197">
        <f t="shared" ca="1" si="360"/>
        <v>0</v>
      </c>
      <c r="AF1638" s="196">
        <f>IFERROR(G1638/SUMIF(A:A,A1638,G:G)*SUMIF(Summary!$A$166:$A$242,'Operations Support'!A1638,Summary!$Q$166:$Q$242),0)</f>
        <v>0</v>
      </c>
      <c r="AG1638" s="196">
        <f t="shared" ca="1" si="361"/>
        <v>0</v>
      </c>
      <c r="AI1638" s="196">
        <f>IFERROR($G1638/SUMIF($A:$A,$A1638,$G:$G)*SUMIF(Summary!$A$247:$A$283,$A1638,Summary!$P$247:$P$283),0)</f>
        <v>0</v>
      </c>
      <c r="AJ1638" s="196">
        <f>IFERROR($G1638/SUMIF($A:$A,$A1638,$G:$G)*(SUMIF(Summary!$A$247:$A$283,$A1638,Summary!$L$247:$L$283)+SUMIF(Summary!$A$297:$A$333,$A1638,Summary!$L$297:$L$333))-AI1638,0)</f>
        <v>0</v>
      </c>
      <c r="AK1638" s="196">
        <f>IFERROR($G1638/SUMIF($A:$A,$A1638,$G:$G)*SUMIF(Summary!$A$247:$A$283,$A1638,Summary!$Q$247:$Q$283),0)</f>
        <v>0</v>
      </c>
      <c r="AL1638" s="196">
        <f>IFERROR($G1638/SUMIF($A:$A,$A1638,$G:$G)*(SUMIF(Summary!$A$247:$A$283,$A1638,Summary!$L$247:$L$283)+SUMIF(Summary!$A$297:$A$333,$A1638,Summary!$L$297:$L$333))-AK1638,0)</f>
        <v>0</v>
      </c>
      <c r="AM1638" s="198"/>
      <c r="AN1638" s="196">
        <f t="shared" ca="1" si="362"/>
        <v>0</v>
      </c>
      <c r="AO1638" s="196">
        <f t="shared" ca="1" si="363"/>
        <v>0</v>
      </c>
    </row>
    <row r="1639" spans="1:41">
      <c r="A1639" s="189">
        <v>3642</v>
      </c>
      <c r="B1639" s="190">
        <v>3</v>
      </c>
      <c r="C1639" s="191" t="s">
        <v>237</v>
      </c>
      <c r="D1639" s="192">
        <f t="shared" si="350"/>
        <v>0</v>
      </c>
      <c r="E1639" s="192">
        <f t="shared" si="351"/>
        <v>0</v>
      </c>
      <c r="F1639" s="192">
        <f t="shared" si="352"/>
        <v>0</v>
      </c>
      <c r="G1639" s="193">
        <f t="shared" si="353"/>
        <v>0</v>
      </c>
      <c r="H1639" s="194">
        <v>0</v>
      </c>
      <c r="I1639" s="194">
        <v>0</v>
      </c>
      <c r="J1639" s="194">
        <v>0</v>
      </c>
      <c r="K1639" s="193">
        <f t="shared" si="354"/>
        <v>0</v>
      </c>
      <c r="L1639" s="194">
        <v>0</v>
      </c>
      <c r="M1639" s="194">
        <v>0</v>
      </c>
      <c r="N1639" s="194">
        <v>0</v>
      </c>
      <c r="O1639" s="193">
        <f t="shared" si="355"/>
        <v>0</v>
      </c>
      <c r="P1639" s="194">
        <v>0</v>
      </c>
      <c r="Q1639" s="194">
        <v>0</v>
      </c>
      <c r="R1639" s="194">
        <v>0</v>
      </c>
      <c r="S1639" s="193">
        <f t="shared" si="356"/>
        <v>0</v>
      </c>
      <c r="T1639" s="193">
        <f t="shared" si="357"/>
        <v>0</v>
      </c>
      <c r="U1639" s="193">
        <f ca="1">OFFSET('Expenditure Study'!$B$7,'Operations Support'!$C1639,'Operations Support'!$B1639)*$G1639</f>
        <v>0</v>
      </c>
      <c r="V1639" s="199">
        <f ca="1">U1639*'Expenditure Study'!$B$31</f>
        <v>0</v>
      </c>
      <c r="W1639" s="199">
        <f ca="1">IF(A1639=10298,1.51,1)*IF($B1639&lt;3,$D1639*'Expenditure Study'!$B$32*OFFSET('Expenditure Study'!$B$7,'Operations Support'!$C1639,'Operations Support'!$B1639),0)</f>
        <v>0</v>
      </c>
      <c r="X1639" s="200">
        <f ca="1">W1639*'Expenditure Study'!$B$31</f>
        <v>0</v>
      </c>
      <c r="Y1639" s="199">
        <f ca="1">U1639*'Expenditure Study'!$B$31</f>
        <v>0</v>
      </c>
      <c r="Z1639" s="200">
        <f ca="1">W1639*'Expenditure Study'!$B$31</f>
        <v>0</v>
      </c>
      <c r="AA1639" s="195">
        <f t="shared" ca="1" si="358"/>
        <v>0</v>
      </c>
      <c r="AB1639" s="195">
        <f t="shared" ca="1" si="359"/>
        <v>0</v>
      </c>
      <c r="AD1639" s="196">
        <f>IFERROR($G1639/SUMIF($A:$A,$A1639,$G:$G)*SUMIF(Summary!$A$166:$A$242,$A1639,Summary!$P$166:$P$242),0)</f>
        <v>0</v>
      </c>
      <c r="AE1639" s="197">
        <f t="shared" ca="1" si="360"/>
        <v>0</v>
      </c>
      <c r="AF1639" s="196">
        <f>IFERROR(G1639/SUMIF(A:A,A1639,G:G)*SUMIF(Summary!$A$166:$A$242,'Operations Support'!A1639,Summary!$Q$166:$Q$242),0)</f>
        <v>0</v>
      </c>
      <c r="AG1639" s="196">
        <f t="shared" ca="1" si="361"/>
        <v>0</v>
      </c>
      <c r="AI1639" s="196">
        <f>IFERROR($G1639/SUMIF($A:$A,$A1639,$G:$G)*SUMIF(Summary!$A$247:$A$283,$A1639,Summary!$P$247:$P$283),0)</f>
        <v>0</v>
      </c>
      <c r="AJ1639" s="196">
        <f>IFERROR($G1639/SUMIF($A:$A,$A1639,$G:$G)*(SUMIF(Summary!$A$247:$A$283,$A1639,Summary!$L$247:$L$283)+SUMIF(Summary!$A$297:$A$333,$A1639,Summary!$L$297:$L$333))-AI1639,0)</f>
        <v>0</v>
      </c>
      <c r="AK1639" s="196">
        <f>IFERROR($G1639/SUMIF($A:$A,$A1639,$G:$G)*SUMIF(Summary!$A$247:$A$283,$A1639,Summary!$Q$247:$Q$283),0)</f>
        <v>0</v>
      </c>
      <c r="AL1639" s="196">
        <f>IFERROR($G1639/SUMIF($A:$A,$A1639,$G:$G)*(SUMIF(Summary!$A$247:$A$283,$A1639,Summary!$L$247:$L$283)+SUMIF(Summary!$A$297:$A$333,$A1639,Summary!$L$297:$L$333))-AK1639,0)</f>
        <v>0</v>
      </c>
      <c r="AM1639" s="198"/>
      <c r="AN1639" s="196">
        <f t="shared" ca="1" si="362"/>
        <v>0</v>
      </c>
      <c r="AO1639" s="196">
        <f t="shared" ca="1" si="363"/>
        <v>0</v>
      </c>
    </row>
    <row r="1640" spans="1:41">
      <c r="A1640" s="189">
        <v>3642</v>
      </c>
      <c r="B1640" s="190">
        <v>3</v>
      </c>
      <c r="C1640" s="191" t="s">
        <v>238</v>
      </c>
      <c r="D1640" s="192">
        <f t="shared" si="350"/>
        <v>27</v>
      </c>
      <c r="E1640" s="192">
        <f t="shared" si="351"/>
        <v>0</v>
      </c>
      <c r="F1640" s="192">
        <f t="shared" si="352"/>
        <v>0</v>
      </c>
      <c r="G1640" s="193">
        <f t="shared" si="353"/>
        <v>27</v>
      </c>
      <c r="H1640" s="194">
        <v>24</v>
      </c>
      <c r="I1640" s="194">
        <v>0</v>
      </c>
      <c r="J1640" s="194">
        <v>0</v>
      </c>
      <c r="K1640" s="193">
        <f t="shared" si="354"/>
        <v>24</v>
      </c>
      <c r="L1640" s="194">
        <v>3</v>
      </c>
      <c r="M1640" s="194">
        <v>0</v>
      </c>
      <c r="N1640" s="194">
        <v>0</v>
      </c>
      <c r="O1640" s="193">
        <f t="shared" si="355"/>
        <v>3</v>
      </c>
      <c r="P1640" s="194">
        <v>0</v>
      </c>
      <c r="Q1640" s="194">
        <v>0</v>
      </c>
      <c r="R1640" s="194">
        <v>0</v>
      </c>
      <c r="S1640" s="193">
        <f t="shared" si="356"/>
        <v>0</v>
      </c>
      <c r="T1640" s="193">
        <f t="shared" si="357"/>
        <v>1.125</v>
      </c>
      <c r="U1640" s="193">
        <f ca="1">OFFSET('Expenditure Study'!$B$7,'Operations Support'!$C1640,'Operations Support'!$B1640)*$G1640</f>
        <v>157.68</v>
      </c>
      <c r="V1640" s="199">
        <f ca="1">U1640*'Expenditure Study'!$B$31</f>
        <v>9316.2359485440011</v>
      </c>
      <c r="W1640" s="199">
        <f ca="1">IF(A1640=10298,1.51,1)*IF($B1640&lt;3,$D1640*'Expenditure Study'!$B$32*OFFSET('Expenditure Study'!$B$7,'Operations Support'!$C1640,'Operations Support'!$B1640),0)</f>
        <v>0</v>
      </c>
      <c r="X1640" s="200">
        <f ca="1">W1640*'Expenditure Study'!$B$31</f>
        <v>0</v>
      </c>
      <c r="Y1640" s="199">
        <f ca="1">U1640*'Expenditure Study'!$B$31</f>
        <v>9316.2359485440011</v>
      </c>
      <c r="Z1640" s="200">
        <f ca="1">W1640*'Expenditure Study'!$B$31</f>
        <v>0</v>
      </c>
      <c r="AA1640" s="195">
        <f t="shared" ca="1" si="358"/>
        <v>9316.2359485440011</v>
      </c>
      <c r="AB1640" s="195">
        <f t="shared" ca="1" si="359"/>
        <v>9316.2359485440011</v>
      </c>
      <c r="AD1640" s="196">
        <f>IFERROR($G1640/SUMIF($A:$A,$A1640,$G:$G)*SUMIF(Summary!$A$166:$A$242,$A1640,Summary!$P$166:$P$242),0)</f>
        <v>1622.4612754294715</v>
      </c>
      <c r="AE1640" s="197">
        <f t="shared" ca="1" si="360"/>
        <v>7693.7746731145298</v>
      </c>
      <c r="AF1640" s="196">
        <f>IFERROR(G1640/SUMIF(A:A,A1640,G:G)*SUMIF(Summary!$A$166:$A$242,'Operations Support'!A1640,Summary!$Q$166:$Q$242),0)</f>
        <v>1630.1647957183227</v>
      </c>
      <c r="AG1640" s="196">
        <f t="shared" ca="1" si="361"/>
        <v>7686.0711528256779</v>
      </c>
      <c r="AI1640" s="196">
        <f>IFERROR($G1640/SUMIF($A:$A,$A1640,$G:$G)*SUMIF(Summary!$A$247:$A$283,$A1640,Summary!$P$247:$P$283),0)</f>
        <v>295.89644856852664</v>
      </c>
      <c r="AJ1640" s="196">
        <f>IFERROR($G1640/SUMIF($A:$A,$A1640,$G:$G)*(SUMIF(Summary!$A$247:$A$283,$A1640,Summary!$L$247:$L$283)+SUMIF(Summary!$A$297:$A$333,$A1640,Summary!$L$297:$L$333))-AI1640,0)</f>
        <v>551.56466557505269</v>
      </c>
      <c r="AK1640" s="196">
        <f>IFERROR($G1640/SUMIF($A:$A,$A1640,$G:$G)*SUMIF(Summary!$A$247:$A$283,$A1640,Summary!$Q$247:$Q$283),0)</f>
        <v>297.30137843000722</v>
      </c>
      <c r="AL1640" s="196">
        <f>IFERROR($G1640/SUMIF($A:$A,$A1640,$G:$G)*(SUMIF(Summary!$A$247:$A$283,$A1640,Summary!$L$247:$L$283)+SUMIF(Summary!$A$297:$A$333,$A1640,Summary!$L$297:$L$333))-AK1640,0)</f>
        <v>550.15973571357222</v>
      </c>
      <c r="AM1640" s="198"/>
      <c r="AN1640" s="196">
        <f t="shared" ca="1" si="362"/>
        <v>8245.3393386895823</v>
      </c>
      <c r="AO1640" s="196">
        <f t="shared" ca="1" si="363"/>
        <v>8236.2308885392504</v>
      </c>
    </row>
    <row r="1641" spans="1:41">
      <c r="A1641" s="189">
        <v>3642</v>
      </c>
      <c r="B1641" s="190">
        <v>3</v>
      </c>
      <c r="C1641" s="191" t="s">
        <v>239</v>
      </c>
      <c r="D1641" s="192">
        <f t="shared" si="350"/>
        <v>0</v>
      </c>
      <c r="E1641" s="192">
        <f t="shared" si="351"/>
        <v>0</v>
      </c>
      <c r="F1641" s="192">
        <f t="shared" si="352"/>
        <v>0</v>
      </c>
      <c r="G1641" s="193">
        <f t="shared" si="353"/>
        <v>0</v>
      </c>
      <c r="H1641" s="194">
        <v>0</v>
      </c>
      <c r="I1641" s="194">
        <v>0</v>
      </c>
      <c r="J1641" s="194">
        <v>0</v>
      </c>
      <c r="K1641" s="193">
        <f t="shared" si="354"/>
        <v>0</v>
      </c>
      <c r="L1641" s="194">
        <v>0</v>
      </c>
      <c r="M1641" s="194">
        <v>0</v>
      </c>
      <c r="N1641" s="194">
        <v>0</v>
      </c>
      <c r="O1641" s="193">
        <f t="shared" si="355"/>
        <v>0</v>
      </c>
      <c r="P1641" s="194">
        <v>0</v>
      </c>
      <c r="Q1641" s="194">
        <v>0</v>
      </c>
      <c r="R1641" s="194">
        <v>0</v>
      </c>
      <c r="S1641" s="193">
        <f t="shared" si="356"/>
        <v>0</v>
      </c>
      <c r="T1641" s="193">
        <f t="shared" si="357"/>
        <v>0</v>
      </c>
      <c r="U1641" s="193">
        <f ca="1">OFFSET('Expenditure Study'!$B$7,'Operations Support'!$C1641,'Operations Support'!$B1641)*$G1641</f>
        <v>0</v>
      </c>
      <c r="V1641" s="199">
        <f ca="1">U1641*'Expenditure Study'!$B$31</f>
        <v>0</v>
      </c>
      <c r="W1641" s="199">
        <f ca="1">IF(A1641=10298,1.51,1)*IF($B1641&lt;3,$D1641*'Expenditure Study'!$B$32*OFFSET('Expenditure Study'!$B$7,'Operations Support'!$C1641,'Operations Support'!$B1641),0)</f>
        <v>0</v>
      </c>
      <c r="X1641" s="200">
        <f ca="1">W1641*'Expenditure Study'!$B$31</f>
        <v>0</v>
      </c>
      <c r="Y1641" s="199">
        <f ca="1">U1641*'Expenditure Study'!$B$31</f>
        <v>0</v>
      </c>
      <c r="Z1641" s="200">
        <f ca="1">W1641*'Expenditure Study'!$B$31</f>
        <v>0</v>
      </c>
      <c r="AA1641" s="195">
        <f t="shared" ca="1" si="358"/>
        <v>0</v>
      </c>
      <c r="AB1641" s="195">
        <f t="shared" ca="1" si="359"/>
        <v>0</v>
      </c>
      <c r="AD1641" s="196">
        <f>IFERROR($G1641/SUMIF($A:$A,$A1641,$G:$G)*SUMIF(Summary!$A$166:$A$242,$A1641,Summary!$P$166:$P$242),0)</f>
        <v>0</v>
      </c>
      <c r="AE1641" s="197">
        <f t="shared" ca="1" si="360"/>
        <v>0</v>
      </c>
      <c r="AF1641" s="196">
        <f>IFERROR(G1641/SUMIF(A:A,A1641,G:G)*SUMIF(Summary!$A$166:$A$242,'Operations Support'!A1641,Summary!$Q$166:$Q$242),0)</f>
        <v>0</v>
      </c>
      <c r="AG1641" s="196">
        <f t="shared" ca="1" si="361"/>
        <v>0</v>
      </c>
      <c r="AI1641" s="196">
        <f>IFERROR($G1641/SUMIF($A:$A,$A1641,$G:$G)*SUMIF(Summary!$A$247:$A$283,$A1641,Summary!$P$247:$P$283),0)</f>
        <v>0</v>
      </c>
      <c r="AJ1641" s="196">
        <f>IFERROR($G1641/SUMIF($A:$A,$A1641,$G:$G)*(SUMIF(Summary!$A$247:$A$283,$A1641,Summary!$L$247:$L$283)+SUMIF(Summary!$A$297:$A$333,$A1641,Summary!$L$297:$L$333))-AI1641,0)</f>
        <v>0</v>
      </c>
      <c r="AK1641" s="196">
        <f>IFERROR($G1641/SUMIF($A:$A,$A1641,$G:$G)*SUMIF(Summary!$A$247:$A$283,$A1641,Summary!$Q$247:$Q$283),0)</f>
        <v>0</v>
      </c>
      <c r="AL1641" s="196">
        <f>IFERROR($G1641/SUMIF($A:$A,$A1641,$G:$G)*(SUMIF(Summary!$A$247:$A$283,$A1641,Summary!$L$247:$L$283)+SUMIF(Summary!$A$297:$A$333,$A1641,Summary!$L$297:$L$333))-AK1641,0)</f>
        <v>0</v>
      </c>
      <c r="AM1641" s="198"/>
      <c r="AN1641" s="196">
        <f t="shared" ca="1" si="362"/>
        <v>0</v>
      </c>
      <c r="AO1641" s="196">
        <f t="shared" ca="1" si="363"/>
        <v>0</v>
      </c>
    </row>
    <row r="1642" spans="1:41">
      <c r="A1642" s="189">
        <v>3642</v>
      </c>
      <c r="B1642" s="190">
        <v>3</v>
      </c>
      <c r="C1642" s="191" t="s">
        <v>240</v>
      </c>
      <c r="D1642" s="192">
        <f t="shared" si="350"/>
        <v>0</v>
      </c>
      <c r="E1642" s="192">
        <f t="shared" si="351"/>
        <v>0</v>
      </c>
      <c r="F1642" s="192">
        <f t="shared" si="352"/>
        <v>0</v>
      </c>
      <c r="G1642" s="193">
        <f t="shared" si="353"/>
        <v>0</v>
      </c>
      <c r="H1642" s="194">
        <v>0</v>
      </c>
      <c r="I1642" s="194">
        <v>0</v>
      </c>
      <c r="J1642" s="194">
        <v>0</v>
      </c>
      <c r="K1642" s="193">
        <f t="shared" si="354"/>
        <v>0</v>
      </c>
      <c r="L1642" s="194">
        <v>0</v>
      </c>
      <c r="M1642" s="194">
        <v>0</v>
      </c>
      <c r="N1642" s="194">
        <v>0</v>
      </c>
      <c r="O1642" s="193">
        <f t="shared" si="355"/>
        <v>0</v>
      </c>
      <c r="P1642" s="194">
        <v>0</v>
      </c>
      <c r="Q1642" s="194">
        <v>0</v>
      </c>
      <c r="R1642" s="194">
        <v>0</v>
      </c>
      <c r="S1642" s="193">
        <f t="shared" si="356"/>
        <v>0</v>
      </c>
      <c r="T1642" s="193">
        <f t="shared" si="357"/>
        <v>0</v>
      </c>
      <c r="U1642" s="193">
        <f ca="1">OFFSET('Expenditure Study'!$B$7,'Operations Support'!$C1642,'Operations Support'!$B1642)*$G1642</f>
        <v>0</v>
      </c>
      <c r="V1642" s="199">
        <f ca="1">U1642*'Expenditure Study'!$B$31</f>
        <v>0</v>
      </c>
      <c r="W1642" s="199">
        <f ca="1">IF(A1642=10298,1.51,1)*IF($B1642&lt;3,$D1642*'Expenditure Study'!$B$32*OFFSET('Expenditure Study'!$B$7,'Operations Support'!$C1642,'Operations Support'!$B1642),0)</f>
        <v>0</v>
      </c>
      <c r="X1642" s="200">
        <f ca="1">W1642*'Expenditure Study'!$B$31</f>
        <v>0</v>
      </c>
      <c r="Y1642" s="199">
        <f ca="1">U1642*'Expenditure Study'!$B$31</f>
        <v>0</v>
      </c>
      <c r="Z1642" s="200">
        <f ca="1">W1642*'Expenditure Study'!$B$31</f>
        <v>0</v>
      </c>
      <c r="AA1642" s="195">
        <f t="shared" ca="1" si="358"/>
        <v>0</v>
      </c>
      <c r="AB1642" s="195">
        <f t="shared" ca="1" si="359"/>
        <v>0</v>
      </c>
      <c r="AD1642" s="196">
        <f>IFERROR($G1642/SUMIF($A:$A,$A1642,$G:$G)*SUMIF(Summary!$A$166:$A$242,$A1642,Summary!$P$166:$P$242),0)</f>
        <v>0</v>
      </c>
      <c r="AE1642" s="197">
        <f t="shared" ca="1" si="360"/>
        <v>0</v>
      </c>
      <c r="AF1642" s="196">
        <f>IFERROR(G1642/SUMIF(A:A,A1642,G:G)*SUMIF(Summary!$A$166:$A$242,'Operations Support'!A1642,Summary!$Q$166:$Q$242),0)</f>
        <v>0</v>
      </c>
      <c r="AG1642" s="196">
        <f t="shared" ca="1" si="361"/>
        <v>0</v>
      </c>
      <c r="AI1642" s="196">
        <f>IFERROR($G1642/SUMIF($A:$A,$A1642,$G:$G)*SUMIF(Summary!$A$247:$A$283,$A1642,Summary!$P$247:$P$283),0)</f>
        <v>0</v>
      </c>
      <c r="AJ1642" s="196">
        <f>IFERROR($G1642/SUMIF($A:$A,$A1642,$G:$G)*(SUMIF(Summary!$A$247:$A$283,$A1642,Summary!$L$247:$L$283)+SUMIF(Summary!$A$297:$A$333,$A1642,Summary!$L$297:$L$333))-AI1642,0)</f>
        <v>0</v>
      </c>
      <c r="AK1642" s="196">
        <f>IFERROR($G1642/SUMIF($A:$A,$A1642,$G:$G)*SUMIF(Summary!$A$247:$A$283,$A1642,Summary!$Q$247:$Q$283),0)</f>
        <v>0</v>
      </c>
      <c r="AL1642" s="196">
        <f>IFERROR($G1642/SUMIF($A:$A,$A1642,$G:$G)*(SUMIF(Summary!$A$247:$A$283,$A1642,Summary!$L$247:$L$283)+SUMIF(Summary!$A$297:$A$333,$A1642,Summary!$L$297:$L$333))-AK1642,0)</f>
        <v>0</v>
      </c>
      <c r="AM1642" s="198"/>
      <c r="AN1642" s="196">
        <f t="shared" ca="1" si="362"/>
        <v>0</v>
      </c>
      <c r="AO1642" s="196">
        <f t="shared" ca="1" si="363"/>
        <v>0</v>
      </c>
    </row>
    <row r="1643" spans="1:41">
      <c r="A1643" s="189">
        <v>3642</v>
      </c>
      <c r="B1643" s="190">
        <v>4</v>
      </c>
      <c r="C1643" s="191" t="s">
        <v>220</v>
      </c>
      <c r="D1643" s="192">
        <f t="shared" si="350"/>
        <v>384</v>
      </c>
      <c r="E1643" s="192">
        <f t="shared" si="351"/>
        <v>0</v>
      </c>
      <c r="F1643" s="192">
        <f t="shared" si="352"/>
        <v>9</v>
      </c>
      <c r="G1643" s="193">
        <f t="shared" si="353"/>
        <v>375</v>
      </c>
      <c r="H1643" s="194">
        <v>174</v>
      </c>
      <c r="I1643" s="194">
        <v>0</v>
      </c>
      <c r="J1643" s="194">
        <v>9</v>
      </c>
      <c r="K1643" s="193">
        <f t="shared" si="354"/>
        <v>165</v>
      </c>
      <c r="L1643" s="194">
        <v>165</v>
      </c>
      <c r="M1643" s="194">
        <v>0</v>
      </c>
      <c r="N1643" s="194">
        <v>0</v>
      </c>
      <c r="O1643" s="193">
        <f t="shared" si="355"/>
        <v>165</v>
      </c>
      <c r="P1643" s="194">
        <v>45</v>
      </c>
      <c r="Q1643" s="194">
        <v>0</v>
      </c>
      <c r="R1643" s="194">
        <v>0</v>
      </c>
      <c r="S1643" s="193">
        <f t="shared" si="356"/>
        <v>45</v>
      </c>
      <c r="T1643" s="193">
        <f t="shared" si="357"/>
        <v>20.833333333333332</v>
      </c>
      <c r="U1643" s="193">
        <f ca="1">OFFSET('Expenditure Study'!$B$7,'Operations Support'!$C1643,'Operations Support'!$B1643)*$G1643</f>
        <v>5523.75</v>
      </c>
      <c r="V1643" s="199">
        <f ca="1">U1643*'Expenditure Study'!$B$31</f>
        <v>326360.71994400001</v>
      </c>
      <c r="W1643" s="199">
        <f ca="1">IF(A1643=10298,1.51,1)*IF($B1643&lt;3,$D1643*'Expenditure Study'!$B$32*OFFSET('Expenditure Study'!$B$7,'Operations Support'!$C1643,'Operations Support'!$B1643),0)</f>
        <v>0</v>
      </c>
      <c r="X1643" s="200">
        <f ca="1">W1643*'Expenditure Study'!$B$31</f>
        <v>0</v>
      </c>
      <c r="Y1643" s="199">
        <f ca="1">U1643*'Expenditure Study'!$B$31</f>
        <v>326360.71994400001</v>
      </c>
      <c r="Z1643" s="200">
        <f ca="1">W1643*'Expenditure Study'!$B$31</f>
        <v>0</v>
      </c>
      <c r="AA1643" s="195">
        <f t="shared" ca="1" si="358"/>
        <v>326360.71994400001</v>
      </c>
      <c r="AB1643" s="195">
        <f t="shared" ca="1" si="359"/>
        <v>326360.71994400001</v>
      </c>
      <c r="AD1643" s="196">
        <f>IFERROR($G1643/SUMIF($A:$A,$A1643,$G:$G)*SUMIF(Summary!$A$166:$A$242,$A1643,Summary!$P$166:$P$242),0)</f>
        <v>22534.184380964882</v>
      </c>
      <c r="AE1643" s="197">
        <f t="shared" ca="1" si="360"/>
        <v>303826.53556303511</v>
      </c>
      <c r="AF1643" s="196">
        <f>IFERROR(G1643/SUMIF(A:A,A1643,G:G)*SUMIF(Summary!$A$166:$A$242,'Operations Support'!A1643,Summary!$Q$166:$Q$242),0)</f>
        <v>22641.177718310038</v>
      </c>
      <c r="AG1643" s="196">
        <f t="shared" ca="1" si="361"/>
        <v>303719.54222568998</v>
      </c>
      <c r="AI1643" s="196">
        <f>IFERROR($G1643/SUMIF($A:$A,$A1643,$G:$G)*SUMIF(Summary!$A$247:$A$283,$A1643,Summary!$P$247:$P$283),0)</f>
        <v>4109.6728967850922</v>
      </c>
      <c r="AJ1643" s="196">
        <f>IFERROR($G1643/SUMIF($A:$A,$A1643,$G:$G)*(SUMIF(Summary!$A$247:$A$283,$A1643,Summary!$L$247:$L$283)+SUMIF(Summary!$A$297:$A$333,$A1643,Summary!$L$297:$L$333))-AI1643,0)</f>
        <v>7660.6203552090647</v>
      </c>
      <c r="AK1643" s="196">
        <f>IFERROR($G1643/SUMIF($A:$A,$A1643,$G:$G)*SUMIF(Summary!$A$247:$A$283,$A1643,Summary!$Q$247:$Q$283),0)</f>
        <v>4129.1858115278774</v>
      </c>
      <c r="AL1643" s="196">
        <f>IFERROR($G1643/SUMIF($A:$A,$A1643,$G:$G)*(SUMIF(Summary!$A$247:$A$283,$A1643,Summary!$L$247:$L$283)+SUMIF(Summary!$A$297:$A$333,$A1643,Summary!$L$297:$L$333))-AK1643,0)</f>
        <v>7641.1074404662795</v>
      </c>
      <c r="AM1643" s="198"/>
      <c r="AN1643" s="196">
        <f t="shared" ca="1" si="362"/>
        <v>311487.15591824416</v>
      </c>
      <c r="AO1643" s="196">
        <f t="shared" ca="1" si="363"/>
        <v>311360.64966615627</v>
      </c>
    </row>
    <row r="1644" spans="1:41">
      <c r="A1644" s="189">
        <v>3642</v>
      </c>
      <c r="B1644" s="190">
        <v>4</v>
      </c>
      <c r="C1644" s="191" t="s">
        <v>221</v>
      </c>
      <c r="D1644" s="192">
        <f t="shared" si="350"/>
        <v>198</v>
      </c>
      <c r="E1644" s="192">
        <f t="shared" si="351"/>
        <v>18</v>
      </c>
      <c r="F1644" s="192">
        <f t="shared" si="352"/>
        <v>44</v>
      </c>
      <c r="G1644" s="193">
        <f t="shared" si="353"/>
        <v>172</v>
      </c>
      <c r="H1644" s="194">
        <v>108</v>
      </c>
      <c r="I1644" s="194">
        <v>18</v>
      </c>
      <c r="J1644" s="194">
        <v>44</v>
      </c>
      <c r="K1644" s="193">
        <f t="shared" si="354"/>
        <v>82</v>
      </c>
      <c r="L1644" s="194">
        <v>84</v>
      </c>
      <c r="M1644" s="194">
        <v>0</v>
      </c>
      <c r="N1644" s="194">
        <v>0</v>
      </c>
      <c r="O1644" s="193">
        <f t="shared" si="355"/>
        <v>84</v>
      </c>
      <c r="P1644" s="194">
        <v>6</v>
      </c>
      <c r="Q1644" s="194">
        <v>0</v>
      </c>
      <c r="R1644" s="194">
        <v>0</v>
      </c>
      <c r="S1644" s="193">
        <f t="shared" si="356"/>
        <v>6</v>
      </c>
      <c r="T1644" s="193">
        <f t="shared" si="357"/>
        <v>9.5555555555555554</v>
      </c>
      <c r="U1644" s="193">
        <f ca="1">OFFSET('Expenditure Study'!$B$7,'Operations Support'!$C1644,'Operations Support'!$B1644)*$G1644</f>
        <v>3739.2799999999997</v>
      </c>
      <c r="V1644" s="199">
        <f ca="1">U1644*'Expenditure Study'!$B$31</f>
        <v>220928.55630182399</v>
      </c>
      <c r="W1644" s="199">
        <f ca="1">IF(A1644=10298,1.51,1)*IF($B1644&lt;3,$D1644*'Expenditure Study'!$B$32*OFFSET('Expenditure Study'!$B$7,'Operations Support'!$C1644,'Operations Support'!$B1644),0)</f>
        <v>0</v>
      </c>
      <c r="X1644" s="200">
        <f ca="1">W1644*'Expenditure Study'!$B$31</f>
        <v>0</v>
      </c>
      <c r="Y1644" s="199">
        <f ca="1">U1644*'Expenditure Study'!$B$31</f>
        <v>220928.55630182399</v>
      </c>
      <c r="Z1644" s="200">
        <f ca="1">W1644*'Expenditure Study'!$B$31</f>
        <v>0</v>
      </c>
      <c r="AA1644" s="195">
        <f t="shared" ca="1" si="358"/>
        <v>220928.55630182399</v>
      </c>
      <c r="AB1644" s="195">
        <f t="shared" ca="1" si="359"/>
        <v>220928.55630182399</v>
      </c>
      <c r="AD1644" s="196">
        <f>IFERROR($G1644/SUMIF($A:$A,$A1644,$G:$G)*SUMIF(Summary!$A$166:$A$242,$A1644,Summary!$P$166:$P$242),0)</f>
        <v>10335.679236069225</v>
      </c>
      <c r="AE1644" s="197">
        <f t="shared" ca="1" si="360"/>
        <v>210592.87706575476</v>
      </c>
      <c r="AF1644" s="196">
        <f>IFERROR(G1644/SUMIF(A:A,A1644,G:G)*SUMIF(Summary!$A$166:$A$242,'Operations Support'!A1644,Summary!$Q$166:$Q$242),0)</f>
        <v>10384.75351346487</v>
      </c>
      <c r="AG1644" s="196">
        <f t="shared" ca="1" si="361"/>
        <v>210543.80278835911</v>
      </c>
      <c r="AI1644" s="196">
        <f>IFERROR($G1644/SUMIF($A:$A,$A1644,$G:$G)*SUMIF(Summary!$A$247:$A$283,$A1644,Summary!$P$247:$P$283),0)</f>
        <v>1884.9699686587621</v>
      </c>
      <c r="AJ1644" s="196">
        <f>IFERROR($G1644/SUMIF($A:$A,$A1644,$G:$G)*(SUMIF(Summary!$A$247:$A$283,$A1644,Summary!$L$247:$L$283)+SUMIF(Summary!$A$297:$A$333,$A1644,Summary!$L$297:$L$333))-AI1644,0)</f>
        <v>3513.6712029225582</v>
      </c>
      <c r="AK1644" s="196">
        <f>IFERROR($G1644/SUMIF($A:$A,$A1644,$G:$G)*SUMIF(Summary!$A$247:$A$283,$A1644,Summary!$Q$247:$Q$283),0)</f>
        <v>1893.9198922207866</v>
      </c>
      <c r="AL1644" s="196">
        <f>IFERROR($G1644/SUMIF($A:$A,$A1644,$G:$G)*(SUMIF(Summary!$A$247:$A$283,$A1644,Summary!$L$247:$L$283)+SUMIF(Summary!$A$297:$A$333,$A1644,Summary!$L$297:$L$333))-AK1644,0)</f>
        <v>3504.7212793605336</v>
      </c>
      <c r="AM1644" s="198"/>
      <c r="AN1644" s="196">
        <f t="shared" ca="1" si="362"/>
        <v>214106.54826867732</v>
      </c>
      <c r="AO1644" s="196">
        <f t="shared" ca="1" si="363"/>
        <v>214048.52406771964</v>
      </c>
    </row>
    <row r="1645" spans="1:41">
      <c r="A1645" s="189">
        <v>3642</v>
      </c>
      <c r="B1645" s="190">
        <v>4</v>
      </c>
      <c r="C1645" s="191" t="s">
        <v>222</v>
      </c>
      <c r="D1645" s="192">
        <f t="shared" si="350"/>
        <v>0</v>
      </c>
      <c r="E1645" s="192">
        <f t="shared" si="351"/>
        <v>0</v>
      </c>
      <c r="F1645" s="192">
        <f t="shared" si="352"/>
        <v>0</v>
      </c>
      <c r="G1645" s="193">
        <f t="shared" si="353"/>
        <v>0</v>
      </c>
      <c r="H1645" s="194">
        <v>0</v>
      </c>
      <c r="I1645" s="194">
        <v>0</v>
      </c>
      <c r="J1645" s="194">
        <v>0</v>
      </c>
      <c r="K1645" s="193">
        <f t="shared" si="354"/>
        <v>0</v>
      </c>
      <c r="L1645" s="194">
        <v>0</v>
      </c>
      <c r="M1645" s="194">
        <v>0</v>
      </c>
      <c r="N1645" s="194">
        <v>0</v>
      </c>
      <c r="O1645" s="193">
        <f t="shared" si="355"/>
        <v>0</v>
      </c>
      <c r="P1645" s="194">
        <v>0</v>
      </c>
      <c r="Q1645" s="194">
        <v>0</v>
      </c>
      <c r="R1645" s="194">
        <v>0</v>
      </c>
      <c r="S1645" s="193">
        <f t="shared" si="356"/>
        <v>0</v>
      </c>
      <c r="T1645" s="193">
        <f t="shared" si="357"/>
        <v>0</v>
      </c>
      <c r="U1645" s="193">
        <f ca="1">OFFSET('Expenditure Study'!$B$7,'Operations Support'!$C1645,'Operations Support'!$B1645)*$G1645</f>
        <v>0</v>
      </c>
      <c r="V1645" s="199">
        <f ca="1">U1645*'Expenditure Study'!$B$31</f>
        <v>0</v>
      </c>
      <c r="W1645" s="199">
        <f ca="1">IF(A1645=10298,1.51,1)*IF($B1645&lt;3,$D1645*'Expenditure Study'!$B$32*OFFSET('Expenditure Study'!$B$7,'Operations Support'!$C1645,'Operations Support'!$B1645),0)</f>
        <v>0</v>
      </c>
      <c r="X1645" s="200">
        <f ca="1">W1645*'Expenditure Study'!$B$31</f>
        <v>0</v>
      </c>
      <c r="Y1645" s="199">
        <f ca="1">U1645*'Expenditure Study'!$B$31</f>
        <v>0</v>
      </c>
      <c r="Z1645" s="200">
        <f ca="1">W1645*'Expenditure Study'!$B$31</f>
        <v>0</v>
      </c>
      <c r="AA1645" s="195">
        <f t="shared" ca="1" si="358"/>
        <v>0</v>
      </c>
      <c r="AB1645" s="195">
        <f t="shared" ca="1" si="359"/>
        <v>0</v>
      </c>
      <c r="AD1645" s="196">
        <f>IFERROR($G1645/SUMIF($A:$A,$A1645,$G:$G)*SUMIF(Summary!$A$166:$A$242,$A1645,Summary!$P$166:$P$242),0)</f>
        <v>0</v>
      </c>
      <c r="AE1645" s="197">
        <f t="shared" ca="1" si="360"/>
        <v>0</v>
      </c>
      <c r="AF1645" s="196">
        <f>IFERROR(G1645/SUMIF(A:A,A1645,G:G)*SUMIF(Summary!$A$166:$A$242,'Operations Support'!A1645,Summary!$Q$166:$Q$242),0)</f>
        <v>0</v>
      </c>
      <c r="AG1645" s="196">
        <f t="shared" ca="1" si="361"/>
        <v>0</v>
      </c>
      <c r="AI1645" s="196">
        <f>IFERROR($G1645/SUMIF($A:$A,$A1645,$G:$G)*SUMIF(Summary!$A$247:$A$283,$A1645,Summary!$P$247:$P$283),0)</f>
        <v>0</v>
      </c>
      <c r="AJ1645" s="196">
        <f>IFERROR($G1645/SUMIF($A:$A,$A1645,$G:$G)*(SUMIF(Summary!$A$247:$A$283,$A1645,Summary!$L$247:$L$283)+SUMIF(Summary!$A$297:$A$333,$A1645,Summary!$L$297:$L$333))-AI1645,0)</f>
        <v>0</v>
      </c>
      <c r="AK1645" s="196">
        <f>IFERROR($G1645/SUMIF($A:$A,$A1645,$G:$G)*SUMIF(Summary!$A$247:$A$283,$A1645,Summary!$Q$247:$Q$283),0)</f>
        <v>0</v>
      </c>
      <c r="AL1645" s="196">
        <f>IFERROR($G1645/SUMIF($A:$A,$A1645,$G:$G)*(SUMIF(Summary!$A$247:$A$283,$A1645,Summary!$L$247:$L$283)+SUMIF(Summary!$A$297:$A$333,$A1645,Summary!$L$297:$L$333))-AK1645,0)</f>
        <v>0</v>
      </c>
      <c r="AM1645" s="198"/>
      <c r="AN1645" s="196">
        <f t="shared" ca="1" si="362"/>
        <v>0</v>
      </c>
      <c r="AO1645" s="196">
        <f t="shared" ca="1" si="363"/>
        <v>0</v>
      </c>
    </row>
    <row r="1646" spans="1:41" s="201" customFormat="1">
      <c r="A1646" s="189">
        <v>3642</v>
      </c>
      <c r="B1646" s="190">
        <v>4</v>
      </c>
      <c r="C1646" s="191" t="s">
        <v>223</v>
      </c>
      <c r="D1646" s="192">
        <f t="shared" si="350"/>
        <v>873</v>
      </c>
      <c r="E1646" s="192">
        <f t="shared" si="351"/>
        <v>285</v>
      </c>
      <c r="F1646" s="192">
        <f t="shared" si="352"/>
        <v>9</v>
      </c>
      <c r="G1646" s="193">
        <f t="shared" si="353"/>
        <v>1149</v>
      </c>
      <c r="H1646" s="194">
        <v>321</v>
      </c>
      <c r="I1646" s="194">
        <v>189</v>
      </c>
      <c r="J1646" s="194">
        <v>3</v>
      </c>
      <c r="K1646" s="193">
        <f t="shared" si="354"/>
        <v>507</v>
      </c>
      <c r="L1646" s="194">
        <v>465</v>
      </c>
      <c r="M1646" s="194">
        <v>96</v>
      </c>
      <c r="N1646" s="194">
        <v>6</v>
      </c>
      <c r="O1646" s="193">
        <f t="shared" si="355"/>
        <v>555</v>
      </c>
      <c r="P1646" s="194">
        <v>87</v>
      </c>
      <c r="Q1646" s="194">
        <v>0</v>
      </c>
      <c r="R1646" s="194">
        <v>0</v>
      </c>
      <c r="S1646" s="193">
        <f t="shared" si="356"/>
        <v>87</v>
      </c>
      <c r="T1646" s="193">
        <f t="shared" si="357"/>
        <v>63.833333333333336</v>
      </c>
      <c r="U1646" s="193">
        <f ca="1">OFFSET('Expenditure Study'!$B$7,'Operations Support'!$C1646,'Operations Support'!$B1646)*$G1646</f>
        <v>8985.18</v>
      </c>
      <c r="V1646" s="199">
        <f ca="1">U1646*'Expenditure Study'!$B$31</f>
        <v>530873.01446054399</v>
      </c>
      <c r="W1646" s="199">
        <f ca="1">IF(A1646=10298,1.51,1)*IF($B1646&lt;3,$D1646*'Expenditure Study'!$B$32*OFFSET('Expenditure Study'!$B$7,'Operations Support'!$C1646,'Operations Support'!$B1646),0)</f>
        <v>0</v>
      </c>
      <c r="X1646" s="200">
        <f ca="1">W1646*'Expenditure Study'!$B$31</f>
        <v>0</v>
      </c>
      <c r="Y1646" s="199">
        <f ca="1">U1646*'Expenditure Study'!$B$31</f>
        <v>530873.01446054399</v>
      </c>
      <c r="Z1646" s="200">
        <f ca="1">W1646*'Expenditure Study'!$B$31</f>
        <v>0</v>
      </c>
      <c r="AA1646" s="195">
        <f t="shared" ca="1" si="358"/>
        <v>530873.01446054399</v>
      </c>
      <c r="AB1646" s="195">
        <f t="shared" ca="1" si="359"/>
        <v>530873.01446054399</v>
      </c>
      <c r="AD1646" s="196">
        <f>IFERROR($G1646/SUMIF($A:$A,$A1646,$G:$G)*SUMIF(Summary!$A$166:$A$242,$A1646,Summary!$P$166:$P$242),0)</f>
        <v>69044.740943276396</v>
      </c>
      <c r="AE1646" s="197">
        <f t="shared" ca="1" si="360"/>
        <v>461828.2735172676</v>
      </c>
      <c r="AF1646" s="196">
        <f>IFERROR(G1646/SUMIF(A:A,A1646,G:G)*SUMIF(Summary!$A$166:$A$242,'Operations Support'!A1646,Summary!$Q$166:$Q$242),0)</f>
        <v>69372.56852890196</v>
      </c>
      <c r="AG1646" s="196">
        <f t="shared" ca="1" si="361"/>
        <v>461500.44593164203</v>
      </c>
      <c r="AH1646" s="180"/>
      <c r="AI1646" s="196">
        <f>IFERROR($G1646/SUMIF($A:$A,$A1646,$G:$G)*SUMIF(Summary!$A$247:$A$283,$A1646,Summary!$P$247:$P$283),0)</f>
        <v>12592.037755749523</v>
      </c>
      <c r="AJ1646" s="196">
        <f>IFERROR($G1646/SUMIF($A:$A,$A1646,$G:$G)*(SUMIF(Summary!$A$247:$A$283,$A1646,Summary!$L$247:$L$283)+SUMIF(Summary!$A$297:$A$333,$A1646,Summary!$L$297:$L$333))-AI1646,0)</f>
        <v>23472.140768360572</v>
      </c>
      <c r="AK1646" s="196">
        <f>IFERROR($G1646/SUMIF($A:$A,$A1646,$G:$G)*SUMIF(Summary!$A$247:$A$283,$A1646,Summary!$Q$247:$Q$283),0)</f>
        <v>12651.825326521417</v>
      </c>
      <c r="AL1646" s="196">
        <f>IFERROR($G1646/SUMIF($A:$A,$A1646,$G:$G)*(SUMIF(Summary!$A$247:$A$283,$A1646,Summary!$L$247:$L$283)+SUMIF(Summary!$A$297:$A$333,$A1646,Summary!$L$297:$L$333))-AK1646,0)</f>
        <v>23412.35319758868</v>
      </c>
      <c r="AM1646" s="198"/>
      <c r="AN1646" s="196">
        <f t="shared" ca="1" si="362"/>
        <v>485300.41428562818</v>
      </c>
      <c r="AO1646" s="196">
        <f t="shared" ca="1" si="363"/>
        <v>484912.79912923073</v>
      </c>
    </row>
    <row r="1647" spans="1:41">
      <c r="A1647" s="189">
        <v>3642</v>
      </c>
      <c r="B1647" s="190">
        <v>4</v>
      </c>
      <c r="C1647" s="191" t="s">
        <v>224</v>
      </c>
      <c r="D1647" s="192">
        <f t="shared" si="350"/>
        <v>0</v>
      </c>
      <c r="E1647" s="192">
        <f t="shared" si="351"/>
        <v>0</v>
      </c>
      <c r="F1647" s="192">
        <f t="shared" si="352"/>
        <v>0</v>
      </c>
      <c r="G1647" s="193">
        <f t="shared" si="353"/>
        <v>0</v>
      </c>
      <c r="H1647" s="194">
        <v>0</v>
      </c>
      <c r="I1647" s="194">
        <v>0</v>
      </c>
      <c r="J1647" s="194">
        <v>0</v>
      </c>
      <c r="K1647" s="193">
        <f t="shared" si="354"/>
        <v>0</v>
      </c>
      <c r="L1647" s="194">
        <v>0</v>
      </c>
      <c r="M1647" s="194">
        <v>0</v>
      </c>
      <c r="N1647" s="194">
        <v>0</v>
      </c>
      <c r="O1647" s="193">
        <f t="shared" si="355"/>
        <v>0</v>
      </c>
      <c r="P1647" s="194">
        <v>0</v>
      </c>
      <c r="Q1647" s="194">
        <v>0</v>
      </c>
      <c r="R1647" s="194">
        <v>0</v>
      </c>
      <c r="S1647" s="193">
        <f t="shared" si="356"/>
        <v>0</v>
      </c>
      <c r="T1647" s="193">
        <f t="shared" si="357"/>
        <v>0</v>
      </c>
      <c r="U1647" s="193">
        <f ca="1">OFFSET('Expenditure Study'!$B$7,'Operations Support'!$C1647,'Operations Support'!$B1647)*$G1647</f>
        <v>0</v>
      </c>
      <c r="V1647" s="199">
        <f ca="1">U1647*'Expenditure Study'!$B$31</f>
        <v>0</v>
      </c>
      <c r="W1647" s="199">
        <f ca="1">IF(A1647=10298,1.51,1)*IF($B1647&lt;3,$D1647*'Expenditure Study'!$B$32*OFFSET('Expenditure Study'!$B$7,'Operations Support'!$C1647,'Operations Support'!$B1647),0)</f>
        <v>0</v>
      </c>
      <c r="X1647" s="200">
        <f ca="1">W1647*'Expenditure Study'!$B$31</f>
        <v>0</v>
      </c>
      <c r="Y1647" s="199">
        <f ca="1">U1647*'Expenditure Study'!$B$31</f>
        <v>0</v>
      </c>
      <c r="Z1647" s="200">
        <f ca="1">W1647*'Expenditure Study'!$B$31</f>
        <v>0</v>
      </c>
      <c r="AA1647" s="195">
        <f t="shared" ca="1" si="358"/>
        <v>0</v>
      </c>
      <c r="AB1647" s="195">
        <f t="shared" ca="1" si="359"/>
        <v>0</v>
      </c>
      <c r="AD1647" s="196">
        <f>IFERROR($G1647/SUMIF($A:$A,$A1647,$G:$G)*SUMIF(Summary!$A$166:$A$242,$A1647,Summary!$P$166:$P$242),0)</f>
        <v>0</v>
      </c>
      <c r="AE1647" s="197">
        <f t="shared" ca="1" si="360"/>
        <v>0</v>
      </c>
      <c r="AF1647" s="196">
        <f>IFERROR(G1647/SUMIF(A:A,A1647,G:G)*SUMIF(Summary!$A$166:$A$242,'Operations Support'!A1647,Summary!$Q$166:$Q$242),0)</f>
        <v>0</v>
      </c>
      <c r="AG1647" s="196">
        <f t="shared" ca="1" si="361"/>
        <v>0</v>
      </c>
      <c r="AI1647" s="196">
        <f>IFERROR($G1647/SUMIF($A:$A,$A1647,$G:$G)*SUMIF(Summary!$A$247:$A$283,$A1647,Summary!$P$247:$P$283),0)</f>
        <v>0</v>
      </c>
      <c r="AJ1647" s="196">
        <f>IFERROR($G1647/SUMIF($A:$A,$A1647,$G:$G)*(SUMIF(Summary!$A$247:$A$283,$A1647,Summary!$L$247:$L$283)+SUMIF(Summary!$A$297:$A$333,$A1647,Summary!$L$297:$L$333))-AI1647,0)</f>
        <v>0</v>
      </c>
      <c r="AK1647" s="196">
        <f>IFERROR($G1647/SUMIF($A:$A,$A1647,$G:$G)*SUMIF(Summary!$A$247:$A$283,$A1647,Summary!$Q$247:$Q$283),0)</f>
        <v>0</v>
      </c>
      <c r="AL1647" s="196">
        <f>IFERROR($G1647/SUMIF($A:$A,$A1647,$G:$G)*(SUMIF(Summary!$A$247:$A$283,$A1647,Summary!$L$247:$L$283)+SUMIF(Summary!$A$297:$A$333,$A1647,Summary!$L$297:$L$333))-AK1647,0)</f>
        <v>0</v>
      </c>
      <c r="AM1647" s="198"/>
      <c r="AN1647" s="196">
        <f t="shared" ca="1" si="362"/>
        <v>0</v>
      </c>
      <c r="AO1647" s="196">
        <f t="shared" ca="1" si="363"/>
        <v>0</v>
      </c>
    </row>
    <row r="1648" spans="1:41">
      <c r="A1648" s="189">
        <v>3642</v>
      </c>
      <c r="B1648" s="190">
        <v>4</v>
      </c>
      <c r="C1648" s="191" t="s">
        <v>225</v>
      </c>
      <c r="D1648" s="192">
        <f t="shared" si="350"/>
        <v>246</v>
      </c>
      <c r="E1648" s="192">
        <f t="shared" si="351"/>
        <v>21</v>
      </c>
      <c r="F1648" s="192">
        <f t="shared" si="352"/>
        <v>0</v>
      </c>
      <c r="G1648" s="193">
        <f t="shared" si="353"/>
        <v>267</v>
      </c>
      <c r="H1648" s="194">
        <v>123</v>
      </c>
      <c r="I1648" s="194">
        <v>0</v>
      </c>
      <c r="J1648" s="194">
        <v>0</v>
      </c>
      <c r="K1648" s="193">
        <f t="shared" si="354"/>
        <v>123</v>
      </c>
      <c r="L1648" s="194">
        <v>120</v>
      </c>
      <c r="M1648" s="194">
        <v>18</v>
      </c>
      <c r="N1648" s="194">
        <v>0</v>
      </c>
      <c r="O1648" s="193">
        <f t="shared" si="355"/>
        <v>138</v>
      </c>
      <c r="P1648" s="194">
        <v>3</v>
      </c>
      <c r="Q1648" s="194">
        <v>3</v>
      </c>
      <c r="R1648" s="194">
        <v>0</v>
      </c>
      <c r="S1648" s="193">
        <f t="shared" si="356"/>
        <v>6</v>
      </c>
      <c r="T1648" s="193">
        <f t="shared" si="357"/>
        <v>14.833333333333334</v>
      </c>
      <c r="U1648" s="193">
        <f ca="1">OFFSET('Expenditure Study'!$B$7,'Operations Support'!$C1648,'Operations Support'!$B1648)*$G1648</f>
        <v>5016.9299999999994</v>
      </c>
      <c r="V1648" s="199">
        <f ca="1">U1648*'Expenditure Study'!$B$31</f>
        <v>296416.18225094397</v>
      </c>
      <c r="W1648" s="199">
        <f ca="1">IF(A1648=10298,1.51,1)*IF($B1648&lt;3,$D1648*'Expenditure Study'!$B$32*OFFSET('Expenditure Study'!$B$7,'Operations Support'!$C1648,'Operations Support'!$B1648),0)</f>
        <v>0</v>
      </c>
      <c r="X1648" s="200">
        <f ca="1">W1648*'Expenditure Study'!$B$31</f>
        <v>0</v>
      </c>
      <c r="Y1648" s="199">
        <f ca="1">U1648*'Expenditure Study'!$B$31</f>
        <v>296416.18225094397</v>
      </c>
      <c r="Z1648" s="200">
        <f ca="1">W1648*'Expenditure Study'!$B$31</f>
        <v>0</v>
      </c>
      <c r="AA1648" s="195">
        <f t="shared" ca="1" si="358"/>
        <v>296416.18225094397</v>
      </c>
      <c r="AB1648" s="195">
        <f t="shared" ca="1" si="359"/>
        <v>296416.18225094397</v>
      </c>
      <c r="AD1648" s="196">
        <f>IFERROR($G1648/SUMIF($A:$A,$A1648,$G:$G)*SUMIF(Summary!$A$166:$A$242,$A1648,Summary!$P$166:$P$242),0)</f>
        <v>16044.339279246997</v>
      </c>
      <c r="AE1648" s="197">
        <f t="shared" ca="1" si="360"/>
        <v>280371.84297169698</v>
      </c>
      <c r="AF1648" s="196">
        <f>IFERROR(G1648/SUMIF(A:A,A1648,G:G)*SUMIF(Summary!$A$166:$A$242,'Operations Support'!A1648,Summary!$Q$166:$Q$242),0)</f>
        <v>16120.518535436748</v>
      </c>
      <c r="AG1648" s="196">
        <f t="shared" ca="1" si="361"/>
        <v>280295.66371550719</v>
      </c>
      <c r="AI1648" s="196">
        <f>IFERROR($G1648/SUMIF($A:$A,$A1648,$G:$G)*SUMIF(Summary!$A$247:$A$283,$A1648,Summary!$P$247:$P$283),0)</f>
        <v>2926.0871025109859</v>
      </c>
      <c r="AJ1648" s="196">
        <f>IFERROR($G1648/SUMIF($A:$A,$A1648,$G:$G)*(SUMIF(Summary!$A$247:$A$283,$A1648,Summary!$L$247:$L$283)+SUMIF(Summary!$A$297:$A$333,$A1648,Summary!$L$297:$L$333))-AI1648,0)</f>
        <v>5454.3616929088548</v>
      </c>
      <c r="AK1648" s="196">
        <f>IFERROR($G1648/SUMIF($A:$A,$A1648,$G:$G)*SUMIF(Summary!$A$247:$A$283,$A1648,Summary!$Q$247:$Q$283),0)</f>
        <v>2939.9802978078492</v>
      </c>
      <c r="AL1648" s="196">
        <f>IFERROR($G1648/SUMIF($A:$A,$A1648,$G:$G)*(SUMIF(Summary!$A$247:$A$283,$A1648,Summary!$L$247:$L$283)+SUMIF(Summary!$A$297:$A$333,$A1648,Summary!$L$297:$L$333))-AK1648,0)</f>
        <v>5440.4684976119916</v>
      </c>
      <c r="AM1648" s="198"/>
      <c r="AN1648" s="196">
        <f t="shared" ca="1" si="362"/>
        <v>285826.20466460584</v>
      </c>
      <c r="AO1648" s="196">
        <f t="shared" ca="1" si="363"/>
        <v>285736.13221311918</v>
      </c>
    </row>
    <row r="1649" spans="1:41">
      <c r="A1649" s="189">
        <v>3642</v>
      </c>
      <c r="B1649" s="190">
        <v>4</v>
      </c>
      <c r="C1649" s="191" t="s">
        <v>226</v>
      </c>
      <c r="D1649" s="192">
        <f t="shared" si="350"/>
        <v>0</v>
      </c>
      <c r="E1649" s="192">
        <f t="shared" si="351"/>
        <v>0</v>
      </c>
      <c r="F1649" s="192">
        <f t="shared" si="352"/>
        <v>0</v>
      </c>
      <c r="G1649" s="193">
        <f t="shared" si="353"/>
        <v>0</v>
      </c>
      <c r="H1649" s="194">
        <v>0</v>
      </c>
      <c r="I1649" s="194">
        <v>0</v>
      </c>
      <c r="J1649" s="194">
        <v>0</v>
      </c>
      <c r="K1649" s="193">
        <f t="shared" si="354"/>
        <v>0</v>
      </c>
      <c r="L1649" s="194">
        <v>0</v>
      </c>
      <c r="M1649" s="194">
        <v>0</v>
      </c>
      <c r="N1649" s="194">
        <v>0</v>
      </c>
      <c r="O1649" s="193">
        <f t="shared" si="355"/>
        <v>0</v>
      </c>
      <c r="P1649" s="194">
        <v>0</v>
      </c>
      <c r="Q1649" s="194">
        <v>0</v>
      </c>
      <c r="R1649" s="194">
        <v>0</v>
      </c>
      <c r="S1649" s="193">
        <f t="shared" si="356"/>
        <v>0</v>
      </c>
      <c r="T1649" s="193">
        <f t="shared" si="357"/>
        <v>0</v>
      </c>
      <c r="U1649" s="193">
        <f ca="1">OFFSET('Expenditure Study'!$B$7,'Operations Support'!$C1649,'Operations Support'!$B1649)*$G1649</f>
        <v>0</v>
      </c>
      <c r="V1649" s="199">
        <f ca="1">U1649*'Expenditure Study'!$B$31</f>
        <v>0</v>
      </c>
      <c r="W1649" s="199">
        <f ca="1">IF(A1649=10298,1.51,1)*IF($B1649&lt;3,$D1649*'Expenditure Study'!$B$32*OFFSET('Expenditure Study'!$B$7,'Operations Support'!$C1649,'Operations Support'!$B1649),0)</f>
        <v>0</v>
      </c>
      <c r="X1649" s="200">
        <f ca="1">W1649*'Expenditure Study'!$B$31</f>
        <v>0</v>
      </c>
      <c r="Y1649" s="199">
        <f ca="1">U1649*'Expenditure Study'!$B$31</f>
        <v>0</v>
      </c>
      <c r="Z1649" s="200">
        <f ca="1">W1649*'Expenditure Study'!$B$31</f>
        <v>0</v>
      </c>
      <c r="AA1649" s="195">
        <f t="shared" ca="1" si="358"/>
        <v>0</v>
      </c>
      <c r="AB1649" s="195">
        <f t="shared" ca="1" si="359"/>
        <v>0</v>
      </c>
      <c r="AD1649" s="196">
        <f>IFERROR($G1649/SUMIF($A:$A,$A1649,$G:$G)*SUMIF(Summary!$A$166:$A$242,$A1649,Summary!$P$166:$P$242),0)</f>
        <v>0</v>
      </c>
      <c r="AE1649" s="197">
        <f t="shared" ca="1" si="360"/>
        <v>0</v>
      </c>
      <c r="AF1649" s="196">
        <f>IFERROR(G1649/SUMIF(A:A,A1649,G:G)*SUMIF(Summary!$A$166:$A$242,'Operations Support'!A1649,Summary!$Q$166:$Q$242),0)</f>
        <v>0</v>
      </c>
      <c r="AG1649" s="196">
        <f t="shared" ca="1" si="361"/>
        <v>0</v>
      </c>
      <c r="AI1649" s="196">
        <f>IFERROR($G1649/SUMIF($A:$A,$A1649,$G:$G)*SUMIF(Summary!$A$247:$A$283,$A1649,Summary!$P$247:$P$283),0)</f>
        <v>0</v>
      </c>
      <c r="AJ1649" s="196">
        <f>IFERROR($G1649/SUMIF($A:$A,$A1649,$G:$G)*(SUMIF(Summary!$A$247:$A$283,$A1649,Summary!$L$247:$L$283)+SUMIF(Summary!$A$297:$A$333,$A1649,Summary!$L$297:$L$333))-AI1649,0)</f>
        <v>0</v>
      </c>
      <c r="AK1649" s="196">
        <f>IFERROR($G1649/SUMIF($A:$A,$A1649,$G:$G)*SUMIF(Summary!$A$247:$A$283,$A1649,Summary!$Q$247:$Q$283),0)</f>
        <v>0</v>
      </c>
      <c r="AL1649" s="196">
        <f>IFERROR($G1649/SUMIF($A:$A,$A1649,$G:$G)*(SUMIF(Summary!$A$247:$A$283,$A1649,Summary!$L$247:$L$283)+SUMIF(Summary!$A$297:$A$333,$A1649,Summary!$L$297:$L$333))-AK1649,0)</f>
        <v>0</v>
      </c>
      <c r="AM1649" s="198"/>
      <c r="AN1649" s="196">
        <f t="shared" ca="1" si="362"/>
        <v>0</v>
      </c>
      <c r="AO1649" s="196">
        <f t="shared" ca="1" si="363"/>
        <v>0</v>
      </c>
    </row>
    <row r="1650" spans="1:41">
      <c r="A1650" s="189">
        <v>3642</v>
      </c>
      <c r="B1650" s="190">
        <v>4</v>
      </c>
      <c r="C1650" s="191" t="s">
        <v>227</v>
      </c>
      <c r="D1650" s="192">
        <f t="shared" si="350"/>
        <v>0</v>
      </c>
      <c r="E1650" s="192">
        <f t="shared" si="351"/>
        <v>0</v>
      </c>
      <c r="F1650" s="192">
        <f t="shared" si="352"/>
        <v>0</v>
      </c>
      <c r="G1650" s="193">
        <f t="shared" si="353"/>
        <v>0</v>
      </c>
      <c r="H1650" s="194">
        <v>0</v>
      </c>
      <c r="I1650" s="194">
        <v>0</v>
      </c>
      <c r="J1650" s="194">
        <v>0</v>
      </c>
      <c r="K1650" s="193">
        <f t="shared" si="354"/>
        <v>0</v>
      </c>
      <c r="L1650" s="194">
        <v>0</v>
      </c>
      <c r="M1650" s="194">
        <v>0</v>
      </c>
      <c r="N1650" s="194">
        <v>0</v>
      </c>
      <c r="O1650" s="193">
        <f t="shared" si="355"/>
        <v>0</v>
      </c>
      <c r="P1650" s="194">
        <v>0</v>
      </c>
      <c r="Q1650" s="194">
        <v>0</v>
      </c>
      <c r="R1650" s="194">
        <v>0</v>
      </c>
      <c r="S1650" s="193">
        <f t="shared" si="356"/>
        <v>0</v>
      </c>
      <c r="T1650" s="193">
        <f t="shared" si="357"/>
        <v>0</v>
      </c>
      <c r="U1650" s="193">
        <f ca="1">OFFSET('Expenditure Study'!$B$7,'Operations Support'!$C1650,'Operations Support'!$B1650)*$G1650</f>
        <v>0</v>
      </c>
      <c r="V1650" s="199">
        <f ca="1">U1650*'Expenditure Study'!$B$31</f>
        <v>0</v>
      </c>
      <c r="W1650" s="199">
        <f ca="1">IF(A1650=10298,1.51,1)*IF($B1650&lt;3,$D1650*'Expenditure Study'!$B$32*OFFSET('Expenditure Study'!$B$7,'Operations Support'!$C1650,'Operations Support'!$B1650),0)</f>
        <v>0</v>
      </c>
      <c r="X1650" s="200">
        <f ca="1">W1650*'Expenditure Study'!$B$31</f>
        <v>0</v>
      </c>
      <c r="Y1650" s="199">
        <f ca="1">U1650*'Expenditure Study'!$B$31</f>
        <v>0</v>
      </c>
      <c r="Z1650" s="200">
        <f ca="1">W1650*'Expenditure Study'!$B$31</f>
        <v>0</v>
      </c>
      <c r="AA1650" s="195">
        <f t="shared" ca="1" si="358"/>
        <v>0</v>
      </c>
      <c r="AB1650" s="195">
        <f t="shared" ca="1" si="359"/>
        <v>0</v>
      </c>
      <c r="AD1650" s="196">
        <f>IFERROR($G1650/SUMIF($A:$A,$A1650,$G:$G)*SUMIF(Summary!$A$166:$A$242,$A1650,Summary!$P$166:$P$242),0)</f>
        <v>0</v>
      </c>
      <c r="AE1650" s="197">
        <f t="shared" ca="1" si="360"/>
        <v>0</v>
      </c>
      <c r="AF1650" s="196">
        <f>IFERROR(G1650/SUMIF(A:A,A1650,G:G)*SUMIF(Summary!$A$166:$A$242,'Operations Support'!A1650,Summary!$Q$166:$Q$242),0)</f>
        <v>0</v>
      </c>
      <c r="AG1650" s="196">
        <f t="shared" ca="1" si="361"/>
        <v>0</v>
      </c>
      <c r="AI1650" s="196">
        <f>IFERROR($G1650/SUMIF($A:$A,$A1650,$G:$G)*SUMIF(Summary!$A$247:$A$283,$A1650,Summary!$P$247:$P$283),0)</f>
        <v>0</v>
      </c>
      <c r="AJ1650" s="196">
        <f>IFERROR($G1650/SUMIF($A:$A,$A1650,$G:$G)*(SUMIF(Summary!$A$247:$A$283,$A1650,Summary!$L$247:$L$283)+SUMIF(Summary!$A$297:$A$333,$A1650,Summary!$L$297:$L$333))-AI1650,0)</f>
        <v>0</v>
      </c>
      <c r="AK1650" s="196">
        <f>IFERROR($G1650/SUMIF($A:$A,$A1650,$G:$G)*SUMIF(Summary!$A$247:$A$283,$A1650,Summary!$Q$247:$Q$283),0)</f>
        <v>0</v>
      </c>
      <c r="AL1650" s="196">
        <f>IFERROR($G1650/SUMIF($A:$A,$A1650,$G:$G)*(SUMIF(Summary!$A$247:$A$283,$A1650,Summary!$L$247:$L$283)+SUMIF(Summary!$A$297:$A$333,$A1650,Summary!$L$297:$L$333))-AK1650,0)</f>
        <v>0</v>
      </c>
      <c r="AM1650" s="198"/>
      <c r="AN1650" s="196">
        <f t="shared" ca="1" si="362"/>
        <v>0</v>
      </c>
      <c r="AO1650" s="196">
        <f t="shared" ca="1" si="363"/>
        <v>0</v>
      </c>
    </row>
    <row r="1651" spans="1:41">
      <c r="A1651" s="189">
        <v>3642</v>
      </c>
      <c r="B1651" s="190">
        <v>4</v>
      </c>
      <c r="C1651" s="191" t="s">
        <v>228</v>
      </c>
      <c r="D1651" s="192">
        <f t="shared" si="350"/>
        <v>0</v>
      </c>
      <c r="E1651" s="192">
        <f t="shared" si="351"/>
        <v>0</v>
      </c>
      <c r="F1651" s="192">
        <f t="shared" si="352"/>
        <v>0</v>
      </c>
      <c r="G1651" s="193">
        <f t="shared" si="353"/>
        <v>0</v>
      </c>
      <c r="H1651" s="194">
        <v>0</v>
      </c>
      <c r="I1651" s="194">
        <v>0</v>
      </c>
      <c r="J1651" s="194">
        <v>0</v>
      </c>
      <c r="K1651" s="193">
        <f t="shared" si="354"/>
        <v>0</v>
      </c>
      <c r="L1651" s="194">
        <v>0</v>
      </c>
      <c r="M1651" s="194">
        <v>0</v>
      </c>
      <c r="N1651" s="194">
        <v>0</v>
      </c>
      <c r="O1651" s="193">
        <f t="shared" si="355"/>
        <v>0</v>
      </c>
      <c r="P1651" s="194">
        <v>0</v>
      </c>
      <c r="Q1651" s="194">
        <v>0</v>
      </c>
      <c r="R1651" s="194">
        <v>0</v>
      </c>
      <c r="S1651" s="193">
        <f t="shared" si="356"/>
        <v>0</v>
      </c>
      <c r="T1651" s="193">
        <f t="shared" si="357"/>
        <v>0</v>
      </c>
      <c r="U1651" s="193">
        <f ca="1">OFFSET('Expenditure Study'!$B$7,'Operations Support'!$C1651,'Operations Support'!$B1651)*$G1651</f>
        <v>0</v>
      </c>
      <c r="V1651" s="199">
        <f ca="1">U1651*'Expenditure Study'!$B$31</f>
        <v>0</v>
      </c>
      <c r="W1651" s="199">
        <f ca="1">IF(A1651=10298,1.51,1)*IF($B1651&lt;3,$D1651*'Expenditure Study'!$B$32*OFFSET('Expenditure Study'!$B$7,'Operations Support'!$C1651,'Operations Support'!$B1651),0)</f>
        <v>0</v>
      </c>
      <c r="X1651" s="200">
        <f ca="1">W1651*'Expenditure Study'!$B$31</f>
        <v>0</v>
      </c>
      <c r="Y1651" s="199">
        <f ca="1">U1651*'Expenditure Study'!$B$31</f>
        <v>0</v>
      </c>
      <c r="Z1651" s="200">
        <f ca="1">W1651*'Expenditure Study'!$B$31</f>
        <v>0</v>
      </c>
      <c r="AA1651" s="195">
        <f t="shared" ca="1" si="358"/>
        <v>0</v>
      </c>
      <c r="AB1651" s="195">
        <f t="shared" ca="1" si="359"/>
        <v>0</v>
      </c>
      <c r="AD1651" s="196">
        <f>IFERROR($G1651/SUMIF($A:$A,$A1651,$G:$G)*SUMIF(Summary!$A$166:$A$242,$A1651,Summary!$P$166:$P$242),0)</f>
        <v>0</v>
      </c>
      <c r="AE1651" s="197">
        <f t="shared" ca="1" si="360"/>
        <v>0</v>
      </c>
      <c r="AF1651" s="196">
        <f>IFERROR(G1651/SUMIF(A:A,A1651,G:G)*SUMIF(Summary!$A$166:$A$242,'Operations Support'!A1651,Summary!$Q$166:$Q$242),0)</f>
        <v>0</v>
      </c>
      <c r="AG1651" s="196">
        <f t="shared" ca="1" si="361"/>
        <v>0</v>
      </c>
      <c r="AI1651" s="196">
        <f>IFERROR($G1651/SUMIF($A:$A,$A1651,$G:$G)*SUMIF(Summary!$A$247:$A$283,$A1651,Summary!$P$247:$P$283),0)</f>
        <v>0</v>
      </c>
      <c r="AJ1651" s="196">
        <f>IFERROR($G1651/SUMIF($A:$A,$A1651,$G:$G)*(SUMIF(Summary!$A$247:$A$283,$A1651,Summary!$L$247:$L$283)+SUMIF(Summary!$A$297:$A$333,$A1651,Summary!$L$297:$L$333))-AI1651,0)</f>
        <v>0</v>
      </c>
      <c r="AK1651" s="196">
        <f>IFERROR($G1651/SUMIF($A:$A,$A1651,$G:$G)*SUMIF(Summary!$A$247:$A$283,$A1651,Summary!$Q$247:$Q$283),0)</f>
        <v>0</v>
      </c>
      <c r="AL1651" s="196">
        <f>IFERROR($G1651/SUMIF($A:$A,$A1651,$G:$G)*(SUMIF(Summary!$A$247:$A$283,$A1651,Summary!$L$247:$L$283)+SUMIF(Summary!$A$297:$A$333,$A1651,Summary!$L$297:$L$333))-AK1651,0)</f>
        <v>0</v>
      </c>
      <c r="AM1651" s="198"/>
      <c r="AN1651" s="196">
        <f t="shared" ca="1" si="362"/>
        <v>0</v>
      </c>
      <c r="AO1651" s="196">
        <f t="shared" ca="1" si="363"/>
        <v>0</v>
      </c>
    </row>
    <row r="1652" spans="1:41">
      <c r="A1652" s="189">
        <v>3642</v>
      </c>
      <c r="B1652" s="190">
        <v>4</v>
      </c>
      <c r="C1652" s="191" t="s">
        <v>229</v>
      </c>
      <c r="D1652" s="192">
        <f t="shared" si="350"/>
        <v>0</v>
      </c>
      <c r="E1652" s="192">
        <f t="shared" si="351"/>
        <v>0</v>
      </c>
      <c r="F1652" s="192">
        <f t="shared" si="352"/>
        <v>0</v>
      </c>
      <c r="G1652" s="193">
        <f t="shared" si="353"/>
        <v>0</v>
      </c>
      <c r="H1652" s="194">
        <v>0</v>
      </c>
      <c r="I1652" s="194">
        <v>0</v>
      </c>
      <c r="J1652" s="194">
        <v>0</v>
      </c>
      <c r="K1652" s="193">
        <f t="shared" si="354"/>
        <v>0</v>
      </c>
      <c r="L1652" s="194">
        <v>0</v>
      </c>
      <c r="M1652" s="194">
        <v>0</v>
      </c>
      <c r="N1652" s="194">
        <v>0</v>
      </c>
      <c r="O1652" s="193">
        <f t="shared" si="355"/>
        <v>0</v>
      </c>
      <c r="P1652" s="194">
        <v>0</v>
      </c>
      <c r="Q1652" s="194">
        <v>0</v>
      </c>
      <c r="R1652" s="194">
        <v>0</v>
      </c>
      <c r="S1652" s="193">
        <f t="shared" si="356"/>
        <v>0</v>
      </c>
      <c r="T1652" s="193">
        <f t="shared" si="357"/>
        <v>0</v>
      </c>
      <c r="U1652" s="193">
        <f ca="1">OFFSET('Expenditure Study'!$B$7,'Operations Support'!$C1652,'Operations Support'!$B1652)*$G1652</f>
        <v>0</v>
      </c>
      <c r="V1652" s="199">
        <f ca="1">U1652*'Expenditure Study'!$B$31</f>
        <v>0</v>
      </c>
      <c r="W1652" s="199">
        <f ca="1">IF(A1652=10298,1.51,1)*IF($B1652&lt;3,$D1652*'Expenditure Study'!$B$32*OFFSET('Expenditure Study'!$B$7,'Operations Support'!$C1652,'Operations Support'!$B1652),0)</f>
        <v>0</v>
      </c>
      <c r="X1652" s="200">
        <f ca="1">W1652*'Expenditure Study'!$B$31</f>
        <v>0</v>
      </c>
      <c r="Y1652" s="199">
        <f ca="1">U1652*'Expenditure Study'!$B$31</f>
        <v>0</v>
      </c>
      <c r="Z1652" s="200">
        <f ca="1">W1652*'Expenditure Study'!$B$31</f>
        <v>0</v>
      </c>
      <c r="AA1652" s="195">
        <f t="shared" ca="1" si="358"/>
        <v>0</v>
      </c>
      <c r="AB1652" s="195">
        <f t="shared" ca="1" si="359"/>
        <v>0</v>
      </c>
      <c r="AD1652" s="196">
        <f>IFERROR($G1652/SUMIF($A:$A,$A1652,$G:$G)*SUMIF(Summary!$A$166:$A$242,$A1652,Summary!$P$166:$P$242),0)</f>
        <v>0</v>
      </c>
      <c r="AE1652" s="197">
        <f t="shared" ca="1" si="360"/>
        <v>0</v>
      </c>
      <c r="AF1652" s="196">
        <f>IFERROR(G1652/SUMIF(A:A,A1652,G:G)*SUMIF(Summary!$A$166:$A$242,'Operations Support'!A1652,Summary!$Q$166:$Q$242),0)</f>
        <v>0</v>
      </c>
      <c r="AG1652" s="196">
        <f t="shared" ca="1" si="361"/>
        <v>0</v>
      </c>
      <c r="AI1652" s="196">
        <f>IFERROR($G1652/SUMIF($A:$A,$A1652,$G:$G)*SUMIF(Summary!$A$247:$A$283,$A1652,Summary!$P$247:$P$283),0)</f>
        <v>0</v>
      </c>
      <c r="AJ1652" s="196">
        <f>IFERROR($G1652/SUMIF($A:$A,$A1652,$G:$G)*(SUMIF(Summary!$A$247:$A$283,$A1652,Summary!$L$247:$L$283)+SUMIF(Summary!$A$297:$A$333,$A1652,Summary!$L$297:$L$333))-AI1652,0)</f>
        <v>0</v>
      </c>
      <c r="AK1652" s="196">
        <f>IFERROR($G1652/SUMIF($A:$A,$A1652,$G:$G)*SUMIF(Summary!$A$247:$A$283,$A1652,Summary!$Q$247:$Q$283),0)</f>
        <v>0</v>
      </c>
      <c r="AL1652" s="196">
        <f>IFERROR($G1652/SUMIF($A:$A,$A1652,$G:$G)*(SUMIF(Summary!$A$247:$A$283,$A1652,Summary!$L$247:$L$283)+SUMIF(Summary!$A$297:$A$333,$A1652,Summary!$L$297:$L$333))-AK1652,0)</f>
        <v>0</v>
      </c>
      <c r="AM1652" s="198"/>
      <c r="AN1652" s="196">
        <f t="shared" ca="1" si="362"/>
        <v>0</v>
      </c>
      <c r="AO1652" s="196">
        <f t="shared" ca="1" si="363"/>
        <v>0</v>
      </c>
    </row>
    <row r="1653" spans="1:41">
      <c r="A1653" s="189">
        <v>3642</v>
      </c>
      <c r="B1653" s="190">
        <v>4</v>
      </c>
      <c r="C1653" s="191" t="s">
        <v>230</v>
      </c>
      <c r="D1653" s="192">
        <f t="shared" si="350"/>
        <v>0</v>
      </c>
      <c r="E1653" s="192">
        <f t="shared" si="351"/>
        <v>0</v>
      </c>
      <c r="F1653" s="192">
        <f t="shared" si="352"/>
        <v>0</v>
      </c>
      <c r="G1653" s="193">
        <f t="shared" si="353"/>
        <v>0</v>
      </c>
      <c r="H1653" s="194">
        <v>0</v>
      </c>
      <c r="I1653" s="194">
        <v>0</v>
      </c>
      <c r="J1653" s="194">
        <v>0</v>
      </c>
      <c r="K1653" s="193">
        <f t="shared" si="354"/>
        <v>0</v>
      </c>
      <c r="L1653" s="194">
        <v>0</v>
      </c>
      <c r="M1653" s="194">
        <v>0</v>
      </c>
      <c r="N1653" s="194">
        <v>0</v>
      </c>
      <c r="O1653" s="193">
        <f t="shared" si="355"/>
        <v>0</v>
      </c>
      <c r="P1653" s="194">
        <v>0</v>
      </c>
      <c r="Q1653" s="194">
        <v>0</v>
      </c>
      <c r="R1653" s="194">
        <v>0</v>
      </c>
      <c r="S1653" s="193">
        <f t="shared" si="356"/>
        <v>0</v>
      </c>
      <c r="T1653" s="193">
        <f t="shared" si="357"/>
        <v>0</v>
      </c>
      <c r="U1653" s="193">
        <f ca="1">OFFSET('Expenditure Study'!$B$7,'Operations Support'!$C1653,'Operations Support'!$B1653)*$G1653</f>
        <v>0</v>
      </c>
      <c r="V1653" s="199">
        <f ca="1">U1653*'Expenditure Study'!$B$31</f>
        <v>0</v>
      </c>
      <c r="W1653" s="199">
        <f ca="1">IF(A1653=10298,1.51,1)*IF($B1653&lt;3,$D1653*'Expenditure Study'!$B$32*OFFSET('Expenditure Study'!$B$7,'Operations Support'!$C1653,'Operations Support'!$B1653),0)</f>
        <v>0</v>
      </c>
      <c r="X1653" s="200">
        <f ca="1">W1653*'Expenditure Study'!$B$31</f>
        <v>0</v>
      </c>
      <c r="Y1653" s="199">
        <f ca="1">U1653*'Expenditure Study'!$B$31</f>
        <v>0</v>
      </c>
      <c r="Z1653" s="200">
        <f ca="1">W1653*'Expenditure Study'!$B$31</f>
        <v>0</v>
      </c>
      <c r="AA1653" s="195">
        <f t="shared" ca="1" si="358"/>
        <v>0</v>
      </c>
      <c r="AB1653" s="195">
        <f t="shared" ca="1" si="359"/>
        <v>0</v>
      </c>
      <c r="AD1653" s="196">
        <f>IFERROR($G1653/SUMIF($A:$A,$A1653,$G:$G)*SUMIF(Summary!$A$166:$A$242,$A1653,Summary!$P$166:$P$242),0)</f>
        <v>0</v>
      </c>
      <c r="AE1653" s="197">
        <f t="shared" ca="1" si="360"/>
        <v>0</v>
      </c>
      <c r="AF1653" s="196">
        <f>IFERROR(G1653/SUMIF(A:A,A1653,G:G)*SUMIF(Summary!$A$166:$A$242,'Operations Support'!A1653,Summary!$Q$166:$Q$242),0)</f>
        <v>0</v>
      </c>
      <c r="AG1653" s="196">
        <f t="shared" ca="1" si="361"/>
        <v>0</v>
      </c>
      <c r="AI1653" s="196">
        <f>IFERROR($G1653/SUMIF($A:$A,$A1653,$G:$G)*SUMIF(Summary!$A$247:$A$283,$A1653,Summary!$P$247:$P$283),0)</f>
        <v>0</v>
      </c>
      <c r="AJ1653" s="196">
        <f>IFERROR($G1653/SUMIF($A:$A,$A1653,$G:$G)*(SUMIF(Summary!$A$247:$A$283,$A1653,Summary!$L$247:$L$283)+SUMIF(Summary!$A$297:$A$333,$A1653,Summary!$L$297:$L$333))-AI1653,0)</f>
        <v>0</v>
      </c>
      <c r="AK1653" s="196">
        <f>IFERROR($G1653/SUMIF($A:$A,$A1653,$G:$G)*SUMIF(Summary!$A$247:$A$283,$A1653,Summary!$Q$247:$Q$283),0)</f>
        <v>0</v>
      </c>
      <c r="AL1653" s="196">
        <f>IFERROR($G1653/SUMIF($A:$A,$A1653,$G:$G)*(SUMIF(Summary!$A$247:$A$283,$A1653,Summary!$L$247:$L$283)+SUMIF(Summary!$A$297:$A$333,$A1653,Summary!$L$297:$L$333))-AK1653,0)</f>
        <v>0</v>
      </c>
      <c r="AM1653" s="198"/>
      <c r="AN1653" s="196">
        <f t="shared" ca="1" si="362"/>
        <v>0</v>
      </c>
      <c r="AO1653" s="196">
        <f t="shared" ca="1" si="363"/>
        <v>0</v>
      </c>
    </row>
    <row r="1654" spans="1:41">
      <c r="A1654" s="189">
        <v>3642</v>
      </c>
      <c r="B1654" s="190">
        <v>4</v>
      </c>
      <c r="C1654" s="191" t="s">
        <v>231</v>
      </c>
      <c r="D1654" s="192">
        <f t="shared" si="350"/>
        <v>0</v>
      </c>
      <c r="E1654" s="192">
        <f t="shared" si="351"/>
        <v>0</v>
      </c>
      <c r="F1654" s="192">
        <f t="shared" si="352"/>
        <v>0</v>
      </c>
      <c r="G1654" s="193">
        <f t="shared" si="353"/>
        <v>0</v>
      </c>
      <c r="H1654" s="194">
        <v>0</v>
      </c>
      <c r="I1654" s="194">
        <v>0</v>
      </c>
      <c r="J1654" s="194">
        <v>0</v>
      </c>
      <c r="K1654" s="193">
        <f t="shared" si="354"/>
        <v>0</v>
      </c>
      <c r="L1654" s="194">
        <v>0</v>
      </c>
      <c r="M1654" s="194">
        <v>0</v>
      </c>
      <c r="N1654" s="194">
        <v>0</v>
      </c>
      <c r="O1654" s="193">
        <f t="shared" si="355"/>
        <v>0</v>
      </c>
      <c r="P1654" s="194">
        <v>0</v>
      </c>
      <c r="Q1654" s="194">
        <v>0</v>
      </c>
      <c r="R1654" s="194">
        <v>0</v>
      </c>
      <c r="S1654" s="193">
        <f t="shared" si="356"/>
        <v>0</v>
      </c>
      <c r="T1654" s="193">
        <f t="shared" si="357"/>
        <v>0</v>
      </c>
      <c r="U1654" s="193">
        <f ca="1">OFFSET('Expenditure Study'!$B$7,'Operations Support'!$C1654,'Operations Support'!$B1654)*$G1654</f>
        <v>0</v>
      </c>
      <c r="V1654" s="199">
        <f ca="1">U1654*'Expenditure Study'!$B$31</f>
        <v>0</v>
      </c>
      <c r="W1654" s="199">
        <f ca="1">IF(A1654=10298,1.51,1)*IF($B1654&lt;3,$D1654*'Expenditure Study'!$B$32*OFFSET('Expenditure Study'!$B$7,'Operations Support'!$C1654,'Operations Support'!$B1654),0)</f>
        <v>0</v>
      </c>
      <c r="X1654" s="200">
        <f ca="1">W1654*'Expenditure Study'!$B$31</f>
        <v>0</v>
      </c>
      <c r="Y1654" s="199">
        <f ca="1">U1654*'Expenditure Study'!$B$31</f>
        <v>0</v>
      </c>
      <c r="Z1654" s="200">
        <f ca="1">W1654*'Expenditure Study'!$B$31</f>
        <v>0</v>
      </c>
      <c r="AA1654" s="195">
        <f t="shared" ca="1" si="358"/>
        <v>0</v>
      </c>
      <c r="AB1654" s="195">
        <f t="shared" ca="1" si="359"/>
        <v>0</v>
      </c>
      <c r="AD1654" s="196">
        <f>IFERROR($G1654/SUMIF($A:$A,$A1654,$G:$G)*SUMIF(Summary!$A$166:$A$242,$A1654,Summary!$P$166:$P$242),0)</f>
        <v>0</v>
      </c>
      <c r="AE1654" s="197">
        <f t="shared" ca="1" si="360"/>
        <v>0</v>
      </c>
      <c r="AF1654" s="196">
        <f>IFERROR(G1654/SUMIF(A:A,A1654,G:G)*SUMIF(Summary!$A$166:$A$242,'Operations Support'!A1654,Summary!$Q$166:$Q$242),0)</f>
        <v>0</v>
      </c>
      <c r="AG1654" s="196">
        <f t="shared" ca="1" si="361"/>
        <v>0</v>
      </c>
      <c r="AI1654" s="196">
        <f>IFERROR($G1654/SUMIF($A:$A,$A1654,$G:$G)*SUMIF(Summary!$A$247:$A$283,$A1654,Summary!$P$247:$P$283),0)</f>
        <v>0</v>
      </c>
      <c r="AJ1654" s="196">
        <f>IFERROR($G1654/SUMIF($A:$A,$A1654,$G:$G)*(SUMIF(Summary!$A$247:$A$283,$A1654,Summary!$L$247:$L$283)+SUMIF(Summary!$A$297:$A$333,$A1654,Summary!$L$297:$L$333))-AI1654,0)</f>
        <v>0</v>
      </c>
      <c r="AK1654" s="196">
        <f>IFERROR($G1654/SUMIF($A:$A,$A1654,$G:$G)*SUMIF(Summary!$A$247:$A$283,$A1654,Summary!$Q$247:$Q$283),0)</f>
        <v>0</v>
      </c>
      <c r="AL1654" s="196">
        <f>IFERROR($G1654/SUMIF($A:$A,$A1654,$G:$G)*(SUMIF(Summary!$A$247:$A$283,$A1654,Summary!$L$247:$L$283)+SUMIF(Summary!$A$297:$A$333,$A1654,Summary!$L$297:$L$333))-AK1654,0)</f>
        <v>0</v>
      </c>
      <c r="AM1654" s="198"/>
      <c r="AN1654" s="196">
        <f t="shared" ca="1" si="362"/>
        <v>0</v>
      </c>
      <c r="AO1654" s="196">
        <f t="shared" ca="1" si="363"/>
        <v>0</v>
      </c>
    </row>
    <row r="1655" spans="1:41">
      <c r="A1655" s="189">
        <v>3642</v>
      </c>
      <c r="B1655" s="190">
        <v>4</v>
      </c>
      <c r="C1655" s="191" t="s">
        <v>232</v>
      </c>
      <c r="D1655" s="192">
        <f t="shared" si="350"/>
        <v>0</v>
      </c>
      <c r="E1655" s="192">
        <f t="shared" si="351"/>
        <v>0</v>
      </c>
      <c r="F1655" s="192">
        <f t="shared" si="352"/>
        <v>0</v>
      </c>
      <c r="G1655" s="193">
        <f t="shared" si="353"/>
        <v>0</v>
      </c>
      <c r="H1655" s="194">
        <v>0</v>
      </c>
      <c r="I1655" s="194">
        <v>0</v>
      </c>
      <c r="J1655" s="194">
        <v>0</v>
      </c>
      <c r="K1655" s="193">
        <f t="shared" si="354"/>
        <v>0</v>
      </c>
      <c r="L1655" s="194">
        <v>0</v>
      </c>
      <c r="M1655" s="194">
        <v>0</v>
      </c>
      <c r="N1655" s="194">
        <v>0</v>
      </c>
      <c r="O1655" s="193">
        <f t="shared" si="355"/>
        <v>0</v>
      </c>
      <c r="P1655" s="194">
        <v>0</v>
      </c>
      <c r="Q1655" s="194">
        <v>0</v>
      </c>
      <c r="R1655" s="194">
        <v>0</v>
      </c>
      <c r="S1655" s="193">
        <f t="shared" si="356"/>
        <v>0</v>
      </c>
      <c r="T1655" s="193">
        <f t="shared" si="357"/>
        <v>0</v>
      </c>
      <c r="U1655" s="193">
        <f ca="1">OFFSET('Expenditure Study'!$B$7,'Operations Support'!$C1655,'Operations Support'!$B1655)*$G1655</f>
        <v>0</v>
      </c>
      <c r="V1655" s="199">
        <f ca="1">U1655*'Expenditure Study'!$B$31</f>
        <v>0</v>
      </c>
      <c r="W1655" s="199">
        <f ca="1">IF(A1655=10298,1.51,1)*IF($B1655&lt;3,$D1655*'Expenditure Study'!$B$32*OFFSET('Expenditure Study'!$B$7,'Operations Support'!$C1655,'Operations Support'!$B1655),0)</f>
        <v>0</v>
      </c>
      <c r="X1655" s="200">
        <f ca="1">W1655*'Expenditure Study'!$B$31</f>
        <v>0</v>
      </c>
      <c r="Y1655" s="199">
        <f ca="1">U1655*'Expenditure Study'!$B$31</f>
        <v>0</v>
      </c>
      <c r="Z1655" s="200">
        <f ca="1">W1655*'Expenditure Study'!$B$31</f>
        <v>0</v>
      </c>
      <c r="AA1655" s="195">
        <f t="shared" ca="1" si="358"/>
        <v>0</v>
      </c>
      <c r="AB1655" s="195">
        <f t="shared" ca="1" si="359"/>
        <v>0</v>
      </c>
      <c r="AD1655" s="196">
        <f>IFERROR($G1655/SUMIF($A:$A,$A1655,$G:$G)*SUMIF(Summary!$A$166:$A$242,$A1655,Summary!$P$166:$P$242),0)</f>
        <v>0</v>
      </c>
      <c r="AE1655" s="197">
        <f t="shared" ca="1" si="360"/>
        <v>0</v>
      </c>
      <c r="AF1655" s="196">
        <f>IFERROR(G1655/SUMIF(A:A,A1655,G:G)*SUMIF(Summary!$A$166:$A$242,'Operations Support'!A1655,Summary!$Q$166:$Q$242),0)</f>
        <v>0</v>
      </c>
      <c r="AG1655" s="196">
        <f t="shared" ca="1" si="361"/>
        <v>0</v>
      </c>
      <c r="AI1655" s="196">
        <f>IFERROR($G1655/SUMIF($A:$A,$A1655,$G:$G)*SUMIF(Summary!$A$247:$A$283,$A1655,Summary!$P$247:$P$283),0)</f>
        <v>0</v>
      </c>
      <c r="AJ1655" s="196">
        <f>IFERROR($G1655/SUMIF($A:$A,$A1655,$G:$G)*(SUMIF(Summary!$A$247:$A$283,$A1655,Summary!$L$247:$L$283)+SUMIF(Summary!$A$297:$A$333,$A1655,Summary!$L$297:$L$333))-AI1655,0)</f>
        <v>0</v>
      </c>
      <c r="AK1655" s="196">
        <f>IFERROR($G1655/SUMIF($A:$A,$A1655,$G:$G)*SUMIF(Summary!$A$247:$A$283,$A1655,Summary!$Q$247:$Q$283),0)</f>
        <v>0</v>
      </c>
      <c r="AL1655" s="196">
        <f>IFERROR($G1655/SUMIF($A:$A,$A1655,$G:$G)*(SUMIF(Summary!$A$247:$A$283,$A1655,Summary!$L$247:$L$283)+SUMIF(Summary!$A$297:$A$333,$A1655,Summary!$L$297:$L$333))-AK1655,0)</f>
        <v>0</v>
      </c>
      <c r="AM1655" s="198"/>
      <c r="AN1655" s="196">
        <f t="shared" ca="1" si="362"/>
        <v>0</v>
      </c>
      <c r="AO1655" s="196">
        <f t="shared" ca="1" si="363"/>
        <v>0</v>
      </c>
    </row>
    <row r="1656" spans="1:41">
      <c r="A1656" s="189">
        <v>3642</v>
      </c>
      <c r="B1656" s="190">
        <v>4</v>
      </c>
      <c r="C1656" s="191" t="s">
        <v>233</v>
      </c>
      <c r="D1656" s="192">
        <f t="shared" si="350"/>
        <v>0</v>
      </c>
      <c r="E1656" s="192">
        <f t="shared" si="351"/>
        <v>0</v>
      </c>
      <c r="F1656" s="192">
        <f t="shared" si="352"/>
        <v>0</v>
      </c>
      <c r="G1656" s="193">
        <f t="shared" si="353"/>
        <v>0</v>
      </c>
      <c r="H1656" s="194">
        <v>0</v>
      </c>
      <c r="I1656" s="194">
        <v>0</v>
      </c>
      <c r="J1656" s="194">
        <v>0</v>
      </c>
      <c r="K1656" s="193">
        <f t="shared" si="354"/>
        <v>0</v>
      </c>
      <c r="L1656" s="194">
        <v>0</v>
      </c>
      <c r="M1656" s="194">
        <v>0</v>
      </c>
      <c r="N1656" s="194">
        <v>0</v>
      </c>
      <c r="O1656" s="193">
        <f t="shared" si="355"/>
        <v>0</v>
      </c>
      <c r="P1656" s="194">
        <v>0</v>
      </c>
      <c r="Q1656" s="194">
        <v>0</v>
      </c>
      <c r="R1656" s="194">
        <v>0</v>
      </c>
      <c r="S1656" s="193">
        <f t="shared" si="356"/>
        <v>0</v>
      </c>
      <c r="T1656" s="193">
        <f t="shared" si="357"/>
        <v>0</v>
      </c>
      <c r="U1656" s="193">
        <f ca="1">OFFSET('Expenditure Study'!$B$7,'Operations Support'!$C1656,'Operations Support'!$B1656)*$G1656</f>
        <v>0</v>
      </c>
      <c r="V1656" s="199">
        <f ca="1">U1656*'Expenditure Study'!$B$31</f>
        <v>0</v>
      </c>
      <c r="W1656" s="199">
        <f ca="1">IF(A1656=10298,1.51,1)*IF($B1656&lt;3,$D1656*'Expenditure Study'!$B$32*OFFSET('Expenditure Study'!$B$7,'Operations Support'!$C1656,'Operations Support'!$B1656),0)</f>
        <v>0</v>
      </c>
      <c r="X1656" s="200">
        <f ca="1">W1656*'Expenditure Study'!$B$31</f>
        <v>0</v>
      </c>
      <c r="Y1656" s="199">
        <f ca="1">U1656*'Expenditure Study'!$B$31</f>
        <v>0</v>
      </c>
      <c r="Z1656" s="200">
        <f ca="1">W1656*'Expenditure Study'!$B$31</f>
        <v>0</v>
      </c>
      <c r="AA1656" s="195">
        <f t="shared" ca="1" si="358"/>
        <v>0</v>
      </c>
      <c r="AB1656" s="195">
        <f t="shared" ca="1" si="359"/>
        <v>0</v>
      </c>
      <c r="AD1656" s="196">
        <f>IFERROR($G1656/SUMIF($A:$A,$A1656,$G:$G)*SUMIF(Summary!$A$166:$A$242,$A1656,Summary!$P$166:$P$242),0)</f>
        <v>0</v>
      </c>
      <c r="AE1656" s="197">
        <f t="shared" ca="1" si="360"/>
        <v>0</v>
      </c>
      <c r="AF1656" s="196">
        <f>IFERROR(G1656/SUMIF(A:A,A1656,G:G)*SUMIF(Summary!$A$166:$A$242,'Operations Support'!A1656,Summary!$Q$166:$Q$242),0)</f>
        <v>0</v>
      </c>
      <c r="AG1656" s="196">
        <f t="shared" ca="1" si="361"/>
        <v>0</v>
      </c>
      <c r="AI1656" s="196">
        <f>IFERROR($G1656/SUMIF($A:$A,$A1656,$G:$G)*SUMIF(Summary!$A$247:$A$283,$A1656,Summary!$P$247:$P$283),0)</f>
        <v>0</v>
      </c>
      <c r="AJ1656" s="196">
        <f>IFERROR($G1656/SUMIF($A:$A,$A1656,$G:$G)*(SUMIF(Summary!$A$247:$A$283,$A1656,Summary!$L$247:$L$283)+SUMIF(Summary!$A$297:$A$333,$A1656,Summary!$L$297:$L$333))-AI1656,0)</f>
        <v>0</v>
      </c>
      <c r="AK1656" s="196">
        <f>IFERROR($G1656/SUMIF($A:$A,$A1656,$G:$G)*SUMIF(Summary!$A$247:$A$283,$A1656,Summary!$Q$247:$Q$283),0)</f>
        <v>0</v>
      </c>
      <c r="AL1656" s="196">
        <f>IFERROR($G1656/SUMIF($A:$A,$A1656,$G:$G)*(SUMIF(Summary!$A$247:$A$283,$A1656,Summary!$L$247:$L$283)+SUMIF(Summary!$A$297:$A$333,$A1656,Summary!$L$297:$L$333))-AK1656,0)</f>
        <v>0</v>
      </c>
      <c r="AM1656" s="198"/>
      <c r="AN1656" s="196">
        <f t="shared" ca="1" si="362"/>
        <v>0</v>
      </c>
      <c r="AO1656" s="196">
        <f t="shared" ca="1" si="363"/>
        <v>0</v>
      </c>
    </row>
    <row r="1657" spans="1:41">
      <c r="A1657" s="189">
        <v>3642</v>
      </c>
      <c r="B1657" s="190">
        <v>4</v>
      </c>
      <c r="C1657" s="191" t="s">
        <v>234</v>
      </c>
      <c r="D1657" s="192">
        <f t="shared" si="350"/>
        <v>111</v>
      </c>
      <c r="E1657" s="192">
        <f t="shared" si="351"/>
        <v>0</v>
      </c>
      <c r="F1657" s="192">
        <f t="shared" si="352"/>
        <v>33</v>
      </c>
      <c r="G1657" s="193">
        <f t="shared" si="353"/>
        <v>78</v>
      </c>
      <c r="H1657" s="194">
        <v>58</v>
      </c>
      <c r="I1657" s="194">
        <v>0</v>
      </c>
      <c r="J1657" s="194">
        <v>28</v>
      </c>
      <c r="K1657" s="193">
        <f t="shared" si="354"/>
        <v>30</v>
      </c>
      <c r="L1657" s="194">
        <v>37</v>
      </c>
      <c r="M1657" s="194">
        <v>0</v>
      </c>
      <c r="N1657" s="194">
        <v>0</v>
      </c>
      <c r="O1657" s="193">
        <f t="shared" si="355"/>
        <v>37</v>
      </c>
      <c r="P1657" s="194">
        <v>16</v>
      </c>
      <c r="Q1657" s="194">
        <v>0</v>
      </c>
      <c r="R1657" s="194">
        <v>5</v>
      </c>
      <c r="S1657" s="193">
        <f t="shared" si="356"/>
        <v>11</v>
      </c>
      <c r="T1657" s="193">
        <f t="shared" si="357"/>
        <v>4.333333333333333</v>
      </c>
      <c r="U1657" s="193">
        <f ca="1">OFFSET('Expenditure Study'!$B$7,'Operations Support'!$C1657,'Operations Support'!$B1657)*$G1657</f>
        <v>4075.5</v>
      </c>
      <c r="V1657" s="199">
        <f ca="1">U1657*'Expenditure Study'!$B$31</f>
        <v>240793.50335040002</v>
      </c>
      <c r="W1657" s="199">
        <f ca="1">IF(A1657=10298,1.51,1)*IF($B1657&lt;3,$D1657*'Expenditure Study'!$B$32*OFFSET('Expenditure Study'!$B$7,'Operations Support'!$C1657,'Operations Support'!$B1657),0)</f>
        <v>0</v>
      </c>
      <c r="X1657" s="200">
        <f ca="1">W1657*'Expenditure Study'!$B$31</f>
        <v>0</v>
      </c>
      <c r="Y1657" s="199">
        <f ca="1">U1657*'Expenditure Study'!$B$31</f>
        <v>240793.50335040002</v>
      </c>
      <c r="Z1657" s="200">
        <f ca="1">W1657*'Expenditure Study'!$B$31</f>
        <v>0</v>
      </c>
      <c r="AA1657" s="195">
        <f t="shared" ca="1" si="358"/>
        <v>240793.50335040002</v>
      </c>
      <c r="AB1657" s="195">
        <f t="shared" ca="1" si="359"/>
        <v>240793.50335040002</v>
      </c>
      <c r="AD1657" s="196">
        <f>IFERROR($G1657/SUMIF($A:$A,$A1657,$G:$G)*SUMIF(Summary!$A$166:$A$242,$A1657,Summary!$P$166:$P$242),0)</f>
        <v>4687.1103512406953</v>
      </c>
      <c r="AE1657" s="197">
        <f t="shared" ca="1" si="360"/>
        <v>236106.39299915932</v>
      </c>
      <c r="AF1657" s="196">
        <f>IFERROR(G1657/SUMIF(A:A,A1657,G:G)*SUMIF(Summary!$A$166:$A$242,'Operations Support'!A1657,Summary!$Q$166:$Q$242),0)</f>
        <v>4709.3649654084884</v>
      </c>
      <c r="AG1657" s="196">
        <f t="shared" ca="1" si="361"/>
        <v>236084.13838499153</v>
      </c>
      <c r="AI1657" s="196">
        <f>IFERROR($G1657/SUMIF($A:$A,$A1657,$G:$G)*SUMIF(Summary!$A$247:$A$283,$A1657,Summary!$P$247:$P$283),0)</f>
        <v>854.81196253129917</v>
      </c>
      <c r="AJ1657" s="196">
        <f>IFERROR($G1657/SUMIF($A:$A,$A1657,$G:$G)*(SUMIF(Summary!$A$247:$A$283,$A1657,Summary!$L$247:$L$283)+SUMIF(Summary!$A$297:$A$333,$A1657,Summary!$L$297:$L$333))-AI1657,0)</f>
        <v>1593.4090338834853</v>
      </c>
      <c r="AK1657" s="196">
        <f>IFERROR($G1657/SUMIF($A:$A,$A1657,$G:$G)*SUMIF(Summary!$A$247:$A$283,$A1657,Summary!$Q$247:$Q$283),0)</f>
        <v>858.87064879779859</v>
      </c>
      <c r="AL1657" s="196">
        <f>IFERROR($G1657/SUMIF($A:$A,$A1657,$G:$G)*(SUMIF(Summary!$A$247:$A$283,$A1657,Summary!$L$247:$L$283)+SUMIF(Summary!$A$297:$A$333,$A1657,Summary!$L$297:$L$333))-AK1657,0)</f>
        <v>1589.350347616986</v>
      </c>
      <c r="AM1657" s="198"/>
      <c r="AN1657" s="196">
        <f t="shared" ca="1" si="362"/>
        <v>237699.8020330428</v>
      </c>
      <c r="AO1657" s="196">
        <f t="shared" ca="1" si="363"/>
        <v>237673.4887326085</v>
      </c>
    </row>
    <row r="1658" spans="1:41">
      <c r="A1658" s="189">
        <v>3642</v>
      </c>
      <c r="B1658" s="190">
        <v>4</v>
      </c>
      <c r="C1658" s="191" t="s">
        <v>235</v>
      </c>
      <c r="D1658" s="192">
        <f t="shared" si="350"/>
        <v>15</v>
      </c>
      <c r="E1658" s="192">
        <f t="shared" si="351"/>
        <v>0</v>
      </c>
      <c r="F1658" s="192">
        <f t="shared" si="352"/>
        <v>0</v>
      </c>
      <c r="G1658" s="193">
        <f t="shared" si="353"/>
        <v>15</v>
      </c>
      <c r="H1658" s="194">
        <v>12</v>
      </c>
      <c r="I1658" s="194">
        <v>0</v>
      </c>
      <c r="J1658" s="194">
        <v>0</v>
      </c>
      <c r="K1658" s="193">
        <f t="shared" si="354"/>
        <v>12</v>
      </c>
      <c r="L1658" s="194">
        <v>3</v>
      </c>
      <c r="M1658" s="194">
        <v>0</v>
      </c>
      <c r="N1658" s="194">
        <v>0</v>
      </c>
      <c r="O1658" s="193">
        <f t="shared" si="355"/>
        <v>3</v>
      </c>
      <c r="P1658" s="194">
        <v>0</v>
      </c>
      <c r="Q1658" s="194">
        <v>0</v>
      </c>
      <c r="R1658" s="194">
        <v>0</v>
      </c>
      <c r="S1658" s="193">
        <f t="shared" si="356"/>
        <v>0</v>
      </c>
      <c r="T1658" s="193">
        <f t="shared" si="357"/>
        <v>0.83333333333333337</v>
      </c>
      <c r="U1658" s="193">
        <f ca="1">OFFSET('Expenditure Study'!$B$7,'Operations Support'!$C1658,'Operations Support'!$B1658)*$G1658</f>
        <v>570.90000000000009</v>
      </c>
      <c r="V1658" s="199">
        <f ca="1">U1658*'Expenditure Study'!$B$31</f>
        <v>33730.587918720004</v>
      </c>
      <c r="W1658" s="199">
        <f ca="1">IF(A1658=10298,1.51,1)*IF($B1658&lt;3,$D1658*'Expenditure Study'!$B$32*OFFSET('Expenditure Study'!$B$7,'Operations Support'!$C1658,'Operations Support'!$B1658),0)</f>
        <v>0</v>
      </c>
      <c r="X1658" s="200">
        <f ca="1">W1658*'Expenditure Study'!$B$31</f>
        <v>0</v>
      </c>
      <c r="Y1658" s="199">
        <f ca="1">U1658*'Expenditure Study'!$B$31</f>
        <v>33730.587918720004</v>
      </c>
      <c r="Z1658" s="200">
        <f ca="1">W1658*'Expenditure Study'!$B$31</f>
        <v>0</v>
      </c>
      <c r="AA1658" s="195">
        <f t="shared" ca="1" si="358"/>
        <v>33730.587918720004</v>
      </c>
      <c r="AB1658" s="195">
        <f t="shared" ca="1" si="359"/>
        <v>33730.587918720004</v>
      </c>
      <c r="AD1658" s="196">
        <f>IFERROR($G1658/SUMIF($A:$A,$A1658,$G:$G)*SUMIF(Summary!$A$166:$A$242,$A1658,Summary!$P$166:$P$242),0)</f>
        <v>901.36737523859529</v>
      </c>
      <c r="AE1658" s="197">
        <f t="shared" ca="1" si="360"/>
        <v>32829.22054348141</v>
      </c>
      <c r="AF1658" s="196">
        <f>IFERROR(G1658/SUMIF(A:A,A1658,G:G)*SUMIF(Summary!$A$166:$A$242,'Operations Support'!A1658,Summary!$Q$166:$Q$242),0)</f>
        <v>905.64710873240153</v>
      </c>
      <c r="AG1658" s="196">
        <f t="shared" ca="1" si="361"/>
        <v>32824.940809987602</v>
      </c>
      <c r="AI1658" s="196">
        <f>IFERROR($G1658/SUMIF($A:$A,$A1658,$G:$G)*SUMIF(Summary!$A$247:$A$283,$A1658,Summary!$P$247:$P$283),0)</f>
        <v>164.38691587140369</v>
      </c>
      <c r="AJ1658" s="196">
        <f>IFERROR($G1658/SUMIF($A:$A,$A1658,$G:$G)*(SUMIF(Summary!$A$247:$A$283,$A1658,Summary!$L$247:$L$283)+SUMIF(Summary!$A$297:$A$333,$A1658,Summary!$L$297:$L$333))-AI1658,0)</f>
        <v>306.42481420836259</v>
      </c>
      <c r="AK1658" s="196">
        <f>IFERROR($G1658/SUMIF($A:$A,$A1658,$G:$G)*SUMIF(Summary!$A$247:$A$283,$A1658,Summary!$Q$247:$Q$283),0)</f>
        <v>165.16743246111511</v>
      </c>
      <c r="AL1658" s="196">
        <f>IFERROR($G1658/SUMIF($A:$A,$A1658,$G:$G)*(SUMIF(Summary!$A$247:$A$283,$A1658,Summary!$L$247:$L$283)+SUMIF(Summary!$A$297:$A$333,$A1658,Summary!$L$297:$L$333))-AK1658,0)</f>
        <v>305.64429761865119</v>
      </c>
      <c r="AM1658" s="198"/>
      <c r="AN1658" s="196">
        <f t="shared" ca="1" si="362"/>
        <v>33135.645357689769</v>
      </c>
      <c r="AO1658" s="196">
        <f t="shared" ca="1" si="363"/>
        <v>33130.585107606254</v>
      </c>
    </row>
    <row r="1659" spans="1:41">
      <c r="A1659" s="189">
        <v>3642</v>
      </c>
      <c r="B1659" s="190">
        <v>4</v>
      </c>
      <c r="C1659" s="191" t="s">
        <v>236</v>
      </c>
      <c r="D1659" s="192">
        <f t="shared" si="350"/>
        <v>0</v>
      </c>
      <c r="E1659" s="192">
        <f t="shared" si="351"/>
        <v>0</v>
      </c>
      <c r="F1659" s="192">
        <f t="shared" si="352"/>
        <v>0</v>
      </c>
      <c r="G1659" s="193">
        <f t="shared" si="353"/>
        <v>0</v>
      </c>
      <c r="H1659" s="194">
        <v>0</v>
      </c>
      <c r="I1659" s="194">
        <v>0</v>
      </c>
      <c r="J1659" s="194">
        <v>0</v>
      </c>
      <c r="K1659" s="193">
        <f t="shared" si="354"/>
        <v>0</v>
      </c>
      <c r="L1659" s="194">
        <v>0</v>
      </c>
      <c r="M1659" s="194">
        <v>0</v>
      </c>
      <c r="N1659" s="194">
        <v>0</v>
      </c>
      <c r="O1659" s="193">
        <f t="shared" si="355"/>
        <v>0</v>
      </c>
      <c r="P1659" s="194">
        <v>0</v>
      </c>
      <c r="Q1659" s="194">
        <v>0</v>
      </c>
      <c r="R1659" s="194">
        <v>0</v>
      </c>
      <c r="S1659" s="193">
        <f t="shared" si="356"/>
        <v>0</v>
      </c>
      <c r="T1659" s="193">
        <f t="shared" si="357"/>
        <v>0</v>
      </c>
      <c r="U1659" s="193">
        <f ca="1">OFFSET('Expenditure Study'!$B$7,'Operations Support'!$C1659,'Operations Support'!$B1659)*$G1659</f>
        <v>0</v>
      </c>
      <c r="V1659" s="199">
        <f ca="1">U1659*'Expenditure Study'!$B$31</f>
        <v>0</v>
      </c>
      <c r="W1659" s="199">
        <f ca="1">IF(A1659=10298,1.51,1)*IF($B1659&lt;3,$D1659*'Expenditure Study'!$B$32*OFFSET('Expenditure Study'!$B$7,'Operations Support'!$C1659,'Operations Support'!$B1659),0)</f>
        <v>0</v>
      </c>
      <c r="X1659" s="200">
        <f ca="1">W1659*'Expenditure Study'!$B$31</f>
        <v>0</v>
      </c>
      <c r="Y1659" s="199">
        <f ca="1">U1659*'Expenditure Study'!$B$31</f>
        <v>0</v>
      </c>
      <c r="Z1659" s="200">
        <f ca="1">W1659*'Expenditure Study'!$B$31</f>
        <v>0</v>
      </c>
      <c r="AA1659" s="195">
        <f t="shared" ca="1" si="358"/>
        <v>0</v>
      </c>
      <c r="AB1659" s="195">
        <f t="shared" ca="1" si="359"/>
        <v>0</v>
      </c>
      <c r="AD1659" s="196">
        <f>IFERROR($G1659/SUMIF($A:$A,$A1659,$G:$G)*SUMIF(Summary!$A$166:$A$242,$A1659,Summary!$P$166:$P$242),0)</f>
        <v>0</v>
      </c>
      <c r="AE1659" s="197">
        <f t="shared" ca="1" si="360"/>
        <v>0</v>
      </c>
      <c r="AF1659" s="196">
        <f>IFERROR(G1659/SUMIF(A:A,A1659,G:G)*SUMIF(Summary!$A$166:$A$242,'Operations Support'!A1659,Summary!$Q$166:$Q$242),0)</f>
        <v>0</v>
      </c>
      <c r="AG1659" s="196">
        <f t="shared" ca="1" si="361"/>
        <v>0</v>
      </c>
      <c r="AI1659" s="196">
        <f>IFERROR($G1659/SUMIF($A:$A,$A1659,$G:$G)*SUMIF(Summary!$A$247:$A$283,$A1659,Summary!$P$247:$P$283),0)</f>
        <v>0</v>
      </c>
      <c r="AJ1659" s="196">
        <f>IFERROR($G1659/SUMIF($A:$A,$A1659,$G:$G)*(SUMIF(Summary!$A$247:$A$283,$A1659,Summary!$L$247:$L$283)+SUMIF(Summary!$A$297:$A$333,$A1659,Summary!$L$297:$L$333))-AI1659,0)</f>
        <v>0</v>
      </c>
      <c r="AK1659" s="196">
        <f>IFERROR($G1659/SUMIF($A:$A,$A1659,$G:$G)*SUMIF(Summary!$A$247:$A$283,$A1659,Summary!$Q$247:$Q$283),0)</f>
        <v>0</v>
      </c>
      <c r="AL1659" s="196">
        <f>IFERROR($G1659/SUMIF($A:$A,$A1659,$G:$G)*(SUMIF(Summary!$A$247:$A$283,$A1659,Summary!$L$247:$L$283)+SUMIF(Summary!$A$297:$A$333,$A1659,Summary!$L$297:$L$333))-AK1659,0)</f>
        <v>0</v>
      </c>
      <c r="AM1659" s="198"/>
      <c r="AN1659" s="196">
        <f t="shared" ca="1" si="362"/>
        <v>0</v>
      </c>
      <c r="AO1659" s="196">
        <f t="shared" ca="1" si="363"/>
        <v>0</v>
      </c>
    </row>
    <row r="1660" spans="1:41">
      <c r="A1660" s="189">
        <v>3642</v>
      </c>
      <c r="B1660" s="190">
        <v>4</v>
      </c>
      <c r="C1660" s="191" t="s">
        <v>237</v>
      </c>
      <c r="D1660" s="192">
        <f t="shared" si="350"/>
        <v>0</v>
      </c>
      <c r="E1660" s="192">
        <f t="shared" si="351"/>
        <v>0</v>
      </c>
      <c r="F1660" s="192">
        <f t="shared" si="352"/>
        <v>0</v>
      </c>
      <c r="G1660" s="193">
        <f t="shared" si="353"/>
        <v>0</v>
      </c>
      <c r="H1660" s="194">
        <v>0</v>
      </c>
      <c r="I1660" s="194">
        <v>0</v>
      </c>
      <c r="J1660" s="194">
        <v>0</v>
      </c>
      <c r="K1660" s="193">
        <f t="shared" si="354"/>
        <v>0</v>
      </c>
      <c r="L1660" s="194">
        <v>0</v>
      </c>
      <c r="M1660" s="194">
        <v>0</v>
      </c>
      <c r="N1660" s="194">
        <v>0</v>
      </c>
      <c r="O1660" s="193">
        <f t="shared" si="355"/>
        <v>0</v>
      </c>
      <c r="P1660" s="194">
        <v>0</v>
      </c>
      <c r="Q1660" s="194">
        <v>0</v>
      </c>
      <c r="R1660" s="194">
        <v>0</v>
      </c>
      <c r="S1660" s="193">
        <f t="shared" si="356"/>
        <v>0</v>
      </c>
      <c r="T1660" s="193">
        <f t="shared" si="357"/>
        <v>0</v>
      </c>
      <c r="U1660" s="193">
        <f ca="1">OFFSET('Expenditure Study'!$B$7,'Operations Support'!$C1660,'Operations Support'!$B1660)*$G1660</f>
        <v>0</v>
      </c>
      <c r="V1660" s="199">
        <f ca="1">U1660*'Expenditure Study'!$B$31</f>
        <v>0</v>
      </c>
      <c r="W1660" s="199">
        <f ca="1">IF(A1660=10298,1.51,1)*IF($B1660&lt;3,$D1660*'Expenditure Study'!$B$32*OFFSET('Expenditure Study'!$B$7,'Operations Support'!$C1660,'Operations Support'!$B1660),0)</f>
        <v>0</v>
      </c>
      <c r="X1660" s="200">
        <f ca="1">W1660*'Expenditure Study'!$B$31</f>
        <v>0</v>
      </c>
      <c r="Y1660" s="199">
        <f ca="1">U1660*'Expenditure Study'!$B$31</f>
        <v>0</v>
      </c>
      <c r="Z1660" s="200">
        <f ca="1">W1660*'Expenditure Study'!$B$31</f>
        <v>0</v>
      </c>
      <c r="AA1660" s="195">
        <f t="shared" ca="1" si="358"/>
        <v>0</v>
      </c>
      <c r="AB1660" s="195">
        <f t="shared" ca="1" si="359"/>
        <v>0</v>
      </c>
      <c r="AD1660" s="196">
        <f>IFERROR($G1660/SUMIF($A:$A,$A1660,$G:$G)*SUMIF(Summary!$A$166:$A$242,$A1660,Summary!$P$166:$P$242),0)</f>
        <v>0</v>
      </c>
      <c r="AE1660" s="197">
        <f t="shared" ca="1" si="360"/>
        <v>0</v>
      </c>
      <c r="AF1660" s="196">
        <f>IFERROR(G1660/SUMIF(A:A,A1660,G:G)*SUMIF(Summary!$A$166:$A$242,'Operations Support'!A1660,Summary!$Q$166:$Q$242),0)</f>
        <v>0</v>
      </c>
      <c r="AG1660" s="196">
        <f t="shared" ca="1" si="361"/>
        <v>0</v>
      </c>
      <c r="AI1660" s="196">
        <f>IFERROR($G1660/SUMIF($A:$A,$A1660,$G:$G)*SUMIF(Summary!$A$247:$A$283,$A1660,Summary!$P$247:$P$283),0)</f>
        <v>0</v>
      </c>
      <c r="AJ1660" s="196">
        <f>IFERROR($G1660/SUMIF($A:$A,$A1660,$G:$G)*(SUMIF(Summary!$A$247:$A$283,$A1660,Summary!$L$247:$L$283)+SUMIF(Summary!$A$297:$A$333,$A1660,Summary!$L$297:$L$333))-AI1660,0)</f>
        <v>0</v>
      </c>
      <c r="AK1660" s="196">
        <f>IFERROR($G1660/SUMIF($A:$A,$A1660,$G:$G)*SUMIF(Summary!$A$247:$A$283,$A1660,Summary!$Q$247:$Q$283),0)</f>
        <v>0</v>
      </c>
      <c r="AL1660" s="196">
        <f>IFERROR($G1660/SUMIF($A:$A,$A1660,$G:$G)*(SUMIF(Summary!$A$247:$A$283,$A1660,Summary!$L$247:$L$283)+SUMIF(Summary!$A$297:$A$333,$A1660,Summary!$L$297:$L$333))-AK1660,0)</f>
        <v>0</v>
      </c>
      <c r="AM1660" s="198"/>
      <c r="AN1660" s="196">
        <f t="shared" ca="1" si="362"/>
        <v>0</v>
      </c>
      <c r="AO1660" s="196">
        <f t="shared" ca="1" si="363"/>
        <v>0</v>
      </c>
    </row>
    <row r="1661" spans="1:41">
      <c r="A1661" s="189">
        <v>3642</v>
      </c>
      <c r="B1661" s="190">
        <v>4</v>
      </c>
      <c r="C1661" s="191" t="s">
        <v>238</v>
      </c>
      <c r="D1661" s="192">
        <f t="shared" si="350"/>
        <v>0</v>
      </c>
      <c r="E1661" s="192">
        <f t="shared" si="351"/>
        <v>0</v>
      </c>
      <c r="F1661" s="192">
        <f t="shared" si="352"/>
        <v>0</v>
      </c>
      <c r="G1661" s="193">
        <f t="shared" si="353"/>
        <v>0</v>
      </c>
      <c r="H1661" s="194">
        <v>0</v>
      </c>
      <c r="I1661" s="194">
        <v>0</v>
      </c>
      <c r="J1661" s="194">
        <v>0</v>
      </c>
      <c r="K1661" s="193">
        <f t="shared" si="354"/>
        <v>0</v>
      </c>
      <c r="L1661" s="194">
        <v>0</v>
      </c>
      <c r="M1661" s="194">
        <v>0</v>
      </c>
      <c r="N1661" s="194">
        <v>0</v>
      </c>
      <c r="O1661" s="193">
        <f t="shared" si="355"/>
        <v>0</v>
      </c>
      <c r="P1661" s="194">
        <v>0</v>
      </c>
      <c r="Q1661" s="194">
        <v>0</v>
      </c>
      <c r="R1661" s="194">
        <v>0</v>
      </c>
      <c r="S1661" s="193">
        <f t="shared" si="356"/>
        <v>0</v>
      </c>
      <c r="T1661" s="193">
        <f t="shared" si="357"/>
        <v>0</v>
      </c>
      <c r="U1661" s="193">
        <f ca="1">OFFSET('Expenditure Study'!$B$7,'Operations Support'!$C1661,'Operations Support'!$B1661)*$G1661</f>
        <v>0</v>
      </c>
      <c r="V1661" s="199">
        <f ca="1">U1661*'Expenditure Study'!$B$31</f>
        <v>0</v>
      </c>
      <c r="W1661" s="199">
        <f ca="1">IF(A1661=10298,1.51,1)*IF($B1661&lt;3,$D1661*'Expenditure Study'!$B$32*OFFSET('Expenditure Study'!$B$7,'Operations Support'!$C1661,'Operations Support'!$B1661),0)</f>
        <v>0</v>
      </c>
      <c r="X1661" s="200">
        <f ca="1">W1661*'Expenditure Study'!$B$31</f>
        <v>0</v>
      </c>
      <c r="Y1661" s="199">
        <f ca="1">U1661*'Expenditure Study'!$B$31</f>
        <v>0</v>
      </c>
      <c r="Z1661" s="200">
        <f ca="1">W1661*'Expenditure Study'!$B$31</f>
        <v>0</v>
      </c>
      <c r="AA1661" s="195">
        <f t="shared" ca="1" si="358"/>
        <v>0</v>
      </c>
      <c r="AB1661" s="195">
        <f t="shared" ca="1" si="359"/>
        <v>0</v>
      </c>
      <c r="AD1661" s="196">
        <f>IFERROR($G1661/SUMIF($A:$A,$A1661,$G:$G)*SUMIF(Summary!$A$166:$A$242,$A1661,Summary!$P$166:$P$242),0)</f>
        <v>0</v>
      </c>
      <c r="AE1661" s="197">
        <f t="shared" ca="1" si="360"/>
        <v>0</v>
      </c>
      <c r="AF1661" s="196">
        <f>IFERROR(G1661/SUMIF(A:A,A1661,G:G)*SUMIF(Summary!$A$166:$A$242,'Operations Support'!A1661,Summary!$Q$166:$Q$242),0)</f>
        <v>0</v>
      </c>
      <c r="AG1661" s="196">
        <f t="shared" ca="1" si="361"/>
        <v>0</v>
      </c>
      <c r="AI1661" s="196">
        <f>IFERROR($G1661/SUMIF($A:$A,$A1661,$G:$G)*SUMIF(Summary!$A$247:$A$283,$A1661,Summary!$P$247:$P$283),0)</f>
        <v>0</v>
      </c>
      <c r="AJ1661" s="196">
        <f>IFERROR($G1661/SUMIF($A:$A,$A1661,$G:$G)*(SUMIF(Summary!$A$247:$A$283,$A1661,Summary!$L$247:$L$283)+SUMIF(Summary!$A$297:$A$333,$A1661,Summary!$L$297:$L$333))-AI1661,0)</f>
        <v>0</v>
      </c>
      <c r="AK1661" s="196">
        <f>IFERROR($G1661/SUMIF($A:$A,$A1661,$G:$G)*SUMIF(Summary!$A$247:$A$283,$A1661,Summary!$Q$247:$Q$283),0)</f>
        <v>0</v>
      </c>
      <c r="AL1661" s="196">
        <f>IFERROR($G1661/SUMIF($A:$A,$A1661,$G:$G)*(SUMIF(Summary!$A$247:$A$283,$A1661,Summary!$L$247:$L$283)+SUMIF(Summary!$A$297:$A$333,$A1661,Summary!$L$297:$L$333))-AK1661,0)</f>
        <v>0</v>
      </c>
      <c r="AM1661" s="198"/>
      <c r="AN1661" s="196">
        <f t="shared" ca="1" si="362"/>
        <v>0</v>
      </c>
      <c r="AO1661" s="196">
        <f t="shared" ca="1" si="363"/>
        <v>0</v>
      </c>
    </row>
    <row r="1662" spans="1:41">
      <c r="A1662" s="189">
        <v>3642</v>
      </c>
      <c r="B1662" s="190">
        <v>4</v>
      </c>
      <c r="C1662" s="191" t="s">
        <v>239</v>
      </c>
      <c r="D1662" s="192">
        <f t="shared" si="350"/>
        <v>0</v>
      </c>
      <c r="E1662" s="192">
        <f t="shared" si="351"/>
        <v>0</v>
      </c>
      <c r="F1662" s="192">
        <f t="shared" si="352"/>
        <v>0</v>
      </c>
      <c r="G1662" s="193">
        <f t="shared" si="353"/>
        <v>0</v>
      </c>
      <c r="H1662" s="194">
        <v>0</v>
      </c>
      <c r="I1662" s="194">
        <v>0</v>
      </c>
      <c r="J1662" s="194">
        <v>0</v>
      </c>
      <c r="K1662" s="193">
        <f t="shared" si="354"/>
        <v>0</v>
      </c>
      <c r="L1662" s="194">
        <v>0</v>
      </c>
      <c r="M1662" s="194">
        <v>0</v>
      </c>
      <c r="N1662" s="194">
        <v>0</v>
      </c>
      <c r="O1662" s="193">
        <f t="shared" si="355"/>
        <v>0</v>
      </c>
      <c r="P1662" s="194">
        <v>0</v>
      </c>
      <c r="Q1662" s="194">
        <v>0</v>
      </c>
      <c r="R1662" s="194">
        <v>0</v>
      </c>
      <c r="S1662" s="193">
        <f t="shared" si="356"/>
        <v>0</v>
      </c>
      <c r="T1662" s="193">
        <f t="shared" si="357"/>
        <v>0</v>
      </c>
      <c r="U1662" s="193">
        <f ca="1">OFFSET('Expenditure Study'!$B$7,'Operations Support'!$C1662,'Operations Support'!$B1662)*$G1662</f>
        <v>0</v>
      </c>
      <c r="V1662" s="199">
        <f ca="1">U1662*'Expenditure Study'!$B$31</f>
        <v>0</v>
      </c>
      <c r="W1662" s="199">
        <f ca="1">IF(A1662=10298,1.51,1)*IF($B1662&lt;3,$D1662*'Expenditure Study'!$B$32*OFFSET('Expenditure Study'!$B$7,'Operations Support'!$C1662,'Operations Support'!$B1662),0)</f>
        <v>0</v>
      </c>
      <c r="X1662" s="200">
        <f ca="1">W1662*'Expenditure Study'!$B$31</f>
        <v>0</v>
      </c>
      <c r="Y1662" s="199">
        <f ca="1">U1662*'Expenditure Study'!$B$31</f>
        <v>0</v>
      </c>
      <c r="Z1662" s="200">
        <f ca="1">W1662*'Expenditure Study'!$B$31</f>
        <v>0</v>
      </c>
      <c r="AA1662" s="195">
        <f t="shared" ca="1" si="358"/>
        <v>0</v>
      </c>
      <c r="AB1662" s="195">
        <f t="shared" ca="1" si="359"/>
        <v>0</v>
      </c>
      <c r="AD1662" s="196">
        <f>IFERROR($G1662/SUMIF($A:$A,$A1662,$G:$G)*SUMIF(Summary!$A$166:$A$242,$A1662,Summary!$P$166:$P$242),0)</f>
        <v>0</v>
      </c>
      <c r="AE1662" s="197">
        <f t="shared" ca="1" si="360"/>
        <v>0</v>
      </c>
      <c r="AF1662" s="196">
        <f>IFERROR(G1662/SUMIF(A:A,A1662,G:G)*SUMIF(Summary!$A$166:$A$242,'Operations Support'!A1662,Summary!$Q$166:$Q$242),0)</f>
        <v>0</v>
      </c>
      <c r="AG1662" s="196">
        <f t="shared" ca="1" si="361"/>
        <v>0</v>
      </c>
      <c r="AI1662" s="196">
        <f>IFERROR($G1662/SUMIF($A:$A,$A1662,$G:$G)*SUMIF(Summary!$A$247:$A$283,$A1662,Summary!$P$247:$P$283),0)</f>
        <v>0</v>
      </c>
      <c r="AJ1662" s="196">
        <f>IFERROR($G1662/SUMIF($A:$A,$A1662,$G:$G)*(SUMIF(Summary!$A$247:$A$283,$A1662,Summary!$L$247:$L$283)+SUMIF(Summary!$A$297:$A$333,$A1662,Summary!$L$297:$L$333))-AI1662,0)</f>
        <v>0</v>
      </c>
      <c r="AK1662" s="196">
        <f>IFERROR($G1662/SUMIF($A:$A,$A1662,$G:$G)*SUMIF(Summary!$A$247:$A$283,$A1662,Summary!$Q$247:$Q$283),0)</f>
        <v>0</v>
      </c>
      <c r="AL1662" s="196">
        <f>IFERROR($G1662/SUMIF($A:$A,$A1662,$G:$G)*(SUMIF(Summary!$A$247:$A$283,$A1662,Summary!$L$247:$L$283)+SUMIF(Summary!$A$297:$A$333,$A1662,Summary!$L$297:$L$333))-AK1662,0)</f>
        <v>0</v>
      </c>
      <c r="AM1662" s="198"/>
      <c r="AN1662" s="196">
        <f t="shared" ca="1" si="362"/>
        <v>0</v>
      </c>
      <c r="AO1662" s="196">
        <f t="shared" ca="1" si="363"/>
        <v>0</v>
      </c>
    </row>
    <row r="1663" spans="1:41">
      <c r="A1663" s="189">
        <v>3642</v>
      </c>
      <c r="B1663" s="190">
        <v>4</v>
      </c>
      <c r="C1663" s="191" t="s">
        <v>240</v>
      </c>
      <c r="D1663" s="192">
        <f t="shared" si="350"/>
        <v>0</v>
      </c>
      <c r="E1663" s="192">
        <f t="shared" si="351"/>
        <v>0</v>
      </c>
      <c r="F1663" s="192">
        <f t="shared" si="352"/>
        <v>0</v>
      </c>
      <c r="G1663" s="193">
        <f t="shared" si="353"/>
        <v>0</v>
      </c>
      <c r="H1663" s="194">
        <v>0</v>
      </c>
      <c r="I1663" s="194">
        <v>0</v>
      </c>
      <c r="J1663" s="194">
        <v>0</v>
      </c>
      <c r="K1663" s="193">
        <f t="shared" si="354"/>
        <v>0</v>
      </c>
      <c r="L1663" s="194">
        <v>0</v>
      </c>
      <c r="M1663" s="194">
        <v>0</v>
      </c>
      <c r="N1663" s="194">
        <v>0</v>
      </c>
      <c r="O1663" s="193">
        <f t="shared" si="355"/>
        <v>0</v>
      </c>
      <c r="P1663" s="194">
        <v>0</v>
      </c>
      <c r="Q1663" s="194">
        <v>0</v>
      </c>
      <c r="R1663" s="194">
        <v>0</v>
      </c>
      <c r="S1663" s="193">
        <f t="shared" si="356"/>
        <v>0</v>
      </c>
      <c r="T1663" s="193">
        <f t="shared" si="357"/>
        <v>0</v>
      </c>
      <c r="U1663" s="193">
        <f ca="1">OFFSET('Expenditure Study'!$B$7,'Operations Support'!$C1663,'Operations Support'!$B1663)*$G1663</f>
        <v>0</v>
      </c>
      <c r="V1663" s="199">
        <f ca="1">U1663*'Expenditure Study'!$B$31</f>
        <v>0</v>
      </c>
      <c r="W1663" s="199">
        <f ca="1">IF(A1663=10298,1.51,1)*IF($B1663&lt;3,$D1663*'Expenditure Study'!$B$32*OFFSET('Expenditure Study'!$B$7,'Operations Support'!$C1663,'Operations Support'!$B1663),0)</f>
        <v>0</v>
      </c>
      <c r="X1663" s="200">
        <f ca="1">W1663*'Expenditure Study'!$B$31</f>
        <v>0</v>
      </c>
      <c r="Y1663" s="199">
        <f ca="1">U1663*'Expenditure Study'!$B$31</f>
        <v>0</v>
      </c>
      <c r="Z1663" s="200">
        <f ca="1">W1663*'Expenditure Study'!$B$31</f>
        <v>0</v>
      </c>
      <c r="AA1663" s="195">
        <f t="shared" ca="1" si="358"/>
        <v>0</v>
      </c>
      <c r="AB1663" s="195">
        <f t="shared" ca="1" si="359"/>
        <v>0</v>
      </c>
      <c r="AD1663" s="196">
        <f>IFERROR($G1663/SUMIF($A:$A,$A1663,$G:$G)*SUMIF(Summary!$A$166:$A$242,$A1663,Summary!$P$166:$P$242),0)</f>
        <v>0</v>
      </c>
      <c r="AE1663" s="197">
        <f t="shared" ca="1" si="360"/>
        <v>0</v>
      </c>
      <c r="AF1663" s="196">
        <f>IFERROR(G1663/SUMIF(A:A,A1663,G:G)*SUMIF(Summary!$A$166:$A$242,'Operations Support'!A1663,Summary!$Q$166:$Q$242),0)</f>
        <v>0</v>
      </c>
      <c r="AG1663" s="196">
        <f t="shared" ca="1" si="361"/>
        <v>0</v>
      </c>
      <c r="AI1663" s="196">
        <f>IFERROR($G1663/SUMIF($A:$A,$A1663,$G:$G)*SUMIF(Summary!$A$247:$A$283,$A1663,Summary!$P$247:$P$283),0)</f>
        <v>0</v>
      </c>
      <c r="AJ1663" s="196">
        <f>IFERROR($G1663/SUMIF($A:$A,$A1663,$G:$G)*(SUMIF(Summary!$A$247:$A$283,$A1663,Summary!$L$247:$L$283)+SUMIF(Summary!$A$297:$A$333,$A1663,Summary!$L$297:$L$333))-AI1663,0)</f>
        <v>0</v>
      </c>
      <c r="AK1663" s="196">
        <f>IFERROR($G1663/SUMIF($A:$A,$A1663,$G:$G)*SUMIF(Summary!$A$247:$A$283,$A1663,Summary!$Q$247:$Q$283),0)</f>
        <v>0</v>
      </c>
      <c r="AL1663" s="196">
        <f>IFERROR($G1663/SUMIF($A:$A,$A1663,$G:$G)*(SUMIF(Summary!$A$247:$A$283,$A1663,Summary!$L$247:$L$283)+SUMIF(Summary!$A$297:$A$333,$A1663,Summary!$L$297:$L$333))-AK1663,0)</f>
        <v>0</v>
      </c>
      <c r="AM1663" s="198"/>
      <c r="AN1663" s="196">
        <f t="shared" ca="1" si="362"/>
        <v>0</v>
      </c>
      <c r="AO1663" s="196">
        <f t="shared" ca="1" si="363"/>
        <v>0</v>
      </c>
    </row>
    <row r="1664" spans="1:41">
      <c r="A1664" s="189">
        <v>3642</v>
      </c>
      <c r="B1664" s="190">
        <v>5</v>
      </c>
      <c r="C1664" s="191" t="s">
        <v>220</v>
      </c>
      <c r="D1664" s="192">
        <f t="shared" si="350"/>
        <v>0</v>
      </c>
      <c r="E1664" s="192">
        <f t="shared" si="351"/>
        <v>0</v>
      </c>
      <c r="F1664" s="192">
        <f t="shared" si="352"/>
        <v>0</v>
      </c>
      <c r="G1664" s="193">
        <f t="shared" si="353"/>
        <v>0</v>
      </c>
      <c r="H1664" s="194">
        <v>0</v>
      </c>
      <c r="I1664" s="194">
        <v>0</v>
      </c>
      <c r="J1664" s="194">
        <v>0</v>
      </c>
      <c r="K1664" s="193">
        <f t="shared" si="354"/>
        <v>0</v>
      </c>
      <c r="L1664" s="194">
        <v>0</v>
      </c>
      <c r="M1664" s="194">
        <v>0</v>
      </c>
      <c r="N1664" s="194">
        <v>0</v>
      </c>
      <c r="O1664" s="193">
        <f t="shared" si="355"/>
        <v>0</v>
      </c>
      <c r="P1664" s="194">
        <v>0</v>
      </c>
      <c r="Q1664" s="194">
        <v>0</v>
      </c>
      <c r="R1664" s="194">
        <v>0</v>
      </c>
      <c r="S1664" s="193">
        <f t="shared" si="356"/>
        <v>0</v>
      </c>
      <c r="T1664" s="193">
        <f t="shared" si="357"/>
        <v>0</v>
      </c>
      <c r="U1664" s="193">
        <f ca="1">OFFSET('Expenditure Study'!$B$7,'Operations Support'!$C1664,'Operations Support'!$B1664)*$G1664</f>
        <v>0</v>
      </c>
      <c r="V1664" s="199">
        <f ca="1">U1664*'Expenditure Study'!$B$31</f>
        <v>0</v>
      </c>
      <c r="W1664" s="199">
        <f ca="1">IF(A1664=10298,1.51,1)*IF($B1664&lt;3,$D1664*'Expenditure Study'!$B$32*OFFSET('Expenditure Study'!$B$7,'Operations Support'!$C1664,'Operations Support'!$B1664),0)</f>
        <v>0</v>
      </c>
      <c r="X1664" s="200">
        <f ca="1">W1664*'Expenditure Study'!$B$31</f>
        <v>0</v>
      </c>
      <c r="Y1664" s="199">
        <f ca="1">U1664*'Expenditure Study'!$B$31</f>
        <v>0</v>
      </c>
      <c r="Z1664" s="200">
        <f ca="1">W1664*'Expenditure Study'!$B$31</f>
        <v>0</v>
      </c>
      <c r="AA1664" s="195">
        <f t="shared" ca="1" si="358"/>
        <v>0</v>
      </c>
      <c r="AB1664" s="195">
        <f t="shared" ca="1" si="359"/>
        <v>0</v>
      </c>
      <c r="AD1664" s="196">
        <f>IFERROR($G1664/SUMIF($A:$A,$A1664,$G:$G)*SUMIF(Summary!$A$166:$A$242,$A1664,Summary!$P$166:$P$242),0)</f>
        <v>0</v>
      </c>
      <c r="AE1664" s="197">
        <f t="shared" ca="1" si="360"/>
        <v>0</v>
      </c>
      <c r="AF1664" s="196">
        <f>IFERROR(G1664/SUMIF(A:A,A1664,G:G)*SUMIF(Summary!$A$166:$A$242,'Operations Support'!A1664,Summary!$Q$166:$Q$242),0)</f>
        <v>0</v>
      </c>
      <c r="AG1664" s="196">
        <f t="shared" ca="1" si="361"/>
        <v>0</v>
      </c>
      <c r="AI1664" s="196">
        <f>IFERROR($G1664/SUMIF($A:$A,$A1664,$G:$G)*SUMIF(Summary!$A$247:$A$283,$A1664,Summary!$P$247:$P$283),0)</f>
        <v>0</v>
      </c>
      <c r="AJ1664" s="196">
        <f>IFERROR($G1664/SUMIF($A:$A,$A1664,$G:$G)*(SUMIF(Summary!$A$247:$A$283,$A1664,Summary!$L$247:$L$283)+SUMIF(Summary!$A$297:$A$333,$A1664,Summary!$L$297:$L$333))-AI1664,0)</f>
        <v>0</v>
      </c>
      <c r="AK1664" s="196">
        <f>IFERROR($G1664/SUMIF($A:$A,$A1664,$G:$G)*SUMIF(Summary!$A$247:$A$283,$A1664,Summary!$Q$247:$Q$283),0)</f>
        <v>0</v>
      </c>
      <c r="AL1664" s="196">
        <f>IFERROR($G1664/SUMIF($A:$A,$A1664,$G:$G)*(SUMIF(Summary!$A$247:$A$283,$A1664,Summary!$L$247:$L$283)+SUMIF(Summary!$A$297:$A$333,$A1664,Summary!$L$297:$L$333))-AK1664,0)</f>
        <v>0</v>
      </c>
      <c r="AM1664" s="198"/>
      <c r="AN1664" s="196">
        <f t="shared" ca="1" si="362"/>
        <v>0</v>
      </c>
      <c r="AO1664" s="196">
        <f t="shared" ca="1" si="363"/>
        <v>0</v>
      </c>
    </row>
    <row r="1665" spans="1:41">
      <c r="A1665" s="189">
        <v>3642</v>
      </c>
      <c r="B1665" s="190">
        <v>5</v>
      </c>
      <c r="C1665" s="191" t="s">
        <v>221</v>
      </c>
      <c r="D1665" s="192">
        <f t="shared" si="350"/>
        <v>0</v>
      </c>
      <c r="E1665" s="192">
        <f t="shared" si="351"/>
        <v>0</v>
      </c>
      <c r="F1665" s="192">
        <f t="shared" si="352"/>
        <v>0</v>
      </c>
      <c r="G1665" s="193">
        <f t="shared" si="353"/>
        <v>0</v>
      </c>
      <c r="H1665" s="194">
        <v>0</v>
      </c>
      <c r="I1665" s="194">
        <v>0</v>
      </c>
      <c r="J1665" s="194">
        <v>0</v>
      </c>
      <c r="K1665" s="193">
        <f t="shared" si="354"/>
        <v>0</v>
      </c>
      <c r="L1665" s="194">
        <v>0</v>
      </c>
      <c r="M1665" s="194">
        <v>0</v>
      </c>
      <c r="N1665" s="194">
        <v>0</v>
      </c>
      <c r="O1665" s="193">
        <f t="shared" si="355"/>
        <v>0</v>
      </c>
      <c r="P1665" s="194">
        <v>0</v>
      </c>
      <c r="Q1665" s="194">
        <v>0</v>
      </c>
      <c r="R1665" s="194">
        <v>0</v>
      </c>
      <c r="S1665" s="193">
        <f t="shared" si="356"/>
        <v>0</v>
      </c>
      <c r="T1665" s="193">
        <f t="shared" si="357"/>
        <v>0</v>
      </c>
      <c r="U1665" s="193">
        <f ca="1">OFFSET('Expenditure Study'!$B$7,'Operations Support'!$C1665,'Operations Support'!$B1665)*$G1665</f>
        <v>0</v>
      </c>
      <c r="V1665" s="199">
        <f ca="1">U1665*'Expenditure Study'!$B$31</f>
        <v>0</v>
      </c>
      <c r="W1665" s="199">
        <f ca="1">IF(A1665=10298,1.51,1)*IF($B1665&lt;3,$D1665*'Expenditure Study'!$B$32*OFFSET('Expenditure Study'!$B$7,'Operations Support'!$C1665,'Operations Support'!$B1665),0)</f>
        <v>0</v>
      </c>
      <c r="X1665" s="200">
        <f ca="1">W1665*'Expenditure Study'!$B$31</f>
        <v>0</v>
      </c>
      <c r="Y1665" s="199">
        <f ca="1">U1665*'Expenditure Study'!$B$31</f>
        <v>0</v>
      </c>
      <c r="Z1665" s="200">
        <f ca="1">W1665*'Expenditure Study'!$B$31</f>
        <v>0</v>
      </c>
      <c r="AA1665" s="195">
        <f t="shared" ca="1" si="358"/>
        <v>0</v>
      </c>
      <c r="AB1665" s="195">
        <f t="shared" ca="1" si="359"/>
        <v>0</v>
      </c>
      <c r="AD1665" s="196">
        <f>IFERROR($G1665/SUMIF($A:$A,$A1665,$G:$G)*SUMIF(Summary!$A$166:$A$242,$A1665,Summary!$P$166:$P$242),0)</f>
        <v>0</v>
      </c>
      <c r="AE1665" s="197">
        <f t="shared" ca="1" si="360"/>
        <v>0</v>
      </c>
      <c r="AF1665" s="196">
        <f>IFERROR(G1665/SUMIF(A:A,A1665,G:G)*SUMIF(Summary!$A$166:$A$242,'Operations Support'!A1665,Summary!$Q$166:$Q$242),0)</f>
        <v>0</v>
      </c>
      <c r="AG1665" s="196">
        <f t="shared" ca="1" si="361"/>
        <v>0</v>
      </c>
      <c r="AI1665" s="196">
        <f>IFERROR($G1665/SUMIF($A:$A,$A1665,$G:$G)*SUMIF(Summary!$A$247:$A$283,$A1665,Summary!$P$247:$P$283),0)</f>
        <v>0</v>
      </c>
      <c r="AJ1665" s="196">
        <f>IFERROR($G1665/SUMIF($A:$A,$A1665,$G:$G)*(SUMIF(Summary!$A$247:$A$283,$A1665,Summary!$L$247:$L$283)+SUMIF(Summary!$A$297:$A$333,$A1665,Summary!$L$297:$L$333))-AI1665,0)</f>
        <v>0</v>
      </c>
      <c r="AK1665" s="196">
        <f>IFERROR($G1665/SUMIF($A:$A,$A1665,$G:$G)*SUMIF(Summary!$A$247:$A$283,$A1665,Summary!$Q$247:$Q$283),0)</f>
        <v>0</v>
      </c>
      <c r="AL1665" s="196">
        <f>IFERROR($G1665/SUMIF($A:$A,$A1665,$G:$G)*(SUMIF(Summary!$A$247:$A$283,$A1665,Summary!$L$247:$L$283)+SUMIF(Summary!$A$297:$A$333,$A1665,Summary!$L$297:$L$333))-AK1665,0)</f>
        <v>0</v>
      </c>
      <c r="AM1665" s="198"/>
      <c r="AN1665" s="196">
        <f t="shared" ca="1" si="362"/>
        <v>0</v>
      </c>
      <c r="AO1665" s="196">
        <f t="shared" ca="1" si="363"/>
        <v>0</v>
      </c>
    </row>
    <row r="1666" spans="1:41">
      <c r="A1666" s="189">
        <v>3642</v>
      </c>
      <c r="B1666" s="190">
        <v>5</v>
      </c>
      <c r="C1666" s="191" t="s">
        <v>222</v>
      </c>
      <c r="D1666" s="192">
        <f t="shared" si="350"/>
        <v>0</v>
      </c>
      <c r="E1666" s="192">
        <f t="shared" si="351"/>
        <v>0</v>
      </c>
      <c r="F1666" s="192">
        <f t="shared" si="352"/>
        <v>0</v>
      </c>
      <c r="G1666" s="193">
        <f t="shared" si="353"/>
        <v>0</v>
      </c>
      <c r="H1666" s="194">
        <v>0</v>
      </c>
      <c r="I1666" s="194">
        <v>0</v>
      </c>
      <c r="J1666" s="194">
        <v>0</v>
      </c>
      <c r="K1666" s="193">
        <f t="shared" si="354"/>
        <v>0</v>
      </c>
      <c r="L1666" s="194">
        <v>0</v>
      </c>
      <c r="M1666" s="194">
        <v>0</v>
      </c>
      <c r="N1666" s="194">
        <v>0</v>
      </c>
      <c r="O1666" s="193">
        <f t="shared" si="355"/>
        <v>0</v>
      </c>
      <c r="P1666" s="194">
        <v>0</v>
      </c>
      <c r="Q1666" s="194">
        <v>0</v>
      </c>
      <c r="R1666" s="194">
        <v>0</v>
      </c>
      <c r="S1666" s="193">
        <f t="shared" si="356"/>
        <v>0</v>
      </c>
      <c r="T1666" s="193">
        <f t="shared" si="357"/>
        <v>0</v>
      </c>
      <c r="U1666" s="193">
        <f ca="1">OFFSET('Expenditure Study'!$B$7,'Operations Support'!$C1666,'Operations Support'!$B1666)*$G1666</f>
        <v>0</v>
      </c>
      <c r="V1666" s="199">
        <f ca="1">U1666*'Expenditure Study'!$B$31</f>
        <v>0</v>
      </c>
      <c r="W1666" s="199">
        <f ca="1">IF(A1666=10298,1.51,1)*IF($B1666&lt;3,$D1666*'Expenditure Study'!$B$32*OFFSET('Expenditure Study'!$B$7,'Operations Support'!$C1666,'Operations Support'!$B1666),0)</f>
        <v>0</v>
      </c>
      <c r="X1666" s="200">
        <f ca="1">W1666*'Expenditure Study'!$B$31</f>
        <v>0</v>
      </c>
      <c r="Y1666" s="199">
        <f ca="1">U1666*'Expenditure Study'!$B$31</f>
        <v>0</v>
      </c>
      <c r="Z1666" s="200">
        <f ca="1">W1666*'Expenditure Study'!$B$31</f>
        <v>0</v>
      </c>
      <c r="AA1666" s="195">
        <f t="shared" ca="1" si="358"/>
        <v>0</v>
      </c>
      <c r="AB1666" s="195">
        <f t="shared" ca="1" si="359"/>
        <v>0</v>
      </c>
      <c r="AD1666" s="196">
        <f>IFERROR($G1666/SUMIF($A:$A,$A1666,$G:$G)*SUMIF(Summary!$A$166:$A$242,$A1666,Summary!$P$166:$P$242),0)</f>
        <v>0</v>
      </c>
      <c r="AE1666" s="197">
        <f t="shared" ca="1" si="360"/>
        <v>0</v>
      </c>
      <c r="AF1666" s="196">
        <f>IFERROR(G1666/SUMIF(A:A,A1666,G:G)*SUMIF(Summary!$A$166:$A$242,'Operations Support'!A1666,Summary!$Q$166:$Q$242),0)</f>
        <v>0</v>
      </c>
      <c r="AG1666" s="196">
        <f t="shared" ca="1" si="361"/>
        <v>0</v>
      </c>
      <c r="AI1666" s="196">
        <f>IFERROR($G1666/SUMIF($A:$A,$A1666,$G:$G)*SUMIF(Summary!$A$247:$A$283,$A1666,Summary!$P$247:$P$283),0)</f>
        <v>0</v>
      </c>
      <c r="AJ1666" s="196">
        <f>IFERROR($G1666/SUMIF($A:$A,$A1666,$G:$G)*(SUMIF(Summary!$A$247:$A$283,$A1666,Summary!$L$247:$L$283)+SUMIF(Summary!$A$297:$A$333,$A1666,Summary!$L$297:$L$333))-AI1666,0)</f>
        <v>0</v>
      </c>
      <c r="AK1666" s="196">
        <f>IFERROR($G1666/SUMIF($A:$A,$A1666,$G:$G)*SUMIF(Summary!$A$247:$A$283,$A1666,Summary!$Q$247:$Q$283),0)</f>
        <v>0</v>
      </c>
      <c r="AL1666" s="196">
        <f>IFERROR($G1666/SUMIF($A:$A,$A1666,$G:$G)*(SUMIF(Summary!$A$247:$A$283,$A1666,Summary!$L$247:$L$283)+SUMIF(Summary!$A$297:$A$333,$A1666,Summary!$L$297:$L$333))-AK1666,0)</f>
        <v>0</v>
      </c>
      <c r="AM1666" s="198"/>
      <c r="AN1666" s="196">
        <f t="shared" ca="1" si="362"/>
        <v>0</v>
      </c>
      <c r="AO1666" s="196">
        <f t="shared" ca="1" si="363"/>
        <v>0</v>
      </c>
    </row>
    <row r="1667" spans="1:41">
      <c r="A1667" s="189">
        <v>3642</v>
      </c>
      <c r="B1667" s="190">
        <v>5</v>
      </c>
      <c r="C1667" s="191" t="s">
        <v>223</v>
      </c>
      <c r="D1667" s="192">
        <f t="shared" si="350"/>
        <v>0</v>
      </c>
      <c r="E1667" s="192">
        <f t="shared" si="351"/>
        <v>0</v>
      </c>
      <c r="F1667" s="192">
        <f t="shared" si="352"/>
        <v>0</v>
      </c>
      <c r="G1667" s="193">
        <f t="shared" si="353"/>
        <v>0</v>
      </c>
      <c r="H1667" s="194">
        <v>0</v>
      </c>
      <c r="I1667" s="194">
        <v>0</v>
      </c>
      <c r="J1667" s="194">
        <v>0</v>
      </c>
      <c r="K1667" s="193">
        <f t="shared" si="354"/>
        <v>0</v>
      </c>
      <c r="L1667" s="194">
        <v>0</v>
      </c>
      <c r="M1667" s="194">
        <v>0</v>
      </c>
      <c r="N1667" s="194">
        <v>0</v>
      </c>
      <c r="O1667" s="193">
        <f t="shared" si="355"/>
        <v>0</v>
      </c>
      <c r="P1667" s="194">
        <v>0</v>
      </c>
      <c r="Q1667" s="194">
        <v>0</v>
      </c>
      <c r="R1667" s="194">
        <v>0</v>
      </c>
      <c r="S1667" s="193">
        <f t="shared" si="356"/>
        <v>0</v>
      </c>
      <c r="T1667" s="193">
        <f t="shared" si="357"/>
        <v>0</v>
      </c>
      <c r="U1667" s="193">
        <f ca="1">OFFSET('Expenditure Study'!$B$7,'Operations Support'!$C1667,'Operations Support'!$B1667)*$G1667</f>
        <v>0</v>
      </c>
      <c r="V1667" s="199">
        <f ca="1">U1667*'Expenditure Study'!$B$31</f>
        <v>0</v>
      </c>
      <c r="W1667" s="199">
        <f ca="1">IF(A1667=10298,1.51,1)*IF($B1667&lt;3,$D1667*'Expenditure Study'!$B$32*OFFSET('Expenditure Study'!$B$7,'Operations Support'!$C1667,'Operations Support'!$B1667),0)</f>
        <v>0</v>
      </c>
      <c r="X1667" s="200">
        <f ca="1">W1667*'Expenditure Study'!$B$31</f>
        <v>0</v>
      </c>
      <c r="Y1667" s="199">
        <f ca="1">U1667*'Expenditure Study'!$B$31</f>
        <v>0</v>
      </c>
      <c r="Z1667" s="200">
        <f ca="1">W1667*'Expenditure Study'!$B$31</f>
        <v>0</v>
      </c>
      <c r="AA1667" s="195">
        <f t="shared" ca="1" si="358"/>
        <v>0</v>
      </c>
      <c r="AB1667" s="195">
        <f t="shared" ca="1" si="359"/>
        <v>0</v>
      </c>
      <c r="AD1667" s="196">
        <f>IFERROR($G1667/SUMIF($A:$A,$A1667,$G:$G)*SUMIF(Summary!$A$166:$A$242,$A1667,Summary!$P$166:$P$242),0)</f>
        <v>0</v>
      </c>
      <c r="AE1667" s="197">
        <f t="shared" ca="1" si="360"/>
        <v>0</v>
      </c>
      <c r="AF1667" s="196">
        <f>IFERROR(G1667/SUMIF(A:A,A1667,G:G)*SUMIF(Summary!$A$166:$A$242,'Operations Support'!A1667,Summary!$Q$166:$Q$242),0)</f>
        <v>0</v>
      </c>
      <c r="AG1667" s="196">
        <f t="shared" ca="1" si="361"/>
        <v>0</v>
      </c>
      <c r="AI1667" s="196">
        <f>IFERROR($G1667/SUMIF($A:$A,$A1667,$G:$G)*SUMIF(Summary!$A$247:$A$283,$A1667,Summary!$P$247:$P$283),0)</f>
        <v>0</v>
      </c>
      <c r="AJ1667" s="196">
        <f>IFERROR($G1667/SUMIF($A:$A,$A1667,$G:$G)*(SUMIF(Summary!$A$247:$A$283,$A1667,Summary!$L$247:$L$283)+SUMIF(Summary!$A$297:$A$333,$A1667,Summary!$L$297:$L$333))-AI1667,0)</f>
        <v>0</v>
      </c>
      <c r="AK1667" s="196">
        <f>IFERROR($G1667/SUMIF($A:$A,$A1667,$G:$G)*SUMIF(Summary!$A$247:$A$283,$A1667,Summary!$Q$247:$Q$283),0)</f>
        <v>0</v>
      </c>
      <c r="AL1667" s="196">
        <f>IFERROR($G1667/SUMIF($A:$A,$A1667,$G:$G)*(SUMIF(Summary!$A$247:$A$283,$A1667,Summary!$L$247:$L$283)+SUMIF(Summary!$A$297:$A$333,$A1667,Summary!$L$297:$L$333))-AK1667,0)</f>
        <v>0</v>
      </c>
      <c r="AM1667" s="198"/>
      <c r="AN1667" s="196">
        <f t="shared" ca="1" si="362"/>
        <v>0</v>
      </c>
      <c r="AO1667" s="196">
        <f t="shared" ca="1" si="363"/>
        <v>0</v>
      </c>
    </row>
    <row r="1668" spans="1:41" s="201" customFormat="1">
      <c r="A1668" s="189">
        <v>3642</v>
      </c>
      <c r="B1668" s="190">
        <v>5</v>
      </c>
      <c r="C1668" s="191" t="s">
        <v>224</v>
      </c>
      <c r="D1668" s="192">
        <f t="shared" si="350"/>
        <v>0</v>
      </c>
      <c r="E1668" s="192">
        <f t="shared" si="351"/>
        <v>0</v>
      </c>
      <c r="F1668" s="192">
        <f t="shared" si="352"/>
        <v>0</v>
      </c>
      <c r="G1668" s="193">
        <f t="shared" si="353"/>
        <v>0</v>
      </c>
      <c r="H1668" s="194">
        <v>0</v>
      </c>
      <c r="I1668" s="194">
        <v>0</v>
      </c>
      <c r="J1668" s="194">
        <v>0</v>
      </c>
      <c r="K1668" s="193">
        <f t="shared" si="354"/>
        <v>0</v>
      </c>
      <c r="L1668" s="194">
        <v>0</v>
      </c>
      <c r="M1668" s="194">
        <v>0</v>
      </c>
      <c r="N1668" s="194">
        <v>0</v>
      </c>
      <c r="O1668" s="193">
        <f t="shared" si="355"/>
        <v>0</v>
      </c>
      <c r="P1668" s="194">
        <v>0</v>
      </c>
      <c r="Q1668" s="194">
        <v>0</v>
      </c>
      <c r="R1668" s="194">
        <v>0</v>
      </c>
      <c r="S1668" s="193">
        <f t="shared" si="356"/>
        <v>0</v>
      </c>
      <c r="T1668" s="193">
        <f t="shared" si="357"/>
        <v>0</v>
      </c>
      <c r="U1668" s="193">
        <f ca="1">OFFSET('Expenditure Study'!$B$7,'Operations Support'!$C1668,'Operations Support'!$B1668)*$G1668</f>
        <v>0</v>
      </c>
      <c r="V1668" s="199">
        <f ca="1">U1668*'Expenditure Study'!$B$31</f>
        <v>0</v>
      </c>
      <c r="W1668" s="199">
        <f ca="1">IF(A1668=10298,1.51,1)*IF($B1668&lt;3,$D1668*'Expenditure Study'!$B$32*OFFSET('Expenditure Study'!$B$7,'Operations Support'!$C1668,'Operations Support'!$B1668),0)</f>
        <v>0</v>
      </c>
      <c r="X1668" s="200">
        <f ca="1">W1668*'Expenditure Study'!$B$31</f>
        <v>0</v>
      </c>
      <c r="Y1668" s="199">
        <f ca="1">U1668*'Expenditure Study'!$B$31</f>
        <v>0</v>
      </c>
      <c r="Z1668" s="200">
        <f ca="1">W1668*'Expenditure Study'!$B$31</f>
        <v>0</v>
      </c>
      <c r="AA1668" s="195">
        <f t="shared" ca="1" si="358"/>
        <v>0</v>
      </c>
      <c r="AB1668" s="195">
        <f t="shared" ca="1" si="359"/>
        <v>0</v>
      </c>
      <c r="AD1668" s="196">
        <f>IFERROR($G1668/SUMIF($A:$A,$A1668,$G:$G)*SUMIF(Summary!$A$166:$A$242,$A1668,Summary!$P$166:$P$242),0)</f>
        <v>0</v>
      </c>
      <c r="AE1668" s="197">
        <f t="shared" ca="1" si="360"/>
        <v>0</v>
      </c>
      <c r="AF1668" s="196">
        <f>IFERROR(G1668/SUMIF(A:A,A1668,G:G)*SUMIF(Summary!$A$166:$A$242,'Operations Support'!A1668,Summary!$Q$166:$Q$242),0)</f>
        <v>0</v>
      </c>
      <c r="AG1668" s="196">
        <f t="shared" ca="1" si="361"/>
        <v>0</v>
      </c>
      <c r="AH1668" s="180"/>
      <c r="AI1668" s="196">
        <f>IFERROR($G1668/SUMIF($A:$A,$A1668,$G:$G)*SUMIF(Summary!$A$247:$A$283,$A1668,Summary!$P$247:$P$283),0)</f>
        <v>0</v>
      </c>
      <c r="AJ1668" s="196">
        <f>IFERROR($G1668/SUMIF($A:$A,$A1668,$G:$G)*(SUMIF(Summary!$A$247:$A$283,$A1668,Summary!$L$247:$L$283)+SUMIF(Summary!$A$297:$A$333,$A1668,Summary!$L$297:$L$333))-AI1668,0)</f>
        <v>0</v>
      </c>
      <c r="AK1668" s="196">
        <f>IFERROR($G1668/SUMIF($A:$A,$A1668,$G:$G)*SUMIF(Summary!$A$247:$A$283,$A1668,Summary!$Q$247:$Q$283),0)</f>
        <v>0</v>
      </c>
      <c r="AL1668" s="196">
        <f>IFERROR($G1668/SUMIF($A:$A,$A1668,$G:$G)*(SUMIF(Summary!$A$247:$A$283,$A1668,Summary!$L$247:$L$283)+SUMIF(Summary!$A$297:$A$333,$A1668,Summary!$L$297:$L$333))-AK1668,0)</f>
        <v>0</v>
      </c>
      <c r="AM1668" s="198"/>
      <c r="AN1668" s="196">
        <f t="shared" ca="1" si="362"/>
        <v>0</v>
      </c>
      <c r="AO1668" s="196">
        <f t="shared" ca="1" si="363"/>
        <v>0</v>
      </c>
    </row>
    <row r="1669" spans="1:41" s="201" customFormat="1">
      <c r="A1669" s="189">
        <v>3642</v>
      </c>
      <c r="B1669" s="190">
        <v>5</v>
      </c>
      <c r="C1669" s="191" t="s">
        <v>225</v>
      </c>
      <c r="D1669" s="192">
        <f t="shared" ref="D1669:D1732" si="364">H1669+L1669+P1669</f>
        <v>0</v>
      </c>
      <c r="E1669" s="192">
        <f t="shared" ref="E1669:E1732" si="365">I1669+M1669+Q1669</f>
        <v>0</v>
      </c>
      <c r="F1669" s="192">
        <f t="shared" ref="F1669:F1732" si="366">J1669+N1669+R1669</f>
        <v>0</v>
      </c>
      <c r="G1669" s="193">
        <f t="shared" ref="G1669:G1732" si="367">(SUM(D1669:E1669)-F1669)*IF(A1669=10298,1.51,1)</f>
        <v>0</v>
      </c>
      <c r="H1669" s="194">
        <v>0</v>
      </c>
      <c r="I1669" s="194">
        <v>0</v>
      </c>
      <c r="J1669" s="194">
        <v>0</v>
      </c>
      <c r="K1669" s="193">
        <f t="shared" ref="K1669:K1732" si="368">SUM(H1669:I1669)-J1669</f>
        <v>0</v>
      </c>
      <c r="L1669" s="194">
        <v>0</v>
      </c>
      <c r="M1669" s="194">
        <v>0</v>
      </c>
      <c r="N1669" s="194">
        <v>0</v>
      </c>
      <c r="O1669" s="193">
        <f t="shared" ref="O1669:O1732" si="369">SUM(L1669:M1669)-N1669</f>
        <v>0</v>
      </c>
      <c r="P1669" s="194">
        <v>0</v>
      </c>
      <c r="Q1669" s="194">
        <v>0</v>
      </c>
      <c r="R1669" s="194">
        <v>0</v>
      </c>
      <c r="S1669" s="193">
        <f t="shared" ref="S1669:S1732" si="370">SUM(P1669:Q1669)-R1669</f>
        <v>0</v>
      </c>
      <c r="T1669" s="193">
        <f t="shared" ref="T1669:T1732" si="371">IF(OR(B1669=1,B1669=2),G1669/30,IF(OR(B1669=3,B1669=5),G1669/24,IF(B1669=4,G1669/18,0)))</f>
        <v>0</v>
      </c>
      <c r="U1669" s="193">
        <f ca="1">OFFSET('Expenditure Study'!$B$7,'Operations Support'!$C1669,'Operations Support'!$B1669)*$G1669</f>
        <v>0</v>
      </c>
      <c r="V1669" s="199">
        <f ca="1">U1669*'Expenditure Study'!$B$31</f>
        <v>0</v>
      </c>
      <c r="W1669" s="199">
        <f ca="1">IF(A1669=10298,1.51,1)*IF($B1669&lt;3,$D1669*'Expenditure Study'!$B$32*OFFSET('Expenditure Study'!$B$7,'Operations Support'!$C1669,'Operations Support'!$B1669),0)</f>
        <v>0</v>
      </c>
      <c r="X1669" s="200">
        <f ca="1">W1669*'Expenditure Study'!$B$31</f>
        <v>0</v>
      </c>
      <c r="Y1669" s="199">
        <f ca="1">U1669*'Expenditure Study'!$B$31</f>
        <v>0</v>
      </c>
      <c r="Z1669" s="200">
        <f ca="1">W1669*'Expenditure Study'!$B$31</f>
        <v>0</v>
      </c>
      <c r="AA1669" s="195">
        <f t="shared" ref="AA1669:AA1732" ca="1" si="372">V1669+X1669</f>
        <v>0</v>
      </c>
      <c r="AB1669" s="195">
        <f t="shared" ref="AB1669:AB1732" ca="1" si="373">Y1669+Z1669</f>
        <v>0</v>
      </c>
      <c r="AD1669" s="196">
        <f>IFERROR($G1669/SUMIF($A:$A,$A1669,$G:$G)*SUMIF(Summary!$A$166:$A$242,$A1669,Summary!$P$166:$P$242),0)</f>
        <v>0</v>
      </c>
      <c r="AE1669" s="197">
        <f t="shared" ca="1" si="360"/>
        <v>0</v>
      </c>
      <c r="AF1669" s="196">
        <f>IFERROR(G1669/SUMIF(A:A,A1669,G:G)*SUMIF(Summary!$A$166:$A$242,'Operations Support'!A1669,Summary!$Q$166:$Q$242),0)</f>
        <v>0</v>
      </c>
      <c r="AG1669" s="196">
        <f t="shared" ca="1" si="361"/>
        <v>0</v>
      </c>
      <c r="AH1669" s="180"/>
      <c r="AI1669" s="196">
        <f>IFERROR($G1669/SUMIF($A:$A,$A1669,$G:$G)*SUMIF(Summary!$A$247:$A$283,$A1669,Summary!$P$247:$P$283),0)</f>
        <v>0</v>
      </c>
      <c r="AJ1669" s="196">
        <f>IFERROR($G1669/SUMIF($A:$A,$A1669,$G:$G)*(SUMIF(Summary!$A$247:$A$283,$A1669,Summary!$L$247:$L$283)+SUMIF(Summary!$A$297:$A$333,$A1669,Summary!$L$297:$L$333))-AI1669,0)</f>
        <v>0</v>
      </c>
      <c r="AK1669" s="196">
        <f>IFERROR($G1669/SUMIF($A:$A,$A1669,$G:$G)*SUMIF(Summary!$A$247:$A$283,$A1669,Summary!$Q$247:$Q$283),0)</f>
        <v>0</v>
      </c>
      <c r="AL1669" s="196">
        <f>IFERROR($G1669/SUMIF($A:$A,$A1669,$G:$G)*(SUMIF(Summary!$A$247:$A$283,$A1669,Summary!$L$247:$L$283)+SUMIF(Summary!$A$297:$A$333,$A1669,Summary!$L$297:$L$333))-AK1669,0)</f>
        <v>0</v>
      </c>
      <c r="AM1669" s="198"/>
      <c r="AN1669" s="196">
        <f t="shared" ca="1" si="362"/>
        <v>0</v>
      </c>
      <c r="AO1669" s="196">
        <f t="shared" ca="1" si="363"/>
        <v>0</v>
      </c>
    </row>
    <row r="1670" spans="1:41">
      <c r="A1670" s="189">
        <v>3642</v>
      </c>
      <c r="B1670" s="190">
        <v>5</v>
      </c>
      <c r="C1670" s="191" t="s">
        <v>226</v>
      </c>
      <c r="D1670" s="192">
        <f t="shared" si="364"/>
        <v>0</v>
      </c>
      <c r="E1670" s="192">
        <f t="shared" si="365"/>
        <v>0</v>
      </c>
      <c r="F1670" s="192">
        <f t="shared" si="366"/>
        <v>0</v>
      </c>
      <c r="G1670" s="193">
        <f t="shared" si="367"/>
        <v>0</v>
      </c>
      <c r="H1670" s="194">
        <v>0</v>
      </c>
      <c r="I1670" s="194">
        <v>0</v>
      </c>
      <c r="J1670" s="194">
        <v>0</v>
      </c>
      <c r="K1670" s="193">
        <f t="shared" si="368"/>
        <v>0</v>
      </c>
      <c r="L1670" s="194">
        <v>0</v>
      </c>
      <c r="M1670" s="194">
        <v>0</v>
      </c>
      <c r="N1670" s="194">
        <v>0</v>
      </c>
      <c r="O1670" s="193">
        <f t="shared" si="369"/>
        <v>0</v>
      </c>
      <c r="P1670" s="194">
        <v>0</v>
      </c>
      <c r="Q1670" s="194">
        <v>0</v>
      </c>
      <c r="R1670" s="194">
        <v>0</v>
      </c>
      <c r="S1670" s="193">
        <f t="shared" si="370"/>
        <v>0</v>
      </c>
      <c r="T1670" s="193">
        <f t="shared" si="371"/>
        <v>0</v>
      </c>
      <c r="U1670" s="193">
        <f ca="1">OFFSET('Expenditure Study'!$B$7,'Operations Support'!$C1670,'Operations Support'!$B1670)*$G1670</f>
        <v>0</v>
      </c>
      <c r="V1670" s="199">
        <f ca="1">U1670*'Expenditure Study'!$B$31</f>
        <v>0</v>
      </c>
      <c r="W1670" s="199">
        <f ca="1">IF(A1670=10298,1.51,1)*IF($B1670&lt;3,$D1670*'Expenditure Study'!$B$32*OFFSET('Expenditure Study'!$B$7,'Operations Support'!$C1670,'Operations Support'!$B1670),0)</f>
        <v>0</v>
      </c>
      <c r="X1670" s="200">
        <f ca="1">W1670*'Expenditure Study'!$B$31</f>
        <v>0</v>
      </c>
      <c r="Y1670" s="199">
        <f ca="1">U1670*'Expenditure Study'!$B$31</f>
        <v>0</v>
      </c>
      <c r="Z1670" s="200">
        <f ca="1">W1670*'Expenditure Study'!$B$31</f>
        <v>0</v>
      </c>
      <c r="AA1670" s="195">
        <f t="shared" ca="1" si="372"/>
        <v>0</v>
      </c>
      <c r="AB1670" s="195">
        <f t="shared" ca="1" si="373"/>
        <v>0</v>
      </c>
      <c r="AD1670" s="196">
        <f>IFERROR($G1670/SUMIF($A:$A,$A1670,$G:$G)*SUMIF(Summary!$A$166:$A$242,$A1670,Summary!$P$166:$P$242),0)</f>
        <v>0</v>
      </c>
      <c r="AE1670" s="197">
        <f t="shared" ref="AE1670:AE1733" ca="1" si="374">V1670+X1670-AD1670</f>
        <v>0</v>
      </c>
      <c r="AF1670" s="196">
        <f>IFERROR(G1670/SUMIF(A:A,A1670,G:G)*SUMIF(Summary!$A$166:$A$242,'Operations Support'!A1670,Summary!$Q$166:$Q$242),0)</f>
        <v>0</v>
      </c>
      <c r="AG1670" s="196">
        <f t="shared" ref="AG1670:AG1733" ca="1" si="375">Y1670+Z1670-AF1670</f>
        <v>0</v>
      </c>
      <c r="AI1670" s="196">
        <f>IFERROR($G1670/SUMIF($A:$A,$A1670,$G:$G)*SUMIF(Summary!$A$247:$A$283,$A1670,Summary!$P$247:$P$283),0)</f>
        <v>0</v>
      </c>
      <c r="AJ1670" s="196">
        <f>IFERROR($G1670/SUMIF($A:$A,$A1670,$G:$G)*(SUMIF(Summary!$A$247:$A$283,$A1670,Summary!$L$247:$L$283)+SUMIF(Summary!$A$297:$A$333,$A1670,Summary!$L$297:$L$333))-AI1670,0)</f>
        <v>0</v>
      </c>
      <c r="AK1670" s="196">
        <f>IFERROR($G1670/SUMIF($A:$A,$A1670,$G:$G)*SUMIF(Summary!$A$247:$A$283,$A1670,Summary!$Q$247:$Q$283),0)</f>
        <v>0</v>
      </c>
      <c r="AL1670" s="196">
        <f>IFERROR($G1670/SUMIF($A:$A,$A1670,$G:$G)*(SUMIF(Summary!$A$247:$A$283,$A1670,Summary!$L$247:$L$283)+SUMIF(Summary!$A$297:$A$333,$A1670,Summary!$L$297:$L$333))-AK1670,0)</f>
        <v>0</v>
      </c>
      <c r="AM1670" s="198"/>
      <c r="AN1670" s="196">
        <f t="shared" ref="AN1670:AN1733" ca="1" si="376">AE1670+AJ1670</f>
        <v>0</v>
      </c>
      <c r="AO1670" s="196">
        <f t="shared" ref="AO1670:AO1733" ca="1" si="377">AG1670+AL1670</f>
        <v>0</v>
      </c>
    </row>
    <row r="1671" spans="1:41">
      <c r="A1671" s="189">
        <v>3642</v>
      </c>
      <c r="B1671" s="190">
        <v>5</v>
      </c>
      <c r="C1671" s="191" t="s">
        <v>227</v>
      </c>
      <c r="D1671" s="192">
        <f t="shared" si="364"/>
        <v>11513</v>
      </c>
      <c r="E1671" s="192">
        <f t="shared" si="365"/>
        <v>5624</v>
      </c>
      <c r="F1671" s="192">
        <f t="shared" si="366"/>
        <v>0</v>
      </c>
      <c r="G1671" s="193">
        <f t="shared" si="367"/>
        <v>17137</v>
      </c>
      <c r="H1671" s="194">
        <v>4977</v>
      </c>
      <c r="I1671" s="194">
        <v>2900</v>
      </c>
      <c r="J1671" s="194">
        <v>0</v>
      </c>
      <c r="K1671" s="193">
        <f t="shared" si="368"/>
        <v>7877</v>
      </c>
      <c r="L1671" s="194">
        <v>6242</v>
      </c>
      <c r="M1671" s="194">
        <v>1937</v>
      </c>
      <c r="N1671" s="194">
        <v>0</v>
      </c>
      <c r="O1671" s="193">
        <f t="shared" si="369"/>
        <v>8179</v>
      </c>
      <c r="P1671" s="194">
        <v>294</v>
      </c>
      <c r="Q1671" s="194">
        <v>787</v>
      </c>
      <c r="R1671" s="194">
        <v>0</v>
      </c>
      <c r="S1671" s="193">
        <f t="shared" si="370"/>
        <v>1081</v>
      </c>
      <c r="T1671" s="193">
        <f t="shared" si="371"/>
        <v>714.04166666666663</v>
      </c>
      <c r="U1671" s="193">
        <f ca="1">OFFSET('Expenditure Study'!$B$7,'Operations Support'!$C1671,'Operations Support'!$B1671)*$G1671</f>
        <v>94253.5</v>
      </c>
      <c r="V1671" s="199">
        <f ca="1">U1671*'Expenditure Study'!$B$31</f>
        <v>5568796.5815327996</v>
      </c>
      <c r="W1671" s="199">
        <f ca="1">IF(A1671=10298,1.51,1)*IF($B1671&lt;3,$D1671*'Expenditure Study'!$B$32*OFFSET('Expenditure Study'!$B$7,'Operations Support'!$C1671,'Operations Support'!$B1671),0)</f>
        <v>0</v>
      </c>
      <c r="X1671" s="200">
        <f ca="1">W1671*'Expenditure Study'!$B$31</f>
        <v>0</v>
      </c>
      <c r="Y1671" s="199">
        <f ca="1">U1671*'Expenditure Study'!$B$31</f>
        <v>5568796.5815327996</v>
      </c>
      <c r="Z1671" s="200">
        <f ca="1">W1671*'Expenditure Study'!$B$31</f>
        <v>0</v>
      </c>
      <c r="AA1671" s="195">
        <f t="shared" ca="1" si="372"/>
        <v>5568796.5815327996</v>
      </c>
      <c r="AB1671" s="195">
        <f t="shared" ca="1" si="373"/>
        <v>5568796.5815327996</v>
      </c>
      <c r="AD1671" s="196">
        <f>IFERROR($G1671/SUMIF($A:$A,$A1671,$G:$G)*SUMIF(Summary!$A$166:$A$242,$A1671,Summary!$P$166:$P$242),0)</f>
        <v>1029782.1806309205</v>
      </c>
      <c r="AE1671" s="197">
        <f t="shared" ca="1" si="374"/>
        <v>4539014.4009018792</v>
      </c>
      <c r="AF1671" s="196">
        <f>IFERROR(G1671/SUMIF(A:A,A1671,G:G)*SUMIF(Summary!$A$166:$A$242,'Operations Support'!A1671,Summary!$Q$166:$Q$242),0)</f>
        <v>1034671.633489811</v>
      </c>
      <c r="AG1671" s="196">
        <f t="shared" ca="1" si="375"/>
        <v>4534124.9480429888</v>
      </c>
      <c r="AI1671" s="196">
        <f>IFERROR($G1671/SUMIF($A:$A,$A1671,$G:$G)*SUMIF(Summary!$A$247:$A$283,$A1671,Summary!$P$247:$P$283),0)</f>
        <v>187806.57181921633</v>
      </c>
      <c r="AJ1671" s="196">
        <f>IFERROR($G1671/SUMIF($A:$A,$A1671,$G:$G)*(SUMIF(Summary!$A$247:$A$283,$A1671,Summary!$L$247:$L$283)+SUMIF(Summary!$A$297:$A$333,$A1671,Summary!$L$297:$L$333))-AI1671,0)</f>
        <v>350080.13607258059</v>
      </c>
      <c r="AK1671" s="196">
        <f>IFERROR($G1671/SUMIF($A:$A,$A1671,$G:$G)*SUMIF(Summary!$A$247:$A$283,$A1671,Summary!$Q$247:$Q$283),0)</f>
        <v>188698.28600574197</v>
      </c>
      <c r="AL1671" s="196">
        <f>IFERROR($G1671/SUMIF($A:$A,$A1671,$G:$G)*(SUMIF(Summary!$A$247:$A$283,$A1671,Summary!$L$247:$L$283)+SUMIF(Summary!$A$297:$A$333,$A1671,Summary!$L$297:$L$333))-AK1671,0)</f>
        <v>349188.42188605497</v>
      </c>
      <c r="AM1671" s="198"/>
      <c r="AN1671" s="196">
        <f t="shared" ca="1" si="376"/>
        <v>4889094.5369744599</v>
      </c>
      <c r="AO1671" s="196">
        <f t="shared" ca="1" si="377"/>
        <v>4883313.3699290436</v>
      </c>
    </row>
    <row r="1672" spans="1:41">
      <c r="A1672" s="189">
        <v>3642</v>
      </c>
      <c r="B1672" s="190">
        <v>5</v>
      </c>
      <c r="C1672" s="191" t="s">
        <v>228</v>
      </c>
      <c r="D1672" s="192">
        <f t="shared" si="364"/>
        <v>0</v>
      </c>
      <c r="E1672" s="192">
        <f t="shared" si="365"/>
        <v>0</v>
      </c>
      <c r="F1672" s="192">
        <f t="shared" si="366"/>
        <v>0</v>
      </c>
      <c r="G1672" s="193">
        <f t="shared" si="367"/>
        <v>0</v>
      </c>
      <c r="H1672" s="194">
        <v>0</v>
      </c>
      <c r="I1672" s="194">
        <v>0</v>
      </c>
      <c r="J1672" s="194">
        <v>0</v>
      </c>
      <c r="K1672" s="193">
        <f t="shared" si="368"/>
        <v>0</v>
      </c>
      <c r="L1672" s="194">
        <v>0</v>
      </c>
      <c r="M1672" s="194">
        <v>0</v>
      </c>
      <c r="N1672" s="194">
        <v>0</v>
      </c>
      <c r="O1672" s="193">
        <f t="shared" si="369"/>
        <v>0</v>
      </c>
      <c r="P1672" s="194">
        <v>0</v>
      </c>
      <c r="Q1672" s="194">
        <v>0</v>
      </c>
      <c r="R1672" s="194">
        <v>0</v>
      </c>
      <c r="S1672" s="193">
        <f t="shared" si="370"/>
        <v>0</v>
      </c>
      <c r="T1672" s="193">
        <f t="shared" si="371"/>
        <v>0</v>
      </c>
      <c r="U1672" s="193">
        <f ca="1">OFFSET('Expenditure Study'!$B$7,'Operations Support'!$C1672,'Operations Support'!$B1672)*$G1672</f>
        <v>0</v>
      </c>
      <c r="V1672" s="199">
        <f ca="1">U1672*'Expenditure Study'!$B$31</f>
        <v>0</v>
      </c>
      <c r="W1672" s="199">
        <f ca="1">IF(A1672=10298,1.51,1)*IF($B1672&lt;3,$D1672*'Expenditure Study'!$B$32*OFFSET('Expenditure Study'!$B$7,'Operations Support'!$C1672,'Operations Support'!$B1672),0)</f>
        <v>0</v>
      </c>
      <c r="X1672" s="200">
        <f ca="1">W1672*'Expenditure Study'!$B$31</f>
        <v>0</v>
      </c>
      <c r="Y1672" s="199">
        <f ca="1">U1672*'Expenditure Study'!$B$31</f>
        <v>0</v>
      </c>
      <c r="Z1672" s="200">
        <f ca="1">W1672*'Expenditure Study'!$B$31</f>
        <v>0</v>
      </c>
      <c r="AA1672" s="195">
        <f t="shared" ca="1" si="372"/>
        <v>0</v>
      </c>
      <c r="AB1672" s="195">
        <f t="shared" ca="1" si="373"/>
        <v>0</v>
      </c>
      <c r="AD1672" s="196">
        <f>IFERROR($G1672/SUMIF($A:$A,$A1672,$G:$G)*SUMIF(Summary!$A$166:$A$242,$A1672,Summary!$P$166:$P$242),0)</f>
        <v>0</v>
      </c>
      <c r="AE1672" s="197">
        <f t="shared" ca="1" si="374"/>
        <v>0</v>
      </c>
      <c r="AF1672" s="196">
        <f>IFERROR(G1672/SUMIF(A:A,A1672,G:G)*SUMIF(Summary!$A$166:$A$242,'Operations Support'!A1672,Summary!$Q$166:$Q$242),0)</f>
        <v>0</v>
      </c>
      <c r="AG1672" s="196">
        <f t="shared" ca="1" si="375"/>
        <v>0</v>
      </c>
      <c r="AI1672" s="196">
        <f>IFERROR($G1672/SUMIF($A:$A,$A1672,$G:$G)*SUMIF(Summary!$A$247:$A$283,$A1672,Summary!$P$247:$P$283),0)</f>
        <v>0</v>
      </c>
      <c r="AJ1672" s="196">
        <f>IFERROR($G1672/SUMIF($A:$A,$A1672,$G:$G)*(SUMIF(Summary!$A$247:$A$283,$A1672,Summary!$L$247:$L$283)+SUMIF(Summary!$A$297:$A$333,$A1672,Summary!$L$297:$L$333))-AI1672,0)</f>
        <v>0</v>
      </c>
      <c r="AK1672" s="196">
        <f>IFERROR($G1672/SUMIF($A:$A,$A1672,$G:$G)*SUMIF(Summary!$A$247:$A$283,$A1672,Summary!$Q$247:$Q$283),0)</f>
        <v>0</v>
      </c>
      <c r="AL1672" s="196">
        <f>IFERROR($G1672/SUMIF($A:$A,$A1672,$G:$G)*(SUMIF(Summary!$A$247:$A$283,$A1672,Summary!$L$247:$L$283)+SUMIF(Summary!$A$297:$A$333,$A1672,Summary!$L$297:$L$333))-AK1672,0)</f>
        <v>0</v>
      </c>
      <c r="AM1672" s="198"/>
      <c r="AN1672" s="196">
        <f t="shared" ca="1" si="376"/>
        <v>0</v>
      </c>
      <c r="AO1672" s="196">
        <f t="shared" ca="1" si="377"/>
        <v>0</v>
      </c>
    </row>
    <row r="1673" spans="1:41">
      <c r="A1673" s="189">
        <v>3642</v>
      </c>
      <c r="B1673" s="190">
        <v>5</v>
      </c>
      <c r="C1673" s="191" t="s">
        <v>229</v>
      </c>
      <c r="D1673" s="192">
        <f t="shared" si="364"/>
        <v>0</v>
      </c>
      <c r="E1673" s="192">
        <f t="shared" si="365"/>
        <v>0</v>
      </c>
      <c r="F1673" s="192">
        <f t="shared" si="366"/>
        <v>0</v>
      </c>
      <c r="G1673" s="193">
        <f t="shared" si="367"/>
        <v>0</v>
      </c>
      <c r="H1673" s="194">
        <v>0</v>
      </c>
      <c r="I1673" s="194">
        <v>0</v>
      </c>
      <c r="J1673" s="194">
        <v>0</v>
      </c>
      <c r="K1673" s="193">
        <f t="shared" si="368"/>
        <v>0</v>
      </c>
      <c r="L1673" s="194">
        <v>0</v>
      </c>
      <c r="M1673" s="194">
        <v>0</v>
      </c>
      <c r="N1673" s="194">
        <v>0</v>
      </c>
      <c r="O1673" s="193">
        <f t="shared" si="369"/>
        <v>0</v>
      </c>
      <c r="P1673" s="194">
        <v>0</v>
      </c>
      <c r="Q1673" s="194">
        <v>0</v>
      </c>
      <c r="R1673" s="194">
        <v>0</v>
      </c>
      <c r="S1673" s="193">
        <f t="shared" si="370"/>
        <v>0</v>
      </c>
      <c r="T1673" s="193">
        <f t="shared" si="371"/>
        <v>0</v>
      </c>
      <c r="U1673" s="193">
        <f ca="1">OFFSET('Expenditure Study'!$B$7,'Operations Support'!$C1673,'Operations Support'!$B1673)*$G1673</f>
        <v>0</v>
      </c>
      <c r="V1673" s="199">
        <f ca="1">U1673*'Expenditure Study'!$B$31</f>
        <v>0</v>
      </c>
      <c r="W1673" s="199">
        <f ca="1">IF(A1673=10298,1.51,1)*IF($B1673&lt;3,$D1673*'Expenditure Study'!$B$32*OFFSET('Expenditure Study'!$B$7,'Operations Support'!$C1673,'Operations Support'!$B1673),0)</f>
        <v>0</v>
      </c>
      <c r="X1673" s="200">
        <f ca="1">W1673*'Expenditure Study'!$B$31</f>
        <v>0</v>
      </c>
      <c r="Y1673" s="199">
        <f ca="1">U1673*'Expenditure Study'!$B$31</f>
        <v>0</v>
      </c>
      <c r="Z1673" s="200">
        <f ca="1">W1673*'Expenditure Study'!$B$31</f>
        <v>0</v>
      </c>
      <c r="AA1673" s="195">
        <f t="shared" ca="1" si="372"/>
        <v>0</v>
      </c>
      <c r="AB1673" s="195">
        <f t="shared" ca="1" si="373"/>
        <v>0</v>
      </c>
      <c r="AD1673" s="196">
        <f>IFERROR($G1673/SUMIF($A:$A,$A1673,$G:$G)*SUMIF(Summary!$A$166:$A$242,$A1673,Summary!$P$166:$P$242),0)</f>
        <v>0</v>
      </c>
      <c r="AE1673" s="197">
        <f t="shared" ca="1" si="374"/>
        <v>0</v>
      </c>
      <c r="AF1673" s="196">
        <f>IFERROR(G1673/SUMIF(A:A,A1673,G:G)*SUMIF(Summary!$A$166:$A$242,'Operations Support'!A1673,Summary!$Q$166:$Q$242),0)</f>
        <v>0</v>
      </c>
      <c r="AG1673" s="196">
        <f t="shared" ca="1" si="375"/>
        <v>0</v>
      </c>
      <c r="AI1673" s="196">
        <f>IFERROR($G1673/SUMIF($A:$A,$A1673,$G:$G)*SUMIF(Summary!$A$247:$A$283,$A1673,Summary!$P$247:$P$283),0)</f>
        <v>0</v>
      </c>
      <c r="AJ1673" s="196">
        <f>IFERROR($G1673/SUMIF($A:$A,$A1673,$G:$G)*(SUMIF(Summary!$A$247:$A$283,$A1673,Summary!$L$247:$L$283)+SUMIF(Summary!$A$297:$A$333,$A1673,Summary!$L$297:$L$333))-AI1673,0)</f>
        <v>0</v>
      </c>
      <c r="AK1673" s="196">
        <f>IFERROR($G1673/SUMIF($A:$A,$A1673,$G:$G)*SUMIF(Summary!$A$247:$A$283,$A1673,Summary!$Q$247:$Q$283),0)</f>
        <v>0</v>
      </c>
      <c r="AL1673" s="196">
        <f>IFERROR($G1673/SUMIF($A:$A,$A1673,$G:$G)*(SUMIF(Summary!$A$247:$A$283,$A1673,Summary!$L$247:$L$283)+SUMIF(Summary!$A$297:$A$333,$A1673,Summary!$L$297:$L$333))-AK1673,0)</f>
        <v>0</v>
      </c>
      <c r="AM1673" s="198"/>
      <c r="AN1673" s="196">
        <f t="shared" ca="1" si="376"/>
        <v>0</v>
      </c>
      <c r="AO1673" s="196">
        <f t="shared" ca="1" si="377"/>
        <v>0</v>
      </c>
    </row>
    <row r="1674" spans="1:41">
      <c r="A1674" s="189">
        <v>3642</v>
      </c>
      <c r="B1674" s="190">
        <v>5</v>
      </c>
      <c r="C1674" s="191" t="s">
        <v>230</v>
      </c>
      <c r="D1674" s="192">
        <f t="shared" si="364"/>
        <v>0</v>
      </c>
      <c r="E1674" s="192">
        <f t="shared" si="365"/>
        <v>0</v>
      </c>
      <c r="F1674" s="192">
        <f t="shared" si="366"/>
        <v>0</v>
      </c>
      <c r="G1674" s="193">
        <f t="shared" si="367"/>
        <v>0</v>
      </c>
      <c r="H1674" s="194">
        <v>0</v>
      </c>
      <c r="I1674" s="194">
        <v>0</v>
      </c>
      <c r="J1674" s="194">
        <v>0</v>
      </c>
      <c r="K1674" s="193">
        <f t="shared" si="368"/>
        <v>0</v>
      </c>
      <c r="L1674" s="194">
        <v>0</v>
      </c>
      <c r="M1674" s="194">
        <v>0</v>
      </c>
      <c r="N1674" s="194">
        <v>0</v>
      </c>
      <c r="O1674" s="193">
        <f t="shared" si="369"/>
        <v>0</v>
      </c>
      <c r="P1674" s="194">
        <v>0</v>
      </c>
      <c r="Q1674" s="194">
        <v>0</v>
      </c>
      <c r="R1674" s="194">
        <v>0</v>
      </c>
      <c r="S1674" s="193">
        <f t="shared" si="370"/>
        <v>0</v>
      </c>
      <c r="T1674" s="193">
        <f t="shared" si="371"/>
        <v>0</v>
      </c>
      <c r="U1674" s="193">
        <f ca="1">OFFSET('Expenditure Study'!$B$7,'Operations Support'!$C1674,'Operations Support'!$B1674)*$G1674</f>
        <v>0</v>
      </c>
      <c r="V1674" s="199">
        <f ca="1">U1674*'Expenditure Study'!$B$31</f>
        <v>0</v>
      </c>
      <c r="W1674" s="199">
        <f ca="1">IF(A1674=10298,1.51,1)*IF($B1674&lt;3,$D1674*'Expenditure Study'!$B$32*OFFSET('Expenditure Study'!$B$7,'Operations Support'!$C1674,'Operations Support'!$B1674),0)</f>
        <v>0</v>
      </c>
      <c r="X1674" s="200">
        <f ca="1">W1674*'Expenditure Study'!$B$31</f>
        <v>0</v>
      </c>
      <c r="Y1674" s="199">
        <f ca="1">U1674*'Expenditure Study'!$B$31</f>
        <v>0</v>
      </c>
      <c r="Z1674" s="200">
        <f ca="1">W1674*'Expenditure Study'!$B$31</f>
        <v>0</v>
      </c>
      <c r="AA1674" s="195">
        <f t="shared" ca="1" si="372"/>
        <v>0</v>
      </c>
      <c r="AB1674" s="195">
        <f t="shared" ca="1" si="373"/>
        <v>0</v>
      </c>
      <c r="AD1674" s="196">
        <f>IFERROR($G1674/SUMIF($A:$A,$A1674,$G:$G)*SUMIF(Summary!$A$166:$A$242,$A1674,Summary!$P$166:$P$242),0)</f>
        <v>0</v>
      </c>
      <c r="AE1674" s="197">
        <f t="shared" ca="1" si="374"/>
        <v>0</v>
      </c>
      <c r="AF1674" s="196">
        <f>IFERROR(G1674/SUMIF(A:A,A1674,G:G)*SUMIF(Summary!$A$166:$A$242,'Operations Support'!A1674,Summary!$Q$166:$Q$242),0)</f>
        <v>0</v>
      </c>
      <c r="AG1674" s="196">
        <f t="shared" ca="1" si="375"/>
        <v>0</v>
      </c>
      <c r="AI1674" s="196">
        <f>IFERROR($G1674/SUMIF($A:$A,$A1674,$G:$G)*SUMIF(Summary!$A$247:$A$283,$A1674,Summary!$P$247:$P$283),0)</f>
        <v>0</v>
      </c>
      <c r="AJ1674" s="196">
        <f>IFERROR($G1674/SUMIF($A:$A,$A1674,$G:$G)*(SUMIF(Summary!$A$247:$A$283,$A1674,Summary!$L$247:$L$283)+SUMIF(Summary!$A$297:$A$333,$A1674,Summary!$L$297:$L$333))-AI1674,0)</f>
        <v>0</v>
      </c>
      <c r="AK1674" s="196">
        <f>IFERROR($G1674/SUMIF($A:$A,$A1674,$G:$G)*SUMIF(Summary!$A$247:$A$283,$A1674,Summary!$Q$247:$Q$283),0)</f>
        <v>0</v>
      </c>
      <c r="AL1674" s="196">
        <f>IFERROR($G1674/SUMIF($A:$A,$A1674,$G:$G)*(SUMIF(Summary!$A$247:$A$283,$A1674,Summary!$L$247:$L$283)+SUMIF(Summary!$A$297:$A$333,$A1674,Summary!$L$297:$L$333))-AK1674,0)</f>
        <v>0</v>
      </c>
      <c r="AM1674" s="198"/>
      <c r="AN1674" s="196">
        <f t="shared" ca="1" si="376"/>
        <v>0</v>
      </c>
      <c r="AO1674" s="196">
        <f t="shared" ca="1" si="377"/>
        <v>0</v>
      </c>
    </row>
    <row r="1675" spans="1:41">
      <c r="A1675" s="189">
        <v>3642</v>
      </c>
      <c r="B1675" s="190">
        <v>5</v>
      </c>
      <c r="C1675" s="191" t="s">
        <v>231</v>
      </c>
      <c r="D1675" s="192">
        <f t="shared" si="364"/>
        <v>0</v>
      </c>
      <c r="E1675" s="192">
        <f t="shared" si="365"/>
        <v>0</v>
      </c>
      <c r="F1675" s="192">
        <f t="shared" si="366"/>
        <v>0</v>
      </c>
      <c r="G1675" s="193">
        <f t="shared" si="367"/>
        <v>0</v>
      </c>
      <c r="H1675" s="194">
        <v>0</v>
      </c>
      <c r="I1675" s="194">
        <v>0</v>
      </c>
      <c r="J1675" s="194">
        <v>0</v>
      </c>
      <c r="K1675" s="193">
        <f t="shared" si="368"/>
        <v>0</v>
      </c>
      <c r="L1675" s="194">
        <v>0</v>
      </c>
      <c r="M1675" s="194">
        <v>0</v>
      </c>
      <c r="N1675" s="194">
        <v>0</v>
      </c>
      <c r="O1675" s="193">
        <f t="shared" si="369"/>
        <v>0</v>
      </c>
      <c r="P1675" s="194">
        <v>0</v>
      </c>
      <c r="Q1675" s="194">
        <v>0</v>
      </c>
      <c r="R1675" s="194">
        <v>0</v>
      </c>
      <c r="S1675" s="193">
        <f t="shared" si="370"/>
        <v>0</v>
      </c>
      <c r="T1675" s="193">
        <f t="shared" si="371"/>
        <v>0</v>
      </c>
      <c r="U1675" s="193">
        <f ca="1">OFFSET('Expenditure Study'!$B$7,'Operations Support'!$C1675,'Operations Support'!$B1675)*$G1675</f>
        <v>0</v>
      </c>
      <c r="V1675" s="199">
        <f ca="1">U1675*'Expenditure Study'!$B$31</f>
        <v>0</v>
      </c>
      <c r="W1675" s="199">
        <f ca="1">IF(A1675=10298,1.51,1)*IF($B1675&lt;3,$D1675*'Expenditure Study'!$B$32*OFFSET('Expenditure Study'!$B$7,'Operations Support'!$C1675,'Operations Support'!$B1675),0)</f>
        <v>0</v>
      </c>
      <c r="X1675" s="200">
        <f ca="1">W1675*'Expenditure Study'!$B$31</f>
        <v>0</v>
      </c>
      <c r="Y1675" s="199">
        <f ca="1">U1675*'Expenditure Study'!$B$31</f>
        <v>0</v>
      </c>
      <c r="Z1675" s="200">
        <f ca="1">W1675*'Expenditure Study'!$B$31</f>
        <v>0</v>
      </c>
      <c r="AA1675" s="195">
        <f t="shared" ca="1" si="372"/>
        <v>0</v>
      </c>
      <c r="AB1675" s="195">
        <f t="shared" ca="1" si="373"/>
        <v>0</v>
      </c>
      <c r="AD1675" s="196">
        <f>IFERROR($G1675/SUMIF($A:$A,$A1675,$G:$G)*SUMIF(Summary!$A$166:$A$242,$A1675,Summary!$P$166:$P$242),0)</f>
        <v>0</v>
      </c>
      <c r="AE1675" s="197">
        <f t="shared" ca="1" si="374"/>
        <v>0</v>
      </c>
      <c r="AF1675" s="196">
        <f>IFERROR(G1675/SUMIF(A:A,A1675,G:G)*SUMIF(Summary!$A$166:$A$242,'Operations Support'!A1675,Summary!$Q$166:$Q$242),0)</f>
        <v>0</v>
      </c>
      <c r="AG1675" s="196">
        <f t="shared" ca="1" si="375"/>
        <v>0</v>
      </c>
      <c r="AI1675" s="196">
        <f>IFERROR($G1675/SUMIF($A:$A,$A1675,$G:$G)*SUMIF(Summary!$A$247:$A$283,$A1675,Summary!$P$247:$P$283),0)</f>
        <v>0</v>
      </c>
      <c r="AJ1675" s="196">
        <f>IFERROR($G1675/SUMIF($A:$A,$A1675,$G:$G)*(SUMIF(Summary!$A$247:$A$283,$A1675,Summary!$L$247:$L$283)+SUMIF(Summary!$A$297:$A$333,$A1675,Summary!$L$297:$L$333))-AI1675,0)</f>
        <v>0</v>
      </c>
      <c r="AK1675" s="196">
        <f>IFERROR($G1675/SUMIF($A:$A,$A1675,$G:$G)*SUMIF(Summary!$A$247:$A$283,$A1675,Summary!$Q$247:$Q$283),0)</f>
        <v>0</v>
      </c>
      <c r="AL1675" s="196">
        <f>IFERROR($G1675/SUMIF($A:$A,$A1675,$G:$G)*(SUMIF(Summary!$A$247:$A$283,$A1675,Summary!$L$247:$L$283)+SUMIF(Summary!$A$297:$A$333,$A1675,Summary!$L$297:$L$333))-AK1675,0)</f>
        <v>0</v>
      </c>
      <c r="AM1675" s="198"/>
      <c r="AN1675" s="196">
        <f t="shared" ca="1" si="376"/>
        <v>0</v>
      </c>
      <c r="AO1675" s="196">
        <f t="shared" ca="1" si="377"/>
        <v>0</v>
      </c>
    </row>
    <row r="1676" spans="1:41">
      <c r="A1676" s="189">
        <v>3642</v>
      </c>
      <c r="B1676" s="190">
        <v>5</v>
      </c>
      <c r="C1676" s="191" t="s">
        <v>232</v>
      </c>
      <c r="D1676" s="192">
        <f t="shared" si="364"/>
        <v>0</v>
      </c>
      <c r="E1676" s="192">
        <f t="shared" si="365"/>
        <v>0</v>
      </c>
      <c r="F1676" s="192">
        <f t="shared" si="366"/>
        <v>0</v>
      </c>
      <c r="G1676" s="193">
        <f t="shared" si="367"/>
        <v>0</v>
      </c>
      <c r="H1676" s="194">
        <v>0</v>
      </c>
      <c r="I1676" s="194">
        <v>0</v>
      </c>
      <c r="J1676" s="194">
        <v>0</v>
      </c>
      <c r="K1676" s="193">
        <f t="shared" si="368"/>
        <v>0</v>
      </c>
      <c r="L1676" s="194">
        <v>0</v>
      </c>
      <c r="M1676" s="194">
        <v>0</v>
      </c>
      <c r="N1676" s="194">
        <v>0</v>
      </c>
      <c r="O1676" s="193">
        <f t="shared" si="369"/>
        <v>0</v>
      </c>
      <c r="P1676" s="194">
        <v>0</v>
      </c>
      <c r="Q1676" s="194">
        <v>0</v>
      </c>
      <c r="R1676" s="194">
        <v>0</v>
      </c>
      <c r="S1676" s="193">
        <f t="shared" si="370"/>
        <v>0</v>
      </c>
      <c r="T1676" s="193">
        <f t="shared" si="371"/>
        <v>0</v>
      </c>
      <c r="U1676" s="193">
        <f ca="1">OFFSET('Expenditure Study'!$B$7,'Operations Support'!$C1676,'Operations Support'!$B1676)*$G1676</f>
        <v>0</v>
      </c>
      <c r="V1676" s="199">
        <f ca="1">U1676*'Expenditure Study'!$B$31</f>
        <v>0</v>
      </c>
      <c r="W1676" s="199">
        <f ca="1">IF(A1676=10298,1.51,1)*IF($B1676&lt;3,$D1676*'Expenditure Study'!$B$32*OFFSET('Expenditure Study'!$B$7,'Operations Support'!$C1676,'Operations Support'!$B1676),0)</f>
        <v>0</v>
      </c>
      <c r="X1676" s="200">
        <f ca="1">W1676*'Expenditure Study'!$B$31</f>
        <v>0</v>
      </c>
      <c r="Y1676" s="199">
        <f ca="1">U1676*'Expenditure Study'!$B$31</f>
        <v>0</v>
      </c>
      <c r="Z1676" s="200">
        <f ca="1">W1676*'Expenditure Study'!$B$31</f>
        <v>0</v>
      </c>
      <c r="AA1676" s="195">
        <f t="shared" ca="1" si="372"/>
        <v>0</v>
      </c>
      <c r="AB1676" s="195">
        <f t="shared" ca="1" si="373"/>
        <v>0</v>
      </c>
      <c r="AD1676" s="196">
        <f>IFERROR($G1676/SUMIF($A:$A,$A1676,$G:$G)*SUMIF(Summary!$A$166:$A$242,$A1676,Summary!$P$166:$P$242),0)</f>
        <v>0</v>
      </c>
      <c r="AE1676" s="197">
        <f t="shared" ca="1" si="374"/>
        <v>0</v>
      </c>
      <c r="AF1676" s="196">
        <f>IFERROR(G1676/SUMIF(A:A,A1676,G:G)*SUMIF(Summary!$A$166:$A$242,'Operations Support'!A1676,Summary!$Q$166:$Q$242),0)</f>
        <v>0</v>
      </c>
      <c r="AG1676" s="196">
        <f t="shared" ca="1" si="375"/>
        <v>0</v>
      </c>
      <c r="AI1676" s="196">
        <f>IFERROR($G1676/SUMIF($A:$A,$A1676,$G:$G)*SUMIF(Summary!$A$247:$A$283,$A1676,Summary!$P$247:$P$283),0)</f>
        <v>0</v>
      </c>
      <c r="AJ1676" s="196">
        <f>IFERROR($G1676/SUMIF($A:$A,$A1676,$G:$G)*(SUMIF(Summary!$A$247:$A$283,$A1676,Summary!$L$247:$L$283)+SUMIF(Summary!$A$297:$A$333,$A1676,Summary!$L$297:$L$333))-AI1676,0)</f>
        <v>0</v>
      </c>
      <c r="AK1676" s="196">
        <f>IFERROR($G1676/SUMIF($A:$A,$A1676,$G:$G)*SUMIF(Summary!$A$247:$A$283,$A1676,Summary!$Q$247:$Q$283),0)</f>
        <v>0</v>
      </c>
      <c r="AL1676" s="196">
        <f>IFERROR($G1676/SUMIF($A:$A,$A1676,$G:$G)*(SUMIF(Summary!$A$247:$A$283,$A1676,Summary!$L$247:$L$283)+SUMIF(Summary!$A$297:$A$333,$A1676,Summary!$L$297:$L$333))-AK1676,0)</f>
        <v>0</v>
      </c>
      <c r="AM1676" s="198"/>
      <c r="AN1676" s="196">
        <f t="shared" ca="1" si="376"/>
        <v>0</v>
      </c>
      <c r="AO1676" s="196">
        <f t="shared" ca="1" si="377"/>
        <v>0</v>
      </c>
    </row>
    <row r="1677" spans="1:41">
      <c r="A1677" s="189">
        <v>3642</v>
      </c>
      <c r="B1677" s="190">
        <v>5</v>
      </c>
      <c r="C1677" s="191" t="s">
        <v>233</v>
      </c>
      <c r="D1677" s="192">
        <f t="shared" si="364"/>
        <v>0</v>
      </c>
      <c r="E1677" s="192">
        <f t="shared" si="365"/>
        <v>0</v>
      </c>
      <c r="F1677" s="192">
        <f t="shared" si="366"/>
        <v>0</v>
      </c>
      <c r="G1677" s="193">
        <f t="shared" si="367"/>
        <v>0</v>
      </c>
      <c r="H1677" s="194">
        <v>0</v>
      </c>
      <c r="I1677" s="194">
        <v>0</v>
      </c>
      <c r="J1677" s="194">
        <v>0</v>
      </c>
      <c r="K1677" s="193">
        <f t="shared" si="368"/>
        <v>0</v>
      </c>
      <c r="L1677" s="194">
        <v>0</v>
      </c>
      <c r="M1677" s="194">
        <v>0</v>
      </c>
      <c r="N1677" s="194">
        <v>0</v>
      </c>
      <c r="O1677" s="193">
        <f t="shared" si="369"/>
        <v>0</v>
      </c>
      <c r="P1677" s="194">
        <v>0</v>
      </c>
      <c r="Q1677" s="194">
        <v>0</v>
      </c>
      <c r="R1677" s="194">
        <v>0</v>
      </c>
      <c r="S1677" s="193">
        <f t="shared" si="370"/>
        <v>0</v>
      </c>
      <c r="T1677" s="193">
        <f t="shared" si="371"/>
        <v>0</v>
      </c>
      <c r="U1677" s="193">
        <f ca="1">OFFSET('Expenditure Study'!$B$7,'Operations Support'!$C1677,'Operations Support'!$B1677)*$G1677</f>
        <v>0</v>
      </c>
      <c r="V1677" s="199">
        <f ca="1">U1677*'Expenditure Study'!$B$31</f>
        <v>0</v>
      </c>
      <c r="W1677" s="199">
        <f ca="1">IF(A1677=10298,1.51,1)*IF($B1677&lt;3,$D1677*'Expenditure Study'!$B$32*OFFSET('Expenditure Study'!$B$7,'Operations Support'!$C1677,'Operations Support'!$B1677),0)</f>
        <v>0</v>
      </c>
      <c r="X1677" s="200">
        <f ca="1">W1677*'Expenditure Study'!$B$31</f>
        <v>0</v>
      </c>
      <c r="Y1677" s="199">
        <f ca="1">U1677*'Expenditure Study'!$B$31</f>
        <v>0</v>
      </c>
      <c r="Z1677" s="200">
        <f ca="1">W1677*'Expenditure Study'!$B$31</f>
        <v>0</v>
      </c>
      <c r="AA1677" s="195">
        <f t="shared" ca="1" si="372"/>
        <v>0</v>
      </c>
      <c r="AB1677" s="195">
        <f t="shared" ca="1" si="373"/>
        <v>0</v>
      </c>
      <c r="AD1677" s="196">
        <f>IFERROR($G1677/SUMIF($A:$A,$A1677,$G:$G)*SUMIF(Summary!$A$166:$A$242,$A1677,Summary!$P$166:$P$242),0)</f>
        <v>0</v>
      </c>
      <c r="AE1677" s="197">
        <f t="shared" ca="1" si="374"/>
        <v>0</v>
      </c>
      <c r="AF1677" s="196">
        <f>IFERROR(G1677/SUMIF(A:A,A1677,G:G)*SUMIF(Summary!$A$166:$A$242,'Operations Support'!A1677,Summary!$Q$166:$Q$242),0)</f>
        <v>0</v>
      </c>
      <c r="AG1677" s="196">
        <f t="shared" ca="1" si="375"/>
        <v>0</v>
      </c>
      <c r="AI1677" s="196">
        <f>IFERROR($G1677/SUMIF($A:$A,$A1677,$G:$G)*SUMIF(Summary!$A$247:$A$283,$A1677,Summary!$P$247:$P$283),0)</f>
        <v>0</v>
      </c>
      <c r="AJ1677" s="196">
        <f>IFERROR($G1677/SUMIF($A:$A,$A1677,$G:$G)*(SUMIF(Summary!$A$247:$A$283,$A1677,Summary!$L$247:$L$283)+SUMIF(Summary!$A$297:$A$333,$A1677,Summary!$L$297:$L$333))-AI1677,0)</f>
        <v>0</v>
      </c>
      <c r="AK1677" s="196">
        <f>IFERROR($G1677/SUMIF($A:$A,$A1677,$G:$G)*SUMIF(Summary!$A$247:$A$283,$A1677,Summary!$Q$247:$Q$283),0)</f>
        <v>0</v>
      </c>
      <c r="AL1677" s="196">
        <f>IFERROR($G1677/SUMIF($A:$A,$A1677,$G:$G)*(SUMIF(Summary!$A$247:$A$283,$A1677,Summary!$L$247:$L$283)+SUMIF(Summary!$A$297:$A$333,$A1677,Summary!$L$297:$L$333))-AK1677,0)</f>
        <v>0</v>
      </c>
      <c r="AM1677" s="198"/>
      <c r="AN1677" s="196">
        <f t="shared" ca="1" si="376"/>
        <v>0</v>
      </c>
      <c r="AO1677" s="196">
        <f t="shared" ca="1" si="377"/>
        <v>0</v>
      </c>
    </row>
    <row r="1678" spans="1:41">
      <c r="A1678" s="189">
        <v>3642</v>
      </c>
      <c r="B1678" s="190">
        <v>5</v>
      </c>
      <c r="C1678" s="191" t="s">
        <v>234</v>
      </c>
      <c r="D1678" s="192">
        <f t="shared" si="364"/>
        <v>7592.2200000000103</v>
      </c>
      <c r="E1678" s="192">
        <f t="shared" si="365"/>
        <v>908.78000000000202</v>
      </c>
      <c r="F1678" s="192">
        <f t="shared" si="366"/>
        <v>0</v>
      </c>
      <c r="G1678" s="193">
        <f t="shared" si="367"/>
        <v>8501.0000000000127</v>
      </c>
      <c r="H1678" s="194">
        <v>2987.7200000000098</v>
      </c>
      <c r="I1678" s="194">
        <v>545.280000000001</v>
      </c>
      <c r="J1678" s="194">
        <v>0</v>
      </c>
      <c r="K1678" s="193">
        <f t="shared" si="368"/>
        <v>3533.0000000000109</v>
      </c>
      <c r="L1678" s="194">
        <v>3522.5</v>
      </c>
      <c r="M1678" s="194">
        <v>333.50000000000102</v>
      </c>
      <c r="N1678" s="194">
        <v>0</v>
      </c>
      <c r="O1678" s="193">
        <f t="shared" si="369"/>
        <v>3856.0000000000009</v>
      </c>
      <c r="P1678" s="194">
        <v>1082</v>
      </c>
      <c r="Q1678" s="194">
        <v>30</v>
      </c>
      <c r="R1678" s="194">
        <v>0</v>
      </c>
      <c r="S1678" s="193">
        <f t="shared" si="370"/>
        <v>1112</v>
      </c>
      <c r="T1678" s="193">
        <f t="shared" si="371"/>
        <v>354.20833333333388</v>
      </c>
      <c r="U1678" s="193">
        <f ca="1">OFFSET('Expenditure Study'!$B$7,'Operations Support'!$C1678,'Operations Support'!$B1678)*$G1678</f>
        <v>39699.670000000056</v>
      </c>
      <c r="V1678" s="199">
        <f ca="1">U1678*'Expenditure Study'!$B$31</f>
        <v>2345582.7803103393</v>
      </c>
      <c r="W1678" s="199">
        <f ca="1">IF(A1678=10298,1.51,1)*IF($B1678&lt;3,$D1678*'Expenditure Study'!$B$32*OFFSET('Expenditure Study'!$B$7,'Operations Support'!$C1678,'Operations Support'!$B1678),0)</f>
        <v>0</v>
      </c>
      <c r="X1678" s="200">
        <f ca="1">W1678*'Expenditure Study'!$B$31</f>
        <v>0</v>
      </c>
      <c r="Y1678" s="199">
        <f ca="1">U1678*'Expenditure Study'!$B$31</f>
        <v>2345582.7803103393</v>
      </c>
      <c r="Z1678" s="200">
        <f ca="1">W1678*'Expenditure Study'!$B$31</f>
        <v>0</v>
      </c>
      <c r="AA1678" s="195">
        <f t="shared" ca="1" si="372"/>
        <v>2345582.7803103393</v>
      </c>
      <c r="AB1678" s="195">
        <f t="shared" ca="1" si="373"/>
        <v>2345582.7803103393</v>
      </c>
      <c r="AD1678" s="196">
        <f>IFERROR($G1678/SUMIF($A:$A,$A1678,$G:$G)*SUMIF(Summary!$A$166:$A$242,$A1678,Summary!$P$166:$P$242),0)</f>
        <v>510834.93712688738</v>
      </c>
      <c r="AE1678" s="197">
        <f t="shared" ca="1" si="374"/>
        <v>1834747.8431834518</v>
      </c>
      <c r="AF1678" s="196">
        <f>IFERROR(G1678/SUMIF(A:A,A1678,G:G)*SUMIF(Summary!$A$166:$A$242,'Operations Support'!A1678,Summary!$Q$166:$Q$242),0)</f>
        <v>513260.40475561051</v>
      </c>
      <c r="AG1678" s="196">
        <f t="shared" ca="1" si="375"/>
        <v>1832322.3755547288</v>
      </c>
      <c r="AI1678" s="196">
        <f>IFERROR($G1678/SUMIF($A:$A,$A1678,$G:$G)*SUMIF(Summary!$A$247:$A$283,$A1678,Summary!$P$247:$P$283),0)</f>
        <v>93163.544788186991</v>
      </c>
      <c r="AJ1678" s="196">
        <f>IFERROR($G1678/SUMIF($A:$A,$A1678,$G:$G)*(SUMIF(Summary!$A$247:$A$283,$A1678,Summary!$L$247:$L$283)+SUMIF(Summary!$A$297:$A$333,$A1678,Summary!$L$297:$L$333))-AI1678,0)</f>
        <v>173661.156372353</v>
      </c>
      <c r="AK1678" s="196">
        <f>IFERROR($G1678/SUMIF($A:$A,$A1678,$G:$G)*SUMIF(Summary!$A$247:$A$283,$A1678,Summary!$Q$247:$Q$283),0)</f>
        <v>93605.889556796115</v>
      </c>
      <c r="AL1678" s="196">
        <f>IFERROR($G1678/SUMIF($A:$A,$A1678,$G:$G)*(SUMIF(Summary!$A$247:$A$283,$A1678,Summary!$L$247:$L$283)+SUMIF(Summary!$A$297:$A$333,$A1678,Summary!$L$297:$L$333))-AK1678,0)</f>
        <v>173218.81160374387</v>
      </c>
      <c r="AM1678" s="198"/>
      <c r="AN1678" s="196">
        <f t="shared" ca="1" si="376"/>
        <v>2008408.9995558048</v>
      </c>
      <c r="AO1678" s="196">
        <f t="shared" ca="1" si="377"/>
        <v>2005541.1871584726</v>
      </c>
    </row>
    <row r="1679" spans="1:41">
      <c r="A1679" s="189">
        <v>3642</v>
      </c>
      <c r="B1679" s="190">
        <v>5</v>
      </c>
      <c r="C1679" s="191" t="s">
        <v>235</v>
      </c>
      <c r="D1679" s="192">
        <f t="shared" si="364"/>
        <v>0</v>
      </c>
      <c r="E1679" s="192">
        <f t="shared" si="365"/>
        <v>0</v>
      </c>
      <c r="F1679" s="192">
        <f t="shared" si="366"/>
        <v>0</v>
      </c>
      <c r="G1679" s="193">
        <f t="shared" si="367"/>
        <v>0</v>
      </c>
      <c r="H1679" s="194">
        <v>0</v>
      </c>
      <c r="I1679" s="194">
        <v>0</v>
      </c>
      <c r="J1679" s="194">
        <v>0</v>
      </c>
      <c r="K1679" s="193">
        <f t="shared" si="368"/>
        <v>0</v>
      </c>
      <c r="L1679" s="194">
        <v>0</v>
      </c>
      <c r="M1679" s="194">
        <v>0</v>
      </c>
      <c r="N1679" s="194">
        <v>0</v>
      </c>
      <c r="O1679" s="193">
        <f t="shared" si="369"/>
        <v>0</v>
      </c>
      <c r="P1679" s="194">
        <v>0</v>
      </c>
      <c r="Q1679" s="194">
        <v>0</v>
      </c>
      <c r="R1679" s="194">
        <v>0</v>
      </c>
      <c r="S1679" s="193">
        <f t="shared" si="370"/>
        <v>0</v>
      </c>
      <c r="T1679" s="193">
        <f t="shared" si="371"/>
        <v>0</v>
      </c>
      <c r="U1679" s="193">
        <f ca="1">OFFSET('Expenditure Study'!$B$7,'Operations Support'!$C1679,'Operations Support'!$B1679)*$G1679</f>
        <v>0</v>
      </c>
      <c r="V1679" s="199">
        <f ca="1">U1679*'Expenditure Study'!$B$31</f>
        <v>0</v>
      </c>
      <c r="W1679" s="199">
        <f ca="1">IF(A1679=10298,1.51,1)*IF($B1679&lt;3,$D1679*'Expenditure Study'!$B$32*OFFSET('Expenditure Study'!$B$7,'Operations Support'!$C1679,'Operations Support'!$B1679),0)</f>
        <v>0</v>
      </c>
      <c r="X1679" s="200">
        <f ca="1">W1679*'Expenditure Study'!$B$31</f>
        <v>0</v>
      </c>
      <c r="Y1679" s="199">
        <f ca="1">U1679*'Expenditure Study'!$B$31</f>
        <v>0</v>
      </c>
      <c r="Z1679" s="200">
        <f ca="1">W1679*'Expenditure Study'!$B$31</f>
        <v>0</v>
      </c>
      <c r="AA1679" s="195">
        <f t="shared" ca="1" si="372"/>
        <v>0</v>
      </c>
      <c r="AB1679" s="195">
        <f t="shared" ca="1" si="373"/>
        <v>0</v>
      </c>
      <c r="AD1679" s="196">
        <f>IFERROR($G1679/SUMIF($A:$A,$A1679,$G:$G)*SUMIF(Summary!$A$166:$A$242,$A1679,Summary!$P$166:$P$242),0)</f>
        <v>0</v>
      </c>
      <c r="AE1679" s="197">
        <f t="shared" ca="1" si="374"/>
        <v>0</v>
      </c>
      <c r="AF1679" s="196">
        <f>IFERROR(G1679/SUMIF(A:A,A1679,G:G)*SUMIF(Summary!$A$166:$A$242,'Operations Support'!A1679,Summary!$Q$166:$Q$242),0)</f>
        <v>0</v>
      </c>
      <c r="AG1679" s="196">
        <f t="shared" ca="1" si="375"/>
        <v>0</v>
      </c>
      <c r="AI1679" s="196">
        <f>IFERROR($G1679/SUMIF($A:$A,$A1679,$G:$G)*SUMIF(Summary!$A$247:$A$283,$A1679,Summary!$P$247:$P$283),0)</f>
        <v>0</v>
      </c>
      <c r="AJ1679" s="196">
        <f>IFERROR($G1679/SUMIF($A:$A,$A1679,$G:$G)*(SUMIF(Summary!$A$247:$A$283,$A1679,Summary!$L$247:$L$283)+SUMIF(Summary!$A$297:$A$333,$A1679,Summary!$L$297:$L$333))-AI1679,0)</f>
        <v>0</v>
      </c>
      <c r="AK1679" s="196">
        <f>IFERROR($G1679/SUMIF($A:$A,$A1679,$G:$G)*SUMIF(Summary!$A$247:$A$283,$A1679,Summary!$Q$247:$Q$283),0)</f>
        <v>0</v>
      </c>
      <c r="AL1679" s="196">
        <f>IFERROR($G1679/SUMIF($A:$A,$A1679,$G:$G)*(SUMIF(Summary!$A$247:$A$283,$A1679,Summary!$L$247:$L$283)+SUMIF(Summary!$A$297:$A$333,$A1679,Summary!$L$297:$L$333))-AK1679,0)</f>
        <v>0</v>
      </c>
      <c r="AM1679" s="198"/>
      <c r="AN1679" s="196">
        <f t="shared" ca="1" si="376"/>
        <v>0</v>
      </c>
      <c r="AO1679" s="196">
        <f t="shared" ca="1" si="377"/>
        <v>0</v>
      </c>
    </row>
    <row r="1680" spans="1:41">
      <c r="A1680" s="189">
        <v>3642</v>
      </c>
      <c r="B1680" s="190">
        <v>5</v>
      </c>
      <c r="C1680" s="191" t="s">
        <v>236</v>
      </c>
      <c r="D1680" s="192">
        <f t="shared" si="364"/>
        <v>0</v>
      </c>
      <c r="E1680" s="192">
        <f t="shared" si="365"/>
        <v>0</v>
      </c>
      <c r="F1680" s="192">
        <f t="shared" si="366"/>
        <v>0</v>
      </c>
      <c r="G1680" s="193">
        <f t="shared" si="367"/>
        <v>0</v>
      </c>
      <c r="H1680" s="194">
        <v>0</v>
      </c>
      <c r="I1680" s="194">
        <v>0</v>
      </c>
      <c r="J1680" s="194">
        <v>0</v>
      </c>
      <c r="K1680" s="193">
        <f t="shared" si="368"/>
        <v>0</v>
      </c>
      <c r="L1680" s="194">
        <v>0</v>
      </c>
      <c r="M1680" s="194">
        <v>0</v>
      </c>
      <c r="N1680" s="194">
        <v>0</v>
      </c>
      <c r="O1680" s="193">
        <f t="shared" si="369"/>
        <v>0</v>
      </c>
      <c r="P1680" s="194">
        <v>0</v>
      </c>
      <c r="Q1680" s="194">
        <v>0</v>
      </c>
      <c r="R1680" s="194">
        <v>0</v>
      </c>
      <c r="S1680" s="193">
        <f t="shared" si="370"/>
        <v>0</v>
      </c>
      <c r="T1680" s="193">
        <f t="shared" si="371"/>
        <v>0</v>
      </c>
      <c r="U1680" s="193">
        <f ca="1">OFFSET('Expenditure Study'!$B$7,'Operations Support'!$C1680,'Operations Support'!$B1680)*$G1680</f>
        <v>0</v>
      </c>
      <c r="V1680" s="199">
        <f ca="1">U1680*'Expenditure Study'!$B$31</f>
        <v>0</v>
      </c>
      <c r="W1680" s="199">
        <f ca="1">IF(A1680=10298,1.51,1)*IF($B1680&lt;3,$D1680*'Expenditure Study'!$B$32*OFFSET('Expenditure Study'!$B$7,'Operations Support'!$C1680,'Operations Support'!$B1680),0)</f>
        <v>0</v>
      </c>
      <c r="X1680" s="200">
        <f ca="1">W1680*'Expenditure Study'!$B$31</f>
        <v>0</v>
      </c>
      <c r="Y1680" s="199">
        <f ca="1">U1680*'Expenditure Study'!$B$31</f>
        <v>0</v>
      </c>
      <c r="Z1680" s="200">
        <f ca="1">W1680*'Expenditure Study'!$B$31</f>
        <v>0</v>
      </c>
      <c r="AA1680" s="195">
        <f t="shared" ca="1" si="372"/>
        <v>0</v>
      </c>
      <c r="AB1680" s="195">
        <f t="shared" ca="1" si="373"/>
        <v>0</v>
      </c>
      <c r="AD1680" s="196">
        <f>IFERROR($G1680/SUMIF($A:$A,$A1680,$G:$G)*SUMIF(Summary!$A$166:$A$242,$A1680,Summary!$P$166:$P$242),0)</f>
        <v>0</v>
      </c>
      <c r="AE1680" s="197">
        <f t="shared" ca="1" si="374"/>
        <v>0</v>
      </c>
      <c r="AF1680" s="196">
        <f>IFERROR(G1680/SUMIF(A:A,A1680,G:G)*SUMIF(Summary!$A$166:$A$242,'Operations Support'!A1680,Summary!$Q$166:$Q$242),0)</f>
        <v>0</v>
      </c>
      <c r="AG1680" s="196">
        <f t="shared" ca="1" si="375"/>
        <v>0</v>
      </c>
      <c r="AI1680" s="196">
        <f>IFERROR($G1680/SUMIF($A:$A,$A1680,$G:$G)*SUMIF(Summary!$A$247:$A$283,$A1680,Summary!$P$247:$P$283),0)</f>
        <v>0</v>
      </c>
      <c r="AJ1680" s="196">
        <f>IFERROR($G1680/SUMIF($A:$A,$A1680,$G:$G)*(SUMIF(Summary!$A$247:$A$283,$A1680,Summary!$L$247:$L$283)+SUMIF(Summary!$A$297:$A$333,$A1680,Summary!$L$297:$L$333))-AI1680,0)</f>
        <v>0</v>
      </c>
      <c r="AK1680" s="196">
        <f>IFERROR($G1680/SUMIF($A:$A,$A1680,$G:$G)*SUMIF(Summary!$A$247:$A$283,$A1680,Summary!$Q$247:$Q$283),0)</f>
        <v>0</v>
      </c>
      <c r="AL1680" s="196">
        <f>IFERROR($G1680/SUMIF($A:$A,$A1680,$G:$G)*(SUMIF(Summary!$A$247:$A$283,$A1680,Summary!$L$247:$L$283)+SUMIF(Summary!$A$297:$A$333,$A1680,Summary!$L$297:$L$333))-AK1680,0)</f>
        <v>0</v>
      </c>
      <c r="AM1680" s="198"/>
      <c r="AN1680" s="196">
        <f t="shared" ca="1" si="376"/>
        <v>0</v>
      </c>
      <c r="AO1680" s="196">
        <f t="shared" ca="1" si="377"/>
        <v>0</v>
      </c>
    </row>
    <row r="1681" spans="1:41">
      <c r="A1681" s="189">
        <v>3642</v>
      </c>
      <c r="B1681" s="190">
        <v>5</v>
      </c>
      <c r="C1681" s="191" t="s">
        <v>237</v>
      </c>
      <c r="D1681" s="192">
        <f t="shared" si="364"/>
        <v>0</v>
      </c>
      <c r="E1681" s="192">
        <f t="shared" si="365"/>
        <v>0</v>
      </c>
      <c r="F1681" s="192">
        <f t="shared" si="366"/>
        <v>0</v>
      </c>
      <c r="G1681" s="193">
        <f t="shared" si="367"/>
        <v>0</v>
      </c>
      <c r="H1681" s="194">
        <v>0</v>
      </c>
      <c r="I1681" s="194">
        <v>0</v>
      </c>
      <c r="J1681" s="194">
        <v>0</v>
      </c>
      <c r="K1681" s="193">
        <f t="shared" si="368"/>
        <v>0</v>
      </c>
      <c r="L1681" s="194">
        <v>0</v>
      </c>
      <c r="M1681" s="194">
        <v>0</v>
      </c>
      <c r="N1681" s="194">
        <v>0</v>
      </c>
      <c r="O1681" s="193">
        <f t="shared" si="369"/>
        <v>0</v>
      </c>
      <c r="P1681" s="194">
        <v>0</v>
      </c>
      <c r="Q1681" s="194">
        <v>0</v>
      </c>
      <c r="R1681" s="194">
        <v>0</v>
      </c>
      <c r="S1681" s="193">
        <f t="shared" si="370"/>
        <v>0</v>
      </c>
      <c r="T1681" s="193">
        <f t="shared" si="371"/>
        <v>0</v>
      </c>
      <c r="U1681" s="193">
        <f ca="1">OFFSET('Expenditure Study'!$B$7,'Operations Support'!$C1681,'Operations Support'!$B1681)*$G1681</f>
        <v>0</v>
      </c>
      <c r="V1681" s="199">
        <f ca="1">U1681*'Expenditure Study'!$B$31</f>
        <v>0</v>
      </c>
      <c r="W1681" s="199">
        <f ca="1">IF(A1681=10298,1.51,1)*IF($B1681&lt;3,$D1681*'Expenditure Study'!$B$32*OFFSET('Expenditure Study'!$B$7,'Operations Support'!$C1681,'Operations Support'!$B1681),0)</f>
        <v>0</v>
      </c>
      <c r="X1681" s="200">
        <f ca="1">W1681*'Expenditure Study'!$B$31</f>
        <v>0</v>
      </c>
      <c r="Y1681" s="199">
        <f ca="1">U1681*'Expenditure Study'!$B$31</f>
        <v>0</v>
      </c>
      <c r="Z1681" s="200">
        <f ca="1">W1681*'Expenditure Study'!$B$31</f>
        <v>0</v>
      </c>
      <c r="AA1681" s="195">
        <f t="shared" ca="1" si="372"/>
        <v>0</v>
      </c>
      <c r="AB1681" s="195">
        <f t="shared" ca="1" si="373"/>
        <v>0</v>
      </c>
      <c r="AD1681" s="196">
        <f>IFERROR($G1681/SUMIF($A:$A,$A1681,$G:$G)*SUMIF(Summary!$A$166:$A$242,$A1681,Summary!$P$166:$P$242),0)</f>
        <v>0</v>
      </c>
      <c r="AE1681" s="197">
        <f t="shared" ca="1" si="374"/>
        <v>0</v>
      </c>
      <c r="AF1681" s="196">
        <f>IFERROR(G1681/SUMIF(A:A,A1681,G:G)*SUMIF(Summary!$A$166:$A$242,'Operations Support'!A1681,Summary!$Q$166:$Q$242),0)</f>
        <v>0</v>
      </c>
      <c r="AG1681" s="196">
        <f t="shared" ca="1" si="375"/>
        <v>0</v>
      </c>
      <c r="AI1681" s="196">
        <f>IFERROR($G1681/SUMIF($A:$A,$A1681,$G:$G)*SUMIF(Summary!$A$247:$A$283,$A1681,Summary!$P$247:$P$283),0)</f>
        <v>0</v>
      </c>
      <c r="AJ1681" s="196">
        <f>IFERROR($G1681/SUMIF($A:$A,$A1681,$G:$G)*(SUMIF(Summary!$A$247:$A$283,$A1681,Summary!$L$247:$L$283)+SUMIF(Summary!$A$297:$A$333,$A1681,Summary!$L$297:$L$333))-AI1681,0)</f>
        <v>0</v>
      </c>
      <c r="AK1681" s="196">
        <f>IFERROR($G1681/SUMIF($A:$A,$A1681,$G:$G)*SUMIF(Summary!$A$247:$A$283,$A1681,Summary!$Q$247:$Q$283),0)</f>
        <v>0</v>
      </c>
      <c r="AL1681" s="196">
        <f>IFERROR($G1681/SUMIF($A:$A,$A1681,$G:$G)*(SUMIF(Summary!$A$247:$A$283,$A1681,Summary!$L$247:$L$283)+SUMIF(Summary!$A$297:$A$333,$A1681,Summary!$L$297:$L$333))-AK1681,0)</f>
        <v>0</v>
      </c>
      <c r="AM1681" s="198"/>
      <c r="AN1681" s="196">
        <f t="shared" ca="1" si="376"/>
        <v>0</v>
      </c>
      <c r="AO1681" s="196">
        <f t="shared" ca="1" si="377"/>
        <v>0</v>
      </c>
    </row>
    <row r="1682" spans="1:41">
      <c r="A1682" s="189">
        <v>3642</v>
      </c>
      <c r="B1682" s="190">
        <v>5</v>
      </c>
      <c r="C1682" s="191" t="s">
        <v>238</v>
      </c>
      <c r="D1682" s="192">
        <f t="shared" si="364"/>
        <v>0</v>
      </c>
      <c r="E1682" s="192">
        <f t="shared" si="365"/>
        <v>0</v>
      </c>
      <c r="F1682" s="192">
        <f t="shared" si="366"/>
        <v>0</v>
      </c>
      <c r="G1682" s="193">
        <f t="shared" si="367"/>
        <v>0</v>
      </c>
      <c r="H1682" s="194">
        <v>0</v>
      </c>
      <c r="I1682" s="194">
        <v>0</v>
      </c>
      <c r="J1682" s="194">
        <v>0</v>
      </c>
      <c r="K1682" s="193">
        <f t="shared" si="368"/>
        <v>0</v>
      </c>
      <c r="L1682" s="194">
        <v>0</v>
      </c>
      <c r="M1682" s="194">
        <v>0</v>
      </c>
      <c r="N1682" s="194">
        <v>0</v>
      </c>
      <c r="O1682" s="193">
        <f t="shared" si="369"/>
        <v>0</v>
      </c>
      <c r="P1682" s="194">
        <v>0</v>
      </c>
      <c r="Q1682" s="194">
        <v>0</v>
      </c>
      <c r="R1682" s="194">
        <v>0</v>
      </c>
      <c r="S1682" s="193">
        <f t="shared" si="370"/>
        <v>0</v>
      </c>
      <c r="T1682" s="193">
        <f t="shared" si="371"/>
        <v>0</v>
      </c>
      <c r="U1682" s="193">
        <f ca="1">OFFSET('Expenditure Study'!$B$7,'Operations Support'!$C1682,'Operations Support'!$B1682)*$G1682</f>
        <v>0</v>
      </c>
      <c r="V1682" s="199">
        <f ca="1">U1682*'Expenditure Study'!$B$31</f>
        <v>0</v>
      </c>
      <c r="W1682" s="199">
        <f ca="1">IF(A1682=10298,1.51,1)*IF($B1682&lt;3,$D1682*'Expenditure Study'!$B$32*OFFSET('Expenditure Study'!$B$7,'Operations Support'!$C1682,'Operations Support'!$B1682),0)</f>
        <v>0</v>
      </c>
      <c r="X1682" s="200">
        <f ca="1">W1682*'Expenditure Study'!$B$31</f>
        <v>0</v>
      </c>
      <c r="Y1682" s="199">
        <f ca="1">U1682*'Expenditure Study'!$B$31</f>
        <v>0</v>
      </c>
      <c r="Z1682" s="200">
        <f ca="1">W1682*'Expenditure Study'!$B$31</f>
        <v>0</v>
      </c>
      <c r="AA1682" s="195">
        <f t="shared" ca="1" si="372"/>
        <v>0</v>
      </c>
      <c r="AB1682" s="195">
        <f t="shared" ca="1" si="373"/>
        <v>0</v>
      </c>
      <c r="AD1682" s="196">
        <f>IFERROR($G1682/SUMIF($A:$A,$A1682,$G:$G)*SUMIF(Summary!$A$166:$A$242,$A1682,Summary!$P$166:$P$242),0)</f>
        <v>0</v>
      </c>
      <c r="AE1682" s="197">
        <f t="shared" ca="1" si="374"/>
        <v>0</v>
      </c>
      <c r="AF1682" s="196">
        <f>IFERROR(G1682/SUMIF(A:A,A1682,G:G)*SUMIF(Summary!$A$166:$A$242,'Operations Support'!A1682,Summary!$Q$166:$Q$242),0)</f>
        <v>0</v>
      </c>
      <c r="AG1682" s="196">
        <f t="shared" ca="1" si="375"/>
        <v>0</v>
      </c>
      <c r="AI1682" s="196">
        <f>IFERROR($G1682/SUMIF($A:$A,$A1682,$G:$G)*SUMIF(Summary!$A$247:$A$283,$A1682,Summary!$P$247:$P$283),0)</f>
        <v>0</v>
      </c>
      <c r="AJ1682" s="196">
        <f>IFERROR($G1682/SUMIF($A:$A,$A1682,$G:$G)*(SUMIF(Summary!$A$247:$A$283,$A1682,Summary!$L$247:$L$283)+SUMIF(Summary!$A$297:$A$333,$A1682,Summary!$L$297:$L$333))-AI1682,0)</f>
        <v>0</v>
      </c>
      <c r="AK1682" s="196">
        <f>IFERROR($G1682/SUMIF($A:$A,$A1682,$G:$G)*SUMIF(Summary!$A$247:$A$283,$A1682,Summary!$Q$247:$Q$283),0)</f>
        <v>0</v>
      </c>
      <c r="AL1682" s="196">
        <f>IFERROR($G1682/SUMIF($A:$A,$A1682,$G:$G)*(SUMIF(Summary!$A$247:$A$283,$A1682,Summary!$L$247:$L$283)+SUMIF(Summary!$A$297:$A$333,$A1682,Summary!$L$297:$L$333))-AK1682,0)</f>
        <v>0</v>
      </c>
      <c r="AM1682" s="198"/>
      <c r="AN1682" s="196">
        <f t="shared" ca="1" si="376"/>
        <v>0</v>
      </c>
      <c r="AO1682" s="196">
        <f t="shared" ca="1" si="377"/>
        <v>0</v>
      </c>
    </row>
    <row r="1683" spans="1:41">
      <c r="A1683" s="189">
        <v>3642</v>
      </c>
      <c r="B1683" s="190">
        <v>5</v>
      </c>
      <c r="C1683" s="191" t="s">
        <v>239</v>
      </c>
      <c r="D1683" s="192">
        <f t="shared" si="364"/>
        <v>0</v>
      </c>
      <c r="E1683" s="192">
        <f t="shared" si="365"/>
        <v>0</v>
      </c>
      <c r="F1683" s="192">
        <f t="shared" si="366"/>
        <v>0</v>
      </c>
      <c r="G1683" s="193">
        <f t="shared" si="367"/>
        <v>0</v>
      </c>
      <c r="H1683" s="194">
        <v>0</v>
      </c>
      <c r="I1683" s="194">
        <v>0</v>
      </c>
      <c r="J1683" s="194">
        <v>0</v>
      </c>
      <c r="K1683" s="193">
        <f t="shared" si="368"/>
        <v>0</v>
      </c>
      <c r="L1683" s="194">
        <v>0</v>
      </c>
      <c r="M1683" s="194">
        <v>0</v>
      </c>
      <c r="N1683" s="194">
        <v>0</v>
      </c>
      <c r="O1683" s="193">
        <f t="shared" si="369"/>
        <v>0</v>
      </c>
      <c r="P1683" s="194">
        <v>0</v>
      </c>
      <c r="Q1683" s="194">
        <v>0</v>
      </c>
      <c r="R1683" s="194">
        <v>0</v>
      </c>
      <c r="S1683" s="193">
        <f t="shared" si="370"/>
        <v>0</v>
      </c>
      <c r="T1683" s="193">
        <f t="shared" si="371"/>
        <v>0</v>
      </c>
      <c r="U1683" s="193">
        <f ca="1">OFFSET('Expenditure Study'!$B$7,'Operations Support'!$C1683,'Operations Support'!$B1683)*$G1683</f>
        <v>0</v>
      </c>
      <c r="V1683" s="199">
        <f ca="1">U1683*'Expenditure Study'!$B$31</f>
        <v>0</v>
      </c>
      <c r="W1683" s="199">
        <f ca="1">IF(A1683=10298,1.51,1)*IF($B1683&lt;3,$D1683*'Expenditure Study'!$B$32*OFFSET('Expenditure Study'!$B$7,'Operations Support'!$C1683,'Operations Support'!$B1683),0)</f>
        <v>0</v>
      </c>
      <c r="X1683" s="200">
        <f ca="1">W1683*'Expenditure Study'!$B$31</f>
        <v>0</v>
      </c>
      <c r="Y1683" s="199">
        <f ca="1">U1683*'Expenditure Study'!$B$31</f>
        <v>0</v>
      </c>
      <c r="Z1683" s="200">
        <f ca="1">W1683*'Expenditure Study'!$B$31</f>
        <v>0</v>
      </c>
      <c r="AA1683" s="195">
        <f t="shared" ca="1" si="372"/>
        <v>0</v>
      </c>
      <c r="AB1683" s="195">
        <f t="shared" ca="1" si="373"/>
        <v>0</v>
      </c>
      <c r="AD1683" s="196">
        <f>IFERROR($G1683/SUMIF($A:$A,$A1683,$G:$G)*SUMIF(Summary!$A$166:$A$242,$A1683,Summary!$P$166:$P$242),0)</f>
        <v>0</v>
      </c>
      <c r="AE1683" s="197">
        <f t="shared" ca="1" si="374"/>
        <v>0</v>
      </c>
      <c r="AF1683" s="196">
        <f>IFERROR(G1683/SUMIF(A:A,A1683,G:G)*SUMIF(Summary!$A$166:$A$242,'Operations Support'!A1683,Summary!$Q$166:$Q$242),0)</f>
        <v>0</v>
      </c>
      <c r="AG1683" s="196">
        <f t="shared" ca="1" si="375"/>
        <v>0</v>
      </c>
      <c r="AI1683" s="196">
        <f>IFERROR($G1683/SUMIF($A:$A,$A1683,$G:$G)*SUMIF(Summary!$A$247:$A$283,$A1683,Summary!$P$247:$P$283),0)</f>
        <v>0</v>
      </c>
      <c r="AJ1683" s="196">
        <f>IFERROR($G1683/SUMIF($A:$A,$A1683,$G:$G)*(SUMIF(Summary!$A$247:$A$283,$A1683,Summary!$L$247:$L$283)+SUMIF(Summary!$A$297:$A$333,$A1683,Summary!$L$297:$L$333))-AI1683,0)</f>
        <v>0</v>
      </c>
      <c r="AK1683" s="196">
        <f>IFERROR($G1683/SUMIF($A:$A,$A1683,$G:$G)*SUMIF(Summary!$A$247:$A$283,$A1683,Summary!$Q$247:$Q$283),0)</f>
        <v>0</v>
      </c>
      <c r="AL1683" s="196">
        <f>IFERROR($G1683/SUMIF($A:$A,$A1683,$G:$G)*(SUMIF(Summary!$A$247:$A$283,$A1683,Summary!$L$247:$L$283)+SUMIF(Summary!$A$297:$A$333,$A1683,Summary!$L$297:$L$333))-AK1683,0)</f>
        <v>0</v>
      </c>
      <c r="AM1683" s="198"/>
      <c r="AN1683" s="196">
        <f t="shared" ca="1" si="376"/>
        <v>0</v>
      </c>
      <c r="AO1683" s="196">
        <f t="shared" ca="1" si="377"/>
        <v>0</v>
      </c>
    </row>
    <row r="1684" spans="1:41">
      <c r="A1684" s="189">
        <v>3642</v>
      </c>
      <c r="B1684" s="190">
        <v>5</v>
      </c>
      <c r="C1684" s="191" t="s">
        <v>240</v>
      </c>
      <c r="D1684" s="192">
        <f t="shared" si="364"/>
        <v>0</v>
      </c>
      <c r="E1684" s="192">
        <f t="shared" si="365"/>
        <v>0</v>
      </c>
      <c r="F1684" s="192">
        <f t="shared" si="366"/>
        <v>0</v>
      </c>
      <c r="G1684" s="193">
        <f t="shared" si="367"/>
        <v>0</v>
      </c>
      <c r="H1684" s="194">
        <v>0</v>
      </c>
      <c r="I1684" s="194">
        <v>0</v>
      </c>
      <c r="J1684" s="194">
        <v>0</v>
      </c>
      <c r="K1684" s="193">
        <f t="shared" si="368"/>
        <v>0</v>
      </c>
      <c r="L1684" s="194">
        <v>0</v>
      </c>
      <c r="M1684" s="194">
        <v>0</v>
      </c>
      <c r="N1684" s="194">
        <v>0</v>
      </c>
      <c r="O1684" s="193">
        <f t="shared" si="369"/>
        <v>0</v>
      </c>
      <c r="P1684" s="194">
        <v>0</v>
      </c>
      <c r="Q1684" s="194">
        <v>0</v>
      </c>
      <c r="R1684" s="194">
        <v>0</v>
      </c>
      <c r="S1684" s="193">
        <f t="shared" si="370"/>
        <v>0</v>
      </c>
      <c r="T1684" s="193">
        <f t="shared" si="371"/>
        <v>0</v>
      </c>
      <c r="U1684" s="193">
        <f ca="1">OFFSET('Expenditure Study'!$B$7,'Operations Support'!$C1684,'Operations Support'!$B1684)*$G1684</f>
        <v>0</v>
      </c>
      <c r="V1684" s="199">
        <f ca="1">U1684*'Expenditure Study'!$B$31</f>
        <v>0</v>
      </c>
      <c r="W1684" s="199">
        <f ca="1">IF(A1684=10298,1.51,1)*IF($B1684&lt;3,$D1684*'Expenditure Study'!$B$32*OFFSET('Expenditure Study'!$B$7,'Operations Support'!$C1684,'Operations Support'!$B1684),0)</f>
        <v>0</v>
      </c>
      <c r="X1684" s="200">
        <f ca="1">W1684*'Expenditure Study'!$B$31</f>
        <v>0</v>
      </c>
      <c r="Y1684" s="199">
        <f ca="1">U1684*'Expenditure Study'!$B$31</f>
        <v>0</v>
      </c>
      <c r="Z1684" s="200">
        <f ca="1">W1684*'Expenditure Study'!$B$31</f>
        <v>0</v>
      </c>
      <c r="AA1684" s="195">
        <f t="shared" ca="1" si="372"/>
        <v>0</v>
      </c>
      <c r="AB1684" s="195">
        <f t="shared" ca="1" si="373"/>
        <v>0</v>
      </c>
      <c r="AD1684" s="196">
        <f>IFERROR($G1684/SUMIF($A:$A,$A1684,$G:$G)*SUMIF(Summary!$A$166:$A$242,$A1684,Summary!$P$166:$P$242),0)</f>
        <v>0</v>
      </c>
      <c r="AE1684" s="197">
        <f t="shared" ca="1" si="374"/>
        <v>0</v>
      </c>
      <c r="AF1684" s="196">
        <f>IFERROR(G1684/SUMIF(A:A,A1684,G:G)*SUMIF(Summary!$A$166:$A$242,'Operations Support'!A1684,Summary!$Q$166:$Q$242),0)</f>
        <v>0</v>
      </c>
      <c r="AG1684" s="196">
        <f t="shared" ca="1" si="375"/>
        <v>0</v>
      </c>
      <c r="AI1684" s="196">
        <f>IFERROR($G1684/SUMIF($A:$A,$A1684,$G:$G)*SUMIF(Summary!$A$247:$A$283,$A1684,Summary!$P$247:$P$283),0)</f>
        <v>0</v>
      </c>
      <c r="AJ1684" s="196">
        <f>IFERROR($G1684/SUMIF($A:$A,$A1684,$G:$G)*(SUMIF(Summary!$A$247:$A$283,$A1684,Summary!$L$247:$L$283)+SUMIF(Summary!$A$297:$A$333,$A1684,Summary!$L$297:$L$333))-AI1684,0)</f>
        <v>0</v>
      </c>
      <c r="AK1684" s="196">
        <f>IFERROR($G1684/SUMIF($A:$A,$A1684,$G:$G)*SUMIF(Summary!$A$247:$A$283,$A1684,Summary!$Q$247:$Q$283),0)</f>
        <v>0</v>
      </c>
      <c r="AL1684" s="196">
        <f>IFERROR($G1684/SUMIF($A:$A,$A1684,$G:$G)*(SUMIF(Summary!$A$247:$A$283,$A1684,Summary!$L$247:$L$283)+SUMIF(Summary!$A$297:$A$333,$A1684,Summary!$L$297:$L$333))-AK1684,0)</f>
        <v>0</v>
      </c>
      <c r="AM1684" s="198"/>
      <c r="AN1684" s="196">
        <f t="shared" ca="1" si="376"/>
        <v>0</v>
      </c>
      <c r="AO1684" s="196">
        <f t="shared" ca="1" si="377"/>
        <v>0</v>
      </c>
    </row>
    <row r="1685" spans="1:41">
      <c r="A1685" s="189">
        <v>3644</v>
      </c>
      <c r="B1685" s="190">
        <v>1</v>
      </c>
      <c r="C1685" s="191" t="s">
        <v>220</v>
      </c>
      <c r="D1685" s="192">
        <f t="shared" si="364"/>
        <v>48270.949999999801</v>
      </c>
      <c r="E1685" s="192">
        <f t="shared" si="365"/>
        <v>238989.05000000002</v>
      </c>
      <c r="F1685" s="192">
        <f t="shared" si="366"/>
        <v>0</v>
      </c>
      <c r="G1685" s="193">
        <f t="shared" si="367"/>
        <v>287259.99999999983</v>
      </c>
      <c r="H1685" s="194">
        <v>19222.400000000001</v>
      </c>
      <c r="I1685" s="194">
        <v>98862.6</v>
      </c>
      <c r="J1685" s="194">
        <v>0</v>
      </c>
      <c r="K1685" s="193">
        <f t="shared" si="368"/>
        <v>118085</v>
      </c>
      <c r="L1685" s="194">
        <v>25089.399999999801</v>
      </c>
      <c r="M1685" s="194">
        <v>117817.60000000001</v>
      </c>
      <c r="N1685" s="194">
        <v>0</v>
      </c>
      <c r="O1685" s="193">
        <f t="shared" si="369"/>
        <v>142906.9999999998</v>
      </c>
      <c r="P1685" s="194">
        <v>3959.15</v>
      </c>
      <c r="Q1685" s="194">
        <v>22308.85</v>
      </c>
      <c r="R1685" s="194">
        <v>0</v>
      </c>
      <c r="S1685" s="193">
        <f t="shared" si="370"/>
        <v>26268</v>
      </c>
      <c r="T1685" s="193">
        <f t="shared" si="371"/>
        <v>9575.3333333333267</v>
      </c>
      <c r="U1685" s="193">
        <f ca="1">OFFSET('Expenditure Study'!$B$7,'Operations Support'!$C1685,'Operations Support'!$B1685)*$G1685</f>
        <v>287259.99999999983</v>
      </c>
      <c r="V1685" s="199">
        <f ca="1">U1685*'Expenditure Study'!$B$31</f>
        <v>16972234.516607989</v>
      </c>
      <c r="W1685" s="199">
        <f ca="1">IF(A1685=10298,1.51,1)*IF($B1685&lt;3,$D1685*'Expenditure Study'!$B$32*OFFSET('Expenditure Study'!$B$7,'Operations Support'!$C1685,'Operations Support'!$B1685),0)</f>
        <v>4827.0949999999802</v>
      </c>
      <c r="X1685" s="200">
        <f ca="1">W1685*'Expenditure Study'!$B$31</f>
        <v>285200.12662377482</v>
      </c>
      <c r="Y1685" s="199">
        <f ca="1">U1685*'Expenditure Study'!$B$31</f>
        <v>16972234.516607989</v>
      </c>
      <c r="Z1685" s="200">
        <f ca="1">W1685*'Expenditure Study'!$B$31</f>
        <v>285200.12662377482</v>
      </c>
      <c r="AA1685" s="195">
        <f t="shared" ca="1" si="372"/>
        <v>17257434.643231764</v>
      </c>
      <c r="AB1685" s="195">
        <f t="shared" ca="1" si="373"/>
        <v>17257434.643231764</v>
      </c>
      <c r="AD1685" s="196">
        <f>IFERROR($G1685/SUMIF($A:$A,$A1685,$G:$G)*SUMIF(Summary!$A$166:$A$242,$A1685,Summary!$P$166:$P$242),0)</f>
        <v>8497162.4845551122</v>
      </c>
      <c r="AE1685" s="197">
        <f t="shared" ca="1" si="374"/>
        <v>8760272.1586766522</v>
      </c>
      <c r="AF1685" s="196">
        <f>IFERROR(G1685/SUMIF(A:A,A1685,G:G)*SUMIF(Summary!$A$166:$A$242,'Operations Support'!A1685,Summary!$Q$166:$Q$242),0)</f>
        <v>8525833.6132411417</v>
      </c>
      <c r="AG1685" s="196">
        <f t="shared" ca="1" si="375"/>
        <v>8731601.0299906228</v>
      </c>
      <c r="AI1685" s="196">
        <f>IFERROR($G1685/SUMIF($A:$A,$A1685,$G:$G)*SUMIF(Summary!$A$247:$A$283,$A1685,Summary!$P$247:$P$283),0)</f>
        <v>1549670.3928567024</v>
      </c>
      <c r="AJ1685" s="196">
        <f>IFERROR($G1685/SUMIF($A:$A,$A1685,$G:$G)*(SUMIF(Summary!$A$247:$A$283,$A1685,Summary!$L$247:$L$283)+SUMIF(Summary!$A$297:$A$333,$A1685,Summary!$L$297:$L$333))-AI1685,0)</f>
        <v>6996495.315020524</v>
      </c>
      <c r="AK1685" s="196">
        <f>IFERROR($G1685/SUMIF($A:$A,$A1685,$G:$G)*SUMIF(Summary!$A$247:$A$283,$A1685,Summary!$Q$247:$Q$283),0)</f>
        <v>1554899.2912489932</v>
      </c>
      <c r="AL1685" s="196">
        <f>IFERROR($G1685/SUMIF($A:$A,$A1685,$G:$G)*(SUMIF(Summary!$A$247:$A$283,$A1685,Summary!$L$247:$L$283)+SUMIF(Summary!$A$297:$A$333,$A1685,Summary!$L$297:$L$333))-AK1685,0)</f>
        <v>6991266.4166282332</v>
      </c>
      <c r="AM1685" s="198"/>
      <c r="AN1685" s="196">
        <f t="shared" ca="1" si="376"/>
        <v>15756767.473697176</v>
      </c>
      <c r="AO1685" s="196">
        <f t="shared" ca="1" si="377"/>
        <v>15722867.446618855</v>
      </c>
    </row>
    <row r="1686" spans="1:41">
      <c r="A1686" s="189">
        <v>3644</v>
      </c>
      <c r="B1686" s="190">
        <v>1</v>
      </c>
      <c r="C1686" s="191" t="s">
        <v>221</v>
      </c>
      <c r="D1686" s="192">
        <f t="shared" si="364"/>
        <v>38986.109999999513</v>
      </c>
      <c r="E1686" s="192">
        <f t="shared" si="365"/>
        <v>78505.89000000029</v>
      </c>
      <c r="F1686" s="192">
        <f t="shared" si="366"/>
        <v>0</v>
      </c>
      <c r="G1686" s="193">
        <f t="shared" si="367"/>
        <v>117491.9999999998</v>
      </c>
      <c r="H1686" s="194">
        <v>17938.9999999996</v>
      </c>
      <c r="I1686" s="194">
        <v>32578.000000000298</v>
      </c>
      <c r="J1686" s="194">
        <v>0</v>
      </c>
      <c r="K1686" s="193">
        <f t="shared" si="368"/>
        <v>50516.999999999898</v>
      </c>
      <c r="L1686" s="194">
        <v>18808.409999999902</v>
      </c>
      <c r="M1686" s="194">
        <v>39623.589999999997</v>
      </c>
      <c r="N1686" s="194">
        <v>0</v>
      </c>
      <c r="O1686" s="193">
        <f t="shared" si="369"/>
        <v>58431.999999999898</v>
      </c>
      <c r="P1686" s="194">
        <v>2238.7000000000098</v>
      </c>
      <c r="Q1686" s="194">
        <v>6304.3</v>
      </c>
      <c r="R1686" s="194">
        <v>0</v>
      </c>
      <c r="S1686" s="193">
        <f t="shared" si="370"/>
        <v>8543.0000000000109</v>
      </c>
      <c r="T1686" s="193">
        <f t="shared" si="371"/>
        <v>3916.3999999999933</v>
      </c>
      <c r="U1686" s="193">
        <f ca="1">OFFSET('Expenditure Study'!$B$7,'Operations Support'!$C1686,'Operations Support'!$B1686)*$G1686</f>
        <v>157439.27999999974</v>
      </c>
      <c r="V1686" s="199">
        <f ca="1">U1686*'Expenditure Study'!$B$31</f>
        <v>9302013.4452618081</v>
      </c>
      <c r="W1686" s="199">
        <f ca="1">IF(A1686=10298,1.51,1)*IF($B1686&lt;3,$D1686*'Expenditure Study'!$B$32*OFFSET('Expenditure Study'!$B$7,'Operations Support'!$C1686,'Operations Support'!$B1686),0)</f>
        <v>5224.1387399999358</v>
      </c>
      <c r="X1686" s="200">
        <f ca="1">W1686*'Expenditure Study'!$B$31</f>
        <v>308658.73369970039</v>
      </c>
      <c r="Y1686" s="199">
        <f ca="1">U1686*'Expenditure Study'!$B$31</f>
        <v>9302013.4452618081</v>
      </c>
      <c r="Z1686" s="200">
        <f ca="1">W1686*'Expenditure Study'!$B$31</f>
        <v>308658.73369970039</v>
      </c>
      <c r="AA1686" s="195">
        <f t="shared" ca="1" si="372"/>
        <v>9610672.178961508</v>
      </c>
      <c r="AB1686" s="195">
        <f t="shared" ca="1" si="373"/>
        <v>9610672.178961508</v>
      </c>
      <c r="AD1686" s="196">
        <f>IFERROR($G1686/SUMIF($A:$A,$A1686,$G:$G)*SUMIF(Summary!$A$166:$A$242,$A1686,Summary!$P$166:$P$242),0)</f>
        <v>3475418.1390912347</v>
      </c>
      <c r="AE1686" s="197">
        <f t="shared" ca="1" si="374"/>
        <v>6135254.0398702733</v>
      </c>
      <c r="AF1686" s="196">
        <f>IFERROR(G1686/SUMIF(A:A,A1686,G:G)*SUMIF(Summary!$A$166:$A$242,'Operations Support'!A1686,Summary!$Q$166:$Q$242),0)</f>
        <v>3487144.8962157178</v>
      </c>
      <c r="AG1686" s="196">
        <f t="shared" ca="1" si="375"/>
        <v>6123527.2827457897</v>
      </c>
      <c r="AI1686" s="196">
        <f>IFERROR($G1686/SUMIF($A:$A,$A1686,$G:$G)*SUMIF(Summary!$A$247:$A$283,$A1686,Summary!$P$247:$P$283),0)</f>
        <v>633829.5404773358</v>
      </c>
      <c r="AJ1686" s="196">
        <f>IFERROR($G1686/SUMIF($A:$A,$A1686,$G:$G)*(SUMIF(Summary!$A$247:$A$283,$A1686,Summary!$L$247:$L$283)+SUMIF(Summary!$A$297:$A$333,$A1686,Summary!$L$297:$L$333))-AI1686,0)</f>
        <v>2861631.370717783</v>
      </c>
      <c r="AK1686" s="196">
        <f>IFERROR($G1686/SUMIF($A:$A,$A1686,$G:$G)*SUMIF(Summary!$A$247:$A$283,$A1686,Summary!$Q$247:$Q$283),0)</f>
        <v>635968.20833887951</v>
      </c>
      <c r="AL1686" s="196">
        <f>IFERROR($G1686/SUMIF($A:$A,$A1686,$G:$G)*(SUMIF(Summary!$A$247:$A$283,$A1686,Summary!$L$247:$L$283)+SUMIF(Summary!$A$297:$A$333,$A1686,Summary!$L$297:$L$333))-AK1686,0)</f>
        <v>2859492.7028562394</v>
      </c>
      <c r="AM1686" s="198"/>
      <c r="AN1686" s="196">
        <f t="shared" ca="1" si="376"/>
        <v>8996885.4105880558</v>
      </c>
      <c r="AO1686" s="196">
        <f t="shared" ca="1" si="377"/>
        <v>8983019.9856020287</v>
      </c>
    </row>
    <row r="1687" spans="1:41">
      <c r="A1687" s="189">
        <v>3644</v>
      </c>
      <c r="B1687" s="190">
        <v>1</v>
      </c>
      <c r="C1687" s="191" t="s">
        <v>222</v>
      </c>
      <c r="D1687" s="192">
        <f t="shared" si="364"/>
        <v>8154.5300000000007</v>
      </c>
      <c r="E1687" s="192">
        <f t="shared" si="365"/>
        <v>23014.47</v>
      </c>
      <c r="F1687" s="192">
        <f t="shared" si="366"/>
        <v>0</v>
      </c>
      <c r="G1687" s="193">
        <f t="shared" si="367"/>
        <v>31169</v>
      </c>
      <c r="H1687" s="194">
        <v>3538.53</v>
      </c>
      <c r="I1687" s="194">
        <v>9183.4699999999993</v>
      </c>
      <c r="J1687" s="194">
        <v>0</v>
      </c>
      <c r="K1687" s="193">
        <f t="shared" si="368"/>
        <v>12722</v>
      </c>
      <c r="L1687" s="194">
        <v>4061</v>
      </c>
      <c r="M1687" s="194">
        <v>12691</v>
      </c>
      <c r="N1687" s="194">
        <v>0</v>
      </c>
      <c r="O1687" s="193">
        <f t="shared" si="369"/>
        <v>16752</v>
      </c>
      <c r="P1687" s="194">
        <v>555</v>
      </c>
      <c r="Q1687" s="194">
        <v>1140</v>
      </c>
      <c r="R1687" s="194">
        <v>0</v>
      </c>
      <c r="S1687" s="193">
        <f t="shared" si="370"/>
        <v>1695</v>
      </c>
      <c r="T1687" s="193">
        <f t="shared" si="371"/>
        <v>1038.9666666666667</v>
      </c>
      <c r="U1687" s="193">
        <f ca="1">OFFSET('Expenditure Study'!$B$7,'Operations Support'!$C1687,'Operations Support'!$B1687)*$G1687</f>
        <v>42701.530000000006</v>
      </c>
      <c r="V1687" s="199">
        <f ca="1">U1687*'Expenditure Study'!$B$31</f>
        <v>2522942.2174266246</v>
      </c>
      <c r="W1687" s="199">
        <f ca="1">IF(A1687=10298,1.51,1)*IF($B1687&lt;3,$D1687*'Expenditure Study'!$B$32*OFFSET('Expenditure Study'!$B$7,'Operations Support'!$C1687,'Operations Support'!$B1687),0)</f>
        <v>1117.1706100000001</v>
      </c>
      <c r="X1687" s="200">
        <f ca="1">W1687*'Expenditure Study'!$B$31</f>
        <v>66005.993135076293</v>
      </c>
      <c r="Y1687" s="199">
        <f ca="1">U1687*'Expenditure Study'!$B$31</f>
        <v>2522942.2174266246</v>
      </c>
      <c r="Z1687" s="200">
        <f ca="1">W1687*'Expenditure Study'!$B$31</f>
        <v>66005.993135076293</v>
      </c>
      <c r="AA1687" s="195">
        <f t="shared" ca="1" si="372"/>
        <v>2588948.2105617011</v>
      </c>
      <c r="AB1687" s="195">
        <f t="shared" ca="1" si="373"/>
        <v>2588948.2105617011</v>
      </c>
      <c r="AD1687" s="196">
        <f>IFERROR($G1687/SUMIF($A:$A,$A1687,$G:$G)*SUMIF(Summary!$A$166:$A$242,$A1687,Summary!$P$166:$P$242),0)</f>
        <v>921980.28782670212</v>
      </c>
      <c r="AE1687" s="197">
        <f t="shared" ca="1" si="374"/>
        <v>1666967.9227349991</v>
      </c>
      <c r="AF1687" s="196">
        <f>IFERROR(G1687/SUMIF(A:A,A1687,G:G)*SUMIF(Summary!$A$166:$A$242,'Operations Support'!A1687,Summary!$Q$166:$Q$242),0)</f>
        <v>925091.23404272541</v>
      </c>
      <c r="AG1687" s="196">
        <f t="shared" ca="1" si="375"/>
        <v>1663856.9765189756</v>
      </c>
      <c r="AI1687" s="196">
        <f>IFERROR($G1687/SUMIF($A:$A,$A1687,$G:$G)*SUMIF(Summary!$A$247:$A$283,$A1687,Summary!$P$247:$P$283),0)</f>
        <v>168146.19673797462</v>
      </c>
      <c r="AJ1687" s="196">
        <f>IFERROR($G1687/SUMIF($A:$A,$A1687,$G:$G)*(SUMIF(Summary!$A$247:$A$283,$A1687,Summary!$L$247:$L$283)+SUMIF(Summary!$A$297:$A$333,$A1687,Summary!$L$297:$L$333))-AI1687,0)</f>
        <v>759151.16087821079</v>
      </c>
      <c r="AK1687" s="196">
        <f>IFERROR($G1687/SUMIF($A:$A,$A1687,$G:$G)*SUMIF(Summary!$A$247:$A$283,$A1687,Summary!$Q$247:$Q$283),0)</f>
        <v>168713.55569497982</v>
      </c>
      <c r="AL1687" s="196">
        <f>IFERROR($G1687/SUMIF($A:$A,$A1687,$G:$G)*(SUMIF(Summary!$A$247:$A$283,$A1687,Summary!$L$247:$L$283)+SUMIF(Summary!$A$297:$A$333,$A1687,Summary!$L$297:$L$333))-AK1687,0)</f>
        <v>758583.8019212056</v>
      </c>
      <c r="AM1687" s="198"/>
      <c r="AN1687" s="196">
        <f t="shared" ca="1" si="376"/>
        <v>2426119.0836132099</v>
      </c>
      <c r="AO1687" s="196">
        <f t="shared" ca="1" si="377"/>
        <v>2422440.7784401812</v>
      </c>
    </row>
    <row r="1688" spans="1:41">
      <c r="A1688" s="189">
        <v>3644</v>
      </c>
      <c r="B1688" s="190">
        <v>1</v>
      </c>
      <c r="C1688" s="191" t="s">
        <v>223</v>
      </c>
      <c r="D1688" s="192">
        <f t="shared" si="364"/>
        <v>467</v>
      </c>
      <c r="E1688" s="192">
        <f t="shared" si="365"/>
        <v>2194</v>
      </c>
      <c r="F1688" s="192">
        <f t="shared" si="366"/>
        <v>0</v>
      </c>
      <c r="G1688" s="193">
        <f t="shared" si="367"/>
        <v>2661</v>
      </c>
      <c r="H1688" s="194">
        <v>87</v>
      </c>
      <c r="I1688" s="194">
        <v>692</v>
      </c>
      <c r="J1688" s="194">
        <v>0</v>
      </c>
      <c r="K1688" s="193">
        <f t="shared" si="368"/>
        <v>779</v>
      </c>
      <c r="L1688" s="194">
        <v>263</v>
      </c>
      <c r="M1688" s="194">
        <v>1269</v>
      </c>
      <c r="N1688" s="194">
        <v>0</v>
      </c>
      <c r="O1688" s="193">
        <f t="shared" si="369"/>
        <v>1532</v>
      </c>
      <c r="P1688" s="194">
        <v>117</v>
      </c>
      <c r="Q1688" s="194">
        <v>233</v>
      </c>
      <c r="R1688" s="194">
        <v>0</v>
      </c>
      <c r="S1688" s="193">
        <f t="shared" si="370"/>
        <v>350</v>
      </c>
      <c r="T1688" s="193">
        <f t="shared" si="371"/>
        <v>88.7</v>
      </c>
      <c r="U1688" s="193">
        <f ca="1">OFFSET('Expenditure Study'!$B$7,'Operations Support'!$C1688,'Operations Support'!$B1688)*$G1688</f>
        <v>3352.86</v>
      </c>
      <c r="V1688" s="199">
        <f ca="1">U1688*'Expenditure Study'!$B$31</f>
        <v>198097.63357708801</v>
      </c>
      <c r="W1688" s="199">
        <f ca="1">IF(A1688=10298,1.51,1)*IF($B1688&lt;3,$D1688*'Expenditure Study'!$B$32*OFFSET('Expenditure Study'!$B$7,'Operations Support'!$C1688,'Operations Support'!$B1688),0)</f>
        <v>58.842000000000006</v>
      </c>
      <c r="X1688" s="200">
        <f ca="1">W1688*'Expenditure Study'!$B$31</f>
        <v>3476.5725246336006</v>
      </c>
      <c r="Y1688" s="199">
        <f ca="1">U1688*'Expenditure Study'!$B$31</f>
        <v>198097.63357708801</v>
      </c>
      <c r="Z1688" s="200">
        <f ca="1">W1688*'Expenditure Study'!$B$31</f>
        <v>3476.5725246336006</v>
      </c>
      <c r="AA1688" s="195">
        <f t="shared" ca="1" si="372"/>
        <v>201574.20610172162</v>
      </c>
      <c r="AB1688" s="195">
        <f t="shared" ca="1" si="373"/>
        <v>201574.20610172162</v>
      </c>
      <c r="AD1688" s="196">
        <f>IFERROR($G1688/SUMIF($A:$A,$A1688,$G:$G)*SUMIF(Summary!$A$166:$A$242,$A1688,Summary!$P$166:$P$242),0)</f>
        <v>78712.48823853361</v>
      </c>
      <c r="AE1688" s="197">
        <f t="shared" ca="1" si="374"/>
        <v>122861.71786318801</v>
      </c>
      <c r="AF1688" s="196">
        <f>IFERROR(G1688/SUMIF(A:A,A1688,G:G)*SUMIF(Summary!$A$166:$A$242,'Operations Support'!A1688,Summary!$Q$166:$Q$242),0)</f>
        <v>78978.07994442209</v>
      </c>
      <c r="AG1688" s="196">
        <f t="shared" ca="1" si="375"/>
        <v>122596.12615729953</v>
      </c>
      <c r="AI1688" s="196">
        <f>IFERROR($G1688/SUMIF($A:$A,$A1688,$G:$G)*SUMIF(Summary!$A$247:$A$283,$A1688,Summary!$P$247:$P$283),0)</f>
        <v>14355.193606459958</v>
      </c>
      <c r="AJ1688" s="196">
        <f>IFERROR($G1688/SUMIF($A:$A,$A1688,$G:$G)*(SUMIF(Summary!$A$247:$A$283,$A1688,Summary!$L$247:$L$283)+SUMIF(Summary!$A$297:$A$333,$A1688,Summary!$L$297:$L$333))-AI1688,0)</f>
        <v>64811.230360195026</v>
      </c>
      <c r="AK1688" s="196">
        <f>IFERROR($G1688/SUMIF($A:$A,$A1688,$G:$G)*SUMIF(Summary!$A$247:$A$283,$A1688,Summary!$Q$247:$Q$283),0)</f>
        <v>14403.630905846876</v>
      </c>
      <c r="AL1688" s="196">
        <f>IFERROR($G1688/SUMIF($A:$A,$A1688,$G:$G)*(SUMIF(Summary!$A$247:$A$283,$A1688,Summary!$L$247:$L$283)+SUMIF(Summary!$A$297:$A$333,$A1688,Summary!$L$297:$L$333))-AK1688,0)</f>
        <v>64762.793060808108</v>
      </c>
      <c r="AM1688" s="198"/>
      <c r="AN1688" s="196">
        <f t="shared" ca="1" si="376"/>
        <v>187672.94822338305</v>
      </c>
      <c r="AO1688" s="196">
        <f t="shared" ca="1" si="377"/>
        <v>187358.91921810765</v>
      </c>
    </row>
    <row r="1689" spans="1:41">
      <c r="A1689" s="189">
        <v>3644</v>
      </c>
      <c r="B1689" s="190">
        <v>1</v>
      </c>
      <c r="C1689" s="191" t="s">
        <v>224</v>
      </c>
      <c r="D1689" s="192">
        <f t="shared" si="364"/>
        <v>12357.590000000011</v>
      </c>
      <c r="E1689" s="192">
        <f t="shared" si="365"/>
        <v>7632.41</v>
      </c>
      <c r="F1689" s="192">
        <f t="shared" si="366"/>
        <v>0</v>
      </c>
      <c r="G1689" s="193">
        <f t="shared" si="367"/>
        <v>19990.000000000011</v>
      </c>
      <c r="H1689" s="194">
        <v>4847.1800000000203</v>
      </c>
      <c r="I1689" s="194">
        <v>2907.82</v>
      </c>
      <c r="J1689" s="194">
        <v>0</v>
      </c>
      <c r="K1689" s="193">
        <f t="shared" si="368"/>
        <v>7755.00000000002</v>
      </c>
      <c r="L1689" s="194">
        <v>6556.4099999999899</v>
      </c>
      <c r="M1689" s="194">
        <v>4570.59</v>
      </c>
      <c r="N1689" s="194">
        <v>0</v>
      </c>
      <c r="O1689" s="193">
        <f t="shared" si="369"/>
        <v>11126.999999999989</v>
      </c>
      <c r="P1689" s="194">
        <v>954</v>
      </c>
      <c r="Q1689" s="194">
        <v>154</v>
      </c>
      <c r="R1689" s="194">
        <v>0</v>
      </c>
      <c r="S1689" s="193">
        <f t="shared" si="370"/>
        <v>1108</v>
      </c>
      <c r="T1689" s="193">
        <f t="shared" si="371"/>
        <v>666.33333333333371</v>
      </c>
      <c r="U1689" s="193">
        <f ca="1">OFFSET('Expenditure Study'!$B$7,'Operations Support'!$C1689,'Operations Support'!$B1689)*$G1689</f>
        <v>29585.200000000015</v>
      </c>
      <c r="V1689" s="199">
        <f ca="1">U1689*'Expenditure Study'!$B$31</f>
        <v>1747987.720604161</v>
      </c>
      <c r="W1689" s="199">
        <f ca="1">IF(A1689=10298,1.51,1)*IF($B1689&lt;3,$D1689*'Expenditure Study'!$B$32*OFFSET('Expenditure Study'!$B$7,'Operations Support'!$C1689,'Operations Support'!$B1689),0)</f>
        <v>1828.9233200000017</v>
      </c>
      <c r="X1689" s="200">
        <f ca="1">W1689*'Expenditure Study'!$B$31</f>
        <v>108058.60718489636</v>
      </c>
      <c r="Y1689" s="199">
        <f ca="1">U1689*'Expenditure Study'!$B$31</f>
        <v>1747987.720604161</v>
      </c>
      <c r="Z1689" s="200">
        <f ca="1">W1689*'Expenditure Study'!$B$31</f>
        <v>108058.60718489636</v>
      </c>
      <c r="AA1689" s="195">
        <f t="shared" ca="1" si="372"/>
        <v>1856046.3277890575</v>
      </c>
      <c r="AB1689" s="195">
        <f t="shared" ca="1" si="373"/>
        <v>1856046.3277890575</v>
      </c>
      <c r="AD1689" s="196">
        <f>IFERROR($G1689/SUMIF($A:$A,$A1689,$G:$G)*SUMIF(Summary!$A$166:$A$242,$A1689,Summary!$P$166:$P$242),0)</f>
        <v>591305.01311096863</v>
      </c>
      <c r="AE1689" s="197">
        <f t="shared" ca="1" si="374"/>
        <v>1264741.3146780888</v>
      </c>
      <c r="AF1689" s="196">
        <f>IFERROR(G1689/SUMIF(A:A,A1689,G:G)*SUMIF(Summary!$A$166:$A$242,'Operations Support'!A1689,Summary!$Q$166:$Q$242),0)</f>
        <v>593300.19469710579</v>
      </c>
      <c r="AG1689" s="196">
        <f t="shared" ca="1" si="375"/>
        <v>1262746.1330919517</v>
      </c>
      <c r="AI1689" s="196">
        <f>IFERROR($G1689/SUMIF($A:$A,$A1689,$G:$G)*SUMIF(Summary!$A$247:$A$283,$A1689,Summary!$P$247:$P$283),0)</f>
        <v>107839.27853932157</v>
      </c>
      <c r="AJ1689" s="196">
        <f>IFERROR($G1689/SUMIF($A:$A,$A1689,$G:$G)*(SUMIF(Summary!$A$247:$A$283,$A1689,Summary!$L$247:$L$283)+SUMIF(Summary!$A$297:$A$333,$A1689,Summary!$L$297:$L$333))-AI1689,0)</f>
        <v>486875.79665550514</v>
      </c>
      <c r="AK1689" s="196">
        <f>IFERROR($G1689/SUMIF($A:$A,$A1689,$G:$G)*SUMIF(Summary!$A$247:$A$283,$A1689,Summary!$Q$247:$Q$283),0)</f>
        <v>108203.14987143149</v>
      </c>
      <c r="AL1689" s="196">
        <f>IFERROR($G1689/SUMIF($A:$A,$A1689,$G:$G)*(SUMIF(Summary!$A$247:$A$283,$A1689,Summary!$L$247:$L$283)+SUMIF(Summary!$A$297:$A$333,$A1689,Summary!$L$297:$L$333))-AK1689,0)</f>
        <v>486511.92532339517</v>
      </c>
      <c r="AM1689" s="198"/>
      <c r="AN1689" s="196">
        <f t="shared" ca="1" si="376"/>
        <v>1751617.111333594</v>
      </c>
      <c r="AO1689" s="196">
        <f t="shared" ca="1" si="377"/>
        <v>1749258.0584153468</v>
      </c>
    </row>
    <row r="1690" spans="1:41">
      <c r="A1690" s="189">
        <v>3644</v>
      </c>
      <c r="B1690" s="190">
        <v>1</v>
      </c>
      <c r="C1690" s="191" t="s">
        <v>225</v>
      </c>
      <c r="D1690" s="192">
        <f t="shared" si="364"/>
        <v>12359.75</v>
      </c>
      <c r="E1690" s="192">
        <f t="shared" si="365"/>
        <v>33464.25</v>
      </c>
      <c r="F1690" s="192">
        <f t="shared" si="366"/>
        <v>0</v>
      </c>
      <c r="G1690" s="193">
        <f t="shared" si="367"/>
        <v>45824</v>
      </c>
      <c r="H1690" s="194">
        <v>5090.1000000000004</v>
      </c>
      <c r="I1690" s="194">
        <v>14810.9</v>
      </c>
      <c r="J1690" s="194">
        <v>0</v>
      </c>
      <c r="K1690" s="193">
        <f t="shared" si="368"/>
        <v>19901</v>
      </c>
      <c r="L1690" s="194">
        <v>6888.85</v>
      </c>
      <c r="M1690" s="194">
        <v>16247.15</v>
      </c>
      <c r="N1690" s="194">
        <v>0</v>
      </c>
      <c r="O1690" s="193">
        <f t="shared" si="369"/>
        <v>23136</v>
      </c>
      <c r="P1690" s="194">
        <v>380.8</v>
      </c>
      <c r="Q1690" s="194">
        <v>2406.1999999999998</v>
      </c>
      <c r="R1690" s="194">
        <v>0</v>
      </c>
      <c r="S1690" s="193">
        <f t="shared" si="370"/>
        <v>2787</v>
      </c>
      <c r="T1690" s="193">
        <f t="shared" si="371"/>
        <v>1527.4666666666667</v>
      </c>
      <c r="U1690" s="193">
        <f ca="1">OFFSET('Expenditure Study'!$B$7,'Operations Support'!$C1690,'Operations Support'!$B1690)*$G1690</f>
        <v>80650.240000000005</v>
      </c>
      <c r="V1690" s="199">
        <f ca="1">U1690*'Expenditure Study'!$B$31</f>
        <v>4765072.7114833919</v>
      </c>
      <c r="W1690" s="199">
        <f ca="1">IF(A1690=10298,1.51,1)*IF($B1690&lt;3,$D1690*'Expenditure Study'!$B$32*OFFSET('Expenditure Study'!$B$7,'Operations Support'!$C1690,'Operations Support'!$B1690),0)</f>
        <v>2175.3160000000003</v>
      </c>
      <c r="X1690" s="200">
        <f ca="1">W1690*'Expenditure Study'!$B$31</f>
        <v>128524.58852513281</v>
      </c>
      <c r="Y1690" s="199">
        <f ca="1">U1690*'Expenditure Study'!$B$31</f>
        <v>4765072.7114833919</v>
      </c>
      <c r="Z1690" s="200">
        <f ca="1">W1690*'Expenditure Study'!$B$31</f>
        <v>128524.58852513281</v>
      </c>
      <c r="AA1690" s="195">
        <f t="shared" ca="1" si="372"/>
        <v>4893597.3000085251</v>
      </c>
      <c r="AB1690" s="195">
        <f t="shared" ca="1" si="373"/>
        <v>4893597.3000085251</v>
      </c>
      <c r="AD1690" s="196">
        <f>IFERROR($G1690/SUMIF($A:$A,$A1690,$G:$G)*SUMIF(Summary!$A$166:$A$242,$A1690,Summary!$P$166:$P$242),0)</f>
        <v>1355475.7839318167</v>
      </c>
      <c r="AE1690" s="197">
        <f t="shared" ca="1" si="374"/>
        <v>3538121.5160767082</v>
      </c>
      <c r="AF1690" s="196">
        <f>IFERROR(G1690/SUMIF(A:A,A1690,G:G)*SUMIF(Summary!$A$166:$A$242,'Operations Support'!A1690,Summary!$Q$166:$Q$242),0)</f>
        <v>1360049.4308054107</v>
      </c>
      <c r="AG1690" s="196">
        <f t="shared" ca="1" si="375"/>
        <v>3533547.8692031144</v>
      </c>
      <c r="AI1690" s="196">
        <f>IFERROR($G1690/SUMIF($A:$A,$A1690,$G:$G)*SUMIF(Summary!$A$247:$A$283,$A1690,Summary!$P$247:$P$283),0)</f>
        <v>247204.95746802748</v>
      </c>
      <c r="AJ1690" s="196">
        <f>IFERROR($G1690/SUMIF($A:$A,$A1690,$G:$G)*(SUMIF(Summary!$A$247:$A$283,$A1690,Summary!$L$247:$L$283)+SUMIF(Summary!$A$297:$A$333,$A1690,Summary!$L$297:$L$333))-AI1690,0)</f>
        <v>1116087.8692317088</v>
      </c>
      <c r="AK1690" s="196">
        <f>IFERROR($G1690/SUMIF($A:$A,$A1690,$G:$G)*SUMIF(Summary!$A$247:$A$283,$A1690,Summary!$Q$247:$Q$283),0)</f>
        <v>248039.07652368557</v>
      </c>
      <c r="AL1690" s="196">
        <f>IFERROR($G1690/SUMIF($A:$A,$A1690,$G:$G)*(SUMIF(Summary!$A$247:$A$283,$A1690,Summary!$L$247:$L$283)+SUMIF(Summary!$A$297:$A$333,$A1690,Summary!$L$297:$L$333))-AK1690,0)</f>
        <v>1115253.7501760507</v>
      </c>
      <c r="AM1690" s="198"/>
      <c r="AN1690" s="196">
        <f t="shared" ca="1" si="376"/>
        <v>4654209.3853084166</v>
      </c>
      <c r="AO1690" s="196">
        <f t="shared" ca="1" si="377"/>
        <v>4648801.6193791647</v>
      </c>
    </row>
    <row r="1691" spans="1:41" s="201" customFormat="1">
      <c r="A1691" s="189">
        <v>3644</v>
      </c>
      <c r="B1691" s="190">
        <v>1</v>
      </c>
      <c r="C1691" s="191" t="s">
        <v>226</v>
      </c>
      <c r="D1691" s="192">
        <f t="shared" si="364"/>
        <v>1743</v>
      </c>
      <c r="E1691" s="192">
        <f t="shared" si="365"/>
        <v>7842</v>
      </c>
      <c r="F1691" s="192">
        <f t="shared" si="366"/>
        <v>0</v>
      </c>
      <c r="G1691" s="193">
        <f t="shared" si="367"/>
        <v>9585</v>
      </c>
      <c r="H1691" s="194">
        <v>891</v>
      </c>
      <c r="I1691" s="194">
        <v>2865</v>
      </c>
      <c r="J1691" s="194">
        <v>0</v>
      </c>
      <c r="K1691" s="193">
        <f t="shared" si="368"/>
        <v>3756</v>
      </c>
      <c r="L1691" s="194">
        <v>738</v>
      </c>
      <c r="M1691" s="194">
        <v>4055</v>
      </c>
      <c r="N1691" s="194">
        <v>0</v>
      </c>
      <c r="O1691" s="193">
        <f t="shared" si="369"/>
        <v>4793</v>
      </c>
      <c r="P1691" s="194">
        <v>114</v>
      </c>
      <c r="Q1691" s="194">
        <v>922</v>
      </c>
      <c r="R1691" s="194">
        <v>0</v>
      </c>
      <c r="S1691" s="193">
        <f t="shared" si="370"/>
        <v>1036</v>
      </c>
      <c r="T1691" s="193">
        <f t="shared" si="371"/>
        <v>319.5</v>
      </c>
      <c r="U1691" s="193">
        <f ca="1">OFFSET('Expenditure Study'!$B$7,'Operations Support'!$C1691,'Operations Support'!$B1691)*$G1691</f>
        <v>9105.75</v>
      </c>
      <c r="V1691" s="199">
        <f ca="1">U1691*'Expenditure Study'!$B$31</f>
        <v>537996.67356959998</v>
      </c>
      <c r="W1691" s="199">
        <f ca="1">IF(A1691=10298,1.51,1)*IF($B1691&lt;3,$D1691*'Expenditure Study'!$B$32*OFFSET('Expenditure Study'!$B$7,'Operations Support'!$C1691,'Operations Support'!$B1691),0)</f>
        <v>165.58500000000001</v>
      </c>
      <c r="X1691" s="200">
        <f ca="1">W1691*'Expenditure Study'!$B$31</f>
        <v>9783.2884927680007</v>
      </c>
      <c r="Y1691" s="199">
        <f ca="1">U1691*'Expenditure Study'!$B$31</f>
        <v>537996.67356959998</v>
      </c>
      <c r="Z1691" s="200">
        <f ca="1">W1691*'Expenditure Study'!$B$31</f>
        <v>9783.2884927680007</v>
      </c>
      <c r="AA1691" s="195">
        <f t="shared" ca="1" si="372"/>
        <v>547779.96206236794</v>
      </c>
      <c r="AB1691" s="195">
        <f t="shared" ca="1" si="373"/>
        <v>547779.96206236794</v>
      </c>
      <c r="AD1691" s="196">
        <f>IFERROR($G1691/SUMIF($A:$A,$A1691,$G:$G)*SUMIF(Summary!$A$166:$A$242,$A1691,Summary!$P$166:$P$242),0)</f>
        <v>283524.68987837079</v>
      </c>
      <c r="AE1691" s="197">
        <f t="shared" ca="1" si="374"/>
        <v>264255.27218399715</v>
      </c>
      <c r="AF1691" s="196">
        <f>IFERROR(G1691/SUMIF(A:A,A1691,G:G)*SUMIF(Summary!$A$166:$A$242,'Operations Support'!A1691,Summary!$Q$166:$Q$242),0)</f>
        <v>284481.35898808186</v>
      </c>
      <c r="AG1691" s="196">
        <f t="shared" ca="1" si="375"/>
        <v>263298.60307428607</v>
      </c>
      <c r="AH1691" s="180"/>
      <c r="AI1691" s="196">
        <f>IFERROR($G1691/SUMIF($A:$A,$A1691,$G:$G)*SUMIF(Summary!$A$247:$A$283,$A1691,Summary!$P$247:$P$283),0)</f>
        <v>51707.828154046867</v>
      </c>
      <c r="AJ1691" s="196">
        <f>IFERROR($G1691/SUMIF($A:$A,$A1691,$G:$G)*(SUMIF(Summary!$A$247:$A$283,$A1691,Summary!$L$247:$L$283)+SUMIF(Summary!$A$297:$A$333,$A1691,Summary!$L$297:$L$333))-AI1691,0)</f>
        <v>233451.95152291216</v>
      </c>
      <c r="AK1691" s="196">
        <f>IFERROR($G1691/SUMIF($A:$A,$A1691,$G:$G)*SUMIF(Summary!$A$247:$A$283,$A1691,Summary!$Q$247:$Q$283),0)</f>
        <v>51882.300726246642</v>
      </c>
      <c r="AL1691" s="196">
        <f>IFERROR($G1691/SUMIF($A:$A,$A1691,$G:$G)*(SUMIF(Summary!$A$247:$A$283,$A1691,Summary!$L$247:$L$283)+SUMIF(Summary!$A$297:$A$333,$A1691,Summary!$L$297:$L$333))-AK1691,0)</f>
        <v>233277.47895071239</v>
      </c>
      <c r="AM1691" s="198"/>
      <c r="AN1691" s="196">
        <f t="shared" ca="1" si="376"/>
        <v>497707.22370690934</v>
      </c>
      <c r="AO1691" s="196">
        <f t="shared" ca="1" si="377"/>
        <v>496576.0820249985</v>
      </c>
    </row>
    <row r="1692" spans="1:41">
      <c r="A1692" s="189">
        <v>3644</v>
      </c>
      <c r="B1692" s="190">
        <v>1</v>
      </c>
      <c r="C1692" s="191" t="s">
        <v>227</v>
      </c>
      <c r="D1692" s="192">
        <f t="shared" si="364"/>
        <v>0</v>
      </c>
      <c r="E1692" s="192">
        <f t="shared" si="365"/>
        <v>0</v>
      </c>
      <c r="F1692" s="192">
        <f t="shared" si="366"/>
        <v>0</v>
      </c>
      <c r="G1692" s="193">
        <f t="shared" si="367"/>
        <v>0</v>
      </c>
      <c r="H1692" s="194">
        <v>0</v>
      </c>
      <c r="I1692" s="194">
        <v>0</v>
      </c>
      <c r="J1692" s="194">
        <v>0</v>
      </c>
      <c r="K1692" s="193">
        <f t="shared" si="368"/>
        <v>0</v>
      </c>
      <c r="L1692" s="194">
        <v>0</v>
      </c>
      <c r="M1692" s="194">
        <v>0</v>
      </c>
      <c r="N1692" s="194">
        <v>0</v>
      </c>
      <c r="O1692" s="193">
        <f t="shared" si="369"/>
        <v>0</v>
      </c>
      <c r="P1692" s="194">
        <v>0</v>
      </c>
      <c r="Q1692" s="194">
        <v>0</v>
      </c>
      <c r="R1692" s="194">
        <v>0</v>
      </c>
      <c r="S1692" s="193">
        <f t="shared" si="370"/>
        <v>0</v>
      </c>
      <c r="T1692" s="193">
        <f t="shared" si="371"/>
        <v>0</v>
      </c>
      <c r="U1692" s="193">
        <f ca="1">OFFSET('Expenditure Study'!$B$7,'Operations Support'!$C1692,'Operations Support'!$B1692)*$G1692</f>
        <v>0</v>
      </c>
      <c r="V1692" s="199">
        <f ca="1">U1692*'Expenditure Study'!$B$31</f>
        <v>0</v>
      </c>
      <c r="W1692" s="199">
        <f ca="1">IF(A1692=10298,1.51,1)*IF($B1692&lt;3,$D1692*'Expenditure Study'!$B$32*OFFSET('Expenditure Study'!$B$7,'Operations Support'!$C1692,'Operations Support'!$B1692),0)</f>
        <v>0</v>
      </c>
      <c r="X1692" s="200">
        <f ca="1">W1692*'Expenditure Study'!$B$31</f>
        <v>0</v>
      </c>
      <c r="Y1692" s="199">
        <f ca="1">U1692*'Expenditure Study'!$B$31</f>
        <v>0</v>
      </c>
      <c r="Z1692" s="200">
        <f ca="1">W1692*'Expenditure Study'!$B$31</f>
        <v>0</v>
      </c>
      <c r="AA1692" s="195">
        <f t="shared" ca="1" si="372"/>
        <v>0</v>
      </c>
      <c r="AB1692" s="195">
        <f t="shared" ca="1" si="373"/>
        <v>0</v>
      </c>
      <c r="AD1692" s="196">
        <f>IFERROR($G1692/SUMIF($A:$A,$A1692,$G:$G)*SUMIF(Summary!$A$166:$A$242,$A1692,Summary!$P$166:$P$242),0)</f>
        <v>0</v>
      </c>
      <c r="AE1692" s="197">
        <f t="shared" ca="1" si="374"/>
        <v>0</v>
      </c>
      <c r="AF1692" s="196">
        <f>IFERROR(G1692/SUMIF(A:A,A1692,G:G)*SUMIF(Summary!$A$166:$A$242,'Operations Support'!A1692,Summary!$Q$166:$Q$242),0)</f>
        <v>0</v>
      </c>
      <c r="AG1692" s="196">
        <f t="shared" ca="1" si="375"/>
        <v>0</v>
      </c>
      <c r="AI1692" s="196">
        <f>IFERROR($G1692/SUMIF($A:$A,$A1692,$G:$G)*SUMIF(Summary!$A$247:$A$283,$A1692,Summary!$P$247:$P$283),0)</f>
        <v>0</v>
      </c>
      <c r="AJ1692" s="196">
        <f>IFERROR($G1692/SUMIF($A:$A,$A1692,$G:$G)*(SUMIF(Summary!$A$247:$A$283,$A1692,Summary!$L$247:$L$283)+SUMIF(Summary!$A$297:$A$333,$A1692,Summary!$L$297:$L$333))-AI1692,0)</f>
        <v>0</v>
      </c>
      <c r="AK1692" s="196">
        <f>IFERROR($G1692/SUMIF($A:$A,$A1692,$G:$G)*SUMIF(Summary!$A$247:$A$283,$A1692,Summary!$Q$247:$Q$283),0)</f>
        <v>0</v>
      </c>
      <c r="AL1692" s="196">
        <f>IFERROR($G1692/SUMIF($A:$A,$A1692,$G:$G)*(SUMIF(Summary!$A$247:$A$283,$A1692,Summary!$L$247:$L$283)+SUMIF(Summary!$A$297:$A$333,$A1692,Summary!$L$297:$L$333))-AK1692,0)</f>
        <v>0</v>
      </c>
      <c r="AM1692" s="198"/>
      <c r="AN1692" s="196">
        <f t="shared" ca="1" si="376"/>
        <v>0</v>
      </c>
      <c r="AO1692" s="196">
        <f t="shared" ca="1" si="377"/>
        <v>0</v>
      </c>
    </row>
    <row r="1693" spans="1:41">
      <c r="A1693" s="189">
        <v>3644</v>
      </c>
      <c r="B1693" s="190">
        <v>1</v>
      </c>
      <c r="C1693" s="191" t="s">
        <v>228</v>
      </c>
      <c r="D1693" s="192">
        <f t="shared" si="364"/>
        <v>168</v>
      </c>
      <c r="E1693" s="192">
        <f t="shared" si="365"/>
        <v>378</v>
      </c>
      <c r="F1693" s="192">
        <f t="shared" si="366"/>
        <v>0</v>
      </c>
      <c r="G1693" s="193">
        <f t="shared" si="367"/>
        <v>546</v>
      </c>
      <c r="H1693" s="194">
        <v>57</v>
      </c>
      <c r="I1693" s="194">
        <v>210</v>
      </c>
      <c r="J1693" s="194">
        <v>0</v>
      </c>
      <c r="K1693" s="193">
        <f t="shared" si="368"/>
        <v>267</v>
      </c>
      <c r="L1693" s="194">
        <v>111</v>
      </c>
      <c r="M1693" s="194">
        <v>168</v>
      </c>
      <c r="N1693" s="194">
        <v>0</v>
      </c>
      <c r="O1693" s="193">
        <f t="shared" si="369"/>
        <v>279</v>
      </c>
      <c r="P1693" s="194">
        <v>0</v>
      </c>
      <c r="Q1693" s="194">
        <v>0</v>
      </c>
      <c r="R1693" s="194">
        <v>0</v>
      </c>
      <c r="S1693" s="193">
        <f t="shared" si="370"/>
        <v>0</v>
      </c>
      <c r="T1693" s="193">
        <f t="shared" si="371"/>
        <v>18.2</v>
      </c>
      <c r="U1693" s="193">
        <f ca="1">OFFSET('Expenditure Study'!$B$7,'Operations Support'!$C1693,'Operations Support'!$B1693)*$G1693</f>
        <v>862.68000000000006</v>
      </c>
      <c r="V1693" s="199">
        <f ca="1">U1693*'Expenditure Study'!$B$31</f>
        <v>50969.878412544007</v>
      </c>
      <c r="W1693" s="199">
        <f ca="1">IF(A1693=10298,1.51,1)*IF($B1693&lt;3,$D1693*'Expenditure Study'!$B$32*OFFSET('Expenditure Study'!$B$7,'Operations Support'!$C1693,'Operations Support'!$B1693),0)</f>
        <v>26.544000000000004</v>
      </c>
      <c r="X1693" s="200">
        <f ca="1">W1693*'Expenditure Study'!$B$31</f>
        <v>1568.3039511552004</v>
      </c>
      <c r="Y1693" s="199">
        <f ca="1">U1693*'Expenditure Study'!$B$31</f>
        <v>50969.878412544007</v>
      </c>
      <c r="Z1693" s="200">
        <f ca="1">W1693*'Expenditure Study'!$B$31</f>
        <v>1568.3039511552004</v>
      </c>
      <c r="AA1693" s="195">
        <f t="shared" ca="1" si="372"/>
        <v>52538.182363699205</v>
      </c>
      <c r="AB1693" s="195">
        <f t="shared" ca="1" si="373"/>
        <v>52538.182363699205</v>
      </c>
      <c r="AD1693" s="196">
        <f>IFERROR($G1693/SUMIF($A:$A,$A1693,$G:$G)*SUMIF(Summary!$A$166:$A$242,$A1693,Summary!$P$166:$P$242),0)</f>
        <v>16150.702209033954</v>
      </c>
      <c r="AE1693" s="197">
        <f t="shared" ca="1" si="374"/>
        <v>36387.480154665252</v>
      </c>
      <c r="AF1693" s="196">
        <f>IFERROR(G1693/SUMIF(A:A,A1693,G:G)*SUMIF(Summary!$A$166:$A$242,'Operations Support'!A1693,Summary!$Q$166:$Q$242),0)</f>
        <v>16205.197914188073</v>
      </c>
      <c r="AG1693" s="196">
        <f t="shared" ca="1" si="375"/>
        <v>36332.984449511132</v>
      </c>
      <c r="AI1693" s="196">
        <f>IFERROR($G1693/SUMIF($A:$A,$A1693,$G:$G)*SUMIF(Summary!$A$247:$A$283,$A1693,Summary!$P$247:$P$283),0)</f>
        <v>2945.485046646801</v>
      </c>
      <c r="AJ1693" s="196">
        <f>IFERROR($G1693/SUMIF($A:$A,$A1693,$G:$G)*(SUMIF(Summary!$A$247:$A$283,$A1693,Summary!$L$247:$L$283)+SUMIF(Summary!$A$297:$A$333,$A1693,Summary!$L$297:$L$333))-AI1693,0)</f>
        <v>13298.358427909239</v>
      </c>
      <c r="AK1693" s="196">
        <f>IFERROR($G1693/SUMIF($A:$A,$A1693,$G:$G)*SUMIF(Summary!$A$247:$A$283,$A1693,Summary!$Q$247:$Q$283),0)</f>
        <v>2955.4237033417489</v>
      </c>
      <c r="AL1693" s="196">
        <f>IFERROR($G1693/SUMIF($A:$A,$A1693,$G:$G)*(SUMIF(Summary!$A$247:$A$283,$A1693,Summary!$L$247:$L$283)+SUMIF(Summary!$A$297:$A$333,$A1693,Summary!$L$297:$L$333))-AK1693,0)</f>
        <v>13288.419771214292</v>
      </c>
      <c r="AM1693" s="198"/>
      <c r="AN1693" s="196">
        <f t="shared" ca="1" si="376"/>
        <v>49685.838582574492</v>
      </c>
      <c r="AO1693" s="196">
        <f t="shared" ca="1" si="377"/>
        <v>49621.404220725424</v>
      </c>
    </row>
    <row r="1694" spans="1:41">
      <c r="A1694" s="189">
        <v>3644</v>
      </c>
      <c r="B1694" s="190">
        <v>1</v>
      </c>
      <c r="C1694" s="191" t="s">
        <v>229</v>
      </c>
      <c r="D1694" s="192">
        <f t="shared" si="364"/>
        <v>171</v>
      </c>
      <c r="E1694" s="192">
        <f t="shared" si="365"/>
        <v>0</v>
      </c>
      <c r="F1694" s="192">
        <f t="shared" si="366"/>
        <v>0</v>
      </c>
      <c r="G1694" s="193">
        <f t="shared" si="367"/>
        <v>171</v>
      </c>
      <c r="H1694" s="194">
        <v>70</v>
      </c>
      <c r="I1694" s="194">
        <v>0</v>
      </c>
      <c r="J1694" s="194">
        <v>0</v>
      </c>
      <c r="K1694" s="193">
        <f t="shared" si="368"/>
        <v>70</v>
      </c>
      <c r="L1694" s="194">
        <v>101</v>
      </c>
      <c r="M1694" s="194">
        <v>0</v>
      </c>
      <c r="N1694" s="194">
        <v>0</v>
      </c>
      <c r="O1694" s="193">
        <f t="shared" si="369"/>
        <v>101</v>
      </c>
      <c r="P1694" s="194">
        <v>0</v>
      </c>
      <c r="Q1694" s="194">
        <v>0</v>
      </c>
      <c r="R1694" s="194">
        <v>0</v>
      </c>
      <c r="S1694" s="193">
        <f t="shared" si="370"/>
        <v>0</v>
      </c>
      <c r="T1694" s="193">
        <f t="shared" si="371"/>
        <v>5.7</v>
      </c>
      <c r="U1694" s="193">
        <f ca="1">OFFSET('Expenditure Study'!$B$7,'Operations Support'!$C1694,'Operations Support'!$B1694)*$G1694</f>
        <v>569.43000000000006</v>
      </c>
      <c r="V1694" s="199">
        <f ca="1">U1694*'Expenditure Study'!$B$31</f>
        <v>33643.735642944004</v>
      </c>
      <c r="W1694" s="199">
        <f ca="1">IF(A1694=10298,1.51,1)*IF($B1694&lt;3,$D1694*'Expenditure Study'!$B$32*OFFSET('Expenditure Study'!$B$7,'Operations Support'!$C1694,'Operations Support'!$B1694),0)</f>
        <v>56.943000000000005</v>
      </c>
      <c r="X1694" s="200">
        <f ca="1">W1694*'Expenditure Study'!$B$31</f>
        <v>3364.3735642944002</v>
      </c>
      <c r="Y1694" s="199">
        <f ca="1">U1694*'Expenditure Study'!$B$31</f>
        <v>33643.735642944004</v>
      </c>
      <c r="Z1694" s="200">
        <f ca="1">W1694*'Expenditure Study'!$B$31</f>
        <v>3364.3735642944002</v>
      </c>
      <c r="AA1694" s="195">
        <f t="shared" ca="1" si="372"/>
        <v>37008.109207238405</v>
      </c>
      <c r="AB1694" s="195">
        <f t="shared" ca="1" si="373"/>
        <v>37008.109207238405</v>
      </c>
      <c r="AD1694" s="196">
        <f>IFERROR($G1694/SUMIF($A:$A,$A1694,$G:$G)*SUMIF(Summary!$A$166:$A$242,$A1694,Summary!$P$166:$P$242),0)</f>
        <v>5058.1869555765679</v>
      </c>
      <c r="AE1694" s="197">
        <f t="shared" ca="1" si="374"/>
        <v>31949.922251661839</v>
      </c>
      <c r="AF1694" s="196">
        <f>IFERROR(G1694/SUMIF(A:A,A1694,G:G)*SUMIF(Summary!$A$166:$A$242,'Operations Support'!A1694,Summary!$Q$166:$Q$242),0)</f>
        <v>5075.2542918061545</v>
      </c>
      <c r="AG1694" s="196">
        <f t="shared" ca="1" si="375"/>
        <v>31932.85491543225</v>
      </c>
      <c r="AI1694" s="196">
        <f>IFERROR($G1694/SUMIF($A:$A,$A1694,$G:$G)*SUMIF(Summary!$A$247:$A$283,$A1694,Summary!$P$247:$P$283),0)</f>
        <v>922.48707504872334</v>
      </c>
      <c r="AJ1694" s="196">
        <f>IFERROR($G1694/SUMIF($A:$A,$A1694,$G:$G)*(SUMIF(Summary!$A$247:$A$283,$A1694,Summary!$L$247:$L$283)+SUMIF(Summary!$A$297:$A$333,$A1694,Summary!$L$297:$L$333))-AI1694,0)</f>
        <v>4164.8704966528931</v>
      </c>
      <c r="AK1694" s="196">
        <f>IFERROR($G1694/SUMIF($A:$A,$A1694,$G:$G)*SUMIF(Summary!$A$247:$A$283,$A1694,Summary!$Q$247:$Q$283),0)</f>
        <v>925.59973126637192</v>
      </c>
      <c r="AL1694" s="196">
        <f>IFERROR($G1694/SUMIF($A:$A,$A1694,$G:$G)*(SUMIF(Summary!$A$247:$A$283,$A1694,Summary!$L$247:$L$283)+SUMIF(Summary!$A$297:$A$333,$A1694,Summary!$L$297:$L$333))-AK1694,0)</f>
        <v>4161.7578404352444</v>
      </c>
      <c r="AM1694" s="198"/>
      <c r="AN1694" s="196">
        <f t="shared" ca="1" si="376"/>
        <v>36114.792748314736</v>
      </c>
      <c r="AO1694" s="196">
        <f t="shared" ca="1" si="377"/>
        <v>36094.612755867493</v>
      </c>
    </row>
    <row r="1695" spans="1:41">
      <c r="A1695" s="189">
        <v>3644</v>
      </c>
      <c r="B1695" s="190">
        <v>1</v>
      </c>
      <c r="C1695" s="191" t="s">
        <v>230</v>
      </c>
      <c r="D1695" s="192">
        <f t="shared" si="364"/>
        <v>0</v>
      </c>
      <c r="E1695" s="192">
        <f t="shared" si="365"/>
        <v>0</v>
      </c>
      <c r="F1695" s="192">
        <f t="shared" si="366"/>
        <v>0</v>
      </c>
      <c r="G1695" s="193">
        <f t="shared" si="367"/>
        <v>0</v>
      </c>
      <c r="H1695" s="194">
        <v>0</v>
      </c>
      <c r="I1695" s="194">
        <v>0</v>
      </c>
      <c r="J1695" s="194">
        <v>0</v>
      </c>
      <c r="K1695" s="193">
        <f t="shared" si="368"/>
        <v>0</v>
      </c>
      <c r="L1695" s="194">
        <v>0</v>
      </c>
      <c r="M1695" s="194">
        <v>0</v>
      </c>
      <c r="N1695" s="194">
        <v>0</v>
      </c>
      <c r="O1695" s="193">
        <f t="shared" si="369"/>
        <v>0</v>
      </c>
      <c r="P1695" s="194">
        <v>0</v>
      </c>
      <c r="Q1695" s="194">
        <v>0</v>
      </c>
      <c r="R1695" s="194">
        <v>0</v>
      </c>
      <c r="S1695" s="193">
        <f t="shared" si="370"/>
        <v>0</v>
      </c>
      <c r="T1695" s="193">
        <f t="shared" si="371"/>
        <v>0</v>
      </c>
      <c r="U1695" s="193">
        <f ca="1">OFFSET('Expenditure Study'!$B$7,'Operations Support'!$C1695,'Operations Support'!$B1695)*$G1695</f>
        <v>0</v>
      </c>
      <c r="V1695" s="199">
        <f ca="1">U1695*'Expenditure Study'!$B$31</f>
        <v>0</v>
      </c>
      <c r="W1695" s="199">
        <f ca="1">IF(A1695=10298,1.51,1)*IF($B1695&lt;3,$D1695*'Expenditure Study'!$B$32*OFFSET('Expenditure Study'!$B$7,'Operations Support'!$C1695,'Operations Support'!$B1695),0)</f>
        <v>0</v>
      </c>
      <c r="X1695" s="200">
        <f ca="1">W1695*'Expenditure Study'!$B$31</f>
        <v>0</v>
      </c>
      <c r="Y1695" s="199">
        <f ca="1">U1695*'Expenditure Study'!$B$31</f>
        <v>0</v>
      </c>
      <c r="Z1695" s="200">
        <f ca="1">W1695*'Expenditure Study'!$B$31</f>
        <v>0</v>
      </c>
      <c r="AA1695" s="195">
        <f t="shared" ca="1" si="372"/>
        <v>0</v>
      </c>
      <c r="AB1695" s="195">
        <f t="shared" ca="1" si="373"/>
        <v>0</v>
      </c>
      <c r="AD1695" s="196">
        <f>IFERROR($G1695/SUMIF($A:$A,$A1695,$G:$G)*SUMIF(Summary!$A$166:$A$242,$A1695,Summary!$P$166:$P$242),0)</f>
        <v>0</v>
      </c>
      <c r="AE1695" s="197">
        <f t="shared" ca="1" si="374"/>
        <v>0</v>
      </c>
      <c r="AF1695" s="196">
        <f>IFERROR(G1695/SUMIF(A:A,A1695,G:G)*SUMIF(Summary!$A$166:$A$242,'Operations Support'!A1695,Summary!$Q$166:$Q$242),0)</f>
        <v>0</v>
      </c>
      <c r="AG1695" s="196">
        <f t="shared" ca="1" si="375"/>
        <v>0</v>
      </c>
      <c r="AI1695" s="196">
        <f>IFERROR($G1695/SUMIF($A:$A,$A1695,$G:$G)*SUMIF(Summary!$A$247:$A$283,$A1695,Summary!$P$247:$P$283),0)</f>
        <v>0</v>
      </c>
      <c r="AJ1695" s="196">
        <f>IFERROR($G1695/SUMIF($A:$A,$A1695,$G:$G)*(SUMIF(Summary!$A$247:$A$283,$A1695,Summary!$L$247:$L$283)+SUMIF(Summary!$A$297:$A$333,$A1695,Summary!$L$297:$L$333))-AI1695,0)</f>
        <v>0</v>
      </c>
      <c r="AK1695" s="196">
        <f>IFERROR($G1695/SUMIF($A:$A,$A1695,$G:$G)*SUMIF(Summary!$A$247:$A$283,$A1695,Summary!$Q$247:$Q$283),0)</f>
        <v>0</v>
      </c>
      <c r="AL1695" s="196">
        <f>IFERROR($G1695/SUMIF($A:$A,$A1695,$G:$G)*(SUMIF(Summary!$A$247:$A$283,$A1695,Summary!$L$247:$L$283)+SUMIF(Summary!$A$297:$A$333,$A1695,Summary!$L$297:$L$333))-AK1695,0)</f>
        <v>0</v>
      </c>
      <c r="AM1695" s="198"/>
      <c r="AN1695" s="196">
        <f t="shared" ca="1" si="376"/>
        <v>0</v>
      </c>
      <c r="AO1695" s="196">
        <f t="shared" ca="1" si="377"/>
        <v>0</v>
      </c>
    </row>
    <row r="1696" spans="1:41">
      <c r="A1696" s="189">
        <v>3644</v>
      </c>
      <c r="B1696" s="190">
        <v>1</v>
      </c>
      <c r="C1696" s="191" t="s">
        <v>231</v>
      </c>
      <c r="D1696" s="192">
        <f t="shared" si="364"/>
        <v>0</v>
      </c>
      <c r="E1696" s="192">
        <f t="shared" si="365"/>
        <v>0</v>
      </c>
      <c r="F1696" s="192">
        <f t="shared" si="366"/>
        <v>0</v>
      </c>
      <c r="G1696" s="193">
        <f t="shared" si="367"/>
        <v>0</v>
      </c>
      <c r="H1696" s="194">
        <v>0</v>
      </c>
      <c r="I1696" s="194">
        <v>0</v>
      </c>
      <c r="J1696" s="194">
        <v>0</v>
      </c>
      <c r="K1696" s="193">
        <f t="shared" si="368"/>
        <v>0</v>
      </c>
      <c r="L1696" s="194">
        <v>0</v>
      </c>
      <c r="M1696" s="194">
        <v>0</v>
      </c>
      <c r="N1696" s="194">
        <v>0</v>
      </c>
      <c r="O1696" s="193">
        <f t="shared" si="369"/>
        <v>0</v>
      </c>
      <c r="P1696" s="194">
        <v>0</v>
      </c>
      <c r="Q1696" s="194">
        <v>0</v>
      </c>
      <c r="R1696" s="194">
        <v>0</v>
      </c>
      <c r="S1696" s="193">
        <f t="shared" si="370"/>
        <v>0</v>
      </c>
      <c r="T1696" s="193">
        <f t="shared" si="371"/>
        <v>0</v>
      </c>
      <c r="U1696" s="193">
        <f ca="1">OFFSET('Expenditure Study'!$B$7,'Operations Support'!$C1696,'Operations Support'!$B1696)*$G1696</f>
        <v>0</v>
      </c>
      <c r="V1696" s="199">
        <f ca="1">U1696*'Expenditure Study'!$B$31</f>
        <v>0</v>
      </c>
      <c r="W1696" s="199">
        <f ca="1">IF(A1696=10298,1.51,1)*IF($B1696&lt;3,$D1696*'Expenditure Study'!$B$32*OFFSET('Expenditure Study'!$B$7,'Operations Support'!$C1696,'Operations Support'!$B1696),0)</f>
        <v>0</v>
      </c>
      <c r="X1696" s="200">
        <f ca="1">W1696*'Expenditure Study'!$B$31</f>
        <v>0</v>
      </c>
      <c r="Y1696" s="199">
        <f ca="1">U1696*'Expenditure Study'!$B$31</f>
        <v>0</v>
      </c>
      <c r="Z1696" s="200">
        <f ca="1">W1696*'Expenditure Study'!$B$31</f>
        <v>0</v>
      </c>
      <c r="AA1696" s="195">
        <f t="shared" ca="1" si="372"/>
        <v>0</v>
      </c>
      <c r="AB1696" s="195">
        <f t="shared" ca="1" si="373"/>
        <v>0</v>
      </c>
      <c r="AD1696" s="196">
        <f>IFERROR($G1696/SUMIF($A:$A,$A1696,$G:$G)*SUMIF(Summary!$A$166:$A$242,$A1696,Summary!$P$166:$P$242),0)</f>
        <v>0</v>
      </c>
      <c r="AE1696" s="197">
        <f t="shared" ca="1" si="374"/>
        <v>0</v>
      </c>
      <c r="AF1696" s="196">
        <f>IFERROR(G1696/SUMIF(A:A,A1696,G:G)*SUMIF(Summary!$A$166:$A$242,'Operations Support'!A1696,Summary!$Q$166:$Q$242),0)</f>
        <v>0</v>
      </c>
      <c r="AG1696" s="196">
        <f t="shared" ca="1" si="375"/>
        <v>0</v>
      </c>
      <c r="AI1696" s="196">
        <f>IFERROR($G1696/SUMIF($A:$A,$A1696,$G:$G)*SUMIF(Summary!$A$247:$A$283,$A1696,Summary!$P$247:$P$283),0)</f>
        <v>0</v>
      </c>
      <c r="AJ1696" s="196">
        <f>IFERROR($G1696/SUMIF($A:$A,$A1696,$G:$G)*(SUMIF(Summary!$A$247:$A$283,$A1696,Summary!$L$247:$L$283)+SUMIF(Summary!$A$297:$A$333,$A1696,Summary!$L$297:$L$333))-AI1696,0)</f>
        <v>0</v>
      </c>
      <c r="AK1696" s="196">
        <f>IFERROR($G1696/SUMIF($A:$A,$A1696,$G:$G)*SUMIF(Summary!$A$247:$A$283,$A1696,Summary!$Q$247:$Q$283),0)</f>
        <v>0</v>
      </c>
      <c r="AL1696" s="196">
        <f>IFERROR($G1696/SUMIF($A:$A,$A1696,$G:$G)*(SUMIF(Summary!$A$247:$A$283,$A1696,Summary!$L$247:$L$283)+SUMIF(Summary!$A$297:$A$333,$A1696,Summary!$L$297:$L$333))-AK1696,0)</f>
        <v>0</v>
      </c>
      <c r="AM1696" s="198"/>
      <c r="AN1696" s="196">
        <f t="shared" ca="1" si="376"/>
        <v>0</v>
      </c>
      <c r="AO1696" s="196">
        <f t="shared" ca="1" si="377"/>
        <v>0</v>
      </c>
    </row>
    <row r="1697" spans="1:41">
      <c r="A1697" s="189">
        <v>3644</v>
      </c>
      <c r="B1697" s="190">
        <v>1</v>
      </c>
      <c r="C1697" s="191" t="s">
        <v>232</v>
      </c>
      <c r="D1697" s="192">
        <f t="shared" si="364"/>
        <v>0</v>
      </c>
      <c r="E1697" s="192">
        <f t="shared" si="365"/>
        <v>0</v>
      </c>
      <c r="F1697" s="192">
        <f t="shared" si="366"/>
        <v>0</v>
      </c>
      <c r="G1697" s="193">
        <f t="shared" si="367"/>
        <v>0</v>
      </c>
      <c r="H1697" s="194">
        <v>0</v>
      </c>
      <c r="I1697" s="194">
        <v>0</v>
      </c>
      <c r="J1697" s="194">
        <v>0</v>
      </c>
      <c r="K1697" s="193">
        <f t="shared" si="368"/>
        <v>0</v>
      </c>
      <c r="L1697" s="194">
        <v>0</v>
      </c>
      <c r="M1697" s="194">
        <v>0</v>
      </c>
      <c r="N1697" s="194">
        <v>0</v>
      </c>
      <c r="O1697" s="193">
        <f t="shared" si="369"/>
        <v>0</v>
      </c>
      <c r="P1697" s="194">
        <v>0</v>
      </c>
      <c r="Q1697" s="194">
        <v>0</v>
      </c>
      <c r="R1697" s="194">
        <v>0</v>
      </c>
      <c r="S1697" s="193">
        <f t="shared" si="370"/>
        <v>0</v>
      </c>
      <c r="T1697" s="193">
        <f t="shared" si="371"/>
        <v>0</v>
      </c>
      <c r="U1697" s="193">
        <f ca="1">OFFSET('Expenditure Study'!$B$7,'Operations Support'!$C1697,'Operations Support'!$B1697)*$G1697</f>
        <v>0</v>
      </c>
      <c r="V1697" s="199">
        <f ca="1">U1697*'Expenditure Study'!$B$31</f>
        <v>0</v>
      </c>
      <c r="W1697" s="199">
        <f ca="1">IF(A1697=10298,1.51,1)*IF($B1697&lt;3,$D1697*'Expenditure Study'!$B$32*OFFSET('Expenditure Study'!$B$7,'Operations Support'!$C1697,'Operations Support'!$B1697),0)</f>
        <v>0</v>
      </c>
      <c r="X1697" s="200">
        <f ca="1">W1697*'Expenditure Study'!$B$31</f>
        <v>0</v>
      </c>
      <c r="Y1697" s="199">
        <f ca="1">U1697*'Expenditure Study'!$B$31</f>
        <v>0</v>
      </c>
      <c r="Z1697" s="200">
        <f ca="1">W1697*'Expenditure Study'!$B$31</f>
        <v>0</v>
      </c>
      <c r="AA1697" s="195">
        <f t="shared" ca="1" si="372"/>
        <v>0</v>
      </c>
      <c r="AB1697" s="195">
        <f t="shared" ca="1" si="373"/>
        <v>0</v>
      </c>
      <c r="AD1697" s="196">
        <f>IFERROR($G1697/SUMIF($A:$A,$A1697,$G:$G)*SUMIF(Summary!$A$166:$A$242,$A1697,Summary!$P$166:$P$242),0)</f>
        <v>0</v>
      </c>
      <c r="AE1697" s="197">
        <f t="shared" ca="1" si="374"/>
        <v>0</v>
      </c>
      <c r="AF1697" s="196">
        <f>IFERROR(G1697/SUMIF(A:A,A1697,G:G)*SUMIF(Summary!$A$166:$A$242,'Operations Support'!A1697,Summary!$Q$166:$Q$242),0)</f>
        <v>0</v>
      </c>
      <c r="AG1697" s="196">
        <f t="shared" ca="1" si="375"/>
        <v>0</v>
      </c>
      <c r="AI1697" s="196">
        <f>IFERROR($G1697/SUMIF($A:$A,$A1697,$G:$G)*SUMIF(Summary!$A$247:$A$283,$A1697,Summary!$P$247:$P$283),0)</f>
        <v>0</v>
      </c>
      <c r="AJ1697" s="196">
        <f>IFERROR($G1697/SUMIF($A:$A,$A1697,$G:$G)*(SUMIF(Summary!$A$247:$A$283,$A1697,Summary!$L$247:$L$283)+SUMIF(Summary!$A$297:$A$333,$A1697,Summary!$L$297:$L$333))-AI1697,0)</f>
        <v>0</v>
      </c>
      <c r="AK1697" s="196">
        <f>IFERROR($G1697/SUMIF($A:$A,$A1697,$G:$G)*SUMIF(Summary!$A$247:$A$283,$A1697,Summary!$Q$247:$Q$283),0)</f>
        <v>0</v>
      </c>
      <c r="AL1697" s="196">
        <f>IFERROR($G1697/SUMIF($A:$A,$A1697,$G:$G)*(SUMIF(Summary!$A$247:$A$283,$A1697,Summary!$L$247:$L$283)+SUMIF(Summary!$A$297:$A$333,$A1697,Summary!$L$297:$L$333))-AK1697,0)</f>
        <v>0</v>
      </c>
      <c r="AM1697" s="198"/>
      <c r="AN1697" s="196">
        <f t="shared" ca="1" si="376"/>
        <v>0</v>
      </c>
      <c r="AO1697" s="196">
        <f t="shared" ca="1" si="377"/>
        <v>0</v>
      </c>
    </row>
    <row r="1698" spans="1:41">
      <c r="A1698" s="189">
        <v>3644</v>
      </c>
      <c r="B1698" s="190">
        <v>1</v>
      </c>
      <c r="C1698" s="191" t="s">
        <v>233</v>
      </c>
      <c r="D1698" s="192">
        <f t="shared" si="364"/>
        <v>6016.3500000000095</v>
      </c>
      <c r="E1698" s="192">
        <f t="shared" si="365"/>
        <v>5063.6499999999396</v>
      </c>
      <c r="F1698" s="192">
        <f t="shared" si="366"/>
        <v>0</v>
      </c>
      <c r="G1698" s="193">
        <f t="shared" si="367"/>
        <v>11079.999999999949</v>
      </c>
      <c r="H1698" s="194">
        <v>2845.65</v>
      </c>
      <c r="I1698" s="194">
        <v>2190.3499999999699</v>
      </c>
      <c r="J1698" s="194">
        <v>0</v>
      </c>
      <c r="K1698" s="193">
        <f t="shared" si="368"/>
        <v>5035.99999999997</v>
      </c>
      <c r="L1698" s="194">
        <v>2480.7000000000098</v>
      </c>
      <c r="M1698" s="194">
        <v>2459.2999999999702</v>
      </c>
      <c r="N1698" s="194">
        <v>0</v>
      </c>
      <c r="O1698" s="193">
        <f t="shared" si="369"/>
        <v>4939.99999999998</v>
      </c>
      <c r="P1698" s="194">
        <v>690</v>
      </c>
      <c r="Q1698" s="194">
        <v>414</v>
      </c>
      <c r="R1698" s="194">
        <v>0</v>
      </c>
      <c r="S1698" s="193">
        <f t="shared" si="370"/>
        <v>1104</v>
      </c>
      <c r="T1698" s="193">
        <f t="shared" si="371"/>
        <v>369.33333333333161</v>
      </c>
      <c r="U1698" s="193">
        <f ca="1">OFFSET('Expenditure Study'!$B$7,'Operations Support'!$C1698,'Operations Support'!$B1698)*$G1698</f>
        <v>10636.79999999995</v>
      </c>
      <c r="V1698" s="199">
        <f ca="1">U1698*'Expenditure Study'!$B$31</f>
        <v>628455.97753343708</v>
      </c>
      <c r="W1698" s="199">
        <f ca="1">IF(A1698=10298,1.51,1)*IF($B1698&lt;3,$D1698*'Expenditure Study'!$B$32*OFFSET('Expenditure Study'!$B$7,'Operations Support'!$C1698,'Operations Support'!$B1698),0)</f>
        <v>577.56960000000095</v>
      </c>
      <c r="X1698" s="200">
        <f ca="1">W1698*'Expenditure Study'!$B$31</f>
        <v>34124.649101383737</v>
      </c>
      <c r="Y1698" s="199">
        <f ca="1">U1698*'Expenditure Study'!$B$31</f>
        <v>628455.97753343708</v>
      </c>
      <c r="Z1698" s="200">
        <f ca="1">W1698*'Expenditure Study'!$B$31</f>
        <v>34124.649101383737</v>
      </c>
      <c r="AA1698" s="195">
        <f t="shared" ca="1" si="372"/>
        <v>662580.62663482083</v>
      </c>
      <c r="AB1698" s="195">
        <f t="shared" ca="1" si="373"/>
        <v>662580.62663482083</v>
      </c>
      <c r="AD1698" s="196">
        <f>IFERROR($G1698/SUMIF($A:$A,$A1698,$G:$G)*SUMIF(Summary!$A$166:$A$242,$A1698,Summary!$P$166:$P$242),0)</f>
        <v>327746.85068881937</v>
      </c>
      <c r="AE1698" s="197">
        <f t="shared" ca="1" si="374"/>
        <v>334833.77594600146</v>
      </c>
      <c r="AF1698" s="196">
        <f>IFERROR(G1698/SUMIF(A:A,A1698,G:G)*SUMIF(Summary!$A$166:$A$242,'Operations Support'!A1698,Summary!$Q$166:$Q$242),0)</f>
        <v>328852.73422930954</v>
      </c>
      <c r="AG1698" s="196">
        <f t="shared" ca="1" si="375"/>
        <v>333727.89240551129</v>
      </c>
      <c r="AI1698" s="196">
        <f>IFERROR($G1698/SUMIF($A:$A,$A1698,$G:$G)*SUMIF(Summary!$A$247:$A$283,$A1698,Summary!$P$247:$P$283),0)</f>
        <v>59772.846734150924</v>
      </c>
      <c r="AJ1698" s="196">
        <f>IFERROR($G1698/SUMIF($A:$A,$A1698,$G:$G)*(SUMIF(Summary!$A$247:$A$283,$A1698,Summary!$L$247:$L$283)+SUMIF(Summary!$A$297:$A$333,$A1698,Summary!$L$297:$L$333))-AI1698,0)</f>
        <v>269864.12340885284</v>
      </c>
      <c r="AK1698" s="196">
        <f>IFERROR($G1698/SUMIF($A:$A,$A1698,$G:$G)*SUMIF(Summary!$A$247:$A$283,$A1698,Summary!$Q$247:$Q$283),0)</f>
        <v>59974.532294920195</v>
      </c>
      <c r="AL1698" s="196">
        <f>IFERROR($G1698/SUMIF($A:$A,$A1698,$G:$G)*(SUMIF(Summary!$A$247:$A$283,$A1698,Summary!$L$247:$L$283)+SUMIF(Summary!$A$297:$A$333,$A1698,Summary!$L$297:$L$333))-AK1698,0)</f>
        <v>269662.43784808362</v>
      </c>
      <c r="AM1698" s="198"/>
      <c r="AN1698" s="196">
        <f t="shared" ca="1" si="376"/>
        <v>604697.89935485437</v>
      </c>
      <c r="AO1698" s="196">
        <f t="shared" ca="1" si="377"/>
        <v>603390.3302535949</v>
      </c>
    </row>
    <row r="1699" spans="1:41">
      <c r="A1699" s="189">
        <v>3644</v>
      </c>
      <c r="B1699" s="190">
        <v>1</v>
      </c>
      <c r="C1699" s="191" t="s">
        <v>234</v>
      </c>
      <c r="D1699" s="192">
        <f t="shared" si="364"/>
        <v>0</v>
      </c>
      <c r="E1699" s="192">
        <f t="shared" si="365"/>
        <v>0</v>
      </c>
      <c r="F1699" s="192">
        <f t="shared" si="366"/>
        <v>0</v>
      </c>
      <c r="G1699" s="193">
        <f t="shared" si="367"/>
        <v>0</v>
      </c>
      <c r="H1699" s="194">
        <v>0</v>
      </c>
      <c r="I1699" s="194">
        <v>0</v>
      </c>
      <c r="J1699" s="194">
        <v>0</v>
      </c>
      <c r="K1699" s="193">
        <f t="shared" si="368"/>
        <v>0</v>
      </c>
      <c r="L1699" s="194">
        <v>0</v>
      </c>
      <c r="M1699" s="194">
        <v>0</v>
      </c>
      <c r="N1699" s="194">
        <v>0</v>
      </c>
      <c r="O1699" s="193">
        <f t="shared" si="369"/>
        <v>0</v>
      </c>
      <c r="P1699" s="194">
        <v>0</v>
      </c>
      <c r="Q1699" s="194">
        <v>0</v>
      </c>
      <c r="R1699" s="194">
        <v>0</v>
      </c>
      <c r="S1699" s="193">
        <f t="shared" si="370"/>
        <v>0</v>
      </c>
      <c r="T1699" s="193">
        <f t="shared" si="371"/>
        <v>0</v>
      </c>
      <c r="U1699" s="193">
        <f ca="1">OFFSET('Expenditure Study'!$B$7,'Operations Support'!$C1699,'Operations Support'!$B1699)*$G1699</f>
        <v>0</v>
      </c>
      <c r="V1699" s="199">
        <f ca="1">U1699*'Expenditure Study'!$B$31</f>
        <v>0</v>
      </c>
      <c r="W1699" s="199">
        <f ca="1">IF(A1699=10298,1.51,1)*IF($B1699&lt;3,$D1699*'Expenditure Study'!$B$32*OFFSET('Expenditure Study'!$B$7,'Operations Support'!$C1699,'Operations Support'!$B1699),0)</f>
        <v>0</v>
      </c>
      <c r="X1699" s="200">
        <f ca="1">W1699*'Expenditure Study'!$B$31</f>
        <v>0</v>
      </c>
      <c r="Y1699" s="199">
        <f ca="1">U1699*'Expenditure Study'!$B$31</f>
        <v>0</v>
      </c>
      <c r="Z1699" s="200">
        <f ca="1">W1699*'Expenditure Study'!$B$31</f>
        <v>0</v>
      </c>
      <c r="AA1699" s="195">
        <f t="shared" ca="1" si="372"/>
        <v>0</v>
      </c>
      <c r="AB1699" s="195">
        <f t="shared" ca="1" si="373"/>
        <v>0</v>
      </c>
      <c r="AD1699" s="196">
        <f>IFERROR($G1699/SUMIF($A:$A,$A1699,$G:$G)*SUMIF(Summary!$A$166:$A$242,$A1699,Summary!$P$166:$P$242),0)</f>
        <v>0</v>
      </c>
      <c r="AE1699" s="197">
        <f t="shared" ca="1" si="374"/>
        <v>0</v>
      </c>
      <c r="AF1699" s="196">
        <f>IFERROR(G1699/SUMIF(A:A,A1699,G:G)*SUMIF(Summary!$A$166:$A$242,'Operations Support'!A1699,Summary!$Q$166:$Q$242),0)</f>
        <v>0</v>
      </c>
      <c r="AG1699" s="196">
        <f t="shared" ca="1" si="375"/>
        <v>0</v>
      </c>
      <c r="AI1699" s="196">
        <f>IFERROR($G1699/SUMIF($A:$A,$A1699,$G:$G)*SUMIF(Summary!$A$247:$A$283,$A1699,Summary!$P$247:$P$283),0)</f>
        <v>0</v>
      </c>
      <c r="AJ1699" s="196">
        <f>IFERROR($G1699/SUMIF($A:$A,$A1699,$G:$G)*(SUMIF(Summary!$A$247:$A$283,$A1699,Summary!$L$247:$L$283)+SUMIF(Summary!$A$297:$A$333,$A1699,Summary!$L$297:$L$333))-AI1699,0)</f>
        <v>0</v>
      </c>
      <c r="AK1699" s="196">
        <f>IFERROR($G1699/SUMIF($A:$A,$A1699,$G:$G)*SUMIF(Summary!$A$247:$A$283,$A1699,Summary!$Q$247:$Q$283),0)</f>
        <v>0</v>
      </c>
      <c r="AL1699" s="196">
        <f>IFERROR($G1699/SUMIF($A:$A,$A1699,$G:$G)*(SUMIF(Summary!$A$247:$A$283,$A1699,Summary!$L$247:$L$283)+SUMIF(Summary!$A$297:$A$333,$A1699,Summary!$L$297:$L$333))-AK1699,0)</f>
        <v>0</v>
      </c>
      <c r="AM1699" s="198"/>
      <c r="AN1699" s="196">
        <f t="shared" ca="1" si="376"/>
        <v>0</v>
      </c>
      <c r="AO1699" s="196">
        <f t="shared" ca="1" si="377"/>
        <v>0</v>
      </c>
    </row>
    <row r="1700" spans="1:41">
      <c r="A1700" s="189">
        <v>3644</v>
      </c>
      <c r="B1700" s="190">
        <v>1</v>
      </c>
      <c r="C1700" s="191" t="s">
        <v>235</v>
      </c>
      <c r="D1700" s="192">
        <f t="shared" si="364"/>
        <v>4002.2</v>
      </c>
      <c r="E1700" s="192">
        <f t="shared" si="365"/>
        <v>31384.799999999999</v>
      </c>
      <c r="F1700" s="192">
        <f t="shared" si="366"/>
        <v>0</v>
      </c>
      <c r="G1700" s="193">
        <f t="shared" si="367"/>
        <v>35387</v>
      </c>
      <c r="H1700" s="194">
        <v>1825</v>
      </c>
      <c r="I1700" s="194">
        <v>14884</v>
      </c>
      <c r="J1700" s="194">
        <v>0</v>
      </c>
      <c r="K1700" s="193">
        <f t="shared" si="368"/>
        <v>16709</v>
      </c>
      <c r="L1700" s="194">
        <v>1889.2</v>
      </c>
      <c r="M1700" s="194">
        <v>14493.8</v>
      </c>
      <c r="N1700" s="194">
        <v>0</v>
      </c>
      <c r="O1700" s="193">
        <f t="shared" si="369"/>
        <v>16383</v>
      </c>
      <c r="P1700" s="194">
        <v>288</v>
      </c>
      <c r="Q1700" s="194">
        <v>2007</v>
      </c>
      <c r="R1700" s="194">
        <v>0</v>
      </c>
      <c r="S1700" s="193">
        <f t="shared" si="370"/>
        <v>2295</v>
      </c>
      <c r="T1700" s="193">
        <f t="shared" si="371"/>
        <v>1179.5666666666666</v>
      </c>
      <c r="U1700" s="193">
        <f ca="1">OFFSET('Expenditure Study'!$B$7,'Operations Support'!$C1700,'Operations Support'!$B1700)*$G1700</f>
        <v>38925.700000000004</v>
      </c>
      <c r="V1700" s="199">
        <f ca="1">U1700*'Expenditure Study'!$B$31</f>
        <v>2299854.1708665602</v>
      </c>
      <c r="W1700" s="199">
        <f ca="1">IF(A1700=10298,1.51,1)*IF($B1700&lt;3,$D1700*'Expenditure Study'!$B$32*OFFSET('Expenditure Study'!$B$7,'Operations Support'!$C1700,'Operations Support'!$B1700),0)</f>
        <v>440.24200000000008</v>
      </c>
      <c r="X1700" s="200">
        <f ca="1">W1700*'Expenditure Study'!$B$31</f>
        <v>26010.897681753606</v>
      </c>
      <c r="Y1700" s="199">
        <f ca="1">U1700*'Expenditure Study'!$B$31</f>
        <v>2299854.1708665602</v>
      </c>
      <c r="Z1700" s="200">
        <f ca="1">W1700*'Expenditure Study'!$B$31</f>
        <v>26010.897681753606</v>
      </c>
      <c r="AA1700" s="195">
        <f t="shared" ca="1" si="372"/>
        <v>2325865.0685483138</v>
      </c>
      <c r="AB1700" s="195">
        <f t="shared" ca="1" si="373"/>
        <v>2325865.0685483138</v>
      </c>
      <c r="AD1700" s="196">
        <f>IFERROR($G1700/SUMIF($A:$A,$A1700,$G:$G)*SUMIF(Summary!$A$166:$A$242,$A1700,Summary!$P$166:$P$242),0)</f>
        <v>1046748.8993975907</v>
      </c>
      <c r="AE1700" s="197">
        <f t="shared" ca="1" si="374"/>
        <v>1279116.1691507231</v>
      </c>
      <c r="AF1700" s="196">
        <f>IFERROR(G1700/SUMIF(A:A,A1700,G:G)*SUMIF(Summary!$A$166:$A$242,'Operations Support'!A1700,Summary!$Q$166:$Q$242),0)</f>
        <v>1050280.8399072771</v>
      </c>
      <c r="AG1700" s="196">
        <f t="shared" ca="1" si="375"/>
        <v>1275584.2286410367</v>
      </c>
      <c r="AI1700" s="196">
        <f>IFERROR($G1700/SUMIF($A:$A,$A1700,$G:$G)*SUMIF(Summary!$A$247:$A$283,$A1700,Summary!$P$247:$P$283),0)</f>
        <v>190900.8779225098</v>
      </c>
      <c r="AJ1700" s="196">
        <f>IFERROR($G1700/SUMIF($A:$A,$A1700,$G:$G)*(SUMIF(Summary!$A$247:$A$283,$A1700,Summary!$L$247:$L$283)+SUMIF(Summary!$A$297:$A$333,$A1700,Summary!$L$297:$L$333))-AI1700,0)</f>
        <v>861884.63312898204</v>
      </c>
      <c r="AK1700" s="196">
        <f>IFERROR($G1700/SUMIF($A:$A,$A1700,$G:$G)*SUMIF(Summary!$A$247:$A$283,$A1700,Summary!$Q$247:$Q$283),0)</f>
        <v>191545.01573288365</v>
      </c>
      <c r="AL1700" s="196">
        <f>IFERROR($G1700/SUMIF($A:$A,$A1700,$G:$G)*(SUMIF(Summary!$A$247:$A$283,$A1700,Summary!$L$247:$L$283)+SUMIF(Summary!$A$297:$A$333,$A1700,Summary!$L$297:$L$333))-AK1700,0)</f>
        <v>861240.49531860813</v>
      </c>
      <c r="AM1700" s="198"/>
      <c r="AN1700" s="196">
        <f t="shared" ca="1" si="376"/>
        <v>2141000.8022797052</v>
      </c>
      <c r="AO1700" s="196">
        <f t="shared" ca="1" si="377"/>
        <v>2136824.7239596448</v>
      </c>
    </row>
    <row r="1701" spans="1:41">
      <c r="A1701" s="189">
        <v>3644</v>
      </c>
      <c r="B1701" s="190">
        <v>1</v>
      </c>
      <c r="C1701" s="191" t="s">
        <v>236</v>
      </c>
      <c r="D1701" s="192">
        <f t="shared" si="364"/>
        <v>0</v>
      </c>
      <c r="E1701" s="192">
        <f t="shared" si="365"/>
        <v>0</v>
      </c>
      <c r="F1701" s="192">
        <f t="shared" si="366"/>
        <v>0</v>
      </c>
      <c r="G1701" s="193">
        <f t="shared" si="367"/>
        <v>0</v>
      </c>
      <c r="H1701" s="194">
        <v>0</v>
      </c>
      <c r="I1701" s="194">
        <v>0</v>
      </c>
      <c r="J1701" s="194">
        <v>0</v>
      </c>
      <c r="K1701" s="193">
        <f t="shared" si="368"/>
        <v>0</v>
      </c>
      <c r="L1701" s="194">
        <v>0</v>
      </c>
      <c r="M1701" s="194">
        <v>0</v>
      </c>
      <c r="N1701" s="194">
        <v>0</v>
      </c>
      <c r="O1701" s="193">
        <f t="shared" si="369"/>
        <v>0</v>
      </c>
      <c r="P1701" s="194">
        <v>0</v>
      </c>
      <c r="Q1701" s="194">
        <v>0</v>
      </c>
      <c r="R1701" s="194">
        <v>0</v>
      </c>
      <c r="S1701" s="193">
        <f t="shared" si="370"/>
        <v>0</v>
      </c>
      <c r="T1701" s="193">
        <f t="shared" si="371"/>
        <v>0</v>
      </c>
      <c r="U1701" s="193">
        <f ca="1">OFFSET('Expenditure Study'!$B$7,'Operations Support'!$C1701,'Operations Support'!$B1701)*$G1701</f>
        <v>0</v>
      </c>
      <c r="V1701" s="199">
        <f ca="1">U1701*'Expenditure Study'!$B$31</f>
        <v>0</v>
      </c>
      <c r="W1701" s="199">
        <f ca="1">IF(A1701=10298,1.51,1)*IF($B1701&lt;3,$D1701*'Expenditure Study'!$B$32*OFFSET('Expenditure Study'!$B$7,'Operations Support'!$C1701,'Operations Support'!$B1701),0)</f>
        <v>0</v>
      </c>
      <c r="X1701" s="200">
        <f ca="1">W1701*'Expenditure Study'!$B$31</f>
        <v>0</v>
      </c>
      <c r="Y1701" s="199">
        <f ca="1">U1701*'Expenditure Study'!$B$31</f>
        <v>0</v>
      </c>
      <c r="Z1701" s="200">
        <f ca="1">W1701*'Expenditure Study'!$B$31</f>
        <v>0</v>
      </c>
      <c r="AA1701" s="195">
        <f t="shared" ca="1" si="372"/>
        <v>0</v>
      </c>
      <c r="AB1701" s="195">
        <f t="shared" ca="1" si="373"/>
        <v>0</v>
      </c>
      <c r="AD1701" s="196">
        <f>IFERROR($G1701/SUMIF($A:$A,$A1701,$G:$G)*SUMIF(Summary!$A$166:$A$242,$A1701,Summary!$P$166:$P$242),0)</f>
        <v>0</v>
      </c>
      <c r="AE1701" s="197">
        <f t="shared" ca="1" si="374"/>
        <v>0</v>
      </c>
      <c r="AF1701" s="196">
        <f>IFERROR(G1701/SUMIF(A:A,A1701,G:G)*SUMIF(Summary!$A$166:$A$242,'Operations Support'!A1701,Summary!$Q$166:$Q$242),0)</f>
        <v>0</v>
      </c>
      <c r="AG1701" s="196">
        <f t="shared" ca="1" si="375"/>
        <v>0</v>
      </c>
      <c r="AI1701" s="196">
        <f>IFERROR($G1701/SUMIF($A:$A,$A1701,$G:$G)*SUMIF(Summary!$A$247:$A$283,$A1701,Summary!$P$247:$P$283),0)</f>
        <v>0</v>
      </c>
      <c r="AJ1701" s="196">
        <f>IFERROR($G1701/SUMIF($A:$A,$A1701,$G:$G)*(SUMIF(Summary!$A$247:$A$283,$A1701,Summary!$L$247:$L$283)+SUMIF(Summary!$A$297:$A$333,$A1701,Summary!$L$297:$L$333))-AI1701,0)</f>
        <v>0</v>
      </c>
      <c r="AK1701" s="196">
        <f>IFERROR($G1701/SUMIF($A:$A,$A1701,$G:$G)*SUMIF(Summary!$A$247:$A$283,$A1701,Summary!$Q$247:$Q$283),0)</f>
        <v>0</v>
      </c>
      <c r="AL1701" s="196">
        <f>IFERROR($G1701/SUMIF($A:$A,$A1701,$G:$G)*(SUMIF(Summary!$A$247:$A$283,$A1701,Summary!$L$247:$L$283)+SUMIF(Summary!$A$297:$A$333,$A1701,Summary!$L$297:$L$333))-AK1701,0)</f>
        <v>0</v>
      </c>
      <c r="AM1701" s="198"/>
      <c r="AN1701" s="196">
        <f t="shared" ca="1" si="376"/>
        <v>0</v>
      </c>
      <c r="AO1701" s="196">
        <f t="shared" ca="1" si="377"/>
        <v>0</v>
      </c>
    </row>
    <row r="1702" spans="1:41">
      <c r="A1702" s="189">
        <v>3644</v>
      </c>
      <c r="B1702" s="190">
        <v>1</v>
      </c>
      <c r="C1702" s="191" t="s">
        <v>237</v>
      </c>
      <c r="D1702" s="192">
        <f t="shared" si="364"/>
        <v>0</v>
      </c>
      <c r="E1702" s="192">
        <f t="shared" si="365"/>
        <v>2</v>
      </c>
      <c r="F1702" s="192">
        <f t="shared" si="366"/>
        <v>0</v>
      </c>
      <c r="G1702" s="193">
        <f t="shared" si="367"/>
        <v>2</v>
      </c>
      <c r="H1702" s="194">
        <v>0</v>
      </c>
      <c r="I1702" s="194">
        <v>0</v>
      </c>
      <c r="J1702" s="194">
        <v>0</v>
      </c>
      <c r="K1702" s="193">
        <f t="shared" si="368"/>
        <v>0</v>
      </c>
      <c r="L1702" s="194">
        <v>0</v>
      </c>
      <c r="M1702" s="194">
        <v>2</v>
      </c>
      <c r="N1702" s="194">
        <v>0</v>
      </c>
      <c r="O1702" s="193">
        <f t="shared" si="369"/>
        <v>2</v>
      </c>
      <c r="P1702" s="194">
        <v>0</v>
      </c>
      <c r="Q1702" s="194">
        <v>0</v>
      </c>
      <c r="R1702" s="194">
        <v>0</v>
      </c>
      <c r="S1702" s="193">
        <f t="shared" si="370"/>
        <v>0</v>
      </c>
      <c r="T1702" s="193">
        <f t="shared" si="371"/>
        <v>6.6666666666666666E-2</v>
      </c>
      <c r="U1702" s="193">
        <f ca="1">OFFSET('Expenditure Study'!$B$7,'Operations Support'!$C1702,'Operations Support'!$B1702)*$G1702</f>
        <v>3.94</v>
      </c>
      <c r="V1702" s="199">
        <f ca="1">U1702*'Expenditure Study'!$B$31</f>
        <v>232.78773235200001</v>
      </c>
      <c r="W1702" s="199">
        <f ca="1">IF(A1702=10298,1.51,1)*IF($B1702&lt;3,$D1702*'Expenditure Study'!$B$32*OFFSET('Expenditure Study'!$B$7,'Operations Support'!$C1702,'Operations Support'!$B1702),0)</f>
        <v>0</v>
      </c>
      <c r="X1702" s="200">
        <f ca="1">W1702*'Expenditure Study'!$B$31</f>
        <v>0</v>
      </c>
      <c r="Y1702" s="199">
        <f ca="1">U1702*'Expenditure Study'!$B$31</f>
        <v>232.78773235200001</v>
      </c>
      <c r="Z1702" s="200">
        <f ca="1">W1702*'Expenditure Study'!$B$31</f>
        <v>0</v>
      </c>
      <c r="AA1702" s="195">
        <f t="shared" ca="1" si="372"/>
        <v>232.78773235200001</v>
      </c>
      <c r="AB1702" s="195">
        <f t="shared" ca="1" si="373"/>
        <v>232.78773235200001</v>
      </c>
      <c r="AD1702" s="196">
        <f>IFERROR($G1702/SUMIF($A:$A,$A1702,$G:$G)*SUMIF(Summary!$A$166:$A$242,$A1702,Summary!$P$166:$P$242),0)</f>
        <v>59.160081351772725</v>
      </c>
      <c r="AE1702" s="197">
        <f t="shared" ca="1" si="374"/>
        <v>173.62765100022727</v>
      </c>
      <c r="AF1702" s="196">
        <f>IFERROR(G1702/SUMIF(A:A,A1702,G:G)*SUMIF(Summary!$A$166:$A$242,'Operations Support'!A1702,Summary!$Q$166:$Q$242),0)</f>
        <v>59.359699319370229</v>
      </c>
      <c r="AG1702" s="196">
        <f t="shared" ca="1" si="375"/>
        <v>173.42803303262977</v>
      </c>
      <c r="AI1702" s="196">
        <f>IFERROR($G1702/SUMIF($A:$A,$A1702,$G:$G)*SUMIF(Summary!$A$247:$A$283,$A1702,Summary!$P$247:$P$283),0)</f>
        <v>10.789322515189747</v>
      </c>
      <c r="AJ1702" s="196">
        <f>IFERROR($G1702/SUMIF($A:$A,$A1702,$G:$G)*(SUMIF(Summary!$A$247:$A$283,$A1702,Summary!$L$247:$L$283)+SUMIF(Summary!$A$297:$A$333,$A1702,Summary!$L$297:$L$333))-AI1702,0)</f>
        <v>48.711935633367176</v>
      </c>
      <c r="AK1702" s="196">
        <f>IFERROR($G1702/SUMIF($A:$A,$A1702,$G:$G)*SUMIF(Summary!$A$247:$A$283,$A1702,Summary!$Q$247:$Q$283),0)</f>
        <v>10.825727851068677</v>
      </c>
      <c r="AL1702" s="196">
        <f>IFERROR($G1702/SUMIF($A:$A,$A1702,$G:$G)*(SUMIF(Summary!$A$247:$A$283,$A1702,Summary!$L$247:$L$283)+SUMIF(Summary!$A$297:$A$333,$A1702,Summary!$L$297:$L$333))-AK1702,0)</f>
        <v>48.675530297488244</v>
      </c>
      <c r="AM1702" s="198"/>
      <c r="AN1702" s="196">
        <f t="shared" ca="1" si="376"/>
        <v>222.33958663359445</v>
      </c>
      <c r="AO1702" s="196">
        <f t="shared" ca="1" si="377"/>
        <v>222.10356333011802</v>
      </c>
    </row>
    <row r="1703" spans="1:41">
      <c r="A1703" s="189">
        <v>3644</v>
      </c>
      <c r="B1703" s="190">
        <v>1</v>
      </c>
      <c r="C1703" s="191" t="s">
        <v>238</v>
      </c>
      <c r="D1703" s="192">
        <f t="shared" si="364"/>
        <v>191.09999999999991</v>
      </c>
      <c r="E1703" s="192">
        <f t="shared" si="365"/>
        <v>1572.900000000001</v>
      </c>
      <c r="F1703" s="192">
        <f t="shared" si="366"/>
        <v>0</v>
      </c>
      <c r="G1703" s="193">
        <f t="shared" si="367"/>
        <v>1764.0000000000009</v>
      </c>
      <c r="H1703" s="194">
        <v>68.699999999999903</v>
      </c>
      <c r="I1703" s="194">
        <v>916.300000000002</v>
      </c>
      <c r="J1703" s="194">
        <v>0</v>
      </c>
      <c r="K1703" s="193">
        <f t="shared" si="368"/>
        <v>985.00000000000193</v>
      </c>
      <c r="L1703" s="194">
        <v>122.4</v>
      </c>
      <c r="M1703" s="194">
        <v>599.599999999999</v>
      </c>
      <c r="N1703" s="194">
        <v>0</v>
      </c>
      <c r="O1703" s="193">
        <f t="shared" si="369"/>
        <v>721.99999999999898</v>
      </c>
      <c r="P1703" s="194">
        <v>0</v>
      </c>
      <c r="Q1703" s="194">
        <v>57</v>
      </c>
      <c r="R1703" s="194">
        <v>0</v>
      </c>
      <c r="S1703" s="193">
        <f t="shared" si="370"/>
        <v>57</v>
      </c>
      <c r="T1703" s="193">
        <f t="shared" si="371"/>
        <v>58.800000000000033</v>
      </c>
      <c r="U1703" s="193">
        <f ca="1">OFFSET('Expenditure Study'!$B$7,'Operations Support'!$C1703,'Operations Support'!$B1703)*$G1703</f>
        <v>3139.9200000000019</v>
      </c>
      <c r="V1703" s="199">
        <f ca="1">U1703*'Expenditure Study'!$B$31</f>
        <v>185516.4610575361</v>
      </c>
      <c r="W1703" s="199">
        <f ca="1">IF(A1703=10298,1.51,1)*IF($B1703&lt;3,$D1703*'Expenditure Study'!$B$32*OFFSET('Expenditure Study'!$B$7,'Operations Support'!$C1703,'Operations Support'!$B1703),0)</f>
        <v>34.015799999999984</v>
      </c>
      <c r="X1703" s="200">
        <f ca="1">W1703*'Expenditure Study'!$B$31</f>
        <v>2009.7616614566391</v>
      </c>
      <c r="Y1703" s="199">
        <f ca="1">U1703*'Expenditure Study'!$B$31</f>
        <v>185516.4610575361</v>
      </c>
      <c r="Z1703" s="200">
        <f ca="1">W1703*'Expenditure Study'!$B$31</f>
        <v>2009.7616614566391</v>
      </c>
      <c r="AA1703" s="195">
        <f t="shared" ca="1" si="372"/>
        <v>187526.22271899274</v>
      </c>
      <c r="AB1703" s="195">
        <f t="shared" ca="1" si="373"/>
        <v>187526.22271899274</v>
      </c>
      <c r="AD1703" s="196">
        <f>IFERROR($G1703/SUMIF($A:$A,$A1703,$G:$G)*SUMIF(Summary!$A$166:$A$242,$A1703,Summary!$P$166:$P$242),0)</f>
        <v>52179.19175226357</v>
      </c>
      <c r="AE1703" s="197">
        <f t="shared" ca="1" si="374"/>
        <v>135347.03096672916</v>
      </c>
      <c r="AF1703" s="196">
        <f>IFERROR(G1703/SUMIF(A:A,A1703,G:G)*SUMIF(Summary!$A$166:$A$242,'Operations Support'!A1703,Summary!$Q$166:$Q$242),0)</f>
        <v>52355.254799684575</v>
      </c>
      <c r="AG1703" s="196">
        <f t="shared" ca="1" si="375"/>
        <v>135170.96791930817</v>
      </c>
      <c r="AI1703" s="196">
        <f>IFERROR($G1703/SUMIF($A:$A,$A1703,$G:$G)*SUMIF(Summary!$A$247:$A$283,$A1703,Summary!$P$247:$P$283),0)</f>
        <v>9516.182458397363</v>
      </c>
      <c r="AJ1703" s="196">
        <f>IFERROR($G1703/SUMIF($A:$A,$A1703,$G:$G)*(SUMIF(Summary!$A$247:$A$283,$A1703,Summary!$L$247:$L$283)+SUMIF(Summary!$A$297:$A$333,$A1703,Summary!$L$297:$L$333))-AI1703,0)</f>
        <v>42963.927228629866</v>
      </c>
      <c r="AK1703" s="196">
        <f>IFERROR($G1703/SUMIF($A:$A,$A1703,$G:$G)*SUMIF(Summary!$A$247:$A$283,$A1703,Summary!$Q$247:$Q$283),0)</f>
        <v>9548.2919646425798</v>
      </c>
      <c r="AL1703" s="196">
        <f>IFERROR($G1703/SUMIF($A:$A,$A1703,$G:$G)*(SUMIF(Summary!$A$247:$A$283,$A1703,Summary!$L$247:$L$283)+SUMIF(Summary!$A$297:$A$333,$A1703,Summary!$L$297:$L$333))-AK1703,0)</f>
        <v>42931.817722384651</v>
      </c>
      <c r="AM1703" s="198"/>
      <c r="AN1703" s="196">
        <f t="shared" ca="1" si="376"/>
        <v>178310.95819535904</v>
      </c>
      <c r="AO1703" s="196">
        <f t="shared" ca="1" si="377"/>
        <v>178102.78564169281</v>
      </c>
    </row>
    <row r="1704" spans="1:41">
      <c r="A1704" s="189">
        <v>3644</v>
      </c>
      <c r="B1704" s="190">
        <v>1</v>
      </c>
      <c r="C1704" s="191" t="s">
        <v>239</v>
      </c>
      <c r="D1704" s="192">
        <f t="shared" si="364"/>
        <v>0</v>
      </c>
      <c r="E1704" s="192">
        <f t="shared" si="365"/>
        <v>0</v>
      </c>
      <c r="F1704" s="192">
        <f t="shared" si="366"/>
        <v>0</v>
      </c>
      <c r="G1704" s="193">
        <f t="shared" si="367"/>
        <v>0</v>
      </c>
      <c r="H1704" s="194">
        <v>0</v>
      </c>
      <c r="I1704" s="194">
        <v>0</v>
      </c>
      <c r="J1704" s="194">
        <v>0</v>
      </c>
      <c r="K1704" s="193">
        <f t="shared" si="368"/>
        <v>0</v>
      </c>
      <c r="L1704" s="194">
        <v>0</v>
      </c>
      <c r="M1704" s="194">
        <v>0</v>
      </c>
      <c r="N1704" s="194">
        <v>0</v>
      </c>
      <c r="O1704" s="193">
        <f t="shared" si="369"/>
        <v>0</v>
      </c>
      <c r="P1704" s="194">
        <v>0</v>
      </c>
      <c r="Q1704" s="194">
        <v>0</v>
      </c>
      <c r="R1704" s="194">
        <v>0</v>
      </c>
      <c r="S1704" s="193">
        <f t="shared" si="370"/>
        <v>0</v>
      </c>
      <c r="T1704" s="193">
        <f t="shared" si="371"/>
        <v>0</v>
      </c>
      <c r="U1704" s="193">
        <f ca="1">OFFSET('Expenditure Study'!$B$7,'Operations Support'!$C1704,'Operations Support'!$B1704)*$G1704</f>
        <v>0</v>
      </c>
      <c r="V1704" s="199">
        <f ca="1">U1704*'Expenditure Study'!$B$31</f>
        <v>0</v>
      </c>
      <c r="W1704" s="199">
        <f ca="1">IF(A1704=10298,1.51,1)*IF($B1704&lt;3,$D1704*'Expenditure Study'!$B$32*OFFSET('Expenditure Study'!$B$7,'Operations Support'!$C1704,'Operations Support'!$B1704),0)</f>
        <v>0</v>
      </c>
      <c r="X1704" s="200">
        <f ca="1">W1704*'Expenditure Study'!$B$31</f>
        <v>0</v>
      </c>
      <c r="Y1704" s="199">
        <f ca="1">U1704*'Expenditure Study'!$B$31</f>
        <v>0</v>
      </c>
      <c r="Z1704" s="200">
        <f ca="1">W1704*'Expenditure Study'!$B$31</f>
        <v>0</v>
      </c>
      <c r="AA1704" s="195">
        <f t="shared" ca="1" si="372"/>
        <v>0</v>
      </c>
      <c r="AB1704" s="195">
        <f t="shared" ca="1" si="373"/>
        <v>0</v>
      </c>
      <c r="AD1704" s="196">
        <f>IFERROR($G1704/SUMIF($A:$A,$A1704,$G:$G)*SUMIF(Summary!$A$166:$A$242,$A1704,Summary!$P$166:$P$242),0)</f>
        <v>0</v>
      </c>
      <c r="AE1704" s="197">
        <f t="shared" ca="1" si="374"/>
        <v>0</v>
      </c>
      <c r="AF1704" s="196">
        <f>IFERROR(G1704/SUMIF(A:A,A1704,G:G)*SUMIF(Summary!$A$166:$A$242,'Operations Support'!A1704,Summary!$Q$166:$Q$242),0)</f>
        <v>0</v>
      </c>
      <c r="AG1704" s="196">
        <f t="shared" ca="1" si="375"/>
        <v>0</v>
      </c>
      <c r="AI1704" s="196">
        <f>IFERROR($G1704/SUMIF($A:$A,$A1704,$G:$G)*SUMIF(Summary!$A$247:$A$283,$A1704,Summary!$P$247:$P$283),0)</f>
        <v>0</v>
      </c>
      <c r="AJ1704" s="196">
        <f>IFERROR($G1704/SUMIF($A:$A,$A1704,$G:$G)*(SUMIF(Summary!$A$247:$A$283,$A1704,Summary!$L$247:$L$283)+SUMIF(Summary!$A$297:$A$333,$A1704,Summary!$L$297:$L$333))-AI1704,0)</f>
        <v>0</v>
      </c>
      <c r="AK1704" s="196">
        <f>IFERROR($G1704/SUMIF($A:$A,$A1704,$G:$G)*SUMIF(Summary!$A$247:$A$283,$A1704,Summary!$Q$247:$Q$283),0)</f>
        <v>0</v>
      </c>
      <c r="AL1704" s="196">
        <f>IFERROR($G1704/SUMIF($A:$A,$A1704,$G:$G)*(SUMIF(Summary!$A$247:$A$283,$A1704,Summary!$L$247:$L$283)+SUMIF(Summary!$A$297:$A$333,$A1704,Summary!$L$297:$L$333))-AK1704,0)</f>
        <v>0</v>
      </c>
      <c r="AM1704" s="198"/>
      <c r="AN1704" s="196">
        <f t="shared" ca="1" si="376"/>
        <v>0</v>
      </c>
      <c r="AO1704" s="196">
        <f t="shared" ca="1" si="377"/>
        <v>0</v>
      </c>
    </row>
    <row r="1705" spans="1:41">
      <c r="A1705" s="189">
        <v>3644</v>
      </c>
      <c r="B1705" s="190">
        <v>1</v>
      </c>
      <c r="C1705" s="191" t="s">
        <v>240</v>
      </c>
      <c r="D1705" s="192">
        <f t="shared" si="364"/>
        <v>0</v>
      </c>
      <c r="E1705" s="192">
        <f t="shared" si="365"/>
        <v>0</v>
      </c>
      <c r="F1705" s="192">
        <f t="shared" si="366"/>
        <v>0</v>
      </c>
      <c r="G1705" s="193">
        <f t="shared" si="367"/>
        <v>0</v>
      </c>
      <c r="H1705" s="194">
        <v>0</v>
      </c>
      <c r="I1705" s="194">
        <v>0</v>
      </c>
      <c r="J1705" s="194">
        <v>0</v>
      </c>
      <c r="K1705" s="193">
        <f t="shared" si="368"/>
        <v>0</v>
      </c>
      <c r="L1705" s="194">
        <v>0</v>
      </c>
      <c r="M1705" s="194">
        <v>0</v>
      </c>
      <c r="N1705" s="194">
        <v>0</v>
      </c>
      <c r="O1705" s="193">
        <f t="shared" si="369"/>
        <v>0</v>
      </c>
      <c r="P1705" s="194">
        <v>0</v>
      </c>
      <c r="Q1705" s="194">
        <v>0</v>
      </c>
      <c r="R1705" s="194">
        <v>0</v>
      </c>
      <c r="S1705" s="193">
        <f t="shared" si="370"/>
        <v>0</v>
      </c>
      <c r="T1705" s="193">
        <f t="shared" si="371"/>
        <v>0</v>
      </c>
      <c r="U1705" s="193">
        <f ca="1">OFFSET('Expenditure Study'!$B$7,'Operations Support'!$C1705,'Operations Support'!$B1705)*$G1705</f>
        <v>0</v>
      </c>
      <c r="V1705" s="199">
        <f ca="1">U1705*'Expenditure Study'!$B$31</f>
        <v>0</v>
      </c>
      <c r="W1705" s="199">
        <f ca="1">IF(A1705=10298,1.51,1)*IF($B1705&lt;3,$D1705*'Expenditure Study'!$B$32*OFFSET('Expenditure Study'!$B$7,'Operations Support'!$C1705,'Operations Support'!$B1705),0)</f>
        <v>0</v>
      </c>
      <c r="X1705" s="200">
        <f ca="1">W1705*'Expenditure Study'!$B$31</f>
        <v>0</v>
      </c>
      <c r="Y1705" s="199">
        <f ca="1">U1705*'Expenditure Study'!$B$31</f>
        <v>0</v>
      </c>
      <c r="Z1705" s="200">
        <f ca="1">W1705*'Expenditure Study'!$B$31</f>
        <v>0</v>
      </c>
      <c r="AA1705" s="195">
        <f t="shared" ca="1" si="372"/>
        <v>0</v>
      </c>
      <c r="AB1705" s="195">
        <f t="shared" ca="1" si="373"/>
        <v>0</v>
      </c>
      <c r="AD1705" s="196">
        <f>IFERROR($G1705/SUMIF($A:$A,$A1705,$G:$G)*SUMIF(Summary!$A$166:$A$242,$A1705,Summary!$P$166:$P$242),0)</f>
        <v>0</v>
      </c>
      <c r="AE1705" s="197">
        <f t="shared" ca="1" si="374"/>
        <v>0</v>
      </c>
      <c r="AF1705" s="196">
        <f>IFERROR(G1705/SUMIF(A:A,A1705,G:G)*SUMIF(Summary!$A$166:$A$242,'Operations Support'!A1705,Summary!$Q$166:$Q$242),0)</f>
        <v>0</v>
      </c>
      <c r="AG1705" s="196">
        <f t="shared" ca="1" si="375"/>
        <v>0</v>
      </c>
      <c r="AI1705" s="196">
        <f>IFERROR($G1705/SUMIF($A:$A,$A1705,$G:$G)*SUMIF(Summary!$A$247:$A$283,$A1705,Summary!$P$247:$P$283),0)</f>
        <v>0</v>
      </c>
      <c r="AJ1705" s="196">
        <f>IFERROR($G1705/SUMIF($A:$A,$A1705,$G:$G)*(SUMIF(Summary!$A$247:$A$283,$A1705,Summary!$L$247:$L$283)+SUMIF(Summary!$A$297:$A$333,$A1705,Summary!$L$297:$L$333))-AI1705,0)</f>
        <v>0</v>
      </c>
      <c r="AK1705" s="196">
        <f>IFERROR($G1705/SUMIF($A:$A,$A1705,$G:$G)*SUMIF(Summary!$A$247:$A$283,$A1705,Summary!$Q$247:$Q$283),0)</f>
        <v>0</v>
      </c>
      <c r="AL1705" s="196">
        <f>IFERROR($G1705/SUMIF($A:$A,$A1705,$G:$G)*(SUMIF(Summary!$A$247:$A$283,$A1705,Summary!$L$247:$L$283)+SUMIF(Summary!$A$297:$A$333,$A1705,Summary!$L$297:$L$333))-AK1705,0)</f>
        <v>0</v>
      </c>
      <c r="AM1705" s="198"/>
      <c r="AN1705" s="196">
        <f t="shared" ca="1" si="376"/>
        <v>0</v>
      </c>
      <c r="AO1705" s="196">
        <f t="shared" ca="1" si="377"/>
        <v>0</v>
      </c>
    </row>
    <row r="1706" spans="1:41">
      <c r="A1706" s="189">
        <v>3644</v>
      </c>
      <c r="B1706" s="190">
        <v>2</v>
      </c>
      <c r="C1706" s="191" t="s">
        <v>220</v>
      </c>
      <c r="D1706" s="192">
        <f t="shared" si="364"/>
        <v>34362</v>
      </c>
      <c r="E1706" s="192">
        <f t="shared" si="365"/>
        <v>56499</v>
      </c>
      <c r="F1706" s="192">
        <f t="shared" si="366"/>
        <v>0</v>
      </c>
      <c r="G1706" s="193">
        <f t="shared" si="367"/>
        <v>90861</v>
      </c>
      <c r="H1706" s="194">
        <v>15366.5</v>
      </c>
      <c r="I1706" s="194">
        <v>24380.5</v>
      </c>
      <c r="J1706" s="194">
        <v>0</v>
      </c>
      <c r="K1706" s="193">
        <f t="shared" si="368"/>
        <v>39747</v>
      </c>
      <c r="L1706" s="194">
        <v>14846</v>
      </c>
      <c r="M1706" s="194">
        <v>21965</v>
      </c>
      <c r="N1706" s="194">
        <v>0</v>
      </c>
      <c r="O1706" s="193">
        <f t="shared" si="369"/>
        <v>36811</v>
      </c>
      <c r="P1706" s="194">
        <v>4149.5</v>
      </c>
      <c r="Q1706" s="194">
        <v>10153.5</v>
      </c>
      <c r="R1706" s="194">
        <v>0</v>
      </c>
      <c r="S1706" s="193">
        <f t="shared" si="370"/>
        <v>14303</v>
      </c>
      <c r="T1706" s="193">
        <f t="shared" si="371"/>
        <v>3028.7</v>
      </c>
      <c r="U1706" s="193">
        <f ca="1">OFFSET('Expenditure Study'!$B$7,'Operations Support'!$C1706,'Operations Support'!$B1706)*$G1706</f>
        <v>167184.24000000002</v>
      </c>
      <c r="V1706" s="199">
        <f ca="1">U1706*'Expenditure Study'!$B$31</f>
        <v>9877776.6788305938</v>
      </c>
      <c r="W1706" s="199">
        <f ca="1">IF(A1706=10298,1.51,1)*IF($B1706&lt;3,$D1706*'Expenditure Study'!$B$32*OFFSET('Expenditure Study'!$B$7,'Operations Support'!$C1706,'Operations Support'!$B1706),0)</f>
        <v>6322.6080000000011</v>
      </c>
      <c r="X1706" s="200">
        <f ca="1">W1706*'Expenditure Study'!$B$31</f>
        <v>373559.79159152647</v>
      </c>
      <c r="Y1706" s="199">
        <f ca="1">U1706*'Expenditure Study'!$B$31</f>
        <v>9877776.6788305938</v>
      </c>
      <c r="Z1706" s="200">
        <f ca="1">W1706*'Expenditure Study'!$B$31</f>
        <v>373559.79159152647</v>
      </c>
      <c r="AA1706" s="195">
        <f t="shared" ca="1" si="372"/>
        <v>10251336.470422121</v>
      </c>
      <c r="AB1706" s="195">
        <f t="shared" ca="1" si="373"/>
        <v>10251336.470422121</v>
      </c>
      <c r="AD1706" s="196">
        <f>IFERROR($G1706/SUMIF($A:$A,$A1706,$G:$G)*SUMIF(Summary!$A$166:$A$242,$A1706,Summary!$P$166:$P$242),0)</f>
        <v>2687672.0758517105</v>
      </c>
      <c r="AE1706" s="197">
        <f t="shared" ca="1" si="374"/>
        <v>7563664.3945704103</v>
      </c>
      <c r="AF1706" s="196">
        <f>IFERROR(G1706/SUMIF(A:A,A1706,G:G)*SUMIF(Summary!$A$166:$A$242,'Operations Support'!A1706,Summary!$Q$166:$Q$242),0)</f>
        <v>2696740.8199286493</v>
      </c>
      <c r="AG1706" s="196">
        <f t="shared" ca="1" si="375"/>
        <v>7554595.650493471</v>
      </c>
      <c r="AI1706" s="196">
        <f>IFERROR($G1706/SUMIF($A:$A,$A1706,$G:$G)*SUMIF(Summary!$A$247:$A$283,$A1706,Summary!$P$247:$P$283),0)</f>
        <v>490164.31652632781</v>
      </c>
      <c r="AJ1706" s="196">
        <f>IFERROR($G1706/SUMIF($A:$A,$A1706,$G:$G)*(SUMIF(Summary!$A$247:$A$283,$A1706,Summary!$L$247:$L$283)+SUMIF(Summary!$A$297:$A$333,$A1706,Summary!$L$297:$L$333))-AI1706,0)</f>
        <v>2213007.5917916875</v>
      </c>
      <c r="AK1706" s="196">
        <f>IFERROR($G1706/SUMIF($A:$A,$A1706,$G:$G)*SUMIF(Summary!$A$247:$A$283,$A1706,Summary!$Q$247:$Q$283),0)</f>
        <v>491818.22913797555</v>
      </c>
      <c r="AL1706" s="196">
        <f>IFERROR($G1706/SUMIF($A:$A,$A1706,$G:$G)*(SUMIF(Summary!$A$247:$A$283,$A1706,Summary!$L$247:$L$283)+SUMIF(Summary!$A$297:$A$333,$A1706,Summary!$L$297:$L$333))-AK1706,0)</f>
        <v>2211353.6791800396</v>
      </c>
      <c r="AM1706" s="198"/>
      <c r="AN1706" s="196">
        <f t="shared" ca="1" si="376"/>
        <v>9776671.9863620978</v>
      </c>
      <c r="AO1706" s="196">
        <f t="shared" ca="1" si="377"/>
        <v>9765949.32967351</v>
      </c>
    </row>
    <row r="1707" spans="1:41">
      <c r="A1707" s="189">
        <v>3644</v>
      </c>
      <c r="B1707" s="190">
        <v>2</v>
      </c>
      <c r="C1707" s="191" t="s">
        <v>221</v>
      </c>
      <c r="D1707" s="192">
        <f t="shared" si="364"/>
        <v>36318.070000000094</v>
      </c>
      <c r="E1707" s="192">
        <f t="shared" si="365"/>
        <v>21951.929999999869</v>
      </c>
      <c r="F1707" s="192">
        <f t="shared" si="366"/>
        <v>0</v>
      </c>
      <c r="G1707" s="193">
        <f t="shared" si="367"/>
        <v>58269.999999999964</v>
      </c>
      <c r="H1707" s="194">
        <v>16738.099999999999</v>
      </c>
      <c r="I1707" s="194">
        <v>9373.8999999999705</v>
      </c>
      <c r="J1707" s="194">
        <v>0</v>
      </c>
      <c r="K1707" s="193">
        <f t="shared" si="368"/>
        <v>26111.999999999971</v>
      </c>
      <c r="L1707" s="194">
        <v>16598.970000000099</v>
      </c>
      <c r="M1707" s="194">
        <v>9037.0299999999006</v>
      </c>
      <c r="N1707" s="194">
        <v>0</v>
      </c>
      <c r="O1707" s="193">
        <f t="shared" si="369"/>
        <v>25636</v>
      </c>
      <c r="P1707" s="194">
        <v>2981</v>
      </c>
      <c r="Q1707" s="194">
        <v>3541</v>
      </c>
      <c r="R1707" s="194">
        <v>0</v>
      </c>
      <c r="S1707" s="193">
        <f t="shared" si="370"/>
        <v>6522</v>
      </c>
      <c r="T1707" s="193">
        <f t="shared" si="371"/>
        <v>1942.3333333333321</v>
      </c>
      <c r="U1707" s="193">
        <f ca="1">OFFSET('Expenditure Study'!$B$7,'Operations Support'!$C1707,'Operations Support'!$B1707)*$G1707</f>
        <v>153250.09999999989</v>
      </c>
      <c r="V1707" s="199">
        <f ca="1">U1707*'Expenditure Study'!$B$31</f>
        <v>9054503.3659180738</v>
      </c>
      <c r="W1707" s="199">
        <f ca="1">IF(A1707=10298,1.51,1)*IF($B1707&lt;3,$D1707*'Expenditure Study'!$B$32*OFFSET('Expenditure Study'!$B$7,'Operations Support'!$C1707,'Operations Support'!$B1707),0)</f>
        <v>9551.6524100000261</v>
      </c>
      <c r="X1707" s="200">
        <f ca="1">W1707*'Expenditure Study'!$B$31</f>
        <v>564342.00627878727</v>
      </c>
      <c r="Y1707" s="199">
        <f ca="1">U1707*'Expenditure Study'!$B$31</f>
        <v>9054503.3659180738</v>
      </c>
      <c r="Z1707" s="200">
        <f ca="1">W1707*'Expenditure Study'!$B$31</f>
        <v>564342.00627878727</v>
      </c>
      <c r="AA1707" s="195">
        <f t="shared" ca="1" si="372"/>
        <v>9618845.3721968606</v>
      </c>
      <c r="AB1707" s="195">
        <f t="shared" ca="1" si="373"/>
        <v>9618845.3721968606</v>
      </c>
      <c r="AD1707" s="196">
        <f>IFERROR($G1707/SUMIF($A:$A,$A1707,$G:$G)*SUMIF(Summary!$A$166:$A$242,$A1707,Summary!$P$166:$P$242),0)</f>
        <v>1723628.9701838973</v>
      </c>
      <c r="AE1707" s="197">
        <f t="shared" ca="1" si="374"/>
        <v>7895216.4020129628</v>
      </c>
      <c r="AF1707" s="196">
        <f>IFERROR(G1707/SUMIF(A:A,A1707,G:G)*SUMIF(Summary!$A$166:$A$242,'Operations Support'!A1707,Summary!$Q$166:$Q$242),0)</f>
        <v>1729444.8396698507</v>
      </c>
      <c r="AG1707" s="196">
        <f t="shared" ca="1" si="375"/>
        <v>7889400.53252701</v>
      </c>
      <c r="AI1707" s="196">
        <f>IFERROR($G1707/SUMIF($A:$A,$A1707,$G:$G)*SUMIF(Summary!$A$247:$A$283,$A1707,Summary!$P$247:$P$283),0)</f>
        <v>314346.9114800531</v>
      </c>
      <c r="AJ1707" s="196">
        <f>IFERROR($G1707/SUMIF($A:$A,$A1707,$G:$G)*(SUMIF(Summary!$A$247:$A$283,$A1707,Summary!$L$247:$L$283)+SUMIF(Summary!$A$297:$A$333,$A1707,Summary!$L$297:$L$333))-AI1707,0)</f>
        <v>1419222.2446781518</v>
      </c>
      <c r="AK1707" s="196">
        <f>IFERROR($G1707/SUMIF($A:$A,$A1707,$G:$G)*SUMIF(Summary!$A$247:$A$283,$A1707,Summary!$Q$247:$Q$283),0)</f>
        <v>315407.58094088576</v>
      </c>
      <c r="AL1707" s="196">
        <f>IFERROR($G1707/SUMIF($A:$A,$A1707,$G:$G)*(SUMIF(Summary!$A$247:$A$283,$A1707,Summary!$L$247:$L$283)+SUMIF(Summary!$A$297:$A$333,$A1707,Summary!$L$297:$L$333))-AK1707,0)</f>
        <v>1418161.5752173192</v>
      </c>
      <c r="AM1707" s="198"/>
      <c r="AN1707" s="196">
        <f t="shared" ca="1" si="376"/>
        <v>9314438.6466911137</v>
      </c>
      <c r="AO1707" s="196">
        <f t="shared" ca="1" si="377"/>
        <v>9307562.1077443287</v>
      </c>
    </row>
    <row r="1708" spans="1:41">
      <c r="A1708" s="189">
        <v>3644</v>
      </c>
      <c r="B1708" s="190">
        <v>2</v>
      </c>
      <c r="C1708" s="191" t="s">
        <v>222</v>
      </c>
      <c r="D1708" s="192">
        <f t="shared" si="364"/>
        <v>5495.65</v>
      </c>
      <c r="E1708" s="192">
        <f t="shared" si="365"/>
        <v>3071.35</v>
      </c>
      <c r="F1708" s="192">
        <f t="shared" si="366"/>
        <v>0</v>
      </c>
      <c r="G1708" s="193">
        <f t="shared" si="367"/>
        <v>8567</v>
      </c>
      <c r="H1708" s="194">
        <v>2778.15</v>
      </c>
      <c r="I1708" s="194">
        <v>1545.85</v>
      </c>
      <c r="J1708" s="194">
        <v>0</v>
      </c>
      <c r="K1708" s="193">
        <f t="shared" si="368"/>
        <v>4324</v>
      </c>
      <c r="L1708" s="194">
        <v>2572.5</v>
      </c>
      <c r="M1708" s="194">
        <v>1366.5</v>
      </c>
      <c r="N1708" s="194">
        <v>0</v>
      </c>
      <c r="O1708" s="193">
        <f t="shared" si="369"/>
        <v>3939</v>
      </c>
      <c r="P1708" s="194">
        <v>145</v>
      </c>
      <c r="Q1708" s="194">
        <v>159</v>
      </c>
      <c r="R1708" s="194">
        <v>0</v>
      </c>
      <c r="S1708" s="193">
        <f t="shared" si="370"/>
        <v>304</v>
      </c>
      <c r="T1708" s="193">
        <f t="shared" si="371"/>
        <v>285.56666666666666</v>
      </c>
      <c r="U1708" s="193">
        <f ca="1">OFFSET('Expenditure Study'!$B$7,'Operations Support'!$C1708,'Operations Support'!$B1708)*$G1708</f>
        <v>22788.22</v>
      </c>
      <c r="V1708" s="199">
        <f ca="1">U1708*'Expenditure Study'!$B$31</f>
        <v>1346400.5223701762</v>
      </c>
      <c r="W1708" s="199">
        <f ca="1">IF(A1708=10298,1.51,1)*IF($B1708&lt;3,$D1708*'Expenditure Study'!$B$32*OFFSET('Expenditure Study'!$B$7,'Operations Support'!$C1708,'Operations Support'!$B1708),0)</f>
        <v>1461.8428999999999</v>
      </c>
      <c r="X1708" s="200">
        <f ca="1">W1708*'Expenditure Study'!$B$31</f>
        <v>86370.328361896318</v>
      </c>
      <c r="Y1708" s="199">
        <f ca="1">U1708*'Expenditure Study'!$B$31</f>
        <v>1346400.5223701762</v>
      </c>
      <c r="Z1708" s="200">
        <f ca="1">W1708*'Expenditure Study'!$B$31</f>
        <v>86370.328361896318</v>
      </c>
      <c r="AA1708" s="195">
        <f t="shared" ca="1" si="372"/>
        <v>1432770.8507320725</v>
      </c>
      <c r="AB1708" s="195">
        <f t="shared" ca="1" si="373"/>
        <v>1432770.8507320725</v>
      </c>
      <c r="AD1708" s="196">
        <f>IFERROR($G1708/SUMIF($A:$A,$A1708,$G:$G)*SUMIF(Summary!$A$166:$A$242,$A1708,Summary!$P$166:$P$242),0)</f>
        <v>253412.20847031844</v>
      </c>
      <c r="AE1708" s="197">
        <f t="shared" ca="1" si="374"/>
        <v>1179358.642261754</v>
      </c>
      <c r="AF1708" s="196">
        <f>IFERROR(G1708/SUMIF(A:A,A1708,G:G)*SUMIF(Summary!$A$166:$A$242,'Operations Support'!A1708,Summary!$Q$166:$Q$242),0)</f>
        <v>254267.27203452238</v>
      </c>
      <c r="AG1708" s="196">
        <f t="shared" ca="1" si="375"/>
        <v>1178503.5786975501</v>
      </c>
      <c r="AI1708" s="196">
        <f>IFERROR($G1708/SUMIF($A:$A,$A1708,$G:$G)*SUMIF(Summary!$A$247:$A$283,$A1708,Summary!$P$247:$P$283),0)</f>
        <v>46216.062993815278</v>
      </c>
      <c r="AJ1708" s="196">
        <f>IFERROR($G1708/SUMIF($A:$A,$A1708,$G:$G)*(SUMIF(Summary!$A$247:$A$283,$A1708,Summary!$L$247:$L$283)+SUMIF(Summary!$A$297:$A$333,$A1708,Summary!$L$297:$L$333))-AI1708,0)</f>
        <v>208657.57628552828</v>
      </c>
      <c r="AK1708" s="196">
        <f>IFERROR($G1708/SUMIF($A:$A,$A1708,$G:$G)*SUMIF(Summary!$A$247:$A$283,$A1708,Summary!$Q$247:$Q$283),0)</f>
        <v>46372.00525005268</v>
      </c>
      <c r="AL1708" s="196">
        <f>IFERROR($G1708/SUMIF($A:$A,$A1708,$G:$G)*(SUMIF(Summary!$A$247:$A$283,$A1708,Summary!$L$247:$L$283)+SUMIF(Summary!$A$297:$A$333,$A1708,Summary!$L$297:$L$333))-AK1708,0)</f>
        <v>208501.63402929087</v>
      </c>
      <c r="AM1708" s="198"/>
      <c r="AN1708" s="196">
        <f t="shared" ca="1" si="376"/>
        <v>1388016.2185472823</v>
      </c>
      <c r="AO1708" s="196">
        <f t="shared" ca="1" si="377"/>
        <v>1387005.212726841</v>
      </c>
    </row>
    <row r="1709" spans="1:41">
      <c r="A1709" s="189">
        <v>3644</v>
      </c>
      <c r="B1709" s="190">
        <v>2</v>
      </c>
      <c r="C1709" s="191" t="s">
        <v>223</v>
      </c>
      <c r="D1709" s="192">
        <f t="shared" si="364"/>
        <v>981</v>
      </c>
      <c r="E1709" s="192">
        <f t="shared" si="365"/>
        <v>8046</v>
      </c>
      <c r="F1709" s="192">
        <f t="shared" si="366"/>
        <v>0</v>
      </c>
      <c r="G1709" s="193">
        <f t="shared" si="367"/>
        <v>9027</v>
      </c>
      <c r="H1709" s="194">
        <v>360</v>
      </c>
      <c r="I1709" s="194">
        <v>3704</v>
      </c>
      <c r="J1709" s="194">
        <v>0</v>
      </c>
      <c r="K1709" s="193">
        <f t="shared" si="368"/>
        <v>4064</v>
      </c>
      <c r="L1709" s="194">
        <v>333</v>
      </c>
      <c r="M1709" s="194">
        <v>3406</v>
      </c>
      <c r="N1709" s="194">
        <v>0</v>
      </c>
      <c r="O1709" s="193">
        <f t="shared" si="369"/>
        <v>3739</v>
      </c>
      <c r="P1709" s="194">
        <v>288</v>
      </c>
      <c r="Q1709" s="194">
        <v>936</v>
      </c>
      <c r="R1709" s="194">
        <v>0</v>
      </c>
      <c r="S1709" s="193">
        <f t="shared" si="370"/>
        <v>1224</v>
      </c>
      <c r="T1709" s="193">
        <f t="shared" si="371"/>
        <v>300.89999999999998</v>
      </c>
      <c r="U1709" s="193">
        <f ca="1">OFFSET('Expenditure Study'!$B$7,'Operations Support'!$C1709,'Operations Support'!$B1709)*$G1709</f>
        <v>17151.3</v>
      </c>
      <c r="V1709" s="199">
        <f ca="1">U1709*'Expenditure Study'!$B$31</f>
        <v>1013353.3588550399</v>
      </c>
      <c r="W1709" s="199">
        <f ca="1">IF(A1709=10298,1.51,1)*IF($B1709&lt;3,$D1709*'Expenditure Study'!$B$32*OFFSET('Expenditure Study'!$B$7,'Operations Support'!$C1709,'Operations Support'!$B1709),0)</f>
        <v>186.39000000000001</v>
      </c>
      <c r="X1709" s="200">
        <f ca="1">W1709*'Expenditure Study'!$B$31</f>
        <v>11012.514069312001</v>
      </c>
      <c r="Y1709" s="199">
        <f ca="1">U1709*'Expenditure Study'!$B$31</f>
        <v>1013353.3588550399</v>
      </c>
      <c r="Z1709" s="200">
        <f ca="1">W1709*'Expenditure Study'!$B$31</f>
        <v>11012.514069312001</v>
      </c>
      <c r="AA1709" s="195">
        <f t="shared" ca="1" si="372"/>
        <v>1024365.8729243519</v>
      </c>
      <c r="AB1709" s="195">
        <f t="shared" ca="1" si="373"/>
        <v>1024365.8729243519</v>
      </c>
      <c r="AD1709" s="196">
        <f>IFERROR($G1709/SUMIF($A:$A,$A1709,$G:$G)*SUMIF(Summary!$A$166:$A$242,$A1709,Summary!$P$166:$P$242),0)</f>
        <v>267019.02718122618</v>
      </c>
      <c r="AE1709" s="197">
        <f t="shared" ca="1" si="374"/>
        <v>757346.84574312577</v>
      </c>
      <c r="AF1709" s="196">
        <f>IFERROR(G1709/SUMIF(A:A,A1709,G:G)*SUMIF(Summary!$A$166:$A$242,'Operations Support'!A1709,Summary!$Q$166:$Q$242),0)</f>
        <v>267920.0028779775</v>
      </c>
      <c r="AG1709" s="196">
        <f t="shared" ca="1" si="375"/>
        <v>756445.87004637439</v>
      </c>
      <c r="AI1709" s="196">
        <f>IFERROR($G1709/SUMIF($A:$A,$A1709,$G:$G)*SUMIF(Summary!$A$247:$A$283,$A1709,Summary!$P$247:$P$283),0)</f>
        <v>48697.607172308919</v>
      </c>
      <c r="AJ1709" s="196">
        <f>IFERROR($G1709/SUMIF($A:$A,$A1709,$G:$G)*(SUMIF(Summary!$A$247:$A$283,$A1709,Summary!$L$247:$L$283)+SUMIF(Summary!$A$297:$A$333,$A1709,Summary!$L$297:$L$333))-AI1709,0)</f>
        <v>219861.3214812027</v>
      </c>
      <c r="AK1709" s="196">
        <f>IFERROR($G1709/SUMIF($A:$A,$A1709,$G:$G)*SUMIF(Summary!$A$247:$A$283,$A1709,Summary!$Q$247:$Q$283),0)</f>
        <v>48861.922655798473</v>
      </c>
      <c r="AL1709" s="196">
        <f>IFERROR($G1709/SUMIF($A:$A,$A1709,$G:$G)*(SUMIF(Summary!$A$247:$A$283,$A1709,Summary!$L$247:$L$283)+SUMIF(Summary!$A$297:$A$333,$A1709,Summary!$L$297:$L$333))-AK1709,0)</f>
        <v>219697.00599771316</v>
      </c>
      <c r="AM1709" s="198"/>
      <c r="AN1709" s="196">
        <f t="shared" ca="1" si="376"/>
        <v>977208.1672243285</v>
      </c>
      <c r="AO1709" s="196">
        <f t="shared" ca="1" si="377"/>
        <v>976142.87604408758</v>
      </c>
    </row>
    <row r="1710" spans="1:41">
      <c r="A1710" s="189">
        <v>3644</v>
      </c>
      <c r="B1710" s="190">
        <v>2</v>
      </c>
      <c r="C1710" s="191" t="s">
        <v>224</v>
      </c>
      <c r="D1710" s="192">
        <f t="shared" si="364"/>
        <v>11691.3</v>
      </c>
      <c r="E1710" s="192">
        <f t="shared" si="365"/>
        <v>3585.7</v>
      </c>
      <c r="F1710" s="192">
        <f t="shared" si="366"/>
        <v>0</v>
      </c>
      <c r="G1710" s="193">
        <f t="shared" si="367"/>
        <v>15277</v>
      </c>
      <c r="H1710" s="194">
        <v>5581.3</v>
      </c>
      <c r="I1710" s="194">
        <v>1742.7</v>
      </c>
      <c r="J1710" s="194">
        <v>0</v>
      </c>
      <c r="K1710" s="193">
        <f t="shared" si="368"/>
        <v>7324</v>
      </c>
      <c r="L1710" s="194">
        <v>4851</v>
      </c>
      <c r="M1710" s="194">
        <v>1520</v>
      </c>
      <c r="N1710" s="194">
        <v>0</v>
      </c>
      <c r="O1710" s="193">
        <f t="shared" si="369"/>
        <v>6371</v>
      </c>
      <c r="P1710" s="194">
        <v>1259</v>
      </c>
      <c r="Q1710" s="194">
        <v>323</v>
      </c>
      <c r="R1710" s="194">
        <v>0</v>
      </c>
      <c r="S1710" s="193">
        <f t="shared" si="370"/>
        <v>1582</v>
      </c>
      <c r="T1710" s="193">
        <f t="shared" si="371"/>
        <v>509.23333333333335</v>
      </c>
      <c r="U1710" s="193">
        <f ca="1">OFFSET('Expenditure Study'!$B$7,'Operations Support'!$C1710,'Operations Support'!$B1710)*$G1710</f>
        <v>34678.79</v>
      </c>
      <c r="V1710" s="199">
        <f ca="1">U1710*'Expenditure Study'!$B$31</f>
        <v>2048933.219495232</v>
      </c>
      <c r="W1710" s="199">
        <f ca="1">IF(A1710=10298,1.51,1)*IF($B1710&lt;3,$D1710*'Expenditure Study'!$B$32*OFFSET('Expenditure Study'!$B$7,'Operations Support'!$C1710,'Operations Support'!$B1710),0)</f>
        <v>2653.9250999999999</v>
      </c>
      <c r="X1710" s="200">
        <f ca="1">W1710*'Expenditure Study'!$B$31</f>
        <v>156802.33651295808</v>
      </c>
      <c r="Y1710" s="199">
        <f ca="1">U1710*'Expenditure Study'!$B$31</f>
        <v>2048933.219495232</v>
      </c>
      <c r="Z1710" s="200">
        <f ca="1">W1710*'Expenditure Study'!$B$31</f>
        <v>156802.33651295808</v>
      </c>
      <c r="AA1710" s="195">
        <f t="shared" ca="1" si="372"/>
        <v>2205735.5560081899</v>
      </c>
      <c r="AB1710" s="195">
        <f t="shared" ca="1" si="373"/>
        <v>2205735.5560081899</v>
      </c>
      <c r="AD1710" s="196">
        <f>IFERROR($G1710/SUMIF($A:$A,$A1710,$G:$G)*SUMIF(Summary!$A$166:$A$242,$A1710,Summary!$P$166:$P$242),0)</f>
        <v>451894.28140551597</v>
      </c>
      <c r="AE1710" s="197">
        <f t="shared" ca="1" si="374"/>
        <v>1753841.2746026739</v>
      </c>
      <c r="AF1710" s="196">
        <f>IFERROR(G1710/SUMIF(A:A,A1710,G:G)*SUMIF(Summary!$A$166:$A$242,'Operations Support'!A1710,Summary!$Q$166:$Q$242),0)</f>
        <v>453419.0632510095</v>
      </c>
      <c r="AG1710" s="196">
        <f t="shared" ca="1" si="375"/>
        <v>1752316.4927571805</v>
      </c>
      <c r="AI1710" s="196">
        <f>IFERROR($G1710/SUMIF($A:$A,$A1710,$G:$G)*SUMIF(Summary!$A$247:$A$283,$A1710,Summary!$P$247:$P$283),0)</f>
        <v>82414.240032276881</v>
      </c>
      <c r="AJ1710" s="196">
        <f>IFERROR($G1710/SUMIF($A:$A,$A1710,$G:$G)*(SUMIF(Summary!$A$247:$A$283,$A1710,Summary!$L$247:$L$283)+SUMIF(Summary!$A$297:$A$333,$A1710,Summary!$L$297:$L$333))-AI1710,0)</f>
        <v>372086.12033547513</v>
      </c>
      <c r="AK1710" s="196">
        <f>IFERROR($G1710/SUMIF($A:$A,$A1710,$G:$G)*SUMIF(Summary!$A$247:$A$283,$A1710,Summary!$Q$247:$Q$283),0)</f>
        <v>82692.322190388091</v>
      </c>
      <c r="AL1710" s="196">
        <f>IFERROR($G1710/SUMIF($A:$A,$A1710,$G:$G)*(SUMIF(Summary!$A$247:$A$283,$A1710,Summary!$L$247:$L$283)+SUMIF(Summary!$A$297:$A$333,$A1710,Summary!$L$297:$L$333))-AK1710,0)</f>
        <v>371808.03817736392</v>
      </c>
      <c r="AM1710" s="198"/>
      <c r="AN1710" s="196">
        <f t="shared" ca="1" si="376"/>
        <v>2125927.394938149</v>
      </c>
      <c r="AO1710" s="196">
        <f t="shared" ca="1" si="377"/>
        <v>2124124.5309345443</v>
      </c>
    </row>
    <row r="1711" spans="1:41">
      <c r="A1711" s="189">
        <v>3644</v>
      </c>
      <c r="B1711" s="190">
        <v>2</v>
      </c>
      <c r="C1711" s="191" t="s">
        <v>225</v>
      </c>
      <c r="D1711" s="192">
        <f t="shared" si="364"/>
        <v>28058.42</v>
      </c>
      <c r="E1711" s="192">
        <f t="shared" si="365"/>
        <v>27633.58</v>
      </c>
      <c r="F1711" s="192">
        <f t="shared" si="366"/>
        <v>0</v>
      </c>
      <c r="G1711" s="193">
        <f t="shared" si="367"/>
        <v>55692</v>
      </c>
      <c r="H1711" s="194">
        <v>11965.25</v>
      </c>
      <c r="I1711" s="194">
        <v>13371.75</v>
      </c>
      <c r="J1711" s="194">
        <v>0</v>
      </c>
      <c r="K1711" s="193">
        <f t="shared" si="368"/>
        <v>25337</v>
      </c>
      <c r="L1711" s="194">
        <v>14215.82</v>
      </c>
      <c r="M1711" s="194">
        <v>11601.18</v>
      </c>
      <c r="N1711" s="194">
        <v>0</v>
      </c>
      <c r="O1711" s="193">
        <f t="shared" si="369"/>
        <v>25817</v>
      </c>
      <c r="P1711" s="194">
        <v>1877.35</v>
      </c>
      <c r="Q1711" s="194">
        <v>2660.65</v>
      </c>
      <c r="R1711" s="194">
        <v>0</v>
      </c>
      <c r="S1711" s="193">
        <f t="shared" si="370"/>
        <v>4538</v>
      </c>
      <c r="T1711" s="193">
        <f t="shared" si="371"/>
        <v>1856.4</v>
      </c>
      <c r="U1711" s="193">
        <f ca="1">OFFSET('Expenditure Study'!$B$7,'Operations Support'!$C1711,'Operations Support'!$B1711)*$G1711</f>
        <v>155937.59999999998</v>
      </c>
      <c r="V1711" s="199">
        <f ca="1">U1711*'Expenditure Study'!$B$31</f>
        <v>9213289.4143180791</v>
      </c>
      <c r="W1711" s="199">
        <f ca="1">IF(A1711=10298,1.51,1)*IF($B1711&lt;3,$D1711*'Expenditure Study'!$B$32*OFFSET('Expenditure Study'!$B$7,'Operations Support'!$C1711,'Operations Support'!$B1711),0)</f>
        <v>7856.3575999999994</v>
      </c>
      <c r="X1711" s="200">
        <f ca="1">W1711*'Expenditure Study'!$B$31</f>
        <v>464178.59651025402</v>
      </c>
      <c r="Y1711" s="199">
        <f ca="1">U1711*'Expenditure Study'!$B$31</f>
        <v>9213289.4143180791</v>
      </c>
      <c r="Z1711" s="200">
        <f ca="1">W1711*'Expenditure Study'!$B$31</f>
        <v>464178.59651025402</v>
      </c>
      <c r="AA1711" s="195">
        <f t="shared" ca="1" si="372"/>
        <v>9677468.010828333</v>
      </c>
      <c r="AB1711" s="195">
        <f t="shared" ca="1" si="373"/>
        <v>9677468.010828333</v>
      </c>
      <c r="AD1711" s="196">
        <f>IFERROR($G1711/SUMIF($A:$A,$A1711,$G:$G)*SUMIF(Summary!$A$166:$A$242,$A1711,Summary!$P$166:$P$242),0)</f>
        <v>1647371.6253214632</v>
      </c>
      <c r="AE1711" s="197">
        <f t="shared" ca="1" si="374"/>
        <v>8030096.3855068702</v>
      </c>
      <c r="AF1711" s="196">
        <f>IFERROR(G1711/SUMIF(A:A,A1711,G:G)*SUMIF(Summary!$A$166:$A$242,'Operations Support'!A1711,Summary!$Q$166:$Q$242),0)</f>
        <v>1652930.1872471834</v>
      </c>
      <c r="AG1711" s="196">
        <f t="shared" ca="1" si="375"/>
        <v>8024537.8235811498</v>
      </c>
      <c r="AI1711" s="196">
        <f>IFERROR($G1711/SUMIF($A:$A,$A1711,$G:$G)*SUMIF(Summary!$A$247:$A$283,$A1711,Summary!$P$247:$P$283),0)</f>
        <v>300439.47475797369</v>
      </c>
      <c r="AJ1711" s="196">
        <f>IFERROR($G1711/SUMIF($A:$A,$A1711,$G:$G)*(SUMIF(Summary!$A$247:$A$283,$A1711,Summary!$L$247:$L$283)+SUMIF(Summary!$A$297:$A$333,$A1711,Summary!$L$297:$L$333))-AI1711,0)</f>
        <v>1356432.5596467424</v>
      </c>
      <c r="AK1711" s="196">
        <f>IFERROR($G1711/SUMIF($A:$A,$A1711,$G:$G)*SUMIF(Summary!$A$247:$A$283,$A1711,Summary!$Q$247:$Q$283),0)</f>
        <v>301453.21774085838</v>
      </c>
      <c r="AL1711" s="196">
        <f>IFERROR($G1711/SUMIF($A:$A,$A1711,$G:$G)*(SUMIF(Summary!$A$247:$A$283,$A1711,Summary!$L$247:$L$283)+SUMIF(Summary!$A$297:$A$333,$A1711,Summary!$L$297:$L$333))-AK1711,0)</f>
        <v>1355418.8166638575</v>
      </c>
      <c r="AM1711" s="198"/>
      <c r="AN1711" s="196">
        <f t="shared" ca="1" si="376"/>
        <v>9386528.9451536126</v>
      </c>
      <c r="AO1711" s="196">
        <f t="shared" ca="1" si="377"/>
        <v>9379956.6402450074</v>
      </c>
    </row>
    <row r="1712" spans="1:41">
      <c r="A1712" s="189">
        <v>3644</v>
      </c>
      <c r="B1712" s="190">
        <v>2</v>
      </c>
      <c r="C1712" s="191" t="s">
        <v>226</v>
      </c>
      <c r="D1712" s="192">
        <f t="shared" si="364"/>
        <v>345</v>
      </c>
      <c r="E1712" s="192">
        <f t="shared" si="365"/>
        <v>2258</v>
      </c>
      <c r="F1712" s="192">
        <f t="shared" si="366"/>
        <v>0</v>
      </c>
      <c r="G1712" s="193">
        <f t="shared" si="367"/>
        <v>2603</v>
      </c>
      <c r="H1712" s="194">
        <v>231</v>
      </c>
      <c r="I1712" s="194">
        <v>813</v>
      </c>
      <c r="J1712" s="194">
        <v>0</v>
      </c>
      <c r="K1712" s="193">
        <f t="shared" si="368"/>
        <v>1044</v>
      </c>
      <c r="L1712" s="194">
        <v>27</v>
      </c>
      <c r="M1712" s="194">
        <v>992</v>
      </c>
      <c r="N1712" s="194">
        <v>0</v>
      </c>
      <c r="O1712" s="193">
        <f t="shared" si="369"/>
        <v>1019</v>
      </c>
      <c r="P1712" s="194">
        <v>87</v>
      </c>
      <c r="Q1712" s="194">
        <v>453</v>
      </c>
      <c r="R1712" s="194">
        <v>0</v>
      </c>
      <c r="S1712" s="193">
        <f t="shared" si="370"/>
        <v>540</v>
      </c>
      <c r="T1712" s="193">
        <f t="shared" si="371"/>
        <v>86.766666666666666</v>
      </c>
      <c r="U1712" s="193">
        <f ca="1">OFFSET('Expenditure Study'!$B$7,'Operations Support'!$C1712,'Operations Support'!$B1712)*$G1712</f>
        <v>4685.4000000000005</v>
      </c>
      <c r="V1712" s="199">
        <f ca="1">U1712*'Expenditure Study'!$B$31</f>
        <v>276828.33532032004</v>
      </c>
      <c r="W1712" s="199">
        <f ca="1">IF(A1712=10298,1.51,1)*IF($B1712&lt;3,$D1712*'Expenditure Study'!$B$32*OFFSET('Expenditure Study'!$B$7,'Operations Support'!$C1712,'Operations Support'!$B1712),0)</f>
        <v>62.1</v>
      </c>
      <c r="X1712" s="200">
        <f ca="1">W1712*'Expenditure Study'!$B$31</f>
        <v>3669.0655276800003</v>
      </c>
      <c r="Y1712" s="199">
        <f ca="1">U1712*'Expenditure Study'!$B$31</f>
        <v>276828.33532032004</v>
      </c>
      <c r="Z1712" s="200">
        <f ca="1">W1712*'Expenditure Study'!$B$31</f>
        <v>3669.0655276800003</v>
      </c>
      <c r="AA1712" s="195">
        <f t="shared" ca="1" si="372"/>
        <v>280497.40084800002</v>
      </c>
      <c r="AB1712" s="195">
        <f t="shared" ca="1" si="373"/>
        <v>280497.40084800002</v>
      </c>
      <c r="AD1712" s="196">
        <f>IFERROR($G1712/SUMIF($A:$A,$A1712,$G:$G)*SUMIF(Summary!$A$166:$A$242,$A1712,Summary!$P$166:$P$242),0)</f>
        <v>76996.845879332206</v>
      </c>
      <c r="AE1712" s="197">
        <f t="shared" ca="1" si="374"/>
        <v>203500.5549686678</v>
      </c>
      <c r="AF1712" s="196">
        <f>IFERROR(G1712/SUMIF(A:A,A1712,G:G)*SUMIF(Summary!$A$166:$A$242,'Operations Support'!A1712,Summary!$Q$166:$Q$242),0)</f>
        <v>77256.648664160355</v>
      </c>
      <c r="AG1712" s="196">
        <f t="shared" ca="1" si="375"/>
        <v>203240.75218383968</v>
      </c>
      <c r="AI1712" s="196">
        <f>IFERROR($G1712/SUMIF($A:$A,$A1712,$G:$G)*SUMIF(Summary!$A$247:$A$283,$A1712,Summary!$P$247:$P$283),0)</f>
        <v>14042.303253519456</v>
      </c>
      <c r="AJ1712" s="196">
        <f>IFERROR($G1712/SUMIF($A:$A,$A1712,$G:$G)*(SUMIF(Summary!$A$247:$A$283,$A1712,Summary!$L$247:$L$283)+SUMIF(Summary!$A$297:$A$333,$A1712,Summary!$L$297:$L$333))-AI1712,0)</f>
        <v>63398.584226827377</v>
      </c>
      <c r="AK1712" s="196">
        <f>IFERROR($G1712/SUMIF($A:$A,$A1712,$G:$G)*SUMIF(Summary!$A$247:$A$283,$A1712,Summary!$Q$247:$Q$283),0)</f>
        <v>14089.684798165885</v>
      </c>
      <c r="AL1712" s="196">
        <f>IFERROR($G1712/SUMIF($A:$A,$A1712,$G:$G)*(SUMIF(Summary!$A$247:$A$283,$A1712,Summary!$L$247:$L$283)+SUMIF(Summary!$A$297:$A$333,$A1712,Summary!$L$297:$L$333))-AK1712,0)</f>
        <v>63351.202682180949</v>
      </c>
      <c r="AM1712" s="198"/>
      <c r="AN1712" s="196">
        <f t="shared" ca="1" si="376"/>
        <v>266899.13919549517</v>
      </c>
      <c r="AO1712" s="196">
        <f t="shared" ca="1" si="377"/>
        <v>266591.95486602065</v>
      </c>
    </row>
    <row r="1713" spans="1:41" s="201" customFormat="1">
      <c r="A1713" s="189">
        <v>3644</v>
      </c>
      <c r="B1713" s="190">
        <v>2</v>
      </c>
      <c r="C1713" s="191" t="s">
        <v>227</v>
      </c>
      <c r="D1713" s="192">
        <f t="shared" si="364"/>
        <v>0</v>
      </c>
      <c r="E1713" s="192">
        <f t="shared" si="365"/>
        <v>0</v>
      </c>
      <c r="F1713" s="192">
        <f t="shared" si="366"/>
        <v>0</v>
      </c>
      <c r="G1713" s="193">
        <f t="shared" si="367"/>
        <v>0</v>
      </c>
      <c r="H1713" s="194">
        <v>0</v>
      </c>
      <c r="I1713" s="194">
        <v>0</v>
      </c>
      <c r="J1713" s="194">
        <v>0</v>
      </c>
      <c r="K1713" s="193">
        <f t="shared" si="368"/>
        <v>0</v>
      </c>
      <c r="L1713" s="194">
        <v>0</v>
      </c>
      <c r="M1713" s="194">
        <v>0</v>
      </c>
      <c r="N1713" s="194">
        <v>0</v>
      </c>
      <c r="O1713" s="193">
        <f t="shared" si="369"/>
        <v>0</v>
      </c>
      <c r="P1713" s="194">
        <v>0</v>
      </c>
      <c r="Q1713" s="194">
        <v>0</v>
      </c>
      <c r="R1713" s="194">
        <v>0</v>
      </c>
      <c r="S1713" s="193">
        <f t="shared" si="370"/>
        <v>0</v>
      </c>
      <c r="T1713" s="193">
        <f t="shared" si="371"/>
        <v>0</v>
      </c>
      <c r="U1713" s="193">
        <f ca="1">OFFSET('Expenditure Study'!$B$7,'Operations Support'!$C1713,'Operations Support'!$B1713)*$G1713</f>
        <v>0</v>
      </c>
      <c r="V1713" s="199">
        <f ca="1">U1713*'Expenditure Study'!$B$31</f>
        <v>0</v>
      </c>
      <c r="W1713" s="199">
        <f ca="1">IF(A1713=10298,1.51,1)*IF($B1713&lt;3,$D1713*'Expenditure Study'!$B$32*OFFSET('Expenditure Study'!$B$7,'Operations Support'!$C1713,'Operations Support'!$B1713),0)</f>
        <v>0</v>
      </c>
      <c r="X1713" s="200">
        <f ca="1">W1713*'Expenditure Study'!$B$31</f>
        <v>0</v>
      </c>
      <c r="Y1713" s="199">
        <f ca="1">U1713*'Expenditure Study'!$B$31</f>
        <v>0</v>
      </c>
      <c r="Z1713" s="200">
        <f ca="1">W1713*'Expenditure Study'!$B$31</f>
        <v>0</v>
      </c>
      <c r="AA1713" s="195">
        <f t="shared" ca="1" si="372"/>
        <v>0</v>
      </c>
      <c r="AB1713" s="195">
        <f t="shared" ca="1" si="373"/>
        <v>0</v>
      </c>
      <c r="AD1713" s="196">
        <f>IFERROR($G1713/SUMIF($A:$A,$A1713,$G:$G)*SUMIF(Summary!$A$166:$A$242,$A1713,Summary!$P$166:$P$242),0)</f>
        <v>0</v>
      </c>
      <c r="AE1713" s="197">
        <f t="shared" ca="1" si="374"/>
        <v>0</v>
      </c>
      <c r="AF1713" s="196">
        <f>IFERROR(G1713/SUMIF(A:A,A1713,G:G)*SUMIF(Summary!$A$166:$A$242,'Operations Support'!A1713,Summary!$Q$166:$Q$242),0)</f>
        <v>0</v>
      </c>
      <c r="AG1713" s="196">
        <f t="shared" ca="1" si="375"/>
        <v>0</v>
      </c>
      <c r="AH1713" s="180"/>
      <c r="AI1713" s="196">
        <f>IFERROR($G1713/SUMIF($A:$A,$A1713,$G:$G)*SUMIF(Summary!$A$247:$A$283,$A1713,Summary!$P$247:$P$283),0)</f>
        <v>0</v>
      </c>
      <c r="AJ1713" s="196">
        <f>IFERROR($G1713/SUMIF($A:$A,$A1713,$G:$G)*(SUMIF(Summary!$A$247:$A$283,$A1713,Summary!$L$247:$L$283)+SUMIF(Summary!$A$297:$A$333,$A1713,Summary!$L$297:$L$333))-AI1713,0)</f>
        <v>0</v>
      </c>
      <c r="AK1713" s="196">
        <f>IFERROR($G1713/SUMIF($A:$A,$A1713,$G:$G)*SUMIF(Summary!$A$247:$A$283,$A1713,Summary!$Q$247:$Q$283),0)</f>
        <v>0</v>
      </c>
      <c r="AL1713" s="196">
        <f>IFERROR($G1713/SUMIF($A:$A,$A1713,$G:$G)*(SUMIF(Summary!$A$247:$A$283,$A1713,Summary!$L$247:$L$283)+SUMIF(Summary!$A$297:$A$333,$A1713,Summary!$L$297:$L$333))-AK1713,0)</f>
        <v>0</v>
      </c>
      <c r="AM1713" s="198"/>
      <c r="AN1713" s="196">
        <f t="shared" ca="1" si="376"/>
        <v>0</v>
      </c>
      <c r="AO1713" s="196">
        <f t="shared" ca="1" si="377"/>
        <v>0</v>
      </c>
    </row>
    <row r="1714" spans="1:41">
      <c r="A1714" s="189">
        <v>3644</v>
      </c>
      <c r="B1714" s="190">
        <v>2</v>
      </c>
      <c r="C1714" s="191" t="s">
        <v>228</v>
      </c>
      <c r="D1714" s="192">
        <f t="shared" si="364"/>
        <v>0</v>
      </c>
      <c r="E1714" s="192">
        <f t="shared" si="365"/>
        <v>468</v>
      </c>
      <c r="F1714" s="192">
        <f t="shared" si="366"/>
        <v>0</v>
      </c>
      <c r="G1714" s="193">
        <f t="shared" si="367"/>
        <v>468</v>
      </c>
      <c r="H1714" s="194">
        <v>0</v>
      </c>
      <c r="I1714" s="194">
        <v>234</v>
      </c>
      <c r="J1714" s="194">
        <v>0</v>
      </c>
      <c r="K1714" s="193">
        <f t="shared" si="368"/>
        <v>234</v>
      </c>
      <c r="L1714" s="194">
        <v>0</v>
      </c>
      <c r="M1714" s="194">
        <v>234</v>
      </c>
      <c r="N1714" s="194">
        <v>0</v>
      </c>
      <c r="O1714" s="193">
        <f t="shared" si="369"/>
        <v>234</v>
      </c>
      <c r="P1714" s="194">
        <v>0</v>
      </c>
      <c r="Q1714" s="194">
        <v>0</v>
      </c>
      <c r="R1714" s="194">
        <v>0</v>
      </c>
      <c r="S1714" s="193">
        <f t="shared" si="370"/>
        <v>0</v>
      </c>
      <c r="T1714" s="193">
        <f t="shared" si="371"/>
        <v>15.6</v>
      </c>
      <c r="U1714" s="193">
        <f ca="1">OFFSET('Expenditure Study'!$B$7,'Operations Support'!$C1714,'Operations Support'!$B1714)*$G1714</f>
        <v>893.88</v>
      </c>
      <c r="V1714" s="199">
        <f ca="1">U1714*'Expenditure Study'!$B$31</f>
        <v>52813.273653504002</v>
      </c>
      <c r="W1714" s="199">
        <f ca="1">IF(A1714=10298,1.51,1)*IF($B1714&lt;3,$D1714*'Expenditure Study'!$B$32*OFFSET('Expenditure Study'!$B$7,'Operations Support'!$C1714,'Operations Support'!$B1714),0)</f>
        <v>0</v>
      </c>
      <c r="X1714" s="200">
        <f ca="1">W1714*'Expenditure Study'!$B$31</f>
        <v>0</v>
      </c>
      <c r="Y1714" s="199">
        <f ca="1">U1714*'Expenditure Study'!$B$31</f>
        <v>52813.273653504002</v>
      </c>
      <c r="Z1714" s="200">
        <f ca="1">W1714*'Expenditure Study'!$B$31</f>
        <v>0</v>
      </c>
      <c r="AA1714" s="195">
        <f t="shared" ca="1" si="372"/>
        <v>52813.273653504002</v>
      </c>
      <c r="AB1714" s="195">
        <f t="shared" ca="1" si="373"/>
        <v>52813.273653504002</v>
      </c>
      <c r="AD1714" s="196">
        <f>IFERROR($G1714/SUMIF($A:$A,$A1714,$G:$G)*SUMIF(Summary!$A$166:$A$242,$A1714,Summary!$P$166:$P$242),0)</f>
        <v>13843.459036314816</v>
      </c>
      <c r="AE1714" s="197">
        <f t="shared" ca="1" si="374"/>
        <v>38969.814617189186</v>
      </c>
      <c r="AF1714" s="196">
        <f>IFERROR(G1714/SUMIF(A:A,A1714,G:G)*SUMIF(Summary!$A$166:$A$242,'Operations Support'!A1714,Summary!$Q$166:$Q$242),0)</f>
        <v>13890.169640732634</v>
      </c>
      <c r="AG1714" s="196">
        <f t="shared" ca="1" si="375"/>
        <v>38923.104012771364</v>
      </c>
      <c r="AI1714" s="196">
        <f>IFERROR($G1714/SUMIF($A:$A,$A1714,$G:$G)*SUMIF(Summary!$A$247:$A$283,$A1714,Summary!$P$247:$P$283),0)</f>
        <v>2524.7014685544009</v>
      </c>
      <c r="AJ1714" s="196">
        <f>IFERROR($G1714/SUMIF($A:$A,$A1714,$G:$G)*(SUMIF(Summary!$A$247:$A$283,$A1714,Summary!$L$247:$L$283)+SUMIF(Summary!$A$297:$A$333,$A1714,Summary!$L$297:$L$333))-AI1714,0)</f>
        <v>11398.592938207919</v>
      </c>
      <c r="AK1714" s="196">
        <f>IFERROR($G1714/SUMIF($A:$A,$A1714,$G:$G)*SUMIF(Summary!$A$247:$A$283,$A1714,Summary!$Q$247:$Q$283),0)</f>
        <v>2533.2203171500705</v>
      </c>
      <c r="AL1714" s="196">
        <f>IFERROR($G1714/SUMIF($A:$A,$A1714,$G:$G)*(SUMIF(Summary!$A$247:$A$283,$A1714,Summary!$L$247:$L$283)+SUMIF(Summary!$A$297:$A$333,$A1714,Summary!$L$297:$L$333))-AK1714,0)</f>
        <v>11390.074089612248</v>
      </c>
      <c r="AM1714" s="198"/>
      <c r="AN1714" s="196">
        <f t="shared" ca="1" si="376"/>
        <v>50368.407555397105</v>
      </c>
      <c r="AO1714" s="196">
        <f t="shared" ca="1" si="377"/>
        <v>50313.178102383608</v>
      </c>
    </row>
    <row r="1715" spans="1:41">
      <c r="A1715" s="189">
        <v>3644</v>
      </c>
      <c r="B1715" s="190">
        <v>2</v>
      </c>
      <c r="C1715" s="191" t="s">
        <v>229</v>
      </c>
      <c r="D1715" s="192">
        <f t="shared" si="364"/>
        <v>0</v>
      </c>
      <c r="E1715" s="192">
        <f t="shared" si="365"/>
        <v>0</v>
      </c>
      <c r="F1715" s="192">
        <f t="shared" si="366"/>
        <v>0</v>
      </c>
      <c r="G1715" s="193">
        <f t="shared" si="367"/>
        <v>0</v>
      </c>
      <c r="H1715" s="194">
        <v>0</v>
      </c>
      <c r="I1715" s="194">
        <v>0</v>
      </c>
      <c r="J1715" s="194">
        <v>0</v>
      </c>
      <c r="K1715" s="193">
        <f t="shared" si="368"/>
        <v>0</v>
      </c>
      <c r="L1715" s="194">
        <v>0</v>
      </c>
      <c r="M1715" s="194">
        <v>0</v>
      </c>
      <c r="N1715" s="194">
        <v>0</v>
      </c>
      <c r="O1715" s="193">
        <f t="shared" si="369"/>
        <v>0</v>
      </c>
      <c r="P1715" s="194">
        <v>0</v>
      </c>
      <c r="Q1715" s="194">
        <v>0</v>
      </c>
      <c r="R1715" s="194">
        <v>0</v>
      </c>
      <c r="S1715" s="193">
        <f t="shared" si="370"/>
        <v>0</v>
      </c>
      <c r="T1715" s="193">
        <f t="shared" si="371"/>
        <v>0</v>
      </c>
      <c r="U1715" s="193">
        <f ca="1">OFFSET('Expenditure Study'!$B$7,'Operations Support'!$C1715,'Operations Support'!$B1715)*$G1715</f>
        <v>0</v>
      </c>
      <c r="V1715" s="199">
        <f ca="1">U1715*'Expenditure Study'!$B$31</f>
        <v>0</v>
      </c>
      <c r="W1715" s="199">
        <f ca="1">IF(A1715=10298,1.51,1)*IF($B1715&lt;3,$D1715*'Expenditure Study'!$B$32*OFFSET('Expenditure Study'!$B$7,'Operations Support'!$C1715,'Operations Support'!$B1715),0)</f>
        <v>0</v>
      </c>
      <c r="X1715" s="200">
        <f ca="1">W1715*'Expenditure Study'!$B$31</f>
        <v>0</v>
      </c>
      <c r="Y1715" s="199">
        <f ca="1">U1715*'Expenditure Study'!$B$31</f>
        <v>0</v>
      </c>
      <c r="Z1715" s="200">
        <f ca="1">W1715*'Expenditure Study'!$B$31</f>
        <v>0</v>
      </c>
      <c r="AA1715" s="195">
        <f t="shared" ca="1" si="372"/>
        <v>0</v>
      </c>
      <c r="AB1715" s="195">
        <f t="shared" ca="1" si="373"/>
        <v>0</v>
      </c>
      <c r="AD1715" s="196">
        <f>IFERROR($G1715/SUMIF($A:$A,$A1715,$G:$G)*SUMIF(Summary!$A$166:$A$242,$A1715,Summary!$P$166:$P$242),0)</f>
        <v>0</v>
      </c>
      <c r="AE1715" s="197">
        <f t="shared" ca="1" si="374"/>
        <v>0</v>
      </c>
      <c r="AF1715" s="196">
        <f>IFERROR(G1715/SUMIF(A:A,A1715,G:G)*SUMIF(Summary!$A$166:$A$242,'Operations Support'!A1715,Summary!$Q$166:$Q$242),0)</f>
        <v>0</v>
      </c>
      <c r="AG1715" s="196">
        <f t="shared" ca="1" si="375"/>
        <v>0</v>
      </c>
      <c r="AI1715" s="196">
        <f>IFERROR($G1715/SUMIF($A:$A,$A1715,$G:$G)*SUMIF(Summary!$A$247:$A$283,$A1715,Summary!$P$247:$P$283),0)</f>
        <v>0</v>
      </c>
      <c r="AJ1715" s="196">
        <f>IFERROR($G1715/SUMIF($A:$A,$A1715,$G:$G)*(SUMIF(Summary!$A$247:$A$283,$A1715,Summary!$L$247:$L$283)+SUMIF(Summary!$A$297:$A$333,$A1715,Summary!$L$297:$L$333))-AI1715,0)</f>
        <v>0</v>
      </c>
      <c r="AK1715" s="196">
        <f>IFERROR($G1715/SUMIF($A:$A,$A1715,$G:$G)*SUMIF(Summary!$A$247:$A$283,$A1715,Summary!$Q$247:$Q$283),0)</f>
        <v>0</v>
      </c>
      <c r="AL1715" s="196">
        <f>IFERROR($G1715/SUMIF($A:$A,$A1715,$G:$G)*(SUMIF(Summary!$A$247:$A$283,$A1715,Summary!$L$247:$L$283)+SUMIF(Summary!$A$297:$A$333,$A1715,Summary!$L$297:$L$333))-AK1715,0)</f>
        <v>0</v>
      </c>
      <c r="AM1715" s="198"/>
      <c r="AN1715" s="196">
        <f t="shared" ca="1" si="376"/>
        <v>0</v>
      </c>
      <c r="AO1715" s="196">
        <f t="shared" ca="1" si="377"/>
        <v>0</v>
      </c>
    </row>
    <row r="1716" spans="1:41">
      <c r="A1716" s="189">
        <v>3644</v>
      </c>
      <c r="B1716" s="190">
        <v>2</v>
      </c>
      <c r="C1716" s="191" t="s">
        <v>230</v>
      </c>
      <c r="D1716" s="192">
        <f t="shared" si="364"/>
        <v>0</v>
      </c>
      <c r="E1716" s="192">
        <f t="shared" si="365"/>
        <v>0</v>
      </c>
      <c r="F1716" s="192">
        <f t="shared" si="366"/>
        <v>0</v>
      </c>
      <c r="G1716" s="193">
        <f t="shared" si="367"/>
        <v>0</v>
      </c>
      <c r="H1716" s="194">
        <v>0</v>
      </c>
      <c r="I1716" s="194">
        <v>0</v>
      </c>
      <c r="J1716" s="194">
        <v>0</v>
      </c>
      <c r="K1716" s="193">
        <f t="shared" si="368"/>
        <v>0</v>
      </c>
      <c r="L1716" s="194">
        <v>0</v>
      </c>
      <c r="M1716" s="194">
        <v>0</v>
      </c>
      <c r="N1716" s="194">
        <v>0</v>
      </c>
      <c r="O1716" s="193">
        <f t="shared" si="369"/>
        <v>0</v>
      </c>
      <c r="P1716" s="194">
        <v>0</v>
      </c>
      <c r="Q1716" s="194">
        <v>0</v>
      </c>
      <c r="R1716" s="194">
        <v>0</v>
      </c>
      <c r="S1716" s="193">
        <f t="shared" si="370"/>
        <v>0</v>
      </c>
      <c r="T1716" s="193">
        <f t="shared" si="371"/>
        <v>0</v>
      </c>
      <c r="U1716" s="193">
        <f ca="1">OFFSET('Expenditure Study'!$B$7,'Operations Support'!$C1716,'Operations Support'!$B1716)*$G1716</f>
        <v>0</v>
      </c>
      <c r="V1716" s="199">
        <f ca="1">U1716*'Expenditure Study'!$B$31</f>
        <v>0</v>
      </c>
      <c r="W1716" s="199">
        <f ca="1">IF(A1716=10298,1.51,1)*IF($B1716&lt;3,$D1716*'Expenditure Study'!$B$32*OFFSET('Expenditure Study'!$B$7,'Operations Support'!$C1716,'Operations Support'!$B1716),0)</f>
        <v>0</v>
      </c>
      <c r="X1716" s="200">
        <f ca="1">W1716*'Expenditure Study'!$B$31</f>
        <v>0</v>
      </c>
      <c r="Y1716" s="199">
        <f ca="1">U1716*'Expenditure Study'!$B$31</f>
        <v>0</v>
      </c>
      <c r="Z1716" s="200">
        <f ca="1">W1716*'Expenditure Study'!$B$31</f>
        <v>0</v>
      </c>
      <c r="AA1716" s="195">
        <f t="shared" ca="1" si="372"/>
        <v>0</v>
      </c>
      <c r="AB1716" s="195">
        <f t="shared" ca="1" si="373"/>
        <v>0</v>
      </c>
      <c r="AD1716" s="196">
        <f>IFERROR($G1716/SUMIF($A:$A,$A1716,$G:$G)*SUMIF(Summary!$A$166:$A$242,$A1716,Summary!$P$166:$P$242),0)</f>
        <v>0</v>
      </c>
      <c r="AE1716" s="197">
        <f t="shared" ca="1" si="374"/>
        <v>0</v>
      </c>
      <c r="AF1716" s="196">
        <f>IFERROR(G1716/SUMIF(A:A,A1716,G:G)*SUMIF(Summary!$A$166:$A$242,'Operations Support'!A1716,Summary!$Q$166:$Q$242),0)</f>
        <v>0</v>
      </c>
      <c r="AG1716" s="196">
        <f t="shared" ca="1" si="375"/>
        <v>0</v>
      </c>
      <c r="AI1716" s="196">
        <f>IFERROR($G1716/SUMIF($A:$A,$A1716,$G:$G)*SUMIF(Summary!$A$247:$A$283,$A1716,Summary!$P$247:$P$283),0)</f>
        <v>0</v>
      </c>
      <c r="AJ1716" s="196">
        <f>IFERROR($G1716/SUMIF($A:$A,$A1716,$G:$G)*(SUMIF(Summary!$A$247:$A$283,$A1716,Summary!$L$247:$L$283)+SUMIF(Summary!$A$297:$A$333,$A1716,Summary!$L$297:$L$333))-AI1716,0)</f>
        <v>0</v>
      </c>
      <c r="AK1716" s="196">
        <f>IFERROR($G1716/SUMIF($A:$A,$A1716,$G:$G)*SUMIF(Summary!$A$247:$A$283,$A1716,Summary!$Q$247:$Q$283),0)</f>
        <v>0</v>
      </c>
      <c r="AL1716" s="196">
        <f>IFERROR($G1716/SUMIF($A:$A,$A1716,$G:$G)*(SUMIF(Summary!$A$247:$A$283,$A1716,Summary!$L$247:$L$283)+SUMIF(Summary!$A$297:$A$333,$A1716,Summary!$L$297:$L$333))-AK1716,0)</f>
        <v>0</v>
      </c>
      <c r="AM1716" s="198"/>
      <c r="AN1716" s="196">
        <f t="shared" ca="1" si="376"/>
        <v>0</v>
      </c>
      <c r="AO1716" s="196">
        <f t="shared" ca="1" si="377"/>
        <v>0</v>
      </c>
    </row>
    <row r="1717" spans="1:41">
      <c r="A1717" s="189">
        <v>3644</v>
      </c>
      <c r="B1717" s="190">
        <v>2</v>
      </c>
      <c r="C1717" s="191" t="s">
        <v>231</v>
      </c>
      <c r="D1717" s="192">
        <f t="shared" si="364"/>
        <v>0</v>
      </c>
      <c r="E1717" s="192">
        <f t="shared" si="365"/>
        <v>0</v>
      </c>
      <c r="F1717" s="192">
        <f t="shared" si="366"/>
        <v>0</v>
      </c>
      <c r="G1717" s="193">
        <f t="shared" si="367"/>
        <v>0</v>
      </c>
      <c r="H1717" s="194">
        <v>0</v>
      </c>
      <c r="I1717" s="194">
        <v>0</v>
      </c>
      <c r="J1717" s="194">
        <v>0</v>
      </c>
      <c r="K1717" s="193">
        <f t="shared" si="368"/>
        <v>0</v>
      </c>
      <c r="L1717" s="194">
        <v>0</v>
      </c>
      <c r="M1717" s="194">
        <v>0</v>
      </c>
      <c r="N1717" s="194">
        <v>0</v>
      </c>
      <c r="O1717" s="193">
        <f t="shared" si="369"/>
        <v>0</v>
      </c>
      <c r="P1717" s="194">
        <v>0</v>
      </c>
      <c r="Q1717" s="194">
        <v>0</v>
      </c>
      <c r="R1717" s="194">
        <v>0</v>
      </c>
      <c r="S1717" s="193">
        <f t="shared" si="370"/>
        <v>0</v>
      </c>
      <c r="T1717" s="193">
        <f t="shared" si="371"/>
        <v>0</v>
      </c>
      <c r="U1717" s="193">
        <f ca="1">OFFSET('Expenditure Study'!$B$7,'Operations Support'!$C1717,'Operations Support'!$B1717)*$G1717</f>
        <v>0</v>
      </c>
      <c r="V1717" s="199">
        <f ca="1">U1717*'Expenditure Study'!$B$31</f>
        <v>0</v>
      </c>
      <c r="W1717" s="199">
        <f ca="1">IF(A1717=10298,1.51,1)*IF($B1717&lt;3,$D1717*'Expenditure Study'!$B$32*OFFSET('Expenditure Study'!$B$7,'Operations Support'!$C1717,'Operations Support'!$B1717),0)</f>
        <v>0</v>
      </c>
      <c r="X1717" s="200">
        <f ca="1">W1717*'Expenditure Study'!$B$31</f>
        <v>0</v>
      </c>
      <c r="Y1717" s="199">
        <f ca="1">U1717*'Expenditure Study'!$B$31</f>
        <v>0</v>
      </c>
      <c r="Z1717" s="200">
        <f ca="1">W1717*'Expenditure Study'!$B$31</f>
        <v>0</v>
      </c>
      <c r="AA1717" s="195">
        <f t="shared" ca="1" si="372"/>
        <v>0</v>
      </c>
      <c r="AB1717" s="195">
        <f t="shared" ca="1" si="373"/>
        <v>0</v>
      </c>
      <c r="AD1717" s="196">
        <f>IFERROR($G1717/SUMIF($A:$A,$A1717,$G:$G)*SUMIF(Summary!$A$166:$A$242,$A1717,Summary!$P$166:$P$242),0)</f>
        <v>0</v>
      </c>
      <c r="AE1717" s="197">
        <f t="shared" ca="1" si="374"/>
        <v>0</v>
      </c>
      <c r="AF1717" s="196">
        <f>IFERROR(G1717/SUMIF(A:A,A1717,G:G)*SUMIF(Summary!$A$166:$A$242,'Operations Support'!A1717,Summary!$Q$166:$Q$242),0)</f>
        <v>0</v>
      </c>
      <c r="AG1717" s="196">
        <f t="shared" ca="1" si="375"/>
        <v>0</v>
      </c>
      <c r="AI1717" s="196">
        <f>IFERROR($G1717/SUMIF($A:$A,$A1717,$G:$G)*SUMIF(Summary!$A$247:$A$283,$A1717,Summary!$P$247:$P$283),0)</f>
        <v>0</v>
      </c>
      <c r="AJ1717" s="196">
        <f>IFERROR($G1717/SUMIF($A:$A,$A1717,$G:$G)*(SUMIF(Summary!$A$247:$A$283,$A1717,Summary!$L$247:$L$283)+SUMIF(Summary!$A$297:$A$333,$A1717,Summary!$L$297:$L$333))-AI1717,0)</f>
        <v>0</v>
      </c>
      <c r="AK1717" s="196">
        <f>IFERROR($G1717/SUMIF($A:$A,$A1717,$G:$G)*SUMIF(Summary!$A$247:$A$283,$A1717,Summary!$Q$247:$Q$283),0)</f>
        <v>0</v>
      </c>
      <c r="AL1717" s="196">
        <f>IFERROR($G1717/SUMIF($A:$A,$A1717,$G:$G)*(SUMIF(Summary!$A$247:$A$283,$A1717,Summary!$L$247:$L$283)+SUMIF(Summary!$A$297:$A$333,$A1717,Summary!$L$297:$L$333))-AK1717,0)</f>
        <v>0</v>
      </c>
      <c r="AM1717" s="198"/>
      <c r="AN1717" s="196">
        <f t="shared" ca="1" si="376"/>
        <v>0</v>
      </c>
      <c r="AO1717" s="196">
        <f t="shared" ca="1" si="377"/>
        <v>0</v>
      </c>
    </row>
    <row r="1718" spans="1:41">
      <c r="A1718" s="189">
        <v>3644</v>
      </c>
      <c r="B1718" s="190">
        <v>2</v>
      </c>
      <c r="C1718" s="191" t="s">
        <v>232</v>
      </c>
      <c r="D1718" s="192">
        <f t="shared" si="364"/>
        <v>0</v>
      </c>
      <c r="E1718" s="192">
        <f t="shared" si="365"/>
        <v>0</v>
      </c>
      <c r="F1718" s="192">
        <f t="shared" si="366"/>
        <v>0</v>
      </c>
      <c r="G1718" s="193">
        <f t="shared" si="367"/>
        <v>0</v>
      </c>
      <c r="H1718" s="194">
        <v>0</v>
      </c>
      <c r="I1718" s="194">
        <v>0</v>
      </c>
      <c r="J1718" s="194">
        <v>0</v>
      </c>
      <c r="K1718" s="193">
        <f t="shared" si="368"/>
        <v>0</v>
      </c>
      <c r="L1718" s="194">
        <v>0</v>
      </c>
      <c r="M1718" s="194">
        <v>0</v>
      </c>
      <c r="N1718" s="194">
        <v>0</v>
      </c>
      <c r="O1718" s="193">
        <f t="shared" si="369"/>
        <v>0</v>
      </c>
      <c r="P1718" s="194">
        <v>0</v>
      </c>
      <c r="Q1718" s="194">
        <v>0</v>
      </c>
      <c r="R1718" s="194">
        <v>0</v>
      </c>
      <c r="S1718" s="193">
        <f t="shared" si="370"/>
        <v>0</v>
      </c>
      <c r="T1718" s="193">
        <f t="shared" si="371"/>
        <v>0</v>
      </c>
      <c r="U1718" s="193">
        <f ca="1">OFFSET('Expenditure Study'!$B$7,'Operations Support'!$C1718,'Operations Support'!$B1718)*$G1718</f>
        <v>0</v>
      </c>
      <c r="V1718" s="199">
        <f ca="1">U1718*'Expenditure Study'!$B$31</f>
        <v>0</v>
      </c>
      <c r="W1718" s="199">
        <f ca="1">IF(A1718=10298,1.51,1)*IF($B1718&lt;3,$D1718*'Expenditure Study'!$B$32*OFFSET('Expenditure Study'!$B$7,'Operations Support'!$C1718,'Operations Support'!$B1718),0)</f>
        <v>0</v>
      </c>
      <c r="X1718" s="200">
        <f ca="1">W1718*'Expenditure Study'!$B$31</f>
        <v>0</v>
      </c>
      <c r="Y1718" s="199">
        <f ca="1">U1718*'Expenditure Study'!$B$31</f>
        <v>0</v>
      </c>
      <c r="Z1718" s="200">
        <f ca="1">W1718*'Expenditure Study'!$B$31</f>
        <v>0</v>
      </c>
      <c r="AA1718" s="195">
        <f t="shared" ca="1" si="372"/>
        <v>0</v>
      </c>
      <c r="AB1718" s="195">
        <f t="shared" ca="1" si="373"/>
        <v>0</v>
      </c>
      <c r="AD1718" s="196">
        <f>IFERROR($G1718/SUMIF($A:$A,$A1718,$G:$G)*SUMIF(Summary!$A$166:$A$242,$A1718,Summary!$P$166:$P$242),0)</f>
        <v>0</v>
      </c>
      <c r="AE1718" s="197">
        <f t="shared" ca="1" si="374"/>
        <v>0</v>
      </c>
      <c r="AF1718" s="196">
        <f>IFERROR(G1718/SUMIF(A:A,A1718,G:G)*SUMIF(Summary!$A$166:$A$242,'Operations Support'!A1718,Summary!$Q$166:$Q$242),0)</f>
        <v>0</v>
      </c>
      <c r="AG1718" s="196">
        <f t="shared" ca="1" si="375"/>
        <v>0</v>
      </c>
      <c r="AI1718" s="196">
        <f>IFERROR($G1718/SUMIF($A:$A,$A1718,$G:$G)*SUMIF(Summary!$A$247:$A$283,$A1718,Summary!$P$247:$P$283),0)</f>
        <v>0</v>
      </c>
      <c r="AJ1718" s="196">
        <f>IFERROR($G1718/SUMIF($A:$A,$A1718,$G:$G)*(SUMIF(Summary!$A$247:$A$283,$A1718,Summary!$L$247:$L$283)+SUMIF(Summary!$A$297:$A$333,$A1718,Summary!$L$297:$L$333))-AI1718,0)</f>
        <v>0</v>
      </c>
      <c r="AK1718" s="196">
        <f>IFERROR($G1718/SUMIF($A:$A,$A1718,$G:$G)*SUMIF(Summary!$A$247:$A$283,$A1718,Summary!$Q$247:$Q$283),0)</f>
        <v>0</v>
      </c>
      <c r="AL1718" s="196">
        <f>IFERROR($G1718/SUMIF($A:$A,$A1718,$G:$G)*(SUMIF(Summary!$A$247:$A$283,$A1718,Summary!$L$247:$L$283)+SUMIF(Summary!$A$297:$A$333,$A1718,Summary!$L$297:$L$333))-AK1718,0)</f>
        <v>0</v>
      </c>
      <c r="AM1718" s="198"/>
      <c r="AN1718" s="196">
        <f t="shared" ca="1" si="376"/>
        <v>0</v>
      </c>
      <c r="AO1718" s="196">
        <f t="shared" ca="1" si="377"/>
        <v>0</v>
      </c>
    </row>
    <row r="1719" spans="1:41">
      <c r="A1719" s="189">
        <v>3644</v>
      </c>
      <c r="B1719" s="190">
        <v>2</v>
      </c>
      <c r="C1719" s="191" t="s">
        <v>233</v>
      </c>
      <c r="D1719" s="192">
        <f t="shared" si="364"/>
        <v>1844</v>
      </c>
      <c r="E1719" s="192">
        <f t="shared" si="365"/>
        <v>4124</v>
      </c>
      <c r="F1719" s="192">
        <f t="shared" si="366"/>
        <v>0</v>
      </c>
      <c r="G1719" s="193">
        <f t="shared" si="367"/>
        <v>5968</v>
      </c>
      <c r="H1719" s="194">
        <v>682</v>
      </c>
      <c r="I1719" s="194">
        <v>1953</v>
      </c>
      <c r="J1719" s="194">
        <v>0</v>
      </c>
      <c r="K1719" s="193">
        <f t="shared" si="368"/>
        <v>2635</v>
      </c>
      <c r="L1719" s="194">
        <v>841</v>
      </c>
      <c r="M1719" s="194">
        <v>1718</v>
      </c>
      <c r="N1719" s="194">
        <v>0</v>
      </c>
      <c r="O1719" s="193">
        <f t="shared" si="369"/>
        <v>2559</v>
      </c>
      <c r="P1719" s="194">
        <v>321</v>
      </c>
      <c r="Q1719" s="194">
        <v>453</v>
      </c>
      <c r="R1719" s="194">
        <v>0</v>
      </c>
      <c r="S1719" s="193">
        <f t="shared" si="370"/>
        <v>774</v>
      </c>
      <c r="T1719" s="193">
        <f t="shared" si="371"/>
        <v>198.93333333333334</v>
      </c>
      <c r="U1719" s="193">
        <f ca="1">OFFSET('Expenditure Study'!$B$7,'Operations Support'!$C1719,'Operations Support'!$B1719)*$G1719</f>
        <v>9608.4800000000014</v>
      </c>
      <c r="V1719" s="199">
        <f ca="1">U1719*'Expenditure Study'!$B$31</f>
        <v>567699.56105318409</v>
      </c>
      <c r="W1719" s="199">
        <f ca="1">IF(A1719=10298,1.51,1)*IF($B1719&lt;3,$D1719*'Expenditure Study'!$B$32*OFFSET('Expenditure Study'!$B$7,'Operations Support'!$C1719,'Operations Support'!$B1719),0)</f>
        <v>296.88400000000001</v>
      </c>
      <c r="X1719" s="200">
        <f ca="1">W1719*'Expenditure Study'!$B$31</f>
        <v>17540.851048627203</v>
      </c>
      <c r="Y1719" s="199">
        <f ca="1">U1719*'Expenditure Study'!$B$31</f>
        <v>567699.56105318409</v>
      </c>
      <c r="Z1719" s="200">
        <f ca="1">W1719*'Expenditure Study'!$B$31</f>
        <v>17540.851048627203</v>
      </c>
      <c r="AA1719" s="195">
        <f t="shared" ca="1" si="372"/>
        <v>585240.41210181126</v>
      </c>
      <c r="AB1719" s="195">
        <f t="shared" ca="1" si="373"/>
        <v>585240.41210181126</v>
      </c>
      <c r="AD1719" s="196">
        <f>IFERROR($G1719/SUMIF($A:$A,$A1719,$G:$G)*SUMIF(Summary!$A$166:$A$242,$A1719,Summary!$P$166:$P$242),0)</f>
        <v>176533.68275368979</v>
      </c>
      <c r="AE1719" s="197">
        <f t="shared" ca="1" si="374"/>
        <v>408706.72934812144</v>
      </c>
      <c r="AF1719" s="196">
        <f>IFERROR(G1719/SUMIF(A:A,A1719,G:G)*SUMIF(Summary!$A$166:$A$242,'Operations Support'!A1719,Summary!$Q$166:$Q$242),0)</f>
        <v>177129.34276900077</v>
      </c>
      <c r="AG1719" s="196">
        <f t="shared" ca="1" si="375"/>
        <v>408111.06933281047</v>
      </c>
      <c r="AI1719" s="196">
        <f>IFERROR($G1719/SUMIF($A:$A,$A1719,$G:$G)*SUMIF(Summary!$A$247:$A$283,$A1719,Summary!$P$247:$P$283),0)</f>
        <v>32195.338385326206</v>
      </c>
      <c r="AJ1719" s="196">
        <f>IFERROR($G1719/SUMIF($A:$A,$A1719,$G:$G)*(SUMIF(Summary!$A$247:$A$283,$A1719,Summary!$L$247:$L$283)+SUMIF(Summary!$A$297:$A$333,$A1719,Summary!$L$297:$L$333))-AI1719,0)</f>
        <v>145356.41592996765</v>
      </c>
      <c r="AK1719" s="196">
        <f>IFERROR($G1719/SUMIF($A:$A,$A1719,$G:$G)*SUMIF(Summary!$A$247:$A$283,$A1719,Summary!$Q$247:$Q$283),0)</f>
        <v>32303.971907588933</v>
      </c>
      <c r="AL1719" s="196">
        <f>IFERROR($G1719/SUMIF($A:$A,$A1719,$G:$G)*(SUMIF(Summary!$A$247:$A$283,$A1719,Summary!$L$247:$L$283)+SUMIF(Summary!$A$297:$A$333,$A1719,Summary!$L$297:$L$333))-AK1719,0)</f>
        <v>145247.78240770492</v>
      </c>
      <c r="AM1719" s="198"/>
      <c r="AN1719" s="196">
        <f t="shared" ca="1" si="376"/>
        <v>554063.1452780891</v>
      </c>
      <c r="AO1719" s="196">
        <f t="shared" ca="1" si="377"/>
        <v>553358.85174051533</v>
      </c>
    </row>
    <row r="1720" spans="1:41">
      <c r="A1720" s="189">
        <v>3644</v>
      </c>
      <c r="B1720" s="190">
        <v>2</v>
      </c>
      <c r="C1720" s="191" t="s">
        <v>234</v>
      </c>
      <c r="D1720" s="192">
        <f t="shared" si="364"/>
        <v>0</v>
      </c>
      <c r="E1720" s="192">
        <f t="shared" si="365"/>
        <v>0</v>
      </c>
      <c r="F1720" s="192">
        <f t="shared" si="366"/>
        <v>0</v>
      </c>
      <c r="G1720" s="193">
        <f t="shared" si="367"/>
        <v>0</v>
      </c>
      <c r="H1720" s="194">
        <v>0</v>
      </c>
      <c r="I1720" s="194">
        <v>0</v>
      </c>
      <c r="J1720" s="194">
        <v>0</v>
      </c>
      <c r="K1720" s="193">
        <f t="shared" si="368"/>
        <v>0</v>
      </c>
      <c r="L1720" s="194">
        <v>0</v>
      </c>
      <c r="M1720" s="194">
        <v>0</v>
      </c>
      <c r="N1720" s="194">
        <v>0</v>
      </c>
      <c r="O1720" s="193">
        <f t="shared" si="369"/>
        <v>0</v>
      </c>
      <c r="P1720" s="194">
        <v>0</v>
      </c>
      <c r="Q1720" s="194">
        <v>0</v>
      </c>
      <c r="R1720" s="194">
        <v>0</v>
      </c>
      <c r="S1720" s="193">
        <f t="shared" si="370"/>
        <v>0</v>
      </c>
      <c r="T1720" s="193">
        <f t="shared" si="371"/>
        <v>0</v>
      </c>
      <c r="U1720" s="193">
        <f ca="1">OFFSET('Expenditure Study'!$B$7,'Operations Support'!$C1720,'Operations Support'!$B1720)*$G1720</f>
        <v>0</v>
      </c>
      <c r="V1720" s="199">
        <f ca="1">U1720*'Expenditure Study'!$B$31</f>
        <v>0</v>
      </c>
      <c r="W1720" s="199">
        <f ca="1">IF(A1720=10298,1.51,1)*IF($B1720&lt;3,$D1720*'Expenditure Study'!$B$32*OFFSET('Expenditure Study'!$B$7,'Operations Support'!$C1720,'Operations Support'!$B1720),0)</f>
        <v>0</v>
      </c>
      <c r="X1720" s="200">
        <f ca="1">W1720*'Expenditure Study'!$B$31</f>
        <v>0</v>
      </c>
      <c r="Y1720" s="199">
        <f ca="1">U1720*'Expenditure Study'!$B$31</f>
        <v>0</v>
      </c>
      <c r="Z1720" s="200">
        <f ca="1">W1720*'Expenditure Study'!$B$31</f>
        <v>0</v>
      </c>
      <c r="AA1720" s="195">
        <f t="shared" ca="1" si="372"/>
        <v>0</v>
      </c>
      <c r="AB1720" s="195">
        <f t="shared" ca="1" si="373"/>
        <v>0</v>
      </c>
      <c r="AD1720" s="196">
        <f>IFERROR($G1720/SUMIF($A:$A,$A1720,$G:$G)*SUMIF(Summary!$A$166:$A$242,$A1720,Summary!$P$166:$P$242),0)</f>
        <v>0</v>
      </c>
      <c r="AE1720" s="197">
        <f t="shared" ca="1" si="374"/>
        <v>0</v>
      </c>
      <c r="AF1720" s="196">
        <f>IFERROR(G1720/SUMIF(A:A,A1720,G:G)*SUMIF(Summary!$A$166:$A$242,'Operations Support'!A1720,Summary!$Q$166:$Q$242),0)</f>
        <v>0</v>
      </c>
      <c r="AG1720" s="196">
        <f t="shared" ca="1" si="375"/>
        <v>0</v>
      </c>
      <c r="AI1720" s="196">
        <f>IFERROR($G1720/SUMIF($A:$A,$A1720,$G:$G)*SUMIF(Summary!$A$247:$A$283,$A1720,Summary!$P$247:$P$283),0)</f>
        <v>0</v>
      </c>
      <c r="AJ1720" s="196">
        <f>IFERROR($G1720/SUMIF($A:$A,$A1720,$G:$G)*(SUMIF(Summary!$A$247:$A$283,$A1720,Summary!$L$247:$L$283)+SUMIF(Summary!$A$297:$A$333,$A1720,Summary!$L$297:$L$333))-AI1720,0)</f>
        <v>0</v>
      </c>
      <c r="AK1720" s="196">
        <f>IFERROR($G1720/SUMIF($A:$A,$A1720,$G:$G)*SUMIF(Summary!$A$247:$A$283,$A1720,Summary!$Q$247:$Q$283),0)</f>
        <v>0</v>
      </c>
      <c r="AL1720" s="196">
        <f>IFERROR($G1720/SUMIF($A:$A,$A1720,$G:$G)*(SUMIF(Summary!$A$247:$A$283,$A1720,Summary!$L$247:$L$283)+SUMIF(Summary!$A$297:$A$333,$A1720,Summary!$L$297:$L$333))-AK1720,0)</f>
        <v>0</v>
      </c>
      <c r="AM1720" s="198"/>
      <c r="AN1720" s="196">
        <f t="shared" ca="1" si="376"/>
        <v>0</v>
      </c>
      <c r="AO1720" s="196">
        <f t="shared" ca="1" si="377"/>
        <v>0</v>
      </c>
    </row>
    <row r="1721" spans="1:41">
      <c r="A1721" s="189">
        <v>3644</v>
      </c>
      <c r="B1721" s="190">
        <v>2</v>
      </c>
      <c r="C1721" s="191" t="s">
        <v>235</v>
      </c>
      <c r="D1721" s="192">
        <f t="shared" si="364"/>
        <v>22119.7</v>
      </c>
      <c r="E1721" s="192">
        <f t="shared" si="365"/>
        <v>73394.3</v>
      </c>
      <c r="F1721" s="192">
        <f t="shared" si="366"/>
        <v>0</v>
      </c>
      <c r="G1721" s="193">
        <f t="shared" si="367"/>
        <v>95514</v>
      </c>
      <c r="H1721" s="194">
        <v>10195.5</v>
      </c>
      <c r="I1721" s="194">
        <v>32738.5</v>
      </c>
      <c r="J1721" s="194">
        <v>0</v>
      </c>
      <c r="K1721" s="193">
        <f t="shared" si="368"/>
        <v>42934</v>
      </c>
      <c r="L1721" s="194">
        <v>9592.2000000000007</v>
      </c>
      <c r="M1721" s="194">
        <v>32597.8</v>
      </c>
      <c r="N1721" s="194">
        <v>0</v>
      </c>
      <c r="O1721" s="193">
        <f t="shared" si="369"/>
        <v>42190</v>
      </c>
      <c r="P1721" s="194">
        <v>2332</v>
      </c>
      <c r="Q1721" s="194">
        <v>8058</v>
      </c>
      <c r="R1721" s="194">
        <v>0</v>
      </c>
      <c r="S1721" s="193">
        <f t="shared" si="370"/>
        <v>10390</v>
      </c>
      <c r="T1721" s="193">
        <f t="shared" si="371"/>
        <v>3183.8</v>
      </c>
      <c r="U1721" s="193">
        <f ca="1">OFFSET('Expenditure Study'!$B$7,'Operations Support'!$C1721,'Operations Support'!$B1721)*$G1721</f>
        <v>178611.18000000002</v>
      </c>
      <c r="V1721" s="199">
        <f ca="1">U1721*'Expenditure Study'!$B$31</f>
        <v>10552916.640841346</v>
      </c>
      <c r="W1721" s="199">
        <f ca="1">IF(A1721=10298,1.51,1)*IF($B1721&lt;3,$D1721*'Expenditure Study'!$B$32*OFFSET('Expenditure Study'!$B$7,'Operations Support'!$C1721,'Operations Support'!$B1721),0)</f>
        <v>4136.3839000000007</v>
      </c>
      <c r="X1721" s="200">
        <f ca="1">W1721*'Expenditure Study'!$B$31</f>
        <v>244390.71782190917</v>
      </c>
      <c r="Y1721" s="199">
        <f ca="1">U1721*'Expenditure Study'!$B$31</f>
        <v>10552916.640841346</v>
      </c>
      <c r="Z1721" s="200">
        <f ca="1">W1721*'Expenditure Study'!$B$31</f>
        <v>244390.71782190917</v>
      </c>
      <c r="AA1721" s="195">
        <f t="shared" ca="1" si="372"/>
        <v>10797307.358663255</v>
      </c>
      <c r="AB1721" s="195">
        <f t="shared" ca="1" si="373"/>
        <v>10797307.358663255</v>
      </c>
      <c r="AD1721" s="196">
        <f>IFERROR($G1721/SUMIF($A:$A,$A1721,$G:$G)*SUMIF(Summary!$A$166:$A$242,$A1721,Summary!$P$166:$P$242),0)</f>
        <v>2825308.0051166099</v>
      </c>
      <c r="AE1721" s="197">
        <f t="shared" ca="1" si="374"/>
        <v>7971999.3535466455</v>
      </c>
      <c r="AF1721" s="196">
        <f>IFERROR(G1721/SUMIF(A:A,A1721,G:G)*SUMIF(Summary!$A$166:$A$242,'Operations Support'!A1721,Summary!$Q$166:$Q$242),0)</f>
        <v>2834841.160395164</v>
      </c>
      <c r="AG1721" s="196">
        <f t="shared" ca="1" si="375"/>
        <v>7962466.1982680913</v>
      </c>
      <c r="AI1721" s="196">
        <f>IFERROR($G1721/SUMIF($A:$A,$A1721,$G:$G)*SUMIF(Summary!$A$247:$A$283,$A1721,Summary!$P$247:$P$283),0)</f>
        <v>515265.6753579168</v>
      </c>
      <c r="AJ1721" s="196">
        <f>IFERROR($G1721/SUMIF($A:$A,$A1721,$G:$G)*(SUMIF(Summary!$A$247:$A$283,$A1721,Summary!$L$247:$L$283)+SUMIF(Summary!$A$297:$A$333,$A1721,Summary!$L$297:$L$333))-AI1721,0)</f>
        <v>2326335.9100427162</v>
      </c>
      <c r="AK1721" s="196">
        <f>IFERROR($G1721/SUMIF($A:$A,$A1721,$G:$G)*SUMIF(Summary!$A$247:$A$283,$A1721,Summary!$Q$247:$Q$283),0)</f>
        <v>517004.28498348687</v>
      </c>
      <c r="AL1721" s="196">
        <f>IFERROR($G1721/SUMIF($A:$A,$A1721,$G:$G)*(SUMIF(Summary!$A$247:$A$283,$A1721,Summary!$L$247:$L$283)+SUMIF(Summary!$A$297:$A$333,$A1721,Summary!$L$297:$L$333))-AK1721,0)</f>
        <v>2324597.3004171462</v>
      </c>
      <c r="AM1721" s="198"/>
      <c r="AN1721" s="196">
        <f t="shared" ca="1" si="376"/>
        <v>10298335.263589362</v>
      </c>
      <c r="AO1721" s="196">
        <f t="shared" ca="1" si="377"/>
        <v>10287063.498685237</v>
      </c>
    </row>
    <row r="1722" spans="1:41">
      <c r="A1722" s="189">
        <v>3644</v>
      </c>
      <c r="B1722" s="190">
        <v>2</v>
      </c>
      <c r="C1722" s="191" t="s">
        <v>236</v>
      </c>
      <c r="D1722" s="192">
        <f t="shared" si="364"/>
        <v>0</v>
      </c>
      <c r="E1722" s="192">
        <f t="shared" si="365"/>
        <v>0</v>
      </c>
      <c r="F1722" s="192">
        <f t="shared" si="366"/>
        <v>0</v>
      </c>
      <c r="G1722" s="193">
        <f t="shared" si="367"/>
        <v>0</v>
      </c>
      <c r="H1722" s="194">
        <v>0</v>
      </c>
      <c r="I1722" s="194">
        <v>0</v>
      </c>
      <c r="J1722" s="194">
        <v>0</v>
      </c>
      <c r="K1722" s="193">
        <f t="shared" si="368"/>
        <v>0</v>
      </c>
      <c r="L1722" s="194">
        <v>0</v>
      </c>
      <c r="M1722" s="194">
        <v>0</v>
      </c>
      <c r="N1722" s="194">
        <v>0</v>
      </c>
      <c r="O1722" s="193">
        <f t="shared" si="369"/>
        <v>0</v>
      </c>
      <c r="P1722" s="194">
        <v>0</v>
      </c>
      <c r="Q1722" s="194">
        <v>0</v>
      </c>
      <c r="R1722" s="194">
        <v>0</v>
      </c>
      <c r="S1722" s="193">
        <f t="shared" si="370"/>
        <v>0</v>
      </c>
      <c r="T1722" s="193">
        <f t="shared" si="371"/>
        <v>0</v>
      </c>
      <c r="U1722" s="193">
        <f ca="1">OFFSET('Expenditure Study'!$B$7,'Operations Support'!$C1722,'Operations Support'!$B1722)*$G1722</f>
        <v>0</v>
      </c>
      <c r="V1722" s="199">
        <f ca="1">U1722*'Expenditure Study'!$B$31</f>
        <v>0</v>
      </c>
      <c r="W1722" s="199">
        <f ca="1">IF(A1722=10298,1.51,1)*IF($B1722&lt;3,$D1722*'Expenditure Study'!$B$32*OFFSET('Expenditure Study'!$B$7,'Operations Support'!$C1722,'Operations Support'!$B1722),0)</f>
        <v>0</v>
      </c>
      <c r="X1722" s="200">
        <f ca="1">W1722*'Expenditure Study'!$B$31</f>
        <v>0</v>
      </c>
      <c r="Y1722" s="199">
        <f ca="1">U1722*'Expenditure Study'!$B$31</f>
        <v>0</v>
      </c>
      <c r="Z1722" s="200">
        <f ca="1">W1722*'Expenditure Study'!$B$31</f>
        <v>0</v>
      </c>
      <c r="AA1722" s="195">
        <f t="shared" ca="1" si="372"/>
        <v>0</v>
      </c>
      <c r="AB1722" s="195">
        <f t="shared" ca="1" si="373"/>
        <v>0</v>
      </c>
      <c r="AD1722" s="196">
        <f>IFERROR($G1722/SUMIF($A:$A,$A1722,$G:$G)*SUMIF(Summary!$A$166:$A$242,$A1722,Summary!$P$166:$P$242),0)</f>
        <v>0</v>
      </c>
      <c r="AE1722" s="197">
        <f t="shared" ca="1" si="374"/>
        <v>0</v>
      </c>
      <c r="AF1722" s="196">
        <f>IFERROR(G1722/SUMIF(A:A,A1722,G:G)*SUMIF(Summary!$A$166:$A$242,'Operations Support'!A1722,Summary!$Q$166:$Q$242),0)</f>
        <v>0</v>
      </c>
      <c r="AG1722" s="196">
        <f t="shared" ca="1" si="375"/>
        <v>0</v>
      </c>
      <c r="AI1722" s="196">
        <f>IFERROR($G1722/SUMIF($A:$A,$A1722,$G:$G)*SUMIF(Summary!$A$247:$A$283,$A1722,Summary!$P$247:$P$283),0)</f>
        <v>0</v>
      </c>
      <c r="AJ1722" s="196">
        <f>IFERROR($G1722/SUMIF($A:$A,$A1722,$G:$G)*(SUMIF(Summary!$A$247:$A$283,$A1722,Summary!$L$247:$L$283)+SUMIF(Summary!$A$297:$A$333,$A1722,Summary!$L$297:$L$333))-AI1722,0)</f>
        <v>0</v>
      </c>
      <c r="AK1722" s="196">
        <f>IFERROR($G1722/SUMIF($A:$A,$A1722,$G:$G)*SUMIF(Summary!$A$247:$A$283,$A1722,Summary!$Q$247:$Q$283),0)</f>
        <v>0</v>
      </c>
      <c r="AL1722" s="196">
        <f>IFERROR($G1722/SUMIF($A:$A,$A1722,$G:$G)*(SUMIF(Summary!$A$247:$A$283,$A1722,Summary!$L$247:$L$283)+SUMIF(Summary!$A$297:$A$333,$A1722,Summary!$L$297:$L$333))-AK1722,0)</f>
        <v>0</v>
      </c>
      <c r="AM1722" s="198"/>
      <c r="AN1722" s="196">
        <f t="shared" ca="1" si="376"/>
        <v>0</v>
      </c>
      <c r="AO1722" s="196">
        <f t="shared" ca="1" si="377"/>
        <v>0</v>
      </c>
    </row>
    <row r="1723" spans="1:41">
      <c r="A1723" s="189">
        <v>3644</v>
      </c>
      <c r="B1723" s="190">
        <v>2</v>
      </c>
      <c r="C1723" s="191" t="s">
        <v>237</v>
      </c>
      <c r="D1723" s="192">
        <f t="shared" si="364"/>
        <v>154.84</v>
      </c>
      <c r="E1723" s="192">
        <f t="shared" si="365"/>
        <v>2580.16</v>
      </c>
      <c r="F1723" s="192">
        <f t="shared" si="366"/>
        <v>0</v>
      </c>
      <c r="G1723" s="193">
        <f t="shared" si="367"/>
        <v>2735</v>
      </c>
      <c r="H1723" s="194">
        <v>108.84</v>
      </c>
      <c r="I1723" s="194">
        <v>1571.16</v>
      </c>
      <c r="J1723" s="194">
        <v>0</v>
      </c>
      <c r="K1723" s="193">
        <f t="shared" si="368"/>
        <v>1680</v>
      </c>
      <c r="L1723" s="194">
        <v>46</v>
      </c>
      <c r="M1723" s="194">
        <v>817</v>
      </c>
      <c r="N1723" s="194">
        <v>0</v>
      </c>
      <c r="O1723" s="193">
        <f t="shared" si="369"/>
        <v>863</v>
      </c>
      <c r="P1723" s="194">
        <v>0</v>
      </c>
      <c r="Q1723" s="194">
        <v>192</v>
      </c>
      <c r="R1723" s="194">
        <v>0</v>
      </c>
      <c r="S1723" s="193">
        <f t="shared" si="370"/>
        <v>192</v>
      </c>
      <c r="T1723" s="193">
        <f t="shared" si="371"/>
        <v>91.166666666666671</v>
      </c>
      <c r="U1723" s="193">
        <f ca="1">OFFSET('Expenditure Study'!$B$7,'Operations Support'!$C1723,'Operations Support'!$B1723)*$G1723</f>
        <v>6399.9</v>
      </c>
      <c r="V1723" s="199">
        <f ca="1">U1723*'Expenditure Study'!$B$31</f>
        <v>378126.44880191999</v>
      </c>
      <c r="W1723" s="199">
        <f ca="1">IF(A1723=10298,1.51,1)*IF($B1723&lt;3,$D1723*'Expenditure Study'!$B$32*OFFSET('Expenditure Study'!$B$7,'Operations Support'!$C1723,'Operations Support'!$B1723),0)</f>
        <v>36.232559999999999</v>
      </c>
      <c r="X1723" s="200">
        <f ca="1">W1723*'Expenditure Study'!$B$31</f>
        <v>2140.7348933268481</v>
      </c>
      <c r="Y1723" s="199">
        <f ca="1">U1723*'Expenditure Study'!$B$31</f>
        <v>378126.44880191999</v>
      </c>
      <c r="Z1723" s="200">
        <f ca="1">W1723*'Expenditure Study'!$B$31</f>
        <v>2140.7348933268481</v>
      </c>
      <c r="AA1723" s="195">
        <f t="shared" ca="1" si="372"/>
        <v>380267.18369524681</v>
      </c>
      <c r="AB1723" s="195">
        <f t="shared" ca="1" si="373"/>
        <v>380267.18369524681</v>
      </c>
      <c r="AD1723" s="196">
        <f>IFERROR($G1723/SUMIF($A:$A,$A1723,$G:$G)*SUMIF(Summary!$A$166:$A$242,$A1723,Summary!$P$166:$P$242),0)</f>
        <v>80901.411248549208</v>
      </c>
      <c r="AE1723" s="197">
        <f t="shared" ca="1" si="374"/>
        <v>299365.77244669758</v>
      </c>
      <c r="AF1723" s="196">
        <f>IFERROR(G1723/SUMIF(A:A,A1723,G:G)*SUMIF(Summary!$A$166:$A$242,'Operations Support'!A1723,Summary!$Q$166:$Q$242),0)</f>
        <v>81174.388819238797</v>
      </c>
      <c r="AG1723" s="196">
        <f t="shared" ca="1" si="375"/>
        <v>299092.794876008</v>
      </c>
      <c r="AI1723" s="196">
        <f>IFERROR($G1723/SUMIF($A:$A,$A1723,$G:$G)*SUMIF(Summary!$A$247:$A$283,$A1723,Summary!$P$247:$P$283),0)</f>
        <v>14754.398539521979</v>
      </c>
      <c r="AJ1723" s="196">
        <f>IFERROR($G1723/SUMIF($A:$A,$A1723,$G:$G)*(SUMIF(Summary!$A$247:$A$283,$A1723,Summary!$L$247:$L$283)+SUMIF(Summary!$A$297:$A$333,$A1723,Summary!$L$297:$L$333))-AI1723,0)</f>
        <v>66613.57197862961</v>
      </c>
      <c r="AK1723" s="196">
        <f>IFERROR($G1723/SUMIF($A:$A,$A1723,$G:$G)*SUMIF(Summary!$A$247:$A$283,$A1723,Summary!$Q$247:$Q$283),0)</f>
        <v>14804.182836336417</v>
      </c>
      <c r="AL1723" s="196">
        <f>IFERROR($G1723/SUMIF($A:$A,$A1723,$G:$G)*(SUMIF(Summary!$A$247:$A$283,$A1723,Summary!$L$247:$L$283)+SUMIF(Summary!$A$297:$A$333,$A1723,Summary!$L$297:$L$333))-AK1723,0)</f>
        <v>66563.787681815171</v>
      </c>
      <c r="AM1723" s="198"/>
      <c r="AN1723" s="196">
        <f t="shared" ca="1" si="376"/>
        <v>365979.3444253272</v>
      </c>
      <c r="AO1723" s="196">
        <f t="shared" ca="1" si="377"/>
        <v>365656.58255782316</v>
      </c>
    </row>
    <row r="1724" spans="1:41">
      <c r="A1724" s="189">
        <v>3644</v>
      </c>
      <c r="B1724" s="190">
        <v>2</v>
      </c>
      <c r="C1724" s="191" t="s">
        <v>238</v>
      </c>
      <c r="D1724" s="192">
        <f t="shared" si="364"/>
        <v>414</v>
      </c>
      <c r="E1724" s="192">
        <f t="shared" si="365"/>
        <v>314</v>
      </c>
      <c r="F1724" s="192">
        <f t="shared" si="366"/>
        <v>0</v>
      </c>
      <c r="G1724" s="193">
        <f t="shared" si="367"/>
        <v>728</v>
      </c>
      <c r="H1724" s="194">
        <v>237</v>
      </c>
      <c r="I1724" s="194">
        <v>217</v>
      </c>
      <c r="J1724" s="194">
        <v>0</v>
      </c>
      <c r="K1724" s="193">
        <f t="shared" si="368"/>
        <v>454</v>
      </c>
      <c r="L1724" s="194">
        <v>177</v>
      </c>
      <c r="M1724" s="194">
        <v>19</v>
      </c>
      <c r="N1724" s="194">
        <v>0</v>
      </c>
      <c r="O1724" s="193">
        <f t="shared" si="369"/>
        <v>196</v>
      </c>
      <c r="P1724" s="194">
        <v>0</v>
      </c>
      <c r="Q1724" s="194">
        <v>78</v>
      </c>
      <c r="R1724" s="194">
        <v>0</v>
      </c>
      <c r="S1724" s="193">
        <f t="shared" si="370"/>
        <v>78</v>
      </c>
      <c r="T1724" s="193">
        <f t="shared" si="371"/>
        <v>24.266666666666666</v>
      </c>
      <c r="U1724" s="193">
        <f ca="1">OFFSET('Expenditure Study'!$B$7,'Operations Support'!$C1724,'Operations Support'!$B1724)*$G1724</f>
        <v>1747.2</v>
      </c>
      <c r="V1724" s="199">
        <f ca="1">U1724*'Expenditure Study'!$B$31</f>
        <v>103230.13349376</v>
      </c>
      <c r="W1724" s="199">
        <f ca="1">IF(A1724=10298,1.51,1)*IF($B1724&lt;3,$D1724*'Expenditure Study'!$B$32*OFFSET('Expenditure Study'!$B$7,'Operations Support'!$C1724,'Operations Support'!$B1724),0)</f>
        <v>99.360000000000014</v>
      </c>
      <c r="X1724" s="200">
        <f ca="1">W1724*'Expenditure Study'!$B$31</f>
        <v>5870.5048442880006</v>
      </c>
      <c r="Y1724" s="199">
        <f ca="1">U1724*'Expenditure Study'!$B$31</f>
        <v>103230.13349376</v>
      </c>
      <c r="Z1724" s="200">
        <f ca="1">W1724*'Expenditure Study'!$B$31</f>
        <v>5870.5048442880006</v>
      </c>
      <c r="AA1724" s="195">
        <f t="shared" ca="1" si="372"/>
        <v>109100.63833804801</v>
      </c>
      <c r="AB1724" s="195">
        <f t="shared" ca="1" si="373"/>
        <v>109100.63833804801</v>
      </c>
      <c r="AD1724" s="196">
        <f>IFERROR($G1724/SUMIF($A:$A,$A1724,$G:$G)*SUMIF(Summary!$A$166:$A$242,$A1724,Summary!$P$166:$P$242),0)</f>
        <v>21534.269612045271</v>
      </c>
      <c r="AE1724" s="197">
        <f t="shared" ca="1" si="374"/>
        <v>87566.368726002736</v>
      </c>
      <c r="AF1724" s="196">
        <f>IFERROR(G1724/SUMIF(A:A,A1724,G:G)*SUMIF(Summary!$A$166:$A$242,'Operations Support'!A1724,Summary!$Q$166:$Q$242),0)</f>
        <v>21606.930552250764</v>
      </c>
      <c r="AG1724" s="196">
        <f t="shared" ca="1" si="375"/>
        <v>87493.707785797247</v>
      </c>
      <c r="AI1724" s="196">
        <f>IFERROR($G1724/SUMIF($A:$A,$A1724,$G:$G)*SUMIF(Summary!$A$247:$A$283,$A1724,Summary!$P$247:$P$283),0)</f>
        <v>3927.3133955290682</v>
      </c>
      <c r="AJ1724" s="196">
        <f>IFERROR($G1724/SUMIF($A:$A,$A1724,$G:$G)*(SUMIF(Summary!$A$247:$A$283,$A1724,Summary!$L$247:$L$283)+SUMIF(Summary!$A$297:$A$333,$A1724,Summary!$L$297:$L$333))-AI1724,0)</f>
        <v>17731.14457054565</v>
      </c>
      <c r="AK1724" s="196">
        <f>IFERROR($G1724/SUMIF($A:$A,$A1724,$G:$G)*SUMIF(Summary!$A$247:$A$283,$A1724,Summary!$Q$247:$Q$283),0)</f>
        <v>3940.564937788999</v>
      </c>
      <c r="AL1724" s="196">
        <f>IFERROR($G1724/SUMIF($A:$A,$A1724,$G:$G)*(SUMIF(Summary!$A$247:$A$283,$A1724,Summary!$L$247:$L$283)+SUMIF(Summary!$A$297:$A$333,$A1724,Summary!$L$297:$L$333))-AK1724,0)</f>
        <v>17717.893028285718</v>
      </c>
      <c r="AM1724" s="198"/>
      <c r="AN1724" s="196">
        <f t="shared" ca="1" si="376"/>
        <v>105297.51329654839</v>
      </c>
      <c r="AO1724" s="196">
        <f t="shared" ca="1" si="377"/>
        <v>105211.60081408297</v>
      </c>
    </row>
    <row r="1725" spans="1:41">
      <c r="A1725" s="189">
        <v>3644</v>
      </c>
      <c r="B1725" s="190">
        <v>2</v>
      </c>
      <c r="C1725" s="191" t="s">
        <v>239</v>
      </c>
      <c r="D1725" s="192">
        <f t="shared" si="364"/>
        <v>0</v>
      </c>
      <c r="E1725" s="192">
        <f t="shared" si="365"/>
        <v>0</v>
      </c>
      <c r="F1725" s="192">
        <f t="shared" si="366"/>
        <v>0</v>
      </c>
      <c r="G1725" s="193">
        <f t="shared" si="367"/>
        <v>0</v>
      </c>
      <c r="H1725" s="194">
        <v>0</v>
      </c>
      <c r="I1725" s="194">
        <v>0</v>
      </c>
      <c r="J1725" s="194">
        <v>0</v>
      </c>
      <c r="K1725" s="193">
        <f t="shared" si="368"/>
        <v>0</v>
      </c>
      <c r="L1725" s="194">
        <v>0</v>
      </c>
      <c r="M1725" s="194">
        <v>0</v>
      </c>
      <c r="N1725" s="194">
        <v>0</v>
      </c>
      <c r="O1725" s="193">
        <f t="shared" si="369"/>
        <v>0</v>
      </c>
      <c r="P1725" s="194">
        <v>0</v>
      </c>
      <c r="Q1725" s="194">
        <v>0</v>
      </c>
      <c r="R1725" s="194">
        <v>0</v>
      </c>
      <c r="S1725" s="193">
        <f t="shared" si="370"/>
        <v>0</v>
      </c>
      <c r="T1725" s="193">
        <f t="shared" si="371"/>
        <v>0</v>
      </c>
      <c r="U1725" s="193">
        <f ca="1">OFFSET('Expenditure Study'!$B$7,'Operations Support'!$C1725,'Operations Support'!$B1725)*$G1725</f>
        <v>0</v>
      </c>
      <c r="V1725" s="199">
        <f ca="1">U1725*'Expenditure Study'!$B$31</f>
        <v>0</v>
      </c>
      <c r="W1725" s="199">
        <f ca="1">IF(A1725=10298,1.51,1)*IF($B1725&lt;3,$D1725*'Expenditure Study'!$B$32*OFFSET('Expenditure Study'!$B$7,'Operations Support'!$C1725,'Operations Support'!$B1725),0)</f>
        <v>0</v>
      </c>
      <c r="X1725" s="200">
        <f ca="1">W1725*'Expenditure Study'!$B$31</f>
        <v>0</v>
      </c>
      <c r="Y1725" s="199">
        <f ca="1">U1725*'Expenditure Study'!$B$31</f>
        <v>0</v>
      </c>
      <c r="Z1725" s="200">
        <f ca="1">W1725*'Expenditure Study'!$B$31</f>
        <v>0</v>
      </c>
      <c r="AA1725" s="195">
        <f t="shared" ca="1" si="372"/>
        <v>0</v>
      </c>
      <c r="AB1725" s="195">
        <f t="shared" ca="1" si="373"/>
        <v>0</v>
      </c>
      <c r="AD1725" s="196">
        <f>IFERROR($G1725/SUMIF($A:$A,$A1725,$G:$G)*SUMIF(Summary!$A$166:$A$242,$A1725,Summary!$P$166:$P$242),0)</f>
        <v>0</v>
      </c>
      <c r="AE1725" s="197">
        <f t="shared" ca="1" si="374"/>
        <v>0</v>
      </c>
      <c r="AF1725" s="196">
        <f>IFERROR(G1725/SUMIF(A:A,A1725,G:G)*SUMIF(Summary!$A$166:$A$242,'Operations Support'!A1725,Summary!$Q$166:$Q$242),0)</f>
        <v>0</v>
      </c>
      <c r="AG1725" s="196">
        <f t="shared" ca="1" si="375"/>
        <v>0</v>
      </c>
      <c r="AI1725" s="196">
        <f>IFERROR($G1725/SUMIF($A:$A,$A1725,$G:$G)*SUMIF(Summary!$A$247:$A$283,$A1725,Summary!$P$247:$P$283),0)</f>
        <v>0</v>
      </c>
      <c r="AJ1725" s="196">
        <f>IFERROR($G1725/SUMIF($A:$A,$A1725,$G:$G)*(SUMIF(Summary!$A$247:$A$283,$A1725,Summary!$L$247:$L$283)+SUMIF(Summary!$A$297:$A$333,$A1725,Summary!$L$297:$L$333))-AI1725,0)</f>
        <v>0</v>
      </c>
      <c r="AK1725" s="196">
        <f>IFERROR($G1725/SUMIF($A:$A,$A1725,$G:$G)*SUMIF(Summary!$A$247:$A$283,$A1725,Summary!$Q$247:$Q$283),0)</f>
        <v>0</v>
      </c>
      <c r="AL1725" s="196">
        <f>IFERROR($G1725/SUMIF($A:$A,$A1725,$G:$G)*(SUMIF(Summary!$A$247:$A$283,$A1725,Summary!$L$247:$L$283)+SUMIF(Summary!$A$297:$A$333,$A1725,Summary!$L$297:$L$333))-AK1725,0)</f>
        <v>0</v>
      </c>
      <c r="AM1725" s="198"/>
      <c r="AN1725" s="196">
        <f t="shared" ca="1" si="376"/>
        <v>0</v>
      </c>
      <c r="AO1725" s="196">
        <f t="shared" ca="1" si="377"/>
        <v>0</v>
      </c>
    </row>
    <row r="1726" spans="1:41">
      <c r="A1726" s="189">
        <v>3644</v>
      </c>
      <c r="B1726" s="190">
        <v>2</v>
      </c>
      <c r="C1726" s="191" t="s">
        <v>240</v>
      </c>
      <c r="D1726" s="192">
        <f t="shared" si="364"/>
        <v>0</v>
      </c>
      <c r="E1726" s="192">
        <f t="shared" si="365"/>
        <v>0</v>
      </c>
      <c r="F1726" s="192">
        <f t="shared" si="366"/>
        <v>0</v>
      </c>
      <c r="G1726" s="193">
        <f t="shared" si="367"/>
        <v>0</v>
      </c>
      <c r="H1726" s="194">
        <v>0</v>
      </c>
      <c r="I1726" s="194">
        <v>0</v>
      </c>
      <c r="J1726" s="194">
        <v>0</v>
      </c>
      <c r="K1726" s="193">
        <f t="shared" si="368"/>
        <v>0</v>
      </c>
      <c r="L1726" s="194">
        <v>0</v>
      </c>
      <c r="M1726" s="194">
        <v>0</v>
      </c>
      <c r="N1726" s="194">
        <v>0</v>
      </c>
      <c r="O1726" s="193">
        <f t="shared" si="369"/>
        <v>0</v>
      </c>
      <c r="P1726" s="194">
        <v>0</v>
      </c>
      <c r="Q1726" s="194">
        <v>0</v>
      </c>
      <c r="R1726" s="194">
        <v>0</v>
      </c>
      <c r="S1726" s="193">
        <f t="shared" si="370"/>
        <v>0</v>
      </c>
      <c r="T1726" s="193">
        <f t="shared" si="371"/>
        <v>0</v>
      </c>
      <c r="U1726" s="193">
        <f ca="1">OFFSET('Expenditure Study'!$B$7,'Operations Support'!$C1726,'Operations Support'!$B1726)*$G1726</f>
        <v>0</v>
      </c>
      <c r="V1726" s="199">
        <f ca="1">U1726*'Expenditure Study'!$B$31</f>
        <v>0</v>
      </c>
      <c r="W1726" s="199">
        <f ca="1">IF(A1726=10298,1.51,1)*IF($B1726&lt;3,$D1726*'Expenditure Study'!$B$32*OFFSET('Expenditure Study'!$B$7,'Operations Support'!$C1726,'Operations Support'!$B1726),0)</f>
        <v>0</v>
      </c>
      <c r="X1726" s="200">
        <f ca="1">W1726*'Expenditure Study'!$B$31</f>
        <v>0</v>
      </c>
      <c r="Y1726" s="199">
        <f ca="1">U1726*'Expenditure Study'!$B$31</f>
        <v>0</v>
      </c>
      <c r="Z1726" s="200">
        <f ca="1">W1726*'Expenditure Study'!$B$31</f>
        <v>0</v>
      </c>
      <c r="AA1726" s="195">
        <f t="shared" ca="1" si="372"/>
        <v>0</v>
      </c>
      <c r="AB1726" s="195">
        <f t="shared" ca="1" si="373"/>
        <v>0</v>
      </c>
      <c r="AD1726" s="196">
        <f>IFERROR($G1726/SUMIF($A:$A,$A1726,$G:$G)*SUMIF(Summary!$A$166:$A$242,$A1726,Summary!$P$166:$P$242),0)</f>
        <v>0</v>
      </c>
      <c r="AE1726" s="197">
        <f t="shared" ca="1" si="374"/>
        <v>0</v>
      </c>
      <c r="AF1726" s="196">
        <f>IFERROR(G1726/SUMIF(A:A,A1726,G:G)*SUMIF(Summary!$A$166:$A$242,'Operations Support'!A1726,Summary!$Q$166:$Q$242),0)</f>
        <v>0</v>
      </c>
      <c r="AG1726" s="196">
        <f t="shared" ca="1" si="375"/>
        <v>0</v>
      </c>
      <c r="AI1726" s="196">
        <f>IFERROR($G1726/SUMIF($A:$A,$A1726,$G:$G)*SUMIF(Summary!$A$247:$A$283,$A1726,Summary!$P$247:$P$283),0)</f>
        <v>0</v>
      </c>
      <c r="AJ1726" s="196">
        <f>IFERROR($G1726/SUMIF($A:$A,$A1726,$G:$G)*(SUMIF(Summary!$A$247:$A$283,$A1726,Summary!$L$247:$L$283)+SUMIF(Summary!$A$297:$A$333,$A1726,Summary!$L$297:$L$333))-AI1726,0)</f>
        <v>0</v>
      </c>
      <c r="AK1726" s="196">
        <f>IFERROR($G1726/SUMIF($A:$A,$A1726,$G:$G)*SUMIF(Summary!$A$247:$A$283,$A1726,Summary!$Q$247:$Q$283),0)</f>
        <v>0</v>
      </c>
      <c r="AL1726" s="196">
        <f>IFERROR($G1726/SUMIF($A:$A,$A1726,$G:$G)*(SUMIF(Summary!$A$247:$A$283,$A1726,Summary!$L$247:$L$283)+SUMIF(Summary!$A$297:$A$333,$A1726,Summary!$L$297:$L$333))-AK1726,0)</f>
        <v>0</v>
      </c>
      <c r="AM1726" s="198"/>
      <c r="AN1726" s="196">
        <f t="shared" ca="1" si="376"/>
        <v>0</v>
      </c>
      <c r="AO1726" s="196">
        <f t="shared" ca="1" si="377"/>
        <v>0</v>
      </c>
    </row>
    <row r="1727" spans="1:41">
      <c r="A1727" s="189">
        <v>3644</v>
      </c>
      <c r="B1727" s="190">
        <v>3</v>
      </c>
      <c r="C1727" s="191" t="s">
        <v>220</v>
      </c>
      <c r="D1727" s="192">
        <f t="shared" si="364"/>
        <v>7690</v>
      </c>
      <c r="E1727" s="192">
        <f t="shared" si="365"/>
        <v>5358</v>
      </c>
      <c r="F1727" s="192">
        <f t="shared" si="366"/>
        <v>0</v>
      </c>
      <c r="G1727" s="193">
        <f t="shared" si="367"/>
        <v>13048</v>
      </c>
      <c r="H1727" s="194">
        <v>3117</v>
      </c>
      <c r="I1727" s="194">
        <v>2120</v>
      </c>
      <c r="J1727" s="194">
        <v>0</v>
      </c>
      <c r="K1727" s="193">
        <f t="shared" si="368"/>
        <v>5237</v>
      </c>
      <c r="L1727" s="194">
        <v>3689</v>
      </c>
      <c r="M1727" s="194">
        <v>2027</v>
      </c>
      <c r="N1727" s="194">
        <v>0</v>
      </c>
      <c r="O1727" s="193">
        <f t="shared" si="369"/>
        <v>5716</v>
      </c>
      <c r="P1727" s="194">
        <v>884</v>
      </c>
      <c r="Q1727" s="194">
        <v>1211</v>
      </c>
      <c r="R1727" s="194">
        <v>0</v>
      </c>
      <c r="S1727" s="193">
        <f t="shared" si="370"/>
        <v>2095</v>
      </c>
      <c r="T1727" s="193">
        <f t="shared" si="371"/>
        <v>543.66666666666663</v>
      </c>
      <c r="U1727" s="193">
        <f ca="1">OFFSET('Expenditure Study'!$B$7,'Operations Support'!$C1727,'Operations Support'!$B1727)*$G1727</f>
        <v>58194.080000000002</v>
      </c>
      <c r="V1727" s="199">
        <f ca="1">U1727*'Expenditure Study'!$B$31</f>
        <v>3438291.3501296639</v>
      </c>
      <c r="W1727" s="199">
        <f ca="1">IF(A1727=10298,1.51,1)*IF($B1727&lt;3,$D1727*'Expenditure Study'!$B$32*OFFSET('Expenditure Study'!$B$7,'Operations Support'!$C1727,'Operations Support'!$B1727),0)</f>
        <v>0</v>
      </c>
      <c r="X1727" s="200">
        <f ca="1">W1727*'Expenditure Study'!$B$31</f>
        <v>0</v>
      </c>
      <c r="Y1727" s="199">
        <f ca="1">U1727*'Expenditure Study'!$B$31</f>
        <v>3438291.3501296639</v>
      </c>
      <c r="Z1727" s="200">
        <f ca="1">W1727*'Expenditure Study'!$B$31</f>
        <v>0</v>
      </c>
      <c r="AA1727" s="195">
        <f t="shared" ca="1" si="372"/>
        <v>3438291.3501296639</v>
      </c>
      <c r="AB1727" s="195">
        <f t="shared" ca="1" si="373"/>
        <v>3438291.3501296639</v>
      </c>
      <c r="AD1727" s="196">
        <f>IFERROR($G1727/SUMIF($A:$A,$A1727,$G:$G)*SUMIF(Summary!$A$166:$A$242,$A1727,Summary!$P$166:$P$242),0)</f>
        <v>385960.37073896523</v>
      </c>
      <c r="AE1727" s="197">
        <f t="shared" ca="1" si="374"/>
        <v>3052330.9793906985</v>
      </c>
      <c r="AF1727" s="196">
        <f>IFERROR(G1727/SUMIF(A:A,A1727,G:G)*SUMIF(Summary!$A$166:$A$242,'Operations Support'!A1727,Summary!$Q$166:$Q$242),0)</f>
        <v>387262.67835957138</v>
      </c>
      <c r="AG1727" s="196">
        <f t="shared" ca="1" si="375"/>
        <v>3051028.6717700926</v>
      </c>
      <c r="AI1727" s="196">
        <f>IFERROR($G1727/SUMIF($A:$A,$A1727,$G:$G)*SUMIF(Summary!$A$247:$A$283,$A1727,Summary!$P$247:$P$283),0)</f>
        <v>70389.540089097907</v>
      </c>
      <c r="AJ1727" s="196">
        <f>IFERROR($G1727/SUMIF($A:$A,$A1727,$G:$G)*(SUMIF(Summary!$A$247:$A$283,$A1727,Summary!$L$247:$L$283)+SUMIF(Summary!$A$297:$A$333,$A1727,Summary!$L$297:$L$333))-AI1727,0)</f>
        <v>317796.6680720874</v>
      </c>
      <c r="AK1727" s="196">
        <f>IFERROR($G1727/SUMIF($A:$A,$A1727,$G:$G)*SUMIF(Summary!$A$247:$A$283,$A1727,Summary!$Q$247:$Q$283),0)</f>
        <v>70627.048500372053</v>
      </c>
      <c r="AL1727" s="196">
        <f>IFERROR($G1727/SUMIF($A:$A,$A1727,$G:$G)*(SUMIF(Summary!$A$247:$A$283,$A1727,Summary!$L$247:$L$283)+SUMIF(Summary!$A$297:$A$333,$A1727,Summary!$L$297:$L$333))-AK1727,0)</f>
        <v>317559.15966081328</v>
      </c>
      <c r="AM1727" s="198"/>
      <c r="AN1727" s="196">
        <f t="shared" ca="1" si="376"/>
        <v>3370127.6474627857</v>
      </c>
      <c r="AO1727" s="196">
        <f t="shared" ca="1" si="377"/>
        <v>3368587.831430906</v>
      </c>
    </row>
    <row r="1728" spans="1:41">
      <c r="A1728" s="189">
        <v>3644</v>
      </c>
      <c r="B1728" s="190">
        <v>3</v>
      </c>
      <c r="C1728" s="191" t="s">
        <v>221</v>
      </c>
      <c r="D1728" s="192">
        <f t="shared" si="364"/>
        <v>6467.65</v>
      </c>
      <c r="E1728" s="192">
        <f t="shared" si="365"/>
        <v>3195.35</v>
      </c>
      <c r="F1728" s="192">
        <f t="shared" si="366"/>
        <v>0</v>
      </c>
      <c r="G1728" s="193">
        <f t="shared" si="367"/>
        <v>9663</v>
      </c>
      <c r="H1728" s="194">
        <v>2436.6</v>
      </c>
      <c r="I1728" s="194">
        <v>985.4</v>
      </c>
      <c r="J1728" s="194">
        <v>0</v>
      </c>
      <c r="K1728" s="193">
        <f t="shared" si="368"/>
        <v>3422</v>
      </c>
      <c r="L1728" s="194">
        <v>2981.05</v>
      </c>
      <c r="M1728" s="194">
        <v>1355.95</v>
      </c>
      <c r="N1728" s="194">
        <v>0</v>
      </c>
      <c r="O1728" s="193">
        <f t="shared" si="369"/>
        <v>4337</v>
      </c>
      <c r="P1728" s="194">
        <v>1050</v>
      </c>
      <c r="Q1728" s="194">
        <v>854</v>
      </c>
      <c r="R1728" s="194">
        <v>0</v>
      </c>
      <c r="S1728" s="193">
        <f t="shared" si="370"/>
        <v>1904</v>
      </c>
      <c r="T1728" s="193">
        <f t="shared" si="371"/>
        <v>402.625</v>
      </c>
      <c r="U1728" s="193">
        <f ca="1">OFFSET('Expenditure Study'!$B$7,'Operations Support'!$C1728,'Operations Support'!$B1728)*$G1728</f>
        <v>67641</v>
      </c>
      <c r="V1728" s="199">
        <f ca="1">U1728*'Expenditure Study'!$B$31</f>
        <v>3996445.4324928001</v>
      </c>
      <c r="W1728" s="199">
        <f ca="1">IF(A1728=10298,1.51,1)*IF($B1728&lt;3,$D1728*'Expenditure Study'!$B$32*OFFSET('Expenditure Study'!$B$7,'Operations Support'!$C1728,'Operations Support'!$B1728),0)</f>
        <v>0</v>
      </c>
      <c r="X1728" s="200">
        <f ca="1">W1728*'Expenditure Study'!$B$31</f>
        <v>0</v>
      </c>
      <c r="Y1728" s="199">
        <f ca="1">U1728*'Expenditure Study'!$B$31</f>
        <v>3996445.4324928001</v>
      </c>
      <c r="Z1728" s="200">
        <f ca="1">W1728*'Expenditure Study'!$B$31</f>
        <v>0</v>
      </c>
      <c r="AA1728" s="195">
        <f t="shared" ca="1" si="372"/>
        <v>3996445.4324928001</v>
      </c>
      <c r="AB1728" s="195">
        <f t="shared" ca="1" si="373"/>
        <v>3996445.4324928001</v>
      </c>
      <c r="AD1728" s="196">
        <f>IFERROR($G1728/SUMIF($A:$A,$A1728,$G:$G)*SUMIF(Summary!$A$166:$A$242,$A1728,Summary!$P$166:$P$242),0)</f>
        <v>285831.93305108993</v>
      </c>
      <c r="AE1728" s="197">
        <f t="shared" ca="1" si="374"/>
        <v>3710613.4994417103</v>
      </c>
      <c r="AF1728" s="196">
        <f>IFERROR(G1728/SUMIF(A:A,A1728,G:G)*SUMIF(Summary!$A$166:$A$242,'Operations Support'!A1728,Summary!$Q$166:$Q$242),0)</f>
        <v>286796.38726153725</v>
      </c>
      <c r="AG1728" s="196">
        <f t="shared" ca="1" si="375"/>
        <v>3709649.0452312627</v>
      </c>
      <c r="AI1728" s="196">
        <f>IFERROR($G1728/SUMIF($A:$A,$A1728,$G:$G)*SUMIF(Summary!$A$247:$A$283,$A1728,Summary!$P$247:$P$283),0)</f>
        <v>52128.611732139259</v>
      </c>
      <c r="AJ1728" s="196">
        <f>IFERROR($G1728/SUMIF($A:$A,$A1728,$G:$G)*(SUMIF(Summary!$A$247:$A$283,$A1728,Summary!$L$247:$L$283)+SUMIF(Summary!$A$297:$A$333,$A1728,Summary!$L$297:$L$333))-AI1728,0)</f>
        <v>235351.71701261349</v>
      </c>
      <c r="AK1728" s="196">
        <f>IFERROR($G1728/SUMIF($A:$A,$A1728,$G:$G)*SUMIF(Summary!$A$247:$A$283,$A1728,Summary!$Q$247:$Q$283),0)</f>
        <v>52304.504112438313</v>
      </c>
      <c r="AL1728" s="196">
        <f>IFERROR($G1728/SUMIF($A:$A,$A1728,$G:$G)*(SUMIF(Summary!$A$247:$A$283,$A1728,Summary!$L$247:$L$283)+SUMIF(Summary!$A$297:$A$333,$A1728,Summary!$L$297:$L$333))-AK1728,0)</f>
        <v>235175.82463231444</v>
      </c>
      <c r="AM1728" s="198"/>
      <c r="AN1728" s="196">
        <f t="shared" ca="1" si="376"/>
        <v>3945965.2164543238</v>
      </c>
      <c r="AO1728" s="196">
        <f t="shared" ca="1" si="377"/>
        <v>3944824.8698635772</v>
      </c>
    </row>
    <row r="1729" spans="1:41">
      <c r="A1729" s="189">
        <v>3644</v>
      </c>
      <c r="B1729" s="190">
        <v>3</v>
      </c>
      <c r="C1729" s="191" t="s">
        <v>222</v>
      </c>
      <c r="D1729" s="192">
        <f t="shared" si="364"/>
        <v>2575.12</v>
      </c>
      <c r="E1729" s="192">
        <f t="shared" si="365"/>
        <v>263.88</v>
      </c>
      <c r="F1729" s="192">
        <f t="shared" si="366"/>
        <v>0</v>
      </c>
      <c r="G1729" s="193">
        <f t="shared" si="367"/>
        <v>2839</v>
      </c>
      <c r="H1729" s="194">
        <v>1015.6</v>
      </c>
      <c r="I1729" s="194">
        <v>147.4</v>
      </c>
      <c r="J1729" s="194">
        <v>0</v>
      </c>
      <c r="K1729" s="193">
        <f t="shared" si="368"/>
        <v>1163</v>
      </c>
      <c r="L1729" s="194">
        <v>1102.52</v>
      </c>
      <c r="M1729" s="194">
        <v>83.48</v>
      </c>
      <c r="N1729" s="194">
        <v>0</v>
      </c>
      <c r="O1729" s="193">
        <f t="shared" si="369"/>
        <v>1186</v>
      </c>
      <c r="P1729" s="194">
        <v>457</v>
      </c>
      <c r="Q1729" s="194">
        <v>33</v>
      </c>
      <c r="R1729" s="194">
        <v>0</v>
      </c>
      <c r="S1729" s="193">
        <f t="shared" si="370"/>
        <v>490</v>
      </c>
      <c r="T1729" s="193">
        <f t="shared" si="371"/>
        <v>118.29166666666667</v>
      </c>
      <c r="U1729" s="193">
        <f ca="1">OFFSET('Expenditure Study'!$B$7,'Operations Support'!$C1729,'Operations Support'!$B1729)*$G1729</f>
        <v>21320.89</v>
      </c>
      <c r="V1729" s="199">
        <f ca="1">U1729*'Expenditure Study'!$B$31</f>
        <v>1259705.998686912</v>
      </c>
      <c r="W1729" s="199">
        <f ca="1">IF(A1729=10298,1.51,1)*IF($B1729&lt;3,$D1729*'Expenditure Study'!$B$32*OFFSET('Expenditure Study'!$B$7,'Operations Support'!$C1729,'Operations Support'!$B1729),0)</f>
        <v>0</v>
      </c>
      <c r="X1729" s="200">
        <f ca="1">W1729*'Expenditure Study'!$B$31</f>
        <v>0</v>
      </c>
      <c r="Y1729" s="199">
        <f ca="1">U1729*'Expenditure Study'!$B$31</f>
        <v>1259705.998686912</v>
      </c>
      <c r="Z1729" s="200">
        <f ca="1">W1729*'Expenditure Study'!$B$31</f>
        <v>0</v>
      </c>
      <c r="AA1729" s="195">
        <f t="shared" ca="1" si="372"/>
        <v>1259705.998686912</v>
      </c>
      <c r="AB1729" s="195">
        <f t="shared" ca="1" si="373"/>
        <v>1259705.998686912</v>
      </c>
      <c r="AD1729" s="196">
        <f>IFERROR($G1729/SUMIF($A:$A,$A1729,$G:$G)*SUMIF(Summary!$A$166:$A$242,$A1729,Summary!$P$166:$P$242),0)</f>
        <v>83977.73547884138</v>
      </c>
      <c r="AE1729" s="197">
        <f t="shared" ca="1" si="374"/>
        <v>1175728.2632080705</v>
      </c>
      <c r="AF1729" s="196">
        <f>IFERROR(G1729/SUMIF(A:A,A1729,G:G)*SUMIF(Summary!$A$166:$A$242,'Operations Support'!A1729,Summary!$Q$166:$Q$242),0)</f>
        <v>84261.093183846038</v>
      </c>
      <c r="AG1729" s="196">
        <f t="shared" ca="1" si="375"/>
        <v>1175444.905503066</v>
      </c>
      <c r="AI1729" s="196">
        <f>IFERROR($G1729/SUMIF($A:$A,$A1729,$G:$G)*SUMIF(Summary!$A$247:$A$283,$A1729,Summary!$P$247:$P$283),0)</f>
        <v>15315.443310311846</v>
      </c>
      <c r="AJ1729" s="196">
        <f>IFERROR($G1729/SUMIF($A:$A,$A1729,$G:$G)*(SUMIF(Summary!$A$247:$A$283,$A1729,Summary!$L$247:$L$283)+SUMIF(Summary!$A$297:$A$333,$A1729,Summary!$L$297:$L$333))-AI1729,0)</f>
        <v>69146.592631564694</v>
      </c>
      <c r="AK1729" s="196">
        <f>IFERROR($G1729/SUMIF($A:$A,$A1729,$G:$G)*SUMIF(Summary!$A$247:$A$283,$A1729,Summary!$Q$247:$Q$283),0)</f>
        <v>15367.120684591988</v>
      </c>
      <c r="AL1729" s="196">
        <f>IFERROR($G1729/SUMIF($A:$A,$A1729,$G:$G)*(SUMIF(Summary!$A$247:$A$283,$A1729,Summary!$L$247:$L$283)+SUMIF(Summary!$A$297:$A$333,$A1729,Summary!$L$297:$L$333))-AK1729,0)</f>
        <v>69094.915257284563</v>
      </c>
      <c r="AM1729" s="198"/>
      <c r="AN1729" s="196">
        <f t="shared" ca="1" si="376"/>
        <v>1244874.8558396352</v>
      </c>
      <c r="AO1729" s="196">
        <f t="shared" ca="1" si="377"/>
        <v>1244539.8207603507</v>
      </c>
    </row>
    <row r="1730" spans="1:41">
      <c r="A1730" s="189">
        <v>3644</v>
      </c>
      <c r="B1730" s="190">
        <v>3</v>
      </c>
      <c r="C1730" s="191" t="s">
        <v>223</v>
      </c>
      <c r="D1730" s="192">
        <f t="shared" si="364"/>
        <v>4817</v>
      </c>
      <c r="E1730" s="192">
        <f t="shared" si="365"/>
        <v>3989</v>
      </c>
      <c r="F1730" s="192">
        <f t="shared" si="366"/>
        <v>0</v>
      </c>
      <c r="G1730" s="193">
        <f t="shared" si="367"/>
        <v>8806</v>
      </c>
      <c r="H1730" s="194">
        <v>1657</v>
      </c>
      <c r="I1730" s="194">
        <v>1520</v>
      </c>
      <c r="J1730" s="194">
        <v>0</v>
      </c>
      <c r="K1730" s="193">
        <f t="shared" si="368"/>
        <v>3177</v>
      </c>
      <c r="L1730" s="194">
        <v>1546</v>
      </c>
      <c r="M1730" s="194">
        <v>1352</v>
      </c>
      <c r="N1730" s="194">
        <v>0</v>
      </c>
      <c r="O1730" s="193">
        <f t="shared" si="369"/>
        <v>2898</v>
      </c>
      <c r="P1730" s="194">
        <v>1614</v>
      </c>
      <c r="Q1730" s="194">
        <v>1117</v>
      </c>
      <c r="R1730" s="194">
        <v>0</v>
      </c>
      <c r="S1730" s="193">
        <f t="shared" si="370"/>
        <v>2731</v>
      </c>
      <c r="T1730" s="193">
        <f t="shared" si="371"/>
        <v>366.91666666666669</v>
      </c>
      <c r="U1730" s="193">
        <f ca="1">OFFSET('Expenditure Study'!$B$7,'Operations Support'!$C1730,'Operations Support'!$B1730)*$G1730</f>
        <v>19725.440000000002</v>
      </c>
      <c r="V1730" s="199">
        <f ca="1">U1730*'Expenditure Study'!$B$31</f>
        <v>1165441.7378795522</v>
      </c>
      <c r="W1730" s="199">
        <f ca="1">IF(A1730=10298,1.51,1)*IF($B1730&lt;3,$D1730*'Expenditure Study'!$B$32*OFFSET('Expenditure Study'!$B$7,'Operations Support'!$C1730,'Operations Support'!$B1730),0)</f>
        <v>0</v>
      </c>
      <c r="X1730" s="200">
        <f ca="1">W1730*'Expenditure Study'!$B$31</f>
        <v>0</v>
      </c>
      <c r="Y1730" s="199">
        <f ca="1">U1730*'Expenditure Study'!$B$31</f>
        <v>1165441.7378795522</v>
      </c>
      <c r="Z1730" s="200">
        <f ca="1">W1730*'Expenditure Study'!$B$31</f>
        <v>0</v>
      </c>
      <c r="AA1730" s="195">
        <f t="shared" ca="1" si="372"/>
        <v>1165441.7378795522</v>
      </c>
      <c r="AB1730" s="195">
        <f t="shared" ca="1" si="373"/>
        <v>1165441.7378795522</v>
      </c>
      <c r="AD1730" s="196">
        <f>IFERROR($G1730/SUMIF($A:$A,$A1730,$G:$G)*SUMIF(Summary!$A$166:$A$242,$A1730,Summary!$P$166:$P$242),0)</f>
        <v>260481.83819185532</v>
      </c>
      <c r="AE1730" s="197">
        <f t="shared" ca="1" si="374"/>
        <v>904959.89968769683</v>
      </c>
      <c r="AF1730" s="196">
        <f>IFERROR(G1730/SUMIF(A:A,A1730,G:G)*SUMIF(Summary!$A$166:$A$242,'Operations Support'!A1730,Summary!$Q$166:$Q$242),0)</f>
        <v>261360.75610318713</v>
      </c>
      <c r="AG1730" s="196">
        <f t="shared" ca="1" si="375"/>
        <v>904080.98177636508</v>
      </c>
      <c r="AI1730" s="196">
        <f>IFERROR($G1730/SUMIF($A:$A,$A1730,$G:$G)*SUMIF(Summary!$A$247:$A$283,$A1730,Summary!$P$247:$P$283),0)</f>
        <v>47505.387034380459</v>
      </c>
      <c r="AJ1730" s="196">
        <f>IFERROR($G1730/SUMIF($A:$A,$A1730,$G:$G)*(SUMIF(Summary!$A$247:$A$283,$A1730,Summary!$L$247:$L$283)+SUMIF(Summary!$A$297:$A$333,$A1730,Summary!$L$297:$L$333))-AI1730,0)</f>
        <v>214478.65259371567</v>
      </c>
      <c r="AK1730" s="196">
        <f>IFERROR($G1730/SUMIF($A:$A,$A1730,$G:$G)*SUMIF(Summary!$A$247:$A$283,$A1730,Summary!$Q$247:$Q$283),0)</f>
        <v>47665.679728255389</v>
      </c>
      <c r="AL1730" s="196">
        <f>IFERROR($G1730/SUMIF($A:$A,$A1730,$G:$G)*(SUMIF(Summary!$A$247:$A$283,$A1730,Summary!$L$247:$L$283)+SUMIF(Summary!$A$297:$A$333,$A1730,Summary!$L$297:$L$333))-AK1730,0)</f>
        <v>214318.35989984073</v>
      </c>
      <c r="AM1730" s="198"/>
      <c r="AN1730" s="196">
        <f t="shared" ca="1" si="376"/>
        <v>1119438.5522814125</v>
      </c>
      <c r="AO1730" s="196">
        <f t="shared" ca="1" si="377"/>
        <v>1118399.3416762059</v>
      </c>
    </row>
    <row r="1731" spans="1:41">
      <c r="A1731" s="189">
        <v>3644</v>
      </c>
      <c r="B1731" s="190">
        <v>3</v>
      </c>
      <c r="C1731" s="191" t="s">
        <v>224</v>
      </c>
      <c r="D1731" s="192">
        <f t="shared" si="364"/>
        <v>3189.5</v>
      </c>
      <c r="E1731" s="192">
        <f t="shared" si="365"/>
        <v>302.5</v>
      </c>
      <c r="F1731" s="192">
        <f t="shared" si="366"/>
        <v>0</v>
      </c>
      <c r="G1731" s="193">
        <f t="shared" si="367"/>
        <v>3492</v>
      </c>
      <c r="H1731" s="194">
        <v>1285.5</v>
      </c>
      <c r="I1731" s="194">
        <v>155.5</v>
      </c>
      <c r="J1731" s="194">
        <v>0</v>
      </c>
      <c r="K1731" s="193">
        <f t="shared" si="368"/>
        <v>1441</v>
      </c>
      <c r="L1731" s="194">
        <v>1314</v>
      </c>
      <c r="M1731" s="194">
        <v>128</v>
      </c>
      <c r="N1731" s="194">
        <v>0</v>
      </c>
      <c r="O1731" s="193">
        <f t="shared" si="369"/>
        <v>1442</v>
      </c>
      <c r="P1731" s="194">
        <v>590</v>
      </c>
      <c r="Q1731" s="194">
        <v>19</v>
      </c>
      <c r="R1731" s="194">
        <v>0</v>
      </c>
      <c r="S1731" s="193">
        <f t="shared" si="370"/>
        <v>609</v>
      </c>
      <c r="T1731" s="193">
        <f t="shared" si="371"/>
        <v>145.5</v>
      </c>
      <c r="U1731" s="193">
        <f ca="1">OFFSET('Expenditure Study'!$B$7,'Operations Support'!$C1731,'Operations Support'!$B1731)*$G1731</f>
        <v>32021.64</v>
      </c>
      <c r="V1731" s="199">
        <f ca="1">U1731*'Expenditure Study'!$B$31</f>
        <v>1891940.3456325119</v>
      </c>
      <c r="W1731" s="199">
        <f ca="1">IF(A1731=10298,1.51,1)*IF($B1731&lt;3,$D1731*'Expenditure Study'!$B$32*OFFSET('Expenditure Study'!$B$7,'Operations Support'!$C1731,'Operations Support'!$B1731),0)</f>
        <v>0</v>
      </c>
      <c r="X1731" s="200">
        <f ca="1">W1731*'Expenditure Study'!$B$31</f>
        <v>0</v>
      </c>
      <c r="Y1731" s="199">
        <f ca="1">U1731*'Expenditure Study'!$B$31</f>
        <v>1891940.3456325119</v>
      </c>
      <c r="Z1731" s="200">
        <f ca="1">W1731*'Expenditure Study'!$B$31</f>
        <v>0</v>
      </c>
      <c r="AA1731" s="195">
        <f t="shared" ca="1" si="372"/>
        <v>1891940.3456325119</v>
      </c>
      <c r="AB1731" s="195">
        <f t="shared" ca="1" si="373"/>
        <v>1891940.3456325119</v>
      </c>
      <c r="AD1731" s="196">
        <f>IFERROR($G1731/SUMIF($A:$A,$A1731,$G:$G)*SUMIF(Summary!$A$166:$A$242,$A1731,Summary!$P$166:$P$242),0)</f>
        <v>103293.50204019518</v>
      </c>
      <c r="AE1731" s="197">
        <f t="shared" ca="1" si="374"/>
        <v>1788646.8435923166</v>
      </c>
      <c r="AF1731" s="196">
        <f>IFERROR(G1731/SUMIF(A:A,A1731,G:G)*SUMIF(Summary!$A$166:$A$242,'Operations Support'!A1731,Summary!$Q$166:$Q$242),0)</f>
        <v>103642.03501162044</v>
      </c>
      <c r="AG1731" s="196">
        <f t="shared" ca="1" si="375"/>
        <v>1788298.3106208914</v>
      </c>
      <c r="AI1731" s="196">
        <f>IFERROR($G1731/SUMIF($A:$A,$A1731,$G:$G)*SUMIF(Summary!$A$247:$A$283,$A1731,Summary!$P$247:$P$283),0)</f>
        <v>18838.157111521301</v>
      </c>
      <c r="AJ1731" s="196">
        <f>IFERROR($G1731/SUMIF($A:$A,$A1731,$G:$G)*(SUMIF(Summary!$A$247:$A$283,$A1731,Summary!$L$247:$L$283)+SUMIF(Summary!$A$297:$A$333,$A1731,Summary!$L$297:$L$333))-AI1731,0)</f>
        <v>85051.039615859088</v>
      </c>
      <c r="AK1731" s="196">
        <f>IFERROR($G1731/SUMIF($A:$A,$A1731,$G:$G)*SUMIF(Summary!$A$247:$A$283,$A1731,Summary!$Q$247:$Q$283),0)</f>
        <v>18901.720827965913</v>
      </c>
      <c r="AL1731" s="196">
        <f>IFERROR($G1731/SUMIF($A:$A,$A1731,$G:$G)*(SUMIF(Summary!$A$247:$A$283,$A1731,Summary!$L$247:$L$283)+SUMIF(Summary!$A$297:$A$333,$A1731,Summary!$L$297:$L$333))-AK1731,0)</f>
        <v>84987.475899414479</v>
      </c>
      <c r="AM1731" s="198"/>
      <c r="AN1731" s="196">
        <f t="shared" ca="1" si="376"/>
        <v>1873697.8832081757</v>
      </c>
      <c r="AO1731" s="196">
        <f t="shared" ca="1" si="377"/>
        <v>1873285.7865203058</v>
      </c>
    </row>
    <row r="1732" spans="1:41">
      <c r="A1732" s="189">
        <v>3644</v>
      </c>
      <c r="B1732" s="190">
        <v>3</v>
      </c>
      <c r="C1732" s="191" t="s">
        <v>225</v>
      </c>
      <c r="D1732" s="192">
        <f t="shared" si="364"/>
        <v>20060.599999999999</v>
      </c>
      <c r="E1732" s="192">
        <f t="shared" si="365"/>
        <v>2094.4</v>
      </c>
      <c r="F1732" s="192">
        <f t="shared" si="366"/>
        <v>0</v>
      </c>
      <c r="G1732" s="193">
        <f t="shared" si="367"/>
        <v>22155</v>
      </c>
      <c r="H1732" s="194">
        <v>8641.6</v>
      </c>
      <c r="I1732" s="194">
        <v>904.4</v>
      </c>
      <c r="J1732" s="194">
        <v>0</v>
      </c>
      <c r="K1732" s="193">
        <f t="shared" si="368"/>
        <v>9546</v>
      </c>
      <c r="L1732" s="194">
        <v>9002</v>
      </c>
      <c r="M1732" s="194">
        <v>928</v>
      </c>
      <c r="N1732" s="194">
        <v>0</v>
      </c>
      <c r="O1732" s="193">
        <f t="shared" si="369"/>
        <v>9930</v>
      </c>
      <c r="P1732" s="194">
        <v>2417</v>
      </c>
      <c r="Q1732" s="194">
        <v>262</v>
      </c>
      <c r="R1732" s="194">
        <v>0</v>
      </c>
      <c r="S1732" s="193">
        <f t="shared" si="370"/>
        <v>2679</v>
      </c>
      <c r="T1732" s="193">
        <f t="shared" si="371"/>
        <v>923.125</v>
      </c>
      <c r="U1732" s="193">
        <f ca="1">OFFSET('Expenditure Study'!$B$7,'Operations Support'!$C1732,'Operations Support'!$B1732)*$G1732</f>
        <v>153091.05000000002</v>
      </c>
      <c r="V1732" s="199">
        <f ca="1">U1732*'Expenditure Study'!$B$31</f>
        <v>9045106.1860118415</v>
      </c>
      <c r="W1732" s="199">
        <f ca="1">IF(A1732=10298,1.51,1)*IF($B1732&lt;3,$D1732*'Expenditure Study'!$B$32*OFFSET('Expenditure Study'!$B$7,'Operations Support'!$C1732,'Operations Support'!$B1732),0)</f>
        <v>0</v>
      </c>
      <c r="X1732" s="200">
        <f ca="1">W1732*'Expenditure Study'!$B$31</f>
        <v>0</v>
      </c>
      <c r="Y1732" s="199">
        <f ca="1">U1732*'Expenditure Study'!$B$31</f>
        <v>9045106.1860118415</v>
      </c>
      <c r="Z1732" s="200">
        <f ca="1">W1732*'Expenditure Study'!$B$31</f>
        <v>0</v>
      </c>
      <c r="AA1732" s="195">
        <f t="shared" ca="1" si="372"/>
        <v>9045106.1860118415</v>
      </c>
      <c r="AB1732" s="195">
        <f t="shared" ca="1" si="373"/>
        <v>9045106.1860118415</v>
      </c>
      <c r="AD1732" s="196">
        <f>IFERROR($G1732/SUMIF($A:$A,$A1732,$G:$G)*SUMIF(Summary!$A$166:$A$242,$A1732,Summary!$P$166:$P$242),0)</f>
        <v>655345.80117426231</v>
      </c>
      <c r="AE1732" s="197">
        <f t="shared" ca="1" si="374"/>
        <v>8389760.384837579</v>
      </c>
      <c r="AF1732" s="196">
        <f>IFERROR(G1732/SUMIF(A:A,A1732,G:G)*SUMIF(Summary!$A$166:$A$242,'Operations Support'!A1732,Summary!$Q$166:$Q$242),0)</f>
        <v>657557.06921032374</v>
      </c>
      <c r="AG1732" s="196">
        <f t="shared" ca="1" si="375"/>
        <v>8387549.116801518</v>
      </c>
      <c r="AI1732" s="196">
        <f>IFERROR($G1732/SUMIF($A:$A,$A1732,$G:$G)*SUMIF(Summary!$A$247:$A$283,$A1732,Summary!$P$247:$P$283),0)</f>
        <v>119518.72016201442</v>
      </c>
      <c r="AJ1732" s="196">
        <f>IFERROR($G1732/SUMIF($A:$A,$A1732,$G:$G)*(SUMIF(Summary!$A$247:$A$283,$A1732,Summary!$L$247:$L$283)+SUMIF(Summary!$A$297:$A$333,$A1732,Summary!$L$297:$L$333))-AI1732,0)</f>
        <v>539606.46697862493</v>
      </c>
      <c r="AK1732" s="196">
        <f>IFERROR($G1732/SUMIF($A:$A,$A1732,$G:$G)*SUMIF(Summary!$A$247:$A$283,$A1732,Summary!$Q$247:$Q$283),0)</f>
        <v>119922.00027021328</v>
      </c>
      <c r="AL1732" s="196">
        <f>IFERROR($G1732/SUMIF($A:$A,$A1732,$G:$G)*(SUMIF(Summary!$A$247:$A$283,$A1732,Summary!$L$247:$L$283)+SUMIF(Summary!$A$297:$A$333,$A1732,Summary!$L$297:$L$333))-AK1732,0)</f>
        <v>539203.18687042606</v>
      </c>
      <c r="AM1732" s="198"/>
      <c r="AN1732" s="196">
        <f t="shared" ca="1" si="376"/>
        <v>8929366.8518162034</v>
      </c>
      <c r="AO1732" s="196">
        <f t="shared" ca="1" si="377"/>
        <v>8926752.3036719449</v>
      </c>
    </row>
    <row r="1733" spans="1:41">
      <c r="A1733" s="189">
        <v>3644</v>
      </c>
      <c r="B1733" s="190">
        <v>3</v>
      </c>
      <c r="C1733" s="191" t="s">
        <v>226</v>
      </c>
      <c r="D1733" s="192">
        <f t="shared" ref="D1733:D1796" si="378">H1733+L1733+P1733</f>
        <v>73</v>
      </c>
      <c r="E1733" s="192">
        <f t="shared" ref="E1733:E1796" si="379">I1733+M1733+Q1733</f>
        <v>54</v>
      </c>
      <c r="F1733" s="192">
        <f t="shared" ref="F1733:F1796" si="380">J1733+N1733+R1733</f>
        <v>0</v>
      </c>
      <c r="G1733" s="193">
        <f t="shared" ref="G1733:G1796" si="381">(SUM(D1733:E1733)-F1733)*IF(A1733=10298,1.51,1)</f>
        <v>127</v>
      </c>
      <c r="H1733" s="194">
        <v>48</v>
      </c>
      <c r="I1733" s="194">
        <v>48</v>
      </c>
      <c r="J1733" s="194">
        <v>0</v>
      </c>
      <c r="K1733" s="193">
        <f t="shared" ref="K1733:K1796" si="382">SUM(H1733:I1733)-J1733</f>
        <v>96</v>
      </c>
      <c r="L1733" s="194">
        <v>12</v>
      </c>
      <c r="M1733" s="194">
        <v>3</v>
      </c>
      <c r="N1733" s="194">
        <v>0</v>
      </c>
      <c r="O1733" s="193">
        <f t="shared" ref="O1733:O1796" si="383">SUM(L1733:M1733)-N1733</f>
        <v>15</v>
      </c>
      <c r="P1733" s="194">
        <v>13</v>
      </c>
      <c r="Q1733" s="194">
        <v>3</v>
      </c>
      <c r="R1733" s="194">
        <v>0</v>
      </c>
      <c r="S1733" s="193">
        <f t="shared" ref="S1733:S1796" si="384">SUM(P1733:Q1733)-R1733</f>
        <v>16</v>
      </c>
      <c r="T1733" s="193">
        <f t="shared" ref="T1733:T1796" si="385">IF(OR(B1733=1,B1733=2),G1733/30,IF(OR(B1733=3,B1733=5),G1733/24,IF(B1733=4,G1733/18,0)))</f>
        <v>5.291666666666667</v>
      </c>
      <c r="U1733" s="193">
        <f ca="1">OFFSET('Expenditure Study'!$B$7,'Operations Support'!$C1733,'Operations Support'!$B1733)*$G1733</f>
        <v>438.15000000000003</v>
      </c>
      <c r="V1733" s="199">
        <f ca="1">U1733*'Expenditure Study'!$B$31</f>
        <v>25887.295667520004</v>
      </c>
      <c r="W1733" s="199">
        <f ca="1">IF(A1733=10298,1.51,1)*IF($B1733&lt;3,$D1733*'Expenditure Study'!$B$32*OFFSET('Expenditure Study'!$B$7,'Operations Support'!$C1733,'Operations Support'!$B1733),0)</f>
        <v>0</v>
      </c>
      <c r="X1733" s="200">
        <f ca="1">W1733*'Expenditure Study'!$B$31</f>
        <v>0</v>
      </c>
      <c r="Y1733" s="199">
        <f ca="1">U1733*'Expenditure Study'!$B$31</f>
        <v>25887.295667520004</v>
      </c>
      <c r="Z1733" s="200">
        <f ca="1">W1733*'Expenditure Study'!$B$31</f>
        <v>0</v>
      </c>
      <c r="AA1733" s="195">
        <f t="shared" ref="AA1733:AA1796" ca="1" si="386">V1733+X1733</f>
        <v>25887.295667520004</v>
      </c>
      <c r="AB1733" s="195">
        <f t="shared" ref="AB1733:AB1796" ca="1" si="387">Y1733+Z1733</f>
        <v>25887.295667520004</v>
      </c>
      <c r="AD1733" s="196">
        <f>IFERROR($G1733/SUMIF($A:$A,$A1733,$G:$G)*SUMIF(Summary!$A$166:$A$242,$A1733,Summary!$P$166:$P$242),0)</f>
        <v>3756.6651658375681</v>
      </c>
      <c r="AE1733" s="197">
        <f t="shared" ca="1" si="374"/>
        <v>22130.630501682437</v>
      </c>
      <c r="AF1733" s="196">
        <f>IFERROR(G1733/SUMIF(A:A,A1733,G:G)*SUMIF(Summary!$A$166:$A$242,'Operations Support'!A1733,Summary!$Q$166:$Q$242),0)</f>
        <v>3769.3409067800098</v>
      </c>
      <c r="AG1733" s="196">
        <f t="shared" ca="1" si="375"/>
        <v>22117.954760739995</v>
      </c>
      <c r="AI1733" s="196">
        <f>IFERROR($G1733/SUMIF($A:$A,$A1733,$G:$G)*SUMIF(Summary!$A$247:$A$283,$A1733,Summary!$P$247:$P$283),0)</f>
        <v>685.12197971454896</v>
      </c>
      <c r="AJ1733" s="196">
        <f>IFERROR($G1733/SUMIF($A:$A,$A1733,$G:$G)*(SUMIF(Summary!$A$247:$A$283,$A1733,Summary!$L$247:$L$283)+SUMIF(Summary!$A$297:$A$333,$A1733,Summary!$L$297:$L$333))-AI1733,0)</f>
        <v>3093.2079127188154</v>
      </c>
      <c r="AK1733" s="196">
        <f>IFERROR($G1733/SUMIF($A:$A,$A1733,$G:$G)*SUMIF(Summary!$A$247:$A$283,$A1733,Summary!$Q$247:$Q$283),0)</f>
        <v>687.43371854286102</v>
      </c>
      <c r="AL1733" s="196">
        <f>IFERROR($G1733/SUMIF($A:$A,$A1733,$G:$G)*(SUMIF(Summary!$A$247:$A$283,$A1733,Summary!$L$247:$L$283)+SUMIF(Summary!$A$297:$A$333,$A1733,Summary!$L$297:$L$333))-AK1733,0)</f>
        <v>3090.8961738905036</v>
      </c>
      <c r="AM1733" s="198"/>
      <c r="AN1733" s="196">
        <f t="shared" ca="1" si="376"/>
        <v>25223.838414401253</v>
      </c>
      <c r="AO1733" s="196">
        <f t="shared" ca="1" si="377"/>
        <v>25208.8509346305</v>
      </c>
    </row>
    <row r="1734" spans="1:41">
      <c r="A1734" s="189">
        <v>3644</v>
      </c>
      <c r="B1734" s="190">
        <v>3</v>
      </c>
      <c r="C1734" s="191" t="s">
        <v>227</v>
      </c>
      <c r="D1734" s="192">
        <f t="shared" si="378"/>
        <v>0</v>
      </c>
      <c r="E1734" s="192">
        <f t="shared" si="379"/>
        <v>0</v>
      </c>
      <c r="F1734" s="192">
        <f t="shared" si="380"/>
        <v>0</v>
      </c>
      <c r="G1734" s="193">
        <f t="shared" si="381"/>
        <v>0</v>
      </c>
      <c r="H1734" s="194">
        <v>0</v>
      </c>
      <c r="I1734" s="194">
        <v>0</v>
      </c>
      <c r="J1734" s="194">
        <v>0</v>
      </c>
      <c r="K1734" s="193">
        <f t="shared" si="382"/>
        <v>0</v>
      </c>
      <c r="L1734" s="194">
        <v>0</v>
      </c>
      <c r="M1734" s="194">
        <v>0</v>
      </c>
      <c r="N1734" s="194">
        <v>0</v>
      </c>
      <c r="O1734" s="193">
        <f t="shared" si="383"/>
        <v>0</v>
      </c>
      <c r="P1734" s="194">
        <v>0</v>
      </c>
      <c r="Q1734" s="194">
        <v>0</v>
      </c>
      <c r="R1734" s="194">
        <v>0</v>
      </c>
      <c r="S1734" s="193">
        <f t="shared" si="384"/>
        <v>0</v>
      </c>
      <c r="T1734" s="193">
        <f t="shared" si="385"/>
        <v>0</v>
      </c>
      <c r="U1734" s="193">
        <f ca="1">OFFSET('Expenditure Study'!$B$7,'Operations Support'!$C1734,'Operations Support'!$B1734)*$G1734</f>
        <v>0</v>
      </c>
      <c r="V1734" s="199">
        <f ca="1">U1734*'Expenditure Study'!$B$31</f>
        <v>0</v>
      </c>
      <c r="W1734" s="199">
        <f ca="1">IF(A1734=10298,1.51,1)*IF($B1734&lt;3,$D1734*'Expenditure Study'!$B$32*OFFSET('Expenditure Study'!$B$7,'Operations Support'!$C1734,'Operations Support'!$B1734),0)</f>
        <v>0</v>
      </c>
      <c r="X1734" s="200">
        <f ca="1">W1734*'Expenditure Study'!$B$31</f>
        <v>0</v>
      </c>
      <c r="Y1734" s="199">
        <f ca="1">U1734*'Expenditure Study'!$B$31</f>
        <v>0</v>
      </c>
      <c r="Z1734" s="200">
        <f ca="1">W1734*'Expenditure Study'!$B$31</f>
        <v>0</v>
      </c>
      <c r="AA1734" s="195">
        <f t="shared" ca="1" si="386"/>
        <v>0</v>
      </c>
      <c r="AB1734" s="195">
        <f t="shared" ca="1" si="387"/>
        <v>0</v>
      </c>
      <c r="AD1734" s="196">
        <f>IFERROR($G1734/SUMIF($A:$A,$A1734,$G:$G)*SUMIF(Summary!$A$166:$A$242,$A1734,Summary!$P$166:$P$242),0)</f>
        <v>0</v>
      </c>
      <c r="AE1734" s="197">
        <f t="shared" ref="AE1734:AE1797" ca="1" si="388">V1734+X1734-AD1734</f>
        <v>0</v>
      </c>
      <c r="AF1734" s="196">
        <f>IFERROR(G1734/SUMIF(A:A,A1734,G:G)*SUMIF(Summary!$A$166:$A$242,'Operations Support'!A1734,Summary!$Q$166:$Q$242),0)</f>
        <v>0</v>
      </c>
      <c r="AG1734" s="196">
        <f t="shared" ref="AG1734:AG1797" ca="1" si="389">Y1734+Z1734-AF1734</f>
        <v>0</v>
      </c>
      <c r="AI1734" s="196">
        <f>IFERROR($G1734/SUMIF($A:$A,$A1734,$G:$G)*SUMIF(Summary!$A$247:$A$283,$A1734,Summary!$P$247:$P$283),0)</f>
        <v>0</v>
      </c>
      <c r="AJ1734" s="196">
        <f>IFERROR($G1734/SUMIF($A:$A,$A1734,$G:$G)*(SUMIF(Summary!$A$247:$A$283,$A1734,Summary!$L$247:$L$283)+SUMIF(Summary!$A$297:$A$333,$A1734,Summary!$L$297:$L$333))-AI1734,0)</f>
        <v>0</v>
      </c>
      <c r="AK1734" s="196">
        <f>IFERROR($G1734/SUMIF($A:$A,$A1734,$G:$G)*SUMIF(Summary!$A$247:$A$283,$A1734,Summary!$Q$247:$Q$283),0)</f>
        <v>0</v>
      </c>
      <c r="AL1734" s="196">
        <f>IFERROR($G1734/SUMIF($A:$A,$A1734,$G:$G)*(SUMIF(Summary!$A$247:$A$283,$A1734,Summary!$L$247:$L$283)+SUMIF(Summary!$A$297:$A$333,$A1734,Summary!$L$297:$L$333))-AK1734,0)</f>
        <v>0</v>
      </c>
      <c r="AM1734" s="198"/>
      <c r="AN1734" s="196">
        <f t="shared" ref="AN1734:AN1797" ca="1" si="390">AE1734+AJ1734</f>
        <v>0</v>
      </c>
      <c r="AO1734" s="196">
        <f t="shared" ref="AO1734:AO1797" ca="1" si="391">AG1734+AL1734</f>
        <v>0</v>
      </c>
    </row>
    <row r="1735" spans="1:41" s="201" customFormat="1">
      <c r="A1735" s="189">
        <v>3644</v>
      </c>
      <c r="B1735" s="190">
        <v>3</v>
      </c>
      <c r="C1735" s="191" t="s">
        <v>228</v>
      </c>
      <c r="D1735" s="192">
        <f t="shared" si="378"/>
        <v>357</v>
      </c>
      <c r="E1735" s="192">
        <f t="shared" si="379"/>
        <v>440</v>
      </c>
      <c r="F1735" s="192">
        <f t="shared" si="380"/>
        <v>0</v>
      </c>
      <c r="G1735" s="193">
        <f t="shared" si="381"/>
        <v>797</v>
      </c>
      <c r="H1735" s="194">
        <v>153</v>
      </c>
      <c r="I1735" s="194">
        <v>172</v>
      </c>
      <c r="J1735" s="194">
        <v>0</v>
      </c>
      <c r="K1735" s="193">
        <f t="shared" si="382"/>
        <v>325</v>
      </c>
      <c r="L1735" s="194">
        <v>90</v>
      </c>
      <c r="M1735" s="194">
        <v>241</v>
      </c>
      <c r="N1735" s="194">
        <v>0</v>
      </c>
      <c r="O1735" s="193">
        <f t="shared" si="383"/>
        <v>331</v>
      </c>
      <c r="P1735" s="194">
        <v>114</v>
      </c>
      <c r="Q1735" s="194">
        <v>27</v>
      </c>
      <c r="R1735" s="194">
        <v>0</v>
      </c>
      <c r="S1735" s="193">
        <f t="shared" si="384"/>
        <v>141</v>
      </c>
      <c r="T1735" s="193">
        <f t="shared" si="385"/>
        <v>33.208333333333336</v>
      </c>
      <c r="U1735" s="193">
        <f ca="1">OFFSET('Expenditure Study'!$B$7,'Operations Support'!$C1735,'Operations Support'!$B1735)*$G1735</f>
        <v>1944.68</v>
      </c>
      <c r="V1735" s="199">
        <f ca="1">U1735*'Expenditure Study'!$B$31</f>
        <v>114897.88003814401</v>
      </c>
      <c r="W1735" s="199">
        <f ca="1">IF(A1735=10298,1.51,1)*IF($B1735&lt;3,$D1735*'Expenditure Study'!$B$32*OFFSET('Expenditure Study'!$B$7,'Operations Support'!$C1735,'Operations Support'!$B1735),0)</f>
        <v>0</v>
      </c>
      <c r="X1735" s="200">
        <f ca="1">W1735*'Expenditure Study'!$B$31</f>
        <v>0</v>
      </c>
      <c r="Y1735" s="199">
        <f ca="1">U1735*'Expenditure Study'!$B$31</f>
        <v>114897.88003814401</v>
      </c>
      <c r="Z1735" s="200">
        <f ca="1">W1735*'Expenditure Study'!$B$31</f>
        <v>0</v>
      </c>
      <c r="AA1735" s="195">
        <f t="shared" ca="1" si="386"/>
        <v>114897.88003814401</v>
      </c>
      <c r="AB1735" s="195">
        <f t="shared" ca="1" si="387"/>
        <v>114897.88003814401</v>
      </c>
      <c r="AD1735" s="196">
        <f>IFERROR($G1735/SUMIF($A:$A,$A1735,$G:$G)*SUMIF(Summary!$A$166:$A$242,$A1735,Summary!$P$166:$P$242),0)</f>
        <v>23575.292418681431</v>
      </c>
      <c r="AE1735" s="197">
        <f t="shared" ca="1" si="388"/>
        <v>91322.587619462574</v>
      </c>
      <c r="AF1735" s="196">
        <f>IFERROR(G1735/SUMIF(A:A,A1735,G:G)*SUMIF(Summary!$A$166:$A$242,'Operations Support'!A1735,Summary!$Q$166:$Q$242),0)</f>
        <v>23654.840178769038</v>
      </c>
      <c r="AG1735" s="196">
        <f t="shared" ca="1" si="389"/>
        <v>91243.039859374971</v>
      </c>
      <c r="AH1735" s="180"/>
      <c r="AI1735" s="196">
        <f>IFERROR($G1735/SUMIF($A:$A,$A1735,$G:$G)*SUMIF(Summary!$A$247:$A$283,$A1735,Summary!$P$247:$P$283),0)</f>
        <v>4299.5450223031139</v>
      </c>
      <c r="AJ1735" s="196">
        <f>IFERROR($G1735/SUMIF($A:$A,$A1735,$G:$G)*(SUMIF(Summary!$A$247:$A$283,$A1735,Summary!$L$247:$L$283)+SUMIF(Summary!$A$297:$A$333,$A1735,Summary!$L$297:$L$333))-AI1735,0)</f>
        <v>19411.70634989682</v>
      </c>
      <c r="AK1735" s="196">
        <f>IFERROR($G1735/SUMIF($A:$A,$A1735,$G:$G)*SUMIF(Summary!$A$247:$A$283,$A1735,Summary!$Q$247:$Q$283),0)</f>
        <v>4314.0525486508686</v>
      </c>
      <c r="AL1735" s="196">
        <f>IFERROR($G1735/SUMIF($A:$A,$A1735,$G:$G)*(SUMIF(Summary!$A$247:$A$283,$A1735,Summary!$L$247:$L$283)+SUMIF(Summary!$A$297:$A$333,$A1735,Summary!$L$297:$L$333))-AK1735,0)</f>
        <v>19397.198823549064</v>
      </c>
      <c r="AM1735" s="198"/>
      <c r="AN1735" s="196">
        <f t="shared" ca="1" si="390"/>
        <v>110734.29396935939</v>
      </c>
      <c r="AO1735" s="196">
        <f t="shared" ca="1" si="391"/>
        <v>110640.23868292404</v>
      </c>
    </row>
    <row r="1736" spans="1:41">
      <c r="A1736" s="189">
        <v>3644</v>
      </c>
      <c r="B1736" s="190">
        <v>3</v>
      </c>
      <c r="C1736" s="191" t="s">
        <v>229</v>
      </c>
      <c r="D1736" s="192">
        <f t="shared" si="378"/>
        <v>370</v>
      </c>
      <c r="E1736" s="192">
        <f t="shared" si="379"/>
        <v>185</v>
      </c>
      <c r="F1736" s="192">
        <f t="shared" si="380"/>
        <v>0</v>
      </c>
      <c r="G1736" s="193">
        <f t="shared" si="381"/>
        <v>555</v>
      </c>
      <c r="H1736" s="194">
        <v>58</v>
      </c>
      <c r="I1736" s="194">
        <v>112</v>
      </c>
      <c r="J1736" s="194">
        <v>0</v>
      </c>
      <c r="K1736" s="193">
        <f t="shared" si="382"/>
        <v>170</v>
      </c>
      <c r="L1736" s="194">
        <v>238</v>
      </c>
      <c r="M1736" s="194">
        <v>30</v>
      </c>
      <c r="N1736" s="194">
        <v>0</v>
      </c>
      <c r="O1736" s="193">
        <f t="shared" si="383"/>
        <v>268</v>
      </c>
      <c r="P1736" s="194">
        <v>74</v>
      </c>
      <c r="Q1736" s="194">
        <v>43</v>
      </c>
      <c r="R1736" s="194">
        <v>0</v>
      </c>
      <c r="S1736" s="193">
        <f t="shared" si="384"/>
        <v>117</v>
      </c>
      <c r="T1736" s="193">
        <f t="shared" si="385"/>
        <v>23.125</v>
      </c>
      <c r="U1736" s="193">
        <f ca="1">OFFSET('Expenditure Study'!$B$7,'Operations Support'!$C1736,'Operations Support'!$B1736)*$G1736</f>
        <v>2047.95</v>
      </c>
      <c r="V1736" s="199">
        <f ca="1">U1736*'Expenditure Study'!$B$31</f>
        <v>120999.40011936</v>
      </c>
      <c r="W1736" s="199">
        <f ca="1">IF(A1736=10298,1.51,1)*IF($B1736&lt;3,$D1736*'Expenditure Study'!$B$32*OFFSET('Expenditure Study'!$B$7,'Operations Support'!$C1736,'Operations Support'!$B1736),0)</f>
        <v>0</v>
      </c>
      <c r="X1736" s="200">
        <f ca="1">W1736*'Expenditure Study'!$B$31</f>
        <v>0</v>
      </c>
      <c r="Y1736" s="199">
        <f ca="1">U1736*'Expenditure Study'!$B$31</f>
        <v>120999.40011936</v>
      </c>
      <c r="Z1736" s="200">
        <f ca="1">W1736*'Expenditure Study'!$B$31</f>
        <v>0</v>
      </c>
      <c r="AA1736" s="195">
        <f t="shared" ca="1" si="386"/>
        <v>120999.40011936</v>
      </c>
      <c r="AB1736" s="195">
        <f t="shared" ca="1" si="387"/>
        <v>120999.40011936</v>
      </c>
      <c r="AD1736" s="196">
        <f>IFERROR($G1736/SUMIF($A:$A,$A1736,$G:$G)*SUMIF(Summary!$A$166:$A$242,$A1736,Summary!$P$166:$P$242),0)</f>
        <v>16416.922575116932</v>
      </c>
      <c r="AE1736" s="197">
        <f t="shared" ca="1" si="388"/>
        <v>104582.47754424307</v>
      </c>
      <c r="AF1736" s="196">
        <f>IFERROR(G1736/SUMIF(A:A,A1736,G:G)*SUMIF(Summary!$A$166:$A$242,'Operations Support'!A1736,Summary!$Q$166:$Q$242),0)</f>
        <v>16472.316561125241</v>
      </c>
      <c r="AG1736" s="196">
        <f t="shared" ca="1" si="389"/>
        <v>104527.08355823476</v>
      </c>
      <c r="AI1736" s="196">
        <f>IFERROR($G1736/SUMIF($A:$A,$A1736,$G:$G)*SUMIF(Summary!$A$247:$A$283,$A1736,Summary!$P$247:$P$283),0)</f>
        <v>2994.036997965155</v>
      </c>
      <c r="AJ1736" s="196">
        <f>IFERROR($G1736/SUMIF($A:$A,$A1736,$G:$G)*(SUMIF(Summary!$A$247:$A$283,$A1736,Summary!$L$247:$L$283)+SUMIF(Summary!$A$297:$A$333,$A1736,Summary!$L$297:$L$333))-AI1736,0)</f>
        <v>13517.562138259389</v>
      </c>
      <c r="AK1736" s="196">
        <f>IFERROR($G1736/SUMIF($A:$A,$A1736,$G:$G)*SUMIF(Summary!$A$247:$A$283,$A1736,Summary!$Q$247:$Q$283),0)</f>
        <v>3004.1394786715582</v>
      </c>
      <c r="AL1736" s="196">
        <f>IFERROR($G1736/SUMIF($A:$A,$A1736,$G:$G)*(SUMIF(Summary!$A$247:$A$283,$A1736,Summary!$L$247:$L$283)+SUMIF(Summary!$A$297:$A$333,$A1736,Summary!$L$297:$L$333))-AK1736,0)</f>
        <v>13507.459657552987</v>
      </c>
      <c r="AM1736" s="198"/>
      <c r="AN1736" s="196">
        <f t="shared" ca="1" si="390"/>
        <v>118100.03968250245</v>
      </c>
      <c r="AO1736" s="196">
        <f t="shared" ca="1" si="391"/>
        <v>118034.54321578775</v>
      </c>
    </row>
    <row r="1737" spans="1:41">
      <c r="A1737" s="189">
        <v>3644</v>
      </c>
      <c r="B1737" s="190">
        <v>3</v>
      </c>
      <c r="C1737" s="191" t="s">
        <v>230</v>
      </c>
      <c r="D1737" s="192">
        <f t="shared" si="378"/>
        <v>0</v>
      </c>
      <c r="E1737" s="192">
        <f t="shared" si="379"/>
        <v>0</v>
      </c>
      <c r="F1737" s="192">
        <f t="shared" si="380"/>
        <v>0</v>
      </c>
      <c r="G1737" s="193">
        <f t="shared" si="381"/>
        <v>0</v>
      </c>
      <c r="H1737" s="194">
        <v>0</v>
      </c>
      <c r="I1737" s="194">
        <v>0</v>
      </c>
      <c r="J1737" s="194">
        <v>0</v>
      </c>
      <c r="K1737" s="193">
        <f t="shared" si="382"/>
        <v>0</v>
      </c>
      <c r="L1737" s="194">
        <v>0</v>
      </c>
      <c r="M1737" s="194">
        <v>0</v>
      </c>
      <c r="N1737" s="194">
        <v>0</v>
      </c>
      <c r="O1737" s="193">
        <f t="shared" si="383"/>
        <v>0</v>
      </c>
      <c r="P1737" s="194">
        <v>0</v>
      </c>
      <c r="Q1737" s="194">
        <v>0</v>
      </c>
      <c r="R1737" s="194">
        <v>0</v>
      </c>
      <c r="S1737" s="193">
        <f t="shared" si="384"/>
        <v>0</v>
      </c>
      <c r="T1737" s="193">
        <f t="shared" si="385"/>
        <v>0</v>
      </c>
      <c r="U1737" s="193">
        <f ca="1">OFFSET('Expenditure Study'!$B$7,'Operations Support'!$C1737,'Operations Support'!$B1737)*$G1737</f>
        <v>0</v>
      </c>
      <c r="V1737" s="199">
        <f ca="1">U1737*'Expenditure Study'!$B$31</f>
        <v>0</v>
      </c>
      <c r="W1737" s="199">
        <f ca="1">IF(A1737=10298,1.51,1)*IF($B1737&lt;3,$D1737*'Expenditure Study'!$B$32*OFFSET('Expenditure Study'!$B$7,'Operations Support'!$C1737,'Operations Support'!$B1737),0)</f>
        <v>0</v>
      </c>
      <c r="X1737" s="200">
        <f ca="1">W1737*'Expenditure Study'!$B$31</f>
        <v>0</v>
      </c>
      <c r="Y1737" s="199">
        <f ca="1">U1737*'Expenditure Study'!$B$31</f>
        <v>0</v>
      </c>
      <c r="Z1737" s="200">
        <f ca="1">W1737*'Expenditure Study'!$B$31</f>
        <v>0</v>
      </c>
      <c r="AA1737" s="195">
        <f t="shared" ca="1" si="386"/>
        <v>0</v>
      </c>
      <c r="AB1737" s="195">
        <f t="shared" ca="1" si="387"/>
        <v>0</v>
      </c>
      <c r="AD1737" s="196">
        <f>IFERROR($G1737/SUMIF($A:$A,$A1737,$G:$G)*SUMIF(Summary!$A$166:$A$242,$A1737,Summary!$P$166:$P$242),0)</f>
        <v>0</v>
      </c>
      <c r="AE1737" s="197">
        <f t="shared" ca="1" si="388"/>
        <v>0</v>
      </c>
      <c r="AF1737" s="196">
        <f>IFERROR(G1737/SUMIF(A:A,A1737,G:G)*SUMIF(Summary!$A$166:$A$242,'Operations Support'!A1737,Summary!$Q$166:$Q$242),0)</f>
        <v>0</v>
      </c>
      <c r="AG1737" s="196">
        <f t="shared" ca="1" si="389"/>
        <v>0</v>
      </c>
      <c r="AI1737" s="196">
        <f>IFERROR($G1737/SUMIF($A:$A,$A1737,$G:$G)*SUMIF(Summary!$A$247:$A$283,$A1737,Summary!$P$247:$P$283),0)</f>
        <v>0</v>
      </c>
      <c r="AJ1737" s="196">
        <f>IFERROR($G1737/SUMIF($A:$A,$A1737,$G:$G)*(SUMIF(Summary!$A$247:$A$283,$A1737,Summary!$L$247:$L$283)+SUMIF(Summary!$A$297:$A$333,$A1737,Summary!$L$297:$L$333))-AI1737,0)</f>
        <v>0</v>
      </c>
      <c r="AK1737" s="196">
        <f>IFERROR($G1737/SUMIF($A:$A,$A1737,$G:$G)*SUMIF(Summary!$A$247:$A$283,$A1737,Summary!$Q$247:$Q$283),0)</f>
        <v>0</v>
      </c>
      <c r="AL1737" s="196">
        <f>IFERROR($G1737/SUMIF($A:$A,$A1737,$G:$G)*(SUMIF(Summary!$A$247:$A$283,$A1737,Summary!$L$247:$L$283)+SUMIF(Summary!$A$297:$A$333,$A1737,Summary!$L$297:$L$333))-AK1737,0)</f>
        <v>0</v>
      </c>
      <c r="AM1737" s="198"/>
      <c r="AN1737" s="196">
        <f t="shared" ca="1" si="390"/>
        <v>0</v>
      </c>
      <c r="AO1737" s="196">
        <f t="shared" ca="1" si="391"/>
        <v>0</v>
      </c>
    </row>
    <row r="1738" spans="1:41">
      <c r="A1738" s="189">
        <v>3644</v>
      </c>
      <c r="B1738" s="190">
        <v>3</v>
      </c>
      <c r="C1738" s="191" t="s">
        <v>231</v>
      </c>
      <c r="D1738" s="192">
        <f t="shared" si="378"/>
        <v>0</v>
      </c>
      <c r="E1738" s="192">
        <f t="shared" si="379"/>
        <v>0</v>
      </c>
      <c r="F1738" s="192">
        <f t="shared" si="380"/>
        <v>0</v>
      </c>
      <c r="G1738" s="193">
        <f t="shared" si="381"/>
        <v>0</v>
      </c>
      <c r="H1738" s="194">
        <v>0</v>
      </c>
      <c r="I1738" s="194">
        <v>0</v>
      </c>
      <c r="J1738" s="194">
        <v>0</v>
      </c>
      <c r="K1738" s="193">
        <f t="shared" si="382"/>
        <v>0</v>
      </c>
      <c r="L1738" s="194">
        <v>0</v>
      </c>
      <c r="M1738" s="194">
        <v>0</v>
      </c>
      <c r="N1738" s="194">
        <v>0</v>
      </c>
      <c r="O1738" s="193">
        <f t="shared" si="383"/>
        <v>0</v>
      </c>
      <c r="P1738" s="194">
        <v>0</v>
      </c>
      <c r="Q1738" s="194">
        <v>0</v>
      </c>
      <c r="R1738" s="194">
        <v>0</v>
      </c>
      <c r="S1738" s="193">
        <f t="shared" si="384"/>
        <v>0</v>
      </c>
      <c r="T1738" s="193">
        <f t="shared" si="385"/>
        <v>0</v>
      </c>
      <c r="U1738" s="193">
        <f ca="1">OFFSET('Expenditure Study'!$B$7,'Operations Support'!$C1738,'Operations Support'!$B1738)*$G1738</f>
        <v>0</v>
      </c>
      <c r="V1738" s="199">
        <f ca="1">U1738*'Expenditure Study'!$B$31</f>
        <v>0</v>
      </c>
      <c r="W1738" s="199">
        <f ca="1">IF(A1738=10298,1.51,1)*IF($B1738&lt;3,$D1738*'Expenditure Study'!$B$32*OFFSET('Expenditure Study'!$B$7,'Operations Support'!$C1738,'Operations Support'!$B1738),0)</f>
        <v>0</v>
      </c>
      <c r="X1738" s="200">
        <f ca="1">W1738*'Expenditure Study'!$B$31</f>
        <v>0</v>
      </c>
      <c r="Y1738" s="199">
        <f ca="1">U1738*'Expenditure Study'!$B$31</f>
        <v>0</v>
      </c>
      <c r="Z1738" s="200">
        <f ca="1">W1738*'Expenditure Study'!$B$31</f>
        <v>0</v>
      </c>
      <c r="AA1738" s="195">
        <f t="shared" ca="1" si="386"/>
        <v>0</v>
      </c>
      <c r="AB1738" s="195">
        <f t="shared" ca="1" si="387"/>
        <v>0</v>
      </c>
      <c r="AD1738" s="196">
        <f>IFERROR($G1738/SUMIF($A:$A,$A1738,$G:$G)*SUMIF(Summary!$A$166:$A$242,$A1738,Summary!$P$166:$P$242),0)</f>
        <v>0</v>
      </c>
      <c r="AE1738" s="197">
        <f t="shared" ca="1" si="388"/>
        <v>0</v>
      </c>
      <c r="AF1738" s="196">
        <f>IFERROR(G1738/SUMIF(A:A,A1738,G:G)*SUMIF(Summary!$A$166:$A$242,'Operations Support'!A1738,Summary!$Q$166:$Q$242),0)</f>
        <v>0</v>
      </c>
      <c r="AG1738" s="196">
        <f t="shared" ca="1" si="389"/>
        <v>0</v>
      </c>
      <c r="AI1738" s="196">
        <f>IFERROR($G1738/SUMIF($A:$A,$A1738,$G:$G)*SUMIF(Summary!$A$247:$A$283,$A1738,Summary!$P$247:$P$283),0)</f>
        <v>0</v>
      </c>
      <c r="AJ1738" s="196">
        <f>IFERROR($G1738/SUMIF($A:$A,$A1738,$G:$G)*(SUMIF(Summary!$A$247:$A$283,$A1738,Summary!$L$247:$L$283)+SUMIF(Summary!$A$297:$A$333,$A1738,Summary!$L$297:$L$333))-AI1738,0)</f>
        <v>0</v>
      </c>
      <c r="AK1738" s="196">
        <f>IFERROR($G1738/SUMIF($A:$A,$A1738,$G:$G)*SUMIF(Summary!$A$247:$A$283,$A1738,Summary!$Q$247:$Q$283),0)</f>
        <v>0</v>
      </c>
      <c r="AL1738" s="196">
        <f>IFERROR($G1738/SUMIF($A:$A,$A1738,$G:$G)*(SUMIF(Summary!$A$247:$A$283,$A1738,Summary!$L$247:$L$283)+SUMIF(Summary!$A$297:$A$333,$A1738,Summary!$L$297:$L$333))-AK1738,0)</f>
        <v>0</v>
      </c>
      <c r="AM1738" s="198"/>
      <c r="AN1738" s="196">
        <f t="shared" ca="1" si="390"/>
        <v>0</v>
      </c>
      <c r="AO1738" s="196">
        <f t="shared" ca="1" si="391"/>
        <v>0</v>
      </c>
    </row>
    <row r="1739" spans="1:41">
      <c r="A1739" s="189">
        <v>3644</v>
      </c>
      <c r="B1739" s="190">
        <v>3</v>
      </c>
      <c r="C1739" s="191" t="s">
        <v>232</v>
      </c>
      <c r="D1739" s="192">
        <f t="shared" si="378"/>
        <v>0</v>
      </c>
      <c r="E1739" s="192">
        <f t="shared" si="379"/>
        <v>0</v>
      </c>
      <c r="F1739" s="192">
        <f t="shared" si="380"/>
        <v>0</v>
      </c>
      <c r="G1739" s="193">
        <f t="shared" si="381"/>
        <v>0</v>
      </c>
      <c r="H1739" s="194">
        <v>0</v>
      </c>
      <c r="I1739" s="194">
        <v>0</v>
      </c>
      <c r="J1739" s="194">
        <v>0</v>
      </c>
      <c r="K1739" s="193">
        <f t="shared" si="382"/>
        <v>0</v>
      </c>
      <c r="L1739" s="194">
        <v>0</v>
      </c>
      <c r="M1739" s="194">
        <v>0</v>
      </c>
      <c r="N1739" s="194">
        <v>0</v>
      </c>
      <c r="O1739" s="193">
        <f t="shared" si="383"/>
        <v>0</v>
      </c>
      <c r="P1739" s="194">
        <v>0</v>
      </c>
      <c r="Q1739" s="194">
        <v>0</v>
      </c>
      <c r="R1739" s="194">
        <v>0</v>
      </c>
      <c r="S1739" s="193">
        <f t="shared" si="384"/>
        <v>0</v>
      </c>
      <c r="T1739" s="193">
        <f t="shared" si="385"/>
        <v>0</v>
      </c>
      <c r="U1739" s="193">
        <f ca="1">OFFSET('Expenditure Study'!$B$7,'Operations Support'!$C1739,'Operations Support'!$B1739)*$G1739</f>
        <v>0</v>
      </c>
      <c r="V1739" s="199">
        <f ca="1">U1739*'Expenditure Study'!$B$31</f>
        <v>0</v>
      </c>
      <c r="W1739" s="199">
        <f ca="1">IF(A1739=10298,1.51,1)*IF($B1739&lt;3,$D1739*'Expenditure Study'!$B$32*OFFSET('Expenditure Study'!$B$7,'Operations Support'!$C1739,'Operations Support'!$B1739),0)</f>
        <v>0</v>
      </c>
      <c r="X1739" s="200">
        <f ca="1">W1739*'Expenditure Study'!$B$31</f>
        <v>0</v>
      </c>
      <c r="Y1739" s="199">
        <f ca="1">U1739*'Expenditure Study'!$B$31</f>
        <v>0</v>
      </c>
      <c r="Z1739" s="200">
        <f ca="1">W1739*'Expenditure Study'!$B$31</f>
        <v>0</v>
      </c>
      <c r="AA1739" s="195">
        <f t="shared" ca="1" si="386"/>
        <v>0</v>
      </c>
      <c r="AB1739" s="195">
        <f t="shared" ca="1" si="387"/>
        <v>0</v>
      </c>
      <c r="AD1739" s="196">
        <f>IFERROR($G1739/SUMIF($A:$A,$A1739,$G:$G)*SUMIF(Summary!$A$166:$A$242,$A1739,Summary!$P$166:$P$242),0)</f>
        <v>0</v>
      </c>
      <c r="AE1739" s="197">
        <f t="shared" ca="1" si="388"/>
        <v>0</v>
      </c>
      <c r="AF1739" s="196">
        <f>IFERROR(G1739/SUMIF(A:A,A1739,G:G)*SUMIF(Summary!$A$166:$A$242,'Operations Support'!A1739,Summary!$Q$166:$Q$242),0)</f>
        <v>0</v>
      </c>
      <c r="AG1739" s="196">
        <f t="shared" ca="1" si="389"/>
        <v>0</v>
      </c>
      <c r="AI1739" s="196">
        <f>IFERROR($G1739/SUMIF($A:$A,$A1739,$G:$G)*SUMIF(Summary!$A$247:$A$283,$A1739,Summary!$P$247:$P$283),0)</f>
        <v>0</v>
      </c>
      <c r="AJ1739" s="196">
        <f>IFERROR($G1739/SUMIF($A:$A,$A1739,$G:$G)*(SUMIF(Summary!$A$247:$A$283,$A1739,Summary!$L$247:$L$283)+SUMIF(Summary!$A$297:$A$333,$A1739,Summary!$L$297:$L$333))-AI1739,0)</f>
        <v>0</v>
      </c>
      <c r="AK1739" s="196">
        <f>IFERROR($G1739/SUMIF($A:$A,$A1739,$G:$G)*SUMIF(Summary!$A$247:$A$283,$A1739,Summary!$Q$247:$Q$283),0)</f>
        <v>0</v>
      </c>
      <c r="AL1739" s="196">
        <f>IFERROR($G1739/SUMIF($A:$A,$A1739,$G:$G)*(SUMIF(Summary!$A$247:$A$283,$A1739,Summary!$L$247:$L$283)+SUMIF(Summary!$A$297:$A$333,$A1739,Summary!$L$297:$L$333))-AK1739,0)</f>
        <v>0</v>
      </c>
      <c r="AM1739" s="198"/>
      <c r="AN1739" s="196">
        <f t="shared" ca="1" si="390"/>
        <v>0</v>
      </c>
      <c r="AO1739" s="196">
        <f t="shared" ca="1" si="391"/>
        <v>0</v>
      </c>
    </row>
    <row r="1740" spans="1:41">
      <c r="A1740" s="189">
        <v>3644</v>
      </c>
      <c r="B1740" s="190">
        <v>3</v>
      </c>
      <c r="C1740" s="191" t="s">
        <v>233</v>
      </c>
      <c r="D1740" s="192">
        <f t="shared" si="378"/>
        <v>901</v>
      </c>
      <c r="E1740" s="192">
        <f t="shared" si="379"/>
        <v>233</v>
      </c>
      <c r="F1740" s="192">
        <f t="shared" si="380"/>
        <v>0</v>
      </c>
      <c r="G1740" s="193">
        <f t="shared" si="381"/>
        <v>1134</v>
      </c>
      <c r="H1740" s="194">
        <v>372</v>
      </c>
      <c r="I1740" s="194">
        <v>96</v>
      </c>
      <c r="J1740" s="194">
        <v>0</v>
      </c>
      <c r="K1740" s="193">
        <f t="shared" si="382"/>
        <v>468</v>
      </c>
      <c r="L1740" s="194">
        <v>326</v>
      </c>
      <c r="M1740" s="194">
        <v>69</v>
      </c>
      <c r="N1740" s="194">
        <v>0</v>
      </c>
      <c r="O1740" s="193">
        <f t="shared" si="383"/>
        <v>395</v>
      </c>
      <c r="P1740" s="194">
        <v>203</v>
      </c>
      <c r="Q1740" s="194">
        <v>68</v>
      </c>
      <c r="R1740" s="194">
        <v>0</v>
      </c>
      <c r="S1740" s="193">
        <f t="shared" si="384"/>
        <v>271</v>
      </c>
      <c r="T1740" s="193">
        <f t="shared" si="385"/>
        <v>47.25</v>
      </c>
      <c r="U1740" s="193">
        <f ca="1">OFFSET('Expenditure Study'!$B$7,'Operations Support'!$C1740,'Operations Support'!$B1740)*$G1740</f>
        <v>2971.08</v>
      </c>
      <c r="V1740" s="199">
        <f ca="1">U1740*'Expenditure Study'!$B$31</f>
        <v>175540.85681126401</v>
      </c>
      <c r="W1740" s="199">
        <f ca="1">IF(A1740=10298,1.51,1)*IF($B1740&lt;3,$D1740*'Expenditure Study'!$B$32*OFFSET('Expenditure Study'!$B$7,'Operations Support'!$C1740,'Operations Support'!$B1740),0)</f>
        <v>0</v>
      </c>
      <c r="X1740" s="200">
        <f ca="1">W1740*'Expenditure Study'!$B$31</f>
        <v>0</v>
      </c>
      <c r="Y1740" s="199">
        <f ca="1">U1740*'Expenditure Study'!$B$31</f>
        <v>175540.85681126401</v>
      </c>
      <c r="Z1740" s="200">
        <f ca="1">W1740*'Expenditure Study'!$B$31</f>
        <v>0</v>
      </c>
      <c r="AA1740" s="195">
        <f t="shared" ca="1" si="386"/>
        <v>175540.85681126401</v>
      </c>
      <c r="AB1740" s="195">
        <f t="shared" ca="1" si="387"/>
        <v>175540.85681126401</v>
      </c>
      <c r="AD1740" s="196">
        <f>IFERROR($G1740/SUMIF($A:$A,$A1740,$G:$G)*SUMIF(Summary!$A$166:$A$242,$A1740,Summary!$P$166:$P$242),0)</f>
        <v>33543.766126455135</v>
      </c>
      <c r="AE1740" s="197">
        <f t="shared" ca="1" si="388"/>
        <v>141997.09068480888</v>
      </c>
      <c r="AF1740" s="196">
        <f>IFERROR(G1740/SUMIF(A:A,A1740,G:G)*SUMIF(Summary!$A$166:$A$242,'Operations Support'!A1740,Summary!$Q$166:$Q$242),0)</f>
        <v>33656.949514082924</v>
      </c>
      <c r="AG1740" s="196">
        <f t="shared" ca="1" si="389"/>
        <v>141883.90729718108</v>
      </c>
      <c r="AI1740" s="196">
        <f>IFERROR($G1740/SUMIF($A:$A,$A1740,$G:$G)*SUMIF(Summary!$A$247:$A$283,$A1740,Summary!$P$247:$P$283),0)</f>
        <v>6117.5458661125867</v>
      </c>
      <c r="AJ1740" s="196">
        <f>IFERROR($G1740/SUMIF($A:$A,$A1740,$G:$G)*(SUMIF(Summary!$A$247:$A$283,$A1740,Summary!$L$247:$L$283)+SUMIF(Summary!$A$297:$A$333,$A1740,Summary!$L$297:$L$333))-AI1740,0)</f>
        <v>27619.667504119185</v>
      </c>
      <c r="AK1740" s="196">
        <f>IFERROR($G1740/SUMIF($A:$A,$A1740,$G:$G)*SUMIF(Summary!$A$247:$A$283,$A1740,Summary!$Q$247:$Q$283),0)</f>
        <v>6138.1876915559405</v>
      </c>
      <c r="AL1740" s="196">
        <f>IFERROR($G1740/SUMIF($A:$A,$A1740,$G:$G)*(SUMIF(Summary!$A$247:$A$283,$A1740,Summary!$L$247:$L$283)+SUMIF(Summary!$A$297:$A$333,$A1740,Summary!$L$297:$L$333))-AK1740,0)</f>
        <v>27599.025678675833</v>
      </c>
      <c r="AM1740" s="198"/>
      <c r="AN1740" s="196">
        <f t="shared" ca="1" si="390"/>
        <v>169616.75818892807</v>
      </c>
      <c r="AO1740" s="196">
        <f t="shared" ca="1" si="391"/>
        <v>169482.93297585691</v>
      </c>
    </row>
    <row r="1741" spans="1:41">
      <c r="A1741" s="189">
        <v>3644</v>
      </c>
      <c r="B1741" s="190">
        <v>3</v>
      </c>
      <c r="C1741" s="191" t="s">
        <v>234</v>
      </c>
      <c r="D1741" s="192">
        <f t="shared" si="378"/>
        <v>0</v>
      </c>
      <c r="E1741" s="192">
        <f t="shared" si="379"/>
        <v>0</v>
      </c>
      <c r="F1741" s="192">
        <f t="shared" si="380"/>
        <v>0</v>
      </c>
      <c r="G1741" s="193">
        <f t="shared" si="381"/>
        <v>0</v>
      </c>
      <c r="H1741" s="194">
        <v>0</v>
      </c>
      <c r="I1741" s="194">
        <v>0</v>
      </c>
      <c r="J1741" s="194">
        <v>0</v>
      </c>
      <c r="K1741" s="193">
        <f t="shared" si="382"/>
        <v>0</v>
      </c>
      <c r="L1741" s="194">
        <v>0</v>
      </c>
      <c r="M1741" s="194">
        <v>0</v>
      </c>
      <c r="N1741" s="194">
        <v>0</v>
      </c>
      <c r="O1741" s="193">
        <f t="shared" si="383"/>
        <v>0</v>
      </c>
      <c r="P1741" s="194">
        <v>0</v>
      </c>
      <c r="Q1741" s="194">
        <v>0</v>
      </c>
      <c r="R1741" s="194">
        <v>0</v>
      </c>
      <c r="S1741" s="193">
        <f t="shared" si="384"/>
        <v>0</v>
      </c>
      <c r="T1741" s="193">
        <f t="shared" si="385"/>
        <v>0</v>
      </c>
      <c r="U1741" s="193">
        <f ca="1">OFFSET('Expenditure Study'!$B$7,'Operations Support'!$C1741,'Operations Support'!$B1741)*$G1741</f>
        <v>0</v>
      </c>
      <c r="V1741" s="199">
        <f ca="1">U1741*'Expenditure Study'!$B$31</f>
        <v>0</v>
      </c>
      <c r="W1741" s="199">
        <f ca="1">IF(A1741=10298,1.51,1)*IF($B1741&lt;3,$D1741*'Expenditure Study'!$B$32*OFFSET('Expenditure Study'!$B$7,'Operations Support'!$C1741,'Operations Support'!$B1741),0)</f>
        <v>0</v>
      </c>
      <c r="X1741" s="200">
        <f ca="1">W1741*'Expenditure Study'!$B$31</f>
        <v>0</v>
      </c>
      <c r="Y1741" s="199">
        <f ca="1">U1741*'Expenditure Study'!$B$31</f>
        <v>0</v>
      </c>
      <c r="Z1741" s="200">
        <f ca="1">W1741*'Expenditure Study'!$B$31</f>
        <v>0</v>
      </c>
      <c r="AA1741" s="195">
        <f t="shared" ca="1" si="386"/>
        <v>0</v>
      </c>
      <c r="AB1741" s="195">
        <f t="shared" ca="1" si="387"/>
        <v>0</v>
      </c>
      <c r="AD1741" s="196">
        <f>IFERROR($G1741/SUMIF($A:$A,$A1741,$G:$G)*SUMIF(Summary!$A$166:$A$242,$A1741,Summary!$P$166:$P$242),0)</f>
        <v>0</v>
      </c>
      <c r="AE1741" s="197">
        <f t="shared" ca="1" si="388"/>
        <v>0</v>
      </c>
      <c r="AF1741" s="196">
        <f>IFERROR(G1741/SUMIF(A:A,A1741,G:G)*SUMIF(Summary!$A$166:$A$242,'Operations Support'!A1741,Summary!$Q$166:$Q$242),0)</f>
        <v>0</v>
      </c>
      <c r="AG1741" s="196">
        <f t="shared" ca="1" si="389"/>
        <v>0</v>
      </c>
      <c r="AI1741" s="196">
        <f>IFERROR($G1741/SUMIF($A:$A,$A1741,$G:$G)*SUMIF(Summary!$A$247:$A$283,$A1741,Summary!$P$247:$P$283),0)</f>
        <v>0</v>
      </c>
      <c r="AJ1741" s="196">
        <f>IFERROR($G1741/SUMIF($A:$A,$A1741,$G:$G)*(SUMIF(Summary!$A$247:$A$283,$A1741,Summary!$L$247:$L$283)+SUMIF(Summary!$A$297:$A$333,$A1741,Summary!$L$297:$L$333))-AI1741,0)</f>
        <v>0</v>
      </c>
      <c r="AK1741" s="196">
        <f>IFERROR($G1741/SUMIF($A:$A,$A1741,$G:$G)*SUMIF(Summary!$A$247:$A$283,$A1741,Summary!$Q$247:$Q$283),0)</f>
        <v>0</v>
      </c>
      <c r="AL1741" s="196">
        <f>IFERROR($G1741/SUMIF($A:$A,$A1741,$G:$G)*(SUMIF(Summary!$A$247:$A$283,$A1741,Summary!$L$247:$L$283)+SUMIF(Summary!$A$297:$A$333,$A1741,Summary!$L$297:$L$333))-AK1741,0)</f>
        <v>0</v>
      </c>
      <c r="AM1741" s="198"/>
      <c r="AN1741" s="196">
        <f t="shared" ca="1" si="390"/>
        <v>0</v>
      </c>
      <c r="AO1741" s="196">
        <f t="shared" ca="1" si="391"/>
        <v>0</v>
      </c>
    </row>
    <row r="1742" spans="1:41">
      <c r="A1742" s="189">
        <v>3644</v>
      </c>
      <c r="B1742" s="190">
        <v>3</v>
      </c>
      <c r="C1742" s="191" t="s">
        <v>235</v>
      </c>
      <c r="D1742" s="192">
        <f t="shared" si="378"/>
        <v>13201</v>
      </c>
      <c r="E1742" s="192">
        <f t="shared" si="379"/>
        <v>9019</v>
      </c>
      <c r="F1742" s="192">
        <f t="shared" si="380"/>
        <v>0</v>
      </c>
      <c r="G1742" s="193">
        <f t="shared" si="381"/>
        <v>22220</v>
      </c>
      <c r="H1742" s="194">
        <v>4866</v>
      </c>
      <c r="I1742" s="194">
        <v>2737</v>
      </c>
      <c r="J1742" s="194">
        <v>0</v>
      </c>
      <c r="K1742" s="193">
        <f t="shared" si="382"/>
        <v>7603</v>
      </c>
      <c r="L1742" s="194">
        <v>5266</v>
      </c>
      <c r="M1742" s="194">
        <v>2799</v>
      </c>
      <c r="N1742" s="194">
        <v>0</v>
      </c>
      <c r="O1742" s="193">
        <f t="shared" si="383"/>
        <v>8065</v>
      </c>
      <c r="P1742" s="194">
        <v>3069</v>
      </c>
      <c r="Q1742" s="194">
        <v>3483</v>
      </c>
      <c r="R1742" s="194">
        <v>0</v>
      </c>
      <c r="S1742" s="193">
        <f t="shared" si="384"/>
        <v>6552</v>
      </c>
      <c r="T1742" s="193">
        <f t="shared" si="385"/>
        <v>925.83333333333337</v>
      </c>
      <c r="U1742" s="193">
        <f ca="1">OFFSET('Expenditure Study'!$B$7,'Operations Support'!$C1742,'Operations Support'!$B1742)*$G1742</f>
        <v>70215.199999999997</v>
      </c>
      <c r="V1742" s="199">
        <f ca="1">U1742*'Expenditure Study'!$B$31</f>
        <v>4148537.35650816</v>
      </c>
      <c r="W1742" s="199">
        <f ca="1">IF(A1742=10298,1.51,1)*IF($B1742&lt;3,$D1742*'Expenditure Study'!$B$32*OFFSET('Expenditure Study'!$B$7,'Operations Support'!$C1742,'Operations Support'!$B1742),0)</f>
        <v>0</v>
      </c>
      <c r="X1742" s="200">
        <f ca="1">W1742*'Expenditure Study'!$B$31</f>
        <v>0</v>
      </c>
      <c r="Y1742" s="199">
        <f ca="1">U1742*'Expenditure Study'!$B$31</f>
        <v>4148537.35650816</v>
      </c>
      <c r="Z1742" s="200">
        <f ca="1">W1742*'Expenditure Study'!$B$31</f>
        <v>0</v>
      </c>
      <c r="AA1742" s="195">
        <f t="shared" ca="1" si="386"/>
        <v>4148537.35650816</v>
      </c>
      <c r="AB1742" s="195">
        <f t="shared" ca="1" si="387"/>
        <v>4148537.35650816</v>
      </c>
      <c r="AD1742" s="196">
        <f>IFERROR($G1742/SUMIF($A:$A,$A1742,$G:$G)*SUMIF(Summary!$A$166:$A$242,$A1742,Summary!$P$166:$P$242),0)</f>
        <v>657268.50381819496</v>
      </c>
      <c r="AE1742" s="197">
        <f t="shared" ca="1" si="388"/>
        <v>3491268.8526899652</v>
      </c>
      <c r="AF1742" s="196">
        <f>IFERROR(G1742/SUMIF(A:A,A1742,G:G)*SUMIF(Summary!$A$166:$A$242,'Operations Support'!A1742,Summary!$Q$166:$Q$242),0)</f>
        <v>659486.2594382033</v>
      </c>
      <c r="AG1742" s="196">
        <f t="shared" ca="1" si="389"/>
        <v>3489051.0970699568</v>
      </c>
      <c r="AI1742" s="196">
        <f>IFERROR($G1742/SUMIF($A:$A,$A1742,$G:$G)*SUMIF(Summary!$A$247:$A$283,$A1742,Summary!$P$247:$P$283),0)</f>
        <v>119869.3731437581</v>
      </c>
      <c r="AJ1742" s="196">
        <f>IFERROR($G1742/SUMIF($A:$A,$A1742,$G:$G)*(SUMIF(Summary!$A$247:$A$283,$A1742,Summary!$L$247:$L$283)+SUMIF(Summary!$A$297:$A$333,$A1742,Summary!$L$297:$L$333))-AI1742,0)</f>
        <v>541189.60488670925</v>
      </c>
      <c r="AK1742" s="196">
        <f>IFERROR($G1742/SUMIF($A:$A,$A1742,$G:$G)*SUMIF(Summary!$A$247:$A$283,$A1742,Summary!$Q$247:$Q$283),0)</f>
        <v>120273.83642537303</v>
      </c>
      <c r="AL1742" s="196">
        <f>IFERROR($G1742/SUMIF($A:$A,$A1742,$G:$G)*(SUMIF(Summary!$A$247:$A$283,$A1742,Summary!$L$247:$L$283)+SUMIF(Summary!$A$297:$A$333,$A1742,Summary!$L$297:$L$333))-AK1742,0)</f>
        <v>540785.14160509442</v>
      </c>
      <c r="AM1742" s="198"/>
      <c r="AN1742" s="196">
        <f t="shared" ca="1" si="390"/>
        <v>4032458.4575766744</v>
      </c>
      <c r="AO1742" s="196">
        <f t="shared" ca="1" si="391"/>
        <v>4029836.2386750514</v>
      </c>
    </row>
    <row r="1743" spans="1:41">
      <c r="A1743" s="189">
        <v>3644</v>
      </c>
      <c r="B1743" s="190">
        <v>3</v>
      </c>
      <c r="C1743" s="191" t="s">
        <v>236</v>
      </c>
      <c r="D1743" s="192">
        <f t="shared" si="378"/>
        <v>0</v>
      </c>
      <c r="E1743" s="192">
        <f t="shared" si="379"/>
        <v>0</v>
      </c>
      <c r="F1743" s="192">
        <f t="shared" si="380"/>
        <v>0</v>
      </c>
      <c r="G1743" s="193">
        <f t="shared" si="381"/>
        <v>0</v>
      </c>
      <c r="H1743" s="194">
        <v>0</v>
      </c>
      <c r="I1743" s="194">
        <v>0</v>
      </c>
      <c r="J1743" s="194">
        <v>0</v>
      </c>
      <c r="K1743" s="193">
        <f t="shared" si="382"/>
        <v>0</v>
      </c>
      <c r="L1743" s="194">
        <v>0</v>
      </c>
      <c r="M1743" s="194">
        <v>0</v>
      </c>
      <c r="N1743" s="194">
        <v>0</v>
      </c>
      <c r="O1743" s="193">
        <f t="shared" si="383"/>
        <v>0</v>
      </c>
      <c r="P1743" s="194">
        <v>0</v>
      </c>
      <c r="Q1743" s="194">
        <v>0</v>
      </c>
      <c r="R1743" s="194">
        <v>0</v>
      </c>
      <c r="S1743" s="193">
        <f t="shared" si="384"/>
        <v>0</v>
      </c>
      <c r="T1743" s="193">
        <f t="shared" si="385"/>
        <v>0</v>
      </c>
      <c r="U1743" s="193">
        <f ca="1">OFFSET('Expenditure Study'!$B$7,'Operations Support'!$C1743,'Operations Support'!$B1743)*$G1743</f>
        <v>0</v>
      </c>
      <c r="V1743" s="199">
        <f ca="1">U1743*'Expenditure Study'!$B$31</f>
        <v>0</v>
      </c>
      <c r="W1743" s="199">
        <f ca="1">IF(A1743=10298,1.51,1)*IF($B1743&lt;3,$D1743*'Expenditure Study'!$B$32*OFFSET('Expenditure Study'!$B$7,'Operations Support'!$C1743,'Operations Support'!$B1743),0)</f>
        <v>0</v>
      </c>
      <c r="X1743" s="200">
        <f ca="1">W1743*'Expenditure Study'!$B$31</f>
        <v>0</v>
      </c>
      <c r="Y1743" s="199">
        <f ca="1">U1743*'Expenditure Study'!$B$31</f>
        <v>0</v>
      </c>
      <c r="Z1743" s="200">
        <f ca="1">W1743*'Expenditure Study'!$B$31</f>
        <v>0</v>
      </c>
      <c r="AA1743" s="195">
        <f t="shared" ca="1" si="386"/>
        <v>0</v>
      </c>
      <c r="AB1743" s="195">
        <f t="shared" ca="1" si="387"/>
        <v>0</v>
      </c>
      <c r="AD1743" s="196">
        <f>IFERROR($G1743/SUMIF($A:$A,$A1743,$G:$G)*SUMIF(Summary!$A$166:$A$242,$A1743,Summary!$P$166:$P$242),0)</f>
        <v>0</v>
      </c>
      <c r="AE1743" s="197">
        <f t="shared" ca="1" si="388"/>
        <v>0</v>
      </c>
      <c r="AF1743" s="196">
        <f>IFERROR(G1743/SUMIF(A:A,A1743,G:G)*SUMIF(Summary!$A$166:$A$242,'Operations Support'!A1743,Summary!$Q$166:$Q$242),0)</f>
        <v>0</v>
      </c>
      <c r="AG1743" s="196">
        <f t="shared" ca="1" si="389"/>
        <v>0</v>
      </c>
      <c r="AI1743" s="196">
        <f>IFERROR($G1743/SUMIF($A:$A,$A1743,$G:$G)*SUMIF(Summary!$A$247:$A$283,$A1743,Summary!$P$247:$P$283),0)</f>
        <v>0</v>
      </c>
      <c r="AJ1743" s="196">
        <f>IFERROR($G1743/SUMIF($A:$A,$A1743,$G:$G)*(SUMIF(Summary!$A$247:$A$283,$A1743,Summary!$L$247:$L$283)+SUMIF(Summary!$A$297:$A$333,$A1743,Summary!$L$297:$L$333))-AI1743,0)</f>
        <v>0</v>
      </c>
      <c r="AK1743" s="196">
        <f>IFERROR($G1743/SUMIF($A:$A,$A1743,$G:$G)*SUMIF(Summary!$A$247:$A$283,$A1743,Summary!$Q$247:$Q$283),0)</f>
        <v>0</v>
      </c>
      <c r="AL1743" s="196">
        <f>IFERROR($G1743/SUMIF($A:$A,$A1743,$G:$G)*(SUMIF(Summary!$A$247:$A$283,$A1743,Summary!$L$247:$L$283)+SUMIF(Summary!$A$297:$A$333,$A1743,Summary!$L$297:$L$333))-AK1743,0)</f>
        <v>0</v>
      </c>
      <c r="AM1743" s="198"/>
      <c r="AN1743" s="196">
        <f t="shared" ca="1" si="390"/>
        <v>0</v>
      </c>
      <c r="AO1743" s="196">
        <f t="shared" ca="1" si="391"/>
        <v>0</v>
      </c>
    </row>
    <row r="1744" spans="1:41">
      <c r="A1744" s="189">
        <v>3644</v>
      </c>
      <c r="B1744" s="190">
        <v>3</v>
      </c>
      <c r="C1744" s="191" t="s">
        <v>237</v>
      </c>
      <c r="D1744" s="192">
        <f t="shared" si="378"/>
        <v>0</v>
      </c>
      <c r="E1744" s="192">
        <f t="shared" si="379"/>
        <v>0</v>
      </c>
      <c r="F1744" s="192">
        <f t="shared" si="380"/>
        <v>0</v>
      </c>
      <c r="G1744" s="193">
        <f t="shared" si="381"/>
        <v>0</v>
      </c>
      <c r="H1744" s="194">
        <v>0</v>
      </c>
      <c r="I1744" s="194">
        <v>0</v>
      </c>
      <c r="J1744" s="194">
        <v>0</v>
      </c>
      <c r="K1744" s="193">
        <f t="shared" si="382"/>
        <v>0</v>
      </c>
      <c r="L1744" s="194">
        <v>0</v>
      </c>
      <c r="M1744" s="194">
        <v>0</v>
      </c>
      <c r="N1744" s="194">
        <v>0</v>
      </c>
      <c r="O1744" s="193">
        <f t="shared" si="383"/>
        <v>0</v>
      </c>
      <c r="P1744" s="194">
        <v>0</v>
      </c>
      <c r="Q1744" s="194">
        <v>0</v>
      </c>
      <c r="R1744" s="194">
        <v>0</v>
      </c>
      <c r="S1744" s="193">
        <f t="shared" si="384"/>
        <v>0</v>
      </c>
      <c r="T1744" s="193">
        <f t="shared" si="385"/>
        <v>0</v>
      </c>
      <c r="U1744" s="193">
        <f ca="1">OFFSET('Expenditure Study'!$B$7,'Operations Support'!$C1744,'Operations Support'!$B1744)*$G1744</f>
        <v>0</v>
      </c>
      <c r="V1744" s="199">
        <f ca="1">U1744*'Expenditure Study'!$B$31</f>
        <v>0</v>
      </c>
      <c r="W1744" s="199">
        <f ca="1">IF(A1744=10298,1.51,1)*IF($B1744&lt;3,$D1744*'Expenditure Study'!$B$32*OFFSET('Expenditure Study'!$B$7,'Operations Support'!$C1744,'Operations Support'!$B1744),0)</f>
        <v>0</v>
      </c>
      <c r="X1744" s="200">
        <f ca="1">W1744*'Expenditure Study'!$B$31</f>
        <v>0</v>
      </c>
      <c r="Y1744" s="199">
        <f ca="1">U1744*'Expenditure Study'!$B$31</f>
        <v>0</v>
      </c>
      <c r="Z1744" s="200">
        <f ca="1">W1744*'Expenditure Study'!$B$31</f>
        <v>0</v>
      </c>
      <c r="AA1744" s="195">
        <f t="shared" ca="1" si="386"/>
        <v>0</v>
      </c>
      <c r="AB1744" s="195">
        <f t="shared" ca="1" si="387"/>
        <v>0</v>
      </c>
      <c r="AD1744" s="196">
        <f>IFERROR($G1744/SUMIF($A:$A,$A1744,$G:$G)*SUMIF(Summary!$A$166:$A$242,$A1744,Summary!$P$166:$P$242),0)</f>
        <v>0</v>
      </c>
      <c r="AE1744" s="197">
        <f t="shared" ca="1" si="388"/>
        <v>0</v>
      </c>
      <c r="AF1744" s="196">
        <f>IFERROR(G1744/SUMIF(A:A,A1744,G:G)*SUMIF(Summary!$A$166:$A$242,'Operations Support'!A1744,Summary!$Q$166:$Q$242),0)</f>
        <v>0</v>
      </c>
      <c r="AG1744" s="196">
        <f t="shared" ca="1" si="389"/>
        <v>0</v>
      </c>
      <c r="AI1744" s="196">
        <f>IFERROR($G1744/SUMIF($A:$A,$A1744,$G:$G)*SUMIF(Summary!$A$247:$A$283,$A1744,Summary!$P$247:$P$283),0)</f>
        <v>0</v>
      </c>
      <c r="AJ1744" s="196">
        <f>IFERROR($G1744/SUMIF($A:$A,$A1744,$G:$G)*(SUMIF(Summary!$A$247:$A$283,$A1744,Summary!$L$247:$L$283)+SUMIF(Summary!$A$297:$A$333,$A1744,Summary!$L$297:$L$333))-AI1744,0)</f>
        <v>0</v>
      </c>
      <c r="AK1744" s="196">
        <f>IFERROR($G1744/SUMIF($A:$A,$A1744,$G:$G)*SUMIF(Summary!$A$247:$A$283,$A1744,Summary!$Q$247:$Q$283),0)</f>
        <v>0</v>
      </c>
      <c r="AL1744" s="196">
        <f>IFERROR($G1744/SUMIF($A:$A,$A1744,$G:$G)*(SUMIF(Summary!$A$247:$A$283,$A1744,Summary!$L$247:$L$283)+SUMIF(Summary!$A$297:$A$333,$A1744,Summary!$L$297:$L$333))-AK1744,0)</f>
        <v>0</v>
      </c>
      <c r="AM1744" s="198"/>
      <c r="AN1744" s="196">
        <f t="shared" ca="1" si="390"/>
        <v>0</v>
      </c>
      <c r="AO1744" s="196">
        <f t="shared" ca="1" si="391"/>
        <v>0</v>
      </c>
    </row>
    <row r="1745" spans="1:41">
      <c r="A1745" s="189">
        <v>3644</v>
      </c>
      <c r="B1745" s="190">
        <v>3</v>
      </c>
      <c r="C1745" s="191" t="s">
        <v>238</v>
      </c>
      <c r="D1745" s="192">
        <f t="shared" si="378"/>
        <v>353</v>
      </c>
      <c r="E1745" s="192">
        <f t="shared" si="379"/>
        <v>222</v>
      </c>
      <c r="F1745" s="192">
        <f t="shared" si="380"/>
        <v>0</v>
      </c>
      <c r="G1745" s="193">
        <f t="shared" si="381"/>
        <v>575</v>
      </c>
      <c r="H1745" s="194">
        <v>167</v>
      </c>
      <c r="I1745" s="194">
        <v>144</v>
      </c>
      <c r="J1745" s="194">
        <v>0</v>
      </c>
      <c r="K1745" s="193">
        <f t="shared" si="382"/>
        <v>311</v>
      </c>
      <c r="L1745" s="194">
        <v>142</v>
      </c>
      <c r="M1745" s="194">
        <v>78</v>
      </c>
      <c r="N1745" s="194">
        <v>0</v>
      </c>
      <c r="O1745" s="193">
        <f t="shared" si="383"/>
        <v>220</v>
      </c>
      <c r="P1745" s="194">
        <v>44</v>
      </c>
      <c r="Q1745" s="194">
        <v>0</v>
      </c>
      <c r="R1745" s="194">
        <v>0</v>
      </c>
      <c r="S1745" s="193">
        <f t="shared" si="384"/>
        <v>44</v>
      </c>
      <c r="T1745" s="193">
        <f t="shared" si="385"/>
        <v>23.958333333333332</v>
      </c>
      <c r="U1745" s="193">
        <f ca="1">OFFSET('Expenditure Study'!$B$7,'Operations Support'!$C1745,'Operations Support'!$B1745)*$G1745</f>
        <v>3358</v>
      </c>
      <c r="V1745" s="199">
        <f ca="1">U1745*'Expenditure Study'!$B$31</f>
        <v>198401.3211264</v>
      </c>
      <c r="W1745" s="199">
        <f ca="1">IF(A1745=10298,1.51,1)*IF($B1745&lt;3,$D1745*'Expenditure Study'!$B$32*OFFSET('Expenditure Study'!$B$7,'Operations Support'!$C1745,'Operations Support'!$B1745),0)</f>
        <v>0</v>
      </c>
      <c r="X1745" s="200">
        <f ca="1">W1745*'Expenditure Study'!$B$31</f>
        <v>0</v>
      </c>
      <c r="Y1745" s="199">
        <f ca="1">U1745*'Expenditure Study'!$B$31</f>
        <v>198401.3211264</v>
      </c>
      <c r="Z1745" s="200">
        <f ca="1">W1745*'Expenditure Study'!$B$31</f>
        <v>0</v>
      </c>
      <c r="AA1745" s="195">
        <f t="shared" ca="1" si="386"/>
        <v>198401.3211264</v>
      </c>
      <c r="AB1745" s="195">
        <f t="shared" ca="1" si="387"/>
        <v>198401.3211264</v>
      </c>
      <c r="AD1745" s="196">
        <f>IFERROR($G1745/SUMIF($A:$A,$A1745,$G:$G)*SUMIF(Summary!$A$166:$A$242,$A1745,Summary!$P$166:$P$242),0)</f>
        <v>17008.523388634658</v>
      </c>
      <c r="AE1745" s="197">
        <f t="shared" ca="1" si="388"/>
        <v>181392.79773776533</v>
      </c>
      <c r="AF1745" s="196">
        <f>IFERROR(G1745/SUMIF(A:A,A1745,G:G)*SUMIF(Summary!$A$166:$A$242,'Operations Support'!A1745,Summary!$Q$166:$Q$242),0)</f>
        <v>17065.91355431894</v>
      </c>
      <c r="AG1745" s="196">
        <f t="shared" ca="1" si="389"/>
        <v>181335.40757208105</v>
      </c>
      <c r="AI1745" s="196">
        <f>IFERROR($G1745/SUMIF($A:$A,$A1745,$G:$G)*SUMIF(Summary!$A$247:$A$283,$A1745,Summary!$P$247:$P$283),0)</f>
        <v>3101.9302231170523</v>
      </c>
      <c r="AJ1745" s="196">
        <f>IFERROR($G1745/SUMIF($A:$A,$A1745,$G:$G)*(SUMIF(Summary!$A$247:$A$283,$A1745,Summary!$L$247:$L$283)+SUMIF(Summary!$A$297:$A$333,$A1745,Summary!$L$297:$L$333))-AI1745,0)</f>
        <v>14004.681494593064</v>
      </c>
      <c r="AK1745" s="196">
        <f>IFERROR($G1745/SUMIF($A:$A,$A1745,$G:$G)*SUMIF(Summary!$A$247:$A$283,$A1745,Summary!$Q$247:$Q$283),0)</f>
        <v>3112.396757182245</v>
      </c>
      <c r="AL1745" s="196">
        <f>IFERROR($G1745/SUMIF($A:$A,$A1745,$G:$G)*(SUMIF(Summary!$A$247:$A$283,$A1745,Summary!$L$247:$L$283)+SUMIF(Summary!$A$297:$A$333,$A1745,Summary!$L$297:$L$333))-AK1745,0)</f>
        <v>13994.21496052787</v>
      </c>
      <c r="AM1745" s="198"/>
      <c r="AN1745" s="196">
        <f t="shared" ca="1" si="390"/>
        <v>195397.4792323584</v>
      </c>
      <c r="AO1745" s="196">
        <f t="shared" ca="1" si="391"/>
        <v>195329.62253260892</v>
      </c>
    </row>
    <row r="1746" spans="1:41">
      <c r="A1746" s="189">
        <v>3644</v>
      </c>
      <c r="B1746" s="190">
        <v>3</v>
      </c>
      <c r="C1746" s="191" t="s">
        <v>239</v>
      </c>
      <c r="D1746" s="192">
        <f t="shared" si="378"/>
        <v>0</v>
      </c>
      <c r="E1746" s="192">
        <f t="shared" si="379"/>
        <v>0</v>
      </c>
      <c r="F1746" s="192">
        <f t="shared" si="380"/>
        <v>0</v>
      </c>
      <c r="G1746" s="193">
        <f t="shared" si="381"/>
        <v>0</v>
      </c>
      <c r="H1746" s="194">
        <v>0</v>
      </c>
      <c r="I1746" s="194">
        <v>0</v>
      </c>
      <c r="J1746" s="194">
        <v>0</v>
      </c>
      <c r="K1746" s="193">
        <f t="shared" si="382"/>
        <v>0</v>
      </c>
      <c r="L1746" s="194">
        <v>0</v>
      </c>
      <c r="M1746" s="194">
        <v>0</v>
      </c>
      <c r="N1746" s="194">
        <v>0</v>
      </c>
      <c r="O1746" s="193">
        <f t="shared" si="383"/>
        <v>0</v>
      </c>
      <c r="P1746" s="194">
        <v>0</v>
      </c>
      <c r="Q1746" s="194">
        <v>0</v>
      </c>
      <c r="R1746" s="194">
        <v>0</v>
      </c>
      <c r="S1746" s="193">
        <f t="shared" si="384"/>
        <v>0</v>
      </c>
      <c r="T1746" s="193">
        <f t="shared" si="385"/>
        <v>0</v>
      </c>
      <c r="U1746" s="193">
        <f ca="1">OFFSET('Expenditure Study'!$B$7,'Operations Support'!$C1746,'Operations Support'!$B1746)*$G1746</f>
        <v>0</v>
      </c>
      <c r="V1746" s="199">
        <f ca="1">U1746*'Expenditure Study'!$B$31</f>
        <v>0</v>
      </c>
      <c r="W1746" s="199">
        <f ca="1">IF(A1746=10298,1.51,1)*IF($B1746&lt;3,$D1746*'Expenditure Study'!$B$32*OFFSET('Expenditure Study'!$B$7,'Operations Support'!$C1746,'Operations Support'!$B1746),0)</f>
        <v>0</v>
      </c>
      <c r="X1746" s="200">
        <f ca="1">W1746*'Expenditure Study'!$B$31</f>
        <v>0</v>
      </c>
      <c r="Y1746" s="199">
        <f ca="1">U1746*'Expenditure Study'!$B$31</f>
        <v>0</v>
      </c>
      <c r="Z1746" s="200">
        <f ca="1">W1746*'Expenditure Study'!$B$31</f>
        <v>0</v>
      </c>
      <c r="AA1746" s="195">
        <f t="shared" ca="1" si="386"/>
        <v>0</v>
      </c>
      <c r="AB1746" s="195">
        <f t="shared" ca="1" si="387"/>
        <v>0</v>
      </c>
      <c r="AD1746" s="196">
        <f>IFERROR($G1746/SUMIF($A:$A,$A1746,$G:$G)*SUMIF(Summary!$A$166:$A$242,$A1746,Summary!$P$166:$P$242),0)</f>
        <v>0</v>
      </c>
      <c r="AE1746" s="197">
        <f t="shared" ca="1" si="388"/>
        <v>0</v>
      </c>
      <c r="AF1746" s="196">
        <f>IFERROR(G1746/SUMIF(A:A,A1746,G:G)*SUMIF(Summary!$A$166:$A$242,'Operations Support'!A1746,Summary!$Q$166:$Q$242),0)</f>
        <v>0</v>
      </c>
      <c r="AG1746" s="196">
        <f t="shared" ca="1" si="389"/>
        <v>0</v>
      </c>
      <c r="AI1746" s="196">
        <f>IFERROR($G1746/SUMIF($A:$A,$A1746,$G:$G)*SUMIF(Summary!$A$247:$A$283,$A1746,Summary!$P$247:$P$283),0)</f>
        <v>0</v>
      </c>
      <c r="AJ1746" s="196">
        <f>IFERROR($G1746/SUMIF($A:$A,$A1746,$G:$G)*(SUMIF(Summary!$A$247:$A$283,$A1746,Summary!$L$247:$L$283)+SUMIF(Summary!$A$297:$A$333,$A1746,Summary!$L$297:$L$333))-AI1746,0)</f>
        <v>0</v>
      </c>
      <c r="AK1746" s="196">
        <f>IFERROR($G1746/SUMIF($A:$A,$A1746,$G:$G)*SUMIF(Summary!$A$247:$A$283,$A1746,Summary!$Q$247:$Q$283),0)</f>
        <v>0</v>
      </c>
      <c r="AL1746" s="196">
        <f>IFERROR($G1746/SUMIF($A:$A,$A1746,$G:$G)*(SUMIF(Summary!$A$247:$A$283,$A1746,Summary!$L$247:$L$283)+SUMIF(Summary!$A$297:$A$333,$A1746,Summary!$L$297:$L$333))-AK1746,0)</f>
        <v>0</v>
      </c>
      <c r="AM1746" s="198"/>
      <c r="AN1746" s="196">
        <f t="shared" ca="1" si="390"/>
        <v>0</v>
      </c>
      <c r="AO1746" s="196">
        <f t="shared" ca="1" si="391"/>
        <v>0</v>
      </c>
    </row>
    <row r="1747" spans="1:41">
      <c r="A1747" s="189">
        <v>3644</v>
      </c>
      <c r="B1747" s="190">
        <v>3</v>
      </c>
      <c r="C1747" s="191" t="s">
        <v>240</v>
      </c>
      <c r="D1747" s="192">
        <f t="shared" si="378"/>
        <v>0</v>
      </c>
      <c r="E1747" s="192">
        <f t="shared" si="379"/>
        <v>0</v>
      </c>
      <c r="F1747" s="192">
        <f t="shared" si="380"/>
        <v>0</v>
      </c>
      <c r="G1747" s="193">
        <f t="shared" si="381"/>
        <v>0</v>
      </c>
      <c r="H1747" s="194">
        <v>0</v>
      </c>
      <c r="I1747" s="194">
        <v>0</v>
      </c>
      <c r="J1747" s="194">
        <v>0</v>
      </c>
      <c r="K1747" s="193">
        <f t="shared" si="382"/>
        <v>0</v>
      </c>
      <c r="L1747" s="194">
        <v>0</v>
      </c>
      <c r="M1747" s="194">
        <v>0</v>
      </c>
      <c r="N1747" s="194">
        <v>0</v>
      </c>
      <c r="O1747" s="193">
        <f t="shared" si="383"/>
        <v>0</v>
      </c>
      <c r="P1747" s="194">
        <v>0</v>
      </c>
      <c r="Q1747" s="194">
        <v>0</v>
      </c>
      <c r="R1747" s="194">
        <v>0</v>
      </c>
      <c r="S1747" s="193">
        <f t="shared" si="384"/>
        <v>0</v>
      </c>
      <c r="T1747" s="193">
        <f t="shared" si="385"/>
        <v>0</v>
      </c>
      <c r="U1747" s="193">
        <f ca="1">OFFSET('Expenditure Study'!$B$7,'Operations Support'!$C1747,'Operations Support'!$B1747)*$G1747</f>
        <v>0</v>
      </c>
      <c r="V1747" s="199">
        <f ca="1">U1747*'Expenditure Study'!$B$31</f>
        <v>0</v>
      </c>
      <c r="W1747" s="199">
        <f ca="1">IF(A1747=10298,1.51,1)*IF($B1747&lt;3,$D1747*'Expenditure Study'!$B$32*OFFSET('Expenditure Study'!$B$7,'Operations Support'!$C1747,'Operations Support'!$B1747),0)</f>
        <v>0</v>
      </c>
      <c r="X1747" s="200">
        <f ca="1">W1747*'Expenditure Study'!$B$31</f>
        <v>0</v>
      </c>
      <c r="Y1747" s="199">
        <f ca="1">U1747*'Expenditure Study'!$B$31</f>
        <v>0</v>
      </c>
      <c r="Z1747" s="200">
        <f ca="1">W1747*'Expenditure Study'!$B$31</f>
        <v>0</v>
      </c>
      <c r="AA1747" s="195">
        <f t="shared" ca="1" si="386"/>
        <v>0</v>
      </c>
      <c r="AB1747" s="195">
        <f t="shared" ca="1" si="387"/>
        <v>0</v>
      </c>
      <c r="AD1747" s="196">
        <f>IFERROR($G1747/SUMIF($A:$A,$A1747,$G:$G)*SUMIF(Summary!$A$166:$A$242,$A1747,Summary!$P$166:$P$242),0)</f>
        <v>0</v>
      </c>
      <c r="AE1747" s="197">
        <f t="shared" ca="1" si="388"/>
        <v>0</v>
      </c>
      <c r="AF1747" s="196">
        <f>IFERROR(G1747/SUMIF(A:A,A1747,G:G)*SUMIF(Summary!$A$166:$A$242,'Operations Support'!A1747,Summary!$Q$166:$Q$242),0)</f>
        <v>0</v>
      </c>
      <c r="AG1747" s="196">
        <f t="shared" ca="1" si="389"/>
        <v>0</v>
      </c>
      <c r="AI1747" s="196">
        <f>IFERROR($G1747/SUMIF($A:$A,$A1747,$G:$G)*SUMIF(Summary!$A$247:$A$283,$A1747,Summary!$P$247:$P$283),0)</f>
        <v>0</v>
      </c>
      <c r="AJ1747" s="196">
        <f>IFERROR($G1747/SUMIF($A:$A,$A1747,$G:$G)*(SUMIF(Summary!$A$247:$A$283,$A1747,Summary!$L$247:$L$283)+SUMIF(Summary!$A$297:$A$333,$A1747,Summary!$L$297:$L$333))-AI1747,0)</f>
        <v>0</v>
      </c>
      <c r="AK1747" s="196">
        <f>IFERROR($G1747/SUMIF($A:$A,$A1747,$G:$G)*SUMIF(Summary!$A$247:$A$283,$A1747,Summary!$Q$247:$Q$283),0)</f>
        <v>0</v>
      </c>
      <c r="AL1747" s="196">
        <f>IFERROR($G1747/SUMIF($A:$A,$A1747,$G:$G)*(SUMIF(Summary!$A$247:$A$283,$A1747,Summary!$L$247:$L$283)+SUMIF(Summary!$A$297:$A$333,$A1747,Summary!$L$297:$L$333))-AK1747,0)</f>
        <v>0</v>
      </c>
      <c r="AM1747" s="198"/>
      <c r="AN1747" s="196">
        <f t="shared" ca="1" si="390"/>
        <v>0</v>
      </c>
      <c r="AO1747" s="196">
        <f t="shared" ca="1" si="391"/>
        <v>0</v>
      </c>
    </row>
    <row r="1748" spans="1:41">
      <c r="A1748" s="189">
        <v>3644</v>
      </c>
      <c r="B1748" s="190">
        <v>4</v>
      </c>
      <c r="C1748" s="191" t="s">
        <v>220</v>
      </c>
      <c r="D1748" s="192">
        <f t="shared" si="378"/>
        <v>8841.2999999999993</v>
      </c>
      <c r="E1748" s="192">
        <f t="shared" si="379"/>
        <v>760.7</v>
      </c>
      <c r="F1748" s="192">
        <f t="shared" si="380"/>
        <v>1283</v>
      </c>
      <c r="G1748" s="193">
        <f t="shared" si="381"/>
        <v>8319</v>
      </c>
      <c r="H1748" s="194">
        <v>3561</v>
      </c>
      <c r="I1748" s="194">
        <v>304</v>
      </c>
      <c r="J1748" s="194">
        <v>601</v>
      </c>
      <c r="K1748" s="193">
        <f t="shared" si="382"/>
        <v>3264</v>
      </c>
      <c r="L1748" s="194">
        <v>3659</v>
      </c>
      <c r="M1748" s="194">
        <v>264</v>
      </c>
      <c r="N1748" s="194">
        <v>396</v>
      </c>
      <c r="O1748" s="193">
        <f t="shared" si="383"/>
        <v>3527</v>
      </c>
      <c r="P1748" s="194">
        <v>1621.3</v>
      </c>
      <c r="Q1748" s="194">
        <v>192.7</v>
      </c>
      <c r="R1748" s="194">
        <v>286</v>
      </c>
      <c r="S1748" s="193">
        <f t="shared" si="384"/>
        <v>1528</v>
      </c>
      <c r="T1748" s="193">
        <f t="shared" si="385"/>
        <v>462.16666666666669</v>
      </c>
      <c r="U1748" s="193">
        <f ca="1">OFFSET('Expenditure Study'!$B$7,'Operations Support'!$C1748,'Operations Support'!$B1748)*$G1748</f>
        <v>122538.87000000001</v>
      </c>
      <c r="V1748" s="199">
        <f ca="1">U1748*'Expenditure Study'!$B$31</f>
        <v>7239986.2112376969</v>
      </c>
      <c r="W1748" s="199">
        <f ca="1">IF(A1748=10298,1.51,1)*IF($B1748&lt;3,$D1748*'Expenditure Study'!$B$32*OFFSET('Expenditure Study'!$B$7,'Operations Support'!$C1748,'Operations Support'!$B1748),0)</f>
        <v>0</v>
      </c>
      <c r="X1748" s="200">
        <f ca="1">W1748*'Expenditure Study'!$B$31</f>
        <v>0</v>
      </c>
      <c r="Y1748" s="199">
        <f ca="1">U1748*'Expenditure Study'!$B$31</f>
        <v>7239986.2112376969</v>
      </c>
      <c r="Z1748" s="200">
        <f ca="1">W1748*'Expenditure Study'!$B$31</f>
        <v>0</v>
      </c>
      <c r="AA1748" s="195">
        <f t="shared" ca="1" si="386"/>
        <v>7239986.2112376969</v>
      </c>
      <c r="AB1748" s="195">
        <f t="shared" ca="1" si="387"/>
        <v>7239986.2112376969</v>
      </c>
      <c r="AD1748" s="196">
        <f>IFERROR($G1748/SUMIF($A:$A,$A1748,$G:$G)*SUMIF(Summary!$A$166:$A$242,$A1748,Summary!$P$166:$P$242),0)</f>
        <v>246076.35838269861</v>
      </c>
      <c r="AE1748" s="197">
        <f t="shared" ca="1" si="388"/>
        <v>6993909.8528549988</v>
      </c>
      <c r="AF1748" s="196">
        <f>IFERROR(G1748/SUMIF(A:A,A1748,G:G)*SUMIF(Summary!$A$166:$A$242,'Operations Support'!A1748,Summary!$Q$166:$Q$242),0)</f>
        <v>246906.66931892047</v>
      </c>
      <c r="AG1748" s="196">
        <f t="shared" ca="1" si="389"/>
        <v>6993079.5419187769</v>
      </c>
      <c r="AI1748" s="196">
        <f>IFERROR($G1748/SUMIF($A:$A,$A1748,$G:$G)*SUMIF(Summary!$A$247:$A$283,$A1748,Summary!$P$247:$P$283),0)</f>
        <v>44878.18700193175</v>
      </c>
      <c r="AJ1748" s="196">
        <f>IFERROR($G1748/SUMIF($A:$A,$A1748,$G:$G)*(SUMIF(Summary!$A$247:$A$283,$A1748,Summary!$L$247:$L$283)+SUMIF(Summary!$A$297:$A$333,$A1748,Summary!$L$297:$L$333))-AI1748,0)</f>
        <v>202617.29626699074</v>
      </c>
      <c r="AK1748" s="196">
        <f>IFERROR($G1748/SUMIF($A:$A,$A1748,$G:$G)*SUMIF(Summary!$A$247:$A$283,$A1748,Summary!$Q$247:$Q$283),0)</f>
        <v>45029.614996520162</v>
      </c>
      <c r="AL1748" s="196">
        <f>IFERROR($G1748/SUMIF($A:$A,$A1748,$G:$G)*(SUMIF(Summary!$A$247:$A$283,$A1748,Summary!$L$247:$L$283)+SUMIF(Summary!$A$297:$A$333,$A1748,Summary!$L$297:$L$333))-AK1748,0)</f>
        <v>202465.86827240232</v>
      </c>
      <c r="AM1748" s="198"/>
      <c r="AN1748" s="196">
        <f t="shared" ca="1" si="390"/>
        <v>7196527.1491219895</v>
      </c>
      <c r="AO1748" s="196">
        <f t="shared" ca="1" si="391"/>
        <v>7195545.4101911793</v>
      </c>
    </row>
    <row r="1749" spans="1:41">
      <c r="A1749" s="189">
        <v>3644</v>
      </c>
      <c r="B1749" s="190">
        <v>4</v>
      </c>
      <c r="C1749" s="191" t="s">
        <v>221</v>
      </c>
      <c r="D1749" s="192">
        <f t="shared" si="378"/>
        <v>11737.9</v>
      </c>
      <c r="E1749" s="192">
        <f t="shared" si="379"/>
        <v>570.1</v>
      </c>
      <c r="F1749" s="192">
        <f t="shared" si="380"/>
        <v>1321</v>
      </c>
      <c r="G1749" s="193">
        <f t="shared" si="381"/>
        <v>10987</v>
      </c>
      <c r="H1749" s="194">
        <v>4494.2</v>
      </c>
      <c r="I1749" s="194">
        <v>252.8</v>
      </c>
      <c r="J1749" s="194">
        <v>530</v>
      </c>
      <c r="K1749" s="193">
        <f t="shared" si="382"/>
        <v>4217</v>
      </c>
      <c r="L1749" s="194">
        <v>4907.7</v>
      </c>
      <c r="M1749" s="194">
        <v>180.3</v>
      </c>
      <c r="N1749" s="194">
        <v>478</v>
      </c>
      <c r="O1749" s="193">
        <f t="shared" si="383"/>
        <v>4610</v>
      </c>
      <c r="P1749" s="194">
        <v>2336</v>
      </c>
      <c r="Q1749" s="194">
        <v>137</v>
      </c>
      <c r="R1749" s="194">
        <v>313</v>
      </c>
      <c r="S1749" s="193">
        <f t="shared" si="384"/>
        <v>2160</v>
      </c>
      <c r="T1749" s="193">
        <f t="shared" si="385"/>
        <v>610.38888888888891</v>
      </c>
      <c r="U1749" s="193">
        <f ca="1">OFFSET('Expenditure Study'!$B$7,'Operations Support'!$C1749,'Operations Support'!$B1749)*$G1749</f>
        <v>238857.37999999998</v>
      </c>
      <c r="V1749" s="199">
        <f ca="1">U1749*'Expenditure Study'!$B$31</f>
        <v>14112453.767954303</v>
      </c>
      <c r="W1749" s="199">
        <f ca="1">IF(A1749=10298,1.51,1)*IF($B1749&lt;3,$D1749*'Expenditure Study'!$B$32*OFFSET('Expenditure Study'!$B$7,'Operations Support'!$C1749,'Operations Support'!$B1749),0)</f>
        <v>0</v>
      </c>
      <c r="X1749" s="200">
        <f ca="1">W1749*'Expenditure Study'!$B$31</f>
        <v>0</v>
      </c>
      <c r="Y1749" s="199">
        <f ca="1">U1749*'Expenditure Study'!$B$31</f>
        <v>14112453.767954303</v>
      </c>
      <c r="Z1749" s="200">
        <f ca="1">W1749*'Expenditure Study'!$B$31</f>
        <v>0</v>
      </c>
      <c r="AA1749" s="195">
        <f t="shared" ca="1" si="386"/>
        <v>14112453.767954303</v>
      </c>
      <c r="AB1749" s="195">
        <f t="shared" ca="1" si="387"/>
        <v>14112453.767954303</v>
      </c>
      <c r="AD1749" s="196">
        <f>IFERROR($G1749/SUMIF($A:$A,$A1749,$G:$G)*SUMIF(Summary!$A$166:$A$242,$A1749,Summary!$P$166:$P$242),0)</f>
        <v>324995.90690596349</v>
      </c>
      <c r="AE1749" s="197">
        <f t="shared" ca="1" si="388"/>
        <v>13787457.861048339</v>
      </c>
      <c r="AF1749" s="196">
        <f>IFERROR(G1749/SUMIF(A:A,A1749,G:G)*SUMIF(Summary!$A$166:$A$242,'Operations Support'!A1749,Summary!$Q$166:$Q$242),0)</f>
        <v>326092.50821096037</v>
      </c>
      <c r="AG1749" s="196">
        <f t="shared" ca="1" si="389"/>
        <v>13786361.259743342</v>
      </c>
      <c r="AI1749" s="196">
        <f>IFERROR($G1749/SUMIF($A:$A,$A1749,$G:$G)*SUMIF(Summary!$A$247:$A$283,$A1749,Summary!$P$247:$P$283),0)</f>
        <v>59271.143237194883</v>
      </c>
      <c r="AJ1749" s="196">
        <f>IFERROR($G1749/SUMIF($A:$A,$A1749,$G:$G)*(SUMIF(Summary!$A$247:$A$283,$A1749,Summary!$L$247:$L$283)+SUMIF(Summary!$A$297:$A$333,$A1749,Summary!$L$297:$L$333))-AI1749,0)</f>
        <v>267599.01840190263</v>
      </c>
      <c r="AK1749" s="196">
        <f>IFERROR($G1749/SUMIF($A:$A,$A1749,$G:$G)*SUMIF(Summary!$A$247:$A$283,$A1749,Summary!$Q$247:$Q$283),0)</f>
        <v>59471.135949845782</v>
      </c>
      <c r="AL1749" s="196">
        <f>IFERROR($G1749/SUMIF($A:$A,$A1749,$G:$G)*(SUMIF(Summary!$A$247:$A$283,$A1749,Summary!$L$247:$L$283)+SUMIF(Summary!$A$297:$A$333,$A1749,Summary!$L$297:$L$333))-AK1749,0)</f>
        <v>267399.02568925172</v>
      </c>
      <c r="AM1749" s="198"/>
      <c r="AN1749" s="196">
        <f t="shared" ca="1" si="390"/>
        <v>14055056.879450241</v>
      </c>
      <c r="AO1749" s="196">
        <f t="shared" ca="1" si="391"/>
        <v>14053760.285432594</v>
      </c>
    </row>
    <row r="1750" spans="1:41">
      <c r="A1750" s="189">
        <v>3644</v>
      </c>
      <c r="B1750" s="190">
        <v>4</v>
      </c>
      <c r="C1750" s="191" t="s">
        <v>222</v>
      </c>
      <c r="D1750" s="192">
        <f t="shared" si="378"/>
        <v>1948.73</v>
      </c>
      <c r="E1750" s="192">
        <f t="shared" si="379"/>
        <v>130.26999999999998</v>
      </c>
      <c r="F1750" s="192">
        <f t="shared" si="380"/>
        <v>99</v>
      </c>
      <c r="G1750" s="193">
        <f t="shared" si="381"/>
        <v>1980</v>
      </c>
      <c r="H1750" s="194">
        <v>879.2</v>
      </c>
      <c r="I1750" s="194">
        <v>77.8</v>
      </c>
      <c r="J1750" s="194">
        <v>39</v>
      </c>
      <c r="K1750" s="193">
        <f t="shared" si="382"/>
        <v>918</v>
      </c>
      <c r="L1750" s="194">
        <v>957.53</v>
      </c>
      <c r="M1750" s="194">
        <v>49.47</v>
      </c>
      <c r="N1750" s="194">
        <v>39</v>
      </c>
      <c r="O1750" s="193">
        <f t="shared" si="383"/>
        <v>968</v>
      </c>
      <c r="P1750" s="194">
        <v>112</v>
      </c>
      <c r="Q1750" s="194">
        <v>3</v>
      </c>
      <c r="R1750" s="194">
        <v>21</v>
      </c>
      <c r="S1750" s="193">
        <f t="shared" si="384"/>
        <v>94</v>
      </c>
      <c r="T1750" s="193">
        <f t="shared" si="385"/>
        <v>110</v>
      </c>
      <c r="U1750" s="193">
        <f ca="1">OFFSET('Expenditure Study'!$B$7,'Operations Support'!$C1750,'Operations Support'!$B1750)*$G1750</f>
        <v>19998</v>
      </c>
      <c r="V1750" s="199">
        <f ca="1">U1750*'Expenditure Study'!$B$31</f>
        <v>1181545.4496384</v>
      </c>
      <c r="W1750" s="199">
        <f ca="1">IF(A1750=10298,1.51,1)*IF($B1750&lt;3,$D1750*'Expenditure Study'!$B$32*OFFSET('Expenditure Study'!$B$7,'Operations Support'!$C1750,'Operations Support'!$B1750),0)</f>
        <v>0</v>
      </c>
      <c r="X1750" s="200">
        <f ca="1">W1750*'Expenditure Study'!$B$31</f>
        <v>0</v>
      </c>
      <c r="Y1750" s="199">
        <f ca="1">U1750*'Expenditure Study'!$B$31</f>
        <v>1181545.4496384</v>
      </c>
      <c r="Z1750" s="200">
        <f ca="1">W1750*'Expenditure Study'!$B$31</f>
        <v>0</v>
      </c>
      <c r="AA1750" s="195">
        <f t="shared" ca="1" si="386"/>
        <v>1181545.4496384</v>
      </c>
      <c r="AB1750" s="195">
        <f t="shared" ca="1" si="387"/>
        <v>1181545.4496384</v>
      </c>
      <c r="AD1750" s="196">
        <f>IFERROR($G1750/SUMIF($A:$A,$A1750,$G:$G)*SUMIF(Summary!$A$166:$A$242,$A1750,Summary!$P$166:$P$242),0)</f>
        <v>58568.480538255004</v>
      </c>
      <c r="AE1750" s="197">
        <f t="shared" ca="1" si="388"/>
        <v>1122976.9691001449</v>
      </c>
      <c r="AF1750" s="196">
        <f>IFERROR(G1750/SUMIF(A:A,A1750,G:G)*SUMIF(Summary!$A$166:$A$242,'Operations Support'!A1750,Summary!$Q$166:$Q$242),0)</f>
        <v>58766.102326176529</v>
      </c>
      <c r="AG1750" s="196">
        <f t="shared" ca="1" si="389"/>
        <v>1122779.3473122234</v>
      </c>
      <c r="AI1750" s="196">
        <f>IFERROR($G1750/SUMIF($A:$A,$A1750,$G:$G)*SUMIF(Summary!$A$247:$A$283,$A1750,Summary!$P$247:$P$283),0)</f>
        <v>10681.42929003785</v>
      </c>
      <c r="AJ1750" s="196">
        <f>IFERROR($G1750/SUMIF($A:$A,$A1750,$G:$G)*(SUMIF(Summary!$A$247:$A$283,$A1750,Summary!$L$247:$L$283)+SUMIF(Summary!$A$297:$A$333,$A1750,Summary!$L$297:$L$333))-AI1750,0)</f>
        <v>48224.816277033504</v>
      </c>
      <c r="AK1750" s="196">
        <f>IFERROR($G1750/SUMIF($A:$A,$A1750,$G:$G)*SUMIF(Summary!$A$247:$A$283,$A1750,Summary!$Q$247:$Q$283),0)</f>
        <v>10717.470572557992</v>
      </c>
      <c r="AL1750" s="196">
        <f>IFERROR($G1750/SUMIF($A:$A,$A1750,$G:$G)*(SUMIF(Summary!$A$247:$A$283,$A1750,Summary!$L$247:$L$283)+SUMIF(Summary!$A$297:$A$333,$A1750,Summary!$L$297:$L$333))-AK1750,0)</f>
        <v>48188.774994513362</v>
      </c>
      <c r="AM1750" s="198"/>
      <c r="AN1750" s="196">
        <f t="shared" ca="1" si="390"/>
        <v>1171201.7853771783</v>
      </c>
      <c r="AO1750" s="196">
        <f t="shared" ca="1" si="391"/>
        <v>1170968.1223067367</v>
      </c>
    </row>
    <row r="1751" spans="1:41">
      <c r="A1751" s="189">
        <v>3644</v>
      </c>
      <c r="B1751" s="190">
        <v>4</v>
      </c>
      <c r="C1751" s="191" t="s">
        <v>223</v>
      </c>
      <c r="D1751" s="192">
        <f t="shared" si="378"/>
        <v>4980.5</v>
      </c>
      <c r="E1751" s="192">
        <f t="shared" si="379"/>
        <v>1482.5</v>
      </c>
      <c r="F1751" s="192">
        <f t="shared" si="380"/>
        <v>319</v>
      </c>
      <c r="G1751" s="193">
        <f t="shared" si="381"/>
        <v>6144</v>
      </c>
      <c r="H1751" s="194">
        <v>1712.5</v>
      </c>
      <c r="I1751" s="194">
        <v>506.5</v>
      </c>
      <c r="J1751" s="194">
        <v>94</v>
      </c>
      <c r="K1751" s="193">
        <f t="shared" si="382"/>
        <v>2125</v>
      </c>
      <c r="L1751" s="194">
        <v>1914</v>
      </c>
      <c r="M1751" s="194">
        <v>458</v>
      </c>
      <c r="N1751" s="194">
        <v>110</v>
      </c>
      <c r="O1751" s="193">
        <f t="shared" si="383"/>
        <v>2262</v>
      </c>
      <c r="P1751" s="194">
        <v>1354</v>
      </c>
      <c r="Q1751" s="194">
        <v>518</v>
      </c>
      <c r="R1751" s="194">
        <v>115</v>
      </c>
      <c r="S1751" s="193">
        <f t="shared" si="384"/>
        <v>1757</v>
      </c>
      <c r="T1751" s="193">
        <f t="shared" si="385"/>
        <v>341.33333333333331</v>
      </c>
      <c r="U1751" s="193">
        <f ca="1">OFFSET('Expenditure Study'!$B$7,'Operations Support'!$C1751,'Operations Support'!$B1751)*$G1751</f>
        <v>48046.080000000002</v>
      </c>
      <c r="V1751" s="199">
        <f ca="1">U1751*'Expenditure Study'!$B$31</f>
        <v>2838715.231371264</v>
      </c>
      <c r="W1751" s="199">
        <f ca="1">IF(A1751=10298,1.51,1)*IF($B1751&lt;3,$D1751*'Expenditure Study'!$B$32*OFFSET('Expenditure Study'!$B$7,'Operations Support'!$C1751,'Operations Support'!$B1751),0)</f>
        <v>0</v>
      </c>
      <c r="X1751" s="200">
        <f ca="1">W1751*'Expenditure Study'!$B$31</f>
        <v>0</v>
      </c>
      <c r="Y1751" s="199">
        <f ca="1">U1751*'Expenditure Study'!$B$31</f>
        <v>2838715.231371264</v>
      </c>
      <c r="Z1751" s="200">
        <f ca="1">W1751*'Expenditure Study'!$B$31</f>
        <v>0</v>
      </c>
      <c r="AA1751" s="195">
        <f t="shared" ca="1" si="386"/>
        <v>2838715.231371264</v>
      </c>
      <c r="AB1751" s="195">
        <f t="shared" ca="1" si="387"/>
        <v>2838715.231371264</v>
      </c>
      <c r="AD1751" s="196">
        <f>IFERROR($G1751/SUMIF($A:$A,$A1751,$G:$G)*SUMIF(Summary!$A$166:$A$242,$A1751,Summary!$P$166:$P$242),0)</f>
        <v>181739.76991264583</v>
      </c>
      <c r="AE1751" s="197">
        <f t="shared" ca="1" si="388"/>
        <v>2656975.4614586183</v>
      </c>
      <c r="AF1751" s="196">
        <f>IFERROR(G1751/SUMIF(A:A,A1751,G:G)*SUMIF(Summary!$A$166:$A$242,'Operations Support'!A1751,Summary!$Q$166:$Q$242),0)</f>
        <v>182352.99630910537</v>
      </c>
      <c r="AG1751" s="196">
        <f t="shared" ca="1" si="389"/>
        <v>2656362.2350621587</v>
      </c>
      <c r="AI1751" s="196">
        <f>IFERROR($G1751/SUMIF($A:$A,$A1751,$G:$G)*SUMIF(Summary!$A$247:$A$283,$A1751,Summary!$P$247:$P$283),0)</f>
        <v>33144.798766662905</v>
      </c>
      <c r="AJ1751" s="196">
        <f>IFERROR($G1751/SUMIF($A:$A,$A1751,$G:$G)*(SUMIF(Summary!$A$247:$A$283,$A1751,Summary!$L$247:$L$283)+SUMIF(Summary!$A$297:$A$333,$A1751,Summary!$L$297:$L$333))-AI1751,0)</f>
        <v>149643.06626570399</v>
      </c>
      <c r="AK1751" s="196">
        <f>IFERROR($G1751/SUMIF($A:$A,$A1751,$G:$G)*SUMIF(Summary!$A$247:$A$283,$A1751,Summary!$Q$247:$Q$283),0)</f>
        <v>33256.635958482977</v>
      </c>
      <c r="AL1751" s="196">
        <f>IFERROR($G1751/SUMIF($A:$A,$A1751,$G:$G)*(SUMIF(Summary!$A$247:$A$283,$A1751,Summary!$L$247:$L$283)+SUMIF(Summary!$A$297:$A$333,$A1751,Summary!$L$297:$L$333))-AK1751,0)</f>
        <v>149531.22907388391</v>
      </c>
      <c r="AM1751" s="198"/>
      <c r="AN1751" s="196">
        <f t="shared" ca="1" si="390"/>
        <v>2806618.5277243224</v>
      </c>
      <c r="AO1751" s="196">
        <f t="shared" ca="1" si="391"/>
        <v>2805893.4641360426</v>
      </c>
    </row>
    <row r="1752" spans="1:41">
      <c r="A1752" s="189">
        <v>3644</v>
      </c>
      <c r="B1752" s="190">
        <v>4</v>
      </c>
      <c r="C1752" s="191" t="s">
        <v>224</v>
      </c>
      <c r="D1752" s="192">
        <f t="shared" si="378"/>
        <v>1778.5</v>
      </c>
      <c r="E1752" s="192">
        <f t="shared" si="379"/>
        <v>46.5</v>
      </c>
      <c r="F1752" s="192">
        <f t="shared" si="380"/>
        <v>55</v>
      </c>
      <c r="G1752" s="193">
        <f t="shared" si="381"/>
        <v>1770</v>
      </c>
      <c r="H1752" s="194">
        <v>769.5</v>
      </c>
      <c r="I1752" s="194">
        <v>23.5</v>
      </c>
      <c r="J1752" s="194">
        <v>24</v>
      </c>
      <c r="K1752" s="193">
        <f t="shared" si="382"/>
        <v>769</v>
      </c>
      <c r="L1752" s="194">
        <v>673</v>
      </c>
      <c r="M1752" s="194">
        <v>17</v>
      </c>
      <c r="N1752" s="194">
        <v>21</v>
      </c>
      <c r="O1752" s="193">
        <f t="shared" si="383"/>
        <v>669</v>
      </c>
      <c r="P1752" s="194">
        <v>336</v>
      </c>
      <c r="Q1752" s="194">
        <v>6</v>
      </c>
      <c r="R1752" s="194">
        <v>10</v>
      </c>
      <c r="S1752" s="193">
        <f t="shared" si="384"/>
        <v>332</v>
      </c>
      <c r="T1752" s="193">
        <f t="shared" si="385"/>
        <v>98.333333333333329</v>
      </c>
      <c r="U1752" s="193">
        <f ca="1">OFFSET('Expenditure Study'!$B$7,'Operations Support'!$C1752,'Operations Support'!$B1752)*$G1752</f>
        <v>25611.9</v>
      </c>
      <c r="V1752" s="199">
        <f ca="1">U1752*'Expenditure Study'!$B$31</f>
        <v>1513232.51833152</v>
      </c>
      <c r="W1752" s="199">
        <f ca="1">IF(A1752=10298,1.51,1)*IF($B1752&lt;3,$D1752*'Expenditure Study'!$B$32*OFFSET('Expenditure Study'!$B$7,'Operations Support'!$C1752,'Operations Support'!$B1752),0)</f>
        <v>0</v>
      </c>
      <c r="X1752" s="200">
        <f ca="1">W1752*'Expenditure Study'!$B$31</f>
        <v>0</v>
      </c>
      <c r="Y1752" s="199">
        <f ca="1">U1752*'Expenditure Study'!$B$31</f>
        <v>1513232.51833152</v>
      </c>
      <c r="Z1752" s="200">
        <f ca="1">W1752*'Expenditure Study'!$B$31</f>
        <v>0</v>
      </c>
      <c r="AA1752" s="195">
        <f t="shared" ca="1" si="386"/>
        <v>1513232.51833152</v>
      </c>
      <c r="AB1752" s="195">
        <f t="shared" ca="1" si="387"/>
        <v>1513232.51833152</v>
      </c>
      <c r="AD1752" s="196">
        <f>IFERROR($G1752/SUMIF($A:$A,$A1752,$G:$G)*SUMIF(Summary!$A$166:$A$242,$A1752,Summary!$P$166:$P$242),0)</f>
        <v>52356.671996318866</v>
      </c>
      <c r="AE1752" s="197">
        <f t="shared" ca="1" si="388"/>
        <v>1460875.8463352011</v>
      </c>
      <c r="AF1752" s="196">
        <f>IFERROR(G1752/SUMIF(A:A,A1752,G:G)*SUMIF(Summary!$A$166:$A$242,'Operations Support'!A1752,Summary!$Q$166:$Q$242),0)</f>
        <v>52533.33389764266</v>
      </c>
      <c r="AG1752" s="196">
        <f t="shared" ca="1" si="389"/>
        <v>1460699.1844338775</v>
      </c>
      <c r="AI1752" s="196">
        <f>IFERROR($G1752/SUMIF($A:$A,$A1752,$G:$G)*SUMIF(Summary!$A$247:$A$283,$A1752,Summary!$P$247:$P$283),0)</f>
        <v>9548.5504259429272</v>
      </c>
      <c r="AJ1752" s="196">
        <f>IFERROR($G1752/SUMIF($A:$A,$A1752,$G:$G)*(SUMIF(Summary!$A$247:$A$283,$A1752,Summary!$L$247:$L$283)+SUMIF(Summary!$A$297:$A$333,$A1752,Summary!$L$297:$L$333))-AI1752,0)</f>
        <v>43110.063035529951</v>
      </c>
      <c r="AK1752" s="196">
        <f>IFERROR($G1752/SUMIF($A:$A,$A1752,$G:$G)*SUMIF(Summary!$A$247:$A$283,$A1752,Summary!$Q$247:$Q$283),0)</f>
        <v>9580.7691481957809</v>
      </c>
      <c r="AL1752" s="196">
        <f>IFERROR($G1752/SUMIF($A:$A,$A1752,$G:$G)*(SUMIF(Summary!$A$247:$A$283,$A1752,Summary!$L$247:$L$283)+SUMIF(Summary!$A$297:$A$333,$A1752,Summary!$L$297:$L$333))-AK1752,0)</f>
        <v>43077.844313277099</v>
      </c>
      <c r="AM1752" s="198"/>
      <c r="AN1752" s="196">
        <f t="shared" ca="1" si="390"/>
        <v>1503985.9093707311</v>
      </c>
      <c r="AO1752" s="196">
        <f t="shared" ca="1" si="391"/>
        <v>1503777.0287471546</v>
      </c>
    </row>
    <row r="1753" spans="1:41">
      <c r="A1753" s="189">
        <v>3644</v>
      </c>
      <c r="B1753" s="190">
        <v>4</v>
      </c>
      <c r="C1753" s="191" t="s">
        <v>225</v>
      </c>
      <c r="D1753" s="192">
        <f t="shared" si="378"/>
        <v>9613.7000000000007</v>
      </c>
      <c r="E1753" s="192">
        <f t="shared" si="379"/>
        <v>541.29999999999995</v>
      </c>
      <c r="F1753" s="192">
        <f t="shared" si="380"/>
        <v>1449</v>
      </c>
      <c r="G1753" s="193">
        <f t="shared" si="381"/>
        <v>8706</v>
      </c>
      <c r="H1753" s="194">
        <v>3400.7</v>
      </c>
      <c r="I1753" s="194">
        <v>307.3</v>
      </c>
      <c r="J1753" s="194">
        <v>528</v>
      </c>
      <c r="K1753" s="193">
        <f t="shared" si="382"/>
        <v>3180</v>
      </c>
      <c r="L1753" s="194">
        <v>3759</v>
      </c>
      <c r="M1753" s="194">
        <v>198</v>
      </c>
      <c r="N1753" s="194">
        <v>544</v>
      </c>
      <c r="O1753" s="193">
        <f t="shared" si="383"/>
        <v>3413</v>
      </c>
      <c r="P1753" s="194">
        <v>2454</v>
      </c>
      <c r="Q1753" s="194">
        <v>36</v>
      </c>
      <c r="R1753" s="194">
        <v>377</v>
      </c>
      <c r="S1753" s="193">
        <f t="shared" si="384"/>
        <v>2113</v>
      </c>
      <c r="T1753" s="193">
        <f t="shared" si="385"/>
        <v>483.66666666666669</v>
      </c>
      <c r="U1753" s="193">
        <f ca="1">OFFSET('Expenditure Study'!$B$7,'Operations Support'!$C1753,'Operations Support'!$B1753)*$G1753</f>
        <v>163585.74</v>
      </c>
      <c r="V1753" s="199">
        <f ca="1">U1753*'Expenditure Study'!$B$31</f>
        <v>9665165.8527217917</v>
      </c>
      <c r="W1753" s="199">
        <f ca="1">IF(A1753=10298,1.51,1)*IF($B1753&lt;3,$D1753*'Expenditure Study'!$B$32*OFFSET('Expenditure Study'!$B$7,'Operations Support'!$C1753,'Operations Support'!$B1753),0)</f>
        <v>0</v>
      </c>
      <c r="X1753" s="200">
        <f ca="1">W1753*'Expenditure Study'!$B$31</f>
        <v>0</v>
      </c>
      <c r="Y1753" s="199">
        <f ca="1">U1753*'Expenditure Study'!$B$31</f>
        <v>9665165.8527217917</v>
      </c>
      <c r="Z1753" s="200">
        <f ca="1">W1753*'Expenditure Study'!$B$31</f>
        <v>0</v>
      </c>
      <c r="AA1753" s="195">
        <f t="shared" ca="1" si="386"/>
        <v>9665165.8527217917</v>
      </c>
      <c r="AB1753" s="195">
        <f t="shared" ca="1" si="387"/>
        <v>9665165.8527217917</v>
      </c>
      <c r="AD1753" s="196">
        <f>IFERROR($G1753/SUMIF($A:$A,$A1753,$G:$G)*SUMIF(Summary!$A$166:$A$242,$A1753,Summary!$P$166:$P$242),0)</f>
        <v>257523.83412426664</v>
      </c>
      <c r="AE1753" s="197">
        <f t="shared" ca="1" si="388"/>
        <v>9407642.0185975246</v>
      </c>
      <c r="AF1753" s="196">
        <f>IFERROR(G1753/SUMIF(A:A,A1753,G:G)*SUMIF(Summary!$A$166:$A$242,'Operations Support'!A1753,Summary!$Q$166:$Q$242),0)</f>
        <v>258392.7711372186</v>
      </c>
      <c r="AG1753" s="196">
        <f t="shared" ca="1" si="389"/>
        <v>9406773.0815845728</v>
      </c>
      <c r="AI1753" s="196">
        <f>IFERROR($G1753/SUMIF($A:$A,$A1753,$G:$G)*SUMIF(Summary!$A$247:$A$283,$A1753,Summary!$P$247:$P$283),0)</f>
        <v>46965.920908620967</v>
      </c>
      <c r="AJ1753" s="196">
        <f>IFERROR($G1753/SUMIF($A:$A,$A1753,$G:$G)*(SUMIF(Summary!$A$247:$A$283,$A1753,Summary!$L$247:$L$283)+SUMIF(Summary!$A$297:$A$333,$A1753,Summary!$L$297:$L$333))-AI1753,0)</f>
        <v>212043.0558120473</v>
      </c>
      <c r="AK1753" s="196">
        <f>IFERROR($G1753/SUMIF($A:$A,$A1753,$G:$G)*SUMIF(Summary!$A$247:$A$283,$A1753,Summary!$Q$247:$Q$283),0)</f>
        <v>47124.393335701949</v>
      </c>
      <c r="AL1753" s="196">
        <f>IFERROR($G1753/SUMIF($A:$A,$A1753,$G:$G)*(SUMIF(Summary!$A$247:$A$283,$A1753,Summary!$L$247:$L$283)+SUMIF(Summary!$A$297:$A$333,$A1753,Summary!$L$297:$L$333))-AK1753,0)</f>
        <v>211884.5833849663</v>
      </c>
      <c r="AM1753" s="198"/>
      <c r="AN1753" s="196">
        <f t="shared" ca="1" si="390"/>
        <v>9619685.0744095724</v>
      </c>
      <c r="AO1753" s="196">
        <f t="shared" ca="1" si="391"/>
        <v>9618657.6649695393</v>
      </c>
    </row>
    <row r="1754" spans="1:41">
      <c r="A1754" s="189">
        <v>3644</v>
      </c>
      <c r="B1754" s="190">
        <v>4</v>
      </c>
      <c r="C1754" s="191" t="s">
        <v>226</v>
      </c>
      <c r="D1754" s="192">
        <f t="shared" si="378"/>
        <v>258</v>
      </c>
      <c r="E1754" s="192">
        <f t="shared" si="379"/>
        <v>54</v>
      </c>
      <c r="F1754" s="192">
        <f t="shared" si="380"/>
        <v>5</v>
      </c>
      <c r="G1754" s="193">
        <f t="shared" si="381"/>
        <v>307</v>
      </c>
      <c r="H1754" s="194">
        <v>111</v>
      </c>
      <c r="I1754" s="194">
        <v>33</v>
      </c>
      <c r="J1754" s="194">
        <v>3</v>
      </c>
      <c r="K1754" s="193">
        <f t="shared" si="382"/>
        <v>141</v>
      </c>
      <c r="L1754" s="194">
        <v>80</v>
      </c>
      <c r="M1754" s="194">
        <v>18</v>
      </c>
      <c r="N1754" s="194">
        <v>1</v>
      </c>
      <c r="O1754" s="193">
        <f t="shared" si="383"/>
        <v>97</v>
      </c>
      <c r="P1754" s="194">
        <v>67</v>
      </c>
      <c r="Q1754" s="194">
        <v>3</v>
      </c>
      <c r="R1754" s="194">
        <v>1</v>
      </c>
      <c r="S1754" s="193">
        <f t="shared" si="384"/>
        <v>69</v>
      </c>
      <c r="T1754" s="193">
        <f t="shared" si="385"/>
        <v>17.055555555555557</v>
      </c>
      <c r="U1754" s="193">
        <f ca="1">OFFSET('Expenditure Study'!$B$7,'Operations Support'!$C1754,'Operations Support'!$B1754)*$G1754</f>
        <v>4310.28</v>
      </c>
      <c r="V1754" s="199">
        <f ca="1">U1754*'Expenditure Study'!$B$31</f>
        <v>254665.05253862398</v>
      </c>
      <c r="W1754" s="199">
        <f ca="1">IF(A1754=10298,1.51,1)*IF($B1754&lt;3,$D1754*'Expenditure Study'!$B$32*OFFSET('Expenditure Study'!$B$7,'Operations Support'!$C1754,'Operations Support'!$B1754),0)</f>
        <v>0</v>
      </c>
      <c r="X1754" s="200">
        <f ca="1">W1754*'Expenditure Study'!$B$31</f>
        <v>0</v>
      </c>
      <c r="Y1754" s="199">
        <f ca="1">U1754*'Expenditure Study'!$B$31</f>
        <v>254665.05253862398</v>
      </c>
      <c r="Z1754" s="200">
        <f ca="1">W1754*'Expenditure Study'!$B$31</f>
        <v>0</v>
      </c>
      <c r="AA1754" s="195">
        <f t="shared" ca="1" si="386"/>
        <v>254665.05253862398</v>
      </c>
      <c r="AB1754" s="195">
        <f t="shared" ca="1" si="387"/>
        <v>254665.05253862398</v>
      </c>
      <c r="AD1754" s="196">
        <f>IFERROR($G1754/SUMIF($A:$A,$A1754,$G:$G)*SUMIF(Summary!$A$166:$A$242,$A1754,Summary!$P$166:$P$242),0)</f>
        <v>9081.0724874971129</v>
      </c>
      <c r="AE1754" s="197">
        <f t="shared" ca="1" si="388"/>
        <v>245583.98005112685</v>
      </c>
      <c r="AF1754" s="196">
        <f>IFERROR(G1754/SUMIF(A:A,A1754,G:G)*SUMIF(Summary!$A$166:$A$242,'Operations Support'!A1754,Summary!$Q$166:$Q$242),0)</f>
        <v>9111.7138455233307</v>
      </c>
      <c r="AG1754" s="196">
        <f t="shared" ca="1" si="389"/>
        <v>245553.33869310064</v>
      </c>
      <c r="AI1754" s="196">
        <f>IFERROR($G1754/SUMIF($A:$A,$A1754,$G:$G)*SUMIF(Summary!$A$247:$A$283,$A1754,Summary!$P$247:$P$283),0)</f>
        <v>1656.1610060816263</v>
      </c>
      <c r="AJ1754" s="196">
        <f>IFERROR($G1754/SUMIF($A:$A,$A1754,$G:$G)*(SUMIF(Summary!$A$247:$A$283,$A1754,Summary!$L$247:$L$283)+SUMIF(Summary!$A$297:$A$333,$A1754,Summary!$L$297:$L$333))-AI1754,0)</f>
        <v>7477.2821197218609</v>
      </c>
      <c r="AK1754" s="196">
        <f>IFERROR($G1754/SUMIF($A:$A,$A1754,$G:$G)*SUMIF(Summary!$A$247:$A$283,$A1754,Summary!$Q$247:$Q$283),0)</f>
        <v>1661.7492251390422</v>
      </c>
      <c r="AL1754" s="196">
        <f>IFERROR($G1754/SUMIF($A:$A,$A1754,$G:$G)*(SUMIF(Summary!$A$247:$A$283,$A1754,Summary!$L$247:$L$283)+SUMIF(Summary!$A$297:$A$333,$A1754,Summary!$L$297:$L$333))-AK1754,0)</f>
        <v>7471.6939006644452</v>
      </c>
      <c r="AM1754" s="198"/>
      <c r="AN1754" s="196">
        <f t="shared" ca="1" si="390"/>
        <v>253061.26217084873</v>
      </c>
      <c r="AO1754" s="196">
        <f t="shared" ca="1" si="391"/>
        <v>253025.03259376509</v>
      </c>
    </row>
    <row r="1755" spans="1:41">
      <c r="A1755" s="189">
        <v>3644</v>
      </c>
      <c r="B1755" s="190">
        <v>4</v>
      </c>
      <c r="C1755" s="191" t="s">
        <v>227</v>
      </c>
      <c r="D1755" s="192">
        <f t="shared" si="378"/>
        <v>0</v>
      </c>
      <c r="E1755" s="192">
        <f t="shared" si="379"/>
        <v>0</v>
      </c>
      <c r="F1755" s="192">
        <f t="shared" si="380"/>
        <v>0</v>
      </c>
      <c r="G1755" s="193">
        <f t="shared" si="381"/>
        <v>0</v>
      </c>
      <c r="H1755" s="194">
        <v>0</v>
      </c>
      <c r="I1755" s="194">
        <v>0</v>
      </c>
      <c r="J1755" s="194">
        <v>0</v>
      </c>
      <c r="K1755" s="193">
        <f t="shared" si="382"/>
        <v>0</v>
      </c>
      <c r="L1755" s="194">
        <v>0</v>
      </c>
      <c r="M1755" s="194">
        <v>0</v>
      </c>
      <c r="N1755" s="194">
        <v>0</v>
      </c>
      <c r="O1755" s="193">
        <f t="shared" si="383"/>
        <v>0</v>
      </c>
      <c r="P1755" s="194">
        <v>0</v>
      </c>
      <c r="Q1755" s="194">
        <v>0</v>
      </c>
      <c r="R1755" s="194">
        <v>0</v>
      </c>
      <c r="S1755" s="193">
        <f t="shared" si="384"/>
        <v>0</v>
      </c>
      <c r="T1755" s="193">
        <f t="shared" si="385"/>
        <v>0</v>
      </c>
      <c r="U1755" s="193">
        <f ca="1">OFFSET('Expenditure Study'!$B$7,'Operations Support'!$C1755,'Operations Support'!$B1755)*$G1755</f>
        <v>0</v>
      </c>
      <c r="V1755" s="199">
        <f ca="1">U1755*'Expenditure Study'!$B$31</f>
        <v>0</v>
      </c>
      <c r="W1755" s="199">
        <f ca="1">IF(A1755=10298,1.51,1)*IF($B1755&lt;3,$D1755*'Expenditure Study'!$B$32*OFFSET('Expenditure Study'!$B$7,'Operations Support'!$C1755,'Operations Support'!$B1755),0)</f>
        <v>0</v>
      </c>
      <c r="X1755" s="200">
        <f ca="1">W1755*'Expenditure Study'!$B$31</f>
        <v>0</v>
      </c>
      <c r="Y1755" s="199">
        <f ca="1">U1755*'Expenditure Study'!$B$31</f>
        <v>0</v>
      </c>
      <c r="Z1755" s="200">
        <f ca="1">W1755*'Expenditure Study'!$B$31</f>
        <v>0</v>
      </c>
      <c r="AA1755" s="195">
        <f t="shared" ca="1" si="386"/>
        <v>0</v>
      </c>
      <c r="AB1755" s="195">
        <f t="shared" ca="1" si="387"/>
        <v>0</v>
      </c>
      <c r="AD1755" s="196">
        <f>IFERROR($G1755/SUMIF($A:$A,$A1755,$G:$G)*SUMIF(Summary!$A$166:$A$242,$A1755,Summary!$P$166:$P$242),0)</f>
        <v>0</v>
      </c>
      <c r="AE1755" s="197">
        <f t="shared" ca="1" si="388"/>
        <v>0</v>
      </c>
      <c r="AF1755" s="196">
        <f>IFERROR(G1755/SUMIF(A:A,A1755,G:G)*SUMIF(Summary!$A$166:$A$242,'Operations Support'!A1755,Summary!$Q$166:$Q$242),0)</f>
        <v>0</v>
      </c>
      <c r="AG1755" s="196">
        <f t="shared" ca="1" si="389"/>
        <v>0</v>
      </c>
      <c r="AI1755" s="196">
        <f>IFERROR($G1755/SUMIF($A:$A,$A1755,$G:$G)*SUMIF(Summary!$A$247:$A$283,$A1755,Summary!$P$247:$P$283),0)</f>
        <v>0</v>
      </c>
      <c r="AJ1755" s="196">
        <f>IFERROR($G1755/SUMIF($A:$A,$A1755,$G:$G)*(SUMIF(Summary!$A$247:$A$283,$A1755,Summary!$L$247:$L$283)+SUMIF(Summary!$A$297:$A$333,$A1755,Summary!$L$297:$L$333))-AI1755,0)</f>
        <v>0</v>
      </c>
      <c r="AK1755" s="196">
        <f>IFERROR($G1755/SUMIF($A:$A,$A1755,$G:$G)*SUMIF(Summary!$A$247:$A$283,$A1755,Summary!$Q$247:$Q$283),0)</f>
        <v>0</v>
      </c>
      <c r="AL1755" s="196">
        <f>IFERROR($G1755/SUMIF($A:$A,$A1755,$G:$G)*(SUMIF(Summary!$A$247:$A$283,$A1755,Summary!$L$247:$L$283)+SUMIF(Summary!$A$297:$A$333,$A1755,Summary!$L$297:$L$333))-AK1755,0)</f>
        <v>0</v>
      </c>
      <c r="AM1755" s="198"/>
      <c r="AN1755" s="196">
        <f t="shared" ca="1" si="390"/>
        <v>0</v>
      </c>
      <c r="AO1755" s="196">
        <f t="shared" ca="1" si="391"/>
        <v>0</v>
      </c>
    </row>
    <row r="1756" spans="1:41">
      <c r="A1756" s="189">
        <v>3644</v>
      </c>
      <c r="B1756" s="190">
        <v>4</v>
      </c>
      <c r="C1756" s="191" t="s">
        <v>228</v>
      </c>
      <c r="D1756" s="192">
        <f t="shared" si="378"/>
        <v>0</v>
      </c>
      <c r="E1756" s="192">
        <f t="shared" si="379"/>
        <v>0</v>
      </c>
      <c r="F1756" s="192">
        <f t="shared" si="380"/>
        <v>0</v>
      </c>
      <c r="G1756" s="193">
        <f t="shared" si="381"/>
        <v>0</v>
      </c>
      <c r="H1756" s="194">
        <v>0</v>
      </c>
      <c r="I1756" s="194">
        <v>0</v>
      </c>
      <c r="J1756" s="194">
        <v>0</v>
      </c>
      <c r="K1756" s="193">
        <f t="shared" si="382"/>
        <v>0</v>
      </c>
      <c r="L1756" s="194">
        <v>0</v>
      </c>
      <c r="M1756" s="194">
        <v>0</v>
      </c>
      <c r="N1756" s="194">
        <v>0</v>
      </c>
      <c r="O1756" s="193">
        <f t="shared" si="383"/>
        <v>0</v>
      </c>
      <c r="P1756" s="194">
        <v>0</v>
      </c>
      <c r="Q1756" s="194">
        <v>0</v>
      </c>
      <c r="R1756" s="194">
        <v>0</v>
      </c>
      <c r="S1756" s="193">
        <f t="shared" si="384"/>
        <v>0</v>
      </c>
      <c r="T1756" s="193">
        <f t="shared" si="385"/>
        <v>0</v>
      </c>
      <c r="U1756" s="193">
        <f ca="1">OFFSET('Expenditure Study'!$B$7,'Operations Support'!$C1756,'Operations Support'!$B1756)*$G1756</f>
        <v>0</v>
      </c>
      <c r="V1756" s="199">
        <f ca="1">U1756*'Expenditure Study'!$B$31</f>
        <v>0</v>
      </c>
      <c r="W1756" s="199">
        <f ca="1">IF(A1756=10298,1.51,1)*IF($B1756&lt;3,$D1756*'Expenditure Study'!$B$32*OFFSET('Expenditure Study'!$B$7,'Operations Support'!$C1756,'Operations Support'!$B1756),0)</f>
        <v>0</v>
      </c>
      <c r="X1756" s="200">
        <f ca="1">W1756*'Expenditure Study'!$B$31</f>
        <v>0</v>
      </c>
      <c r="Y1756" s="199">
        <f ca="1">U1756*'Expenditure Study'!$B$31</f>
        <v>0</v>
      </c>
      <c r="Z1756" s="200">
        <f ca="1">W1756*'Expenditure Study'!$B$31</f>
        <v>0</v>
      </c>
      <c r="AA1756" s="195">
        <f t="shared" ca="1" si="386"/>
        <v>0</v>
      </c>
      <c r="AB1756" s="195">
        <f t="shared" ca="1" si="387"/>
        <v>0</v>
      </c>
      <c r="AD1756" s="196">
        <f>IFERROR($G1756/SUMIF($A:$A,$A1756,$G:$G)*SUMIF(Summary!$A$166:$A$242,$A1756,Summary!$P$166:$P$242),0)</f>
        <v>0</v>
      </c>
      <c r="AE1756" s="197">
        <f t="shared" ca="1" si="388"/>
        <v>0</v>
      </c>
      <c r="AF1756" s="196">
        <f>IFERROR(G1756/SUMIF(A:A,A1756,G:G)*SUMIF(Summary!$A$166:$A$242,'Operations Support'!A1756,Summary!$Q$166:$Q$242),0)</f>
        <v>0</v>
      </c>
      <c r="AG1756" s="196">
        <f t="shared" ca="1" si="389"/>
        <v>0</v>
      </c>
      <c r="AI1756" s="196">
        <f>IFERROR($G1756/SUMIF($A:$A,$A1756,$G:$G)*SUMIF(Summary!$A$247:$A$283,$A1756,Summary!$P$247:$P$283),0)</f>
        <v>0</v>
      </c>
      <c r="AJ1756" s="196">
        <f>IFERROR($G1756/SUMIF($A:$A,$A1756,$G:$G)*(SUMIF(Summary!$A$247:$A$283,$A1756,Summary!$L$247:$L$283)+SUMIF(Summary!$A$297:$A$333,$A1756,Summary!$L$297:$L$333))-AI1756,0)</f>
        <v>0</v>
      </c>
      <c r="AK1756" s="196">
        <f>IFERROR($G1756/SUMIF($A:$A,$A1756,$G:$G)*SUMIF(Summary!$A$247:$A$283,$A1756,Summary!$Q$247:$Q$283),0)</f>
        <v>0</v>
      </c>
      <c r="AL1756" s="196">
        <f>IFERROR($G1756/SUMIF($A:$A,$A1756,$G:$G)*(SUMIF(Summary!$A$247:$A$283,$A1756,Summary!$L$247:$L$283)+SUMIF(Summary!$A$297:$A$333,$A1756,Summary!$L$297:$L$333))-AK1756,0)</f>
        <v>0</v>
      </c>
      <c r="AM1756" s="198"/>
      <c r="AN1756" s="196">
        <f t="shared" ca="1" si="390"/>
        <v>0</v>
      </c>
      <c r="AO1756" s="196">
        <f t="shared" ca="1" si="391"/>
        <v>0</v>
      </c>
    </row>
    <row r="1757" spans="1:41" s="201" customFormat="1">
      <c r="A1757" s="189">
        <v>3644</v>
      </c>
      <c r="B1757" s="190">
        <v>4</v>
      </c>
      <c r="C1757" s="191" t="s">
        <v>229</v>
      </c>
      <c r="D1757" s="192">
        <f t="shared" si="378"/>
        <v>0</v>
      </c>
      <c r="E1757" s="192">
        <f t="shared" si="379"/>
        <v>3</v>
      </c>
      <c r="F1757" s="192">
        <f t="shared" si="380"/>
        <v>0</v>
      </c>
      <c r="G1757" s="193">
        <f t="shared" si="381"/>
        <v>3</v>
      </c>
      <c r="H1757" s="194">
        <v>0</v>
      </c>
      <c r="I1757" s="194">
        <v>3</v>
      </c>
      <c r="J1757" s="194">
        <v>0</v>
      </c>
      <c r="K1757" s="193">
        <f t="shared" si="382"/>
        <v>3</v>
      </c>
      <c r="L1757" s="194">
        <v>0</v>
      </c>
      <c r="M1757" s="194">
        <v>0</v>
      </c>
      <c r="N1757" s="194">
        <v>0</v>
      </c>
      <c r="O1757" s="193">
        <f t="shared" si="383"/>
        <v>0</v>
      </c>
      <c r="P1757" s="194">
        <v>0</v>
      </c>
      <c r="Q1757" s="194">
        <v>0</v>
      </c>
      <c r="R1757" s="194">
        <v>0</v>
      </c>
      <c r="S1757" s="193">
        <f t="shared" si="384"/>
        <v>0</v>
      </c>
      <c r="T1757" s="193">
        <f t="shared" si="385"/>
        <v>0.16666666666666666</v>
      </c>
      <c r="U1757" s="193">
        <f ca="1">OFFSET('Expenditure Study'!$B$7,'Operations Support'!$C1757,'Operations Support'!$B1757)*$G1757</f>
        <v>79.44</v>
      </c>
      <c r="V1757" s="199">
        <f ca="1">U1757*'Expenditure Study'!$B$31</f>
        <v>4693.5678827519996</v>
      </c>
      <c r="W1757" s="199">
        <f ca="1">IF(A1757=10298,1.51,1)*IF($B1757&lt;3,$D1757*'Expenditure Study'!$B$32*OFFSET('Expenditure Study'!$B$7,'Operations Support'!$C1757,'Operations Support'!$B1757),0)</f>
        <v>0</v>
      </c>
      <c r="X1757" s="200">
        <f ca="1">W1757*'Expenditure Study'!$B$31</f>
        <v>0</v>
      </c>
      <c r="Y1757" s="199">
        <f ca="1">U1757*'Expenditure Study'!$B$31</f>
        <v>4693.5678827519996</v>
      </c>
      <c r="Z1757" s="200">
        <f ca="1">W1757*'Expenditure Study'!$B$31</f>
        <v>0</v>
      </c>
      <c r="AA1757" s="195">
        <f t="shared" ca="1" si="386"/>
        <v>4693.5678827519996</v>
      </c>
      <c r="AB1757" s="195">
        <f t="shared" ca="1" si="387"/>
        <v>4693.5678827519996</v>
      </c>
      <c r="AD1757" s="196">
        <f>IFERROR($G1757/SUMIF($A:$A,$A1757,$G:$G)*SUMIF(Summary!$A$166:$A$242,$A1757,Summary!$P$166:$P$242),0)</f>
        <v>88.740122027659098</v>
      </c>
      <c r="AE1757" s="197">
        <f t="shared" ca="1" si="388"/>
        <v>4604.8277607243408</v>
      </c>
      <c r="AF1757" s="196">
        <f>IFERROR(G1757/SUMIF(A:A,A1757,G:G)*SUMIF(Summary!$A$166:$A$242,'Operations Support'!A1757,Summary!$Q$166:$Q$242),0)</f>
        <v>89.039548979055354</v>
      </c>
      <c r="AG1757" s="196">
        <f t="shared" ca="1" si="389"/>
        <v>4604.5283337729443</v>
      </c>
      <c r="AH1757" s="180"/>
      <c r="AI1757" s="196">
        <f>IFERROR($G1757/SUMIF($A:$A,$A1757,$G:$G)*SUMIF(Summary!$A$247:$A$283,$A1757,Summary!$P$247:$P$283),0)</f>
        <v>16.183983772784622</v>
      </c>
      <c r="AJ1757" s="196">
        <f>IFERROR($G1757/SUMIF($A:$A,$A1757,$G:$G)*(SUMIF(Summary!$A$247:$A$283,$A1757,Summary!$L$247:$L$283)+SUMIF(Summary!$A$297:$A$333,$A1757,Summary!$L$297:$L$333))-AI1757,0)</f>
        <v>73.067903450050778</v>
      </c>
      <c r="AK1757" s="196">
        <f>IFERROR($G1757/SUMIF($A:$A,$A1757,$G:$G)*SUMIF(Summary!$A$247:$A$283,$A1757,Summary!$Q$247:$Q$283),0)</f>
        <v>16.238591776603016</v>
      </c>
      <c r="AL1757" s="196">
        <f>IFERROR($G1757/SUMIF($A:$A,$A1757,$G:$G)*(SUMIF(Summary!$A$247:$A$283,$A1757,Summary!$L$247:$L$283)+SUMIF(Summary!$A$297:$A$333,$A1757,Summary!$L$297:$L$333))-AK1757,0)</f>
        <v>73.013295446232377</v>
      </c>
      <c r="AM1757" s="198"/>
      <c r="AN1757" s="196">
        <f t="shared" ca="1" si="390"/>
        <v>4677.8956641743916</v>
      </c>
      <c r="AO1757" s="196">
        <f t="shared" ca="1" si="391"/>
        <v>4677.5416292191767</v>
      </c>
    </row>
    <row r="1758" spans="1:41">
      <c r="A1758" s="189">
        <v>3644</v>
      </c>
      <c r="B1758" s="190">
        <v>4</v>
      </c>
      <c r="C1758" s="191" t="s">
        <v>230</v>
      </c>
      <c r="D1758" s="192">
        <f t="shared" si="378"/>
        <v>0</v>
      </c>
      <c r="E1758" s="192">
        <f t="shared" si="379"/>
        <v>0</v>
      </c>
      <c r="F1758" s="192">
        <f t="shared" si="380"/>
        <v>0</v>
      </c>
      <c r="G1758" s="193">
        <f t="shared" si="381"/>
        <v>0</v>
      </c>
      <c r="H1758" s="194">
        <v>0</v>
      </c>
      <c r="I1758" s="194">
        <v>0</v>
      </c>
      <c r="J1758" s="194">
        <v>0</v>
      </c>
      <c r="K1758" s="193">
        <f t="shared" si="382"/>
        <v>0</v>
      </c>
      <c r="L1758" s="194">
        <v>0</v>
      </c>
      <c r="M1758" s="194">
        <v>0</v>
      </c>
      <c r="N1758" s="194">
        <v>0</v>
      </c>
      <c r="O1758" s="193">
        <f t="shared" si="383"/>
        <v>0</v>
      </c>
      <c r="P1758" s="194">
        <v>0</v>
      </c>
      <c r="Q1758" s="194">
        <v>0</v>
      </c>
      <c r="R1758" s="194">
        <v>0</v>
      </c>
      <c r="S1758" s="193">
        <f t="shared" si="384"/>
        <v>0</v>
      </c>
      <c r="T1758" s="193">
        <f t="shared" si="385"/>
        <v>0</v>
      </c>
      <c r="U1758" s="193">
        <f ca="1">OFFSET('Expenditure Study'!$B$7,'Operations Support'!$C1758,'Operations Support'!$B1758)*$G1758</f>
        <v>0</v>
      </c>
      <c r="V1758" s="199">
        <f ca="1">U1758*'Expenditure Study'!$B$31</f>
        <v>0</v>
      </c>
      <c r="W1758" s="199">
        <f ca="1">IF(A1758=10298,1.51,1)*IF($B1758&lt;3,$D1758*'Expenditure Study'!$B$32*OFFSET('Expenditure Study'!$B$7,'Operations Support'!$C1758,'Operations Support'!$B1758),0)</f>
        <v>0</v>
      </c>
      <c r="X1758" s="200">
        <f ca="1">W1758*'Expenditure Study'!$B$31</f>
        <v>0</v>
      </c>
      <c r="Y1758" s="199">
        <f ca="1">U1758*'Expenditure Study'!$B$31</f>
        <v>0</v>
      </c>
      <c r="Z1758" s="200">
        <f ca="1">W1758*'Expenditure Study'!$B$31</f>
        <v>0</v>
      </c>
      <c r="AA1758" s="195">
        <f t="shared" ca="1" si="386"/>
        <v>0</v>
      </c>
      <c r="AB1758" s="195">
        <f t="shared" ca="1" si="387"/>
        <v>0</v>
      </c>
      <c r="AD1758" s="196">
        <f>IFERROR($G1758/SUMIF($A:$A,$A1758,$G:$G)*SUMIF(Summary!$A$166:$A$242,$A1758,Summary!$P$166:$P$242),0)</f>
        <v>0</v>
      </c>
      <c r="AE1758" s="197">
        <f t="shared" ca="1" si="388"/>
        <v>0</v>
      </c>
      <c r="AF1758" s="196">
        <f>IFERROR(G1758/SUMIF(A:A,A1758,G:G)*SUMIF(Summary!$A$166:$A$242,'Operations Support'!A1758,Summary!$Q$166:$Q$242),0)</f>
        <v>0</v>
      </c>
      <c r="AG1758" s="196">
        <f t="shared" ca="1" si="389"/>
        <v>0</v>
      </c>
      <c r="AI1758" s="196">
        <f>IFERROR($G1758/SUMIF($A:$A,$A1758,$G:$G)*SUMIF(Summary!$A$247:$A$283,$A1758,Summary!$P$247:$P$283),0)</f>
        <v>0</v>
      </c>
      <c r="AJ1758" s="196">
        <f>IFERROR($G1758/SUMIF($A:$A,$A1758,$G:$G)*(SUMIF(Summary!$A$247:$A$283,$A1758,Summary!$L$247:$L$283)+SUMIF(Summary!$A$297:$A$333,$A1758,Summary!$L$297:$L$333))-AI1758,0)</f>
        <v>0</v>
      </c>
      <c r="AK1758" s="196">
        <f>IFERROR($G1758/SUMIF($A:$A,$A1758,$G:$G)*SUMIF(Summary!$A$247:$A$283,$A1758,Summary!$Q$247:$Q$283),0)</f>
        <v>0</v>
      </c>
      <c r="AL1758" s="196">
        <f>IFERROR($G1758/SUMIF($A:$A,$A1758,$G:$G)*(SUMIF(Summary!$A$247:$A$283,$A1758,Summary!$L$247:$L$283)+SUMIF(Summary!$A$297:$A$333,$A1758,Summary!$L$297:$L$333))-AK1758,0)</f>
        <v>0</v>
      </c>
      <c r="AM1758" s="198"/>
      <c r="AN1758" s="196">
        <f t="shared" ca="1" si="390"/>
        <v>0</v>
      </c>
      <c r="AO1758" s="196">
        <f t="shared" ca="1" si="391"/>
        <v>0</v>
      </c>
    </row>
    <row r="1759" spans="1:41">
      <c r="A1759" s="189">
        <v>3644</v>
      </c>
      <c r="B1759" s="190">
        <v>4</v>
      </c>
      <c r="C1759" s="191" t="s">
        <v>231</v>
      </c>
      <c r="D1759" s="192">
        <f t="shared" si="378"/>
        <v>0</v>
      </c>
      <c r="E1759" s="192">
        <f t="shared" si="379"/>
        <v>0</v>
      </c>
      <c r="F1759" s="192">
        <f t="shared" si="380"/>
        <v>0</v>
      </c>
      <c r="G1759" s="193">
        <f t="shared" si="381"/>
        <v>0</v>
      </c>
      <c r="H1759" s="194">
        <v>0</v>
      </c>
      <c r="I1759" s="194">
        <v>0</v>
      </c>
      <c r="J1759" s="194">
        <v>0</v>
      </c>
      <c r="K1759" s="193">
        <f t="shared" si="382"/>
        <v>0</v>
      </c>
      <c r="L1759" s="194">
        <v>0</v>
      </c>
      <c r="M1759" s="194">
        <v>0</v>
      </c>
      <c r="N1759" s="194">
        <v>0</v>
      </c>
      <c r="O1759" s="193">
        <f t="shared" si="383"/>
        <v>0</v>
      </c>
      <c r="P1759" s="194">
        <v>0</v>
      </c>
      <c r="Q1759" s="194">
        <v>0</v>
      </c>
      <c r="R1759" s="194">
        <v>0</v>
      </c>
      <c r="S1759" s="193">
        <f t="shared" si="384"/>
        <v>0</v>
      </c>
      <c r="T1759" s="193">
        <f t="shared" si="385"/>
        <v>0</v>
      </c>
      <c r="U1759" s="193">
        <f ca="1">OFFSET('Expenditure Study'!$B$7,'Operations Support'!$C1759,'Operations Support'!$B1759)*$G1759</f>
        <v>0</v>
      </c>
      <c r="V1759" s="199">
        <f ca="1">U1759*'Expenditure Study'!$B$31</f>
        <v>0</v>
      </c>
      <c r="W1759" s="199">
        <f ca="1">IF(A1759=10298,1.51,1)*IF($B1759&lt;3,$D1759*'Expenditure Study'!$B$32*OFFSET('Expenditure Study'!$B$7,'Operations Support'!$C1759,'Operations Support'!$B1759),0)</f>
        <v>0</v>
      </c>
      <c r="X1759" s="200">
        <f ca="1">W1759*'Expenditure Study'!$B$31</f>
        <v>0</v>
      </c>
      <c r="Y1759" s="199">
        <f ca="1">U1759*'Expenditure Study'!$B$31</f>
        <v>0</v>
      </c>
      <c r="Z1759" s="200">
        <f ca="1">W1759*'Expenditure Study'!$B$31</f>
        <v>0</v>
      </c>
      <c r="AA1759" s="195">
        <f t="shared" ca="1" si="386"/>
        <v>0</v>
      </c>
      <c r="AB1759" s="195">
        <f t="shared" ca="1" si="387"/>
        <v>0</v>
      </c>
      <c r="AD1759" s="196">
        <f>IFERROR($G1759/SUMIF($A:$A,$A1759,$G:$G)*SUMIF(Summary!$A$166:$A$242,$A1759,Summary!$P$166:$P$242),0)</f>
        <v>0</v>
      </c>
      <c r="AE1759" s="197">
        <f t="shared" ca="1" si="388"/>
        <v>0</v>
      </c>
      <c r="AF1759" s="196">
        <f>IFERROR(G1759/SUMIF(A:A,A1759,G:G)*SUMIF(Summary!$A$166:$A$242,'Operations Support'!A1759,Summary!$Q$166:$Q$242),0)</f>
        <v>0</v>
      </c>
      <c r="AG1759" s="196">
        <f t="shared" ca="1" si="389"/>
        <v>0</v>
      </c>
      <c r="AI1759" s="196">
        <f>IFERROR($G1759/SUMIF($A:$A,$A1759,$G:$G)*SUMIF(Summary!$A$247:$A$283,$A1759,Summary!$P$247:$P$283),0)</f>
        <v>0</v>
      </c>
      <c r="AJ1759" s="196">
        <f>IFERROR($G1759/SUMIF($A:$A,$A1759,$G:$G)*(SUMIF(Summary!$A$247:$A$283,$A1759,Summary!$L$247:$L$283)+SUMIF(Summary!$A$297:$A$333,$A1759,Summary!$L$297:$L$333))-AI1759,0)</f>
        <v>0</v>
      </c>
      <c r="AK1759" s="196">
        <f>IFERROR($G1759/SUMIF($A:$A,$A1759,$G:$G)*SUMIF(Summary!$A$247:$A$283,$A1759,Summary!$Q$247:$Q$283),0)</f>
        <v>0</v>
      </c>
      <c r="AL1759" s="196">
        <f>IFERROR($G1759/SUMIF($A:$A,$A1759,$G:$G)*(SUMIF(Summary!$A$247:$A$283,$A1759,Summary!$L$247:$L$283)+SUMIF(Summary!$A$297:$A$333,$A1759,Summary!$L$297:$L$333))-AK1759,0)</f>
        <v>0</v>
      </c>
      <c r="AM1759" s="198"/>
      <c r="AN1759" s="196">
        <f t="shared" ca="1" si="390"/>
        <v>0</v>
      </c>
      <c r="AO1759" s="196">
        <f t="shared" ca="1" si="391"/>
        <v>0</v>
      </c>
    </row>
    <row r="1760" spans="1:41">
      <c r="A1760" s="189">
        <v>3644</v>
      </c>
      <c r="B1760" s="190">
        <v>4</v>
      </c>
      <c r="C1760" s="191" t="s">
        <v>232</v>
      </c>
      <c r="D1760" s="192">
        <f t="shared" si="378"/>
        <v>0</v>
      </c>
      <c r="E1760" s="192">
        <f t="shared" si="379"/>
        <v>0</v>
      </c>
      <c r="F1760" s="192">
        <f t="shared" si="380"/>
        <v>0</v>
      </c>
      <c r="G1760" s="193">
        <f t="shared" si="381"/>
        <v>0</v>
      </c>
      <c r="H1760" s="194">
        <v>0</v>
      </c>
      <c r="I1760" s="194">
        <v>0</v>
      </c>
      <c r="J1760" s="194">
        <v>0</v>
      </c>
      <c r="K1760" s="193">
        <f t="shared" si="382"/>
        <v>0</v>
      </c>
      <c r="L1760" s="194">
        <v>0</v>
      </c>
      <c r="M1760" s="194">
        <v>0</v>
      </c>
      <c r="N1760" s="194">
        <v>0</v>
      </c>
      <c r="O1760" s="193">
        <f t="shared" si="383"/>
        <v>0</v>
      </c>
      <c r="P1760" s="194">
        <v>0</v>
      </c>
      <c r="Q1760" s="194">
        <v>0</v>
      </c>
      <c r="R1760" s="194">
        <v>0</v>
      </c>
      <c r="S1760" s="193">
        <f t="shared" si="384"/>
        <v>0</v>
      </c>
      <c r="T1760" s="193">
        <f t="shared" si="385"/>
        <v>0</v>
      </c>
      <c r="U1760" s="193">
        <f ca="1">OFFSET('Expenditure Study'!$B$7,'Operations Support'!$C1760,'Operations Support'!$B1760)*$G1760</f>
        <v>0</v>
      </c>
      <c r="V1760" s="199">
        <f ca="1">U1760*'Expenditure Study'!$B$31</f>
        <v>0</v>
      </c>
      <c r="W1760" s="199">
        <f ca="1">IF(A1760=10298,1.51,1)*IF($B1760&lt;3,$D1760*'Expenditure Study'!$B$32*OFFSET('Expenditure Study'!$B$7,'Operations Support'!$C1760,'Operations Support'!$B1760),0)</f>
        <v>0</v>
      </c>
      <c r="X1760" s="200">
        <f ca="1">W1760*'Expenditure Study'!$B$31</f>
        <v>0</v>
      </c>
      <c r="Y1760" s="199">
        <f ca="1">U1760*'Expenditure Study'!$B$31</f>
        <v>0</v>
      </c>
      <c r="Z1760" s="200">
        <f ca="1">W1760*'Expenditure Study'!$B$31</f>
        <v>0</v>
      </c>
      <c r="AA1760" s="195">
        <f t="shared" ca="1" si="386"/>
        <v>0</v>
      </c>
      <c r="AB1760" s="195">
        <f t="shared" ca="1" si="387"/>
        <v>0</v>
      </c>
      <c r="AD1760" s="196">
        <f>IFERROR($G1760/SUMIF($A:$A,$A1760,$G:$G)*SUMIF(Summary!$A$166:$A$242,$A1760,Summary!$P$166:$P$242),0)</f>
        <v>0</v>
      </c>
      <c r="AE1760" s="197">
        <f t="shared" ca="1" si="388"/>
        <v>0</v>
      </c>
      <c r="AF1760" s="196">
        <f>IFERROR(G1760/SUMIF(A:A,A1760,G:G)*SUMIF(Summary!$A$166:$A$242,'Operations Support'!A1760,Summary!$Q$166:$Q$242),0)</f>
        <v>0</v>
      </c>
      <c r="AG1760" s="196">
        <f t="shared" ca="1" si="389"/>
        <v>0</v>
      </c>
      <c r="AI1760" s="196">
        <f>IFERROR($G1760/SUMIF($A:$A,$A1760,$G:$G)*SUMIF(Summary!$A$247:$A$283,$A1760,Summary!$P$247:$P$283),0)</f>
        <v>0</v>
      </c>
      <c r="AJ1760" s="196">
        <f>IFERROR($G1760/SUMIF($A:$A,$A1760,$G:$G)*(SUMIF(Summary!$A$247:$A$283,$A1760,Summary!$L$247:$L$283)+SUMIF(Summary!$A$297:$A$333,$A1760,Summary!$L$297:$L$333))-AI1760,0)</f>
        <v>0</v>
      </c>
      <c r="AK1760" s="196">
        <f>IFERROR($G1760/SUMIF($A:$A,$A1760,$G:$G)*SUMIF(Summary!$A$247:$A$283,$A1760,Summary!$Q$247:$Q$283),0)</f>
        <v>0</v>
      </c>
      <c r="AL1760" s="196">
        <f>IFERROR($G1760/SUMIF($A:$A,$A1760,$G:$G)*(SUMIF(Summary!$A$247:$A$283,$A1760,Summary!$L$247:$L$283)+SUMIF(Summary!$A$297:$A$333,$A1760,Summary!$L$297:$L$333))-AK1760,0)</f>
        <v>0</v>
      </c>
      <c r="AM1760" s="198"/>
      <c r="AN1760" s="196">
        <f t="shared" ca="1" si="390"/>
        <v>0</v>
      </c>
      <c r="AO1760" s="196">
        <f t="shared" ca="1" si="391"/>
        <v>0</v>
      </c>
    </row>
    <row r="1761" spans="1:41">
      <c r="A1761" s="189">
        <v>3644</v>
      </c>
      <c r="B1761" s="190">
        <v>4</v>
      </c>
      <c r="C1761" s="191" t="s">
        <v>233</v>
      </c>
      <c r="D1761" s="192">
        <f t="shared" si="378"/>
        <v>965</v>
      </c>
      <c r="E1761" s="192">
        <f t="shared" si="379"/>
        <v>227</v>
      </c>
      <c r="F1761" s="192">
        <f t="shared" si="380"/>
        <v>50</v>
      </c>
      <c r="G1761" s="193">
        <f t="shared" si="381"/>
        <v>1142</v>
      </c>
      <c r="H1761" s="194">
        <v>333</v>
      </c>
      <c r="I1761" s="194">
        <v>69</v>
      </c>
      <c r="J1761" s="194">
        <v>17</v>
      </c>
      <c r="K1761" s="193">
        <f t="shared" si="382"/>
        <v>385</v>
      </c>
      <c r="L1761" s="194">
        <v>391</v>
      </c>
      <c r="M1761" s="194">
        <v>56</v>
      </c>
      <c r="N1761" s="194">
        <v>13</v>
      </c>
      <c r="O1761" s="193">
        <f t="shared" si="383"/>
        <v>434</v>
      </c>
      <c r="P1761" s="194">
        <v>241</v>
      </c>
      <c r="Q1761" s="194">
        <v>102</v>
      </c>
      <c r="R1761" s="194">
        <v>20</v>
      </c>
      <c r="S1761" s="193">
        <f t="shared" si="384"/>
        <v>323</v>
      </c>
      <c r="T1761" s="193">
        <f t="shared" si="385"/>
        <v>63.444444444444443</v>
      </c>
      <c r="U1761" s="193">
        <f ca="1">OFFSET('Expenditure Study'!$B$7,'Operations Support'!$C1761,'Operations Support'!$B1761)*$G1761</f>
        <v>10506.4</v>
      </c>
      <c r="V1761" s="199">
        <f ca="1">U1761*'Expenditure Study'!$B$31</f>
        <v>620751.53075712</v>
      </c>
      <c r="W1761" s="199">
        <f ca="1">IF(A1761=10298,1.51,1)*IF($B1761&lt;3,$D1761*'Expenditure Study'!$B$32*OFFSET('Expenditure Study'!$B$7,'Operations Support'!$C1761,'Operations Support'!$B1761),0)</f>
        <v>0</v>
      </c>
      <c r="X1761" s="200">
        <f ca="1">W1761*'Expenditure Study'!$B$31</f>
        <v>0</v>
      </c>
      <c r="Y1761" s="199">
        <f ca="1">U1761*'Expenditure Study'!$B$31</f>
        <v>620751.53075712</v>
      </c>
      <c r="Z1761" s="200">
        <f ca="1">W1761*'Expenditure Study'!$B$31</f>
        <v>0</v>
      </c>
      <c r="AA1761" s="195">
        <f t="shared" ca="1" si="386"/>
        <v>620751.53075712</v>
      </c>
      <c r="AB1761" s="195">
        <f t="shared" ca="1" si="387"/>
        <v>620751.53075712</v>
      </c>
      <c r="AD1761" s="196">
        <f>IFERROR($G1761/SUMIF($A:$A,$A1761,$G:$G)*SUMIF(Summary!$A$166:$A$242,$A1761,Summary!$P$166:$P$242),0)</f>
        <v>33780.406451862225</v>
      </c>
      <c r="AE1761" s="197">
        <f t="shared" ca="1" si="388"/>
        <v>586971.12430525781</v>
      </c>
      <c r="AF1761" s="196">
        <f>IFERROR(G1761/SUMIF(A:A,A1761,G:G)*SUMIF(Summary!$A$166:$A$242,'Operations Support'!A1761,Summary!$Q$166:$Q$242),0)</f>
        <v>33894.388311360402</v>
      </c>
      <c r="AG1761" s="196">
        <f t="shared" ca="1" si="389"/>
        <v>586857.14244575961</v>
      </c>
      <c r="AI1761" s="196">
        <f>IFERROR($G1761/SUMIF($A:$A,$A1761,$G:$G)*SUMIF(Summary!$A$247:$A$283,$A1761,Summary!$P$247:$P$283),0)</f>
        <v>6160.7031561733456</v>
      </c>
      <c r="AJ1761" s="196">
        <f>IFERROR($G1761/SUMIF($A:$A,$A1761,$G:$G)*(SUMIF(Summary!$A$247:$A$283,$A1761,Summary!$L$247:$L$283)+SUMIF(Summary!$A$297:$A$333,$A1761,Summary!$L$297:$L$333))-AI1761,0)</f>
        <v>27814.515246652656</v>
      </c>
      <c r="AK1761" s="196">
        <f>IFERROR($G1761/SUMIF($A:$A,$A1761,$G:$G)*SUMIF(Summary!$A$247:$A$283,$A1761,Summary!$Q$247:$Q$283),0)</f>
        <v>6181.4906029602153</v>
      </c>
      <c r="AL1761" s="196">
        <f>IFERROR($G1761/SUMIF($A:$A,$A1761,$G:$G)*(SUMIF(Summary!$A$247:$A$283,$A1761,Summary!$L$247:$L$283)+SUMIF(Summary!$A$297:$A$333,$A1761,Summary!$L$297:$L$333))-AK1761,0)</f>
        <v>27793.727799865788</v>
      </c>
      <c r="AM1761" s="198"/>
      <c r="AN1761" s="196">
        <f t="shared" ca="1" si="390"/>
        <v>614785.63955191046</v>
      </c>
      <c r="AO1761" s="196">
        <f t="shared" ca="1" si="391"/>
        <v>614650.87024562538</v>
      </c>
    </row>
    <row r="1762" spans="1:41">
      <c r="A1762" s="189">
        <v>3644</v>
      </c>
      <c r="B1762" s="190">
        <v>4</v>
      </c>
      <c r="C1762" s="191" t="s">
        <v>234</v>
      </c>
      <c r="D1762" s="192">
        <f t="shared" si="378"/>
        <v>0</v>
      </c>
      <c r="E1762" s="192">
        <f t="shared" si="379"/>
        <v>0</v>
      </c>
      <c r="F1762" s="192">
        <f t="shared" si="380"/>
        <v>0</v>
      </c>
      <c r="G1762" s="193">
        <f t="shared" si="381"/>
        <v>0</v>
      </c>
      <c r="H1762" s="194">
        <v>0</v>
      </c>
      <c r="I1762" s="194">
        <v>0</v>
      </c>
      <c r="J1762" s="194">
        <v>0</v>
      </c>
      <c r="K1762" s="193">
        <f t="shared" si="382"/>
        <v>0</v>
      </c>
      <c r="L1762" s="194">
        <v>0</v>
      </c>
      <c r="M1762" s="194">
        <v>0</v>
      </c>
      <c r="N1762" s="194">
        <v>0</v>
      </c>
      <c r="O1762" s="193">
        <f t="shared" si="383"/>
        <v>0</v>
      </c>
      <c r="P1762" s="194">
        <v>0</v>
      </c>
      <c r="Q1762" s="194">
        <v>0</v>
      </c>
      <c r="R1762" s="194">
        <v>0</v>
      </c>
      <c r="S1762" s="193">
        <f t="shared" si="384"/>
        <v>0</v>
      </c>
      <c r="T1762" s="193">
        <f t="shared" si="385"/>
        <v>0</v>
      </c>
      <c r="U1762" s="193">
        <f ca="1">OFFSET('Expenditure Study'!$B$7,'Operations Support'!$C1762,'Operations Support'!$B1762)*$G1762</f>
        <v>0</v>
      </c>
      <c r="V1762" s="199">
        <f ca="1">U1762*'Expenditure Study'!$B$31</f>
        <v>0</v>
      </c>
      <c r="W1762" s="199">
        <f ca="1">IF(A1762=10298,1.51,1)*IF($B1762&lt;3,$D1762*'Expenditure Study'!$B$32*OFFSET('Expenditure Study'!$B$7,'Operations Support'!$C1762,'Operations Support'!$B1762),0)</f>
        <v>0</v>
      </c>
      <c r="X1762" s="200">
        <f ca="1">W1762*'Expenditure Study'!$B$31</f>
        <v>0</v>
      </c>
      <c r="Y1762" s="199">
        <f ca="1">U1762*'Expenditure Study'!$B$31</f>
        <v>0</v>
      </c>
      <c r="Z1762" s="200">
        <f ca="1">W1762*'Expenditure Study'!$B$31</f>
        <v>0</v>
      </c>
      <c r="AA1762" s="195">
        <f t="shared" ca="1" si="386"/>
        <v>0</v>
      </c>
      <c r="AB1762" s="195">
        <f t="shared" ca="1" si="387"/>
        <v>0</v>
      </c>
      <c r="AD1762" s="196">
        <f>IFERROR($G1762/SUMIF($A:$A,$A1762,$G:$G)*SUMIF(Summary!$A$166:$A$242,$A1762,Summary!$P$166:$P$242),0)</f>
        <v>0</v>
      </c>
      <c r="AE1762" s="197">
        <f t="shared" ca="1" si="388"/>
        <v>0</v>
      </c>
      <c r="AF1762" s="196">
        <f>IFERROR(G1762/SUMIF(A:A,A1762,G:G)*SUMIF(Summary!$A$166:$A$242,'Operations Support'!A1762,Summary!$Q$166:$Q$242),0)</f>
        <v>0</v>
      </c>
      <c r="AG1762" s="196">
        <f t="shared" ca="1" si="389"/>
        <v>0</v>
      </c>
      <c r="AI1762" s="196">
        <f>IFERROR($G1762/SUMIF($A:$A,$A1762,$G:$G)*SUMIF(Summary!$A$247:$A$283,$A1762,Summary!$P$247:$P$283),0)</f>
        <v>0</v>
      </c>
      <c r="AJ1762" s="196">
        <f>IFERROR($G1762/SUMIF($A:$A,$A1762,$G:$G)*(SUMIF(Summary!$A$247:$A$283,$A1762,Summary!$L$247:$L$283)+SUMIF(Summary!$A$297:$A$333,$A1762,Summary!$L$297:$L$333))-AI1762,0)</f>
        <v>0</v>
      </c>
      <c r="AK1762" s="196">
        <f>IFERROR($G1762/SUMIF($A:$A,$A1762,$G:$G)*SUMIF(Summary!$A$247:$A$283,$A1762,Summary!$Q$247:$Q$283),0)</f>
        <v>0</v>
      </c>
      <c r="AL1762" s="196">
        <f>IFERROR($G1762/SUMIF($A:$A,$A1762,$G:$G)*(SUMIF(Summary!$A$247:$A$283,$A1762,Summary!$L$247:$L$283)+SUMIF(Summary!$A$297:$A$333,$A1762,Summary!$L$297:$L$333))-AK1762,0)</f>
        <v>0</v>
      </c>
      <c r="AM1762" s="198"/>
      <c r="AN1762" s="196">
        <f t="shared" ca="1" si="390"/>
        <v>0</v>
      </c>
      <c r="AO1762" s="196">
        <f t="shared" ca="1" si="391"/>
        <v>0</v>
      </c>
    </row>
    <row r="1763" spans="1:41">
      <c r="A1763" s="189">
        <v>3644</v>
      </c>
      <c r="B1763" s="190">
        <v>4</v>
      </c>
      <c r="C1763" s="191" t="s">
        <v>235</v>
      </c>
      <c r="D1763" s="192">
        <f t="shared" si="378"/>
        <v>2190</v>
      </c>
      <c r="E1763" s="192">
        <f t="shared" si="379"/>
        <v>232</v>
      </c>
      <c r="F1763" s="192">
        <f t="shared" si="380"/>
        <v>161</v>
      </c>
      <c r="G1763" s="193">
        <f t="shared" si="381"/>
        <v>2261</v>
      </c>
      <c r="H1763" s="194">
        <v>860</v>
      </c>
      <c r="I1763" s="194">
        <v>78</v>
      </c>
      <c r="J1763" s="194">
        <v>70</v>
      </c>
      <c r="K1763" s="193">
        <f t="shared" si="382"/>
        <v>868</v>
      </c>
      <c r="L1763" s="194">
        <v>961</v>
      </c>
      <c r="M1763" s="194">
        <v>88</v>
      </c>
      <c r="N1763" s="194">
        <v>53</v>
      </c>
      <c r="O1763" s="193">
        <f t="shared" si="383"/>
        <v>996</v>
      </c>
      <c r="P1763" s="194">
        <v>369</v>
      </c>
      <c r="Q1763" s="194">
        <v>66</v>
      </c>
      <c r="R1763" s="194">
        <v>38</v>
      </c>
      <c r="S1763" s="193">
        <f t="shared" si="384"/>
        <v>397</v>
      </c>
      <c r="T1763" s="193">
        <f t="shared" si="385"/>
        <v>125.61111111111111</v>
      </c>
      <c r="U1763" s="193">
        <f ca="1">OFFSET('Expenditure Study'!$B$7,'Operations Support'!$C1763,'Operations Support'!$B1763)*$G1763</f>
        <v>86053.66</v>
      </c>
      <c r="V1763" s="199">
        <f ca="1">U1763*'Expenditure Study'!$B$31</f>
        <v>5084323.9522817284</v>
      </c>
      <c r="W1763" s="199">
        <f ca="1">IF(A1763=10298,1.51,1)*IF($B1763&lt;3,$D1763*'Expenditure Study'!$B$32*OFFSET('Expenditure Study'!$B$7,'Operations Support'!$C1763,'Operations Support'!$B1763),0)</f>
        <v>0</v>
      </c>
      <c r="X1763" s="200">
        <f ca="1">W1763*'Expenditure Study'!$B$31</f>
        <v>0</v>
      </c>
      <c r="Y1763" s="199">
        <f ca="1">U1763*'Expenditure Study'!$B$31</f>
        <v>5084323.9522817284</v>
      </c>
      <c r="Z1763" s="200">
        <f ca="1">W1763*'Expenditure Study'!$B$31</f>
        <v>0</v>
      </c>
      <c r="AA1763" s="195">
        <f t="shared" ca="1" si="386"/>
        <v>5084323.9522817284</v>
      </c>
      <c r="AB1763" s="195">
        <f t="shared" ca="1" si="387"/>
        <v>5084323.9522817284</v>
      </c>
      <c r="AD1763" s="196">
        <f>IFERROR($G1763/SUMIF($A:$A,$A1763,$G:$G)*SUMIF(Summary!$A$166:$A$242,$A1763,Summary!$P$166:$P$242),0)</f>
        <v>66880.471968179074</v>
      </c>
      <c r="AE1763" s="197">
        <f t="shared" ca="1" si="388"/>
        <v>5017443.4803135497</v>
      </c>
      <c r="AF1763" s="196">
        <f>IFERROR(G1763/SUMIF(A:A,A1763,G:G)*SUMIF(Summary!$A$166:$A$242,'Operations Support'!A1763,Summary!$Q$166:$Q$242),0)</f>
        <v>67106.140080548052</v>
      </c>
      <c r="AG1763" s="196">
        <f t="shared" ca="1" si="389"/>
        <v>5017217.8122011805</v>
      </c>
      <c r="AI1763" s="196">
        <f>IFERROR($G1763/SUMIF($A:$A,$A1763,$G:$G)*SUMIF(Summary!$A$247:$A$283,$A1763,Summary!$P$247:$P$283),0)</f>
        <v>12197.329103422011</v>
      </c>
      <c r="AJ1763" s="196">
        <f>IFERROR($G1763/SUMIF($A:$A,$A1763,$G:$G)*(SUMIF(Summary!$A$247:$A$283,$A1763,Summary!$L$247:$L$283)+SUMIF(Summary!$A$297:$A$333,$A1763,Summary!$L$297:$L$333))-AI1763,0)</f>
        <v>55068.843233521598</v>
      </c>
      <c r="AK1763" s="196">
        <f>IFERROR($G1763/SUMIF($A:$A,$A1763,$G:$G)*SUMIF(Summary!$A$247:$A$283,$A1763,Summary!$Q$247:$Q$283),0)</f>
        <v>12238.48533563314</v>
      </c>
      <c r="AL1763" s="196">
        <f>IFERROR($G1763/SUMIF($A:$A,$A1763,$G:$G)*(SUMIF(Summary!$A$247:$A$283,$A1763,Summary!$L$247:$L$283)+SUMIF(Summary!$A$297:$A$333,$A1763,Summary!$L$297:$L$333))-AK1763,0)</f>
        <v>55027.687001310464</v>
      </c>
      <c r="AM1763" s="198"/>
      <c r="AN1763" s="196">
        <f t="shared" ca="1" si="390"/>
        <v>5072512.3235470718</v>
      </c>
      <c r="AO1763" s="196">
        <f t="shared" ca="1" si="391"/>
        <v>5072245.4992024908</v>
      </c>
    </row>
    <row r="1764" spans="1:41">
      <c r="A1764" s="189">
        <v>3644</v>
      </c>
      <c r="B1764" s="190">
        <v>4</v>
      </c>
      <c r="C1764" s="191" t="s">
        <v>236</v>
      </c>
      <c r="D1764" s="192">
        <f t="shared" si="378"/>
        <v>0</v>
      </c>
      <c r="E1764" s="192">
        <f t="shared" si="379"/>
        <v>0</v>
      </c>
      <c r="F1764" s="192">
        <f t="shared" si="380"/>
        <v>0</v>
      </c>
      <c r="G1764" s="193">
        <f t="shared" si="381"/>
        <v>0</v>
      </c>
      <c r="H1764" s="194">
        <v>0</v>
      </c>
      <c r="I1764" s="194">
        <v>0</v>
      </c>
      <c r="J1764" s="194">
        <v>0</v>
      </c>
      <c r="K1764" s="193">
        <f t="shared" si="382"/>
        <v>0</v>
      </c>
      <c r="L1764" s="194">
        <v>0</v>
      </c>
      <c r="M1764" s="194">
        <v>0</v>
      </c>
      <c r="N1764" s="194">
        <v>0</v>
      </c>
      <c r="O1764" s="193">
        <f t="shared" si="383"/>
        <v>0</v>
      </c>
      <c r="P1764" s="194">
        <v>0</v>
      </c>
      <c r="Q1764" s="194">
        <v>0</v>
      </c>
      <c r="R1764" s="194">
        <v>0</v>
      </c>
      <c r="S1764" s="193">
        <f t="shared" si="384"/>
        <v>0</v>
      </c>
      <c r="T1764" s="193">
        <f t="shared" si="385"/>
        <v>0</v>
      </c>
      <c r="U1764" s="193">
        <f ca="1">OFFSET('Expenditure Study'!$B$7,'Operations Support'!$C1764,'Operations Support'!$B1764)*$G1764</f>
        <v>0</v>
      </c>
      <c r="V1764" s="199">
        <f ca="1">U1764*'Expenditure Study'!$B$31</f>
        <v>0</v>
      </c>
      <c r="W1764" s="199">
        <f ca="1">IF(A1764=10298,1.51,1)*IF($B1764&lt;3,$D1764*'Expenditure Study'!$B$32*OFFSET('Expenditure Study'!$B$7,'Operations Support'!$C1764,'Operations Support'!$B1764),0)</f>
        <v>0</v>
      </c>
      <c r="X1764" s="200">
        <f ca="1">W1764*'Expenditure Study'!$B$31</f>
        <v>0</v>
      </c>
      <c r="Y1764" s="199">
        <f ca="1">U1764*'Expenditure Study'!$B$31</f>
        <v>0</v>
      </c>
      <c r="Z1764" s="200">
        <f ca="1">W1764*'Expenditure Study'!$B$31</f>
        <v>0</v>
      </c>
      <c r="AA1764" s="195">
        <f t="shared" ca="1" si="386"/>
        <v>0</v>
      </c>
      <c r="AB1764" s="195">
        <f t="shared" ca="1" si="387"/>
        <v>0</v>
      </c>
      <c r="AD1764" s="196">
        <f>IFERROR($G1764/SUMIF($A:$A,$A1764,$G:$G)*SUMIF(Summary!$A$166:$A$242,$A1764,Summary!$P$166:$P$242),0)</f>
        <v>0</v>
      </c>
      <c r="AE1764" s="197">
        <f t="shared" ca="1" si="388"/>
        <v>0</v>
      </c>
      <c r="AF1764" s="196">
        <f>IFERROR(G1764/SUMIF(A:A,A1764,G:G)*SUMIF(Summary!$A$166:$A$242,'Operations Support'!A1764,Summary!$Q$166:$Q$242),0)</f>
        <v>0</v>
      </c>
      <c r="AG1764" s="196">
        <f t="shared" ca="1" si="389"/>
        <v>0</v>
      </c>
      <c r="AI1764" s="196">
        <f>IFERROR($G1764/SUMIF($A:$A,$A1764,$G:$G)*SUMIF(Summary!$A$247:$A$283,$A1764,Summary!$P$247:$P$283),0)</f>
        <v>0</v>
      </c>
      <c r="AJ1764" s="196">
        <f>IFERROR($G1764/SUMIF($A:$A,$A1764,$G:$G)*(SUMIF(Summary!$A$247:$A$283,$A1764,Summary!$L$247:$L$283)+SUMIF(Summary!$A$297:$A$333,$A1764,Summary!$L$297:$L$333))-AI1764,0)</f>
        <v>0</v>
      </c>
      <c r="AK1764" s="196">
        <f>IFERROR($G1764/SUMIF($A:$A,$A1764,$G:$G)*SUMIF(Summary!$A$247:$A$283,$A1764,Summary!$Q$247:$Q$283),0)</f>
        <v>0</v>
      </c>
      <c r="AL1764" s="196">
        <f>IFERROR($G1764/SUMIF($A:$A,$A1764,$G:$G)*(SUMIF(Summary!$A$247:$A$283,$A1764,Summary!$L$247:$L$283)+SUMIF(Summary!$A$297:$A$333,$A1764,Summary!$L$297:$L$333))-AK1764,0)</f>
        <v>0</v>
      </c>
      <c r="AM1764" s="198"/>
      <c r="AN1764" s="196">
        <f t="shared" ca="1" si="390"/>
        <v>0</v>
      </c>
      <c r="AO1764" s="196">
        <f t="shared" ca="1" si="391"/>
        <v>0</v>
      </c>
    </row>
    <row r="1765" spans="1:41">
      <c r="A1765" s="189">
        <v>3644</v>
      </c>
      <c r="B1765" s="190">
        <v>4</v>
      </c>
      <c r="C1765" s="191" t="s">
        <v>237</v>
      </c>
      <c r="D1765" s="192">
        <f t="shared" si="378"/>
        <v>0</v>
      </c>
      <c r="E1765" s="192">
        <f t="shared" si="379"/>
        <v>0</v>
      </c>
      <c r="F1765" s="192">
        <f t="shared" si="380"/>
        <v>0</v>
      </c>
      <c r="G1765" s="193">
        <f t="shared" si="381"/>
        <v>0</v>
      </c>
      <c r="H1765" s="194">
        <v>0</v>
      </c>
      <c r="I1765" s="194">
        <v>0</v>
      </c>
      <c r="J1765" s="194">
        <v>0</v>
      </c>
      <c r="K1765" s="193">
        <f t="shared" si="382"/>
        <v>0</v>
      </c>
      <c r="L1765" s="194">
        <v>0</v>
      </c>
      <c r="M1765" s="194">
        <v>0</v>
      </c>
      <c r="N1765" s="194">
        <v>0</v>
      </c>
      <c r="O1765" s="193">
        <f t="shared" si="383"/>
        <v>0</v>
      </c>
      <c r="P1765" s="194">
        <v>0</v>
      </c>
      <c r="Q1765" s="194">
        <v>0</v>
      </c>
      <c r="R1765" s="194">
        <v>0</v>
      </c>
      <c r="S1765" s="193">
        <f t="shared" si="384"/>
        <v>0</v>
      </c>
      <c r="T1765" s="193">
        <f t="shared" si="385"/>
        <v>0</v>
      </c>
      <c r="U1765" s="193">
        <f ca="1">OFFSET('Expenditure Study'!$B$7,'Operations Support'!$C1765,'Operations Support'!$B1765)*$G1765</f>
        <v>0</v>
      </c>
      <c r="V1765" s="199">
        <f ca="1">U1765*'Expenditure Study'!$B$31</f>
        <v>0</v>
      </c>
      <c r="W1765" s="199">
        <f ca="1">IF(A1765=10298,1.51,1)*IF($B1765&lt;3,$D1765*'Expenditure Study'!$B$32*OFFSET('Expenditure Study'!$B$7,'Operations Support'!$C1765,'Operations Support'!$B1765),0)</f>
        <v>0</v>
      </c>
      <c r="X1765" s="200">
        <f ca="1">W1765*'Expenditure Study'!$B$31</f>
        <v>0</v>
      </c>
      <c r="Y1765" s="199">
        <f ca="1">U1765*'Expenditure Study'!$B$31</f>
        <v>0</v>
      </c>
      <c r="Z1765" s="200">
        <f ca="1">W1765*'Expenditure Study'!$B$31</f>
        <v>0</v>
      </c>
      <c r="AA1765" s="195">
        <f t="shared" ca="1" si="386"/>
        <v>0</v>
      </c>
      <c r="AB1765" s="195">
        <f t="shared" ca="1" si="387"/>
        <v>0</v>
      </c>
      <c r="AD1765" s="196">
        <f>IFERROR($G1765/SUMIF($A:$A,$A1765,$G:$G)*SUMIF(Summary!$A$166:$A$242,$A1765,Summary!$P$166:$P$242),0)</f>
        <v>0</v>
      </c>
      <c r="AE1765" s="197">
        <f t="shared" ca="1" si="388"/>
        <v>0</v>
      </c>
      <c r="AF1765" s="196">
        <f>IFERROR(G1765/SUMIF(A:A,A1765,G:G)*SUMIF(Summary!$A$166:$A$242,'Operations Support'!A1765,Summary!$Q$166:$Q$242),0)</f>
        <v>0</v>
      </c>
      <c r="AG1765" s="196">
        <f t="shared" ca="1" si="389"/>
        <v>0</v>
      </c>
      <c r="AI1765" s="196">
        <f>IFERROR($G1765/SUMIF($A:$A,$A1765,$G:$G)*SUMIF(Summary!$A$247:$A$283,$A1765,Summary!$P$247:$P$283),0)</f>
        <v>0</v>
      </c>
      <c r="AJ1765" s="196">
        <f>IFERROR($G1765/SUMIF($A:$A,$A1765,$G:$G)*(SUMIF(Summary!$A$247:$A$283,$A1765,Summary!$L$247:$L$283)+SUMIF(Summary!$A$297:$A$333,$A1765,Summary!$L$297:$L$333))-AI1765,0)</f>
        <v>0</v>
      </c>
      <c r="AK1765" s="196">
        <f>IFERROR($G1765/SUMIF($A:$A,$A1765,$G:$G)*SUMIF(Summary!$A$247:$A$283,$A1765,Summary!$Q$247:$Q$283),0)</f>
        <v>0</v>
      </c>
      <c r="AL1765" s="196">
        <f>IFERROR($G1765/SUMIF($A:$A,$A1765,$G:$G)*(SUMIF(Summary!$A$247:$A$283,$A1765,Summary!$L$247:$L$283)+SUMIF(Summary!$A$297:$A$333,$A1765,Summary!$L$297:$L$333))-AK1765,0)</f>
        <v>0</v>
      </c>
      <c r="AM1765" s="198"/>
      <c r="AN1765" s="196">
        <f t="shared" ca="1" si="390"/>
        <v>0</v>
      </c>
      <c r="AO1765" s="196">
        <f t="shared" ca="1" si="391"/>
        <v>0</v>
      </c>
    </row>
    <row r="1766" spans="1:41">
      <c r="A1766" s="189">
        <v>3644</v>
      </c>
      <c r="B1766" s="190">
        <v>4</v>
      </c>
      <c r="C1766" s="191" t="s">
        <v>238</v>
      </c>
      <c r="D1766" s="192">
        <f t="shared" si="378"/>
        <v>15</v>
      </c>
      <c r="E1766" s="192">
        <f t="shared" si="379"/>
        <v>15</v>
      </c>
      <c r="F1766" s="192">
        <f t="shared" si="380"/>
        <v>0</v>
      </c>
      <c r="G1766" s="193">
        <f t="shared" si="381"/>
        <v>30</v>
      </c>
      <c r="H1766" s="194">
        <v>9</v>
      </c>
      <c r="I1766" s="194">
        <v>3</v>
      </c>
      <c r="J1766" s="194">
        <v>0</v>
      </c>
      <c r="K1766" s="193">
        <f t="shared" si="382"/>
        <v>12</v>
      </c>
      <c r="L1766" s="194">
        <v>6</v>
      </c>
      <c r="M1766" s="194">
        <v>12</v>
      </c>
      <c r="N1766" s="194">
        <v>0</v>
      </c>
      <c r="O1766" s="193">
        <f t="shared" si="383"/>
        <v>18</v>
      </c>
      <c r="P1766" s="194">
        <v>0</v>
      </c>
      <c r="Q1766" s="194">
        <v>0</v>
      </c>
      <c r="R1766" s="194">
        <v>0</v>
      </c>
      <c r="S1766" s="193">
        <f t="shared" si="384"/>
        <v>0</v>
      </c>
      <c r="T1766" s="193">
        <f t="shared" si="385"/>
        <v>1.6666666666666667</v>
      </c>
      <c r="U1766" s="193">
        <f ca="1">OFFSET('Expenditure Study'!$B$7,'Operations Support'!$C1766,'Operations Support'!$B1766)*$G1766</f>
        <v>473.09999999999997</v>
      </c>
      <c r="V1766" s="199">
        <f ca="1">U1766*'Expenditure Study'!$B$31</f>
        <v>27952.252836479998</v>
      </c>
      <c r="W1766" s="199">
        <f ca="1">IF(A1766=10298,1.51,1)*IF($B1766&lt;3,$D1766*'Expenditure Study'!$B$32*OFFSET('Expenditure Study'!$B$7,'Operations Support'!$C1766,'Operations Support'!$B1766),0)</f>
        <v>0</v>
      </c>
      <c r="X1766" s="200">
        <f ca="1">W1766*'Expenditure Study'!$B$31</f>
        <v>0</v>
      </c>
      <c r="Y1766" s="199">
        <f ca="1">U1766*'Expenditure Study'!$B$31</f>
        <v>27952.252836479998</v>
      </c>
      <c r="Z1766" s="200">
        <f ca="1">W1766*'Expenditure Study'!$B$31</f>
        <v>0</v>
      </c>
      <c r="AA1766" s="195">
        <f t="shared" ca="1" si="386"/>
        <v>27952.252836479998</v>
      </c>
      <c r="AB1766" s="195">
        <f t="shared" ca="1" si="387"/>
        <v>27952.252836479998</v>
      </c>
      <c r="AD1766" s="196">
        <f>IFERROR($G1766/SUMIF($A:$A,$A1766,$G:$G)*SUMIF(Summary!$A$166:$A$242,$A1766,Summary!$P$166:$P$242),0)</f>
        <v>887.40122027659083</v>
      </c>
      <c r="AE1766" s="197">
        <f t="shared" ca="1" si="388"/>
        <v>27064.851616203407</v>
      </c>
      <c r="AF1766" s="196">
        <f>IFERROR(G1766/SUMIF(A:A,A1766,G:G)*SUMIF(Summary!$A$166:$A$242,'Operations Support'!A1766,Summary!$Q$166:$Q$242),0)</f>
        <v>890.39548979055348</v>
      </c>
      <c r="AG1766" s="196">
        <f t="shared" ca="1" si="389"/>
        <v>27061.857346689445</v>
      </c>
      <c r="AI1766" s="196">
        <f>IFERROR($G1766/SUMIF($A:$A,$A1766,$G:$G)*SUMIF(Summary!$A$247:$A$283,$A1766,Summary!$P$247:$P$283),0)</f>
        <v>161.8398377278462</v>
      </c>
      <c r="AJ1766" s="196">
        <f>IFERROR($G1766/SUMIF($A:$A,$A1766,$G:$G)*(SUMIF(Summary!$A$247:$A$283,$A1766,Summary!$L$247:$L$283)+SUMIF(Summary!$A$297:$A$333,$A1766,Summary!$L$297:$L$333))-AI1766,0)</f>
        <v>730.67903450050767</v>
      </c>
      <c r="AK1766" s="196">
        <f>IFERROR($G1766/SUMIF($A:$A,$A1766,$G:$G)*SUMIF(Summary!$A$247:$A$283,$A1766,Summary!$Q$247:$Q$283),0)</f>
        <v>162.38591776603016</v>
      </c>
      <c r="AL1766" s="196">
        <f>IFERROR($G1766/SUMIF($A:$A,$A1766,$G:$G)*(SUMIF(Summary!$A$247:$A$283,$A1766,Summary!$L$247:$L$283)+SUMIF(Summary!$A$297:$A$333,$A1766,Summary!$L$297:$L$333))-AK1766,0)</f>
        <v>730.13295446232371</v>
      </c>
      <c r="AM1766" s="198"/>
      <c r="AN1766" s="196">
        <f t="shared" ca="1" si="390"/>
        <v>27795.530650703913</v>
      </c>
      <c r="AO1766" s="196">
        <f t="shared" ca="1" si="391"/>
        <v>27791.990301151767</v>
      </c>
    </row>
    <row r="1767" spans="1:41">
      <c r="A1767" s="189">
        <v>3644</v>
      </c>
      <c r="B1767" s="190">
        <v>4</v>
      </c>
      <c r="C1767" s="191" t="s">
        <v>239</v>
      </c>
      <c r="D1767" s="192">
        <f t="shared" si="378"/>
        <v>0</v>
      </c>
      <c r="E1767" s="192">
        <f t="shared" si="379"/>
        <v>0</v>
      </c>
      <c r="F1767" s="192">
        <f t="shared" si="380"/>
        <v>0</v>
      </c>
      <c r="G1767" s="193">
        <f t="shared" si="381"/>
        <v>0</v>
      </c>
      <c r="H1767" s="194">
        <v>0</v>
      </c>
      <c r="I1767" s="194">
        <v>0</v>
      </c>
      <c r="J1767" s="194">
        <v>0</v>
      </c>
      <c r="K1767" s="193">
        <f t="shared" si="382"/>
        <v>0</v>
      </c>
      <c r="L1767" s="194">
        <v>0</v>
      </c>
      <c r="M1767" s="194">
        <v>0</v>
      </c>
      <c r="N1767" s="194">
        <v>0</v>
      </c>
      <c r="O1767" s="193">
        <f t="shared" si="383"/>
        <v>0</v>
      </c>
      <c r="P1767" s="194">
        <v>0</v>
      </c>
      <c r="Q1767" s="194">
        <v>0</v>
      </c>
      <c r="R1767" s="194">
        <v>0</v>
      </c>
      <c r="S1767" s="193">
        <f t="shared" si="384"/>
        <v>0</v>
      </c>
      <c r="T1767" s="193">
        <f t="shared" si="385"/>
        <v>0</v>
      </c>
      <c r="U1767" s="193">
        <f ca="1">OFFSET('Expenditure Study'!$B$7,'Operations Support'!$C1767,'Operations Support'!$B1767)*$G1767</f>
        <v>0</v>
      </c>
      <c r="V1767" s="199">
        <f ca="1">U1767*'Expenditure Study'!$B$31</f>
        <v>0</v>
      </c>
      <c r="W1767" s="199">
        <f ca="1">IF(A1767=10298,1.51,1)*IF($B1767&lt;3,$D1767*'Expenditure Study'!$B$32*OFFSET('Expenditure Study'!$B$7,'Operations Support'!$C1767,'Operations Support'!$B1767),0)</f>
        <v>0</v>
      </c>
      <c r="X1767" s="200">
        <f ca="1">W1767*'Expenditure Study'!$B$31</f>
        <v>0</v>
      </c>
      <c r="Y1767" s="199">
        <f ca="1">U1767*'Expenditure Study'!$B$31</f>
        <v>0</v>
      </c>
      <c r="Z1767" s="200">
        <f ca="1">W1767*'Expenditure Study'!$B$31</f>
        <v>0</v>
      </c>
      <c r="AA1767" s="195">
        <f t="shared" ca="1" si="386"/>
        <v>0</v>
      </c>
      <c r="AB1767" s="195">
        <f t="shared" ca="1" si="387"/>
        <v>0</v>
      </c>
      <c r="AD1767" s="196">
        <f>IFERROR($G1767/SUMIF($A:$A,$A1767,$G:$G)*SUMIF(Summary!$A$166:$A$242,$A1767,Summary!$P$166:$P$242),0)</f>
        <v>0</v>
      </c>
      <c r="AE1767" s="197">
        <f t="shared" ca="1" si="388"/>
        <v>0</v>
      </c>
      <c r="AF1767" s="196">
        <f>IFERROR(G1767/SUMIF(A:A,A1767,G:G)*SUMIF(Summary!$A$166:$A$242,'Operations Support'!A1767,Summary!$Q$166:$Q$242),0)</f>
        <v>0</v>
      </c>
      <c r="AG1767" s="196">
        <f t="shared" ca="1" si="389"/>
        <v>0</v>
      </c>
      <c r="AI1767" s="196">
        <f>IFERROR($G1767/SUMIF($A:$A,$A1767,$G:$G)*SUMIF(Summary!$A$247:$A$283,$A1767,Summary!$P$247:$P$283),0)</f>
        <v>0</v>
      </c>
      <c r="AJ1767" s="196">
        <f>IFERROR($G1767/SUMIF($A:$A,$A1767,$G:$G)*(SUMIF(Summary!$A$247:$A$283,$A1767,Summary!$L$247:$L$283)+SUMIF(Summary!$A$297:$A$333,$A1767,Summary!$L$297:$L$333))-AI1767,0)</f>
        <v>0</v>
      </c>
      <c r="AK1767" s="196">
        <f>IFERROR($G1767/SUMIF($A:$A,$A1767,$G:$G)*SUMIF(Summary!$A$247:$A$283,$A1767,Summary!$Q$247:$Q$283),0)</f>
        <v>0</v>
      </c>
      <c r="AL1767" s="196">
        <f>IFERROR($G1767/SUMIF($A:$A,$A1767,$G:$G)*(SUMIF(Summary!$A$247:$A$283,$A1767,Summary!$L$247:$L$283)+SUMIF(Summary!$A$297:$A$333,$A1767,Summary!$L$297:$L$333))-AK1767,0)</f>
        <v>0</v>
      </c>
      <c r="AM1767" s="198"/>
      <c r="AN1767" s="196">
        <f t="shared" ca="1" si="390"/>
        <v>0</v>
      </c>
      <c r="AO1767" s="196">
        <f t="shared" ca="1" si="391"/>
        <v>0</v>
      </c>
    </row>
    <row r="1768" spans="1:41">
      <c r="A1768" s="189">
        <v>3644</v>
      </c>
      <c r="B1768" s="190">
        <v>4</v>
      </c>
      <c r="C1768" s="191" t="s">
        <v>240</v>
      </c>
      <c r="D1768" s="192">
        <f t="shared" si="378"/>
        <v>0</v>
      </c>
      <c r="E1768" s="192">
        <f t="shared" si="379"/>
        <v>0</v>
      </c>
      <c r="F1768" s="192">
        <f t="shared" si="380"/>
        <v>0</v>
      </c>
      <c r="G1768" s="193">
        <f t="shared" si="381"/>
        <v>0</v>
      </c>
      <c r="H1768" s="194">
        <v>0</v>
      </c>
      <c r="I1768" s="194">
        <v>0</v>
      </c>
      <c r="J1768" s="194">
        <v>0</v>
      </c>
      <c r="K1768" s="193">
        <f t="shared" si="382"/>
        <v>0</v>
      </c>
      <c r="L1768" s="194">
        <v>0</v>
      </c>
      <c r="M1768" s="194">
        <v>0</v>
      </c>
      <c r="N1768" s="194">
        <v>0</v>
      </c>
      <c r="O1768" s="193">
        <f t="shared" si="383"/>
        <v>0</v>
      </c>
      <c r="P1768" s="194">
        <v>0</v>
      </c>
      <c r="Q1768" s="194">
        <v>0</v>
      </c>
      <c r="R1768" s="194">
        <v>0</v>
      </c>
      <c r="S1768" s="193">
        <f t="shared" si="384"/>
        <v>0</v>
      </c>
      <c r="T1768" s="193">
        <f t="shared" si="385"/>
        <v>0</v>
      </c>
      <c r="U1768" s="193">
        <f ca="1">OFFSET('Expenditure Study'!$B$7,'Operations Support'!$C1768,'Operations Support'!$B1768)*$G1768</f>
        <v>0</v>
      </c>
      <c r="V1768" s="199">
        <f ca="1">U1768*'Expenditure Study'!$B$31</f>
        <v>0</v>
      </c>
      <c r="W1768" s="199">
        <f ca="1">IF(A1768=10298,1.51,1)*IF($B1768&lt;3,$D1768*'Expenditure Study'!$B$32*OFFSET('Expenditure Study'!$B$7,'Operations Support'!$C1768,'Operations Support'!$B1768),0)</f>
        <v>0</v>
      </c>
      <c r="X1768" s="200">
        <f ca="1">W1768*'Expenditure Study'!$B$31</f>
        <v>0</v>
      </c>
      <c r="Y1768" s="199">
        <f ca="1">U1768*'Expenditure Study'!$B$31</f>
        <v>0</v>
      </c>
      <c r="Z1768" s="200">
        <f ca="1">W1768*'Expenditure Study'!$B$31</f>
        <v>0</v>
      </c>
      <c r="AA1768" s="195">
        <f t="shared" ca="1" si="386"/>
        <v>0</v>
      </c>
      <c r="AB1768" s="195">
        <f t="shared" ca="1" si="387"/>
        <v>0</v>
      </c>
      <c r="AD1768" s="196">
        <f>IFERROR($G1768/SUMIF($A:$A,$A1768,$G:$G)*SUMIF(Summary!$A$166:$A$242,$A1768,Summary!$P$166:$P$242),0)</f>
        <v>0</v>
      </c>
      <c r="AE1768" s="197">
        <f t="shared" ca="1" si="388"/>
        <v>0</v>
      </c>
      <c r="AF1768" s="196">
        <f>IFERROR(G1768/SUMIF(A:A,A1768,G:G)*SUMIF(Summary!$A$166:$A$242,'Operations Support'!A1768,Summary!$Q$166:$Q$242),0)</f>
        <v>0</v>
      </c>
      <c r="AG1768" s="196">
        <f t="shared" ca="1" si="389"/>
        <v>0</v>
      </c>
      <c r="AI1768" s="196">
        <f>IFERROR($G1768/SUMIF($A:$A,$A1768,$G:$G)*SUMIF(Summary!$A$247:$A$283,$A1768,Summary!$P$247:$P$283),0)</f>
        <v>0</v>
      </c>
      <c r="AJ1768" s="196">
        <f>IFERROR($G1768/SUMIF($A:$A,$A1768,$G:$G)*(SUMIF(Summary!$A$247:$A$283,$A1768,Summary!$L$247:$L$283)+SUMIF(Summary!$A$297:$A$333,$A1768,Summary!$L$297:$L$333))-AI1768,0)</f>
        <v>0</v>
      </c>
      <c r="AK1768" s="196">
        <f>IFERROR($G1768/SUMIF($A:$A,$A1768,$G:$G)*SUMIF(Summary!$A$247:$A$283,$A1768,Summary!$Q$247:$Q$283),0)</f>
        <v>0</v>
      </c>
      <c r="AL1768" s="196">
        <f>IFERROR($G1768/SUMIF($A:$A,$A1768,$G:$G)*(SUMIF(Summary!$A$247:$A$283,$A1768,Summary!$L$247:$L$283)+SUMIF(Summary!$A$297:$A$333,$A1768,Summary!$L$297:$L$333))-AK1768,0)</f>
        <v>0</v>
      </c>
      <c r="AM1768" s="198"/>
      <c r="AN1768" s="196">
        <f t="shared" ca="1" si="390"/>
        <v>0</v>
      </c>
      <c r="AO1768" s="196">
        <f t="shared" ca="1" si="391"/>
        <v>0</v>
      </c>
    </row>
    <row r="1769" spans="1:41">
      <c r="A1769" s="189">
        <v>3644</v>
      </c>
      <c r="B1769" s="190">
        <v>5</v>
      </c>
      <c r="C1769" s="191" t="s">
        <v>220</v>
      </c>
      <c r="D1769" s="192">
        <f t="shared" si="378"/>
        <v>0</v>
      </c>
      <c r="E1769" s="192">
        <f t="shared" si="379"/>
        <v>0</v>
      </c>
      <c r="F1769" s="192">
        <f t="shared" si="380"/>
        <v>0</v>
      </c>
      <c r="G1769" s="193">
        <f t="shared" si="381"/>
        <v>0</v>
      </c>
      <c r="H1769" s="194">
        <v>0</v>
      </c>
      <c r="I1769" s="194">
        <v>0</v>
      </c>
      <c r="J1769" s="194">
        <v>0</v>
      </c>
      <c r="K1769" s="193">
        <f t="shared" si="382"/>
        <v>0</v>
      </c>
      <c r="L1769" s="194">
        <v>0</v>
      </c>
      <c r="M1769" s="194">
        <v>0</v>
      </c>
      <c r="N1769" s="194">
        <v>0</v>
      </c>
      <c r="O1769" s="193">
        <f t="shared" si="383"/>
        <v>0</v>
      </c>
      <c r="P1769" s="194">
        <v>0</v>
      </c>
      <c r="Q1769" s="194">
        <v>0</v>
      </c>
      <c r="R1769" s="194">
        <v>0</v>
      </c>
      <c r="S1769" s="193">
        <f t="shared" si="384"/>
        <v>0</v>
      </c>
      <c r="T1769" s="193">
        <f t="shared" si="385"/>
        <v>0</v>
      </c>
      <c r="U1769" s="193">
        <f ca="1">OFFSET('Expenditure Study'!$B$7,'Operations Support'!$C1769,'Operations Support'!$B1769)*$G1769</f>
        <v>0</v>
      </c>
      <c r="V1769" s="199">
        <f ca="1">U1769*'Expenditure Study'!$B$31</f>
        <v>0</v>
      </c>
      <c r="W1769" s="199">
        <f ca="1">IF(A1769=10298,1.51,1)*IF($B1769&lt;3,$D1769*'Expenditure Study'!$B$32*OFFSET('Expenditure Study'!$B$7,'Operations Support'!$C1769,'Operations Support'!$B1769),0)</f>
        <v>0</v>
      </c>
      <c r="X1769" s="200">
        <f ca="1">W1769*'Expenditure Study'!$B$31</f>
        <v>0</v>
      </c>
      <c r="Y1769" s="199">
        <f ca="1">U1769*'Expenditure Study'!$B$31</f>
        <v>0</v>
      </c>
      <c r="Z1769" s="200">
        <f ca="1">W1769*'Expenditure Study'!$B$31</f>
        <v>0</v>
      </c>
      <c r="AA1769" s="195">
        <f t="shared" ca="1" si="386"/>
        <v>0</v>
      </c>
      <c r="AB1769" s="195">
        <f t="shared" ca="1" si="387"/>
        <v>0</v>
      </c>
      <c r="AD1769" s="196">
        <f>IFERROR($G1769/SUMIF($A:$A,$A1769,$G:$G)*SUMIF(Summary!$A$166:$A$242,$A1769,Summary!$P$166:$P$242),0)</f>
        <v>0</v>
      </c>
      <c r="AE1769" s="197">
        <f t="shared" ca="1" si="388"/>
        <v>0</v>
      </c>
      <c r="AF1769" s="196">
        <f>IFERROR(G1769/SUMIF(A:A,A1769,G:G)*SUMIF(Summary!$A$166:$A$242,'Operations Support'!A1769,Summary!$Q$166:$Q$242),0)</f>
        <v>0</v>
      </c>
      <c r="AG1769" s="196">
        <f t="shared" ca="1" si="389"/>
        <v>0</v>
      </c>
      <c r="AI1769" s="196">
        <f>IFERROR($G1769/SUMIF($A:$A,$A1769,$G:$G)*SUMIF(Summary!$A$247:$A$283,$A1769,Summary!$P$247:$P$283),0)</f>
        <v>0</v>
      </c>
      <c r="AJ1769" s="196">
        <f>IFERROR($G1769/SUMIF($A:$A,$A1769,$G:$G)*(SUMIF(Summary!$A$247:$A$283,$A1769,Summary!$L$247:$L$283)+SUMIF(Summary!$A$297:$A$333,$A1769,Summary!$L$297:$L$333))-AI1769,0)</f>
        <v>0</v>
      </c>
      <c r="AK1769" s="196">
        <f>IFERROR($G1769/SUMIF($A:$A,$A1769,$G:$G)*SUMIF(Summary!$A$247:$A$283,$A1769,Summary!$Q$247:$Q$283),0)</f>
        <v>0</v>
      </c>
      <c r="AL1769" s="196">
        <f>IFERROR($G1769/SUMIF($A:$A,$A1769,$G:$G)*(SUMIF(Summary!$A$247:$A$283,$A1769,Summary!$L$247:$L$283)+SUMIF(Summary!$A$297:$A$333,$A1769,Summary!$L$297:$L$333))-AK1769,0)</f>
        <v>0</v>
      </c>
      <c r="AM1769" s="198"/>
      <c r="AN1769" s="196">
        <f t="shared" ca="1" si="390"/>
        <v>0</v>
      </c>
      <c r="AO1769" s="196">
        <f t="shared" ca="1" si="391"/>
        <v>0</v>
      </c>
    </row>
    <row r="1770" spans="1:41">
      <c r="A1770" s="189">
        <v>3644</v>
      </c>
      <c r="B1770" s="190">
        <v>5</v>
      </c>
      <c r="C1770" s="191" t="s">
        <v>221</v>
      </c>
      <c r="D1770" s="192">
        <f t="shared" si="378"/>
        <v>0</v>
      </c>
      <c r="E1770" s="192">
        <f t="shared" si="379"/>
        <v>0</v>
      </c>
      <c r="F1770" s="192">
        <f t="shared" si="380"/>
        <v>0</v>
      </c>
      <c r="G1770" s="193">
        <f t="shared" si="381"/>
        <v>0</v>
      </c>
      <c r="H1770" s="194">
        <v>0</v>
      </c>
      <c r="I1770" s="194">
        <v>0</v>
      </c>
      <c r="J1770" s="194">
        <v>0</v>
      </c>
      <c r="K1770" s="193">
        <f t="shared" si="382"/>
        <v>0</v>
      </c>
      <c r="L1770" s="194">
        <v>0</v>
      </c>
      <c r="M1770" s="194">
        <v>0</v>
      </c>
      <c r="N1770" s="194">
        <v>0</v>
      </c>
      <c r="O1770" s="193">
        <f t="shared" si="383"/>
        <v>0</v>
      </c>
      <c r="P1770" s="194">
        <v>0</v>
      </c>
      <c r="Q1770" s="194">
        <v>0</v>
      </c>
      <c r="R1770" s="194">
        <v>0</v>
      </c>
      <c r="S1770" s="193">
        <f t="shared" si="384"/>
        <v>0</v>
      </c>
      <c r="T1770" s="193">
        <f t="shared" si="385"/>
        <v>0</v>
      </c>
      <c r="U1770" s="193">
        <f ca="1">OFFSET('Expenditure Study'!$B$7,'Operations Support'!$C1770,'Operations Support'!$B1770)*$G1770</f>
        <v>0</v>
      </c>
      <c r="V1770" s="199">
        <f ca="1">U1770*'Expenditure Study'!$B$31</f>
        <v>0</v>
      </c>
      <c r="W1770" s="199">
        <f ca="1">IF(A1770=10298,1.51,1)*IF($B1770&lt;3,$D1770*'Expenditure Study'!$B$32*OFFSET('Expenditure Study'!$B$7,'Operations Support'!$C1770,'Operations Support'!$B1770),0)</f>
        <v>0</v>
      </c>
      <c r="X1770" s="200">
        <f ca="1">W1770*'Expenditure Study'!$B$31</f>
        <v>0</v>
      </c>
      <c r="Y1770" s="199">
        <f ca="1">U1770*'Expenditure Study'!$B$31</f>
        <v>0</v>
      </c>
      <c r="Z1770" s="200">
        <f ca="1">W1770*'Expenditure Study'!$B$31</f>
        <v>0</v>
      </c>
      <c r="AA1770" s="195">
        <f t="shared" ca="1" si="386"/>
        <v>0</v>
      </c>
      <c r="AB1770" s="195">
        <f t="shared" ca="1" si="387"/>
        <v>0</v>
      </c>
      <c r="AD1770" s="196">
        <f>IFERROR($G1770/SUMIF($A:$A,$A1770,$G:$G)*SUMIF(Summary!$A$166:$A$242,$A1770,Summary!$P$166:$P$242),0)</f>
        <v>0</v>
      </c>
      <c r="AE1770" s="197">
        <f t="shared" ca="1" si="388"/>
        <v>0</v>
      </c>
      <c r="AF1770" s="196">
        <f>IFERROR(G1770/SUMIF(A:A,A1770,G:G)*SUMIF(Summary!$A$166:$A$242,'Operations Support'!A1770,Summary!$Q$166:$Q$242),0)</f>
        <v>0</v>
      </c>
      <c r="AG1770" s="196">
        <f t="shared" ca="1" si="389"/>
        <v>0</v>
      </c>
      <c r="AI1770" s="196">
        <f>IFERROR($G1770/SUMIF($A:$A,$A1770,$G:$G)*SUMIF(Summary!$A$247:$A$283,$A1770,Summary!$P$247:$P$283),0)</f>
        <v>0</v>
      </c>
      <c r="AJ1770" s="196">
        <f>IFERROR($G1770/SUMIF($A:$A,$A1770,$G:$G)*(SUMIF(Summary!$A$247:$A$283,$A1770,Summary!$L$247:$L$283)+SUMIF(Summary!$A$297:$A$333,$A1770,Summary!$L$297:$L$333))-AI1770,0)</f>
        <v>0</v>
      </c>
      <c r="AK1770" s="196">
        <f>IFERROR($G1770/SUMIF($A:$A,$A1770,$G:$G)*SUMIF(Summary!$A$247:$A$283,$A1770,Summary!$Q$247:$Q$283),0)</f>
        <v>0</v>
      </c>
      <c r="AL1770" s="196">
        <f>IFERROR($G1770/SUMIF($A:$A,$A1770,$G:$G)*(SUMIF(Summary!$A$247:$A$283,$A1770,Summary!$L$247:$L$283)+SUMIF(Summary!$A$297:$A$333,$A1770,Summary!$L$297:$L$333))-AK1770,0)</f>
        <v>0</v>
      </c>
      <c r="AM1770" s="198"/>
      <c r="AN1770" s="196">
        <f t="shared" ca="1" si="390"/>
        <v>0</v>
      </c>
      <c r="AO1770" s="196">
        <f t="shared" ca="1" si="391"/>
        <v>0</v>
      </c>
    </row>
    <row r="1771" spans="1:41">
      <c r="A1771" s="189">
        <v>3644</v>
      </c>
      <c r="B1771" s="190">
        <v>5</v>
      </c>
      <c r="C1771" s="191" t="s">
        <v>222</v>
      </c>
      <c r="D1771" s="192">
        <f t="shared" si="378"/>
        <v>0</v>
      </c>
      <c r="E1771" s="192">
        <f t="shared" si="379"/>
        <v>0</v>
      </c>
      <c r="F1771" s="192">
        <f t="shared" si="380"/>
        <v>0</v>
      </c>
      <c r="G1771" s="193">
        <f t="shared" si="381"/>
        <v>0</v>
      </c>
      <c r="H1771" s="194">
        <v>0</v>
      </c>
      <c r="I1771" s="194">
        <v>0</v>
      </c>
      <c r="J1771" s="194">
        <v>0</v>
      </c>
      <c r="K1771" s="193">
        <f t="shared" si="382"/>
        <v>0</v>
      </c>
      <c r="L1771" s="194">
        <v>0</v>
      </c>
      <c r="M1771" s="194">
        <v>0</v>
      </c>
      <c r="N1771" s="194">
        <v>0</v>
      </c>
      <c r="O1771" s="193">
        <f t="shared" si="383"/>
        <v>0</v>
      </c>
      <c r="P1771" s="194">
        <v>0</v>
      </c>
      <c r="Q1771" s="194">
        <v>0</v>
      </c>
      <c r="R1771" s="194">
        <v>0</v>
      </c>
      <c r="S1771" s="193">
        <f t="shared" si="384"/>
        <v>0</v>
      </c>
      <c r="T1771" s="193">
        <f t="shared" si="385"/>
        <v>0</v>
      </c>
      <c r="U1771" s="193">
        <f ca="1">OFFSET('Expenditure Study'!$B$7,'Operations Support'!$C1771,'Operations Support'!$B1771)*$G1771</f>
        <v>0</v>
      </c>
      <c r="V1771" s="199">
        <f ca="1">U1771*'Expenditure Study'!$B$31</f>
        <v>0</v>
      </c>
      <c r="W1771" s="199">
        <f ca="1">IF(A1771=10298,1.51,1)*IF($B1771&lt;3,$D1771*'Expenditure Study'!$B$32*OFFSET('Expenditure Study'!$B$7,'Operations Support'!$C1771,'Operations Support'!$B1771),0)</f>
        <v>0</v>
      </c>
      <c r="X1771" s="200">
        <f ca="1">W1771*'Expenditure Study'!$B$31</f>
        <v>0</v>
      </c>
      <c r="Y1771" s="199">
        <f ca="1">U1771*'Expenditure Study'!$B$31</f>
        <v>0</v>
      </c>
      <c r="Z1771" s="200">
        <f ca="1">W1771*'Expenditure Study'!$B$31</f>
        <v>0</v>
      </c>
      <c r="AA1771" s="195">
        <f t="shared" ca="1" si="386"/>
        <v>0</v>
      </c>
      <c r="AB1771" s="195">
        <f t="shared" ca="1" si="387"/>
        <v>0</v>
      </c>
      <c r="AD1771" s="196">
        <f>IFERROR($G1771/SUMIF($A:$A,$A1771,$G:$G)*SUMIF(Summary!$A$166:$A$242,$A1771,Summary!$P$166:$P$242),0)</f>
        <v>0</v>
      </c>
      <c r="AE1771" s="197">
        <f t="shared" ca="1" si="388"/>
        <v>0</v>
      </c>
      <c r="AF1771" s="196">
        <f>IFERROR(G1771/SUMIF(A:A,A1771,G:G)*SUMIF(Summary!$A$166:$A$242,'Operations Support'!A1771,Summary!$Q$166:$Q$242),0)</f>
        <v>0</v>
      </c>
      <c r="AG1771" s="196">
        <f t="shared" ca="1" si="389"/>
        <v>0</v>
      </c>
      <c r="AI1771" s="196">
        <f>IFERROR($G1771/SUMIF($A:$A,$A1771,$G:$G)*SUMIF(Summary!$A$247:$A$283,$A1771,Summary!$P$247:$P$283),0)</f>
        <v>0</v>
      </c>
      <c r="AJ1771" s="196">
        <f>IFERROR($G1771/SUMIF($A:$A,$A1771,$G:$G)*(SUMIF(Summary!$A$247:$A$283,$A1771,Summary!$L$247:$L$283)+SUMIF(Summary!$A$297:$A$333,$A1771,Summary!$L$297:$L$333))-AI1771,0)</f>
        <v>0</v>
      </c>
      <c r="AK1771" s="196">
        <f>IFERROR($G1771/SUMIF($A:$A,$A1771,$G:$G)*SUMIF(Summary!$A$247:$A$283,$A1771,Summary!$Q$247:$Q$283),0)</f>
        <v>0</v>
      </c>
      <c r="AL1771" s="196">
        <f>IFERROR($G1771/SUMIF($A:$A,$A1771,$G:$G)*(SUMIF(Summary!$A$247:$A$283,$A1771,Summary!$L$247:$L$283)+SUMIF(Summary!$A$297:$A$333,$A1771,Summary!$L$297:$L$333))-AK1771,0)</f>
        <v>0</v>
      </c>
      <c r="AM1771" s="198"/>
      <c r="AN1771" s="196">
        <f t="shared" ca="1" si="390"/>
        <v>0</v>
      </c>
      <c r="AO1771" s="196">
        <f t="shared" ca="1" si="391"/>
        <v>0</v>
      </c>
    </row>
    <row r="1772" spans="1:41">
      <c r="A1772" s="189">
        <v>3644</v>
      </c>
      <c r="B1772" s="190">
        <v>5</v>
      </c>
      <c r="C1772" s="191" t="s">
        <v>223</v>
      </c>
      <c r="D1772" s="192">
        <f t="shared" si="378"/>
        <v>0</v>
      </c>
      <c r="E1772" s="192">
        <f t="shared" si="379"/>
        <v>0</v>
      </c>
      <c r="F1772" s="192">
        <f t="shared" si="380"/>
        <v>0</v>
      </c>
      <c r="G1772" s="193">
        <f t="shared" si="381"/>
        <v>0</v>
      </c>
      <c r="H1772" s="194">
        <v>0</v>
      </c>
      <c r="I1772" s="194">
        <v>0</v>
      </c>
      <c r="J1772" s="194">
        <v>0</v>
      </c>
      <c r="K1772" s="193">
        <f t="shared" si="382"/>
        <v>0</v>
      </c>
      <c r="L1772" s="194">
        <v>0</v>
      </c>
      <c r="M1772" s="194">
        <v>0</v>
      </c>
      <c r="N1772" s="194">
        <v>0</v>
      </c>
      <c r="O1772" s="193">
        <f t="shared" si="383"/>
        <v>0</v>
      </c>
      <c r="P1772" s="194">
        <v>0</v>
      </c>
      <c r="Q1772" s="194">
        <v>0</v>
      </c>
      <c r="R1772" s="194">
        <v>0</v>
      </c>
      <c r="S1772" s="193">
        <f t="shared" si="384"/>
        <v>0</v>
      </c>
      <c r="T1772" s="193">
        <f t="shared" si="385"/>
        <v>0</v>
      </c>
      <c r="U1772" s="193">
        <f ca="1">OFFSET('Expenditure Study'!$B$7,'Operations Support'!$C1772,'Operations Support'!$B1772)*$G1772</f>
        <v>0</v>
      </c>
      <c r="V1772" s="199">
        <f ca="1">U1772*'Expenditure Study'!$B$31</f>
        <v>0</v>
      </c>
      <c r="W1772" s="199">
        <f ca="1">IF(A1772=10298,1.51,1)*IF($B1772&lt;3,$D1772*'Expenditure Study'!$B$32*OFFSET('Expenditure Study'!$B$7,'Operations Support'!$C1772,'Operations Support'!$B1772),0)</f>
        <v>0</v>
      </c>
      <c r="X1772" s="200">
        <f ca="1">W1772*'Expenditure Study'!$B$31</f>
        <v>0</v>
      </c>
      <c r="Y1772" s="199">
        <f ca="1">U1772*'Expenditure Study'!$B$31</f>
        <v>0</v>
      </c>
      <c r="Z1772" s="200">
        <f ca="1">W1772*'Expenditure Study'!$B$31</f>
        <v>0</v>
      </c>
      <c r="AA1772" s="195">
        <f t="shared" ca="1" si="386"/>
        <v>0</v>
      </c>
      <c r="AB1772" s="195">
        <f t="shared" ca="1" si="387"/>
        <v>0</v>
      </c>
      <c r="AD1772" s="196">
        <f>IFERROR($G1772/SUMIF($A:$A,$A1772,$G:$G)*SUMIF(Summary!$A$166:$A$242,$A1772,Summary!$P$166:$P$242),0)</f>
        <v>0</v>
      </c>
      <c r="AE1772" s="197">
        <f t="shared" ca="1" si="388"/>
        <v>0</v>
      </c>
      <c r="AF1772" s="196">
        <f>IFERROR(G1772/SUMIF(A:A,A1772,G:G)*SUMIF(Summary!$A$166:$A$242,'Operations Support'!A1772,Summary!$Q$166:$Q$242),0)</f>
        <v>0</v>
      </c>
      <c r="AG1772" s="196">
        <f t="shared" ca="1" si="389"/>
        <v>0</v>
      </c>
      <c r="AI1772" s="196">
        <f>IFERROR($G1772/SUMIF($A:$A,$A1772,$G:$G)*SUMIF(Summary!$A$247:$A$283,$A1772,Summary!$P$247:$P$283),0)</f>
        <v>0</v>
      </c>
      <c r="AJ1772" s="196">
        <f>IFERROR($G1772/SUMIF($A:$A,$A1772,$G:$G)*(SUMIF(Summary!$A$247:$A$283,$A1772,Summary!$L$247:$L$283)+SUMIF(Summary!$A$297:$A$333,$A1772,Summary!$L$297:$L$333))-AI1772,0)</f>
        <v>0</v>
      </c>
      <c r="AK1772" s="196">
        <f>IFERROR($G1772/SUMIF($A:$A,$A1772,$G:$G)*SUMIF(Summary!$A$247:$A$283,$A1772,Summary!$Q$247:$Q$283),0)</f>
        <v>0</v>
      </c>
      <c r="AL1772" s="196">
        <f>IFERROR($G1772/SUMIF($A:$A,$A1772,$G:$G)*(SUMIF(Summary!$A$247:$A$283,$A1772,Summary!$L$247:$L$283)+SUMIF(Summary!$A$297:$A$333,$A1772,Summary!$L$297:$L$333))-AK1772,0)</f>
        <v>0</v>
      </c>
      <c r="AM1772" s="198"/>
      <c r="AN1772" s="196">
        <f t="shared" ca="1" si="390"/>
        <v>0</v>
      </c>
      <c r="AO1772" s="196">
        <f t="shared" ca="1" si="391"/>
        <v>0</v>
      </c>
    </row>
    <row r="1773" spans="1:41">
      <c r="A1773" s="189">
        <v>3644</v>
      </c>
      <c r="B1773" s="190">
        <v>5</v>
      </c>
      <c r="C1773" s="191" t="s">
        <v>224</v>
      </c>
      <c r="D1773" s="192">
        <f t="shared" si="378"/>
        <v>0</v>
      </c>
      <c r="E1773" s="192">
        <f t="shared" si="379"/>
        <v>0</v>
      </c>
      <c r="F1773" s="192">
        <f t="shared" si="380"/>
        <v>0</v>
      </c>
      <c r="G1773" s="193">
        <f t="shared" si="381"/>
        <v>0</v>
      </c>
      <c r="H1773" s="194">
        <v>0</v>
      </c>
      <c r="I1773" s="194">
        <v>0</v>
      </c>
      <c r="J1773" s="194">
        <v>0</v>
      </c>
      <c r="K1773" s="193">
        <f t="shared" si="382"/>
        <v>0</v>
      </c>
      <c r="L1773" s="194">
        <v>0</v>
      </c>
      <c r="M1773" s="194">
        <v>0</v>
      </c>
      <c r="N1773" s="194">
        <v>0</v>
      </c>
      <c r="O1773" s="193">
        <f t="shared" si="383"/>
        <v>0</v>
      </c>
      <c r="P1773" s="194">
        <v>0</v>
      </c>
      <c r="Q1773" s="194">
        <v>0</v>
      </c>
      <c r="R1773" s="194">
        <v>0</v>
      </c>
      <c r="S1773" s="193">
        <f t="shared" si="384"/>
        <v>0</v>
      </c>
      <c r="T1773" s="193">
        <f t="shared" si="385"/>
        <v>0</v>
      </c>
      <c r="U1773" s="193">
        <f ca="1">OFFSET('Expenditure Study'!$B$7,'Operations Support'!$C1773,'Operations Support'!$B1773)*$G1773</f>
        <v>0</v>
      </c>
      <c r="V1773" s="199">
        <f ca="1">U1773*'Expenditure Study'!$B$31</f>
        <v>0</v>
      </c>
      <c r="W1773" s="199">
        <f ca="1">IF(A1773=10298,1.51,1)*IF($B1773&lt;3,$D1773*'Expenditure Study'!$B$32*OFFSET('Expenditure Study'!$B$7,'Operations Support'!$C1773,'Operations Support'!$B1773),0)</f>
        <v>0</v>
      </c>
      <c r="X1773" s="200">
        <f ca="1">W1773*'Expenditure Study'!$B$31</f>
        <v>0</v>
      </c>
      <c r="Y1773" s="199">
        <f ca="1">U1773*'Expenditure Study'!$B$31</f>
        <v>0</v>
      </c>
      <c r="Z1773" s="200">
        <f ca="1">W1773*'Expenditure Study'!$B$31</f>
        <v>0</v>
      </c>
      <c r="AA1773" s="195">
        <f t="shared" ca="1" si="386"/>
        <v>0</v>
      </c>
      <c r="AB1773" s="195">
        <f t="shared" ca="1" si="387"/>
        <v>0</v>
      </c>
      <c r="AD1773" s="196">
        <f>IFERROR($G1773/SUMIF($A:$A,$A1773,$G:$G)*SUMIF(Summary!$A$166:$A$242,$A1773,Summary!$P$166:$P$242),0)</f>
        <v>0</v>
      </c>
      <c r="AE1773" s="197">
        <f t="shared" ca="1" si="388"/>
        <v>0</v>
      </c>
      <c r="AF1773" s="196">
        <f>IFERROR(G1773/SUMIF(A:A,A1773,G:G)*SUMIF(Summary!$A$166:$A$242,'Operations Support'!A1773,Summary!$Q$166:$Q$242),0)</f>
        <v>0</v>
      </c>
      <c r="AG1773" s="196">
        <f t="shared" ca="1" si="389"/>
        <v>0</v>
      </c>
      <c r="AI1773" s="196">
        <f>IFERROR($G1773/SUMIF($A:$A,$A1773,$G:$G)*SUMIF(Summary!$A$247:$A$283,$A1773,Summary!$P$247:$P$283),0)</f>
        <v>0</v>
      </c>
      <c r="AJ1773" s="196">
        <f>IFERROR($G1773/SUMIF($A:$A,$A1773,$G:$G)*(SUMIF(Summary!$A$247:$A$283,$A1773,Summary!$L$247:$L$283)+SUMIF(Summary!$A$297:$A$333,$A1773,Summary!$L$297:$L$333))-AI1773,0)</f>
        <v>0</v>
      </c>
      <c r="AK1773" s="196">
        <f>IFERROR($G1773/SUMIF($A:$A,$A1773,$G:$G)*SUMIF(Summary!$A$247:$A$283,$A1773,Summary!$Q$247:$Q$283),0)</f>
        <v>0</v>
      </c>
      <c r="AL1773" s="196">
        <f>IFERROR($G1773/SUMIF($A:$A,$A1773,$G:$G)*(SUMIF(Summary!$A$247:$A$283,$A1773,Summary!$L$247:$L$283)+SUMIF(Summary!$A$297:$A$333,$A1773,Summary!$L$297:$L$333))-AK1773,0)</f>
        <v>0</v>
      </c>
      <c r="AM1773" s="198"/>
      <c r="AN1773" s="196">
        <f t="shared" ca="1" si="390"/>
        <v>0</v>
      </c>
      <c r="AO1773" s="196">
        <f t="shared" ca="1" si="391"/>
        <v>0</v>
      </c>
    </row>
    <row r="1774" spans="1:41">
      <c r="A1774" s="189">
        <v>3644</v>
      </c>
      <c r="B1774" s="190">
        <v>5</v>
      </c>
      <c r="C1774" s="191" t="s">
        <v>225</v>
      </c>
      <c r="D1774" s="192">
        <f t="shared" si="378"/>
        <v>0</v>
      </c>
      <c r="E1774" s="192">
        <f t="shared" si="379"/>
        <v>0</v>
      </c>
      <c r="F1774" s="192">
        <f t="shared" si="380"/>
        <v>0</v>
      </c>
      <c r="G1774" s="193">
        <f t="shared" si="381"/>
        <v>0</v>
      </c>
      <c r="H1774" s="194">
        <v>0</v>
      </c>
      <c r="I1774" s="194">
        <v>0</v>
      </c>
      <c r="J1774" s="194">
        <v>0</v>
      </c>
      <c r="K1774" s="193">
        <f t="shared" si="382"/>
        <v>0</v>
      </c>
      <c r="L1774" s="194">
        <v>0</v>
      </c>
      <c r="M1774" s="194">
        <v>0</v>
      </c>
      <c r="N1774" s="194">
        <v>0</v>
      </c>
      <c r="O1774" s="193">
        <f t="shared" si="383"/>
        <v>0</v>
      </c>
      <c r="P1774" s="194">
        <v>0</v>
      </c>
      <c r="Q1774" s="194">
        <v>0</v>
      </c>
      <c r="R1774" s="194">
        <v>0</v>
      </c>
      <c r="S1774" s="193">
        <f t="shared" si="384"/>
        <v>0</v>
      </c>
      <c r="T1774" s="193">
        <f t="shared" si="385"/>
        <v>0</v>
      </c>
      <c r="U1774" s="193">
        <f ca="1">OFFSET('Expenditure Study'!$B$7,'Operations Support'!$C1774,'Operations Support'!$B1774)*$G1774</f>
        <v>0</v>
      </c>
      <c r="V1774" s="199">
        <f ca="1">U1774*'Expenditure Study'!$B$31</f>
        <v>0</v>
      </c>
      <c r="W1774" s="199">
        <f ca="1">IF(A1774=10298,1.51,1)*IF($B1774&lt;3,$D1774*'Expenditure Study'!$B$32*OFFSET('Expenditure Study'!$B$7,'Operations Support'!$C1774,'Operations Support'!$B1774),0)</f>
        <v>0</v>
      </c>
      <c r="X1774" s="200">
        <f ca="1">W1774*'Expenditure Study'!$B$31</f>
        <v>0</v>
      </c>
      <c r="Y1774" s="199">
        <f ca="1">U1774*'Expenditure Study'!$B$31</f>
        <v>0</v>
      </c>
      <c r="Z1774" s="200">
        <f ca="1">W1774*'Expenditure Study'!$B$31</f>
        <v>0</v>
      </c>
      <c r="AA1774" s="195">
        <f t="shared" ca="1" si="386"/>
        <v>0</v>
      </c>
      <c r="AB1774" s="195">
        <f t="shared" ca="1" si="387"/>
        <v>0</v>
      </c>
      <c r="AD1774" s="196">
        <f>IFERROR($G1774/SUMIF($A:$A,$A1774,$G:$G)*SUMIF(Summary!$A$166:$A$242,$A1774,Summary!$P$166:$P$242),0)</f>
        <v>0</v>
      </c>
      <c r="AE1774" s="197">
        <f t="shared" ca="1" si="388"/>
        <v>0</v>
      </c>
      <c r="AF1774" s="196">
        <f>IFERROR(G1774/SUMIF(A:A,A1774,G:G)*SUMIF(Summary!$A$166:$A$242,'Operations Support'!A1774,Summary!$Q$166:$Q$242),0)</f>
        <v>0</v>
      </c>
      <c r="AG1774" s="196">
        <f t="shared" ca="1" si="389"/>
        <v>0</v>
      </c>
      <c r="AI1774" s="196">
        <f>IFERROR($G1774/SUMIF($A:$A,$A1774,$G:$G)*SUMIF(Summary!$A$247:$A$283,$A1774,Summary!$P$247:$P$283),0)</f>
        <v>0</v>
      </c>
      <c r="AJ1774" s="196">
        <f>IFERROR($G1774/SUMIF($A:$A,$A1774,$G:$G)*(SUMIF(Summary!$A$247:$A$283,$A1774,Summary!$L$247:$L$283)+SUMIF(Summary!$A$297:$A$333,$A1774,Summary!$L$297:$L$333))-AI1774,0)</f>
        <v>0</v>
      </c>
      <c r="AK1774" s="196">
        <f>IFERROR($G1774/SUMIF($A:$A,$A1774,$G:$G)*SUMIF(Summary!$A$247:$A$283,$A1774,Summary!$Q$247:$Q$283),0)</f>
        <v>0</v>
      </c>
      <c r="AL1774" s="196">
        <f>IFERROR($G1774/SUMIF($A:$A,$A1774,$G:$G)*(SUMIF(Summary!$A$247:$A$283,$A1774,Summary!$L$247:$L$283)+SUMIF(Summary!$A$297:$A$333,$A1774,Summary!$L$297:$L$333))-AK1774,0)</f>
        <v>0</v>
      </c>
      <c r="AM1774" s="198"/>
      <c r="AN1774" s="196">
        <f t="shared" ca="1" si="390"/>
        <v>0</v>
      </c>
      <c r="AO1774" s="196">
        <f t="shared" ca="1" si="391"/>
        <v>0</v>
      </c>
    </row>
    <row r="1775" spans="1:41">
      <c r="A1775" s="189">
        <v>3644</v>
      </c>
      <c r="B1775" s="190">
        <v>5</v>
      </c>
      <c r="C1775" s="191" t="s">
        <v>226</v>
      </c>
      <c r="D1775" s="192">
        <f t="shared" si="378"/>
        <v>0</v>
      </c>
      <c r="E1775" s="192">
        <f t="shared" si="379"/>
        <v>0</v>
      </c>
      <c r="F1775" s="192">
        <f t="shared" si="380"/>
        <v>0</v>
      </c>
      <c r="G1775" s="193">
        <f t="shared" si="381"/>
        <v>0</v>
      </c>
      <c r="H1775" s="194">
        <v>0</v>
      </c>
      <c r="I1775" s="194">
        <v>0</v>
      </c>
      <c r="J1775" s="194">
        <v>0</v>
      </c>
      <c r="K1775" s="193">
        <f t="shared" si="382"/>
        <v>0</v>
      </c>
      <c r="L1775" s="194">
        <v>0</v>
      </c>
      <c r="M1775" s="194">
        <v>0</v>
      </c>
      <c r="N1775" s="194">
        <v>0</v>
      </c>
      <c r="O1775" s="193">
        <f t="shared" si="383"/>
        <v>0</v>
      </c>
      <c r="P1775" s="194">
        <v>0</v>
      </c>
      <c r="Q1775" s="194">
        <v>0</v>
      </c>
      <c r="R1775" s="194">
        <v>0</v>
      </c>
      <c r="S1775" s="193">
        <f t="shared" si="384"/>
        <v>0</v>
      </c>
      <c r="T1775" s="193">
        <f t="shared" si="385"/>
        <v>0</v>
      </c>
      <c r="U1775" s="193">
        <f ca="1">OFFSET('Expenditure Study'!$B$7,'Operations Support'!$C1775,'Operations Support'!$B1775)*$G1775</f>
        <v>0</v>
      </c>
      <c r="V1775" s="199">
        <f ca="1">U1775*'Expenditure Study'!$B$31</f>
        <v>0</v>
      </c>
      <c r="W1775" s="199">
        <f ca="1">IF(A1775=10298,1.51,1)*IF($B1775&lt;3,$D1775*'Expenditure Study'!$B$32*OFFSET('Expenditure Study'!$B$7,'Operations Support'!$C1775,'Operations Support'!$B1775),0)</f>
        <v>0</v>
      </c>
      <c r="X1775" s="200">
        <f ca="1">W1775*'Expenditure Study'!$B$31</f>
        <v>0</v>
      </c>
      <c r="Y1775" s="199">
        <f ca="1">U1775*'Expenditure Study'!$B$31</f>
        <v>0</v>
      </c>
      <c r="Z1775" s="200">
        <f ca="1">W1775*'Expenditure Study'!$B$31</f>
        <v>0</v>
      </c>
      <c r="AA1775" s="195">
        <f t="shared" ca="1" si="386"/>
        <v>0</v>
      </c>
      <c r="AB1775" s="195">
        <f t="shared" ca="1" si="387"/>
        <v>0</v>
      </c>
      <c r="AD1775" s="196">
        <f>IFERROR($G1775/SUMIF($A:$A,$A1775,$G:$G)*SUMIF(Summary!$A$166:$A$242,$A1775,Summary!$P$166:$P$242),0)</f>
        <v>0</v>
      </c>
      <c r="AE1775" s="197">
        <f t="shared" ca="1" si="388"/>
        <v>0</v>
      </c>
      <c r="AF1775" s="196">
        <f>IFERROR(G1775/SUMIF(A:A,A1775,G:G)*SUMIF(Summary!$A$166:$A$242,'Operations Support'!A1775,Summary!$Q$166:$Q$242),0)</f>
        <v>0</v>
      </c>
      <c r="AG1775" s="196">
        <f t="shared" ca="1" si="389"/>
        <v>0</v>
      </c>
      <c r="AI1775" s="196">
        <f>IFERROR($G1775/SUMIF($A:$A,$A1775,$G:$G)*SUMIF(Summary!$A$247:$A$283,$A1775,Summary!$P$247:$P$283),0)</f>
        <v>0</v>
      </c>
      <c r="AJ1775" s="196">
        <f>IFERROR($G1775/SUMIF($A:$A,$A1775,$G:$G)*(SUMIF(Summary!$A$247:$A$283,$A1775,Summary!$L$247:$L$283)+SUMIF(Summary!$A$297:$A$333,$A1775,Summary!$L$297:$L$333))-AI1775,0)</f>
        <v>0</v>
      </c>
      <c r="AK1775" s="196">
        <f>IFERROR($G1775/SUMIF($A:$A,$A1775,$G:$G)*SUMIF(Summary!$A$247:$A$283,$A1775,Summary!$Q$247:$Q$283),0)</f>
        <v>0</v>
      </c>
      <c r="AL1775" s="196">
        <f>IFERROR($G1775/SUMIF($A:$A,$A1775,$G:$G)*(SUMIF(Summary!$A$247:$A$283,$A1775,Summary!$L$247:$L$283)+SUMIF(Summary!$A$297:$A$333,$A1775,Summary!$L$297:$L$333))-AK1775,0)</f>
        <v>0</v>
      </c>
      <c r="AM1775" s="198"/>
      <c r="AN1775" s="196">
        <f t="shared" ca="1" si="390"/>
        <v>0</v>
      </c>
      <c r="AO1775" s="196">
        <f t="shared" ca="1" si="391"/>
        <v>0</v>
      </c>
    </row>
    <row r="1776" spans="1:41">
      <c r="A1776" s="189">
        <v>3644</v>
      </c>
      <c r="B1776" s="190">
        <v>5</v>
      </c>
      <c r="C1776" s="191" t="s">
        <v>227</v>
      </c>
      <c r="D1776" s="192">
        <f t="shared" si="378"/>
        <v>10123</v>
      </c>
      <c r="E1776" s="192">
        <f t="shared" si="379"/>
        <v>2973</v>
      </c>
      <c r="F1776" s="192">
        <f t="shared" si="380"/>
        <v>0</v>
      </c>
      <c r="G1776" s="193">
        <f t="shared" si="381"/>
        <v>13096</v>
      </c>
      <c r="H1776" s="194">
        <v>4887</v>
      </c>
      <c r="I1776" s="194">
        <v>1230</v>
      </c>
      <c r="J1776" s="194">
        <v>0</v>
      </c>
      <c r="K1776" s="193">
        <f t="shared" si="382"/>
        <v>6117</v>
      </c>
      <c r="L1776" s="194">
        <v>5028</v>
      </c>
      <c r="M1776" s="194">
        <v>1638</v>
      </c>
      <c r="N1776" s="194">
        <v>0</v>
      </c>
      <c r="O1776" s="193">
        <f t="shared" si="383"/>
        <v>6666</v>
      </c>
      <c r="P1776" s="194">
        <v>208</v>
      </c>
      <c r="Q1776" s="194">
        <v>105</v>
      </c>
      <c r="R1776" s="194">
        <v>0</v>
      </c>
      <c r="S1776" s="193">
        <f t="shared" si="384"/>
        <v>313</v>
      </c>
      <c r="T1776" s="193">
        <f t="shared" si="385"/>
        <v>545.66666666666663</v>
      </c>
      <c r="U1776" s="193">
        <f ca="1">OFFSET('Expenditure Study'!$B$7,'Operations Support'!$C1776,'Operations Support'!$B1776)*$G1776</f>
        <v>72028</v>
      </c>
      <c r="V1776" s="199">
        <f ca="1">U1776*'Expenditure Study'!$B$31</f>
        <v>4255643.3466624003</v>
      </c>
      <c r="W1776" s="199">
        <f ca="1">IF(A1776=10298,1.51,1)*IF($B1776&lt;3,$D1776*'Expenditure Study'!$B$32*OFFSET('Expenditure Study'!$B$7,'Operations Support'!$C1776,'Operations Support'!$B1776),0)</f>
        <v>0</v>
      </c>
      <c r="X1776" s="200">
        <f ca="1">W1776*'Expenditure Study'!$B$31</f>
        <v>0</v>
      </c>
      <c r="Y1776" s="199">
        <f ca="1">U1776*'Expenditure Study'!$B$31</f>
        <v>4255643.3466624003</v>
      </c>
      <c r="Z1776" s="200">
        <f ca="1">W1776*'Expenditure Study'!$B$31</f>
        <v>0</v>
      </c>
      <c r="AA1776" s="195">
        <f t="shared" ca="1" si="386"/>
        <v>4255643.3466624003</v>
      </c>
      <c r="AB1776" s="195">
        <f t="shared" ca="1" si="387"/>
        <v>4255643.3466624003</v>
      </c>
      <c r="AD1776" s="196">
        <f>IFERROR($G1776/SUMIF($A:$A,$A1776,$G:$G)*SUMIF(Summary!$A$166:$A$242,$A1776,Summary!$P$166:$P$242),0)</f>
        <v>387380.21269140777</v>
      </c>
      <c r="AE1776" s="197">
        <f t="shared" ca="1" si="388"/>
        <v>3868263.1339709926</v>
      </c>
      <c r="AF1776" s="196">
        <f>IFERROR(G1776/SUMIF(A:A,A1776,G:G)*SUMIF(Summary!$A$166:$A$242,'Operations Support'!A1776,Summary!$Q$166:$Q$242),0)</f>
        <v>388687.31114323629</v>
      </c>
      <c r="AG1776" s="196">
        <f t="shared" ca="1" si="389"/>
        <v>3866956.0355191641</v>
      </c>
      <c r="AI1776" s="196">
        <f>IFERROR($G1776/SUMIF($A:$A,$A1776,$G:$G)*SUMIF(Summary!$A$247:$A$283,$A1776,Summary!$P$247:$P$283),0)</f>
        <v>70648.483829462464</v>
      </c>
      <c r="AJ1776" s="196">
        <f>IFERROR($G1776/SUMIF($A:$A,$A1776,$G:$G)*(SUMIF(Summary!$A$247:$A$283,$A1776,Summary!$L$247:$L$283)+SUMIF(Summary!$A$297:$A$333,$A1776,Summary!$L$297:$L$333))-AI1776,0)</f>
        <v>318965.75452728826</v>
      </c>
      <c r="AK1776" s="196">
        <f>IFERROR($G1776/SUMIF($A:$A,$A1776,$G:$G)*SUMIF(Summary!$A$247:$A$283,$A1776,Summary!$Q$247:$Q$283),0)</f>
        <v>70886.865968797705</v>
      </c>
      <c r="AL1776" s="196">
        <f>IFERROR($G1776/SUMIF($A:$A,$A1776,$G:$G)*(SUMIF(Summary!$A$247:$A$283,$A1776,Summary!$L$247:$L$283)+SUMIF(Summary!$A$297:$A$333,$A1776,Summary!$L$297:$L$333))-AK1776,0)</f>
        <v>318727.37238795299</v>
      </c>
      <c r="AM1776" s="198"/>
      <c r="AN1776" s="196">
        <f t="shared" ca="1" si="390"/>
        <v>4187228.8884982811</v>
      </c>
      <c r="AO1776" s="196">
        <f t="shared" ca="1" si="391"/>
        <v>4185683.4079071172</v>
      </c>
    </row>
    <row r="1777" spans="1:41">
      <c r="A1777" s="189">
        <v>3644</v>
      </c>
      <c r="B1777" s="190">
        <v>5</v>
      </c>
      <c r="C1777" s="191" t="s">
        <v>228</v>
      </c>
      <c r="D1777" s="192">
        <f t="shared" si="378"/>
        <v>0</v>
      </c>
      <c r="E1777" s="192">
        <f t="shared" si="379"/>
        <v>0</v>
      </c>
      <c r="F1777" s="192">
        <f t="shared" si="380"/>
        <v>0</v>
      </c>
      <c r="G1777" s="193">
        <f t="shared" si="381"/>
        <v>0</v>
      </c>
      <c r="H1777" s="194">
        <v>0</v>
      </c>
      <c r="I1777" s="194">
        <v>0</v>
      </c>
      <c r="J1777" s="194">
        <v>0</v>
      </c>
      <c r="K1777" s="193">
        <f t="shared" si="382"/>
        <v>0</v>
      </c>
      <c r="L1777" s="194">
        <v>0</v>
      </c>
      <c r="M1777" s="194">
        <v>0</v>
      </c>
      <c r="N1777" s="194">
        <v>0</v>
      </c>
      <c r="O1777" s="193">
        <f t="shared" si="383"/>
        <v>0</v>
      </c>
      <c r="P1777" s="194">
        <v>0</v>
      </c>
      <c r="Q1777" s="194">
        <v>0</v>
      </c>
      <c r="R1777" s="194">
        <v>0</v>
      </c>
      <c r="S1777" s="193">
        <f t="shared" si="384"/>
        <v>0</v>
      </c>
      <c r="T1777" s="193">
        <f t="shared" si="385"/>
        <v>0</v>
      </c>
      <c r="U1777" s="193">
        <f ca="1">OFFSET('Expenditure Study'!$B$7,'Operations Support'!$C1777,'Operations Support'!$B1777)*$G1777</f>
        <v>0</v>
      </c>
      <c r="V1777" s="199">
        <f ca="1">U1777*'Expenditure Study'!$B$31</f>
        <v>0</v>
      </c>
      <c r="W1777" s="199">
        <f ca="1">IF(A1777=10298,1.51,1)*IF($B1777&lt;3,$D1777*'Expenditure Study'!$B$32*OFFSET('Expenditure Study'!$B$7,'Operations Support'!$C1777,'Operations Support'!$B1777),0)</f>
        <v>0</v>
      </c>
      <c r="X1777" s="200">
        <f ca="1">W1777*'Expenditure Study'!$B$31</f>
        <v>0</v>
      </c>
      <c r="Y1777" s="199">
        <f ca="1">U1777*'Expenditure Study'!$B$31</f>
        <v>0</v>
      </c>
      <c r="Z1777" s="200">
        <f ca="1">W1777*'Expenditure Study'!$B$31</f>
        <v>0</v>
      </c>
      <c r="AA1777" s="195">
        <f t="shared" ca="1" si="386"/>
        <v>0</v>
      </c>
      <c r="AB1777" s="195">
        <f t="shared" ca="1" si="387"/>
        <v>0</v>
      </c>
      <c r="AD1777" s="196">
        <f>IFERROR($G1777/SUMIF($A:$A,$A1777,$G:$G)*SUMIF(Summary!$A$166:$A$242,$A1777,Summary!$P$166:$P$242),0)</f>
        <v>0</v>
      </c>
      <c r="AE1777" s="197">
        <f t="shared" ca="1" si="388"/>
        <v>0</v>
      </c>
      <c r="AF1777" s="196">
        <f>IFERROR(G1777/SUMIF(A:A,A1777,G:G)*SUMIF(Summary!$A$166:$A$242,'Operations Support'!A1777,Summary!$Q$166:$Q$242),0)</f>
        <v>0</v>
      </c>
      <c r="AG1777" s="196">
        <f t="shared" ca="1" si="389"/>
        <v>0</v>
      </c>
      <c r="AI1777" s="196">
        <f>IFERROR($G1777/SUMIF($A:$A,$A1777,$G:$G)*SUMIF(Summary!$A$247:$A$283,$A1777,Summary!$P$247:$P$283),0)</f>
        <v>0</v>
      </c>
      <c r="AJ1777" s="196">
        <f>IFERROR($G1777/SUMIF($A:$A,$A1777,$G:$G)*(SUMIF(Summary!$A$247:$A$283,$A1777,Summary!$L$247:$L$283)+SUMIF(Summary!$A$297:$A$333,$A1777,Summary!$L$297:$L$333))-AI1777,0)</f>
        <v>0</v>
      </c>
      <c r="AK1777" s="196">
        <f>IFERROR($G1777/SUMIF($A:$A,$A1777,$G:$G)*SUMIF(Summary!$A$247:$A$283,$A1777,Summary!$Q$247:$Q$283),0)</f>
        <v>0</v>
      </c>
      <c r="AL1777" s="196">
        <f>IFERROR($G1777/SUMIF($A:$A,$A1777,$G:$G)*(SUMIF(Summary!$A$247:$A$283,$A1777,Summary!$L$247:$L$283)+SUMIF(Summary!$A$297:$A$333,$A1777,Summary!$L$297:$L$333))-AK1777,0)</f>
        <v>0</v>
      </c>
      <c r="AM1777" s="198"/>
      <c r="AN1777" s="196">
        <f t="shared" ca="1" si="390"/>
        <v>0</v>
      </c>
      <c r="AO1777" s="196">
        <f t="shared" ca="1" si="391"/>
        <v>0</v>
      </c>
    </row>
    <row r="1778" spans="1:41">
      <c r="A1778" s="189">
        <v>3644</v>
      </c>
      <c r="B1778" s="190">
        <v>5</v>
      </c>
      <c r="C1778" s="191" t="s">
        <v>229</v>
      </c>
      <c r="D1778" s="192">
        <f t="shared" si="378"/>
        <v>0</v>
      </c>
      <c r="E1778" s="192">
        <f t="shared" si="379"/>
        <v>0</v>
      </c>
      <c r="F1778" s="192">
        <f t="shared" si="380"/>
        <v>0</v>
      </c>
      <c r="G1778" s="193">
        <f t="shared" si="381"/>
        <v>0</v>
      </c>
      <c r="H1778" s="194">
        <v>0</v>
      </c>
      <c r="I1778" s="194">
        <v>0</v>
      </c>
      <c r="J1778" s="194">
        <v>0</v>
      </c>
      <c r="K1778" s="193">
        <f t="shared" si="382"/>
        <v>0</v>
      </c>
      <c r="L1778" s="194">
        <v>0</v>
      </c>
      <c r="M1778" s="194">
        <v>0</v>
      </c>
      <c r="N1778" s="194">
        <v>0</v>
      </c>
      <c r="O1778" s="193">
        <f t="shared" si="383"/>
        <v>0</v>
      </c>
      <c r="P1778" s="194">
        <v>0</v>
      </c>
      <c r="Q1778" s="194">
        <v>0</v>
      </c>
      <c r="R1778" s="194">
        <v>0</v>
      </c>
      <c r="S1778" s="193">
        <f t="shared" si="384"/>
        <v>0</v>
      </c>
      <c r="T1778" s="193">
        <f t="shared" si="385"/>
        <v>0</v>
      </c>
      <c r="U1778" s="193">
        <f ca="1">OFFSET('Expenditure Study'!$B$7,'Operations Support'!$C1778,'Operations Support'!$B1778)*$G1778</f>
        <v>0</v>
      </c>
      <c r="V1778" s="199">
        <f ca="1">U1778*'Expenditure Study'!$B$31</f>
        <v>0</v>
      </c>
      <c r="W1778" s="199">
        <f ca="1">IF(A1778=10298,1.51,1)*IF($B1778&lt;3,$D1778*'Expenditure Study'!$B$32*OFFSET('Expenditure Study'!$B$7,'Operations Support'!$C1778,'Operations Support'!$B1778),0)</f>
        <v>0</v>
      </c>
      <c r="X1778" s="200">
        <f ca="1">W1778*'Expenditure Study'!$B$31</f>
        <v>0</v>
      </c>
      <c r="Y1778" s="199">
        <f ca="1">U1778*'Expenditure Study'!$B$31</f>
        <v>0</v>
      </c>
      <c r="Z1778" s="200">
        <f ca="1">W1778*'Expenditure Study'!$B$31</f>
        <v>0</v>
      </c>
      <c r="AA1778" s="195">
        <f t="shared" ca="1" si="386"/>
        <v>0</v>
      </c>
      <c r="AB1778" s="195">
        <f t="shared" ca="1" si="387"/>
        <v>0</v>
      </c>
      <c r="AD1778" s="196">
        <f>IFERROR($G1778/SUMIF($A:$A,$A1778,$G:$G)*SUMIF(Summary!$A$166:$A$242,$A1778,Summary!$P$166:$P$242),0)</f>
        <v>0</v>
      </c>
      <c r="AE1778" s="197">
        <f t="shared" ca="1" si="388"/>
        <v>0</v>
      </c>
      <c r="AF1778" s="196">
        <f>IFERROR(G1778/SUMIF(A:A,A1778,G:G)*SUMIF(Summary!$A$166:$A$242,'Operations Support'!A1778,Summary!$Q$166:$Q$242),0)</f>
        <v>0</v>
      </c>
      <c r="AG1778" s="196">
        <f t="shared" ca="1" si="389"/>
        <v>0</v>
      </c>
      <c r="AI1778" s="196">
        <f>IFERROR($G1778/SUMIF($A:$A,$A1778,$G:$G)*SUMIF(Summary!$A$247:$A$283,$A1778,Summary!$P$247:$P$283),0)</f>
        <v>0</v>
      </c>
      <c r="AJ1778" s="196">
        <f>IFERROR($G1778/SUMIF($A:$A,$A1778,$G:$G)*(SUMIF(Summary!$A$247:$A$283,$A1778,Summary!$L$247:$L$283)+SUMIF(Summary!$A$297:$A$333,$A1778,Summary!$L$297:$L$333))-AI1778,0)</f>
        <v>0</v>
      </c>
      <c r="AK1778" s="196">
        <f>IFERROR($G1778/SUMIF($A:$A,$A1778,$G:$G)*SUMIF(Summary!$A$247:$A$283,$A1778,Summary!$Q$247:$Q$283),0)</f>
        <v>0</v>
      </c>
      <c r="AL1778" s="196">
        <f>IFERROR($G1778/SUMIF($A:$A,$A1778,$G:$G)*(SUMIF(Summary!$A$247:$A$283,$A1778,Summary!$L$247:$L$283)+SUMIF(Summary!$A$297:$A$333,$A1778,Summary!$L$297:$L$333))-AK1778,0)</f>
        <v>0</v>
      </c>
      <c r="AM1778" s="198"/>
      <c r="AN1778" s="196">
        <f t="shared" ca="1" si="390"/>
        <v>0</v>
      </c>
      <c r="AO1778" s="196">
        <f t="shared" ca="1" si="391"/>
        <v>0</v>
      </c>
    </row>
    <row r="1779" spans="1:41" s="201" customFormat="1">
      <c r="A1779" s="189">
        <v>3644</v>
      </c>
      <c r="B1779" s="190">
        <v>5</v>
      </c>
      <c r="C1779" s="191" t="s">
        <v>230</v>
      </c>
      <c r="D1779" s="192">
        <f t="shared" si="378"/>
        <v>4867.2599999999893</v>
      </c>
      <c r="E1779" s="192">
        <f t="shared" si="379"/>
        <v>1496.7399999999989</v>
      </c>
      <c r="F1779" s="192">
        <f t="shared" si="380"/>
        <v>0</v>
      </c>
      <c r="G1779" s="193">
        <f t="shared" si="381"/>
        <v>6363.9999999999882</v>
      </c>
      <c r="H1779" s="194">
        <v>2353.62</v>
      </c>
      <c r="I1779" s="194">
        <v>839.38</v>
      </c>
      <c r="J1779" s="194">
        <v>0</v>
      </c>
      <c r="K1779" s="193">
        <f t="shared" si="382"/>
        <v>3193</v>
      </c>
      <c r="L1779" s="194">
        <v>2513.6399999999899</v>
      </c>
      <c r="M1779" s="194">
        <v>657.35999999999899</v>
      </c>
      <c r="N1779" s="194">
        <v>0</v>
      </c>
      <c r="O1779" s="193">
        <f t="shared" si="383"/>
        <v>3170.9999999999891</v>
      </c>
      <c r="P1779" s="194">
        <v>0</v>
      </c>
      <c r="Q1779" s="194">
        <v>0</v>
      </c>
      <c r="R1779" s="194">
        <v>0</v>
      </c>
      <c r="S1779" s="193">
        <f t="shared" si="384"/>
        <v>0</v>
      </c>
      <c r="T1779" s="193">
        <f t="shared" si="385"/>
        <v>265.16666666666617</v>
      </c>
      <c r="U1779" s="193">
        <f ca="1">OFFSET('Expenditure Study'!$B$7,'Operations Support'!$C1779,'Operations Support'!$B1779)*$G1779</f>
        <v>138162.43999999974</v>
      </c>
      <c r="V1779" s="199">
        <f ca="1">U1779*'Expenditure Study'!$B$31</f>
        <v>8163076.4222891368</v>
      </c>
      <c r="W1779" s="199">
        <f ca="1">IF(A1779=10298,1.51,1)*IF($B1779&lt;3,$D1779*'Expenditure Study'!$B$32*OFFSET('Expenditure Study'!$B$7,'Operations Support'!$C1779,'Operations Support'!$B1779),0)</f>
        <v>0</v>
      </c>
      <c r="X1779" s="200">
        <f ca="1">W1779*'Expenditure Study'!$B$31</f>
        <v>0</v>
      </c>
      <c r="Y1779" s="199">
        <f ca="1">U1779*'Expenditure Study'!$B$31</f>
        <v>8163076.4222891368</v>
      </c>
      <c r="Z1779" s="200">
        <f ca="1">W1779*'Expenditure Study'!$B$31</f>
        <v>0</v>
      </c>
      <c r="AA1779" s="195">
        <f t="shared" ca="1" si="386"/>
        <v>8163076.4222891368</v>
      </c>
      <c r="AB1779" s="195">
        <f t="shared" ca="1" si="387"/>
        <v>8163076.4222891368</v>
      </c>
      <c r="AD1779" s="196">
        <f>IFERROR($G1779/SUMIF($A:$A,$A1779,$G:$G)*SUMIF(Summary!$A$166:$A$242,$A1779,Summary!$P$166:$P$242),0)</f>
        <v>188247.37886134046</v>
      </c>
      <c r="AE1779" s="197">
        <f t="shared" ca="1" si="388"/>
        <v>7974829.0434277961</v>
      </c>
      <c r="AF1779" s="196">
        <f>IFERROR(G1779/SUMIF(A:A,A1779,G:G)*SUMIF(Summary!$A$166:$A$242,'Operations Support'!A1779,Summary!$Q$166:$Q$242),0)</f>
        <v>188882.56323423574</v>
      </c>
      <c r="AG1779" s="196">
        <f t="shared" ca="1" si="389"/>
        <v>7974193.8590549007</v>
      </c>
      <c r="AH1779" s="180"/>
      <c r="AI1779" s="196">
        <f>IFERROR($G1779/SUMIF($A:$A,$A1779,$G:$G)*SUMIF(Summary!$A$247:$A$283,$A1779,Summary!$P$247:$P$283),0)</f>
        <v>34331.624243333717</v>
      </c>
      <c r="AJ1779" s="196">
        <f>IFERROR($G1779/SUMIF($A:$A,$A1779,$G:$G)*(SUMIF(Summary!$A$247:$A$283,$A1779,Summary!$L$247:$L$283)+SUMIF(Summary!$A$297:$A$333,$A1779,Summary!$L$297:$L$333))-AI1779,0)</f>
        <v>155001.37918537407</v>
      </c>
      <c r="AK1779" s="196">
        <f>IFERROR($G1779/SUMIF($A:$A,$A1779,$G:$G)*SUMIF(Summary!$A$247:$A$283,$A1779,Summary!$Q$247:$Q$283),0)</f>
        <v>34447.466022100474</v>
      </c>
      <c r="AL1779" s="196">
        <f>IFERROR($G1779/SUMIF($A:$A,$A1779,$G:$G)*(SUMIF(Summary!$A$247:$A$283,$A1779,Summary!$L$247:$L$283)+SUMIF(Summary!$A$297:$A$333,$A1779,Summary!$L$297:$L$333))-AK1779,0)</f>
        <v>154885.5374066073</v>
      </c>
      <c r="AM1779" s="198"/>
      <c r="AN1779" s="196">
        <f t="shared" ca="1" si="390"/>
        <v>8129830.42261317</v>
      </c>
      <c r="AO1779" s="196">
        <f t="shared" ca="1" si="391"/>
        <v>8129079.3964615082</v>
      </c>
    </row>
    <row r="1780" spans="1:41" s="201" customFormat="1">
      <c r="A1780" s="189">
        <v>3644</v>
      </c>
      <c r="B1780" s="190">
        <v>5</v>
      </c>
      <c r="C1780" s="191" t="s">
        <v>231</v>
      </c>
      <c r="D1780" s="192">
        <f t="shared" si="378"/>
        <v>0</v>
      </c>
      <c r="E1780" s="192">
        <f t="shared" si="379"/>
        <v>0</v>
      </c>
      <c r="F1780" s="192">
        <f t="shared" si="380"/>
        <v>0</v>
      </c>
      <c r="G1780" s="193">
        <f t="shared" si="381"/>
        <v>0</v>
      </c>
      <c r="H1780" s="194">
        <v>0</v>
      </c>
      <c r="I1780" s="194">
        <v>0</v>
      </c>
      <c r="J1780" s="194">
        <v>0</v>
      </c>
      <c r="K1780" s="193">
        <f t="shared" si="382"/>
        <v>0</v>
      </c>
      <c r="L1780" s="194">
        <v>0</v>
      </c>
      <c r="M1780" s="194">
        <v>0</v>
      </c>
      <c r="N1780" s="194">
        <v>0</v>
      </c>
      <c r="O1780" s="193">
        <f t="shared" si="383"/>
        <v>0</v>
      </c>
      <c r="P1780" s="194">
        <v>0</v>
      </c>
      <c r="Q1780" s="194">
        <v>0</v>
      </c>
      <c r="R1780" s="194">
        <v>0</v>
      </c>
      <c r="S1780" s="193">
        <f t="shared" si="384"/>
        <v>0</v>
      </c>
      <c r="T1780" s="193">
        <f t="shared" si="385"/>
        <v>0</v>
      </c>
      <c r="U1780" s="193">
        <f ca="1">OFFSET('Expenditure Study'!$B$7,'Operations Support'!$C1780,'Operations Support'!$B1780)*$G1780</f>
        <v>0</v>
      </c>
      <c r="V1780" s="199">
        <f ca="1">U1780*'Expenditure Study'!$B$31</f>
        <v>0</v>
      </c>
      <c r="W1780" s="199">
        <f ca="1">IF(A1780=10298,1.51,1)*IF($B1780&lt;3,$D1780*'Expenditure Study'!$B$32*OFFSET('Expenditure Study'!$B$7,'Operations Support'!$C1780,'Operations Support'!$B1780),0)</f>
        <v>0</v>
      </c>
      <c r="X1780" s="200">
        <f ca="1">W1780*'Expenditure Study'!$B$31</f>
        <v>0</v>
      </c>
      <c r="Y1780" s="199">
        <f ca="1">U1780*'Expenditure Study'!$B$31</f>
        <v>0</v>
      </c>
      <c r="Z1780" s="200">
        <f ca="1">W1780*'Expenditure Study'!$B$31</f>
        <v>0</v>
      </c>
      <c r="AA1780" s="195">
        <f t="shared" ca="1" si="386"/>
        <v>0</v>
      </c>
      <c r="AB1780" s="195">
        <f t="shared" ca="1" si="387"/>
        <v>0</v>
      </c>
      <c r="AD1780" s="196">
        <f>IFERROR($G1780/SUMIF($A:$A,$A1780,$G:$G)*SUMIF(Summary!$A$166:$A$242,$A1780,Summary!$P$166:$P$242),0)</f>
        <v>0</v>
      </c>
      <c r="AE1780" s="197">
        <f t="shared" ca="1" si="388"/>
        <v>0</v>
      </c>
      <c r="AF1780" s="196">
        <f>IFERROR(G1780/SUMIF(A:A,A1780,G:G)*SUMIF(Summary!$A$166:$A$242,'Operations Support'!A1780,Summary!$Q$166:$Q$242),0)</f>
        <v>0</v>
      </c>
      <c r="AG1780" s="196">
        <f t="shared" ca="1" si="389"/>
        <v>0</v>
      </c>
      <c r="AH1780" s="180"/>
      <c r="AI1780" s="196">
        <f>IFERROR($G1780/SUMIF($A:$A,$A1780,$G:$G)*SUMIF(Summary!$A$247:$A$283,$A1780,Summary!$P$247:$P$283),0)</f>
        <v>0</v>
      </c>
      <c r="AJ1780" s="196">
        <f>IFERROR($G1780/SUMIF($A:$A,$A1780,$G:$G)*(SUMIF(Summary!$A$247:$A$283,$A1780,Summary!$L$247:$L$283)+SUMIF(Summary!$A$297:$A$333,$A1780,Summary!$L$297:$L$333))-AI1780,0)</f>
        <v>0</v>
      </c>
      <c r="AK1780" s="196">
        <f>IFERROR($G1780/SUMIF($A:$A,$A1780,$G:$G)*SUMIF(Summary!$A$247:$A$283,$A1780,Summary!$Q$247:$Q$283),0)</f>
        <v>0</v>
      </c>
      <c r="AL1780" s="196">
        <f>IFERROR($G1780/SUMIF($A:$A,$A1780,$G:$G)*(SUMIF(Summary!$A$247:$A$283,$A1780,Summary!$L$247:$L$283)+SUMIF(Summary!$A$297:$A$333,$A1780,Summary!$L$297:$L$333))-AK1780,0)</f>
        <v>0</v>
      </c>
      <c r="AM1780" s="198"/>
      <c r="AN1780" s="196">
        <f t="shared" ca="1" si="390"/>
        <v>0</v>
      </c>
      <c r="AO1780" s="196">
        <f t="shared" ca="1" si="391"/>
        <v>0</v>
      </c>
    </row>
    <row r="1781" spans="1:41">
      <c r="A1781" s="189">
        <v>3644</v>
      </c>
      <c r="B1781" s="190">
        <v>5</v>
      </c>
      <c r="C1781" s="191" t="s">
        <v>232</v>
      </c>
      <c r="D1781" s="192">
        <f t="shared" si="378"/>
        <v>0</v>
      </c>
      <c r="E1781" s="192">
        <f t="shared" si="379"/>
        <v>0</v>
      </c>
      <c r="F1781" s="192">
        <f t="shared" si="380"/>
        <v>0</v>
      </c>
      <c r="G1781" s="193">
        <f t="shared" si="381"/>
        <v>0</v>
      </c>
      <c r="H1781" s="194">
        <v>0</v>
      </c>
      <c r="I1781" s="194">
        <v>0</v>
      </c>
      <c r="J1781" s="194">
        <v>0</v>
      </c>
      <c r="K1781" s="193">
        <f t="shared" si="382"/>
        <v>0</v>
      </c>
      <c r="L1781" s="194">
        <v>0</v>
      </c>
      <c r="M1781" s="194">
        <v>0</v>
      </c>
      <c r="N1781" s="194">
        <v>0</v>
      </c>
      <c r="O1781" s="193">
        <f t="shared" si="383"/>
        <v>0</v>
      </c>
      <c r="P1781" s="194">
        <v>0</v>
      </c>
      <c r="Q1781" s="194">
        <v>0</v>
      </c>
      <c r="R1781" s="194">
        <v>0</v>
      </c>
      <c r="S1781" s="193">
        <f t="shared" si="384"/>
        <v>0</v>
      </c>
      <c r="T1781" s="193">
        <f t="shared" si="385"/>
        <v>0</v>
      </c>
      <c r="U1781" s="193">
        <f ca="1">OFFSET('Expenditure Study'!$B$7,'Operations Support'!$C1781,'Operations Support'!$B1781)*$G1781</f>
        <v>0</v>
      </c>
      <c r="V1781" s="199">
        <f ca="1">U1781*'Expenditure Study'!$B$31</f>
        <v>0</v>
      </c>
      <c r="W1781" s="199">
        <f ca="1">IF(A1781=10298,1.51,1)*IF($B1781&lt;3,$D1781*'Expenditure Study'!$B$32*OFFSET('Expenditure Study'!$B$7,'Operations Support'!$C1781,'Operations Support'!$B1781),0)</f>
        <v>0</v>
      </c>
      <c r="X1781" s="200">
        <f ca="1">W1781*'Expenditure Study'!$B$31</f>
        <v>0</v>
      </c>
      <c r="Y1781" s="199">
        <f ca="1">U1781*'Expenditure Study'!$B$31</f>
        <v>0</v>
      </c>
      <c r="Z1781" s="200">
        <f ca="1">W1781*'Expenditure Study'!$B$31</f>
        <v>0</v>
      </c>
      <c r="AA1781" s="195">
        <f t="shared" ca="1" si="386"/>
        <v>0</v>
      </c>
      <c r="AB1781" s="195">
        <f t="shared" ca="1" si="387"/>
        <v>0</v>
      </c>
      <c r="AD1781" s="196">
        <f>IFERROR($G1781/SUMIF($A:$A,$A1781,$G:$G)*SUMIF(Summary!$A$166:$A$242,$A1781,Summary!$P$166:$P$242),0)</f>
        <v>0</v>
      </c>
      <c r="AE1781" s="197">
        <f t="shared" ca="1" si="388"/>
        <v>0</v>
      </c>
      <c r="AF1781" s="196">
        <f>IFERROR(G1781/SUMIF(A:A,A1781,G:G)*SUMIF(Summary!$A$166:$A$242,'Operations Support'!A1781,Summary!$Q$166:$Q$242),0)</f>
        <v>0</v>
      </c>
      <c r="AG1781" s="196">
        <f t="shared" ca="1" si="389"/>
        <v>0</v>
      </c>
      <c r="AI1781" s="196">
        <f>IFERROR($G1781/SUMIF($A:$A,$A1781,$G:$G)*SUMIF(Summary!$A$247:$A$283,$A1781,Summary!$P$247:$P$283),0)</f>
        <v>0</v>
      </c>
      <c r="AJ1781" s="196">
        <f>IFERROR($G1781/SUMIF($A:$A,$A1781,$G:$G)*(SUMIF(Summary!$A$247:$A$283,$A1781,Summary!$L$247:$L$283)+SUMIF(Summary!$A$297:$A$333,$A1781,Summary!$L$297:$L$333))-AI1781,0)</f>
        <v>0</v>
      </c>
      <c r="AK1781" s="196">
        <f>IFERROR($G1781/SUMIF($A:$A,$A1781,$G:$G)*SUMIF(Summary!$A$247:$A$283,$A1781,Summary!$Q$247:$Q$283),0)</f>
        <v>0</v>
      </c>
      <c r="AL1781" s="196">
        <f>IFERROR($G1781/SUMIF($A:$A,$A1781,$G:$G)*(SUMIF(Summary!$A$247:$A$283,$A1781,Summary!$L$247:$L$283)+SUMIF(Summary!$A$297:$A$333,$A1781,Summary!$L$297:$L$333))-AK1781,0)</f>
        <v>0</v>
      </c>
      <c r="AM1781" s="198"/>
      <c r="AN1781" s="196">
        <f t="shared" ca="1" si="390"/>
        <v>0</v>
      </c>
      <c r="AO1781" s="196">
        <f t="shared" ca="1" si="391"/>
        <v>0</v>
      </c>
    </row>
    <row r="1782" spans="1:41">
      <c r="A1782" s="189">
        <v>3644</v>
      </c>
      <c r="B1782" s="190">
        <v>5</v>
      </c>
      <c r="C1782" s="191" t="s">
        <v>233</v>
      </c>
      <c r="D1782" s="192">
        <f t="shared" si="378"/>
        <v>0</v>
      </c>
      <c r="E1782" s="192">
        <f t="shared" si="379"/>
        <v>0</v>
      </c>
      <c r="F1782" s="192">
        <f t="shared" si="380"/>
        <v>0</v>
      </c>
      <c r="G1782" s="193">
        <f t="shared" si="381"/>
        <v>0</v>
      </c>
      <c r="H1782" s="194">
        <v>0</v>
      </c>
      <c r="I1782" s="194">
        <v>0</v>
      </c>
      <c r="J1782" s="194">
        <v>0</v>
      </c>
      <c r="K1782" s="193">
        <f t="shared" si="382"/>
        <v>0</v>
      </c>
      <c r="L1782" s="194">
        <v>0</v>
      </c>
      <c r="M1782" s="194">
        <v>0</v>
      </c>
      <c r="N1782" s="194">
        <v>0</v>
      </c>
      <c r="O1782" s="193">
        <f t="shared" si="383"/>
        <v>0</v>
      </c>
      <c r="P1782" s="194">
        <v>0</v>
      </c>
      <c r="Q1782" s="194">
        <v>0</v>
      </c>
      <c r="R1782" s="194">
        <v>0</v>
      </c>
      <c r="S1782" s="193">
        <f t="shared" si="384"/>
        <v>0</v>
      </c>
      <c r="T1782" s="193">
        <f t="shared" si="385"/>
        <v>0</v>
      </c>
      <c r="U1782" s="193">
        <f ca="1">OFFSET('Expenditure Study'!$B$7,'Operations Support'!$C1782,'Operations Support'!$B1782)*$G1782</f>
        <v>0</v>
      </c>
      <c r="V1782" s="199">
        <f ca="1">U1782*'Expenditure Study'!$B$31</f>
        <v>0</v>
      </c>
      <c r="W1782" s="199">
        <f ca="1">IF(A1782=10298,1.51,1)*IF($B1782&lt;3,$D1782*'Expenditure Study'!$B$32*OFFSET('Expenditure Study'!$B$7,'Operations Support'!$C1782,'Operations Support'!$B1782),0)</f>
        <v>0</v>
      </c>
      <c r="X1782" s="200">
        <f ca="1">W1782*'Expenditure Study'!$B$31</f>
        <v>0</v>
      </c>
      <c r="Y1782" s="199">
        <f ca="1">U1782*'Expenditure Study'!$B$31</f>
        <v>0</v>
      </c>
      <c r="Z1782" s="200">
        <f ca="1">W1782*'Expenditure Study'!$B$31</f>
        <v>0</v>
      </c>
      <c r="AA1782" s="195">
        <f t="shared" ca="1" si="386"/>
        <v>0</v>
      </c>
      <c r="AB1782" s="195">
        <f t="shared" ca="1" si="387"/>
        <v>0</v>
      </c>
      <c r="AD1782" s="196">
        <f>IFERROR($G1782/SUMIF($A:$A,$A1782,$G:$G)*SUMIF(Summary!$A$166:$A$242,$A1782,Summary!$P$166:$P$242),0)</f>
        <v>0</v>
      </c>
      <c r="AE1782" s="197">
        <f t="shared" ca="1" si="388"/>
        <v>0</v>
      </c>
      <c r="AF1782" s="196">
        <f>IFERROR(G1782/SUMIF(A:A,A1782,G:G)*SUMIF(Summary!$A$166:$A$242,'Operations Support'!A1782,Summary!$Q$166:$Q$242),0)</f>
        <v>0</v>
      </c>
      <c r="AG1782" s="196">
        <f t="shared" ca="1" si="389"/>
        <v>0</v>
      </c>
      <c r="AI1782" s="196">
        <f>IFERROR($G1782/SUMIF($A:$A,$A1782,$G:$G)*SUMIF(Summary!$A$247:$A$283,$A1782,Summary!$P$247:$P$283),0)</f>
        <v>0</v>
      </c>
      <c r="AJ1782" s="196">
        <f>IFERROR($G1782/SUMIF($A:$A,$A1782,$G:$G)*(SUMIF(Summary!$A$247:$A$283,$A1782,Summary!$L$247:$L$283)+SUMIF(Summary!$A$297:$A$333,$A1782,Summary!$L$297:$L$333))-AI1782,0)</f>
        <v>0</v>
      </c>
      <c r="AK1782" s="196">
        <f>IFERROR($G1782/SUMIF($A:$A,$A1782,$G:$G)*SUMIF(Summary!$A$247:$A$283,$A1782,Summary!$Q$247:$Q$283),0)</f>
        <v>0</v>
      </c>
      <c r="AL1782" s="196">
        <f>IFERROR($G1782/SUMIF($A:$A,$A1782,$G:$G)*(SUMIF(Summary!$A$247:$A$283,$A1782,Summary!$L$247:$L$283)+SUMIF(Summary!$A$297:$A$333,$A1782,Summary!$L$297:$L$333))-AK1782,0)</f>
        <v>0</v>
      </c>
      <c r="AM1782" s="198"/>
      <c r="AN1782" s="196">
        <f t="shared" ca="1" si="390"/>
        <v>0</v>
      </c>
      <c r="AO1782" s="196">
        <f t="shared" ca="1" si="391"/>
        <v>0</v>
      </c>
    </row>
    <row r="1783" spans="1:41">
      <c r="A1783" s="189">
        <v>3644</v>
      </c>
      <c r="B1783" s="190">
        <v>5</v>
      </c>
      <c r="C1783" s="191" t="s">
        <v>234</v>
      </c>
      <c r="D1783" s="192">
        <f t="shared" si="378"/>
        <v>0</v>
      </c>
      <c r="E1783" s="192">
        <f t="shared" si="379"/>
        <v>0</v>
      </c>
      <c r="F1783" s="192">
        <f t="shared" si="380"/>
        <v>0</v>
      </c>
      <c r="G1783" s="193">
        <f t="shared" si="381"/>
        <v>0</v>
      </c>
      <c r="H1783" s="194">
        <v>0</v>
      </c>
      <c r="I1783" s="194">
        <v>0</v>
      </c>
      <c r="J1783" s="194">
        <v>0</v>
      </c>
      <c r="K1783" s="193">
        <f t="shared" si="382"/>
        <v>0</v>
      </c>
      <c r="L1783" s="194">
        <v>0</v>
      </c>
      <c r="M1783" s="194">
        <v>0</v>
      </c>
      <c r="N1783" s="194">
        <v>0</v>
      </c>
      <c r="O1783" s="193">
        <f t="shared" si="383"/>
        <v>0</v>
      </c>
      <c r="P1783" s="194">
        <v>0</v>
      </c>
      <c r="Q1783" s="194">
        <v>0</v>
      </c>
      <c r="R1783" s="194">
        <v>0</v>
      </c>
      <c r="S1783" s="193">
        <f t="shared" si="384"/>
        <v>0</v>
      </c>
      <c r="T1783" s="193">
        <f t="shared" si="385"/>
        <v>0</v>
      </c>
      <c r="U1783" s="193">
        <f ca="1">OFFSET('Expenditure Study'!$B$7,'Operations Support'!$C1783,'Operations Support'!$B1783)*$G1783</f>
        <v>0</v>
      </c>
      <c r="V1783" s="199">
        <f ca="1">U1783*'Expenditure Study'!$B$31</f>
        <v>0</v>
      </c>
      <c r="W1783" s="199">
        <f ca="1">IF(A1783=10298,1.51,1)*IF($B1783&lt;3,$D1783*'Expenditure Study'!$B$32*OFFSET('Expenditure Study'!$B$7,'Operations Support'!$C1783,'Operations Support'!$B1783),0)</f>
        <v>0</v>
      </c>
      <c r="X1783" s="200">
        <f ca="1">W1783*'Expenditure Study'!$B$31</f>
        <v>0</v>
      </c>
      <c r="Y1783" s="199">
        <f ca="1">U1783*'Expenditure Study'!$B$31</f>
        <v>0</v>
      </c>
      <c r="Z1783" s="200">
        <f ca="1">W1783*'Expenditure Study'!$B$31</f>
        <v>0</v>
      </c>
      <c r="AA1783" s="195">
        <f t="shared" ca="1" si="386"/>
        <v>0</v>
      </c>
      <c r="AB1783" s="195">
        <f t="shared" ca="1" si="387"/>
        <v>0</v>
      </c>
      <c r="AD1783" s="196">
        <f>IFERROR($G1783/SUMIF($A:$A,$A1783,$G:$G)*SUMIF(Summary!$A$166:$A$242,$A1783,Summary!$P$166:$P$242),0)</f>
        <v>0</v>
      </c>
      <c r="AE1783" s="197">
        <f t="shared" ca="1" si="388"/>
        <v>0</v>
      </c>
      <c r="AF1783" s="196">
        <f>IFERROR(G1783/SUMIF(A:A,A1783,G:G)*SUMIF(Summary!$A$166:$A$242,'Operations Support'!A1783,Summary!$Q$166:$Q$242),0)</f>
        <v>0</v>
      </c>
      <c r="AG1783" s="196">
        <f t="shared" ca="1" si="389"/>
        <v>0</v>
      </c>
      <c r="AI1783" s="196">
        <f>IFERROR($G1783/SUMIF($A:$A,$A1783,$G:$G)*SUMIF(Summary!$A$247:$A$283,$A1783,Summary!$P$247:$P$283),0)</f>
        <v>0</v>
      </c>
      <c r="AJ1783" s="196">
        <f>IFERROR($G1783/SUMIF($A:$A,$A1783,$G:$G)*(SUMIF(Summary!$A$247:$A$283,$A1783,Summary!$L$247:$L$283)+SUMIF(Summary!$A$297:$A$333,$A1783,Summary!$L$297:$L$333))-AI1783,0)</f>
        <v>0</v>
      </c>
      <c r="AK1783" s="196">
        <f>IFERROR($G1783/SUMIF($A:$A,$A1783,$G:$G)*SUMIF(Summary!$A$247:$A$283,$A1783,Summary!$Q$247:$Q$283),0)</f>
        <v>0</v>
      </c>
      <c r="AL1783" s="196">
        <f>IFERROR($G1783/SUMIF($A:$A,$A1783,$G:$G)*(SUMIF(Summary!$A$247:$A$283,$A1783,Summary!$L$247:$L$283)+SUMIF(Summary!$A$297:$A$333,$A1783,Summary!$L$297:$L$333))-AK1783,0)</f>
        <v>0</v>
      </c>
      <c r="AM1783" s="198"/>
      <c r="AN1783" s="196">
        <f t="shared" ca="1" si="390"/>
        <v>0</v>
      </c>
      <c r="AO1783" s="196">
        <f t="shared" ca="1" si="391"/>
        <v>0</v>
      </c>
    </row>
    <row r="1784" spans="1:41">
      <c r="A1784" s="189">
        <v>3644</v>
      </c>
      <c r="B1784" s="190">
        <v>5</v>
      </c>
      <c r="C1784" s="191" t="s">
        <v>235</v>
      </c>
      <c r="D1784" s="192">
        <f t="shared" si="378"/>
        <v>0</v>
      </c>
      <c r="E1784" s="192">
        <f t="shared" si="379"/>
        <v>0</v>
      </c>
      <c r="F1784" s="192">
        <f t="shared" si="380"/>
        <v>0</v>
      </c>
      <c r="G1784" s="193">
        <f t="shared" si="381"/>
        <v>0</v>
      </c>
      <c r="H1784" s="194">
        <v>0</v>
      </c>
      <c r="I1784" s="194">
        <v>0</v>
      </c>
      <c r="J1784" s="194">
        <v>0</v>
      </c>
      <c r="K1784" s="193">
        <f t="shared" si="382"/>
        <v>0</v>
      </c>
      <c r="L1784" s="194">
        <v>0</v>
      </c>
      <c r="M1784" s="194">
        <v>0</v>
      </c>
      <c r="N1784" s="194">
        <v>0</v>
      </c>
      <c r="O1784" s="193">
        <f t="shared" si="383"/>
        <v>0</v>
      </c>
      <c r="P1784" s="194">
        <v>0</v>
      </c>
      <c r="Q1784" s="194">
        <v>0</v>
      </c>
      <c r="R1784" s="194">
        <v>0</v>
      </c>
      <c r="S1784" s="193">
        <f t="shared" si="384"/>
        <v>0</v>
      </c>
      <c r="T1784" s="193">
        <f t="shared" si="385"/>
        <v>0</v>
      </c>
      <c r="U1784" s="193">
        <f ca="1">OFFSET('Expenditure Study'!$B$7,'Operations Support'!$C1784,'Operations Support'!$B1784)*$G1784</f>
        <v>0</v>
      </c>
      <c r="V1784" s="199">
        <f ca="1">U1784*'Expenditure Study'!$B$31</f>
        <v>0</v>
      </c>
      <c r="W1784" s="199">
        <f ca="1">IF(A1784=10298,1.51,1)*IF($B1784&lt;3,$D1784*'Expenditure Study'!$B$32*OFFSET('Expenditure Study'!$B$7,'Operations Support'!$C1784,'Operations Support'!$B1784),0)</f>
        <v>0</v>
      </c>
      <c r="X1784" s="200">
        <f ca="1">W1784*'Expenditure Study'!$B$31</f>
        <v>0</v>
      </c>
      <c r="Y1784" s="199">
        <f ca="1">U1784*'Expenditure Study'!$B$31</f>
        <v>0</v>
      </c>
      <c r="Z1784" s="200">
        <f ca="1">W1784*'Expenditure Study'!$B$31</f>
        <v>0</v>
      </c>
      <c r="AA1784" s="195">
        <f t="shared" ca="1" si="386"/>
        <v>0</v>
      </c>
      <c r="AB1784" s="195">
        <f t="shared" ca="1" si="387"/>
        <v>0</v>
      </c>
      <c r="AD1784" s="196">
        <f>IFERROR($G1784/SUMIF($A:$A,$A1784,$G:$G)*SUMIF(Summary!$A$166:$A$242,$A1784,Summary!$P$166:$P$242),0)</f>
        <v>0</v>
      </c>
      <c r="AE1784" s="197">
        <f t="shared" ca="1" si="388"/>
        <v>0</v>
      </c>
      <c r="AF1784" s="196">
        <f>IFERROR(G1784/SUMIF(A:A,A1784,G:G)*SUMIF(Summary!$A$166:$A$242,'Operations Support'!A1784,Summary!$Q$166:$Q$242),0)</f>
        <v>0</v>
      </c>
      <c r="AG1784" s="196">
        <f t="shared" ca="1" si="389"/>
        <v>0</v>
      </c>
      <c r="AI1784" s="196">
        <f>IFERROR($G1784/SUMIF($A:$A,$A1784,$G:$G)*SUMIF(Summary!$A$247:$A$283,$A1784,Summary!$P$247:$P$283),0)</f>
        <v>0</v>
      </c>
      <c r="AJ1784" s="196">
        <f>IFERROR($G1784/SUMIF($A:$A,$A1784,$G:$G)*(SUMIF(Summary!$A$247:$A$283,$A1784,Summary!$L$247:$L$283)+SUMIF(Summary!$A$297:$A$333,$A1784,Summary!$L$297:$L$333))-AI1784,0)</f>
        <v>0</v>
      </c>
      <c r="AK1784" s="196">
        <f>IFERROR($G1784/SUMIF($A:$A,$A1784,$G:$G)*SUMIF(Summary!$A$247:$A$283,$A1784,Summary!$Q$247:$Q$283),0)</f>
        <v>0</v>
      </c>
      <c r="AL1784" s="196">
        <f>IFERROR($G1784/SUMIF($A:$A,$A1784,$G:$G)*(SUMIF(Summary!$A$247:$A$283,$A1784,Summary!$L$247:$L$283)+SUMIF(Summary!$A$297:$A$333,$A1784,Summary!$L$297:$L$333))-AK1784,0)</f>
        <v>0</v>
      </c>
      <c r="AM1784" s="198"/>
      <c r="AN1784" s="196">
        <f t="shared" ca="1" si="390"/>
        <v>0</v>
      </c>
      <c r="AO1784" s="196">
        <f t="shared" ca="1" si="391"/>
        <v>0</v>
      </c>
    </row>
    <row r="1785" spans="1:41">
      <c r="A1785" s="189">
        <v>3644</v>
      </c>
      <c r="B1785" s="190">
        <v>5</v>
      </c>
      <c r="C1785" s="191" t="s">
        <v>236</v>
      </c>
      <c r="D1785" s="192">
        <f t="shared" si="378"/>
        <v>0</v>
      </c>
      <c r="E1785" s="192">
        <f t="shared" si="379"/>
        <v>0</v>
      </c>
      <c r="F1785" s="192">
        <f t="shared" si="380"/>
        <v>0</v>
      </c>
      <c r="G1785" s="193">
        <f t="shared" si="381"/>
        <v>0</v>
      </c>
      <c r="H1785" s="194">
        <v>0</v>
      </c>
      <c r="I1785" s="194">
        <v>0</v>
      </c>
      <c r="J1785" s="194">
        <v>0</v>
      </c>
      <c r="K1785" s="193">
        <f t="shared" si="382"/>
        <v>0</v>
      </c>
      <c r="L1785" s="194">
        <v>0</v>
      </c>
      <c r="M1785" s="194">
        <v>0</v>
      </c>
      <c r="N1785" s="194">
        <v>0</v>
      </c>
      <c r="O1785" s="193">
        <f t="shared" si="383"/>
        <v>0</v>
      </c>
      <c r="P1785" s="194">
        <v>0</v>
      </c>
      <c r="Q1785" s="194">
        <v>0</v>
      </c>
      <c r="R1785" s="194">
        <v>0</v>
      </c>
      <c r="S1785" s="193">
        <f t="shared" si="384"/>
        <v>0</v>
      </c>
      <c r="T1785" s="193">
        <f t="shared" si="385"/>
        <v>0</v>
      </c>
      <c r="U1785" s="193">
        <f ca="1">OFFSET('Expenditure Study'!$B$7,'Operations Support'!$C1785,'Operations Support'!$B1785)*$G1785</f>
        <v>0</v>
      </c>
      <c r="V1785" s="199">
        <f ca="1">U1785*'Expenditure Study'!$B$31</f>
        <v>0</v>
      </c>
      <c r="W1785" s="199">
        <f ca="1">IF(A1785=10298,1.51,1)*IF($B1785&lt;3,$D1785*'Expenditure Study'!$B$32*OFFSET('Expenditure Study'!$B$7,'Operations Support'!$C1785,'Operations Support'!$B1785),0)</f>
        <v>0</v>
      </c>
      <c r="X1785" s="200">
        <f ca="1">W1785*'Expenditure Study'!$B$31</f>
        <v>0</v>
      </c>
      <c r="Y1785" s="199">
        <f ca="1">U1785*'Expenditure Study'!$B$31</f>
        <v>0</v>
      </c>
      <c r="Z1785" s="200">
        <f ca="1">W1785*'Expenditure Study'!$B$31</f>
        <v>0</v>
      </c>
      <c r="AA1785" s="195">
        <f t="shared" ca="1" si="386"/>
        <v>0</v>
      </c>
      <c r="AB1785" s="195">
        <f t="shared" ca="1" si="387"/>
        <v>0</v>
      </c>
      <c r="AD1785" s="196">
        <f>IFERROR($G1785/SUMIF($A:$A,$A1785,$G:$G)*SUMIF(Summary!$A$166:$A$242,$A1785,Summary!$P$166:$P$242),0)</f>
        <v>0</v>
      </c>
      <c r="AE1785" s="197">
        <f t="shared" ca="1" si="388"/>
        <v>0</v>
      </c>
      <c r="AF1785" s="196">
        <f>IFERROR(G1785/SUMIF(A:A,A1785,G:G)*SUMIF(Summary!$A$166:$A$242,'Operations Support'!A1785,Summary!$Q$166:$Q$242),0)</f>
        <v>0</v>
      </c>
      <c r="AG1785" s="196">
        <f t="shared" ca="1" si="389"/>
        <v>0</v>
      </c>
      <c r="AI1785" s="196">
        <f>IFERROR($G1785/SUMIF($A:$A,$A1785,$G:$G)*SUMIF(Summary!$A$247:$A$283,$A1785,Summary!$P$247:$P$283),0)</f>
        <v>0</v>
      </c>
      <c r="AJ1785" s="196">
        <f>IFERROR($G1785/SUMIF($A:$A,$A1785,$G:$G)*(SUMIF(Summary!$A$247:$A$283,$A1785,Summary!$L$247:$L$283)+SUMIF(Summary!$A$297:$A$333,$A1785,Summary!$L$297:$L$333))-AI1785,0)</f>
        <v>0</v>
      </c>
      <c r="AK1785" s="196">
        <f>IFERROR($G1785/SUMIF($A:$A,$A1785,$G:$G)*SUMIF(Summary!$A$247:$A$283,$A1785,Summary!$Q$247:$Q$283),0)</f>
        <v>0</v>
      </c>
      <c r="AL1785" s="196">
        <f>IFERROR($G1785/SUMIF($A:$A,$A1785,$G:$G)*(SUMIF(Summary!$A$247:$A$283,$A1785,Summary!$L$247:$L$283)+SUMIF(Summary!$A$297:$A$333,$A1785,Summary!$L$297:$L$333))-AK1785,0)</f>
        <v>0</v>
      </c>
      <c r="AM1785" s="198"/>
      <c r="AN1785" s="196">
        <f t="shared" ca="1" si="390"/>
        <v>0</v>
      </c>
      <c r="AO1785" s="196">
        <f t="shared" ca="1" si="391"/>
        <v>0</v>
      </c>
    </row>
    <row r="1786" spans="1:41">
      <c r="A1786" s="189">
        <v>3644</v>
      </c>
      <c r="B1786" s="190">
        <v>5</v>
      </c>
      <c r="C1786" s="191" t="s">
        <v>237</v>
      </c>
      <c r="D1786" s="192">
        <f t="shared" si="378"/>
        <v>0</v>
      </c>
      <c r="E1786" s="192">
        <f t="shared" si="379"/>
        <v>0</v>
      </c>
      <c r="F1786" s="192">
        <f t="shared" si="380"/>
        <v>0</v>
      </c>
      <c r="G1786" s="193">
        <f t="shared" si="381"/>
        <v>0</v>
      </c>
      <c r="H1786" s="194">
        <v>0</v>
      </c>
      <c r="I1786" s="194">
        <v>0</v>
      </c>
      <c r="J1786" s="194">
        <v>0</v>
      </c>
      <c r="K1786" s="193">
        <f t="shared" si="382"/>
        <v>0</v>
      </c>
      <c r="L1786" s="194">
        <v>0</v>
      </c>
      <c r="M1786" s="194">
        <v>0</v>
      </c>
      <c r="N1786" s="194">
        <v>0</v>
      </c>
      <c r="O1786" s="193">
        <f t="shared" si="383"/>
        <v>0</v>
      </c>
      <c r="P1786" s="194">
        <v>0</v>
      </c>
      <c r="Q1786" s="194">
        <v>0</v>
      </c>
      <c r="R1786" s="194">
        <v>0</v>
      </c>
      <c r="S1786" s="193">
        <f t="shared" si="384"/>
        <v>0</v>
      </c>
      <c r="T1786" s="193">
        <f t="shared" si="385"/>
        <v>0</v>
      </c>
      <c r="U1786" s="193">
        <f ca="1">OFFSET('Expenditure Study'!$B$7,'Operations Support'!$C1786,'Operations Support'!$B1786)*$G1786</f>
        <v>0</v>
      </c>
      <c r="V1786" s="199">
        <f ca="1">U1786*'Expenditure Study'!$B$31</f>
        <v>0</v>
      </c>
      <c r="W1786" s="199">
        <f ca="1">IF(A1786=10298,1.51,1)*IF($B1786&lt;3,$D1786*'Expenditure Study'!$B$32*OFFSET('Expenditure Study'!$B$7,'Operations Support'!$C1786,'Operations Support'!$B1786),0)</f>
        <v>0</v>
      </c>
      <c r="X1786" s="200">
        <f ca="1">W1786*'Expenditure Study'!$B$31</f>
        <v>0</v>
      </c>
      <c r="Y1786" s="199">
        <f ca="1">U1786*'Expenditure Study'!$B$31</f>
        <v>0</v>
      </c>
      <c r="Z1786" s="200">
        <f ca="1">W1786*'Expenditure Study'!$B$31</f>
        <v>0</v>
      </c>
      <c r="AA1786" s="195">
        <f t="shared" ca="1" si="386"/>
        <v>0</v>
      </c>
      <c r="AB1786" s="195">
        <f t="shared" ca="1" si="387"/>
        <v>0</v>
      </c>
      <c r="AD1786" s="196">
        <f>IFERROR($G1786/SUMIF($A:$A,$A1786,$G:$G)*SUMIF(Summary!$A$166:$A$242,$A1786,Summary!$P$166:$P$242),0)</f>
        <v>0</v>
      </c>
      <c r="AE1786" s="197">
        <f t="shared" ca="1" si="388"/>
        <v>0</v>
      </c>
      <c r="AF1786" s="196">
        <f>IFERROR(G1786/SUMIF(A:A,A1786,G:G)*SUMIF(Summary!$A$166:$A$242,'Operations Support'!A1786,Summary!$Q$166:$Q$242),0)</f>
        <v>0</v>
      </c>
      <c r="AG1786" s="196">
        <f t="shared" ca="1" si="389"/>
        <v>0</v>
      </c>
      <c r="AI1786" s="196">
        <f>IFERROR($G1786/SUMIF($A:$A,$A1786,$G:$G)*SUMIF(Summary!$A$247:$A$283,$A1786,Summary!$P$247:$P$283),0)</f>
        <v>0</v>
      </c>
      <c r="AJ1786" s="196">
        <f>IFERROR($G1786/SUMIF($A:$A,$A1786,$G:$G)*(SUMIF(Summary!$A$247:$A$283,$A1786,Summary!$L$247:$L$283)+SUMIF(Summary!$A$297:$A$333,$A1786,Summary!$L$297:$L$333))-AI1786,0)</f>
        <v>0</v>
      </c>
      <c r="AK1786" s="196">
        <f>IFERROR($G1786/SUMIF($A:$A,$A1786,$G:$G)*SUMIF(Summary!$A$247:$A$283,$A1786,Summary!$Q$247:$Q$283),0)</f>
        <v>0</v>
      </c>
      <c r="AL1786" s="196">
        <f>IFERROR($G1786/SUMIF($A:$A,$A1786,$G:$G)*(SUMIF(Summary!$A$247:$A$283,$A1786,Summary!$L$247:$L$283)+SUMIF(Summary!$A$297:$A$333,$A1786,Summary!$L$297:$L$333))-AK1786,0)</f>
        <v>0</v>
      </c>
      <c r="AM1786" s="198"/>
      <c r="AN1786" s="196">
        <f t="shared" ca="1" si="390"/>
        <v>0</v>
      </c>
      <c r="AO1786" s="196">
        <f t="shared" ca="1" si="391"/>
        <v>0</v>
      </c>
    </row>
    <row r="1787" spans="1:41">
      <c r="A1787" s="189">
        <v>3644</v>
      </c>
      <c r="B1787" s="190">
        <v>5</v>
      </c>
      <c r="C1787" s="191" t="s">
        <v>238</v>
      </c>
      <c r="D1787" s="192">
        <f t="shared" si="378"/>
        <v>0</v>
      </c>
      <c r="E1787" s="192">
        <f t="shared" si="379"/>
        <v>0</v>
      </c>
      <c r="F1787" s="192">
        <f t="shared" si="380"/>
        <v>0</v>
      </c>
      <c r="G1787" s="193">
        <f t="shared" si="381"/>
        <v>0</v>
      </c>
      <c r="H1787" s="194">
        <v>0</v>
      </c>
      <c r="I1787" s="194">
        <v>0</v>
      </c>
      <c r="J1787" s="194">
        <v>0</v>
      </c>
      <c r="K1787" s="193">
        <f t="shared" si="382"/>
        <v>0</v>
      </c>
      <c r="L1787" s="194">
        <v>0</v>
      </c>
      <c r="M1787" s="194">
        <v>0</v>
      </c>
      <c r="N1787" s="194">
        <v>0</v>
      </c>
      <c r="O1787" s="193">
        <f t="shared" si="383"/>
        <v>0</v>
      </c>
      <c r="P1787" s="194">
        <v>0</v>
      </c>
      <c r="Q1787" s="194">
        <v>0</v>
      </c>
      <c r="R1787" s="194">
        <v>0</v>
      </c>
      <c r="S1787" s="193">
        <f t="shared" si="384"/>
        <v>0</v>
      </c>
      <c r="T1787" s="193">
        <f t="shared" si="385"/>
        <v>0</v>
      </c>
      <c r="U1787" s="193">
        <f ca="1">OFFSET('Expenditure Study'!$B$7,'Operations Support'!$C1787,'Operations Support'!$B1787)*$G1787</f>
        <v>0</v>
      </c>
      <c r="V1787" s="199">
        <f ca="1">U1787*'Expenditure Study'!$B$31</f>
        <v>0</v>
      </c>
      <c r="W1787" s="199">
        <f ca="1">IF(A1787=10298,1.51,1)*IF($B1787&lt;3,$D1787*'Expenditure Study'!$B$32*OFFSET('Expenditure Study'!$B$7,'Operations Support'!$C1787,'Operations Support'!$B1787),0)</f>
        <v>0</v>
      </c>
      <c r="X1787" s="200">
        <f ca="1">W1787*'Expenditure Study'!$B$31</f>
        <v>0</v>
      </c>
      <c r="Y1787" s="199">
        <f ca="1">U1787*'Expenditure Study'!$B$31</f>
        <v>0</v>
      </c>
      <c r="Z1787" s="200">
        <f ca="1">W1787*'Expenditure Study'!$B$31</f>
        <v>0</v>
      </c>
      <c r="AA1787" s="195">
        <f t="shared" ca="1" si="386"/>
        <v>0</v>
      </c>
      <c r="AB1787" s="195">
        <f t="shared" ca="1" si="387"/>
        <v>0</v>
      </c>
      <c r="AD1787" s="196">
        <f>IFERROR($G1787/SUMIF($A:$A,$A1787,$G:$G)*SUMIF(Summary!$A$166:$A$242,$A1787,Summary!$P$166:$P$242),0)</f>
        <v>0</v>
      </c>
      <c r="AE1787" s="197">
        <f t="shared" ca="1" si="388"/>
        <v>0</v>
      </c>
      <c r="AF1787" s="196">
        <f>IFERROR(G1787/SUMIF(A:A,A1787,G:G)*SUMIF(Summary!$A$166:$A$242,'Operations Support'!A1787,Summary!$Q$166:$Q$242),0)</f>
        <v>0</v>
      </c>
      <c r="AG1787" s="196">
        <f t="shared" ca="1" si="389"/>
        <v>0</v>
      </c>
      <c r="AI1787" s="196">
        <f>IFERROR($G1787/SUMIF($A:$A,$A1787,$G:$G)*SUMIF(Summary!$A$247:$A$283,$A1787,Summary!$P$247:$P$283),0)</f>
        <v>0</v>
      </c>
      <c r="AJ1787" s="196">
        <f>IFERROR($G1787/SUMIF($A:$A,$A1787,$G:$G)*(SUMIF(Summary!$A$247:$A$283,$A1787,Summary!$L$247:$L$283)+SUMIF(Summary!$A$297:$A$333,$A1787,Summary!$L$297:$L$333))-AI1787,0)</f>
        <v>0</v>
      </c>
      <c r="AK1787" s="196">
        <f>IFERROR($G1787/SUMIF($A:$A,$A1787,$G:$G)*SUMIF(Summary!$A$247:$A$283,$A1787,Summary!$Q$247:$Q$283),0)</f>
        <v>0</v>
      </c>
      <c r="AL1787" s="196">
        <f>IFERROR($G1787/SUMIF($A:$A,$A1787,$G:$G)*(SUMIF(Summary!$A$247:$A$283,$A1787,Summary!$L$247:$L$283)+SUMIF(Summary!$A$297:$A$333,$A1787,Summary!$L$297:$L$333))-AK1787,0)</f>
        <v>0</v>
      </c>
      <c r="AM1787" s="198"/>
      <c r="AN1787" s="196">
        <f t="shared" ca="1" si="390"/>
        <v>0</v>
      </c>
      <c r="AO1787" s="196">
        <f t="shared" ca="1" si="391"/>
        <v>0</v>
      </c>
    </row>
    <row r="1788" spans="1:41">
      <c r="A1788" s="189">
        <v>3644</v>
      </c>
      <c r="B1788" s="190">
        <v>5</v>
      </c>
      <c r="C1788" s="191" t="s">
        <v>239</v>
      </c>
      <c r="D1788" s="192">
        <f t="shared" si="378"/>
        <v>0</v>
      </c>
      <c r="E1788" s="192">
        <f t="shared" si="379"/>
        <v>0</v>
      </c>
      <c r="F1788" s="192">
        <f t="shared" si="380"/>
        <v>0</v>
      </c>
      <c r="G1788" s="193">
        <f t="shared" si="381"/>
        <v>0</v>
      </c>
      <c r="H1788" s="194">
        <v>0</v>
      </c>
      <c r="I1788" s="194">
        <v>0</v>
      </c>
      <c r="J1788" s="194">
        <v>0</v>
      </c>
      <c r="K1788" s="193">
        <f t="shared" si="382"/>
        <v>0</v>
      </c>
      <c r="L1788" s="194">
        <v>0</v>
      </c>
      <c r="M1788" s="194">
        <v>0</v>
      </c>
      <c r="N1788" s="194">
        <v>0</v>
      </c>
      <c r="O1788" s="193">
        <f t="shared" si="383"/>
        <v>0</v>
      </c>
      <c r="P1788" s="194">
        <v>0</v>
      </c>
      <c r="Q1788" s="194">
        <v>0</v>
      </c>
      <c r="R1788" s="194">
        <v>0</v>
      </c>
      <c r="S1788" s="193">
        <f t="shared" si="384"/>
        <v>0</v>
      </c>
      <c r="T1788" s="193">
        <f t="shared" si="385"/>
        <v>0</v>
      </c>
      <c r="U1788" s="193">
        <f ca="1">OFFSET('Expenditure Study'!$B$7,'Operations Support'!$C1788,'Operations Support'!$B1788)*$G1788</f>
        <v>0</v>
      </c>
      <c r="V1788" s="199">
        <f ca="1">U1788*'Expenditure Study'!$B$31</f>
        <v>0</v>
      </c>
      <c r="W1788" s="199">
        <f ca="1">IF(A1788=10298,1.51,1)*IF($B1788&lt;3,$D1788*'Expenditure Study'!$B$32*OFFSET('Expenditure Study'!$B$7,'Operations Support'!$C1788,'Operations Support'!$B1788),0)</f>
        <v>0</v>
      </c>
      <c r="X1788" s="200">
        <f ca="1">W1788*'Expenditure Study'!$B$31</f>
        <v>0</v>
      </c>
      <c r="Y1788" s="199">
        <f ca="1">U1788*'Expenditure Study'!$B$31</f>
        <v>0</v>
      </c>
      <c r="Z1788" s="200">
        <f ca="1">W1788*'Expenditure Study'!$B$31</f>
        <v>0</v>
      </c>
      <c r="AA1788" s="195">
        <f t="shared" ca="1" si="386"/>
        <v>0</v>
      </c>
      <c r="AB1788" s="195">
        <f t="shared" ca="1" si="387"/>
        <v>0</v>
      </c>
      <c r="AD1788" s="196">
        <f>IFERROR($G1788/SUMIF($A:$A,$A1788,$G:$G)*SUMIF(Summary!$A$166:$A$242,$A1788,Summary!$P$166:$P$242),0)</f>
        <v>0</v>
      </c>
      <c r="AE1788" s="197">
        <f t="shared" ca="1" si="388"/>
        <v>0</v>
      </c>
      <c r="AF1788" s="196">
        <f>IFERROR(G1788/SUMIF(A:A,A1788,G:G)*SUMIF(Summary!$A$166:$A$242,'Operations Support'!A1788,Summary!$Q$166:$Q$242),0)</f>
        <v>0</v>
      </c>
      <c r="AG1788" s="196">
        <f t="shared" ca="1" si="389"/>
        <v>0</v>
      </c>
      <c r="AI1788" s="196">
        <f>IFERROR($G1788/SUMIF($A:$A,$A1788,$G:$G)*SUMIF(Summary!$A$247:$A$283,$A1788,Summary!$P$247:$P$283),0)</f>
        <v>0</v>
      </c>
      <c r="AJ1788" s="196">
        <f>IFERROR($G1788/SUMIF($A:$A,$A1788,$G:$G)*(SUMIF(Summary!$A$247:$A$283,$A1788,Summary!$L$247:$L$283)+SUMIF(Summary!$A$297:$A$333,$A1788,Summary!$L$297:$L$333))-AI1788,0)</f>
        <v>0</v>
      </c>
      <c r="AK1788" s="196">
        <f>IFERROR($G1788/SUMIF($A:$A,$A1788,$G:$G)*SUMIF(Summary!$A$247:$A$283,$A1788,Summary!$Q$247:$Q$283),0)</f>
        <v>0</v>
      </c>
      <c r="AL1788" s="196">
        <f>IFERROR($G1788/SUMIF($A:$A,$A1788,$G:$G)*(SUMIF(Summary!$A$247:$A$283,$A1788,Summary!$L$247:$L$283)+SUMIF(Summary!$A$297:$A$333,$A1788,Summary!$L$297:$L$333))-AK1788,0)</f>
        <v>0</v>
      </c>
      <c r="AM1788" s="198"/>
      <c r="AN1788" s="196">
        <f t="shared" ca="1" si="390"/>
        <v>0</v>
      </c>
      <c r="AO1788" s="196">
        <f t="shared" ca="1" si="391"/>
        <v>0</v>
      </c>
    </row>
    <row r="1789" spans="1:41">
      <c r="A1789" s="189">
        <v>3644</v>
      </c>
      <c r="B1789" s="190">
        <v>5</v>
      </c>
      <c r="C1789" s="191" t="s">
        <v>240</v>
      </c>
      <c r="D1789" s="192">
        <f t="shared" si="378"/>
        <v>0</v>
      </c>
      <c r="E1789" s="192">
        <f t="shared" si="379"/>
        <v>0</v>
      </c>
      <c r="F1789" s="192">
        <f t="shared" si="380"/>
        <v>0</v>
      </c>
      <c r="G1789" s="193">
        <f t="shared" si="381"/>
        <v>0</v>
      </c>
      <c r="H1789" s="194">
        <v>0</v>
      </c>
      <c r="I1789" s="194">
        <v>0</v>
      </c>
      <c r="J1789" s="194">
        <v>0</v>
      </c>
      <c r="K1789" s="193">
        <f t="shared" si="382"/>
        <v>0</v>
      </c>
      <c r="L1789" s="194">
        <v>0</v>
      </c>
      <c r="M1789" s="194">
        <v>0</v>
      </c>
      <c r="N1789" s="194">
        <v>0</v>
      </c>
      <c r="O1789" s="193">
        <f t="shared" si="383"/>
        <v>0</v>
      </c>
      <c r="P1789" s="194">
        <v>0</v>
      </c>
      <c r="Q1789" s="194">
        <v>0</v>
      </c>
      <c r="R1789" s="194">
        <v>0</v>
      </c>
      <c r="S1789" s="193">
        <f t="shared" si="384"/>
        <v>0</v>
      </c>
      <c r="T1789" s="193">
        <f t="shared" si="385"/>
        <v>0</v>
      </c>
      <c r="U1789" s="193">
        <f ca="1">OFFSET('Expenditure Study'!$B$7,'Operations Support'!$C1789,'Operations Support'!$B1789)*$G1789</f>
        <v>0</v>
      </c>
      <c r="V1789" s="199">
        <f ca="1">U1789*'Expenditure Study'!$B$31</f>
        <v>0</v>
      </c>
      <c r="W1789" s="199">
        <f ca="1">IF(A1789=10298,1.51,1)*IF($B1789&lt;3,$D1789*'Expenditure Study'!$B$32*OFFSET('Expenditure Study'!$B$7,'Operations Support'!$C1789,'Operations Support'!$B1789),0)</f>
        <v>0</v>
      </c>
      <c r="X1789" s="200">
        <f ca="1">W1789*'Expenditure Study'!$B$31</f>
        <v>0</v>
      </c>
      <c r="Y1789" s="199">
        <f ca="1">U1789*'Expenditure Study'!$B$31</f>
        <v>0</v>
      </c>
      <c r="Z1789" s="200">
        <f ca="1">W1789*'Expenditure Study'!$B$31</f>
        <v>0</v>
      </c>
      <c r="AA1789" s="195">
        <f t="shared" ca="1" si="386"/>
        <v>0</v>
      </c>
      <c r="AB1789" s="195">
        <f t="shared" ca="1" si="387"/>
        <v>0</v>
      </c>
      <c r="AD1789" s="196">
        <f>IFERROR($G1789/SUMIF($A:$A,$A1789,$G:$G)*SUMIF(Summary!$A$166:$A$242,$A1789,Summary!$P$166:$P$242),0)</f>
        <v>0</v>
      </c>
      <c r="AE1789" s="197">
        <f t="shared" ca="1" si="388"/>
        <v>0</v>
      </c>
      <c r="AF1789" s="196">
        <f>IFERROR(G1789/SUMIF(A:A,A1789,G:G)*SUMIF(Summary!$A$166:$A$242,'Operations Support'!A1789,Summary!$Q$166:$Q$242),0)</f>
        <v>0</v>
      </c>
      <c r="AG1789" s="196">
        <f t="shared" ca="1" si="389"/>
        <v>0</v>
      </c>
      <c r="AI1789" s="196">
        <f>IFERROR($G1789/SUMIF($A:$A,$A1789,$G:$G)*SUMIF(Summary!$A$247:$A$283,$A1789,Summary!$P$247:$P$283),0)</f>
        <v>0</v>
      </c>
      <c r="AJ1789" s="196">
        <f>IFERROR($G1789/SUMIF($A:$A,$A1789,$G:$G)*(SUMIF(Summary!$A$247:$A$283,$A1789,Summary!$L$247:$L$283)+SUMIF(Summary!$A$297:$A$333,$A1789,Summary!$L$297:$L$333))-AI1789,0)</f>
        <v>0</v>
      </c>
      <c r="AK1789" s="196">
        <f>IFERROR($G1789/SUMIF($A:$A,$A1789,$G:$G)*SUMIF(Summary!$A$247:$A$283,$A1789,Summary!$Q$247:$Q$283),0)</f>
        <v>0</v>
      </c>
      <c r="AL1789" s="196">
        <f>IFERROR($G1789/SUMIF($A:$A,$A1789,$G:$G)*(SUMIF(Summary!$A$247:$A$283,$A1789,Summary!$L$247:$L$283)+SUMIF(Summary!$A$297:$A$333,$A1789,Summary!$L$297:$L$333))-AK1789,0)</f>
        <v>0</v>
      </c>
      <c r="AM1789" s="198"/>
      <c r="AN1789" s="196">
        <f t="shared" ca="1" si="390"/>
        <v>0</v>
      </c>
      <c r="AO1789" s="196">
        <f t="shared" ca="1" si="391"/>
        <v>0</v>
      </c>
    </row>
    <row r="1790" spans="1:41">
      <c r="A1790" s="189">
        <v>3646</v>
      </c>
      <c r="B1790" s="190">
        <v>1</v>
      </c>
      <c r="C1790" s="191" t="s">
        <v>220</v>
      </c>
      <c r="D1790" s="192">
        <f t="shared" si="378"/>
        <v>17051</v>
      </c>
      <c r="E1790" s="192">
        <f t="shared" si="379"/>
        <v>47366</v>
      </c>
      <c r="F1790" s="192">
        <f t="shared" si="380"/>
        <v>0</v>
      </c>
      <c r="G1790" s="193">
        <f t="shared" si="381"/>
        <v>64417</v>
      </c>
      <c r="H1790" s="194">
        <v>6834</v>
      </c>
      <c r="I1790" s="194">
        <v>20203</v>
      </c>
      <c r="J1790" s="194">
        <v>0</v>
      </c>
      <c r="K1790" s="193">
        <f t="shared" si="382"/>
        <v>27037</v>
      </c>
      <c r="L1790" s="194">
        <v>7162</v>
      </c>
      <c r="M1790" s="194">
        <v>24939</v>
      </c>
      <c r="N1790" s="194">
        <v>0</v>
      </c>
      <c r="O1790" s="193">
        <f t="shared" si="383"/>
        <v>32101</v>
      </c>
      <c r="P1790" s="194">
        <v>3055</v>
      </c>
      <c r="Q1790" s="194">
        <v>2224</v>
      </c>
      <c r="R1790" s="194">
        <v>0</v>
      </c>
      <c r="S1790" s="193">
        <f t="shared" si="384"/>
        <v>5279</v>
      </c>
      <c r="T1790" s="193">
        <f t="shared" si="385"/>
        <v>2147.2333333333331</v>
      </c>
      <c r="U1790" s="193">
        <f ca="1">OFFSET('Expenditure Study'!$B$7,'Operations Support'!$C1790,'Operations Support'!$B1790)*$G1790</f>
        <v>64417</v>
      </c>
      <c r="V1790" s="199">
        <f ca="1">U1790*'Expenditure Study'!$B$31</f>
        <v>3805961.2575936001</v>
      </c>
      <c r="W1790" s="199">
        <f ca="1">IF(A1790=10298,1.51,1)*IF($B1790&lt;3,$D1790*'Expenditure Study'!$B$32*OFFSET('Expenditure Study'!$B$7,'Operations Support'!$C1790,'Operations Support'!$B1790),0)</f>
        <v>1705.1000000000001</v>
      </c>
      <c r="X1790" s="200">
        <f ca="1">W1790*'Expenditure Study'!$B$31</f>
        <v>100742.73158208001</v>
      </c>
      <c r="Y1790" s="199">
        <f ca="1">U1790*'Expenditure Study'!$B$31</f>
        <v>3805961.2575936001</v>
      </c>
      <c r="Z1790" s="200">
        <f ca="1">W1790*'Expenditure Study'!$B$31</f>
        <v>100742.73158208001</v>
      </c>
      <c r="AA1790" s="195">
        <f t="shared" ca="1" si="386"/>
        <v>3906703.9891756801</v>
      </c>
      <c r="AB1790" s="195">
        <f t="shared" ca="1" si="387"/>
        <v>3906703.9891756801</v>
      </c>
      <c r="AD1790" s="196">
        <f>IFERROR($G1790/SUMIF($A:$A,$A1790,$G:$G)*SUMIF(Summary!$A$166:$A$242,$A1790,Summary!$P$166:$P$242),0)</f>
        <v>1512614.3104583309</v>
      </c>
      <c r="AE1790" s="197">
        <f t="shared" ca="1" si="388"/>
        <v>2394089.6787173492</v>
      </c>
      <c r="AF1790" s="196">
        <f>IFERROR(G1790/SUMIF(A:A,A1790,G:G)*SUMIF(Summary!$A$166:$A$242,'Operations Support'!A1790,Summary!$Q$166:$Q$242),0)</f>
        <v>1515825.7110364391</v>
      </c>
      <c r="AG1790" s="196">
        <f t="shared" ca="1" si="389"/>
        <v>2390878.278139241</v>
      </c>
      <c r="AI1790" s="196">
        <f>IFERROR($G1790/SUMIF($A:$A,$A1790,$G:$G)*SUMIF(Summary!$A$247:$A$283,$A1790,Summary!$P$247:$P$283),0)</f>
        <v>275863.10335824534</v>
      </c>
      <c r="AJ1790" s="196">
        <f>IFERROR($G1790/SUMIF($A:$A,$A1790,$G:$G)*(SUMIF(Summary!$A$247:$A$283,$A1790,Summary!$L$247:$L$283)+SUMIF(Summary!$A$297:$A$333,$A1790,Summary!$L$297:$L$333))-AI1790,0)</f>
        <v>988672.04320237238</v>
      </c>
      <c r="AK1790" s="196">
        <f>IFERROR($G1790/SUMIF($A:$A,$A1790,$G:$G)*SUMIF(Summary!$A$247:$A$283,$A1790,Summary!$Q$247:$Q$283),0)</f>
        <v>276448.7826840842</v>
      </c>
      <c r="AL1790" s="196">
        <f>IFERROR($G1790/SUMIF($A:$A,$A1790,$G:$G)*(SUMIF(Summary!$A$247:$A$283,$A1790,Summary!$L$247:$L$283)+SUMIF(Summary!$A$297:$A$333,$A1790,Summary!$L$297:$L$333))-AK1790,0)</f>
        <v>988086.36387653346</v>
      </c>
      <c r="AM1790" s="198"/>
      <c r="AN1790" s="196">
        <f t="shared" ca="1" si="390"/>
        <v>3382761.7219197215</v>
      </c>
      <c r="AO1790" s="196">
        <f t="shared" ca="1" si="391"/>
        <v>3378964.6420157747</v>
      </c>
    </row>
    <row r="1791" spans="1:41">
      <c r="A1791" s="189">
        <v>3646</v>
      </c>
      <c r="B1791" s="190">
        <v>1</v>
      </c>
      <c r="C1791" s="191" t="s">
        <v>221</v>
      </c>
      <c r="D1791" s="192">
        <f t="shared" si="378"/>
        <v>8576</v>
      </c>
      <c r="E1791" s="192">
        <f t="shared" si="379"/>
        <v>19750</v>
      </c>
      <c r="F1791" s="192">
        <f t="shared" si="380"/>
        <v>0</v>
      </c>
      <c r="G1791" s="193">
        <f t="shared" si="381"/>
        <v>28326</v>
      </c>
      <c r="H1791" s="194">
        <v>3182</v>
      </c>
      <c r="I1791" s="194">
        <v>8675</v>
      </c>
      <c r="J1791" s="194">
        <v>0</v>
      </c>
      <c r="K1791" s="193">
        <f t="shared" si="382"/>
        <v>11857</v>
      </c>
      <c r="L1791" s="194">
        <v>4569</v>
      </c>
      <c r="M1791" s="194">
        <v>9398</v>
      </c>
      <c r="N1791" s="194">
        <v>0</v>
      </c>
      <c r="O1791" s="193">
        <f t="shared" si="383"/>
        <v>13967</v>
      </c>
      <c r="P1791" s="194">
        <v>825</v>
      </c>
      <c r="Q1791" s="194">
        <v>1677</v>
      </c>
      <c r="R1791" s="194">
        <v>0</v>
      </c>
      <c r="S1791" s="193">
        <f t="shared" si="384"/>
        <v>2502</v>
      </c>
      <c r="T1791" s="193">
        <f t="shared" si="385"/>
        <v>944.2</v>
      </c>
      <c r="U1791" s="193">
        <f ca="1">OFFSET('Expenditure Study'!$B$7,'Operations Support'!$C1791,'Operations Support'!$B1791)*$G1791</f>
        <v>37956.840000000004</v>
      </c>
      <c r="V1791" s="199">
        <f ca="1">U1791*'Expenditure Study'!$B$31</f>
        <v>2242610.8403166723</v>
      </c>
      <c r="W1791" s="199">
        <f ca="1">IF(A1791=10298,1.51,1)*IF($B1791&lt;3,$D1791*'Expenditure Study'!$B$32*OFFSET('Expenditure Study'!$B$7,'Operations Support'!$C1791,'Operations Support'!$B1791),0)</f>
        <v>1149.1840000000002</v>
      </c>
      <c r="X1791" s="200">
        <f ca="1">W1791*'Expenditure Study'!$B$31</f>
        <v>67897.446044467215</v>
      </c>
      <c r="Y1791" s="199">
        <f ca="1">U1791*'Expenditure Study'!$B$31</f>
        <v>2242610.8403166723</v>
      </c>
      <c r="Z1791" s="200">
        <f ca="1">W1791*'Expenditure Study'!$B$31</f>
        <v>67897.446044467215</v>
      </c>
      <c r="AA1791" s="195">
        <f t="shared" ca="1" si="386"/>
        <v>2310508.2863611397</v>
      </c>
      <c r="AB1791" s="195">
        <f t="shared" ca="1" si="387"/>
        <v>2310508.2863611397</v>
      </c>
      <c r="AD1791" s="196">
        <f>IFERROR($G1791/SUMIF($A:$A,$A1791,$G:$G)*SUMIF(Summary!$A$166:$A$242,$A1791,Summary!$P$166:$P$242),0)</f>
        <v>665139.83821107296</v>
      </c>
      <c r="AE1791" s="197">
        <f t="shared" ca="1" si="388"/>
        <v>1645368.4481500667</v>
      </c>
      <c r="AF1791" s="196">
        <f>IFERROR(G1791/SUMIF(A:A,A1791,G:G)*SUMIF(Summary!$A$166:$A$242,'Operations Support'!A1791,Summary!$Q$166:$Q$242),0)</f>
        <v>666551.98302960675</v>
      </c>
      <c r="AG1791" s="196">
        <f t="shared" ca="1" si="389"/>
        <v>1643956.303331533</v>
      </c>
      <c r="AI1791" s="196">
        <f>IFERROR($G1791/SUMIF($A:$A,$A1791,$G:$G)*SUMIF(Summary!$A$247:$A$283,$A1791,Summary!$P$247:$P$283),0)</f>
        <v>121304.90811005881</v>
      </c>
      <c r="AJ1791" s="196">
        <f>IFERROR($G1791/SUMIF($A:$A,$A1791,$G:$G)*(SUMIF(Summary!$A$247:$A$283,$A1791,Summary!$L$247:$L$283)+SUMIF(Summary!$A$297:$A$333,$A1791,Summary!$L$297:$L$333))-AI1791,0)</f>
        <v>434747.41598879808</v>
      </c>
      <c r="AK1791" s="196">
        <f>IFERROR($G1791/SUMIF($A:$A,$A1791,$G:$G)*SUMIF(Summary!$A$247:$A$283,$A1791,Summary!$Q$247:$Q$283),0)</f>
        <v>121562.44808527826</v>
      </c>
      <c r="AL1791" s="196">
        <f>IFERROR($G1791/SUMIF($A:$A,$A1791,$G:$G)*(SUMIF(Summary!$A$247:$A$283,$A1791,Summary!$L$247:$L$283)+SUMIF(Summary!$A$297:$A$333,$A1791,Summary!$L$297:$L$333))-AK1791,0)</f>
        <v>434489.87601357861</v>
      </c>
      <c r="AM1791" s="198"/>
      <c r="AN1791" s="196">
        <f t="shared" ca="1" si="390"/>
        <v>2080115.8641388647</v>
      </c>
      <c r="AO1791" s="196">
        <f t="shared" ca="1" si="391"/>
        <v>2078446.1793451116</v>
      </c>
    </row>
    <row r="1792" spans="1:41">
      <c r="A1792" s="189">
        <v>3646</v>
      </c>
      <c r="B1792" s="190">
        <v>1</v>
      </c>
      <c r="C1792" s="191" t="s">
        <v>222</v>
      </c>
      <c r="D1792" s="192">
        <f t="shared" si="378"/>
        <v>3228</v>
      </c>
      <c r="E1792" s="192">
        <f t="shared" si="379"/>
        <v>6237</v>
      </c>
      <c r="F1792" s="192">
        <f t="shared" si="380"/>
        <v>0</v>
      </c>
      <c r="G1792" s="193">
        <f t="shared" si="381"/>
        <v>9465</v>
      </c>
      <c r="H1792" s="194">
        <v>1379</v>
      </c>
      <c r="I1792" s="194">
        <v>2868</v>
      </c>
      <c r="J1792" s="194">
        <v>0</v>
      </c>
      <c r="K1792" s="193">
        <f t="shared" si="382"/>
        <v>4247</v>
      </c>
      <c r="L1792" s="194">
        <v>1759</v>
      </c>
      <c r="M1792" s="194">
        <v>3225</v>
      </c>
      <c r="N1792" s="194">
        <v>0</v>
      </c>
      <c r="O1792" s="193">
        <f t="shared" si="383"/>
        <v>4984</v>
      </c>
      <c r="P1792" s="194">
        <v>90</v>
      </c>
      <c r="Q1792" s="194">
        <v>144</v>
      </c>
      <c r="R1792" s="194">
        <v>0</v>
      </c>
      <c r="S1792" s="193">
        <f t="shared" si="384"/>
        <v>234</v>
      </c>
      <c r="T1792" s="193">
        <f t="shared" si="385"/>
        <v>315.5</v>
      </c>
      <c r="U1792" s="193">
        <f ca="1">OFFSET('Expenditure Study'!$B$7,'Operations Support'!$C1792,'Operations Support'!$B1792)*$G1792</f>
        <v>12967.050000000001</v>
      </c>
      <c r="V1792" s="199">
        <f ca="1">U1792*'Expenditure Study'!$B$31</f>
        <v>766134.55959264003</v>
      </c>
      <c r="W1792" s="199">
        <f ca="1">IF(A1792=10298,1.51,1)*IF($B1792&lt;3,$D1792*'Expenditure Study'!$B$32*OFFSET('Expenditure Study'!$B$7,'Operations Support'!$C1792,'Operations Support'!$B1792),0)</f>
        <v>442.23600000000005</v>
      </c>
      <c r="X1792" s="200">
        <f ca="1">W1792*'Expenditure Study'!$B$31</f>
        <v>26128.709544268804</v>
      </c>
      <c r="Y1792" s="199">
        <f ca="1">U1792*'Expenditure Study'!$B$31</f>
        <v>766134.55959264003</v>
      </c>
      <c r="Z1792" s="200">
        <f ca="1">W1792*'Expenditure Study'!$B$31</f>
        <v>26128.709544268804</v>
      </c>
      <c r="AA1792" s="195">
        <f t="shared" ca="1" si="386"/>
        <v>792263.26913690881</v>
      </c>
      <c r="AB1792" s="195">
        <f t="shared" ca="1" si="387"/>
        <v>792263.26913690881</v>
      </c>
      <c r="AD1792" s="196">
        <f>IFERROR($G1792/SUMIF($A:$A,$A1792,$G:$G)*SUMIF(Summary!$A$166:$A$242,$A1792,Summary!$P$166:$P$242),0)</f>
        <v>222253.35623341822</v>
      </c>
      <c r="AE1792" s="197">
        <f t="shared" ca="1" si="388"/>
        <v>570009.91290349059</v>
      </c>
      <c r="AF1792" s="196">
        <f>IFERROR(G1792/SUMIF(A:A,A1792,G:G)*SUMIF(Summary!$A$166:$A$242,'Operations Support'!A1792,Summary!$Q$166:$Q$242),0)</f>
        <v>222725.21779902661</v>
      </c>
      <c r="AG1792" s="196">
        <f t="shared" ca="1" si="389"/>
        <v>569538.05133788218</v>
      </c>
      <c r="AI1792" s="196">
        <f>IFERROR($G1792/SUMIF($A:$A,$A1792,$G:$G)*SUMIF(Summary!$A$247:$A$283,$A1792,Summary!$P$247:$P$283),0)</f>
        <v>40533.465906294805</v>
      </c>
      <c r="AJ1792" s="196">
        <f>IFERROR($G1792/SUMIF($A:$A,$A1792,$G:$G)*(SUMIF(Summary!$A$247:$A$283,$A1792,Summary!$L$247:$L$283)+SUMIF(Summary!$A$297:$A$333,$A1792,Summary!$L$297:$L$333))-AI1792,0)</f>
        <v>145268.80930360703</v>
      </c>
      <c r="AK1792" s="196">
        <f>IFERROR($G1792/SUMIF($A:$A,$A1792,$G:$G)*SUMIF(Summary!$A$247:$A$283,$A1792,Summary!$Q$247:$Q$283),0)</f>
        <v>40619.521680687656</v>
      </c>
      <c r="AL1792" s="196">
        <f>IFERROR($G1792/SUMIF($A:$A,$A1792,$G:$G)*(SUMIF(Summary!$A$247:$A$283,$A1792,Summary!$L$247:$L$283)+SUMIF(Summary!$A$297:$A$333,$A1792,Summary!$L$297:$L$333))-AK1792,0)</f>
        <v>145182.75352921418</v>
      </c>
      <c r="AM1792" s="198"/>
      <c r="AN1792" s="196">
        <f t="shared" ca="1" si="390"/>
        <v>715278.72220709757</v>
      </c>
      <c r="AO1792" s="196">
        <f t="shared" ca="1" si="391"/>
        <v>714720.80486709636</v>
      </c>
    </row>
    <row r="1793" spans="1:41">
      <c r="A1793" s="189">
        <v>3646</v>
      </c>
      <c r="B1793" s="190">
        <v>1</v>
      </c>
      <c r="C1793" s="191" t="s">
        <v>223</v>
      </c>
      <c r="D1793" s="192">
        <f t="shared" si="378"/>
        <v>303</v>
      </c>
      <c r="E1793" s="192">
        <f t="shared" si="379"/>
        <v>2712</v>
      </c>
      <c r="F1793" s="192">
        <f t="shared" si="380"/>
        <v>0</v>
      </c>
      <c r="G1793" s="193">
        <f t="shared" si="381"/>
        <v>3015</v>
      </c>
      <c r="H1793" s="194">
        <v>63</v>
      </c>
      <c r="I1793" s="194">
        <v>1233</v>
      </c>
      <c r="J1793" s="194">
        <v>0</v>
      </c>
      <c r="K1793" s="193">
        <f t="shared" si="382"/>
        <v>1296</v>
      </c>
      <c r="L1793" s="194">
        <v>96</v>
      </c>
      <c r="M1793" s="194">
        <v>1041</v>
      </c>
      <c r="N1793" s="194">
        <v>0</v>
      </c>
      <c r="O1793" s="193">
        <f t="shared" si="383"/>
        <v>1137</v>
      </c>
      <c r="P1793" s="194">
        <v>144</v>
      </c>
      <c r="Q1793" s="194">
        <v>438</v>
      </c>
      <c r="R1793" s="194">
        <v>0</v>
      </c>
      <c r="S1793" s="193">
        <f t="shared" si="384"/>
        <v>582</v>
      </c>
      <c r="T1793" s="193">
        <f t="shared" si="385"/>
        <v>100.5</v>
      </c>
      <c r="U1793" s="193">
        <f ca="1">OFFSET('Expenditure Study'!$B$7,'Operations Support'!$C1793,'Operations Support'!$B1793)*$G1793</f>
        <v>3798.9</v>
      </c>
      <c r="V1793" s="199">
        <f ca="1">U1793*'Expenditure Study'!$B$31</f>
        <v>224451.09554112001</v>
      </c>
      <c r="W1793" s="199">
        <f ca="1">IF(A1793=10298,1.51,1)*IF($B1793&lt;3,$D1793*'Expenditure Study'!$B$32*OFFSET('Expenditure Study'!$B$7,'Operations Support'!$C1793,'Operations Support'!$B1793),0)</f>
        <v>38.178000000000004</v>
      </c>
      <c r="X1793" s="200">
        <f ca="1">W1793*'Expenditure Study'!$B$31</f>
        <v>2255.6776765824002</v>
      </c>
      <c r="Y1793" s="199">
        <f ca="1">U1793*'Expenditure Study'!$B$31</f>
        <v>224451.09554112001</v>
      </c>
      <c r="Z1793" s="200">
        <f ca="1">W1793*'Expenditure Study'!$B$31</f>
        <v>2255.6776765824002</v>
      </c>
      <c r="AA1793" s="195">
        <f t="shared" ca="1" si="386"/>
        <v>226706.7732177024</v>
      </c>
      <c r="AB1793" s="195">
        <f t="shared" ca="1" si="387"/>
        <v>226706.7732177024</v>
      </c>
      <c r="AD1793" s="196">
        <f>IFERROR($G1793/SUMIF($A:$A,$A1793,$G:$G)*SUMIF(Summary!$A$166:$A$242,$A1793,Summary!$P$166:$P$242),0)</f>
        <v>70797.027896857471</v>
      </c>
      <c r="AE1793" s="197">
        <f t="shared" ca="1" si="388"/>
        <v>155909.74532084493</v>
      </c>
      <c r="AF1793" s="196">
        <f>IFERROR(G1793/SUMIF(A:A,A1793,G:G)*SUMIF(Summary!$A$166:$A$242,'Operations Support'!A1793,Summary!$Q$166:$Q$242),0)</f>
        <v>70947.335622193888</v>
      </c>
      <c r="AG1793" s="196">
        <f t="shared" ca="1" si="389"/>
        <v>155759.43759550853</v>
      </c>
      <c r="AI1793" s="196">
        <f>IFERROR($G1793/SUMIF($A:$A,$A1793,$G:$G)*SUMIF(Summary!$A$247:$A$283,$A1793,Summary!$P$247:$P$283),0)</f>
        <v>12911.611168249216</v>
      </c>
      <c r="AJ1793" s="196">
        <f>IFERROR($G1793/SUMIF($A:$A,$A1793,$G:$G)*(SUMIF(Summary!$A$247:$A$283,$A1793,Summary!$L$247:$L$283)+SUMIF(Summary!$A$297:$A$333,$A1793,Summary!$L$297:$L$333))-AI1793,0)</f>
        <v>46274.216592749624</v>
      </c>
      <c r="AK1793" s="196">
        <f>IFERROR($G1793/SUMIF($A:$A,$A1793,$G:$G)*SUMIF(Summary!$A$247:$A$283,$A1793,Summary!$Q$247:$Q$283),0)</f>
        <v>12939.023546463104</v>
      </c>
      <c r="AL1793" s="196">
        <f>IFERROR($G1793/SUMIF($A:$A,$A1793,$G:$G)*(SUMIF(Summary!$A$247:$A$283,$A1793,Summary!$L$247:$L$283)+SUMIF(Summary!$A$297:$A$333,$A1793,Summary!$L$297:$L$333))-AK1793,0)</f>
        <v>46246.804214535739</v>
      </c>
      <c r="AM1793" s="198"/>
      <c r="AN1793" s="196">
        <f t="shared" ca="1" si="390"/>
        <v>202183.96191359457</v>
      </c>
      <c r="AO1793" s="196">
        <f t="shared" ca="1" si="391"/>
        <v>202006.24181004427</v>
      </c>
    </row>
    <row r="1794" spans="1:41">
      <c r="A1794" s="189">
        <v>3646</v>
      </c>
      <c r="B1794" s="190">
        <v>1</v>
      </c>
      <c r="C1794" s="191" t="s">
        <v>224</v>
      </c>
      <c r="D1794" s="192">
        <f t="shared" si="378"/>
        <v>87</v>
      </c>
      <c r="E1794" s="192">
        <f t="shared" si="379"/>
        <v>303</v>
      </c>
      <c r="F1794" s="192">
        <f t="shared" si="380"/>
        <v>0</v>
      </c>
      <c r="G1794" s="193">
        <f t="shared" si="381"/>
        <v>390</v>
      </c>
      <c r="H1794" s="194">
        <v>36</v>
      </c>
      <c r="I1794" s="194">
        <v>105</v>
      </c>
      <c r="J1794" s="194">
        <v>0</v>
      </c>
      <c r="K1794" s="193">
        <f t="shared" si="382"/>
        <v>141</v>
      </c>
      <c r="L1794" s="194">
        <v>51</v>
      </c>
      <c r="M1794" s="194">
        <v>198</v>
      </c>
      <c r="N1794" s="194">
        <v>0</v>
      </c>
      <c r="O1794" s="193">
        <f t="shared" si="383"/>
        <v>249</v>
      </c>
      <c r="P1794" s="194">
        <v>0</v>
      </c>
      <c r="Q1794" s="194">
        <v>0</v>
      </c>
      <c r="R1794" s="194">
        <v>0</v>
      </c>
      <c r="S1794" s="193">
        <f t="shared" si="384"/>
        <v>0</v>
      </c>
      <c r="T1794" s="193">
        <f t="shared" si="385"/>
        <v>13</v>
      </c>
      <c r="U1794" s="193">
        <f ca="1">OFFSET('Expenditure Study'!$B$7,'Operations Support'!$C1794,'Operations Support'!$B1794)*$G1794</f>
        <v>577.20000000000005</v>
      </c>
      <c r="V1794" s="199">
        <f ca="1">U1794*'Expenditure Study'!$B$31</f>
        <v>34102.811957760001</v>
      </c>
      <c r="W1794" s="199">
        <f ca="1">IF(A1794=10298,1.51,1)*IF($B1794&lt;3,$D1794*'Expenditure Study'!$B$32*OFFSET('Expenditure Study'!$B$7,'Operations Support'!$C1794,'Operations Support'!$B1794),0)</f>
        <v>12.876000000000001</v>
      </c>
      <c r="X1794" s="200">
        <f ca="1">W1794*'Expenditure Study'!$B$31</f>
        <v>760.75503598080013</v>
      </c>
      <c r="Y1794" s="199">
        <f ca="1">U1794*'Expenditure Study'!$B$31</f>
        <v>34102.811957760001</v>
      </c>
      <c r="Z1794" s="200">
        <f ca="1">W1794*'Expenditure Study'!$B$31</f>
        <v>760.75503598080013</v>
      </c>
      <c r="AA1794" s="195">
        <f t="shared" ca="1" si="386"/>
        <v>34863.566993740802</v>
      </c>
      <c r="AB1794" s="195">
        <f t="shared" ca="1" si="387"/>
        <v>34863.566993740802</v>
      </c>
      <c r="AD1794" s="196">
        <f>IFERROR($G1794/SUMIF($A:$A,$A1794,$G:$G)*SUMIF(Summary!$A$166:$A$242,$A1794,Summary!$P$166:$P$242),0)</f>
        <v>9157.8245040711154</v>
      </c>
      <c r="AE1794" s="197">
        <f t="shared" ca="1" si="388"/>
        <v>25705.742489669687</v>
      </c>
      <c r="AF1794" s="196">
        <f>IFERROR(G1794/SUMIF(A:A,A1794,G:G)*SUMIF(Summary!$A$166:$A$242,'Operations Support'!A1794,Summary!$Q$166:$Q$242),0)</f>
        <v>9177.2672944131409</v>
      </c>
      <c r="AG1794" s="196">
        <f t="shared" ca="1" si="389"/>
        <v>25686.299699327661</v>
      </c>
      <c r="AI1794" s="196">
        <f>IFERROR($G1794/SUMIF($A:$A,$A1794,$G:$G)*SUMIF(Summary!$A$247:$A$283,$A1794,Summary!$P$247:$P$283),0)</f>
        <v>1670.1586585795005</v>
      </c>
      <c r="AJ1794" s="196">
        <f>IFERROR($G1794/SUMIF($A:$A,$A1794,$G:$G)*(SUMIF(Summary!$A$247:$A$283,$A1794,Summary!$L$247:$L$283)+SUMIF(Summary!$A$297:$A$333,$A1794,Summary!$L$297:$L$333))-AI1794,0)</f>
        <v>5985.7195592611461</v>
      </c>
      <c r="AK1794" s="196">
        <f>IFERROR($G1794/SUMIF($A:$A,$A1794,$G:$G)*SUMIF(Summary!$A$247:$A$283,$A1794,Summary!$Q$247:$Q$283),0)</f>
        <v>1673.7045383484613</v>
      </c>
      <c r="AL1794" s="196">
        <f>IFERROR($G1794/SUMIF($A:$A,$A1794,$G:$G)*(SUMIF(Summary!$A$247:$A$283,$A1794,Summary!$L$247:$L$283)+SUMIF(Summary!$A$297:$A$333,$A1794,Summary!$L$297:$L$333))-AK1794,0)</f>
        <v>5982.1736794921853</v>
      </c>
      <c r="AM1794" s="198"/>
      <c r="AN1794" s="196">
        <f t="shared" ca="1" si="390"/>
        <v>31691.462048930833</v>
      </c>
      <c r="AO1794" s="196">
        <f t="shared" ca="1" si="391"/>
        <v>31668.473378819846</v>
      </c>
    </row>
    <row r="1795" spans="1:41">
      <c r="A1795" s="189">
        <v>3646</v>
      </c>
      <c r="B1795" s="190">
        <v>1</v>
      </c>
      <c r="C1795" s="191" t="s">
        <v>225</v>
      </c>
      <c r="D1795" s="192">
        <f t="shared" si="378"/>
        <v>504</v>
      </c>
      <c r="E1795" s="192">
        <f t="shared" si="379"/>
        <v>560</v>
      </c>
      <c r="F1795" s="192">
        <f t="shared" si="380"/>
        <v>0</v>
      </c>
      <c r="G1795" s="193">
        <f t="shared" si="381"/>
        <v>1064</v>
      </c>
      <c r="H1795" s="194">
        <v>390</v>
      </c>
      <c r="I1795" s="194">
        <v>121</v>
      </c>
      <c r="J1795" s="194">
        <v>0</v>
      </c>
      <c r="K1795" s="193">
        <f t="shared" si="382"/>
        <v>511</v>
      </c>
      <c r="L1795" s="194">
        <v>63</v>
      </c>
      <c r="M1795" s="194">
        <v>346</v>
      </c>
      <c r="N1795" s="194">
        <v>0</v>
      </c>
      <c r="O1795" s="193">
        <f t="shared" si="383"/>
        <v>409</v>
      </c>
      <c r="P1795" s="194">
        <v>51</v>
      </c>
      <c r="Q1795" s="194">
        <v>93</v>
      </c>
      <c r="R1795" s="194">
        <v>0</v>
      </c>
      <c r="S1795" s="193">
        <f t="shared" si="384"/>
        <v>144</v>
      </c>
      <c r="T1795" s="193">
        <f t="shared" si="385"/>
        <v>35.466666666666669</v>
      </c>
      <c r="U1795" s="193">
        <f ca="1">OFFSET('Expenditure Study'!$B$7,'Operations Support'!$C1795,'Operations Support'!$B1795)*$G1795</f>
        <v>1872.64</v>
      </c>
      <c r="V1795" s="199">
        <f ca="1">U1795*'Expenditure Study'!$B$31</f>
        <v>110641.527693312</v>
      </c>
      <c r="W1795" s="199">
        <f ca="1">IF(A1795=10298,1.51,1)*IF($B1795&lt;3,$D1795*'Expenditure Study'!$B$32*OFFSET('Expenditure Study'!$B$7,'Operations Support'!$C1795,'Operations Support'!$B1795),0)</f>
        <v>88.704000000000008</v>
      </c>
      <c r="X1795" s="200">
        <f ca="1">W1795*'Expenditure Study'!$B$31</f>
        <v>5240.9144696832009</v>
      </c>
      <c r="Y1795" s="199">
        <f ca="1">U1795*'Expenditure Study'!$B$31</f>
        <v>110641.527693312</v>
      </c>
      <c r="Z1795" s="200">
        <f ca="1">W1795*'Expenditure Study'!$B$31</f>
        <v>5240.9144696832009</v>
      </c>
      <c r="AA1795" s="195">
        <f t="shared" ca="1" si="386"/>
        <v>115882.4421629952</v>
      </c>
      <c r="AB1795" s="195">
        <f t="shared" ca="1" si="387"/>
        <v>115882.4421629952</v>
      </c>
      <c r="AD1795" s="196">
        <f>IFERROR($G1795/SUMIF($A:$A,$A1795,$G:$G)*SUMIF(Summary!$A$166:$A$242,$A1795,Summary!$P$166:$P$242),0)</f>
        <v>24984.423775209405</v>
      </c>
      <c r="AE1795" s="197">
        <f t="shared" ca="1" si="388"/>
        <v>90898.018387785793</v>
      </c>
      <c r="AF1795" s="196">
        <f>IFERROR(G1795/SUMIF(A:A,A1795,G:G)*SUMIF(Summary!$A$166:$A$242,'Operations Support'!A1795,Summary!$Q$166:$Q$242),0)</f>
        <v>25037.467695527135</v>
      </c>
      <c r="AG1795" s="196">
        <f t="shared" ca="1" si="389"/>
        <v>90844.97446746807</v>
      </c>
      <c r="AI1795" s="196">
        <f>IFERROR($G1795/SUMIF($A:$A,$A1795,$G:$G)*SUMIF(Summary!$A$247:$A$283,$A1795,Summary!$P$247:$P$283),0)</f>
        <v>4556.5354172527914</v>
      </c>
      <c r="AJ1795" s="196">
        <f>IFERROR($G1795/SUMIF($A:$A,$A1795,$G:$G)*(SUMIF(Summary!$A$247:$A$283,$A1795,Summary!$L$247:$L$283)+SUMIF(Summary!$A$297:$A$333,$A1795,Summary!$L$297:$L$333))-AI1795,0)</f>
        <v>16330.270797574001</v>
      </c>
      <c r="AK1795" s="196">
        <f>IFERROR($G1795/SUMIF($A:$A,$A1795,$G:$G)*SUMIF(Summary!$A$247:$A$283,$A1795,Summary!$Q$247:$Q$283),0)</f>
        <v>4566.2093046224691</v>
      </c>
      <c r="AL1795" s="196">
        <f>IFERROR($G1795/SUMIF($A:$A,$A1795,$G:$G)*(SUMIF(Summary!$A$247:$A$283,$A1795,Summary!$L$247:$L$283)+SUMIF(Summary!$A$297:$A$333,$A1795,Summary!$L$297:$L$333))-AK1795,0)</f>
        <v>16320.596910204324</v>
      </c>
      <c r="AM1795" s="198"/>
      <c r="AN1795" s="196">
        <f t="shared" ca="1" si="390"/>
        <v>107228.2891853598</v>
      </c>
      <c r="AO1795" s="196">
        <f t="shared" ca="1" si="391"/>
        <v>107165.5713776724</v>
      </c>
    </row>
    <row r="1796" spans="1:41">
      <c r="A1796" s="189">
        <v>3646</v>
      </c>
      <c r="B1796" s="190">
        <v>1</v>
      </c>
      <c r="C1796" s="191" t="s">
        <v>226</v>
      </c>
      <c r="D1796" s="192">
        <f t="shared" si="378"/>
        <v>1379</v>
      </c>
      <c r="E1796" s="192">
        <f t="shared" si="379"/>
        <v>2397</v>
      </c>
      <c r="F1796" s="192">
        <f t="shared" si="380"/>
        <v>0</v>
      </c>
      <c r="G1796" s="193">
        <f t="shared" si="381"/>
        <v>3776</v>
      </c>
      <c r="H1796" s="194">
        <v>512</v>
      </c>
      <c r="I1796" s="194">
        <v>861</v>
      </c>
      <c r="J1796" s="194">
        <v>0</v>
      </c>
      <c r="K1796" s="193">
        <f t="shared" si="382"/>
        <v>1373</v>
      </c>
      <c r="L1796" s="194">
        <v>606</v>
      </c>
      <c r="M1796" s="194">
        <v>1293</v>
      </c>
      <c r="N1796" s="194">
        <v>0</v>
      </c>
      <c r="O1796" s="193">
        <f t="shared" si="383"/>
        <v>1899</v>
      </c>
      <c r="P1796" s="194">
        <v>261</v>
      </c>
      <c r="Q1796" s="194">
        <v>243</v>
      </c>
      <c r="R1796" s="194">
        <v>0</v>
      </c>
      <c r="S1796" s="193">
        <f t="shared" si="384"/>
        <v>504</v>
      </c>
      <c r="T1796" s="193">
        <f t="shared" si="385"/>
        <v>125.86666666666666</v>
      </c>
      <c r="U1796" s="193">
        <f ca="1">OFFSET('Expenditure Study'!$B$7,'Operations Support'!$C1796,'Operations Support'!$B1796)*$G1796</f>
        <v>3587.2</v>
      </c>
      <c r="V1796" s="199">
        <f ca="1">U1796*'Expenditure Study'!$B$31</f>
        <v>211943.18616575998</v>
      </c>
      <c r="W1796" s="199">
        <f ca="1">IF(A1796=10298,1.51,1)*IF($B1796&lt;3,$D1796*'Expenditure Study'!$B$32*OFFSET('Expenditure Study'!$B$7,'Operations Support'!$C1796,'Operations Support'!$B1796),0)</f>
        <v>131.005</v>
      </c>
      <c r="X1796" s="200">
        <f ca="1">W1796*'Expenditure Study'!$B$31</f>
        <v>7740.192100704</v>
      </c>
      <c r="Y1796" s="199">
        <f ca="1">U1796*'Expenditure Study'!$B$31</f>
        <v>211943.18616575998</v>
      </c>
      <c r="Z1796" s="200">
        <f ca="1">W1796*'Expenditure Study'!$B$31</f>
        <v>7740.192100704</v>
      </c>
      <c r="AA1796" s="195">
        <f t="shared" ca="1" si="386"/>
        <v>219683.37826646399</v>
      </c>
      <c r="AB1796" s="195">
        <f t="shared" ca="1" si="387"/>
        <v>219683.37826646399</v>
      </c>
      <c r="AD1796" s="196">
        <f>IFERROR($G1796/SUMIF($A:$A,$A1796,$G:$G)*SUMIF(Summary!$A$166:$A$242,$A1796,Summary!$P$166:$P$242),0)</f>
        <v>88666.526480442393</v>
      </c>
      <c r="AE1796" s="197">
        <f t="shared" ca="1" si="388"/>
        <v>131016.85178602159</v>
      </c>
      <c r="AF1796" s="196">
        <f>IFERROR(G1796/SUMIF(A:A,A1796,G:G)*SUMIF(Summary!$A$166:$A$242,'Operations Support'!A1796,Summary!$Q$166:$Q$242),0)</f>
        <v>88854.772573600043</v>
      </c>
      <c r="AG1796" s="196">
        <f t="shared" ca="1" si="389"/>
        <v>130828.60569286394</v>
      </c>
      <c r="AI1796" s="196">
        <f>IFERROR($G1796/SUMIF($A:$A,$A1796,$G:$G)*SUMIF(Summary!$A$247:$A$283,$A1796,Summary!$P$247:$P$283),0)</f>
        <v>16170.561781528702</v>
      </c>
      <c r="AJ1796" s="196">
        <f>IFERROR($G1796/SUMIF($A:$A,$A1796,$G:$G)*(SUMIF(Summary!$A$247:$A$283,$A1796,Summary!$L$247:$L$283)+SUMIF(Summary!$A$297:$A$333,$A1796,Summary!$L$297:$L$333))-AI1796,0)</f>
        <v>57954.043732743819</v>
      </c>
      <c r="AK1796" s="196">
        <f>IFERROR($G1796/SUMIF($A:$A,$A1796,$G:$G)*SUMIF(Summary!$A$247:$A$283,$A1796,Summary!$Q$247:$Q$283),0)</f>
        <v>16204.893171291769</v>
      </c>
      <c r="AL1796" s="196">
        <f>IFERROR($G1796/SUMIF($A:$A,$A1796,$G:$G)*(SUMIF(Summary!$A$247:$A$283,$A1796,Summary!$L$247:$L$283)+SUMIF(Summary!$A$297:$A$333,$A1796,Summary!$L$297:$L$333))-AK1796,0)</f>
        <v>57919.712342980754</v>
      </c>
      <c r="AM1796" s="198"/>
      <c r="AN1796" s="196">
        <f t="shared" ca="1" si="390"/>
        <v>188970.89551876541</v>
      </c>
      <c r="AO1796" s="196">
        <f t="shared" ca="1" si="391"/>
        <v>188748.31803584471</v>
      </c>
    </row>
    <row r="1797" spans="1:41">
      <c r="A1797" s="189">
        <v>3646</v>
      </c>
      <c r="B1797" s="190">
        <v>1</v>
      </c>
      <c r="C1797" s="191" t="s">
        <v>227</v>
      </c>
      <c r="D1797" s="192">
        <f t="shared" ref="D1797:D1860" si="392">H1797+L1797+P1797</f>
        <v>0</v>
      </c>
      <c r="E1797" s="192">
        <f t="shared" ref="E1797:E1860" si="393">I1797+M1797+Q1797</f>
        <v>0</v>
      </c>
      <c r="F1797" s="192">
        <f t="shared" ref="F1797:F1860" si="394">J1797+N1797+R1797</f>
        <v>0</v>
      </c>
      <c r="G1797" s="193">
        <f t="shared" ref="G1797:G1860" si="395">(SUM(D1797:E1797)-F1797)*IF(A1797=10298,1.51,1)</f>
        <v>0</v>
      </c>
      <c r="H1797" s="194">
        <v>0</v>
      </c>
      <c r="I1797" s="194">
        <v>0</v>
      </c>
      <c r="J1797" s="194">
        <v>0</v>
      </c>
      <c r="K1797" s="193">
        <f t="shared" ref="K1797:K1860" si="396">SUM(H1797:I1797)-J1797</f>
        <v>0</v>
      </c>
      <c r="L1797" s="194">
        <v>0</v>
      </c>
      <c r="M1797" s="194">
        <v>0</v>
      </c>
      <c r="N1797" s="194">
        <v>0</v>
      </c>
      <c r="O1797" s="193">
        <f t="shared" ref="O1797:O1860" si="397">SUM(L1797:M1797)-N1797</f>
        <v>0</v>
      </c>
      <c r="P1797" s="194">
        <v>0</v>
      </c>
      <c r="Q1797" s="194">
        <v>0</v>
      </c>
      <c r="R1797" s="194">
        <v>0</v>
      </c>
      <c r="S1797" s="193">
        <f t="shared" ref="S1797:S1860" si="398">SUM(P1797:Q1797)-R1797</f>
        <v>0</v>
      </c>
      <c r="T1797" s="193">
        <f t="shared" ref="T1797:T1860" si="399">IF(OR(B1797=1,B1797=2),G1797/30,IF(OR(B1797=3,B1797=5),G1797/24,IF(B1797=4,G1797/18,0)))</f>
        <v>0</v>
      </c>
      <c r="U1797" s="193">
        <f ca="1">OFFSET('Expenditure Study'!$B$7,'Operations Support'!$C1797,'Operations Support'!$B1797)*$G1797</f>
        <v>0</v>
      </c>
      <c r="V1797" s="199">
        <f ca="1">U1797*'Expenditure Study'!$B$31</f>
        <v>0</v>
      </c>
      <c r="W1797" s="199">
        <f ca="1">IF(A1797=10298,1.51,1)*IF($B1797&lt;3,$D1797*'Expenditure Study'!$B$32*OFFSET('Expenditure Study'!$B$7,'Operations Support'!$C1797,'Operations Support'!$B1797),0)</f>
        <v>0</v>
      </c>
      <c r="X1797" s="200">
        <f ca="1">W1797*'Expenditure Study'!$B$31</f>
        <v>0</v>
      </c>
      <c r="Y1797" s="199">
        <f ca="1">U1797*'Expenditure Study'!$B$31</f>
        <v>0</v>
      </c>
      <c r="Z1797" s="200">
        <f ca="1">W1797*'Expenditure Study'!$B$31</f>
        <v>0</v>
      </c>
      <c r="AA1797" s="195">
        <f t="shared" ref="AA1797:AA1860" ca="1" si="400">V1797+X1797</f>
        <v>0</v>
      </c>
      <c r="AB1797" s="195">
        <f t="shared" ref="AB1797:AB1860" ca="1" si="401">Y1797+Z1797</f>
        <v>0</v>
      </c>
      <c r="AD1797" s="196">
        <f>IFERROR($G1797/SUMIF($A:$A,$A1797,$G:$G)*SUMIF(Summary!$A$166:$A$242,$A1797,Summary!$P$166:$P$242),0)</f>
        <v>0</v>
      </c>
      <c r="AE1797" s="197">
        <f t="shared" ca="1" si="388"/>
        <v>0</v>
      </c>
      <c r="AF1797" s="196">
        <f>IFERROR(G1797/SUMIF(A:A,A1797,G:G)*SUMIF(Summary!$A$166:$A$242,'Operations Support'!A1797,Summary!$Q$166:$Q$242),0)</f>
        <v>0</v>
      </c>
      <c r="AG1797" s="196">
        <f t="shared" ca="1" si="389"/>
        <v>0</v>
      </c>
      <c r="AI1797" s="196">
        <f>IFERROR($G1797/SUMIF($A:$A,$A1797,$G:$G)*SUMIF(Summary!$A$247:$A$283,$A1797,Summary!$P$247:$P$283),0)</f>
        <v>0</v>
      </c>
      <c r="AJ1797" s="196">
        <f>IFERROR($G1797/SUMIF($A:$A,$A1797,$G:$G)*(SUMIF(Summary!$A$247:$A$283,$A1797,Summary!$L$247:$L$283)+SUMIF(Summary!$A$297:$A$333,$A1797,Summary!$L$297:$L$333))-AI1797,0)</f>
        <v>0</v>
      </c>
      <c r="AK1797" s="196">
        <f>IFERROR($G1797/SUMIF($A:$A,$A1797,$G:$G)*SUMIF(Summary!$A$247:$A$283,$A1797,Summary!$Q$247:$Q$283),0)</f>
        <v>0</v>
      </c>
      <c r="AL1797" s="196">
        <f>IFERROR($G1797/SUMIF($A:$A,$A1797,$G:$G)*(SUMIF(Summary!$A$247:$A$283,$A1797,Summary!$L$247:$L$283)+SUMIF(Summary!$A$297:$A$333,$A1797,Summary!$L$297:$L$333))-AK1797,0)</f>
        <v>0</v>
      </c>
      <c r="AM1797" s="198"/>
      <c r="AN1797" s="196">
        <f t="shared" ca="1" si="390"/>
        <v>0</v>
      </c>
      <c r="AO1797" s="196">
        <f t="shared" ca="1" si="391"/>
        <v>0</v>
      </c>
    </row>
    <row r="1798" spans="1:41">
      <c r="A1798" s="189">
        <v>3646</v>
      </c>
      <c r="B1798" s="190">
        <v>1</v>
      </c>
      <c r="C1798" s="191" t="s">
        <v>228</v>
      </c>
      <c r="D1798" s="192">
        <f t="shared" si="392"/>
        <v>25</v>
      </c>
      <c r="E1798" s="192">
        <f t="shared" si="393"/>
        <v>405</v>
      </c>
      <c r="F1798" s="192">
        <f t="shared" si="394"/>
        <v>0</v>
      </c>
      <c r="G1798" s="193">
        <f t="shared" si="395"/>
        <v>430</v>
      </c>
      <c r="H1798" s="194">
        <v>22</v>
      </c>
      <c r="I1798" s="194">
        <v>196</v>
      </c>
      <c r="J1798" s="194">
        <v>0</v>
      </c>
      <c r="K1798" s="193">
        <f t="shared" si="396"/>
        <v>218</v>
      </c>
      <c r="L1798" s="194">
        <v>0</v>
      </c>
      <c r="M1798" s="194">
        <v>209</v>
      </c>
      <c r="N1798" s="194">
        <v>0</v>
      </c>
      <c r="O1798" s="193">
        <f t="shared" si="397"/>
        <v>209</v>
      </c>
      <c r="P1798" s="194">
        <v>3</v>
      </c>
      <c r="Q1798" s="194">
        <v>0</v>
      </c>
      <c r="R1798" s="194">
        <v>0</v>
      </c>
      <c r="S1798" s="193">
        <f t="shared" si="398"/>
        <v>3</v>
      </c>
      <c r="T1798" s="193">
        <f t="shared" si="399"/>
        <v>14.333333333333334</v>
      </c>
      <c r="U1798" s="193">
        <f ca="1">OFFSET('Expenditure Study'!$B$7,'Operations Support'!$C1798,'Operations Support'!$B1798)*$G1798</f>
        <v>679.4</v>
      </c>
      <c r="V1798" s="199">
        <f ca="1">U1798*'Expenditure Study'!$B$31</f>
        <v>40141.11303552</v>
      </c>
      <c r="W1798" s="199">
        <f ca="1">IF(A1798=10298,1.51,1)*IF($B1798&lt;3,$D1798*'Expenditure Study'!$B$32*OFFSET('Expenditure Study'!$B$7,'Operations Support'!$C1798,'Operations Support'!$B1798),0)</f>
        <v>3.95</v>
      </c>
      <c r="X1798" s="200">
        <f ca="1">W1798*'Expenditure Study'!$B$31</f>
        <v>233.37856416000002</v>
      </c>
      <c r="Y1798" s="199">
        <f ca="1">U1798*'Expenditure Study'!$B$31</f>
        <v>40141.11303552</v>
      </c>
      <c r="Z1798" s="200">
        <f ca="1">W1798*'Expenditure Study'!$B$31</f>
        <v>233.37856416000002</v>
      </c>
      <c r="AA1798" s="195">
        <f t="shared" ca="1" si="400"/>
        <v>40374.491599679997</v>
      </c>
      <c r="AB1798" s="195">
        <f t="shared" ca="1" si="401"/>
        <v>40374.491599679997</v>
      </c>
      <c r="AD1798" s="196">
        <f>IFERROR($G1798/SUMIF($A:$A,$A1798,$G:$G)*SUMIF(Summary!$A$166:$A$242,$A1798,Summary!$P$166:$P$242),0)</f>
        <v>10097.088555770717</v>
      </c>
      <c r="AE1798" s="197">
        <f t="shared" ref="AE1798:AE1861" ca="1" si="402">V1798+X1798-AD1798</f>
        <v>30277.403043909282</v>
      </c>
      <c r="AF1798" s="196">
        <f>IFERROR(G1798/SUMIF(A:A,A1798,G:G)*SUMIF(Summary!$A$166:$A$242,'Operations Support'!A1798,Summary!$Q$166:$Q$242),0)</f>
        <v>10118.525478455515</v>
      </c>
      <c r="AG1798" s="196">
        <f t="shared" ref="AG1798:AG1861" ca="1" si="403">Y1798+Z1798-AF1798</f>
        <v>30255.966121224483</v>
      </c>
      <c r="AI1798" s="196">
        <f>IFERROR($G1798/SUMIF($A:$A,$A1798,$G:$G)*SUMIF(Summary!$A$247:$A$283,$A1798,Summary!$P$247:$P$283),0)</f>
        <v>1841.4569825363726</v>
      </c>
      <c r="AJ1798" s="196">
        <f>IFERROR($G1798/SUMIF($A:$A,$A1798,$G:$G)*(SUMIF(Summary!$A$247:$A$283,$A1798,Summary!$L$247:$L$283)+SUMIF(Summary!$A$297:$A$333,$A1798,Summary!$L$297:$L$333))-AI1798,0)</f>
        <v>6599.6395140571622</v>
      </c>
      <c r="AK1798" s="196">
        <f>IFERROR($G1798/SUMIF($A:$A,$A1798,$G:$G)*SUMIF(Summary!$A$247:$A$283,$A1798,Summary!$Q$247:$Q$283),0)</f>
        <v>1845.3665422816371</v>
      </c>
      <c r="AL1798" s="196">
        <f>IFERROR($G1798/SUMIF($A:$A,$A1798,$G:$G)*(SUMIF(Summary!$A$247:$A$283,$A1798,Summary!$L$247:$L$283)+SUMIF(Summary!$A$297:$A$333,$A1798,Summary!$L$297:$L$333))-AK1798,0)</f>
        <v>6595.729954311897</v>
      </c>
      <c r="AM1798" s="198"/>
      <c r="AN1798" s="196">
        <f t="shared" ref="AN1798:AN1861" ca="1" si="404">AE1798+AJ1798</f>
        <v>36877.042557966444</v>
      </c>
      <c r="AO1798" s="196">
        <f t="shared" ref="AO1798:AO1861" ca="1" si="405">AG1798+AL1798</f>
        <v>36851.696075536383</v>
      </c>
    </row>
    <row r="1799" spans="1:41">
      <c r="A1799" s="189">
        <v>3646</v>
      </c>
      <c r="B1799" s="190">
        <v>1</v>
      </c>
      <c r="C1799" s="191" t="s">
        <v>229</v>
      </c>
      <c r="D1799" s="192">
        <f t="shared" si="392"/>
        <v>0</v>
      </c>
      <c r="E1799" s="192">
        <f t="shared" si="393"/>
        <v>39</v>
      </c>
      <c r="F1799" s="192">
        <f t="shared" si="394"/>
        <v>0</v>
      </c>
      <c r="G1799" s="193">
        <f t="shared" si="395"/>
        <v>39</v>
      </c>
      <c r="H1799" s="194">
        <v>0</v>
      </c>
      <c r="I1799" s="194">
        <v>18</v>
      </c>
      <c r="J1799" s="194">
        <v>0</v>
      </c>
      <c r="K1799" s="193">
        <f t="shared" si="396"/>
        <v>18</v>
      </c>
      <c r="L1799" s="194">
        <v>0</v>
      </c>
      <c r="M1799" s="194">
        <v>21</v>
      </c>
      <c r="N1799" s="194">
        <v>0</v>
      </c>
      <c r="O1799" s="193">
        <f t="shared" si="397"/>
        <v>21</v>
      </c>
      <c r="P1799" s="194">
        <v>0</v>
      </c>
      <c r="Q1799" s="194">
        <v>0</v>
      </c>
      <c r="R1799" s="194">
        <v>0</v>
      </c>
      <c r="S1799" s="193">
        <f t="shared" si="398"/>
        <v>0</v>
      </c>
      <c r="T1799" s="193">
        <f t="shared" si="399"/>
        <v>1.3</v>
      </c>
      <c r="U1799" s="193">
        <f ca="1">OFFSET('Expenditure Study'!$B$7,'Operations Support'!$C1799,'Operations Support'!$B1799)*$G1799</f>
        <v>129.87</v>
      </c>
      <c r="V1799" s="199">
        <f ca="1">U1799*'Expenditure Study'!$B$31</f>
        <v>7673.1326904960006</v>
      </c>
      <c r="W1799" s="199">
        <f ca="1">IF(A1799=10298,1.51,1)*IF($B1799&lt;3,$D1799*'Expenditure Study'!$B$32*OFFSET('Expenditure Study'!$B$7,'Operations Support'!$C1799,'Operations Support'!$B1799),0)</f>
        <v>0</v>
      </c>
      <c r="X1799" s="200">
        <f ca="1">W1799*'Expenditure Study'!$B$31</f>
        <v>0</v>
      </c>
      <c r="Y1799" s="199">
        <f ca="1">U1799*'Expenditure Study'!$B$31</f>
        <v>7673.1326904960006</v>
      </c>
      <c r="Z1799" s="200">
        <f ca="1">W1799*'Expenditure Study'!$B$31</f>
        <v>0</v>
      </c>
      <c r="AA1799" s="195">
        <f t="shared" ca="1" si="400"/>
        <v>7673.1326904960006</v>
      </c>
      <c r="AB1799" s="195">
        <f t="shared" ca="1" si="401"/>
        <v>7673.1326904960006</v>
      </c>
      <c r="AD1799" s="196">
        <f>IFERROR($G1799/SUMIF($A:$A,$A1799,$G:$G)*SUMIF(Summary!$A$166:$A$242,$A1799,Summary!$P$166:$P$242),0)</f>
        <v>915.78245040711158</v>
      </c>
      <c r="AE1799" s="197">
        <f t="shared" ca="1" si="402"/>
        <v>6757.3502400888892</v>
      </c>
      <c r="AF1799" s="196">
        <f>IFERROR(G1799/SUMIF(A:A,A1799,G:G)*SUMIF(Summary!$A$166:$A$242,'Operations Support'!A1799,Summary!$Q$166:$Q$242),0)</f>
        <v>917.72672944131409</v>
      </c>
      <c r="AG1799" s="196">
        <f t="shared" ca="1" si="403"/>
        <v>6755.4059610546865</v>
      </c>
      <c r="AI1799" s="196">
        <f>IFERROR($G1799/SUMIF($A:$A,$A1799,$G:$G)*SUMIF(Summary!$A$247:$A$283,$A1799,Summary!$P$247:$P$283),0)</f>
        <v>167.01586585795008</v>
      </c>
      <c r="AJ1799" s="196">
        <f>IFERROR($G1799/SUMIF($A:$A,$A1799,$G:$G)*(SUMIF(Summary!$A$247:$A$283,$A1799,Summary!$L$247:$L$283)+SUMIF(Summary!$A$297:$A$333,$A1799,Summary!$L$297:$L$333))-AI1799,0)</f>
        <v>598.57195592611458</v>
      </c>
      <c r="AK1799" s="196">
        <f>IFERROR($G1799/SUMIF($A:$A,$A1799,$G:$G)*SUMIF(Summary!$A$247:$A$283,$A1799,Summary!$Q$247:$Q$283),0)</f>
        <v>167.37045383484616</v>
      </c>
      <c r="AL1799" s="196">
        <f>IFERROR($G1799/SUMIF($A:$A,$A1799,$G:$G)*(SUMIF(Summary!$A$247:$A$283,$A1799,Summary!$L$247:$L$283)+SUMIF(Summary!$A$297:$A$333,$A1799,Summary!$L$297:$L$333))-AK1799,0)</f>
        <v>598.21736794921844</v>
      </c>
      <c r="AM1799" s="198"/>
      <c r="AN1799" s="196">
        <f t="shared" ca="1" si="404"/>
        <v>7355.9221960150035</v>
      </c>
      <c r="AO1799" s="196">
        <f t="shared" ca="1" si="405"/>
        <v>7353.6233290039054</v>
      </c>
    </row>
    <row r="1800" spans="1:41">
      <c r="A1800" s="189">
        <v>3646</v>
      </c>
      <c r="B1800" s="190">
        <v>1</v>
      </c>
      <c r="C1800" s="191" t="s">
        <v>230</v>
      </c>
      <c r="D1800" s="192">
        <f t="shared" si="392"/>
        <v>0</v>
      </c>
      <c r="E1800" s="192">
        <f t="shared" si="393"/>
        <v>0</v>
      </c>
      <c r="F1800" s="192">
        <f t="shared" si="394"/>
        <v>0</v>
      </c>
      <c r="G1800" s="193">
        <f t="shared" si="395"/>
        <v>0</v>
      </c>
      <c r="H1800" s="194">
        <v>0</v>
      </c>
      <c r="I1800" s="194">
        <v>0</v>
      </c>
      <c r="J1800" s="194">
        <v>0</v>
      </c>
      <c r="K1800" s="193">
        <f t="shared" si="396"/>
        <v>0</v>
      </c>
      <c r="L1800" s="194">
        <v>0</v>
      </c>
      <c r="M1800" s="194">
        <v>0</v>
      </c>
      <c r="N1800" s="194">
        <v>0</v>
      </c>
      <c r="O1800" s="193">
        <f t="shared" si="397"/>
        <v>0</v>
      </c>
      <c r="P1800" s="194">
        <v>0</v>
      </c>
      <c r="Q1800" s="194">
        <v>0</v>
      </c>
      <c r="R1800" s="194">
        <v>0</v>
      </c>
      <c r="S1800" s="193">
        <f t="shared" si="398"/>
        <v>0</v>
      </c>
      <c r="T1800" s="193">
        <f t="shared" si="399"/>
        <v>0</v>
      </c>
      <c r="U1800" s="193">
        <f ca="1">OFFSET('Expenditure Study'!$B$7,'Operations Support'!$C1800,'Operations Support'!$B1800)*$G1800</f>
        <v>0</v>
      </c>
      <c r="V1800" s="199">
        <f ca="1">U1800*'Expenditure Study'!$B$31</f>
        <v>0</v>
      </c>
      <c r="W1800" s="199">
        <f ca="1">IF(A1800=10298,1.51,1)*IF($B1800&lt;3,$D1800*'Expenditure Study'!$B$32*OFFSET('Expenditure Study'!$B$7,'Operations Support'!$C1800,'Operations Support'!$B1800),0)</f>
        <v>0</v>
      </c>
      <c r="X1800" s="200">
        <f ca="1">W1800*'Expenditure Study'!$B$31</f>
        <v>0</v>
      </c>
      <c r="Y1800" s="199">
        <f ca="1">U1800*'Expenditure Study'!$B$31</f>
        <v>0</v>
      </c>
      <c r="Z1800" s="200">
        <f ca="1">W1800*'Expenditure Study'!$B$31</f>
        <v>0</v>
      </c>
      <c r="AA1800" s="195">
        <f t="shared" ca="1" si="400"/>
        <v>0</v>
      </c>
      <c r="AB1800" s="195">
        <f t="shared" ca="1" si="401"/>
        <v>0</v>
      </c>
      <c r="AD1800" s="196">
        <f>IFERROR($G1800/SUMIF($A:$A,$A1800,$G:$G)*SUMIF(Summary!$A$166:$A$242,$A1800,Summary!$P$166:$P$242),0)</f>
        <v>0</v>
      </c>
      <c r="AE1800" s="197">
        <f t="shared" ca="1" si="402"/>
        <v>0</v>
      </c>
      <c r="AF1800" s="196">
        <f>IFERROR(G1800/SUMIF(A:A,A1800,G:G)*SUMIF(Summary!$A$166:$A$242,'Operations Support'!A1800,Summary!$Q$166:$Q$242),0)</f>
        <v>0</v>
      </c>
      <c r="AG1800" s="196">
        <f t="shared" ca="1" si="403"/>
        <v>0</v>
      </c>
      <c r="AI1800" s="196">
        <f>IFERROR($G1800/SUMIF($A:$A,$A1800,$G:$G)*SUMIF(Summary!$A$247:$A$283,$A1800,Summary!$P$247:$P$283),0)</f>
        <v>0</v>
      </c>
      <c r="AJ1800" s="196">
        <f>IFERROR($G1800/SUMIF($A:$A,$A1800,$G:$G)*(SUMIF(Summary!$A$247:$A$283,$A1800,Summary!$L$247:$L$283)+SUMIF(Summary!$A$297:$A$333,$A1800,Summary!$L$297:$L$333))-AI1800,0)</f>
        <v>0</v>
      </c>
      <c r="AK1800" s="196">
        <f>IFERROR($G1800/SUMIF($A:$A,$A1800,$G:$G)*SUMIF(Summary!$A$247:$A$283,$A1800,Summary!$Q$247:$Q$283),0)</f>
        <v>0</v>
      </c>
      <c r="AL1800" s="196">
        <f>IFERROR($G1800/SUMIF($A:$A,$A1800,$G:$G)*(SUMIF(Summary!$A$247:$A$283,$A1800,Summary!$L$247:$L$283)+SUMIF(Summary!$A$297:$A$333,$A1800,Summary!$L$297:$L$333))-AK1800,0)</f>
        <v>0</v>
      </c>
      <c r="AM1800" s="198"/>
      <c r="AN1800" s="196">
        <f t="shared" ca="1" si="404"/>
        <v>0</v>
      </c>
      <c r="AO1800" s="196">
        <f t="shared" ca="1" si="405"/>
        <v>0</v>
      </c>
    </row>
    <row r="1801" spans="1:41">
      <c r="A1801" s="189">
        <v>3646</v>
      </c>
      <c r="B1801" s="190">
        <v>1</v>
      </c>
      <c r="C1801" s="191" t="s">
        <v>231</v>
      </c>
      <c r="D1801" s="192">
        <f t="shared" si="392"/>
        <v>0</v>
      </c>
      <c r="E1801" s="192">
        <f t="shared" si="393"/>
        <v>0</v>
      </c>
      <c r="F1801" s="192">
        <f t="shared" si="394"/>
        <v>0</v>
      </c>
      <c r="G1801" s="193">
        <f t="shared" si="395"/>
        <v>0</v>
      </c>
      <c r="H1801" s="194">
        <v>0</v>
      </c>
      <c r="I1801" s="194">
        <v>0</v>
      </c>
      <c r="J1801" s="194">
        <v>0</v>
      </c>
      <c r="K1801" s="193">
        <f t="shared" si="396"/>
        <v>0</v>
      </c>
      <c r="L1801" s="194">
        <v>0</v>
      </c>
      <c r="M1801" s="194">
        <v>0</v>
      </c>
      <c r="N1801" s="194">
        <v>0</v>
      </c>
      <c r="O1801" s="193">
        <f t="shared" si="397"/>
        <v>0</v>
      </c>
      <c r="P1801" s="194">
        <v>0</v>
      </c>
      <c r="Q1801" s="194">
        <v>0</v>
      </c>
      <c r="R1801" s="194">
        <v>0</v>
      </c>
      <c r="S1801" s="193">
        <f t="shared" si="398"/>
        <v>0</v>
      </c>
      <c r="T1801" s="193">
        <f t="shared" si="399"/>
        <v>0</v>
      </c>
      <c r="U1801" s="193">
        <f ca="1">OFFSET('Expenditure Study'!$B$7,'Operations Support'!$C1801,'Operations Support'!$B1801)*$G1801</f>
        <v>0</v>
      </c>
      <c r="V1801" s="199">
        <f ca="1">U1801*'Expenditure Study'!$B$31</f>
        <v>0</v>
      </c>
      <c r="W1801" s="199">
        <f ca="1">IF(A1801=10298,1.51,1)*IF($B1801&lt;3,$D1801*'Expenditure Study'!$B$32*OFFSET('Expenditure Study'!$B$7,'Operations Support'!$C1801,'Operations Support'!$B1801),0)</f>
        <v>0</v>
      </c>
      <c r="X1801" s="200">
        <f ca="1">W1801*'Expenditure Study'!$B$31</f>
        <v>0</v>
      </c>
      <c r="Y1801" s="199">
        <f ca="1">U1801*'Expenditure Study'!$B$31</f>
        <v>0</v>
      </c>
      <c r="Z1801" s="200">
        <f ca="1">W1801*'Expenditure Study'!$B$31</f>
        <v>0</v>
      </c>
      <c r="AA1801" s="195">
        <f t="shared" ca="1" si="400"/>
        <v>0</v>
      </c>
      <c r="AB1801" s="195">
        <f t="shared" ca="1" si="401"/>
        <v>0</v>
      </c>
      <c r="AD1801" s="196">
        <f>IFERROR($G1801/SUMIF($A:$A,$A1801,$G:$G)*SUMIF(Summary!$A$166:$A$242,$A1801,Summary!$P$166:$P$242),0)</f>
        <v>0</v>
      </c>
      <c r="AE1801" s="197">
        <f t="shared" ca="1" si="402"/>
        <v>0</v>
      </c>
      <c r="AF1801" s="196">
        <f>IFERROR(G1801/SUMIF(A:A,A1801,G:G)*SUMIF(Summary!$A$166:$A$242,'Operations Support'!A1801,Summary!$Q$166:$Q$242),0)</f>
        <v>0</v>
      </c>
      <c r="AG1801" s="196">
        <f t="shared" ca="1" si="403"/>
        <v>0</v>
      </c>
      <c r="AI1801" s="196">
        <f>IFERROR($G1801/SUMIF($A:$A,$A1801,$G:$G)*SUMIF(Summary!$A$247:$A$283,$A1801,Summary!$P$247:$P$283),0)</f>
        <v>0</v>
      </c>
      <c r="AJ1801" s="196">
        <f>IFERROR($G1801/SUMIF($A:$A,$A1801,$G:$G)*(SUMIF(Summary!$A$247:$A$283,$A1801,Summary!$L$247:$L$283)+SUMIF(Summary!$A$297:$A$333,$A1801,Summary!$L$297:$L$333))-AI1801,0)</f>
        <v>0</v>
      </c>
      <c r="AK1801" s="196">
        <f>IFERROR($G1801/SUMIF($A:$A,$A1801,$G:$G)*SUMIF(Summary!$A$247:$A$283,$A1801,Summary!$Q$247:$Q$283),0)</f>
        <v>0</v>
      </c>
      <c r="AL1801" s="196">
        <f>IFERROR($G1801/SUMIF($A:$A,$A1801,$G:$G)*(SUMIF(Summary!$A$247:$A$283,$A1801,Summary!$L$247:$L$283)+SUMIF(Summary!$A$297:$A$333,$A1801,Summary!$L$297:$L$333))-AK1801,0)</f>
        <v>0</v>
      </c>
      <c r="AM1801" s="198"/>
      <c r="AN1801" s="196">
        <f t="shared" ca="1" si="404"/>
        <v>0</v>
      </c>
      <c r="AO1801" s="196">
        <f t="shared" ca="1" si="405"/>
        <v>0</v>
      </c>
    </row>
    <row r="1802" spans="1:41" s="201" customFormat="1">
      <c r="A1802" s="189">
        <v>3646</v>
      </c>
      <c r="B1802" s="190">
        <v>1</v>
      </c>
      <c r="C1802" s="191" t="s">
        <v>232</v>
      </c>
      <c r="D1802" s="192">
        <f t="shared" si="392"/>
        <v>0</v>
      </c>
      <c r="E1802" s="192">
        <f t="shared" si="393"/>
        <v>0</v>
      </c>
      <c r="F1802" s="192">
        <f t="shared" si="394"/>
        <v>0</v>
      </c>
      <c r="G1802" s="193">
        <f t="shared" si="395"/>
        <v>0</v>
      </c>
      <c r="H1802" s="194">
        <v>0</v>
      </c>
      <c r="I1802" s="194">
        <v>0</v>
      </c>
      <c r="J1802" s="194">
        <v>0</v>
      </c>
      <c r="K1802" s="193">
        <f t="shared" si="396"/>
        <v>0</v>
      </c>
      <c r="L1802" s="194">
        <v>0</v>
      </c>
      <c r="M1802" s="194">
        <v>0</v>
      </c>
      <c r="N1802" s="194">
        <v>0</v>
      </c>
      <c r="O1802" s="193">
        <f t="shared" si="397"/>
        <v>0</v>
      </c>
      <c r="P1802" s="194">
        <v>0</v>
      </c>
      <c r="Q1802" s="194">
        <v>0</v>
      </c>
      <c r="R1802" s="194">
        <v>0</v>
      </c>
      <c r="S1802" s="193">
        <f t="shared" si="398"/>
        <v>0</v>
      </c>
      <c r="T1802" s="193">
        <f t="shared" si="399"/>
        <v>0</v>
      </c>
      <c r="U1802" s="193">
        <f ca="1">OFFSET('Expenditure Study'!$B$7,'Operations Support'!$C1802,'Operations Support'!$B1802)*$G1802</f>
        <v>0</v>
      </c>
      <c r="V1802" s="199">
        <f ca="1">U1802*'Expenditure Study'!$B$31</f>
        <v>0</v>
      </c>
      <c r="W1802" s="199">
        <f ca="1">IF(A1802=10298,1.51,1)*IF($B1802&lt;3,$D1802*'Expenditure Study'!$B$32*OFFSET('Expenditure Study'!$B$7,'Operations Support'!$C1802,'Operations Support'!$B1802),0)</f>
        <v>0</v>
      </c>
      <c r="X1802" s="200">
        <f ca="1">W1802*'Expenditure Study'!$B$31</f>
        <v>0</v>
      </c>
      <c r="Y1802" s="199">
        <f ca="1">U1802*'Expenditure Study'!$B$31</f>
        <v>0</v>
      </c>
      <c r="Z1802" s="200">
        <f ca="1">W1802*'Expenditure Study'!$B$31</f>
        <v>0</v>
      </c>
      <c r="AA1802" s="195">
        <f t="shared" ca="1" si="400"/>
        <v>0</v>
      </c>
      <c r="AB1802" s="195">
        <f t="shared" ca="1" si="401"/>
        <v>0</v>
      </c>
      <c r="AD1802" s="196">
        <f>IFERROR($G1802/SUMIF($A:$A,$A1802,$G:$G)*SUMIF(Summary!$A$166:$A$242,$A1802,Summary!$P$166:$P$242),0)</f>
        <v>0</v>
      </c>
      <c r="AE1802" s="197">
        <f t="shared" ca="1" si="402"/>
        <v>0</v>
      </c>
      <c r="AF1802" s="196">
        <f>IFERROR(G1802/SUMIF(A:A,A1802,G:G)*SUMIF(Summary!$A$166:$A$242,'Operations Support'!A1802,Summary!$Q$166:$Q$242),0)</f>
        <v>0</v>
      </c>
      <c r="AG1802" s="196">
        <f t="shared" ca="1" si="403"/>
        <v>0</v>
      </c>
      <c r="AH1802" s="180"/>
      <c r="AI1802" s="196">
        <f>IFERROR($G1802/SUMIF($A:$A,$A1802,$G:$G)*SUMIF(Summary!$A$247:$A$283,$A1802,Summary!$P$247:$P$283),0)</f>
        <v>0</v>
      </c>
      <c r="AJ1802" s="196">
        <f>IFERROR($G1802/SUMIF($A:$A,$A1802,$G:$G)*(SUMIF(Summary!$A$247:$A$283,$A1802,Summary!$L$247:$L$283)+SUMIF(Summary!$A$297:$A$333,$A1802,Summary!$L$297:$L$333))-AI1802,0)</f>
        <v>0</v>
      </c>
      <c r="AK1802" s="196">
        <f>IFERROR($G1802/SUMIF($A:$A,$A1802,$G:$G)*SUMIF(Summary!$A$247:$A$283,$A1802,Summary!$Q$247:$Q$283),0)</f>
        <v>0</v>
      </c>
      <c r="AL1802" s="196">
        <f>IFERROR($G1802/SUMIF($A:$A,$A1802,$G:$G)*(SUMIF(Summary!$A$247:$A$283,$A1802,Summary!$L$247:$L$283)+SUMIF(Summary!$A$297:$A$333,$A1802,Summary!$L$297:$L$333))-AK1802,0)</f>
        <v>0</v>
      </c>
      <c r="AM1802" s="198"/>
      <c r="AN1802" s="196">
        <f t="shared" ca="1" si="404"/>
        <v>0</v>
      </c>
      <c r="AO1802" s="196">
        <f t="shared" ca="1" si="405"/>
        <v>0</v>
      </c>
    </row>
    <row r="1803" spans="1:41">
      <c r="A1803" s="189">
        <v>3646</v>
      </c>
      <c r="B1803" s="190">
        <v>1</v>
      </c>
      <c r="C1803" s="191" t="s">
        <v>233</v>
      </c>
      <c r="D1803" s="192">
        <f t="shared" si="392"/>
        <v>771</v>
      </c>
      <c r="E1803" s="192">
        <f t="shared" si="393"/>
        <v>2594</v>
      </c>
      <c r="F1803" s="192">
        <f t="shared" si="394"/>
        <v>0</v>
      </c>
      <c r="G1803" s="193">
        <f t="shared" si="395"/>
        <v>3365</v>
      </c>
      <c r="H1803" s="194">
        <v>245</v>
      </c>
      <c r="I1803" s="194">
        <v>1037</v>
      </c>
      <c r="J1803" s="194">
        <v>0</v>
      </c>
      <c r="K1803" s="193">
        <f t="shared" si="396"/>
        <v>1282</v>
      </c>
      <c r="L1803" s="194">
        <v>412</v>
      </c>
      <c r="M1803" s="194">
        <v>1174</v>
      </c>
      <c r="N1803" s="194">
        <v>0</v>
      </c>
      <c r="O1803" s="193">
        <f t="shared" si="397"/>
        <v>1586</v>
      </c>
      <c r="P1803" s="194">
        <v>114</v>
      </c>
      <c r="Q1803" s="194">
        <v>383</v>
      </c>
      <c r="R1803" s="194">
        <v>0</v>
      </c>
      <c r="S1803" s="193">
        <f t="shared" si="398"/>
        <v>497</v>
      </c>
      <c r="T1803" s="193">
        <f t="shared" si="399"/>
        <v>112.16666666666667</v>
      </c>
      <c r="U1803" s="193">
        <f ca="1">OFFSET('Expenditure Study'!$B$7,'Operations Support'!$C1803,'Operations Support'!$B1803)*$G1803</f>
        <v>3230.4</v>
      </c>
      <c r="V1803" s="199">
        <f ca="1">U1803*'Expenditure Study'!$B$31</f>
        <v>190862.30725632</v>
      </c>
      <c r="W1803" s="199">
        <f ca="1">IF(A1803=10298,1.51,1)*IF($B1803&lt;3,$D1803*'Expenditure Study'!$B$32*OFFSET('Expenditure Study'!$B$7,'Operations Support'!$C1803,'Operations Support'!$B1803),0)</f>
        <v>74.016000000000005</v>
      </c>
      <c r="X1803" s="200">
        <f ca="1">W1803*'Expenditure Study'!$B$31</f>
        <v>4373.1007100928</v>
      </c>
      <c r="Y1803" s="199">
        <f ca="1">U1803*'Expenditure Study'!$B$31</f>
        <v>190862.30725632</v>
      </c>
      <c r="Z1803" s="200">
        <f ca="1">W1803*'Expenditure Study'!$B$31</f>
        <v>4373.1007100928</v>
      </c>
      <c r="AA1803" s="195">
        <f t="shared" ca="1" si="400"/>
        <v>195235.40796641281</v>
      </c>
      <c r="AB1803" s="195">
        <f t="shared" ca="1" si="401"/>
        <v>195235.40796641281</v>
      </c>
      <c r="AD1803" s="196">
        <f>IFERROR($G1803/SUMIF($A:$A,$A1803,$G:$G)*SUMIF(Summary!$A$166:$A$242,$A1803,Summary!$P$166:$P$242),0)</f>
        <v>79015.588349228987</v>
      </c>
      <c r="AE1803" s="197">
        <f t="shared" ca="1" si="402"/>
        <v>116219.81961718382</v>
      </c>
      <c r="AF1803" s="196">
        <f>IFERROR(G1803/SUMIF(A:A,A1803,G:G)*SUMIF(Summary!$A$166:$A$242,'Operations Support'!A1803,Summary!$Q$166:$Q$242),0)</f>
        <v>79183.34473256467</v>
      </c>
      <c r="AG1803" s="196">
        <f t="shared" ca="1" si="403"/>
        <v>116052.06323384814</v>
      </c>
      <c r="AI1803" s="196">
        <f>IFERROR($G1803/SUMIF($A:$A,$A1803,$G:$G)*SUMIF(Summary!$A$247:$A$283,$A1803,Summary!$P$247:$P$283),0)</f>
        <v>14410.471502871846</v>
      </c>
      <c r="AJ1803" s="196">
        <f>IFERROR($G1803/SUMIF($A:$A,$A1803,$G:$G)*(SUMIF(Summary!$A$247:$A$283,$A1803,Summary!$L$247:$L$283)+SUMIF(Summary!$A$297:$A$333,$A1803,Summary!$L$297:$L$333))-AI1803,0)</f>
        <v>51646.016197214762</v>
      </c>
      <c r="AK1803" s="196">
        <f>IFERROR($G1803/SUMIF($A:$A,$A1803,$G:$G)*SUMIF(Summary!$A$247:$A$283,$A1803,Summary!$Q$247:$Q$283),0)</f>
        <v>14441.066080878392</v>
      </c>
      <c r="AL1803" s="196">
        <f>IFERROR($G1803/SUMIF($A:$A,$A1803,$G:$G)*(SUMIF(Summary!$A$247:$A$283,$A1803,Summary!$L$247:$L$283)+SUMIF(Summary!$A$297:$A$333,$A1803,Summary!$L$297:$L$333))-AK1803,0)</f>
        <v>51615.421619208217</v>
      </c>
      <c r="AM1803" s="198"/>
      <c r="AN1803" s="196">
        <f t="shared" ca="1" si="404"/>
        <v>167865.8358143986</v>
      </c>
      <c r="AO1803" s="196">
        <f t="shared" ca="1" si="405"/>
        <v>167667.48485305635</v>
      </c>
    </row>
    <row r="1804" spans="1:41">
      <c r="A1804" s="189">
        <v>3646</v>
      </c>
      <c r="B1804" s="190">
        <v>1</v>
      </c>
      <c r="C1804" s="191" t="s">
        <v>234</v>
      </c>
      <c r="D1804" s="192">
        <f t="shared" si="392"/>
        <v>0</v>
      </c>
      <c r="E1804" s="192">
        <f t="shared" si="393"/>
        <v>0</v>
      </c>
      <c r="F1804" s="192">
        <f t="shared" si="394"/>
        <v>0</v>
      </c>
      <c r="G1804" s="193">
        <f t="shared" si="395"/>
        <v>0</v>
      </c>
      <c r="H1804" s="194">
        <v>0</v>
      </c>
      <c r="I1804" s="194">
        <v>0</v>
      </c>
      <c r="J1804" s="194">
        <v>0</v>
      </c>
      <c r="K1804" s="193">
        <f t="shared" si="396"/>
        <v>0</v>
      </c>
      <c r="L1804" s="194">
        <v>0</v>
      </c>
      <c r="M1804" s="194">
        <v>0</v>
      </c>
      <c r="N1804" s="194">
        <v>0</v>
      </c>
      <c r="O1804" s="193">
        <f t="shared" si="397"/>
        <v>0</v>
      </c>
      <c r="P1804" s="194">
        <v>0</v>
      </c>
      <c r="Q1804" s="194">
        <v>0</v>
      </c>
      <c r="R1804" s="194">
        <v>0</v>
      </c>
      <c r="S1804" s="193">
        <f t="shared" si="398"/>
        <v>0</v>
      </c>
      <c r="T1804" s="193">
        <f t="shared" si="399"/>
        <v>0</v>
      </c>
      <c r="U1804" s="193">
        <f ca="1">OFFSET('Expenditure Study'!$B$7,'Operations Support'!$C1804,'Operations Support'!$B1804)*$G1804</f>
        <v>0</v>
      </c>
      <c r="V1804" s="199">
        <f ca="1">U1804*'Expenditure Study'!$B$31</f>
        <v>0</v>
      </c>
      <c r="W1804" s="199">
        <f ca="1">IF(A1804=10298,1.51,1)*IF($B1804&lt;3,$D1804*'Expenditure Study'!$B$32*OFFSET('Expenditure Study'!$B$7,'Operations Support'!$C1804,'Operations Support'!$B1804),0)</f>
        <v>0</v>
      </c>
      <c r="X1804" s="200">
        <f ca="1">W1804*'Expenditure Study'!$B$31</f>
        <v>0</v>
      </c>
      <c r="Y1804" s="199">
        <f ca="1">U1804*'Expenditure Study'!$B$31</f>
        <v>0</v>
      </c>
      <c r="Z1804" s="200">
        <f ca="1">W1804*'Expenditure Study'!$B$31</f>
        <v>0</v>
      </c>
      <c r="AA1804" s="195">
        <f t="shared" ca="1" si="400"/>
        <v>0</v>
      </c>
      <c r="AB1804" s="195">
        <f t="shared" ca="1" si="401"/>
        <v>0</v>
      </c>
      <c r="AD1804" s="196">
        <f>IFERROR($G1804/SUMIF($A:$A,$A1804,$G:$G)*SUMIF(Summary!$A$166:$A$242,$A1804,Summary!$P$166:$P$242),0)</f>
        <v>0</v>
      </c>
      <c r="AE1804" s="197">
        <f t="shared" ca="1" si="402"/>
        <v>0</v>
      </c>
      <c r="AF1804" s="196">
        <f>IFERROR(G1804/SUMIF(A:A,A1804,G:G)*SUMIF(Summary!$A$166:$A$242,'Operations Support'!A1804,Summary!$Q$166:$Q$242),0)</f>
        <v>0</v>
      </c>
      <c r="AG1804" s="196">
        <f t="shared" ca="1" si="403"/>
        <v>0</v>
      </c>
      <c r="AI1804" s="196">
        <f>IFERROR($G1804/SUMIF($A:$A,$A1804,$G:$G)*SUMIF(Summary!$A$247:$A$283,$A1804,Summary!$P$247:$P$283),0)</f>
        <v>0</v>
      </c>
      <c r="AJ1804" s="196">
        <f>IFERROR($G1804/SUMIF($A:$A,$A1804,$G:$G)*(SUMIF(Summary!$A$247:$A$283,$A1804,Summary!$L$247:$L$283)+SUMIF(Summary!$A$297:$A$333,$A1804,Summary!$L$297:$L$333))-AI1804,0)</f>
        <v>0</v>
      </c>
      <c r="AK1804" s="196">
        <f>IFERROR($G1804/SUMIF($A:$A,$A1804,$G:$G)*SUMIF(Summary!$A$247:$A$283,$A1804,Summary!$Q$247:$Q$283),0)</f>
        <v>0</v>
      </c>
      <c r="AL1804" s="196">
        <f>IFERROR($G1804/SUMIF($A:$A,$A1804,$G:$G)*(SUMIF(Summary!$A$247:$A$283,$A1804,Summary!$L$247:$L$283)+SUMIF(Summary!$A$297:$A$333,$A1804,Summary!$L$297:$L$333))-AK1804,0)</f>
        <v>0</v>
      </c>
      <c r="AM1804" s="198"/>
      <c r="AN1804" s="196">
        <f t="shared" ca="1" si="404"/>
        <v>0</v>
      </c>
      <c r="AO1804" s="196">
        <f t="shared" ca="1" si="405"/>
        <v>0</v>
      </c>
    </row>
    <row r="1805" spans="1:41">
      <c r="A1805" s="189">
        <v>3646</v>
      </c>
      <c r="B1805" s="190">
        <v>1</v>
      </c>
      <c r="C1805" s="191" t="s">
        <v>235</v>
      </c>
      <c r="D1805" s="192">
        <f t="shared" si="392"/>
        <v>1272</v>
      </c>
      <c r="E1805" s="192">
        <f t="shared" si="393"/>
        <v>3246</v>
      </c>
      <c r="F1805" s="192">
        <f t="shared" si="394"/>
        <v>0</v>
      </c>
      <c r="G1805" s="193">
        <f t="shared" si="395"/>
        <v>4518</v>
      </c>
      <c r="H1805" s="194">
        <v>432</v>
      </c>
      <c r="I1805" s="194">
        <v>1545</v>
      </c>
      <c r="J1805" s="194">
        <v>0</v>
      </c>
      <c r="K1805" s="193">
        <f t="shared" si="396"/>
        <v>1977</v>
      </c>
      <c r="L1805" s="194">
        <v>807</v>
      </c>
      <c r="M1805" s="194">
        <v>1335</v>
      </c>
      <c r="N1805" s="194">
        <v>0</v>
      </c>
      <c r="O1805" s="193">
        <f t="shared" si="397"/>
        <v>2142</v>
      </c>
      <c r="P1805" s="194">
        <v>33</v>
      </c>
      <c r="Q1805" s="194">
        <v>366</v>
      </c>
      <c r="R1805" s="194">
        <v>0</v>
      </c>
      <c r="S1805" s="193">
        <f t="shared" si="398"/>
        <v>399</v>
      </c>
      <c r="T1805" s="193">
        <f t="shared" si="399"/>
        <v>150.6</v>
      </c>
      <c r="U1805" s="193">
        <f ca="1">OFFSET('Expenditure Study'!$B$7,'Operations Support'!$C1805,'Operations Support'!$B1805)*$G1805</f>
        <v>4969.8</v>
      </c>
      <c r="V1805" s="199">
        <f ca="1">U1805*'Expenditure Study'!$B$31</f>
        <v>293631.59193984</v>
      </c>
      <c r="W1805" s="199">
        <f ca="1">IF(A1805=10298,1.51,1)*IF($B1805&lt;3,$D1805*'Expenditure Study'!$B$32*OFFSET('Expenditure Study'!$B$7,'Operations Support'!$C1805,'Operations Support'!$B1805),0)</f>
        <v>139.92000000000002</v>
      </c>
      <c r="X1805" s="200">
        <f ca="1">W1805*'Expenditure Study'!$B$31</f>
        <v>8266.9186575360018</v>
      </c>
      <c r="Y1805" s="199">
        <f ca="1">U1805*'Expenditure Study'!$B$31</f>
        <v>293631.59193984</v>
      </c>
      <c r="Z1805" s="200">
        <f ca="1">W1805*'Expenditure Study'!$B$31</f>
        <v>8266.9186575360018</v>
      </c>
      <c r="AA1805" s="195">
        <f t="shared" ca="1" si="400"/>
        <v>301898.51059737598</v>
      </c>
      <c r="AB1805" s="195">
        <f t="shared" ca="1" si="401"/>
        <v>301898.51059737598</v>
      </c>
      <c r="AD1805" s="196">
        <f>IFERROR($G1805/SUMIF($A:$A,$A1805,$G:$G)*SUMIF(Summary!$A$166:$A$242,$A1805,Summary!$P$166:$P$242),0)</f>
        <v>106089.87463947001</v>
      </c>
      <c r="AE1805" s="197">
        <f t="shared" ca="1" si="402"/>
        <v>195808.63595790596</v>
      </c>
      <c r="AF1805" s="196">
        <f>IFERROR(G1805/SUMIF(A:A,A1805,G:G)*SUMIF(Summary!$A$166:$A$242,'Operations Support'!A1805,Summary!$Q$166:$Q$242),0)</f>
        <v>106315.11188758608</v>
      </c>
      <c r="AG1805" s="196">
        <f t="shared" ca="1" si="403"/>
        <v>195583.39870978991</v>
      </c>
      <c r="AI1805" s="196">
        <f>IFERROR($G1805/SUMIF($A:$A,$A1805,$G:$G)*SUMIF(Summary!$A$247:$A$283,$A1805,Summary!$P$247:$P$283),0)</f>
        <v>19348.145690928679</v>
      </c>
      <c r="AJ1805" s="196">
        <f>IFERROR($G1805/SUMIF($A:$A,$A1805,$G:$G)*(SUMIF(Summary!$A$247:$A$283,$A1805,Summary!$L$247:$L$283)+SUMIF(Summary!$A$297:$A$333,$A1805,Summary!$L$297:$L$333))-AI1805,0)</f>
        <v>69342.258894209896</v>
      </c>
      <c r="AK1805" s="196">
        <f>IFERROR($G1805/SUMIF($A:$A,$A1805,$G:$G)*SUMIF(Summary!$A$247:$A$283,$A1805,Summary!$Q$247:$Q$283),0)</f>
        <v>19389.223344252176</v>
      </c>
      <c r="AL1805" s="196">
        <f>IFERROR($G1805/SUMIF($A:$A,$A1805,$G:$G)*(SUMIF(Summary!$A$247:$A$283,$A1805,Summary!$L$247:$L$283)+SUMIF(Summary!$A$297:$A$333,$A1805,Summary!$L$297:$L$333))-AK1805,0)</f>
        <v>69301.181240886392</v>
      </c>
      <c r="AM1805" s="198"/>
      <c r="AN1805" s="196">
        <f t="shared" ca="1" si="404"/>
        <v>265150.89485211589</v>
      </c>
      <c r="AO1805" s="196">
        <f t="shared" ca="1" si="405"/>
        <v>264884.5799506763</v>
      </c>
    </row>
    <row r="1806" spans="1:41">
      <c r="A1806" s="189">
        <v>3646</v>
      </c>
      <c r="B1806" s="190">
        <v>1</v>
      </c>
      <c r="C1806" s="191" t="s">
        <v>236</v>
      </c>
      <c r="D1806" s="192">
        <f t="shared" si="392"/>
        <v>0</v>
      </c>
      <c r="E1806" s="192">
        <f t="shared" si="393"/>
        <v>0</v>
      </c>
      <c r="F1806" s="192">
        <f t="shared" si="394"/>
        <v>0</v>
      </c>
      <c r="G1806" s="193">
        <f t="shared" si="395"/>
        <v>0</v>
      </c>
      <c r="H1806" s="194">
        <v>0</v>
      </c>
      <c r="I1806" s="194">
        <v>0</v>
      </c>
      <c r="J1806" s="194">
        <v>0</v>
      </c>
      <c r="K1806" s="193">
        <f t="shared" si="396"/>
        <v>0</v>
      </c>
      <c r="L1806" s="194">
        <v>0</v>
      </c>
      <c r="M1806" s="194">
        <v>0</v>
      </c>
      <c r="N1806" s="194">
        <v>0</v>
      </c>
      <c r="O1806" s="193">
        <f t="shared" si="397"/>
        <v>0</v>
      </c>
      <c r="P1806" s="194">
        <v>0</v>
      </c>
      <c r="Q1806" s="194">
        <v>0</v>
      </c>
      <c r="R1806" s="194">
        <v>0</v>
      </c>
      <c r="S1806" s="193">
        <f t="shared" si="398"/>
        <v>0</v>
      </c>
      <c r="T1806" s="193">
        <f t="shared" si="399"/>
        <v>0</v>
      </c>
      <c r="U1806" s="193">
        <f ca="1">OFFSET('Expenditure Study'!$B$7,'Operations Support'!$C1806,'Operations Support'!$B1806)*$G1806</f>
        <v>0</v>
      </c>
      <c r="V1806" s="199">
        <f ca="1">U1806*'Expenditure Study'!$B$31</f>
        <v>0</v>
      </c>
      <c r="W1806" s="199">
        <f ca="1">IF(A1806=10298,1.51,1)*IF($B1806&lt;3,$D1806*'Expenditure Study'!$B$32*OFFSET('Expenditure Study'!$B$7,'Operations Support'!$C1806,'Operations Support'!$B1806),0)</f>
        <v>0</v>
      </c>
      <c r="X1806" s="200">
        <f ca="1">W1806*'Expenditure Study'!$B$31</f>
        <v>0</v>
      </c>
      <c r="Y1806" s="199">
        <f ca="1">U1806*'Expenditure Study'!$B$31</f>
        <v>0</v>
      </c>
      <c r="Z1806" s="200">
        <f ca="1">W1806*'Expenditure Study'!$B$31</f>
        <v>0</v>
      </c>
      <c r="AA1806" s="195">
        <f t="shared" ca="1" si="400"/>
        <v>0</v>
      </c>
      <c r="AB1806" s="195">
        <f t="shared" ca="1" si="401"/>
        <v>0</v>
      </c>
      <c r="AD1806" s="196">
        <f>IFERROR($G1806/SUMIF($A:$A,$A1806,$G:$G)*SUMIF(Summary!$A$166:$A$242,$A1806,Summary!$P$166:$P$242),0)</f>
        <v>0</v>
      </c>
      <c r="AE1806" s="197">
        <f t="shared" ca="1" si="402"/>
        <v>0</v>
      </c>
      <c r="AF1806" s="196">
        <f>IFERROR(G1806/SUMIF(A:A,A1806,G:G)*SUMIF(Summary!$A$166:$A$242,'Operations Support'!A1806,Summary!$Q$166:$Q$242),0)</f>
        <v>0</v>
      </c>
      <c r="AG1806" s="196">
        <f t="shared" ca="1" si="403"/>
        <v>0</v>
      </c>
      <c r="AI1806" s="196">
        <f>IFERROR($G1806/SUMIF($A:$A,$A1806,$G:$G)*SUMIF(Summary!$A$247:$A$283,$A1806,Summary!$P$247:$P$283),0)</f>
        <v>0</v>
      </c>
      <c r="AJ1806" s="196">
        <f>IFERROR($G1806/SUMIF($A:$A,$A1806,$G:$G)*(SUMIF(Summary!$A$247:$A$283,$A1806,Summary!$L$247:$L$283)+SUMIF(Summary!$A$297:$A$333,$A1806,Summary!$L$297:$L$333))-AI1806,0)</f>
        <v>0</v>
      </c>
      <c r="AK1806" s="196">
        <f>IFERROR($G1806/SUMIF($A:$A,$A1806,$G:$G)*SUMIF(Summary!$A$247:$A$283,$A1806,Summary!$Q$247:$Q$283),0)</f>
        <v>0</v>
      </c>
      <c r="AL1806" s="196">
        <f>IFERROR($G1806/SUMIF($A:$A,$A1806,$G:$G)*(SUMIF(Summary!$A$247:$A$283,$A1806,Summary!$L$247:$L$283)+SUMIF(Summary!$A$297:$A$333,$A1806,Summary!$L$297:$L$333))-AK1806,0)</f>
        <v>0</v>
      </c>
      <c r="AM1806" s="198"/>
      <c r="AN1806" s="196">
        <f t="shared" ca="1" si="404"/>
        <v>0</v>
      </c>
      <c r="AO1806" s="196">
        <f t="shared" ca="1" si="405"/>
        <v>0</v>
      </c>
    </row>
    <row r="1807" spans="1:41">
      <c r="A1807" s="189">
        <v>3646</v>
      </c>
      <c r="B1807" s="190">
        <v>1</v>
      </c>
      <c r="C1807" s="191" t="s">
        <v>237</v>
      </c>
      <c r="D1807" s="192">
        <f t="shared" si="392"/>
        <v>0</v>
      </c>
      <c r="E1807" s="192">
        <f t="shared" si="393"/>
        <v>0</v>
      </c>
      <c r="F1807" s="192">
        <f t="shared" si="394"/>
        <v>0</v>
      </c>
      <c r="G1807" s="193">
        <f t="shared" si="395"/>
        <v>0</v>
      </c>
      <c r="H1807" s="194">
        <v>0</v>
      </c>
      <c r="I1807" s="194">
        <v>0</v>
      </c>
      <c r="J1807" s="194">
        <v>0</v>
      </c>
      <c r="K1807" s="193">
        <f t="shared" si="396"/>
        <v>0</v>
      </c>
      <c r="L1807" s="194">
        <v>0</v>
      </c>
      <c r="M1807" s="194">
        <v>0</v>
      </c>
      <c r="N1807" s="194">
        <v>0</v>
      </c>
      <c r="O1807" s="193">
        <f t="shared" si="397"/>
        <v>0</v>
      </c>
      <c r="P1807" s="194">
        <v>0</v>
      </c>
      <c r="Q1807" s="194">
        <v>0</v>
      </c>
      <c r="R1807" s="194">
        <v>0</v>
      </c>
      <c r="S1807" s="193">
        <f t="shared" si="398"/>
        <v>0</v>
      </c>
      <c r="T1807" s="193">
        <f t="shared" si="399"/>
        <v>0</v>
      </c>
      <c r="U1807" s="193">
        <f ca="1">OFFSET('Expenditure Study'!$B$7,'Operations Support'!$C1807,'Operations Support'!$B1807)*$G1807</f>
        <v>0</v>
      </c>
      <c r="V1807" s="199">
        <f ca="1">U1807*'Expenditure Study'!$B$31</f>
        <v>0</v>
      </c>
      <c r="W1807" s="199">
        <f ca="1">IF(A1807=10298,1.51,1)*IF($B1807&lt;3,$D1807*'Expenditure Study'!$B$32*OFFSET('Expenditure Study'!$B$7,'Operations Support'!$C1807,'Operations Support'!$B1807),0)</f>
        <v>0</v>
      </c>
      <c r="X1807" s="200">
        <f ca="1">W1807*'Expenditure Study'!$B$31</f>
        <v>0</v>
      </c>
      <c r="Y1807" s="199">
        <f ca="1">U1807*'Expenditure Study'!$B$31</f>
        <v>0</v>
      </c>
      <c r="Z1807" s="200">
        <f ca="1">W1807*'Expenditure Study'!$B$31</f>
        <v>0</v>
      </c>
      <c r="AA1807" s="195">
        <f t="shared" ca="1" si="400"/>
        <v>0</v>
      </c>
      <c r="AB1807" s="195">
        <f t="shared" ca="1" si="401"/>
        <v>0</v>
      </c>
      <c r="AD1807" s="196">
        <f>IFERROR($G1807/SUMIF($A:$A,$A1807,$G:$G)*SUMIF(Summary!$A$166:$A$242,$A1807,Summary!$P$166:$P$242),0)</f>
        <v>0</v>
      </c>
      <c r="AE1807" s="197">
        <f t="shared" ca="1" si="402"/>
        <v>0</v>
      </c>
      <c r="AF1807" s="196">
        <f>IFERROR(G1807/SUMIF(A:A,A1807,G:G)*SUMIF(Summary!$A$166:$A$242,'Operations Support'!A1807,Summary!$Q$166:$Q$242),0)</f>
        <v>0</v>
      </c>
      <c r="AG1807" s="196">
        <f t="shared" ca="1" si="403"/>
        <v>0</v>
      </c>
      <c r="AI1807" s="196">
        <f>IFERROR($G1807/SUMIF($A:$A,$A1807,$G:$G)*SUMIF(Summary!$A$247:$A$283,$A1807,Summary!$P$247:$P$283),0)</f>
        <v>0</v>
      </c>
      <c r="AJ1807" s="196">
        <f>IFERROR($G1807/SUMIF($A:$A,$A1807,$G:$G)*(SUMIF(Summary!$A$247:$A$283,$A1807,Summary!$L$247:$L$283)+SUMIF(Summary!$A$297:$A$333,$A1807,Summary!$L$297:$L$333))-AI1807,0)</f>
        <v>0</v>
      </c>
      <c r="AK1807" s="196">
        <f>IFERROR($G1807/SUMIF($A:$A,$A1807,$G:$G)*SUMIF(Summary!$A$247:$A$283,$A1807,Summary!$Q$247:$Q$283),0)</f>
        <v>0</v>
      </c>
      <c r="AL1807" s="196">
        <f>IFERROR($G1807/SUMIF($A:$A,$A1807,$G:$G)*(SUMIF(Summary!$A$247:$A$283,$A1807,Summary!$L$247:$L$283)+SUMIF(Summary!$A$297:$A$333,$A1807,Summary!$L$297:$L$333))-AK1807,0)</f>
        <v>0</v>
      </c>
      <c r="AM1807" s="198"/>
      <c r="AN1807" s="196">
        <f t="shared" ca="1" si="404"/>
        <v>0</v>
      </c>
      <c r="AO1807" s="196">
        <f t="shared" ca="1" si="405"/>
        <v>0</v>
      </c>
    </row>
    <row r="1808" spans="1:41">
      <c r="A1808" s="189">
        <v>3646</v>
      </c>
      <c r="B1808" s="190">
        <v>1</v>
      </c>
      <c r="C1808" s="191" t="s">
        <v>238</v>
      </c>
      <c r="D1808" s="192">
        <f t="shared" si="392"/>
        <v>6</v>
      </c>
      <c r="E1808" s="192">
        <f t="shared" si="393"/>
        <v>0</v>
      </c>
      <c r="F1808" s="192">
        <f t="shared" si="394"/>
        <v>0</v>
      </c>
      <c r="G1808" s="193">
        <f t="shared" si="395"/>
        <v>6</v>
      </c>
      <c r="H1808" s="194">
        <v>0</v>
      </c>
      <c r="I1808" s="194">
        <v>0</v>
      </c>
      <c r="J1808" s="194">
        <v>0</v>
      </c>
      <c r="K1808" s="193">
        <f t="shared" si="396"/>
        <v>0</v>
      </c>
      <c r="L1808" s="194">
        <v>6</v>
      </c>
      <c r="M1808" s="194">
        <v>0</v>
      </c>
      <c r="N1808" s="194">
        <v>0</v>
      </c>
      <c r="O1808" s="193">
        <f t="shared" si="397"/>
        <v>6</v>
      </c>
      <c r="P1808" s="194">
        <v>0</v>
      </c>
      <c r="Q1808" s="194">
        <v>0</v>
      </c>
      <c r="R1808" s="194">
        <v>0</v>
      </c>
      <c r="S1808" s="193">
        <f t="shared" si="398"/>
        <v>0</v>
      </c>
      <c r="T1808" s="193">
        <f t="shared" si="399"/>
        <v>0.2</v>
      </c>
      <c r="U1808" s="193">
        <f ca="1">OFFSET('Expenditure Study'!$B$7,'Operations Support'!$C1808,'Operations Support'!$B1808)*$G1808</f>
        <v>10.68</v>
      </c>
      <c r="V1808" s="199">
        <f ca="1">U1808*'Expenditure Study'!$B$31</f>
        <v>631.00837094400003</v>
      </c>
      <c r="W1808" s="199">
        <f ca="1">IF(A1808=10298,1.51,1)*IF($B1808&lt;3,$D1808*'Expenditure Study'!$B$32*OFFSET('Expenditure Study'!$B$7,'Operations Support'!$C1808,'Operations Support'!$B1808),0)</f>
        <v>1.0680000000000003</v>
      </c>
      <c r="X1808" s="200">
        <f ca="1">W1808*'Expenditure Study'!$B$31</f>
        <v>63.100837094400021</v>
      </c>
      <c r="Y1808" s="199">
        <f ca="1">U1808*'Expenditure Study'!$B$31</f>
        <v>631.00837094400003</v>
      </c>
      <c r="Z1808" s="200">
        <f ca="1">W1808*'Expenditure Study'!$B$31</f>
        <v>63.100837094400021</v>
      </c>
      <c r="AA1808" s="195">
        <f t="shared" ca="1" si="400"/>
        <v>694.10920803840008</v>
      </c>
      <c r="AB1808" s="195">
        <f t="shared" ca="1" si="401"/>
        <v>694.10920803840008</v>
      </c>
      <c r="AD1808" s="196">
        <f>IFERROR($G1808/SUMIF($A:$A,$A1808,$G:$G)*SUMIF(Summary!$A$166:$A$242,$A1808,Summary!$P$166:$P$242),0)</f>
        <v>140.88960775494024</v>
      </c>
      <c r="AE1808" s="197">
        <f t="shared" ca="1" si="402"/>
        <v>553.21960028345984</v>
      </c>
      <c r="AF1808" s="196">
        <f>IFERROR(G1808/SUMIF(A:A,A1808,G:G)*SUMIF(Summary!$A$166:$A$242,'Operations Support'!A1808,Summary!$Q$166:$Q$242),0)</f>
        <v>141.188727606356</v>
      </c>
      <c r="AG1808" s="196">
        <f t="shared" ca="1" si="403"/>
        <v>552.92048043204409</v>
      </c>
      <c r="AI1808" s="196">
        <f>IFERROR($G1808/SUMIF($A:$A,$A1808,$G:$G)*SUMIF(Summary!$A$247:$A$283,$A1808,Summary!$P$247:$P$283),0)</f>
        <v>25.694748593530779</v>
      </c>
      <c r="AJ1808" s="196">
        <f>IFERROR($G1808/SUMIF($A:$A,$A1808,$G:$G)*(SUMIF(Summary!$A$247:$A$283,$A1808,Summary!$L$247:$L$283)+SUMIF(Summary!$A$297:$A$333,$A1808,Summary!$L$297:$L$333))-AI1808,0)</f>
        <v>92.08799321940225</v>
      </c>
      <c r="AK1808" s="196">
        <f>IFERROR($G1808/SUMIF($A:$A,$A1808,$G:$G)*SUMIF(Summary!$A$247:$A$283,$A1808,Summary!$Q$247:$Q$283),0)</f>
        <v>25.749300589976329</v>
      </c>
      <c r="AL1808" s="196">
        <f>IFERROR($G1808/SUMIF($A:$A,$A1808,$G:$G)*(SUMIF(Summary!$A$247:$A$283,$A1808,Summary!$L$247:$L$283)+SUMIF(Summary!$A$297:$A$333,$A1808,Summary!$L$297:$L$333))-AK1808,0)</f>
        <v>92.033441222956696</v>
      </c>
      <c r="AM1808" s="198"/>
      <c r="AN1808" s="196">
        <f t="shared" ca="1" si="404"/>
        <v>645.30759350286212</v>
      </c>
      <c r="AO1808" s="196">
        <f t="shared" ca="1" si="405"/>
        <v>644.95392165500084</v>
      </c>
    </row>
    <row r="1809" spans="1:41">
      <c r="A1809" s="189">
        <v>3646</v>
      </c>
      <c r="B1809" s="190">
        <v>1</v>
      </c>
      <c r="C1809" s="191" t="s">
        <v>239</v>
      </c>
      <c r="D1809" s="192">
        <f t="shared" si="392"/>
        <v>26</v>
      </c>
      <c r="E1809" s="192">
        <f t="shared" si="393"/>
        <v>329</v>
      </c>
      <c r="F1809" s="192">
        <f t="shared" si="394"/>
        <v>0</v>
      </c>
      <c r="G1809" s="193">
        <f t="shared" si="395"/>
        <v>355</v>
      </c>
      <c r="H1809" s="194">
        <v>14</v>
      </c>
      <c r="I1809" s="194">
        <v>218</v>
      </c>
      <c r="J1809" s="194">
        <v>0</v>
      </c>
      <c r="K1809" s="193">
        <f t="shared" si="396"/>
        <v>232</v>
      </c>
      <c r="L1809" s="194">
        <v>12</v>
      </c>
      <c r="M1809" s="194">
        <v>107</v>
      </c>
      <c r="N1809" s="194">
        <v>0</v>
      </c>
      <c r="O1809" s="193">
        <f t="shared" si="397"/>
        <v>119</v>
      </c>
      <c r="P1809" s="194">
        <v>0</v>
      </c>
      <c r="Q1809" s="194">
        <v>4</v>
      </c>
      <c r="R1809" s="194">
        <v>0</v>
      </c>
      <c r="S1809" s="193">
        <f t="shared" si="398"/>
        <v>4</v>
      </c>
      <c r="T1809" s="193">
        <f t="shared" si="399"/>
        <v>11.833333333333334</v>
      </c>
      <c r="U1809" s="193">
        <f ca="1">OFFSET('Expenditure Study'!$B$7,'Operations Support'!$C1809,'Operations Support'!$B1809)*$G1809</f>
        <v>550.25</v>
      </c>
      <c r="V1809" s="199">
        <f ca="1">U1809*'Expenditure Study'!$B$31</f>
        <v>32510.520235200001</v>
      </c>
      <c r="W1809" s="199">
        <f ca="1">IF(A1809=10298,1.51,1)*IF($B1809&lt;3,$D1809*'Expenditure Study'!$B$32*OFFSET('Expenditure Study'!$B$7,'Operations Support'!$C1809,'Operations Support'!$B1809),0)</f>
        <v>4.03</v>
      </c>
      <c r="X1809" s="200">
        <f ca="1">W1809*'Expenditure Study'!$B$31</f>
        <v>238.10521862400003</v>
      </c>
      <c r="Y1809" s="199">
        <f ca="1">U1809*'Expenditure Study'!$B$31</f>
        <v>32510.520235200001</v>
      </c>
      <c r="Z1809" s="200">
        <f ca="1">W1809*'Expenditure Study'!$B$31</f>
        <v>238.10521862400003</v>
      </c>
      <c r="AA1809" s="195">
        <f t="shared" ca="1" si="400"/>
        <v>32748.625453824003</v>
      </c>
      <c r="AB1809" s="195">
        <f t="shared" ca="1" si="401"/>
        <v>32748.625453824003</v>
      </c>
      <c r="AD1809" s="196">
        <f>IFERROR($G1809/SUMIF($A:$A,$A1809,$G:$G)*SUMIF(Summary!$A$166:$A$242,$A1809,Summary!$P$166:$P$242),0)</f>
        <v>8335.9684588339642</v>
      </c>
      <c r="AE1809" s="197">
        <f t="shared" ca="1" si="402"/>
        <v>24412.656994990037</v>
      </c>
      <c r="AF1809" s="196">
        <f>IFERROR(G1809/SUMIF(A:A,A1809,G:G)*SUMIF(Summary!$A$166:$A$242,'Operations Support'!A1809,Summary!$Q$166:$Q$242),0)</f>
        <v>8353.6663833760631</v>
      </c>
      <c r="AG1809" s="196">
        <f t="shared" ca="1" si="403"/>
        <v>24394.959070447941</v>
      </c>
      <c r="AI1809" s="196">
        <f>IFERROR($G1809/SUMIF($A:$A,$A1809,$G:$G)*SUMIF(Summary!$A$247:$A$283,$A1809,Summary!$P$247:$P$283),0)</f>
        <v>1520.2726251172378</v>
      </c>
      <c r="AJ1809" s="196">
        <f>IFERROR($G1809/SUMIF($A:$A,$A1809,$G:$G)*(SUMIF(Summary!$A$247:$A$283,$A1809,Summary!$L$247:$L$283)+SUMIF(Summary!$A$297:$A$333,$A1809,Summary!$L$297:$L$333))-AI1809,0)</f>
        <v>5448.5395988146329</v>
      </c>
      <c r="AK1809" s="196">
        <f>IFERROR($G1809/SUMIF($A:$A,$A1809,$G:$G)*SUMIF(Summary!$A$247:$A$283,$A1809,Summary!$Q$247:$Q$283),0)</f>
        <v>1523.5002849069328</v>
      </c>
      <c r="AL1809" s="196">
        <f>IFERROR($G1809/SUMIF($A:$A,$A1809,$G:$G)*(SUMIF(Summary!$A$247:$A$283,$A1809,Summary!$L$247:$L$283)+SUMIF(Summary!$A$297:$A$333,$A1809,Summary!$L$297:$L$333))-AK1809,0)</f>
        <v>5445.3119390249376</v>
      </c>
      <c r="AM1809" s="198"/>
      <c r="AN1809" s="196">
        <f t="shared" ca="1" si="404"/>
        <v>29861.196593804671</v>
      </c>
      <c r="AO1809" s="196">
        <f t="shared" ca="1" si="405"/>
        <v>29840.271009472879</v>
      </c>
    </row>
    <row r="1810" spans="1:41">
      <c r="A1810" s="189">
        <v>3646</v>
      </c>
      <c r="B1810" s="190">
        <v>1</v>
      </c>
      <c r="C1810" s="191" t="s">
        <v>240</v>
      </c>
      <c r="D1810" s="192">
        <f t="shared" si="392"/>
        <v>168</v>
      </c>
      <c r="E1810" s="192">
        <f t="shared" si="393"/>
        <v>1581</v>
      </c>
      <c r="F1810" s="192">
        <f t="shared" si="394"/>
        <v>0</v>
      </c>
      <c r="G1810" s="193">
        <f t="shared" si="395"/>
        <v>1749</v>
      </c>
      <c r="H1810" s="194">
        <v>96</v>
      </c>
      <c r="I1810" s="194">
        <v>603</v>
      </c>
      <c r="J1810" s="194">
        <v>0</v>
      </c>
      <c r="K1810" s="193">
        <f t="shared" si="396"/>
        <v>699</v>
      </c>
      <c r="L1810" s="194">
        <v>72</v>
      </c>
      <c r="M1810" s="194">
        <v>978</v>
      </c>
      <c r="N1810" s="194">
        <v>0</v>
      </c>
      <c r="O1810" s="193">
        <f t="shared" si="397"/>
        <v>1050</v>
      </c>
      <c r="P1810" s="194">
        <v>0</v>
      </c>
      <c r="Q1810" s="194">
        <v>0</v>
      </c>
      <c r="R1810" s="194">
        <v>0</v>
      </c>
      <c r="S1810" s="193">
        <f t="shared" si="398"/>
        <v>0</v>
      </c>
      <c r="T1810" s="193">
        <f t="shared" si="399"/>
        <v>58.3</v>
      </c>
      <c r="U1810" s="193">
        <f ca="1">OFFSET('Expenditure Study'!$B$7,'Operations Support'!$C1810,'Operations Support'!$B1810)*$G1810</f>
        <v>1749</v>
      </c>
      <c r="V1810" s="199">
        <f ca="1">U1810*'Expenditure Study'!$B$31</f>
        <v>103336.4832192</v>
      </c>
      <c r="W1810" s="199">
        <f ca="1">IF(A1810=10298,1.51,1)*IF($B1810&lt;3,$D1810*'Expenditure Study'!$B$32*OFFSET('Expenditure Study'!$B$7,'Operations Support'!$C1810,'Operations Support'!$B1810),0)</f>
        <v>16.8</v>
      </c>
      <c r="X1810" s="200">
        <f ca="1">W1810*'Expenditure Study'!$B$31</f>
        <v>992.59743744000002</v>
      </c>
      <c r="Y1810" s="199">
        <f ca="1">U1810*'Expenditure Study'!$B$31</f>
        <v>103336.4832192</v>
      </c>
      <c r="Z1810" s="200">
        <f ca="1">W1810*'Expenditure Study'!$B$31</f>
        <v>992.59743744000002</v>
      </c>
      <c r="AA1810" s="195">
        <f t="shared" ca="1" si="400"/>
        <v>104329.08065664</v>
      </c>
      <c r="AB1810" s="195">
        <f t="shared" ca="1" si="401"/>
        <v>104329.08065664</v>
      </c>
      <c r="AD1810" s="196">
        <f>IFERROR($G1810/SUMIF($A:$A,$A1810,$G:$G)*SUMIF(Summary!$A$166:$A$242,$A1810,Summary!$P$166:$P$242),0)</f>
        <v>41069.320660565078</v>
      </c>
      <c r="AE1810" s="197">
        <f t="shared" ca="1" si="402"/>
        <v>63259.759996074921</v>
      </c>
      <c r="AF1810" s="196">
        <f>IFERROR(G1810/SUMIF(A:A,A1810,G:G)*SUMIF(Summary!$A$166:$A$242,'Operations Support'!A1810,Summary!$Q$166:$Q$242),0)</f>
        <v>41156.514097252773</v>
      </c>
      <c r="AG1810" s="196">
        <f t="shared" ca="1" si="403"/>
        <v>63172.566559387225</v>
      </c>
      <c r="AI1810" s="196">
        <f>IFERROR($G1810/SUMIF($A:$A,$A1810,$G:$G)*SUMIF(Summary!$A$247:$A$283,$A1810,Summary!$P$247:$P$283),0)</f>
        <v>7490.019215014222</v>
      </c>
      <c r="AJ1810" s="196">
        <f>IFERROR($G1810/SUMIF($A:$A,$A1810,$G:$G)*(SUMIF(Summary!$A$247:$A$283,$A1810,Summary!$L$247:$L$283)+SUMIF(Summary!$A$297:$A$333,$A1810,Summary!$L$297:$L$333))-AI1810,0)</f>
        <v>26843.650023455757</v>
      </c>
      <c r="AK1810" s="196">
        <f>IFERROR($G1810/SUMIF($A:$A,$A1810,$G:$G)*SUMIF(Summary!$A$247:$A$283,$A1810,Summary!$Q$247:$Q$283),0)</f>
        <v>7505.9211219781</v>
      </c>
      <c r="AL1810" s="196">
        <f>IFERROR($G1810/SUMIF($A:$A,$A1810,$G:$G)*(SUMIF(Summary!$A$247:$A$283,$A1810,Summary!$L$247:$L$283)+SUMIF(Summary!$A$297:$A$333,$A1810,Summary!$L$297:$L$333))-AK1810,0)</f>
        <v>26827.748116491879</v>
      </c>
      <c r="AM1810" s="198"/>
      <c r="AN1810" s="196">
        <f t="shared" ca="1" si="404"/>
        <v>90103.410019530682</v>
      </c>
      <c r="AO1810" s="196">
        <f t="shared" ca="1" si="405"/>
        <v>90000.314675879112</v>
      </c>
    </row>
    <row r="1811" spans="1:41">
      <c r="A1811" s="189">
        <v>3646</v>
      </c>
      <c r="B1811" s="190">
        <v>2</v>
      </c>
      <c r="C1811" s="191" t="s">
        <v>220</v>
      </c>
      <c r="D1811" s="192">
        <f t="shared" si="392"/>
        <v>8228</v>
      </c>
      <c r="E1811" s="192">
        <f t="shared" si="393"/>
        <v>11829</v>
      </c>
      <c r="F1811" s="192">
        <f t="shared" si="394"/>
        <v>0</v>
      </c>
      <c r="G1811" s="193">
        <f t="shared" si="395"/>
        <v>20057</v>
      </c>
      <c r="H1811" s="194">
        <v>3779</v>
      </c>
      <c r="I1811" s="194">
        <v>5266</v>
      </c>
      <c r="J1811" s="194">
        <v>0</v>
      </c>
      <c r="K1811" s="193">
        <f t="shared" si="396"/>
        <v>9045</v>
      </c>
      <c r="L1811" s="194">
        <v>2932</v>
      </c>
      <c r="M1811" s="194">
        <v>5300</v>
      </c>
      <c r="N1811" s="194">
        <v>0</v>
      </c>
      <c r="O1811" s="193">
        <f t="shared" si="397"/>
        <v>8232</v>
      </c>
      <c r="P1811" s="194">
        <v>1517</v>
      </c>
      <c r="Q1811" s="194">
        <v>1263</v>
      </c>
      <c r="R1811" s="194">
        <v>0</v>
      </c>
      <c r="S1811" s="193">
        <f t="shared" si="398"/>
        <v>2780</v>
      </c>
      <c r="T1811" s="193">
        <f t="shared" si="399"/>
        <v>668.56666666666672</v>
      </c>
      <c r="U1811" s="193">
        <f ca="1">OFFSET('Expenditure Study'!$B$7,'Operations Support'!$C1811,'Operations Support'!$B1811)*$G1811</f>
        <v>36904.880000000005</v>
      </c>
      <c r="V1811" s="199">
        <f ca="1">U1811*'Expenditure Study'!$B$31</f>
        <v>2180457.6974423043</v>
      </c>
      <c r="W1811" s="199">
        <f ca="1">IF(A1811=10298,1.51,1)*IF($B1811&lt;3,$D1811*'Expenditure Study'!$B$32*OFFSET('Expenditure Study'!$B$7,'Operations Support'!$C1811,'Operations Support'!$B1811),0)</f>
        <v>1513.9520000000002</v>
      </c>
      <c r="X1811" s="200">
        <f ca="1">W1811*'Expenditure Study'!$B$31</f>
        <v>89449.099738521618</v>
      </c>
      <c r="Y1811" s="199">
        <f ca="1">U1811*'Expenditure Study'!$B$31</f>
        <v>2180457.6974423043</v>
      </c>
      <c r="Z1811" s="200">
        <f ca="1">W1811*'Expenditure Study'!$B$31</f>
        <v>89449.099738521618</v>
      </c>
      <c r="AA1811" s="195">
        <f t="shared" ca="1" si="400"/>
        <v>2269906.7971808258</v>
      </c>
      <c r="AB1811" s="195">
        <f t="shared" ca="1" si="401"/>
        <v>2269906.7971808258</v>
      </c>
      <c r="AD1811" s="196">
        <f>IFERROR($G1811/SUMIF($A:$A,$A1811,$G:$G)*SUMIF(Summary!$A$166:$A$242,$A1811,Summary!$P$166:$P$242),0)</f>
        <v>470970.47712347272</v>
      </c>
      <c r="AE1811" s="197">
        <f t="shared" ca="1" si="402"/>
        <v>1798936.320057353</v>
      </c>
      <c r="AF1811" s="196">
        <f>IFERROR(G1811/SUMIF(A:A,A1811,G:G)*SUMIF(Summary!$A$166:$A$242,'Operations Support'!A1811,Summary!$Q$166:$Q$242),0)</f>
        <v>471970.38493344712</v>
      </c>
      <c r="AG1811" s="196">
        <f t="shared" ca="1" si="403"/>
        <v>1797936.4122473788</v>
      </c>
      <c r="AI1811" s="196">
        <f>IFERROR($G1811/SUMIF($A:$A,$A1811,$G:$G)*SUMIF(Summary!$A$247:$A$283,$A1811,Summary!$P$247:$P$283),0)</f>
        <v>85893.262090074481</v>
      </c>
      <c r="AJ1811" s="196">
        <f>IFERROR($G1811/SUMIF($A:$A,$A1811,$G:$G)*(SUMIF(Summary!$A$247:$A$283,$A1811,Summary!$L$247:$L$283)+SUMIF(Summary!$A$297:$A$333,$A1811,Summary!$L$297:$L$333))-AI1811,0)</f>
        <v>307834.8133335918</v>
      </c>
      <c r="AK1811" s="196">
        <f>IFERROR($G1811/SUMIF($A:$A,$A1811,$G:$G)*SUMIF(Summary!$A$247:$A$283,$A1811,Summary!$Q$247:$Q$283),0)</f>
        <v>86075.620322192539</v>
      </c>
      <c r="AL1811" s="196">
        <f>IFERROR($G1811/SUMIF($A:$A,$A1811,$G:$G)*(SUMIF(Summary!$A$247:$A$283,$A1811,Summary!$L$247:$L$283)+SUMIF(Summary!$A$297:$A$333,$A1811,Summary!$L$297:$L$333))-AK1811,0)</f>
        <v>307652.45510147372</v>
      </c>
      <c r="AM1811" s="198"/>
      <c r="AN1811" s="196">
        <f t="shared" ca="1" si="404"/>
        <v>2106771.1333909449</v>
      </c>
      <c r="AO1811" s="196">
        <f t="shared" ca="1" si="405"/>
        <v>2105588.8673488526</v>
      </c>
    </row>
    <row r="1812" spans="1:41">
      <c r="A1812" s="189">
        <v>3646</v>
      </c>
      <c r="B1812" s="190">
        <v>2</v>
      </c>
      <c r="C1812" s="191" t="s">
        <v>221</v>
      </c>
      <c r="D1812" s="192">
        <f t="shared" si="392"/>
        <v>7153</v>
      </c>
      <c r="E1812" s="192">
        <f t="shared" si="393"/>
        <v>6612</v>
      </c>
      <c r="F1812" s="192">
        <f t="shared" si="394"/>
        <v>0</v>
      </c>
      <c r="G1812" s="193">
        <f t="shared" si="395"/>
        <v>13765</v>
      </c>
      <c r="H1812" s="194">
        <v>3268</v>
      </c>
      <c r="I1812" s="194">
        <v>3186</v>
      </c>
      <c r="J1812" s="194">
        <v>0</v>
      </c>
      <c r="K1812" s="193">
        <f t="shared" si="396"/>
        <v>6454</v>
      </c>
      <c r="L1812" s="194">
        <v>3103</v>
      </c>
      <c r="M1812" s="194">
        <v>2672</v>
      </c>
      <c r="N1812" s="194">
        <v>0</v>
      </c>
      <c r="O1812" s="193">
        <f t="shared" si="397"/>
        <v>5775</v>
      </c>
      <c r="P1812" s="194">
        <v>782</v>
      </c>
      <c r="Q1812" s="194">
        <v>754</v>
      </c>
      <c r="R1812" s="194">
        <v>0</v>
      </c>
      <c r="S1812" s="193">
        <f t="shared" si="398"/>
        <v>1536</v>
      </c>
      <c r="T1812" s="193">
        <f t="shared" si="399"/>
        <v>458.83333333333331</v>
      </c>
      <c r="U1812" s="193">
        <f ca="1">OFFSET('Expenditure Study'!$B$7,'Operations Support'!$C1812,'Operations Support'!$B1812)*$G1812</f>
        <v>36201.949999999997</v>
      </c>
      <c r="V1812" s="199">
        <f ca="1">U1812*'Expenditure Study'!$B$31</f>
        <v>2138926.3571625599</v>
      </c>
      <c r="W1812" s="199">
        <f ca="1">IF(A1812=10298,1.51,1)*IF($B1812&lt;3,$D1812*'Expenditure Study'!$B$32*OFFSET('Expenditure Study'!$B$7,'Operations Support'!$C1812,'Operations Support'!$B1812),0)</f>
        <v>1881.239</v>
      </c>
      <c r="X1812" s="200">
        <f ca="1">W1812*'Expenditure Study'!$B$31</f>
        <v>111149.5839650112</v>
      </c>
      <c r="Y1812" s="199">
        <f ca="1">U1812*'Expenditure Study'!$B$31</f>
        <v>2138926.3571625599</v>
      </c>
      <c r="Z1812" s="200">
        <f ca="1">W1812*'Expenditure Study'!$B$31</f>
        <v>111149.5839650112</v>
      </c>
      <c r="AA1812" s="195">
        <f t="shared" ca="1" si="400"/>
        <v>2250075.9411275713</v>
      </c>
      <c r="AB1812" s="195">
        <f t="shared" ca="1" si="401"/>
        <v>2250075.9411275713</v>
      </c>
      <c r="AD1812" s="196">
        <f>IFERROR($G1812/SUMIF($A:$A,$A1812,$G:$G)*SUMIF(Summary!$A$166:$A$242,$A1812,Summary!$P$166:$P$242),0)</f>
        <v>323224.24179112539</v>
      </c>
      <c r="AE1812" s="197">
        <f t="shared" ca="1" si="402"/>
        <v>1926851.6993364459</v>
      </c>
      <c r="AF1812" s="196">
        <f>IFERROR(G1812/SUMIF(A:A,A1812,G:G)*SUMIF(Summary!$A$166:$A$242,'Operations Support'!A1812,Summary!$Q$166:$Q$242),0)</f>
        <v>323910.47258358175</v>
      </c>
      <c r="AG1812" s="196">
        <f t="shared" ca="1" si="403"/>
        <v>1926165.4685439896</v>
      </c>
      <c r="AI1812" s="196">
        <f>IFERROR($G1812/SUMIF($A:$A,$A1812,$G:$G)*SUMIF(Summary!$A$247:$A$283,$A1812,Summary!$P$247:$P$283),0)</f>
        <v>58948.035731658529</v>
      </c>
      <c r="AJ1812" s="196">
        <f>IFERROR($G1812/SUMIF($A:$A,$A1812,$G:$G)*(SUMIF(Summary!$A$247:$A$283,$A1812,Summary!$L$247:$L$283)+SUMIF(Summary!$A$297:$A$333,$A1812,Summary!$L$297:$L$333))-AI1812,0)</f>
        <v>211265.20444417867</v>
      </c>
      <c r="AK1812" s="196">
        <f>IFERROR($G1812/SUMIF($A:$A,$A1812,$G:$G)*SUMIF(Summary!$A$247:$A$283,$A1812,Summary!$Q$247:$Q$283),0)</f>
        <v>59073.187103504031</v>
      </c>
      <c r="AL1812" s="196">
        <f>IFERROR($G1812/SUMIF($A:$A,$A1812,$G:$G)*(SUMIF(Summary!$A$247:$A$283,$A1812,Summary!$L$247:$L$283)+SUMIF(Summary!$A$297:$A$333,$A1812,Summary!$L$297:$L$333))-AK1812,0)</f>
        <v>211140.05307233316</v>
      </c>
      <c r="AM1812" s="198"/>
      <c r="AN1812" s="196">
        <f t="shared" ca="1" si="404"/>
        <v>2138116.9037806247</v>
      </c>
      <c r="AO1812" s="196">
        <f t="shared" ca="1" si="405"/>
        <v>2137305.5216163229</v>
      </c>
    </row>
    <row r="1813" spans="1:41">
      <c r="A1813" s="189">
        <v>3646</v>
      </c>
      <c r="B1813" s="190">
        <v>2</v>
      </c>
      <c r="C1813" s="191" t="s">
        <v>222</v>
      </c>
      <c r="D1813" s="192">
        <f t="shared" si="392"/>
        <v>3473</v>
      </c>
      <c r="E1813" s="192">
        <f t="shared" si="393"/>
        <v>1788</v>
      </c>
      <c r="F1813" s="192">
        <f t="shared" si="394"/>
        <v>0</v>
      </c>
      <c r="G1813" s="193">
        <f t="shared" si="395"/>
        <v>5261</v>
      </c>
      <c r="H1813" s="194">
        <v>1622</v>
      </c>
      <c r="I1813" s="194">
        <v>927</v>
      </c>
      <c r="J1813" s="194">
        <v>0</v>
      </c>
      <c r="K1813" s="193">
        <f t="shared" si="396"/>
        <v>2549</v>
      </c>
      <c r="L1813" s="194">
        <v>1608</v>
      </c>
      <c r="M1813" s="194">
        <v>765</v>
      </c>
      <c r="N1813" s="194">
        <v>0</v>
      </c>
      <c r="O1813" s="193">
        <f t="shared" si="397"/>
        <v>2373</v>
      </c>
      <c r="P1813" s="194">
        <v>243</v>
      </c>
      <c r="Q1813" s="194">
        <v>96</v>
      </c>
      <c r="R1813" s="194">
        <v>0</v>
      </c>
      <c r="S1813" s="193">
        <f t="shared" si="398"/>
        <v>339</v>
      </c>
      <c r="T1813" s="193">
        <f t="shared" si="399"/>
        <v>175.36666666666667</v>
      </c>
      <c r="U1813" s="193">
        <f ca="1">OFFSET('Expenditure Study'!$B$7,'Operations Support'!$C1813,'Operations Support'!$B1813)*$G1813</f>
        <v>13994.26</v>
      </c>
      <c r="V1813" s="199">
        <f ca="1">U1813*'Expenditure Study'!$B$31</f>
        <v>826825.39374220802</v>
      </c>
      <c r="W1813" s="199">
        <f ca="1">IF(A1813=10298,1.51,1)*IF($B1813&lt;3,$D1813*'Expenditure Study'!$B$32*OFFSET('Expenditure Study'!$B$7,'Operations Support'!$C1813,'Operations Support'!$B1813),0)</f>
        <v>923.8180000000001</v>
      </c>
      <c r="X1813" s="200">
        <f ca="1">W1813*'Expenditure Study'!$B$31</f>
        <v>54582.105920294409</v>
      </c>
      <c r="Y1813" s="199">
        <f ca="1">U1813*'Expenditure Study'!$B$31</f>
        <v>826825.39374220802</v>
      </c>
      <c r="Z1813" s="200">
        <f ca="1">W1813*'Expenditure Study'!$B$31</f>
        <v>54582.105920294409</v>
      </c>
      <c r="AA1813" s="195">
        <f t="shared" ca="1" si="400"/>
        <v>881407.49966250244</v>
      </c>
      <c r="AB1813" s="195">
        <f t="shared" ca="1" si="401"/>
        <v>881407.49966250244</v>
      </c>
      <c r="AD1813" s="196">
        <f>IFERROR($G1813/SUMIF($A:$A,$A1813,$G:$G)*SUMIF(Summary!$A$166:$A$242,$A1813,Summary!$P$166:$P$242),0)</f>
        <v>123536.70439979011</v>
      </c>
      <c r="AE1813" s="197">
        <f t="shared" ca="1" si="402"/>
        <v>757870.79526271229</v>
      </c>
      <c r="AF1813" s="196">
        <f>IFERROR(G1813/SUMIF(A:A,A1813,G:G)*SUMIF(Summary!$A$166:$A$242,'Operations Support'!A1813,Summary!$Q$166:$Q$242),0)</f>
        <v>123798.98265617316</v>
      </c>
      <c r="AG1813" s="196">
        <f t="shared" ca="1" si="403"/>
        <v>757608.51700632926</v>
      </c>
      <c r="AI1813" s="196">
        <f>IFERROR($G1813/SUMIF($A:$A,$A1813,$G:$G)*SUMIF(Summary!$A$247:$A$283,$A1813,Summary!$P$247:$P$283),0)</f>
        <v>22530.012058427572</v>
      </c>
      <c r="AJ1813" s="196">
        <f>IFERROR($G1813/SUMIF($A:$A,$A1813,$G:$G)*(SUMIF(Summary!$A$247:$A$283,$A1813,Summary!$L$247:$L$283)+SUMIF(Summary!$A$297:$A$333,$A1813,Summary!$L$297:$L$333))-AI1813,0)</f>
        <v>80745.822054545875</v>
      </c>
      <c r="AK1813" s="196">
        <f>IFERROR($G1813/SUMIF($A:$A,$A1813,$G:$G)*SUMIF(Summary!$A$247:$A$283,$A1813,Summary!$Q$247:$Q$283),0)</f>
        <v>22577.845067310915</v>
      </c>
      <c r="AL1813" s="196">
        <f>IFERROR($G1813/SUMIF($A:$A,$A1813,$G:$G)*(SUMIF(Summary!$A$247:$A$283,$A1813,Summary!$L$247:$L$283)+SUMIF(Summary!$A$297:$A$333,$A1813,Summary!$L$297:$L$333))-AK1813,0)</f>
        <v>80697.989045662529</v>
      </c>
      <c r="AM1813" s="198"/>
      <c r="AN1813" s="196">
        <f t="shared" ca="1" si="404"/>
        <v>838616.61731725815</v>
      </c>
      <c r="AO1813" s="196">
        <f t="shared" ca="1" si="405"/>
        <v>838306.50605199183</v>
      </c>
    </row>
    <row r="1814" spans="1:41">
      <c r="A1814" s="189">
        <v>3646</v>
      </c>
      <c r="B1814" s="190">
        <v>2</v>
      </c>
      <c r="C1814" s="191" t="s">
        <v>223</v>
      </c>
      <c r="D1814" s="192">
        <f t="shared" si="392"/>
        <v>2599.5</v>
      </c>
      <c r="E1814" s="192">
        <f t="shared" si="393"/>
        <v>6450.5</v>
      </c>
      <c r="F1814" s="192">
        <f t="shared" si="394"/>
        <v>0</v>
      </c>
      <c r="G1814" s="193">
        <f t="shared" si="395"/>
        <v>9050</v>
      </c>
      <c r="H1814" s="194">
        <v>927</v>
      </c>
      <c r="I1814" s="194">
        <v>3147</v>
      </c>
      <c r="J1814" s="194">
        <v>0</v>
      </c>
      <c r="K1814" s="193">
        <f t="shared" si="396"/>
        <v>4074</v>
      </c>
      <c r="L1814" s="194">
        <v>901.5</v>
      </c>
      <c r="M1814" s="194">
        <v>2486.5</v>
      </c>
      <c r="N1814" s="194">
        <v>0</v>
      </c>
      <c r="O1814" s="193">
        <f t="shared" si="397"/>
        <v>3388</v>
      </c>
      <c r="P1814" s="194">
        <v>771</v>
      </c>
      <c r="Q1814" s="194">
        <v>817</v>
      </c>
      <c r="R1814" s="194">
        <v>0</v>
      </c>
      <c r="S1814" s="193">
        <f t="shared" si="398"/>
        <v>1588</v>
      </c>
      <c r="T1814" s="193">
        <f t="shared" si="399"/>
        <v>301.66666666666669</v>
      </c>
      <c r="U1814" s="193">
        <f ca="1">OFFSET('Expenditure Study'!$B$7,'Operations Support'!$C1814,'Operations Support'!$B1814)*$G1814</f>
        <v>17195</v>
      </c>
      <c r="V1814" s="199">
        <f ca="1">U1814*'Expenditure Study'!$B$31</f>
        <v>1015935.2938560001</v>
      </c>
      <c r="W1814" s="199">
        <f ca="1">IF(A1814=10298,1.51,1)*IF($B1814&lt;3,$D1814*'Expenditure Study'!$B$32*OFFSET('Expenditure Study'!$B$7,'Operations Support'!$C1814,'Operations Support'!$B1814),0)</f>
        <v>493.90499999999997</v>
      </c>
      <c r="X1814" s="200">
        <f ca="1">W1814*'Expenditure Study'!$B$31</f>
        <v>29181.478413024</v>
      </c>
      <c r="Y1814" s="199">
        <f ca="1">U1814*'Expenditure Study'!$B$31</f>
        <v>1015935.2938560001</v>
      </c>
      <c r="Z1814" s="200">
        <f ca="1">W1814*'Expenditure Study'!$B$31</f>
        <v>29181.478413024</v>
      </c>
      <c r="AA1814" s="195">
        <f t="shared" ca="1" si="400"/>
        <v>1045116.772269024</v>
      </c>
      <c r="AB1814" s="195">
        <f t="shared" ca="1" si="401"/>
        <v>1045116.772269024</v>
      </c>
      <c r="AD1814" s="196">
        <f>IFERROR($G1814/SUMIF($A:$A,$A1814,$G:$G)*SUMIF(Summary!$A$166:$A$242,$A1814,Summary!$P$166:$P$242),0)</f>
        <v>212508.49169703486</v>
      </c>
      <c r="AE1814" s="197">
        <f t="shared" ca="1" si="402"/>
        <v>832608.28057198925</v>
      </c>
      <c r="AF1814" s="196">
        <f>IFERROR(G1814/SUMIF(A:A,A1814,G:G)*SUMIF(Summary!$A$166:$A$242,'Operations Support'!A1814,Summary!$Q$166:$Q$242),0)</f>
        <v>212959.66413958697</v>
      </c>
      <c r="AG1814" s="196">
        <f t="shared" ca="1" si="403"/>
        <v>832157.10812943708</v>
      </c>
      <c r="AI1814" s="196">
        <f>IFERROR($G1814/SUMIF($A:$A,$A1814,$G:$G)*SUMIF(Summary!$A$247:$A$283,$A1814,Summary!$P$247:$P$283),0)</f>
        <v>38756.245795242256</v>
      </c>
      <c r="AJ1814" s="196">
        <f>IFERROR($G1814/SUMIF($A:$A,$A1814,$G:$G)*(SUMIF(Summary!$A$247:$A$283,$A1814,Summary!$L$247:$L$283)+SUMIF(Summary!$A$297:$A$333,$A1814,Summary!$L$297:$L$333))-AI1814,0)</f>
        <v>138899.3897725984</v>
      </c>
      <c r="AK1814" s="196">
        <f>IFERROR($G1814/SUMIF($A:$A,$A1814,$G:$G)*SUMIF(Summary!$A$247:$A$283,$A1814,Summary!$Q$247:$Q$283),0)</f>
        <v>38838.528389880965</v>
      </c>
      <c r="AL1814" s="196">
        <f>IFERROR($G1814/SUMIF($A:$A,$A1814,$G:$G)*(SUMIF(Summary!$A$247:$A$283,$A1814,Summary!$L$247:$L$283)+SUMIF(Summary!$A$297:$A$333,$A1814,Summary!$L$297:$L$333))-AK1814,0)</f>
        <v>138817.1071779597</v>
      </c>
      <c r="AM1814" s="198"/>
      <c r="AN1814" s="196">
        <f t="shared" ca="1" si="404"/>
        <v>971507.67034458765</v>
      </c>
      <c r="AO1814" s="196">
        <f t="shared" ca="1" si="405"/>
        <v>970974.21530739684</v>
      </c>
    </row>
    <row r="1815" spans="1:41">
      <c r="A1815" s="189">
        <v>3646</v>
      </c>
      <c r="B1815" s="190">
        <v>2</v>
      </c>
      <c r="C1815" s="191" t="s">
        <v>224</v>
      </c>
      <c r="D1815" s="192">
        <f t="shared" si="392"/>
        <v>257</v>
      </c>
      <c r="E1815" s="192">
        <f t="shared" si="393"/>
        <v>211</v>
      </c>
      <c r="F1815" s="192">
        <f t="shared" si="394"/>
        <v>0</v>
      </c>
      <c r="G1815" s="193">
        <f t="shared" si="395"/>
        <v>468</v>
      </c>
      <c r="H1815" s="194">
        <v>141</v>
      </c>
      <c r="I1815" s="194">
        <v>150</v>
      </c>
      <c r="J1815" s="194">
        <v>0</v>
      </c>
      <c r="K1815" s="193">
        <f t="shared" si="396"/>
        <v>291</v>
      </c>
      <c r="L1815" s="194">
        <v>116</v>
      </c>
      <c r="M1815" s="194">
        <v>61</v>
      </c>
      <c r="N1815" s="194">
        <v>0</v>
      </c>
      <c r="O1815" s="193">
        <f t="shared" si="397"/>
        <v>177</v>
      </c>
      <c r="P1815" s="194">
        <v>0</v>
      </c>
      <c r="Q1815" s="194">
        <v>0</v>
      </c>
      <c r="R1815" s="194">
        <v>0</v>
      </c>
      <c r="S1815" s="193">
        <f t="shared" si="398"/>
        <v>0</v>
      </c>
      <c r="T1815" s="193">
        <f t="shared" si="399"/>
        <v>15.6</v>
      </c>
      <c r="U1815" s="193">
        <f ca="1">OFFSET('Expenditure Study'!$B$7,'Operations Support'!$C1815,'Operations Support'!$B1815)*$G1815</f>
        <v>1062.3599999999999</v>
      </c>
      <c r="V1815" s="199">
        <f ca="1">U1815*'Expenditure Study'!$B$31</f>
        <v>62767.607954687992</v>
      </c>
      <c r="W1815" s="199">
        <f ca="1">IF(A1815=10298,1.51,1)*IF($B1815&lt;3,$D1815*'Expenditure Study'!$B$32*OFFSET('Expenditure Study'!$B$7,'Operations Support'!$C1815,'Operations Support'!$B1815),0)</f>
        <v>58.339000000000006</v>
      </c>
      <c r="X1815" s="200">
        <f ca="1">W1815*'Expenditure Study'!$B$31</f>
        <v>3446.8536846912002</v>
      </c>
      <c r="Y1815" s="199">
        <f ca="1">U1815*'Expenditure Study'!$B$31</f>
        <v>62767.607954687992</v>
      </c>
      <c r="Z1815" s="200">
        <f ca="1">W1815*'Expenditure Study'!$B$31</f>
        <v>3446.8536846912002</v>
      </c>
      <c r="AA1815" s="195">
        <f t="shared" ca="1" si="400"/>
        <v>66214.461639379195</v>
      </c>
      <c r="AB1815" s="195">
        <f t="shared" ca="1" si="401"/>
        <v>66214.461639379195</v>
      </c>
      <c r="AD1815" s="196">
        <f>IFERROR($G1815/SUMIF($A:$A,$A1815,$G:$G)*SUMIF(Summary!$A$166:$A$242,$A1815,Summary!$P$166:$P$242),0)</f>
        <v>10989.389404885338</v>
      </c>
      <c r="AE1815" s="197">
        <f t="shared" ca="1" si="402"/>
        <v>55225.072234493855</v>
      </c>
      <c r="AF1815" s="196">
        <f>IFERROR(G1815/SUMIF(A:A,A1815,G:G)*SUMIF(Summary!$A$166:$A$242,'Operations Support'!A1815,Summary!$Q$166:$Q$242),0)</f>
        <v>11012.720753295769</v>
      </c>
      <c r="AG1815" s="196">
        <f t="shared" ca="1" si="403"/>
        <v>55201.740886083426</v>
      </c>
      <c r="AI1815" s="196">
        <f>IFERROR($G1815/SUMIF($A:$A,$A1815,$G:$G)*SUMIF(Summary!$A$247:$A$283,$A1815,Summary!$P$247:$P$283),0)</f>
        <v>2004.1903902954007</v>
      </c>
      <c r="AJ1815" s="196">
        <f>IFERROR($G1815/SUMIF($A:$A,$A1815,$G:$G)*(SUMIF(Summary!$A$247:$A$283,$A1815,Summary!$L$247:$L$283)+SUMIF(Summary!$A$297:$A$333,$A1815,Summary!$L$297:$L$333))-AI1815,0)</f>
        <v>7182.8634711133755</v>
      </c>
      <c r="AK1815" s="196">
        <f>IFERROR($G1815/SUMIF($A:$A,$A1815,$G:$G)*SUMIF(Summary!$A$247:$A$283,$A1815,Summary!$Q$247:$Q$283),0)</f>
        <v>2008.4454460181537</v>
      </c>
      <c r="AL1815" s="196">
        <f>IFERROR($G1815/SUMIF($A:$A,$A1815,$G:$G)*(SUMIF(Summary!$A$247:$A$283,$A1815,Summary!$L$247:$L$283)+SUMIF(Summary!$A$297:$A$333,$A1815,Summary!$L$297:$L$333))-AK1815,0)</f>
        <v>7178.6084153906231</v>
      </c>
      <c r="AM1815" s="198"/>
      <c r="AN1815" s="196">
        <f t="shared" ca="1" si="404"/>
        <v>62407.935705607233</v>
      </c>
      <c r="AO1815" s="196">
        <f t="shared" ca="1" si="405"/>
        <v>62380.349301474052</v>
      </c>
    </row>
    <row r="1816" spans="1:41">
      <c r="A1816" s="189">
        <v>3646</v>
      </c>
      <c r="B1816" s="190">
        <v>2</v>
      </c>
      <c r="C1816" s="191" t="s">
        <v>225</v>
      </c>
      <c r="D1816" s="192">
        <f t="shared" si="392"/>
        <v>1314</v>
      </c>
      <c r="E1816" s="192">
        <f t="shared" si="393"/>
        <v>474</v>
      </c>
      <c r="F1816" s="192">
        <f t="shared" si="394"/>
        <v>0</v>
      </c>
      <c r="G1816" s="193">
        <f t="shared" si="395"/>
        <v>1788</v>
      </c>
      <c r="H1816" s="194">
        <v>579</v>
      </c>
      <c r="I1816" s="194">
        <v>195</v>
      </c>
      <c r="J1816" s="194">
        <v>0</v>
      </c>
      <c r="K1816" s="193">
        <f t="shared" si="396"/>
        <v>774</v>
      </c>
      <c r="L1816" s="194">
        <v>624</v>
      </c>
      <c r="M1816" s="194">
        <v>189</v>
      </c>
      <c r="N1816" s="194">
        <v>0</v>
      </c>
      <c r="O1816" s="193">
        <f t="shared" si="397"/>
        <v>813</v>
      </c>
      <c r="P1816" s="194">
        <v>111</v>
      </c>
      <c r="Q1816" s="194">
        <v>90</v>
      </c>
      <c r="R1816" s="194">
        <v>0</v>
      </c>
      <c r="S1816" s="193">
        <f t="shared" si="398"/>
        <v>201</v>
      </c>
      <c r="T1816" s="193">
        <f t="shared" si="399"/>
        <v>59.6</v>
      </c>
      <c r="U1816" s="193">
        <f ca="1">OFFSET('Expenditure Study'!$B$7,'Operations Support'!$C1816,'Operations Support'!$B1816)*$G1816</f>
        <v>5006.3999999999996</v>
      </c>
      <c r="V1816" s="199">
        <f ca="1">U1816*'Expenditure Study'!$B$31</f>
        <v>295794.03635711997</v>
      </c>
      <c r="W1816" s="199">
        <f ca="1">IF(A1816=10298,1.51,1)*IF($B1816&lt;3,$D1816*'Expenditure Study'!$B$32*OFFSET('Expenditure Study'!$B$7,'Operations Support'!$C1816,'Operations Support'!$B1816),0)</f>
        <v>367.92</v>
      </c>
      <c r="X1816" s="200">
        <f ca="1">W1816*'Expenditure Study'!$B$31</f>
        <v>21737.883879936002</v>
      </c>
      <c r="Y1816" s="199">
        <f ca="1">U1816*'Expenditure Study'!$B$31</f>
        <v>295794.03635711997</v>
      </c>
      <c r="Z1816" s="200">
        <f ca="1">W1816*'Expenditure Study'!$B$31</f>
        <v>21737.883879936002</v>
      </c>
      <c r="AA1816" s="195">
        <f t="shared" ca="1" si="400"/>
        <v>317531.92023705598</v>
      </c>
      <c r="AB1816" s="195">
        <f t="shared" ca="1" si="401"/>
        <v>317531.92023705598</v>
      </c>
      <c r="AD1816" s="196">
        <f>IFERROR($G1816/SUMIF($A:$A,$A1816,$G:$G)*SUMIF(Summary!$A$166:$A$242,$A1816,Summary!$P$166:$P$242),0)</f>
        <v>41985.103110972188</v>
      </c>
      <c r="AE1816" s="197">
        <f t="shared" ca="1" si="402"/>
        <v>275546.81712608377</v>
      </c>
      <c r="AF1816" s="196">
        <f>IFERROR(G1816/SUMIF(A:A,A1816,G:G)*SUMIF(Summary!$A$166:$A$242,'Operations Support'!A1816,Summary!$Q$166:$Q$242),0)</f>
        <v>42074.240826694091</v>
      </c>
      <c r="AG1816" s="196">
        <f t="shared" ca="1" si="403"/>
        <v>275457.67941036192</v>
      </c>
      <c r="AI1816" s="196">
        <f>IFERROR($G1816/SUMIF($A:$A,$A1816,$G:$G)*SUMIF(Summary!$A$247:$A$283,$A1816,Summary!$P$247:$P$283),0)</f>
        <v>7657.0350808721714</v>
      </c>
      <c r="AJ1816" s="196">
        <f>IFERROR($G1816/SUMIF($A:$A,$A1816,$G:$G)*(SUMIF(Summary!$A$247:$A$283,$A1816,Summary!$L$247:$L$283)+SUMIF(Summary!$A$297:$A$333,$A1816,Summary!$L$297:$L$333))-AI1816,0)</f>
        <v>27442.221979381873</v>
      </c>
      <c r="AK1816" s="196">
        <f>IFERROR($G1816/SUMIF($A:$A,$A1816,$G:$G)*SUMIF(Summary!$A$247:$A$283,$A1816,Summary!$Q$247:$Q$283),0)</f>
        <v>7673.2915758129457</v>
      </c>
      <c r="AL1816" s="196">
        <f>IFERROR($G1816/SUMIF($A:$A,$A1816,$G:$G)*(SUMIF(Summary!$A$247:$A$283,$A1816,Summary!$L$247:$L$283)+SUMIF(Summary!$A$297:$A$333,$A1816,Summary!$L$297:$L$333))-AK1816,0)</f>
        <v>27425.965484441098</v>
      </c>
      <c r="AM1816" s="198"/>
      <c r="AN1816" s="196">
        <f t="shared" ca="1" si="404"/>
        <v>302989.03910546564</v>
      </c>
      <c r="AO1816" s="196">
        <f t="shared" ca="1" si="405"/>
        <v>302883.644894803</v>
      </c>
    </row>
    <row r="1817" spans="1:41">
      <c r="A1817" s="189">
        <v>3646</v>
      </c>
      <c r="B1817" s="190">
        <v>2</v>
      </c>
      <c r="C1817" s="191" t="s">
        <v>226</v>
      </c>
      <c r="D1817" s="192">
        <f t="shared" si="392"/>
        <v>1026</v>
      </c>
      <c r="E1817" s="192">
        <f t="shared" si="393"/>
        <v>2777</v>
      </c>
      <c r="F1817" s="192">
        <f t="shared" si="394"/>
        <v>0</v>
      </c>
      <c r="G1817" s="193">
        <f t="shared" si="395"/>
        <v>3803</v>
      </c>
      <c r="H1817" s="194">
        <v>522</v>
      </c>
      <c r="I1817" s="194">
        <v>1459</v>
      </c>
      <c r="J1817" s="194">
        <v>0</v>
      </c>
      <c r="K1817" s="193">
        <f t="shared" si="396"/>
        <v>1981</v>
      </c>
      <c r="L1817" s="194">
        <v>258</v>
      </c>
      <c r="M1817" s="194">
        <v>856</v>
      </c>
      <c r="N1817" s="194">
        <v>0</v>
      </c>
      <c r="O1817" s="193">
        <f t="shared" si="397"/>
        <v>1114</v>
      </c>
      <c r="P1817" s="194">
        <v>246</v>
      </c>
      <c r="Q1817" s="194">
        <v>462</v>
      </c>
      <c r="R1817" s="194">
        <v>0</v>
      </c>
      <c r="S1817" s="193">
        <f t="shared" si="398"/>
        <v>708</v>
      </c>
      <c r="T1817" s="193">
        <f t="shared" si="399"/>
        <v>126.76666666666667</v>
      </c>
      <c r="U1817" s="193">
        <f ca="1">OFFSET('Expenditure Study'!$B$7,'Operations Support'!$C1817,'Operations Support'!$B1817)*$G1817</f>
        <v>6845.4000000000005</v>
      </c>
      <c r="V1817" s="199">
        <f ca="1">U1817*'Expenditure Study'!$B$31</f>
        <v>404448.00584832003</v>
      </c>
      <c r="W1817" s="199">
        <f ca="1">IF(A1817=10298,1.51,1)*IF($B1817&lt;3,$D1817*'Expenditure Study'!$B$32*OFFSET('Expenditure Study'!$B$7,'Operations Support'!$C1817,'Operations Support'!$B1817),0)</f>
        <v>184.68</v>
      </c>
      <c r="X1817" s="200">
        <f ca="1">W1817*'Expenditure Study'!$B$31</f>
        <v>10911.481830144001</v>
      </c>
      <c r="Y1817" s="199">
        <f ca="1">U1817*'Expenditure Study'!$B$31</f>
        <v>404448.00584832003</v>
      </c>
      <c r="Z1817" s="200">
        <f ca="1">W1817*'Expenditure Study'!$B$31</f>
        <v>10911.481830144001</v>
      </c>
      <c r="AA1817" s="195">
        <f t="shared" ca="1" si="400"/>
        <v>415359.48767846404</v>
      </c>
      <c r="AB1817" s="195">
        <f t="shared" ca="1" si="401"/>
        <v>415359.48767846404</v>
      </c>
      <c r="AD1817" s="196">
        <f>IFERROR($G1817/SUMIF($A:$A,$A1817,$G:$G)*SUMIF(Summary!$A$166:$A$242,$A1817,Summary!$P$166:$P$242),0)</f>
        <v>89300.529715339624</v>
      </c>
      <c r="AE1817" s="197">
        <f t="shared" ca="1" si="402"/>
        <v>326058.95796312438</v>
      </c>
      <c r="AF1817" s="196">
        <f>IFERROR(G1817/SUMIF(A:A,A1817,G:G)*SUMIF(Summary!$A$166:$A$242,'Operations Support'!A1817,Summary!$Q$166:$Q$242),0)</f>
        <v>89490.121847828646</v>
      </c>
      <c r="AG1817" s="196">
        <f t="shared" ca="1" si="403"/>
        <v>325869.36583063542</v>
      </c>
      <c r="AI1817" s="196">
        <f>IFERROR($G1817/SUMIF($A:$A,$A1817,$G:$G)*SUMIF(Summary!$A$247:$A$283,$A1817,Summary!$P$247:$P$283),0)</f>
        <v>16286.188150199592</v>
      </c>
      <c r="AJ1817" s="196">
        <f>IFERROR($G1817/SUMIF($A:$A,$A1817,$G:$G)*(SUMIF(Summary!$A$247:$A$283,$A1817,Summary!$L$247:$L$283)+SUMIF(Summary!$A$297:$A$333,$A1817,Summary!$L$297:$L$333))-AI1817,0)</f>
        <v>58368.439702231117</v>
      </c>
      <c r="AK1817" s="196">
        <f>IFERROR($G1817/SUMIF($A:$A,$A1817,$G:$G)*SUMIF(Summary!$A$247:$A$283,$A1817,Summary!$Q$247:$Q$283),0)</f>
        <v>16320.765023946664</v>
      </c>
      <c r="AL1817" s="196">
        <f>IFERROR($G1817/SUMIF($A:$A,$A1817,$G:$G)*(SUMIF(Summary!$A$247:$A$283,$A1817,Summary!$L$247:$L$283)+SUMIF(Summary!$A$297:$A$333,$A1817,Summary!$L$297:$L$333))-AK1817,0)</f>
        <v>58333.862828484052</v>
      </c>
      <c r="AM1817" s="198"/>
      <c r="AN1817" s="196">
        <f t="shared" ca="1" si="404"/>
        <v>384427.39766535547</v>
      </c>
      <c r="AO1817" s="196">
        <f t="shared" ca="1" si="405"/>
        <v>384203.22865911946</v>
      </c>
    </row>
    <row r="1818" spans="1:41">
      <c r="A1818" s="189">
        <v>3646</v>
      </c>
      <c r="B1818" s="190">
        <v>2</v>
      </c>
      <c r="C1818" s="191" t="s">
        <v>227</v>
      </c>
      <c r="D1818" s="192">
        <f t="shared" si="392"/>
        <v>0</v>
      </c>
      <c r="E1818" s="192">
        <f t="shared" si="393"/>
        <v>0</v>
      </c>
      <c r="F1818" s="192">
        <f t="shared" si="394"/>
        <v>0</v>
      </c>
      <c r="G1818" s="193">
        <f t="shared" si="395"/>
        <v>0</v>
      </c>
      <c r="H1818" s="194">
        <v>0</v>
      </c>
      <c r="I1818" s="194">
        <v>0</v>
      </c>
      <c r="J1818" s="194">
        <v>0</v>
      </c>
      <c r="K1818" s="193">
        <f t="shared" si="396"/>
        <v>0</v>
      </c>
      <c r="L1818" s="194">
        <v>0</v>
      </c>
      <c r="M1818" s="194">
        <v>0</v>
      </c>
      <c r="N1818" s="194">
        <v>0</v>
      </c>
      <c r="O1818" s="193">
        <f t="shared" si="397"/>
        <v>0</v>
      </c>
      <c r="P1818" s="194">
        <v>0</v>
      </c>
      <c r="Q1818" s="194">
        <v>0</v>
      </c>
      <c r="R1818" s="194">
        <v>0</v>
      </c>
      <c r="S1818" s="193">
        <f t="shared" si="398"/>
        <v>0</v>
      </c>
      <c r="T1818" s="193">
        <f t="shared" si="399"/>
        <v>0</v>
      </c>
      <c r="U1818" s="193">
        <f ca="1">OFFSET('Expenditure Study'!$B$7,'Operations Support'!$C1818,'Operations Support'!$B1818)*$G1818</f>
        <v>0</v>
      </c>
      <c r="V1818" s="199">
        <f ca="1">U1818*'Expenditure Study'!$B$31</f>
        <v>0</v>
      </c>
      <c r="W1818" s="199">
        <f ca="1">IF(A1818=10298,1.51,1)*IF($B1818&lt;3,$D1818*'Expenditure Study'!$B$32*OFFSET('Expenditure Study'!$B$7,'Operations Support'!$C1818,'Operations Support'!$B1818),0)</f>
        <v>0</v>
      </c>
      <c r="X1818" s="200">
        <f ca="1">W1818*'Expenditure Study'!$B$31</f>
        <v>0</v>
      </c>
      <c r="Y1818" s="199">
        <f ca="1">U1818*'Expenditure Study'!$B$31</f>
        <v>0</v>
      </c>
      <c r="Z1818" s="200">
        <f ca="1">W1818*'Expenditure Study'!$B$31</f>
        <v>0</v>
      </c>
      <c r="AA1818" s="195">
        <f t="shared" ca="1" si="400"/>
        <v>0</v>
      </c>
      <c r="AB1818" s="195">
        <f t="shared" ca="1" si="401"/>
        <v>0</v>
      </c>
      <c r="AD1818" s="196">
        <f>IFERROR($G1818/SUMIF($A:$A,$A1818,$G:$G)*SUMIF(Summary!$A$166:$A$242,$A1818,Summary!$P$166:$P$242),0)</f>
        <v>0</v>
      </c>
      <c r="AE1818" s="197">
        <f t="shared" ca="1" si="402"/>
        <v>0</v>
      </c>
      <c r="AF1818" s="196">
        <f>IFERROR(G1818/SUMIF(A:A,A1818,G:G)*SUMIF(Summary!$A$166:$A$242,'Operations Support'!A1818,Summary!$Q$166:$Q$242),0)</f>
        <v>0</v>
      </c>
      <c r="AG1818" s="196">
        <f t="shared" ca="1" si="403"/>
        <v>0</v>
      </c>
      <c r="AI1818" s="196">
        <f>IFERROR($G1818/SUMIF($A:$A,$A1818,$G:$G)*SUMIF(Summary!$A$247:$A$283,$A1818,Summary!$P$247:$P$283),0)</f>
        <v>0</v>
      </c>
      <c r="AJ1818" s="196">
        <f>IFERROR($G1818/SUMIF($A:$A,$A1818,$G:$G)*(SUMIF(Summary!$A$247:$A$283,$A1818,Summary!$L$247:$L$283)+SUMIF(Summary!$A$297:$A$333,$A1818,Summary!$L$297:$L$333))-AI1818,0)</f>
        <v>0</v>
      </c>
      <c r="AK1818" s="196">
        <f>IFERROR($G1818/SUMIF($A:$A,$A1818,$G:$G)*SUMIF(Summary!$A$247:$A$283,$A1818,Summary!$Q$247:$Q$283),0)</f>
        <v>0</v>
      </c>
      <c r="AL1818" s="196">
        <f>IFERROR($G1818/SUMIF($A:$A,$A1818,$G:$G)*(SUMIF(Summary!$A$247:$A$283,$A1818,Summary!$L$247:$L$283)+SUMIF(Summary!$A$297:$A$333,$A1818,Summary!$L$297:$L$333))-AK1818,0)</f>
        <v>0</v>
      </c>
      <c r="AM1818" s="198"/>
      <c r="AN1818" s="196">
        <f t="shared" ca="1" si="404"/>
        <v>0</v>
      </c>
      <c r="AO1818" s="196">
        <f t="shared" ca="1" si="405"/>
        <v>0</v>
      </c>
    </row>
    <row r="1819" spans="1:41">
      <c r="A1819" s="189">
        <v>3646</v>
      </c>
      <c r="B1819" s="190">
        <v>2</v>
      </c>
      <c r="C1819" s="191" t="s">
        <v>228</v>
      </c>
      <c r="D1819" s="192">
        <f t="shared" si="392"/>
        <v>1506</v>
      </c>
      <c r="E1819" s="192">
        <f t="shared" si="393"/>
        <v>733</v>
      </c>
      <c r="F1819" s="192">
        <f t="shared" si="394"/>
        <v>0</v>
      </c>
      <c r="G1819" s="193">
        <f t="shared" si="395"/>
        <v>2239</v>
      </c>
      <c r="H1819" s="194">
        <v>824</v>
      </c>
      <c r="I1819" s="194">
        <v>321</v>
      </c>
      <c r="J1819" s="194">
        <v>0</v>
      </c>
      <c r="K1819" s="193">
        <f t="shared" si="396"/>
        <v>1145</v>
      </c>
      <c r="L1819" s="194">
        <v>499</v>
      </c>
      <c r="M1819" s="194">
        <v>412</v>
      </c>
      <c r="N1819" s="194">
        <v>0</v>
      </c>
      <c r="O1819" s="193">
        <f t="shared" si="397"/>
        <v>911</v>
      </c>
      <c r="P1819" s="194">
        <v>183</v>
      </c>
      <c r="Q1819" s="194">
        <v>0</v>
      </c>
      <c r="R1819" s="194">
        <v>0</v>
      </c>
      <c r="S1819" s="193">
        <f t="shared" si="398"/>
        <v>183</v>
      </c>
      <c r="T1819" s="193">
        <f t="shared" si="399"/>
        <v>74.63333333333334</v>
      </c>
      <c r="U1819" s="193">
        <f ca="1">OFFSET('Expenditure Study'!$B$7,'Operations Support'!$C1819,'Operations Support'!$B1819)*$G1819</f>
        <v>4276.49</v>
      </c>
      <c r="V1819" s="199">
        <f ca="1">U1819*'Expenditure Study'!$B$31</f>
        <v>252668.63185939199</v>
      </c>
      <c r="W1819" s="199">
        <f ca="1">IF(A1819=10298,1.51,1)*IF($B1819&lt;3,$D1819*'Expenditure Study'!$B$32*OFFSET('Expenditure Study'!$B$7,'Operations Support'!$C1819,'Operations Support'!$B1819),0)</f>
        <v>287.64599999999996</v>
      </c>
      <c r="X1819" s="200">
        <f ca="1">W1819*'Expenditure Study'!$B$31</f>
        <v>16995.040624396799</v>
      </c>
      <c r="Y1819" s="199">
        <f ca="1">U1819*'Expenditure Study'!$B$31</f>
        <v>252668.63185939199</v>
      </c>
      <c r="Z1819" s="200">
        <f ca="1">W1819*'Expenditure Study'!$B$31</f>
        <v>16995.040624396799</v>
      </c>
      <c r="AA1819" s="195">
        <f t="shared" ca="1" si="400"/>
        <v>269663.6724837888</v>
      </c>
      <c r="AB1819" s="195">
        <f t="shared" ca="1" si="401"/>
        <v>269663.6724837888</v>
      </c>
      <c r="AD1819" s="196">
        <f>IFERROR($G1819/SUMIF($A:$A,$A1819,$G:$G)*SUMIF(Summary!$A$166:$A$242,$A1819,Summary!$P$166:$P$242),0)</f>
        <v>52575.305293885205</v>
      </c>
      <c r="AE1819" s="197">
        <f t="shared" ca="1" si="402"/>
        <v>217088.3671899036</v>
      </c>
      <c r="AF1819" s="196">
        <f>IFERROR(G1819/SUMIF(A:A,A1819,G:G)*SUMIF(Summary!$A$166:$A$242,'Operations Support'!A1819,Summary!$Q$166:$Q$242),0)</f>
        <v>52686.926851771852</v>
      </c>
      <c r="AG1819" s="196">
        <f t="shared" ca="1" si="403"/>
        <v>216976.74563201694</v>
      </c>
      <c r="AI1819" s="196">
        <f>IFERROR($G1819/SUMIF($A:$A,$A1819,$G:$G)*SUMIF(Summary!$A$247:$A$283,$A1819,Summary!$P$247:$P$283),0)</f>
        <v>9588.4236834859039</v>
      </c>
      <c r="AJ1819" s="196">
        <f>IFERROR($G1819/SUMIF($A:$A,$A1819,$G:$G)*(SUMIF(Summary!$A$247:$A$283,$A1819,Summary!$L$247:$L$283)+SUMIF(Summary!$A$297:$A$333,$A1819,Summary!$L$297:$L$333))-AI1819,0)</f>
        <v>34364.16946970694</v>
      </c>
      <c r="AK1819" s="196">
        <f>IFERROR($G1819/SUMIF($A:$A,$A1819,$G:$G)*SUMIF(Summary!$A$247:$A$283,$A1819,Summary!$Q$247:$Q$283),0)</f>
        <v>9608.7806701595018</v>
      </c>
      <c r="AL1819" s="196">
        <f>IFERROR($G1819/SUMIF($A:$A,$A1819,$G:$G)*(SUMIF(Summary!$A$247:$A$283,$A1819,Summary!$L$247:$L$283)+SUMIF(Summary!$A$297:$A$333,$A1819,Summary!$L$297:$L$333))-AK1819,0)</f>
        <v>34343.81248303334</v>
      </c>
      <c r="AM1819" s="198"/>
      <c r="AN1819" s="196">
        <f t="shared" ca="1" si="404"/>
        <v>251452.53665961055</v>
      </c>
      <c r="AO1819" s="196">
        <f t="shared" ca="1" si="405"/>
        <v>251320.55811505028</v>
      </c>
    </row>
    <row r="1820" spans="1:41">
      <c r="A1820" s="189">
        <v>3646</v>
      </c>
      <c r="B1820" s="190">
        <v>2</v>
      </c>
      <c r="C1820" s="191" t="s">
        <v>229</v>
      </c>
      <c r="D1820" s="192">
        <f t="shared" si="392"/>
        <v>0</v>
      </c>
      <c r="E1820" s="192">
        <f t="shared" si="393"/>
        <v>351</v>
      </c>
      <c r="F1820" s="192">
        <f t="shared" si="394"/>
        <v>0</v>
      </c>
      <c r="G1820" s="193">
        <f t="shared" si="395"/>
        <v>351</v>
      </c>
      <c r="H1820" s="194">
        <v>0</v>
      </c>
      <c r="I1820" s="194">
        <v>156</v>
      </c>
      <c r="J1820" s="194">
        <v>0</v>
      </c>
      <c r="K1820" s="193">
        <f t="shared" si="396"/>
        <v>156</v>
      </c>
      <c r="L1820" s="194">
        <v>0</v>
      </c>
      <c r="M1820" s="194">
        <v>195</v>
      </c>
      <c r="N1820" s="194">
        <v>0</v>
      </c>
      <c r="O1820" s="193">
        <f t="shared" si="397"/>
        <v>195</v>
      </c>
      <c r="P1820" s="194">
        <v>0</v>
      </c>
      <c r="Q1820" s="194">
        <v>0</v>
      </c>
      <c r="R1820" s="194">
        <v>0</v>
      </c>
      <c r="S1820" s="193">
        <f t="shared" si="398"/>
        <v>0</v>
      </c>
      <c r="T1820" s="193">
        <f t="shared" si="399"/>
        <v>11.7</v>
      </c>
      <c r="U1820" s="193">
        <f ca="1">OFFSET('Expenditure Study'!$B$7,'Operations Support'!$C1820,'Operations Support'!$B1820)*$G1820</f>
        <v>673.92</v>
      </c>
      <c r="V1820" s="199">
        <f ca="1">U1820*'Expenditure Study'!$B$31</f>
        <v>39817.337204735995</v>
      </c>
      <c r="W1820" s="199">
        <f ca="1">IF(A1820=10298,1.51,1)*IF($B1820&lt;3,$D1820*'Expenditure Study'!$B$32*OFFSET('Expenditure Study'!$B$7,'Operations Support'!$C1820,'Operations Support'!$B1820),0)</f>
        <v>0</v>
      </c>
      <c r="X1820" s="200">
        <f ca="1">W1820*'Expenditure Study'!$B$31</f>
        <v>0</v>
      </c>
      <c r="Y1820" s="199">
        <f ca="1">U1820*'Expenditure Study'!$B$31</f>
        <v>39817.337204735995</v>
      </c>
      <c r="Z1820" s="200">
        <f ca="1">W1820*'Expenditure Study'!$B$31</f>
        <v>0</v>
      </c>
      <c r="AA1820" s="195">
        <f t="shared" ca="1" si="400"/>
        <v>39817.337204735995</v>
      </c>
      <c r="AB1820" s="195">
        <f t="shared" ca="1" si="401"/>
        <v>39817.337204735995</v>
      </c>
      <c r="AD1820" s="196">
        <f>IFERROR($G1820/SUMIF($A:$A,$A1820,$G:$G)*SUMIF(Summary!$A$166:$A$242,$A1820,Summary!$P$166:$P$242),0)</f>
        <v>8242.0420536640049</v>
      </c>
      <c r="AE1820" s="197">
        <f t="shared" ca="1" si="402"/>
        <v>31575.29515107199</v>
      </c>
      <c r="AF1820" s="196">
        <f>IFERROR(G1820/SUMIF(A:A,A1820,G:G)*SUMIF(Summary!$A$166:$A$242,'Operations Support'!A1820,Summary!$Q$166:$Q$242),0)</f>
        <v>8259.5405649718268</v>
      </c>
      <c r="AG1820" s="196">
        <f t="shared" ca="1" si="403"/>
        <v>31557.796639764169</v>
      </c>
      <c r="AI1820" s="196">
        <f>IFERROR($G1820/SUMIF($A:$A,$A1820,$G:$G)*SUMIF(Summary!$A$247:$A$283,$A1820,Summary!$P$247:$P$283),0)</f>
        <v>1503.1427927215507</v>
      </c>
      <c r="AJ1820" s="196">
        <f>IFERROR($G1820/SUMIF($A:$A,$A1820,$G:$G)*(SUMIF(Summary!$A$247:$A$283,$A1820,Summary!$L$247:$L$283)+SUMIF(Summary!$A$297:$A$333,$A1820,Summary!$L$297:$L$333))-AI1820,0)</f>
        <v>5387.1476033350318</v>
      </c>
      <c r="AK1820" s="196">
        <f>IFERROR($G1820/SUMIF($A:$A,$A1820,$G:$G)*SUMIF(Summary!$A$247:$A$283,$A1820,Summary!$Q$247:$Q$283),0)</f>
        <v>1506.3340845136154</v>
      </c>
      <c r="AL1820" s="196">
        <f>IFERROR($G1820/SUMIF($A:$A,$A1820,$G:$G)*(SUMIF(Summary!$A$247:$A$283,$A1820,Summary!$L$247:$L$283)+SUMIF(Summary!$A$297:$A$333,$A1820,Summary!$L$297:$L$333))-AK1820,0)</f>
        <v>5383.9563115429673</v>
      </c>
      <c r="AM1820" s="198"/>
      <c r="AN1820" s="196">
        <f t="shared" ca="1" si="404"/>
        <v>36962.44275440702</v>
      </c>
      <c r="AO1820" s="196">
        <f t="shared" ca="1" si="405"/>
        <v>36941.752951307135</v>
      </c>
    </row>
    <row r="1821" spans="1:41">
      <c r="A1821" s="189">
        <v>3646</v>
      </c>
      <c r="B1821" s="190">
        <v>2</v>
      </c>
      <c r="C1821" s="191" t="s">
        <v>230</v>
      </c>
      <c r="D1821" s="192">
        <f t="shared" si="392"/>
        <v>0</v>
      </c>
      <c r="E1821" s="192">
        <f t="shared" si="393"/>
        <v>0</v>
      </c>
      <c r="F1821" s="192">
        <f t="shared" si="394"/>
        <v>0</v>
      </c>
      <c r="G1821" s="193">
        <f t="shared" si="395"/>
        <v>0</v>
      </c>
      <c r="H1821" s="194">
        <v>0</v>
      </c>
      <c r="I1821" s="194">
        <v>0</v>
      </c>
      <c r="J1821" s="194">
        <v>0</v>
      </c>
      <c r="K1821" s="193">
        <f t="shared" si="396"/>
        <v>0</v>
      </c>
      <c r="L1821" s="194">
        <v>0</v>
      </c>
      <c r="M1821" s="194">
        <v>0</v>
      </c>
      <c r="N1821" s="194">
        <v>0</v>
      </c>
      <c r="O1821" s="193">
        <f t="shared" si="397"/>
        <v>0</v>
      </c>
      <c r="P1821" s="194">
        <v>0</v>
      </c>
      <c r="Q1821" s="194">
        <v>0</v>
      </c>
      <c r="R1821" s="194">
        <v>0</v>
      </c>
      <c r="S1821" s="193">
        <f t="shared" si="398"/>
        <v>0</v>
      </c>
      <c r="T1821" s="193">
        <f t="shared" si="399"/>
        <v>0</v>
      </c>
      <c r="U1821" s="193">
        <f ca="1">OFFSET('Expenditure Study'!$B$7,'Operations Support'!$C1821,'Operations Support'!$B1821)*$G1821</f>
        <v>0</v>
      </c>
      <c r="V1821" s="199">
        <f ca="1">U1821*'Expenditure Study'!$B$31</f>
        <v>0</v>
      </c>
      <c r="W1821" s="199">
        <f ca="1">IF(A1821=10298,1.51,1)*IF($B1821&lt;3,$D1821*'Expenditure Study'!$B$32*OFFSET('Expenditure Study'!$B$7,'Operations Support'!$C1821,'Operations Support'!$B1821),0)</f>
        <v>0</v>
      </c>
      <c r="X1821" s="200">
        <f ca="1">W1821*'Expenditure Study'!$B$31</f>
        <v>0</v>
      </c>
      <c r="Y1821" s="199">
        <f ca="1">U1821*'Expenditure Study'!$B$31</f>
        <v>0</v>
      </c>
      <c r="Z1821" s="200">
        <f ca="1">W1821*'Expenditure Study'!$B$31</f>
        <v>0</v>
      </c>
      <c r="AA1821" s="195">
        <f t="shared" ca="1" si="400"/>
        <v>0</v>
      </c>
      <c r="AB1821" s="195">
        <f t="shared" ca="1" si="401"/>
        <v>0</v>
      </c>
      <c r="AD1821" s="196">
        <f>IFERROR($G1821/SUMIF($A:$A,$A1821,$G:$G)*SUMIF(Summary!$A$166:$A$242,$A1821,Summary!$P$166:$P$242),0)</f>
        <v>0</v>
      </c>
      <c r="AE1821" s="197">
        <f t="shared" ca="1" si="402"/>
        <v>0</v>
      </c>
      <c r="AF1821" s="196">
        <f>IFERROR(G1821/SUMIF(A:A,A1821,G:G)*SUMIF(Summary!$A$166:$A$242,'Operations Support'!A1821,Summary!$Q$166:$Q$242),0)</f>
        <v>0</v>
      </c>
      <c r="AG1821" s="196">
        <f t="shared" ca="1" si="403"/>
        <v>0</v>
      </c>
      <c r="AI1821" s="196">
        <f>IFERROR($G1821/SUMIF($A:$A,$A1821,$G:$G)*SUMIF(Summary!$A$247:$A$283,$A1821,Summary!$P$247:$P$283),0)</f>
        <v>0</v>
      </c>
      <c r="AJ1821" s="196">
        <f>IFERROR($G1821/SUMIF($A:$A,$A1821,$G:$G)*(SUMIF(Summary!$A$247:$A$283,$A1821,Summary!$L$247:$L$283)+SUMIF(Summary!$A$297:$A$333,$A1821,Summary!$L$297:$L$333))-AI1821,0)</f>
        <v>0</v>
      </c>
      <c r="AK1821" s="196">
        <f>IFERROR($G1821/SUMIF($A:$A,$A1821,$G:$G)*SUMIF(Summary!$A$247:$A$283,$A1821,Summary!$Q$247:$Q$283),0)</f>
        <v>0</v>
      </c>
      <c r="AL1821" s="196">
        <f>IFERROR($G1821/SUMIF($A:$A,$A1821,$G:$G)*(SUMIF(Summary!$A$247:$A$283,$A1821,Summary!$L$247:$L$283)+SUMIF(Summary!$A$297:$A$333,$A1821,Summary!$L$297:$L$333))-AK1821,0)</f>
        <v>0</v>
      </c>
      <c r="AM1821" s="198"/>
      <c r="AN1821" s="196">
        <f t="shared" ca="1" si="404"/>
        <v>0</v>
      </c>
      <c r="AO1821" s="196">
        <f t="shared" ca="1" si="405"/>
        <v>0</v>
      </c>
    </row>
    <row r="1822" spans="1:41">
      <c r="A1822" s="189">
        <v>3646</v>
      </c>
      <c r="B1822" s="190">
        <v>2</v>
      </c>
      <c r="C1822" s="191" t="s">
        <v>231</v>
      </c>
      <c r="D1822" s="192">
        <f t="shared" si="392"/>
        <v>0</v>
      </c>
      <c r="E1822" s="192">
        <f t="shared" si="393"/>
        <v>0</v>
      </c>
      <c r="F1822" s="192">
        <f t="shared" si="394"/>
        <v>0</v>
      </c>
      <c r="G1822" s="193">
        <f t="shared" si="395"/>
        <v>0</v>
      </c>
      <c r="H1822" s="194">
        <v>0</v>
      </c>
      <c r="I1822" s="194">
        <v>0</v>
      </c>
      <c r="J1822" s="194">
        <v>0</v>
      </c>
      <c r="K1822" s="193">
        <f t="shared" si="396"/>
        <v>0</v>
      </c>
      <c r="L1822" s="194">
        <v>0</v>
      </c>
      <c r="M1822" s="194">
        <v>0</v>
      </c>
      <c r="N1822" s="194">
        <v>0</v>
      </c>
      <c r="O1822" s="193">
        <f t="shared" si="397"/>
        <v>0</v>
      </c>
      <c r="P1822" s="194">
        <v>0</v>
      </c>
      <c r="Q1822" s="194">
        <v>0</v>
      </c>
      <c r="R1822" s="194">
        <v>0</v>
      </c>
      <c r="S1822" s="193">
        <f t="shared" si="398"/>
        <v>0</v>
      </c>
      <c r="T1822" s="193">
        <f t="shared" si="399"/>
        <v>0</v>
      </c>
      <c r="U1822" s="193">
        <f ca="1">OFFSET('Expenditure Study'!$B$7,'Operations Support'!$C1822,'Operations Support'!$B1822)*$G1822</f>
        <v>0</v>
      </c>
      <c r="V1822" s="199">
        <f ca="1">U1822*'Expenditure Study'!$B$31</f>
        <v>0</v>
      </c>
      <c r="W1822" s="199">
        <f ca="1">IF(A1822=10298,1.51,1)*IF($B1822&lt;3,$D1822*'Expenditure Study'!$B$32*OFFSET('Expenditure Study'!$B$7,'Operations Support'!$C1822,'Operations Support'!$B1822),0)</f>
        <v>0</v>
      </c>
      <c r="X1822" s="200">
        <f ca="1">W1822*'Expenditure Study'!$B$31</f>
        <v>0</v>
      </c>
      <c r="Y1822" s="199">
        <f ca="1">U1822*'Expenditure Study'!$B$31</f>
        <v>0</v>
      </c>
      <c r="Z1822" s="200">
        <f ca="1">W1822*'Expenditure Study'!$B$31</f>
        <v>0</v>
      </c>
      <c r="AA1822" s="195">
        <f t="shared" ca="1" si="400"/>
        <v>0</v>
      </c>
      <c r="AB1822" s="195">
        <f t="shared" ca="1" si="401"/>
        <v>0</v>
      </c>
      <c r="AD1822" s="196">
        <f>IFERROR($G1822/SUMIF($A:$A,$A1822,$G:$G)*SUMIF(Summary!$A$166:$A$242,$A1822,Summary!$P$166:$P$242),0)</f>
        <v>0</v>
      </c>
      <c r="AE1822" s="197">
        <f t="shared" ca="1" si="402"/>
        <v>0</v>
      </c>
      <c r="AF1822" s="196">
        <f>IFERROR(G1822/SUMIF(A:A,A1822,G:G)*SUMIF(Summary!$A$166:$A$242,'Operations Support'!A1822,Summary!$Q$166:$Q$242),0)</f>
        <v>0</v>
      </c>
      <c r="AG1822" s="196">
        <f t="shared" ca="1" si="403"/>
        <v>0</v>
      </c>
      <c r="AI1822" s="196">
        <f>IFERROR($G1822/SUMIF($A:$A,$A1822,$G:$G)*SUMIF(Summary!$A$247:$A$283,$A1822,Summary!$P$247:$P$283),0)</f>
        <v>0</v>
      </c>
      <c r="AJ1822" s="196">
        <f>IFERROR($G1822/SUMIF($A:$A,$A1822,$G:$G)*(SUMIF(Summary!$A$247:$A$283,$A1822,Summary!$L$247:$L$283)+SUMIF(Summary!$A$297:$A$333,$A1822,Summary!$L$297:$L$333))-AI1822,0)</f>
        <v>0</v>
      </c>
      <c r="AK1822" s="196">
        <f>IFERROR($G1822/SUMIF($A:$A,$A1822,$G:$G)*SUMIF(Summary!$A$247:$A$283,$A1822,Summary!$Q$247:$Q$283),0)</f>
        <v>0</v>
      </c>
      <c r="AL1822" s="196">
        <f>IFERROR($G1822/SUMIF($A:$A,$A1822,$G:$G)*(SUMIF(Summary!$A$247:$A$283,$A1822,Summary!$L$247:$L$283)+SUMIF(Summary!$A$297:$A$333,$A1822,Summary!$L$297:$L$333))-AK1822,0)</f>
        <v>0</v>
      </c>
      <c r="AM1822" s="198"/>
      <c r="AN1822" s="196">
        <f t="shared" ca="1" si="404"/>
        <v>0</v>
      </c>
      <c r="AO1822" s="196">
        <f t="shared" ca="1" si="405"/>
        <v>0</v>
      </c>
    </row>
    <row r="1823" spans="1:41">
      <c r="A1823" s="189">
        <v>3646</v>
      </c>
      <c r="B1823" s="190">
        <v>2</v>
      </c>
      <c r="C1823" s="191" t="s">
        <v>232</v>
      </c>
      <c r="D1823" s="192">
        <f t="shared" si="392"/>
        <v>0</v>
      </c>
      <c r="E1823" s="192">
        <f t="shared" si="393"/>
        <v>0</v>
      </c>
      <c r="F1823" s="192">
        <f t="shared" si="394"/>
        <v>0</v>
      </c>
      <c r="G1823" s="193">
        <f t="shared" si="395"/>
        <v>0</v>
      </c>
      <c r="H1823" s="194">
        <v>0</v>
      </c>
      <c r="I1823" s="194">
        <v>0</v>
      </c>
      <c r="J1823" s="194">
        <v>0</v>
      </c>
      <c r="K1823" s="193">
        <f t="shared" si="396"/>
        <v>0</v>
      </c>
      <c r="L1823" s="194">
        <v>0</v>
      </c>
      <c r="M1823" s="194">
        <v>0</v>
      </c>
      <c r="N1823" s="194">
        <v>0</v>
      </c>
      <c r="O1823" s="193">
        <f t="shared" si="397"/>
        <v>0</v>
      </c>
      <c r="P1823" s="194">
        <v>0</v>
      </c>
      <c r="Q1823" s="194">
        <v>0</v>
      </c>
      <c r="R1823" s="194">
        <v>0</v>
      </c>
      <c r="S1823" s="193">
        <f t="shared" si="398"/>
        <v>0</v>
      </c>
      <c r="T1823" s="193">
        <f t="shared" si="399"/>
        <v>0</v>
      </c>
      <c r="U1823" s="193">
        <f ca="1">OFFSET('Expenditure Study'!$B$7,'Operations Support'!$C1823,'Operations Support'!$B1823)*$G1823</f>
        <v>0</v>
      </c>
      <c r="V1823" s="199">
        <f ca="1">U1823*'Expenditure Study'!$B$31</f>
        <v>0</v>
      </c>
      <c r="W1823" s="199">
        <f ca="1">IF(A1823=10298,1.51,1)*IF($B1823&lt;3,$D1823*'Expenditure Study'!$B$32*OFFSET('Expenditure Study'!$B$7,'Operations Support'!$C1823,'Operations Support'!$B1823),0)</f>
        <v>0</v>
      </c>
      <c r="X1823" s="200">
        <f ca="1">W1823*'Expenditure Study'!$B$31</f>
        <v>0</v>
      </c>
      <c r="Y1823" s="199">
        <f ca="1">U1823*'Expenditure Study'!$B$31</f>
        <v>0</v>
      </c>
      <c r="Z1823" s="200">
        <f ca="1">W1823*'Expenditure Study'!$B$31</f>
        <v>0</v>
      </c>
      <c r="AA1823" s="195">
        <f t="shared" ca="1" si="400"/>
        <v>0</v>
      </c>
      <c r="AB1823" s="195">
        <f t="shared" ca="1" si="401"/>
        <v>0</v>
      </c>
      <c r="AD1823" s="196">
        <f>IFERROR($G1823/SUMIF($A:$A,$A1823,$G:$G)*SUMIF(Summary!$A$166:$A$242,$A1823,Summary!$P$166:$P$242),0)</f>
        <v>0</v>
      </c>
      <c r="AE1823" s="197">
        <f t="shared" ca="1" si="402"/>
        <v>0</v>
      </c>
      <c r="AF1823" s="196">
        <f>IFERROR(G1823/SUMIF(A:A,A1823,G:G)*SUMIF(Summary!$A$166:$A$242,'Operations Support'!A1823,Summary!$Q$166:$Q$242),0)</f>
        <v>0</v>
      </c>
      <c r="AG1823" s="196">
        <f t="shared" ca="1" si="403"/>
        <v>0</v>
      </c>
      <c r="AI1823" s="196">
        <f>IFERROR($G1823/SUMIF($A:$A,$A1823,$G:$G)*SUMIF(Summary!$A$247:$A$283,$A1823,Summary!$P$247:$P$283),0)</f>
        <v>0</v>
      </c>
      <c r="AJ1823" s="196">
        <f>IFERROR($G1823/SUMIF($A:$A,$A1823,$G:$G)*(SUMIF(Summary!$A$247:$A$283,$A1823,Summary!$L$247:$L$283)+SUMIF(Summary!$A$297:$A$333,$A1823,Summary!$L$297:$L$333))-AI1823,0)</f>
        <v>0</v>
      </c>
      <c r="AK1823" s="196">
        <f>IFERROR($G1823/SUMIF($A:$A,$A1823,$G:$G)*SUMIF(Summary!$A$247:$A$283,$A1823,Summary!$Q$247:$Q$283),0)</f>
        <v>0</v>
      </c>
      <c r="AL1823" s="196">
        <f>IFERROR($G1823/SUMIF($A:$A,$A1823,$G:$G)*(SUMIF(Summary!$A$247:$A$283,$A1823,Summary!$L$247:$L$283)+SUMIF(Summary!$A$297:$A$333,$A1823,Summary!$L$297:$L$333))-AK1823,0)</f>
        <v>0</v>
      </c>
      <c r="AM1823" s="198"/>
      <c r="AN1823" s="196">
        <f t="shared" ca="1" si="404"/>
        <v>0</v>
      </c>
      <c r="AO1823" s="196">
        <f t="shared" ca="1" si="405"/>
        <v>0</v>
      </c>
    </row>
    <row r="1824" spans="1:41" s="201" customFormat="1">
      <c r="A1824" s="189">
        <v>3646</v>
      </c>
      <c r="B1824" s="190">
        <v>2</v>
      </c>
      <c r="C1824" s="191" t="s">
        <v>233</v>
      </c>
      <c r="D1824" s="192">
        <f t="shared" si="392"/>
        <v>2672</v>
      </c>
      <c r="E1824" s="192">
        <f t="shared" si="393"/>
        <v>8259</v>
      </c>
      <c r="F1824" s="192">
        <f t="shared" si="394"/>
        <v>0</v>
      </c>
      <c r="G1824" s="193">
        <f t="shared" si="395"/>
        <v>10931</v>
      </c>
      <c r="H1824" s="194">
        <v>1332</v>
      </c>
      <c r="I1824" s="194">
        <v>3533</v>
      </c>
      <c r="J1824" s="194">
        <v>0</v>
      </c>
      <c r="K1824" s="193">
        <f t="shared" si="396"/>
        <v>4865</v>
      </c>
      <c r="L1824" s="194">
        <v>1181</v>
      </c>
      <c r="M1824" s="194">
        <v>3180</v>
      </c>
      <c r="N1824" s="194">
        <v>0</v>
      </c>
      <c r="O1824" s="193">
        <f t="shared" si="397"/>
        <v>4361</v>
      </c>
      <c r="P1824" s="194">
        <v>159</v>
      </c>
      <c r="Q1824" s="194">
        <v>1546</v>
      </c>
      <c r="R1824" s="194">
        <v>0</v>
      </c>
      <c r="S1824" s="193">
        <f t="shared" si="398"/>
        <v>1705</v>
      </c>
      <c r="T1824" s="193">
        <f t="shared" si="399"/>
        <v>364.36666666666667</v>
      </c>
      <c r="U1824" s="193">
        <f ca="1">OFFSET('Expenditure Study'!$B$7,'Operations Support'!$C1824,'Operations Support'!$B1824)*$G1824</f>
        <v>17598.91</v>
      </c>
      <c r="V1824" s="199">
        <f ca="1">U1824*'Expenditure Study'!$B$31</f>
        <v>1039799.5814129281</v>
      </c>
      <c r="W1824" s="199">
        <f ca="1">IF(A1824=10298,1.51,1)*IF($B1824&lt;3,$D1824*'Expenditure Study'!$B$32*OFFSET('Expenditure Study'!$B$7,'Operations Support'!$C1824,'Operations Support'!$B1824),0)</f>
        <v>430.19200000000001</v>
      </c>
      <c r="X1824" s="200">
        <f ca="1">W1824*'Expenditure Study'!$B$31</f>
        <v>25417.111714713599</v>
      </c>
      <c r="Y1824" s="199">
        <f ca="1">U1824*'Expenditure Study'!$B$31</f>
        <v>1039799.5814129281</v>
      </c>
      <c r="Z1824" s="200">
        <f ca="1">W1824*'Expenditure Study'!$B$31</f>
        <v>25417.111714713599</v>
      </c>
      <c r="AA1824" s="195">
        <f t="shared" ca="1" si="400"/>
        <v>1065216.6931276417</v>
      </c>
      <c r="AB1824" s="195">
        <f t="shared" ca="1" si="401"/>
        <v>1065216.6931276417</v>
      </c>
      <c r="AD1824" s="196">
        <f>IFERROR($G1824/SUMIF($A:$A,$A1824,$G:$G)*SUMIF(Summary!$A$166:$A$242,$A1824,Summary!$P$166:$P$242),0)</f>
        <v>256677.38372820863</v>
      </c>
      <c r="AE1824" s="197">
        <f t="shared" ca="1" si="402"/>
        <v>808539.30939943308</v>
      </c>
      <c r="AF1824" s="196">
        <f>IFERROR(G1824/SUMIF(A:A,A1824,G:G)*SUMIF(Summary!$A$166:$A$242,'Operations Support'!A1824,Summary!$Q$166:$Q$242),0)</f>
        <v>257222.33024417958</v>
      </c>
      <c r="AG1824" s="196">
        <f t="shared" ca="1" si="403"/>
        <v>807994.3628834621</v>
      </c>
      <c r="AH1824" s="180"/>
      <c r="AI1824" s="196">
        <f>IFERROR($G1824/SUMIF($A:$A,$A1824,$G:$G)*SUMIF(Summary!$A$247:$A$283,$A1824,Summary!$P$247:$P$283),0)</f>
        <v>46811.549479314155</v>
      </c>
      <c r="AJ1824" s="196">
        <f>IFERROR($G1824/SUMIF($A:$A,$A1824,$G:$G)*(SUMIF(Summary!$A$247:$A$283,$A1824,Summary!$L$247:$L$283)+SUMIF(Summary!$A$297:$A$333,$A1824,Summary!$L$297:$L$333))-AI1824,0)</f>
        <v>167768.97564688101</v>
      </c>
      <c r="AK1824" s="196">
        <f>IFERROR($G1824/SUMIF($A:$A,$A1824,$G:$G)*SUMIF(Summary!$A$247:$A$283,$A1824,Summary!$Q$247:$Q$283),0)</f>
        <v>46910.934124838539</v>
      </c>
      <c r="AL1824" s="196">
        <f>IFERROR($G1824/SUMIF($A:$A,$A1824,$G:$G)*(SUMIF(Summary!$A$247:$A$283,$A1824,Summary!$L$247:$L$283)+SUMIF(Summary!$A$297:$A$333,$A1824,Summary!$L$297:$L$333))-AK1824,0)</f>
        <v>167669.59100135663</v>
      </c>
      <c r="AM1824" s="198"/>
      <c r="AN1824" s="196">
        <f t="shared" ca="1" si="404"/>
        <v>976308.28504631412</v>
      </c>
      <c r="AO1824" s="196">
        <f t="shared" ca="1" si="405"/>
        <v>975663.95388481871</v>
      </c>
    </row>
    <row r="1825" spans="1:41">
      <c r="A1825" s="189">
        <v>3646</v>
      </c>
      <c r="B1825" s="190">
        <v>2</v>
      </c>
      <c r="C1825" s="191" t="s">
        <v>234</v>
      </c>
      <c r="D1825" s="192">
        <f t="shared" si="392"/>
        <v>0</v>
      </c>
      <c r="E1825" s="192">
        <f t="shared" si="393"/>
        <v>0</v>
      </c>
      <c r="F1825" s="192">
        <f t="shared" si="394"/>
        <v>0</v>
      </c>
      <c r="G1825" s="193">
        <f t="shared" si="395"/>
        <v>0</v>
      </c>
      <c r="H1825" s="194">
        <v>0</v>
      </c>
      <c r="I1825" s="194">
        <v>0</v>
      </c>
      <c r="J1825" s="194">
        <v>0</v>
      </c>
      <c r="K1825" s="193">
        <f t="shared" si="396"/>
        <v>0</v>
      </c>
      <c r="L1825" s="194">
        <v>0</v>
      </c>
      <c r="M1825" s="194">
        <v>0</v>
      </c>
      <c r="N1825" s="194">
        <v>0</v>
      </c>
      <c r="O1825" s="193">
        <f t="shared" si="397"/>
        <v>0</v>
      </c>
      <c r="P1825" s="194">
        <v>0</v>
      </c>
      <c r="Q1825" s="194">
        <v>0</v>
      </c>
      <c r="R1825" s="194">
        <v>0</v>
      </c>
      <c r="S1825" s="193">
        <f t="shared" si="398"/>
        <v>0</v>
      </c>
      <c r="T1825" s="193">
        <f t="shared" si="399"/>
        <v>0</v>
      </c>
      <c r="U1825" s="193">
        <f ca="1">OFFSET('Expenditure Study'!$B$7,'Operations Support'!$C1825,'Operations Support'!$B1825)*$G1825</f>
        <v>0</v>
      </c>
      <c r="V1825" s="199">
        <f ca="1">U1825*'Expenditure Study'!$B$31</f>
        <v>0</v>
      </c>
      <c r="W1825" s="199">
        <f ca="1">IF(A1825=10298,1.51,1)*IF($B1825&lt;3,$D1825*'Expenditure Study'!$B$32*OFFSET('Expenditure Study'!$B$7,'Operations Support'!$C1825,'Operations Support'!$B1825),0)</f>
        <v>0</v>
      </c>
      <c r="X1825" s="200">
        <f ca="1">W1825*'Expenditure Study'!$B$31</f>
        <v>0</v>
      </c>
      <c r="Y1825" s="199">
        <f ca="1">U1825*'Expenditure Study'!$B$31</f>
        <v>0</v>
      </c>
      <c r="Z1825" s="200">
        <f ca="1">W1825*'Expenditure Study'!$B$31</f>
        <v>0</v>
      </c>
      <c r="AA1825" s="195">
        <f t="shared" ca="1" si="400"/>
        <v>0</v>
      </c>
      <c r="AB1825" s="195">
        <f t="shared" ca="1" si="401"/>
        <v>0</v>
      </c>
      <c r="AD1825" s="196">
        <f>IFERROR($G1825/SUMIF($A:$A,$A1825,$G:$G)*SUMIF(Summary!$A$166:$A$242,$A1825,Summary!$P$166:$P$242),0)</f>
        <v>0</v>
      </c>
      <c r="AE1825" s="197">
        <f t="shared" ca="1" si="402"/>
        <v>0</v>
      </c>
      <c r="AF1825" s="196">
        <f>IFERROR(G1825/SUMIF(A:A,A1825,G:G)*SUMIF(Summary!$A$166:$A$242,'Operations Support'!A1825,Summary!$Q$166:$Q$242),0)</f>
        <v>0</v>
      </c>
      <c r="AG1825" s="196">
        <f t="shared" ca="1" si="403"/>
        <v>0</v>
      </c>
      <c r="AI1825" s="196">
        <f>IFERROR($G1825/SUMIF($A:$A,$A1825,$G:$G)*SUMIF(Summary!$A$247:$A$283,$A1825,Summary!$P$247:$P$283),0)</f>
        <v>0</v>
      </c>
      <c r="AJ1825" s="196">
        <f>IFERROR($G1825/SUMIF($A:$A,$A1825,$G:$G)*(SUMIF(Summary!$A$247:$A$283,$A1825,Summary!$L$247:$L$283)+SUMIF(Summary!$A$297:$A$333,$A1825,Summary!$L$297:$L$333))-AI1825,0)</f>
        <v>0</v>
      </c>
      <c r="AK1825" s="196">
        <f>IFERROR($G1825/SUMIF($A:$A,$A1825,$G:$G)*SUMIF(Summary!$A$247:$A$283,$A1825,Summary!$Q$247:$Q$283),0)</f>
        <v>0</v>
      </c>
      <c r="AL1825" s="196">
        <f>IFERROR($G1825/SUMIF($A:$A,$A1825,$G:$G)*(SUMIF(Summary!$A$247:$A$283,$A1825,Summary!$L$247:$L$283)+SUMIF(Summary!$A$297:$A$333,$A1825,Summary!$L$297:$L$333))-AK1825,0)</f>
        <v>0</v>
      </c>
      <c r="AM1825" s="198"/>
      <c r="AN1825" s="196">
        <f t="shared" ca="1" si="404"/>
        <v>0</v>
      </c>
      <c r="AO1825" s="196">
        <f t="shared" ca="1" si="405"/>
        <v>0</v>
      </c>
    </row>
    <row r="1826" spans="1:41">
      <c r="A1826" s="189">
        <v>3646</v>
      </c>
      <c r="B1826" s="190">
        <v>2</v>
      </c>
      <c r="C1826" s="191" t="s">
        <v>235</v>
      </c>
      <c r="D1826" s="192">
        <f t="shared" si="392"/>
        <v>7866</v>
      </c>
      <c r="E1826" s="192">
        <f t="shared" si="393"/>
        <v>8916</v>
      </c>
      <c r="F1826" s="192">
        <f t="shared" si="394"/>
        <v>0</v>
      </c>
      <c r="G1826" s="193">
        <f t="shared" si="395"/>
        <v>16782</v>
      </c>
      <c r="H1826" s="194">
        <v>3624</v>
      </c>
      <c r="I1826" s="194">
        <v>3678</v>
      </c>
      <c r="J1826" s="194">
        <v>0</v>
      </c>
      <c r="K1826" s="193">
        <f t="shared" si="396"/>
        <v>7302</v>
      </c>
      <c r="L1826" s="194">
        <v>3000</v>
      </c>
      <c r="M1826" s="194">
        <v>3444</v>
      </c>
      <c r="N1826" s="194">
        <v>0</v>
      </c>
      <c r="O1826" s="193">
        <f t="shared" si="397"/>
        <v>6444</v>
      </c>
      <c r="P1826" s="194">
        <v>1242</v>
      </c>
      <c r="Q1826" s="194">
        <v>1794</v>
      </c>
      <c r="R1826" s="194">
        <v>0</v>
      </c>
      <c r="S1826" s="193">
        <f t="shared" si="398"/>
        <v>3036</v>
      </c>
      <c r="T1826" s="193">
        <f t="shared" si="399"/>
        <v>559.4</v>
      </c>
      <c r="U1826" s="193">
        <f ca="1">OFFSET('Expenditure Study'!$B$7,'Operations Support'!$C1826,'Operations Support'!$B1826)*$G1826</f>
        <v>31382.34</v>
      </c>
      <c r="V1826" s="199">
        <f ca="1">U1826*'Expenditure Study'!$B$31</f>
        <v>1854168.468147072</v>
      </c>
      <c r="W1826" s="199">
        <f ca="1">IF(A1826=10298,1.51,1)*IF($B1826&lt;3,$D1826*'Expenditure Study'!$B$32*OFFSET('Expenditure Study'!$B$7,'Operations Support'!$C1826,'Operations Support'!$B1826),0)</f>
        <v>1470.9420000000002</v>
      </c>
      <c r="X1826" s="200">
        <f ca="1">W1826*'Expenditure Study'!$B$31</f>
        <v>86907.93213231361</v>
      </c>
      <c r="Y1826" s="199">
        <f ca="1">U1826*'Expenditure Study'!$B$31</f>
        <v>1854168.468147072</v>
      </c>
      <c r="Z1826" s="200">
        <f ca="1">W1826*'Expenditure Study'!$B$31</f>
        <v>86907.93213231361</v>
      </c>
      <c r="AA1826" s="195">
        <f t="shared" ca="1" si="400"/>
        <v>1941076.4002793855</v>
      </c>
      <c r="AB1826" s="195">
        <f t="shared" ca="1" si="401"/>
        <v>1941076.4002793855</v>
      </c>
      <c r="AD1826" s="196">
        <f>IFERROR($G1826/SUMIF($A:$A,$A1826,$G:$G)*SUMIF(Summary!$A$166:$A$242,$A1826,Summary!$P$166:$P$242),0)</f>
        <v>394068.23289056786</v>
      </c>
      <c r="AE1826" s="197">
        <f t="shared" ca="1" si="402"/>
        <v>1547008.1673888178</v>
      </c>
      <c r="AF1826" s="196">
        <f>IFERROR(G1826/SUMIF(A:A,A1826,G:G)*SUMIF(Summary!$A$166:$A$242,'Operations Support'!A1826,Summary!$Q$166:$Q$242),0)</f>
        <v>394904.87111497781</v>
      </c>
      <c r="AG1826" s="196">
        <f t="shared" ca="1" si="403"/>
        <v>1546171.5291644076</v>
      </c>
      <c r="AI1826" s="196">
        <f>IFERROR($G1826/SUMIF($A:$A,$A1826,$G:$G)*SUMIF(Summary!$A$247:$A$283,$A1826,Summary!$P$247:$P$283),0)</f>
        <v>71868.211816105599</v>
      </c>
      <c r="AJ1826" s="196">
        <f>IFERROR($G1826/SUMIF($A:$A,$A1826,$G:$G)*(SUMIF(Summary!$A$247:$A$283,$A1826,Summary!$L$247:$L$283)+SUMIF(Summary!$A$297:$A$333,$A1826,Summary!$L$297:$L$333))-AI1826,0)</f>
        <v>257570.1170346681</v>
      </c>
      <c r="AK1826" s="196">
        <f>IFERROR($G1826/SUMIF($A:$A,$A1826,$G:$G)*SUMIF(Summary!$A$247:$A$283,$A1826,Summary!$Q$247:$Q$283),0)</f>
        <v>72020.793750163793</v>
      </c>
      <c r="AL1826" s="196">
        <f>IFERROR($G1826/SUMIF($A:$A,$A1826,$G:$G)*(SUMIF(Summary!$A$247:$A$283,$A1826,Summary!$L$247:$L$283)+SUMIF(Summary!$A$297:$A$333,$A1826,Summary!$L$297:$L$333))-AK1826,0)</f>
        <v>257417.53510060988</v>
      </c>
      <c r="AM1826" s="198"/>
      <c r="AN1826" s="196">
        <f t="shared" ca="1" si="404"/>
        <v>1804578.2844234859</v>
      </c>
      <c r="AO1826" s="196">
        <f t="shared" ca="1" si="405"/>
        <v>1803589.0642650174</v>
      </c>
    </row>
    <row r="1827" spans="1:41">
      <c r="A1827" s="189">
        <v>3646</v>
      </c>
      <c r="B1827" s="190">
        <v>2</v>
      </c>
      <c r="C1827" s="191" t="s">
        <v>236</v>
      </c>
      <c r="D1827" s="192">
        <f t="shared" si="392"/>
        <v>0</v>
      </c>
      <c r="E1827" s="192">
        <f t="shared" si="393"/>
        <v>0</v>
      </c>
      <c r="F1827" s="192">
        <f t="shared" si="394"/>
        <v>0</v>
      </c>
      <c r="G1827" s="193">
        <f t="shared" si="395"/>
        <v>0</v>
      </c>
      <c r="H1827" s="194">
        <v>0</v>
      </c>
      <c r="I1827" s="194">
        <v>0</v>
      </c>
      <c r="J1827" s="194">
        <v>0</v>
      </c>
      <c r="K1827" s="193">
        <f t="shared" si="396"/>
        <v>0</v>
      </c>
      <c r="L1827" s="194">
        <v>0</v>
      </c>
      <c r="M1827" s="194">
        <v>0</v>
      </c>
      <c r="N1827" s="194">
        <v>0</v>
      </c>
      <c r="O1827" s="193">
        <f t="shared" si="397"/>
        <v>0</v>
      </c>
      <c r="P1827" s="194">
        <v>0</v>
      </c>
      <c r="Q1827" s="194">
        <v>0</v>
      </c>
      <c r="R1827" s="194">
        <v>0</v>
      </c>
      <c r="S1827" s="193">
        <f t="shared" si="398"/>
        <v>0</v>
      </c>
      <c r="T1827" s="193">
        <f t="shared" si="399"/>
        <v>0</v>
      </c>
      <c r="U1827" s="193">
        <f ca="1">OFFSET('Expenditure Study'!$B$7,'Operations Support'!$C1827,'Operations Support'!$B1827)*$G1827</f>
        <v>0</v>
      </c>
      <c r="V1827" s="199">
        <f ca="1">U1827*'Expenditure Study'!$B$31</f>
        <v>0</v>
      </c>
      <c r="W1827" s="199">
        <f ca="1">IF(A1827=10298,1.51,1)*IF($B1827&lt;3,$D1827*'Expenditure Study'!$B$32*OFFSET('Expenditure Study'!$B$7,'Operations Support'!$C1827,'Operations Support'!$B1827),0)</f>
        <v>0</v>
      </c>
      <c r="X1827" s="200">
        <f ca="1">W1827*'Expenditure Study'!$B$31</f>
        <v>0</v>
      </c>
      <c r="Y1827" s="199">
        <f ca="1">U1827*'Expenditure Study'!$B$31</f>
        <v>0</v>
      </c>
      <c r="Z1827" s="200">
        <f ca="1">W1827*'Expenditure Study'!$B$31</f>
        <v>0</v>
      </c>
      <c r="AA1827" s="195">
        <f t="shared" ca="1" si="400"/>
        <v>0</v>
      </c>
      <c r="AB1827" s="195">
        <f t="shared" ca="1" si="401"/>
        <v>0</v>
      </c>
      <c r="AD1827" s="196">
        <f>IFERROR($G1827/SUMIF($A:$A,$A1827,$G:$G)*SUMIF(Summary!$A$166:$A$242,$A1827,Summary!$P$166:$P$242),0)</f>
        <v>0</v>
      </c>
      <c r="AE1827" s="197">
        <f t="shared" ca="1" si="402"/>
        <v>0</v>
      </c>
      <c r="AF1827" s="196">
        <f>IFERROR(G1827/SUMIF(A:A,A1827,G:G)*SUMIF(Summary!$A$166:$A$242,'Operations Support'!A1827,Summary!$Q$166:$Q$242),0)</f>
        <v>0</v>
      </c>
      <c r="AG1827" s="196">
        <f t="shared" ca="1" si="403"/>
        <v>0</v>
      </c>
      <c r="AI1827" s="196">
        <f>IFERROR($G1827/SUMIF($A:$A,$A1827,$G:$G)*SUMIF(Summary!$A$247:$A$283,$A1827,Summary!$P$247:$P$283),0)</f>
        <v>0</v>
      </c>
      <c r="AJ1827" s="196">
        <f>IFERROR($G1827/SUMIF($A:$A,$A1827,$G:$G)*(SUMIF(Summary!$A$247:$A$283,$A1827,Summary!$L$247:$L$283)+SUMIF(Summary!$A$297:$A$333,$A1827,Summary!$L$297:$L$333))-AI1827,0)</f>
        <v>0</v>
      </c>
      <c r="AK1827" s="196">
        <f>IFERROR($G1827/SUMIF($A:$A,$A1827,$G:$G)*SUMIF(Summary!$A$247:$A$283,$A1827,Summary!$Q$247:$Q$283),0)</f>
        <v>0</v>
      </c>
      <c r="AL1827" s="196">
        <f>IFERROR($G1827/SUMIF($A:$A,$A1827,$G:$G)*(SUMIF(Summary!$A$247:$A$283,$A1827,Summary!$L$247:$L$283)+SUMIF(Summary!$A$297:$A$333,$A1827,Summary!$L$297:$L$333))-AK1827,0)</f>
        <v>0</v>
      </c>
      <c r="AM1827" s="198"/>
      <c r="AN1827" s="196">
        <f t="shared" ca="1" si="404"/>
        <v>0</v>
      </c>
      <c r="AO1827" s="196">
        <f t="shared" ca="1" si="405"/>
        <v>0</v>
      </c>
    </row>
    <row r="1828" spans="1:41">
      <c r="A1828" s="189">
        <v>3646</v>
      </c>
      <c r="B1828" s="190">
        <v>2</v>
      </c>
      <c r="C1828" s="191" t="s">
        <v>237</v>
      </c>
      <c r="D1828" s="192">
        <f t="shared" si="392"/>
        <v>90</v>
      </c>
      <c r="E1828" s="192">
        <f t="shared" si="393"/>
        <v>552</v>
      </c>
      <c r="F1828" s="192">
        <f t="shared" si="394"/>
        <v>0</v>
      </c>
      <c r="G1828" s="193">
        <f t="shared" si="395"/>
        <v>642</v>
      </c>
      <c r="H1828" s="194">
        <v>42</v>
      </c>
      <c r="I1828" s="194">
        <v>324</v>
      </c>
      <c r="J1828" s="194">
        <v>0</v>
      </c>
      <c r="K1828" s="193">
        <f t="shared" si="396"/>
        <v>366</v>
      </c>
      <c r="L1828" s="194">
        <v>48</v>
      </c>
      <c r="M1828" s="194">
        <v>228</v>
      </c>
      <c r="N1828" s="194">
        <v>0</v>
      </c>
      <c r="O1828" s="193">
        <f t="shared" si="397"/>
        <v>276</v>
      </c>
      <c r="P1828" s="194">
        <v>0</v>
      </c>
      <c r="Q1828" s="194">
        <v>0</v>
      </c>
      <c r="R1828" s="194">
        <v>0</v>
      </c>
      <c r="S1828" s="193">
        <f t="shared" si="398"/>
        <v>0</v>
      </c>
      <c r="T1828" s="193">
        <f t="shared" si="399"/>
        <v>21.4</v>
      </c>
      <c r="U1828" s="193">
        <f ca="1">OFFSET('Expenditure Study'!$B$7,'Operations Support'!$C1828,'Operations Support'!$B1828)*$G1828</f>
        <v>1502.28</v>
      </c>
      <c r="V1828" s="199">
        <f ca="1">U1828*'Expenditure Study'!$B$31</f>
        <v>88759.480852224006</v>
      </c>
      <c r="W1828" s="199">
        <f ca="1">IF(A1828=10298,1.51,1)*IF($B1828&lt;3,$D1828*'Expenditure Study'!$B$32*OFFSET('Expenditure Study'!$B$7,'Operations Support'!$C1828,'Operations Support'!$B1828),0)</f>
        <v>21.06</v>
      </c>
      <c r="X1828" s="200">
        <f ca="1">W1828*'Expenditure Study'!$B$31</f>
        <v>1244.2917876479999</v>
      </c>
      <c r="Y1828" s="199">
        <f ca="1">U1828*'Expenditure Study'!$B$31</f>
        <v>88759.480852224006</v>
      </c>
      <c r="Z1828" s="200">
        <f ca="1">W1828*'Expenditure Study'!$B$31</f>
        <v>1244.2917876479999</v>
      </c>
      <c r="AA1828" s="195">
        <f t="shared" ca="1" si="400"/>
        <v>90003.772639872011</v>
      </c>
      <c r="AB1828" s="195">
        <f t="shared" ca="1" si="401"/>
        <v>90003.772639872011</v>
      </c>
      <c r="AD1828" s="196">
        <f>IFERROR($G1828/SUMIF($A:$A,$A1828,$G:$G)*SUMIF(Summary!$A$166:$A$242,$A1828,Summary!$P$166:$P$242),0)</f>
        <v>15075.188029778607</v>
      </c>
      <c r="AE1828" s="197">
        <f t="shared" ca="1" si="402"/>
        <v>74928.5846100934</v>
      </c>
      <c r="AF1828" s="196">
        <f>IFERROR(G1828/SUMIF(A:A,A1828,G:G)*SUMIF(Summary!$A$166:$A$242,'Operations Support'!A1828,Summary!$Q$166:$Q$242),0)</f>
        <v>15107.193853880093</v>
      </c>
      <c r="AG1828" s="196">
        <f t="shared" ca="1" si="403"/>
        <v>74896.578785991922</v>
      </c>
      <c r="AI1828" s="196">
        <f>IFERROR($G1828/SUMIF($A:$A,$A1828,$G:$G)*SUMIF(Summary!$A$247:$A$283,$A1828,Summary!$P$247:$P$283),0)</f>
        <v>2749.3380995077937</v>
      </c>
      <c r="AJ1828" s="196">
        <f>IFERROR($G1828/SUMIF($A:$A,$A1828,$G:$G)*(SUMIF(Summary!$A$247:$A$283,$A1828,Summary!$L$247:$L$283)+SUMIF(Summary!$A$297:$A$333,$A1828,Summary!$L$297:$L$333))-AI1828,0)</f>
        <v>9853.4152744760413</v>
      </c>
      <c r="AK1828" s="196">
        <f>IFERROR($G1828/SUMIF($A:$A,$A1828,$G:$G)*SUMIF(Summary!$A$247:$A$283,$A1828,Summary!$Q$247:$Q$283),0)</f>
        <v>2755.1751631274674</v>
      </c>
      <c r="AL1828" s="196">
        <f>IFERROR($G1828/SUMIF($A:$A,$A1828,$G:$G)*(SUMIF(Summary!$A$247:$A$283,$A1828,Summary!$L$247:$L$283)+SUMIF(Summary!$A$297:$A$333,$A1828,Summary!$L$297:$L$333))-AK1828,0)</f>
        <v>9847.5782108563671</v>
      </c>
      <c r="AM1828" s="198"/>
      <c r="AN1828" s="196">
        <f t="shared" ca="1" si="404"/>
        <v>84781.999884569435</v>
      </c>
      <c r="AO1828" s="196">
        <f t="shared" ca="1" si="405"/>
        <v>84744.156996848295</v>
      </c>
    </row>
    <row r="1829" spans="1:41">
      <c r="A1829" s="189">
        <v>3646</v>
      </c>
      <c r="B1829" s="190">
        <v>2</v>
      </c>
      <c r="C1829" s="191" t="s">
        <v>238</v>
      </c>
      <c r="D1829" s="192">
        <f t="shared" si="392"/>
        <v>330</v>
      </c>
      <c r="E1829" s="192">
        <f t="shared" si="393"/>
        <v>0</v>
      </c>
      <c r="F1829" s="192">
        <f t="shared" si="394"/>
        <v>0</v>
      </c>
      <c r="G1829" s="193">
        <f t="shared" si="395"/>
        <v>330</v>
      </c>
      <c r="H1829" s="194">
        <v>96</v>
      </c>
      <c r="I1829" s="194">
        <v>0</v>
      </c>
      <c r="J1829" s="194">
        <v>0</v>
      </c>
      <c r="K1829" s="193">
        <f t="shared" si="396"/>
        <v>96</v>
      </c>
      <c r="L1829" s="194">
        <v>213</v>
      </c>
      <c r="M1829" s="194">
        <v>0</v>
      </c>
      <c r="N1829" s="194">
        <v>0</v>
      </c>
      <c r="O1829" s="193">
        <f t="shared" si="397"/>
        <v>213</v>
      </c>
      <c r="P1829" s="194">
        <v>21</v>
      </c>
      <c r="Q1829" s="194">
        <v>0</v>
      </c>
      <c r="R1829" s="194">
        <v>0</v>
      </c>
      <c r="S1829" s="193">
        <f t="shared" si="398"/>
        <v>21</v>
      </c>
      <c r="T1829" s="193">
        <f t="shared" si="399"/>
        <v>11</v>
      </c>
      <c r="U1829" s="193">
        <f ca="1">OFFSET('Expenditure Study'!$B$7,'Operations Support'!$C1829,'Operations Support'!$B1829)*$G1829</f>
        <v>792</v>
      </c>
      <c r="V1829" s="199">
        <f ca="1">U1829*'Expenditure Study'!$B$31</f>
        <v>46793.879193599998</v>
      </c>
      <c r="W1829" s="199">
        <f ca="1">IF(A1829=10298,1.51,1)*IF($B1829&lt;3,$D1829*'Expenditure Study'!$B$32*OFFSET('Expenditure Study'!$B$7,'Operations Support'!$C1829,'Operations Support'!$B1829),0)</f>
        <v>79.2</v>
      </c>
      <c r="X1829" s="200">
        <f ca="1">W1829*'Expenditure Study'!$B$31</f>
        <v>4679.3879193600005</v>
      </c>
      <c r="Y1829" s="199">
        <f ca="1">U1829*'Expenditure Study'!$B$31</f>
        <v>46793.879193599998</v>
      </c>
      <c r="Z1829" s="200">
        <f ca="1">W1829*'Expenditure Study'!$B$31</f>
        <v>4679.3879193600005</v>
      </c>
      <c r="AA1829" s="195">
        <f t="shared" ca="1" si="400"/>
        <v>51473.267112959998</v>
      </c>
      <c r="AB1829" s="195">
        <f t="shared" ca="1" si="401"/>
        <v>51473.267112959998</v>
      </c>
      <c r="AD1829" s="196">
        <f>IFERROR($G1829/SUMIF($A:$A,$A1829,$G:$G)*SUMIF(Summary!$A$166:$A$242,$A1829,Summary!$P$166:$P$242),0)</f>
        <v>7748.9284265217129</v>
      </c>
      <c r="AE1829" s="197">
        <f t="shared" ca="1" si="402"/>
        <v>43724.338686438285</v>
      </c>
      <c r="AF1829" s="196">
        <f>IFERROR(G1829/SUMIF(A:A,A1829,G:G)*SUMIF(Summary!$A$166:$A$242,'Operations Support'!A1829,Summary!$Q$166:$Q$242),0)</f>
        <v>7765.3800183495805</v>
      </c>
      <c r="AG1829" s="196">
        <f t="shared" ca="1" si="403"/>
        <v>43707.887094610414</v>
      </c>
      <c r="AI1829" s="196">
        <f>IFERROR($G1829/SUMIF($A:$A,$A1829,$G:$G)*SUMIF(Summary!$A$247:$A$283,$A1829,Summary!$P$247:$P$283),0)</f>
        <v>1413.2111726441929</v>
      </c>
      <c r="AJ1829" s="196">
        <f>IFERROR($G1829/SUMIF($A:$A,$A1829,$G:$G)*(SUMIF(Summary!$A$247:$A$283,$A1829,Summary!$L$247:$L$283)+SUMIF(Summary!$A$297:$A$333,$A1829,Summary!$L$297:$L$333))-AI1829,0)</f>
        <v>5064.8396270671237</v>
      </c>
      <c r="AK1829" s="196">
        <f>IFERROR($G1829/SUMIF($A:$A,$A1829,$G:$G)*SUMIF(Summary!$A$247:$A$283,$A1829,Summary!$Q$247:$Q$283),0)</f>
        <v>1416.2115324486981</v>
      </c>
      <c r="AL1829" s="196">
        <f>IFERROR($G1829/SUMIF($A:$A,$A1829,$G:$G)*(SUMIF(Summary!$A$247:$A$283,$A1829,Summary!$L$247:$L$283)+SUMIF(Summary!$A$297:$A$333,$A1829,Summary!$L$297:$L$333))-AK1829,0)</f>
        <v>5061.8392672626178</v>
      </c>
      <c r="AM1829" s="198"/>
      <c r="AN1829" s="196">
        <f t="shared" ca="1" si="404"/>
        <v>48789.178313505407</v>
      </c>
      <c r="AO1829" s="196">
        <f t="shared" ca="1" si="405"/>
        <v>48769.726361873036</v>
      </c>
    </row>
    <row r="1830" spans="1:41">
      <c r="A1830" s="189">
        <v>3646</v>
      </c>
      <c r="B1830" s="190">
        <v>2</v>
      </c>
      <c r="C1830" s="191" t="s">
        <v>239</v>
      </c>
      <c r="D1830" s="192">
        <f t="shared" si="392"/>
        <v>4083.7299999999996</v>
      </c>
      <c r="E1830" s="192">
        <f t="shared" si="393"/>
        <v>22690.269999999997</v>
      </c>
      <c r="F1830" s="192">
        <f t="shared" si="394"/>
        <v>0</v>
      </c>
      <c r="G1830" s="193">
        <f t="shared" si="395"/>
        <v>26773.999999999996</v>
      </c>
      <c r="H1830" s="194">
        <v>1916.53</v>
      </c>
      <c r="I1830" s="194">
        <v>11050.47</v>
      </c>
      <c r="J1830" s="194">
        <v>0</v>
      </c>
      <c r="K1830" s="193">
        <f t="shared" si="396"/>
        <v>12967</v>
      </c>
      <c r="L1830" s="194">
        <v>2139.1999999999998</v>
      </c>
      <c r="M1830" s="194">
        <v>10635.8</v>
      </c>
      <c r="N1830" s="194">
        <v>0</v>
      </c>
      <c r="O1830" s="193">
        <f t="shared" si="397"/>
        <v>12775</v>
      </c>
      <c r="P1830" s="194">
        <v>28</v>
      </c>
      <c r="Q1830" s="194">
        <v>1004</v>
      </c>
      <c r="R1830" s="194">
        <v>0</v>
      </c>
      <c r="S1830" s="193">
        <f t="shared" si="398"/>
        <v>1032</v>
      </c>
      <c r="T1830" s="193">
        <f t="shared" si="399"/>
        <v>892.46666666666658</v>
      </c>
      <c r="U1830" s="193">
        <f ca="1">OFFSET('Expenditure Study'!$B$7,'Operations Support'!$C1830,'Operations Support'!$B1830)*$G1830</f>
        <v>55689.919999999991</v>
      </c>
      <c r="V1830" s="199">
        <f ca="1">U1830*'Expenditure Study'!$B$31</f>
        <v>3290337.6120975357</v>
      </c>
      <c r="W1830" s="199">
        <f ca="1">IF(A1830=10298,1.51,1)*IF($B1830&lt;3,$D1830*'Expenditure Study'!$B$32*OFFSET('Expenditure Study'!$B$7,'Operations Support'!$C1830,'Operations Support'!$B1830),0)</f>
        <v>849.41584</v>
      </c>
      <c r="X1830" s="200">
        <f ca="1">W1830*'Expenditure Study'!$B$31</f>
        <v>50186.189649103871</v>
      </c>
      <c r="Y1830" s="199">
        <f ca="1">U1830*'Expenditure Study'!$B$31</f>
        <v>3290337.6120975357</v>
      </c>
      <c r="Z1830" s="200">
        <f ca="1">W1830*'Expenditure Study'!$B$31</f>
        <v>50186.189649103871</v>
      </c>
      <c r="AA1830" s="195">
        <f t="shared" ca="1" si="400"/>
        <v>3340523.8017466394</v>
      </c>
      <c r="AB1830" s="195">
        <f t="shared" ca="1" si="401"/>
        <v>3340523.8017466394</v>
      </c>
      <c r="AD1830" s="196">
        <f>IFERROR($G1830/SUMIF($A:$A,$A1830,$G:$G)*SUMIF(Summary!$A$166:$A$242,$A1830,Summary!$P$166:$P$242),0)</f>
        <v>628696.39300512825</v>
      </c>
      <c r="AE1830" s="197">
        <f t="shared" ca="1" si="402"/>
        <v>2711827.4087415114</v>
      </c>
      <c r="AF1830" s="196">
        <f>IFERROR(G1830/SUMIF(A:A,A1830,G:G)*SUMIF(Summary!$A$166:$A$242,'Operations Support'!A1830,Summary!$Q$166:$Q$242),0)</f>
        <v>630031.16548876255</v>
      </c>
      <c r="AG1830" s="196">
        <f t="shared" ca="1" si="403"/>
        <v>2710492.6362578766</v>
      </c>
      <c r="AI1830" s="196">
        <f>IFERROR($G1830/SUMIF($A:$A,$A1830,$G:$G)*SUMIF(Summary!$A$247:$A$283,$A1830,Summary!$P$247:$P$283),0)</f>
        <v>114658.53314053216</v>
      </c>
      <c r="AJ1830" s="196">
        <f>IFERROR($G1830/SUMIF($A:$A,$A1830,$G:$G)*(SUMIF(Summary!$A$247:$A$283,$A1830,Summary!$L$247:$L$283)+SUMIF(Summary!$A$297:$A$333,$A1830,Summary!$L$297:$L$333))-AI1830,0)</f>
        <v>410927.32174271258</v>
      </c>
      <c r="AK1830" s="196">
        <f>IFERROR($G1830/SUMIF($A:$A,$A1830,$G:$G)*SUMIF(Summary!$A$247:$A$283,$A1830,Summary!$Q$247:$Q$283),0)</f>
        <v>114901.96233267103</v>
      </c>
      <c r="AL1830" s="196">
        <f>IFERROR($G1830/SUMIF($A:$A,$A1830,$G:$G)*(SUMIF(Summary!$A$247:$A$283,$A1830,Summary!$L$247:$L$283)+SUMIF(Summary!$A$297:$A$333,$A1830,Summary!$L$297:$L$333))-AK1830,0)</f>
        <v>410683.89255057368</v>
      </c>
      <c r="AM1830" s="198"/>
      <c r="AN1830" s="196">
        <f t="shared" ca="1" si="404"/>
        <v>3122754.7304842239</v>
      </c>
      <c r="AO1830" s="196">
        <f t="shared" ca="1" si="405"/>
        <v>3121176.5288084503</v>
      </c>
    </row>
    <row r="1831" spans="1:41">
      <c r="A1831" s="189">
        <v>3646</v>
      </c>
      <c r="B1831" s="190">
        <v>2</v>
      </c>
      <c r="C1831" s="191" t="s">
        <v>240</v>
      </c>
      <c r="D1831" s="192">
        <f t="shared" si="392"/>
        <v>0</v>
      </c>
      <c r="E1831" s="192">
        <f t="shared" si="393"/>
        <v>0</v>
      </c>
      <c r="F1831" s="192">
        <f t="shared" si="394"/>
        <v>0</v>
      </c>
      <c r="G1831" s="193">
        <f t="shared" si="395"/>
        <v>0</v>
      </c>
      <c r="H1831" s="194">
        <v>0</v>
      </c>
      <c r="I1831" s="194">
        <v>0</v>
      </c>
      <c r="J1831" s="194">
        <v>0</v>
      </c>
      <c r="K1831" s="193">
        <f t="shared" si="396"/>
        <v>0</v>
      </c>
      <c r="L1831" s="194">
        <v>0</v>
      </c>
      <c r="M1831" s="194">
        <v>0</v>
      </c>
      <c r="N1831" s="194">
        <v>0</v>
      </c>
      <c r="O1831" s="193">
        <f t="shared" si="397"/>
        <v>0</v>
      </c>
      <c r="P1831" s="194">
        <v>0</v>
      </c>
      <c r="Q1831" s="194">
        <v>0</v>
      </c>
      <c r="R1831" s="194">
        <v>0</v>
      </c>
      <c r="S1831" s="193">
        <f t="shared" si="398"/>
        <v>0</v>
      </c>
      <c r="T1831" s="193">
        <f t="shared" si="399"/>
        <v>0</v>
      </c>
      <c r="U1831" s="193">
        <f ca="1">OFFSET('Expenditure Study'!$B$7,'Operations Support'!$C1831,'Operations Support'!$B1831)*$G1831</f>
        <v>0</v>
      </c>
      <c r="V1831" s="199">
        <f ca="1">U1831*'Expenditure Study'!$B$31</f>
        <v>0</v>
      </c>
      <c r="W1831" s="199">
        <f ca="1">IF(A1831=10298,1.51,1)*IF($B1831&lt;3,$D1831*'Expenditure Study'!$B$32*OFFSET('Expenditure Study'!$B$7,'Operations Support'!$C1831,'Operations Support'!$B1831),0)</f>
        <v>0</v>
      </c>
      <c r="X1831" s="200">
        <f ca="1">W1831*'Expenditure Study'!$B$31</f>
        <v>0</v>
      </c>
      <c r="Y1831" s="199">
        <f ca="1">U1831*'Expenditure Study'!$B$31</f>
        <v>0</v>
      </c>
      <c r="Z1831" s="200">
        <f ca="1">W1831*'Expenditure Study'!$B$31</f>
        <v>0</v>
      </c>
      <c r="AA1831" s="195">
        <f t="shared" ca="1" si="400"/>
        <v>0</v>
      </c>
      <c r="AB1831" s="195">
        <f t="shared" ca="1" si="401"/>
        <v>0</v>
      </c>
      <c r="AD1831" s="196">
        <f>IFERROR($G1831/SUMIF($A:$A,$A1831,$G:$G)*SUMIF(Summary!$A$166:$A$242,$A1831,Summary!$P$166:$P$242),0)</f>
        <v>0</v>
      </c>
      <c r="AE1831" s="197">
        <f t="shared" ca="1" si="402"/>
        <v>0</v>
      </c>
      <c r="AF1831" s="196">
        <f>IFERROR(G1831/SUMIF(A:A,A1831,G:G)*SUMIF(Summary!$A$166:$A$242,'Operations Support'!A1831,Summary!$Q$166:$Q$242),0)</f>
        <v>0</v>
      </c>
      <c r="AG1831" s="196">
        <f t="shared" ca="1" si="403"/>
        <v>0</v>
      </c>
      <c r="AI1831" s="196">
        <f>IFERROR($G1831/SUMIF($A:$A,$A1831,$G:$G)*SUMIF(Summary!$A$247:$A$283,$A1831,Summary!$P$247:$P$283),0)</f>
        <v>0</v>
      </c>
      <c r="AJ1831" s="196">
        <f>IFERROR($G1831/SUMIF($A:$A,$A1831,$G:$G)*(SUMIF(Summary!$A$247:$A$283,$A1831,Summary!$L$247:$L$283)+SUMIF(Summary!$A$297:$A$333,$A1831,Summary!$L$297:$L$333))-AI1831,0)</f>
        <v>0</v>
      </c>
      <c r="AK1831" s="196">
        <f>IFERROR($G1831/SUMIF($A:$A,$A1831,$G:$G)*SUMIF(Summary!$A$247:$A$283,$A1831,Summary!$Q$247:$Q$283),0)</f>
        <v>0</v>
      </c>
      <c r="AL1831" s="196">
        <f>IFERROR($G1831/SUMIF($A:$A,$A1831,$G:$G)*(SUMIF(Summary!$A$247:$A$283,$A1831,Summary!$L$247:$L$283)+SUMIF(Summary!$A$297:$A$333,$A1831,Summary!$L$297:$L$333))-AK1831,0)</f>
        <v>0</v>
      </c>
      <c r="AM1831" s="198"/>
      <c r="AN1831" s="196">
        <f t="shared" ca="1" si="404"/>
        <v>0</v>
      </c>
      <c r="AO1831" s="196">
        <f t="shared" ca="1" si="405"/>
        <v>0</v>
      </c>
    </row>
    <row r="1832" spans="1:41">
      <c r="A1832" s="189">
        <v>3646</v>
      </c>
      <c r="B1832" s="190">
        <v>3</v>
      </c>
      <c r="C1832" s="191" t="s">
        <v>220</v>
      </c>
      <c r="D1832" s="192">
        <f t="shared" si="392"/>
        <v>3641.5</v>
      </c>
      <c r="E1832" s="192">
        <f t="shared" si="393"/>
        <v>2210.5</v>
      </c>
      <c r="F1832" s="192">
        <f t="shared" si="394"/>
        <v>0</v>
      </c>
      <c r="G1832" s="193">
        <f t="shared" si="395"/>
        <v>5852</v>
      </c>
      <c r="H1832" s="194">
        <v>1509</v>
      </c>
      <c r="I1832" s="194">
        <v>828</v>
      </c>
      <c r="J1832" s="194">
        <v>0</v>
      </c>
      <c r="K1832" s="193">
        <f t="shared" si="396"/>
        <v>2337</v>
      </c>
      <c r="L1832" s="194">
        <v>1464</v>
      </c>
      <c r="M1832" s="194">
        <v>876</v>
      </c>
      <c r="N1832" s="194">
        <v>0</v>
      </c>
      <c r="O1832" s="193">
        <f t="shared" si="397"/>
        <v>2340</v>
      </c>
      <c r="P1832" s="194">
        <v>668.5</v>
      </c>
      <c r="Q1832" s="194">
        <v>506.5</v>
      </c>
      <c r="R1832" s="194">
        <v>0</v>
      </c>
      <c r="S1832" s="193">
        <f t="shared" si="398"/>
        <v>1175</v>
      </c>
      <c r="T1832" s="193">
        <f t="shared" si="399"/>
        <v>243.83333333333334</v>
      </c>
      <c r="U1832" s="193">
        <f ca="1">OFFSET('Expenditure Study'!$B$7,'Operations Support'!$C1832,'Operations Support'!$B1832)*$G1832</f>
        <v>26099.919999999998</v>
      </c>
      <c r="V1832" s="199">
        <f ca="1">U1832*'Expenditure Study'!$B$31</f>
        <v>1542066.292225536</v>
      </c>
      <c r="W1832" s="199">
        <f ca="1">IF(A1832=10298,1.51,1)*IF($B1832&lt;3,$D1832*'Expenditure Study'!$B$32*OFFSET('Expenditure Study'!$B$7,'Operations Support'!$C1832,'Operations Support'!$B1832),0)</f>
        <v>0</v>
      </c>
      <c r="X1832" s="200">
        <f ca="1">W1832*'Expenditure Study'!$B$31</f>
        <v>0</v>
      </c>
      <c r="Y1832" s="199">
        <f ca="1">U1832*'Expenditure Study'!$B$31</f>
        <v>1542066.292225536</v>
      </c>
      <c r="Z1832" s="200">
        <f ca="1">W1832*'Expenditure Study'!$B$31</f>
        <v>0</v>
      </c>
      <c r="AA1832" s="195">
        <f t="shared" ca="1" si="400"/>
        <v>1542066.292225536</v>
      </c>
      <c r="AB1832" s="195">
        <f t="shared" ca="1" si="401"/>
        <v>1542066.292225536</v>
      </c>
      <c r="AD1832" s="196">
        <f>IFERROR($G1832/SUMIF($A:$A,$A1832,$G:$G)*SUMIF(Summary!$A$166:$A$242,$A1832,Summary!$P$166:$P$242),0)</f>
        <v>137414.3307636517</v>
      </c>
      <c r="AE1832" s="197">
        <f t="shared" ca="1" si="402"/>
        <v>1404651.9614618842</v>
      </c>
      <c r="AF1832" s="196">
        <f>IFERROR(G1832/SUMIF(A:A,A1832,G:G)*SUMIF(Summary!$A$166:$A$242,'Operations Support'!A1832,Summary!$Q$166:$Q$242),0)</f>
        <v>137706.0723253992</v>
      </c>
      <c r="AG1832" s="196">
        <f t="shared" ca="1" si="403"/>
        <v>1404360.2199001368</v>
      </c>
      <c r="AI1832" s="196">
        <f>IFERROR($G1832/SUMIF($A:$A,$A1832,$G:$G)*SUMIF(Summary!$A$247:$A$283,$A1832,Summary!$P$247:$P$283),0)</f>
        <v>25060.944794890351</v>
      </c>
      <c r="AJ1832" s="196">
        <f>IFERROR($G1832/SUMIF($A:$A,$A1832,$G:$G)*(SUMIF(Summary!$A$247:$A$283,$A1832,Summary!$L$247:$L$283)+SUMIF(Summary!$A$297:$A$333,$A1832,Summary!$L$297:$L$333))-AI1832,0)</f>
        <v>89816.489386656991</v>
      </c>
      <c r="AK1832" s="196">
        <f>IFERROR($G1832/SUMIF($A:$A,$A1832,$G:$G)*SUMIF(Summary!$A$247:$A$283,$A1832,Summary!$Q$247:$Q$283),0)</f>
        <v>25114.15117542358</v>
      </c>
      <c r="AL1832" s="196">
        <f>IFERROR($G1832/SUMIF($A:$A,$A1832,$G:$G)*(SUMIF(Summary!$A$247:$A$283,$A1832,Summary!$L$247:$L$283)+SUMIF(Summary!$A$297:$A$333,$A1832,Summary!$L$297:$L$333))-AK1832,0)</f>
        <v>89763.283006123762</v>
      </c>
      <c r="AM1832" s="198"/>
      <c r="AN1832" s="196">
        <f t="shared" ca="1" si="404"/>
        <v>1494468.4508485412</v>
      </c>
      <c r="AO1832" s="196">
        <f t="shared" ca="1" si="405"/>
        <v>1494123.5029062605</v>
      </c>
    </row>
    <row r="1833" spans="1:41">
      <c r="A1833" s="189">
        <v>3646</v>
      </c>
      <c r="B1833" s="190">
        <v>3</v>
      </c>
      <c r="C1833" s="191" t="s">
        <v>221</v>
      </c>
      <c r="D1833" s="192">
        <f t="shared" si="392"/>
        <v>4244.1499999999996</v>
      </c>
      <c r="E1833" s="192">
        <f t="shared" si="393"/>
        <v>3792.85</v>
      </c>
      <c r="F1833" s="192">
        <f t="shared" si="394"/>
        <v>0</v>
      </c>
      <c r="G1833" s="193">
        <f t="shared" si="395"/>
        <v>8037</v>
      </c>
      <c r="H1833" s="194">
        <v>1507.5</v>
      </c>
      <c r="I1833" s="194">
        <v>1079.5</v>
      </c>
      <c r="J1833" s="194">
        <v>0</v>
      </c>
      <c r="K1833" s="193">
        <f t="shared" si="396"/>
        <v>2587</v>
      </c>
      <c r="L1833" s="194">
        <v>2024</v>
      </c>
      <c r="M1833" s="194">
        <v>1417</v>
      </c>
      <c r="N1833" s="194">
        <v>0</v>
      </c>
      <c r="O1833" s="193">
        <f t="shared" si="397"/>
        <v>3441</v>
      </c>
      <c r="P1833" s="194">
        <v>712.65</v>
      </c>
      <c r="Q1833" s="194">
        <v>1296.3499999999999</v>
      </c>
      <c r="R1833" s="194">
        <v>0</v>
      </c>
      <c r="S1833" s="193">
        <f t="shared" si="398"/>
        <v>2009</v>
      </c>
      <c r="T1833" s="193">
        <f t="shared" si="399"/>
        <v>334.875</v>
      </c>
      <c r="U1833" s="193">
        <f ca="1">OFFSET('Expenditure Study'!$B$7,'Operations Support'!$C1833,'Operations Support'!$B1833)*$G1833</f>
        <v>56259</v>
      </c>
      <c r="V1833" s="199">
        <f ca="1">U1833*'Expenditure Study'!$B$31</f>
        <v>3323960.6686272002</v>
      </c>
      <c r="W1833" s="199">
        <f ca="1">IF(A1833=10298,1.51,1)*IF($B1833&lt;3,$D1833*'Expenditure Study'!$B$32*OFFSET('Expenditure Study'!$B$7,'Operations Support'!$C1833,'Operations Support'!$B1833),0)</f>
        <v>0</v>
      </c>
      <c r="X1833" s="200">
        <f ca="1">W1833*'Expenditure Study'!$B$31</f>
        <v>0</v>
      </c>
      <c r="Y1833" s="199">
        <f ca="1">U1833*'Expenditure Study'!$B$31</f>
        <v>3323960.6686272002</v>
      </c>
      <c r="Z1833" s="200">
        <f ca="1">W1833*'Expenditure Study'!$B$31</f>
        <v>0</v>
      </c>
      <c r="AA1833" s="195">
        <f t="shared" ca="1" si="400"/>
        <v>3323960.6686272002</v>
      </c>
      <c r="AB1833" s="195">
        <f t="shared" ca="1" si="401"/>
        <v>3323960.6686272002</v>
      </c>
      <c r="AD1833" s="196">
        <f>IFERROR($G1833/SUMIF($A:$A,$A1833,$G:$G)*SUMIF(Summary!$A$166:$A$242,$A1833,Summary!$P$166:$P$242),0)</f>
        <v>188721.62958774244</v>
      </c>
      <c r="AE1833" s="197">
        <f t="shared" ca="1" si="402"/>
        <v>3135239.0390394577</v>
      </c>
      <c r="AF1833" s="196">
        <f>IFERROR(G1833/SUMIF(A:A,A1833,G:G)*SUMIF(Summary!$A$166:$A$242,'Operations Support'!A1833,Summary!$Q$166:$Q$242),0)</f>
        <v>189122.30062871386</v>
      </c>
      <c r="AG1833" s="196">
        <f t="shared" ca="1" si="403"/>
        <v>3134838.3679984864</v>
      </c>
      <c r="AI1833" s="196">
        <f>IFERROR($G1833/SUMIF($A:$A,$A1833,$G:$G)*SUMIF(Summary!$A$247:$A$283,$A1833,Summary!$P$247:$P$283),0)</f>
        <v>34418.115741034475</v>
      </c>
      <c r="AJ1833" s="196">
        <f>IFERROR($G1833/SUMIF($A:$A,$A1833,$G:$G)*(SUMIF(Summary!$A$247:$A$283,$A1833,Summary!$L$247:$L$283)+SUMIF(Summary!$A$297:$A$333,$A1833,Summary!$L$297:$L$333))-AI1833,0)</f>
        <v>123351.86691738933</v>
      </c>
      <c r="AK1833" s="196">
        <f>IFERROR($G1833/SUMIF($A:$A,$A1833,$G:$G)*SUMIF(Summary!$A$247:$A$283,$A1833,Summary!$Q$247:$Q$283),0)</f>
        <v>34491.188140273291</v>
      </c>
      <c r="AL1833" s="196">
        <f>IFERROR($G1833/SUMIF($A:$A,$A1833,$G:$G)*(SUMIF(Summary!$A$247:$A$283,$A1833,Summary!$L$247:$L$283)+SUMIF(Summary!$A$297:$A$333,$A1833,Summary!$L$297:$L$333))-AK1833,0)</f>
        <v>123278.79451815051</v>
      </c>
      <c r="AM1833" s="198"/>
      <c r="AN1833" s="196">
        <f t="shared" ca="1" si="404"/>
        <v>3258590.9059568471</v>
      </c>
      <c r="AO1833" s="196">
        <f t="shared" ca="1" si="405"/>
        <v>3258117.1625166368</v>
      </c>
    </row>
    <row r="1834" spans="1:41">
      <c r="A1834" s="189">
        <v>3646</v>
      </c>
      <c r="B1834" s="190">
        <v>3</v>
      </c>
      <c r="C1834" s="191" t="s">
        <v>222</v>
      </c>
      <c r="D1834" s="192">
        <f t="shared" si="392"/>
        <v>1474</v>
      </c>
      <c r="E1834" s="192">
        <f t="shared" si="393"/>
        <v>118</v>
      </c>
      <c r="F1834" s="192">
        <f t="shared" si="394"/>
        <v>0</v>
      </c>
      <c r="G1834" s="193">
        <f t="shared" si="395"/>
        <v>1592</v>
      </c>
      <c r="H1834" s="194">
        <v>659</v>
      </c>
      <c r="I1834" s="194">
        <v>29</v>
      </c>
      <c r="J1834" s="194">
        <v>0</v>
      </c>
      <c r="K1834" s="193">
        <f t="shared" si="396"/>
        <v>688</v>
      </c>
      <c r="L1834" s="194">
        <v>686</v>
      </c>
      <c r="M1834" s="194">
        <v>20</v>
      </c>
      <c r="N1834" s="194">
        <v>0</v>
      </c>
      <c r="O1834" s="193">
        <f t="shared" si="397"/>
        <v>706</v>
      </c>
      <c r="P1834" s="194">
        <v>129</v>
      </c>
      <c r="Q1834" s="194">
        <v>69</v>
      </c>
      <c r="R1834" s="194">
        <v>0</v>
      </c>
      <c r="S1834" s="193">
        <f t="shared" si="398"/>
        <v>198</v>
      </c>
      <c r="T1834" s="193">
        <f t="shared" si="399"/>
        <v>66.333333333333329</v>
      </c>
      <c r="U1834" s="193">
        <f ca="1">OFFSET('Expenditure Study'!$B$7,'Operations Support'!$C1834,'Operations Support'!$B1834)*$G1834</f>
        <v>11955.92</v>
      </c>
      <c r="V1834" s="199">
        <f ca="1">U1834*'Expenditure Study'!$B$31</f>
        <v>706393.78299033607</v>
      </c>
      <c r="W1834" s="199">
        <f ca="1">IF(A1834=10298,1.51,1)*IF($B1834&lt;3,$D1834*'Expenditure Study'!$B$32*OFFSET('Expenditure Study'!$B$7,'Operations Support'!$C1834,'Operations Support'!$B1834),0)</f>
        <v>0</v>
      </c>
      <c r="X1834" s="200">
        <f ca="1">W1834*'Expenditure Study'!$B$31</f>
        <v>0</v>
      </c>
      <c r="Y1834" s="199">
        <f ca="1">U1834*'Expenditure Study'!$B$31</f>
        <v>706393.78299033607</v>
      </c>
      <c r="Z1834" s="200">
        <f ca="1">W1834*'Expenditure Study'!$B$31</f>
        <v>0</v>
      </c>
      <c r="AA1834" s="195">
        <f t="shared" ca="1" si="400"/>
        <v>706393.78299033607</v>
      </c>
      <c r="AB1834" s="195">
        <f t="shared" ca="1" si="401"/>
        <v>706393.78299033607</v>
      </c>
      <c r="AD1834" s="196">
        <f>IFERROR($G1834/SUMIF($A:$A,$A1834,$G:$G)*SUMIF(Summary!$A$166:$A$242,$A1834,Summary!$P$166:$P$242),0)</f>
        <v>37382.70925764415</v>
      </c>
      <c r="AE1834" s="197">
        <f t="shared" ca="1" si="402"/>
        <v>669011.07373269193</v>
      </c>
      <c r="AF1834" s="196">
        <f>IFERROR(G1834/SUMIF(A:A,A1834,G:G)*SUMIF(Summary!$A$166:$A$242,'Operations Support'!A1834,Summary!$Q$166:$Q$242),0)</f>
        <v>37462.075724886461</v>
      </c>
      <c r="AG1834" s="196">
        <f t="shared" ca="1" si="403"/>
        <v>668931.70726544957</v>
      </c>
      <c r="AI1834" s="196">
        <f>IFERROR($G1834/SUMIF($A:$A,$A1834,$G:$G)*SUMIF(Summary!$A$247:$A$283,$A1834,Summary!$P$247:$P$283),0)</f>
        <v>6817.6732934835009</v>
      </c>
      <c r="AJ1834" s="196">
        <f>IFERROR($G1834/SUMIF($A:$A,$A1834,$G:$G)*(SUMIF(Summary!$A$247:$A$283,$A1834,Summary!$L$247:$L$283)+SUMIF(Summary!$A$297:$A$333,$A1834,Summary!$L$297:$L$333))-AI1834,0)</f>
        <v>24434.014200881396</v>
      </c>
      <c r="AK1834" s="196">
        <f>IFERROR($G1834/SUMIF($A:$A,$A1834,$G:$G)*SUMIF(Summary!$A$247:$A$283,$A1834,Summary!$Q$247:$Q$283),0)</f>
        <v>6832.1477565403866</v>
      </c>
      <c r="AL1834" s="196">
        <f>IFERROR($G1834/SUMIF($A:$A,$A1834,$G:$G)*(SUMIF(Summary!$A$247:$A$283,$A1834,Summary!$L$247:$L$283)+SUMIF(Summary!$A$297:$A$333,$A1834,Summary!$L$297:$L$333))-AK1834,0)</f>
        <v>24419.539737824511</v>
      </c>
      <c r="AM1834" s="198"/>
      <c r="AN1834" s="196">
        <f t="shared" ca="1" si="404"/>
        <v>693445.08793357329</v>
      </c>
      <c r="AO1834" s="196">
        <f t="shared" ca="1" si="405"/>
        <v>693351.24700327404</v>
      </c>
    </row>
    <row r="1835" spans="1:41">
      <c r="A1835" s="189">
        <v>3646</v>
      </c>
      <c r="B1835" s="190">
        <v>3</v>
      </c>
      <c r="C1835" s="191" t="s">
        <v>223</v>
      </c>
      <c r="D1835" s="192">
        <f t="shared" si="392"/>
        <v>2665</v>
      </c>
      <c r="E1835" s="192">
        <f t="shared" si="393"/>
        <v>2796</v>
      </c>
      <c r="F1835" s="192">
        <f t="shared" si="394"/>
        <v>0</v>
      </c>
      <c r="G1835" s="193">
        <f t="shared" si="395"/>
        <v>5461</v>
      </c>
      <c r="H1835" s="194">
        <v>896</v>
      </c>
      <c r="I1835" s="194">
        <v>1022</v>
      </c>
      <c r="J1835" s="194">
        <v>0</v>
      </c>
      <c r="K1835" s="193">
        <f t="shared" si="396"/>
        <v>1918</v>
      </c>
      <c r="L1835" s="194">
        <v>765</v>
      </c>
      <c r="M1835" s="194">
        <v>1105</v>
      </c>
      <c r="N1835" s="194">
        <v>0</v>
      </c>
      <c r="O1835" s="193">
        <f t="shared" si="397"/>
        <v>1870</v>
      </c>
      <c r="P1835" s="194">
        <v>1004</v>
      </c>
      <c r="Q1835" s="194">
        <v>669</v>
      </c>
      <c r="R1835" s="194">
        <v>0</v>
      </c>
      <c r="S1835" s="193">
        <f t="shared" si="398"/>
        <v>1673</v>
      </c>
      <c r="T1835" s="193">
        <f t="shared" si="399"/>
        <v>227.54166666666666</v>
      </c>
      <c r="U1835" s="193">
        <f ca="1">OFFSET('Expenditure Study'!$B$7,'Operations Support'!$C1835,'Operations Support'!$B1835)*$G1835</f>
        <v>12232.640000000001</v>
      </c>
      <c r="V1835" s="199">
        <f ca="1">U1835*'Expenditure Study'!$B$31</f>
        <v>722743.28078131203</v>
      </c>
      <c r="W1835" s="199">
        <f ca="1">IF(A1835=10298,1.51,1)*IF($B1835&lt;3,$D1835*'Expenditure Study'!$B$32*OFFSET('Expenditure Study'!$B$7,'Operations Support'!$C1835,'Operations Support'!$B1835),0)</f>
        <v>0</v>
      </c>
      <c r="X1835" s="200">
        <f ca="1">W1835*'Expenditure Study'!$B$31</f>
        <v>0</v>
      </c>
      <c r="Y1835" s="199">
        <f ca="1">U1835*'Expenditure Study'!$B$31</f>
        <v>722743.28078131203</v>
      </c>
      <c r="Z1835" s="200">
        <f ca="1">W1835*'Expenditure Study'!$B$31</f>
        <v>0</v>
      </c>
      <c r="AA1835" s="195">
        <f t="shared" ca="1" si="400"/>
        <v>722743.28078131203</v>
      </c>
      <c r="AB1835" s="195">
        <f t="shared" ca="1" si="401"/>
        <v>722743.28078131203</v>
      </c>
      <c r="AD1835" s="196">
        <f>IFERROR($G1835/SUMIF($A:$A,$A1835,$G:$G)*SUMIF(Summary!$A$166:$A$242,$A1835,Summary!$P$166:$P$242),0)</f>
        <v>128233.02465828811</v>
      </c>
      <c r="AE1835" s="197">
        <f t="shared" ca="1" si="402"/>
        <v>594510.25612302392</v>
      </c>
      <c r="AF1835" s="196">
        <f>IFERROR(G1835/SUMIF(A:A,A1835,G:G)*SUMIF(Summary!$A$166:$A$242,'Operations Support'!A1835,Summary!$Q$166:$Q$242),0)</f>
        <v>128505.27357638502</v>
      </c>
      <c r="AG1835" s="196">
        <f t="shared" ca="1" si="403"/>
        <v>594238.00720492704</v>
      </c>
      <c r="AI1835" s="196">
        <f>IFERROR($G1835/SUMIF($A:$A,$A1835,$G:$G)*SUMIF(Summary!$A$247:$A$283,$A1835,Summary!$P$247:$P$283),0)</f>
        <v>23386.503678211928</v>
      </c>
      <c r="AJ1835" s="196">
        <f>IFERROR($G1835/SUMIF($A:$A,$A1835,$G:$G)*(SUMIF(Summary!$A$247:$A$283,$A1835,Summary!$L$247:$L$283)+SUMIF(Summary!$A$297:$A$333,$A1835,Summary!$L$297:$L$333))-AI1835,0)</f>
        <v>83815.421828525941</v>
      </c>
      <c r="AK1835" s="196">
        <f>IFERROR($G1835/SUMIF($A:$A,$A1835,$G:$G)*SUMIF(Summary!$A$247:$A$283,$A1835,Summary!$Q$247:$Q$283),0)</f>
        <v>23436.155086976789</v>
      </c>
      <c r="AL1835" s="196">
        <f>IFERROR($G1835/SUMIF($A:$A,$A1835,$G:$G)*(SUMIF(Summary!$A$247:$A$283,$A1835,Summary!$L$247:$L$283)+SUMIF(Summary!$A$297:$A$333,$A1835,Summary!$L$297:$L$333))-AK1835,0)</f>
        <v>83765.770419761073</v>
      </c>
      <c r="AM1835" s="198"/>
      <c r="AN1835" s="196">
        <f t="shared" ca="1" si="404"/>
        <v>678325.67795154988</v>
      </c>
      <c r="AO1835" s="196">
        <f t="shared" ca="1" si="405"/>
        <v>678003.77762468811</v>
      </c>
    </row>
    <row r="1836" spans="1:41">
      <c r="A1836" s="189">
        <v>3646</v>
      </c>
      <c r="B1836" s="190">
        <v>3</v>
      </c>
      <c r="C1836" s="191" t="s">
        <v>224</v>
      </c>
      <c r="D1836" s="192">
        <f t="shared" si="392"/>
        <v>132</v>
      </c>
      <c r="E1836" s="192">
        <f t="shared" si="393"/>
        <v>0</v>
      </c>
      <c r="F1836" s="192">
        <f t="shared" si="394"/>
        <v>0</v>
      </c>
      <c r="G1836" s="193">
        <f t="shared" si="395"/>
        <v>132</v>
      </c>
      <c r="H1836" s="194">
        <v>111</v>
      </c>
      <c r="I1836" s="194">
        <v>0</v>
      </c>
      <c r="J1836" s="194">
        <v>0</v>
      </c>
      <c r="K1836" s="193">
        <f t="shared" si="396"/>
        <v>111</v>
      </c>
      <c r="L1836" s="194">
        <v>21</v>
      </c>
      <c r="M1836" s="194">
        <v>0</v>
      </c>
      <c r="N1836" s="194">
        <v>0</v>
      </c>
      <c r="O1836" s="193">
        <f t="shared" si="397"/>
        <v>21</v>
      </c>
      <c r="P1836" s="194">
        <v>0</v>
      </c>
      <c r="Q1836" s="194">
        <v>0</v>
      </c>
      <c r="R1836" s="194">
        <v>0</v>
      </c>
      <c r="S1836" s="193">
        <f t="shared" si="398"/>
        <v>0</v>
      </c>
      <c r="T1836" s="193">
        <f t="shared" si="399"/>
        <v>5.5</v>
      </c>
      <c r="U1836" s="193">
        <f ca="1">OFFSET('Expenditure Study'!$B$7,'Operations Support'!$C1836,'Operations Support'!$B1836)*$G1836</f>
        <v>1210.44</v>
      </c>
      <c r="V1836" s="199">
        <f ca="1">U1836*'Expenditure Study'!$B$31</f>
        <v>71516.645367552002</v>
      </c>
      <c r="W1836" s="199">
        <f ca="1">IF(A1836=10298,1.51,1)*IF($B1836&lt;3,$D1836*'Expenditure Study'!$B$32*OFFSET('Expenditure Study'!$B$7,'Operations Support'!$C1836,'Operations Support'!$B1836),0)</f>
        <v>0</v>
      </c>
      <c r="X1836" s="200">
        <f ca="1">W1836*'Expenditure Study'!$B$31</f>
        <v>0</v>
      </c>
      <c r="Y1836" s="199">
        <f ca="1">U1836*'Expenditure Study'!$B$31</f>
        <v>71516.645367552002</v>
      </c>
      <c r="Z1836" s="200">
        <f ca="1">W1836*'Expenditure Study'!$B$31</f>
        <v>0</v>
      </c>
      <c r="AA1836" s="195">
        <f t="shared" ca="1" si="400"/>
        <v>71516.645367552002</v>
      </c>
      <c r="AB1836" s="195">
        <f t="shared" ca="1" si="401"/>
        <v>71516.645367552002</v>
      </c>
      <c r="AD1836" s="196">
        <f>IFERROR($G1836/SUMIF($A:$A,$A1836,$G:$G)*SUMIF(Summary!$A$166:$A$242,$A1836,Summary!$P$166:$P$242),0)</f>
        <v>3099.5713706086854</v>
      </c>
      <c r="AE1836" s="197">
        <f t="shared" ca="1" si="402"/>
        <v>68417.07399694332</v>
      </c>
      <c r="AF1836" s="196">
        <f>IFERROR(G1836/SUMIF(A:A,A1836,G:G)*SUMIF(Summary!$A$166:$A$242,'Operations Support'!A1836,Summary!$Q$166:$Q$242),0)</f>
        <v>3106.1520073398319</v>
      </c>
      <c r="AG1836" s="196">
        <f t="shared" ca="1" si="403"/>
        <v>68410.493360212175</v>
      </c>
      <c r="AI1836" s="196">
        <f>IFERROR($G1836/SUMIF($A:$A,$A1836,$G:$G)*SUMIF(Summary!$A$247:$A$283,$A1836,Summary!$P$247:$P$283),0)</f>
        <v>565.28446905767714</v>
      </c>
      <c r="AJ1836" s="196">
        <f>IFERROR($G1836/SUMIF($A:$A,$A1836,$G:$G)*(SUMIF(Summary!$A$247:$A$283,$A1836,Summary!$L$247:$L$283)+SUMIF(Summary!$A$297:$A$333,$A1836,Summary!$L$297:$L$333))-AI1836,0)</f>
        <v>2025.9358508268492</v>
      </c>
      <c r="AK1836" s="196">
        <f>IFERROR($G1836/SUMIF($A:$A,$A1836,$G:$G)*SUMIF(Summary!$A$247:$A$283,$A1836,Summary!$Q$247:$Q$283),0)</f>
        <v>566.48461297947927</v>
      </c>
      <c r="AL1836" s="196">
        <f>IFERROR($G1836/SUMIF($A:$A,$A1836,$G:$G)*(SUMIF(Summary!$A$247:$A$283,$A1836,Summary!$L$247:$L$283)+SUMIF(Summary!$A$297:$A$333,$A1836,Summary!$L$297:$L$333))-AK1836,0)</f>
        <v>2024.7357069050472</v>
      </c>
      <c r="AM1836" s="198"/>
      <c r="AN1836" s="196">
        <f t="shared" ca="1" si="404"/>
        <v>70443.009847770169</v>
      </c>
      <c r="AO1836" s="196">
        <f t="shared" ca="1" si="405"/>
        <v>70435.229067117223</v>
      </c>
    </row>
    <row r="1837" spans="1:41">
      <c r="A1837" s="189">
        <v>3646</v>
      </c>
      <c r="B1837" s="190">
        <v>3</v>
      </c>
      <c r="C1837" s="191" t="s">
        <v>225</v>
      </c>
      <c r="D1837" s="192">
        <f t="shared" si="392"/>
        <v>390</v>
      </c>
      <c r="E1837" s="192">
        <f t="shared" si="393"/>
        <v>413</v>
      </c>
      <c r="F1837" s="192">
        <f t="shared" si="394"/>
        <v>0</v>
      </c>
      <c r="G1837" s="193">
        <f t="shared" si="395"/>
        <v>803</v>
      </c>
      <c r="H1837" s="194">
        <v>219</v>
      </c>
      <c r="I1837" s="194">
        <v>136</v>
      </c>
      <c r="J1837" s="194">
        <v>0</v>
      </c>
      <c r="K1837" s="193">
        <f t="shared" si="396"/>
        <v>355</v>
      </c>
      <c r="L1837" s="194">
        <v>60</v>
      </c>
      <c r="M1837" s="194">
        <v>223</v>
      </c>
      <c r="N1837" s="194">
        <v>0</v>
      </c>
      <c r="O1837" s="193">
        <f t="shared" si="397"/>
        <v>283</v>
      </c>
      <c r="P1837" s="194">
        <v>111</v>
      </c>
      <c r="Q1837" s="194">
        <v>54</v>
      </c>
      <c r="R1837" s="194">
        <v>0</v>
      </c>
      <c r="S1837" s="193">
        <f t="shared" si="398"/>
        <v>165</v>
      </c>
      <c r="T1837" s="193">
        <f t="shared" si="399"/>
        <v>33.458333333333336</v>
      </c>
      <c r="U1837" s="193">
        <f ca="1">OFFSET('Expenditure Study'!$B$7,'Operations Support'!$C1837,'Operations Support'!$B1837)*$G1837</f>
        <v>5548.7300000000005</v>
      </c>
      <c r="V1837" s="199">
        <f ca="1">U1837*'Expenditure Study'!$B$31</f>
        <v>327836.61780038406</v>
      </c>
      <c r="W1837" s="199">
        <f ca="1">IF(A1837=10298,1.51,1)*IF($B1837&lt;3,$D1837*'Expenditure Study'!$B$32*OFFSET('Expenditure Study'!$B$7,'Operations Support'!$C1837,'Operations Support'!$B1837),0)</f>
        <v>0</v>
      </c>
      <c r="X1837" s="200">
        <f ca="1">W1837*'Expenditure Study'!$B$31</f>
        <v>0</v>
      </c>
      <c r="Y1837" s="199">
        <f ca="1">U1837*'Expenditure Study'!$B$31</f>
        <v>327836.61780038406</v>
      </c>
      <c r="Z1837" s="200">
        <f ca="1">W1837*'Expenditure Study'!$B$31</f>
        <v>0</v>
      </c>
      <c r="AA1837" s="195">
        <f t="shared" ca="1" si="400"/>
        <v>327836.61780038406</v>
      </c>
      <c r="AB1837" s="195">
        <f t="shared" ca="1" si="401"/>
        <v>327836.61780038406</v>
      </c>
      <c r="AD1837" s="196">
        <f>IFERROR($G1837/SUMIF($A:$A,$A1837,$G:$G)*SUMIF(Summary!$A$166:$A$242,$A1837,Summary!$P$166:$P$242),0)</f>
        <v>18855.725837869504</v>
      </c>
      <c r="AE1837" s="197">
        <f t="shared" ca="1" si="402"/>
        <v>308980.89196251455</v>
      </c>
      <c r="AF1837" s="196">
        <f>IFERROR(G1837/SUMIF(A:A,A1837,G:G)*SUMIF(Summary!$A$166:$A$242,'Operations Support'!A1837,Summary!$Q$166:$Q$242),0)</f>
        <v>18895.758044650647</v>
      </c>
      <c r="AG1837" s="196">
        <f t="shared" ca="1" si="403"/>
        <v>308940.8597557334</v>
      </c>
      <c r="AI1837" s="196">
        <f>IFERROR($G1837/SUMIF($A:$A,$A1837,$G:$G)*SUMIF(Summary!$A$247:$A$283,$A1837,Summary!$P$247:$P$283),0)</f>
        <v>3438.8138534342029</v>
      </c>
      <c r="AJ1837" s="196">
        <f>IFERROR($G1837/SUMIF($A:$A,$A1837,$G:$G)*(SUMIF(Summary!$A$247:$A$283,$A1837,Summary!$L$247:$L$283)+SUMIF(Summary!$A$297:$A$333,$A1837,Summary!$L$297:$L$333))-AI1837,0)</f>
        <v>12324.443092530002</v>
      </c>
      <c r="AK1837" s="196">
        <f>IFERROR($G1837/SUMIF($A:$A,$A1837,$G:$G)*SUMIF(Summary!$A$247:$A$283,$A1837,Summary!$Q$247:$Q$283),0)</f>
        <v>3446.1147289584992</v>
      </c>
      <c r="AL1837" s="196">
        <f>IFERROR($G1837/SUMIF($A:$A,$A1837,$G:$G)*(SUMIF(Summary!$A$247:$A$283,$A1837,Summary!$L$247:$L$283)+SUMIF(Summary!$A$297:$A$333,$A1837,Summary!$L$297:$L$333))-AK1837,0)</f>
        <v>12317.142217005707</v>
      </c>
      <c r="AM1837" s="198"/>
      <c r="AN1837" s="196">
        <f t="shared" ca="1" si="404"/>
        <v>321305.33505504456</v>
      </c>
      <c r="AO1837" s="196">
        <f t="shared" ca="1" si="405"/>
        <v>321258.00197273912</v>
      </c>
    </row>
    <row r="1838" spans="1:41">
      <c r="A1838" s="189">
        <v>3646</v>
      </c>
      <c r="B1838" s="190">
        <v>3</v>
      </c>
      <c r="C1838" s="191" t="s">
        <v>226</v>
      </c>
      <c r="D1838" s="192">
        <f t="shared" si="392"/>
        <v>1739</v>
      </c>
      <c r="E1838" s="192">
        <f t="shared" si="393"/>
        <v>1250</v>
      </c>
      <c r="F1838" s="192">
        <f t="shared" si="394"/>
        <v>0</v>
      </c>
      <c r="G1838" s="193">
        <f t="shared" si="395"/>
        <v>2989</v>
      </c>
      <c r="H1838" s="194">
        <v>522</v>
      </c>
      <c r="I1838" s="194">
        <v>537</v>
      </c>
      <c r="J1838" s="194">
        <v>0</v>
      </c>
      <c r="K1838" s="193">
        <f t="shared" si="396"/>
        <v>1059</v>
      </c>
      <c r="L1838" s="194">
        <v>503</v>
      </c>
      <c r="M1838" s="194">
        <v>528</v>
      </c>
      <c r="N1838" s="194">
        <v>0</v>
      </c>
      <c r="O1838" s="193">
        <f t="shared" si="397"/>
        <v>1031</v>
      </c>
      <c r="P1838" s="194">
        <v>714</v>
      </c>
      <c r="Q1838" s="194">
        <v>185</v>
      </c>
      <c r="R1838" s="194">
        <v>0</v>
      </c>
      <c r="S1838" s="193">
        <f t="shared" si="398"/>
        <v>899</v>
      </c>
      <c r="T1838" s="193">
        <f t="shared" si="399"/>
        <v>124.54166666666667</v>
      </c>
      <c r="U1838" s="193">
        <f ca="1">OFFSET('Expenditure Study'!$B$7,'Operations Support'!$C1838,'Operations Support'!$B1838)*$G1838</f>
        <v>10312.050000000001</v>
      </c>
      <c r="V1838" s="199">
        <f ca="1">U1838*'Expenditure Study'!$B$31</f>
        <v>609268.71456864011</v>
      </c>
      <c r="W1838" s="199">
        <f ca="1">IF(A1838=10298,1.51,1)*IF($B1838&lt;3,$D1838*'Expenditure Study'!$B$32*OFFSET('Expenditure Study'!$B$7,'Operations Support'!$C1838,'Operations Support'!$B1838),0)</f>
        <v>0</v>
      </c>
      <c r="X1838" s="200">
        <f ca="1">W1838*'Expenditure Study'!$B$31</f>
        <v>0</v>
      </c>
      <c r="Y1838" s="199">
        <f ca="1">U1838*'Expenditure Study'!$B$31</f>
        <v>609268.71456864011</v>
      </c>
      <c r="Z1838" s="200">
        <f ca="1">W1838*'Expenditure Study'!$B$31</f>
        <v>0</v>
      </c>
      <c r="AA1838" s="195">
        <f t="shared" ca="1" si="400"/>
        <v>609268.71456864011</v>
      </c>
      <c r="AB1838" s="195">
        <f t="shared" ca="1" si="401"/>
        <v>609268.71456864011</v>
      </c>
      <c r="AD1838" s="196">
        <f>IFERROR($G1838/SUMIF($A:$A,$A1838,$G:$G)*SUMIF(Summary!$A$166:$A$242,$A1838,Summary!$P$166:$P$242),0)</f>
        <v>70186.506263252726</v>
      </c>
      <c r="AE1838" s="197">
        <f t="shared" ca="1" si="402"/>
        <v>539082.20830538741</v>
      </c>
      <c r="AF1838" s="196">
        <f>IFERROR(G1838/SUMIF(A:A,A1838,G:G)*SUMIF(Summary!$A$166:$A$242,'Operations Support'!A1838,Summary!$Q$166:$Q$242),0)</f>
        <v>70335.517802566348</v>
      </c>
      <c r="AG1838" s="196">
        <f t="shared" ca="1" si="403"/>
        <v>538933.19676607382</v>
      </c>
      <c r="AI1838" s="196">
        <f>IFERROR($G1838/SUMIF($A:$A,$A1838,$G:$G)*SUMIF(Summary!$A$247:$A$283,$A1838,Summary!$P$247:$P$283),0)</f>
        <v>12800.267257677249</v>
      </c>
      <c r="AJ1838" s="196">
        <f>IFERROR($G1838/SUMIF($A:$A,$A1838,$G:$G)*(SUMIF(Summary!$A$247:$A$283,$A1838,Summary!$L$247:$L$283)+SUMIF(Summary!$A$297:$A$333,$A1838,Summary!$L$297:$L$333))-AI1838,0)</f>
        <v>45875.168622132216</v>
      </c>
      <c r="AK1838" s="196">
        <f>IFERROR($G1838/SUMIF($A:$A,$A1838,$G:$G)*SUMIF(Summary!$A$247:$A$283,$A1838,Summary!$Q$247:$Q$283),0)</f>
        <v>12827.44324390654</v>
      </c>
      <c r="AL1838" s="196">
        <f>IFERROR($G1838/SUMIF($A:$A,$A1838,$G:$G)*(SUMIF(Summary!$A$247:$A$283,$A1838,Summary!$L$247:$L$283)+SUMIF(Summary!$A$297:$A$333,$A1838,Summary!$L$297:$L$333))-AK1838,0)</f>
        <v>45847.992635902927</v>
      </c>
      <c r="AM1838" s="198"/>
      <c r="AN1838" s="196">
        <f t="shared" ca="1" si="404"/>
        <v>584957.37692751968</v>
      </c>
      <c r="AO1838" s="196">
        <f t="shared" ca="1" si="405"/>
        <v>584781.18940197676</v>
      </c>
    </row>
    <row r="1839" spans="1:41">
      <c r="A1839" s="189">
        <v>3646</v>
      </c>
      <c r="B1839" s="190">
        <v>3</v>
      </c>
      <c r="C1839" s="191" t="s">
        <v>227</v>
      </c>
      <c r="D1839" s="192">
        <f t="shared" si="392"/>
        <v>0</v>
      </c>
      <c r="E1839" s="192">
        <f t="shared" si="393"/>
        <v>0</v>
      </c>
      <c r="F1839" s="192">
        <f t="shared" si="394"/>
        <v>0</v>
      </c>
      <c r="G1839" s="193">
        <f t="shared" si="395"/>
        <v>0</v>
      </c>
      <c r="H1839" s="194">
        <v>0</v>
      </c>
      <c r="I1839" s="194">
        <v>0</v>
      </c>
      <c r="J1839" s="194">
        <v>0</v>
      </c>
      <c r="K1839" s="193">
        <f t="shared" si="396"/>
        <v>0</v>
      </c>
      <c r="L1839" s="194">
        <v>0</v>
      </c>
      <c r="M1839" s="194">
        <v>0</v>
      </c>
      <c r="N1839" s="194">
        <v>0</v>
      </c>
      <c r="O1839" s="193">
        <f t="shared" si="397"/>
        <v>0</v>
      </c>
      <c r="P1839" s="194">
        <v>0</v>
      </c>
      <c r="Q1839" s="194">
        <v>0</v>
      </c>
      <c r="R1839" s="194">
        <v>0</v>
      </c>
      <c r="S1839" s="193">
        <f t="shared" si="398"/>
        <v>0</v>
      </c>
      <c r="T1839" s="193">
        <f t="shared" si="399"/>
        <v>0</v>
      </c>
      <c r="U1839" s="193">
        <f ca="1">OFFSET('Expenditure Study'!$B$7,'Operations Support'!$C1839,'Operations Support'!$B1839)*$G1839</f>
        <v>0</v>
      </c>
      <c r="V1839" s="199">
        <f ca="1">U1839*'Expenditure Study'!$B$31</f>
        <v>0</v>
      </c>
      <c r="W1839" s="199">
        <f ca="1">IF(A1839=10298,1.51,1)*IF($B1839&lt;3,$D1839*'Expenditure Study'!$B$32*OFFSET('Expenditure Study'!$B$7,'Operations Support'!$C1839,'Operations Support'!$B1839),0)</f>
        <v>0</v>
      </c>
      <c r="X1839" s="200">
        <f ca="1">W1839*'Expenditure Study'!$B$31</f>
        <v>0</v>
      </c>
      <c r="Y1839" s="199">
        <f ca="1">U1839*'Expenditure Study'!$B$31</f>
        <v>0</v>
      </c>
      <c r="Z1839" s="200">
        <f ca="1">W1839*'Expenditure Study'!$B$31</f>
        <v>0</v>
      </c>
      <c r="AA1839" s="195">
        <f t="shared" ca="1" si="400"/>
        <v>0</v>
      </c>
      <c r="AB1839" s="195">
        <f t="shared" ca="1" si="401"/>
        <v>0</v>
      </c>
      <c r="AD1839" s="196">
        <f>IFERROR($G1839/SUMIF($A:$A,$A1839,$G:$G)*SUMIF(Summary!$A$166:$A$242,$A1839,Summary!$P$166:$P$242),0)</f>
        <v>0</v>
      </c>
      <c r="AE1839" s="197">
        <f t="shared" ca="1" si="402"/>
        <v>0</v>
      </c>
      <c r="AF1839" s="196">
        <f>IFERROR(G1839/SUMIF(A:A,A1839,G:G)*SUMIF(Summary!$A$166:$A$242,'Operations Support'!A1839,Summary!$Q$166:$Q$242),0)</f>
        <v>0</v>
      </c>
      <c r="AG1839" s="196">
        <f t="shared" ca="1" si="403"/>
        <v>0</v>
      </c>
      <c r="AI1839" s="196">
        <f>IFERROR($G1839/SUMIF($A:$A,$A1839,$G:$G)*SUMIF(Summary!$A$247:$A$283,$A1839,Summary!$P$247:$P$283),0)</f>
        <v>0</v>
      </c>
      <c r="AJ1839" s="196">
        <f>IFERROR($G1839/SUMIF($A:$A,$A1839,$G:$G)*(SUMIF(Summary!$A$247:$A$283,$A1839,Summary!$L$247:$L$283)+SUMIF(Summary!$A$297:$A$333,$A1839,Summary!$L$297:$L$333))-AI1839,0)</f>
        <v>0</v>
      </c>
      <c r="AK1839" s="196">
        <f>IFERROR($G1839/SUMIF($A:$A,$A1839,$G:$G)*SUMIF(Summary!$A$247:$A$283,$A1839,Summary!$Q$247:$Q$283),0)</f>
        <v>0</v>
      </c>
      <c r="AL1839" s="196">
        <f>IFERROR($G1839/SUMIF($A:$A,$A1839,$G:$G)*(SUMIF(Summary!$A$247:$A$283,$A1839,Summary!$L$247:$L$283)+SUMIF(Summary!$A$297:$A$333,$A1839,Summary!$L$297:$L$333))-AK1839,0)</f>
        <v>0</v>
      </c>
      <c r="AM1839" s="198"/>
      <c r="AN1839" s="196">
        <f t="shared" ca="1" si="404"/>
        <v>0</v>
      </c>
      <c r="AO1839" s="196">
        <f t="shared" ca="1" si="405"/>
        <v>0</v>
      </c>
    </row>
    <row r="1840" spans="1:41">
      <c r="A1840" s="189">
        <v>3646</v>
      </c>
      <c r="B1840" s="190">
        <v>3</v>
      </c>
      <c r="C1840" s="191" t="s">
        <v>228</v>
      </c>
      <c r="D1840" s="192">
        <f t="shared" si="392"/>
        <v>390</v>
      </c>
      <c r="E1840" s="192">
        <f t="shared" si="393"/>
        <v>423</v>
      </c>
      <c r="F1840" s="192">
        <f t="shared" si="394"/>
        <v>0</v>
      </c>
      <c r="G1840" s="193">
        <f t="shared" si="395"/>
        <v>813</v>
      </c>
      <c r="H1840" s="194">
        <v>156</v>
      </c>
      <c r="I1840" s="194">
        <v>246</v>
      </c>
      <c r="J1840" s="194">
        <v>0</v>
      </c>
      <c r="K1840" s="193">
        <f t="shared" si="396"/>
        <v>402</v>
      </c>
      <c r="L1840" s="194">
        <v>234</v>
      </c>
      <c r="M1840" s="194">
        <v>177</v>
      </c>
      <c r="N1840" s="194">
        <v>0</v>
      </c>
      <c r="O1840" s="193">
        <f t="shared" si="397"/>
        <v>411</v>
      </c>
      <c r="P1840" s="194">
        <v>0</v>
      </c>
      <c r="Q1840" s="194">
        <v>0</v>
      </c>
      <c r="R1840" s="194">
        <v>0</v>
      </c>
      <c r="S1840" s="193">
        <f t="shared" si="398"/>
        <v>0</v>
      </c>
      <c r="T1840" s="193">
        <f t="shared" si="399"/>
        <v>33.875</v>
      </c>
      <c r="U1840" s="193">
        <f ca="1">OFFSET('Expenditure Study'!$B$7,'Operations Support'!$C1840,'Operations Support'!$B1840)*$G1840</f>
        <v>1983.72</v>
      </c>
      <c r="V1840" s="199">
        <f ca="1">U1840*'Expenditure Study'!$B$31</f>
        <v>117204.487416576</v>
      </c>
      <c r="W1840" s="199">
        <f ca="1">IF(A1840=10298,1.51,1)*IF($B1840&lt;3,$D1840*'Expenditure Study'!$B$32*OFFSET('Expenditure Study'!$B$7,'Operations Support'!$C1840,'Operations Support'!$B1840),0)</f>
        <v>0</v>
      </c>
      <c r="X1840" s="200">
        <f ca="1">W1840*'Expenditure Study'!$B$31</f>
        <v>0</v>
      </c>
      <c r="Y1840" s="199">
        <f ca="1">U1840*'Expenditure Study'!$B$31</f>
        <v>117204.487416576</v>
      </c>
      <c r="Z1840" s="200">
        <f ca="1">W1840*'Expenditure Study'!$B$31</f>
        <v>0</v>
      </c>
      <c r="AA1840" s="195">
        <f t="shared" ca="1" si="400"/>
        <v>117204.487416576</v>
      </c>
      <c r="AB1840" s="195">
        <f t="shared" ca="1" si="401"/>
        <v>117204.487416576</v>
      </c>
      <c r="AD1840" s="196">
        <f>IFERROR($G1840/SUMIF($A:$A,$A1840,$G:$G)*SUMIF(Summary!$A$166:$A$242,$A1840,Summary!$P$166:$P$242),0)</f>
        <v>19090.541850794401</v>
      </c>
      <c r="AE1840" s="197">
        <f t="shared" ca="1" si="402"/>
        <v>98113.9455657816</v>
      </c>
      <c r="AF1840" s="196">
        <f>IFERROR(G1840/SUMIF(A:A,A1840,G:G)*SUMIF(Summary!$A$166:$A$242,'Operations Support'!A1840,Summary!$Q$166:$Q$242),0)</f>
        <v>19131.072590661239</v>
      </c>
      <c r="AG1840" s="196">
        <f t="shared" ca="1" si="403"/>
        <v>98073.414825914762</v>
      </c>
      <c r="AI1840" s="196">
        <f>IFERROR($G1840/SUMIF($A:$A,$A1840,$G:$G)*SUMIF(Summary!$A$247:$A$283,$A1840,Summary!$P$247:$P$283),0)</f>
        <v>3481.6384344234207</v>
      </c>
      <c r="AJ1840" s="196">
        <f>IFERROR($G1840/SUMIF($A:$A,$A1840,$G:$G)*(SUMIF(Summary!$A$247:$A$283,$A1840,Summary!$L$247:$L$283)+SUMIF(Summary!$A$297:$A$333,$A1840,Summary!$L$297:$L$333))-AI1840,0)</f>
        <v>12477.923081229004</v>
      </c>
      <c r="AK1840" s="196">
        <f>IFERROR($G1840/SUMIF($A:$A,$A1840,$G:$G)*SUMIF(Summary!$A$247:$A$283,$A1840,Summary!$Q$247:$Q$283),0)</f>
        <v>3489.0302299417926</v>
      </c>
      <c r="AL1840" s="196">
        <f>IFERROR($G1840/SUMIF($A:$A,$A1840,$G:$G)*(SUMIF(Summary!$A$247:$A$283,$A1840,Summary!$L$247:$L$283)+SUMIF(Summary!$A$297:$A$333,$A1840,Summary!$L$297:$L$333))-AK1840,0)</f>
        <v>12470.531285710633</v>
      </c>
      <c r="AM1840" s="198"/>
      <c r="AN1840" s="196">
        <f t="shared" ca="1" si="404"/>
        <v>110591.8686470106</v>
      </c>
      <c r="AO1840" s="196">
        <f t="shared" ca="1" si="405"/>
        <v>110543.9461116254</v>
      </c>
    </row>
    <row r="1841" spans="1:41">
      <c r="A1841" s="189">
        <v>3646</v>
      </c>
      <c r="B1841" s="190">
        <v>3</v>
      </c>
      <c r="C1841" s="191" t="s">
        <v>229</v>
      </c>
      <c r="D1841" s="192">
        <f t="shared" si="392"/>
        <v>1896</v>
      </c>
      <c r="E1841" s="192">
        <f t="shared" si="393"/>
        <v>2927</v>
      </c>
      <c r="F1841" s="192">
        <f t="shared" si="394"/>
        <v>0</v>
      </c>
      <c r="G1841" s="193">
        <f t="shared" si="395"/>
        <v>4823</v>
      </c>
      <c r="H1841" s="194">
        <v>676</v>
      </c>
      <c r="I1841" s="194">
        <v>1076</v>
      </c>
      <c r="J1841" s="194">
        <v>0</v>
      </c>
      <c r="K1841" s="193">
        <f t="shared" si="396"/>
        <v>1752</v>
      </c>
      <c r="L1841" s="194">
        <v>820</v>
      </c>
      <c r="M1841" s="194">
        <v>999</v>
      </c>
      <c r="N1841" s="194">
        <v>0</v>
      </c>
      <c r="O1841" s="193">
        <f t="shared" si="397"/>
        <v>1819</v>
      </c>
      <c r="P1841" s="194">
        <v>400</v>
      </c>
      <c r="Q1841" s="194">
        <v>852</v>
      </c>
      <c r="R1841" s="194">
        <v>0</v>
      </c>
      <c r="S1841" s="193">
        <f t="shared" si="398"/>
        <v>1252</v>
      </c>
      <c r="T1841" s="193">
        <f t="shared" si="399"/>
        <v>200.95833333333334</v>
      </c>
      <c r="U1841" s="193">
        <f ca="1">OFFSET('Expenditure Study'!$B$7,'Operations Support'!$C1841,'Operations Support'!$B1841)*$G1841</f>
        <v>17796.87</v>
      </c>
      <c r="V1841" s="199">
        <f ca="1">U1841*'Expenditure Study'!$B$31</f>
        <v>1051495.6878840961</v>
      </c>
      <c r="W1841" s="199">
        <f ca="1">IF(A1841=10298,1.51,1)*IF($B1841&lt;3,$D1841*'Expenditure Study'!$B$32*OFFSET('Expenditure Study'!$B$7,'Operations Support'!$C1841,'Operations Support'!$B1841),0)</f>
        <v>0</v>
      </c>
      <c r="X1841" s="200">
        <f ca="1">W1841*'Expenditure Study'!$B$31</f>
        <v>0</v>
      </c>
      <c r="Y1841" s="199">
        <f ca="1">U1841*'Expenditure Study'!$B$31</f>
        <v>1051495.6878840961</v>
      </c>
      <c r="Z1841" s="200">
        <f ca="1">W1841*'Expenditure Study'!$B$31</f>
        <v>0</v>
      </c>
      <c r="AA1841" s="195">
        <f t="shared" ca="1" si="400"/>
        <v>1051495.6878840961</v>
      </c>
      <c r="AB1841" s="195">
        <f t="shared" ca="1" si="401"/>
        <v>1051495.6878840961</v>
      </c>
      <c r="AD1841" s="196">
        <f>IFERROR($G1841/SUMIF($A:$A,$A1841,$G:$G)*SUMIF(Summary!$A$166:$A$242,$A1841,Summary!$P$166:$P$242),0)</f>
        <v>113251.76303367947</v>
      </c>
      <c r="AE1841" s="197">
        <f t="shared" ca="1" si="402"/>
        <v>938243.9248504166</v>
      </c>
      <c r="AF1841" s="196">
        <f>IFERROR(G1841/SUMIF(A:A,A1841,G:G)*SUMIF(Summary!$A$166:$A$242,'Operations Support'!A1841,Summary!$Q$166:$Q$242),0)</f>
        <v>113492.20554090918</v>
      </c>
      <c r="AG1841" s="196">
        <f t="shared" ca="1" si="403"/>
        <v>938003.48234318686</v>
      </c>
      <c r="AI1841" s="196">
        <f>IFERROR($G1841/SUMIF($A:$A,$A1841,$G:$G)*SUMIF(Summary!$A$247:$A$283,$A1841,Summary!$P$247:$P$283),0)</f>
        <v>20654.295411099825</v>
      </c>
      <c r="AJ1841" s="196">
        <f>IFERROR($G1841/SUMIF($A:$A,$A1841,$G:$G)*(SUMIF(Summary!$A$247:$A$283,$A1841,Summary!$L$247:$L$283)+SUMIF(Summary!$A$297:$A$333,$A1841,Summary!$L$297:$L$333))-AI1841,0)</f>
        <v>74023.39854952952</v>
      </c>
      <c r="AK1841" s="196">
        <f>IFERROR($G1841/SUMIF($A:$A,$A1841,$G:$G)*SUMIF(Summary!$A$247:$A$283,$A1841,Summary!$Q$247:$Q$283),0)</f>
        <v>20698.146124242641</v>
      </c>
      <c r="AL1841" s="196">
        <f>IFERROR($G1841/SUMIF($A:$A,$A1841,$G:$G)*(SUMIF(Summary!$A$247:$A$283,$A1841,Summary!$L$247:$L$283)+SUMIF(Summary!$A$297:$A$333,$A1841,Summary!$L$297:$L$333))-AK1841,0)</f>
        <v>73979.547836386701</v>
      </c>
      <c r="AM1841" s="198"/>
      <c r="AN1841" s="196">
        <f t="shared" ca="1" si="404"/>
        <v>1012267.3233999461</v>
      </c>
      <c r="AO1841" s="196">
        <f t="shared" ca="1" si="405"/>
        <v>1011983.0301795736</v>
      </c>
    </row>
    <row r="1842" spans="1:41">
      <c r="A1842" s="189">
        <v>3646</v>
      </c>
      <c r="B1842" s="190">
        <v>3</v>
      </c>
      <c r="C1842" s="191" t="s">
        <v>230</v>
      </c>
      <c r="D1842" s="192">
        <f t="shared" si="392"/>
        <v>0</v>
      </c>
      <c r="E1842" s="192">
        <f t="shared" si="393"/>
        <v>0</v>
      </c>
      <c r="F1842" s="192">
        <f t="shared" si="394"/>
        <v>0</v>
      </c>
      <c r="G1842" s="193">
        <f t="shared" si="395"/>
        <v>0</v>
      </c>
      <c r="H1842" s="194">
        <v>0</v>
      </c>
      <c r="I1842" s="194">
        <v>0</v>
      </c>
      <c r="J1842" s="194">
        <v>0</v>
      </c>
      <c r="K1842" s="193">
        <f t="shared" si="396"/>
        <v>0</v>
      </c>
      <c r="L1842" s="194">
        <v>0</v>
      </c>
      <c r="M1842" s="194">
        <v>0</v>
      </c>
      <c r="N1842" s="194">
        <v>0</v>
      </c>
      <c r="O1842" s="193">
        <f t="shared" si="397"/>
        <v>0</v>
      </c>
      <c r="P1842" s="194">
        <v>0</v>
      </c>
      <c r="Q1842" s="194">
        <v>0</v>
      </c>
      <c r="R1842" s="194">
        <v>0</v>
      </c>
      <c r="S1842" s="193">
        <f t="shared" si="398"/>
        <v>0</v>
      </c>
      <c r="T1842" s="193">
        <f t="shared" si="399"/>
        <v>0</v>
      </c>
      <c r="U1842" s="193">
        <f ca="1">OFFSET('Expenditure Study'!$B$7,'Operations Support'!$C1842,'Operations Support'!$B1842)*$G1842</f>
        <v>0</v>
      </c>
      <c r="V1842" s="199">
        <f ca="1">U1842*'Expenditure Study'!$B$31</f>
        <v>0</v>
      </c>
      <c r="W1842" s="199">
        <f ca="1">IF(A1842=10298,1.51,1)*IF($B1842&lt;3,$D1842*'Expenditure Study'!$B$32*OFFSET('Expenditure Study'!$B$7,'Operations Support'!$C1842,'Operations Support'!$B1842),0)</f>
        <v>0</v>
      </c>
      <c r="X1842" s="200">
        <f ca="1">W1842*'Expenditure Study'!$B$31</f>
        <v>0</v>
      </c>
      <c r="Y1842" s="199">
        <f ca="1">U1842*'Expenditure Study'!$B$31</f>
        <v>0</v>
      </c>
      <c r="Z1842" s="200">
        <f ca="1">W1842*'Expenditure Study'!$B$31</f>
        <v>0</v>
      </c>
      <c r="AA1842" s="195">
        <f t="shared" ca="1" si="400"/>
        <v>0</v>
      </c>
      <c r="AB1842" s="195">
        <f t="shared" ca="1" si="401"/>
        <v>0</v>
      </c>
      <c r="AD1842" s="196">
        <f>IFERROR($G1842/SUMIF($A:$A,$A1842,$G:$G)*SUMIF(Summary!$A$166:$A$242,$A1842,Summary!$P$166:$P$242),0)</f>
        <v>0</v>
      </c>
      <c r="AE1842" s="197">
        <f t="shared" ca="1" si="402"/>
        <v>0</v>
      </c>
      <c r="AF1842" s="196">
        <f>IFERROR(G1842/SUMIF(A:A,A1842,G:G)*SUMIF(Summary!$A$166:$A$242,'Operations Support'!A1842,Summary!$Q$166:$Q$242),0)</f>
        <v>0</v>
      </c>
      <c r="AG1842" s="196">
        <f t="shared" ca="1" si="403"/>
        <v>0</v>
      </c>
      <c r="AI1842" s="196">
        <f>IFERROR($G1842/SUMIF($A:$A,$A1842,$G:$G)*SUMIF(Summary!$A$247:$A$283,$A1842,Summary!$P$247:$P$283),0)</f>
        <v>0</v>
      </c>
      <c r="AJ1842" s="196">
        <f>IFERROR($G1842/SUMIF($A:$A,$A1842,$G:$G)*(SUMIF(Summary!$A$247:$A$283,$A1842,Summary!$L$247:$L$283)+SUMIF(Summary!$A$297:$A$333,$A1842,Summary!$L$297:$L$333))-AI1842,0)</f>
        <v>0</v>
      </c>
      <c r="AK1842" s="196">
        <f>IFERROR($G1842/SUMIF($A:$A,$A1842,$G:$G)*SUMIF(Summary!$A$247:$A$283,$A1842,Summary!$Q$247:$Q$283),0)</f>
        <v>0</v>
      </c>
      <c r="AL1842" s="196">
        <f>IFERROR($G1842/SUMIF($A:$A,$A1842,$G:$G)*(SUMIF(Summary!$A$247:$A$283,$A1842,Summary!$L$247:$L$283)+SUMIF(Summary!$A$297:$A$333,$A1842,Summary!$L$297:$L$333))-AK1842,0)</f>
        <v>0</v>
      </c>
      <c r="AM1842" s="198"/>
      <c r="AN1842" s="196">
        <f t="shared" ca="1" si="404"/>
        <v>0</v>
      </c>
      <c r="AO1842" s="196">
        <f t="shared" ca="1" si="405"/>
        <v>0</v>
      </c>
    </row>
    <row r="1843" spans="1:41">
      <c r="A1843" s="189">
        <v>3646</v>
      </c>
      <c r="B1843" s="190">
        <v>3</v>
      </c>
      <c r="C1843" s="191" t="s">
        <v>231</v>
      </c>
      <c r="D1843" s="192">
        <f t="shared" si="392"/>
        <v>0</v>
      </c>
      <c r="E1843" s="192">
        <f t="shared" si="393"/>
        <v>0</v>
      </c>
      <c r="F1843" s="192">
        <f t="shared" si="394"/>
        <v>0</v>
      </c>
      <c r="G1843" s="193">
        <f t="shared" si="395"/>
        <v>0</v>
      </c>
      <c r="H1843" s="194">
        <v>0</v>
      </c>
      <c r="I1843" s="194">
        <v>0</v>
      </c>
      <c r="J1843" s="194">
        <v>0</v>
      </c>
      <c r="K1843" s="193">
        <f t="shared" si="396"/>
        <v>0</v>
      </c>
      <c r="L1843" s="194">
        <v>0</v>
      </c>
      <c r="M1843" s="194">
        <v>0</v>
      </c>
      <c r="N1843" s="194">
        <v>0</v>
      </c>
      <c r="O1843" s="193">
        <f t="shared" si="397"/>
        <v>0</v>
      </c>
      <c r="P1843" s="194">
        <v>0</v>
      </c>
      <c r="Q1843" s="194">
        <v>0</v>
      </c>
      <c r="R1843" s="194">
        <v>0</v>
      </c>
      <c r="S1843" s="193">
        <f t="shared" si="398"/>
        <v>0</v>
      </c>
      <c r="T1843" s="193">
        <f t="shared" si="399"/>
        <v>0</v>
      </c>
      <c r="U1843" s="193">
        <f ca="1">OFFSET('Expenditure Study'!$B$7,'Operations Support'!$C1843,'Operations Support'!$B1843)*$G1843</f>
        <v>0</v>
      </c>
      <c r="V1843" s="199">
        <f ca="1">U1843*'Expenditure Study'!$B$31</f>
        <v>0</v>
      </c>
      <c r="W1843" s="199">
        <f ca="1">IF(A1843=10298,1.51,1)*IF($B1843&lt;3,$D1843*'Expenditure Study'!$B$32*OFFSET('Expenditure Study'!$B$7,'Operations Support'!$C1843,'Operations Support'!$B1843),0)</f>
        <v>0</v>
      </c>
      <c r="X1843" s="200">
        <f ca="1">W1843*'Expenditure Study'!$B$31</f>
        <v>0</v>
      </c>
      <c r="Y1843" s="199">
        <f ca="1">U1843*'Expenditure Study'!$B$31</f>
        <v>0</v>
      </c>
      <c r="Z1843" s="200">
        <f ca="1">W1843*'Expenditure Study'!$B$31</f>
        <v>0</v>
      </c>
      <c r="AA1843" s="195">
        <f t="shared" ca="1" si="400"/>
        <v>0</v>
      </c>
      <c r="AB1843" s="195">
        <f t="shared" ca="1" si="401"/>
        <v>0</v>
      </c>
      <c r="AD1843" s="196">
        <f>IFERROR($G1843/SUMIF($A:$A,$A1843,$G:$G)*SUMIF(Summary!$A$166:$A$242,$A1843,Summary!$P$166:$P$242),0)</f>
        <v>0</v>
      </c>
      <c r="AE1843" s="197">
        <f t="shared" ca="1" si="402"/>
        <v>0</v>
      </c>
      <c r="AF1843" s="196">
        <f>IFERROR(G1843/SUMIF(A:A,A1843,G:G)*SUMIF(Summary!$A$166:$A$242,'Operations Support'!A1843,Summary!$Q$166:$Q$242),0)</f>
        <v>0</v>
      </c>
      <c r="AG1843" s="196">
        <f t="shared" ca="1" si="403"/>
        <v>0</v>
      </c>
      <c r="AI1843" s="196">
        <f>IFERROR($G1843/SUMIF($A:$A,$A1843,$G:$G)*SUMIF(Summary!$A$247:$A$283,$A1843,Summary!$P$247:$P$283),0)</f>
        <v>0</v>
      </c>
      <c r="AJ1843" s="196">
        <f>IFERROR($G1843/SUMIF($A:$A,$A1843,$G:$G)*(SUMIF(Summary!$A$247:$A$283,$A1843,Summary!$L$247:$L$283)+SUMIF(Summary!$A$297:$A$333,$A1843,Summary!$L$297:$L$333))-AI1843,0)</f>
        <v>0</v>
      </c>
      <c r="AK1843" s="196">
        <f>IFERROR($G1843/SUMIF($A:$A,$A1843,$G:$G)*SUMIF(Summary!$A$247:$A$283,$A1843,Summary!$Q$247:$Q$283),0)</f>
        <v>0</v>
      </c>
      <c r="AL1843" s="196">
        <f>IFERROR($G1843/SUMIF($A:$A,$A1843,$G:$G)*(SUMIF(Summary!$A$247:$A$283,$A1843,Summary!$L$247:$L$283)+SUMIF(Summary!$A$297:$A$333,$A1843,Summary!$L$297:$L$333))-AK1843,0)</f>
        <v>0</v>
      </c>
      <c r="AM1843" s="198"/>
      <c r="AN1843" s="196">
        <f t="shared" ca="1" si="404"/>
        <v>0</v>
      </c>
      <c r="AO1843" s="196">
        <f t="shared" ca="1" si="405"/>
        <v>0</v>
      </c>
    </row>
    <row r="1844" spans="1:41">
      <c r="A1844" s="189">
        <v>3646</v>
      </c>
      <c r="B1844" s="190">
        <v>3</v>
      </c>
      <c r="C1844" s="191" t="s">
        <v>232</v>
      </c>
      <c r="D1844" s="192">
        <f t="shared" si="392"/>
        <v>0</v>
      </c>
      <c r="E1844" s="192">
        <f t="shared" si="393"/>
        <v>0</v>
      </c>
      <c r="F1844" s="192">
        <f t="shared" si="394"/>
        <v>0</v>
      </c>
      <c r="G1844" s="193">
        <f t="shared" si="395"/>
        <v>0</v>
      </c>
      <c r="H1844" s="194">
        <v>0</v>
      </c>
      <c r="I1844" s="194">
        <v>0</v>
      </c>
      <c r="J1844" s="194">
        <v>0</v>
      </c>
      <c r="K1844" s="193">
        <f t="shared" si="396"/>
        <v>0</v>
      </c>
      <c r="L1844" s="194">
        <v>0</v>
      </c>
      <c r="M1844" s="194">
        <v>0</v>
      </c>
      <c r="N1844" s="194">
        <v>0</v>
      </c>
      <c r="O1844" s="193">
        <f t="shared" si="397"/>
        <v>0</v>
      </c>
      <c r="P1844" s="194">
        <v>0</v>
      </c>
      <c r="Q1844" s="194">
        <v>0</v>
      </c>
      <c r="R1844" s="194">
        <v>0</v>
      </c>
      <c r="S1844" s="193">
        <f t="shared" si="398"/>
        <v>0</v>
      </c>
      <c r="T1844" s="193">
        <f t="shared" si="399"/>
        <v>0</v>
      </c>
      <c r="U1844" s="193">
        <f ca="1">OFFSET('Expenditure Study'!$B$7,'Operations Support'!$C1844,'Operations Support'!$B1844)*$G1844</f>
        <v>0</v>
      </c>
      <c r="V1844" s="199">
        <f ca="1">U1844*'Expenditure Study'!$B$31</f>
        <v>0</v>
      </c>
      <c r="W1844" s="199">
        <f ca="1">IF(A1844=10298,1.51,1)*IF($B1844&lt;3,$D1844*'Expenditure Study'!$B$32*OFFSET('Expenditure Study'!$B$7,'Operations Support'!$C1844,'Operations Support'!$B1844),0)</f>
        <v>0</v>
      </c>
      <c r="X1844" s="200">
        <f ca="1">W1844*'Expenditure Study'!$B$31</f>
        <v>0</v>
      </c>
      <c r="Y1844" s="199">
        <f ca="1">U1844*'Expenditure Study'!$B$31</f>
        <v>0</v>
      </c>
      <c r="Z1844" s="200">
        <f ca="1">W1844*'Expenditure Study'!$B$31</f>
        <v>0</v>
      </c>
      <c r="AA1844" s="195">
        <f t="shared" ca="1" si="400"/>
        <v>0</v>
      </c>
      <c r="AB1844" s="195">
        <f t="shared" ca="1" si="401"/>
        <v>0</v>
      </c>
      <c r="AD1844" s="196">
        <f>IFERROR($G1844/SUMIF($A:$A,$A1844,$G:$G)*SUMIF(Summary!$A$166:$A$242,$A1844,Summary!$P$166:$P$242),0)</f>
        <v>0</v>
      </c>
      <c r="AE1844" s="197">
        <f t="shared" ca="1" si="402"/>
        <v>0</v>
      </c>
      <c r="AF1844" s="196">
        <f>IFERROR(G1844/SUMIF(A:A,A1844,G:G)*SUMIF(Summary!$A$166:$A$242,'Operations Support'!A1844,Summary!$Q$166:$Q$242),0)</f>
        <v>0</v>
      </c>
      <c r="AG1844" s="196">
        <f t="shared" ca="1" si="403"/>
        <v>0</v>
      </c>
      <c r="AI1844" s="196">
        <f>IFERROR($G1844/SUMIF($A:$A,$A1844,$G:$G)*SUMIF(Summary!$A$247:$A$283,$A1844,Summary!$P$247:$P$283),0)</f>
        <v>0</v>
      </c>
      <c r="AJ1844" s="196">
        <f>IFERROR($G1844/SUMIF($A:$A,$A1844,$G:$G)*(SUMIF(Summary!$A$247:$A$283,$A1844,Summary!$L$247:$L$283)+SUMIF(Summary!$A$297:$A$333,$A1844,Summary!$L$297:$L$333))-AI1844,0)</f>
        <v>0</v>
      </c>
      <c r="AK1844" s="196">
        <f>IFERROR($G1844/SUMIF($A:$A,$A1844,$G:$G)*SUMIF(Summary!$A$247:$A$283,$A1844,Summary!$Q$247:$Q$283),0)</f>
        <v>0</v>
      </c>
      <c r="AL1844" s="196">
        <f>IFERROR($G1844/SUMIF($A:$A,$A1844,$G:$G)*(SUMIF(Summary!$A$247:$A$283,$A1844,Summary!$L$247:$L$283)+SUMIF(Summary!$A$297:$A$333,$A1844,Summary!$L$297:$L$333))-AK1844,0)</f>
        <v>0</v>
      </c>
      <c r="AM1844" s="198"/>
      <c r="AN1844" s="196">
        <f t="shared" ca="1" si="404"/>
        <v>0</v>
      </c>
      <c r="AO1844" s="196">
        <f t="shared" ca="1" si="405"/>
        <v>0</v>
      </c>
    </row>
    <row r="1845" spans="1:41">
      <c r="A1845" s="189">
        <v>3646</v>
      </c>
      <c r="B1845" s="190">
        <v>3</v>
      </c>
      <c r="C1845" s="191" t="s">
        <v>233</v>
      </c>
      <c r="D1845" s="192">
        <f t="shared" si="392"/>
        <v>5128.91</v>
      </c>
      <c r="E1845" s="192">
        <f t="shared" si="393"/>
        <v>3913.09</v>
      </c>
      <c r="F1845" s="192">
        <f t="shared" si="394"/>
        <v>0</v>
      </c>
      <c r="G1845" s="193">
        <f t="shared" si="395"/>
        <v>9042</v>
      </c>
      <c r="H1845" s="194">
        <v>1700.14</v>
      </c>
      <c r="I1845" s="194">
        <v>1795.86</v>
      </c>
      <c r="J1845" s="194">
        <v>0</v>
      </c>
      <c r="K1845" s="193">
        <f t="shared" si="396"/>
        <v>3496</v>
      </c>
      <c r="L1845" s="194">
        <v>1892.03</v>
      </c>
      <c r="M1845" s="194">
        <v>984.97</v>
      </c>
      <c r="N1845" s="194">
        <v>0</v>
      </c>
      <c r="O1845" s="193">
        <f t="shared" si="397"/>
        <v>2877</v>
      </c>
      <c r="P1845" s="194">
        <v>1536.74</v>
      </c>
      <c r="Q1845" s="194">
        <v>1132.26</v>
      </c>
      <c r="R1845" s="194">
        <v>0</v>
      </c>
      <c r="S1845" s="193">
        <f t="shared" si="398"/>
        <v>2669</v>
      </c>
      <c r="T1845" s="193">
        <f t="shared" si="399"/>
        <v>376.75</v>
      </c>
      <c r="U1845" s="193">
        <f ca="1">OFFSET('Expenditure Study'!$B$7,'Operations Support'!$C1845,'Operations Support'!$B1845)*$G1845</f>
        <v>23690.04</v>
      </c>
      <c r="V1845" s="199">
        <f ca="1">U1845*'Expenditure Study'!$B$31</f>
        <v>1399682.916479232</v>
      </c>
      <c r="W1845" s="199">
        <f ca="1">IF(A1845=10298,1.51,1)*IF($B1845&lt;3,$D1845*'Expenditure Study'!$B$32*OFFSET('Expenditure Study'!$B$7,'Operations Support'!$C1845,'Operations Support'!$B1845),0)</f>
        <v>0</v>
      </c>
      <c r="X1845" s="200">
        <f ca="1">W1845*'Expenditure Study'!$B$31</f>
        <v>0</v>
      </c>
      <c r="Y1845" s="199">
        <f ca="1">U1845*'Expenditure Study'!$B$31</f>
        <v>1399682.916479232</v>
      </c>
      <c r="Z1845" s="200">
        <f ca="1">W1845*'Expenditure Study'!$B$31</f>
        <v>0</v>
      </c>
      <c r="AA1845" s="195">
        <f t="shared" ca="1" si="400"/>
        <v>1399682.916479232</v>
      </c>
      <c r="AB1845" s="195">
        <f t="shared" ca="1" si="401"/>
        <v>1399682.916479232</v>
      </c>
      <c r="AD1845" s="196">
        <f>IFERROR($G1845/SUMIF($A:$A,$A1845,$G:$G)*SUMIF(Summary!$A$166:$A$242,$A1845,Summary!$P$166:$P$242),0)</f>
        <v>212320.63888669494</v>
      </c>
      <c r="AE1845" s="197">
        <f t="shared" ca="1" si="402"/>
        <v>1187362.277592537</v>
      </c>
      <c r="AF1845" s="196">
        <f>IFERROR(G1845/SUMIF(A:A,A1845,G:G)*SUMIF(Summary!$A$166:$A$242,'Operations Support'!A1845,Summary!$Q$166:$Q$242),0)</f>
        <v>212771.41250277849</v>
      </c>
      <c r="AG1845" s="196">
        <f t="shared" ca="1" si="403"/>
        <v>1186911.5039764536</v>
      </c>
      <c r="AI1845" s="196">
        <f>IFERROR($G1845/SUMIF($A:$A,$A1845,$G:$G)*SUMIF(Summary!$A$247:$A$283,$A1845,Summary!$P$247:$P$283),0)</f>
        <v>38721.986130450881</v>
      </c>
      <c r="AJ1845" s="196">
        <f>IFERROR($G1845/SUMIF($A:$A,$A1845,$G:$G)*(SUMIF(Summary!$A$247:$A$283,$A1845,Summary!$L$247:$L$283)+SUMIF(Summary!$A$297:$A$333,$A1845,Summary!$L$297:$L$333))-AI1845,0)</f>
        <v>138776.6057816392</v>
      </c>
      <c r="AK1845" s="196">
        <f>IFERROR($G1845/SUMIF($A:$A,$A1845,$G:$G)*SUMIF(Summary!$A$247:$A$283,$A1845,Summary!$Q$247:$Q$283),0)</f>
        <v>38804.195989094325</v>
      </c>
      <c r="AL1845" s="196">
        <f>IFERROR($G1845/SUMIF($A:$A,$A1845,$G:$G)*(SUMIF(Summary!$A$247:$A$283,$A1845,Summary!$L$247:$L$283)+SUMIF(Summary!$A$297:$A$333,$A1845,Summary!$L$297:$L$333))-AK1845,0)</f>
        <v>138694.39592299575</v>
      </c>
      <c r="AM1845" s="198"/>
      <c r="AN1845" s="196">
        <f t="shared" ca="1" si="404"/>
        <v>1326138.8833741762</v>
      </c>
      <c r="AO1845" s="196">
        <f t="shared" ca="1" si="405"/>
        <v>1325605.8998994492</v>
      </c>
    </row>
    <row r="1846" spans="1:41" s="201" customFormat="1">
      <c r="A1846" s="189">
        <v>3646</v>
      </c>
      <c r="B1846" s="190">
        <v>3</v>
      </c>
      <c r="C1846" s="191" t="s">
        <v>234</v>
      </c>
      <c r="D1846" s="192">
        <f t="shared" si="392"/>
        <v>0</v>
      </c>
      <c r="E1846" s="192">
        <f t="shared" si="393"/>
        <v>0</v>
      </c>
      <c r="F1846" s="192">
        <f t="shared" si="394"/>
        <v>0</v>
      </c>
      <c r="G1846" s="193">
        <f t="shared" si="395"/>
        <v>0</v>
      </c>
      <c r="H1846" s="194">
        <v>0</v>
      </c>
      <c r="I1846" s="194">
        <v>0</v>
      </c>
      <c r="J1846" s="194">
        <v>0</v>
      </c>
      <c r="K1846" s="193">
        <f t="shared" si="396"/>
        <v>0</v>
      </c>
      <c r="L1846" s="194">
        <v>0</v>
      </c>
      <c r="M1846" s="194">
        <v>0</v>
      </c>
      <c r="N1846" s="194">
        <v>0</v>
      </c>
      <c r="O1846" s="193">
        <f t="shared" si="397"/>
        <v>0</v>
      </c>
      <c r="P1846" s="194">
        <v>0</v>
      </c>
      <c r="Q1846" s="194">
        <v>0</v>
      </c>
      <c r="R1846" s="194">
        <v>0</v>
      </c>
      <c r="S1846" s="193">
        <f t="shared" si="398"/>
        <v>0</v>
      </c>
      <c r="T1846" s="193">
        <f t="shared" si="399"/>
        <v>0</v>
      </c>
      <c r="U1846" s="193">
        <f ca="1">OFFSET('Expenditure Study'!$B$7,'Operations Support'!$C1846,'Operations Support'!$B1846)*$G1846</f>
        <v>0</v>
      </c>
      <c r="V1846" s="199">
        <f ca="1">U1846*'Expenditure Study'!$B$31</f>
        <v>0</v>
      </c>
      <c r="W1846" s="199">
        <f ca="1">IF(A1846=10298,1.51,1)*IF($B1846&lt;3,$D1846*'Expenditure Study'!$B$32*OFFSET('Expenditure Study'!$B$7,'Operations Support'!$C1846,'Operations Support'!$B1846),0)</f>
        <v>0</v>
      </c>
      <c r="X1846" s="200">
        <f ca="1">W1846*'Expenditure Study'!$B$31</f>
        <v>0</v>
      </c>
      <c r="Y1846" s="199">
        <f ca="1">U1846*'Expenditure Study'!$B$31</f>
        <v>0</v>
      </c>
      <c r="Z1846" s="200">
        <f ca="1">W1846*'Expenditure Study'!$B$31</f>
        <v>0</v>
      </c>
      <c r="AA1846" s="195">
        <f t="shared" ca="1" si="400"/>
        <v>0</v>
      </c>
      <c r="AB1846" s="195">
        <f t="shared" ca="1" si="401"/>
        <v>0</v>
      </c>
      <c r="AD1846" s="196">
        <f>IFERROR($G1846/SUMIF($A:$A,$A1846,$G:$G)*SUMIF(Summary!$A$166:$A$242,$A1846,Summary!$P$166:$P$242),0)</f>
        <v>0</v>
      </c>
      <c r="AE1846" s="197">
        <f t="shared" ca="1" si="402"/>
        <v>0</v>
      </c>
      <c r="AF1846" s="196">
        <f>IFERROR(G1846/SUMIF(A:A,A1846,G:G)*SUMIF(Summary!$A$166:$A$242,'Operations Support'!A1846,Summary!$Q$166:$Q$242),0)</f>
        <v>0</v>
      </c>
      <c r="AG1846" s="196">
        <f t="shared" ca="1" si="403"/>
        <v>0</v>
      </c>
      <c r="AH1846" s="180"/>
      <c r="AI1846" s="196">
        <f>IFERROR($G1846/SUMIF($A:$A,$A1846,$G:$G)*SUMIF(Summary!$A$247:$A$283,$A1846,Summary!$P$247:$P$283),0)</f>
        <v>0</v>
      </c>
      <c r="AJ1846" s="196">
        <f>IFERROR($G1846/SUMIF($A:$A,$A1846,$G:$G)*(SUMIF(Summary!$A$247:$A$283,$A1846,Summary!$L$247:$L$283)+SUMIF(Summary!$A$297:$A$333,$A1846,Summary!$L$297:$L$333))-AI1846,0)</f>
        <v>0</v>
      </c>
      <c r="AK1846" s="196">
        <f>IFERROR($G1846/SUMIF($A:$A,$A1846,$G:$G)*SUMIF(Summary!$A$247:$A$283,$A1846,Summary!$Q$247:$Q$283),0)</f>
        <v>0</v>
      </c>
      <c r="AL1846" s="196">
        <f>IFERROR($G1846/SUMIF($A:$A,$A1846,$G:$G)*(SUMIF(Summary!$A$247:$A$283,$A1846,Summary!$L$247:$L$283)+SUMIF(Summary!$A$297:$A$333,$A1846,Summary!$L$297:$L$333))-AK1846,0)</f>
        <v>0</v>
      </c>
      <c r="AM1846" s="198"/>
      <c r="AN1846" s="196">
        <f t="shared" ca="1" si="404"/>
        <v>0</v>
      </c>
      <c r="AO1846" s="196">
        <f t="shared" ca="1" si="405"/>
        <v>0</v>
      </c>
    </row>
    <row r="1847" spans="1:41">
      <c r="A1847" s="189">
        <v>3646</v>
      </c>
      <c r="B1847" s="190">
        <v>3</v>
      </c>
      <c r="C1847" s="191" t="s">
        <v>235</v>
      </c>
      <c r="D1847" s="192">
        <f t="shared" si="392"/>
        <v>14736</v>
      </c>
      <c r="E1847" s="192">
        <f t="shared" si="393"/>
        <v>6750</v>
      </c>
      <c r="F1847" s="192">
        <f t="shared" si="394"/>
        <v>0</v>
      </c>
      <c r="G1847" s="193">
        <f t="shared" si="395"/>
        <v>21486</v>
      </c>
      <c r="H1847" s="194">
        <v>5993</v>
      </c>
      <c r="I1847" s="194">
        <v>1833</v>
      </c>
      <c r="J1847" s="194">
        <v>0</v>
      </c>
      <c r="K1847" s="193">
        <f t="shared" si="396"/>
        <v>7826</v>
      </c>
      <c r="L1847" s="194">
        <v>3154</v>
      </c>
      <c r="M1847" s="194">
        <v>1951</v>
      </c>
      <c r="N1847" s="194">
        <v>0</v>
      </c>
      <c r="O1847" s="193">
        <f t="shared" si="397"/>
        <v>5105</v>
      </c>
      <c r="P1847" s="194">
        <v>5589</v>
      </c>
      <c r="Q1847" s="194">
        <v>2966</v>
      </c>
      <c r="R1847" s="194">
        <v>0</v>
      </c>
      <c r="S1847" s="193">
        <f t="shared" si="398"/>
        <v>8555</v>
      </c>
      <c r="T1847" s="193">
        <f t="shared" si="399"/>
        <v>895.25</v>
      </c>
      <c r="U1847" s="193">
        <f ca="1">OFFSET('Expenditure Study'!$B$7,'Operations Support'!$C1847,'Operations Support'!$B1847)*$G1847</f>
        <v>67895.760000000009</v>
      </c>
      <c r="V1847" s="199">
        <f ca="1">U1847*'Expenditure Study'!$B$31</f>
        <v>4011497.4636334088</v>
      </c>
      <c r="W1847" s="199">
        <f ca="1">IF(A1847=10298,1.51,1)*IF($B1847&lt;3,$D1847*'Expenditure Study'!$B$32*OFFSET('Expenditure Study'!$B$7,'Operations Support'!$C1847,'Operations Support'!$B1847),0)</f>
        <v>0</v>
      </c>
      <c r="X1847" s="200">
        <f ca="1">W1847*'Expenditure Study'!$B$31</f>
        <v>0</v>
      </c>
      <c r="Y1847" s="199">
        <f ca="1">U1847*'Expenditure Study'!$B$31</f>
        <v>4011497.4636334088</v>
      </c>
      <c r="Z1847" s="200">
        <f ca="1">W1847*'Expenditure Study'!$B$31</f>
        <v>0</v>
      </c>
      <c r="AA1847" s="195">
        <f t="shared" ca="1" si="400"/>
        <v>4011497.4636334088</v>
      </c>
      <c r="AB1847" s="195">
        <f t="shared" ca="1" si="401"/>
        <v>4011497.4636334088</v>
      </c>
      <c r="AD1847" s="196">
        <f>IFERROR($G1847/SUMIF($A:$A,$A1847,$G:$G)*SUMIF(Summary!$A$166:$A$242,$A1847,Summary!$P$166:$P$242),0)</f>
        <v>504525.68537044094</v>
      </c>
      <c r="AE1847" s="197">
        <f t="shared" ca="1" si="402"/>
        <v>3506971.7782629677</v>
      </c>
      <c r="AF1847" s="196">
        <f>IFERROR(G1847/SUMIF(A:A,A1847,G:G)*SUMIF(Summary!$A$166:$A$242,'Operations Support'!A1847,Summary!$Q$166:$Q$242),0)</f>
        <v>505596.83355836081</v>
      </c>
      <c r="AG1847" s="196">
        <f t="shared" ca="1" si="403"/>
        <v>3505900.6300750477</v>
      </c>
      <c r="AI1847" s="196">
        <f>IFERROR($G1847/SUMIF($A:$A,$A1847,$G:$G)*SUMIF(Summary!$A$247:$A$283,$A1847,Summary!$P$247:$P$283),0)</f>
        <v>92012.894713433707</v>
      </c>
      <c r="AJ1847" s="196">
        <f>IFERROR($G1847/SUMIF($A:$A,$A1847,$G:$G)*(SUMIF(Summary!$A$247:$A$283,$A1847,Summary!$L$247:$L$283)+SUMIF(Summary!$A$297:$A$333,$A1847,Summary!$L$297:$L$333))-AI1847,0)</f>
        <v>329767.10371867946</v>
      </c>
      <c r="AK1847" s="196">
        <f>IFERROR($G1847/SUMIF($A:$A,$A1847,$G:$G)*SUMIF(Summary!$A$247:$A$283,$A1847,Summary!$Q$247:$Q$283),0)</f>
        <v>92208.245412705233</v>
      </c>
      <c r="AL1847" s="196">
        <f>IFERROR($G1847/SUMIF($A:$A,$A1847,$G:$G)*(SUMIF(Summary!$A$247:$A$283,$A1847,Summary!$L$247:$L$283)+SUMIF(Summary!$A$297:$A$333,$A1847,Summary!$L$297:$L$333))-AK1847,0)</f>
        <v>329571.75301940792</v>
      </c>
      <c r="AM1847" s="198"/>
      <c r="AN1847" s="196">
        <f t="shared" ca="1" si="404"/>
        <v>3836738.8819816471</v>
      </c>
      <c r="AO1847" s="196">
        <f t="shared" ca="1" si="405"/>
        <v>3835472.3830944556</v>
      </c>
    </row>
    <row r="1848" spans="1:41">
      <c r="A1848" s="189">
        <v>3646</v>
      </c>
      <c r="B1848" s="190">
        <v>3</v>
      </c>
      <c r="C1848" s="191" t="s">
        <v>236</v>
      </c>
      <c r="D1848" s="192">
        <f t="shared" si="392"/>
        <v>0</v>
      </c>
      <c r="E1848" s="192">
        <f t="shared" si="393"/>
        <v>0</v>
      </c>
      <c r="F1848" s="192">
        <f t="shared" si="394"/>
        <v>0</v>
      </c>
      <c r="G1848" s="193">
        <f t="shared" si="395"/>
        <v>0</v>
      </c>
      <c r="H1848" s="194">
        <v>0</v>
      </c>
      <c r="I1848" s="194">
        <v>0</v>
      </c>
      <c r="J1848" s="194">
        <v>0</v>
      </c>
      <c r="K1848" s="193">
        <f t="shared" si="396"/>
        <v>0</v>
      </c>
      <c r="L1848" s="194">
        <v>0</v>
      </c>
      <c r="M1848" s="194">
        <v>0</v>
      </c>
      <c r="N1848" s="194">
        <v>0</v>
      </c>
      <c r="O1848" s="193">
        <f t="shared" si="397"/>
        <v>0</v>
      </c>
      <c r="P1848" s="194">
        <v>0</v>
      </c>
      <c r="Q1848" s="194">
        <v>0</v>
      </c>
      <c r="R1848" s="194">
        <v>0</v>
      </c>
      <c r="S1848" s="193">
        <f t="shared" si="398"/>
        <v>0</v>
      </c>
      <c r="T1848" s="193">
        <f t="shared" si="399"/>
        <v>0</v>
      </c>
      <c r="U1848" s="193">
        <f ca="1">OFFSET('Expenditure Study'!$B$7,'Operations Support'!$C1848,'Operations Support'!$B1848)*$G1848</f>
        <v>0</v>
      </c>
      <c r="V1848" s="199">
        <f ca="1">U1848*'Expenditure Study'!$B$31</f>
        <v>0</v>
      </c>
      <c r="W1848" s="199">
        <f ca="1">IF(A1848=10298,1.51,1)*IF($B1848&lt;3,$D1848*'Expenditure Study'!$B$32*OFFSET('Expenditure Study'!$B$7,'Operations Support'!$C1848,'Operations Support'!$B1848),0)</f>
        <v>0</v>
      </c>
      <c r="X1848" s="200">
        <f ca="1">W1848*'Expenditure Study'!$B$31</f>
        <v>0</v>
      </c>
      <c r="Y1848" s="199">
        <f ca="1">U1848*'Expenditure Study'!$B$31</f>
        <v>0</v>
      </c>
      <c r="Z1848" s="200">
        <f ca="1">W1848*'Expenditure Study'!$B$31</f>
        <v>0</v>
      </c>
      <c r="AA1848" s="195">
        <f t="shared" ca="1" si="400"/>
        <v>0</v>
      </c>
      <c r="AB1848" s="195">
        <f t="shared" ca="1" si="401"/>
        <v>0</v>
      </c>
      <c r="AD1848" s="196">
        <f>IFERROR($G1848/SUMIF($A:$A,$A1848,$G:$G)*SUMIF(Summary!$A$166:$A$242,$A1848,Summary!$P$166:$P$242),0)</f>
        <v>0</v>
      </c>
      <c r="AE1848" s="197">
        <f t="shared" ca="1" si="402"/>
        <v>0</v>
      </c>
      <c r="AF1848" s="196">
        <f>IFERROR(G1848/SUMIF(A:A,A1848,G:G)*SUMIF(Summary!$A$166:$A$242,'Operations Support'!A1848,Summary!$Q$166:$Q$242),0)</f>
        <v>0</v>
      </c>
      <c r="AG1848" s="196">
        <f t="shared" ca="1" si="403"/>
        <v>0</v>
      </c>
      <c r="AI1848" s="196">
        <f>IFERROR($G1848/SUMIF($A:$A,$A1848,$G:$G)*SUMIF(Summary!$A$247:$A$283,$A1848,Summary!$P$247:$P$283),0)</f>
        <v>0</v>
      </c>
      <c r="AJ1848" s="196">
        <f>IFERROR($G1848/SUMIF($A:$A,$A1848,$G:$G)*(SUMIF(Summary!$A$247:$A$283,$A1848,Summary!$L$247:$L$283)+SUMIF(Summary!$A$297:$A$333,$A1848,Summary!$L$297:$L$333))-AI1848,0)</f>
        <v>0</v>
      </c>
      <c r="AK1848" s="196">
        <f>IFERROR($G1848/SUMIF($A:$A,$A1848,$G:$G)*SUMIF(Summary!$A$247:$A$283,$A1848,Summary!$Q$247:$Q$283),0)</f>
        <v>0</v>
      </c>
      <c r="AL1848" s="196">
        <f>IFERROR($G1848/SUMIF($A:$A,$A1848,$G:$G)*(SUMIF(Summary!$A$247:$A$283,$A1848,Summary!$L$247:$L$283)+SUMIF(Summary!$A$297:$A$333,$A1848,Summary!$L$297:$L$333))-AK1848,0)</f>
        <v>0</v>
      </c>
      <c r="AM1848" s="198"/>
      <c r="AN1848" s="196">
        <f t="shared" ca="1" si="404"/>
        <v>0</v>
      </c>
      <c r="AO1848" s="196">
        <f t="shared" ca="1" si="405"/>
        <v>0</v>
      </c>
    </row>
    <row r="1849" spans="1:41">
      <c r="A1849" s="189">
        <v>3646</v>
      </c>
      <c r="B1849" s="190">
        <v>3</v>
      </c>
      <c r="C1849" s="191" t="s">
        <v>237</v>
      </c>
      <c r="D1849" s="192">
        <f t="shared" si="392"/>
        <v>0</v>
      </c>
      <c r="E1849" s="192">
        <f t="shared" si="393"/>
        <v>0</v>
      </c>
      <c r="F1849" s="192">
        <f t="shared" si="394"/>
        <v>0</v>
      </c>
      <c r="G1849" s="193">
        <f t="shared" si="395"/>
        <v>0</v>
      </c>
      <c r="H1849" s="194">
        <v>0</v>
      </c>
      <c r="I1849" s="194">
        <v>0</v>
      </c>
      <c r="J1849" s="194">
        <v>0</v>
      </c>
      <c r="K1849" s="193">
        <f t="shared" si="396"/>
        <v>0</v>
      </c>
      <c r="L1849" s="194">
        <v>0</v>
      </c>
      <c r="M1849" s="194">
        <v>0</v>
      </c>
      <c r="N1849" s="194">
        <v>0</v>
      </c>
      <c r="O1849" s="193">
        <f t="shared" si="397"/>
        <v>0</v>
      </c>
      <c r="P1849" s="194">
        <v>0</v>
      </c>
      <c r="Q1849" s="194">
        <v>0</v>
      </c>
      <c r="R1849" s="194">
        <v>0</v>
      </c>
      <c r="S1849" s="193">
        <f t="shared" si="398"/>
        <v>0</v>
      </c>
      <c r="T1849" s="193">
        <f t="shared" si="399"/>
        <v>0</v>
      </c>
      <c r="U1849" s="193">
        <f ca="1">OFFSET('Expenditure Study'!$B$7,'Operations Support'!$C1849,'Operations Support'!$B1849)*$G1849</f>
        <v>0</v>
      </c>
      <c r="V1849" s="199">
        <f ca="1">U1849*'Expenditure Study'!$B$31</f>
        <v>0</v>
      </c>
      <c r="W1849" s="199">
        <f ca="1">IF(A1849=10298,1.51,1)*IF($B1849&lt;3,$D1849*'Expenditure Study'!$B$32*OFFSET('Expenditure Study'!$B$7,'Operations Support'!$C1849,'Operations Support'!$B1849),0)</f>
        <v>0</v>
      </c>
      <c r="X1849" s="200">
        <f ca="1">W1849*'Expenditure Study'!$B$31</f>
        <v>0</v>
      </c>
      <c r="Y1849" s="199">
        <f ca="1">U1849*'Expenditure Study'!$B$31</f>
        <v>0</v>
      </c>
      <c r="Z1849" s="200">
        <f ca="1">W1849*'Expenditure Study'!$B$31</f>
        <v>0</v>
      </c>
      <c r="AA1849" s="195">
        <f t="shared" ca="1" si="400"/>
        <v>0</v>
      </c>
      <c r="AB1849" s="195">
        <f t="shared" ca="1" si="401"/>
        <v>0</v>
      </c>
      <c r="AD1849" s="196">
        <f>IFERROR($G1849/SUMIF($A:$A,$A1849,$G:$G)*SUMIF(Summary!$A$166:$A$242,$A1849,Summary!$P$166:$P$242),0)</f>
        <v>0</v>
      </c>
      <c r="AE1849" s="197">
        <f t="shared" ca="1" si="402"/>
        <v>0</v>
      </c>
      <c r="AF1849" s="196">
        <f>IFERROR(G1849/SUMIF(A:A,A1849,G:G)*SUMIF(Summary!$A$166:$A$242,'Operations Support'!A1849,Summary!$Q$166:$Q$242),0)</f>
        <v>0</v>
      </c>
      <c r="AG1849" s="196">
        <f t="shared" ca="1" si="403"/>
        <v>0</v>
      </c>
      <c r="AI1849" s="196">
        <f>IFERROR($G1849/SUMIF($A:$A,$A1849,$G:$G)*SUMIF(Summary!$A$247:$A$283,$A1849,Summary!$P$247:$P$283),0)</f>
        <v>0</v>
      </c>
      <c r="AJ1849" s="196">
        <f>IFERROR($G1849/SUMIF($A:$A,$A1849,$G:$G)*(SUMIF(Summary!$A$247:$A$283,$A1849,Summary!$L$247:$L$283)+SUMIF(Summary!$A$297:$A$333,$A1849,Summary!$L$297:$L$333))-AI1849,0)</f>
        <v>0</v>
      </c>
      <c r="AK1849" s="196">
        <f>IFERROR($G1849/SUMIF($A:$A,$A1849,$G:$G)*SUMIF(Summary!$A$247:$A$283,$A1849,Summary!$Q$247:$Q$283),0)</f>
        <v>0</v>
      </c>
      <c r="AL1849" s="196">
        <f>IFERROR($G1849/SUMIF($A:$A,$A1849,$G:$G)*(SUMIF(Summary!$A$247:$A$283,$A1849,Summary!$L$247:$L$283)+SUMIF(Summary!$A$297:$A$333,$A1849,Summary!$L$297:$L$333))-AK1849,0)</f>
        <v>0</v>
      </c>
      <c r="AM1849" s="198"/>
      <c r="AN1849" s="196">
        <f t="shared" ca="1" si="404"/>
        <v>0</v>
      </c>
      <c r="AO1849" s="196">
        <f t="shared" ca="1" si="405"/>
        <v>0</v>
      </c>
    </row>
    <row r="1850" spans="1:41">
      <c r="A1850" s="189">
        <v>3646</v>
      </c>
      <c r="B1850" s="190">
        <v>3</v>
      </c>
      <c r="C1850" s="191" t="s">
        <v>238</v>
      </c>
      <c r="D1850" s="192">
        <f t="shared" si="392"/>
        <v>78</v>
      </c>
      <c r="E1850" s="192">
        <f t="shared" si="393"/>
        <v>45</v>
      </c>
      <c r="F1850" s="192">
        <f t="shared" si="394"/>
        <v>0</v>
      </c>
      <c r="G1850" s="193">
        <f t="shared" si="395"/>
        <v>123</v>
      </c>
      <c r="H1850" s="194">
        <v>18</v>
      </c>
      <c r="I1850" s="194">
        <v>0</v>
      </c>
      <c r="J1850" s="194">
        <v>0</v>
      </c>
      <c r="K1850" s="193">
        <f t="shared" si="396"/>
        <v>18</v>
      </c>
      <c r="L1850" s="194">
        <v>60</v>
      </c>
      <c r="M1850" s="194">
        <v>45</v>
      </c>
      <c r="N1850" s="194">
        <v>0</v>
      </c>
      <c r="O1850" s="193">
        <f t="shared" si="397"/>
        <v>105</v>
      </c>
      <c r="P1850" s="194">
        <v>0</v>
      </c>
      <c r="Q1850" s="194">
        <v>0</v>
      </c>
      <c r="R1850" s="194">
        <v>0</v>
      </c>
      <c r="S1850" s="193">
        <f t="shared" si="398"/>
        <v>0</v>
      </c>
      <c r="T1850" s="193">
        <f t="shared" si="399"/>
        <v>5.125</v>
      </c>
      <c r="U1850" s="193">
        <f ca="1">OFFSET('Expenditure Study'!$B$7,'Operations Support'!$C1850,'Operations Support'!$B1850)*$G1850</f>
        <v>718.31999999999994</v>
      </c>
      <c r="V1850" s="199">
        <f ca="1">U1850*'Expenditure Study'!$B$31</f>
        <v>42440.630432255995</v>
      </c>
      <c r="W1850" s="199">
        <f ca="1">IF(A1850=10298,1.51,1)*IF($B1850&lt;3,$D1850*'Expenditure Study'!$B$32*OFFSET('Expenditure Study'!$B$7,'Operations Support'!$C1850,'Operations Support'!$B1850),0)</f>
        <v>0</v>
      </c>
      <c r="X1850" s="200">
        <f ca="1">W1850*'Expenditure Study'!$B$31</f>
        <v>0</v>
      </c>
      <c r="Y1850" s="199">
        <f ca="1">U1850*'Expenditure Study'!$B$31</f>
        <v>42440.630432255995</v>
      </c>
      <c r="Z1850" s="200">
        <f ca="1">W1850*'Expenditure Study'!$B$31</f>
        <v>0</v>
      </c>
      <c r="AA1850" s="195">
        <f t="shared" ca="1" si="400"/>
        <v>42440.630432255995</v>
      </c>
      <c r="AB1850" s="195">
        <f t="shared" ca="1" si="401"/>
        <v>42440.630432255995</v>
      </c>
      <c r="AD1850" s="196">
        <f>IFERROR($G1850/SUMIF($A:$A,$A1850,$G:$G)*SUMIF(Summary!$A$166:$A$242,$A1850,Summary!$P$166:$P$242),0)</f>
        <v>2888.2369589762748</v>
      </c>
      <c r="AE1850" s="197">
        <f t="shared" ca="1" si="402"/>
        <v>39552.393473279721</v>
      </c>
      <c r="AF1850" s="196">
        <f>IFERROR(G1850/SUMIF(A:A,A1850,G:G)*SUMIF(Summary!$A$166:$A$242,'Operations Support'!A1850,Summary!$Q$166:$Q$242),0)</f>
        <v>2894.368915930298</v>
      </c>
      <c r="AG1850" s="196">
        <f t="shared" ca="1" si="403"/>
        <v>39546.2615163257</v>
      </c>
      <c r="AI1850" s="196">
        <f>IFERROR($G1850/SUMIF($A:$A,$A1850,$G:$G)*SUMIF(Summary!$A$247:$A$283,$A1850,Summary!$P$247:$P$283),0)</f>
        <v>526.74234616738102</v>
      </c>
      <c r="AJ1850" s="196">
        <f>IFERROR($G1850/SUMIF($A:$A,$A1850,$G:$G)*(SUMIF(Summary!$A$247:$A$283,$A1850,Summary!$L$247:$L$283)+SUMIF(Summary!$A$297:$A$333,$A1850,Summary!$L$297:$L$333))-AI1850,0)</f>
        <v>1887.8038609977461</v>
      </c>
      <c r="AK1850" s="196">
        <f>IFERROR($G1850/SUMIF($A:$A,$A1850,$G:$G)*SUMIF(Summary!$A$247:$A$283,$A1850,Summary!$Q$247:$Q$283),0)</f>
        <v>527.86066209451474</v>
      </c>
      <c r="AL1850" s="196">
        <f>IFERROR($G1850/SUMIF($A:$A,$A1850,$G:$G)*(SUMIF(Summary!$A$247:$A$283,$A1850,Summary!$L$247:$L$283)+SUMIF(Summary!$A$297:$A$333,$A1850,Summary!$L$297:$L$333))-AK1850,0)</f>
        <v>1886.6855450706125</v>
      </c>
      <c r="AM1850" s="198"/>
      <c r="AN1850" s="196">
        <f t="shared" ca="1" si="404"/>
        <v>41440.197334277465</v>
      </c>
      <c r="AO1850" s="196">
        <f t="shared" ca="1" si="405"/>
        <v>41432.947061396313</v>
      </c>
    </row>
    <row r="1851" spans="1:41">
      <c r="A1851" s="189">
        <v>3646</v>
      </c>
      <c r="B1851" s="190">
        <v>3</v>
      </c>
      <c r="C1851" s="191" t="s">
        <v>239</v>
      </c>
      <c r="D1851" s="192">
        <f t="shared" si="392"/>
        <v>683.42000000000007</v>
      </c>
      <c r="E1851" s="192">
        <f t="shared" si="393"/>
        <v>11317.58</v>
      </c>
      <c r="F1851" s="192">
        <f t="shared" si="394"/>
        <v>0</v>
      </c>
      <c r="G1851" s="193">
        <f t="shared" si="395"/>
        <v>12001</v>
      </c>
      <c r="H1851" s="194">
        <v>143</v>
      </c>
      <c r="I1851" s="194">
        <v>4075</v>
      </c>
      <c r="J1851" s="194">
        <v>0</v>
      </c>
      <c r="K1851" s="193">
        <f t="shared" si="396"/>
        <v>4218</v>
      </c>
      <c r="L1851" s="194">
        <v>386.42</v>
      </c>
      <c r="M1851" s="194">
        <v>3558.58</v>
      </c>
      <c r="N1851" s="194">
        <v>0</v>
      </c>
      <c r="O1851" s="193">
        <f t="shared" si="397"/>
        <v>3945</v>
      </c>
      <c r="P1851" s="194">
        <v>154</v>
      </c>
      <c r="Q1851" s="194">
        <v>3684</v>
      </c>
      <c r="R1851" s="194">
        <v>0</v>
      </c>
      <c r="S1851" s="193">
        <f t="shared" si="398"/>
        <v>3838</v>
      </c>
      <c r="T1851" s="193">
        <f t="shared" si="399"/>
        <v>500.04166666666669</v>
      </c>
      <c r="U1851" s="193">
        <f ca="1">OFFSET('Expenditure Study'!$B$7,'Operations Support'!$C1851,'Operations Support'!$B1851)*$G1851</f>
        <v>32642.720000000001</v>
      </c>
      <c r="V1851" s="199">
        <f ca="1">U1851*'Expenditure Study'!$B$31</f>
        <v>1928635.7275637761</v>
      </c>
      <c r="W1851" s="199">
        <f ca="1">IF(A1851=10298,1.51,1)*IF($B1851&lt;3,$D1851*'Expenditure Study'!$B$32*OFFSET('Expenditure Study'!$B$7,'Operations Support'!$C1851,'Operations Support'!$B1851),0)</f>
        <v>0</v>
      </c>
      <c r="X1851" s="200">
        <f ca="1">W1851*'Expenditure Study'!$B$31</f>
        <v>0</v>
      </c>
      <c r="Y1851" s="199">
        <f ca="1">U1851*'Expenditure Study'!$B$31</f>
        <v>1928635.7275637761</v>
      </c>
      <c r="Z1851" s="200">
        <f ca="1">W1851*'Expenditure Study'!$B$31</f>
        <v>0</v>
      </c>
      <c r="AA1851" s="195">
        <f t="shared" ca="1" si="400"/>
        <v>1928635.7275637761</v>
      </c>
      <c r="AB1851" s="195">
        <f t="shared" ca="1" si="401"/>
        <v>1928635.7275637761</v>
      </c>
      <c r="AD1851" s="196">
        <f>IFERROR($G1851/SUMIF($A:$A,$A1851,$G:$G)*SUMIF(Summary!$A$166:$A$242,$A1851,Summary!$P$166:$P$242),0)</f>
        <v>281802.69711117301</v>
      </c>
      <c r="AE1851" s="197">
        <f t="shared" ca="1" si="402"/>
        <v>1646833.030452603</v>
      </c>
      <c r="AF1851" s="196">
        <f>IFERROR(G1851/SUMIF(A:A,A1851,G:G)*SUMIF(Summary!$A$166:$A$242,'Operations Support'!A1851,Summary!$Q$166:$Q$242),0)</f>
        <v>282400.98666731309</v>
      </c>
      <c r="AG1851" s="196">
        <f t="shared" ca="1" si="403"/>
        <v>1646234.7408964629</v>
      </c>
      <c r="AI1851" s="196">
        <f>IFERROR($G1851/SUMIF($A:$A,$A1851,$G:$G)*SUMIF(Summary!$A$247:$A$283,$A1851,Summary!$P$247:$P$283),0)</f>
        <v>51393.779645160481</v>
      </c>
      <c r="AJ1851" s="196">
        <f>IFERROR($G1851/SUMIF($A:$A,$A1851,$G:$G)*(SUMIF(Summary!$A$247:$A$283,$A1851,Summary!$L$247:$L$283)+SUMIF(Summary!$A$297:$A$333,$A1851,Summary!$L$297:$L$333))-AI1851,0)</f>
        <v>184191.33443767441</v>
      </c>
      <c r="AK1851" s="196">
        <f>IFERROR($G1851/SUMIF($A:$A,$A1851,$G:$G)*SUMIF(Summary!$A$247:$A$283,$A1851,Summary!$Q$247:$Q$283),0)</f>
        <v>51502.892730050989</v>
      </c>
      <c r="AL1851" s="196">
        <f>IFERROR($G1851/SUMIF($A:$A,$A1851,$G:$G)*(SUMIF(Summary!$A$247:$A$283,$A1851,Summary!$L$247:$L$283)+SUMIF(Summary!$A$297:$A$333,$A1851,Summary!$L$297:$L$333))-AK1851,0)</f>
        <v>184082.2213527839</v>
      </c>
      <c r="AM1851" s="198"/>
      <c r="AN1851" s="196">
        <f t="shared" ca="1" si="404"/>
        <v>1831024.3648902774</v>
      </c>
      <c r="AO1851" s="196">
        <f t="shared" ca="1" si="405"/>
        <v>1830316.9622492469</v>
      </c>
    </row>
    <row r="1852" spans="1:41">
      <c r="A1852" s="189">
        <v>3646</v>
      </c>
      <c r="B1852" s="190">
        <v>3</v>
      </c>
      <c r="C1852" s="191" t="s">
        <v>240</v>
      </c>
      <c r="D1852" s="192">
        <f t="shared" si="392"/>
        <v>0</v>
      </c>
      <c r="E1852" s="192">
        <f t="shared" si="393"/>
        <v>0</v>
      </c>
      <c r="F1852" s="192">
        <f t="shared" si="394"/>
        <v>0</v>
      </c>
      <c r="G1852" s="193">
        <f t="shared" si="395"/>
        <v>0</v>
      </c>
      <c r="H1852" s="194">
        <v>0</v>
      </c>
      <c r="I1852" s="194">
        <v>0</v>
      </c>
      <c r="J1852" s="194">
        <v>0</v>
      </c>
      <c r="K1852" s="193">
        <f t="shared" si="396"/>
        <v>0</v>
      </c>
      <c r="L1852" s="194">
        <v>0</v>
      </c>
      <c r="M1852" s="194">
        <v>0</v>
      </c>
      <c r="N1852" s="194">
        <v>0</v>
      </c>
      <c r="O1852" s="193">
        <f t="shared" si="397"/>
        <v>0</v>
      </c>
      <c r="P1852" s="194">
        <v>0</v>
      </c>
      <c r="Q1852" s="194">
        <v>0</v>
      </c>
      <c r="R1852" s="194">
        <v>0</v>
      </c>
      <c r="S1852" s="193">
        <f t="shared" si="398"/>
        <v>0</v>
      </c>
      <c r="T1852" s="193">
        <f t="shared" si="399"/>
        <v>0</v>
      </c>
      <c r="U1852" s="193">
        <f ca="1">OFFSET('Expenditure Study'!$B$7,'Operations Support'!$C1852,'Operations Support'!$B1852)*$G1852</f>
        <v>0</v>
      </c>
      <c r="V1852" s="199">
        <f ca="1">U1852*'Expenditure Study'!$B$31</f>
        <v>0</v>
      </c>
      <c r="W1852" s="199">
        <f ca="1">IF(A1852=10298,1.51,1)*IF($B1852&lt;3,$D1852*'Expenditure Study'!$B$32*OFFSET('Expenditure Study'!$B$7,'Operations Support'!$C1852,'Operations Support'!$B1852),0)</f>
        <v>0</v>
      </c>
      <c r="X1852" s="200">
        <f ca="1">W1852*'Expenditure Study'!$B$31</f>
        <v>0</v>
      </c>
      <c r="Y1852" s="199">
        <f ca="1">U1852*'Expenditure Study'!$B$31</f>
        <v>0</v>
      </c>
      <c r="Z1852" s="200">
        <f ca="1">W1852*'Expenditure Study'!$B$31</f>
        <v>0</v>
      </c>
      <c r="AA1852" s="195">
        <f t="shared" ca="1" si="400"/>
        <v>0</v>
      </c>
      <c r="AB1852" s="195">
        <f t="shared" ca="1" si="401"/>
        <v>0</v>
      </c>
      <c r="AD1852" s="196">
        <f>IFERROR($G1852/SUMIF($A:$A,$A1852,$G:$G)*SUMIF(Summary!$A$166:$A$242,$A1852,Summary!$P$166:$P$242),0)</f>
        <v>0</v>
      </c>
      <c r="AE1852" s="197">
        <f t="shared" ca="1" si="402"/>
        <v>0</v>
      </c>
      <c r="AF1852" s="196">
        <f>IFERROR(G1852/SUMIF(A:A,A1852,G:G)*SUMIF(Summary!$A$166:$A$242,'Operations Support'!A1852,Summary!$Q$166:$Q$242),0)</f>
        <v>0</v>
      </c>
      <c r="AG1852" s="196">
        <f t="shared" ca="1" si="403"/>
        <v>0</v>
      </c>
      <c r="AI1852" s="196">
        <f>IFERROR($G1852/SUMIF($A:$A,$A1852,$G:$G)*SUMIF(Summary!$A$247:$A$283,$A1852,Summary!$P$247:$P$283),0)</f>
        <v>0</v>
      </c>
      <c r="AJ1852" s="196">
        <f>IFERROR($G1852/SUMIF($A:$A,$A1852,$G:$G)*(SUMIF(Summary!$A$247:$A$283,$A1852,Summary!$L$247:$L$283)+SUMIF(Summary!$A$297:$A$333,$A1852,Summary!$L$297:$L$333))-AI1852,0)</f>
        <v>0</v>
      </c>
      <c r="AK1852" s="196">
        <f>IFERROR($G1852/SUMIF($A:$A,$A1852,$G:$G)*SUMIF(Summary!$A$247:$A$283,$A1852,Summary!$Q$247:$Q$283),0)</f>
        <v>0</v>
      </c>
      <c r="AL1852" s="196">
        <f>IFERROR($G1852/SUMIF($A:$A,$A1852,$G:$G)*(SUMIF(Summary!$A$247:$A$283,$A1852,Summary!$L$247:$L$283)+SUMIF(Summary!$A$297:$A$333,$A1852,Summary!$L$297:$L$333))-AK1852,0)</f>
        <v>0</v>
      </c>
      <c r="AM1852" s="198"/>
      <c r="AN1852" s="196">
        <f t="shared" ca="1" si="404"/>
        <v>0</v>
      </c>
      <c r="AO1852" s="196">
        <f t="shared" ca="1" si="405"/>
        <v>0</v>
      </c>
    </row>
    <row r="1853" spans="1:41">
      <c r="A1853" s="189">
        <v>3646</v>
      </c>
      <c r="B1853" s="190">
        <v>4</v>
      </c>
      <c r="C1853" s="191" t="s">
        <v>220</v>
      </c>
      <c r="D1853" s="192">
        <f t="shared" si="392"/>
        <v>1843</v>
      </c>
      <c r="E1853" s="192">
        <f t="shared" si="393"/>
        <v>390</v>
      </c>
      <c r="F1853" s="192">
        <f t="shared" si="394"/>
        <v>32</v>
      </c>
      <c r="G1853" s="193">
        <f t="shared" si="395"/>
        <v>2201</v>
      </c>
      <c r="H1853" s="194">
        <v>694</v>
      </c>
      <c r="I1853" s="194">
        <v>172</v>
      </c>
      <c r="J1853" s="194">
        <v>11</v>
      </c>
      <c r="K1853" s="193">
        <f t="shared" si="396"/>
        <v>855</v>
      </c>
      <c r="L1853" s="194">
        <v>730</v>
      </c>
      <c r="M1853" s="194">
        <v>136</v>
      </c>
      <c r="N1853" s="194">
        <v>17</v>
      </c>
      <c r="O1853" s="193">
        <f t="shared" si="397"/>
        <v>849</v>
      </c>
      <c r="P1853" s="194">
        <v>419</v>
      </c>
      <c r="Q1853" s="194">
        <v>82</v>
      </c>
      <c r="R1853" s="194">
        <v>4</v>
      </c>
      <c r="S1853" s="193">
        <f t="shared" si="398"/>
        <v>497</v>
      </c>
      <c r="T1853" s="193">
        <f t="shared" si="399"/>
        <v>122.27777777777777</v>
      </c>
      <c r="U1853" s="193">
        <f ca="1">OFFSET('Expenditure Study'!$B$7,'Operations Support'!$C1853,'Operations Support'!$B1853)*$G1853</f>
        <v>32420.73</v>
      </c>
      <c r="V1853" s="199">
        <f ca="1">U1853*'Expenditure Study'!$B$31</f>
        <v>1915519.852257984</v>
      </c>
      <c r="W1853" s="199">
        <f ca="1">IF(A1853=10298,1.51,1)*IF($B1853&lt;3,$D1853*'Expenditure Study'!$B$32*OFFSET('Expenditure Study'!$B$7,'Operations Support'!$C1853,'Operations Support'!$B1853),0)</f>
        <v>0</v>
      </c>
      <c r="X1853" s="200">
        <f ca="1">W1853*'Expenditure Study'!$B$31</f>
        <v>0</v>
      </c>
      <c r="Y1853" s="199">
        <f ca="1">U1853*'Expenditure Study'!$B$31</f>
        <v>1915519.852257984</v>
      </c>
      <c r="Z1853" s="200">
        <f ca="1">W1853*'Expenditure Study'!$B$31</f>
        <v>0</v>
      </c>
      <c r="AA1853" s="195">
        <f t="shared" ca="1" si="400"/>
        <v>1915519.852257984</v>
      </c>
      <c r="AB1853" s="195">
        <f t="shared" ca="1" si="401"/>
        <v>1915519.852257984</v>
      </c>
      <c r="AD1853" s="196">
        <f>IFERROR($G1853/SUMIF($A:$A,$A1853,$G:$G)*SUMIF(Summary!$A$166:$A$242,$A1853,Summary!$P$166:$P$242),0)</f>
        <v>51683.00444477058</v>
      </c>
      <c r="AE1853" s="197">
        <f t="shared" ca="1" si="402"/>
        <v>1863836.8478132135</v>
      </c>
      <c r="AF1853" s="196">
        <f>IFERROR(G1853/SUMIF(A:A,A1853,G:G)*SUMIF(Summary!$A$166:$A$242,'Operations Support'!A1853,Summary!$Q$166:$Q$242),0)</f>
        <v>51792.731576931597</v>
      </c>
      <c r="AG1853" s="196">
        <f t="shared" ca="1" si="403"/>
        <v>1863727.1206810523</v>
      </c>
      <c r="AI1853" s="196">
        <f>IFERROR($G1853/SUMIF($A:$A,$A1853,$G:$G)*SUMIF(Summary!$A$247:$A$283,$A1853,Summary!$P$247:$P$283),0)</f>
        <v>9425.6902757268745</v>
      </c>
      <c r="AJ1853" s="196">
        <f>IFERROR($G1853/SUMIF($A:$A,$A1853,$G:$G)*(SUMIF(Summary!$A$247:$A$283,$A1853,Summary!$L$247:$L$283)+SUMIF(Summary!$A$297:$A$333,$A1853,Summary!$L$297:$L$333))-AI1853,0)</f>
        <v>33780.945512650724</v>
      </c>
      <c r="AK1853" s="196">
        <f>IFERROR($G1853/SUMIF($A:$A,$A1853,$G:$G)*SUMIF(Summary!$A$247:$A$283,$A1853,Summary!$Q$247:$Q$283),0)</f>
        <v>9445.7017664229843</v>
      </c>
      <c r="AL1853" s="196">
        <f>IFERROR($G1853/SUMIF($A:$A,$A1853,$G:$G)*(SUMIF(Summary!$A$247:$A$283,$A1853,Summary!$L$247:$L$283)+SUMIF(Summary!$A$297:$A$333,$A1853,Summary!$L$297:$L$333))-AK1853,0)</f>
        <v>33760.934021954614</v>
      </c>
      <c r="AM1853" s="198"/>
      <c r="AN1853" s="196">
        <f t="shared" ca="1" si="404"/>
        <v>1897617.7933258642</v>
      </c>
      <c r="AO1853" s="196">
        <f t="shared" ca="1" si="405"/>
        <v>1897488.054703007</v>
      </c>
    </row>
    <row r="1854" spans="1:41">
      <c r="A1854" s="189">
        <v>3646</v>
      </c>
      <c r="B1854" s="190">
        <v>4</v>
      </c>
      <c r="C1854" s="191" t="s">
        <v>221</v>
      </c>
      <c r="D1854" s="192">
        <f t="shared" si="392"/>
        <v>2781.3599999999988</v>
      </c>
      <c r="E1854" s="192">
        <f t="shared" si="393"/>
        <v>1257.6399999999999</v>
      </c>
      <c r="F1854" s="192">
        <f t="shared" si="394"/>
        <v>3</v>
      </c>
      <c r="G1854" s="193">
        <f t="shared" si="395"/>
        <v>4035.9999999999986</v>
      </c>
      <c r="H1854" s="194">
        <v>802.87999999999795</v>
      </c>
      <c r="I1854" s="194">
        <v>480.12000000000103</v>
      </c>
      <c r="J1854" s="194">
        <v>0</v>
      </c>
      <c r="K1854" s="193">
        <f t="shared" si="396"/>
        <v>1282.9999999999991</v>
      </c>
      <c r="L1854" s="194">
        <v>1059.5999999999999</v>
      </c>
      <c r="M1854" s="194">
        <v>673.39999999999895</v>
      </c>
      <c r="N1854" s="194">
        <v>3</v>
      </c>
      <c r="O1854" s="193">
        <f t="shared" si="397"/>
        <v>1729.9999999999989</v>
      </c>
      <c r="P1854" s="194">
        <v>918.88000000000102</v>
      </c>
      <c r="Q1854" s="194">
        <v>104.12</v>
      </c>
      <c r="R1854" s="194">
        <v>0</v>
      </c>
      <c r="S1854" s="193">
        <f t="shared" si="398"/>
        <v>1023.000000000001</v>
      </c>
      <c r="T1854" s="193">
        <f t="shared" si="399"/>
        <v>224.22222222222214</v>
      </c>
      <c r="U1854" s="193">
        <f ca="1">OFFSET('Expenditure Study'!$B$7,'Operations Support'!$C1854,'Operations Support'!$B1854)*$G1854</f>
        <v>87742.63999999997</v>
      </c>
      <c r="V1854" s="199">
        <f ca="1">U1854*'Expenditure Study'!$B$31</f>
        <v>5184114.2629893105</v>
      </c>
      <c r="W1854" s="199">
        <f ca="1">IF(A1854=10298,1.51,1)*IF($B1854&lt;3,$D1854*'Expenditure Study'!$B$32*OFFSET('Expenditure Study'!$B$7,'Operations Support'!$C1854,'Operations Support'!$B1854),0)</f>
        <v>0</v>
      </c>
      <c r="X1854" s="200">
        <f ca="1">W1854*'Expenditure Study'!$B$31</f>
        <v>0</v>
      </c>
      <c r="Y1854" s="199">
        <f ca="1">U1854*'Expenditure Study'!$B$31</f>
        <v>5184114.2629893105</v>
      </c>
      <c r="Z1854" s="200">
        <f ca="1">W1854*'Expenditure Study'!$B$31</f>
        <v>0</v>
      </c>
      <c r="AA1854" s="195">
        <f t="shared" ca="1" si="400"/>
        <v>5184114.2629893105</v>
      </c>
      <c r="AB1854" s="195">
        <f t="shared" ca="1" si="401"/>
        <v>5184114.2629893105</v>
      </c>
      <c r="AD1854" s="196">
        <f>IFERROR($G1854/SUMIF($A:$A,$A1854,$G:$G)*SUMIF(Summary!$A$166:$A$242,$A1854,Summary!$P$166:$P$242),0)</f>
        <v>94771.742816489772</v>
      </c>
      <c r="AE1854" s="197">
        <f t="shared" ca="1" si="402"/>
        <v>5089342.5201728204</v>
      </c>
      <c r="AF1854" s="196">
        <f>IFERROR(G1854/SUMIF(A:A,A1854,G:G)*SUMIF(Summary!$A$166:$A$242,'Operations Support'!A1854,Summary!$Q$166:$Q$242),0)</f>
        <v>94972.950769875446</v>
      </c>
      <c r="AG1854" s="196">
        <f t="shared" ca="1" si="403"/>
        <v>5089141.3122194353</v>
      </c>
      <c r="AI1854" s="196">
        <f>IFERROR($G1854/SUMIF($A:$A,$A1854,$G:$G)*SUMIF(Summary!$A$247:$A$283,$A1854,Summary!$P$247:$P$283),0)</f>
        <v>17284.000887248363</v>
      </c>
      <c r="AJ1854" s="196">
        <f>IFERROR($G1854/SUMIF($A:$A,$A1854,$G:$G)*(SUMIF(Summary!$A$247:$A$283,$A1854,Summary!$L$247:$L$283)+SUMIF(Summary!$A$297:$A$333,$A1854,Summary!$L$297:$L$333))-AI1854,0)</f>
        <v>61944.523438917895</v>
      </c>
      <c r="AK1854" s="196">
        <f>IFERROR($G1854/SUMIF($A:$A,$A1854,$G:$G)*SUMIF(Summary!$A$247:$A$283,$A1854,Summary!$Q$247:$Q$283),0)</f>
        <v>17320.696196857403</v>
      </c>
      <c r="AL1854" s="196">
        <f>IFERROR($G1854/SUMIF($A:$A,$A1854,$G:$G)*(SUMIF(Summary!$A$247:$A$283,$A1854,Summary!$L$247:$L$283)+SUMIF(Summary!$A$297:$A$333,$A1854,Summary!$L$297:$L$333))-AK1854,0)</f>
        <v>61907.828129308851</v>
      </c>
      <c r="AM1854" s="198"/>
      <c r="AN1854" s="196">
        <f t="shared" ca="1" si="404"/>
        <v>5151287.0436117379</v>
      </c>
      <c r="AO1854" s="196">
        <f t="shared" ca="1" si="405"/>
        <v>5151049.1403487446</v>
      </c>
    </row>
    <row r="1855" spans="1:41">
      <c r="A1855" s="189">
        <v>3646</v>
      </c>
      <c r="B1855" s="190">
        <v>4</v>
      </c>
      <c r="C1855" s="191" t="s">
        <v>222</v>
      </c>
      <c r="D1855" s="192">
        <f t="shared" si="392"/>
        <v>360</v>
      </c>
      <c r="E1855" s="192">
        <f t="shared" si="393"/>
        <v>51</v>
      </c>
      <c r="F1855" s="192">
        <f t="shared" si="394"/>
        <v>9</v>
      </c>
      <c r="G1855" s="193">
        <f t="shared" si="395"/>
        <v>402</v>
      </c>
      <c r="H1855" s="194">
        <v>156</v>
      </c>
      <c r="I1855" s="194">
        <v>0</v>
      </c>
      <c r="J1855" s="194">
        <v>3</v>
      </c>
      <c r="K1855" s="193">
        <f t="shared" si="396"/>
        <v>153</v>
      </c>
      <c r="L1855" s="194">
        <v>171</v>
      </c>
      <c r="M1855" s="194">
        <v>0</v>
      </c>
      <c r="N1855" s="194">
        <v>3</v>
      </c>
      <c r="O1855" s="193">
        <f t="shared" si="397"/>
        <v>168</v>
      </c>
      <c r="P1855" s="194">
        <v>33</v>
      </c>
      <c r="Q1855" s="194">
        <v>51</v>
      </c>
      <c r="R1855" s="194">
        <v>3</v>
      </c>
      <c r="S1855" s="193">
        <f t="shared" si="398"/>
        <v>81</v>
      </c>
      <c r="T1855" s="193">
        <f t="shared" si="399"/>
        <v>22.333333333333332</v>
      </c>
      <c r="U1855" s="193">
        <f ca="1">OFFSET('Expenditure Study'!$B$7,'Operations Support'!$C1855,'Operations Support'!$B1855)*$G1855</f>
        <v>4060.2</v>
      </c>
      <c r="V1855" s="199">
        <f ca="1">U1855*'Expenditure Study'!$B$31</f>
        <v>239889.53068415998</v>
      </c>
      <c r="W1855" s="199">
        <f ca="1">IF(A1855=10298,1.51,1)*IF($B1855&lt;3,$D1855*'Expenditure Study'!$B$32*OFFSET('Expenditure Study'!$B$7,'Operations Support'!$C1855,'Operations Support'!$B1855),0)</f>
        <v>0</v>
      </c>
      <c r="X1855" s="200">
        <f ca="1">W1855*'Expenditure Study'!$B$31</f>
        <v>0</v>
      </c>
      <c r="Y1855" s="199">
        <f ca="1">U1855*'Expenditure Study'!$B$31</f>
        <v>239889.53068415998</v>
      </c>
      <c r="Z1855" s="200">
        <f ca="1">W1855*'Expenditure Study'!$B$31</f>
        <v>0</v>
      </c>
      <c r="AA1855" s="195">
        <f t="shared" ca="1" si="400"/>
        <v>239889.53068415998</v>
      </c>
      <c r="AB1855" s="195">
        <f t="shared" ca="1" si="401"/>
        <v>239889.53068415998</v>
      </c>
      <c r="AD1855" s="196">
        <f>IFERROR($G1855/SUMIF($A:$A,$A1855,$G:$G)*SUMIF(Summary!$A$166:$A$242,$A1855,Summary!$P$166:$P$242),0)</f>
        <v>9439.6037195809968</v>
      </c>
      <c r="AE1855" s="197">
        <f t="shared" ca="1" si="402"/>
        <v>230449.92696457898</v>
      </c>
      <c r="AF1855" s="196">
        <f>IFERROR(G1855/SUMIF(A:A,A1855,G:G)*SUMIF(Summary!$A$166:$A$242,'Operations Support'!A1855,Summary!$Q$166:$Q$242),0)</f>
        <v>9459.6447496258534</v>
      </c>
      <c r="AG1855" s="196">
        <f t="shared" ca="1" si="403"/>
        <v>230429.88593453413</v>
      </c>
      <c r="AI1855" s="196">
        <f>IFERROR($G1855/SUMIF($A:$A,$A1855,$G:$G)*SUMIF(Summary!$A$247:$A$283,$A1855,Summary!$P$247:$P$283),0)</f>
        <v>1721.5481557665623</v>
      </c>
      <c r="AJ1855" s="196">
        <f>IFERROR($G1855/SUMIF($A:$A,$A1855,$G:$G)*(SUMIF(Summary!$A$247:$A$283,$A1855,Summary!$L$247:$L$283)+SUMIF(Summary!$A$297:$A$333,$A1855,Summary!$L$297:$L$333))-AI1855,0)</f>
        <v>6169.8955456999511</v>
      </c>
      <c r="AK1855" s="196">
        <f>IFERROR($G1855/SUMIF($A:$A,$A1855,$G:$G)*SUMIF(Summary!$A$247:$A$283,$A1855,Summary!$Q$247:$Q$283),0)</f>
        <v>1725.2031395284141</v>
      </c>
      <c r="AL1855" s="196">
        <f>IFERROR($G1855/SUMIF($A:$A,$A1855,$G:$G)*(SUMIF(Summary!$A$247:$A$283,$A1855,Summary!$L$247:$L$283)+SUMIF(Summary!$A$297:$A$333,$A1855,Summary!$L$297:$L$333))-AK1855,0)</f>
        <v>6166.2405619380997</v>
      </c>
      <c r="AM1855" s="198"/>
      <c r="AN1855" s="196">
        <f t="shared" ca="1" si="404"/>
        <v>236619.82251027893</v>
      </c>
      <c r="AO1855" s="196">
        <f t="shared" ca="1" si="405"/>
        <v>236596.12649647222</v>
      </c>
    </row>
    <row r="1856" spans="1:41">
      <c r="A1856" s="189">
        <v>3646</v>
      </c>
      <c r="B1856" s="190">
        <v>4</v>
      </c>
      <c r="C1856" s="191" t="s">
        <v>223</v>
      </c>
      <c r="D1856" s="192">
        <f t="shared" si="392"/>
        <v>873</v>
      </c>
      <c r="E1856" s="192">
        <f t="shared" si="393"/>
        <v>417</v>
      </c>
      <c r="F1856" s="192">
        <f t="shared" si="394"/>
        <v>0</v>
      </c>
      <c r="G1856" s="193">
        <f t="shared" si="395"/>
        <v>1290</v>
      </c>
      <c r="H1856" s="194">
        <v>219</v>
      </c>
      <c r="I1856" s="194">
        <v>225</v>
      </c>
      <c r="J1856" s="194">
        <v>0</v>
      </c>
      <c r="K1856" s="193">
        <f t="shared" si="396"/>
        <v>444</v>
      </c>
      <c r="L1856" s="194">
        <v>318</v>
      </c>
      <c r="M1856" s="194">
        <v>84</v>
      </c>
      <c r="N1856" s="194">
        <v>0</v>
      </c>
      <c r="O1856" s="193">
        <f t="shared" si="397"/>
        <v>402</v>
      </c>
      <c r="P1856" s="194">
        <v>336</v>
      </c>
      <c r="Q1856" s="194">
        <v>108</v>
      </c>
      <c r="R1856" s="194">
        <v>0</v>
      </c>
      <c r="S1856" s="193">
        <f t="shared" si="398"/>
        <v>444</v>
      </c>
      <c r="T1856" s="193">
        <f t="shared" si="399"/>
        <v>71.666666666666671</v>
      </c>
      <c r="U1856" s="193">
        <f ca="1">OFFSET('Expenditure Study'!$B$7,'Operations Support'!$C1856,'Operations Support'!$B1856)*$G1856</f>
        <v>10087.800000000001</v>
      </c>
      <c r="V1856" s="199">
        <f ca="1">U1856*'Expenditure Study'!$B$31</f>
        <v>596019.31127424003</v>
      </c>
      <c r="W1856" s="199">
        <f ca="1">IF(A1856=10298,1.51,1)*IF($B1856&lt;3,$D1856*'Expenditure Study'!$B$32*OFFSET('Expenditure Study'!$B$7,'Operations Support'!$C1856,'Operations Support'!$B1856),0)</f>
        <v>0</v>
      </c>
      <c r="X1856" s="200">
        <f ca="1">W1856*'Expenditure Study'!$B$31</f>
        <v>0</v>
      </c>
      <c r="Y1856" s="199">
        <f ca="1">U1856*'Expenditure Study'!$B$31</f>
        <v>596019.31127424003</v>
      </c>
      <c r="Z1856" s="200">
        <f ca="1">W1856*'Expenditure Study'!$B$31</f>
        <v>0</v>
      </c>
      <c r="AA1856" s="195">
        <f t="shared" ca="1" si="400"/>
        <v>596019.31127424003</v>
      </c>
      <c r="AB1856" s="195">
        <f t="shared" ca="1" si="401"/>
        <v>596019.31127424003</v>
      </c>
      <c r="AD1856" s="196">
        <f>IFERROR($G1856/SUMIF($A:$A,$A1856,$G:$G)*SUMIF(Summary!$A$166:$A$242,$A1856,Summary!$P$166:$P$242),0)</f>
        <v>30291.265667312153</v>
      </c>
      <c r="AE1856" s="197">
        <f t="shared" ca="1" si="402"/>
        <v>565728.04560692783</v>
      </c>
      <c r="AF1856" s="196">
        <f>IFERROR(G1856/SUMIF(A:A,A1856,G:G)*SUMIF(Summary!$A$166:$A$242,'Operations Support'!A1856,Summary!$Q$166:$Q$242),0)</f>
        <v>30355.576435366544</v>
      </c>
      <c r="AG1856" s="196">
        <f t="shared" ca="1" si="403"/>
        <v>565663.7348388735</v>
      </c>
      <c r="AI1856" s="196">
        <f>IFERROR($G1856/SUMIF($A:$A,$A1856,$G:$G)*SUMIF(Summary!$A$247:$A$283,$A1856,Summary!$P$247:$P$283),0)</f>
        <v>5524.370947609118</v>
      </c>
      <c r="AJ1856" s="196">
        <f>IFERROR($G1856/SUMIF($A:$A,$A1856,$G:$G)*(SUMIF(Summary!$A$247:$A$283,$A1856,Summary!$L$247:$L$283)+SUMIF(Summary!$A$297:$A$333,$A1856,Summary!$L$297:$L$333))-AI1856,0)</f>
        <v>19798.918542171486</v>
      </c>
      <c r="AK1856" s="196">
        <f>IFERROR($G1856/SUMIF($A:$A,$A1856,$G:$G)*SUMIF(Summary!$A$247:$A$283,$A1856,Summary!$Q$247:$Q$283),0)</f>
        <v>5536.0996268449107</v>
      </c>
      <c r="AL1856" s="196">
        <f>IFERROR($G1856/SUMIF($A:$A,$A1856,$G:$G)*(SUMIF(Summary!$A$247:$A$283,$A1856,Summary!$L$247:$L$283)+SUMIF(Summary!$A$297:$A$333,$A1856,Summary!$L$297:$L$333))-AK1856,0)</f>
        <v>19787.189862935695</v>
      </c>
      <c r="AM1856" s="198"/>
      <c r="AN1856" s="196">
        <f t="shared" ca="1" si="404"/>
        <v>585526.96414909931</v>
      </c>
      <c r="AO1856" s="196">
        <f t="shared" ca="1" si="405"/>
        <v>585450.92470180918</v>
      </c>
    </row>
    <row r="1857" spans="1:41">
      <c r="A1857" s="189">
        <v>3646</v>
      </c>
      <c r="B1857" s="190">
        <v>4</v>
      </c>
      <c r="C1857" s="191" t="s">
        <v>224</v>
      </c>
      <c r="D1857" s="192">
        <f t="shared" si="392"/>
        <v>6</v>
      </c>
      <c r="E1857" s="192">
        <f t="shared" si="393"/>
        <v>0</v>
      </c>
      <c r="F1857" s="192">
        <f t="shared" si="394"/>
        <v>0</v>
      </c>
      <c r="G1857" s="193">
        <f t="shared" si="395"/>
        <v>6</v>
      </c>
      <c r="H1857" s="194">
        <v>6</v>
      </c>
      <c r="I1857" s="194">
        <v>0</v>
      </c>
      <c r="J1857" s="194">
        <v>0</v>
      </c>
      <c r="K1857" s="193">
        <f t="shared" si="396"/>
        <v>6</v>
      </c>
      <c r="L1857" s="194">
        <v>0</v>
      </c>
      <c r="M1857" s="194">
        <v>0</v>
      </c>
      <c r="N1857" s="194">
        <v>0</v>
      </c>
      <c r="O1857" s="193">
        <f t="shared" si="397"/>
        <v>0</v>
      </c>
      <c r="P1857" s="194">
        <v>0</v>
      </c>
      <c r="Q1857" s="194">
        <v>0</v>
      </c>
      <c r="R1857" s="194">
        <v>0</v>
      </c>
      <c r="S1857" s="193">
        <f t="shared" si="398"/>
        <v>0</v>
      </c>
      <c r="T1857" s="193">
        <f t="shared" si="399"/>
        <v>0.33333333333333331</v>
      </c>
      <c r="U1857" s="193">
        <f ca="1">OFFSET('Expenditure Study'!$B$7,'Operations Support'!$C1857,'Operations Support'!$B1857)*$G1857</f>
        <v>86.820000000000007</v>
      </c>
      <c r="V1857" s="199">
        <f ca="1">U1857*'Expenditure Study'!$B$31</f>
        <v>5129.6017570560007</v>
      </c>
      <c r="W1857" s="199">
        <f ca="1">IF(A1857=10298,1.51,1)*IF($B1857&lt;3,$D1857*'Expenditure Study'!$B$32*OFFSET('Expenditure Study'!$B$7,'Operations Support'!$C1857,'Operations Support'!$B1857),0)</f>
        <v>0</v>
      </c>
      <c r="X1857" s="200">
        <f ca="1">W1857*'Expenditure Study'!$B$31</f>
        <v>0</v>
      </c>
      <c r="Y1857" s="199">
        <f ca="1">U1857*'Expenditure Study'!$B$31</f>
        <v>5129.6017570560007</v>
      </c>
      <c r="Z1857" s="200">
        <f ca="1">W1857*'Expenditure Study'!$B$31</f>
        <v>0</v>
      </c>
      <c r="AA1857" s="195">
        <f t="shared" ca="1" si="400"/>
        <v>5129.6017570560007</v>
      </c>
      <c r="AB1857" s="195">
        <f t="shared" ca="1" si="401"/>
        <v>5129.6017570560007</v>
      </c>
      <c r="AD1857" s="196">
        <f>IFERROR($G1857/SUMIF($A:$A,$A1857,$G:$G)*SUMIF(Summary!$A$166:$A$242,$A1857,Summary!$P$166:$P$242),0)</f>
        <v>140.88960775494024</v>
      </c>
      <c r="AE1857" s="197">
        <f t="shared" ca="1" si="402"/>
        <v>4988.71214930106</v>
      </c>
      <c r="AF1857" s="196">
        <f>IFERROR(G1857/SUMIF(A:A,A1857,G:G)*SUMIF(Summary!$A$166:$A$242,'Operations Support'!A1857,Summary!$Q$166:$Q$242),0)</f>
        <v>141.188727606356</v>
      </c>
      <c r="AG1857" s="196">
        <f t="shared" ca="1" si="403"/>
        <v>4988.4130294496445</v>
      </c>
      <c r="AI1857" s="196">
        <f>IFERROR($G1857/SUMIF($A:$A,$A1857,$G:$G)*SUMIF(Summary!$A$247:$A$283,$A1857,Summary!$P$247:$P$283),0)</f>
        <v>25.694748593530779</v>
      </c>
      <c r="AJ1857" s="196">
        <f>IFERROR($G1857/SUMIF($A:$A,$A1857,$G:$G)*(SUMIF(Summary!$A$247:$A$283,$A1857,Summary!$L$247:$L$283)+SUMIF(Summary!$A$297:$A$333,$A1857,Summary!$L$297:$L$333))-AI1857,0)</f>
        <v>92.08799321940225</v>
      </c>
      <c r="AK1857" s="196">
        <f>IFERROR($G1857/SUMIF($A:$A,$A1857,$G:$G)*SUMIF(Summary!$A$247:$A$283,$A1857,Summary!$Q$247:$Q$283),0)</f>
        <v>25.749300589976329</v>
      </c>
      <c r="AL1857" s="196">
        <f>IFERROR($G1857/SUMIF($A:$A,$A1857,$G:$G)*(SUMIF(Summary!$A$247:$A$283,$A1857,Summary!$L$247:$L$283)+SUMIF(Summary!$A$297:$A$333,$A1857,Summary!$L$297:$L$333))-AK1857,0)</f>
        <v>92.033441222956696</v>
      </c>
      <c r="AM1857" s="198"/>
      <c r="AN1857" s="196">
        <f t="shared" ca="1" si="404"/>
        <v>5080.800142520462</v>
      </c>
      <c r="AO1857" s="196">
        <f t="shared" ca="1" si="405"/>
        <v>5080.4464706726012</v>
      </c>
    </row>
    <row r="1858" spans="1:41">
      <c r="A1858" s="189">
        <v>3646</v>
      </c>
      <c r="B1858" s="190">
        <v>4</v>
      </c>
      <c r="C1858" s="191" t="s">
        <v>225</v>
      </c>
      <c r="D1858" s="192">
        <f t="shared" si="392"/>
        <v>6</v>
      </c>
      <c r="E1858" s="192">
        <f t="shared" si="393"/>
        <v>0</v>
      </c>
      <c r="F1858" s="192">
        <f t="shared" si="394"/>
        <v>0</v>
      </c>
      <c r="G1858" s="193">
        <f t="shared" si="395"/>
        <v>6</v>
      </c>
      <c r="H1858" s="194">
        <v>0</v>
      </c>
      <c r="I1858" s="194">
        <v>0</v>
      </c>
      <c r="J1858" s="194">
        <v>0</v>
      </c>
      <c r="K1858" s="193">
        <f t="shared" si="396"/>
        <v>0</v>
      </c>
      <c r="L1858" s="194">
        <v>0</v>
      </c>
      <c r="M1858" s="194">
        <v>0</v>
      </c>
      <c r="N1858" s="194">
        <v>0</v>
      </c>
      <c r="O1858" s="193">
        <f t="shared" si="397"/>
        <v>0</v>
      </c>
      <c r="P1858" s="194">
        <v>6</v>
      </c>
      <c r="Q1858" s="194">
        <v>0</v>
      </c>
      <c r="R1858" s="194">
        <v>0</v>
      </c>
      <c r="S1858" s="193">
        <f t="shared" si="398"/>
        <v>6</v>
      </c>
      <c r="T1858" s="193">
        <f t="shared" si="399"/>
        <v>0.33333333333333331</v>
      </c>
      <c r="U1858" s="193">
        <f ca="1">OFFSET('Expenditure Study'!$B$7,'Operations Support'!$C1858,'Operations Support'!$B1858)*$G1858</f>
        <v>112.74</v>
      </c>
      <c r="V1858" s="199">
        <f ca="1">U1858*'Expenditure Study'!$B$31</f>
        <v>6661.0378033919997</v>
      </c>
      <c r="W1858" s="199">
        <f ca="1">IF(A1858=10298,1.51,1)*IF($B1858&lt;3,$D1858*'Expenditure Study'!$B$32*OFFSET('Expenditure Study'!$B$7,'Operations Support'!$C1858,'Operations Support'!$B1858),0)</f>
        <v>0</v>
      </c>
      <c r="X1858" s="200">
        <f ca="1">W1858*'Expenditure Study'!$B$31</f>
        <v>0</v>
      </c>
      <c r="Y1858" s="199">
        <f ca="1">U1858*'Expenditure Study'!$B$31</f>
        <v>6661.0378033919997</v>
      </c>
      <c r="Z1858" s="200">
        <f ca="1">W1858*'Expenditure Study'!$B$31</f>
        <v>0</v>
      </c>
      <c r="AA1858" s="195">
        <f t="shared" ca="1" si="400"/>
        <v>6661.0378033919997</v>
      </c>
      <c r="AB1858" s="195">
        <f t="shared" ca="1" si="401"/>
        <v>6661.0378033919997</v>
      </c>
      <c r="AD1858" s="196">
        <f>IFERROR($G1858/SUMIF($A:$A,$A1858,$G:$G)*SUMIF(Summary!$A$166:$A$242,$A1858,Summary!$P$166:$P$242),0)</f>
        <v>140.88960775494024</v>
      </c>
      <c r="AE1858" s="197">
        <f t="shared" ca="1" si="402"/>
        <v>6520.148195637059</v>
      </c>
      <c r="AF1858" s="196">
        <f>IFERROR(G1858/SUMIF(A:A,A1858,G:G)*SUMIF(Summary!$A$166:$A$242,'Operations Support'!A1858,Summary!$Q$166:$Q$242),0)</f>
        <v>141.188727606356</v>
      </c>
      <c r="AG1858" s="196">
        <f t="shared" ca="1" si="403"/>
        <v>6519.8490757856434</v>
      </c>
      <c r="AI1858" s="196">
        <f>IFERROR($G1858/SUMIF($A:$A,$A1858,$G:$G)*SUMIF(Summary!$A$247:$A$283,$A1858,Summary!$P$247:$P$283),0)</f>
        <v>25.694748593530779</v>
      </c>
      <c r="AJ1858" s="196">
        <f>IFERROR($G1858/SUMIF($A:$A,$A1858,$G:$G)*(SUMIF(Summary!$A$247:$A$283,$A1858,Summary!$L$247:$L$283)+SUMIF(Summary!$A$297:$A$333,$A1858,Summary!$L$297:$L$333))-AI1858,0)</f>
        <v>92.08799321940225</v>
      </c>
      <c r="AK1858" s="196">
        <f>IFERROR($G1858/SUMIF($A:$A,$A1858,$G:$G)*SUMIF(Summary!$A$247:$A$283,$A1858,Summary!$Q$247:$Q$283),0)</f>
        <v>25.749300589976329</v>
      </c>
      <c r="AL1858" s="196">
        <f>IFERROR($G1858/SUMIF($A:$A,$A1858,$G:$G)*(SUMIF(Summary!$A$247:$A$283,$A1858,Summary!$L$247:$L$283)+SUMIF(Summary!$A$297:$A$333,$A1858,Summary!$L$297:$L$333))-AK1858,0)</f>
        <v>92.033441222956696</v>
      </c>
      <c r="AM1858" s="198"/>
      <c r="AN1858" s="196">
        <f t="shared" ca="1" si="404"/>
        <v>6612.236188856461</v>
      </c>
      <c r="AO1858" s="196">
        <f t="shared" ca="1" si="405"/>
        <v>6611.8825170086002</v>
      </c>
    </row>
    <row r="1859" spans="1:41">
      <c r="A1859" s="189">
        <v>3646</v>
      </c>
      <c r="B1859" s="190">
        <v>4</v>
      </c>
      <c r="C1859" s="191" t="s">
        <v>226</v>
      </c>
      <c r="D1859" s="192">
        <f t="shared" si="392"/>
        <v>631</v>
      </c>
      <c r="E1859" s="192">
        <f t="shared" si="393"/>
        <v>99</v>
      </c>
      <c r="F1859" s="192">
        <f t="shared" si="394"/>
        <v>5</v>
      </c>
      <c r="G1859" s="193">
        <f t="shared" si="395"/>
        <v>725</v>
      </c>
      <c r="H1859" s="194">
        <v>219</v>
      </c>
      <c r="I1859" s="194">
        <v>21</v>
      </c>
      <c r="J1859" s="194">
        <v>2</v>
      </c>
      <c r="K1859" s="193">
        <f t="shared" si="396"/>
        <v>238</v>
      </c>
      <c r="L1859" s="194">
        <v>228</v>
      </c>
      <c r="M1859" s="194">
        <v>45</v>
      </c>
      <c r="N1859" s="194">
        <v>0</v>
      </c>
      <c r="O1859" s="193">
        <f t="shared" si="397"/>
        <v>273</v>
      </c>
      <c r="P1859" s="194">
        <v>184</v>
      </c>
      <c r="Q1859" s="194">
        <v>33</v>
      </c>
      <c r="R1859" s="194">
        <v>3</v>
      </c>
      <c r="S1859" s="193">
        <f t="shared" si="398"/>
        <v>214</v>
      </c>
      <c r="T1859" s="193">
        <f t="shared" si="399"/>
        <v>40.277777777777779</v>
      </c>
      <c r="U1859" s="193">
        <f ca="1">OFFSET('Expenditure Study'!$B$7,'Operations Support'!$C1859,'Operations Support'!$B1859)*$G1859</f>
        <v>10179</v>
      </c>
      <c r="V1859" s="199">
        <f ca="1">U1859*'Expenditure Study'!$B$31</f>
        <v>601407.69736320002</v>
      </c>
      <c r="W1859" s="199">
        <f ca="1">IF(A1859=10298,1.51,1)*IF($B1859&lt;3,$D1859*'Expenditure Study'!$B$32*OFFSET('Expenditure Study'!$B$7,'Operations Support'!$C1859,'Operations Support'!$B1859),0)</f>
        <v>0</v>
      </c>
      <c r="X1859" s="200">
        <f ca="1">W1859*'Expenditure Study'!$B$31</f>
        <v>0</v>
      </c>
      <c r="Y1859" s="199">
        <f ca="1">U1859*'Expenditure Study'!$B$31</f>
        <v>601407.69736320002</v>
      </c>
      <c r="Z1859" s="200">
        <f ca="1">W1859*'Expenditure Study'!$B$31</f>
        <v>0</v>
      </c>
      <c r="AA1859" s="195">
        <f t="shared" ca="1" si="400"/>
        <v>601407.69736320002</v>
      </c>
      <c r="AB1859" s="195">
        <f t="shared" ca="1" si="401"/>
        <v>601407.69736320002</v>
      </c>
      <c r="AD1859" s="196">
        <f>IFERROR($G1859/SUMIF($A:$A,$A1859,$G:$G)*SUMIF(Summary!$A$166:$A$242,$A1859,Summary!$P$166:$P$242),0)</f>
        <v>17024.16093705528</v>
      </c>
      <c r="AE1859" s="197">
        <f t="shared" ca="1" si="402"/>
        <v>584383.53642614477</v>
      </c>
      <c r="AF1859" s="196">
        <f>IFERROR(G1859/SUMIF(A:A,A1859,G:G)*SUMIF(Summary!$A$166:$A$242,'Operations Support'!A1859,Summary!$Q$166:$Q$242),0)</f>
        <v>17060.304585768015</v>
      </c>
      <c r="AG1859" s="196">
        <f t="shared" ca="1" si="403"/>
        <v>584347.39277743199</v>
      </c>
      <c r="AI1859" s="196">
        <f>IFERROR($G1859/SUMIF($A:$A,$A1859,$G:$G)*SUMIF(Summary!$A$247:$A$283,$A1859,Summary!$P$247:$P$283),0)</f>
        <v>3104.7821217183023</v>
      </c>
      <c r="AJ1859" s="196">
        <f>IFERROR($G1859/SUMIF($A:$A,$A1859,$G:$G)*(SUMIF(Summary!$A$247:$A$283,$A1859,Summary!$L$247:$L$283)+SUMIF(Summary!$A$297:$A$333,$A1859,Summary!$L$297:$L$333))-AI1859,0)</f>
        <v>11127.299180677772</v>
      </c>
      <c r="AK1859" s="196">
        <f>IFERROR($G1859/SUMIF($A:$A,$A1859,$G:$G)*SUMIF(Summary!$A$247:$A$283,$A1859,Summary!$Q$247:$Q$283),0)</f>
        <v>3111.3738212888065</v>
      </c>
      <c r="AL1859" s="196">
        <f>IFERROR($G1859/SUMIF($A:$A,$A1859,$G:$G)*(SUMIF(Summary!$A$247:$A$283,$A1859,Summary!$L$247:$L$283)+SUMIF(Summary!$A$297:$A$333,$A1859,Summary!$L$297:$L$333))-AK1859,0)</f>
        <v>11120.707481107267</v>
      </c>
      <c r="AM1859" s="198"/>
      <c r="AN1859" s="196">
        <f t="shared" ca="1" si="404"/>
        <v>595510.83560682251</v>
      </c>
      <c r="AO1859" s="196">
        <f t="shared" ca="1" si="405"/>
        <v>595468.1002585392</v>
      </c>
    </row>
    <row r="1860" spans="1:41">
      <c r="A1860" s="189">
        <v>3646</v>
      </c>
      <c r="B1860" s="190">
        <v>4</v>
      </c>
      <c r="C1860" s="191" t="s">
        <v>227</v>
      </c>
      <c r="D1860" s="192">
        <f t="shared" si="392"/>
        <v>0</v>
      </c>
      <c r="E1860" s="192">
        <f t="shared" si="393"/>
        <v>0</v>
      </c>
      <c r="F1860" s="192">
        <f t="shared" si="394"/>
        <v>0</v>
      </c>
      <c r="G1860" s="193">
        <f t="shared" si="395"/>
        <v>0</v>
      </c>
      <c r="H1860" s="194">
        <v>0</v>
      </c>
      <c r="I1860" s="194">
        <v>0</v>
      </c>
      <c r="J1860" s="194">
        <v>0</v>
      </c>
      <c r="K1860" s="193">
        <f t="shared" si="396"/>
        <v>0</v>
      </c>
      <c r="L1860" s="194">
        <v>0</v>
      </c>
      <c r="M1860" s="194">
        <v>0</v>
      </c>
      <c r="N1860" s="194">
        <v>0</v>
      </c>
      <c r="O1860" s="193">
        <f t="shared" si="397"/>
        <v>0</v>
      </c>
      <c r="P1860" s="194">
        <v>0</v>
      </c>
      <c r="Q1860" s="194">
        <v>0</v>
      </c>
      <c r="R1860" s="194">
        <v>0</v>
      </c>
      <c r="S1860" s="193">
        <f t="shared" si="398"/>
        <v>0</v>
      </c>
      <c r="T1860" s="193">
        <f t="shared" si="399"/>
        <v>0</v>
      </c>
      <c r="U1860" s="193">
        <f ca="1">OFFSET('Expenditure Study'!$B$7,'Operations Support'!$C1860,'Operations Support'!$B1860)*$G1860</f>
        <v>0</v>
      </c>
      <c r="V1860" s="199">
        <f ca="1">U1860*'Expenditure Study'!$B$31</f>
        <v>0</v>
      </c>
      <c r="W1860" s="199">
        <f ca="1">IF(A1860=10298,1.51,1)*IF($B1860&lt;3,$D1860*'Expenditure Study'!$B$32*OFFSET('Expenditure Study'!$B$7,'Operations Support'!$C1860,'Operations Support'!$B1860),0)</f>
        <v>0</v>
      </c>
      <c r="X1860" s="200">
        <f ca="1">W1860*'Expenditure Study'!$B$31</f>
        <v>0</v>
      </c>
      <c r="Y1860" s="199">
        <f ca="1">U1860*'Expenditure Study'!$B$31</f>
        <v>0</v>
      </c>
      <c r="Z1860" s="200">
        <f ca="1">W1860*'Expenditure Study'!$B$31</f>
        <v>0</v>
      </c>
      <c r="AA1860" s="195">
        <f t="shared" ca="1" si="400"/>
        <v>0</v>
      </c>
      <c r="AB1860" s="195">
        <f t="shared" ca="1" si="401"/>
        <v>0</v>
      </c>
      <c r="AD1860" s="196">
        <f>IFERROR($G1860/SUMIF($A:$A,$A1860,$G:$G)*SUMIF(Summary!$A$166:$A$242,$A1860,Summary!$P$166:$P$242),0)</f>
        <v>0</v>
      </c>
      <c r="AE1860" s="197">
        <f t="shared" ca="1" si="402"/>
        <v>0</v>
      </c>
      <c r="AF1860" s="196">
        <f>IFERROR(G1860/SUMIF(A:A,A1860,G:G)*SUMIF(Summary!$A$166:$A$242,'Operations Support'!A1860,Summary!$Q$166:$Q$242),0)</f>
        <v>0</v>
      </c>
      <c r="AG1860" s="196">
        <f t="shared" ca="1" si="403"/>
        <v>0</v>
      </c>
      <c r="AI1860" s="196">
        <f>IFERROR($G1860/SUMIF($A:$A,$A1860,$G:$G)*SUMIF(Summary!$A$247:$A$283,$A1860,Summary!$P$247:$P$283),0)</f>
        <v>0</v>
      </c>
      <c r="AJ1860" s="196">
        <f>IFERROR($G1860/SUMIF($A:$A,$A1860,$G:$G)*(SUMIF(Summary!$A$247:$A$283,$A1860,Summary!$L$247:$L$283)+SUMIF(Summary!$A$297:$A$333,$A1860,Summary!$L$297:$L$333))-AI1860,0)</f>
        <v>0</v>
      </c>
      <c r="AK1860" s="196">
        <f>IFERROR($G1860/SUMIF($A:$A,$A1860,$G:$G)*SUMIF(Summary!$A$247:$A$283,$A1860,Summary!$Q$247:$Q$283),0)</f>
        <v>0</v>
      </c>
      <c r="AL1860" s="196">
        <f>IFERROR($G1860/SUMIF($A:$A,$A1860,$G:$G)*(SUMIF(Summary!$A$247:$A$283,$A1860,Summary!$L$247:$L$283)+SUMIF(Summary!$A$297:$A$333,$A1860,Summary!$L$297:$L$333))-AK1860,0)</f>
        <v>0</v>
      </c>
      <c r="AM1860" s="198"/>
      <c r="AN1860" s="196">
        <f t="shared" ca="1" si="404"/>
        <v>0</v>
      </c>
      <c r="AO1860" s="196">
        <f t="shared" ca="1" si="405"/>
        <v>0</v>
      </c>
    </row>
    <row r="1861" spans="1:41">
      <c r="A1861" s="189">
        <v>3646</v>
      </c>
      <c r="B1861" s="190">
        <v>4</v>
      </c>
      <c r="C1861" s="191" t="s">
        <v>228</v>
      </c>
      <c r="D1861" s="192">
        <f t="shared" ref="D1861:D1924" si="406">H1861+L1861+P1861</f>
        <v>0</v>
      </c>
      <c r="E1861" s="192">
        <f t="shared" ref="E1861:E1924" si="407">I1861+M1861+Q1861</f>
        <v>0</v>
      </c>
      <c r="F1861" s="192">
        <f t="shared" ref="F1861:F1924" si="408">J1861+N1861+R1861</f>
        <v>0</v>
      </c>
      <c r="G1861" s="193">
        <f t="shared" ref="G1861:G1924" si="409">(SUM(D1861:E1861)-F1861)*IF(A1861=10298,1.51,1)</f>
        <v>0</v>
      </c>
      <c r="H1861" s="194">
        <v>0</v>
      </c>
      <c r="I1861" s="194">
        <v>0</v>
      </c>
      <c r="J1861" s="194">
        <v>0</v>
      </c>
      <c r="K1861" s="193">
        <f t="shared" ref="K1861:K1924" si="410">SUM(H1861:I1861)-J1861</f>
        <v>0</v>
      </c>
      <c r="L1861" s="194">
        <v>0</v>
      </c>
      <c r="M1861" s="194">
        <v>0</v>
      </c>
      <c r="N1861" s="194">
        <v>0</v>
      </c>
      <c r="O1861" s="193">
        <f t="shared" ref="O1861:O1924" si="411">SUM(L1861:M1861)-N1861</f>
        <v>0</v>
      </c>
      <c r="P1861" s="194">
        <v>0</v>
      </c>
      <c r="Q1861" s="194">
        <v>0</v>
      </c>
      <c r="R1861" s="194">
        <v>0</v>
      </c>
      <c r="S1861" s="193">
        <f t="shared" ref="S1861:S1924" si="412">SUM(P1861:Q1861)-R1861</f>
        <v>0</v>
      </c>
      <c r="T1861" s="193">
        <f t="shared" ref="T1861:T1924" si="413">IF(OR(B1861=1,B1861=2),G1861/30,IF(OR(B1861=3,B1861=5),G1861/24,IF(B1861=4,G1861/18,0)))</f>
        <v>0</v>
      </c>
      <c r="U1861" s="193">
        <f ca="1">OFFSET('Expenditure Study'!$B$7,'Operations Support'!$C1861,'Operations Support'!$B1861)*$G1861</f>
        <v>0</v>
      </c>
      <c r="V1861" s="199">
        <f ca="1">U1861*'Expenditure Study'!$B$31</f>
        <v>0</v>
      </c>
      <c r="W1861" s="199">
        <f ca="1">IF(A1861=10298,1.51,1)*IF($B1861&lt;3,$D1861*'Expenditure Study'!$B$32*OFFSET('Expenditure Study'!$B$7,'Operations Support'!$C1861,'Operations Support'!$B1861),0)</f>
        <v>0</v>
      </c>
      <c r="X1861" s="200">
        <f ca="1">W1861*'Expenditure Study'!$B$31</f>
        <v>0</v>
      </c>
      <c r="Y1861" s="199">
        <f ca="1">U1861*'Expenditure Study'!$B$31</f>
        <v>0</v>
      </c>
      <c r="Z1861" s="200">
        <f ca="1">W1861*'Expenditure Study'!$B$31</f>
        <v>0</v>
      </c>
      <c r="AA1861" s="195">
        <f t="shared" ref="AA1861:AA1924" ca="1" si="414">V1861+X1861</f>
        <v>0</v>
      </c>
      <c r="AB1861" s="195">
        <f t="shared" ref="AB1861:AB1924" ca="1" si="415">Y1861+Z1861</f>
        <v>0</v>
      </c>
      <c r="AD1861" s="196">
        <f>IFERROR($G1861/SUMIF($A:$A,$A1861,$G:$G)*SUMIF(Summary!$A$166:$A$242,$A1861,Summary!$P$166:$P$242),0)</f>
        <v>0</v>
      </c>
      <c r="AE1861" s="197">
        <f t="shared" ca="1" si="402"/>
        <v>0</v>
      </c>
      <c r="AF1861" s="196">
        <f>IFERROR(G1861/SUMIF(A:A,A1861,G:G)*SUMIF(Summary!$A$166:$A$242,'Operations Support'!A1861,Summary!$Q$166:$Q$242),0)</f>
        <v>0</v>
      </c>
      <c r="AG1861" s="196">
        <f t="shared" ca="1" si="403"/>
        <v>0</v>
      </c>
      <c r="AI1861" s="196">
        <f>IFERROR($G1861/SUMIF($A:$A,$A1861,$G:$G)*SUMIF(Summary!$A$247:$A$283,$A1861,Summary!$P$247:$P$283),0)</f>
        <v>0</v>
      </c>
      <c r="AJ1861" s="196">
        <f>IFERROR($G1861/SUMIF($A:$A,$A1861,$G:$G)*(SUMIF(Summary!$A$247:$A$283,$A1861,Summary!$L$247:$L$283)+SUMIF(Summary!$A$297:$A$333,$A1861,Summary!$L$297:$L$333))-AI1861,0)</f>
        <v>0</v>
      </c>
      <c r="AK1861" s="196">
        <f>IFERROR($G1861/SUMIF($A:$A,$A1861,$G:$G)*SUMIF(Summary!$A$247:$A$283,$A1861,Summary!$Q$247:$Q$283),0)</f>
        <v>0</v>
      </c>
      <c r="AL1861" s="196">
        <f>IFERROR($G1861/SUMIF($A:$A,$A1861,$G:$G)*(SUMIF(Summary!$A$247:$A$283,$A1861,Summary!$L$247:$L$283)+SUMIF(Summary!$A$297:$A$333,$A1861,Summary!$L$297:$L$333))-AK1861,0)</f>
        <v>0</v>
      </c>
      <c r="AM1861" s="198"/>
      <c r="AN1861" s="196">
        <f t="shared" ca="1" si="404"/>
        <v>0</v>
      </c>
      <c r="AO1861" s="196">
        <f t="shared" ca="1" si="405"/>
        <v>0</v>
      </c>
    </row>
    <row r="1862" spans="1:41">
      <c r="A1862" s="189">
        <v>3646</v>
      </c>
      <c r="B1862" s="190">
        <v>4</v>
      </c>
      <c r="C1862" s="191" t="s">
        <v>229</v>
      </c>
      <c r="D1862" s="192">
        <f t="shared" si="406"/>
        <v>0</v>
      </c>
      <c r="E1862" s="192">
        <f t="shared" si="407"/>
        <v>0</v>
      </c>
      <c r="F1862" s="192">
        <f t="shared" si="408"/>
        <v>0</v>
      </c>
      <c r="G1862" s="193">
        <f t="shared" si="409"/>
        <v>0</v>
      </c>
      <c r="H1862" s="194">
        <v>0</v>
      </c>
      <c r="I1862" s="194">
        <v>0</v>
      </c>
      <c r="J1862" s="194">
        <v>0</v>
      </c>
      <c r="K1862" s="193">
        <f t="shared" si="410"/>
        <v>0</v>
      </c>
      <c r="L1862" s="194">
        <v>0</v>
      </c>
      <c r="M1862" s="194">
        <v>0</v>
      </c>
      <c r="N1862" s="194">
        <v>0</v>
      </c>
      <c r="O1862" s="193">
        <f t="shared" si="411"/>
        <v>0</v>
      </c>
      <c r="P1862" s="194">
        <v>0</v>
      </c>
      <c r="Q1862" s="194">
        <v>0</v>
      </c>
      <c r="R1862" s="194">
        <v>0</v>
      </c>
      <c r="S1862" s="193">
        <f t="shared" si="412"/>
        <v>0</v>
      </c>
      <c r="T1862" s="193">
        <f t="shared" si="413"/>
        <v>0</v>
      </c>
      <c r="U1862" s="193">
        <f ca="1">OFFSET('Expenditure Study'!$B$7,'Operations Support'!$C1862,'Operations Support'!$B1862)*$G1862</f>
        <v>0</v>
      </c>
      <c r="V1862" s="199">
        <f ca="1">U1862*'Expenditure Study'!$B$31</f>
        <v>0</v>
      </c>
      <c r="W1862" s="199">
        <f ca="1">IF(A1862=10298,1.51,1)*IF($B1862&lt;3,$D1862*'Expenditure Study'!$B$32*OFFSET('Expenditure Study'!$B$7,'Operations Support'!$C1862,'Operations Support'!$B1862),0)</f>
        <v>0</v>
      </c>
      <c r="X1862" s="200">
        <f ca="1">W1862*'Expenditure Study'!$B$31</f>
        <v>0</v>
      </c>
      <c r="Y1862" s="199">
        <f ca="1">U1862*'Expenditure Study'!$B$31</f>
        <v>0</v>
      </c>
      <c r="Z1862" s="200">
        <f ca="1">W1862*'Expenditure Study'!$B$31</f>
        <v>0</v>
      </c>
      <c r="AA1862" s="195">
        <f t="shared" ca="1" si="414"/>
        <v>0</v>
      </c>
      <c r="AB1862" s="195">
        <f t="shared" ca="1" si="415"/>
        <v>0</v>
      </c>
      <c r="AD1862" s="196">
        <f>IFERROR($G1862/SUMIF($A:$A,$A1862,$G:$G)*SUMIF(Summary!$A$166:$A$242,$A1862,Summary!$P$166:$P$242),0)</f>
        <v>0</v>
      </c>
      <c r="AE1862" s="197">
        <f t="shared" ref="AE1862:AE1925" ca="1" si="416">V1862+X1862-AD1862</f>
        <v>0</v>
      </c>
      <c r="AF1862" s="196">
        <f>IFERROR(G1862/SUMIF(A:A,A1862,G:G)*SUMIF(Summary!$A$166:$A$242,'Operations Support'!A1862,Summary!$Q$166:$Q$242),0)</f>
        <v>0</v>
      </c>
      <c r="AG1862" s="196">
        <f t="shared" ref="AG1862:AG1925" ca="1" si="417">Y1862+Z1862-AF1862</f>
        <v>0</v>
      </c>
      <c r="AI1862" s="196">
        <f>IFERROR($G1862/SUMIF($A:$A,$A1862,$G:$G)*SUMIF(Summary!$A$247:$A$283,$A1862,Summary!$P$247:$P$283),0)</f>
        <v>0</v>
      </c>
      <c r="AJ1862" s="196">
        <f>IFERROR($G1862/SUMIF($A:$A,$A1862,$G:$G)*(SUMIF(Summary!$A$247:$A$283,$A1862,Summary!$L$247:$L$283)+SUMIF(Summary!$A$297:$A$333,$A1862,Summary!$L$297:$L$333))-AI1862,0)</f>
        <v>0</v>
      </c>
      <c r="AK1862" s="196">
        <f>IFERROR($G1862/SUMIF($A:$A,$A1862,$G:$G)*SUMIF(Summary!$A$247:$A$283,$A1862,Summary!$Q$247:$Q$283),0)</f>
        <v>0</v>
      </c>
      <c r="AL1862" s="196">
        <f>IFERROR($G1862/SUMIF($A:$A,$A1862,$G:$G)*(SUMIF(Summary!$A$247:$A$283,$A1862,Summary!$L$247:$L$283)+SUMIF(Summary!$A$297:$A$333,$A1862,Summary!$L$297:$L$333))-AK1862,0)</f>
        <v>0</v>
      </c>
      <c r="AM1862" s="198"/>
      <c r="AN1862" s="196">
        <f t="shared" ref="AN1862:AN1925" ca="1" si="418">AE1862+AJ1862</f>
        <v>0</v>
      </c>
      <c r="AO1862" s="196">
        <f t="shared" ref="AO1862:AO1925" ca="1" si="419">AG1862+AL1862</f>
        <v>0</v>
      </c>
    </row>
    <row r="1863" spans="1:41">
      <c r="A1863" s="189">
        <v>3646</v>
      </c>
      <c r="B1863" s="190">
        <v>4</v>
      </c>
      <c r="C1863" s="191" t="s">
        <v>230</v>
      </c>
      <c r="D1863" s="192">
        <f t="shared" si="406"/>
        <v>0</v>
      </c>
      <c r="E1863" s="192">
        <f t="shared" si="407"/>
        <v>0</v>
      </c>
      <c r="F1863" s="192">
        <f t="shared" si="408"/>
        <v>0</v>
      </c>
      <c r="G1863" s="193">
        <f t="shared" si="409"/>
        <v>0</v>
      </c>
      <c r="H1863" s="194">
        <v>0</v>
      </c>
      <c r="I1863" s="194">
        <v>0</v>
      </c>
      <c r="J1863" s="194">
        <v>0</v>
      </c>
      <c r="K1863" s="193">
        <f t="shared" si="410"/>
        <v>0</v>
      </c>
      <c r="L1863" s="194">
        <v>0</v>
      </c>
      <c r="M1863" s="194">
        <v>0</v>
      </c>
      <c r="N1863" s="194">
        <v>0</v>
      </c>
      <c r="O1863" s="193">
        <f t="shared" si="411"/>
        <v>0</v>
      </c>
      <c r="P1863" s="194">
        <v>0</v>
      </c>
      <c r="Q1863" s="194">
        <v>0</v>
      </c>
      <c r="R1863" s="194">
        <v>0</v>
      </c>
      <c r="S1863" s="193">
        <f t="shared" si="412"/>
        <v>0</v>
      </c>
      <c r="T1863" s="193">
        <f t="shared" si="413"/>
        <v>0</v>
      </c>
      <c r="U1863" s="193">
        <f ca="1">OFFSET('Expenditure Study'!$B$7,'Operations Support'!$C1863,'Operations Support'!$B1863)*$G1863</f>
        <v>0</v>
      </c>
      <c r="V1863" s="199">
        <f ca="1">U1863*'Expenditure Study'!$B$31</f>
        <v>0</v>
      </c>
      <c r="W1863" s="199">
        <f ca="1">IF(A1863=10298,1.51,1)*IF($B1863&lt;3,$D1863*'Expenditure Study'!$B$32*OFFSET('Expenditure Study'!$B$7,'Operations Support'!$C1863,'Operations Support'!$B1863),0)</f>
        <v>0</v>
      </c>
      <c r="X1863" s="200">
        <f ca="1">W1863*'Expenditure Study'!$B$31</f>
        <v>0</v>
      </c>
      <c r="Y1863" s="199">
        <f ca="1">U1863*'Expenditure Study'!$B$31</f>
        <v>0</v>
      </c>
      <c r="Z1863" s="200">
        <f ca="1">W1863*'Expenditure Study'!$B$31</f>
        <v>0</v>
      </c>
      <c r="AA1863" s="195">
        <f t="shared" ca="1" si="414"/>
        <v>0</v>
      </c>
      <c r="AB1863" s="195">
        <f t="shared" ca="1" si="415"/>
        <v>0</v>
      </c>
      <c r="AD1863" s="196">
        <f>IFERROR($G1863/SUMIF($A:$A,$A1863,$G:$G)*SUMIF(Summary!$A$166:$A$242,$A1863,Summary!$P$166:$P$242),0)</f>
        <v>0</v>
      </c>
      <c r="AE1863" s="197">
        <f t="shared" ca="1" si="416"/>
        <v>0</v>
      </c>
      <c r="AF1863" s="196">
        <f>IFERROR(G1863/SUMIF(A:A,A1863,G:G)*SUMIF(Summary!$A$166:$A$242,'Operations Support'!A1863,Summary!$Q$166:$Q$242),0)</f>
        <v>0</v>
      </c>
      <c r="AG1863" s="196">
        <f t="shared" ca="1" si="417"/>
        <v>0</v>
      </c>
      <c r="AI1863" s="196">
        <f>IFERROR($G1863/SUMIF($A:$A,$A1863,$G:$G)*SUMIF(Summary!$A$247:$A$283,$A1863,Summary!$P$247:$P$283),0)</f>
        <v>0</v>
      </c>
      <c r="AJ1863" s="196">
        <f>IFERROR($G1863/SUMIF($A:$A,$A1863,$G:$G)*(SUMIF(Summary!$A$247:$A$283,$A1863,Summary!$L$247:$L$283)+SUMIF(Summary!$A$297:$A$333,$A1863,Summary!$L$297:$L$333))-AI1863,0)</f>
        <v>0</v>
      </c>
      <c r="AK1863" s="196">
        <f>IFERROR($G1863/SUMIF($A:$A,$A1863,$G:$G)*SUMIF(Summary!$A$247:$A$283,$A1863,Summary!$Q$247:$Q$283),0)</f>
        <v>0</v>
      </c>
      <c r="AL1863" s="196">
        <f>IFERROR($G1863/SUMIF($A:$A,$A1863,$G:$G)*(SUMIF(Summary!$A$247:$A$283,$A1863,Summary!$L$247:$L$283)+SUMIF(Summary!$A$297:$A$333,$A1863,Summary!$L$297:$L$333))-AK1863,0)</f>
        <v>0</v>
      </c>
      <c r="AM1863" s="198"/>
      <c r="AN1863" s="196">
        <f t="shared" ca="1" si="418"/>
        <v>0</v>
      </c>
      <c r="AO1863" s="196">
        <f t="shared" ca="1" si="419"/>
        <v>0</v>
      </c>
    </row>
    <row r="1864" spans="1:41">
      <c r="A1864" s="189">
        <v>3646</v>
      </c>
      <c r="B1864" s="190">
        <v>4</v>
      </c>
      <c r="C1864" s="191" t="s">
        <v>231</v>
      </c>
      <c r="D1864" s="192">
        <f t="shared" si="406"/>
        <v>0</v>
      </c>
      <c r="E1864" s="192">
        <f t="shared" si="407"/>
        <v>0</v>
      </c>
      <c r="F1864" s="192">
        <f t="shared" si="408"/>
        <v>0</v>
      </c>
      <c r="G1864" s="193">
        <f t="shared" si="409"/>
        <v>0</v>
      </c>
      <c r="H1864" s="194">
        <v>0</v>
      </c>
      <c r="I1864" s="194">
        <v>0</v>
      </c>
      <c r="J1864" s="194">
        <v>0</v>
      </c>
      <c r="K1864" s="193">
        <f t="shared" si="410"/>
        <v>0</v>
      </c>
      <c r="L1864" s="194">
        <v>0</v>
      </c>
      <c r="M1864" s="194">
        <v>0</v>
      </c>
      <c r="N1864" s="194">
        <v>0</v>
      </c>
      <c r="O1864" s="193">
        <f t="shared" si="411"/>
        <v>0</v>
      </c>
      <c r="P1864" s="194">
        <v>0</v>
      </c>
      <c r="Q1864" s="194">
        <v>0</v>
      </c>
      <c r="R1864" s="194">
        <v>0</v>
      </c>
      <c r="S1864" s="193">
        <f t="shared" si="412"/>
        <v>0</v>
      </c>
      <c r="T1864" s="193">
        <f t="shared" si="413"/>
        <v>0</v>
      </c>
      <c r="U1864" s="193">
        <f ca="1">OFFSET('Expenditure Study'!$B$7,'Operations Support'!$C1864,'Operations Support'!$B1864)*$G1864</f>
        <v>0</v>
      </c>
      <c r="V1864" s="199">
        <f ca="1">U1864*'Expenditure Study'!$B$31</f>
        <v>0</v>
      </c>
      <c r="W1864" s="199">
        <f ca="1">IF(A1864=10298,1.51,1)*IF($B1864&lt;3,$D1864*'Expenditure Study'!$B$32*OFFSET('Expenditure Study'!$B$7,'Operations Support'!$C1864,'Operations Support'!$B1864),0)</f>
        <v>0</v>
      </c>
      <c r="X1864" s="200">
        <f ca="1">W1864*'Expenditure Study'!$B$31</f>
        <v>0</v>
      </c>
      <c r="Y1864" s="199">
        <f ca="1">U1864*'Expenditure Study'!$B$31</f>
        <v>0</v>
      </c>
      <c r="Z1864" s="200">
        <f ca="1">W1864*'Expenditure Study'!$B$31</f>
        <v>0</v>
      </c>
      <c r="AA1864" s="195">
        <f t="shared" ca="1" si="414"/>
        <v>0</v>
      </c>
      <c r="AB1864" s="195">
        <f t="shared" ca="1" si="415"/>
        <v>0</v>
      </c>
      <c r="AD1864" s="196">
        <f>IFERROR($G1864/SUMIF($A:$A,$A1864,$G:$G)*SUMIF(Summary!$A$166:$A$242,$A1864,Summary!$P$166:$P$242),0)</f>
        <v>0</v>
      </c>
      <c r="AE1864" s="197">
        <f t="shared" ca="1" si="416"/>
        <v>0</v>
      </c>
      <c r="AF1864" s="196">
        <f>IFERROR(G1864/SUMIF(A:A,A1864,G:G)*SUMIF(Summary!$A$166:$A$242,'Operations Support'!A1864,Summary!$Q$166:$Q$242),0)</f>
        <v>0</v>
      </c>
      <c r="AG1864" s="196">
        <f t="shared" ca="1" si="417"/>
        <v>0</v>
      </c>
      <c r="AI1864" s="196">
        <f>IFERROR($G1864/SUMIF($A:$A,$A1864,$G:$G)*SUMIF(Summary!$A$247:$A$283,$A1864,Summary!$P$247:$P$283),0)</f>
        <v>0</v>
      </c>
      <c r="AJ1864" s="196">
        <f>IFERROR($G1864/SUMIF($A:$A,$A1864,$G:$G)*(SUMIF(Summary!$A$247:$A$283,$A1864,Summary!$L$247:$L$283)+SUMIF(Summary!$A$297:$A$333,$A1864,Summary!$L$297:$L$333))-AI1864,0)</f>
        <v>0</v>
      </c>
      <c r="AK1864" s="196">
        <f>IFERROR($G1864/SUMIF($A:$A,$A1864,$G:$G)*SUMIF(Summary!$A$247:$A$283,$A1864,Summary!$Q$247:$Q$283),0)</f>
        <v>0</v>
      </c>
      <c r="AL1864" s="196">
        <f>IFERROR($G1864/SUMIF($A:$A,$A1864,$G:$G)*(SUMIF(Summary!$A$247:$A$283,$A1864,Summary!$L$247:$L$283)+SUMIF(Summary!$A$297:$A$333,$A1864,Summary!$L$297:$L$333))-AK1864,0)</f>
        <v>0</v>
      </c>
      <c r="AM1864" s="198"/>
      <c r="AN1864" s="196">
        <f t="shared" ca="1" si="418"/>
        <v>0</v>
      </c>
      <c r="AO1864" s="196">
        <f t="shared" ca="1" si="419"/>
        <v>0</v>
      </c>
    </row>
    <row r="1865" spans="1:41">
      <c r="A1865" s="189">
        <v>3646</v>
      </c>
      <c r="B1865" s="190">
        <v>4</v>
      </c>
      <c r="C1865" s="191" t="s">
        <v>232</v>
      </c>
      <c r="D1865" s="192">
        <f t="shared" si="406"/>
        <v>0</v>
      </c>
      <c r="E1865" s="192">
        <f t="shared" si="407"/>
        <v>0</v>
      </c>
      <c r="F1865" s="192">
        <f t="shared" si="408"/>
        <v>0</v>
      </c>
      <c r="G1865" s="193">
        <f t="shared" si="409"/>
        <v>0</v>
      </c>
      <c r="H1865" s="194">
        <v>0</v>
      </c>
      <c r="I1865" s="194">
        <v>0</v>
      </c>
      <c r="J1865" s="194">
        <v>0</v>
      </c>
      <c r="K1865" s="193">
        <f t="shared" si="410"/>
        <v>0</v>
      </c>
      <c r="L1865" s="194">
        <v>0</v>
      </c>
      <c r="M1865" s="194">
        <v>0</v>
      </c>
      <c r="N1865" s="194">
        <v>0</v>
      </c>
      <c r="O1865" s="193">
        <f t="shared" si="411"/>
        <v>0</v>
      </c>
      <c r="P1865" s="194">
        <v>0</v>
      </c>
      <c r="Q1865" s="194">
        <v>0</v>
      </c>
      <c r="R1865" s="194">
        <v>0</v>
      </c>
      <c r="S1865" s="193">
        <f t="shared" si="412"/>
        <v>0</v>
      </c>
      <c r="T1865" s="193">
        <f t="shared" si="413"/>
        <v>0</v>
      </c>
      <c r="U1865" s="193">
        <f ca="1">OFFSET('Expenditure Study'!$B$7,'Operations Support'!$C1865,'Operations Support'!$B1865)*$G1865</f>
        <v>0</v>
      </c>
      <c r="V1865" s="199">
        <f ca="1">U1865*'Expenditure Study'!$B$31</f>
        <v>0</v>
      </c>
      <c r="W1865" s="199">
        <f ca="1">IF(A1865=10298,1.51,1)*IF($B1865&lt;3,$D1865*'Expenditure Study'!$B$32*OFFSET('Expenditure Study'!$B$7,'Operations Support'!$C1865,'Operations Support'!$B1865),0)</f>
        <v>0</v>
      </c>
      <c r="X1865" s="200">
        <f ca="1">W1865*'Expenditure Study'!$B$31</f>
        <v>0</v>
      </c>
      <c r="Y1865" s="199">
        <f ca="1">U1865*'Expenditure Study'!$B$31</f>
        <v>0</v>
      </c>
      <c r="Z1865" s="200">
        <f ca="1">W1865*'Expenditure Study'!$B$31</f>
        <v>0</v>
      </c>
      <c r="AA1865" s="195">
        <f t="shared" ca="1" si="414"/>
        <v>0</v>
      </c>
      <c r="AB1865" s="195">
        <f t="shared" ca="1" si="415"/>
        <v>0</v>
      </c>
      <c r="AD1865" s="196">
        <f>IFERROR($G1865/SUMIF($A:$A,$A1865,$G:$G)*SUMIF(Summary!$A$166:$A$242,$A1865,Summary!$P$166:$P$242),0)</f>
        <v>0</v>
      </c>
      <c r="AE1865" s="197">
        <f t="shared" ca="1" si="416"/>
        <v>0</v>
      </c>
      <c r="AF1865" s="196">
        <f>IFERROR(G1865/SUMIF(A:A,A1865,G:G)*SUMIF(Summary!$A$166:$A$242,'Operations Support'!A1865,Summary!$Q$166:$Q$242),0)</f>
        <v>0</v>
      </c>
      <c r="AG1865" s="196">
        <f t="shared" ca="1" si="417"/>
        <v>0</v>
      </c>
      <c r="AI1865" s="196">
        <f>IFERROR($G1865/SUMIF($A:$A,$A1865,$G:$G)*SUMIF(Summary!$A$247:$A$283,$A1865,Summary!$P$247:$P$283),0)</f>
        <v>0</v>
      </c>
      <c r="AJ1865" s="196">
        <f>IFERROR($G1865/SUMIF($A:$A,$A1865,$G:$G)*(SUMIF(Summary!$A$247:$A$283,$A1865,Summary!$L$247:$L$283)+SUMIF(Summary!$A$297:$A$333,$A1865,Summary!$L$297:$L$333))-AI1865,0)</f>
        <v>0</v>
      </c>
      <c r="AK1865" s="196">
        <f>IFERROR($G1865/SUMIF($A:$A,$A1865,$G:$G)*SUMIF(Summary!$A$247:$A$283,$A1865,Summary!$Q$247:$Q$283),0)</f>
        <v>0</v>
      </c>
      <c r="AL1865" s="196">
        <f>IFERROR($G1865/SUMIF($A:$A,$A1865,$G:$G)*(SUMIF(Summary!$A$247:$A$283,$A1865,Summary!$L$247:$L$283)+SUMIF(Summary!$A$297:$A$333,$A1865,Summary!$L$297:$L$333))-AK1865,0)</f>
        <v>0</v>
      </c>
      <c r="AM1865" s="198"/>
      <c r="AN1865" s="196">
        <f t="shared" ca="1" si="418"/>
        <v>0</v>
      </c>
      <c r="AO1865" s="196">
        <f t="shared" ca="1" si="419"/>
        <v>0</v>
      </c>
    </row>
    <row r="1866" spans="1:41">
      <c r="A1866" s="189">
        <v>3646</v>
      </c>
      <c r="B1866" s="190">
        <v>4</v>
      </c>
      <c r="C1866" s="191" t="s">
        <v>233</v>
      </c>
      <c r="D1866" s="192">
        <f t="shared" si="406"/>
        <v>3863.1900000000019</v>
      </c>
      <c r="E1866" s="192">
        <f t="shared" si="407"/>
        <v>6093.8100000000195</v>
      </c>
      <c r="F1866" s="192">
        <f t="shared" si="408"/>
        <v>18</v>
      </c>
      <c r="G1866" s="193">
        <f t="shared" si="409"/>
        <v>9939.0000000000218</v>
      </c>
      <c r="H1866" s="194">
        <v>1282</v>
      </c>
      <c r="I1866" s="194">
        <v>1948</v>
      </c>
      <c r="J1866" s="194">
        <v>3</v>
      </c>
      <c r="K1866" s="193">
        <f t="shared" si="410"/>
        <v>3227</v>
      </c>
      <c r="L1866" s="194">
        <v>1615</v>
      </c>
      <c r="M1866" s="194">
        <v>1676</v>
      </c>
      <c r="N1866" s="194">
        <v>6</v>
      </c>
      <c r="O1866" s="193">
        <f t="shared" si="411"/>
        <v>3285</v>
      </c>
      <c r="P1866" s="194">
        <v>966.19000000000199</v>
      </c>
      <c r="Q1866" s="194">
        <v>2469.81000000002</v>
      </c>
      <c r="R1866" s="194">
        <v>9</v>
      </c>
      <c r="S1866" s="193">
        <f t="shared" si="412"/>
        <v>3427.0000000000218</v>
      </c>
      <c r="T1866" s="193">
        <f t="shared" si="413"/>
        <v>552.16666666666788</v>
      </c>
      <c r="U1866" s="193">
        <f ca="1">OFFSET('Expenditure Study'!$B$7,'Operations Support'!$C1866,'Operations Support'!$B1866)*$G1866</f>
        <v>91438.800000000192</v>
      </c>
      <c r="V1866" s="199">
        <f ca="1">U1866*'Expenditure Study'!$B$31</f>
        <v>5402495.1525350511</v>
      </c>
      <c r="W1866" s="199">
        <f ca="1">IF(A1866=10298,1.51,1)*IF($B1866&lt;3,$D1866*'Expenditure Study'!$B$32*OFFSET('Expenditure Study'!$B$7,'Operations Support'!$C1866,'Operations Support'!$B1866),0)</f>
        <v>0</v>
      </c>
      <c r="X1866" s="200">
        <f ca="1">W1866*'Expenditure Study'!$B$31</f>
        <v>0</v>
      </c>
      <c r="Y1866" s="199">
        <f ca="1">U1866*'Expenditure Study'!$B$31</f>
        <v>5402495.1525350511</v>
      </c>
      <c r="Z1866" s="200">
        <f ca="1">W1866*'Expenditure Study'!$B$31</f>
        <v>0</v>
      </c>
      <c r="AA1866" s="195">
        <f t="shared" ca="1" si="414"/>
        <v>5402495.1525350511</v>
      </c>
      <c r="AB1866" s="195">
        <f t="shared" ca="1" si="415"/>
        <v>5402495.1525350511</v>
      </c>
      <c r="AD1866" s="196">
        <f>IFERROR($G1866/SUMIF($A:$A,$A1866,$G:$G)*SUMIF(Summary!$A$166:$A$242,$A1866,Summary!$P$166:$P$242),0)</f>
        <v>233383.63524605904</v>
      </c>
      <c r="AE1866" s="197">
        <f t="shared" ca="1" si="416"/>
        <v>5169111.5172889922</v>
      </c>
      <c r="AF1866" s="196">
        <f>IFERROR(G1866/SUMIF(A:A,A1866,G:G)*SUMIF(Summary!$A$166:$A$242,'Operations Support'!A1866,Summary!$Q$166:$Q$242),0)</f>
        <v>233879.12727992926</v>
      </c>
      <c r="AG1866" s="196">
        <f t="shared" ca="1" si="417"/>
        <v>5168616.0252551222</v>
      </c>
      <c r="AI1866" s="196">
        <f>IFERROR($G1866/SUMIF($A:$A,$A1866,$G:$G)*SUMIF(Summary!$A$247:$A$283,$A1866,Summary!$P$247:$P$283),0)</f>
        <v>42563.35104518383</v>
      </c>
      <c r="AJ1866" s="196">
        <f>IFERROR($G1866/SUMIF($A:$A,$A1866,$G:$G)*(SUMIF(Summary!$A$247:$A$283,$A1866,Summary!$L$247:$L$283)+SUMIF(Summary!$A$297:$A$333,$A1866,Summary!$L$297:$L$333))-AI1866,0)</f>
        <v>152543.76076794017</v>
      </c>
      <c r="AK1866" s="196">
        <f>IFERROR($G1866/SUMIF($A:$A,$A1866,$G:$G)*SUMIF(Summary!$A$247:$A$283,$A1866,Summary!$Q$247:$Q$283),0)</f>
        <v>42653.716427295883</v>
      </c>
      <c r="AL1866" s="196">
        <f>IFERROR($G1866/SUMIF($A:$A,$A1866,$G:$G)*(SUMIF(Summary!$A$247:$A$283,$A1866,Summary!$L$247:$L$283)+SUMIF(Summary!$A$297:$A$333,$A1866,Summary!$L$297:$L$333))-AK1866,0)</f>
        <v>152453.39538582813</v>
      </c>
      <c r="AM1866" s="198"/>
      <c r="AN1866" s="196">
        <f t="shared" ca="1" si="418"/>
        <v>5321655.2780569326</v>
      </c>
      <c r="AO1866" s="196">
        <f t="shared" ca="1" si="419"/>
        <v>5321069.4206409501</v>
      </c>
    </row>
    <row r="1867" spans="1:41">
      <c r="A1867" s="189">
        <v>3646</v>
      </c>
      <c r="B1867" s="190">
        <v>4</v>
      </c>
      <c r="C1867" s="191" t="s">
        <v>234</v>
      </c>
      <c r="D1867" s="192">
        <f t="shared" si="406"/>
        <v>0</v>
      </c>
      <c r="E1867" s="192">
        <f t="shared" si="407"/>
        <v>0</v>
      </c>
      <c r="F1867" s="192">
        <f t="shared" si="408"/>
        <v>0</v>
      </c>
      <c r="G1867" s="193">
        <f t="shared" si="409"/>
        <v>0</v>
      </c>
      <c r="H1867" s="194">
        <v>0</v>
      </c>
      <c r="I1867" s="194">
        <v>0</v>
      </c>
      <c r="J1867" s="194">
        <v>0</v>
      </c>
      <c r="K1867" s="193">
        <f t="shared" si="410"/>
        <v>0</v>
      </c>
      <c r="L1867" s="194">
        <v>0</v>
      </c>
      <c r="M1867" s="194">
        <v>0</v>
      </c>
      <c r="N1867" s="194">
        <v>0</v>
      </c>
      <c r="O1867" s="193">
        <f t="shared" si="411"/>
        <v>0</v>
      </c>
      <c r="P1867" s="194">
        <v>0</v>
      </c>
      <c r="Q1867" s="194">
        <v>0</v>
      </c>
      <c r="R1867" s="194">
        <v>0</v>
      </c>
      <c r="S1867" s="193">
        <f t="shared" si="412"/>
        <v>0</v>
      </c>
      <c r="T1867" s="193">
        <f t="shared" si="413"/>
        <v>0</v>
      </c>
      <c r="U1867" s="193">
        <f ca="1">OFFSET('Expenditure Study'!$B$7,'Operations Support'!$C1867,'Operations Support'!$B1867)*$G1867</f>
        <v>0</v>
      </c>
      <c r="V1867" s="199">
        <f ca="1">U1867*'Expenditure Study'!$B$31</f>
        <v>0</v>
      </c>
      <c r="W1867" s="199">
        <f ca="1">IF(A1867=10298,1.51,1)*IF($B1867&lt;3,$D1867*'Expenditure Study'!$B$32*OFFSET('Expenditure Study'!$B$7,'Operations Support'!$C1867,'Operations Support'!$B1867),0)</f>
        <v>0</v>
      </c>
      <c r="X1867" s="200">
        <f ca="1">W1867*'Expenditure Study'!$B$31</f>
        <v>0</v>
      </c>
      <c r="Y1867" s="199">
        <f ca="1">U1867*'Expenditure Study'!$B$31</f>
        <v>0</v>
      </c>
      <c r="Z1867" s="200">
        <f ca="1">W1867*'Expenditure Study'!$B$31</f>
        <v>0</v>
      </c>
      <c r="AA1867" s="195">
        <f t="shared" ca="1" si="414"/>
        <v>0</v>
      </c>
      <c r="AB1867" s="195">
        <f t="shared" ca="1" si="415"/>
        <v>0</v>
      </c>
      <c r="AD1867" s="196">
        <f>IFERROR($G1867/SUMIF($A:$A,$A1867,$G:$G)*SUMIF(Summary!$A$166:$A$242,$A1867,Summary!$P$166:$P$242),0)</f>
        <v>0</v>
      </c>
      <c r="AE1867" s="197">
        <f t="shared" ca="1" si="416"/>
        <v>0</v>
      </c>
      <c r="AF1867" s="196">
        <f>IFERROR(G1867/SUMIF(A:A,A1867,G:G)*SUMIF(Summary!$A$166:$A$242,'Operations Support'!A1867,Summary!$Q$166:$Q$242),0)</f>
        <v>0</v>
      </c>
      <c r="AG1867" s="196">
        <f t="shared" ca="1" si="417"/>
        <v>0</v>
      </c>
      <c r="AI1867" s="196">
        <f>IFERROR($G1867/SUMIF($A:$A,$A1867,$G:$G)*SUMIF(Summary!$A$247:$A$283,$A1867,Summary!$P$247:$P$283),0)</f>
        <v>0</v>
      </c>
      <c r="AJ1867" s="196">
        <f>IFERROR($G1867/SUMIF($A:$A,$A1867,$G:$G)*(SUMIF(Summary!$A$247:$A$283,$A1867,Summary!$L$247:$L$283)+SUMIF(Summary!$A$297:$A$333,$A1867,Summary!$L$297:$L$333))-AI1867,0)</f>
        <v>0</v>
      </c>
      <c r="AK1867" s="196">
        <f>IFERROR($G1867/SUMIF($A:$A,$A1867,$G:$G)*SUMIF(Summary!$A$247:$A$283,$A1867,Summary!$Q$247:$Q$283),0)</f>
        <v>0</v>
      </c>
      <c r="AL1867" s="196">
        <f>IFERROR($G1867/SUMIF($A:$A,$A1867,$G:$G)*(SUMIF(Summary!$A$247:$A$283,$A1867,Summary!$L$247:$L$283)+SUMIF(Summary!$A$297:$A$333,$A1867,Summary!$L$297:$L$333))-AK1867,0)</f>
        <v>0</v>
      </c>
      <c r="AM1867" s="198"/>
      <c r="AN1867" s="196">
        <f t="shared" ca="1" si="418"/>
        <v>0</v>
      </c>
      <c r="AO1867" s="196">
        <f t="shared" ca="1" si="419"/>
        <v>0</v>
      </c>
    </row>
    <row r="1868" spans="1:41" s="201" customFormat="1">
      <c r="A1868" s="189">
        <v>3646</v>
      </c>
      <c r="B1868" s="190">
        <v>4</v>
      </c>
      <c r="C1868" s="191" t="s">
        <v>235</v>
      </c>
      <c r="D1868" s="192">
        <f t="shared" si="406"/>
        <v>24</v>
      </c>
      <c r="E1868" s="192">
        <f t="shared" si="407"/>
        <v>0</v>
      </c>
      <c r="F1868" s="192">
        <f t="shared" si="408"/>
        <v>0</v>
      </c>
      <c r="G1868" s="193">
        <f t="shared" si="409"/>
        <v>24</v>
      </c>
      <c r="H1868" s="194">
        <v>24</v>
      </c>
      <c r="I1868" s="194">
        <v>0</v>
      </c>
      <c r="J1868" s="194">
        <v>0</v>
      </c>
      <c r="K1868" s="193">
        <f t="shared" si="410"/>
        <v>24</v>
      </c>
      <c r="L1868" s="194">
        <v>0</v>
      </c>
      <c r="M1868" s="194">
        <v>0</v>
      </c>
      <c r="N1868" s="194">
        <v>0</v>
      </c>
      <c r="O1868" s="193">
        <f t="shared" si="411"/>
        <v>0</v>
      </c>
      <c r="P1868" s="194">
        <v>0</v>
      </c>
      <c r="Q1868" s="194">
        <v>0</v>
      </c>
      <c r="R1868" s="194">
        <v>0</v>
      </c>
      <c r="S1868" s="193">
        <f t="shared" si="412"/>
        <v>0</v>
      </c>
      <c r="T1868" s="193">
        <f t="shared" si="413"/>
        <v>1.3333333333333333</v>
      </c>
      <c r="U1868" s="193">
        <f ca="1">OFFSET('Expenditure Study'!$B$7,'Operations Support'!$C1868,'Operations Support'!$B1868)*$G1868</f>
        <v>913.44</v>
      </c>
      <c r="V1868" s="199">
        <f ca="1">U1868*'Expenditure Study'!$B$31</f>
        <v>53968.940669952004</v>
      </c>
      <c r="W1868" s="199">
        <f ca="1">IF(A1868=10298,1.51,1)*IF($B1868&lt;3,$D1868*'Expenditure Study'!$B$32*OFFSET('Expenditure Study'!$B$7,'Operations Support'!$C1868,'Operations Support'!$B1868),0)</f>
        <v>0</v>
      </c>
      <c r="X1868" s="200">
        <f ca="1">W1868*'Expenditure Study'!$B$31</f>
        <v>0</v>
      </c>
      <c r="Y1868" s="199">
        <f ca="1">U1868*'Expenditure Study'!$B$31</f>
        <v>53968.940669952004</v>
      </c>
      <c r="Z1868" s="200">
        <f ca="1">W1868*'Expenditure Study'!$B$31</f>
        <v>0</v>
      </c>
      <c r="AA1868" s="195">
        <f t="shared" ca="1" si="414"/>
        <v>53968.940669952004</v>
      </c>
      <c r="AB1868" s="195">
        <f t="shared" ca="1" si="415"/>
        <v>53968.940669952004</v>
      </c>
      <c r="AD1868" s="196">
        <f>IFERROR($G1868/SUMIF($A:$A,$A1868,$G:$G)*SUMIF(Summary!$A$166:$A$242,$A1868,Summary!$P$166:$P$242),0)</f>
        <v>563.55843101976097</v>
      </c>
      <c r="AE1868" s="197">
        <f t="shared" ca="1" si="416"/>
        <v>53405.382238932245</v>
      </c>
      <c r="AF1868" s="196">
        <f>IFERROR(G1868/SUMIF(A:A,A1868,G:G)*SUMIF(Summary!$A$166:$A$242,'Operations Support'!A1868,Summary!$Q$166:$Q$242),0)</f>
        <v>564.75491042542399</v>
      </c>
      <c r="AG1868" s="196">
        <f t="shared" ca="1" si="417"/>
        <v>53404.185759526583</v>
      </c>
      <c r="AH1868" s="180"/>
      <c r="AI1868" s="196">
        <f>IFERROR($G1868/SUMIF($A:$A,$A1868,$G:$G)*SUMIF(Summary!$A$247:$A$283,$A1868,Summary!$P$247:$P$283),0)</f>
        <v>102.77899437412312</v>
      </c>
      <c r="AJ1868" s="196">
        <f>IFERROR($G1868/SUMIF($A:$A,$A1868,$G:$G)*(SUMIF(Summary!$A$247:$A$283,$A1868,Summary!$L$247:$L$283)+SUMIF(Summary!$A$297:$A$333,$A1868,Summary!$L$297:$L$333))-AI1868,0)</f>
        <v>368.351972877609</v>
      </c>
      <c r="AK1868" s="196">
        <f>IFERROR($G1868/SUMIF($A:$A,$A1868,$G:$G)*SUMIF(Summary!$A$247:$A$283,$A1868,Summary!$Q$247:$Q$283),0)</f>
        <v>102.99720235990532</v>
      </c>
      <c r="AL1868" s="196">
        <f>IFERROR($G1868/SUMIF($A:$A,$A1868,$G:$G)*(SUMIF(Summary!$A$247:$A$283,$A1868,Summary!$L$247:$L$283)+SUMIF(Summary!$A$297:$A$333,$A1868,Summary!$L$297:$L$333))-AK1868,0)</f>
        <v>368.13376489182679</v>
      </c>
      <c r="AM1868" s="198"/>
      <c r="AN1868" s="196">
        <f t="shared" ca="1" si="418"/>
        <v>53773.734211809853</v>
      </c>
      <c r="AO1868" s="196">
        <f t="shared" ca="1" si="419"/>
        <v>53772.31952441841</v>
      </c>
    </row>
    <row r="1869" spans="1:41">
      <c r="A1869" s="189">
        <v>3646</v>
      </c>
      <c r="B1869" s="190">
        <v>4</v>
      </c>
      <c r="C1869" s="191" t="s">
        <v>236</v>
      </c>
      <c r="D1869" s="192">
        <f t="shared" si="406"/>
        <v>0</v>
      </c>
      <c r="E1869" s="192">
        <f t="shared" si="407"/>
        <v>0</v>
      </c>
      <c r="F1869" s="192">
        <f t="shared" si="408"/>
        <v>0</v>
      </c>
      <c r="G1869" s="193">
        <f t="shared" si="409"/>
        <v>0</v>
      </c>
      <c r="H1869" s="194">
        <v>0</v>
      </c>
      <c r="I1869" s="194">
        <v>0</v>
      </c>
      <c r="J1869" s="194">
        <v>0</v>
      </c>
      <c r="K1869" s="193">
        <f t="shared" si="410"/>
        <v>0</v>
      </c>
      <c r="L1869" s="194">
        <v>0</v>
      </c>
      <c r="M1869" s="194">
        <v>0</v>
      </c>
      <c r="N1869" s="194">
        <v>0</v>
      </c>
      <c r="O1869" s="193">
        <f t="shared" si="411"/>
        <v>0</v>
      </c>
      <c r="P1869" s="194">
        <v>0</v>
      </c>
      <c r="Q1869" s="194">
        <v>0</v>
      </c>
      <c r="R1869" s="194">
        <v>0</v>
      </c>
      <c r="S1869" s="193">
        <f t="shared" si="412"/>
        <v>0</v>
      </c>
      <c r="T1869" s="193">
        <f t="shared" si="413"/>
        <v>0</v>
      </c>
      <c r="U1869" s="193">
        <f ca="1">OFFSET('Expenditure Study'!$B$7,'Operations Support'!$C1869,'Operations Support'!$B1869)*$G1869</f>
        <v>0</v>
      </c>
      <c r="V1869" s="199">
        <f ca="1">U1869*'Expenditure Study'!$B$31</f>
        <v>0</v>
      </c>
      <c r="W1869" s="199">
        <f ca="1">IF(A1869=10298,1.51,1)*IF($B1869&lt;3,$D1869*'Expenditure Study'!$B$32*OFFSET('Expenditure Study'!$B$7,'Operations Support'!$C1869,'Operations Support'!$B1869),0)</f>
        <v>0</v>
      </c>
      <c r="X1869" s="200">
        <f ca="1">W1869*'Expenditure Study'!$B$31</f>
        <v>0</v>
      </c>
      <c r="Y1869" s="199">
        <f ca="1">U1869*'Expenditure Study'!$B$31</f>
        <v>0</v>
      </c>
      <c r="Z1869" s="200">
        <f ca="1">W1869*'Expenditure Study'!$B$31</f>
        <v>0</v>
      </c>
      <c r="AA1869" s="195">
        <f t="shared" ca="1" si="414"/>
        <v>0</v>
      </c>
      <c r="AB1869" s="195">
        <f t="shared" ca="1" si="415"/>
        <v>0</v>
      </c>
      <c r="AD1869" s="196">
        <f>IFERROR($G1869/SUMIF($A:$A,$A1869,$G:$G)*SUMIF(Summary!$A$166:$A$242,$A1869,Summary!$P$166:$P$242),0)</f>
        <v>0</v>
      </c>
      <c r="AE1869" s="197">
        <f t="shared" ca="1" si="416"/>
        <v>0</v>
      </c>
      <c r="AF1869" s="196">
        <f>IFERROR(G1869/SUMIF(A:A,A1869,G:G)*SUMIF(Summary!$A$166:$A$242,'Operations Support'!A1869,Summary!$Q$166:$Q$242),0)</f>
        <v>0</v>
      </c>
      <c r="AG1869" s="196">
        <f t="shared" ca="1" si="417"/>
        <v>0</v>
      </c>
      <c r="AI1869" s="196">
        <f>IFERROR($G1869/SUMIF($A:$A,$A1869,$G:$G)*SUMIF(Summary!$A$247:$A$283,$A1869,Summary!$P$247:$P$283),0)</f>
        <v>0</v>
      </c>
      <c r="AJ1869" s="196">
        <f>IFERROR($G1869/SUMIF($A:$A,$A1869,$G:$G)*(SUMIF(Summary!$A$247:$A$283,$A1869,Summary!$L$247:$L$283)+SUMIF(Summary!$A$297:$A$333,$A1869,Summary!$L$297:$L$333))-AI1869,0)</f>
        <v>0</v>
      </c>
      <c r="AK1869" s="196">
        <f>IFERROR($G1869/SUMIF($A:$A,$A1869,$G:$G)*SUMIF(Summary!$A$247:$A$283,$A1869,Summary!$Q$247:$Q$283),0)</f>
        <v>0</v>
      </c>
      <c r="AL1869" s="196">
        <f>IFERROR($G1869/SUMIF($A:$A,$A1869,$G:$G)*(SUMIF(Summary!$A$247:$A$283,$A1869,Summary!$L$247:$L$283)+SUMIF(Summary!$A$297:$A$333,$A1869,Summary!$L$297:$L$333))-AK1869,0)</f>
        <v>0</v>
      </c>
      <c r="AM1869" s="198"/>
      <c r="AN1869" s="196">
        <f t="shared" ca="1" si="418"/>
        <v>0</v>
      </c>
      <c r="AO1869" s="196">
        <f t="shared" ca="1" si="419"/>
        <v>0</v>
      </c>
    </row>
    <row r="1870" spans="1:41">
      <c r="A1870" s="189">
        <v>3646</v>
      </c>
      <c r="B1870" s="190">
        <v>4</v>
      </c>
      <c r="C1870" s="191" t="s">
        <v>237</v>
      </c>
      <c r="D1870" s="192">
        <f t="shared" si="406"/>
        <v>0</v>
      </c>
      <c r="E1870" s="192">
        <f t="shared" si="407"/>
        <v>0</v>
      </c>
      <c r="F1870" s="192">
        <f t="shared" si="408"/>
        <v>0</v>
      </c>
      <c r="G1870" s="193">
        <f t="shared" si="409"/>
        <v>0</v>
      </c>
      <c r="H1870" s="194">
        <v>0</v>
      </c>
      <c r="I1870" s="194">
        <v>0</v>
      </c>
      <c r="J1870" s="194">
        <v>0</v>
      </c>
      <c r="K1870" s="193">
        <f t="shared" si="410"/>
        <v>0</v>
      </c>
      <c r="L1870" s="194">
        <v>0</v>
      </c>
      <c r="M1870" s="194">
        <v>0</v>
      </c>
      <c r="N1870" s="194">
        <v>0</v>
      </c>
      <c r="O1870" s="193">
        <f t="shared" si="411"/>
        <v>0</v>
      </c>
      <c r="P1870" s="194">
        <v>0</v>
      </c>
      <c r="Q1870" s="194">
        <v>0</v>
      </c>
      <c r="R1870" s="194">
        <v>0</v>
      </c>
      <c r="S1870" s="193">
        <f t="shared" si="412"/>
        <v>0</v>
      </c>
      <c r="T1870" s="193">
        <f t="shared" si="413"/>
        <v>0</v>
      </c>
      <c r="U1870" s="193">
        <f ca="1">OFFSET('Expenditure Study'!$B$7,'Operations Support'!$C1870,'Operations Support'!$B1870)*$G1870</f>
        <v>0</v>
      </c>
      <c r="V1870" s="199">
        <f ca="1">U1870*'Expenditure Study'!$B$31</f>
        <v>0</v>
      </c>
      <c r="W1870" s="199">
        <f ca="1">IF(A1870=10298,1.51,1)*IF($B1870&lt;3,$D1870*'Expenditure Study'!$B$32*OFFSET('Expenditure Study'!$B$7,'Operations Support'!$C1870,'Operations Support'!$B1870),0)</f>
        <v>0</v>
      </c>
      <c r="X1870" s="200">
        <f ca="1">W1870*'Expenditure Study'!$B$31</f>
        <v>0</v>
      </c>
      <c r="Y1870" s="199">
        <f ca="1">U1870*'Expenditure Study'!$B$31</f>
        <v>0</v>
      </c>
      <c r="Z1870" s="200">
        <f ca="1">W1870*'Expenditure Study'!$B$31</f>
        <v>0</v>
      </c>
      <c r="AA1870" s="195">
        <f t="shared" ca="1" si="414"/>
        <v>0</v>
      </c>
      <c r="AB1870" s="195">
        <f t="shared" ca="1" si="415"/>
        <v>0</v>
      </c>
      <c r="AD1870" s="196">
        <f>IFERROR($G1870/SUMIF($A:$A,$A1870,$G:$G)*SUMIF(Summary!$A$166:$A$242,$A1870,Summary!$P$166:$P$242),0)</f>
        <v>0</v>
      </c>
      <c r="AE1870" s="197">
        <f t="shared" ca="1" si="416"/>
        <v>0</v>
      </c>
      <c r="AF1870" s="196">
        <f>IFERROR(G1870/SUMIF(A:A,A1870,G:G)*SUMIF(Summary!$A$166:$A$242,'Operations Support'!A1870,Summary!$Q$166:$Q$242),0)</f>
        <v>0</v>
      </c>
      <c r="AG1870" s="196">
        <f t="shared" ca="1" si="417"/>
        <v>0</v>
      </c>
      <c r="AI1870" s="196">
        <f>IFERROR($G1870/SUMIF($A:$A,$A1870,$G:$G)*SUMIF(Summary!$A$247:$A$283,$A1870,Summary!$P$247:$P$283),0)</f>
        <v>0</v>
      </c>
      <c r="AJ1870" s="196">
        <f>IFERROR($G1870/SUMIF($A:$A,$A1870,$G:$G)*(SUMIF(Summary!$A$247:$A$283,$A1870,Summary!$L$247:$L$283)+SUMIF(Summary!$A$297:$A$333,$A1870,Summary!$L$297:$L$333))-AI1870,0)</f>
        <v>0</v>
      </c>
      <c r="AK1870" s="196">
        <f>IFERROR($G1870/SUMIF($A:$A,$A1870,$G:$G)*SUMIF(Summary!$A$247:$A$283,$A1870,Summary!$Q$247:$Q$283),0)</f>
        <v>0</v>
      </c>
      <c r="AL1870" s="196">
        <f>IFERROR($G1870/SUMIF($A:$A,$A1870,$G:$G)*(SUMIF(Summary!$A$247:$A$283,$A1870,Summary!$L$247:$L$283)+SUMIF(Summary!$A$297:$A$333,$A1870,Summary!$L$297:$L$333))-AK1870,0)</f>
        <v>0</v>
      </c>
      <c r="AM1870" s="198"/>
      <c r="AN1870" s="196">
        <f t="shared" ca="1" si="418"/>
        <v>0</v>
      </c>
      <c r="AO1870" s="196">
        <f t="shared" ca="1" si="419"/>
        <v>0</v>
      </c>
    </row>
    <row r="1871" spans="1:41">
      <c r="A1871" s="189">
        <v>3646</v>
      </c>
      <c r="B1871" s="190">
        <v>4</v>
      </c>
      <c r="C1871" s="191" t="s">
        <v>238</v>
      </c>
      <c r="D1871" s="192">
        <f t="shared" si="406"/>
        <v>0</v>
      </c>
      <c r="E1871" s="192">
        <f t="shared" si="407"/>
        <v>6</v>
      </c>
      <c r="F1871" s="192">
        <f t="shared" si="408"/>
        <v>0</v>
      </c>
      <c r="G1871" s="193">
        <f t="shared" si="409"/>
        <v>6</v>
      </c>
      <c r="H1871" s="194">
        <v>0</v>
      </c>
      <c r="I1871" s="194">
        <v>0</v>
      </c>
      <c r="J1871" s="194">
        <v>0</v>
      </c>
      <c r="K1871" s="193">
        <f t="shared" si="410"/>
        <v>0</v>
      </c>
      <c r="L1871" s="194">
        <v>0</v>
      </c>
      <c r="M1871" s="194">
        <v>6</v>
      </c>
      <c r="N1871" s="194">
        <v>0</v>
      </c>
      <c r="O1871" s="193">
        <f t="shared" si="411"/>
        <v>6</v>
      </c>
      <c r="P1871" s="194">
        <v>0</v>
      </c>
      <c r="Q1871" s="194">
        <v>0</v>
      </c>
      <c r="R1871" s="194">
        <v>0</v>
      </c>
      <c r="S1871" s="193">
        <f t="shared" si="412"/>
        <v>0</v>
      </c>
      <c r="T1871" s="193">
        <f t="shared" si="413"/>
        <v>0.33333333333333331</v>
      </c>
      <c r="U1871" s="193">
        <f ca="1">OFFSET('Expenditure Study'!$B$7,'Operations Support'!$C1871,'Operations Support'!$B1871)*$G1871</f>
        <v>94.62</v>
      </c>
      <c r="V1871" s="199">
        <f ca="1">U1871*'Expenditure Study'!$B$31</f>
        <v>5590.4505672960004</v>
      </c>
      <c r="W1871" s="199">
        <f ca="1">IF(A1871=10298,1.51,1)*IF($B1871&lt;3,$D1871*'Expenditure Study'!$B$32*OFFSET('Expenditure Study'!$B$7,'Operations Support'!$C1871,'Operations Support'!$B1871),0)</f>
        <v>0</v>
      </c>
      <c r="X1871" s="200">
        <f ca="1">W1871*'Expenditure Study'!$B$31</f>
        <v>0</v>
      </c>
      <c r="Y1871" s="199">
        <f ca="1">U1871*'Expenditure Study'!$B$31</f>
        <v>5590.4505672960004</v>
      </c>
      <c r="Z1871" s="200">
        <f ca="1">W1871*'Expenditure Study'!$B$31</f>
        <v>0</v>
      </c>
      <c r="AA1871" s="195">
        <f t="shared" ca="1" si="414"/>
        <v>5590.4505672960004</v>
      </c>
      <c r="AB1871" s="195">
        <f t="shared" ca="1" si="415"/>
        <v>5590.4505672960004</v>
      </c>
      <c r="AD1871" s="196">
        <f>IFERROR($G1871/SUMIF($A:$A,$A1871,$G:$G)*SUMIF(Summary!$A$166:$A$242,$A1871,Summary!$P$166:$P$242),0)</f>
        <v>140.88960775494024</v>
      </c>
      <c r="AE1871" s="197">
        <f t="shared" ca="1" si="416"/>
        <v>5449.5609595410606</v>
      </c>
      <c r="AF1871" s="196">
        <f>IFERROR(G1871/SUMIF(A:A,A1871,G:G)*SUMIF(Summary!$A$166:$A$242,'Operations Support'!A1871,Summary!$Q$166:$Q$242),0)</f>
        <v>141.188727606356</v>
      </c>
      <c r="AG1871" s="196">
        <f t="shared" ca="1" si="417"/>
        <v>5449.2618396896441</v>
      </c>
      <c r="AI1871" s="196">
        <f>IFERROR($G1871/SUMIF($A:$A,$A1871,$G:$G)*SUMIF(Summary!$A$247:$A$283,$A1871,Summary!$P$247:$P$283),0)</f>
        <v>25.694748593530779</v>
      </c>
      <c r="AJ1871" s="196">
        <f>IFERROR($G1871/SUMIF($A:$A,$A1871,$G:$G)*(SUMIF(Summary!$A$247:$A$283,$A1871,Summary!$L$247:$L$283)+SUMIF(Summary!$A$297:$A$333,$A1871,Summary!$L$297:$L$333))-AI1871,0)</f>
        <v>92.08799321940225</v>
      </c>
      <c r="AK1871" s="196">
        <f>IFERROR($G1871/SUMIF($A:$A,$A1871,$G:$G)*SUMIF(Summary!$A$247:$A$283,$A1871,Summary!$Q$247:$Q$283),0)</f>
        <v>25.749300589976329</v>
      </c>
      <c r="AL1871" s="196">
        <f>IFERROR($G1871/SUMIF($A:$A,$A1871,$G:$G)*(SUMIF(Summary!$A$247:$A$283,$A1871,Summary!$L$247:$L$283)+SUMIF(Summary!$A$297:$A$333,$A1871,Summary!$L$297:$L$333))-AK1871,0)</f>
        <v>92.033441222956696</v>
      </c>
      <c r="AM1871" s="198"/>
      <c r="AN1871" s="196">
        <f t="shared" ca="1" si="418"/>
        <v>5541.6489527604626</v>
      </c>
      <c r="AO1871" s="196">
        <f t="shared" ca="1" si="419"/>
        <v>5541.2952809126009</v>
      </c>
    </row>
    <row r="1872" spans="1:41">
      <c r="A1872" s="189">
        <v>3646</v>
      </c>
      <c r="B1872" s="190">
        <v>4</v>
      </c>
      <c r="C1872" s="191" t="s">
        <v>239</v>
      </c>
      <c r="D1872" s="192">
        <f t="shared" si="406"/>
        <v>1164.1500000000001</v>
      </c>
      <c r="E1872" s="192">
        <f t="shared" si="407"/>
        <v>437.85</v>
      </c>
      <c r="F1872" s="192">
        <f t="shared" si="408"/>
        <v>0</v>
      </c>
      <c r="G1872" s="193">
        <f t="shared" si="409"/>
        <v>1602</v>
      </c>
      <c r="H1872" s="194">
        <v>433.5</v>
      </c>
      <c r="I1872" s="194">
        <v>165.5</v>
      </c>
      <c r="J1872" s="194">
        <v>0</v>
      </c>
      <c r="K1872" s="193">
        <f t="shared" si="410"/>
        <v>599</v>
      </c>
      <c r="L1872" s="194">
        <v>424.5</v>
      </c>
      <c r="M1872" s="194">
        <v>163.5</v>
      </c>
      <c r="N1872" s="194">
        <v>0</v>
      </c>
      <c r="O1872" s="193">
        <f t="shared" si="411"/>
        <v>588</v>
      </c>
      <c r="P1872" s="194">
        <v>306.14999999999998</v>
      </c>
      <c r="Q1872" s="194">
        <v>108.85</v>
      </c>
      <c r="R1872" s="194">
        <v>0</v>
      </c>
      <c r="S1872" s="193">
        <f t="shared" si="412"/>
        <v>415</v>
      </c>
      <c r="T1872" s="193">
        <f t="shared" si="413"/>
        <v>89</v>
      </c>
      <c r="U1872" s="193">
        <f ca="1">OFFSET('Expenditure Study'!$B$7,'Operations Support'!$C1872,'Operations Support'!$B1872)*$G1872</f>
        <v>14690.34</v>
      </c>
      <c r="V1872" s="199">
        <f ca="1">U1872*'Expenditure Study'!$B$31</f>
        <v>867952.01423347206</v>
      </c>
      <c r="W1872" s="199">
        <f ca="1">IF(A1872=10298,1.51,1)*IF($B1872&lt;3,$D1872*'Expenditure Study'!$B$32*OFFSET('Expenditure Study'!$B$7,'Operations Support'!$C1872,'Operations Support'!$B1872),0)</f>
        <v>0</v>
      </c>
      <c r="X1872" s="200">
        <f ca="1">W1872*'Expenditure Study'!$B$31</f>
        <v>0</v>
      </c>
      <c r="Y1872" s="199">
        <f ca="1">U1872*'Expenditure Study'!$B$31</f>
        <v>867952.01423347206</v>
      </c>
      <c r="Z1872" s="200">
        <f ca="1">W1872*'Expenditure Study'!$B$31</f>
        <v>0</v>
      </c>
      <c r="AA1872" s="195">
        <f t="shared" ca="1" si="414"/>
        <v>867952.01423347206</v>
      </c>
      <c r="AB1872" s="195">
        <f t="shared" ca="1" si="415"/>
        <v>867952.01423347206</v>
      </c>
      <c r="AD1872" s="196">
        <f>IFERROR($G1872/SUMIF($A:$A,$A1872,$G:$G)*SUMIF(Summary!$A$166:$A$242,$A1872,Summary!$P$166:$P$242),0)</f>
        <v>37617.525270569044</v>
      </c>
      <c r="AE1872" s="197">
        <f t="shared" ca="1" si="416"/>
        <v>830334.48896290304</v>
      </c>
      <c r="AF1872" s="196">
        <f>IFERROR(G1872/SUMIF(A:A,A1872,G:G)*SUMIF(Summary!$A$166:$A$242,'Operations Support'!A1872,Summary!$Q$166:$Q$242),0)</f>
        <v>37697.390270897056</v>
      </c>
      <c r="AG1872" s="196">
        <f t="shared" ca="1" si="417"/>
        <v>830254.62396257499</v>
      </c>
      <c r="AI1872" s="196">
        <f>IFERROR($G1872/SUMIF($A:$A,$A1872,$G:$G)*SUMIF(Summary!$A$247:$A$283,$A1872,Summary!$P$247:$P$283),0)</f>
        <v>6860.4978744727186</v>
      </c>
      <c r="AJ1872" s="196">
        <f>IFERROR($G1872/SUMIF($A:$A,$A1872,$G:$G)*(SUMIF(Summary!$A$247:$A$283,$A1872,Summary!$L$247:$L$283)+SUMIF(Summary!$A$297:$A$333,$A1872,Summary!$L$297:$L$333))-AI1872,0)</f>
        <v>24587.4941895804</v>
      </c>
      <c r="AK1872" s="196">
        <f>IFERROR($G1872/SUMIF($A:$A,$A1872,$G:$G)*SUMIF(Summary!$A$247:$A$283,$A1872,Summary!$Q$247:$Q$283),0)</f>
        <v>6875.0632575236805</v>
      </c>
      <c r="AL1872" s="196">
        <f>IFERROR($G1872/SUMIF($A:$A,$A1872,$G:$G)*(SUMIF(Summary!$A$247:$A$283,$A1872,Summary!$L$247:$L$283)+SUMIF(Summary!$A$297:$A$333,$A1872,Summary!$L$297:$L$333))-AK1872,0)</f>
        <v>24572.928806529439</v>
      </c>
      <c r="AM1872" s="198"/>
      <c r="AN1872" s="196">
        <f t="shared" ca="1" si="418"/>
        <v>854921.98315248347</v>
      </c>
      <c r="AO1872" s="196">
        <f t="shared" ca="1" si="419"/>
        <v>854827.55276910448</v>
      </c>
    </row>
    <row r="1873" spans="1:41">
      <c r="A1873" s="189">
        <v>3646</v>
      </c>
      <c r="B1873" s="190">
        <v>4</v>
      </c>
      <c r="C1873" s="191" t="s">
        <v>240</v>
      </c>
      <c r="D1873" s="192">
        <f t="shared" si="406"/>
        <v>0</v>
      </c>
      <c r="E1873" s="192">
        <f t="shared" si="407"/>
        <v>0</v>
      </c>
      <c r="F1873" s="192">
        <f t="shared" si="408"/>
        <v>0</v>
      </c>
      <c r="G1873" s="193">
        <f t="shared" si="409"/>
        <v>0</v>
      </c>
      <c r="H1873" s="194">
        <v>0</v>
      </c>
      <c r="I1873" s="194">
        <v>0</v>
      </c>
      <c r="J1873" s="194">
        <v>0</v>
      </c>
      <c r="K1873" s="193">
        <f t="shared" si="410"/>
        <v>0</v>
      </c>
      <c r="L1873" s="194">
        <v>0</v>
      </c>
      <c r="M1873" s="194">
        <v>0</v>
      </c>
      <c r="N1873" s="194">
        <v>0</v>
      </c>
      <c r="O1873" s="193">
        <f t="shared" si="411"/>
        <v>0</v>
      </c>
      <c r="P1873" s="194">
        <v>0</v>
      </c>
      <c r="Q1873" s="194">
        <v>0</v>
      </c>
      <c r="R1873" s="194">
        <v>0</v>
      </c>
      <c r="S1873" s="193">
        <f t="shared" si="412"/>
        <v>0</v>
      </c>
      <c r="T1873" s="193">
        <f t="shared" si="413"/>
        <v>0</v>
      </c>
      <c r="U1873" s="193">
        <f ca="1">OFFSET('Expenditure Study'!$B$7,'Operations Support'!$C1873,'Operations Support'!$B1873)*$G1873</f>
        <v>0</v>
      </c>
      <c r="V1873" s="199">
        <f ca="1">U1873*'Expenditure Study'!$B$31</f>
        <v>0</v>
      </c>
      <c r="W1873" s="199">
        <f ca="1">IF(A1873=10298,1.51,1)*IF($B1873&lt;3,$D1873*'Expenditure Study'!$B$32*OFFSET('Expenditure Study'!$B$7,'Operations Support'!$C1873,'Operations Support'!$B1873),0)</f>
        <v>0</v>
      </c>
      <c r="X1873" s="200">
        <f ca="1">W1873*'Expenditure Study'!$B$31</f>
        <v>0</v>
      </c>
      <c r="Y1873" s="199">
        <f ca="1">U1873*'Expenditure Study'!$B$31</f>
        <v>0</v>
      </c>
      <c r="Z1873" s="200">
        <f ca="1">W1873*'Expenditure Study'!$B$31</f>
        <v>0</v>
      </c>
      <c r="AA1873" s="195">
        <f t="shared" ca="1" si="414"/>
        <v>0</v>
      </c>
      <c r="AB1873" s="195">
        <f t="shared" ca="1" si="415"/>
        <v>0</v>
      </c>
      <c r="AD1873" s="196">
        <f>IFERROR($G1873/SUMIF($A:$A,$A1873,$G:$G)*SUMIF(Summary!$A$166:$A$242,$A1873,Summary!$P$166:$P$242),0)</f>
        <v>0</v>
      </c>
      <c r="AE1873" s="197">
        <f t="shared" ca="1" si="416"/>
        <v>0</v>
      </c>
      <c r="AF1873" s="196">
        <f>IFERROR(G1873/SUMIF(A:A,A1873,G:G)*SUMIF(Summary!$A$166:$A$242,'Operations Support'!A1873,Summary!$Q$166:$Q$242),0)</f>
        <v>0</v>
      </c>
      <c r="AG1873" s="196">
        <f t="shared" ca="1" si="417"/>
        <v>0</v>
      </c>
      <c r="AI1873" s="196">
        <f>IFERROR($G1873/SUMIF($A:$A,$A1873,$G:$G)*SUMIF(Summary!$A$247:$A$283,$A1873,Summary!$P$247:$P$283),0)</f>
        <v>0</v>
      </c>
      <c r="AJ1873" s="196">
        <f>IFERROR($G1873/SUMIF($A:$A,$A1873,$G:$G)*(SUMIF(Summary!$A$247:$A$283,$A1873,Summary!$L$247:$L$283)+SUMIF(Summary!$A$297:$A$333,$A1873,Summary!$L$297:$L$333))-AI1873,0)</f>
        <v>0</v>
      </c>
      <c r="AK1873" s="196">
        <f>IFERROR($G1873/SUMIF($A:$A,$A1873,$G:$G)*SUMIF(Summary!$A$247:$A$283,$A1873,Summary!$Q$247:$Q$283),0)</f>
        <v>0</v>
      </c>
      <c r="AL1873" s="196">
        <f>IFERROR($G1873/SUMIF($A:$A,$A1873,$G:$G)*(SUMIF(Summary!$A$247:$A$283,$A1873,Summary!$L$247:$L$283)+SUMIF(Summary!$A$297:$A$333,$A1873,Summary!$L$297:$L$333))-AK1873,0)</f>
        <v>0</v>
      </c>
      <c r="AM1873" s="198"/>
      <c r="AN1873" s="196">
        <f t="shared" ca="1" si="418"/>
        <v>0</v>
      </c>
      <c r="AO1873" s="196">
        <f t="shared" ca="1" si="419"/>
        <v>0</v>
      </c>
    </row>
    <row r="1874" spans="1:41">
      <c r="A1874" s="189">
        <v>3646</v>
      </c>
      <c r="B1874" s="190">
        <v>5</v>
      </c>
      <c r="C1874" s="191" t="s">
        <v>220</v>
      </c>
      <c r="D1874" s="192">
        <f t="shared" si="406"/>
        <v>0</v>
      </c>
      <c r="E1874" s="192">
        <f t="shared" si="407"/>
        <v>0</v>
      </c>
      <c r="F1874" s="192">
        <f t="shared" si="408"/>
        <v>0</v>
      </c>
      <c r="G1874" s="193">
        <f t="shared" si="409"/>
        <v>0</v>
      </c>
      <c r="H1874" s="194">
        <v>0</v>
      </c>
      <c r="I1874" s="194">
        <v>0</v>
      </c>
      <c r="J1874" s="194">
        <v>0</v>
      </c>
      <c r="K1874" s="193">
        <f t="shared" si="410"/>
        <v>0</v>
      </c>
      <c r="L1874" s="194">
        <v>0</v>
      </c>
      <c r="M1874" s="194">
        <v>0</v>
      </c>
      <c r="N1874" s="194">
        <v>0</v>
      </c>
      <c r="O1874" s="193">
        <f t="shared" si="411"/>
        <v>0</v>
      </c>
      <c r="P1874" s="194">
        <v>0</v>
      </c>
      <c r="Q1874" s="194">
        <v>0</v>
      </c>
      <c r="R1874" s="194">
        <v>0</v>
      </c>
      <c r="S1874" s="193">
        <f t="shared" si="412"/>
        <v>0</v>
      </c>
      <c r="T1874" s="193">
        <f t="shared" si="413"/>
        <v>0</v>
      </c>
      <c r="U1874" s="193">
        <f ca="1">OFFSET('Expenditure Study'!$B$7,'Operations Support'!$C1874,'Operations Support'!$B1874)*$G1874</f>
        <v>0</v>
      </c>
      <c r="V1874" s="199">
        <f ca="1">U1874*'Expenditure Study'!$B$31</f>
        <v>0</v>
      </c>
      <c r="W1874" s="199">
        <f ca="1">IF(A1874=10298,1.51,1)*IF($B1874&lt;3,$D1874*'Expenditure Study'!$B$32*OFFSET('Expenditure Study'!$B$7,'Operations Support'!$C1874,'Operations Support'!$B1874),0)</f>
        <v>0</v>
      </c>
      <c r="X1874" s="200">
        <f ca="1">W1874*'Expenditure Study'!$B$31</f>
        <v>0</v>
      </c>
      <c r="Y1874" s="199">
        <f ca="1">U1874*'Expenditure Study'!$B$31</f>
        <v>0</v>
      </c>
      <c r="Z1874" s="200">
        <f ca="1">W1874*'Expenditure Study'!$B$31</f>
        <v>0</v>
      </c>
      <c r="AA1874" s="195">
        <f t="shared" ca="1" si="414"/>
        <v>0</v>
      </c>
      <c r="AB1874" s="195">
        <f t="shared" ca="1" si="415"/>
        <v>0</v>
      </c>
      <c r="AD1874" s="196">
        <f>IFERROR($G1874/SUMIF($A:$A,$A1874,$G:$G)*SUMIF(Summary!$A$166:$A$242,$A1874,Summary!$P$166:$P$242),0)</f>
        <v>0</v>
      </c>
      <c r="AE1874" s="197">
        <f t="shared" ca="1" si="416"/>
        <v>0</v>
      </c>
      <c r="AF1874" s="196">
        <f>IFERROR(G1874/SUMIF(A:A,A1874,G:G)*SUMIF(Summary!$A$166:$A$242,'Operations Support'!A1874,Summary!$Q$166:$Q$242),0)</f>
        <v>0</v>
      </c>
      <c r="AG1874" s="196">
        <f t="shared" ca="1" si="417"/>
        <v>0</v>
      </c>
      <c r="AI1874" s="196">
        <f>IFERROR($G1874/SUMIF($A:$A,$A1874,$G:$G)*SUMIF(Summary!$A$247:$A$283,$A1874,Summary!$P$247:$P$283),0)</f>
        <v>0</v>
      </c>
      <c r="AJ1874" s="196">
        <f>IFERROR($G1874/SUMIF($A:$A,$A1874,$G:$G)*(SUMIF(Summary!$A$247:$A$283,$A1874,Summary!$L$247:$L$283)+SUMIF(Summary!$A$297:$A$333,$A1874,Summary!$L$297:$L$333))-AI1874,0)</f>
        <v>0</v>
      </c>
      <c r="AK1874" s="196">
        <f>IFERROR($G1874/SUMIF($A:$A,$A1874,$G:$G)*SUMIF(Summary!$A$247:$A$283,$A1874,Summary!$Q$247:$Q$283),0)</f>
        <v>0</v>
      </c>
      <c r="AL1874" s="196">
        <f>IFERROR($G1874/SUMIF($A:$A,$A1874,$G:$G)*(SUMIF(Summary!$A$247:$A$283,$A1874,Summary!$L$247:$L$283)+SUMIF(Summary!$A$297:$A$333,$A1874,Summary!$L$297:$L$333))-AK1874,0)</f>
        <v>0</v>
      </c>
      <c r="AM1874" s="198"/>
      <c r="AN1874" s="196">
        <f t="shared" ca="1" si="418"/>
        <v>0</v>
      </c>
      <c r="AO1874" s="196">
        <f t="shared" ca="1" si="419"/>
        <v>0</v>
      </c>
    </row>
    <row r="1875" spans="1:41">
      <c r="A1875" s="189">
        <v>3646</v>
      </c>
      <c r="B1875" s="190">
        <v>5</v>
      </c>
      <c r="C1875" s="191" t="s">
        <v>221</v>
      </c>
      <c r="D1875" s="192">
        <f t="shared" si="406"/>
        <v>0</v>
      </c>
      <c r="E1875" s="192">
        <f t="shared" si="407"/>
        <v>0</v>
      </c>
      <c r="F1875" s="192">
        <f t="shared" si="408"/>
        <v>0</v>
      </c>
      <c r="G1875" s="193">
        <f t="shared" si="409"/>
        <v>0</v>
      </c>
      <c r="H1875" s="194">
        <v>0</v>
      </c>
      <c r="I1875" s="194">
        <v>0</v>
      </c>
      <c r="J1875" s="194">
        <v>0</v>
      </c>
      <c r="K1875" s="193">
        <f t="shared" si="410"/>
        <v>0</v>
      </c>
      <c r="L1875" s="194">
        <v>0</v>
      </c>
      <c r="M1875" s="194">
        <v>0</v>
      </c>
      <c r="N1875" s="194">
        <v>0</v>
      </c>
      <c r="O1875" s="193">
        <f t="shared" si="411"/>
        <v>0</v>
      </c>
      <c r="P1875" s="194">
        <v>0</v>
      </c>
      <c r="Q1875" s="194">
        <v>0</v>
      </c>
      <c r="R1875" s="194">
        <v>0</v>
      </c>
      <c r="S1875" s="193">
        <f t="shared" si="412"/>
        <v>0</v>
      </c>
      <c r="T1875" s="193">
        <f t="shared" si="413"/>
        <v>0</v>
      </c>
      <c r="U1875" s="193">
        <f ca="1">OFFSET('Expenditure Study'!$B$7,'Operations Support'!$C1875,'Operations Support'!$B1875)*$G1875</f>
        <v>0</v>
      </c>
      <c r="V1875" s="199">
        <f ca="1">U1875*'Expenditure Study'!$B$31</f>
        <v>0</v>
      </c>
      <c r="W1875" s="199">
        <f ca="1">IF(A1875=10298,1.51,1)*IF($B1875&lt;3,$D1875*'Expenditure Study'!$B$32*OFFSET('Expenditure Study'!$B$7,'Operations Support'!$C1875,'Operations Support'!$B1875),0)</f>
        <v>0</v>
      </c>
      <c r="X1875" s="200">
        <f ca="1">W1875*'Expenditure Study'!$B$31</f>
        <v>0</v>
      </c>
      <c r="Y1875" s="199">
        <f ca="1">U1875*'Expenditure Study'!$B$31</f>
        <v>0</v>
      </c>
      <c r="Z1875" s="200">
        <f ca="1">W1875*'Expenditure Study'!$B$31</f>
        <v>0</v>
      </c>
      <c r="AA1875" s="195">
        <f t="shared" ca="1" si="414"/>
        <v>0</v>
      </c>
      <c r="AB1875" s="195">
        <f t="shared" ca="1" si="415"/>
        <v>0</v>
      </c>
      <c r="AD1875" s="196">
        <f>IFERROR($G1875/SUMIF($A:$A,$A1875,$G:$G)*SUMIF(Summary!$A$166:$A$242,$A1875,Summary!$P$166:$P$242),0)</f>
        <v>0</v>
      </c>
      <c r="AE1875" s="197">
        <f t="shared" ca="1" si="416"/>
        <v>0</v>
      </c>
      <c r="AF1875" s="196">
        <f>IFERROR(G1875/SUMIF(A:A,A1875,G:G)*SUMIF(Summary!$A$166:$A$242,'Operations Support'!A1875,Summary!$Q$166:$Q$242),0)</f>
        <v>0</v>
      </c>
      <c r="AG1875" s="196">
        <f t="shared" ca="1" si="417"/>
        <v>0</v>
      </c>
      <c r="AI1875" s="196">
        <f>IFERROR($G1875/SUMIF($A:$A,$A1875,$G:$G)*SUMIF(Summary!$A$247:$A$283,$A1875,Summary!$P$247:$P$283),0)</f>
        <v>0</v>
      </c>
      <c r="AJ1875" s="196">
        <f>IFERROR($G1875/SUMIF($A:$A,$A1875,$G:$G)*(SUMIF(Summary!$A$247:$A$283,$A1875,Summary!$L$247:$L$283)+SUMIF(Summary!$A$297:$A$333,$A1875,Summary!$L$297:$L$333))-AI1875,0)</f>
        <v>0</v>
      </c>
      <c r="AK1875" s="196">
        <f>IFERROR($G1875/SUMIF($A:$A,$A1875,$G:$G)*SUMIF(Summary!$A$247:$A$283,$A1875,Summary!$Q$247:$Q$283),0)</f>
        <v>0</v>
      </c>
      <c r="AL1875" s="196">
        <f>IFERROR($G1875/SUMIF($A:$A,$A1875,$G:$G)*(SUMIF(Summary!$A$247:$A$283,$A1875,Summary!$L$247:$L$283)+SUMIF(Summary!$A$297:$A$333,$A1875,Summary!$L$297:$L$333))-AK1875,0)</f>
        <v>0</v>
      </c>
      <c r="AM1875" s="198"/>
      <c r="AN1875" s="196">
        <f t="shared" ca="1" si="418"/>
        <v>0</v>
      </c>
      <c r="AO1875" s="196">
        <f t="shared" ca="1" si="419"/>
        <v>0</v>
      </c>
    </row>
    <row r="1876" spans="1:41">
      <c r="A1876" s="189">
        <v>3646</v>
      </c>
      <c r="B1876" s="190">
        <v>5</v>
      </c>
      <c r="C1876" s="191" t="s">
        <v>222</v>
      </c>
      <c r="D1876" s="192">
        <f t="shared" si="406"/>
        <v>0</v>
      </c>
      <c r="E1876" s="192">
        <f t="shared" si="407"/>
        <v>0</v>
      </c>
      <c r="F1876" s="192">
        <f t="shared" si="408"/>
        <v>0</v>
      </c>
      <c r="G1876" s="193">
        <f t="shared" si="409"/>
        <v>0</v>
      </c>
      <c r="H1876" s="194">
        <v>0</v>
      </c>
      <c r="I1876" s="194">
        <v>0</v>
      </c>
      <c r="J1876" s="194">
        <v>0</v>
      </c>
      <c r="K1876" s="193">
        <f t="shared" si="410"/>
        <v>0</v>
      </c>
      <c r="L1876" s="194">
        <v>0</v>
      </c>
      <c r="M1876" s="194">
        <v>0</v>
      </c>
      <c r="N1876" s="194">
        <v>0</v>
      </c>
      <c r="O1876" s="193">
        <f t="shared" si="411"/>
        <v>0</v>
      </c>
      <c r="P1876" s="194">
        <v>0</v>
      </c>
      <c r="Q1876" s="194">
        <v>0</v>
      </c>
      <c r="R1876" s="194">
        <v>0</v>
      </c>
      <c r="S1876" s="193">
        <f t="shared" si="412"/>
        <v>0</v>
      </c>
      <c r="T1876" s="193">
        <f t="shared" si="413"/>
        <v>0</v>
      </c>
      <c r="U1876" s="193">
        <f ca="1">OFFSET('Expenditure Study'!$B$7,'Operations Support'!$C1876,'Operations Support'!$B1876)*$G1876</f>
        <v>0</v>
      </c>
      <c r="V1876" s="199">
        <f ca="1">U1876*'Expenditure Study'!$B$31</f>
        <v>0</v>
      </c>
      <c r="W1876" s="199">
        <f ca="1">IF(A1876=10298,1.51,1)*IF($B1876&lt;3,$D1876*'Expenditure Study'!$B$32*OFFSET('Expenditure Study'!$B$7,'Operations Support'!$C1876,'Operations Support'!$B1876),0)</f>
        <v>0</v>
      </c>
      <c r="X1876" s="200">
        <f ca="1">W1876*'Expenditure Study'!$B$31</f>
        <v>0</v>
      </c>
      <c r="Y1876" s="199">
        <f ca="1">U1876*'Expenditure Study'!$B$31</f>
        <v>0</v>
      </c>
      <c r="Z1876" s="200">
        <f ca="1">W1876*'Expenditure Study'!$B$31</f>
        <v>0</v>
      </c>
      <c r="AA1876" s="195">
        <f t="shared" ca="1" si="414"/>
        <v>0</v>
      </c>
      <c r="AB1876" s="195">
        <f t="shared" ca="1" si="415"/>
        <v>0</v>
      </c>
      <c r="AD1876" s="196">
        <f>IFERROR($G1876/SUMIF($A:$A,$A1876,$G:$G)*SUMIF(Summary!$A$166:$A$242,$A1876,Summary!$P$166:$P$242),0)</f>
        <v>0</v>
      </c>
      <c r="AE1876" s="197">
        <f t="shared" ca="1" si="416"/>
        <v>0</v>
      </c>
      <c r="AF1876" s="196">
        <f>IFERROR(G1876/SUMIF(A:A,A1876,G:G)*SUMIF(Summary!$A$166:$A$242,'Operations Support'!A1876,Summary!$Q$166:$Q$242),0)</f>
        <v>0</v>
      </c>
      <c r="AG1876" s="196">
        <f t="shared" ca="1" si="417"/>
        <v>0</v>
      </c>
      <c r="AI1876" s="196">
        <f>IFERROR($G1876/SUMIF($A:$A,$A1876,$G:$G)*SUMIF(Summary!$A$247:$A$283,$A1876,Summary!$P$247:$P$283),0)</f>
        <v>0</v>
      </c>
      <c r="AJ1876" s="196">
        <f>IFERROR($G1876/SUMIF($A:$A,$A1876,$G:$G)*(SUMIF(Summary!$A$247:$A$283,$A1876,Summary!$L$247:$L$283)+SUMIF(Summary!$A$297:$A$333,$A1876,Summary!$L$297:$L$333))-AI1876,0)</f>
        <v>0</v>
      </c>
      <c r="AK1876" s="196">
        <f>IFERROR($G1876/SUMIF($A:$A,$A1876,$G:$G)*SUMIF(Summary!$A$247:$A$283,$A1876,Summary!$Q$247:$Q$283),0)</f>
        <v>0</v>
      </c>
      <c r="AL1876" s="196">
        <f>IFERROR($G1876/SUMIF($A:$A,$A1876,$G:$G)*(SUMIF(Summary!$A$247:$A$283,$A1876,Summary!$L$247:$L$283)+SUMIF(Summary!$A$297:$A$333,$A1876,Summary!$L$297:$L$333))-AK1876,0)</f>
        <v>0</v>
      </c>
      <c r="AM1876" s="198"/>
      <c r="AN1876" s="196">
        <f t="shared" ca="1" si="418"/>
        <v>0</v>
      </c>
      <c r="AO1876" s="196">
        <f t="shared" ca="1" si="419"/>
        <v>0</v>
      </c>
    </row>
    <row r="1877" spans="1:41">
      <c r="A1877" s="189">
        <v>3646</v>
      </c>
      <c r="B1877" s="190">
        <v>5</v>
      </c>
      <c r="C1877" s="191" t="s">
        <v>223</v>
      </c>
      <c r="D1877" s="192">
        <f t="shared" si="406"/>
        <v>0</v>
      </c>
      <c r="E1877" s="192">
        <f t="shared" si="407"/>
        <v>0</v>
      </c>
      <c r="F1877" s="192">
        <f t="shared" si="408"/>
        <v>0</v>
      </c>
      <c r="G1877" s="193">
        <f t="shared" si="409"/>
        <v>0</v>
      </c>
      <c r="H1877" s="194">
        <v>0</v>
      </c>
      <c r="I1877" s="194">
        <v>0</v>
      </c>
      <c r="J1877" s="194">
        <v>0</v>
      </c>
      <c r="K1877" s="193">
        <f t="shared" si="410"/>
        <v>0</v>
      </c>
      <c r="L1877" s="194">
        <v>0</v>
      </c>
      <c r="M1877" s="194">
        <v>0</v>
      </c>
      <c r="N1877" s="194">
        <v>0</v>
      </c>
      <c r="O1877" s="193">
        <f t="shared" si="411"/>
        <v>0</v>
      </c>
      <c r="P1877" s="194">
        <v>0</v>
      </c>
      <c r="Q1877" s="194">
        <v>0</v>
      </c>
      <c r="R1877" s="194">
        <v>0</v>
      </c>
      <c r="S1877" s="193">
        <f t="shared" si="412"/>
        <v>0</v>
      </c>
      <c r="T1877" s="193">
        <f t="shared" si="413"/>
        <v>0</v>
      </c>
      <c r="U1877" s="193">
        <f ca="1">OFFSET('Expenditure Study'!$B$7,'Operations Support'!$C1877,'Operations Support'!$B1877)*$G1877</f>
        <v>0</v>
      </c>
      <c r="V1877" s="199">
        <f ca="1">U1877*'Expenditure Study'!$B$31</f>
        <v>0</v>
      </c>
      <c r="W1877" s="199">
        <f ca="1">IF(A1877=10298,1.51,1)*IF($B1877&lt;3,$D1877*'Expenditure Study'!$B$32*OFFSET('Expenditure Study'!$B$7,'Operations Support'!$C1877,'Operations Support'!$B1877),0)</f>
        <v>0</v>
      </c>
      <c r="X1877" s="200">
        <f ca="1">W1877*'Expenditure Study'!$B$31</f>
        <v>0</v>
      </c>
      <c r="Y1877" s="199">
        <f ca="1">U1877*'Expenditure Study'!$B$31</f>
        <v>0</v>
      </c>
      <c r="Z1877" s="200">
        <f ca="1">W1877*'Expenditure Study'!$B$31</f>
        <v>0</v>
      </c>
      <c r="AA1877" s="195">
        <f t="shared" ca="1" si="414"/>
        <v>0</v>
      </c>
      <c r="AB1877" s="195">
        <f t="shared" ca="1" si="415"/>
        <v>0</v>
      </c>
      <c r="AD1877" s="196">
        <f>IFERROR($G1877/SUMIF($A:$A,$A1877,$G:$G)*SUMIF(Summary!$A$166:$A$242,$A1877,Summary!$P$166:$P$242),0)</f>
        <v>0</v>
      </c>
      <c r="AE1877" s="197">
        <f t="shared" ca="1" si="416"/>
        <v>0</v>
      </c>
      <c r="AF1877" s="196">
        <f>IFERROR(G1877/SUMIF(A:A,A1877,G:G)*SUMIF(Summary!$A$166:$A$242,'Operations Support'!A1877,Summary!$Q$166:$Q$242),0)</f>
        <v>0</v>
      </c>
      <c r="AG1877" s="196">
        <f t="shared" ca="1" si="417"/>
        <v>0</v>
      </c>
      <c r="AI1877" s="196">
        <f>IFERROR($G1877/SUMIF($A:$A,$A1877,$G:$G)*SUMIF(Summary!$A$247:$A$283,$A1877,Summary!$P$247:$P$283),0)</f>
        <v>0</v>
      </c>
      <c r="AJ1877" s="196">
        <f>IFERROR($G1877/SUMIF($A:$A,$A1877,$G:$G)*(SUMIF(Summary!$A$247:$A$283,$A1877,Summary!$L$247:$L$283)+SUMIF(Summary!$A$297:$A$333,$A1877,Summary!$L$297:$L$333))-AI1877,0)</f>
        <v>0</v>
      </c>
      <c r="AK1877" s="196">
        <f>IFERROR($G1877/SUMIF($A:$A,$A1877,$G:$G)*SUMIF(Summary!$A$247:$A$283,$A1877,Summary!$Q$247:$Q$283),0)</f>
        <v>0</v>
      </c>
      <c r="AL1877" s="196">
        <f>IFERROR($G1877/SUMIF($A:$A,$A1877,$G:$G)*(SUMIF(Summary!$A$247:$A$283,$A1877,Summary!$L$247:$L$283)+SUMIF(Summary!$A$297:$A$333,$A1877,Summary!$L$297:$L$333))-AK1877,0)</f>
        <v>0</v>
      </c>
      <c r="AM1877" s="198"/>
      <c r="AN1877" s="196">
        <f t="shared" ca="1" si="418"/>
        <v>0</v>
      </c>
      <c r="AO1877" s="196">
        <f t="shared" ca="1" si="419"/>
        <v>0</v>
      </c>
    </row>
    <row r="1878" spans="1:41">
      <c r="A1878" s="189">
        <v>3646</v>
      </c>
      <c r="B1878" s="190">
        <v>5</v>
      </c>
      <c r="C1878" s="191" t="s">
        <v>224</v>
      </c>
      <c r="D1878" s="192">
        <f t="shared" si="406"/>
        <v>0</v>
      </c>
      <c r="E1878" s="192">
        <f t="shared" si="407"/>
        <v>0</v>
      </c>
      <c r="F1878" s="192">
        <f t="shared" si="408"/>
        <v>0</v>
      </c>
      <c r="G1878" s="193">
        <f t="shared" si="409"/>
        <v>0</v>
      </c>
      <c r="H1878" s="194">
        <v>0</v>
      </c>
      <c r="I1878" s="194">
        <v>0</v>
      </c>
      <c r="J1878" s="194">
        <v>0</v>
      </c>
      <c r="K1878" s="193">
        <f t="shared" si="410"/>
        <v>0</v>
      </c>
      <c r="L1878" s="194">
        <v>0</v>
      </c>
      <c r="M1878" s="194">
        <v>0</v>
      </c>
      <c r="N1878" s="194">
        <v>0</v>
      </c>
      <c r="O1878" s="193">
        <f t="shared" si="411"/>
        <v>0</v>
      </c>
      <c r="P1878" s="194">
        <v>0</v>
      </c>
      <c r="Q1878" s="194">
        <v>0</v>
      </c>
      <c r="R1878" s="194">
        <v>0</v>
      </c>
      <c r="S1878" s="193">
        <f t="shared" si="412"/>
        <v>0</v>
      </c>
      <c r="T1878" s="193">
        <f t="shared" si="413"/>
        <v>0</v>
      </c>
      <c r="U1878" s="193">
        <f ca="1">OFFSET('Expenditure Study'!$B$7,'Operations Support'!$C1878,'Operations Support'!$B1878)*$G1878</f>
        <v>0</v>
      </c>
      <c r="V1878" s="199">
        <f ca="1">U1878*'Expenditure Study'!$B$31</f>
        <v>0</v>
      </c>
      <c r="W1878" s="199">
        <f ca="1">IF(A1878=10298,1.51,1)*IF($B1878&lt;3,$D1878*'Expenditure Study'!$B$32*OFFSET('Expenditure Study'!$B$7,'Operations Support'!$C1878,'Operations Support'!$B1878),0)</f>
        <v>0</v>
      </c>
      <c r="X1878" s="200">
        <f ca="1">W1878*'Expenditure Study'!$B$31</f>
        <v>0</v>
      </c>
      <c r="Y1878" s="199">
        <f ca="1">U1878*'Expenditure Study'!$B$31</f>
        <v>0</v>
      </c>
      <c r="Z1878" s="200">
        <f ca="1">W1878*'Expenditure Study'!$B$31</f>
        <v>0</v>
      </c>
      <c r="AA1878" s="195">
        <f t="shared" ca="1" si="414"/>
        <v>0</v>
      </c>
      <c r="AB1878" s="195">
        <f t="shared" ca="1" si="415"/>
        <v>0</v>
      </c>
      <c r="AD1878" s="196">
        <f>IFERROR($G1878/SUMIF($A:$A,$A1878,$G:$G)*SUMIF(Summary!$A$166:$A$242,$A1878,Summary!$P$166:$P$242),0)</f>
        <v>0</v>
      </c>
      <c r="AE1878" s="197">
        <f t="shared" ca="1" si="416"/>
        <v>0</v>
      </c>
      <c r="AF1878" s="196">
        <f>IFERROR(G1878/SUMIF(A:A,A1878,G:G)*SUMIF(Summary!$A$166:$A$242,'Operations Support'!A1878,Summary!$Q$166:$Q$242),0)</f>
        <v>0</v>
      </c>
      <c r="AG1878" s="196">
        <f t="shared" ca="1" si="417"/>
        <v>0</v>
      </c>
      <c r="AI1878" s="196">
        <f>IFERROR($G1878/SUMIF($A:$A,$A1878,$G:$G)*SUMIF(Summary!$A$247:$A$283,$A1878,Summary!$P$247:$P$283),0)</f>
        <v>0</v>
      </c>
      <c r="AJ1878" s="196">
        <f>IFERROR($G1878/SUMIF($A:$A,$A1878,$G:$G)*(SUMIF(Summary!$A$247:$A$283,$A1878,Summary!$L$247:$L$283)+SUMIF(Summary!$A$297:$A$333,$A1878,Summary!$L$297:$L$333))-AI1878,0)</f>
        <v>0</v>
      </c>
      <c r="AK1878" s="196">
        <f>IFERROR($G1878/SUMIF($A:$A,$A1878,$G:$G)*SUMIF(Summary!$A$247:$A$283,$A1878,Summary!$Q$247:$Q$283),0)</f>
        <v>0</v>
      </c>
      <c r="AL1878" s="196">
        <f>IFERROR($G1878/SUMIF($A:$A,$A1878,$G:$G)*(SUMIF(Summary!$A$247:$A$283,$A1878,Summary!$L$247:$L$283)+SUMIF(Summary!$A$297:$A$333,$A1878,Summary!$L$297:$L$333))-AK1878,0)</f>
        <v>0</v>
      </c>
      <c r="AM1878" s="198"/>
      <c r="AN1878" s="196">
        <f t="shared" ca="1" si="418"/>
        <v>0</v>
      </c>
      <c r="AO1878" s="196">
        <f t="shared" ca="1" si="419"/>
        <v>0</v>
      </c>
    </row>
    <row r="1879" spans="1:41">
      <c r="A1879" s="189">
        <v>3646</v>
      </c>
      <c r="B1879" s="190">
        <v>5</v>
      </c>
      <c r="C1879" s="191" t="s">
        <v>225</v>
      </c>
      <c r="D1879" s="192">
        <f t="shared" si="406"/>
        <v>0</v>
      </c>
      <c r="E1879" s="192">
        <f t="shared" si="407"/>
        <v>0</v>
      </c>
      <c r="F1879" s="192">
        <f t="shared" si="408"/>
        <v>0</v>
      </c>
      <c r="G1879" s="193">
        <f t="shared" si="409"/>
        <v>0</v>
      </c>
      <c r="H1879" s="194">
        <v>0</v>
      </c>
      <c r="I1879" s="194">
        <v>0</v>
      </c>
      <c r="J1879" s="194">
        <v>0</v>
      </c>
      <c r="K1879" s="193">
        <f t="shared" si="410"/>
        <v>0</v>
      </c>
      <c r="L1879" s="194">
        <v>0</v>
      </c>
      <c r="M1879" s="194">
        <v>0</v>
      </c>
      <c r="N1879" s="194">
        <v>0</v>
      </c>
      <c r="O1879" s="193">
        <f t="shared" si="411"/>
        <v>0</v>
      </c>
      <c r="P1879" s="194">
        <v>0</v>
      </c>
      <c r="Q1879" s="194">
        <v>0</v>
      </c>
      <c r="R1879" s="194">
        <v>0</v>
      </c>
      <c r="S1879" s="193">
        <f t="shared" si="412"/>
        <v>0</v>
      </c>
      <c r="T1879" s="193">
        <f t="shared" si="413"/>
        <v>0</v>
      </c>
      <c r="U1879" s="193">
        <f ca="1">OFFSET('Expenditure Study'!$B$7,'Operations Support'!$C1879,'Operations Support'!$B1879)*$G1879</f>
        <v>0</v>
      </c>
      <c r="V1879" s="199">
        <f ca="1">U1879*'Expenditure Study'!$B$31</f>
        <v>0</v>
      </c>
      <c r="W1879" s="199">
        <f ca="1">IF(A1879=10298,1.51,1)*IF($B1879&lt;3,$D1879*'Expenditure Study'!$B$32*OFFSET('Expenditure Study'!$B$7,'Operations Support'!$C1879,'Operations Support'!$B1879),0)</f>
        <v>0</v>
      </c>
      <c r="X1879" s="200">
        <f ca="1">W1879*'Expenditure Study'!$B$31</f>
        <v>0</v>
      </c>
      <c r="Y1879" s="199">
        <f ca="1">U1879*'Expenditure Study'!$B$31</f>
        <v>0</v>
      </c>
      <c r="Z1879" s="200">
        <f ca="1">W1879*'Expenditure Study'!$B$31</f>
        <v>0</v>
      </c>
      <c r="AA1879" s="195">
        <f t="shared" ca="1" si="414"/>
        <v>0</v>
      </c>
      <c r="AB1879" s="195">
        <f t="shared" ca="1" si="415"/>
        <v>0</v>
      </c>
      <c r="AD1879" s="196">
        <f>IFERROR($G1879/SUMIF($A:$A,$A1879,$G:$G)*SUMIF(Summary!$A$166:$A$242,$A1879,Summary!$P$166:$P$242),0)</f>
        <v>0</v>
      </c>
      <c r="AE1879" s="197">
        <f t="shared" ca="1" si="416"/>
        <v>0</v>
      </c>
      <c r="AF1879" s="196">
        <f>IFERROR(G1879/SUMIF(A:A,A1879,G:G)*SUMIF(Summary!$A$166:$A$242,'Operations Support'!A1879,Summary!$Q$166:$Q$242),0)</f>
        <v>0</v>
      </c>
      <c r="AG1879" s="196">
        <f t="shared" ca="1" si="417"/>
        <v>0</v>
      </c>
      <c r="AI1879" s="196">
        <f>IFERROR($G1879/SUMIF($A:$A,$A1879,$G:$G)*SUMIF(Summary!$A$247:$A$283,$A1879,Summary!$P$247:$P$283),0)</f>
        <v>0</v>
      </c>
      <c r="AJ1879" s="196">
        <f>IFERROR($G1879/SUMIF($A:$A,$A1879,$G:$G)*(SUMIF(Summary!$A$247:$A$283,$A1879,Summary!$L$247:$L$283)+SUMIF(Summary!$A$297:$A$333,$A1879,Summary!$L$297:$L$333))-AI1879,0)</f>
        <v>0</v>
      </c>
      <c r="AK1879" s="196">
        <f>IFERROR($G1879/SUMIF($A:$A,$A1879,$G:$G)*SUMIF(Summary!$A$247:$A$283,$A1879,Summary!$Q$247:$Q$283),0)</f>
        <v>0</v>
      </c>
      <c r="AL1879" s="196">
        <f>IFERROR($G1879/SUMIF($A:$A,$A1879,$G:$G)*(SUMIF(Summary!$A$247:$A$283,$A1879,Summary!$L$247:$L$283)+SUMIF(Summary!$A$297:$A$333,$A1879,Summary!$L$297:$L$333))-AK1879,0)</f>
        <v>0</v>
      </c>
      <c r="AM1879" s="198"/>
      <c r="AN1879" s="196">
        <f t="shared" ca="1" si="418"/>
        <v>0</v>
      </c>
      <c r="AO1879" s="196">
        <f t="shared" ca="1" si="419"/>
        <v>0</v>
      </c>
    </row>
    <row r="1880" spans="1:41">
      <c r="A1880" s="189">
        <v>3646</v>
      </c>
      <c r="B1880" s="190">
        <v>5</v>
      </c>
      <c r="C1880" s="191" t="s">
        <v>226</v>
      </c>
      <c r="D1880" s="192">
        <f t="shared" si="406"/>
        <v>0</v>
      </c>
      <c r="E1880" s="192">
        <f t="shared" si="407"/>
        <v>0</v>
      </c>
      <c r="F1880" s="192">
        <f t="shared" si="408"/>
        <v>0</v>
      </c>
      <c r="G1880" s="193">
        <f t="shared" si="409"/>
        <v>0</v>
      </c>
      <c r="H1880" s="194">
        <v>0</v>
      </c>
      <c r="I1880" s="194">
        <v>0</v>
      </c>
      <c r="J1880" s="194">
        <v>0</v>
      </c>
      <c r="K1880" s="193">
        <f t="shared" si="410"/>
        <v>0</v>
      </c>
      <c r="L1880" s="194">
        <v>0</v>
      </c>
      <c r="M1880" s="194">
        <v>0</v>
      </c>
      <c r="N1880" s="194">
        <v>0</v>
      </c>
      <c r="O1880" s="193">
        <f t="shared" si="411"/>
        <v>0</v>
      </c>
      <c r="P1880" s="194">
        <v>0</v>
      </c>
      <c r="Q1880" s="194">
        <v>0</v>
      </c>
      <c r="R1880" s="194">
        <v>0</v>
      </c>
      <c r="S1880" s="193">
        <f t="shared" si="412"/>
        <v>0</v>
      </c>
      <c r="T1880" s="193">
        <f t="shared" si="413"/>
        <v>0</v>
      </c>
      <c r="U1880" s="193">
        <f ca="1">OFFSET('Expenditure Study'!$B$7,'Operations Support'!$C1880,'Operations Support'!$B1880)*$G1880</f>
        <v>0</v>
      </c>
      <c r="V1880" s="199">
        <f ca="1">U1880*'Expenditure Study'!$B$31</f>
        <v>0</v>
      </c>
      <c r="W1880" s="199">
        <f ca="1">IF(A1880=10298,1.51,1)*IF($B1880&lt;3,$D1880*'Expenditure Study'!$B$32*OFFSET('Expenditure Study'!$B$7,'Operations Support'!$C1880,'Operations Support'!$B1880),0)</f>
        <v>0</v>
      </c>
      <c r="X1880" s="200">
        <f ca="1">W1880*'Expenditure Study'!$B$31</f>
        <v>0</v>
      </c>
      <c r="Y1880" s="199">
        <f ca="1">U1880*'Expenditure Study'!$B$31</f>
        <v>0</v>
      </c>
      <c r="Z1880" s="200">
        <f ca="1">W1880*'Expenditure Study'!$B$31</f>
        <v>0</v>
      </c>
      <c r="AA1880" s="195">
        <f t="shared" ca="1" si="414"/>
        <v>0</v>
      </c>
      <c r="AB1880" s="195">
        <f t="shared" ca="1" si="415"/>
        <v>0</v>
      </c>
      <c r="AD1880" s="196">
        <f>IFERROR($G1880/SUMIF($A:$A,$A1880,$G:$G)*SUMIF(Summary!$A$166:$A$242,$A1880,Summary!$P$166:$P$242),0)</f>
        <v>0</v>
      </c>
      <c r="AE1880" s="197">
        <f t="shared" ca="1" si="416"/>
        <v>0</v>
      </c>
      <c r="AF1880" s="196">
        <f>IFERROR(G1880/SUMIF(A:A,A1880,G:G)*SUMIF(Summary!$A$166:$A$242,'Operations Support'!A1880,Summary!$Q$166:$Q$242),0)</f>
        <v>0</v>
      </c>
      <c r="AG1880" s="196">
        <f t="shared" ca="1" si="417"/>
        <v>0</v>
      </c>
      <c r="AI1880" s="196">
        <f>IFERROR($G1880/SUMIF($A:$A,$A1880,$G:$G)*SUMIF(Summary!$A$247:$A$283,$A1880,Summary!$P$247:$P$283),0)</f>
        <v>0</v>
      </c>
      <c r="AJ1880" s="196">
        <f>IFERROR($G1880/SUMIF($A:$A,$A1880,$G:$G)*(SUMIF(Summary!$A$247:$A$283,$A1880,Summary!$L$247:$L$283)+SUMIF(Summary!$A$297:$A$333,$A1880,Summary!$L$297:$L$333))-AI1880,0)</f>
        <v>0</v>
      </c>
      <c r="AK1880" s="196">
        <f>IFERROR($G1880/SUMIF($A:$A,$A1880,$G:$G)*SUMIF(Summary!$A$247:$A$283,$A1880,Summary!$Q$247:$Q$283),0)</f>
        <v>0</v>
      </c>
      <c r="AL1880" s="196">
        <f>IFERROR($G1880/SUMIF($A:$A,$A1880,$G:$G)*(SUMIF(Summary!$A$247:$A$283,$A1880,Summary!$L$247:$L$283)+SUMIF(Summary!$A$297:$A$333,$A1880,Summary!$L$297:$L$333))-AK1880,0)</f>
        <v>0</v>
      </c>
      <c r="AM1880" s="198"/>
      <c r="AN1880" s="196">
        <f t="shared" ca="1" si="418"/>
        <v>0</v>
      </c>
      <c r="AO1880" s="196">
        <f t="shared" ca="1" si="419"/>
        <v>0</v>
      </c>
    </row>
    <row r="1881" spans="1:41">
      <c r="A1881" s="189">
        <v>3646</v>
      </c>
      <c r="B1881" s="190">
        <v>5</v>
      </c>
      <c r="C1881" s="191" t="s">
        <v>227</v>
      </c>
      <c r="D1881" s="192">
        <f t="shared" si="406"/>
        <v>0</v>
      </c>
      <c r="E1881" s="192">
        <f t="shared" si="407"/>
        <v>0</v>
      </c>
      <c r="F1881" s="192">
        <f t="shared" si="408"/>
        <v>0</v>
      </c>
      <c r="G1881" s="193">
        <f t="shared" si="409"/>
        <v>0</v>
      </c>
      <c r="H1881" s="194">
        <v>0</v>
      </c>
      <c r="I1881" s="194">
        <v>0</v>
      </c>
      <c r="J1881" s="194">
        <v>0</v>
      </c>
      <c r="K1881" s="193">
        <f t="shared" si="410"/>
        <v>0</v>
      </c>
      <c r="L1881" s="194">
        <v>0</v>
      </c>
      <c r="M1881" s="194">
        <v>0</v>
      </c>
      <c r="N1881" s="194">
        <v>0</v>
      </c>
      <c r="O1881" s="193">
        <f t="shared" si="411"/>
        <v>0</v>
      </c>
      <c r="P1881" s="194">
        <v>0</v>
      </c>
      <c r="Q1881" s="194">
        <v>0</v>
      </c>
      <c r="R1881" s="194">
        <v>0</v>
      </c>
      <c r="S1881" s="193">
        <f t="shared" si="412"/>
        <v>0</v>
      </c>
      <c r="T1881" s="193">
        <f t="shared" si="413"/>
        <v>0</v>
      </c>
      <c r="U1881" s="193">
        <f ca="1">OFFSET('Expenditure Study'!$B$7,'Operations Support'!$C1881,'Operations Support'!$B1881)*$G1881</f>
        <v>0</v>
      </c>
      <c r="V1881" s="199">
        <f ca="1">U1881*'Expenditure Study'!$B$31</f>
        <v>0</v>
      </c>
      <c r="W1881" s="199">
        <f ca="1">IF(A1881=10298,1.51,1)*IF($B1881&lt;3,$D1881*'Expenditure Study'!$B$32*OFFSET('Expenditure Study'!$B$7,'Operations Support'!$C1881,'Operations Support'!$B1881),0)</f>
        <v>0</v>
      </c>
      <c r="X1881" s="200">
        <f ca="1">W1881*'Expenditure Study'!$B$31</f>
        <v>0</v>
      </c>
      <c r="Y1881" s="199">
        <f ca="1">U1881*'Expenditure Study'!$B$31</f>
        <v>0</v>
      </c>
      <c r="Z1881" s="200">
        <f ca="1">W1881*'Expenditure Study'!$B$31</f>
        <v>0</v>
      </c>
      <c r="AA1881" s="195">
        <f t="shared" ca="1" si="414"/>
        <v>0</v>
      </c>
      <c r="AB1881" s="195">
        <f t="shared" ca="1" si="415"/>
        <v>0</v>
      </c>
      <c r="AD1881" s="196">
        <f>IFERROR($G1881/SUMIF($A:$A,$A1881,$G:$G)*SUMIF(Summary!$A$166:$A$242,$A1881,Summary!$P$166:$P$242),0)</f>
        <v>0</v>
      </c>
      <c r="AE1881" s="197">
        <f t="shared" ca="1" si="416"/>
        <v>0</v>
      </c>
      <c r="AF1881" s="196">
        <f>IFERROR(G1881/SUMIF(A:A,A1881,G:G)*SUMIF(Summary!$A$166:$A$242,'Operations Support'!A1881,Summary!$Q$166:$Q$242),0)</f>
        <v>0</v>
      </c>
      <c r="AG1881" s="196">
        <f t="shared" ca="1" si="417"/>
        <v>0</v>
      </c>
      <c r="AI1881" s="196">
        <f>IFERROR($G1881/SUMIF($A:$A,$A1881,$G:$G)*SUMIF(Summary!$A$247:$A$283,$A1881,Summary!$P$247:$P$283),0)</f>
        <v>0</v>
      </c>
      <c r="AJ1881" s="196">
        <f>IFERROR($G1881/SUMIF($A:$A,$A1881,$G:$G)*(SUMIF(Summary!$A$247:$A$283,$A1881,Summary!$L$247:$L$283)+SUMIF(Summary!$A$297:$A$333,$A1881,Summary!$L$297:$L$333))-AI1881,0)</f>
        <v>0</v>
      </c>
      <c r="AK1881" s="196">
        <f>IFERROR($G1881/SUMIF($A:$A,$A1881,$G:$G)*SUMIF(Summary!$A$247:$A$283,$A1881,Summary!$Q$247:$Q$283),0)</f>
        <v>0</v>
      </c>
      <c r="AL1881" s="196">
        <f>IFERROR($G1881/SUMIF($A:$A,$A1881,$G:$G)*(SUMIF(Summary!$A$247:$A$283,$A1881,Summary!$L$247:$L$283)+SUMIF(Summary!$A$297:$A$333,$A1881,Summary!$L$297:$L$333))-AK1881,0)</f>
        <v>0</v>
      </c>
      <c r="AM1881" s="198"/>
      <c r="AN1881" s="196">
        <f t="shared" ca="1" si="418"/>
        <v>0</v>
      </c>
      <c r="AO1881" s="196">
        <f t="shared" ca="1" si="419"/>
        <v>0</v>
      </c>
    </row>
    <row r="1882" spans="1:41">
      <c r="A1882" s="189">
        <v>3646</v>
      </c>
      <c r="B1882" s="190">
        <v>5</v>
      </c>
      <c r="C1882" s="191" t="s">
        <v>228</v>
      </c>
      <c r="D1882" s="192">
        <f t="shared" si="406"/>
        <v>0</v>
      </c>
      <c r="E1882" s="192">
        <f t="shared" si="407"/>
        <v>0</v>
      </c>
      <c r="F1882" s="192">
        <f t="shared" si="408"/>
        <v>0</v>
      </c>
      <c r="G1882" s="193">
        <f t="shared" si="409"/>
        <v>0</v>
      </c>
      <c r="H1882" s="194">
        <v>0</v>
      </c>
      <c r="I1882" s="194">
        <v>0</v>
      </c>
      <c r="J1882" s="194">
        <v>0</v>
      </c>
      <c r="K1882" s="193">
        <f t="shared" si="410"/>
        <v>0</v>
      </c>
      <c r="L1882" s="194">
        <v>0</v>
      </c>
      <c r="M1882" s="194">
        <v>0</v>
      </c>
      <c r="N1882" s="194">
        <v>0</v>
      </c>
      <c r="O1882" s="193">
        <f t="shared" si="411"/>
        <v>0</v>
      </c>
      <c r="P1882" s="194">
        <v>0</v>
      </c>
      <c r="Q1882" s="194">
        <v>0</v>
      </c>
      <c r="R1882" s="194">
        <v>0</v>
      </c>
      <c r="S1882" s="193">
        <f t="shared" si="412"/>
        <v>0</v>
      </c>
      <c r="T1882" s="193">
        <f t="shared" si="413"/>
        <v>0</v>
      </c>
      <c r="U1882" s="193">
        <f ca="1">OFFSET('Expenditure Study'!$B$7,'Operations Support'!$C1882,'Operations Support'!$B1882)*$G1882</f>
        <v>0</v>
      </c>
      <c r="V1882" s="199">
        <f ca="1">U1882*'Expenditure Study'!$B$31</f>
        <v>0</v>
      </c>
      <c r="W1882" s="199">
        <f ca="1">IF(A1882=10298,1.51,1)*IF($B1882&lt;3,$D1882*'Expenditure Study'!$B$32*OFFSET('Expenditure Study'!$B$7,'Operations Support'!$C1882,'Operations Support'!$B1882),0)</f>
        <v>0</v>
      </c>
      <c r="X1882" s="200">
        <f ca="1">W1882*'Expenditure Study'!$B$31</f>
        <v>0</v>
      </c>
      <c r="Y1882" s="199">
        <f ca="1">U1882*'Expenditure Study'!$B$31</f>
        <v>0</v>
      </c>
      <c r="Z1882" s="200">
        <f ca="1">W1882*'Expenditure Study'!$B$31</f>
        <v>0</v>
      </c>
      <c r="AA1882" s="195">
        <f t="shared" ca="1" si="414"/>
        <v>0</v>
      </c>
      <c r="AB1882" s="195">
        <f t="shared" ca="1" si="415"/>
        <v>0</v>
      </c>
      <c r="AD1882" s="196">
        <f>IFERROR($G1882/SUMIF($A:$A,$A1882,$G:$G)*SUMIF(Summary!$A$166:$A$242,$A1882,Summary!$P$166:$P$242),0)</f>
        <v>0</v>
      </c>
      <c r="AE1882" s="197">
        <f t="shared" ca="1" si="416"/>
        <v>0</v>
      </c>
      <c r="AF1882" s="196">
        <f>IFERROR(G1882/SUMIF(A:A,A1882,G:G)*SUMIF(Summary!$A$166:$A$242,'Operations Support'!A1882,Summary!$Q$166:$Q$242),0)</f>
        <v>0</v>
      </c>
      <c r="AG1882" s="196">
        <f t="shared" ca="1" si="417"/>
        <v>0</v>
      </c>
      <c r="AI1882" s="196">
        <f>IFERROR($G1882/SUMIF($A:$A,$A1882,$G:$G)*SUMIF(Summary!$A$247:$A$283,$A1882,Summary!$P$247:$P$283),0)</f>
        <v>0</v>
      </c>
      <c r="AJ1882" s="196">
        <f>IFERROR($G1882/SUMIF($A:$A,$A1882,$G:$G)*(SUMIF(Summary!$A$247:$A$283,$A1882,Summary!$L$247:$L$283)+SUMIF(Summary!$A$297:$A$333,$A1882,Summary!$L$297:$L$333))-AI1882,0)</f>
        <v>0</v>
      </c>
      <c r="AK1882" s="196">
        <f>IFERROR($G1882/SUMIF($A:$A,$A1882,$G:$G)*SUMIF(Summary!$A$247:$A$283,$A1882,Summary!$Q$247:$Q$283),0)</f>
        <v>0</v>
      </c>
      <c r="AL1882" s="196">
        <f>IFERROR($G1882/SUMIF($A:$A,$A1882,$G:$G)*(SUMIF(Summary!$A$247:$A$283,$A1882,Summary!$L$247:$L$283)+SUMIF(Summary!$A$297:$A$333,$A1882,Summary!$L$297:$L$333))-AK1882,0)</f>
        <v>0</v>
      </c>
      <c r="AM1882" s="198"/>
      <c r="AN1882" s="196">
        <f t="shared" ca="1" si="418"/>
        <v>0</v>
      </c>
      <c r="AO1882" s="196">
        <f t="shared" ca="1" si="419"/>
        <v>0</v>
      </c>
    </row>
    <row r="1883" spans="1:41">
      <c r="A1883" s="189">
        <v>3646</v>
      </c>
      <c r="B1883" s="190">
        <v>5</v>
      </c>
      <c r="C1883" s="191" t="s">
        <v>229</v>
      </c>
      <c r="D1883" s="192">
        <f t="shared" si="406"/>
        <v>0</v>
      </c>
      <c r="E1883" s="192">
        <f t="shared" si="407"/>
        <v>0</v>
      </c>
      <c r="F1883" s="192">
        <f t="shared" si="408"/>
        <v>0</v>
      </c>
      <c r="G1883" s="193">
        <f t="shared" si="409"/>
        <v>0</v>
      </c>
      <c r="H1883" s="194">
        <v>0</v>
      </c>
      <c r="I1883" s="194">
        <v>0</v>
      </c>
      <c r="J1883" s="194">
        <v>0</v>
      </c>
      <c r="K1883" s="193">
        <f t="shared" si="410"/>
        <v>0</v>
      </c>
      <c r="L1883" s="194">
        <v>0</v>
      </c>
      <c r="M1883" s="194">
        <v>0</v>
      </c>
      <c r="N1883" s="194">
        <v>0</v>
      </c>
      <c r="O1883" s="193">
        <f t="shared" si="411"/>
        <v>0</v>
      </c>
      <c r="P1883" s="194">
        <v>0</v>
      </c>
      <c r="Q1883" s="194">
        <v>0</v>
      </c>
      <c r="R1883" s="194">
        <v>0</v>
      </c>
      <c r="S1883" s="193">
        <f t="shared" si="412"/>
        <v>0</v>
      </c>
      <c r="T1883" s="193">
        <f t="shared" si="413"/>
        <v>0</v>
      </c>
      <c r="U1883" s="193">
        <f ca="1">OFFSET('Expenditure Study'!$B$7,'Operations Support'!$C1883,'Operations Support'!$B1883)*$G1883</f>
        <v>0</v>
      </c>
      <c r="V1883" s="199">
        <f ca="1">U1883*'Expenditure Study'!$B$31</f>
        <v>0</v>
      </c>
      <c r="W1883" s="199">
        <f ca="1">IF(A1883=10298,1.51,1)*IF($B1883&lt;3,$D1883*'Expenditure Study'!$B$32*OFFSET('Expenditure Study'!$B$7,'Operations Support'!$C1883,'Operations Support'!$B1883),0)</f>
        <v>0</v>
      </c>
      <c r="X1883" s="200">
        <f ca="1">W1883*'Expenditure Study'!$B$31</f>
        <v>0</v>
      </c>
      <c r="Y1883" s="199">
        <f ca="1">U1883*'Expenditure Study'!$B$31</f>
        <v>0</v>
      </c>
      <c r="Z1883" s="200">
        <f ca="1">W1883*'Expenditure Study'!$B$31</f>
        <v>0</v>
      </c>
      <c r="AA1883" s="195">
        <f t="shared" ca="1" si="414"/>
        <v>0</v>
      </c>
      <c r="AB1883" s="195">
        <f t="shared" ca="1" si="415"/>
        <v>0</v>
      </c>
      <c r="AD1883" s="196">
        <f>IFERROR($G1883/SUMIF($A:$A,$A1883,$G:$G)*SUMIF(Summary!$A$166:$A$242,$A1883,Summary!$P$166:$P$242),0)</f>
        <v>0</v>
      </c>
      <c r="AE1883" s="197">
        <f t="shared" ca="1" si="416"/>
        <v>0</v>
      </c>
      <c r="AF1883" s="196">
        <f>IFERROR(G1883/SUMIF(A:A,A1883,G:G)*SUMIF(Summary!$A$166:$A$242,'Operations Support'!A1883,Summary!$Q$166:$Q$242),0)</f>
        <v>0</v>
      </c>
      <c r="AG1883" s="196">
        <f t="shared" ca="1" si="417"/>
        <v>0</v>
      </c>
      <c r="AI1883" s="196">
        <f>IFERROR($G1883/SUMIF($A:$A,$A1883,$G:$G)*SUMIF(Summary!$A$247:$A$283,$A1883,Summary!$P$247:$P$283),0)</f>
        <v>0</v>
      </c>
      <c r="AJ1883" s="196">
        <f>IFERROR($G1883/SUMIF($A:$A,$A1883,$G:$G)*(SUMIF(Summary!$A$247:$A$283,$A1883,Summary!$L$247:$L$283)+SUMIF(Summary!$A$297:$A$333,$A1883,Summary!$L$297:$L$333))-AI1883,0)</f>
        <v>0</v>
      </c>
      <c r="AK1883" s="196">
        <f>IFERROR($G1883/SUMIF($A:$A,$A1883,$G:$G)*SUMIF(Summary!$A$247:$A$283,$A1883,Summary!$Q$247:$Q$283),0)</f>
        <v>0</v>
      </c>
      <c r="AL1883" s="196">
        <f>IFERROR($G1883/SUMIF($A:$A,$A1883,$G:$G)*(SUMIF(Summary!$A$247:$A$283,$A1883,Summary!$L$247:$L$283)+SUMIF(Summary!$A$297:$A$333,$A1883,Summary!$L$297:$L$333))-AK1883,0)</f>
        <v>0</v>
      </c>
      <c r="AM1883" s="198"/>
      <c r="AN1883" s="196">
        <f t="shared" ca="1" si="418"/>
        <v>0</v>
      </c>
      <c r="AO1883" s="196">
        <f t="shared" ca="1" si="419"/>
        <v>0</v>
      </c>
    </row>
    <row r="1884" spans="1:41">
      <c r="A1884" s="189">
        <v>3646</v>
      </c>
      <c r="B1884" s="190">
        <v>5</v>
      </c>
      <c r="C1884" s="191" t="s">
        <v>230</v>
      </c>
      <c r="D1884" s="192">
        <f t="shared" si="406"/>
        <v>0</v>
      </c>
      <c r="E1884" s="192">
        <f t="shared" si="407"/>
        <v>0</v>
      </c>
      <c r="F1884" s="192">
        <f t="shared" si="408"/>
        <v>0</v>
      </c>
      <c r="G1884" s="193">
        <f t="shared" si="409"/>
        <v>0</v>
      </c>
      <c r="H1884" s="194">
        <v>0</v>
      </c>
      <c r="I1884" s="194">
        <v>0</v>
      </c>
      <c r="J1884" s="194">
        <v>0</v>
      </c>
      <c r="K1884" s="193">
        <f t="shared" si="410"/>
        <v>0</v>
      </c>
      <c r="L1884" s="194">
        <v>0</v>
      </c>
      <c r="M1884" s="194">
        <v>0</v>
      </c>
      <c r="N1884" s="194">
        <v>0</v>
      </c>
      <c r="O1884" s="193">
        <f t="shared" si="411"/>
        <v>0</v>
      </c>
      <c r="P1884" s="194">
        <v>0</v>
      </c>
      <c r="Q1884" s="194">
        <v>0</v>
      </c>
      <c r="R1884" s="194">
        <v>0</v>
      </c>
      <c r="S1884" s="193">
        <f t="shared" si="412"/>
        <v>0</v>
      </c>
      <c r="T1884" s="193">
        <f t="shared" si="413"/>
        <v>0</v>
      </c>
      <c r="U1884" s="193">
        <f ca="1">OFFSET('Expenditure Study'!$B$7,'Operations Support'!$C1884,'Operations Support'!$B1884)*$G1884</f>
        <v>0</v>
      </c>
      <c r="V1884" s="199">
        <f ca="1">U1884*'Expenditure Study'!$B$31</f>
        <v>0</v>
      </c>
      <c r="W1884" s="199">
        <f ca="1">IF(A1884=10298,1.51,1)*IF($B1884&lt;3,$D1884*'Expenditure Study'!$B$32*OFFSET('Expenditure Study'!$B$7,'Operations Support'!$C1884,'Operations Support'!$B1884),0)</f>
        <v>0</v>
      </c>
      <c r="X1884" s="200">
        <f ca="1">W1884*'Expenditure Study'!$B$31</f>
        <v>0</v>
      </c>
      <c r="Y1884" s="199">
        <f ca="1">U1884*'Expenditure Study'!$B$31</f>
        <v>0</v>
      </c>
      <c r="Z1884" s="200">
        <f ca="1">W1884*'Expenditure Study'!$B$31</f>
        <v>0</v>
      </c>
      <c r="AA1884" s="195">
        <f t="shared" ca="1" si="414"/>
        <v>0</v>
      </c>
      <c r="AB1884" s="195">
        <f t="shared" ca="1" si="415"/>
        <v>0</v>
      </c>
      <c r="AD1884" s="196">
        <f>IFERROR($G1884/SUMIF($A:$A,$A1884,$G:$G)*SUMIF(Summary!$A$166:$A$242,$A1884,Summary!$P$166:$P$242),0)</f>
        <v>0</v>
      </c>
      <c r="AE1884" s="197">
        <f t="shared" ca="1" si="416"/>
        <v>0</v>
      </c>
      <c r="AF1884" s="196">
        <f>IFERROR(G1884/SUMIF(A:A,A1884,G:G)*SUMIF(Summary!$A$166:$A$242,'Operations Support'!A1884,Summary!$Q$166:$Q$242),0)</f>
        <v>0</v>
      </c>
      <c r="AG1884" s="196">
        <f t="shared" ca="1" si="417"/>
        <v>0</v>
      </c>
      <c r="AI1884" s="196">
        <f>IFERROR($G1884/SUMIF($A:$A,$A1884,$G:$G)*SUMIF(Summary!$A$247:$A$283,$A1884,Summary!$P$247:$P$283),0)</f>
        <v>0</v>
      </c>
      <c r="AJ1884" s="196">
        <f>IFERROR($G1884/SUMIF($A:$A,$A1884,$G:$G)*(SUMIF(Summary!$A$247:$A$283,$A1884,Summary!$L$247:$L$283)+SUMIF(Summary!$A$297:$A$333,$A1884,Summary!$L$297:$L$333))-AI1884,0)</f>
        <v>0</v>
      </c>
      <c r="AK1884" s="196">
        <f>IFERROR($G1884/SUMIF($A:$A,$A1884,$G:$G)*SUMIF(Summary!$A$247:$A$283,$A1884,Summary!$Q$247:$Q$283),0)</f>
        <v>0</v>
      </c>
      <c r="AL1884" s="196">
        <f>IFERROR($G1884/SUMIF($A:$A,$A1884,$G:$G)*(SUMIF(Summary!$A$247:$A$283,$A1884,Summary!$L$247:$L$283)+SUMIF(Summary!$A$297:$A$333,$A1884,Summary!$L$297:$L$333))-AK1884,0)</f>
        <v>0</v>
      </c>
      <c r="AM1884" s="198"/>
      <c r="AN1884" s="196">
        <f t="shared" ca="1" si="418"/>
        <v>0</v>
      </c>
      <c r="AO1884" s="196">
        <f t="shared" ca="1" si="419"/>
        <v>0</v>
      </c>
    </row>
    <row r="1885" spans="1:41">
      <c r="A1885" s="189">
        <v>3646</v>
      </c>
      <c r="B1885" s="190">
        <v>5</v>
      </c>
      <c r="C1885" s="191" t="s">
        <v>231</v>
      </c>
      <c r="D1885" s="192">
        <f t="shared" si="406"/>
        <v>0</v>
      </c>
      <c r="E1885" s="192">
        <f t="shared" si="407"/>
        <v>0</v>
      </c>
      <c r="F1885" s="192">
        <f t="shared" si="408"/>
        <v>0</v>
      </c>
      <c r="G1885" s="193">
        <f t="shared" si="409"/>
        <v>0</v>
      </c>
      <c r="H1885" s="194">
        <v>0</v>
      </c>
      <c r="I1885" s="194">
        <v>0</v>
      </c>
      <c r="J1885" s="194">
        <v>0</v>
      </c>
      <c r="K1885" s="193">
        <f t="shared" si="410"/>
        <v>0</v>
      </c>
      <c r="L1885" s="194">
        <v>0</v>
      </c>
      <c r="M1885" s="194">
        <v>0</v>
      </c>
      <c r="N1885" s="194">
        <v>0</v>
      </c>
      <c r="O1885" s="193">
        <f t="shared" si="411"/>
        <v>0</v>
      </c>
      <c r="P1885" s="194">
        <v>0</v>
      </c>
      <c r="Q1885" s="194">
        <v>0</v>
      </c>
      <c r="R1885" s="194">
        <v>0</v>
      </c>
      <c r="S1885" s="193">
        <f t="shared" si="412"/>
        <v>0</v>
      </c>
      <c r="T1885" s="193">
        <f t="shared" si="413"/>
        <v>0</v>
      </c>
      <c r="U1885" s="193">
        <f ca="1">OFFSET('Expenditure Study'!$B$7,'Operations Support'!$C1885,'Operations Support'!$B1885)*$G1885</f>
        <v>0</v>
      </c>
      <c r="V1885" s="199">
        <f ca="1">U1885*'Expenditure Study'!$B$31</f>
        <v>0</v>
      </c>
      <c r="W1885" s="199">
        <f ca="1">IF(A1885=10298,1.51,1)*IF($B1885&lt;3,$D1885*'Expenditure Study'!$B$32*OFFSET('Expenditure Study'!$B$7,'Operations Support'!$C1885,'Operations Support'!$B1885),0)</f>
        <v>0</v>
      </c>
      <c r="X1885" s="200">
        <f ca="1">W1885*'Expenditure Study'!$B$31</f>
        <v>0</v>
      </c>
      <c r="Y1885" s="199">
        <f ca="1">U1885*'Expenditure Study'!$B$31</f>
        <v>0</v>
      </c>
      <c r="Z1885" s="200">
        <f ca="1">W1885*'Expenditure Study'!$B$31</f>
        <v>0</v>
      </c>
      <c r="AA1885" s="195">
        <f t="shared" ca="1" si="414"/>
        <v>0</v>
      </c>
      <c r="AB1885" s="195">
        <f t="shared" ca="1" si="415"/>
        <v>0</v>
      </c>
      <c r="AD1885" s="196">
        <f>IFERROR($G1885/SUMIF($A:$A,$A1885,$G:$G)*SUMIF(Summary!$A$166:$A$242,$A1885,Summary!$P$166:$P$242),0)</f>
        <v>0</v>
      </c>
      <c r="AE1885" s="197">
        <f t="shared" ca="1" si="416"/>
        <v>0</v>
      </c>
      <c r="AF1885" s="196">
        <f>IFERROR(G1885/SUMIF(A:A,A1885,G:G)*SUMIF(Summary!$A$166:$A$242,'Operations Support'!A1885,Summary!$Q$166:$Q$242),0)</f>
        <v>0</v>
      </c>
      <c r="AG1885" s="196">
        <f t="shared" ca="1" si="417"/>
        <v>0</v>
      </c>
      <c r="AI1885" s="196">
        <f>IFERROR($G1885/SUMIF($A:$A,$A1885,$G:$G)*SUMIF(Summary!$A$247:$A$283,$A1885,Summary!$P$247:$P$283),0)</f>
        <v>0</v>
      </c>
      <c r="AJ1885" s="196">
        <f>IFERROR($G1885/SUMIF($A:$A,$A1885,$G:$G)*(SUMIF(Summary!$A$247:$A$283,$A1885,Summary!$L$247:$L$283)+SUMIF(Summary!$A$297:$A$333,$A1885,Summary!$L$297:$L$333))-AI1885,0)</f>
        <v>0</v>
      </c>
      <c r="AK1885" s="196">
        <f>IFERROR($G1885/SUMIF($A:$A,$A1885,$G:$G)*SUMIF(Summary!$A$247:$A$283,$A1885,Summary!$Q$247:$Q$283),0)</f>
        <v>0</v>
      </c>
      <c r="AL1885" s="196">
        <f>IFERROR($G1885/SUMIF($A:$A,$A1885,$G:$G)*(SUMIF(Summary!$A$247:$A$283,$A1885,Summary!$L$247:$L$283)+SUMIF(Summary!$A$297:$A$333,$A1885,Summary!$L$297:$L$333))-AK1885,0)</f>
        <v>0</v>
      </c>
      <c r="AM1885" s="198"/>
      <c r="AN1885" s="196">
        <f t="shared" ca="1" si="418"/>
        <v>0</v>
      </c>
      <c r="AO1885" s="196">
        <f t="shared" ca="1" si="419"/>
        <v>0</v>
      </c>
    </row>
    <row r="1886" spans="1:41">
      <c r="A1886" s="189">
        <v>3646</v>
      </c>
      <c r="B1886" s="190">
        <v>5</v>
      </c>
      <c r="C1886" s="191" t="s">
        <v>232</v>
      </c>
      <c r="D1886" s="192">
        <f t="shared" si="406"/>
        <v>0</v>
      </c>
      <c r="E1886" s="192">
        <f t="shared" si="407"/>
        <v>0</v>
      </c>
      <c r="F1886" s="192">
        <f t="shared" si="408"/>
        <v>0</v>
      </c>
      <c r="G1886" s="193">
        <f t="shared" si="409"/>
        <v>0</v>
      </c>
      <c r="H1886" s="194">
        <v>0</v>
      </c>
      <c r="I1886" s="194">
        <v>0</v>
      </c>
      <c r="J1886" s="194">
        <v>0</v>
      </c>
      <c r="K1886" s="193">
        <f t="shared" si="410"/>
        <v>0</v>
      </c>
      <c r="L1886" s="194">
        <v>0</v>
      </c>
      <c r="M1886" s="194">
        <v>0</v>
      </c>
      <c r="N1886" s="194">
        <v>0</v>
      </c>
      <c r="O1886" s="193">
        <f t="shared" si="411"/>
        <v>0</v>
      </c>
      <c r="P1886" s="194">
        <v>0</v>
      </c>
      <c r="Q1886" s="194">
        <v>0</v>
      </c>
      <c r="R1886" s="194">
        <v>0</v>
      </c>
      <c r="S1886" s="193">
        <f t="shared" si="412"/>
        <v>0</v>
      </c>
      <c r="T1886" s="193">
        <f t="shared" si="413"/>
        <v>0</v>
      </c>
      <c r="U1886" s="193">
        <f ca="1">OFFSET('Expenditure Study'!$B$7,'Operations Support'!$C1886,'Operations Support'!$B1886)*$G1886</f>
        <v>0</v>
      </c>
      <c r="V1886" s="199">
        <f ca="1">U1886*'Expenditure Study'!$B$31</f>
        <v>0</v>
      </c>
      <c r="W1886" s="199">
        <f ca="1">IF(A1886=10298,1.51,1)*IF($B1886&lt;3,$D1886*'Expenditure Study'!$B$32*OFFSET('Expenditure Study'!$B$7,'Operations Support'!$C1886,'Operations Support'!$B1886),0)</f>
        <v>0</v>
      </c>
      <c r="X1886" s="200">
        <f ca="1">W1886*'Expenditure Study'!$B$31</f>
        <v>0</v>
      </c>
      <c r="Y1886" s="199">
        <f ca="1">U1886*'Expenditure Study'!$B$31</f>
        <v>0</v>
      </c>
      <c r="Z1886" s="200">
        <f ca="1">W1886*'Expenditure Study'!$B$31</f>
        <v>0</v>
      </c>
      <c r="AA1886" s="195">
        <f t="shared" ca="1" si="414"/>
        <v>0</v>
      </c>
      <c r="AB1886" s="195">
        <f t="shared" ca="1" si="415"/>
        <v>0</v>
      </c>
      <c r="AD1886" s="196">
        <f>IFERROR($G1886/SUMIF($A:$A,$A1886,$G:$G)*SUMIF(Summary!$A$166:$A$242,$A1886,Summary!$P$166:$P$242),0)</f>
        <v>0</v>
      </c>
      <c r="AE1886" s="197">
        <f t="shared" ca="1" si="416"/>
        <v>0</v>
      </c>
      <c r="AF1886" s="196">
        <f>IFERROR(G1886/SUMIF(A:A,A1886,G:G)*SUMIF(Summary!$A$166:$A$242,'Operations Support'!A1886,Summary!$Q$166:$Q$242),0)</f>
        <v>0</v>
      </c>
      <c r="AG1886" s="196">
        <f t="shared" ca="1" si="417"/>
        <v>0</v>
      </c>
      <c r="AI1886" s="196">
        <f>IFERROR($G1886/SUMIF($A:$A,$A1886,$G:$G)*SUMIF(Summary!$A$247:$A$283,$A1886,Summary!$P$247:$P$283),0)</f>
        <v>0</v>
      </c>
      <c r="AJ1886" s="196">
        <f>IFERROR($G1886/SUMIF($A:$A,$A1886,$G:$G)*(SUMIF(Summary!$A$247:$A$283,$A1886,Summary!$L$247:$L$283)+SUMIF(Summary!$A$297:$A$333,$A1886,Summary!$L$297:$L$333))-AI1886,0)</f>
        <v>0</v>
      </c>
      <c r="AK1886" s="196">
        <f>IFERROR($G1886/SUMIF($A:$A,$A1886,$G:$G)*SUMIF(Summary!$A$247:$A$283,$A1886,Summary!$Q$247:$Q$283),0)</f>
        <v>0</v>
      </c>
      <c r="AL1886" s="196">
        <f>IFERROR($G1886/SUMIF($A:$A,$A1886,$G:$G)*(SUMIF(Summary!$A$247:$A$283,$A1886,Summary!$L$247:$L$283)+SUMIF(Summary!$A$297:$A$333,$A1886,Summary!$L$297:$L$333))-AK1886,0)</f>
        <v>0</v>
      </c>
      <c r="AM1886" s="198"/>
      <c r="AN1886" s="196">
        <f t="shared" ca="1" si="418"/>
        <v>0</v>
      </c>
      <c r="AO1886" s="196">
        <f t="shared" ca="1" si="419"/>
        <v>0</v>
      </c>
    </row>
    <row r="1887" spans="1:41">
      <c r="A1887" s="189">
        <v>3646</v>
      </c>
      <c r="B1887" s="190">
        <v>5</v>
      </c>
      <c r="C1887" s="191" t="s">
        <v>233</v>
      </c>
      <c r="D1887" s="192">
        <f t="shared" si="406"/>
        <v>5443.1700000000073</v>
      </c>
      <c r="E1887" s="192">
        <f t="shared" si="407"/>
        <v>4538.83</v>
      </c>
      <c r="F1887" s="192">
        <f t="shared" si="408"/>
        <v>0</v>
      </c>
      <c r="G1887" s="193">
        <f t="shared" si="409"/>
        <v>9982.0000000000073</v>
      </c>
      <c r="H1887" s="194">
        <v>2577.04000000002</v>
      </c>
      <c r="I1887" s="194">
        <v>1361.96</v>
      </c>
      <c r="J1887" s="194">
        <v>0</v>
      </c>
      <c r="K1887" s="193">
        <f t="shared" si="410"/>
        <v>3939.00000000002</v>
      </c>
      <c r="L1887" s="194">
        <v>2039.20999999999</v>
      </c>
      <c r="M1887" s="194">
        <v>1957.79</v>
      </c>
      <c r="N1887" s="194">
        <v>0</v>
      </c>
      <c r="O1887" s="193">
        <f t="shared" si="411"/>
        <v>3996.99999999999</v>
      </c>
      <c r="P1887" s="194">
        <v>826.919999999997</v>
      </c>
      <c r="Q1887" s="194">
        <v>1219.08</v>
      </c>
      <c r="R1887" s="194">
        <v>0</v>
      </c>
      <c r="S1887" s="193">
        <f t="shared" si="412"/>
        <v>2045.9999999999968</v>
      </c>
      <c r="T1887" s="193">
        <f t="shared" si="413"/>
        <v>415.91666666666697</v>
      </c>
      <c r="U1887" s="193">
        <f ca="1">OFFSET('Expenditure Study'!$B$7,'Operations Support'!$C1887,'Operations Support'!$B1887)*$G1887</f>
        <v>32740.960000000021</v>
      </c>
      <c r="V1887" s="199">
        <f ca="1">U1887*'Expenditure Study'!$B$31</f>
        <v>1934440.0592455692</v>
      </c>
      <c r="W1887" s="199">
        <f ca="1">IF(A1887=10298,1.51,1)*IF($B1887&lt;3,$D1887*'Expenditure Study'!$B$32*OFFSET('Expenditure Study'!$B$7,'Operations Support'!$C1887,'Operations Support'!$B1887),0)</f>
        <v>0</v>
      </c>
      <c r="X1887" s="200">
        <f ca="1">W1887*'Expenditure Study'!$B$31</f>
        <v>0</v>
      </c>
      <c r="Y1887" s="199">
        <f ca="1">U1887*'Expenditure Study'!$B$31</f>
        <v>1934440.0592455692</v>
      </c>
      <c r="Z1887" s="200">
        <f ca="1">W1887*'Expenditure Study'!$B$31</f>
        <v>0</v>
      </c>
      <c r="AA1887" s="195">
        <f t="shared" ca="1" si="414"/>
        <v>1934440.0592455692</v>
      </c>
      <c r="AB1887" s="195">
        <f t="shared" ca="1" si="415"/>
        <v>1934440.0592455692</v>
      </c>
      <c r="AD1887" s="196">
        <f>IFERROR($G1887/SUMIF($A:$A,$A1887,$G:$G)*SUMIF(Summary!$A$166:$A$242,$A1887,Summary!$P$166:$P$242),0)</f>
        <v>234393.34410163577</v>
      </c>
      <c r="AE1887" s="197">
        <f t="shared" ca="1" si="416"/>
        <v>1700046.7151439334</v>
      </c>
      <c r="AF1887" s="196">
        <f>IFERROR(G1887/SUMIF(A:A,A1887,G:G)*SUMIF(Summary!$A$166:$A$242,'Operations Support'!A1887,Summary!$Q$166:$Q$242),0)</f>
        <v>234890.97982777446</v>
      </c>
      <c r="AG1887" s="196">
        <f t="shared" ca="1" si="417"/>
        <v>1699549.0794177947</v>
      </c>
      <c r="AI1887" s="196">
        <f>IFERROR($G1887/SUMIF($A:$A,$A1887,$G:$G)*SUMIF(Summary!$A$247:$A$283,$A1887,Summary!$P$247:$P$283),0)</f>
        <v>42747.496743437405</v>
      </c>
      <c r="AJ1887" s="196">
        <f>IFERROR($G1887/SUMIF($A:$A,$A1887,$G:$G)*(SUMIF(Summary!$A$247:$A$283,$A1887,Summary!$L$247:$L$283)+SUMIF(Summary!$A$297:$A$333,$A1887,Summary!$L$297:$L$333))-AI1887,0)</f>
        <v>153203.72471934569</v>
      </c>
      <c r="AK1887" s="196">
        <f>IFERROR($G1887/SUMIF($A:$A,$A1887,$G:$G)*SUMIF(Summary!$A$247:$A$283,$A1887,Summary!$Q$247:$Q$283),0)</f>
        <v>42838.253081523988</v>
      </c>
      <c r="AL1887" s="196">
        <f>IFERROR($G1887/SUMIF($A:$A,$A1887,$G:$G)*(SUMIF(Summary!$A$247:$A$283,$A1887,Summary!$L$247:$L$283)+SUMIF(Summary!$A$297:$A$333,$A1887,Summary!$L$297:$L$333))-AK1887,0)</f>
        <v>153112.9683812591</v>
      </c>
      <c r="AM1887" s="198"/>
      <c r="AN1887" s="196">
        <f t="shared" ca="1" si="418"/>
        <v>1853250.439863279</v>
      </c>
      <c r="AO1887" s="196">
        <f t="shared" ca="1" si="419"/>
        <v>1852662.0477990538</v>
      </c>
    </row>
    <row r="1888" spans="1:41">
      <c r="A1888" s="189">
        <v>3646</v>
      </c>
      <c r="B1888" s="190">
        <v>5</v>
      </c>
      <c r="C1888" s="191" t="s">
        <v>234</v>
      </c>
      <c r="D1888" s="192">
        <f t="shared" si="406"/>
        <v>0</v>
      </c>
      <c r="E1888" s="192">
        <f t="shared" si="407"/>
        <v>0</v>
      </c>
      <c r="F1888" s="192">
        <f t="shared" si="408"/>
        <v>0</v>
      </c>
      <c r="G1888" s="193">
        <f t="shared" si="409"/>
        <v>0</v>
      </c>
      <c r="H1888" s="194">
        <v>0</v>
      </c>
      <c r="I1888" s="194">
        <v>0</v>
      </c>
      <c r="J1888" s="194">
        <v>0</v>
      </c>
      <c r="K1888" s="193">
        <f t="shared" si="410"/>
        <v>0</v>
      </c>
      <c r="L1888" s="194">
        <v>0</v>
      </c>
      <c r="M1888" s="194">
        <v>0</v>
      </c>
      <c r="N1888" s="194">
        <v>0</v>
      </c>
      <c r="O1888" s="193">
        <f t="shared" si="411"/>
        <v>0</v>
      </c>
      <c r="P1888" s="194">
        <v>0</v>
      </c>
      <c r="Q1888" s="194">
        <v>0</v>
      </c>
      <c r="R1888" s="194">
        <v>0</v>
      </c>
      <c r="S1888" s="193">
        <f t="shared" si="412"/>
        <v>0</v>
      </c>
      <c r="T1888" s="193">
        <f t="shared" si="413"/>
        <v>0</v>
      </c>
      <c r="U1888" s="193">
        <f ca="1">OFFSET('Expenditure Study'!$B$7,'Operations Support'!$C1888,'Operations Support'!$B1888)*$G1888</f>
        <v>0</v>
      </c>
      <c r="V1888" s="199">
        <f ca="1">U1888*'Expenditure Study'!$B$31</f>
        <v>0</v>
      </c>
      <c r="W1888" s="199">
        <f ca="1">IF(A1888=10298,1.51,1)*IF($B1888&lt;3,$D1888*'Expenditure Study'!$B$32*OFFSET('Expenditure Study'!$B$7,'Operations Support'!$C1888,'Operations Support'!$B1888),0)</f>
        <v>0</v>
      </c>
      <c r="X1888" s="200">
        <f ca="1">W1888*'Expenditure Study'!$B$31</f>
        <v>0</v>
      </c>
      <c r="Y1888" s="199">
        <f ca="1">U1888*'Expenditure Study'!$B$31</f>
        <v>0</v>
      </c>
      <c r="Z1888" s="200">
        <f ca="1">W1888*'Expenditure Study'!$B$31</f>
        <v>0</v>
      </c>
      <c r="AA1888" s="195">
        <f t="shared" ca="1" si="414"/>
        <v>0</v>
      </c>
      <c r="AB1888" s="195">
        <f t="shared" ca="1" si="415"/>
        <v>0</v>
      </c>
      <c r="AD1888" s="196">
        <f>IFERROR($G1888/SUMIF($A:$A,$A1888,$G:$G)*SUMIF(Summary!$A$166:$A$242,$A1888,Summary!$P$166:$P$242),0)</f>
        <v>0</v>
      </c>
      <c r="AE1888" s="197">
        <f t="shared" ca="1" si="416"/>
        <v>0</v>
      </c>
      <c r="AF1888" s="196">
        <f>IFERROR(G1888/SUMIF(A:A,A1888,G:G)*SUMIF(Summary!$A$166:$A$242,'Operations Support'!A1888,Summary!$Q$166:$Q$242),0)</f>
        <v>0</v>
      </c>
      <c r="AG1888" s="196">
        <f t="shared" ca="1" si="417"/>
        <v>0</v>
      </c>
      <c r="AI1888" s="196">
        <f>IFERROR($G1888/SUMIF($A:$A,$A1888,$G:$G)*SUMIF(Summary!$A$247:$A$283,$A1888,Summary!$P$247:$P$283),0)</f>
        <v>0</v>
      </c>
      <c r="AJ1888" s="196">
        <f>IFERROR($G1888/SUMIF($A:$A,$A1888,$G:$G)*(SUMIF(Summary!$A$247:$A$283,$A1888,Summary!$L$247:$L$283)+SUMIF(Summary!$A$297:$A$333,$A1888,Summary!$L$297:$L$333))-AI1888,0)</f>
        <v>0</v>
      </c>
      <c r="AK1888" s="196">
        <f>IFERROR($G1888/SUMIF($A:$A,$A1888,$G:$G)*SUMIF(Summary!$A$247:$A$283,$A1888,Summary!$Q$247:$Q$283),0)</f>
        <v>0</v>
      </c>
      <c r="AL1888" s="196">
        <f>IFERROR($G1888/SUMIF($A:$A,$A1888,$G:$G)*(SUMIF(Summary!$A$247:$A$283,$A1888,Summary!$L$247:$L$283)+SUMIF(Summary!$A$297:$A$333,$A1888,Summary!$L$297:$L$333))-AK1888,0)</f>
        <v>0</v>
      </c>
      <c r="AM1888" s="198"/>
      <c r="AN1888" s="196">
        <f t="shared" ca="1" si="418"/>
        <v>0</v>
      </c>
      <c r="AO1888" s="196">
        <f t="shared" ca="1" si="419"/>
        <v>0</v>
      </c>
    </row>
    <row r="1889" spans="1:41">
      <c r="A1889" s="189">
        <v>3646</v>
      </c>
      <c r="B1889" s="190">
        <v>5</v>
      </c>
      <c r="C1889" s="191" t="s">
        <v>235</v>
      </c>
      <c r="D1889" s="192">
        <f t="shared" si="406"/>
        <v>0</v>
      </c>
      <c r="E1889" s="192">
        <f t="shared" si="407"/>
        <v>0</v>
      </c>
      <c r="F1889" s="192">
        <f t="shared" si="408"/>
        <v>0</v>
      </c>
      <c r="G1889" s="193">
        <f t="shared" si="409"/>
        <v>0</v>
      </c>
      <c r="H1889" s="194">
        <v>0</v>
      </c>
      <c r="I1889" s="194">
        <v>0</v>
      </c>
      <c r="J1889" s="194">
        <v>0</v>
      </c>
      <c r="K1889" s="193">
        <f t="shared" si="410"/>
        <v>0</v>
      </c>
      <c r="L1889" s="194">
        <v>0</v>
      </c>
      <c r="M1889" s="194">
        <v>0</v>
      </c>
      <c r="N1889" s="194">
        <v>0</v>
      </c>
      <c r="O1889" s="193">
        <f t="shared" si="411"/>
        <v>0</v>
      </c>
      <c r="P1889" s="194">
        <v>0</v>
      </c>
      <c r="Q1889" s="194">
        <v>0</v>
      </c>
      <c r="R1889" s="194">
        <v>0</v>
      </c>
      <c r="S1889" s="193">
        <f t="shared" si="412"/>
        <v>0</v>
      </c>
      <c r="T1889" s="193">
        <f t="shared" si="413"/>
        <v>0</v>
      </c>
      <c r="U1889" s="193">
        <f ca="1">OFFSET('Expenditure Study'!$B$7,'Operations Support'!$C1889,'Operations Support'!$B1889)*$G1889</f>
        <v>0</v>
      </c>
      <c r="V1889" s="199">
        <f ca="1">U1889*'Expenditure Study'!$B$31</f>
        <v>0</v>
      </c>
      <c r="W1889" s="199">
        <f ca="1">IF(A1889=10298,1.51,1)*IF($B1889&lt;3,$D1889*'Expenditure Study'!$B$32*OFFSET('Expenditure Study'!$B$7,'Operations Support'!$C1889,'Operations Support'!$B1889),0)</f>
        <v>0</v>
      </c>
      <c r="X1889" s="200">
        <f ca="1">W1889*'Expenditure Study'!$B$31</f>
        <v>0</v>
      </c>
      <c r="Y1889" s="199">
        <f ca="1">U1889*'Expenditure Study'!$B$31</f>
        <v>0</v>
      </c>
      <c r="Z1889" s="200">
        <f ca="1">W1889*'Expenditure Study'!$B$31</f>
        <v>0</v>
      </c>
      <c r="AA1889" s="195">
        <f t="shared" ca="1" si="414"/>
        <v>0</v>
      </c>
      <c r="AB1889" s="195">
        <f t="shared" ca="1" si="415"/>
        <v>0</v>
      </c>
      <c r="AD1889" s="196">
        <f>IFERROR($G1889/SUMIF($A:$A,$A1889,$G:$G)*SUMIF(Summary!$A$166:$A$242,$A1889,Summary!$P$166:$P$242),0)</f>
        <v>0</v>
      </c>
      <c r="AE1889" s="197">
        <f t="shared" ca="1" si="416"/>
        <v>0</v>
      </c>
      <c r="AF1889" s="196">
        <f>IFERROR(G1889/SUMIF(A:A,A1889,G:G)*SUMIF(Summary!$A$166:$A$242,'Operations Support'!A1889,Summary!$Q$166:$Q$242),0)</f>
        <v>0</v>
      </c>
      <c r="AG1889" s="196">
        <f t="shared" ca="1" si="417"/>
        <v>0</v>
      </c>
      <c r="AI1889" s="196">
        <f>IFERROR($G1889/SUMIF($A:$A,$A1889,$G:$G)*SUMIF(Summary!$A$247:$A$283,$A1889,Summary!$P$247:$P$283),0)</f>
        <v>0</v>
      </c>
      <c r="AJ1889" s="196">
        <f>IFERROR($G1889/SUMIF($A:$A,$A1889,$G:$G)*(SUMIF(Summary!$A$247:$A$283,$A1889,Summary!$L$247:$L$283)+SUMIF(Summary!$A$297:$A$333,$A1889,Summary!$L$297:$L$333))-AI1889,0)</f>
        <v>0</v>
      </c>
      <c r="AK1889" s="196">
        <f>IFERROR($G1889/SUMIF($A:$A,$A1889,$G:$G)*SUMIF(Summary!$A$247:$A$283,$A1889,Summary!$Q$247:$Q$283),0)</f>
        <v>0</v>
      </c>
      <c r="AL1889" s="196">
        <f>IFERROR($G1889/SUMIF($A:$A,$A1889,$G:$G)*(SUMIF(Summary!$A$247:$A$283,$A1889,Summary!$L$247:$L$283)+SUMIF(Summary!$A$297:$A$333,$A1889,Summary!$L$297:$L$333))-AK1889,0)</f>
        <v>0</v>
      </c>
      <c r="AM1889" s="198"/>
      <c r="AN1889" s="196">
        <f t="shared" ca="1" si="418"/>
        <v>0</v>
      </c>
      <c r="AO1889" s="196">
        <f t="shared" ca="1" si="419"/>
        <v>0</v>
      </c>
    </row>
    <row r="1890" spans="1:41" s="201" customFormat="1">
      <c r="A1890" s="189">
        <v>3646</v>
      </c>
      <c r="B1890" s="190">
        <v>5</v>
      </c>
      <c r="C1890" s="191" t="s">
        <v>236</v>
      </c>
      <c r="D1890" s="192">
        <f t="shared" si="406"/>
        <v>0</v>
      </c>
      <c r="E1890" s="192">
        <f t="shared" si="407"/>
        <v>0</v>
      </c>
      <c r="F1890" s="192">
        <f t="shared" si="408"/>
        <v>0</v>
      </c>
      <c r="G1890" s="193">
        <f t="shared" si="409"/>
        <v>0</v>
      </c>
      <c r="H1890" s="194">
        <v>0</v>
      </c>
      <c r="I1890" s="194">
        <v>0</v>
      </c>
      <c r="J1890" s="194">
        <v>0</v>
      </c>
      <c r="K1890" s="193">
        <f t="shared" si="410"/>
        <v>0</v>
      </c>
      <c r="L1890" s="194">
        <v>0</v>
      </c>
      <c r="M1890" s="194">
        <v>0</v>
      </c>
      <c r="N1890" s="194">
        <v>0</v>
      </c>
      <c r="O1890" s="193">
        <f t="shared" si="411"/>
        <v>0</v>
      </c>
      <c r="P1890" s="194">
        <v>0</v>
      </c>
      <c r="Q1890" s="194">
        <v>0</v>
      </c>
      <c r="R1890" s="194">
        <v>0</v>
      </c>
      <c r="S1890" s="193">
        <f t="shared" si="412"/>
        <v>0</v>
      </c>
      <c r="T1890" s="193">
        <f t="shared" si="413"/>
        <v>0</v>
      </c>
      <c r="U1890" s="193">
        <f ca="1">OFFSET('Expenditure Study'!$B$7,'Operations Support'!$C1890,'Operations Support'!$B1890)*$G1890</f>
        <v>0</v>
      </c>
      <c r="V1890" s="199">
        <f ca="1">U1890*'Expenditure Study'!$B$31</f>
        <v>0</v>
      </c>
      <c r="W1890" s="199">
        <f ca="1">IF(A1890=10298,1.51,1)*IF($B1890&lt;3,$D1890*'Expenditure Study'!$B$32*OFFSET('Expenditure Study'!$B$7,'Operations Support'!$C1890,'Operations Support'!$B1890),0)</f>
        <v>0</v>
      </c>
      <c r="X1890" s="200">
        <f ca="1">W1890*'Expenditure Study'!$B$31</f>
        <v>0</v>
      </c>
      <c r="Y1890" s="199">
        <f ca="1">U1890*'Expenditure Study'!$B$31</f>
        <v>0</v>
      </c>
      <c r="Z1890" s="200">
        <f ca="1">W1890*'Expenditure Study'!$B$31</f>
        <v>0</v>
      </c>
      <c r="AA1890" s="195">
        <f t="shared" ca="1" si="414"/>
        <v>0</v>
      </c>
      <c r="AB1890" s="195">
        <f t="shared" ca="1" si="415"/>
        <v>0</v>
      </c>
      <c r="AD1890" s="196">
        <f>IFERROR($G1890/SUMIF($A:$A,$A1890,$G:$G)*SUMIF(Summary!$A$166:$A$242,$A1890,Summary!$P$166:$P$242),0)</f>
        <v>0</v>
      </c>
      <c r="AE1890" s="197">
        <f t="shared" ca="1" si="416"/>
        <v>0</v>
      </c>
      <c r="AF1890" s="196">
        <f>IFERROR(G1890/SUMIF(A:A,A1890,G:G)*SUMIF(Summary!$A$166:$A$242,'Operations Support'!A1890,Summary!$Q$166:$Q$242),0)</f>
        <v>0</v>
      </c>
      <c r="AG1890" s="196">
        <f t="shared" ca="1" si="417"/>
        <v>0</v>
      </c>
      <c r="AH1890" s="180"/>
      <c r="AI1890" s="196">
        <f>IFERROR($G1890/SUMIF($A:$A,$A1890,$G:$G)*SUMIF(Summary!$A$247:$A$283,$A1890,Summary!$P$247:$P$283),0)</f>
        <v>0</v>
      </c>
      <c r="AJ1890" s="196">
        <f>IFERROR($G1890/SUMIF($A:$A,$A1890,$G:$G)*(SUMIF(Summary!$A$247:$A$283,$A1890,Summary!$L$247:$L$283)+SUMIF(Summary!$A$297:$A$333,$A1890,Summary!$L$297:$L$333))-AI1890,0)</f>
        <v>0</v>
      </c>
      <c r="AK1890" s="196">
        <f>IFERROR($G1890/SUMIF($A:$A,$A1890,$G:$G)*SUMIF(Summary!$A$247:$A$283,$A1890,Summary!$Q$247:$Q$283),0)</f>
        <v>0</v>
      </c>
      <c r="AL1890" s="196">
        <f>IFERROR($G1890/SUMIF($A:$A,$A1890,$G:$G)*(SUMIF(Summary!$A$247:$A$283,$A1890,Summary!$L$247:$L$283)+SUMIF(Summary!$A$297:$A$333,$A1890,Summary!$L$297:$L$333))-AK1890,0)</f>
        <v>0</v>
      </c>
      <c r="AM1890" s="198"/>
      <c r="AN1890" s="196">
        <f t="shared" ca="1" si="418"/>
        <v>0</v>
      </c>
      <c r="AO1890" s="196">
        <f t="shared" ca="1" si="419"/>
        <v>0</v>
      </c>
    </row>
    <row r="1891" spans="1:41" s="201" customFormat="1">
      <c r="A1891" s="189">
        <v>3646</v>
      </c>
      <c r="B1891" s="190">
        <v>5</v>
      </c>
      <c r="C1891" s="191" t="s">
        <v>237</v>
      </c>
      <c r="D1891" s="192">
        <f t="shared" si="406"/>
        <v>0</v>
      </c>
      <c r="E1891" s="192">
        <f t="shared" si="407"/>
        <v>0</v>
      </c>
      <c r="F1891" s="192">
        <f t="shared" si="408"/>
        <v>0</v>
      </c>
      <c r="G1891" s="193">
        <f t="shared" si="409"/>
        <v>0</v>
      </c>
      <c r="H1891" s="194">
        <v>0</v>
      </c>
      <c r="I1891" s="194">
        <v>0</v>
      </c>
      <c r="J1891" s="194">
        <v>0</v>
      </c>
      <c r="K1891" s="193">
        <f t="shared" si="410"/>
        <v>0</v>
      </c>
      <c r="L1891" s="194">
        <v>0</v>
      </c>
      <c r="M1891" s="194">
        <v>0</v>
      </c>
      <c r="N1891" s="194">
        <v>0</v>
      </c>
      <c r="O1891" s="193">
        <f t="shared" si="411"/>
        <v>0</v>
      </c>
      <c r="P1891" s="194">
        <v>0</v>
      </c>
      <c r="Q1891" s="194">
        <v>0</v>
      </c>
      <c r="R1891" s="194">
        <v>0</v>
      </c>
      <c r="S1891" s="193">
        <f t="shared" si="412"/>
        <v>0</v>
      </c>
      <c r="T1891" s="193">
        <f t="shared" si="413"/>
        <v>0</v>
      </c>
      <c r="U1891" s="193">
        <f ca="1">OFFSET('Expenditure Study'!$B$7,'Operations Support'!$C1891,'Operations Support'!$B1891)*$G1891</f>
        <v>0</v>
      </c>
      <c r="V1891" s="199">
        <f ca="1">U1891*'Expenditure Study'!$B$31</f>
        <v>0</v>
      </c>
      <c r="W1891" s="199">
        <f ca="1">IF(A1891=10298,1.51,1)*IF($B1891&lt;3,$D1891*'Expenditure Study'!$B$32*OFFSET('Expenditure Study'!$B$7,'Operations Support'!$C1891,'Operations Support'!$B1891),0)</f>
        <v>0</v>
      </c>
      <c r="X1891" s="200">
        <f ca="1">W1891*'Expenditure Study'!$B$31</f>
        <v>0</v>
      </c>
      <c r="Y1891" s="199">
        <f ca="1">U1891*'Expenditure Study'!$B$31</f>
        <v>0</v>
      </c>
      <c r="Z1891" s="200">
        <f ca="1">W1891*'Expenditure Study'!$B$31</f>
        <v>0</v>
      </c>
      <c r="AA1891" s="195">
        <f t="shared" ca="1" si="414"/>
        <v>0</v>
      </c>
      <c r="AB1891" s="195">
        <f t="shared" ca="1" si="415"/>
        <v>0</v>
      </c>
      <c r="AD1891" s="196">
        <f>IFERROR($G1891/SUMIF($A:$A,$A1891,$G:$G)*SUMIF(Summary!$A$166:$A$242,$A1891,Summary!$P$166:$P$242),0)</f>
        <v>0</v>
      </c>
      <c r="AE1891" s="197">
        <f t="shared" ca="1" si="416"/>
        <v>0</v>
      </c>
      <c r="AF1891" s="196">
        <f>IFERROR(G1891/SUMIF(A:A,A1891,G:G)*SUMIF(Summary!$A$166:$A$242,'Operations Support'!A1891,Summary!$Q$166:$Q$242),0)</f>
        <v>0</v>
      </c>
      <c r="AG1891" s="196">
        <f t="shared" ca="1" si="417"/>
        <v>0</v>
      </c>
      <c r="AH1891" s="180"/>
      <c r="AI1891" s="196">
        <f>IFERROR($G1891/SUMIF($A:$A,$A1891,$G:$G)*SUMIF(Summary!$A$247:$A$283,$A1891,Summary!$P$247:$P$283),0)</f>
        <v>0</v>
      </c>
      <c r="AJ1891" s="196">
        <f>IFERROR($G1891/SUMIF($A:$A,$A1891,$G:$G)*(SUMIF(Summary!$A$247:$A$283,$A1891,Summary!$L$247:$L$283)+SUMIF(Summary!$A$297:$A$333,$A1891,Summary!$L$297:$L$333))-AI1891,0)</f>
        <v>0</v>
      </c>
      <c r="AK1891" s="196">
        <f>IFERROR($G1891/SUMIF($A:$A,$A1891,$G:$G)*SUMIF(Summary!$A$247:$A$283,$A1891,Summary!$Q$247:$Q$283),0)</f>
        <v>0</v>
      </c>
      <c r="AL1891" s="196">
        <f>IFERROR($G1891/SUMIF($A:$A,$A1891,$G:$G)*(SUMIF(Summary!$A$247:$A$283,$A1891,Summary!$L$247:$L$283)+SUMIF(Summary!$A$297:$A$333,$A1891,Summary!$L$297:$L$333))-AK1891,0)</f>
        <v>0</v>
      </c>
      <c r="AM1891" s="198"/>
      <c r="AN1891" s="196">
        <f t="shared" ca="1" si="418"/>
        <v>0</v>
      </c>
      <c r="AO1891" s="196">
        <f t="shared" ca="1" si="419"/>
        <v>0</v>
      </c>
    </row>
    <row r="1892" spans="1:41">
      <c r="A1892" s="189">
        <v>3646</v>
      </c>
      <c r="B1892" s="190">
        <v>5</v>
      </c>
      <c r="C1892" s="191" t="s">
        <v>238</v>
      </c>
      <c r="D1892" s="192">
        <f t="shared" si="406"/>
        <v>0</v>
      </c>
      <c r="E1892" s="192">
        <f t="shared" si="407"/>
        <v>0</v>
      </c>
      <c r="F1892" s="192">
        <f t="shared" si="408"/>
        <v>0</v>
      </c>
      <c r="G1892" s="193">
        <f t="shared" si="409"/>
        <v>0</v>
      </c>
      <c r="H1892" s="194">
        <v>0</v>
      </c>
      <c r="I1892" s="194">
        <v>0</v>
      </c>
      <c r="J1892" s="194">
        <v>0</v>
      </c>
      <c r="K1892" s="193">
        <f t="shared" si="410"/>
        <v>0</v>
      </c>
      <c r="L1892" s="194">
        <v>0</v>
      </c>
      <c r="M1892" s="194">
        <v>0</v>
      </c>
      <c r="N1892" s="194">
        <v>0</v>
      </c>
      <c r="O1892" s="193">
        <f t="shared" si="411"/>
        <v>0</v>
      </c>
      <c r="P1892" s="194">
        <v>0</v>
      </c>
      <c r="Q1892" s="194">
        <v>0</v>
      </c>
      <c r="R1892" s="194">
        <v>0</v>
      </c>
      <c r="S1892" s="193">
        <f t="shared" si="412"/>
        <v>0</v>
      </c>
      <c r="T1892" s="193">
        <f t="shared" si="413"/>
        <v>0</v>
      </c>
      <c r="U1892" s="193">
        <f ca="1">OFFSET('Expenditure Study'!$B$7,'Operations Support'!$C1892,'Operations Support'!$B1892)*$G1892</f>
        <v>0</v>
      </c>
      <c r="V1892" s="199">
        <f ca="1">U1892*'Expenditure Study'!$B$31</f>
        <v>0</v>
      </c>
      <c r="W1892" s="199">
        <f ca="1">IF(A1892=10298,1.51,1)*IF($B1892&lt;3,$D1892*'Expenditure Study'!$B$32*OFFSET('Expenditure Study'!$B$7,'Operations Support'!$C1892,'Operations Support'!$B1892),0)</f>
        <v>0</v>
      </c>
      <c r="X1892" s="200">
        <f ca="1">W1892*'Expenditure Study'!$B$31</f>
        <v>0</v>
      </c>
      <c r="Y1892" s="199">
        <f ca="1">U1892*'Expenditure Study'!$B$31</f>
        <v>0</v>
      </c>
      <c r="Z1892" s="200">
        <f ca="1">W1892*'Expenditure Study'!$B$31</f>
        <v>0</v>
      </c>
      <c r="AA1892" s="195">
        <f t="shared" ca="1" si="414"/>
        <v>0</v>
      </c>
      <c r="AB1892" s="195">
        <f t="shared" ca="1" si="415"/>
        <v>0</v>
      </c>
      <c r="AD1892" s="196">
        <f>IFERROR($G1892/SUMIF($A:$A,$A1892,$G:$G)*SUMIF(Summary!$A$166:$A$242,$A1892,Summary!$P$166:$P$242),0)</f>
        <v>0</v>
      </c>
      <c r="AE1892" s="197">
        <f t="shared" ca="1" si="416"/>
        <v>0</v>
      </c>
      <c r="AF1892" s="196">
        <f>IFERROR(G1892/SUMIF(A:A,A1892,G:G)*SUMIF(Summary!$A$166:$A$242,'Operations Support'!A1892,Summary!$Q$166:$Q$242),0)</f>
        <v>0</v>
      </c>
      <c r="AG1892" s="196">
        <f t="shared" ca="1" si="417"/>
        <v>0</v>
      </c>
      <c r="AI1892" s="196">
        <f>IFERROR($G1892/SUMIF($A:$A,$A1892,$G:$G)*SUMIF(Summary!$A$247:$A$283,$A1892,Summary!$P$247:$P$283),0)</f>
        <v>0</v>
      </c>
      <c r="AJ1892" s="196">
        <f>IFERROR($G1892/SUMIF($A:$A,$A1892,$G:$G)*(SUMIF(Summary!$A$247:$A$283,$A1892,Summary!$L$247:$L$283)+SUMIF(Summary!$A$297:$A$333,$A1892,Summary!$L$297:$L$333))-AI1892,0)</f>
        <v>0</v>
      </c>
      <c r="AK1892" s="196">
        <f>IFERROR($G1892/SUMIF($A:$A,$A1892,$G:$G)*SUMIF(Summary!$A$247:$A$283,$A1892,Summary!$Q$247:$Q$283),0)</f>
        <v>0</v>
      </c>
      <c r="AL1892" s="196">
        <f>IFERROR($G1892/SUMIF($A:$A,$A1892,$G:$G)*(SUMIF(Summary!$A$247:$A$283,$A1892,Summary!$L$247:$L$283)+SUMIF(Summary!$A$297:$A$333,$A1892,Summary!$L$297:$L$333))-AK1892,0)</f>
        <v>0</v>
      </c>
      <c r="AM1892" s="198"/>
      <c r="AN1892" s="196">
        <f t="shared" ca="1" si="418"/>
        <v>0</v>
      </c>
      <c r="AO1892" s="196">
        <f t="shared" ca="1" si="419"/>
        <v>0</v>
      </c>
    </row>
    <row r="1893" spans="1:41">
      <c r="A1893" s="189">
        <v>3646</v>
      </c>
      <c r="B1893" s="190">
        <v>5</v>
      </c>
      <c r="C1893" s="191" t="s">
        <v>239</v>
      </c>
      <c r="D1893" s="192">
        <f t="shared" si="406"/>
        <v>0</v>
      </c>
      <c r="E1893" s="192">
        <f t="shared" si="407"/>
        <v>0</v>
      </c>
      <c r="F1893" s="192">
        <f t="shared" si="408"/>
        <v>0</v>
      </c>
      <c r="G1893" s="193">
        <f t="shared" si="409"/>
        <v>0</v>
      </c>
      <c r="H1893" s="194">
        <v>0</v>
      </c>
      <c r="I1893" s="194">
        <v>0</v>
      </c>
      <c r="J1893" s="194">
        <v>0</v>
      </c>
      <c r="K1893" s="193">
        <f t="shared" si="410"/>
        <v>0</v>
      </c>
      <c r="L1893" s="194">
        <v>0</v>
      </c>
      <c r="M1893" s="194">
        <v>0</v>
      </c>
      <c r="N1893" s="194">
        <v>0</v>
      </c>
      <c r="O1893" s="193">
        <f t="shared" si="411"/>
        <v>0</v>
      </c>
      <c r="P1893" s="194">
        <v>0</v>
      </c>
      <c r="Q1893" s="194">
        <v>0</v>
      </c>
      <c r="R1893" s="194">
        <v>0</v>
      </c>
      <c r="S1893" s="193">
        <f t="shared" si="412"/>
        <v>0</v>
      </c>
      <c r="T1893" s="193">
        <f t="shared" si="413"/>
        <v>0</v>
      </c>
      <c r="U1893" s="193">
        <f ca="1">OFFSET('Expenditure Study'!$B$7,'Operations Support'!$C1893,'Operations Support'!$B1893)*$G1893</f>
        <v>0</v>
      </c>
      <c r="V1893" s="199">
        <f ca="1">U1893*'Expenditure Study'!$B$31</f>
        <v>0</v>
      </c>
      <c r="W1893" s="199">
        <f ca="1">IF(A1893=10298,1.51,1)*IF($B1893&lt;3,$D1893*'Expenditure Study'!$B$32*OFFSET('Expenditure Study'!$B$7,'Operations Support'!$C1893,'Operations Support'!$B1893),0)</f>
        <v>0</v>
      </c>
      <c r="X1893" s="200">
        <f ca="1">W1893*'Expenditure Study'!$B$31</f>
        <v>0</v>
      </c>
      <c r="Y1893" s="199">
        <f ca="1">U1893*'Expenditure Study'!$B$31</f>
        <v>0</v>
      </c>
      <c r="Z1893" s="200">
        <f ca="1">W1893*'Expenditure Study'!$B$31</f>
        <v>0</v>
      </c>
      <c r="AA1893" s="195">
        <f t="shared" ca="1" si="414"/>
        <v>0</v>
      </c>
      <c r="AB1893" s="195">
        <f t="shared" ca="1" si="415"/>
        <v>0</v>
      </c>
      <c r="AD1893" s="196">
        <f>IFERROR($G1893/SUMIF($A:$A,$A1893,$G:$G)*SUMIF(Summary!$A$166:$A$242,$A1893,Summary!$P$166:$P$242),0)</f>
        <v>0</v>
      </c>
      <c r="AE1893" s="197">
        <f t="shared" ca="1" si="416"/>
        <v>0</v>
      </c>
      <c r="AF1893" s="196">
        <f>IFERROR(G1893/SUMIF(A:A,A1893,G:G)*SUMIF(Summary!$A$166:$A$242,'Operations Support'!A1893,Summary!$Q$166:$Q$242),0)</f>
        <v>0</v>
      </c>
      <c r="AG1893" s="196">
        <f t="shared" ca="1" si="417"/>
        <v>0</v>
      </c>
      <c r="AI1893" s="196">
        <f>IFERROR($G1893/SUMIF($A:$A,$A1893,$G:$G)*SUMIF(Summary!$A$247:$A$283,$A1893,Summary!$P$247:$P$283),0)</f>
        <v>0</v>
      </c>
      <c r="AJ1893" s="196">
        <f>IFERROR($G1893/SUMIF($A:$A,$A1893,$G:$G)*(SUMIF(Summary!$A$247:$A$283,$A1893,Summary!$L$247:$L$283)+SUMIF(Summary!$A$297:$A$333,$A1893,Summary!$L$297:$L$333))-AI1893,0)</f>
        <v>0</v>
      </c>
      <c r="AK1893" s="196">
        <f>IFERROR($G1893/SUMIF($A:$A,$A1893,$G:$G)*SUMIF(Summary!$A$247:$A$283,$A1893,Summary!$Q$247:$Q$283),0)</f>
        <v>0</v>
      </c>
      <c r="AL1893" s="196">
        <f>IFERROR($G1893/SUMIF($A:$A,$A1893,$G:$G)*(SUMIF(Summary!$A$247:$A$283,$A1893,Summary!$L$247:$L$283)+SUMIF(Summary!$A$297:$A$333,$A1893,Summary!$L$297:$L$333))-AK1893,0)</f>
        <v>0</v>
      </c>
      <c r="AM1893" s="198"/>
      <c r="AN1893" s="196">
        <f t="shared" ca="1" si="418"/>
        <v>0</v>
      </c>
      <c r="AO1893" s="196">
        <f t="shared" ca="1" si="419"/>
        <v>0</v>
      </c>
    </row>
    <row r="1894" spans="1:41">
      <c r="A1894" s="189">
        <v>3646</v>
      </c>
      <c r="B1894" s="190">
        <v>5</v>
      </c>
      <c r="C1894" s="191" t="s">
        <v>240</v>
      </c>
      <c r="D1894" s="192">
        <f t="shared" si="406"/>
        <v>0</v>
      </c>
      <c r="E1894" s="192">
        <f t="shared" si="407"/>
        <v>0</v>
      </c>
      <c r="F1894" s="192">
        <f t="shared" si="408"/>
        <v>0</v>
      </c>
      <c r="G1894" s="193">
        <f t="shared" si="409"/>
        <v>0</v>
      </c>
      <c r="H1894" s="194">
        <v>0</v>
      </c>
      <c r="I1894" s="194">
        <v>0</v>
      </c>
      <c r="J1894" s="194">
        <v>0</v>
      </c>
      <c r="K1894" s="193">
        <f t="shared" si="410"/>
        <v>0</v>
      </c>
      <c r="L1894" s="194">
        <v>0</v>
      </c>
      <c r="M1894" s="194">
        <v>0</v>
      </c>
      <c r="N1894" s="194">
        <v>0</v>
      </c>
      <c r="O1894" s="193">
        <f t="shared" si="411"/>
        <v>0</v>
      </c>
      <c r="P1894" s="194">
        <v>0</v>
      </c>
      <c r="Q1894" s="194">
        <v>0</v>
      </c>
      <c r="R1894" s="194">
        <v>0</v>
      </c>
      <c r="S1894" s="193">
        <f t="shared" si="412"/>
        <v>0</v>
      </c>
      <c r="T1894" s="193">
        <f t="shared" si="413"/>
        <v>0</v>
      </c>
      <c r="U1894" s="193">
        <f ca="1">OFFSET('Expenditure Study'!$B$7,'Operations Support'!$C1894,'Operations Support'!$B1894)*$G1894</f>
        <v>0</v>
      </c>
      <c r="V1894" s="199">
        <f ca="1">U1894*'Expenditure Study'!$B$31</f>
        <v>0</v>
      </c>
      <c r="W1894" s="199">
        <f ca="1">IF(A1894=10298,1.51,1)*IF($B1894&lt;3,$D1894*'Expenditure Study'!$B$32*OFFSET('Expenditure Study'!$B$7,'Operations Support'!$C1894,'Operations Support'!$B1894),0)</f>
        <v>0</v>
      </c>
      <c r="X1894" s="200">
        <f ca="1">W1894*'Expenditure Study'!$B$31</f>
        <v>0</v>
      </c>
      <c r="Y1894" s="199">
        <f ca="1">U1894*'Expenditure Study'!$B$31</f>
        <v>0</v>
      </c>
      <c r="Z1894" s="200">
        <f ca="1">W1894*'Expenditure Study'!$B$31</f>
        <v>0</v>
      </c>
      <c r="AA1894" s="195">
        <f t="shared" ca="1" si="414"/>
        <v>0</v>
      </c>
      <c r="AB1894" s="195">
        <f t="shared" ca="1" si="415"/>
        <v>0</v>
      </c>
      <c r="AD1894" s="196">
        <f>IFERROR($G1894/SUMIF($A:$A,$A1894,$G:$G)*SUMIF(Summary!$A$166:$A$242,$A1894,Summary!$P$166:$P$242),0)</f>
        <v>0</v>
      </c>
      <c r="AE1894" s="197">
        <f t="shared" ca="1" si="416"/>
        <v>0</v>
      </c>
      <c r="AF1894" s="196">
        <f>IFERROR(G1894/SUMIF(A:A,A1894,G:G)*SUMIF(Summary!$A$166:$A$242,'Operations Support'!A1894,Summary!$Q$166:$Q$242),0)</f>
        <v>0</v>
      </c>
      <c r="AG1894" s="196">
        <f t="shared" ca="1" si="417"/>
        <v>0</v>
      </c>
      <c r="AI1894" s="196">
        <f>IFERROR($G1894/SUMIF($A:$A,$A1894,$G:$G)*SUMIF(Summary!$A$247:$A$283,$A1894,Summary!$P$247:$P$283),0)</f>
        <v>0</v>
      </c>
      <c r="AJ1894" s="196">
        <f>IFERROR($G1894/SUMIF($A:$A,$A1894,$G:$G)*(SUMIF(Summary!$A$247:$A$283,$A1894,Summary!$L$247:$L$283)+SUMIF(Summary!$A$297:$A$333,$A1894,Summary!$L$297:$L$333))-AI1894,0)</f>
        <v>0</v>
      </c>
      <c r="AK1894" s="196">
        <f>IFERROR($G1894/SUMIF($A:$A,$A1894,$G:$G)*SUMIF(Summary!$A$247:$A$283,$A1894,Summary!$Q$247:$Q$283),0)</f>
        <v>0</v>
      </c>
      <c r="AL1894" s="196">
        <f>IFERROR($G1894/SUMIF($A:$A,$A1894,$G:$G)*(SUMIF(Summary!$A$247:$A$283,$A1894,Summary!$L$247:$L$283)+SUMIF(Summary!$A$297:$A$333,$A1894,Summary!$L$297:$L$333))-AK1894,0)</f>
        <v>0</v>
      </c>
      <c r="AM1894" s="198"/>
      <c r="AN1894" s="196">
        <f t="shared" ca="1" si="418"/>
        <v>0</v>
      </c>
      <c r="AO1894" s="196">
        <f t="shared" ca="1" si="419"/>
        <v>0</v>
      </c>
    </row>
    <row r="1895" spans="1:41">
      <c r="A1895" s="189">
        <v>3652</v>
      </c>
      <c r="B1895" s="190">
        <v>1</v>
      </c>
      <c r="C1895" s="191" t="s">
        <v>220</v>
      </c>
      <c r="D1895" s="192">
        <f t="shared" si="406"/>
        <v>38740.209999999395</v>
      </c>
      <c r="E1895" s="192">
        <f t="shared" si="407"/>
        <v>211899.7900000003</v>
      </c>
      <c r="F1895" s="192">
        <f t="shared" si="408"/>
        <v>0</v>
      </c>
      <c r="G1895" s="193">
        <f t="shared" si="409"/>
        <v>250639.99999999971</v>
      </c>
      <c r="H1895" s="194">
        <v>18125.839999999698</v>
      </c>
      <c r="I1895" s="194">
        <v>89203.160000000295</v>
      </c>
      <c r="J1895" s="194">
        <v>0</v>
      </c>
      <c r="K1895" s="193">
        <f t="shared" si="410"/>
        <v>107329</v>
      </c>
      <c r="L1895" s="194">
        <v>19480.869999999701</v>
      </c>
      <c r="M1895" s="194">
        <v>107176.13</v>
      </c>
      <c r="N1895" s="194">
        <v>0</v>
      </c>
      <c r="O1895" s="193">
        <f t="shared" si="411"/>
        <v>126656.99999999971</v>
      </c>
      <c r="P1895" s="194">
        <v>1133.5</v>
      </c>
      <c r="Q1895" s="194">
        <v>15520.5</v>
      </c>
      <c r="R1895" s="194">
        <v>0</v>
      </c>
      <c r="S1895" s="193">
        <f t="shared" si="412"/>
        <v>16654</v>
      </c>
      <c r="T1895" s="193">
        <f t="shared" si="413"/>
        <v>8354.666666666657</v>
      </c>
      <c r="U1895" s="193">
        <f ca="1">OFFSET('Expenditure Study'!$B$7,'Operations Support'!$C1895,'Operations Support'!$B1895)*$G1895</f>
        <v>250639.99999999971</v>
      </c>
      <c r="V1895" s="199">
        <f ca="1">U1895*'Expenditure Study'!$B$31</f>
        <v>14808608.435711984</v>
      </c>
      <c r="W1895" s="199">
        <f ca="1">IF(A1895=10298,1.51,1)*IF($B1895&lt;3,$D1895*'Expenditure Study'!$B$32*OFFSET('Expenditure Study'!$B$7,'Operations Support'!$C1895,'Operations Support'!$B1895),0)</f>
        <v>3874.0209999999397</v>
      </c>
      <c r="X1895" s="200">
        <f ca="1">W1895*'Expenditure Study'!$B$31</f>
        <v>228889.48316599324</v>
      </c>
      <c r="Y1895" s="199">
        <f ca="1">U1895*'Expenditure Study'!$B$31</f>
        <v>14808608.435711984</v>
      </c>
      <c r="Z1895" s="200">
        <f ca="1">W1895*'Expenditure Study'!$B$31</f>
        <v>228889.48316599324</v>
      </c>
      <c r="AA1895" s="195">
        <f t="shared" ca="1" si="414"/>
        <v>15037497.918877976</v>
      </c>
      <c r="AB1895" s="195">
        <f t="shared" ca="1" si="415"/>
        <v>15037497.918877976</v>
      </c>
      <c r="AD1895" s="196">
        <f>IFERROR($G1895/SUMIF($A:$A,$A1895,$G:$G)*SUMIF(Summary!$A$166:$A$242,$A1895,Summary!$P$166:$P$242),0)</f>
        <v>9208693.0270904489</v>
      </c>
      <c r="AE1895" s="197">
        <f t="shared" ca="1" si="416"/>
        <v>5828804.8917875271</v>
      </c>
      <c r="AF1895" s="196">
        <f>IFERROR(G1895/SUMIF(A:A,A1895,G:G)*SUMIF(Summary!$A$166:$A$242,'Operations Support'!A1895,Summary!$Q$166:$Q$242),0)</f>
        <v>9240291.5138448738</v>
      </c>
      <c r="AG1895" s="196">
        <f t="shared" ca="1" si="417"/>
        <v>5797206.4050331023</v>
      </c>
      <c r="AI1895" s="196">
        <f>IFERROR($G1895/SUMIF($A:$A,$A1895,$G:$G)*SUMIF(Summary!$A$247:$A$283,$A1895,Summary!$P$247:$P$283),0)</f>
        <v>1679435.8077683849</v>
      </c>
      <c r="AJ1895" s="196">
        <f>IFERROR($G1895/SUMIF($A:$A,$A1895,$G:$G)*(SUMIF(Summary!$A$247:$A$283,$A1895,Summary!$L$247:$L$283)+SUMIF(Summary!$A$297:$A$333,$A1895,Summary!$L$297:$L$333))-AI1895,0)</f>
        <v>4035979.527103398</v>
      </c>
      <c r="AK1895" s="196">
        <f>IFERROR($G1895/SUMIF($A:$A,$A1895,$G:$G)*SUMIF(Summary!$A$247:$A$283,$A1895,Summary!$Q$247:$Q$283),0)</f>
        <v>1685198.583220945</v>
      </c>
      <c r="AL1895" s="196">
        <f>IFERROR($G1895/SUMIF($A:$A,$A1895,$G:$G)*(SUMIF(Summary!$A$247:$A$283,$A1895,Summary!$L$247:$L$283)+SUMIF(Summary!$A$297:$A$333,$A1895,Summary!$L$297:$L$333))-AK1895,0)</f>
        <v>4030216.7516508382</v>
      </c>
      <c r="AM1895" s="198"/>
      <c r="AN1895" s="196">
        <f t="shared" ca="1" si="418"/>
        <v>9864784.4188909251</v>
      </c>
      <c r="AO1895" s="196">
        <f t="shared" ca="1" si="419"/>
        <v>9827423.1566839404</v>
      </c>
    </row>
    <row r="1896" spans="1:41">
      <c r="A1896" s="189">
        <v>3652</v>
      </c>
      <c r="B1896" s="190">
        <v>1</v>
      </c>
      <c r="C1896" s="191" t="s">
        <v>221</v>
      </c>
      <c r="D1896" s="192">
        <f t="shared" si="406"/>
        <v>28074.190000001498</v>
      </c>
      <c r="E1896" s="192">
        <f t="shared" si="407"/>
        <v>60835.80999999807</v>
      </c>
      <c r="F1896" s="192">
        <f t="shared" si="408"/>
        <v>0</v>
      </c>
      <c r="G1896" s="193">
        <f t="shared" si="409"/>
        <v>88909.999999999563</v>
      </c>
      <c r="H1896" s="194">
        <v>13306.700000000699</v>
      </c>
      <c r="I1896" s="194">
        <v>25513.299999999301</v>
      </c>
      <c r="J1896" s="194">
        <v>0</v>
      </c>
      <c r="K1896" s="193">
        <f t="shared" si="410"/>
        <v>38820</v>
      </c>
      <c r="L1896" s="194">
        <v>13939.010000000801</v>
      </c>
      <c r="M1896" s="194">
        <v>31708.989999998801</v>
      </c>
      <c r="N1896" s="194">
        <v>0</v>
      </c>
      <c r="O1896" s="193">
        <f t="shared" si="411"/>
        <v>45647.9999999996</v>
      </c>
      <c r="P1896" s="194">
        <v>828.48000000000104</v>
      </c>
      <c r="Q1896" s="194">
        <v>3613.51999999997</v>
      </c>
      <c r="R1896" s="194">
        <v>0</v>
      </c>
      <c r="S1896" s="193">
        <f t="shared" si="412"/>
        <v>4441.9999999999709</v>
      </c>
      <c r="T1896" s="193">
        <f t="shared" si="413"/>
        <v>2963.666666666652</v>
      </c>
      <c r="U1896" s="193">
        <f ca="1">OFFSET('Expenditure Study'!$B$7,'Operations Support'!$C1896,'Operations Support'!$B1896)*$G1896</f>
        <v>119139.39999999943</v>
      </c>
      <c r="V1896" s="199">
        <f ca="1">U1896*'Expenditure Study'!$B$31</f>
        <v>7039134.7106034858</v>
      </c>
      <c r="W1896" s="199">
        <f ca="1">IF(A1896=10298,1.51,1)*IF($B1896&lt;3,$D1896*'Expenditure Study'!$B$32*OFFSET('Expenditure Study'!$B$7,'Operations Support'!$C1896,'Operations Support'!$B1896),0)</f>
        <v>3761.941460000201</v>
      </c>
      <c r="X1896" s="200">
        <f ca="1">W1896*'Expenditure Study'!$B$31</f>
        <v>222267.46744020784</v>
      </c>
      <c r="Y1896" s="199">
        <f ca="1">U1896*'Expenditure Study'!$B$31</f>
        <v>7039134.7106034858</v>
      </c>
      <c r="Z1896" s="200">
        <f ca="1">W1896*'Expenditure Study'!$B$31</f>
        <v>222267.46744020784</v>
      </c>
      <c r="AA1896" s="195">
        <f t="shared" ca="1" si="414"/>
        <v>7261402.1780436933</v>
      </c>
      <c r="AB1896" s="195">
        <f t="shared" ca="1" si="415"/>
        <v>7261402.1780436933</v>
      </c>
      <c r="AD1896" s="196">
        <f>IFERROR($G1896/SUMIF($A:$A,$A1896,$G:$G)*SUMIF(Summary!$A$166:$A$242,$A1896,Summary!$P$166:$P$242),0)</f>
        <v>3266617.0485102492</v>
      </c>
      <c r="AE1896" s="197">
        <f t="shared" ca="1" si="416"/>
        <v>3994785.1295334441</v>
      </c>
      <c r="AF1896" s="196">
        <f>IFERROR(G1896/SUMIF(A:A,A1896,G:G)*SUMIF(Summary!$A$166:$A$242,'Operations Support'!A1896,Summary!$Q$166:$Q$242),0)</f>
        <v>3277826.0393231115</v>
      </c>
      <c r="AG1896" s="196">
        <f t="shared" ca="1" si="417"/>
        <v>3983576.1387205818</v>
      </c>
      <c r="AI1896" s="196">
        <f>IFERROR($G1896/SUMIF($A:$A,$A1896,$G:$G)*SUMIF(Summary!$A$247:$A$283,$A1896,Summary!$P$247:$P$283),0)</f>
        <v>595749.43212849728</v>
      </c>
      <c r="AJ1896" s="196">
        <f>IFERROR($G1896/SUMIF($A:$A,$A1896,$G:$G)*(SUMIF(Summary!$A$247:$A$283,$A1896,Summary!$L$247:$L$283)+SUMIF(Summary!$A$297:$A$333,$A1896,Summary!$L$297:$L$333))-AI1896,0)</f>
        <v>1431690.6310036778</v>
      </c>
      <c r="AK1896" s="196">
        <f>IFERROR($G1896/SUMIF($A:$A,$A1896,$G:$G)*SUMIF(Summary!$A$247:$A$283,$A1896,Summary!$Q$247:$Q$283),0)</f>
        <v>597793.67233551573</v>
      </c>
      <c r="AL1896" s="196">
        <f>IFERROR($G1896/SUMIF($A:$A,$A1896,$G:$G)*(SUMIF(Summary!$A$247:$A$283,$A1896,Summary!$L$247:$L$283)+SUMIF(Summary!$A$297:$A$333,$A1896,Summary!$L$297:$L$333))-AK1896,0)</f>
        <v>1429646.3907966595</v>
      </c>
      <c r="AM1896" s="198"/>
      <c r="AN1896" s="196">
        <f t="shared" ca="1" si="418"/>
        <v>5426475.7605371214</v>
      </c>
      <c r="AO1896" s="196">
        <f t="shared" ca="1" si="419"/>
        <v>5413222.5295172408</v>
      </c>
    </row>
    <row r="1897" spans="1:41">
      <c r="A1897" s="189">
        <v>3652</v>
      </c>
      <c r="B1897" s="190">
        <v>1</v>
      </c>
      <c r="C1897" s="191" t="s">
        <v>222</v>
      </c>
      <c r="D1897" s="192">
        <f t="shared" si="406"/>
        <v>4882.32</v>
      </c>
      <c r="E1897" s="192">
        <f t="shared" si="407"/>
        <v>20646.68</v>
      </c>
      <c r="F1897" s="192">
        <f t="shared" si="408"/>
        <v>0</v>
      </c>
      <c r="G1897" s="193">
        <f t="shared" si="409"/>
        <v>25529</v>
      </c>
      <c r="H1897" s="194">
        <v>1789.5</v>
      </c>
      <c r="I1897" s="194">
        <v>9432.5</v>
      </c>
      <c r="J1897" s="194">
        <v>0</v>
      </c>
      <c r="K1897" s="193">
        <f t="shared" si="410"/>
        <v>11222</v>
      </c>
      <c r="L1897" s="194">
        <v>2951.82</v>
      </c>
      <c r="M1897" s="194">
        <v>9783.18</v>
      </c>
      <c r="N1897" s="194">
        <v>0</v>
      </c>
      <c r="O1897" s="193">
        <f t="shared" si="411"/>
        <v>12735</v>
      </c>
      <c r="P1897" s="194">
        <v>141</v>
      </c>
      <c r="Q1897" s="194">
        <v>1431</v>
      </c>
      <c r="R1897" s="194">
        <v>0</v>
      </c>
      <c r="S1897" s="193">
        <f t="shared" si="412"/>
        <v>1572</v>
      </c>
      <c r="T1897" s="193">
        <f t="shared" si="413"/>
        <v>850.9666666666667</v>
      </c>
      <c r="U1897" s="193">
        <f ca="1">OFFSET('Expenditure Study'!$B$7,'Operations Support'!$C1897,'Operations Support'!$B1897)*$G1897</f>
        <v>34974.730000000003</v>
      </c>
      <c r="V1897" s="199">
        <f ca="1">U1897*'Expenditure Study'!$B$31</f>
        <v>2066418.2960211842</v>
      </c>
      <c r="W1897" s="199">
        <f ca="1">IF(A1897=10298,1.51,1)*IF($B1897&lt;3,$D1897*'Expenditure Study'!$B$32*OFFSET('Expenditure Study'!$B$7,'Operations Support'!$C1897,'Operations Support'!$B1897),0)</f>
        <v>668.87783999999999</v>
      </c>
      <c r="X1897" s="200">
        <f ca="1">W1897*'Expenditure Study'!$B$31</f>
        <v>39519.430353833472</v>
      </c>
      <c r="Y1897" s="199">
        <f ca="1">U1897*'Expenditure Study'!$B$31</f>
        <v>2066418.2960211842</v>
      </c>
      <c r="Z1897" s="200">
        <f ca="1">W1897*'Expenditure Study'!$B$31</f>
        <v>39519.430353833472</v>
      </c>
      <c r="AA1897" s="195">
        <f t="shared" ca="1" si="414"/>
        <v>2105937.7263750178</v>
      </c>
      <c r="AB1897" s="195">
        <f t="shared" ca="1" si="415"/>
        <v>2105937.7263750178</v>
      </c>
      <c r="AD1897" s="196">
        <f>IFERROR($G1897/SUMIF($A:$A,$A1897,$G:$G)*SUMIF(Summary!$A$166:$A$242,$A1897,Summary!$P$166:$P$242),0)</f>
        <v>937953.73559125571</v>
      </c>
      <c r="AE1897" s="197">
        <f t="shared" ca="1" si="416"/>
        <v>1167983.9907837622</v>
      </c>
      <c r="AF1897" s="196">
        <f>IFERROR(G1897/SUMIF(A:A,A1897,G:G)*SUMIF(Summary!$A$166:$A$242,'Operations Support'!A1897,Summary!$Q$166:$Q$242),0)</f>
        <v>941172.20737689931</v>
      </c>
      <c r="AG1897" s="196">
        <f t="shared" ca="1" si="417"/>
        <v>1164765.5189981186</v>
      </c>
      <c r="AI1897" s="196">
        <f>IFERROR($G1897/SUMIF($A:$A,$A1897,$G:$G)*SUMIF(Summary!$A$247:$A$283,$A1897,Summary!$P$247:$P$283),0)</f>
        <v>171059.35499728355</v>
      </c>
      <c r="AJ1897" s="196">
        <f>IFERROR($G1897/SUMIF($A:$A,$A1897,$G:$G)*(SUMIF(Summary!$A$247:$A$283,$A1897,Summary!$L$247:$L$283)+SUMIF(Summary!$A$297:$A$333,$A1897,Summary!$L$297:$L$333))-AI1897,0)</f>
        <v>411085.70598237624</v>
      </c>
      <c r="AK1897" s="196">
        <f>IFERROR($G1897/SUMIF($A:$A,$A1897,$G:$G)*SUMIF(Summary!$A$247:$A$283,$A1897,Summary!$Q$247:$Q$283),0)</f>
        <v>171646.32393491681</v>
      </c>
      <c r="AL1897" s="196">
        <f>IFERROR($G1897/SUMIF($A:$A,$A1897,$G:$G)*(SUMIF(Summary!$A$247:$A$283,$A1897,Summary!$L$247:$L$283)+SUMIF(Summary!$A$297:$A$333,$A1897,Summary!$L$297:$L$333))-AK1897,0)</f>
        <v>410498.73704474297</v>
      </c>
      <c r="AM1897" s="198"/>
      <c r="AN1897" s="196">
        <f t="shared" ca="1" si="418"/>
        <v>1579069.6967661385</v>
      </c>
      <c r="AO1897" s="196">
        <f t="shared" ca="1" si="419"/>
        <v>1575264.2560428616</v>
      </c>
    </row>
    <row r="1898" spans="1:41">
      <c r="A1898" s="189">
        <v>3652</v>
      </c>
      <c r="B1898" s="190">
        <v>1</v>
      </c>
      <c r="C1898" s="191" t="s">
        <v>223</v>
      </c>
      <c r="D1898" s="192">
        <f t="shared" si="406"/>
        <v>15</v>
      </c>
      <c r="E1898" s="192">
        <f t="shared" si="407"/>
        <v>3458</v>
      </c>
      <c r="F1898" s="192">
        <f t="shared" si="408"/>
        <v>0</v>
      </c>
      <c r="G1898" s="193">
        <f t="shared" si="409"/>
        <v>3473</v>
      </c>
      <c r="H1898" s="194">
        <v>3</v>
      </c>
      <c r="I1898" s="194">
        <v>1450</v>
      </c>
      <c r="J1898" s="194">
        <v>0</v>
      </c>
      <c r="K1898" s="193">
        <f t="shared" si="410"/>
        <v>1453</v>
      </c>
      <c r="L1898" s="194">
        <v>12</v>
      </c>
      <c r="M1898" s="194">
        <v>1704</v>
      </c>
      <c r="N1898" s="194">
        <v>0</v>
      </c>
      <c r="O1898" s="193">
        <f t="shared" si="411"/>
        <v>1716</v>
      </c>
      <c r="P1898" s="194">
        <v>0</v>
      </c>
      <c r="Q1898" s="194">
        <v>304</v>
      </c>
      <c r="R1898" s="194">
        <v>0</v>
      </c>
      <c r="S1898" s="193">
        <f t="shared" si="412"/>
        <v>304</v>
      </c>
      <c r="T1898" s="193">
        <f t="shared" si="413"/>
        <v>115.76666666666667</v>
      </c>
      <c r="U1898" s="193">
        <f ca="1">OFFSET('Expenditure Study'!$B$7,'Operations Support'!$C1898,'Operations Support'!$B1898)*$G1898</f>
        <v>4375.9800000000005</v>
      </c>
      <c r="V1898" s="199">
        <f ca="1">U1898*'Expenditure Study'!$B$31</f>
        <v>258546.81751718404</v>
      </c>
      <c r="W1898" s="199">
        <f ca="1">IF(A1898=10298,1.51,1)*IF($B1898&lt;3,$D1898*'Expenditure Study'!$B$32*OFFSET('Expenditure Study'!$B$7,'Operations Support'!$C1898,'Operations Support'!$B1898),0)</f>
        <v>1.8900000000000001</v>
      </c>
      <c r="X1898" s="200">
        <f ca="1">W1898*'Expenditure Study'!$B$31</f>
        <v>111.66721171200001</v>
      </c>
      <c r="Y1898" s="199">
        <f ca="1">U1898*'Expenditure Study'!$B$31</f>
        <v>258546.81751718404</v>
      </c>
      <c r="Z1898" s="200">
        <f ca="1">W1898*'Expenditure Study'!$B$31</f>
        <v>111.66721171200001</v>
      </c>
      <c r="AA1898" s="195">
        <f t="shared" ca="1" si="414"/>
        <v>258658.48472889603</v>
      </c>
      <c r="AB1898" s="195">
        <f t="shared" ca="1" si="415"/>
        <v>258658.48472889603</v>
      </c>
      <c r="AD1898" s="196">
        <f>IFERROR($G1898/SUMIF($A:$A,$A1898,$G:$G)*SUMIF(Summary!$A$166:$A$242,$A1898,Summary!$P$166:$P$242),0)</f>
        <v>127600.50623637556</v>
      </c>
      <c r="AE1898" s="197">
        <f t="shared" ca="1" si="416"/>
        <v>131057.97849252047</v>
      </c>
      <c r="AF1898" s="196">
        <f>IFERROR(G1898/SUMIF(A:A,A1898,G:G)*SUMIF(Summary!$A$166:$A$242,'Operations Support'!A1898,Summary!$Q$166:$Q$242),0)</f>
        <v>128038.35153041528</v>
      </c>
      <c r="AG1898" s="196">
        <f t="shared" ca="1" si="417"/>
        <v>130620.13319848075</v>
      </c>
      <c r="AI1898" s="196">
        <f>IFERROR($G1898/SUMIF($A:$A,$A1898,$G:$G)*SUMIF(Summary!$A$247:$A$283,$A1898,Summary!$P$247:$P$283),0)</f>
        <v>23271.148102376352</v>
      </c>
      <c r="AJ1898" s="196">
        <f>IFERROR($G1898/SUMIF($A:$A,$A1898,$G:$G)*(SUMIF(Summary!$A$247:$A$283,$A1898,Summary!$L$247:$L$283)+SUMIF(Summary!$A$297:$A$333,$A1898,Summary!$L$297:$L$333))-AI1898,0)</f>
        <v>55924.660459743536</v>
      </c>
      <c r="AK1898" s="196">
        <f>IFERROR($G1898/SUMIF($A:$A,$A1898,$G:$G)*SUMIF(Summary!$A$247:$A$283,$A1898,Summary!$Q$247:$Q$283),0)</f>
        <v>23351.000157701681</v>
      </c>
      <c r="AL1898" s="196">
        <f>IFERROR($G1898/SUMIF($A:$A,$A1898,$G:$G)*(SUMIF(Summary!$A$247:$A$283,$A1898,Summary!$L$247:$L$283)+SUMIF(Summary!$A$297:$A$333,$A1898,Summary!$L$297:$L$333))-AK1898,0)</f>
        <v>55844.808404418203</v>
      </c>
      <c r="AM1898" s="198"/>
      <c r="AN1898" s="196">
        <f t="shared" ca="1" si="418"/>
        <v>186982.63895226401</v>
      </c>
      <c r="AO1898" s="196">
        <f t="shared" ca="1" si="419"/>
        <v>186464.94160289894</v>
      </c>
    </row>
    <row r="1899" spans="1:41">
      <c r="A1899" s="189">
        <v>3652</v>
      </c>
      <c r="B1899" s="190">
        <v>1</v>
      </c>
      <c r="C1899" s="191" t="s">
        <v>224</v>
      </c>
      <c r="D1899" s="192">
        <f t="shared" si="406"/>
        <v>0</v>
      </c>
      <c r="E1899" s="192">
        <f t="shared" si="407"/>
        <v>0</v>
      </c>
      <c r="F1899" s="192">
        <f t="shared" si="408"/>
        <v>0</v>
      </c>
      <c r="G1899" s="193">
        <f t="shared" si="409"/>
        <v>0</v>
      </c>
      <c r="H1899" s="194">
        <v>0</v>
      </c>
      <c r="I1899" s="194">
        <v>0</v>
      </c>
      <c r="J1899" s="194">
        <v>0</v>
      </c>
      <c r="K1899" s="193">
        <f t="shared" si="410"/>
        <v>0</v>
      </c>
      <c r="L1899" s="194">
        <v>0</v>
      </c>
      <c r="M1899" s="194">
        <v>0</v>
      </c>
      <c r="N1899" s="194">
        <v>0</v>
      </c>
      <c r="O1899" s="193">
        <f t="shared" si="411"/>
        <v>0</v>
      </c>
      <c r="P1899" s="194">
        <v>0</v>
      </c>
      <c r="Q1899" s="194">
        <v>0</v>
      </c>
      <c r="R1899" s="194">
        <v>0</v>
      </c>
      <c r="S1899" s="193">
        <f t="shared" si="412"/>
        <v>0</v>
      </c>
      <c r="T1899" s="193">
        <f t="shared" si="413"/>
        <v>0</v>
      </c>
      <c r="U1899" s="193">
        <f ca="1">OFFSET('Expenditure Study'!$B$7,'Operations Support'!$C1899,'Operations Support'!$B1899)*$G1899</f>
        <v>0</v>
      </c>
      <c r="V1899" s="199">
        <f ca="1">U1899*'Expenditure Study'!$B$31</f>
        <v>0</v>
      </c>
      <c r="W1899" s="199">
        <f ca="1">IF(A1899=10298,1.51,1)*IF($B1899&lt;3,$D1899*'Expenditure Study'!$B$32*OFFSET('Expenditure Study'!$B$7,'Operations Support'!$C1899,'Operations Support'!$B1899),0)</f>
        <v>0</v>
      </c>
      <c r="X1899" s="200">
        <f ca="1">W1899*'Expenditure Study'!$B$31</f>
        <v>0</v>
      </c>
      <c r="Y1899" s="199">
        <f ca="1">U1899*'Expenditure Study'!$B$31</f>
        <v>0</v>
      </c>
      <c r="Z1899" s="200">
        <f ca="1">W1899*'Expenditure Study'!$B$31</f>
        <v>0</v>
      </c>
      <c r="AA1899" s="195">
        <f t="shared" ca="1" si="414"/>
        <v>0</v>
      </c>
      <c r="AB1899" s="195">
        <f t="shared" ca="1" si="415"/>
        <v>0</v>
      </c>
      <c r="AD1899" s="196">
        <f>IFERROR($G1899/SUMIF($A:$A,$A1899,$G:$G)*SUMIF(Summary!$A$166:$A$242,$A1899,Summary!$P$166:$P$242),0)</f>
        <v>0</v>
      </c>
      <c r="AE1899" s="197">
        <f t="shared" ca="1" si="416"/>
        <v>0</v>
      </c>
      <c r="AF1899" s="196">
        <f>IFERROR(G1899/SUMIF(A:A,A1899,G:G)*SUMIF(Summary!$A$166:$A$242,'Operations Support'!A1899,Summary!$Q$166:$Q$242),0)</f>
        <v>0</v>
      </c>
      <c r="AG1899" s="196">
        <f t="shared" ca="1" si="417"/>
        <v>0</v>
      </c>
      <c r="AI1899" s="196">
        <f>IFERROR($G1899/SUMIF($A:$A,$A1899,$G:$G)*SUMIF(Summary!$A$247:$A$283,$A1899,Summary!$P$247:$P$283),0)</f>
        <v>0</v>
      </c>
      <c r="AJ1899" s="196">
        <f>IFERROR($G1899/SUMIF($A:$A,$A1899,$G:$G)*(SUMIF(Summary!$A$247:$A$283,$A1899,Summary!$L$247:$L$283)+SUMIF(Summary!$A$297:$A$333,$A1899,Summary!$L$297:$L$333))-AI1899,0)</f>
        <v>0</v>
      </c>
      <c r="AK1899" s="196">
        <f>IFERROR($G1899/SUMIF($A:$A,$A1899,$G:$G)*SUMIF(Summary!$A$247:$A$283,$A1899,Summary!$Q$247:$Q$283),0)</f>
        <v>0</v>
      </c>
      <c r="AL1899" s="196">
        <f>IFERROR($G1899/SUMIF($A:$A,$A1899,$G:$G)*(SUMIF(Summary!$A$247:$A$283,$A1899,Summary!$L$247:$L$283)+SUMIF(Summary!$A$297:$A$333,$A1899,Summary!$L$297:$L$333))-AK1899,0)</f>
        <v>0</v>
      </c>
      <c r="AM1899" s="198"/>
      <c r="AN1899" s="196">
        <f t="shared" ca="1" si="418"/>
        <v>0</v>
      </c>
      <c r="AO1899" s="196">
        <f t="shared" ca="1" si="419"/>
        <v>0</v>
      </c>
    </row>
    <row r="1900" spans="1:41">
      <c r="A1900" s="189">
        <v>3652</v>
      </c>
      <c r="B1900" s="190">
        <v>1</v>
      </c>
      <c r="C1900" s="191" t="s">
        <v>225</v>
      </c>
      <c r="D1900" s="192">
        <f t="shared" si="406"/>
        <v>10418.11999999999</v>
      </c>
      <c r="E1900" s="192">
        <f t="shared" si="407"/>
        <v>30679.879999999997</v>
      </c>
      <c r="F1900" s="192">
        <f t="shared" si="408"/>
        <v>0</v>
      </c>
      <c r="G1900" s="193">
        <f t="shared" si="409"/>
        <v>41097.999999999985</v>
      </c>
      <c r="H1900" s="194">
        <v>4828.04</v>
      </c>
      <c r="I1900" s="194">
        <v>13804.96</v>
      </c>
      <c r="J1900" s="194">
        <v>0</v>
      </c>
      <c r="K1900" s="193">
        <f t="shared" si="410"/>
        <v>18633</v>
      </c>
      <c r="L1900" s="194">
        <v>5345.0799999999899</v>
      </c>
      <c r="M1900" s="194">
        <v>14845.92</v>
      </c>
      <c r="N1900" s="194">
        <v>0</v>
      </c>
      <c r="O1900" s="193">
        <f t="shared" si="411"/>
        <v>20190.999999999989</v>
      </c>
      <c r="P1900" s="194">
        <v>245</v>
      </c>
      <c r="Q1900" s="194">
        <v>2029</v>
      </c>
      <c r="R1900" s="194">
        <v>0</v>
      </c>
      <c r="S1900" s="193">
        <f t="shared" si="412"/>
        <v>2274</v>
      </c>
      <c r="T1900" s="193">
        <f t="shared" si="413"/>
        <v>1369.9333333333329</v>
      </c>
      <c r="U1900" s="193">
        <f ca="1">OFFSET('Expenditure Study'!$B$7,'Operations Support'!$C1900,'Operations Support'!$B1900)*$G1900</f>
        <v>72332.479999999981</v>
      </c>
      <c r="V1900" s="199">
        <f ca="1">U1900*'Expenditure Study'!$B$31</f>
        <v>4273632.993552383</v>
      </c>
      <c r="W1900" s="199">
        <f ca="1">IF(A1900=10298,1.51,1)*IF($B1900&lt;3,$D1900*'Expenditure Study'!$B$32*OFFSET('Expenditure Study'!$B$7,'Operations Support'!$C1900,'Operations Support'!$B1900),0)</f>
        <v>1833.5891199999983</v>
      </c>
      <c r="X1900" s="200">
        <f ca="1">W1900*'Expenditure Study'!$B$31</f>
        <v>108334.27748987279</v>
      </c>
      <c r="Y1900" s="199">
        <f ca="1">U1900*'Expenditure Study'!$B$31</f>
        <v>4273632.993552383</v>
      </c>
      <c r="Z1900" s="200">
        <f ca="1">W1900*'Expenditure Study'!$B$31</f>
        <v>108334.27748987279</v>
      </c>
      <c r="AA1900" s="195">
        <f t="shared" ca="1" si="414"/>
        <v>4381967.2710422557</v>
      </c>
      <c r="AB1900" s="195">
        <f t="shared" ca="1" si="415"/>
        <v>4381967.2710422557</v>
      </c>
      <c r="AD1900" s="196">
        <f>IFERROR($G1900/SUMIF($A:$A,$A1900,$G:$G)*SUMIF(Summary!$A$166:$A$242,$A1900,Summary!$P$166:$P$242),0)</f>
        <v>1509969.94106034</v>
      </c>
      <c r="AE1900" s="197">
        <f t="shared" ca="1" si="416"/>
        <v>2871997.3299819157</v>
      </c>
      <c r="AF1900" s="196">
        <f>IFERROR(G1900/SUMIF(A:A,A1900,G:G)*SUMIF(Summary!$A$166:$A$242,'Operations Support'!A1900,Summary!$Q$166:$Q$242),0)</f>
        <v>1515151.2154324807</v>
      </c>
      <c r="AG1900" s="196">
        <f t="shared" ca="1" si="417"/>
        <v>2866816.0556097748</v>
      </c>
      <c r="AI1900" s="196">
        <f>IFERROR($G1900/SUMIF($A:$A,$A1900,$G:$G)*SUMIF(Summary!$A$247:$A$283,$A1900,Summary!$P$247:$P$283),0)</f>
        <v>275380.83636955451</v>
      </c>
      <c r="AJ1900" s="196">
        <f>IFERROR($G1900/SUMIF($A:$A,$A1900,$G:$G)*(SUMIF(Summary!$A$247:$A$283,$A1900,Summary!$L$247:$L$283)+SUMIF(Summary!$A$297:$A$333,$A1900,Summary!$L$297:$L$333))-AI1900,0)</f>
        <v>661788.5676863055</v>
      </c>
      <c r="AK1900" s="196">
        <f>IFERROR($G1900/SUMIF($A:$A,$A1900,$G:$G)*SUMIF(Summary!$A$247:$A$283,$A1900,Summary!$Q$247:$Q$283),0)</f>
        <v>276325.77151777234</v>
      </c>
      <c r="AL1900" s="196">
        <f>IFERROR($G1900/SUMIF($A:$A,$A1900,$G:$G)*(SUMIF(Summary!$A$247:$A$283,$A1900,Summary!$L$247:$L$283)+SUMIF(Summary!$A$297:$A$333,$A1900,Summary!$L$297:$L$333))-AK1900,0)</f>
        <v>660843.63253808767</v>
      </c>
      <c r="AM1900" s="198"/>
      <c r="AN1900" s="196">
        <f t="shared" ca="1" si="418"/>
        <v>3533785.897668221</v>
      </c>
      <c r="AO1900" s="196">
        <f t="shared" ca="1" si="419"/>
        <v>3527659.6881478624</v>
      </c>
    </row>
    <row r="1901" spans="1:41">
      <c r="A1901" s="189">
        <v>3652</v>
      </c>
      <c r="B1901" s="190">
        <v>1</v>
      </c>
      <c r="C1901" s="191" t="s">
        <v>226</v>
      </c>
      <c r="D1901" s="192">
        <f t="shared" si="406"/>
        <v>570</v>
      </c>
      <c r="E1901" s="192">
        <f t="shared" si="407"/>
        <v>12304</v>
      </c>
      <c r="F1901" s="192">
        <f t="shared" si="408"/>
        <v>0</v>
      </c>
      <c r="G1901" s="193">
        <f t="shared" si="409"/>
        <v>12874</v>
      </c>
      <c r="H1901" s="194">
        <v>462</v>
      </c>
      <c r="I1901" s="194">
        <v>5322</v>
      </c>
      <c r="J1901" s="194">
        <v>0</v>
      </c>
      <c r="K1901" s="193">
        <f t="shared" si="410"/>
        <v>5784</v>
      </c>
      <c r="L1901" s="194">
        <v>108</v>
      </c>
      <c r="M1901" s="194">
        <v>5218</v>
      </c>
      <c r="N1901" s="194">
        <v>0</v>
      </c>
      <c r="O1901" s="193">
        <f t="shared" si="411"/>
        <v>5326</v>
      </c>
      <c r="P1901" s="194">
        <v>0</v>
      </c>
      <c r="Q1901" s="194">
        <v>1764</v>
      </c>
      <c r="R1901" s="194">
        <v>0</v>
      </c>
      <c r="S1901" s="193">
        <f t="shared" si="412"/>
        <v>1764</v>
      </c>
      <c r="T1901" s="193">
        <f t="shared" si="413"/>
        <v>429.13333333333333</v>
      </c>
      <c r="U1901" s="193">
        <f ca="1">OFFSET('Expenditure Study'!$B$7,'Operations Support'!$C1901,'Operations Support'!$B1901)*$G1901</f>
        <v>12230.3</v>
      </c>
      <c r="V1901" s="199">
        <f ca="1">U1901*'Expenditure Study'!$B$31</f>
        <v>722605.02613824001</v>
      </c>
      <c r="W1901" s="199">
        <f ca="1">IF(A1901=10298,1.51,1)*IF($B1901&lt;3,$D1901*'Expenditure Study'!$B$32*OFFSET('Expenditure Study'!$B$7,'Operations Support'!$C1901,'Operations Support'!$B1901),0)</f>
        <v>54.15</v>
      </c>
      <c r="X1901" s="200">
        <f ca="1">W1901*'Expenditure Study'!$B$31</f>
        <v>3199.3542403199999</v>
      </c>
      <c r="Y1901" s="199">
        <f ca="1">U1901*'Expenditure Study'!$B$31</f>
        <v>722605.02613824001</v>
      </c>
      <c r="Z1901" s="200">
        <f ca="1">W1901*'Expenditure Study'!$B$31</f>
        <v>3199.3542403199999</v>
      </c>
      <c r="AA1901" s="195">
        <f t="shared" ca="1" si="414"/>
        <v>725804.38037856005</v>
      </c>
      <c r="AB1901" s="195">
        <f t="shared" ca="1" si="415"/>
        <v>725804.38037856005</v>
      </c>
      <c r="AD1901" s="196">
        <f>IFERROR($G1901/SUMIF($A:$A,$A1901,$G:$G)*SUMIF(Summary!$A$166:$A$242,$A1901,Summary!$P$166:$P$242),0)</f>
        <v>472999.97618401924</v>
      </c>
      <c r="AE1901" s="197">
        <f t="shared" ca="1" si="416"/>
        <v>252804.40419454081</v>
      </c>
      <c r="AF1901" s="196">
        <f>IFERROR(G1901/SUMIF(A:A,A1901,G:G)*SUMIF(Summary!$A$166:$A$242,'Operations Support'!A1901,Summary!$Q$166:$Q$242),0)</f>
        <v>474623.01687375933</v>
      </c>
      <c r="AG1901" s="196">
        <f t="shared" ca="1" si="417"/>
        <v>251181.36350480071</v>
      </c>
      <c r="AI1901" s="196">
        <f>IFERROR($G1901/SUMIF($A:$A,$A1901,$G:$G)*SUMIF(Summary!$A$247:$A$283,$A1901,Summary!$P$247:$P$283),0)</f>
        <v>86263.39207313364</v>
      </c>
      <c r="AJ1901" s="196">
        <f>IFERROR($G1901/SUMIF($A:$A,$A1901,$G:$G)*(SUMIF(Summary!$A$247:$A$283,$A1901,Summary!$L$247:$L$283)+SUMIF(Summary!$A$297:$A$333,$A1901,Summary!$L$297:$L$333))-AI1901,0)</f>
        <v>207306.09811653852</v>
      </c>
      <c r="AK1901" s="196">
        <f>IFERROR($G1901/SUMIF($A:$A,$A1901,$G:$G)*SUMIF(Summary!$A$247:$A$283,$A1901,Summary!$Q$247:$Q$283),0)</f>
        <v>86559.394192413311</v>
      </c>
      <c r="AL1901" s="196">
        <f>IFERROR($G1901/SUMIF($A:$A,$A1901,$G:$G)*(SUMIF(Summary!$A$247:$A$283,$A1901,Summary!$L$247:$L$283)+SUMIF(Summary!$A$297:$A$333,$A1901,Summary!$L$297:$L$333))-AK1901,0)</f>
        <v>207010.09599725885</v>
      </c>
      <c r="AM1901" s="198"/>
      <c r="AN1901" s="196">
        <f t="shared" ca="1" si="418"/>
        <v>460110.5023110793</v>
      </c>
      <c r="AO1901" s="196">
        <f t="shared" ca="1" si="419"/>
        <v>458191.45950205956</v>
      </c>
    </row>
    <row r="1902" spans="1:41">
      <c r="A1902" s="189">
        <v>3652</v>
      </c>
      <c r="B1902" s="190">
        <v>1</v>
      </c>
      <c r="C1902" s="191" t="s">
        <v>227</v>
      </c>
      <c r="D1902" s="192">
        <f t="shared" si="406"/>
        <v>0</v>
      </c>
      <c r="E1902" s="192">
        <f t="shared" si="407"/>
        <v>0</v>
      </c>
      <c r="F1902" s="192">
        <f t="shared" si="408"/>
        <v>0</v>
      </c>
      <c r="G1902" s="193">
        <f t="shared" si="409"/>
        <v>0</v>
      </c>
      <c r="H1902" s="194">
        <v>0</v>
      </c>
      <c r="I1902" s="194">
        <v>0</v>
      </c>
      <c r="J1902" s="194">
        <v>0</v>
      </c>
      <c r="K1902" s="193">
        <f t="shared" si="410"/>
        <v>0</v>
      </c>
      <c r="L1902" s="194">
        <v>0</v>
      </c>
      <c r="M1902" s="194">
        <v>0</v>
      </c>
      <c r="N1902" s="194">
        <v>0</v>
      </c>
      <c r="O1902" s="193">
        <f t="shared" si="411"/>
        <v>0</v>
      </c>
      <c r="P1902" s="194">
        <v>0</v>
      </c>
      <c r="Q1902" s="194">
        <v>0</v>
      </c>
      <c r="R1902" s="194">
        <v>0</v>
      </c>
      <c r="S1902" s="193">
        <f t="shared" si="412"/>
        <v>0</v>
      </c>
      <c r="T1902" s="193">
        <f t="shared" si="413"/>
        <v>0</v>
      </c>
      <c r="U1902" s="193">
        <f ca="1">OFFSET('Expenditure Study'!$B$7,'Operations Support'!$C1902,'Operations Support'!$B1902)*$G1902</f>
        <v>0</v>
      </c>
      <c r="V1902" s="199">
        <f ca="1">U1902*'Expenditure Study'!$B$31</f>
        <v>0</v>
      </c>
      <c r="W1902" s="199">
        <f ca="1">IF(A1902=10298,1.51,1)*IF($B1902&lt;3,$D1902*'Expenditure Study'!$B$32*OFFSET('Expenditure Study'!$B$7,'Operations Support'!$C1902,'Operations Support'!$B1902),0)</f>
        <v>0</v>
      </c>
      <c r="X1902" s="200">
        <f ca="1">W1902*'Expenditure Study'!$B$31</f>
        <v>0</v>
      </c>
      <c r="Y1902" s="199">
        <f ca="1">U1902*'Expenditure Study'!$B$31</f>
        <v>0</v>
      </c>
      <c r="Z1902" s="200">
        <f ca="1">W1902*'Expenditure Study'!$B$31</f>
        <v>0</v>
      </c>
      <c r="AA1902" s="195">
        <f t="shared" ca="1" si="414"/>
        <v>0</v>
      </c>
      <c r="AB1902" s="195">
        <f t="shared" ca="1" si="415"/>
        <v>0</v>
      </c>
      <c r="AD1902" s="196">
        <f>IFERROR($G1902/SUMIF($A:$A,$A1902,$G:$G)*SUMIF(Summary!$A$166:$A$242,$A1902,Summary!$P$166:$P$242),0)</f>
        <v>0</v>
      </c>
      <c r="AE1902" s="197">
        <f t="shared" ca="1" si="416"/>
        <v>0</v>
      </c>
      <c r="AF1902" s="196">
        <f>IFERROR(G1902/SUMIF(A:A,A1902,G:G)*SUMIF(Summary!$A$166:$A$242,'Operations Support'!A1902,Summary!$Q$166:$Q$242),0)</f>
        <v>0</v>
      </c>
      <c r="AG1902" s="196">
        <f t="shared" ca="1" si="417"/>
        <v>0</v>
      </c>
      <c r="AI1902" s="196">
        <f>IFERROR($G1902/SUMIF($A:$A,$A1902,$G:$G)*SUMIF(Summary!$A$247:$A$283,$A1902,Summary!$P$247:$P$283),0)</f>
        <v>0</v>
      </c>
      <c r="AJ1902" s="196">
        <f>IFERROR($G1902/SUMIF($A:$A,$A1902,$G:$G)*(SUMIF(Summary!$A$247:$A$283,$A1902,Summary!$L$247:$L$283)+SUMIF(Summary!$A$297:$A$333,$A1902,Summary!$L$297:$L$333))-AI1902,0)</f>
        <v>0</v>
      </c>
      <c r="AK1902" s="196">
        <f>IFERROR($G1902/SUMIF($A:$A,$A1902,$G:$G)*SUMIF(Summary!$A$247:$A$283,$A1902,Summary!$Q$247:$Q$283),0)</f>
        <v>0</v>
      </c>
      <c r="AL1902" s="196">
        <f>IFERROR($G1902/SUMIF($A:$A,$A1902,$G:$G)*(SUMIF(Summary!$A$247:$A$283,$A1902,Summary!$L$247:$L$283)+SUMIF(Summary!$A$297:$A$333,$A1902,Summary!$L$297:$L$333))-AK1902,0)</f>
        <v>0</v>
      </c>
      <c r="AM1902" s="198"/>
      <c r="AN1902" s="196">
        <f t="shared" ca="1" si="418"/>
        <v>0</v>
      </c>
      <c r="AO1902" s="196">
        <f t="shared" ca="1" si="419"/>
        <v>0</v>
      </c>
    </row>
    <row r="1903" spans="1:41">
      <c r="A1903" s="189">
        <v>3652</v>
      </c>
      <c r="B1903" s="190">
        <v>1</v>
      </c>
      <c r="C1903" s="191" t="s">
        <v>228</v>
      </c>
      <c r="D1903" s="192">
        <f t="shared" si="406"/>
        <v>0</v>
      </c>
      <c r="E1903" s="192">
        <f t="shared" si="407"/>
        <v>6</v>
      </c>
      <c r="F1903" s="192">
        <f t="shared" si="408"/>
        <v>0</v>
      </c>
      <c r="G1903" s="193">
        <f t="shared" si="409"/>
        <v>6</v>
      </c>
      <c r="H1903" s="194">
        <v>0</v>
      </c>
      <c r="I1903" s="194">
        <v>3</v>
      </c>
      <c r="J1903" s="194">
        <v>0</v>
      </c>
      <c r="K1903" s="193">
        <f t="shared" si="410"/>
        <v>3</v>
      </c>
      <c r="L1903" s="194">
        <v>0</v>
      </c>
      <c r="M1903" s="194">
        <v>3</v>
      </c>
      <c r="N1903" s="194">
        <v>0</v>
      </c>
      <c r="O1903" s="193">
        <f t="shared" si="411"/>
        <v>3</v>
      </c>
      <c r="P1903" s="194">
        <v>0</v>
      </c>
      <c r="Q1903" s="194">
        <v>0</v>
      </c>
      <c r="R1903" s="194">
        <v>0</v>
      </c>
      <c r="S1903" s="193">
        <f t="shared" si="412"/>
        <v>0</v>
      </c>
      <c r="T1903" s="193">
        <f t="shared" si="413"/>
        <v>0.2</v>
      </c>
      <c r="U1903" s="193">
        <f ca="1">OFFSET('Expenditure Study'!$B$7,'Operations Support'!$C1903,'Operations Support'!$B1903)*$G1903</f>
        <v>9.48</v>
      </c>
      <c r="V1903" s="199">
        <f ca="1">U1903*'Expenditure Study'!$B$31</f>
        <v>560.10855398400008</v>
      </c>
      <c r="W1903" s="199">
        <f ca="1">IF(A1903=10298,1.51,1)*IF($B1903&lt;3,$D1903*'Expenditure Study'!$B$32*OFFSET('Expenditure Study'!$B$7,'Operations Support'!$C1903,'Operations Support'!$B1903),0)</f>
        <v>0</v>
      </c>
      <c r="X1903" s="200">
        <f ca="1">W1903*'Expenditure Study'!$B$31</f>
        <v>0</v>
      </c>
      <c r="Y1903" s="199">
        <f ca="1">U1903*'Expenditure Study'!$B$31</f>
        <v>560.10855398400008</v>
      </c>
      <c r="Z1903" s="200">
        <f ca="1">W1903*'Expenditure Study'!$B$31</f>
        <v>0</v>
      </c>
      <c r="AA1903" s="195">
        <f t="shared" ca="1" si="414"/>
        <v>560.10855398400008</v>
      </c>
      <c r="AB1903" s="195">
        <f t="shared" ca="1" si="415"/>
        <v>560.10855398400008</v>
      </c>
      <c r="AD1903" s="196">
        <f>IFERROR($G1903/SUMIF($A:$A,$A1903,$G:$G)*SUMIF(Summary!$A$166:$A$242,$A1903,Summary!$P$166:$P$242),0)</f>
        <v>220.44429525431997</v>
      </c>
      <c r="AE1903" s="197">
        <f t="shared" ca="1" si="416"/>
        <v>339.66425872968011</v>
      </c>
      <c r="AF1903" s="196">
        <f>IFERROR(G1903/SUMIF(A:A,A1903,G:G)*SUMIF(Summary!$A$166:$A$242,'Operations Support'!A1903,Summary!$Q$166:$Q$242),0)</f>
        <v>221.20072248272146</v>
      </c>
      <c r="AG1903" s="196">
        <f t="shared" ca="1" si="417"/>
        <v>338.90783150127862</v>
      </c>
      <c r="AI1903" s="196">
        <f>IFERROR($G1903/SUMIF($A:$A,$A1903,$G:$G)*SUMIF(Summary!$A$247:$A$283,$A1903,Summary!$P$247:$P$283),0)</f>
        <v>40.203538328320789</v>
      </c>
      <c r="AJ1903" s="196">
        <f>IFERROR($G1903/SUMIF($A:$A,$A1903,$G:$G)*(SUMIF(Summary!$A$247:$A$283,$A1903,Summary!$L$247:$L$283)+SUMIF(Summary!$A$297:$A$333,$A1903,Summary!$L$297:$L$333))-AI1903,0)</f>
        <v>96.616171252076342</v>
      </c>
      <c r="AK1903" s="196">
        <f>IFERROR($G1903/SUMIF($A:$A,$A1903,$G:$G)*SUMIF(Summary!$A$247:$A$283,$A1903,Summary!$Q$247:$Q$283),0)</f>
        <v>40.341491778350154</v>
      </c>
      <c r="AL1903" s="196">
        <f>IFERROR($G1903/SUMIF($A:$A,$A1903,$G:$G)*(SUMIF(Summary!$A$247:$A$283,$A1903,Summary!$L$247:$L$283)+SUMIF(Summary!$A$297:$A$333,$A1903,Summary!$L$297:$L$333))-AK1903,0)</f>
        <v>96.47821780204697</v>
      </c>
      <c r="AM1903" s="198"/>
      <c r="AN1903" s="196">
        <f t="shared" ca="1" si="418"/>
        <v>436.28042998175647</v>
      </c>
      <c r="AO1903" s="196">
        <f t="shared" ca="1" si="419"/>
        <v>435.38604930332559</v>
      </c>
    </row>
    <row r="1904" spans="1:41">
      <c r="A1904" s="189">
        <v>3652</v>
      </c>
      <c r="B1904" s="190">
        <v>1</v>
      </c>
      <c r="C1904" s="191" t="s">
        <v>229</v>
      </c>
      <c r="D1904" s="192">
        <f t="shared" si="406"/>
        <v>0</v>
      </c>
      <c r="E1904" s="192">
        <f t="shared" si="407"/>
        <v>0</v>
      </c>
      <c r="F1904" s="192">
        <f t="shared" si="408"/>
        <v>0</v>
      </c>
      <c r="G1904" s="193">
        <f t="shared" si="409"/>
        <v>0</v>
      </c>
      <c r="H1904" s="194">
        <v>0</v>
      </c>
      <c r="I1904" s="194">
        <v>0</v>
      </c>
      <c r="J1904" s="194">
        <v>0</v>
      </c>
      <c r="K1904" s="193">
        <f t="shared" si="410"/>
        <v>0</v>
      </c>
      <c r="L1904" s="194">
        <v>0</v>
      </c>
      <c r="M1904" s="194">
        <v>0</v>
      </c>
      <c r="N1904" s="194">
        <v>0</v>
      </c>
      <c r="O1904" s="193">
        <f t="shared" si="411"/>
        <v>0</v>
      </c>
      <c r="P1904" s="194">
        <v>0</v>
      </c>
      <c r="Q1904" s="194">
        <v>0</v>
      </c>
      <c r="R1904" s="194">
        <v>0</v>
      </c>
      <c r="S1904" s="193">
        <f t="shared" si="412"/>
        <v>0</v>
      </c>
      <c r="T1904" s="193">
        <f t="shared" si="413"/>
        <v>0</v>
      </c>
      <c r="U1904" s="193">
        <f ca="1">OFFSET('Expenditure Study'!$B$7,'Operations Support'!$C1904,'Operations Support'!$B1904)*$G1904</f>
        <v>0</v>
      </c>
      <c r="V1904" s="199">
        <f ca="1">U1904*'Expenditure Study'!$B$31</f>
        <v>0</v>
      </c>
      <c r="W1904" s="199">
        <f ca="1">IF(A1904=10298,1.51,1)*IF($B1904&lt;3,$D1904*'Expenditure Study'!$B$32*OFFSET('Expenditure Study'!$B$7,'Operations Support'!$C1904,'Operations Support'!$B1904),0)</f>
        <v>0</v>
      </c>
      <c r="X1904" s="200">
        <f ca="1">W1904*'Expenditure Study'!$B$31</f>
        <v>0</v>
      </c>
      <c r="Y1904" s="199">
        <f ca="1">U1904*'Expenditure Study'!$B$31</f>
        <v>0</v>
      </c>
      <c r="Z1904" s="200">
        <f ca="1">W1904*'Expenditure Study'!$B$31</f>
        <v>0</v>
      </c>
      <c r="AA1904" s="195">
        <f t="shared" ca="1" si="414"/>
        <v>0</v>
      </c>
      <c r="AB1904" s="195">
        <f t="shared" ca="1" si="415"/>
        <v>0</v>
      </c>
      <c r="AD1904" s="196">
        <f>IFERROR($G1904/SUMIF($A:$A,$A1904,$G:$G)*SUMIF(Summary!$A$166:$A$242,$A1904,Summary!$P$166:$P$242),0)</f>
        <v>0</v>
      </c>
      <c r="AE1904" s="197">
        <f t="shared" ca="1" si="416"/>
        <v>0</v>
      </c>
      <c r="AF1904" s="196">
        <f>IFERROR(G1904/SUMIF(A:A,A1904,G:G)*SUMIF(Summary!$A$166:$A$242,'Operations Support'!A1904,Summary!$Q$166:$Q$242),0)</f>
        <v>0</v>
      </c>
      <c r="AG1904" s="196">
        <f t="shared" ca="1" si="417"/>
        <v>0</v>
      </c>
      <c r="AI1904" s="196">
        <f>IFERROR($G1904/SUMIF($A:$A,$A1904,$G:$G)*SUMIF(Summary!$A$247:$A$283,$A1904,Summary!$P$247:$P$283),0)</f>
        <v>0</v>
      </c>
      <c r="AJ1904" s="196">
        <f>IFERROR($G1904/SUMIF($A:$A,$A1904,$G:$G)*(SUMIF(Summary!$A$247:$A$283,$A1904,Summary!$L$247:$L$283)+SUMIF(Summary!$A$297:$A$333,$A1904,Summary!$L$297:$L$333))-AI1904,0)</f>
        <v>0</v>
      </c>
      <c r="AK1904" s="196">
        <f>IFERROR($G1904/SUMIF($A:$A,$A1904,$G:$G)*SUMIF(Summary!$A$247:$A$283,$A1904,Summary!$Q$247:$Q$283),0)</f>
        <v>0</v>
      </c>
      <c r="AL1904" s="196">
        <f>IFERROR($G1904/SUMIF($A:$A,$A1904,$G:$G)*(SUMIF(Summary!$A$247:$A$283,$A1904,Summary!$L$247:$L$283)+SUMIF(Summary!$A$297:$A$333,$A1904,Summary!$L$297:$L$333))-AK1904,0)</f>
        <v>0</v>
      </c>
      <c r="AM1904" s="198"/>
      <c r="AN1904" s="196">
        <f t="shared" ca="1" si="418"/>
        <v>0</v>
      </c>
      <c r="AO1904" s="196">
        <f t="shared" ca="1" si="419"/>
        <v>0</v>
      </c>
    </row>
    <row r="1905" spans="1:41">
      <c r="A1905" s="189">
        <v>3652</v>
      </c>
      <c r="B1905" s="190">
        <v>1</v>
      </c>
      <c r="C1905" s="191" t="s">
        <v>230</v>
      </c>
      <c r="D1905" s="192">
        <f t="shared" si="406"/>
        <v>0</v>
      </c>
      <c r="E1905" s="192">
        <f t="shared" si="407"/>
        <v>0</v>
      </c>
      <c r="F1905" s="192">
        <f t="shared" si="408"/>
        <v>0</v>
      </c>
      <c r="G1905" s="193">
        <f t="shared" si="409"/>
        <v>0</v>
      </c>
      <c r="H1905" s="194">
        <v>0</v>
      </c>
      <c r="I1905" s="194">
        <v>0</v>
      </c>
      <c r="J1905" s="194">
        <v>0</v>
      </c>
      <c r="K1905" s="193">
        <f t="shared" si="410"/>
        <v>0</v>
      </c>
      <c r="L1905" s="194">
        <v>0</v>
      </c>
      <c r="M1905" s="194">
        <v>0</v>
      </c>
      <c r="N1905" s="194">
        <v>0</v>
      </c>
      <c r="O1905" s="193">
        <f t="shared" si="411"/>
        <v>0</v>
      </c>
      <c r="P1905" s="194">
        <v>0</v>
      </c>
      <c r="Q1905" s="194">
        <v>0</v>
      </c>
      <c r="R1905" s="194">
        <v>0</v>
      </c>
      <c r="S1905" s="193">
        <f t="shared" si="412"/>
        <v>0</v>
      </c>
      <c r="T1905" s="193">
        <f t="shared" si="413"/>
        <v>0</v>
      </c>
      <c r="U1905" s="193">
        <f ca="1">OFFSET('Expenditure Study'!$B$7,'Operations Support'!$C1905,'Operations Support'!$B1905)*$G1905</f>
        <v>0</v>
      </c>
      <c r="V1905" s="199">
        <f ca="1">U1905*'Expenditure Study'!$B$31</f>
        <v>0</v>
      </c>
      <c r="W1905" s="199">
        <f ca="1">IF(A1905=10298,1.51,1)*IF($B1905&lt;3,$D1905*'Expenditure Study'!$B$32*OFFSET('Expenditure Study'!$B$7,'Operations Support'!$C1905,'Operations Support'!$B1905),0)</f>
        <v>0</v>
      </c>
      <c r="X1905" s="200">
        <f ca="1">W1905*'Expenditure Study'!$B$31</f>
        <v>0</v>
      </c>
      <c r="Y1905" s="199">
        <f ca="1">U1905*'Expenditure Study'!$B$31</f>
        <v>0</v>
      </c>
      <c r="Z1905" s="200">
        <f ca="1">W1905*'Expenditure Study'!$B$31</f>
        <v>0</v>
      </c>
      <c r="AA1905" s="195">
        <f t="shared" ca="1" si="414"/>
        <v>0</v>
      </c>
      <c r="AB1905" s="195">
        <f t="shared" ca="1" si="415"/>
        <v>0</v>
      </c>
      <c r="AD1905" s="196">
        <f>IFERROR($G1905/SUMIF($A:$A,$A1905,$G:$G)*SUMIF(Summary!$A$166:$A$242,$A1905,Summary!$P$166:$P$242),0)</f>
        <v>0</v>
      </c>
      <c r="AE1905" s="197">
        <f t="shared" ca="1" si="416"/>
        <v>0</v>
      </c>
      <c r="AF1905" s="196">
        <f>IFERROR(G1905/SUMIF(A:A,A1905,G:G)*SUMIF(Summary!$A$166:$A$242,'Operations Support'!A1905,Summary!$Q$166:$Q$242),0)</f>
        <v>0</v>
      </c>
      <c r="AG1905" s="196">
        <f t="shared" ca="1" si="417"/>
        <v>0</v>
      </c>
      <c r="AI1905" s="196">
        <f>IFERROR($G1905/SUMIF($A:$A,$A1905,$G:$G)*SUMIF(Summary!$A$247:$A$283,$A1905,Summary!$P$247:$P$283),0)</f>
        <v>0</v>
      </c>
      <c r="AJ1905" s="196">
        <f>IFERROR($G1905/SUMIF($A:$A,$A1905,$G:$G)*(SUMIF(Summary!$A$247:$A$283,$A1905,Summary!$L$247:$L$283)+SUMIF(Summary!$A$297:$A$333,$A1905,Summary!$L$297:$L$333))-AI1905,0)</f>
        <v>0</v>
      </c>
      <c r="AK1905" s="196">
        <f>IFERROR($G1905/SUMIF($A:$A,$A1905,$G:$G)*SUMIF(Summary!$A$247:$A$283,$A1905,Summary!$Q$247:$Q$283),0)</f>
        <v>0</v>
      </c>
      <c r="AL1905" s="196">
        <f>IFERROR($G1905/SUMIF($A:$A,$A1905,$G:$G)*(SUMIF(Summary!$A$247:$A$283,$A1905,Summary!$L$247:$L$283)+SUMIF(Summary!$A$297:$A$333,$A1905,Summary!$L$297:$L$333))-AK1905,0)</f>
        <v>0</v>
      </c>
      <c r="AM1905" s="198"/>
      <c r="AN1905" s="196">
        <f t="shared" ca="1" si="418"/>
        <v>0</v>
      </c>
      <c r="AO1905" s="196">
        <f t="shared" ca="1" si="419"/>
        <v>0</v>
      </c>
    </row>
    <row r="1906" spans="1:41">
      <c r="A1906" s="189">
        <v>3652</v>
      </c>
      <c r="B1906" s="190">
        <v>1</v>
      </c>
      <c r="C1906" s="191" t="s">
        <v>231</v>
      </c>
      <c r="D1906" s="192">
        <f t="shared" si="406"/>
        <v>996</v>
      </c>
      <c r="E1906" s="192">
        <f t="shared" si="407"/>
        <v>873</v>
      </c>
      <c r="F1906" s="192">
        <f t="shared" si="408"/>
        <v>0</v>
      </c>
      <c r="G1906" s="193">
        <f t="shared" si="409"/>
        <v>1869</v>
      </c>
      <c r="H1906" s="194">
        <v>411</v>
      </c>
      <c r="I1906" s="194">
        <v>420</v>
      </c>
      <c r="J1906" s="194">
        <v>0</v>
      </c>
      <c r="K1906" s="193">
        <f t="shared" si="410"/>
        <v>831</v>
      </c>
      <c r="L1906" s="194">
        <v>522</v>
      </c>
      <c r="M1906" s="194">
        <v>378</v>
      </c>
      <c r="N1906" s="194">
        <v>0</v>
      </c>
      <c r="O1906" s="193">
        <f t="shared" si="411"/>
        <v>900</v>
      </c>
      <c r="P1906" s="194">
        <v>63</v>
      </c>
      <c r="Q1906" s="194">
        <v>75</v>
      </c>
      <c r="R1906" s="194">
        <v>0</v>
      </c>
      <c r="S1906" s="193">
        <f t="shared" si="412"/>
        <v>138</v>
      </c>
      <c r="T1906" s="193">
        <f t="shared" si="413"/>
        <v>62.3</v>
      </c>
      <c r="U1906" s="193">
        <f ca="1">OFFSET('Expenditure Study'!$B$7,'Operations Support'!$C1906,'Operations Support'!$B1906)*$G1906</f>
        <v>2840.88</v>
      </c>
      <c r="V1906" s="199">
        <f ca="1">U1906*'Expenditure Study'!$B$31</f>
        <v>167848.226671104</v>
      </c>
      <c r="W1906" s="199">
        <f ca="1">IF(A1906=10298,1.51,1)*IF($B1906&lt;3,$D1906*'Expenditure Study'!$B$32*OFFSET('Expenditure Study'!$B$7,'Operations Support'!$C1906,'Operations Support'!$B1906),0)</f>
        <v>151.39200000000002</v>
      </c>
      <c r="X1906" s="200">
        <f ca="1">W1906*'Expenditure Study'!$B$31</f>
        <v>8944.7209076736017</v>
      </c>
      <c r="Y1906" s="199">
        <f ca="1">U1906*'Expenditure Study'!$B$31</f>
        <v>167848.226671104</v>
      </c>
      <c r="Z1906" s="200">
        <f ca="1">W1906*'Expenditure Study'!$B$31</f>
        <v>8944.7209076736017</v>
      </c>
      <c r="AA1906" s="195">
        <f t="shared" ca="1" si="414"/>
        <v>176792.94757877759</v>
      </c>
      <c r="AB1906" s="195">
        <f t="shared" ca="1" si="415"/>
        <v>176792.94757877759</v>
      </c>
      <c r="AD1906" s="196">
        <f>IFERROR($G1906/SUMIF($A:$A,$A1906,$G:$G)*SUMIF(Summary!$A$166:$A$242,$A1906,Summary!$P$166:$P$242),0)</f>
        <v>68668.397971720682</v>
      </c>
      <c r="AE1906" s="197">
        <f t="shared" ca="1" si="416"/>
        <v>108124.54960705691</v>
      </c>
      <c r="AF1906" s="196">
        <f>IFERROR(G1906/SUMIF(A:A,A1906,G:G)*SUMIF(Summary!$A$166:$A$242,'Operations Support'!A1906,Summary!$Q$166:$Q$242),0)</f>
        <v>68904.025053367732</v>
      </c>
      <c r="AG1906" s="196">
        <f t="shared" ca="1" si="417"/>
        <v>107888.92252540986</v>
      </c>
      <c r="AI1906" s="196">
        <f>IFERROR($G1906/SUMIF($A:$A,$A1906,$G:$G)*SUMIF(Summary!$A$247:$A$283,$A1906,Summary!$P$247:$P$283),0)</f>
        <v>12523.402189271925</v>
      </c>
      <c r="AJ1906" s="196">
        <f>IFERROR($G1906/SUMIF($A:$A,$A1906,$G:$G)*(SUMIF(Summary!$A$247:$A$283,$A1906,Summary!$L$247:$L$283)+SUMIF(Summary!$A$297:$A$333,$A1906,Summary!$L$297:$L$333))-AI1906,0)</f>
        <v>30095.937345021783</v>
      </c>
      <c r="AK1906" s="196">
        <f>IFERROR($G1906/SUMIF($A:$A,$A1906,$G:$G)*SUMIF(Summary!$A$247:$A$283,$A1906,Summary!$Q$247:$Q$283),0)</f>
        <v>12566.374688956072</v>
      </c>
      <c r="AL1906" s="196">
        <f>IFERROR($G1906/SUMIF($A:$A,$A1906,$G:$G)*(SUMIF(Summary!$A$247:$A$283,$A1906,Summary!$L$247:$L$283)+SUMIF(Summary!$A$297:$A$333,$A1906,Summary!$L$297:$L$333))-AK1906,0)</f>
        <v>30052.964845337636</v>
      </c>
      <c r="AM1906" s="198"/>
      <c r="AN1906" s="196">
        <f t="shared" ca="1" si="418"/>
        <v>138220.4869520787</v>
      </c>
      <c r="AO1906" s="196">
        <f t="shared" ca="1" si="419"/>
        <v>137941.88737074748</v>
      </c>
    </row>
    <row r="1907" spans="1:41">
      <c r="A1907" s="189">
        <v>3652</v>
      </c>
      <c r="B1907" s="190">
        <v>1</v>
      </c>
      <c r="C1907" s="191" t="s">
        <v>232</v>
      </c>
      <c r="D1907" s="192">
        <f t="shared" si="406"/>
        <v>0</v>
      </c>
      <c r="E1907" s="192">
        <f t="shared" si="407"/>
        <v>0</v>
      </c>
      <c r="F1907" s="192">
        <f t="shared" si="408"/>
        <v>0</v>
      </c>
      <c r="G1907" s="193">
        <f t="shared" si="409"/>
        <v>0</v>
      </c>
      <c r="H1907" s="194">
        <v>0</v>
      </c>
      <c r="I1907" s="194">
        <v>0</v>
      </c>
      <c r="J1907" s="194">
        <v>0</v>
      </c>
      <c r="K1907" s="193">
        <f t="shared" si="410"/>
        <v>0</v>
      </c>
      <c r="L1907" s="194">
        <v>0</v>
      </c>
      <c r="M1907" s="194">
        <v>0</v>
      </c>
      <c r="N1907" s="194">
        <v>0</v>
      </c>
      <c r="O1907" s="193">
        <f t="shared" si="411"/>
        <v>0</v>
      </c>
      <c r="P1907" s="194">
        <v>0</v>
      </c>
      <c r="Q1907" s="194">
        <v>0</v>
      </c>
      <c r="R1907" s="194">
        <v>0</v>
      </c>
      <c r="S1907" s="193">
        <f t="shared" si="412"/>
        <v>0</v>
      </c>
      <c r="T1907" s="193">
        <f t="shared" si="413"/>
        <v>0</v>
      </c>
      <c r="U1907" s="193">
        <f ca="1">OFFSET('Expenditure Study'!$B$7,'Operations Support'!$C1907,'Operations Support'!$B1907)*$G1907</f>
        <v>0</v>
      </c>
      <c r="V1907" s="199">
        <f ca="1">U1907*'Expenditure Study'!$B$31</f>
        <v>0</v>
      </c>
      <c r="W1907" s="199">
        <f ca="1">IF(A1907=10298,1.51,1)*IF($B1907&lt;3,$D1907*'Expenditure Study'!$B$32*OFFSET('Expenditure Study'!$B$7,'Operations Support'!$C1907,'Operations Support'!$B1907),0)</f>
        <v>0</v>
      </c>
      <c r="X1907" s="200">
        <f ca="1">W1907*'Expenditure Study'!$B$31</f>
        <v>0</v>
      </c>
      <c r="Y1907" s="199">
        <f ca="1">U1907*'Expenditure Study'!$B$31</f>
        <v>0</v>
      </c>
      <c r="Z1907" s="200">
        <f ca="1">W1907*'Expenditure Study'!$B$31</f>
        <v>0</v>
      </c>
      <c r="AA1907" s="195">
        <f t="shared" ca="1" si="414"/>
        <v>0</v>
      </c>
      <c r="AB1907" s="195">
        <f t="shared" ca="1" si="415"/>
        <v>0</v>
      </c>
      <c r="AD1907" s="196">
        <f>IFERROR($G1907/SUMIF($A:$A,$A1907,$G:$G)*SUMIF(Summary!$A$166:$A$242,$A1907,Summary!$P$166:$P$242),0)</f>
        <v>0</v>
      </c>
      <c r="AE1907" s="197">
        <f t="shared" ca="1" si="416"/>
        <v>0</v>
      </c>
      <c r="AF1907" s="196">
        <f>IFERROR(G1907/SUMIF(A:A,A1907,G:G)*SUMIF(Summary!$A$166:$A$242,'Operations Support'!A1907,Summary!$Q$166:$Q$242),0)</f>
        <v>0</v>
      </c>
      <c r="AG1907" s="196">
        <f t="shared" ca="1" si="417"/>
        <v>0</v>
      </c>
      <c r="AI1907" s="196">
        <f>IFERROR($G1907/SUMIF($A:$A,$A1907,$G:$G)*SUMIF(Summary!$A$247:$A$283,$A1907,Summary!$P$247:$P$283),0)</f>
        <v>0</v>
      </c>
      <c r="AJ1907" s="196">
        <f>IFERROR($G1907/SUMIF($A:$A,$A1907,$G:$G)*(SUMIF(Summary!$A$247:$A$283,$A1907,Summary!$L$247:$L$283)+SUMIF(Summary!$A$297:$A$333,$A1907,Summary!$L$297:$L$333))-AI1907,0)</f>
        <v>0</v>
      </c>
      <c r="AK1907" s="196">
        <f>IFERROR($G1907/SUMIF($A:$A,$A1907,$G:$G)*SUMIF(Summary!$A$247:$A$283,$A1907,Summary!$Q$247:$Q$283),0)</f>
        <v>0</v>
      </c>
      <c r="AL1907" s="196">
        <f>IFERROR($G1907/SUMIF($A:$A,$A1907,$G:$G)*(SUMIF(Summary!$A$247:$A$283,$A1907,Summary!$L$247:$L$283)+SUMIF(Summary!$A$297:$A$333,$A1907,Summary!$L$297:$L$333))-AK1907,0)</f>
        <v>0</v>
      </c>
      <c r="AM1907" s="198"/>
      <c r="AN1907" s="196">
        <f t="shared" ca="1" si="418"/>
        <v>0</v>
      </c>
      <c r="AO1907" s="196">
        <f t="shared" ca="1" si="419"/>
        <v>0</v>
      </c>
    </row>
    <row r="1908" spans="1:41">
      <c r="A1908" s="189">
        <v>3652</v>
      </c>
      <c r="B1908" s="190">
        <v>1</v>
      </c>
      <c r="C1908" s="191" t="s">
        <v>233</v>
      </c>
      <c r="D1908" s="192">
        <f t="shared" si="406"/>
        <v>1116</v>
      </c>
      <c r="E1908" s="192">
        <f t="shared" si="407"/>
        <v>23171</v>
      </c>
      <c r="F1908" s="192">
        <f t="shared" si="408"/>
        <v>0</v>
      </c>
      <c r="G1908" s="193">
        <f t="shared" si="409"/>
        <v>24287</v>
      </c>
      <c r="H1908" s="194">
        <v>339</v>
      </c>
      <c r="I1908" s="194">
        <v>9344</v>
      </c>
      <c r="J1908" s="194">
        <v>0</v>
      </c>
      <c r="K1908" s="193">
        <f t="shared" si="410"/>
        <v>9683</v>
      </c>
      <c r="L1908" s="194">
        <v>768</v>
      </c>
      <c r="M1908" s="194">
        <v>11382</v>
      </c>
      <c r="N1908" s="194">
        <v>0</v>
      </c>
      <c r="O1908" s="193">
        <f t="shared" si="411"/>
        <v>12150</v>
      </c>
      <c r="P1908" s="194">
        <v>9</v>
      </c>
      <c r="Q1908" s="194">
        <v>2445</v>
      </c>
      <c r="R1908" s="194">
        <v>0</v>
      </c>
      <c r="S1908" s="193">
        <f t="shared" si="412"/>
        <v>2454</v>
      </c>
      <c r="T1908" s="193">
        <f t="shared" si="413"/>
        <v>809.56666666666672</v>
      </c>
      <c r="U1908" s="193">
        <f ca="1">OFFSET('Expenditure Study'!$B$7,'Operations Support'!$C1908,'Operations Support'!$B1908)*$G1908</f>
        <v>23315.52</v>
      </c>
      <c r="V1908" s="199">
        <f ca="1">U1908*'Expenditure Study'!$B$31</f>
        <v>1377555.0836060161</v>
      </c>
      <c r="W1908" s="199">
        <f ca="1">IF(A1908=10298,1.51,1)*IF($B1908&lt;3,$D1908*'Expenditure Study'!$B$32*OFFSET('Expenditure Study'!$B$7,'Operations Support'!$C1908,'Operations Support'!$B1908),0)</f>
        <v>107.13600000000001</v>
      </c>
      <c r="X1908" s="200">
        <f ca="1">W1908*'Expenditure Study'!$B$31</f>
        <v>6329.9356581888005</v>
      </c>
      <c r="Y1908" s="199">
        <f ca="1">U1908*'Expenditure Study'!$B$31</f>
        <v>1377555.0836060161</v>
      </c>
      <c r="Z1908" s="200">
        <f ca="1">W1908*'Expenditure Study'!$B$31</f>
        <v>6329.9356581888005</v>
      </c>
      <c r="AA1908" s="195">
        <f t="shared" ca="1" si="414"/>
        <v>1383885.0192642049</v>
      </c>
      <c r="AB1908" s="195">
        <f t="shared" ca="1" si="415"/>
        <v>1383885.0192642049</v>
      </c>
      <c r="AD1908" s="196">
        <f>IFERROR($G1908/SUMIF($A:$A,$A1908,$G:$G)*SUMIF(Summary!$A$166:$A$242,$A1908,Summary!$P$166:$P$242),0)</f>
        <v>892321.76647361158</v>
      </c>
      <c r="AE1908" s="197">
        <f t="shared" ca="1" si="416"/>
        <v>491563.25279059331</v>
      </c>
      <c r="AF1908" s="196">
        <f>IFERROR(G1908/SUMIF(A:A,A1908,G:G)*SUMIF(Summary!$A$166:$A$242,'Operations Support'!A1908,Summary!$Q$166:$Q$242),0)</f>
        <v>895383.65782297601</v>
      </c>
      <c r="AG1908" s="196">
        <f t="shared" ca="1" si="417"/>
        <v>488501.36144122889</v>
      </c>
      <c r="AI1908" s="196">
        <f>IFERROR($G1908/SUMIF($A:$A,$A1908,$G:$G)*SUMIF(Summary!$A$247:$A$283,$A1908,Summary!$P$247:$P$283),0)</f>
        <v>162737.22256332115</v>
      </c>
      <c r="AJ1908" s="196">
        <f>IFERROR($G1908/SUMIF($A:$A,$A1908,$G:$G)*(SUMIF(Summary!$A$247:$A$283,$A1908,Summary!$L$247:$L$283)+SUMIF(Summary!$A$297:$A$333,$A1908,Summary!$L$297:$L$333))-AI1908,0)</f>
        <v>391086.15853319643</v>
      </c>
      <c r="AK1908" s="196">
        <f>IFERROR($G1908/SUMIF($A:$A,$A1908,$G:$G)*SUMIF(Summary!$A$247:$A$283,$A1908,Summary!$Q$247:$Q$283),0)</f>
        <v>163295.63513679834</v>
      </c>
      <c r="AL1908" s="196">
        <f>IFERROR($G1908/SUMIF($A:$A,$A1908,$G:$G)*(SUMIF(Summary!$A$247:$A$283,$A1908,Summary!$L$247:$L$283)+SUMIF(Summary!$A$297:$A$333,$A1908,Summary!$L$297:$L$333))-AK1908,0)</f>
        <v>390527.74595971918</v>
      </c>
      <c r="AM1908" s="198"/>
      <c r="AN1908" s="196">
        <f t="shared" ca="1" si="418"/>
        <v>882649.41132378974</v>
      </c>
      <c r="AO1908" s="196">
        <f t="shared" ca="1" si="419"/>
        <v>879029.10740094807</v>
      </c>
    </row>
    <row r="1909" spans="1:41">
      <c r="A1909" s="189">
        <v>3652</v>
      </c>
      <c r="B1909" s="190">
        <v>1</v>
      </c>
      <c r="C1909" s="191" t="s">
        <v>234</v>
      </c>
      <c r="D1909" s="192">
        <f t="shared" si="406"/>
        <v>0</v>
      </c>
      <c r="E1909" s="192">
        <f t="shared" si="407"/>
        <v>0</v>
      </c>
      <c r="F1909" s="192">
        <f t="shared" si="408"/>
        <v>0</v>
      </c>
      <c r="G1909" s="193">
        <f t="shared" si="409"/>
        <v>0</v>
      </c>
      <c r="H1909" s="194">
        <v>0</v>
      </c>
      <c r="I1909" s="194">
        <v>0</v>
      </c>
      <c r="J1909" s="194">
        <v>0</v>
      </c>
      <c r="K1909" s="193">
        <f t="shared" si="410"/>
        <v>0</v>
      </c>
      <c r="L1909" s="194">
        <v>0</v>
      </c>
      <c r="M1909" s="194">
        <v>0</v>
      </c>
      <c r="N1909" s="194">
        <v>0</v>
      </c>
      <c r="O1909" s="193">
        <f t="shared" si="411"/>
        <v>0</v>
      </c>
      <c r="P1909" s="194">
        <v>0</v>
      </c>
      <c r="Q1909" s="194">
        <v>0</v>
      </c>
      <c r="R1909" s="194">
        <v>0</v>
      </c>
      <c r="S1909" s="193">
        <f t="shared" si="412"/>
        <v>0</v>
      </c>
      <c r="T1909" s="193">
        <f t="shared" si="413"/>
        <v>0</v>
      </c>
      <c r="U1909" s="193">
        <f ca="1">OFFSET('Expenditure Study'!$B$7,'Operations Support'!$C1909,'Operations Support'!$B1909)*$G1909</f>
        <v>0</v>
      </c>
      <c r="V1909" s="199">
        <f ca="1">U1909*'Expenditure Study'!$B$31</f>
        <v>0</v>
      </c>
      <c r="W1909" s="199">
        <f ca="1">IF(A1909=10298,1.51,1)*IF($B1909&lt;3,$D1909*'Expenditure Study'!$B$32*OFFSET('Expenditure Study'!$B$7,'Operations Support'!$C1909,'Operations Support'!$B1909),0)</f>
        <v>0</v>
      </c>
      <c r="X1909" s="200">
        <f ca="1">W1909*'Expenditure Study'!$B$31</f>
        <v>0</v>
      </c>
      <c r="Y1909" s="199">
        <f ca="1">U1909*'Expenditure Study'!$B$31</f>
        <v>0</v>
      </c>
      <c r="Z1909" s="200">
        <f ca="1">W1909*'Expenditure Study'!$B$31</f>
        <v>0</v>
      </c>
      <c r="AA1909" s="195">
        <f t="shared" ca="1" si="414"/>
        <v>0</v>
      </c>
      <c r="AB1909" s="195">
        <f t="shared" ca="1" si="415"/>
        <v>0</v>
      </c>
      <c r="AD1909" s="196">
        <f>IFERROR($G1909/SUMIF($A:$A,$A1909,$G:$G)*SUMIF(Summary!$A$166:$A$242,$A1909,Summary!$P$166:$P$242),0)</f>
        <v>0</v>
      </c>
      <c r="AE1909" s="197">
        <f t="shared" ca="1" si="416"/>
        <v>0</v>
      </c>
      <c r="AF1909" s="196">
        <f>IFERROR(G1909/SUMIF(A:A,A1909,G:G)*SUMIF(Summary!$A$166:$A$242,'Operations Support'!A1909,Summary!$Q$166:$Q$242),0)</f>
        <v>0</v>
      </c>
      <c r="AG1909" s="196">
        <f t="shared" ca="1" si="417"/>
        <v>0</v>
      </c>
      <c r="AI1909" s="196">
        <f>IFERROR($G1909/SUMIF($A:$A,$A1909,$G:$G)*SUMIF(Summary!$A$247:$A$283,$A1909,Summary!$P$247:$P$283),0)</f>
        <v>0</v>
      </c>
      <c r="AJ1909" s="196">
        <f>IFERROR($G1909/SUMIF($A:$A,$A1909,$G:$G)*(SUMIF(Summary!$A$247:$A$283,$A1909,Summary!$L$247:$L$283)+SUMIF(Summary!$A$297:$A$333,$A1909,Summary!$L$297:$L$333))-AI1909,0)</f>
        <v>0</v>
      </c>
      <c r="AK1909" s="196">
        <f>IFERROR($G1909/SUMIF($A:$A,$A1909,$G:$G)*SUMIF(Summary!$A$247:$A$283,$A1909,Summary!$Q$247:$Q$283),0)</f>
        <v>0</v>
      </c>
      <c r="AL1909" s="196">
        <f>IFERROR($G1909/SUMIF($A:$A,$A1909,$G:$G)*(SUMIF(Summary!$A$247:$A$283,$A1909,Summary!$L$247:$L$283)+SUMIF(Summary!$A$297:$A$333,$A1909,Summary!$L$297:$L$333))-AK1909,0)</f>
        <v>0</v>
      </c>
      <c r="AM1909" s="198"/>
      <c r="AN1909" s="196">
        <f t="shared" ca="1" si="418"/>
        <v>0</v>
      </c>
      <c r="AO1909" s="196">
        <f t="shared" ca="1" si="419"/>
        <v>0</v>
      </c>
    </row>
    <row r="1910" spans="1:41">
      <c r="A1910" s="189">
        <v>3652</v>
      </c>
      <c r="B1910" s="190">
        <v>1</v>
      </c>
      <c r="C1910" s="191" t="s">
        <v>235</v>
      </c>
      <c r="D1910" s="192">
        <f t="shared" si="406"/>
        <v>3888.51</v>
      </c>
      <c r="E1910" s="192">
        <f t="shared" si="407"/>
        <v>45524.490000000005</v>
      </c>
      <c r="F1910" s="192">
        <f t="shared" si="408"/>
        <v>0</v>
      </c>
      <c r="G1910" s="193">
        <f t="shared" si="409"/>
        <v>49413.000000000007</v>
      </c>
      <c r="H1910" s="194">
        <v>1687</v>
      </c>
      <c r="I1910" s="194">
        <v>20473</v>
      </c>
      <c r="J1910" s="194">
        <v>0</v>
      </c>
      <c r="K1910" s="193">
        <f t="shared" si="410"/>
        <v>22160</v>
      </c>
      <c r="L1910" s="194">
        <v>2124.5100000000002</v>
      </c>
      <c r="M1910" s="194">
        <v>22992.49</v>
      </c>
      <c r="N1910" s="194">
        <v>0</v>
      </c>
      <c r="O1910" s="193">
        <f t="shared" si="411"/>
        <v>25117</v>
      </c>
      <c r="P1910" s="194">
        <v>77</v>
      </c>
      <c r="Q1910" s="194">
        <v>2059</v>
      </c>
      <c r="R1910" s="194">
        <v>0</v>
      </c>
      <c r="S1910" s="193">
        <f t="shared" si="412"/>
        <v>2136</v>
      </c>
      <c r="T1910" s="193">
        <f t="shared" si="413"/>
        <v>1647.1000000000001</v>
      </c>
      <c r="U1910" s="193">
        <f ca="1">OFFSET('Expenditure Study'!$B$7,'Operations Support'!$C1910,'Operations Support'!$B1910)*$G1910</f>
        <v>54354.30000000001</v>
      </c>
      <c r="V1910" s="199">
        <f ca="1">U1910*'Expenditure Study'!$B$31</f>
        <v>3211424.9341574404</v>
      </c>
      <c r="W1910" s="199">
        <f ca="1">IF(A1910=10298,1.51,1)*IF($B1910&lt;3,$D1910*'Expenditure Study'!$B$32*OFFSET('Expenditure Study'!$B$7,'Operations Support'!$C1910,'Operations Support'!$B1910),0)</f>
        <v>427.73610000000008</v>
      </c>
      <c r="X1910" s="200">
        <f ca="1">W1910*'Expenditure Study'!$B$31</f>
        <v>25272.009330986886</v>
      </c>
      <c r="Y1910" s="199">
        <f ca="1">U1910*'Expenditure Study'!$B$31</f>
        <v>3211424.9341574404</v>
      </c>
      <c r="Z1910" s="200">
        <f ca="1">W1910*'Expenditure Study'!$B$31</f>
        <v>25272.009330986886</v>
      </c>
      <c r="AA1910" s="195">
        <f t="shared" ca="1" si="414"/>
        <v>3236696.9434884274</v>
      </c>
      <c r="AB1910" s="195">
        <f t="shared" ca="1" si="415"/>
        <v>3236696.9434884274</v>
      </c>
      <c r="AD1910" s="196">
        <f>IFERROR($G1910/SUMIF($A:$A,$A1910,$G:$G)*SUMIF(Summary!$A$166:$A$242,$A1910,Summary!$P$166:$P$242),0)</f>
        <v>1815468.9935669524</v>
      </c>
      <c r="AE1910" s="197">
        <f t="shared" ca="1" si="416"/>
        <v>1421227.949921475</v>
      </c>
      <c r="AF1910" s="196">
        <f>IFERROR(G1910/SUMIF(A:A,A1910,G:G)*SUMIF(Summary!$A$166:$A$242,'Operations Support'!A1910,Summary!$Q$166:$Q$242),0)</f>
        <v>1821698.5500064527</v>
      </c>
      <c r="AG1910" s="196">
        <f t="shared" ca="1" si="417"/>
        <v>1414998.3934819747</v>
      </c>
      <c r="AI1910" s="196">
        <f>IFERROR($G1910/SUMIF($A:$A,$A1910,$G:$G)*SUMIF(Summary!$A$247:$A$283,$A1910,Summary!$P$247:$P$283),0)</f>
        <v>331096.23990288586</v>
      </c>
      <c r="AJ1910" s="196">
        <f>IFERROR($G1910/SUMIF($A:$A,$A1910,$G:$G)*(SUMIF(Summary!$A$247:$A$283,$A1910,Summary!$L$247:$L$283)+SUMIF(Summary!$A$297:$A$333,$A1910,Summary!$L$297:$L$333))-AI1910,0)</f>
        <v>795682.47834647493</v>
      </c>
      <c r="AK1910" s="196">
        <f>IFERROR($G1910/SUMIF($A:$A,$A1910,$G:$G)*SUMIF(Summary!$A$247:$A$283,$A1910,Summary!$Q$247:$Q$283),0)</f>
        <v>332232.3555406027</v>
      </c>
      <c r="AL1910" s="196">
        <f>IFERROR($G1910/SUMIF($A:$A,$A1910,$G:$G)*(SUMIF(Summary!$A$247:$A$283,$A1910,Summary!$L$247:$L$283)+SUMIF(Summary!$A$297:$A$333,$A1910,Summary!$L$297:$L$333))-AK1910,0)</f>
        <v>794546.3627087581</v>
      </c>
      <c r="AM1910" s="198"/>
      <c r="AN1910" s="196">
        <f t="shared" ca="1" si="418"/>
        <v>2216910.4282679502</v>
      </c>
      <c r="AO1910" s="196">
        <f t="shared" ca="1" si="419"/>
        <v>2209544.7561907331</v>
      </c>
    </row>
    <row r="1911" spans="1:41">
      <c r="A1911" s="189">
        <v>3652</v>
      </c>
      <c r="B1911" s="190">
        <v>1</v>
      </c>
      <c r="C1911" s="191" t="s">
        <v>236</v>
      </c>
      <c r="D1911" s="192">
        <f t="shared" si="406"/>
        <v>0</v>
      </c>
      <c r="E1911" s="192">
        <f t="shared" si="407"/>
        <v>0</v>
      </c>
      <c r="F1911" s="192">
        <f t="shared" si="408"/>
        <v>0</v>
      </c>
      <c r="G1911" s="193">
        <f t="shared" si="409"/>
        <v>0</v>
      </c>
      <c r="H1911" s="194">
        <v>0</v>
      </c>
      <c r="I1911" s="194">
        <v>0</v>
      </c>
      <c r="J1911" s="194">
        <v>0</v>
      </c>
      <c r="K1911" s="193">
        <f t="shared" si="410"/>
        <v>0</v>
      </c>
      <c r="L1911" s="194">
        <v>0</v>
      </c>
      <c r="M1911" s="194">
        <v>0</v>
      </c>
      <c r="N1911" s="194">
        <v>0</v>
      </c>
      <c r="O1911" s="193">
        <f t="shared" si="411"/>
        <v>0</v>
      </c>
      <c r="P1911" s="194">
        <v>0</v>
      </c>
      <c r="Q1911" s="194">
        <v>0</v>
      </c>
      <c r="R1911" s="194">
        <v>0</v>
      </c>
      <c r="S1911" s="193">
        <f t="shared" si="412"/>
        <v>0</v>
      </c>
      <c r="T1911" s="193">
        <f t="shared" si="413"/>
        <v>0</v>
      </c>
      <c r="U1911" s="193">
        <f ca="1">OFFSET('Expenditure Study'!$B$7,'Operations Support'!$C1911,'Operations Support'!$B1911)*$G1911</f>
        <v>0</v>
      </c>
      <c r="V1911" s="199">
        <f ca="1">U1911*'Expenditure Study'!$B$31</f>
        <v>0</v>
      </c>
      <c r="W1911" s="199">
        <f ca="1">IF(A1911=10298,1.51,1)*IF($B1911&lt;3,$D1911*'Expenditure Study'!$B$32*OFFSET('Expenditure Study'!$B$7,'Operations Support'!$C1911,'Operations Support'!$B1911),0)</f>
        <v>0</v>
      </c>
      <c r="X1911" s="200">
        <f ca="1">W1911*'Expenditure Study'!$B$31</f>
        <v>0</v>
      </c>
      <c r="Y1911" s="199">
        <f ca="1">U1911*'Expenditure Study'!$B$31</f>
        <v>0</v>
      </c>
      <c r="Z1911" s="200">
        <f ca="1">W1911*'Expenditure Study'!$B$31</f>
        <v>0</v>
      </c>
      <c r="AA1911" s="195">
        <f t="shared" ca="1" si="414"/>
        <v>0</v>
      </c>
      <c r="AB1911" s="195">
        <f t="shared" ca="1" si="415"/>
        <v>0</v>
      </c>
      <c r="AD1911" s="196">
        <f>IFERROR($G1911/SUMIF($A:$A,$A1911,$G:$G)*SUMIF(Summary!$A$166:$A$242,$A1911,Summary!$P$166:$P$242),0)</f>
        <v>0</v>
      </c>
      <c r="AE1911" s="197">
        <f t="shared" ca="1" si="416"/>
        <v>0</v>
      </c>
      <c r="AF1911" s="196">
        <f>IFERROR(G1911/SUMIF(A:A,A1911,G:G)*SUMIF(Summary!$A$166:$A$242,'Operations Support'!A1911,Summary!$Q$166:$Q$242),0)</f>
        <v>0</v>
      </c>
      <c r="AG1911" s="196">
        <f t="shared" ca="1" si="417"/>
        <v>0</v>
      </c>
      <c r="AI1911" s="196">
        <f>IFERROR($G1911/SUMIF($A:$A,$A1911,$G:$G)*SUMIF(Summary!$A$247:$A$283,$A1911,Summary!$P$247:$P$283),0)</f>
        <v>0</v>
      </c>
      <c r="AJ1911" s="196">
        <f>IFERROR($G1911/SUMIF($A:$A,$A1911,$G:$G)*(SUMIF(Summary!$A$247:$A$283,$A1911,Summary!$L$247:$L$283)+SUMIF(Summary!$A$297:$A$333,$A1911,Summary!$L$297:$L$333))-AI1911,0)</f>
        <v>0</v>
      </c>
      <c r="AK1911" s="196">
        <f>IFERROR($G1911/SUMIF($A:$A,$A1911,$G:$G)*SUMIF(Summary!$A$247:$A$283,$A1911,Summary!$Q$247:$Q$283),0)</f>
        <v>0</v>
      </c>
      <c r="AL1911" s="196">
        <f>IFERROR($G1911/SUMIF($A:$A,$A1911,$G:$G)*(SUMIF(Summary!$A$247:$A$283,$A1911,Summary!$L$247:$L$283)+SUMIF(Summary!$A$297:$A$333,$A1911,Summary!$L$297:$L$333))-AK1911,0)</f>
        <v>0</v>
      </c>
      <c r="AM1911" s="198"/>
      <c r="AN1911" s="196">
        <f t="shared" ca="1" si="418"/>
        <v>0</v>
      </c>
      <c r="AO1911" s="196">
        <f t="shared" ca="1" si="419"/>
        <v>0</v>
      </c>
    </row>
    <row r="1912" spans="1:41">
      <c r="A1912" s="189">
        <v>3652</v>
      </c>
      <c r="B1912" s="190">
        <v>1</v>
      </c>
      <c r="C1912" s="191" t="s">
        <v>237</v>
      </c>
      <c r="D1912" s="192">
        <f t="shared" si="406"/>
        <v>0</v>
      </c>
      <c r="E1912" s="192">
        <f t="shared" si="407"/>
        <v>338</v>
      </c>
      <c r="F1912" s="192">
        <f t="shared" si="408"/>
        <v>0</v>
      </c>
      <c r="G1912" s="193">
        <f t="shared" si="409"/>
        <v>338</v>
      </c>
      <c r="H1912" s="194">
        <v>0</v>
      </c>
      <c r="I1912" s="194">
        <v>150</v>
      </c>
      <c r="J1912" s="194">
        <v>0</v>
      </c>
      <c r="K1912" s="193">
        <f t="shared" si="410"/>
        <v>150</v>
      </c>
      <c r="L1912" s="194">
        <v>0</v>
      </c>
      <c r="M1912" s="194">
        <v>188</v>
      </c>
      <c r="N1912" s="194">
        <v>0</v>
      </c>
      <c r="O1912" s="193">
        <f t="shared" si="411"/>
        <v>188</v>
      </c>
      <c r="P1912" s="194">
        <v>0</v>
      </c>
      <c r="Q1912" s="194">
        <v>0</v>
      </c>
      <c r="R1912" s="194">
        <v>0</v>
      </c>
      <c r="S1912" s="193">
        <f t="shared" si="412"/>
        <v>0</v>
      </c>
      <c r="T1912" s="193">
        <f t="shared" si="413"/>
        <v>11.266666666666667</v>
      </c>
      <c r="U1912" s="193">
        <f ca="1">OFFSET('Expenditure Study'!$B$7,'Operations Support'!$C1912,'Operations Support'!$B1912)*$G1912</f>
        <v>665.86</v>
      </c>
      <c r="V1912" s="199">
        <f ca="1">U1912*'Expenditure Study'!$B$31</f>
        <v>39341.126767488</v>
      </c>
      <c r="W1912" s="199">
        <f ca="1">IF(A1912=10298,1.51,1)*IF($B1912&lt;3,$D1912*'Expenditure Study'!$B$32*OFFSET('Expenditure Study'!$B$7,'Operations Support'!$C1912,'Operations Support'!$B1912),0)</f>
        <v>0</v>
      </c>
      <c r="X1912" s="200">
        <f ca="1">W1912*'Expenditure Study'!$B$31</f>
        <v>0</v>
      </c>
      <c r="Y1912" s="199">
        <f ca="1">U1912*'Expenditure Study'!$B$31</f>
        <v>39341.126767488</v>
      </c>
      <c r="Z1912" s="200">
        <f ca="1">W1912*'Expenditure Study'!$B$31</f>
        <v>0</v>
      </c>
      <c r="AA1912" s="195">
        <f t="shared" ca="1" si="414"/>
        <v>39341.126767488</v>
      </c>
      <c r="AB1912" s="195">
        <f t="shared" ca="1" si="415"/>
        <v>39341.126767488</v>
      </c>
      <c r="AD1912" s="196">
        <f>IFERROR($G1912/SUMIF($A:$A,$A1912,$G:$G)*SUMIF(Summary!$A$166:$A$242,$A1912,Summary!$P$166:$P$242),0)</f>
        <v>12418.361965993359</v>
      </c>
      <c r="AE1912" s="197">
        <f t="shared" ca="1" si="416"/>
        <v>26922.764801494639</v>
      </c>
      <c r="AF1912" s="196">
        <f>IFERROR(G1912/SUMIF(A:A,A1912,G:G)*SUMIF(Summary!$A$166:$A$242,'Operations Support'!A1912,Summary!$Q$166:$Q$242),0)</f>
        <v>12460.974033193308</v>
      </c>
      <c r="AG1912" s="196">
        <f t="shared" ca="1" si="417"/>
        <v>26880.152734294694</v>
      </c>
      <c r="AI1912" s="196">
        <f>IFERROR($G1912/SUMIF($A:$A,$A1912,$G:$G)*SUMIF(Summary!$A$247:$A$283,$A1912,Summary!$P$247:$P$283),0)</f>
        <v>2264.7993258287374</v>
      </c>
      <c r="AJ1912" s="196">
        <f>IFERROR($G1912/SUMIF($A:$A,$A1912,$G:$G)*(SUMIF(Summary!$A$247:$A$283,$A1912,Summary!$L$247:$L$283)+SUMIF(Summary!$A$297:$A$333,$A1912,Summary!$L$297:$L$333))-AI1912,0)</f>
        <v>5442.7109805336349</v>
      </c>
      <c r="AK1912" s="196">
        <f>IFERROR($G1912/SUMIF($A:$A,$A1912,$G:$G)*SUMIF(Summary!$A$247:$A$283,$A1912,Summary!$Q$247:$Q$283),0)</f>
        <v>2272.5707035137252</v>
      </c>
      <c r="AL1912" s="196">
        <f>IFERROR($G1912/SUMIF($A:$A,$A1912,$G:$G)*(SUMIF(Summary!$A$247:$A$283,$A1912,Summary!$L$247:$L$283)+SUMIF(Summary!$A$297:$A$333,$A1912,Summary!$L$297:$L$333))-AK1912,0)</f>
        <v>5434.9396028486462</v>
      </c>
      <c r="AM1912" s="198"/>
      <c r="AN1912" s="196">
        <f t="shared" ca="1" si="418"/>
        <v>32365.475782028276</v>
      </c>
      <c r="AO1912" s="196">
        <f t="shared" ca="1" si="419"/>
        <v>32315.092337143338</v>
      </c>
    </row>
    <row r="1913" spans="1:41" s="201" customFormat="1">
      <c r="A1913" s="189">
        <v>3652</v>
      </c>
      <c r="B1913" s="190">
        <v>1</v>
      </c>
      <c r="C1913" s="191" t="s">
        <v>238</v>
      </c>
      <c r="D1913" s="192">
        <f t="shared" si="406"/>
        <v>4209</v>
      </c>
      <c r="E1913" s="192">
        <f t="shared" si="407"/>
        <v>7493</v>
      </c>
      <c r="F1913" s="192">
        <f t="shared" si="408"/>
        <v>0</v>
      </c>
      <c r="G1913" s="193">
        <f t="shared" si="409"/>
        <v>11702</v>
      </c>
      <c r="H1913" s="194">
        <v>2277</v>
      </c>
      <c r="I1913" s="194">
        <v>2857</v>
      </c>
      <c r="J1913" s="194">
        <v>0</v>
      </c>
      <c r="K1913" s="193">
        <f t="shared" si="410"/>
        <v>5134</v>
      </c>
      <c r="L1913" s="194">
        <v>1925</v>
      </c>
      <c r="M1913" s="194">
        <v>4038</v>
      </c>
      <c r="N1913" s="194">
        <v>0</v>
      </c>
      <c r="O1913" s="193">
        <f t="shared" si="411"/>
        <v>5963</v>
      </c>
      <c r="P1913" s="194">
        <v>7</v>
      </c>
      <c r="Q1913" s="194">
        <v>598</v>
      </c>
      <c r="R1913" s="194">
        <v>0</v>
      </c>
      <c r="S1913" s="193">
        <f t="shared" si="412"/>
        <v>605</v>
      </c>
      <c r="T1913" s="193">
        <f t="shared" si="413"/>
        <v>390.06666666666666</v>
      </c>
      <c r="U1913" s="193">
        <f ca="1">OFFSET('Expenditure Study'!$B$7,'Operations Support'!$C1913,'Operations Support'!$B1913)*$G1913</f>
        <v>20829.560000000001</v>
      </c>
      <c r="V1913" s="199">
        <f ca="1">U1913*'Expenditure Study'!$B$31</f>
        <v>1230676.659464448</v>
      </c>
      <c r="W1913" s="199">
        <f ca="1">IF(A1913=10298,1.51,1)*IF($B1913&lt;3,$D1913*'Expenditure Study'!$B$32*OFFSET('Expenditure Study'!$B$7,'Operations Support'!$C1913,'Operations Support'!$B1913),0)</f>
        <v>749.20200000000011</v>
      </c>
      <c r="X1913" s="200">
        <f ca="1">W1913*'Expenditure Study'!$B$31</f>
        <v>44265.237221721611</v>
      </c>
      <c r="Y1913" s="199">
        <f ca="1">U1913*'Expenditure Study'!$B$31</f>
        <v>1230676.659464448</v>
      </c>
      <c r="Z1913" s="200">
        <f ca="1">W1913*'Expenditure Study'!$B$31</f>
        <v>44265.237221721611</v>
      </c>
      <c r="AA1913" s="195">
        <f t="shared" ca="1" si="414"/>
        <v>1274941.8966861696</v>
      </c>
      <c r="AB1913" s="195">
        <f t="shared" ca="1" si="415"/>
        <v>1274941.8966861696</v>
      </c>
      <c r="AD1913" s="196">
        <f>IFERROR($G1913/SUMIF($A:$A,$A1913,$G:$G)*SUMIF(Summary!$A$166:$A$242,$A1913,Summary!$P$166:$P$242),0)</f>
        <v>429939.85717767541</v>
      </c>
      <c r="AE1913" s="197">
        <f t="shared" ca="1" si="416"/>
        <v>845002.03950849408</v>
      </c>
      <c r="AF1913" s="196">
        <f>IFERROR(G1913/SUMIF(A:A,A1913,G:G)*SUMIF(Summary!$A$166:$A$242,'Operations Support'!A1913,Summary!$Q$166:$Q$242),0)</f>
        <v>431415.14241546777</v>
      </c>
      <c r="AG1913" s="196">
        <f t="shared" ca="1" si="417"/>
        <v>843526.75427070179</v>
      </c>
      <c r="AH1913" s="180"/>
      <c r="AI1913" s="196">
        <f>IFERROR($G1913/SUMIF($A:$A,$A1913,$G:$G)*SUMIF(Summary!$A$247:$A$283,$A1913,Summary!$P$247:$P$283),0)</f>
        <v>78410.300919668312</v>
      </c>
      <c r="AJ1913" s="196">
        <f>IFERROR($G1913/SUMIF($A:$A,$A1913,$G:$G)*(SUMIF(Summary!$A$247:$A$283,$A1913,Summary!$L$247:$L$283)+SUMIF(Summary!$A$297:$A$333,$A1913,Summary!$L$297:$L$333))-AI1913,0)</f>
        <v>188433.7393319663</v>
      </c>
      <c r="AK1913" s="196">
        <f>IFERROR($G1913/SUMIF($A:$A,$A1913,$G:$G)*SUMIF(Summary!$A$247:$A$283,$A1913,Summary!$Q$247:$Q$283),0)</f>
        <v>78679.356131708919</v>
      </c>
      <c r="AL1913" s="196">
        <f>IFERROR($G1913/SUMIF($A:$A,$A1913,$G:$G)*(SUMIF(Summary!$A$247:$A$283,$A1913,Summary!$L$247:$L$283)+SUMIF(Summary!$A$297:$A$333,$A1913,Summary!$L$297:$L$333))-AK1913,0)</f>
        <v>188164.68411992569</v>
      </c>
      <c r="AM1913" s="198"/>
      <c r="AN1913" s="196">
        <f t="shared" ca="1" si="418"/>
        <v>1033435.7788404603</v>
      </c>
      <c r="AO1913" s="196">
        <f t="shared" ca="1" si="419"/>
        <v>1031691.4383906275</v>
      </c>
    </row>
    <row r="1914" spans="1:41">
      <c r="A1914" s="189">
        <v>3652</v>
      </c>
      <c r="B1914" s="190">
        <v>1</v>
      </c>
      <c r="C1914" s="191" t="s">
        <v>239</v>
      </c>
      <c r="D1914" s="192">
        <f t="shared" si="406"/>
        <v>0</v>
      </c>
      <c r="E1914" s="192">
        <f t="shared" si="407"/>
        <v>0</v>
      </c>
      <c r="F1914" s="192">
        <f t="shared" si="408"/>
        <v>0</v>
      </c>
      <c r="G1914" s="193">
        <f t="shared" si="409"/>
        <v>0</v>
      </c>
      <c r="H1914" s="194">
        <v>0</v>
      </c>
      <c r="I1914" s="194">
        <v>0</v>
      </c>
      <c r="J1914" s="194">
        <v>0</v>
      </c>
      <c r="K1914" s="193">
        <f t="shared" si="410"/>
        <v>0</v>
      </c>
      <c r="L1914" s="194">
        <v>0</v>
      </c>
      <c r="M1914" s="194">
        <v>0</v>
      </c>
      <c r="N1914" s="194">
        <v>0</v>
      </c>
      <c r="O1914" s="193">
        <f t="shared" si="411"/>
        <v>0</v>
      </c>
      <c r="P1914" s="194">
        <v>0</v>
      </c>
      <c r="Q1914" s="194">
        <v>0</v>
      </c>
      <c r="R1914" s="194">
        <v>0</v>
      </c>
      <c r="S1914" s="193">
        <f t="shared" si="412"/>
        <v>0</v>
      </c>
      <c r="T1914" s="193">
        <f t="shared" si="413"/>
        <v>0</v>
      </c>
      <c r="U1914" s="193">
        <f ca="1">OFFSET('Expenditure Study'!$B$7,'Operations Support'!$C1914,'Operations Support'!$B1914)*$G1914</f>
        <v>0</v>
      </c>
      <c r="V1914" s="199">
        <f ca="1">U1914*'Expenditure Study'!$B$31</f>
        <v>0</v>
      </c>
      <c r="W1914" s="199">
        <f ca="1">IF(A1914=10298,1.51,1)*IF($B1914&lt;3,$D1914*'Expenditure Study'!$B$32*OFFSET('Expenditure Study'!$B$7,'Operations Support'!$C1914,'Operations Support'!$B1914),0)</f>
        <v>0</v>
      </c>
      <c r="X1914" s="200">
        <f ca="1">W1914*'Expenditure Study'!$B$31</f>
        <v>0</v>
      </c>
      <c r="Y1914" s="199">
        <f ca="1">U1914*'Expenditure Study'!$B$31</f>
        <v>0</v>
      </c>
      <c r="Z1914" s="200">
        <f ca="1">W1914*'Expenditure Study'!$B$31</f>
        <v>0</v>
      </c>
      <c r="AA1914" s="195">
        <f t="shared" ca="1" si="414"/>
        <v>0</v>
      </c>
      <c r="AB1914" s="195">
        <f t="shared" ca="1" si="415"/>
        <v>0</v>
      </c>
      <c r="AD1914" s="196">
        <f>IFERROR($G1914/SUMIF($A:$A,$A1914,$G:$G)*SUMIF(Summary!$A$166:$A$242,$A1914,Summary!$P$166:$P$242),0)</f>
        <v>0</v>
      </c>
      <c r="AE1914" s="197">
        <f t="shared" ca="1" si="416"/>
        <v>0</v>
      </c>
      <c r="AF1914" s="196">
        <f>IFERROR(G1914/SUMIF(A:A,A1914,G:G)*SUMIF(Summary!$A$166:$A$242,'Operations Support'!A1914,Summary!$Q$166:$Q$242),0)</f>
        <v>0</v>
      </c>
      <c r="AG1914" s="196">
        <f t="shared" ca="1" si="417"/>
        <v>0</v>
      </c>
      <c r="AI1914" s="196">
        <f>IFERROR($G1914/SUMIF($A:$A,$A1914,$G:$G)*SUMIF(Summary!$A$247:$A$283,$A1914,Summary!$P$247:$P$283),0)</f>
        <v>0</v>
      </c>
      <c r="AJ1914" s="196">
        <f>IFERROR($G1914/SUMIF($A:$A,$A1914,$G:$G)*(SUMIF(Summary!$A$247:$A$283,$A1914,Summary!$L$247:$L$283)+SUMIF(Summary!$A$297:$A$333,$A1914,Summary!$L$297:$L$333))-AI1914,0)</f>
        <v>0</v>
      </c>
      <c r="AK1914" s="196">
        <f>IFERROR($G1914/SUMIF($A:$A,$A1914,$G:$G)*SUMIF(Summary!$A$247:$A$283,$A1914,Summary!$Q$247:$Q$283),0)</f>
        <v>0</v>
      </c>
      <c r="AL1914" s="196">
        <f>IFERROR($G1914/SUMIF($A:$A,$A1914,$G:$G)*(SUMIF(Summary!$A$247:$A$283,$A1914,Summary!$L$247:$L$283)+SUMIF(Summary!$A$297:$A$333,$A1914,Summary!$L$297:$L$333))-AK1914,0)</f>
        <v>0</v>
      </c>
      <c r="AM1914" s="198"/>
      <c r="AN1914" s="196">
        <f t="shared" ca="1" si="418"/>
        <v>0</v>
      </c>
      <c r="AO1914" s="196">
        <f t="shared" ca="1" si="419"/>
        <v>0</v>
      </c>
    </row>
    <row r="1915" spans="1:41">
      <c r="A1915" s="189">
        <v>3652</v>
      </c>
      <c r="B1915" s="190">
        <v>1</v>
      </c>
      <c r="C1915" s="191" t="s">
        <v>240</v>
      </c>
      <c r="D1915" s="192">
        <f t="shared" si="406"/>
        <v>0</v>
      </c>
      <c r="E1915" s="192">
        <f t="shared" si="407"/>
        <v>1660</v>
      </c>
      <c r="F1915" s="192">
        <f t="shared" si="408"/>
        <v>0</v>
      </c>
      <c r="G1915" s="193">
        <f t="shared" si="409"/>
        <v>1660</v>
      </c>
      <c r="H1915" s="194">
        <v>0</v>
      </c>
      <c r="I1915" s="194">
        <v>370</v>
      </c>
      <c r="J1915" s="194">
        <v>0</v>
      </c>
      <c r="K1915" s="193">
        <f t="shared" si="410"/>
        <v>370</v>
      </c>
      <c r="L1915" s="194">
        <v>0</v>
      </c>
      <c r="M1915" s="194">
        <v>1215</v>
      </c>
      <c r="N1915" s="194">
        <v>0</v>
      </c>
      <c r="O1915" s="193">
        <f t="shared" si="411"/>
        <v>1215</v>
      </c>
      <c r="P1915" s="194">
        <v>0</v>
      </c>
      <c r="Q1915" s="194">
        <v>75</v>
      </c>
      <c r="R1915" s="194">
        <v>0</v>
      </c>
      <c r="S1915" s="193">
        <f t="shared" si="412"/>
        <v>75</v>
      </c>
      <c r="T1915" s="193">
        <f t="shared" si="413"/>
        <v>55.333333333333336</v>
      </c>
      <c r="U1915" s="193">
        <f ca="1">OFFSET('Expenditure Study'!$B$7,'Operations Support'!$C1915,'Operations Support'!$B1915)*$G1915</f>
        <v>1660</v>
      </c>
      <c r="V1915" s="199">
        <f ca="1">U1915*'Expenditure Study'!$B$31</f>
        <v>98078.080128000001</v>
      </c>
      <c r="W1915" s="199">
        <f ca="1">IF(A1915=10298,1.51,1)*IF($B1915&lt;3,$D1915*'Expenditure Study'!$B$32*OFFSET('Expenditure Study'!$B$7,'Operations Support'!$C1915,'Operations Support'!$B1915),0)</f>
        <v>0</v>
      </c>
      <c r="X1915" s="200">
        <f ca="1">W1915*'Expenditure Study'!$B$31</f>
        <v>0</v>
      </c>
      <c r="Y1915" s="199">
        <f ca="1">U1915*'Expenditure Study'!$B$31</f>
        <v>98078.080128000001</v>
      </c>
      <c r="Z1915" s="200">
        <f ca="1">W1915*'Expenditure Study'!$B$31</f>
        <v>0</v>
      </c>
      <c r="AA1915" s="195">
        <f t="shared" ca="1" si="414"/>
        <v>98078.080128000001</v>
      </c>
      <c r="AB1915" s="195">
        <f t="shared" ca="1" si="415"/>
        <v>98078.080128000001</v>
      </c>
      <c r="AD1915" s="196">
        <f>IFERROR($G1915/SUMIF($A:$A,$A1915,$G:$G)*SUMIF(Summary!$A$166:$A$242,$A1915,Summary!$P$166:$P$242),0)</f>
        <v>60989.588353695195</v>
      </c>
      <c r="AE1915" s="197">
        <f t="shared" ca="1" si="416"/>
        <v>37088.491774304806</v>
      </c>
      <c r="AF1915" s="196">
        <f>IFERROR(G1915/SUMIF(A:A,A1915,G:G)*SUMIF(Summary!$A$166:$A$242,'Operations Support'!A1915,Summary!$Q$166:$Q$242),0)</f>
        <v>61198.866553552936</v>
      </c>
      <c r="AG1915" s="196">
        <f t="shared" ca="1" si="417"/>
        <v>36879.213574447065</v>
      </c>
      <c r="AI1915" s="196">
        <f>IFERROR($G1915/SUMIF($A:$A,$A1915,$G:$G)*SUMIF(Summary!$A$247:$A$283,$A1915,Summary!$P$247:$P$283),0)</f>
        <v>11122.978937502085</v>
      </c>
      <c r="AJ1915" s="196">
        <f>IFERROR($G1915/SUMIF($A:$A,$A1915,$G:$G)*(SUMIF(Summary!$A$247:$A$283,$A1915,Summary!$L$247:$L$283)+SUMIF(Summary!$A$297:$A$333,$A1915,Summary!$L$297:$L$333))-AI1915,0)</f>
        <v>26730.474046407791</v>
      </c>
      <c r="AK1915" s="196">
        <f>IFERROR($G1915/SUMIF($A:$A,$A1915,$G:$G)*SUMIF(Summary!$A$247:$A$283,$A1915,Summary!$Q$247:$Q$283),0)</f>
        <v>11161.146058676875</v>
      </c>
      <c r="AL1915" s="196">
        <f>IFERROR($G1915/SUMIF($A:$A,$A1915,$G:$G)*(SUMIF(Summary!$A$247:$A$283,$A1915,Summary!$L$247:$L$283)+SUMIF(Summary!$A$297:$A$333,$A1915,Summary!$L$297:$L$333))-AK1915,0)</f>
        <v>26692.306925233002</v>
      </c>
      <c r="AM1915" s="198"/>
      <c r="AN1915" s="196">
        <f t="shared" ca="1" si="418"/>
        <v>63818.965820712598</v>
      </c>
      <c r="AO1915" s="196">
        <f t="shared" ca="1" si="419"/>
        <v>63571.520499680068</v>
      </c>
    </row>
    <row r="1916" spans="1:41">
      <c r="A1916" s="189">
        <v>3652</v>
      </c>
      <c r="B1916" s="190">
        <v>2</v>
      </c>
      <c r="C1916" s="191" t="s">
        <v>220</v>
      </c>
      <c r="D1916" s="192">
        <f t="shared" si="406"/>
        <v>28556.46</v>
      </c>
      <c r="E1916" s="192">
        <f t="shared" si="407"/>
        <v>54980.540000000197</v>
      </c>
      <c r="F1916" s="192">
        <f t="shared" si="408"/>
        <v>0</v>
      </c>
      <c r="G1916" s="193">
        <f t="shared" si="409"/>
        <v>83537.000000000204</v>
      </c>
      <c r="H1916" s="194">
        <v>13974.3</v>
      </c>
      <c r="I1916" s="194">
        <v>23573.700000000099</v>
      </c>
      <c r="J1916" s="194">
        <v>0</v>
      </c>
      <c r="K1916" s="193">
        <f t="shared" si="410"/>
        <v>37548.000000000102</v>
      </c>
      <c r="L1916" s="194">
        <v>13324</v>
      </c>
      <c r="M1916" s="194">
        <v>22937.000000000098</v>
      </c>
      <c r="N1916" s="194">
        <v>0</v>
      </c>
      <c r="O1916" s="193">
        <f t="shared" si="411"/>
        <v>36261.000000000102</v>
      </c>
      <c r="P1916" s="194">
        <v>1258.1600000000001</v>
      </c>
      <c r="Q1916" s="194">
        <v>8469.84</v>
      </c>
      <c r="R1916" s="194">
        <v>0</v>
      </c>
      <c r="S1916" s="193">
        <f t="shared" si="412"/>
        <v>9728</v>
      </c>
      <c r="T1916" s="193">
        <f t="shared" si="413"/>
        <v>2784.5666666666734</v>
      </c>
      <c r="U1916" s="193">
        <f ca="1">OFFSET('Expenditure Study'!$B$7,'Operations Support'!$C1916,'Operations Support'!$B1916)*$G1916</f>
        <v>153708.08000000039</v>
      </c>
      <c r="V1916" s="199">
        <f ca="1">U1916*'Expenditure Study'!$B$31</f>
        <v>9081562.2810608875</v>
      </c>
      <c r="W1916" s="199">
        <f ca="1">IF(A1916=10298,1.51,1)*IF($B1916&lt;3,$D1916*'Expenditure Study'!$B$32*OFFSET('Expenditure Study'!$B$7,'Operations Support'!$C1916,'Operations Support'!$B1916),0)</f>
        <v>5254.3886400000001</v>
      </c>
      <c r="X1916" s="200">
        <f ca="1">W1916*'Expenditure Study'!$B$31</f>
        <v>310445.99401058612</v>
      </c>
      <c r="Y1916" s="199">
        <f ca="1">U1916*'Expenditure Study'!$B$31</f>
        <v>9081562.2810608875</v>
      </c>
      <c r="Z1916" s="200">
        <f ca="1">W1916*'Expenditure Study'!$B$31</f>
        <v>310445.99401058612</v>
      </c>
      <c r="AA1916" s="195">
        <f t="shared" ca="1" si="414"/>
        <v>9392008.2750714738</v>
      </c>
      <c r="AB1916" s="195">
        <f t="shared" ca="1" si="415"/>
        <v>9392008.2750714738</v>
      </c>
      <c r="AD1916" s="196">
        <f>IFERROR($G1916/SUMIF($A:$A,$A1916,$G:$G)*SUMIF(Summary!$A$166:$A$242,$A1916,Summary!$P$166:$P$242),0)</f>
        <v>3069209.1821100293</v>
      </c>
      <c r="AE1916" s="197">
        <f t="shared" ca="1" si="416"/>
        <v>6322799.0929614445</v>
      </c>
      <c r="AF1916" s="196">
        <f>IFERROR(G1916/SUMIF(A:A,A1916,G:G)*SUMIF(Summary!$A$166:$A$242,'Operations Support'!A1916,Summary!$Q$166:$Q$242),0)</f>
        <v>3079740.7923398581</v>
      </c>
      <c r="AG1916" s="196">
        <f t="shared" ca="1" si="417"/>
        <v>6312267.4827316161</v>
      </c>
      <c r="AI1916" s="196">
        <f>IFERROR($G1916/SUMIF($A:$A,$A1916,$G:$G)*SUMIF(Summary!$A$247:$A$283,$A1916,Summary!$P$247:$P$283),0)</f>
        <v>559747.16355549032</v>
      </c>
      <c r="AJ1916" s="196">
        <f>IFERROR($G1916/SUMIF($A:$A,$A1916,$G:$G)*(SUMIF(Summary!$A$247:$A$283,$A1916,Summary!$L$247:$L$283)+SUMIF(Summary!$A$297:$A$333,$A1916,Summary!$L$297:$L$333))-AI1916,0)</f>
        <v>1345170.849647454</v>
      </c>
      <c r="AK1916" s="196">
        <f>IFERROR($G1916/SUMIF($A:$A,$A1916,$G:$G)*SUMIF(Summary!$A$247:$A$283,$A1916,Summary!$Q$247:$Q$283),0)</f>
        <v>561667.86644800752</v>
      </c>
      <c r="AL1916" s="196">
        <f>IFERROR($G1916/SUMIF($A:$A,$A1916,$G:$G)*(SUMIF(Summary!$A$247:$A$283,$A1916,Summary!$L$247:$L$283)+SUMIF(Summary!$A$297:$A$333,$A1916,Summary!$L$297:$L$333))-AK1916,0)</f>
        <v>1343250.1467549368</v>
      </c>
      <c r="AM1916" s="198"/>
      <c r="AN1916" s="196">
        <f t="shared" ca="1" si="418"/>
        <v>7667969.9426088985</v>
      </c>
      <c r="AO1916" s="196">
        <f t="shared" ca="1" si="419"/>
        <v>7655517.6294865534</v>
      </c>
    </row>
    <row r="1917" spans="1:41">
      <c r="A1917" s="189">
        <v>3652</v>
      </c>
      <c r="B1917" s="190">
        <v>2</v>
      </c>
      <c r="C1917" s="191" t="s">
        <v>221</v>
      </c>
      <c r="D1917" s="192">
        <f t="shared" si="406"/>
        <v>18012.16</v>
      </c>
      <c r="E1917" s="192">
        <f t="shared" si="407"/>
        <v>18037.84</v>
      </c>
      <c r="F1917" s="192">
        <f t="shared" si="408"/>
        <v>0</v>
      </c>
      <c r="G1917" s="193">
        <f t="shared" si="409"/>
        <v>36050</v>
      </c>
      <c r="H1917" s="194">
        <v>8865.98</v>
      </c>
      <c r="I1917" s="194">
        <v>8211.02</v>
      </c>
      <c r="J1917" s="194">
        <v>0</v>
      </c>
      <c r="K1917" s="193">
        <f t="shared" si="410"/>
        <v>17077</v>
      </c>
      <c r="L1917" s="194">
        <v>8732</v>
      </c>
      <c r="M1917" s="194">
        <v>9040</v>
      </c>
      <c r="N1917" s="194">
        <v>0</v>
      </c>
      <c r="O1917" s="193">
        <f t="shared" si="411"/>
        <v>17772</v>
      </c>
      <c r="P1917" s="194">
        <v>414.18</v>
      </c>
      <c r="Q1917" s="194">
        <v>786.82</v>
      </c>
      <c r="R1917" s="194">
        <v>0</v>
      </c>
      <c r="S1917" s="193">
        <f t="shared" si="412"/>
        <v>1201</v>
      </c>
      <c r="T1917" s="193">
        <f t="shared" si="413"/>
        <v>1201.6666666666667</v>
      </c>
      <c r="U1917" s="193">
        <f ca="1">OFFSET('Expenditure Study'!$B$7,'Operations Support'!$C1917,'Operations Support'!$B1917)*$G1917</f>
        <v>94811.5</v>
      </c>
      <c r="V1917" s="199">
        <f ca="1">U1917*'Expenditure Study'!$B$31</f>
        <v>5601764.9964191997</v>
      </c>
      <c r="W1917" s="199">
        <f ca="1">IF(A1917=10298,1.51,1)*IF($B1917&lt;3,$D1917*'Expenditure Study'!$B$32*OFFSET('Expenditure Study'!$B$7,'Operations Support'!$C1917,'Operations Support'!$B1917),0)</f>
        <v>4737.1980800000001</v>
      </c>
      <c r="X1917" s="200">
        <f ca="1">W1917*'Expenditure Study'!$B$31</f>
        <v>279888.73064605286</v>
      </c>
      <c r="Y1917" s="199">
        <f ca="1">U1917*'Expenditure Study'!$B$31</f>
        <v>5601764.9964191997</v>
      </c>
      <c r="Z1917" s="200">
        <f ca="1">W1917*'Expenditure Study'!$B$31</f>
        <v>279888.73064605286</v>
      </c>
      <c r="AA1917" s="195">
        <f t="shared" ca="1" si="414"/>
        <v>5881653.7270652521</v>
      </c>
      <c r="AB1917" s="195">
        <f t="shared" ca="1" si="415"/>
        <v>5881653.7270652521</v>
      </c>
      <c r="AD1917" s="196">
        <f>IFERROR($G1917/SUMIF($A:$A,$A1917,$G:$G)*SUMIF(Summary!$A$166:$A$242,$A1917,Summary!$P$166:$P$242),0)</f>
        <v>1324502.8073197061</v>
      </c>
      <c r="AE1917" s="197">
        <f t="shared" ca="1" si="416"/>
        <v>4557150.9197455458</v>
      </c>
      <c r="AF1917" s="196">
        <f>IFERROR(G1917/SUMIF(A:A,A1917,G:G)*SUMIF(Summary!$A$166:$A$242,'Operations Support'!A1917,Summary!$Q$166:$Q$242),0)</f>
        <v>1329047.6742503515</v>
      </c>
      <c r="AG1917" s="196">
        <f t="shared" ca="1" si="417"/>
        <v>4552606.0528149009</v>
      </c>
      <c r="AI1917" s="196">
        <f>IFERROR($G1917/SUMIF($A:$A,$A1917,$G:$G)*SUMIF(Summary!$A$247:$A$283,$A1917,Summary!$P$247:$P$283),0)</f>
        <v>241556.25945599409</v>
      </c>
      <c r="AJ1917" s="196">
        <f>IFERROR($G1917/SUMIF($A:$A,$A1917,$G:$G)*(SUMIF(Summary!$A$247:$A$283,$A1917,Summary!$L$247:$L$283)+SUMIF(Summary!$A$297:$A$333,$A1917,Summary!$L$297:$L$333))-AI1917,0)</f>
        <v>580502.16227289208</v>
      </c>
      <c r="AK1917" s="196">
        <f>IFERROR($G1917/SUMIF($A:$A,$A1917,$G:$G)*SUMIF(Summary!$A$247:$A$283,$A1917,Summary!$Q$247:$Q$283),0)</f>
        <v>242385.12976825386</v>
      </c>
      <c r="AL1917" s="196">
        <f>IFERROR($G1917/SUMIF($A:$A,$A1917,$G:$G)*(SUMIF(Summary!$A$247:$A$283,$A1917,Summary!$L$247:$L$283)+SUMIF(Summary!$A$297:$A$333,$A1917,Summary!$L$297:$L$333))-AK1917,0)</f>
        <v>579673.29196063231</v>
      </c>
      <c r="AM1917" s="198"/>
      <c r="AN1917" s="196">
        <f t="shared" ca="1" si="418"/>
        <v>5137653.0820184378</v>
      </c>
      <c r="AO1917" s="196">
        <f t="shared" ca="1" si="419"/>
        <v>5132279.3447755333</v>
      </c>
    </row>
    <row r="1918" spans="1:41">
      <c r="A1918" s="189">
        <v>3652</v>
      </c>
      <c r="B1918" s="190">
        <v>2</v>
      </c>
      <c r="C1918" s="191" t="s">
        <v>222</v>
      </c>
      <c r="D1918" s="192">
        <f t="shared" si="406"/>
        <v>4839.76</v>
      </c>
      <c r="E1918" s="192">
        <f t="shared" si="407"/>
        <v>7901.24</v>
      </c>
      <c r="F1918" s="192">
        <f t="shared" si="408"/>
        <v>0</v>
      </c>
      <c r="G1918" s="193">
        <f t="shared" si="409"/>
        <v>12741</v>
      </c>
      <c r="H1918" s="194">
        <v>2123.5</v>
      </c>
      <c r="I1918" s="194">
        <v>4008.5</v>
      </c>
      <c r="J1918" s="194">
        <v>0</v>
      </c>
      <c r="K1918" s="193">
        <f t="shared" si="410"/>
        <v>6132</v>
      </c>
      <c r="L1918" s="194">
        <v>2601.2600000000002</v>
      </c>
      <c r="M1918" s="194">
        <v>3648.74</v>
      </c>
      <c r="N1918" s="194">
        <v>0</v>
      </c>
      <c r="O1918" s="193">
        <f t="shared" si="411"/>
        <v>6250</v>
      </c>
      <c r="P1918" s="194">
        <v>115</v>
      </c>
      <c r="Q1918" s="194">
        <v>244</v>
      </c>
      <c r="R1918" s="194">
        <v>0</v>
      </c>
      <c r="S1918" s="193">
        <f t="shared" si="412"/>
        <v>359</v>
      </c>
      <c r="T1918" s="193">
        <f t="shared" si="413"/>
        <v>424.7</v>
      </c>
      <c r="U1918" s="193">
        <f ca="1">OFFSET('Expenditure Study'!$B$7,'Operations Support'!$C1918,'Operations Support'!$B1918)*$G1918</f>
        <v>33891.060000000005</v>
      </c>
      <c r="V1918" s="199">
        <f ca="1">U1918*'Expenditure Study'!$B$31</f>
        <v>2002391.6254836484</v>
      </c>
      <c r="W1918" s="199">
        <f ca="1">IF(A1918=10298,1.51,1)*IF($B1918&lt;3,$D1918*'Expenditure Study'!$B$32*OFFSET('Expenditure Study'!$B$7,'Operations Support'!$C1918,'Operations Support'!$B1918),0)</f>
        <v>1287.3761600000003</v>
      </c>
      <c r="X1918" s="200">
        <f ca="1">W1918*'Expenditure Study'!$B$31</f>
        <v>76062.278418889749</v>
      </c>
      <c r="Y1918" s="199">
        <f ca="1">U1918*'Expenditure Study'!$B$31</f>
        <v>2002391.6254836484</v>
      </c>
      <c r="Z1918" s="200">
        <f ca="1">W1918*'Expenditure Study'!$B$31</f>
        <v>76062.278418889749</v>
      </c>
      <c r="AA1918" s="195">
        <f t="shared" ca="1" si="414"/>
        <v>2078453.9039025381</v>
      </c>
      <c r="AB1918" s="195">
        <f t="shared" ca="1" si="415"/>
        <v>2078453.9039025381</v>
      </c>
      <c r="AD1918" s="196">
        <f>IFERROR($G1918/SUMIF($A:$A,$A1918,$G:$G)*SUMIF(Summary!$A$166:$A$242,$A1918,Summary!$P$166:$P$242),0)</f>
        <v>468113.46097254846</v>
      </c>
      <c r="AE1918" s="197">
        <f t="shared" ca="1" si="416"/>
        <v>1610340.4429299897</v>
      </c>
      <c r="AF1918" s="196">
        <f>IFERROR(G1918/SUMIF(A:A,A1918,G:G)*SUMIF(Summary!$A$166:$A$242,'Operations Support'!A1918,Summary!$Q$166:$Q$242),0)</f>
        <v>469719.73419205903</v>
      </c>
      <c r="AG1918" s="196">
        <f t="shared" ca="1" si="417"/>
        <v>1608734.1697104792</v>
      </c>
      <c r="AI1918" s="196">
        <f>IFERROR($G1918/SUMIF($A:$A,$A1918,$G:$G)*SUMIF(Summary!$A$247:$A$283,$A1918,Summary!$P$247:$P$283),0)</f>
        <v>85372.213640189191</v>
      </c>
      <c r="AJ1918" s="196">
        <f>IFERROR($G1918/SUMIF($A:$A,$A1918,$G:$G)*(SUMIF(Summary!$A$247:$A$283,$A1918,Summary!$L$247:$L$283)+SUMIF(Summary!$A$297:$A$333,$A1918,Summary!$L$297:$L$333))-AI1918,0)</f>
        <v>205164.43965378415</v>
      </c>
      <c r="AK1918" s="196">
        <f>IFERROR($G1918/SUMIF($A:$A,$A1918,$G:$G)*SUMIF(Summary!$A$247:$A$283,$A1918,Summary!$Q$247:$Q$283),0)</f>
        <v>85665.15779132655</v>
      </c>
      <c r="AL1918" s="196">
        <f>IFERROR($G1918/SUMIF($A:$A,$A1918,$G:$G)*(SUMIF(Summary!$A$247:$A$283,$A1918,Summary!$L$247:$L$283)+SUMIF(Summary!$A$297:$A$333,$A1918,Summary!$L$297:$L$333))-AK1918,0)</f>
        <v>204871.49550264681</v>
      </c>
      <c r="AM1918" s="198"/>
      <c r="AN1918" s="196">
        <f t="shared" ca="1" si="418"/>
        <v>1815504.8825837737</v>
      </c>
      <c r="AO1918" s="196">
        <f t="shared" ca="1" si="419"/>
        <v>1813605.665213126</v>
      </c>
    </row>
    <row r="1919" spans="1:41">
      <c r="A1919" s="189">
        <v>3652</v>
      </c>
      <c r="B1919" s="190">
        <v>2</v>
      </c>
      <c r="C1919" s="191" t="s">
        <v>223</v>
      </c>
      <c r="D1919" s="192">
        <f t="shared" si="406"/>
        <v>580.46</v>
      </c>
      <c r="E1919" s="192">
        <f t="shared" si="407"/>
        <v>11888.539999999961</v>
      </c>
      <c r="F1919" s="192">
        <f t="shared" si="408"/>
        <v>0</v>
      </c>
      <c r="G1919" s="193">
        <f t="shared" si="409"/>
        <v>12468.99999999996</v>
      </c>
      <c r="H1919" s="194">
        <v>194.74</v>
      </c>
      <c r="I1919" s="194">
        <v>5210.2599999999802</v>
      </c>
      <c r="J1919" s="194">
        <v>0</v>
      </c>
      <c r="K1919" s="193">
        <f t="shared" si="410"/>
        <v>5404.99999999998</v>
      </c>
      <c r="L1919" s="194">
        <v>376.72</v>
      </c>
      <c r="M1919" s="194">
        <v>5971.2799999999797</v>
      </c>
      <c r="N1919" s="194">
        <v>0</v>
      </c>
      <c r="O1919" s="193">
        <f t="shared" si="411"/>
        <v>6347.99999999998</v>
      </c>
      <c r="P1919" s="194">
        <v>9</v>
      </c>
      <c r="Q1919" s="194">
        <v>707</v>
      </c>
      <c r="R1919" s="194">
        <v>0</v>
      </c>
      <c r="S1919" s="193">
        <f t="shared" si="412"/>
        <v>716</v>
      </c>
      <c r="T1919" s="193">
        <f t="shared" si="413"/>
        <v>415.63333333333202</v>
      </c>
      <c r="U1919" s="193">
        <f ca="1">OFFSET('Expenditure Study'!$B$7,'Operations Support'!$C1919,'Operations Support'!$B1919)*$G1919</f>
        <v>23691.099999999922</v>
      </c>
      <c r="V1919" s="199">
        <f ca="1">U1919*'Expenditure Study'!$B$31</f>
        <v>1399745.5446508755</v>
      </c>
      <c r="W1919" s="199">
        <f ca="1">IF(A1919=10298,1.51,1)*IF($B1919&lt;3,$D1919*'Expenditure Study'!$B$32*OFFSET('Expenditure Study'!$B$7,'Operations Support'!$C1919,'Operations Support'!$B1919),0)</f>
        <v>110.28740000000001</v>
      </c>
      <c r="X1919" s="200">
        <f ca="1">W1919*'Expenditure Study'!$B$31</f>
        <v>6516.1303941619208</v>
      </c>
      <c r="Y1919" s="199">
        <f ca="1">U1919*'Expenditure Study'!$B$31</f>
        <v>1399745.5446508755</v>
      </c>
      <c r="Z1919" s="200">
        <f ca="1">W1919*'Expenditure Study'!$B$31</f>
        <v>6516.1303941619208</v>
      </c>
      <c r="AA1919" s="195">
        <f t="shared" ca="1" si="414"/>
        <v>1406261.6750450374</v>
      </c>
      <c r="AB1919" s="195">
        <f t="shared" ca="1" si="415"/>
        <v>1406261.6750450374</v>
      </c>
      <c r="AD1919" s="196">
        <f>IFERROR($G1919/SUMIF($A:$A,$A1919,$G:$G)*SUMIF(Summary!$A$166:$A$242,$A1919,Summary!$P$166:$P$242),0)</f>
        <v>458119.98625435116</v>
      </c>
      <c r="AE1919" s="197">
        <f t="shared" ca="1" si="416"/>
        <v>948141.6887906862</v>
      </c>
      <c r="AF1919" s="196">
        <f>IFERROR(G1919/SUMIF(A:A,A1919,G:G)*SUMIF(Summary!$A$166:$A$242,'Operations Support'!A1919,Summary!$Q$166:$Q$242),0)</f>
        <v>459691.96810617414</v>
      </c>
      <c r="AG1919" s="196">
        <f t="shared" ca="1" si="417"/>
        <v>946569.70693886327</v>
      </c>
      <c r="AI1919" s="196">
        <f>IFERROR($G1919/SUMIF($A:$A,$A1919,$G:$G)*SUMIF(Summary!$A$247:$A$283,$A1919,Summary!$P$247:$P$283),0)</f>
        <v>83549.653235971709</v>
      </c>
      <c r="AJ1919" s="196">
        <f>IFERROR($G1919/SUMIF($A:$A,$A1919,$G:$G)*(SUMIF(Summary!$A$247:$A$283,$A1919,Summary!$L$247:$L$283)+SUMIF(Summary!$A$297:$A$333,$A1919,Summary!$L$297:$L$333))-AI1919,0)</f>
        <v>200784.50655702269</v>
      </c>
      <c r="AK1919" s="196">
        <f>IFERROR($G1919/SUMIF($A:$A,$A1919,$G:$G)*SUMIF(Summary!$A$247:$A$283,$A1919,Summary!$Q$247:$Q$283),0)</f>
        <v>83836.343497374401</v>
      </c>
      <c r="AL1919" s="196">
        <f>IFERROR($G1919/SUMIF($A:$A,$A1919,$G:$G)*(SUMIF(Summary!$A$247:$A$283,$A1919,Summary!$L$247:$L$283)+SUMIF(Summary!$A$297:$A$333,$A1919,Summary!$L$297:$L$333))-AK1919,0)</f>
        <v>200497.81629562</v>
      </c>
      <c r="AM1919" s="198"/>
      <c r="AN1919" s="196">
        <f t="shared" ca="1" si="418"/>
        <v>1148926.1953477089</v>
      </c>
      <c r="AO1919" s="196">
        <f t="shared" ca="1" si="419"/>
        <v>1147067.5232344833</v>
      </c>
    </row>
    <row r="1920" spans="1:41">
      <c r="A1920" s="189">
        <v>3652</v>
      </c>
      <c r="B1920" s="190">
        <v>2</v>
      </c>
      <c r="C1920" s="191" t="s">
        <v>224</v>
      </c>
      <c r="D1920" s="192">
        <f t="shared" si="406"/>
        <v>0</v>
      </c>
      <c r="E1920" s="192">
        <f t="shared" si="407"/>
        <v>0</v>
      </c>
      <c r="F1920" s="192">
        <f t="shared" si="408"/>
        <v>0</v>
      </c>
      <c r="G1920" s="193">
        <f t="shared" si="409"/>
        <v>0</v>
      </c>
      <c r="H1920" s="194">
        <v>0</v>
      </c>
      <c r="I1920" s="194">
        <v>0</v>
      </c>
      <c r="J1920" s="194">
        <v>0</v>
      </c>
      <c r="K1920" s="193">
        <f t="shared" si="410"/>
        <v>0</v>
      </c>
      <c r="L1920" s="194">
        <v>0</v>
      </c>
      <c r="M1920" s="194">
        <v>0</v>
      </c>
      <c r="N1920" s="194">
        <v>0</v>
      </c>
      <c r="O1920" s="193">
        <f t="shared" si="411"/>
        <v>0</v>
      </c>
      <c r="P1920" s="194">
        <v>0</v>
      </c>
      <c r="Q1920" s="194">
        <v>0</v>
      </c>
      <c r="R1920" s="194">
        <v>0</v>
      </c>
      <c r="S1920" s="193">
        <f t="shared" si="412"/>
        <v>0</v>
      </c>
      <c r="T1920" s="193">
        <f t="shared" si="413"/>
        <v>0</v>
      </c>
      <c r="U1920" s="193">
        <f ca="1">OFFSET('Expenditure Study'!$B$7,'Operations Support'!$C1920,'Operations Support'!$B1920)*$G1920</f>
        <v>0</v>
      </c>
      <c r="V1920" s="199">
        <f ca="1">U1920*'Expenditure Study'!$B$31</f>
        <v>0</v>
      </c>
      <c r="W1920" s="199">
        <f ca="1">IF(A1920=10298,1.51,1)*IF($B1920&lt;3,$D1920*'Expenditure Study'!$B$32*OFFSET('Expenditure Study'!$B$7,'Operations Support'!$C1920,'Operations Support'!$B1920),0)</f>
        <v>0</v>
      </c>
      <c r="X1920" s="200">
        <f ca="1">W1920*'Expenditure Study'!$B$31</f>
        <v>0</v>
      </c>
      <c r="Y1920" s="199">
        <f ca="1">U1920*'Expenditure Study'!$B$31</f>
        <v>0</v>
      </c>
      <c r="Z1920" s="200">
        <f ca="1">W1920*'Expenditure Study'!$B$31</f>
        <v>0</v>
      </c>
      <c r="AA1920" s="195">
        <f t="shared" ca="1" si="414"/>
        <v>0</v>
      </c>
      <c r="AB1920" s="195">
        <f t="shared" ca="1" si="415"/>
        <v>0</v>
      </c>
      <c r="AD1920" s="196">
        <f>IFERROR($G1920/SUMIF($A:$A,$A1920,$G:$G)*SUMIF(Summary!$A$166:$A$242,$A1920,Summary!$P$166:$P$242),0)</f>
        <v>0</v>
      </c>
      <c r="AE1920" s="197">
        <f t="shared" ca="1" si="416"/>
        <v>0</v>
      </c>
      <c r="AF1920" s="196">
        <f>IFERROR(G1920/SUMIF(A:A,A1920,G:G)*SUMIF(Summary!$A$166:$A$242,'Operations Support'!A1920,Summary!$Q$166:$Q$242),0)</f>
        <v>0</v>
      </c>
      <c r="AG1920" s="196">
        <f t="shared" ca="1" si="417"/>
        <v>0</v>
      </c>
      <c r="AI1920" s="196">
        <f>IFERROR($G1920/SUMIF($A:$A,$A1920,$G:$G)*SUMIF(Summary!$A$247:$A$283,$A1920,Summary!$P$247:$P$283),0)</f>
        <v>0</v>
      </c>
      <c r="AJ1920" s="196">
        <f>IFERROR($G1920/SUMIF($A:$A,$A1920,$G:$G)*(SUMIF(Summary!$A$247:$A$283,$A1920,Summary!$L$247:$L$283)+SUMIF(Summary!$A$297:$A$333,$A1920,Summary!$L$297:$L$333))-AI1920,0)</f>
        <v>0</v>
      </c>
      <c r="AK1920" s="196">
        <f>IFERROR($G1920/SUMIF($A:$A,$A1920,$G:$G)*SUMIF(Summary!$A$247:$A$283,$A1920,Summary!$Q$247:$Q$283),0)</f>
        <v>0</v>
      </c>
      <c r="AL1920" s="196">
        <f>IFERROR($G1920/SUMIF($A:$A,$A1920,$G:$G)*(SUMIF(Summary!$A$247:$A$283,$A1920,Summary!$L$247:$L$283)+SUMIF(Summary!$A$297:$A$333,$A1920,Summary!$L$297:$L$333))-AK1920,0)</f>
        <v>0</v>
      </c>
      <c r="AM1920" s="198"/>
      <c r="AN1920" s="196">
        <f t="shared" ca="1" si="418"/>
        <v>0</v>
      </c>
      <c r="AO1920" s="196">
        <f t="shared" ca="1" si="419"/>
        <v>0</v>
      </c>
    </row>
    <row r="1921" spans="1:41">
      <c r="A1921" s="189">
        <v>3652</v>
      </c>
      <c r="B1921" s="190">
        <v>2</v>
      </c>
      <c r="C1921" s="191" t="s">
        <v>225</v>
      </c>
      <c r="D1921" s="192">
        <f t="shared" si="406"/>
        <v>27617.89</v>
      </c>
      <c r="E1921" s="192">
        <f t="shared" si="407"/>
        <v>23215.110000000011</v>
      </c>
      <c r="F1921" s="192">
        <f t="shared" si="408"/>
        <v>0</v>
      </c>
      <c r="G1921" s="193">
        <f t="shared" si="409"/>
        <v>50833.000000000015</v>
      </c>
      <c r="H1921" s="194">
        <v>13125.72</v>
      </c>
      <c r="I1921" s="194">
        <v>11683.28</v>
      </c>
      <c r="J1921" s="194">
        <v>0</v>
      </c>
      <c r="K1921" s="193">
        <f t="shared" si="410"/>
        <v>24809</v>
      </c>
      <c r="L1921" s="194">
        <v>13777.67</v>
      </c>
      <c r="M1921" s="194">
        <v>9901.3300000000108</v>
      </c>
      <c r="N1921" s="194">
        <v>0</v>
      </c>
      <c r="O1921" s="193">
        <f t="shared" si="411"/>
        <v>23679.000000000011</v>
      </c>
      <c r="P1921" s="194">
        <v>714.5</v>
      </c>
      <c r="Q1921" s="194">
        <v>1630.5</v>
      </c>
      <c r="R1921" s="194">
        <v>0</v>
      </c>
      <c r="S1921" s="193">
        <f t="shared" si="412"/>
        <v>2345</v>
      </c>
      <c r="T1921" s="193">
        <f t="shared" si="413"/>
        <v>1694.4333333333338</v>
      </c>
      <c r="U1921" s="193">
        <f ca="1">OFFSET('Expenditure Study'!$B$7,'Operations Support'!$C1921,'Operations Support'!$B1921)*$G1921</f>
        <v>142332.40000000002</v>
      </c>
      <c r="V1921" s="199">
        <f ca="1">U1921*'Expenditure Study'!$B$31</f>
        <v>8409450.9228979219</v>
      </c>
      <c r="W1921" s="199">
        <f ca="1">IF(A1921=10298,1.51,1)*IF($B1921&lt;3,$D1921*'Expenditure Study'!$B$32*OFFSET('Expenditure Study'!$B$7,'Operations Support'!$C1921,'Operations Support'!$B1921),0)</f>
        <v>7733.0092000000004</v>
      </c>
      <c r="X1921" s="200">
        <f ca="1">W1921*'Expenditure Study'!$B$31</f>
        <v>456890.78069166339</v>
      </c>
      <c r="Y1921" s="199">
        <f ca="1">U1921*'Expenditure Study'!$B$31</f>
        <v>8409450.9228979219</v>
      </c>
      <c r="Z1921" s="200">
        <f ca="1">W1921*'Expenditure Study'!$B$31</f>
        <v>456890.78069166339</v>
      </c>
      <c r="AA1921" s="195">
        <f t="shared" ca="1" si="414"/>
        <v>8866341.7035895847</v>
      </c>
      <c r="AB1921" s="195">
        <f t="shared" ca="1" si="415"/>
        <v>8866341.7035895847</v>
      </c>
      <c r="AD1921" s="196">
        <f>IFERROR($G1921/SUMIF($A:$A,$A1921,$G:$G)*SUMIF(Summary!$A$166:$A$242,$A1921,Summary!$P$166:$P$242),0)</f>
        <v>1867640.8101104752</v>
      </c>
      <c r="AE1921" s="197">
        <f t="shared" ca="1" si="416"/>
        <v>6998700.8934791097</v>
      </c>
      <c r="AF1921" s="196">
        <f>IFERROR(G1921/SUMIF(A:A,A1921,G:G)*SUMIF(Summary!$A$166:$A$242,'Operations Support'!A1921,Summary!$Q$166:$Q$242),0)</f>
        <v>1874049.3876606971</v>
      </c>
      <c r="AG1921" s="196">
        <f t="shared" ca="1" si="417"/>
        <v>6992292.3159288876</v>
      </c>
      <c r="AI1921" s="196">
        <f>IFERROR($G1921/SUMIF($A:$A,$A1921,$G:$G)*SUMIF(Summary!$A$247:$A$283,$A1921,Summary!$P$247:$P$283),0)</f>
        <v>340611.07730725518</v>
      </c>
      <c r="AJ1921" s="196">
        <f>IFERROR($G1921/SUMIF($A:$A,$A1921,$G:$G)*(SUMIF(Summary!$A$247:$A$283,$A1921,Summary!$L$247:$L$283)+SUMIF(Summary!$A$297:$A$333,$A1921,Summary!$L$297:$L$333))-AI1921,0)</f>
        <v>818548.30554279988</v>
      </c>
      <c r="AK1921" s="196">
        <f>IFERROR($G1921/SUMIF($A:$A,$A1921,$G:$G)*SUMIF(Summary!$A$247:$A$283,$A1921,Summary!$Q$247:$Q$283),0)</f>
        <v>341779.84192814567</v>
      </c>
      <c r="AL1921" s="196">
        <f>IFERROR($G1921/SUMIF($A:$A,$A1921,$G:$G)*(SUMIF(Summary!$A$247:$A$283,$A1921,Summary!$L$247:$L$283)+SUMIF(Summary!$A$297:$A$333,$A1921,Summary!$L$297:$L$333))-AK1921,0)</f>
        <v>817379.5409219095</v>
      </c>
      <c r="AM1921" s="198"/>
      <c r="AN1921" s="196">
        <f t="shared" ca="1" si="418"/>
        <v>7817249.1990219094</v>
      </c>
      <c r="AO1921" s="196">
        <f t="shared" ca="1" si="419"/>
        <v>7809671.8568507973</v>
      </c>
    </row>
    <row r="1922" spans="1:41">
      <c r="A1922" s="189">
        <v>3652</v>
      </c>
      <c r="B1922" s="190">
        <v>2</v>
      </c>
      <c r="C1922" s="191" t="s">
        <v>226</v>
      </c>
      <c r="D1922" s="192">
        <f t="shared" si="406"/>
        <v>1409.5</v>
      </c>
      <c r="E1922" s="192">
        <f t="shared" si="407"/>
        <v>11642.5</v>
      </c>
      <c r="F1922" s="192">
        <f t="shared" si="408"/>
        <v>0</v>
      </c>
      <c r="G1922" s="193">
        <f t="shared" si="409"/>
        <v>13052</v>
      </c>
      <c r="H1922" s="194">
        <v>647.5</v>
      </c>
      <c r="I1922" s="194">
        <v>5003.5</v>
      </c>
      <c r="J1922" s="194">
        <v>0</v>
      </c>
      <c r="K1922" s="193">
        <f t="shared" si="410"/>
        <v>5651</v>
      </c>
      <c r="L1922" s="194">
        <v>684</v>
      </c>
      <c r="M1922" s="194">
        <v>4906</v>
      </c>
      <c r="N1922" s="194">
        <v>0</v>
      </c>
      <c r="O1922" s="193">
        <f t="shared" si="411"/>
        <v>5590</v>
      </c>
      <c r="P1922" s="194">
        <v>78</v>
      </c>
      <c r="Q1922" s="194">
        <v>1733</v>
      </c>
      <c r="R1922" s="194">
        <v>0</v>
      </c>
      <c r="S1922" s="193">
        <f t="shared" si="412"/>
        <v>1811</v>
      </c>
      <c r="T1922" s="193">
        <f t="shared" si="413"/>
        <v>435.06666666666666</v>
      </c>
      <c r="U1922" s="193">
        <f ca="1">OFFSET('Expenditure Study'!$B$7,'Operations Support'!$C1922,'Operations Support'!$B1922)*$G1922</f>
        <v>23493.600000000002</v>
      </c>
      <c r="V1922" s="199">
        <f ca="1">U1922*'Expenditure Study'!$B$31</f>
        <v>1388076.6164428801</v>
      </c>
      <c r="W1922" s="199">
        <f ca="1">IF(A1922=10298,1.51,1)*IF($B1922&lt;3,$D1922*'Expenditure Study'!$B$32*OFFSET('Expenditure Study'!$B$7,'Operations Support'!$C1922,'Operations Support'!$B1922),0)</f>
        <v>253.71000000000004</v>
      </c>
      <c r="X1922" s="200">
        <f ca="1">W1922*'Expenditure Study'!$B$31</f>
        <v>14989.993800768003</v>
      </c>
      <c r="Y1922" s="199">
        <f ca="1">U1922*'Expenditure Study'!$B$31</f>
        <v>1388076.6164428801</v>
      </c>
      <c r="Z1922" s="200">
        <f ca="1">W1922*'Expenditure Study'!$B$31</f>
        <v>14989.993800768003</v>
      </c>
      <c r="AA1922" s="195">
        <f t="shared" ca="1" si="414"/>
        <v>1403066.6102436481</v>
      </c>
      <c r="AB1922" s="195">
        <f t="shared" ca="1" si="415"/>
        <v>1403066.6102436481</v>
      </c>
      <c r="AD1922" s="196">
        <f>IFERROR($G1922/SUMIF($A:$A,$A1922,$G:$G)*SUMIF(Summary!$A$166:$A$242,$A1922,Summary!$P$166:$P$242),0)</f>
        <v>479539.82360989734</v>
      </c>
      <c r="AE1922" s="197">
        <f t="shared" ca="1" si="416"/>
        <v>923526.78663375066</v>
      </c>
      <c r="AF1922" s="196">
        <f>IFERROR(G1922/SUMIF(A:A,A1922,G:G)*SUMIF(Summary!$A$166:$A$242,'Operations Support'!A1922,Summary!$Q$166:$Q$242),0)</f>
        <v>481185.30497408006</v>
      </c>
      <c r="AG1922" s="196">
        <f t="shared" ca="1" si="417"/>
        <v>921881.30526956799</v>
      </c>
      <c r="AI1922" s="196">
        <f>IFERROR($G1922/SUMIF($A:$A,$A1922,$G:$G)*SUMIF(Summary!$A$247:$A$283,$A1922,Summary!$P$247:$P$283),0)</f>
        <v>87456.097043540474</v>
      </c>
      <c r="AJ1922" s="196">
        <f>IFERROR($G1922/SUMIF($A:$A,$A1922,$G:$G)*(SUMIF(Summary!$A$247:$A$283,$A1922,Summary!$L$247:$L$283)+SUMIF(Summary!$A$297:$A$333,$A1922,Summary!$L$297:$L$333))-AI1922,0)</f>
        <v>210172.37786368342</v>
      </c>
      <c r="AK1922" s="196">
        <f>IFERROR($G1922/SUMIF($A:$A,$A1922,$G:$G)*SUMIF(Summary!$A$247:$A$283,$A1922,Summary!$Q$247:$Q$283),0)</f>
        <v>87756.191781837697</v>
      </c>
      <c r="AL1922" s="196">
        <f>IFERROR($G1922/SUMIF($A:$A,$A1922,$G:$G)*(SUMIF(Summary!$A$247:$A$283,$A1922,Summary!$L$247:$L$283)+SUMIF(Summary!$A$297:$A$333,$A1922,Summary!$L$297:$L$333))-AK1922,0)</f>
        <v>209872.2831253862</v>
      </c>
      <c r="AM1922" s="198"/>
      <c r="AN1922" s="196">
        <f t="shared" ca="1" si="418"/>
        <v>1133699.1644974342</v>
      </c>
      <c r="AO1922" s="196">
        <f t="shared" ca="1" si="419"/>
        <v>1131753.5883949541</v>
      </c>
    </row>
    <row r="1923" spans="1:41">
      <c r="A1923" s="189">
        <v>3652</v>
      </c>
      <c r="B1923" s="190">
        <v>2</v>
      </c>
      <c r="C1923" s="191" t="s">
        <v>227</v>
      </c>
      <c r="D1923" s="192">
        <f t="shared" si="406"/>
        <v>0</v>
      </c>
      <c r="E1923" s="192">
        <f t="shared" si="407"/>
        <v>0</v>
      </c>
      <c r="F1923" s="192">
        <f t="shared" si="408"/>
        <v>0</v>
      </c>
      <c r="G1923" s="193">
        <f t="shared" si="409"/>
        <v>0</v>
      </c>
      <c r="H1923" s="194">
        <v>0</v>
      </c>
      <c r="I1923" s="194">
        <v>0</v>
      </c>
      <c r="J1923" s="194">
        <v>0</v>
      </c>
      <c r="K1923" s="193">
        <f t="shared" si="410"/>
        <v>0</v>
      </c>
      <c r="L1923" s="194">
        <v>0</v>
      </c>
      <c r="M1923" s="194">
        <v>0</v>
      </c>
      <c r="N1923" s="194">
        <v>0</v>
      </c>
      <c r="O1923" s="193">
        <f t="shared" si="411"/>
        <v>0</v>
      </c>
      <c r="P1923" s="194">
        <v>0</v>
      </c>
      <c r="Q1923" s="194">
        <v>0</v>
      </c>
      <c r="R1923" s="194">
        <v>0</v>
      </c>
      <c r="S1923" s="193">
        <f t="shared" si="412"/>
        <v>0</v>
      </c>
      <c r="T1923" s="193">
        <f t="shared" si="413"/>
        <v>0</v>
      </c>
      <c r="U1923" s="193">
        <f ca="1">OFFSET('Expenditure Study'!$B$7,'Operations Support'!$C1923,'Operations Support'!$B1923)*$G1923</f>
        <v>0</v>
      </c>
      <c r="V1923" s="199">
        <f ca="1">U1923*'Expenditure Study'!$B$31</f>
        <v>0</v>
      </c>
      <c r="W1923" s="199">
        <f ca="1">IF(A1923=10298,1.51,1)*IF($B1923&lt;3,$D1923*'Expenditure Study'!$B$32*OFFSET('Expenditure Study'!$B$7,'Operations Support'!$C1923,'Operations Support'!$B1923),0)</f>
        <v>0</v>
      </c>
      <c r="X1923" s="200">
        <f ca="1">W1923*'Expenditure Study'!$B$31</f>
        <v>0</v>
      </c>
      <c r="Y1923" s="199">
        <f ca="1">U1923*'Expenditure Study'!$B$31</f>
        <v>0</v>
      </c>
      <c r="Z1923" s="200">
        <f ca="1">W1923*'Expenditure Study'!$B$31</f>
        <v>0</v>
      </c>
      <c r="AA1923" s="195">
        <f t="shared" ca="1" si="414"/>
        <v>0</v>
      </c>
      <c r="AB1923" s="195">
        <f t="shared" ca="1" si="415"/>
        <v>0</v>
      </c>
      <c r="AD1923" s="196">
        <f>IFERROR($G1923/SUMIF($A:$A,$A1923,$G:$G)*SUMIF(Summary!$A$166:$A$242,$A1923,Summary!$P$166:$P$242),0)</f>
        <v>0</v>
      </c>
      <c r="AE1923" s="197">
        <f t="shared" ca="1" si="416"/>
        <v>0</v>
      </c>
      <c r="AF1923" s="196">
        <f>IFERROR(G1923/SUMIF(A:A,A1923,G:G)*SUMIF(Summary!$A$166:$A$242,'Operations Support'!A1923,Summary!$Q$166:$Q$242),0)</f>
        <v>0</v>
      </c>
      <c r="AG1923" s="196">
        <f t="shared" ca="1" si="417"/>
        <v>0</v>
      </c>
      <c r="AI1923" s="196">
        <f>IFERROR($G1923/SUMIF($A:$A,$A1923,$G:$G)*SUMIF(Summary!$A$247:$A$283,$A1923,Summary!$P$247:$P$283),0)</f>
        <v>0</v>
      </c>
      <c r="AJ1923" s="196">
        <f>IFERROR($G1923/SUMIF($A:$A,$A1923,$G:$G)*(SUMIF(Summary!$A$247:$A$283,$A1923,Summary!$L$247:$L$283)+SUMIF(Summary!$A$297:$A$333,$A1923,Summary!$L$297:$L$333))-AI1923,0)</f>
        <v>0</v>
      </c>
      <c r="AK1923" s="196">
        <f>IFERROR($G1923/SUMIF($A:$A,$A1923,$G:$G)*SUMIF(Summary!$A$247:$A$283,$A1923,Summary!$Q$247:$Q$283),0)</f>
        <v>0</v>
      </c>
      <c r="AL1923" s="196">
        <f>IFERROR($G1923/SUMIF($A:$A,$A1923,$G:$G)*(SUMIF(Summary!$A$247:$A$283,$A1923,Summary!$L$247:$L$283)+SUMIF(Summary!$A$297:$A$333,$A1923,Summary!$L$297:$L$333))-AK1923,0)</f>
        <v>0</v>
      </c>
      <c r="AM1923" s="198"/>
      <c r="AN1923" s="196">
        <f t="shared" ca="1" si="418"/>
        <v>0</v>
      </c>
      <c r="AO1923" s="196">
        <f t="shared" ca="1" si="419"/>
        <v>0</v>
      </c>
    </row>
    <row r="1924" spans="1:41">
      <c r="A1924" s="189">
        <v>3652</v>
      </c>
      <c r="B1924" s="190">
        <v>2</v>
      </c>
      <c r="C1924" s="191" t="s">
        <v>228</v>
      </c>
      <c r="D1924" s="192">
        <f t="shared" si="406"/>
        <v>0</v>
      </c>
      <c r="E1924" s="192">
        <f t="shared" si="407"/>
        <v>81</v>
      </c>
      <c r="F1924" s="192">
        <f t="shared" si="408"/>
        <v>0</v>
      </c>
      <c r="G1924" s="193">
        <f t="shared" si="409"/>
        <v>81</v>
      </c>
      <c r="H1924" s="194">
        <v>0</v>
      </c>
      <c r="I1924" s="194">
        <v>54</v>
      </c>
      <c r="J1924" s="194">
        <v>0</v>
      </c>
      <c r="K1924" s="193">
        <f t="shared" si="410"/>
        <v>54</v>
      </c>
      <c r="L1924" s="194">
        <v>0</v>
      </c>
      <c r="M1924" s="194">
        <v>27</v>
      </c>
      <c r="N1924" s="194">
        <v>0</v>
      </c>
      <c r="O1924" s="193">
        <f t="shared" si="411"/>
        <v>27</v>
      </c>
      <c r="P1924" s="194">
        <v>0</v>
      </c>
      <c r="Q1924" s="194">
        <v>0</v>
      </c>
      <c r="R1924" s="194">
        <v>0</v>
      </c>
      <c r="S1924" s="193">
        <f t="shared" si="412"/>
        <v>0</v>
      </c>
      <c r="T1924" s="193">
        <f t="shared" si="413"/>
        <v>2.7</v>
      </c>
      <c r="U1924" s="193">
        <f ca="1">OFFSET('Expenditure Study'!$B$7,'Operations Support'!$C1924,'Operations Support'!$B1924)*$G1924</f>
        <v>154.70999999999998</v>
      </c>
      <c r="V1924" s="199">
        <f ca="1">U1924*'Expenditure Study'!$B$31</f>
        <v>9140.7589015679987</v>
      </c>
      <c r="W1924" s="199">
        <f ca="1">IF(A1924=10298,1.51,1)*IF($B1924&lt;3,$D1924*'Expenditure Study'!$B$32*OFFSET('Expenditure Study'!$B$7,'Operations Support'!$C1924,'Operations Support'!$B1924),0)</f>
        <v>0</v>
      </c>
      <c r="X1924" s="200">
        <f ca="1">W1924*'Expenditure Study'!$B$31</f>
        <v>0</v>
      </c>
      <c r="Y1924" s="199">
        <f ca="1">U1924*'Expenditure Study'!$B$31</f>
        <v>9140.7589015679987</v>
      </c>
      <c r="Z1924" s="200">
        <f ca="1">W1924*'Expenditure Study'!$B$31</f>
        <v>0</v>
      </c>
      <c r="AA1924" s="195">
        <f t="shared" ca="1" si="414"/>
        <v>9140.7589015679987</v>
      </c>
      <c r="AB1924" s="195">
        <f t="shared" ca="1" si="415"/>
        <v>9140.7589015679987</v>
      </c>
      <c r="AD1924" s="196">
        <f>IFERROR($G1924/SUMIF($A:$A,$A1924,$G:$G)*SUMIF(Summary!$A$166:$A$242,$A1924,Summary!$P$166:$P$242),0)</f>
        <v>2975.9979859333198</v>
      </c>
      <c r="AE1924" s="197">
        <f t="shared" ca="1" si="416"/>
        <v>6164.7609156346789</v>
      </c>
      <c r="AF1924" s="196">
        <f>IFERROR(G1924/SUMIF(A:A,A1924,G:G)*SUMIF(Summary!$A$166:$A$242,'Operations Support'!A1924,Summary!$Q$166:$Q$242),0)</f>
        <v>2986.2097535167395</v>
      </c>
      <c r="AG1924" s="196">
        <f t="shared" ca="1" si="417"/>
        <v>6154.5491480512592</v>
      </c>
      <c r="AI1924" s="196">
        <f>IFERROR($G1924/SUMIF($A:$A,$A1924,$G:$G)*SUMIF(Summary!$A$247:$A$283,$A1924,Summary!$P$247:$P$283),0)</f>
        <v>542.74776743233065</v>
      </c>
      <c r="AJ1924" s="196">
        <f>IFERROR($G1924/SUMIF($A:$A,$A1924,$G:$G)*(SUMIF(Summary!$A$247:$A$283,$A1924,Summary!$L$247:$L$283)+SUMIF(Summary!$A$297:$A$333,$A1924,Summary!$L$297:$L$333))-AI1924,0)</f>
        <v>1304.3183119030307</v>
      </c>
      <c r="AK1924" s="196">
        <f>IFERROR($G1924/SUMIF($A:$A,$A1924,$G:$G)*SUMIF(Summary!$A$247:$A$283,$A1924,Summary!$Q$247:$Q$283),0)</f>
        <v>544.61013900772707</v>
      </c>
      <c r="AL1924" s="196">
        <f>IFERROR($G1924/SUMIF($A:$A,$A1924,$G:$G)*(SUMIF(Summary!$A$247:$A$283,$A1924,Summary!$L$247:$L$283)+SUMIF(Summary!$A$297:$A$333,$A1924,Summary!$L$297:$L$333))-AK1924,0)</f>
        <v>1302.4559403276344</v>
      </c>
      <c r="AM1924" s="198"/>
      <c r="AN1924" s="196">
        <f t="shared" ca="1" si="418"/>
        <v>7469.0792275377098</v>
      </c>
      <c r="AO1924" s="196">
        <f t="shared" ca="1" si="419"/>
        <v>7457.0050883788936</v>
      </c>
    </row>
    <row r="1925" spans="1:41">
      <c r="A1925" s="189">
        <v>3652</v>
      </c>
      <c r="B1925" s="190">
        <v>2</v>
      </c>
      <c r="C1925" s="191" t="s">
        <v>229</v>
      </c>
      <c r="D1925" s="192">
        <f t="shared" ref="D1925:D1988" si="420">H1925+L1925+P1925</f>
        <v>0</v>
      </c>
      <c r="E1925" s="192">
        <f t="shared" ref="E1925:E1988" si="421">I1925+M1925+Q1925</f>
        <v>0</v>
      </c>
      <c r="F1925" s="192">
        <f t="shared" ref="F1925:F1988" si="422">J1925+N1925+R1925</f>
        <v>0</v>
      </c>
      <c r="G1925" s="193">
        <f t="shared" ref="G1925:G1988" si="423">(SUM(D1925:E1925)-F1925)*IF(A1925=10298,1.51,1)</f>
        <v>0</v>
      </c>
      <c r="H1925" s="194">
        <v>0</v>
      </c>
      <c r="I1925" s="194">
        <v>0</v>
      </c>
      <c r="J1925" s="194">
        <v>0</v>
      </c>
      <c r="K1925" s="193">
        <f t="shared" ref="K1925:K1988" si="424">SUM(H1925:I1925)-J1925</f>
        <v>0</v>
      </c>
      <c r="L1925" s="194">
        <v>0</v>
      </c>
      <c r="M1925" s="194">
        <v>0</v>
      </c>
      <c r="N1925" s="194">
        <v>0</v>
      </c>
      <c r="O1925" s="193">
        <f t="shared" ref="O1925:O1988" si="425">SUM(L1925:M1925)-N1925</f>
        <v>0</v>
      </c>
      <c r="P1925" s="194">
        <v>0</v>
      </c>
      <c r="Q1925" s="194">
        <v>0</v>
      </c>
      <c r="R1925" s="194">
        <v>0</v>
      </c>
      <c r="S1925" s="193">
        <f t="shared" ref="S1925:S1988" si="426">SUM(P1925:Q1925)-R1925</f>
        <v>0</v>
      </c>
      <c r="T1925" s="193">
        <f t="shared" ref="T1925:T1988" si="427">IF(OR(B1925=1,B1925=2),G1925/30,IF(OR(B1925=3,B1925=5),G1925/24,IF(B1925=4,G1925/18,0)))</f>
        <v>0</v>
      </c>
      <c r="U1925" s="193">
        <f ca="1">OFFSET('Expenditure Study'!$B$7,'Operations Support'!$C1925,'Operations Support'!$B1925)*$G1925</f>
        <v>0</v>
      </c>
      <c r="V1925" s="199">
        <f ca="1">U1925*'Expenditure Study'!$B$31</f>
        <v>0</v>
      </c>
      <c r="W1925" s="199">
        <f ca="1">IF(A1925=10298,1.51,1)*IF($B1925&lt;3,$D1925*'Expenditure Study'!$B$32*OFFSET('Expenditure Study'!$B$7,'Operations Support'!$C1925,'Operations Support'!$B1925),0)</f>
        <v>0</v>
      </c>
      <c r="X1925" s="200">
        <f ca="1">W1925*'Expenditure Study'!$B$31</f>
        <v>0</v>
      </c>
      <c r="Y1925" s="199">
        <f ca="1">U1925*'Expenditure Study'!$B$31</f>
        <v>0</v>
      </c>
      <c r="Z1925" s="200">
        <f ca="1">W1925*'Expenditure Study'!$B$31</f>
        <v>0</v>
      </c>
      <c r="AA1925" s="195">
        <f t="shared" ref="AA1925:AA1988" ca="1" si="428">V1925+X1925</f>
        <v>0</v>
      </c>
      <c r="AB1925" s="195">
        <f t="shared" ref="AB1925:AB1988" ca="1" si="429">Y1925+Z1925</f>
        <v>0</v>
      </c>
      <c r="AD1925" s="196">
        <f>IFERROR($G1925/SUMIF($A:$A,$A1925,$G:$G)*SUMIF(Summary!$A$166:$A$242,$A1925,Summary!$P$166:$P$242),0)</f>
        <v>0</v>
      </c>
      <c r="AE1925" s="197">
        <f t="shared" ca="1" si="416"/>
        <v>0</v>
      </c>
      <c r="AF1925" s="196">
        <f>IFERROR(G1925/SUMIF(A:A,A1925,G:G)*SUMIF(Summary!$A$166:$A$242,'Operations Support'!A1925,Summary!$Q$166:$Q$242),0)</f>
        <v>0</v>
      </c>
      <c r="AG1925" s="196">
        <f t="shared" ca="1" si="417"/>
        <v>0</v>
      </c>
      <c r="AI1925" s="196">
        <f>IFERROR($G1925/SUMIF($A:$A,$A1925,$G:$G)*SUMIF(Summary!$A$247:$A$283,$A1925,Summary!$P$247:$P$283),0)</f>
        <v>0</v>
      </c>
      <c r="AJ1925" s="196">
        <f>IFERROR($G1925/SUMIF($A:$A,$A1925,$G:$G)*(SUMIF(Summary!$A$247:$A$283,$A1925,Summary!$L$247:$L$283)+SUMIF(Summary!$A$297:$A$333,$A1925,Summary!$L$297:$L$333))-AI1925,0)</f>
        <v>0</v>
      </c>
      <c r="AK1925" s="196">
        <f>IFERROR($G1925/SUMIF($A:$A,$A1925,$G:$G)*SUMIF(Summary!$A$247:$A$283,$A1925,Summary!$Q$247:$Q$283),0)</f>
        <v>0</v>
      </c>
      <c r="AL1925" s="196">
        <f>IFERROR($G1925/SUMIF($A:$A,$A1925,$G:$G)*(SUMIF(Summary!$A$247:$A$283,$A1925,Summary!$L$247:$L$283)+SUMIF(Summary!$A$297:$A$333,$A1925,Summary!$L$297:$L$333))-AK1925,0)</f>
        <v>0</v>
      </c>
      <c r="AM1925" s="198"/>
      <c r="AN1925" s="196">
        <f t="shared" ca="1" si="418"/>
        <v>0</v>
      </c>
      <c r="AO1925" s="196">
        <f t="shared" ca="1" si="419"/>
        <v>0</v>
      </c>
    </row>
    <row r="1926" spans="1:41">
      <c r="A1926" s="189">
        <v>3652</v>
      </c>
      <c r="B1926" s="190">
        <v>2</v>
      </c>
      <c r="C1926" s="191" t="s">
        <v>230</v>
      </c>
      <c r="D1926" s="192">
        <f t="shared" si="420"/>
        <v>0</v>
      </c>
      <c r="E1926" s="192">
        <f t="shared" si="421"/>
        <v>0</v>
      </c>
      <c r="F1926" s="192">
        <f t="shared" si="422"/>
        <v>0</v>
      </c>
      <c r="G1926" s="193">
        <f t="shared" si="423"/>
        <v>0</v>
      </c>
      <c r="H1926" s="194">
        <v>0</v>
      </c>
      <c r="I1926" s="194">
        <v>0</v>
      </c>
      <c r="J1926" s="194">
        <v>0</v>
      </c>
      <c r="K1926" s="193">
        <f t="shared" si="424"/>
        <v>0</v>
      </c>
      <c r="L1926" s="194">
        <v>0</v>
      </c>
      <c r="M1926" s="194">
        <v>0</v>
      </c>
      <c r="N1926" s="194">
        <v>0</v>
      </c>
      <c r="O1926" s="193">
        <f t="shared" si="425"/>
        <v>0</v>
      </c>
      <c r="P1926" s="194">
        <v>0</v>
      </c>
      <c r="Q1926" s="194">
        <v>0</v>
      </c>
      <c r="R1926" s="194">
        <v>0</v>
      </c>
      <c r="S1926" s="193">
        <f t="shared" si="426"/>
        <v>0</v>
      </c>
      <c r="T1926" s="193">
        <f t="shared" si="427"/>
        <v>0</v>
      </c>
      <c r="U1926" s="193">
        <f ca="1">OFFSET('Expenditure Study'!$B$7,'Operations Support'!$C1926,'Operations Support'!$B1926)*$G1926</f>
        <v>0</v>
      </c>
      <c r="V1926" s="199">
        <f ca="1">U1926*'Expenditure Study'!$B$31</f>
        <v>0</v>
      </c>
      <c r="W1926" s="199">
        <f ca="1">IF(A1926=10298,1.51,1)*IF($B1926&lt;3,$D1926*'Expenditure Study'!$B$32*OFFSET('Expenditure Study'!$B$7,'Operations Support'!$C1926,'Operations Support'!$B1926),0)</f>
        <v>0</v>
      </c>
      <c r="X1926" s="200">
        <f ca="1">W1926*'Expenditure Study'!$B$31</f>
        <v>0</v>
      </c>
      <c r="Y1926" s="199">
        <f ca="1">U1926*'Expenditure Study'!$B$31</f>
        <v>0</v>
      </c>
      <c r="Z1926" s="200">
        <f ca="1">W1926*'Expenditure Study'!$B$31</f>
        <v>0</v>
      </c>
      <c r="AA1926" s="195">
        <f t="shared" ca="1" si="428"/>
        <v>0</v>
      </c>
      <c r="AB1926" s="195">
        <f t="shared" ca="1" si="429"/>
        <v>0</v>
      </c>
      <c r="AD1926" s="196">
        <f>IFERROR($G1926/SUMIF($A:$A,$A1926,$G:$G)*SUMIF(Summary!$A$166:$A$242,$A1926,Summary!$P$166:$P$242),0)</f>
        <v>0</v>
      </c>
      <c r="AE1926" s="197">
        <f t="shared" ref="AE1926:AE1989" ca="1" si="430">V1926+X1926-AD1926</f>
        <v>0</v>
      </c>
      <c r="AF1926" s="196">
        <f>IFERROR(G1926/SUMIF(A:A,A1926,G:G)*SUMIF(Summary!$A$166:$A$242,'Operations Support'!A1926,Summary!$Q$166:$Q$242),0)</f>
        <v>0</v>
      </c>
      <c r="AG1926" s="196">
        <f t="shared" ref="AG1926:AG1989" ca="1" si="431">Y1926+Z1926-AF1926</f>
        <v>0</v>
      </c>
      <c r="AI1926" s="196">
        <f>IFERROR($G1926/SUMIF($A:$A,$A1926,$G:$G)*SUMIF(Summary!$A$247:$A$283,$A1926,Summary!$P$247:$P$283),0)</f>
        <v>0</v>
      </c>
      <c r="AJ1926" s="196">
        <f>IFERROR($G1926/SUMIF($A:$A,$A1926,$G:$G)*(SUMIF(Summary!$A$247:$A$283,$A1926,Summary!$L$247:$L$283)+SUMIF(Summary!$A$297:$A$333,$A1926,Summary!$L$297:$L$333))-AI1926,0)</f>
        <v>0</v>
      </c>
      <c r="AK1926" s="196">
        <f>IFERROR($G1926/SUMIF($A:$A,$A1926,$G:$G)*SUMIF(Summary!$A$247:$A$283,$A1926,Summary!$Q$247:$Q$283),0)</f>
        <v>0</v>
      </c>
      <c r="AL1926" s="196">
        <f>IFERROR($G1926/SUMIF($A:$A,$A1926,$G:$G)*(SUMIF(Summary!$A$247:$A$283,$A1926,Summary!$L$247:$L$283)+SUMIF(Summary!$A$297:$A$333,$A1926,Summary!$L$297:$L$333))-AK1926,0)</f>
        <v>0</v>
      </c>
      <c r="AM1926" s="198"/>
      <c r="AN1926" s="196">
        <f t="shared" ref="AN1926:AN1989" ca="1" si="432">AE1926+AJ1926</f>
        <v>0</v>
      </c>
      <c r="AO1926" s="196">
        <f t="shared" ref="AO1926:AO1989" ca="1" si="433">AG1926+AL1926</f>
        <v>0</v>
      </c>
    </row>
    <row r="1927" spans="1:41">
      <c r="A1927" s="189">
        <v>3652</v>
      </c>
      <c r="B1927" s="190">
        <v>2</v>
      </c>
      <c r="C1927" s="191" t="s">
        <v>231</v>
      </c>
      <c r="D1927" s="192">
        <f t="shared" si="420"/>
        <v>0</v>
      </c>
      <c r="E1927" s="192">
        <f t="shared" si="421"/>
        <v>129</v>
      </c>
      <c r="F1927" s="192">
        <f t="shared" si="422"/>
        <v>0</v>
      </c>
      <c r="G1927" s="193">
        <f t="shared" si="423"/>
        <v>129</v>
      </c>
      <c r="H1927" s="194">
        <v>0</v>
      </c>
      <c r="I1927" s="194">
        <v>42</v>
      </c>
      <c r="J1927" s="194">
        <v>0</v>
      </c>
      <c r="K1927" s="193">
        <f t="shared" si="424"/>
        <v>42</v>
      </c>
      <c r="L1927" s="194">
        <v>0</v>
      </c>
      <c r="M1927" s="194">
        <v>87</v>
      </c>
      <c r="N1927" s="194">
        <v>0</v>
      </c>
      <c r="O1927" s="193">
        <f t="shared" si="425"/>
        <v>87</v>
      </c>
      <c r="P1927" s="194">
        <v>0</v>
      </c>
      <c r="Q1927" s="194">
        <v>0</v>
      </c>
      <c r="R1927" s="194">
        <v>0</v>
      </c>
      <c r="S1927" s="193">
        <f t="shared" si="426"/>
        <v>0</v>
      </c>
      <c r="T1927" s="193">
        <f t="shared" si="427"/>
        <v>4.3</v>
      </c>
      <c r="U1927" s="193">
        <f ca="1">OFFSET('Expenditure Study'!$B$7,'Operations Support'!$C1927,'Operations Support'!$B1927)*$G1927</f>
        <v>454.08</v>
      </c>
      <c r="V1927" s="199">
        <f ca="1">U1927*'Expenditure Study'!$B$31</f>
        <v>26828.490737664</v>
      </c>
      <c r="W1927" s="199">
        <f ca="1">IF(A1927=10298,1.51,1)*IF($B1927&lt;3,$D1927*'Expenditure Study'!$B$32*OFFSET('Expenditure Study'!$B$7,'Operations Support'!$C1927,'Operations Support'!$B1927),0)</f>
        <v>0</v>
      </c>
      <c r="X1927" s="200">
        <f ca="1">W1927*'Expenditure Study'!$B$31</f>
        <v>0</v>
      </c>
      <c r="Y1927" s="199">
        <f ca="1">U1927*'Expenditure Study'!$B$31</f>
        <v>26828.490737664</v>
      </c>
      <c r="Z1927" s="200">
        <f ca="1">W1927*'Expenditure Study'!$B$31</f>
        <v>0</v>
      </c>
      <c r="AA1927" s="195">
        <f t="shared" ca="1" si="428"/>
        <v>26828.490737664</v>
      </c>
      <c r="AB1927" s="195">
        <f t="shared" ca="1" si="429"/>
        <v>26828.490737664</v>
      </c>
      <c r="AD1927" s="196">
        <f>IFERROR($G1927/SUMIF($A:$A,$A1927,$G:$G)*SUMIF(Summary!$A$166:$A$242,$A1927,Summary!$P$166:$P$242),0)</f>
        <v>4739.5523479678795</v>
      </c>
      <c r="AE1927" s="197">
        <f t="shared" ca="1" si="430"/>
        <v>22088.938389696123</v>
      </c>
      <c r="AF1927" s="196">
        <f>IFERROR(G1927/SUMIF(A:A,A1927,G:G)*SUMIF(Summary!$A$166:$A$242,'Operations Support'!A1927,Summary!$Q$166:$Q$242),0)</f>
        <v>4755.8155333785116</v>
      </c>
      <c r="AG1927" s="196">
        <f t="shared" ca="1" si="431"/>
        <v>22072.67520428549</v>
      </c>
      <c r="AI1927" s="196">
        <f>IFERROR($G1927/SUMIF($A:$A,$A1927,$G:$G)*SUMIF(Summary!$A$247:$A$283,$A1927,Summary!$P$247:$P$283),0)</f>
        <v>864.37607405889696</v>
      </c>
      <c r="AJ1927" s="196">
        <f>IFERROR($G1927/SUMIF($A:$A,$A1927,$G:$G)*(SUMIF(Summary!$A$247:$A$283,$A1927,Summary!$L$247:$L$283)+SUMIF(Summary!$A$297:$A$333,$A1927,Summary!$L$297:$L$333))-AI1927,0)</f>
        <v>2077.2476819196418</v>
      </c>
      <c r="AK1927" s="196">
        <f>IFERROR($G1927/SUMIF($A:$A,$A1927,$G:$G)*SUMIF(Summary!$A$247:$A$283,$A1927,Summary!$Q$247:$Q$283),0)</f>
        <v>867.34207323452824</v>
      </c>
      <c r="AL1927" s="196">
        <f>IFERROR($G1927/SUMIF($A:$A,$A1927,$G:$G)*(SUMIF(Summary!$A$247:$A$283,$A1927,Summary!$L$247:$L$283)+SUMIF(Summary!$A$297:$A$333,$A1927,Summary!$L$297:$L$333))-AK1927,0)</f>
        <v>2074.2816827440101</v>
      </c>
      <c r="AM1927" s="198"/>
      <c r="AN1927" s="196">
        <f t="shared" ca="1" si="432"/>
        <v>24166.186071615764</v>
      </c>
      <c r="AO1927" s="196">
        <f t="shared" ca="1" si="433"/>
        <v>24146.956887029501</v>
      </c>
    </row>
    <row r="1928" spans="1:41">
      <c r="A1928" s="189">
        <v>3652</v>
      </c>
      <c r="B1928" s="190">
        <v>2</v>
      </c>
      <c r="C1928" s="191" t="s">
        <v>232</v>
      </c>
      <c r="D1928" s="192">
        <f t="shared" si="420"/>
        <v>0</v>
      </c>
      <c r="E1928" s="192">
        <f t="shared" si="421"/>
        <v>0</v>
      </c>
      <c r="F1928" s="192">
        <f t="shared" si="422"/>
        <v>0</v>
      </c>
      <c r="G1928" s="193">
        <f t="shared" si="423"/>
        <v>0</v>
      </c>
      <c r="H1928" s="194">
        <v>0</v>
      </c>
      <c r="I1928" s="194">
        <v>0</v>
      </c>
      <c r="J1928" s="194">
        <v>0</v>
      </c>
      <c r="K1928" s="193">
        <f t="shared" si="424"/>
        <v>0</v>
      </c>
      <c r="L1928" s="194">
        <v>0</v>
      </c>
      <c r="M1928" s="194">
        <v>0</v>
      </c>
      <c r="N1928" s="194">
        <v>0</v>
      </c>
      <c r="O1928" s="193">
        <f t="shared" si="425"/>
        <v>0</v>
      </c>
      <c r="P1928" s="194">
        <v>0</v>
      </c>
      <c r="Q1928" s="194">
        <v>0</v>
      </c>
      <c r="R1928" s="194">
        <v>0</v>
      </c>
      <c r="S1928" s="193">
        <f t="shared" si="426"/>
        <v>0</v>
      </c>
      <c r="T1928" s="193">
        <f t="shared" si="427"/>
        <v>0</v>
      </c>
      <c r="U1928" s="193">
        <f ca="1">OFFSET('Expenditure Study'!$B$7,'Operations Support'!$C1928,'Operations Support'!$B1928)*$G1928</f>
        <v>0</v>
      </c>
      <c r="V1928" s="199">
        <f ca="1">U1928*'Expenditure Study'!$B$31</f>
        <v>0</v>
      </c>
      <c r="W1928" s="199">
        <f ca="1">IF(A1928=10298,1.51,1)*IF($B1928&lt;3,$D1928*'Expenditure Study'!$B$32*OFFSET('Expenditure Study'!$B$7,'Operations Support'!$C1928,'Operations Support'!$B1928),0)</f>
        <v>0</v>
      </c>
      <c r="X1928" s="200">
        <f ca="1">W1928*'Expenditure Study'!$B$31</f>
        <v>0</v>
      </c>
      <c r="Y1928" s="199">
        <f ca="1">U1928*'Expenditure Study'!$B$31</f>
        <v>0</v>
      </c>
      <c r="Z1928" s="200">
        <f ca="1">W1928*'Expenditure Study'!$B$31</f>
        <v>0</v>
      </c>
      <c r="AA1928" s="195">
        <f t="shared" ca="1" si="428"/>
        <v>0</v>
      </c>
      <c r="AB1928" s="195">
        <f t="shared" ca="1" si="429"/>
        <v>0</v>
      </c>
      <c r="AD1928" s="196">
        <f>IFERROR($G1928/SUMIF($A:$A,$A1928,$G:$G)*SUMIF(Summary!$A$166:$A$242,$A1928,Summary!$P$166:$P$242),0)</f>
        <v>0</v>
      </c>
      <c r="AE1928" s="197">
        <f t="shared" ca="1" si="430"/>
        <v>0</v>
      </c>
      <c r="AF1928" s="196">
        <f>IFERROR(G1928/SUMIF(A:A,A1928,G:G)*SUMIF(Summary!$A$166:$A$242,'Operations Support'!A1928,Summary!$Q$166:$Q$242),0)</f>
        <v>0</v>
      </c>
      <c r="AG1928" s="196">
        <f t="shared" ca="1" si="431"/>
        <v>0</v>
      </c>
      <c r="AI1928" s="196">
        <f>IFERROR($G1928/SUMIF($A:$A,$A1928,$G:$G)*SUMIF(Summary!$A$247:$A$283,$A1928,Summary!$P$247:$P$283),0)</f>
        <v>0</v>
      </c>
      <c r="AJ1928" s="196">
        <f>IFERROR($G1928/SUMIF($A:$A,$A1928,$G:$G)*(SUMIF(Summary!$A$247:$A$283,$A1928,Summary!$L$247:$L$283)+SUMIF(Summary!$A$297:$A$333,$A1928,Summary!$L$297:$L$333))-AI1928,0)</f>
        <v>0</v>
      </c>
      <c r="AK1928" s="196">
        <f>IFERROR($G1928/SUMIF($A:$A,$A1928,$G:$G)*SUMIF(Summary!$A$247:$A$283,$A1928,Summary!$Q$247:$Q$283),0)</f>
        <v>0</v>
      </c>
      <c r="AL1928" s="196">
        <f>IFERROR($G1928/SUMIF($A:$A,$A1928,$G:$G)*(SUMIF(Summary!$A$247:$A$283,$A1928,Summary!$L$247:$L$283)+SUMIF(Summary!$A$297:$A$333,$A1928,Summary!$L$297:$L$333))-AK1928,0)</f>
        <v>0</v>
      </c>
      <c r="AM1928" s="198"/>
      <c r="AN1928" s="196">
        <f t="shared" ca="1" si="432"/>
        <v>0</v>
      </c>
      <c r="AO1928" s="196">
        <f t="shared" ca="1" si="433"/>
        <v>0</v>
      </c>
    </row>
    <row r="1929" spans="1:41">
      <c r="A1929" s="189">
        <v>3652</v>
      </c>
      <c r="B1929" s="190">
        <v>2</v>
      </c>
      <c r="C1929" s="191" t="s">
        <v>233</v>
      </c>
      <c r="D1929" s="192">
        <f t="shared" si="420"/>
        <v>6373</v>
      </c>
      <c r="E1929" s="192">
        <f t="shared" si="421"/>
        <v>21315</v>
      </c>
      <c r="F1929" s="192">
        <f t="shared" si="422"/>
        <v>0</v>
      </c>
      <c r="G1929" s="193">
        <f t="shared" si="423"/>
        <v>27688</v>
      </c>
      <c r="H1929" s="194">
        <v>2701</v>
      </c>
      <c r="I1929" s="194">
        <v>9566</v>
      </c>
      <c r="J1929" s="194">
        <v>0</v>
      </c>
      <c r="K1929" s="193">
        <f t="shared" si="424"/>
        <v>12267</v>
      </c>
      <c r="L1929" s="194">
        <v>3180</v>
      </c>
      <c r="M1929" s="194">
        <v>8994</v>
      </c>
      <c r="N1929" s="194">
        <v>0</v>
      </c>
      <c r="O1929" s="193">
        <f t="shared" si="425"/>
        <v>12174</v>
      </c>
      <c r="P1929" s="194">
        <v>492</v>
      </c>
      <c r="Q1929" s="194">
        <v>2755</v>
      </c>
      <c r="R1929" s="194">
        <v>0</v>
      </c>
      <c r="S1929" s="193">
        <f t="shared" si="426"/>
        <v>3247</v>
      </c>
      <c r="T1929" s="193">
        <f t="shared" si="427"/>
        <v>922.93333333333328</v>
      </c>
      <c r="U1929" s="193">
        <f ca="1">OFFSET('Expenditure Study'!$B$7,'Operations Support'!$C1929,'Operations Support'!$B1929)*$G1929</f>
        <v>44577.68</v>
      </c>
      <c r="V1929" s="199">
        <f ca="1">U1929*'Expenditure Study'!$B$31</f>
        <v>2633791.1270845439</v>
      </c>
      <c r="W1929" s="199">
        <f ca="1">IF(A1929=10298,1.51,1)*IF($B1929&lt;3,$D1929*'Expenditure Study'!$B$32*OFFSET('Expenditure Study'!$B$7,'Operations Support'!$C1929,'Operations Support'!$B1929),0)</f>
        <v>1026.0530000000001</v>
      </c>
      <c r="X1929" s="200">
        <f ca="1">W1929*'Expenditure Study'!$B$31</f>
        <v>60622.474909382407</v>
      </c>
      <c r="Y1929" s="199">
        <f ca="1">U1929*'Expenditure Study'!$B$31</f>
        <v>2633791.1270845439</v>
      </c>
      <c r="Z1929" s="200">
        <f ca="1">W1929*'Expenditure Study'!$B$31</f>
        <v>60622.474909382407</v>
      </c>
      <c r="AA1929" s="195">
        <f t="shared" ca="1" si="428"/>
        <v>2694413.6019939263</v>
      </c>
      <c r="AB1929" s="195">
        <f t="shared" ca="1" si="429"/>
        <v>2694413.6019939263</v>
      </c>
      <c r="AD1929" s="196">
        <f>IFERROR($G1929/SUMIF($A:$A,$A1929,$G:$G)*SUMIF(Summary!$A$166:$A$242,$A1929,Summary!$P$166:$P$242),0)</f>
        <v>1017276.9411669353</v>
      </c>
      <c r="AE1929" s="197">
        <f t="shared" ca="1" si="430"/>
        <v>1677136.6608269911</v>
      </c>
      <c r="AF1929" s="196">
        <f>IFERROR(G1929/SUMIF(A:A,A1929,G:G)*SUMIF(Summary!$A$166:$A$242,'Operations Support'!A1929,Summary!$Q$166:$Q$242),0)</f>
        <v>1020767.6006835985</v>
      </c>
      <c r="AG1929" s="196">
        <f t="shared" ca="1" si="431"/>
        <v>1673646.0013103278</v>
      </c>
      <c r="AI1929" s="196">
        <f>IFERROR($G1929/SUMIF($A:$A,$A1929,$G:$G)*SUMIF(Summary!$A$247:$A$283,$A1929,Summary!$P$247:$P$283),0)</f>
        <v>185525.92820575763</v>
      </c>
      <c r="AJ1929" s="196">
        <f>IFERROR($G1929/SUMIF($A:$A,$A1929,$G:$G)*(SUMIF(Summary!$A$247:$A$283,$A1929,Summary!$L$247:$L$283)+SUMIF(Summary!$A$297:$A$333,$A1929,Summary!$L$297:$L$333))-AI1929,0)</f>
        <v>445851.42493791506</v>
      </c>
      <c r="AK1929" s="196">
        <f>IFERROR($G1929/SUMIF($A:$A,$A1929,$G:$G)*SUMIF(Summary!$A$247:$A$283,$A1929,Summary!$Q$247:$Q$283),0)</f>
        <v>186162.53739315982</v>
      </c>
      <c r="AL1929" s="196">
        <f>IFERROR($G1929/SUMIF($A:$A,$A1929,$G:$G)*(SUMIF(Summary!$A$247:$A$283,$A1929,Summary!$L$247:$L$283)+SUMIF(Summary!$A$297:$A$333,$A1929,Summary!$L$297:$L$333))-AK1929,0)</f>
        <v>445214.81575051288</v>
      </c>
      <c r="AM1929" s="198"/>
      <c r="AN1929" s="196">
        <f t="shared" ca="1" si="432"/>
        <v>2122988.0857649064</v>
      </c>
      <c r="AO1929" s="196">
        <f t="shared" ca="1" si="433"/>
        <v>2118860.8170608408</v>
      </c>
    </row>
    <row r="1930" spans="1:41">
      <c r="A1930" s="189">
        <v>3652</v>
      </c>
      <c r="B1930" s="190">
        <v>2</v>
      </c>
      <c r="C1930" s="191" t="s">
        <v>234</v>
      </c>
      <c r="D1930" s="192">
        <f t="shared" si="420"/>
        <v>38</v>
      </c>
      <c r="E1930" s="192">
        <f t="shared" si="421"/>
        <v>28</v>
      </c>
      <c r="F1930" s="192">
        <f t="shared" si="422"/>
        <v>0</v>
      </c>
      <c r="G1930" s="193">
        <f t="shared" si="423"/>
        <v>66</v>
      </c>
      <c r="H1930" s="194">
        <v>0</v>
      </c>
      <c r="I1930" s="194">
        <v>0</v>
      </c>
      <c r="J1930" s="194">
        <v>0</v>
      </c>
      <c r="K1930" s="193">
        <f t="shared" si="424"/>
        <v>0</v>
      </c>
      <c r="L1930" s="194">
        <v>38</v>
      </c>
      <c r="M1930" s="194">
        <v>22</v>
      </c>
      <c r="N1930" s="194">
        <v>0</v>
      </c>
      <c r="O1930" s="193">
        <f t="shared" si="425"/>
        <v>60</v>
      </c>
      <c r="P1930" s="194">
        <v>0</v>
      </c>
      <c r="Q1930" s="194">
        <v>6</v>
      </c>
      <c r="R1930" s="194">
        <v>0</v>
      </c>
      <c r="S1930" s="193">
        <f t="shared" si="426"/>
        <v>6</v>
      </c>
      <c r="T1930" s="193">
        <f t="shared" si="427"/>
        <v>2.2000000000000002</v>
      </c>
      <c r="U1930" s="193">
        <f ca="1">OFFSET('Expenditure Study'!$B$7,'Operations Support'!$C1930,'Operations Support'!$B1930)*$G1930</f>
        <v>312.18</v>
      </c>
      <c r="V1930" s="199">
        <f ca="1">U1930*'Expenditure Study'!$B$31</f>
        <v>18444.587382144</v>
      </c>
      <c r="W1930" s="199">
        <f ca="1">IF(A1930=10298,1.51,1)*IF($B1930&lt;3,$D1930*'Expenditure Study'!$B$32*OFFSET('Expenditure Study'!$B$7,'Operations Support'!$C1930,'Operations Support'!$B1930),0)</f>
        <v>17.974000000000004</v>
      </c>
      <c r="X1930" s="200">
        <f ca="1">W1930*'Expenditure Study'!$B$31</f>
        <v>1061.9610916992003</v>
      </c>
      <c r="Y1930" s="199">
        <f ca="1">U1930*'Expenditure Study'!$B$31</f>
        <v>18444.587382144</v>
      </c>
      <c r="Z1930" s="200">
        <f ca="1">W1930*'Expenditure Study'!$B$31</f>
        <v>1061.9610916992003</v>
      </c>
      <c r="AA1930" s="195">
        <f t="shared" ca="1" si="428"/>
        <v>19506.548473843199</v>
      </c>
      <c r="AB1930" s="195">
        <f t="shared" ca="1" si="429"/>
        <v>19506.548473843199</v>
      </c>
      <c r="AD1930" s="196">
        <f>IFERROR($G1930/SUMIF($A:$A,$A1930,$G:$G)*SUMIF(Summary!$A$166:$A$242,$A1930,Summary!$P$166:$P$242),0)</f>
        <v>2424.8872477975196</v>
      </c>
      <c r="AE1930" s="197">
        <f t="shared" ca="1" si="430"/>
        <v>17081.661226045679</v>
      </c>
      <c r="AF1930" s="196">
        <f>IFERROR(G1930/SUMIF(A:A,A1930,G:G)*SUMIF(Summary!$A$166:$A$242,'Operations Support'!A1930,Summary!$Q$166:$Q$242),0)</f>
        <v>2433.2079473099361</v>
      </c>
      <c r="AG1930" s="196">
        <f t="shared" ca="1" si="431"/>
        <v>17073.340526533262</v>
      </c>
      <c r="AI1930" s="196">
        <f>IFERROR($G1930/SUMIF($A:$A,$A1930,$G:$G)*SUMIF(Summary!$A$247:$A$283,$A1930,Summary!$P$247:$P$283),0)</f>
        <v>442.23892161152867</v>
      </c>
      <c r="AJ1930" s="196">
        <f>IFERROR($G1930/SUMIF($A:$A,$A1930,$G:$G)*(SUMIF(Summary!$A$247:$A$283,$A1930,Summary!$L$247:$L$283)+SUMIF(Summary!$A$297:$A$333,$A1930,Summary!$L$297:$L$333))-AI1930,0)</f>
        <v>1062.7778837728399</v>
      </c>
      <c r="AK1930" s="196">
        <f>IFERROR($G1930/SUMIF($A:$A,$A1930,$G:$G)*SUMIF(Summary!$A$247:$A$283,$A1930,Summary!$Q$247:$Q$283),0)</f>
        <v>443.75640956185168</v>
      </c>
      <c r="AL1930" s="196">
        <f>IFERROR($G1930/SUMIF($A:$A,$A1930,$G:$G)*(SUMIF(Summary!$A$247:$A$283,$A1930,Summary!$L$247:$L$283)+SUMIF(Summary!$A$297:$A$333,$A1930,Summary!$L$297:$L$333))-AK1930,0)</f>
        <v>1061.2603958225168</v>
      </c>
      <c r="AM1930" s="198"/>
      <c r="AN1930" s="196">
        <f t="shared" ca="1" si="432"/>
        <v>18144.439109818519</v>
      </c>
      <c r="AO1930" s="196">
        <f t="shared" ca="1" si="433"/>
        <v>18134.600922355778</v>
      </c>
    </row>
    <row r="1931" spans="1:41">
      <c r="A1931" s="189">
        <v>3652</v>
      </c>
      <c r="B1931" s="190">
        <v>2</v>
      </c>
      <c r="C1931" s="191" t="s">
        <v>235</v>
      </c>
      <c r="D1931" s="192">
        <f t="shared" si="420"/>
        <v>28587.09</v>
      </c>
      <c r="E1931" s="192">
        <f t="shared" si="421"/>
        <v>116897.91</v>
      </c>
      <c r="F1931" s="192">
        <f t="shared" si="422"/>
        <v>0</v>
      </c>
      <c r="G1931" s="193">
        <f t="shared" si="423"/>
        <v>145485</v>
      </c>
      <c r="H1931" s="194">
        <v>12409.26</v>
      </c>
      <c r="I1931" s="194">
        <v>53498.74</v>
      </c>
      <c r="J1931" s="194">
        <v>0</v>
      </c>
      <c r="K1931" s="193">
        <f t="shared" si="424"/>
        <v>65908</v>
      </c>
      <c r="L1931" s="194">
        <v>13838.83</v>
      </c>
      <c r="M1931" s="194">
        <v>50956.17</v>
      </c>
      <c r="N1931" s="194">
        <v>0</v>
      </c>
      <c r="O1931" s="193">
        <f t="shared" si="425"/>
        <v>64795</v>
      </c>
      <c r="P1931" s="194">
        <v>2339</v>
      </c>
      <c r="Q1931" s="194">
        <v>12443</v>
      </c>
      <c r="R1931" s="194">
        <v>0</v>
      </c>
      <c r="S1931" s="193">
        <f t="shared" si="426"/>
        <v>14782</v>
      </c>
      <c r="T1931" s="193">
        <f t="shared" si="427"/>
        <v>4849.5</v>
      </c>
      <c r="U1931" s="193">
        <f ca="1">OFFSET('Expenditure Study'!$B$7,'Operations Support'!$C1931,'Operations Support'!$B1931)*$G1931</f>
        <v>272056.95</v>
      </c>
      <c r="V1931" s="199">
        <f ca="1">U1931*'Expenditure Study'!$B$31</f>
        <v>16073989.964746561</v>
      </c>
      <c r="W1931" s="199">
        <f ca="1">IF(A1931=10298,1.51,1)*IF($B1931&lt;3,$D1931*'Expenditure Study'!$B$32*OFFSET('Expenditure Study'!$B$7,'Operations Support'!$C1931,'Operations Support'!$B1931),0)</f>
        <v>5345.7858300000007</v>
      </c>
      <c r="X1931" s="200">
        <f ca="1">W1931*'Expenditure Study'!$B$31</f>
        <v>315846.03071196814</v>
      </c>
      <c r="Y1931" s="199">
        <f ca="1">U1931*'Expenditure Study'!$B$31</f>
        <v>16073989.964746561</v>
      </c>
      <c r="Z1931" s="200">
        <f ca="1">W1931*'Expenditure Study'!$B$31</f>
        <v>315846.03071196814</v>
      </c>
      <c r="AA1931" s="195">
        <f t="shared" ca="1" si="428"/>
        <v>16389835.995458528</v>
      </c>
      <c r="AB1931" s="195">
        <f t="shared" ca="1" si="429"/>
        <v>16389835.995458528</v>
      </c>
      <c r="AD1931" s="196">
        <f>IFERROR($G1931/SUMIF($A:$A,$A1931,$G:$G)*SUMIF(Summary!$A$166:$A$242,$A1931,Summary!$P$166:$P$242),0)</f>
        <v>5345223.0491791237</v>
      </c>
      <c r="AE1931" s="197">
        <f t="shared" ca="1" si="430"/>
        <v>11044612.946279405</v>
      </c>
      <c r="AF1931" s="196">
        <f>IFERROR(G1931/SUMIF(A:A,A1931,G:G)*SUMIF(Summary!$A$166:$A$242,'Operations Support'!A1931,Summary!$Q$166:$Q$242),0)</f>
        <v>5363564.518399789</v>
      </c>
      <c r="AG1931" s="196">
        <f t="shared" ca="1" si="431"/>
        <v>11026271.477058738</v>
      </c>
      <c r="AI1931" s="196">
        <f>IFERROR($G1931/SUMIF($A:$A,$A1931,$G:$G)*SUMIF(Summary!$A$247:$A$283,$A1931,Summary!$P$247:$P$283),0)</f>
        <v>974835.29561595828</v>
      </c>
      <c r="AJ1931" s="196">
        <f>IFERROR($G1931/SUMIF($A:$A,$A1931,$G:$G)*(SUMIF(Summary!$A$247:$A$283,$A1931,Summary!$L$247:$L$283)+SUMIF(Summary!$A$297:$A$333,$A1931,Summary!$L$297:$L$333))-AI1931,0)</f>
        <v>2342700.6124347216</v>
      </c>
      <c r="AK1931" s="196">
        <f>IFERROR($G1931/SUMIF($A:$A,$A1931,$G:$G)*SUMIF(Summary!$A$247:$A$283,$A1931,Summary!$Q$247:$Q$283),0)</f>
        <v>978180.32189554535</v>
      </c>
      <c r="AL1931" s="196">
        <f>IFERROR($G1931/SUMIF($A:$A,$A1931,$G:$G)*(SUMIF(Summary!$A$247:$A$283,$A1931,Summary!$L$247:$L$283)+SUMIF(Summary!$A$297:$A$333,$A1931,Summary!$L$297:$L$333))-AK1931,0)</f>
        <v>2339355.5861551343</v>
      </c>
      <c r="AM1931" s="198"/>
      <c r="AN1931" s="196">
        <f t="shared" ca="1" si="432"/>
        <v>13387313.558714125</v>
      </c>
      <c r="AO1931" s="196">
        <f t="shared" ca="1" si="433"/>
        <v>13365627.063213874</v>
      </c>
    </row>
    <row r="1932" spans="1:41">
      <c r="A1932" s="189">
        <v>3652</v>
      </c>
      <c r="B1932" s="190">
        <v>2</v>
      </c>
      <c r="C1932" s="191" t="s">
        <v>236</v>
      </c>
      <c r="D1932" s="192">
        <f t="shared" si="420"/>
        <v>0</v>
      </c>
      <c r="E1932" s="192">
        <f t="shared" si="421"/>
        <v>0</v>
      </c>
      <c r="F1932" s="192">
        <f t="shared" si="422"/>
        <v>0</v>
      </c>
      <c r="G1932" s="193">
        <f t="shared" si="423"/>
        <v>0</v>
      </c>
      <c r="H1932" s="194">
        <v>0</v>
      </c>
      <c r="I1932" s="194">
        <v>0</v>
      </c>
      <c r="J1932" s="194">
        <v>0</v>
      </c>
      <c r="K1932" s="193">
        <f t="shared" si="424"/>
        <v>0</v>
      </c>
      <c r="L1932" s="194">
        <v>0</v>
      </c>
      <c r="M1932" s="194">
        <v>0</v>
      </c>
      <c r="N1932" s="194">
        <v>0</v>
      </c>
      <c r="O1932" s="193">
        <f t="shared" si="425"/>
        <v>0</v>
      </c>
      <c r="P1932" s="194">
        <v>0</v>
      </c>
      <c r="Q1932" s="194">
        <v>0</v>
      </c>
      <c r="R1932" s="194">
        <v>0</v>
      </c>
      <c r="S1932" s="193">
        <f t="shared" si="426"/>
        <v>0</v>
      </c>
      <c r="T1932" s="193">
        <f t="shared" si="427"/>
        <v>0</v>
      </c>
      <c r="U1932" s="193">
        <f ca="1">OFFSET('Expenditure Study'!$B$7,'Operations Support'!$C1932,'Operations Support'!$B1932)*$G1932</f>
        <v>0</v>
      </c>
      <c r="V1932" s="199">
        <f ca="1">U1932*'Expenditure Study'!$B$31</f>
        <v>0</v>
      </c>
      <c r="W1932" s="199">
        <f ca="1">IF(A1932=10298,1.51,1)*IF($B1932&lt;3,$D1932*'Expenditure Study'!$B$32*OFFSET('Expenditure Study'!$B$7,'Operations Support'!$C1932,'Operations Support'!$B1932),0)</f>
        <v>0</v>
      </c>
      <c r="X1932" s="200">
        <f ca="1">W1932*'Expenditure Study'!$B$31</f>
        <v>0</v>
      </c>
      <c r="Y1932" s="199">
        <f ca="1">U1932*'Expenditure Study'!$B$31</f>
        <v>0</v>
      </c>
      <c r="Z1932" s="200">
        <f ca="1">W1932*'Expenditure Study'!$B$31</f>
        <v>0</v>
      </c>
      <c r="AA1932" s="195">
        <f t="shared" ca="1" si="428"/>
        <v>0</v>
      </c>
      <c r="AB1932" s="195">
        <f t="shared" ca="1" si="429"/>
        <v>0</v>
      </c>
      <c r="AD1932" s="196">
        <f>IFERROR($G1932/SUMIF($A:$A,$A1932,$G:$G)*SUMIF(Summary!$A$166:$A$242,$A1932,Summary!$P$166:$P$242),0)</f>
        <v>0</v>
      </c>
      <c r="AE1932" s="197">
        <f t="shared" ca="1" si="430"/>
        <v>0</v>
      </c>
      <c r="AF1932" s="196">
        <f>IFERROR(G1932/SUMIF(A:A,A1932,G:G)*SUMIF(Summary!$A$166:$A$242,'Operations Support'!A1932,Summary!$Q$166:$Q$242),0)</f>
        <v>0</v>
      </c>
      <c r="AG1932" s="196">
        <f t="shared" ca="1" si="431"/>
        <v>0</v>
      </c>
      <c r="AI1932" s="196">
        <f>IFERROR($G1932/SUMIF($A:$A,$A1932,$G:$G)*SUMIF(Summary!$A$247:$A$283,$A1932,Summary!$P$247:$P$283),0)</f>
        <v>0</v>
      </c>
      <c r="AJ1932" s="196">
        <f>IFERROR($G1932/SUMIF($A:$A,$A1932,$G:$G)*(SUMIF(Summary!$A$247:$A$283,$A1932,Summary!$L$247:$L$283)+SUMIF(Summary!$A$297:$A$333,$A1932,Summary!$L$297:$L$333))-AI1932,0)</f>
        <v>0</v>
      </c>
      <c r="AK1932" s="196">
        <f>IFERROR($G1932/SUMIF($A:$A,$A1932,$G:$G)*SUMIF(Summary!$A$247:$A$283,$A1932,Summary!$Q$247:$Q$283),0)</f>
        <v>0</v>
      </c>
      <c r="AL1932" s="196">
        <f>IFERROR($G1932/SUMIF($A:$A,$A1932,$G:$G)*(SUMIF(Summary!$A$247:$A$283,$A1932,Summary!$L$247:$L$283)+SUMIF(Summary!$A$297:$A$333,$A1932,Summary!$L$297:$L$333))-AK1932,0)</f>
        <v>0</v>
      </c>
      <c r="AM1932" s="198"/>
      <c r="AN1932" s="196">
        <f t="shared" ca="1" si="432"/>
        <v>0</v>
      </c>
      <c r="AO1932" s="196">
        <f t="shared" ca="1" si="433"/>
        <v>0</v>
      </c>
    </row>
    <row r="1933" spans="1:41">
      <c r="A1933" s="189">
        <v>3652</v>
      </c>
      <c r="B1933" s="190">
        <v>2</v>
      </c>
      <c r="C1933" s="191" t="s">
        <v>237</v>
      </c>
      <c r="D1933" s="192">
        <f t="shared" si="420"/>
        <v>0</v>
      </c>
      <c r="E1933" s="192">
        <f t="shared" si="421"/>
        <v>3381</v>
      </c>
      <c r="F1933" s="192">
        <f t="shared" si="422"/>
        <v>0</v>
      </c>
      <c r="G1933" s="193">
        <f t="shared" si="423"/>
        <v>3381</v>
      </c>
      <c r="H1933" s="194">
        <v>0</v>
      </c>
      <c r="I1933" s="194">
        <v>1756</v>
      </c>
      <c r="J1933" s="194">
        <v>0</v>
      </c>
      <c r="K1933" s="193">
        <f t="shared" si="424"/>
        <v>1756</v>
      </c>
      <c r="L1933" s="194">
        <v>0</v>
      </c>
      <c r="M1933" s="194">
        <v>1625</v>
      </c>
      <c r="N1933" s="194">
        <v>0</v>
      </c>
      <c r="O1933" s="193">
        <f t="shared" si="425"/>
        <v>1625</v>
      </c>
      <c r="P1933" s="194">
        <v>0</v>
      </c>
      <c r="Q1933" s="194">
        <v>0</v>
      </c>
      <c r="R1933" s="194">
        <v>0</v>
      </c>
      <c r="S1933" s="193">
        <f t="shared" si="426"/>
        <v>0</v>
      </c>
      <c r="T1933" s="193">
        <f t="shared" si="427"/>
        <v>112.7</v>
      </c>
      <c r="U1933" s="193">
        <f ca="1">OFFSET('Expenditure Study'!$B$7,'Operations Support'!$C1933,'Operations Support'!$B1933)*$G1933</f>
        <v>7911.54</v>
      </c>
      <c r="V1933" s="199">
        <f ca="1">U1933*'Expenditure Study'!$B$31</f>
        <v>467438.94822643202</v>
      </c>
      <c r="W1933" s="199">
        <f ca="1">IF(A1933=10298,1.51,1)*IF($B1933&lt;3,$D1933*'Expenditure Study'!$B$32*OFFSET('Expenditure Study'!$B$7,'Operations Support'!$C1933,'Operations Support'!$B1933),0)</f>
        <v>0</v>
      </c>
      <c r="X1933" s="200">
        <f ca="1">W1933*'Expenditure Study'!$B$31</f>
        <v>0</v>
      </c>
      <c r="Y1933" s="199">
        <f ca="1">U1933*'Expenditure Study'!$B$31</f>
        <v>467438.94822643202</v>
      </c>
      <c r="Z1933" s="200">
        <f ca="1">W1933*'Expenditure Study'!$B$31</f>
        <v>0</v>
      </c>
      <c r="AA1933" s="195">
        <f t="shared" ca="1" si="428"/>
        <v>467438.94822643202</v>
      </c>
      <c r="AB1933" s="195">
        <f t="shared" ca="1" si="429"/>
        <v>467438.94822643202</v>
      </c>
      <c r="AD1933" s="196">
        <f>IFERROR($G1933/SUMIF($A:$A,$A1933,$G:$G)*SUMIF(Summary!$A$166:$A$242,$A1933,Summary!$P$166:$P$242),0)</f>
        <v>124220.36037580931</v>
      </c>
      <c r="AE1933" s="197">
        <f t="shared" ca="1" si="430"/>
        <v>343218.58785062272</v>
      </c>
      <c r="AF1933" s="196">
        <f>IFERROR(G1933/SUMIF(A:A,A1933,G:G)*SUMIF(Summary!$A$166:$A$242,'Operations Support'!A1933,Summary!$Q$166:$Q$242),0)</f>
        <v>124646.60711901354</v>
      </c>
      <c r="AG1933" s="196">
        <f t="shared" ca="1" si="431"/>
        <v>342792.34110741847</v>
      </c>
      <c r="AI1933" s="196">
        <f>IFERROR($G1933/SUMIF($A:$A,$A1933,$G:$G)*SUMIF(Summary!$A$247:$A$283,$A1933,Summary!$P$247:$P$283),0)</f>
        <v>22654.693848008763</v>
      </c>
      <c r="AJ1933" s="196">
        <f>IFERROR($G1933/SUMIF($A:$A,$A1933,$G:$G)*(SUMIF(Summary!$A$247:$A$283,$A1933,Summary!$L$247:$L$283)+SUMIF(Summary!$A$297:$A$333,$A1933,Summary!$L$297:$L$333))-AI1933,0)</f>
        <v>54443.212500545029</v>
      </c>
      <c r="AK1933" s="196">
        <f>IFERROR($G1933/SUMIF($A:$A,$A1933,$G:$G)*SUMIF(Summary!$A$247:$A$283,$A1933,Summary!$Q$247:$Q$283),0)</f>
        <v>22732.430617100308</v>
      </c>
      <c r="AL1933" s="196">
        <f>IFERROR($G1933/SUMIF($A:$A,$A1933,$G:$G)*(SUMIF(Summary!$A$247:$A$283,$A1933,Summary!$L$247:$L$283)+SUMIF(Summary!$A$297:$A$333,$A1933,Summary!$L$297:$L$333))-AK1933,0)</f>
        <v>54365.47573145348</v>
      </c>
      <c r="AM1933" s="198"/>
      <c r="AN1933" s="196">
        <f t="shared" ca="1" si="432"/>
        <v>397661.80035116774</v>
      </c>
      <c r="AO1933" s="196">
        <f t="shared" ca="1" si="433"/>
        <v>397157.81683887192</v>
      </c>
    </row>
    <row r="1934" spans="1:41">
      <c r="A1934" s="189">
        <v>3652</v>
      </c>
      <c r="B1934" s="190">
        <v>2</v>
      </c>
      <c r="C1934" s="191" t="s">
        <v>238</v>
      </c>
      <c r="D1934" s="192">
        <f t="shared" si="420"/>
        <v>7977.5</v>
      </c>
      <c r="E1934" s="192">
        <f t="shared" si="421"/>
        <v>14776.5</v>
      </c>
      <c r="F1934" s="192">
        <f t="shared" si="422"/>
        <v>0</v>
      </c>
      <c r="G1934" s="193">
        <f t="shared" si="423"/>
        <v>22754</v>
      </c>
      <c r="H1934" s="194">
        <v>3549.5</v>
      </c>
      <c r="I1934" s="194">
        <v>6684.5</v>
      </c>
      <c r="J1934" s="194">
        <v>0</v>
      </c>
      <c r="K1934" s="193">
        <f t="shared" si="424"/>
        <v>10234</v>
      </c>
      <c r="L1934" s="194">
        <v>3932</v>
      </c>
      <c r="M1934" s="194">
        <v>6840</v>
      </c>
      <c r="N1934" s="194">
        <v>0</v>
      </c>
      <c r="O1934" s="193">
        <f t="shared" si="425"/>
        <v>10772</v>
      </c>
      <c r="P1934" s="194">
        <v>496</v>
      </c>
      <c r="Q1934" s="194">
        <v>1252</v>
      </c>
      <c r="R1934" s="194">
        <v>0</v>
      </c>
      <c r="S1934" s="193">
        <f t="shared" si="426"/>
        <v>1748</v>
      </c>
      <c r="T1934" s="193">
        <f t="shared" si="427"/>
        <v>758.4666666666667</v>
      </c>
      <c r="U1934" s="193">
        <f ca="1">OFFSET('Expenditure Study'!$B$7,'Operations Support'!$C1934,'Operations Support'!$B1934)*$G1934</f>
        <v>54609.599999999999</v>
      </c>
      <c r="V1934" s="199">
        <f ca="1">U1934*'Expenditure Study'!$B$31</f>
        <v>3226508.87021568</v>
      </c>
      <c r="W1934" s="199">
        <f ca="1">IF(A1934=10298,1.51,1)*IF($B1934&lt;3,$D1934*'Expenditure Study'!$B$32*OFFSET('Expenditure Study'!$B$7,'Operations Support'!$C1934,'Operations Support'!$B1934),0)</f>
        <v>1914.6</v>
      </c>
      <c r="X1934" s="200">
        <f ca="1">W1934*'Expenditure Study'!$B$31</f>
        <v>113120.65795968</v>
      </c>
      <c r="Y1934" s="199">
        <f ca="1">U1934*'Expenditure Study'!$B$31</f>
        <v>3226508.87021568</v>
      </c>
      <c r="Z1934" s="200">
        <f ca="1">W1934*'Expenditure Study'!$B$31</f>
        <v>113120.65795968</v>
      </c>
      <c r="AA1934" s="195">
        <f t="shared" ca="1" si="428"/>
        <v>3339629.5281753601</v>
      </c>
      <c r="AB1934" s="195">
        <f t="shared" ca="1" si="429"/>
        <v>3339629.5281753601</v>
      </c>
      <c r="AD1934" s="196">
        <f>IFERROR($G1934/SUMIF($A:$A,$A1934,$G:$G)*SUMIF(Summary!$A$166:$A$242,$A1934,Summary!$P$166:$P$242),0)</f>
        <v>835998.24903613282</v>
      </c>
      <c r="AE1934" s="197">
        <f t="shared" ca="1" si="430"/>
        <v>2503631.2791392272</v>
      </c>
      <c r="AF1934" s="196">
        <f>IFERROR(G1934/SUMIF(A:A,A1934,G:G)*SUMIF(Summary!$A$166:$A$242,'Operations Support'!A1934,Summary!$Q$166:$Q$242),0)</f>
        <v>838866.87322864064</v>
      </c>
      <c r="AG1934" s="196">
        <f t="shared" ca="1" si="431"/>
        <v>2500762.6549467193</v>
      </c>
      <c r="AI1934" s="196">
        <f>IFERROR($G1934/SUMIF($A:$A,$A1934,$G:$G)*SUMIF(Summary!$A$247:$A$283,$A1934,Summary!$P$247:$P$283),0)</f>
        <v>152465.21852043518</v>
      </c>
      <c r="AJ1934" s="196">
        <f>IFERROR($G1934/SUMIF($A:$A,$A1934,$G:$G)*(SUMIF(Summary!$A$247:$A$283,$A1934,Summary!$L$247:$L$283)+SUMIF(Summary!$A$297:$A$333,$A1934,Summary!$L$297:$L$333))-AI1934,0)</f>
        <v>366400.72677829093</v>
      </c>
      <c r="AK1934" s="196">
        <f>IFERROR($G1934/SUMIF($A:$A,$A1934,$G:$G)*SUMIF(Summary!$A$247:$A$283,$A1934,Summary!$Q$247:$Q$283),0)</f>
        <v>152988.38398742987</v>
      </c>
      <c r="AL1934" s="196">
        <f>IFERROR($G1934/SUMIF($A:$A,$A1934,$G:$G)*(SUMIF(Summary!$A$247:$A$283,$A1934,Summary!$L$247:$L$283)+SUMIF(Summary!$A$297:$A$333,$A1934,Summary!$L$297:$L$333))-AK1934,0)</f>
        <v>365877.56131129619</v>
      </c>
      <c r="AM1934" s="198"/>
      <c r="AN1934" s="196">
        <f t="shared" ca="1" si="432"/>
        <v>2870032.0059175184</v>
      </c>
      <c r="AO1934" s="196">
        <f t="shared" ca="1" si="433"/>
        <v>2866640.2162580155</v>
      </c>
    </row>
    <row r="1935" spans="1:41" s="201" customFormat="1">
      <c r="A1935" s="189">
        <v>3652</v>
      </c>
      <c r="B1935" s="190">
        <v>2</v>
      </c>
      <c r="C1935" s="191" t="s">
        <v>239</v>
      </c>
      <c r="D1935" s="192">
        <f t="shared" si="420"/>
        <v>301.72000000000003</v>
      </c>
      <c r="E1935" s="192">
        <f t="shared" si="421"/>
        <v>4427.2800000000097</v>
      </c>
      <c r="F1935" s="192">
        <f t="shared" si="422"/>
        <v>0</v>
      </c>
      <c r="G1935" s="193">
        <f t="shared" si="423"/>
        <v>4729.00000000001</v>
      </c>
      <c r="H1935" s="194">
        <v>184.22</v>
      </c>
      <c r="I1935" s="194">
        <v>2158.7800000000102</v>
      </c>
      <c r="J1935" s="194">
        <v>0</v>
      </c>
      <c r="K1935" s="193">
        <f t="shared" si="424"/>
        <v>2343.00000000001</v>
      </c>
      <c r="L1935" s="194">
        <v>117.5</v>
      </c>
      <c r="M1935" s="194">
        <v>970.5</v>
      </c>
      <c r="N1935" s="194">
        <v>0</v>
      </c>
      <c r="O1935" s="193">
        <f t="shared" si="425"/>
        <v>1088</v>
      </c>
      <c r="P1935" s="194">
        <v>0</v>
      </c>
      <c r="Q1935" s="194">
        <v>1298</v>
      </c>
      <c r="R1935" s="194">
        <v>0</v>
      </c>
      <c r="S1935" s="193">
        <f t="shared" si="426"/>
        <v>1298</v>
      </c>
      <c r="T1935" s="193">
        <f t="shared" si="427"/>
        <v>157.63333333333367</v>
      </c>
      <c r="U1935" s="193">
        <f ca="1">OFFSET('Expenditure Study'!$B$7,'Operations Support'!$C1935,'Operations Support'!$B1935)*$G1935</f>
        <v>9836.3200000000215</v>
      </c>
      <c r="V1935" s="199">
        <f ca="1">U1935*'Expenditure Study'!$B$31</f>
        <v>581161.07296665723</v>
      </c>
      <c r="W1935" s="199">
        <f ca="1">IF(A1935=10298,1.51,1)*IF($B1935&lt;3,$D1935*'Expenditure Study'!$B$32*OFFSET('Expenditure Study'!$B$7,'Operations Support'!$C1935,'Operations Support'!$B1935),0)</f>
        <v>62.757760000000012</v>
      </c>
      <c r="X1935" s="200">
        <f ca="1">W1935*'Expenditure Study'!$B$31</f>
        <v>3707.9280806830088</v>
      </c>
      <c r="Y1935" s="199">
        <f ca="1">U1935*'Expenditure Study'!$B$31</f>
        <v>581161.07296665723</v>
      </c>
      <c r="Z1935" s="200">
        <f ca="1">W1935*'Expenditure Study'!$B$31</f>
        <v>3707.9280806830088</v>
      </c>
      <c r="AA1935" s="195">
        <f t="shared" ca="1" si="428"/>
        <v>584869.00104734022</v>
      </c>
      <c r="AB1935" s="195">
        <f t="shared" ca="1" si="429"/>
        <v>584869.00104734022</v>
      </c>
      <c r="AD1935" s="196">
        <f>IFERROR($G1935/SUMIF($A:$A,$A1935,$G:$G)*SUMIF(Summary!$A$166:$A$242,$A1935,Summary!$P$166:$P$242),0)</f>
        <v>173746.84537628022</v>
      </c>
      <c r="AE1935" s="197">
        <f t="shared" ca="1" si="430"/>
        <v>411122.15567105997</v>
      </c>
      <c r="AF1935" s="196">
        <f>IFERROR(G1935/SUMIF(A:A,A1935,G:G)*SUMIF(Summary!$A$166:$A$242,'Operations Support'!A1935,Summary!$Q$166:$Q$242),0)</f>
        <v>174343.03610346533</v>
      </c>
      <c r="AG1935" s="196">
        <f t="shared" ca="1" si="431"/>
        <v>410525.96494387486</v>
      </c>
      <c r="AH1935" s="180"/>
      <c r="AI1935" s="196">
        <f>IFERROR($G1935/SUMIF($A:$A,$A1935,$G:$G)*SUMIF(Summary!$A$247:$A$283,$A1935,Summary!$P$247:$P$283),0)</f>
        <v>31687.088792438233</v>
      </c>
      <c r="AJ1935" s="196">
        <f>IFERROR($G1935/SUMIF($A:$A,$A1935,$G:$G)*(SUMIF(Summary!$A$247:$A$283,$A1935,Summary!$L$247:$L$283)+SUMIF(Summary!$A$297:$A$333,$A1935,Summary!$L$297:$L$333))-AI1935,0)</f>
        <v>76149.645641845011</v>
      </c>
      <c r="AK1935" s="196">
        <f>IFERROR($G1935/SUMIF($A:$A,$A1935,$G:$G)*SUMIF(Summary!$A$247:$A$283,$A1935,Summary!$Q$247:$Q$283),0)</f>
        <v>31795.819103303045</v>
      </c>
      <c r="AL1935" s="196">
        <f>IFERROR($G1935/SUMIF($A:$A,$A1935,$G:$G)*(SUMIF(Summary!$A$247:$A$283,$A1935,Summary!$L$247:$L$283)+SUMIF(Summary!$A$297:$A$333,$A1935,Summary!$L$297:$L$333))-AK1935,0)</f>
        <v>76040.915330980191</v>
      </c>
      <c r="AM1935" s="198"/>
      <c r="AN1935" s="196">
        <f t="shared" ca="1" si="432"/>
        <v>487271.80131290498</v>
      </c>
      <c r="AO1935" s="196">
        <f t="shared" ca="1" si="433"/>
        <v>486566.88027485507</v>
      </c>
    </row>
    <row r="1936" spans="1:41">
      <c r="A1936" s="189">
        <v>3652</v>
      </c>
      <c r="B1936" s="190">
        <v>2</v>
      </c>
      <c r="C1936" s="191" t="s">
        <v>240</v>
      </c>
      <c r="D1936" s="192">
        <f t="shared" si="420"/>
        <v>0</v>
      </c>
      <c r="E1936" s="192">
        <f t="shared" si="421"/>
        <v>0</v>
      </c>
      <c r="F1936" s="192">
        <f t="shared" si="422"/>
        <v>0</v>
      </c>
      <c r="G1936" s="193">
        <f t="shared" si="423"/>
        <v>0</v>
      </c>
      <c r="H1936" s="194">
        <v>0</v>
      </c>
      <c r="I1936" s="194">
        <v>0</v>
      </c>
      <c r="J1936" s="194">
        <v>0</v>
      </c>
      <c r="K1936" s="193">
        <f t="shared" si="424"/>
        <v>0</v>
      </c>
      <c r="L1936" s="194">
        <v>0</v>
      </c>
      <c r="M1936" s="194">
        <v>0</v>
      </c>
      <c r="N1936" s="194">
        <v>0</v>
      </c>
      <c r="O1936" s="193">
        <f t="shared" si="425"/>
        <v>0</v>
      </c>
      <c r="P1936" s="194">
        <v>0</v>
      </c>
      <c r="Q1936" s="194">
        <v>0</v>
      </c>
      <c r="R1936" s="194">
        <v>0</v>
      </c>
      <c r="S1936" s="193">
        <f t="shared" si="426"/>
        <v>0</v>
      </c>
      <c r="T1936" s="193">
        <f t="shared" si="427"/>
        <v>0</v>
      </c>
      <c r="U1936" s="193">
        <f ca="1">OFFSET('Expenditure Study'!$B$7,'Operations Support'!$C1936,'Operations Support'!$B1936)*$G1936</f>
        <v>0</v>
      </c>
      <c r="V1936" s="199">
        <f ca="1">U1936*'Expenditure Study'!$B$31</f>
        <v>0</v>
      </c>
      <c r="W1936" s="199">
        <f ca="1">IF(A1936=10298,1.51,1)*IF($B1936&lt;3,$D1936*'Expenditure Study'!$B$32*OFFSET('Expenditure Study'!$B$7,'Operations Support'!$C1936,'Operations Support'!$B1936),0)</f>
        <v>0</v>
      </c>
      <c r="X1936" s="200">
        <f ca="1">W1936*'Expenditure Study'!$B$31</f>
        <v>0</v>
      </c>
      <c r="Y1936" s="199">
        <f ca="1">U1936*'Expenditure Study'!$B$31</f>
        <v>0</v>
      </c>
      <c r="Z1936" s="200">
        <f ca="1">W1936*'Expenditure Study'!$B$31</f>
        <v>0</v>
      </c>
      <c r="AA1936" s="195">
        <f t="shared" ca="1" si="428"/>
        <v>0</v>
      </c>
      <c r="AB1936" s="195">
        <f t="shared" ca="1" si="429"/>
        <v>0</v>
      </c>
      <c r="AD1936" s="196">
        <f>IFERROR($G1936/SUMIF($A:$A,$A1936,$G:$G)*SUMIF(Summary!$A$166:$A$242,$A1936,Summary!$P$166:$P$242),0)</f>
        <v>0</v>
      </c>
      <c r="AE1936" s="197">
        <f t="shared" ca="1" si="430"/>
        <v>0</v>
      </c>
      <c r="AF1936" s="196">
        <f>IFERROR(G1936/SUMIF(A:A,A1936,G:G)*SUMIF(Summary!$A$166:$A$242,'Operations Support'!A1936,Summary!$Q$166:$Q$242),0)</f>
        <v>0</v>
      </c>
      <c r="AG1936" s="196">
        <f t="shared" ca="1" si="431"/>
        <v>0</v>
      </c>
      <c r="AI1936" s="196">
        <f>IFERROR($G1936/SUMIF($A:$A,$A1936,$G:$G)*SUMIF(Summary!$A$247:$A$283,$A1936,Summary!$P$247:$P$283),0)</f>
        <v>0</v>
      </c>
      <c r="AJ1936" s="196">
        <f>IFERROR($G1936/SUMIF($A:$A,$A1936,$G:$G)*(SUMIF(Summary!$A$247:$A$283,$A1936,Summary!$L$247:$L$283)+SUMIF(Summary!$A$297:$A$333,$A1936,Summary!$L$297:$L$333))-AI1936,0)</f>
        <v>0</v>
      </c>
      <c r="AK1936" s="196">
        <f>IFERROR($G1936/SUMIF($A:$A,$A1936,$G:$G)*SUMIF(Summary!$A$247:$A$283,$A1936,Summary!$Q$247:$Q$283),0)</f>
        <v>0</v>
      </c>
      <c r="AL1936" s="196">
        <f>IFERROR($G1936/SUMIF($A:$A,$A1936,$G:$G)*(SUMIF(Summary!$A$247:$A$283,$A1936,Summary!$L$247:$L$283)+SUMIF(Summary!$A$297:$A$333,$A1936,Summary!$L$297:$L$333))-AK1936,0)</f>
        <v>0</v>
      </c>
      <c r="AM1936" s="198"/>
      <c r="AN1936" s="196">
        <f t="shared" ca="1" si="432"/>
        <v>0</v>
      </c>
      <c r="AO1936" s="196">
        <f t="shared" ca="1" si="433"/>
        <v>0</v>
      </c>
    </row>
    <row r="1937" spans="1:41">
      <c r="A1937" s="189">
        <v>3652</v>
      </c>
      <c r="B1937" s="190">
        <v>3</v>
      </c>
      <c r="C1937" s="191" t="s">
        <v>220</v>
      </c>
      <c r="D1937" s="192">
        <f t="shared" si="420"/>
        <v>6411.65</v>
      </c>
      <c r="E1937" s="192">
        <f t="shared" si="421"/>
        <v>3166.35</v>
      </c>
      <c r="F1937" s="192">
        <f t="shared" si="422"/>
        <v>0</v>
      </c>
      <c r="G1937" s="193">
        <f t="shared" si="423"/>
        <v>9578</v>
      </c>
      <c r="H1937" s="194">
        <v>2833.5</v>
      </c>
      <c r="I1937" s="194">
        <v>1159.5</v>
      </c>
      <c r="J1937" s="194">
        <v>0</v>
      </c>
      <c r="K1937" s="193">
        <f t="shared" si="424"/>
        <v>3993</v>
      </c>
      <c r="L1937" s="194">
        <v>3257.15</v>
      </c>
      <c r="M1937" s="194">
        <v>1229.8499999999999</v>
      </c>
      <c r="N1937" s="194">
        <v>0</v>
      </c>
      <c r="O1937" s="193">
        <f t="shared" si="425"/>
        <v>4487</v>
      </c>
      <c r="P1937" s="194">
        <v>321</v>
      </c>
      <c r="Q1937" s="194">
        <v>777</v>
      </c>
      <c r="R1937" s="194">
        <v>0</v>
      </c>
      <c r="S1937" s="193">
        <f t="shared" si="426"/>
        <v>1098</v>
      </c>
      <c r="T1937" s="193">
        <f t="shared" si="427"/>
        <v>399.08333333333331</v>
      </c>
      <c r="U1937" s="193">
        <f ca="1">OFFSET('Expenditure Study'!$B$7,'Operations Support'!$C1937,'Operations Support'!$B1937)*$G1937</f>
        <v>42717.88</v>
      </c>
      <c r="V1937" s="199">
        <f ca="1">U1937*'Expenditure Study'!$B$31</f>
        <v>2523908.2274327041</v>
      </c>
      <c r="W1937" s="199">
        <f ca="1">IF(A1937=10298,1.51,1)*IF($B1937&lt;3,$D1937*'Expenditure Study'!$B$32*OFFSET('Expenditure Study'!$B$7,'Operations Support'!$C1937,'Operations Support'!$B1937),0)</f>
        <v>0</v>
      </c>
      <c r="X1937" s="200">
        <f ca="1">W1937*'Expenditure Study'!$B$31</f>
        <v>0</v>
      </c>
      <c r="Y1937" s="199">
        <f ca="1">U1937*'Expenditure Study'!$B$31</f>
        <v>2523908.2274327041</v>
      </c>
      <c r="Z1937" s="200">
        <f ca="1">W1937*'Expenditure Study'!$B$31</f>
        <v>0</v>
      </c>
      <c r="AA1937" s="195">
        <f t="shared" ca="1" si="428"/>
        <v>2523908.2274327041</v>
      </c>
      <c r="AB1937" s="195">
        <f t="shared" ca="1" si="429"/>
        <v>2523908.2274327041</v>
      </c>
      <c r="AD1937" s="196">
        <f>IFERROR($G1937/SUMIF($A:$A,$A1937,$G:$G)*SUMIF(Summary!$A$166:$A$242,$A1937,Summary!$P$166:$P$242),0)</f>
        <v>351902.5766576461</v>
      </c>
      <c r="AE1937" s="197">
        <f t="shared" ca="1" si="430"/>
        <v>2172005.6507750582</v>
      </c>
      <c r="AF1937" s="196">
        <f>IFERROR(G1937/SUMIF(A:A,A1937,G:G)*SUMIF(Summary!$A$166:$A$242,'Operations Support'!A1937,Summary!$Q$166:$Q$242),0)</f>
        <v>353110.08665658435</v>
      </c>
      <c r="AG1937" s="196">
        <f t="shared" ca="1" si="431"/>
        <v>2170798.1407761197</v>
      </c>
      <c r="AI1937" s="196">
        <f>IFERROR($G1937/SUMIF($A:$A,$A1937,$G:$G)*SUMIF(Summary!$A$247:$A$283,$A1937,Summary!$P$247:$P$283),0)</f>
        <v>64178.248351442751</v>
      </c>
      <c r="AJ1937" s="196">
        <f>IFERROR($G1937/SUMIF($A:$A,$A1937,$G:$G)*(SUMIF(Summary!$A$247:$A$283,$A1937,Summary!$L$247:$L$283)+SUMIF(Summary!$A$297:$A$333,$A1937,Summary!$L$297:$L$333))-AI1937,0)</f>
        <v>154231.61470873121</v>
      </c>
      <c r="AK1937" s="196">
        <f>IFERROR($G1937/SUMIF($A:$A,$A1937,$G:$G)*SUMIF(Summary!$A$247:$A$283,$A1937,Summary!$Q$247:$Q$283),0)</f>
        <v>64398.468042172957</v>
      </c>
      <c r="AL1937" s="196">
        <f>IFERROR($G1937/SUMIF($A:$A,$A1937,$G:$G)*(SUMIF(Summary!$A$247:$A$283,$A1937,Summary!$L$247:$L$283)+SUMIF(Summary!$A$297:$A$333,$A1937,Summary!$L$297:$L$333))-AK1937,0)</f>
        <v>154011.395018001</v>
      </c>
      <c r="AM1937" s="198"/>
      <c r="AN1937" s="196">
        <f t="shared" ca="1" si="432"/>
        <v>2326237.2654837896</v>
      </c>
      <c r="AO1937" s="196">
        <f t="shared" ca="1" si="433"/>
        <v>2324809.5357941207</v>
      </c>
    </row>
    <row r="1938" spans="1:41">
      <c r="A1938" s="189">
        <v>3652</v>
      </c>
      <c r="B1938" s="190">
        <v>3</v>
      </c>
      <c r="C1938" s="191" t="s">
        <v>221</v>
      </c>
      <c r="D1938" s="192">
        <f t="shared" si="420"/>
        <v>5398</v>
      </c>
      <c r="E1938" s="192">
        <f t="shared" si="421"/>
        <v>1934.000000000002</v>
      </c>
      <c r="F1938" s="192">
        <f t="shared" si="422"/>
        <v>0</v>
      </c>
      <c r="G1938" s="193">
        <f t="shared" si="423"/>
        <v>7332.0000000000018</v>
      </c>
      <c r="H1938" s="194">
        <v>2003</v>
      </c>
      <c r="I1938" s="194">
        <v>615</v>
      </c>
      <c r="J1938" s="194">
        <v>0</v>
      </c>
      <c r="K1938" s="193">
        <f t="shared" si="424"/>
        <v>2618</v>
      </c>
      <c r="L1938" s="194">
        <v>2507</v>
      </c>
      <c r="M1938" s="194">
        <v>892.00000000000205</v>
      </c>
      <c r="N1938" s="194">
        <v>0</v>
      </c>
      <c r="O1938" s="193">
        <f t="shared" si="425"/>
        <v>3399.0000000000018</v>
      </c>
      <c r="P1938" s="194">
        <v>888</v>
      </c>
      <c r="Q1938" s="194">
        <v>427</v>
      </c>
      <c r="R1938" s="194">
        <v>0</v>
      </c>
      <c r="S1938" s="193">
        <f t="shared" si="426"/>
        <v>1315</v>
      </c>
      <c r="T1938" s="193">
        <f t="shared" si="427"/>
        <v>305.50000000000006</v>
      </c>
      <c r="U1938" s="193">
        <f ca="1">OFFSET('Expenditure Study'!$B$7,'Operations Support'!$C1938,'Operations Support'!$B1938)*$G1938</f>
        <v>51324.000000000015</v>
      </c>
      <c r="V1938" s="199">
        <f ca="1">U1938*'Expenditure Study'!$B$31</f>
        <v>3032385.1713792011</v>
      </c>
      <c r="W1938" s="199">
        <f ca="1">IF(A1938=10298,1.51,1)*IF($B1938&lt;3,$D1938*'Expenditure Study'!$B$32*OFFSET('Expenditure Study'!$B$7,'Operations Support'!$C1938,'Operations Support'!$B1938),0)</f>
        <v>0</v>
      </c>
      <c r="X1938" s="200">
        <f ca="1">W1938*'Expenditure Study'!$B$31</f>
        <v>0</v>
      </c>
      <c r="Y1938" s="199">
        <f ca="1">U1938*'Expenditure Study'!$B$31</f>
        <v>3032385.1713792011</v>
      </c>
      <c r="Z1938" s="200">
        <f ca="1">W1938*'Expenditure Study'!$B$31</f>
        <v>0</v>
      </c>
      <c r="AA1938" s="195">
        <f t="shared" ca="1" si="428"/>
        <v>3032385.1713792011</v>
      </c>
      <c r="AB1938" s="195">
        <f t="shared" ca="1" si="429"/>
        <v>3032385.1713792011</v>
      </c>
      <c r="AD1938" s="196">
        <f>IFERROR($G1938/SUMIF($A:$A,$A1938,$G:$G)*SUMIF(Summary!$A$166:$A$242,$A1938,Summary!$P$166:$P$242),0)</f>
        <v>269382.9288007791</v>
      </c>
      <c r="AE1938" s="197">
        <f t="shared" ca="1" si="430"/>
        <v>2763002.2425784222</v>
      </c>
      <c r="AF1938" s="196">
        <f>IFERROR(G1938/SUMIF(A:A,A1938,G:G)*SUMIF(Summary!$A$166:$A$242,'Operations Support'!A1938,Summary!$Q$166:$Q$242),0)</f>
        <v>270307.28287388571</v>
      </c>
      <c r="AG1938" s="196">
        <f t="shared" ca="1" si="431"/>
        <v>2762077.8885053154</v>
      </c>
      <c r="AI1938" s="196">
        <f>IFERROR($G1938/SUMIF($A:$A,$A1938,$G:$G)*SUMIF(Summary!$A$247:$A$283,$A1938,Summary!$P$247:$P$283),0)</f>
        <v>49128.72383720801</v>
      </c>
      <c r="AJ1938" s="196">
        <f>IFERROR($G1938/SUMIF($A:$A,$A1938,$G:$G)*(SUMIF(Summary!$A$247:$A$283,$A1938,Summary!$L$247:$L$283)+SUMIF(Summary!$A$297:$A$333,$A1938,Summary!$L$297:$L$333))-AI1938,0)</f>
        <v>118064.96127003734</v>
      </c>
      <c r="AK1938" s="196">
        <f>IFERROR($G1938/SUMIF($A:$A,$A1938,$G:$G)*SUMIF(Summary!$A$247:$A$283,$A1938,Summary!$Q$247:$Q$283),0)</f>
        <v>49297.302953143895</v>
      </c>
      <c r="AL1938" s="196">
        <f>IFERROR($G1938/SUMIF($A:$A,$A1938,$G:$G)*(SUMIF(Summary!$A$247:$A$283,$A1938,Summary!$L$247:$L$283)+SUMIF(Summary!$A$297:$A$333,$A1938,Summary!$L$297:$L$333))-AK1938,0)</f>
        <v>117896.38215410145</v>
      </c>
      <c r="AM1938" s="198"/>
      <c r="AN1938" s="196">
        <f t="shared" ca="1" si="432"/>
        <v>2881067.2038484598</v>
      </c>
      <c r="AO1938" s="196">
        <f t="shared" ca="1" si="433"/>
        <v>2879974.2706594169</v>
      </c>
    </row>
    <row r="1939" spans="1:41">
      <c r="A1939" s="189">
        <v>3652</v>
      </c>
      <c r="B1939" s="190">
        <v>3</v>
      </c>
      <c r="C1939" s="191" t="s">
        <v>222</v>
      </c>
      <c r="D1939" s="192">
        <f t="shared" si="420"/>
        <v>2113.83</v>
      </c>
      <c r="E1939" s="192">
        <f t="shared" si="421"/>
        <v>1439.17</v>
      </c>
      <c r="F1939" s="192">
        <f t="shared" si="422"/>
        <v>0</v>
      </c>
      <c r="G1939" s="193">
        <f t="shared" si="423"/>
        <v>3553</v>
      </c>
      <c r="H1939" s="194">
        <v>948.02</v>
      </c>
      <c r="I1939" s="194">
        <v>531.98</v>
      </c>
      <c r="J1939" s="194">
        <v>0</v>
      </c>
      <c r="K1939" s="193">
        <f t="shared" si="424"/>
        <v>1480</v>
      </c>
      <c r="L1939" s="194">
        <v>979.81</v>
      </c>
      <c r="M1939" s="194">
        <v>632.19000000000005</v>
      </c>
      <c r="N1939" s="194">
        <v>0</v>
      </c>
      <c r="O1939" s="193">
        <f t="shared" si="425"/>
        <v>1612</v>
      </c>
      <c r="P1939" s="194">
        <v>186</v>
      </c>
      <c r="Q1939" s="194">
        <v>275</v>
      </c>
      <c r="R1939" s="194">
        <v>0</v>
      </c>
      <c r="S1939" s="193">
        <f t="shared" si="426"/>
        <v>461</v>
      </c>
      <c r="T1939" s="193">
        <f t="shared" si="427"/>
        <v>148.04166666666666</v>
      </c>
      <c r="U1939" s="193">
        <f ca="1">OFFSET('Expenditure Study'!$B$7,'Operations Support'!$C1939,'Operations Support'!$B1939)*$G1939</f>
        <v>26683.03</v>
      </c>
      <c r="V1939" s="199">
        <f ca="1">U1939*'Expenditure Study'!$B$31</f>
        <v>1576518.285781824</v>
      </c>
      <c r="W1939" s="199">
        <f ca="1">IF(A1939=10298,1.51,1)*IF($B1939&lt;3,$D1939*'Expenditure Study'!$B$32*OFFSET('Expenditure Study'!$B$7,'Operations Support'!$C1939,'Operations Support'!$B1939),0)</f>
        <v>0</v>
      </c>
      <c r="X1939" s="200">
        <f ca="1">W1939*'Expenditure Study'!$B$31</f>
        <v>0</v>
      </c>
      <c r="Y1939" s="199">
        <f ca="1">U1939*'Expenditure Study'!$B$31</f>
        <v>1576518.285781824</v>
      </c>
      <c r="Z1939" s="200">
        <f ca="1">W1939*'Expenditure Study'!$B$31</f>
        <v>0</v>
      </c>
      <c r="AA1939" s="195">
        <f t="shared" ca="1" si="428"/>
        <v>1576518.285781824</v>
      </c>
      <c r="AB1939" s="195">
        <f t="shared" ca="1" si="429"/>
        <v>1576518.285781824</v>
      </c>
      <c r="AD1939" s="196">
        <f>IFERROR($G1939/SUMIF($A:$A,$A1939,$G:$G)*SUMIF(Summary!$A$166:$A$242,$A1939,Summary!$P$166:$P$242),0)</f>
        <v>130539.76350643316</v>
      </c>
      <c r="AE1939" s="197">
        <f t="shared" ca="1" si="430"/>
        <v>1445978.5222753908</v>
      </c>
      <c r="AF1939" s="196">
        <f>IFERROR(G1939/SUMIF(A:A,A1939,G:G)*SUMIF(Summary!$A$166:$A$242,'Operations Support'!A1939,Summary!$Q$166:$Q$242),0)</f>
        <v>130987.69449685156</v>
      </c>
      <c r="AG1939" s="196">
        <f t="shared" ca="1" si="431"/>
        <v>1445530.5912849724</v>
      </c>
      <c r="AI1939" s="196">
        <f>IFERROR($G1939/SUMIF($A:$A,$A1939,$G:$G)*SUMIF(Summary!$A$247:$A$283,$A1939,Summary!$P$247:$P$283),0)</f>
        <v>23807.195280087293</v>
      </c>
      <c r="AJ1939" s="196">
        <f>IFERROR($G1939/SUMIF($A:$A,$A1939,$G:$G)*(SUMIF(Summary!$A$247:$A$283,$A1939,Summary!$L$247:$L$283)+SUMIF(Summary!$A$297:$A$333,$A1939,Summary!$L$297:$L$333))-AI1939,0)</f>
        <v>57212.876076437882</v>
      </c>
      <c r="AK1939" s="196">
        <f>IFERROR($G1939/SUMIF($A:$A,$A1939,$G:$G)*SUMIF(Summary!$A$247:$A$283,$A1939,Summary!$Q$247:$Q$283),0)</f>
        <v>23888.88671474635</v>
      </c>
      <c r="AL1939" s="196">
        <f>IFERROR($G1939/SUMIF($A:$A,$A1939,$G:$G)*(SUMIF(Summary!$A$247:$A$283,$A1939,Summary!$L$247:$L$283)+SUMIF(Summary!$A$297:$A$333,$A1939,Summary!$L$297:$L$333))-AK1939,0)</f>
        <v>57131.184641778833</v>
      </c>
      <c r="AM1939" s="198"/>
      <c r="AN1939" s="196">
        <f t="shared" ca="1" si="432"/>
        <v>1503191.3983518286</v>
      </c>
      <c r="AO1939" s="196">
        <f t="shared" ca="1" si="433"/>
        <v>1502661.7759267513</v>
      </c>
    </row>
    <row r="1940" spans="1:41">
      <c r="A1940" s="189">
        <v>3652</v>
      </c>
      <c r="B1940" s="190">
        <v>3</v>
      </c>
      <c r="C1940" s="191" t="s">
        <v>223</v>
      </c>
      <c r="D1940" s="192">
        <f t="shared" si="420"/>
        <v>1620.6100000000001</v>
      </c>
      <c r="E1940" s="192">
        <f t="shared" si="421"/>
        <v>5939.39</v>
      </c>
      <c r="F1940" s="192">
        <f t="shared" si="422"/>
        <v>0</v>
      </c>
      <c r="G1940" s="193">
        <f t="shared" si="423"/>
        <v>7560</v>
      </c>
      <c r="H1940" s="194">
        <v>468.25</v>
      </c>
      <c r="I1940" s="194">
        <v>2352.75</v>
      </c>
      <c r="J1940" s="194">
        <v>0</v>
      </c>
      <c r="K1940" s="193">
        <f t="shared" si="424"/>
        <v>2821</v>
      </c>
      <c r="L1940" s="194">
        <v>965.36</v>
      </c>
      <c r="M1940" s="194">
        <v>2041.64</v>
      </c>
      <c r="N1940" s="194">
        <v>0</v>
      </c>
      <c r="O1940" s="193">
        <f t="shared" si="425"/>
        <v>3007</v>
      </c>
      <c r="P1940" s="194">
        <v>187</v>
      </c>
      <c r="Q1940" s="194">
        <v>1545</v>
      </c>
      <c r="R1940" s="194">
        <v>0</v>
      </c>
      <c r="S1940" s="193">
        <f t="shared" si="426"/>
        <v>1732</v>
      </c>
      <c r="T1940" s="193">
        <f t="shared" si="427"/>
        <v>315</v>
      </c>
      <c r="U1940" s="193">
        <f ca="1">OFFSET('Expenditure Study'!$B$7,'Operations Support'!$C1940,'Operations Support'!$B1940)*$G1940</f>
        <v>16934.400000000001</v>
      </c>
      <c r="V1940" s="199">
        <f ca="1">U1940*'Expenditure Study'!$B$31</f>
        <v>1000538.2169395201</v>
      </c>
      <c r="W1940" s="199">
        <f ca="1">IF(A1940=10298,1.51,1)*IF($B1940&lt;3,$D1940*'Expenditure Study'!$B$32*OFFSET('Expenditure Study'!$B$7,'Operations Support'!$C1940,'Operations Support'!$B1940),0)</f>
        <v>0</v>
      </c>
      <c r="X1940" s="200">
        <f ca="1">W1940*'Expenditure Study'!$B$31</f>
        <v>0</v>
      </c>
      <c r="Y1940" s="199">
        <f ca="1">U1940*'Expenditure Study'!$B$31</f>
        <v>1000538.2169395201</v>
      </c>
      <c r="Z1940" s="200">
        <f ca="1">W1940*'Expenditure Study'!$B$31</f>
        <v>0</v>
      </c>
      <c r="AA1940" s="195">
        <f t="shared" ca="1" si="428"/>
        <v>1000538.2169395201</v>
      </c>
      <c r="AB1940" s="195">
        <f t="shared" ca="1" si="429"/>
        <v>1000538.2169395201</v>
      </c>
      <c r="AD1940" s="196">
        <f>IFERROR($G1940/SUMIF($A:$A,$A1940,$G:$G)*SUMIF(Summary!$A$166:$A$242,$A1940,Summary!$P$166:$P$242),0)</f>
        <v>277759.81202044315</v>
      </c>
      <c r="AE1940" s="197">
        <f t="shared" ca="1" si="430"/>
        <v>722778.40491907694</v>
      </c>
      <c r="AF1940" s="196">
        <f>IFERROR(G1940/SUMIF(A:A,A1940,G:G)*SUMIF(Summary!$A$166:$A$242,'Operations Support'!A1940,Summary!$Q$166:$Q$242),0)</f>
        <v>278712.91032822902</v>
      </c>
      <c r="AG1940" s="196">
        <f t="shared" ca="1" si="431"/>
        <v>721825.30661129113</v>
      </c>
      <c r="AI1940" s="196">
        <f>IFERROR($G1940/SUMIF($A:$A,$A1940,$G:$G)*SUMIF(Summary!$A$247:$A$283,$A1940,Summary!$P$247:$P$283),0)</f>
        <v>50656.458293684191</v>
      </c>
      <c r="AJ1940" s="196">
        <f>IFERROR($G1940/SUMIF($A:$A,$A1940,$G:$G)*(SUMIF(Summary!$A$247:$A$283,$A1940,Summary!$L$247:$L$283)+SUMIF(Summary!$A$297:$A$333,$A1940,Summary!$L$297:$L$333))-AI1940,0)</f>
        <v>121736.37577761621</v>
      </c>
      <c r="AK1940" s="196">
        <f>IFERROR($G1940/SUMIF($A:$A,$A1940,$G:$G)*SUMIF(Summary!$A$247:$A$283,$A1940,Summary!$Q$247:$Q$283),0)</f>
        <v>50830.279640721186</v>
      </c>
      <c r="AL1940" s="196">
        <f>IFERROR($G1940/SUMIF($A:$A,$A1940,$G:$G)*(SUMIF(Summary!$A$247:$A$283,$A1940,Summary!$L$247:$L$283)+SUMIF(Summary!$A$297:$A$333,$A1940,Summary!$L$297:$L$333))-AK1940,0)</f>
        <v>121562.55443057921</v>
      </c>
      <c r="AM1940" s="198"/>
      <c r="AN1940" s="196">
        <f t="shared" ca="1" si="432"/>
        <v>844514.78069669311</v>
      </c>
      <c r="AO1940" s="196">
        <f t="shared" ca="1" si="433"/>
        <v>843387.86104187032</v>
      </c>
    </row>
    <row r="1941" spans="1:41">
      <c r="A1941" s="189">
        <v>3652</v>
      </c>
      <c r="B1941" s="190">
        <v>3</v>
      </c>
      <c r="C1941" s="191" t="s">
        <v>224</v>
      </c>
      <c r="D1941" s="192">
        <f t="shared" si="420"/>
        <v>0</v>
      </c>
      <c r="E1941" s="192">
        <f t="shared" si="421"/>
        <v>0</v>
      </c>
      <c r="F1941" s="192">
        <f t="shared" si="422"/>
        <v>0</v>
      </c>
      <c r="G1941" s="193">
        <f t="shared" si="423"/>
        <v>0</v>
      </c>
      <c r="H1941" s="194">
        <v>0</v>
      </c>
      <c r="I1941" s="194">
        <v>0</v>
      </c>
      <c r="J1941" s="194">
        <v>0</v>
      </c>
      <c r="K1941" s="193">
        <f t="shared" si="424"/>
        <v>0</v>
      </c>
      <c r="L1941" s="194">
        <v>0</v>
      </c>
      <c r="M1941" s="194">
        <v>0</v>
      </c>
      <c r="N1941" s="194">
        <v>0</v>
      </c>
      <c r="O1941" s="193">
        <f t="shared" si="425"/>
        <v>0</v>
      </c>
      <c r="P1941" s="194">
        <v>0</v>
      </c>
      <c r="Q1941" s="194">
        <v>0</v>
      </c>
      <c r="R1941" s="194">
        <v>0</v>
      </c>
      <c r="S1941" s="193">
        <f t="shared" si="426"/>
        <v>0</v>
      </c>
      <c r="T1941" s="193">
        <f t="shared" si="427"/>
        <v>0</v>
      </c>
      <c r="U1941" s="193">
        <f ca="1">OFFSET('Expenditure Study'!$B$7,'Operations Support'!$C1941,'Operations Support'!$B1941)*$G1941</f>
        <v>0</v>
      </c>
      <c r="V1941" s="199">
        <f ca="1">U1941*'Expenditure Study'!$B$31</f>
        <v>0</v>
      </c>
      <c r="W1941" s="199">
        <f ca="1">IF(A1941=10298,1.51,1)*IF($B1941&lt;3,$D1941*'Expenditure Study'!$B$32*OFFSET('Expenditure Study'!$B$7,'Operations Support'!$C1941,'Operations Support'!$B1941),0)</f>
        <v>0</v>
      </c>
      <c r="X1941" s="200">
        <f ca="1">W1941*'Expenditure Study'!$B$31</f>
        <v>0</v>
      </c>
      <c r="Y1941" s="199">
        <f ca="1">U1941*'Expenditure Study'!$B$31</f>
        <v>0</v>
      </c>
      <c r="Z1941" s="200">
        <f ca="1">W1941*'Expenditure Study'!$B$31</f>
        <v>0</v>
      </c>
      <c r="AA1941" s="195">
        <f t="shared" ca="1" si="428"/>
        <v>0</v>
      </c>
      <c r="AB1941" s="195">
        <f t="shared" ca="1" si="429"/>
        <v>0</v>
      </c>
      <c r="AD1941" s="196">
        <f>IFERROR($G1941/SUMIF($A:$A,$A1941,$G:$G)*SUMIF(Summary!$A$166:$A$242,$A1941,Summary!$P$166:$P$242),0)</f>
        <v>0</v>
      </c>
      <c r="AE1941" s="197">
        <f t="shared" ca="1" si="430"/>
        <v>0</v>
      </c>
      <c r="AF1941" s="196">
        <f>IFERROR(G1941/SUMIF(A:A,A1941,G:G)*SUMIF(Summary!$A$166:$A$242,'Operations Support'!A1941,Summary!$Q$166:$Q$242),0)</f>
        <v>0</v>
      </c>
      <c r="AG1941" s="196">
        <f t="shared" ca="1" si="431"/>
        <v>0</v>
      </c>
      <c r="AI1941" s="196">
        <f>IFERROR($G1941/SUMIF($A:$A,$A1941,$G:$G)*SUMIF(Summary!$A$247:$A$283,$A1941,Summary!$P$247:$P$283),0)</f>
        <v>0</v>
      </c>
      <c r="AJ1941" s="196">
        <f>IFERROR($G1941/SUMIF($A:$A,$A1941,$G:$G)*(SUMIF(Summary!$A$247:$A$283,$A1941,Summary!$L$247:$L$283)+SUMIF(Summary!$A$297:$A$333,$A1941,Summary!$L$297:$L$333))-AI1941,0)</f>
        <v>0</v>
      </c>
      <c r="AK1941" s="196">
        <f>IFERROR($G1941/SUMIF($A:$A,$A1941,$G:$G)*SUMIF(Summary!$A$247:$A$283,$A1941,Summary!$Q$247:$Q$283),0)</f>
        <v>0</v>
      </c>
      <c r="AL1941" s="196">
        <f>IFERROR($G1941/SUMIF($A:$A,$A1941,$G:$G)*(SUMIF(Summary!$A$247:$A$283,$A1941,Summary!$L$247:$L$283)+SUMIF(Summary!$A$297:$A$333,$A1941,Summary!$L$297:$L$333))-AK1941,0)</f>
        <v>0</v>
      </c>
      <c r="AM1941" s="198"/>
      <c r="AN1941" s="196">
        <f t="shared" ca="1" si="432"/>
        <v>0</v>
      </c>
      <c r="AO1941" s="196">
        <f t="shared" ca="1" si="433"/>
        <v>0</v>
      </c>
    </row>
    <row r="1942" spans="1:41">
      <c r="A1942" s="189">
        <v>3652</v>
      </c>
      <c r="B1942" s="190">
        <v>3</v>
      </c>
      <c r="C1942" s="191" t="s">
        <v>225</v>
      </c>
      <c r="D1942" s="192">
        <f t="shared" si="420"/>
        <v>17522.060000000001</v>
      </c>
      <c r="E1942" s="192">
        <f t="shared" si="421"/>
        <v>8657.44</v>
      </c>
      <c r="F1942" s="192">
        <f t="shared" si="422"/>
        <v>0</v>
      </c>
      <c r="G1942" s="193">
        <f t="shared" si="423"/>
        <v>26179.5</v>
      </c>
      <c r="H1942" s="194">
        <v>7249.56</v>
      </c>
      <c r="I1942" s="194">
        <v>3900.44</v>
      </c>
      <c r="J1942" s="194">
        <v>0</v>
      </c>
      <c r="K1942" s="193">
        <f t="shared" si="424"/>
        <v>11150</v>
      </c>
      <c r="L1942" s="194">
        <v>9271.5</v>
      </c>
      <c r="M1942" s="194">
        <v>4019</v>
      </c>
      <c r="N1942" s="194">
        <v>0</v>
      </c>
      <c r="O1942" s="193">
        <f t="shared" si="425"/>
        <v>13290.5</v>
      </c>
      <c r="P1942" s="194">
        <v>1001</v>
      </c>
      <c r="Q1942" s="194">
        <v>738</v>
      </c>
      <c r="R1942" s="194">
        <v>0</v>
      </c>
      <c r="S1942" s="193">
        <f t="shared" si="426"/>
        <v>1739</v>
      </c>
      <c r="T1942" s="193">
        <f t="shared" si="427"/>
        <v>1090.8125</v>
      </c>
      <c r="U1942" s="193">
        <f ca="1">OFFSET('Expenditure Study'!$B$7,'Operations Support'!$C1942,'Operations Support'!$B1942)*$G1942</f>
        <v>180900.345</v>
      </c>
      <c r="V1942" s="199">
        <f ca="1">U1942*'Expenditure Study'!$B$31</f>
        <v>10688167.790417377</v>
      </c>
      <c r="W1942" s="199">
        <f ca="1">IF(A1942=10298,1.51,1)*IF($B1942&lt;3,$D1942*'Expenditure Study'!$B$32*OFFSET('Expenditure Study'!$B$7,'Operations Support'!$C1942,'Operations Support'!$B1942),0)</f>
        <v>0</v>
      </c>
      <c r="X1942" s="200">
        <f ca="1">W1942*'Expenditure Study'!$B$31</f>
        <v>0</v>
      </c>
      <c r="Y1942" s="199">
        <f ca="1">U1942*'Expenditure Study'!$B$31</f>
        <v>10688167.790417377</v>
      </c>
      <c r="Z1942" s="200">
        <f ca="1">W1942*'Expenditure Study'!$B$31</f>
        <v>0</v>
      </c>
      <c r="AA1942" s="195">
        <f t="shared" ca="1" si="428"/>
        <v>10688167.790417377</v>
      </c>
      <c r="AB1942" s="195">
        <f t="shared" ca="1" si="429"/>
        <v>10688167.790417377</v>
      </c>
      <c r="AD1942" s="196">
        <f>IFERROR($G1942/SUMIF($A:$A,$A1942,$G:$G)*SUMIF(Summary!$A$166:$A$242,$A1942,Summary!$P$166:$P$242),0)</f>
        <v>961853.5712684117</v>
      </c>
      <c r="AE1942" s="197">
        <f t="shared" ca="1" si="430"/>
        <v>9726314.2191489656</v>
      </c>
      <c r="AF1942" s="196">
        <f>IFERROR(G1942/SUMIF(A:A,A1942,G:G)*SUMIF(Summary!$A$166:$A$242,'Operations Support'!A1942,Summary!$Q$166:$Q$242),0)</f>
        <v>965154.05237273441</v>
      </c>
      <c r="AG1942" s="196">
        <f t="shared" ca="1" si="431"/>
        <v>9723013.7380446419</v>
      </c>
      <c r="AI1942" s="196">
        <f>IFERROR($G1942/SUMIF($A:$A,$A1942,$G:$G)*SUMIF(Summary!$A$247:$A$283,$A1942,Summary!$P$247:$P$283),0)</f>
        <v>175418.08861104568</v>
      </c>
      <c r="AJ1942" s="196">
        <f>IFERROR($G1942/SUMIF($A:$A,$A1942,$G:$G)*(SUMIF(Summary!$A$247:$A$283,$A1942,Summary!$L$247:$L$283)+SUMIF(Summary!$A$297:$A$333,$A1942,Summary!$L$297:$L$333))-AI1942,0)</f>
        <v>421560.50921562215</v>
      </c>
      <c r="AK1942" s="196">
        <f>IFERROR($G1942/SUMIF($A:$A,$A1942,$G:$G)*SUMIF(Summary!$A$247:$A$283,$A1942,Summary!$Q$247:$Q$283),0)</f>
        <v>176020.0140018863</v>
      </c>
      <c r="AL1942" s="196">
        <f>IFERROR($G1942/SUMIF($A:$A,$A1942,$G:$G)*(SUMIF(Summary!$A$247:$A$283,$A1942,Summary!$L$247:$L$283)+SUMIF(Summary!$A$297:$A$333,$A1942,Summary!$L$297:$L$333))-AK1942,0)</f>
        <v>420958.58382478153</v>
      </c>
      <c r="AM1942" s="198"/>
      <c r="AN1942" s="196">
        <f t="shared" ca="1" si="432"/>
        <v>10147874.728364587</v>
      </c>
      <c r="AO1942" s="196">
        <f t="shared" ca="1" si="433"/>
        <v>10143972.321869424</v>
      </c>
    </row>
    <row r="1943" spans="1:41">
      <c r="A1943" s="189">
        <v>3652</v>
      </c>
      <c r="B1943" s="190">
        <v>3</v>
      </c>
      <c r="C1943" s="191" t="s">
        <v>226</v>
      </c>
      <c r="D1943" s="192">
        <f t="shared" si="420"/>
        <v>307.92</v>
      </c>
      <c r="E1943" s="192">
        <f t="shared" si="421"/>
        <v>472.08000000000004</v>
      </c>
      <c r="F1943" s="192">
        <f t="shared" si="422"/>
        <v>0</v>
      </c>
      <c r="G1943" s="193">
        <f t="shared" si="423"/>
        <v>780</v>
      </c>
      <c r="H1943" s="194">
        <v>126.42</v>
      </c>
      <c r="I1943" s="194">
        <v>191.58</v>
      </c>
      <c r="J1943" s="194">
        <v>0</v>
      </c>
      <c r="K1943" s="193">
        <f t="shared" si="424"/>
        <v>318</v>
      </c>
      <c r="L1943" s="194">
        <v>145.5</v>
      </c>
      <c r="M1943" s="194">
        <v>190.5</v>
      </c>
      <c r="N1943" s="194">
        <v>0</v>
      </c>
      <c r="O1943" s="193">
        <f t="shared" si="425"/>
        <v>336</v>
      </c>
      <c r="P1943" s="194">
        <v>36</v>
      </c>
      <c r="Q1943" s="194">
        <v>90</v>
      </c>
      <c r="R1943" s="194">
        <v>0</v>
      </c>
      <c r="S1943" s="193">
        <f t="shared" si="426"/>
        <v>126</v>
      </c>
      <c r="T1943" s="193">
        <f t="shared" si="427"/>
        <v>32.5</v>
      </c>
      <c r="U1943" s="193">
        <f ca="1">OFFSET('Expenditure Study'!$B$7,'Operations Support'!$C1943,'Operations Support'!$B1943)*$G1943</f>
        <v>2691</v>
      </c>
      <c r="V1943" s="199">
        <f ca="1">U1943*'Expenditure Study'!$B$31</f>
        <v>158992.83953279999</v>
      </c>
      <c r="W1943" s="199">
        <f ca="1">IF(A1943=10298,1.51,1)*IF($B1943&lt;3,$D1943*'Expenditure Study'!$B$32*OFFSET('Expenditure Study'!$B$7,'Operations Support'!$C1943,'Operations Support'!$B1943),0)</f>
        <v>0</v>
      </c>
      <c r="X1943" s="200">
        <f ca="1">W1943*'Expenditure Study'!$B$31</f>
        <v>0</v>
      </c>
      <c r="Y1943" s="199">
        <f ca="1">U1943*'Expenditure Study'!$B$31</f>
        <v>158992.83953279999</v>
      </c>
      <c r="Z1943" s="200">
        <f ca="1">W1943*'Expenditure Study'!$B$31</f>
        <v>0</v>
      </c>
      <c r="AA1943" s="195">
        <f t="shared" ca="1" si="428"/>
        <v>158992.83953279999</v>
      </c>
      <c r="AB1943" s="195">
        <f t="shared" ca="1" si="429"/>
        <v>158992.83953279999</v>
      </c>
      <c r="AD1943" s="196">
        <f>IFERROR($G1943/SUMIF($A:$A,$A1943,$G:$G)*SUMIF(Summary!$A$166:$A$242,$A1943,Summary!$P$166:$P$242),0)</f>
        <v>28657.758383061599</v>
      </c>
      <c r="AE1943" s="197">
        <f t="shared" ca="1" si="430"/>
        <v>130335.0811497384</v>
      </c>
      <c r="AF1943" s="196">
        <f>IFERROR(G1943/SUMIF(A:A,A1943,G:G)*SUMIF(Summary!$A$166:$A$242,'Operations Support'!A1943,Summary!$Q$166:$Q$242),0)</f>
        <v>28756.093922753789</v>
      </c>
      <c r="AG1943" s="196">
        <f t="shared" ca="1" si="431"/>
        <v>130236.7456100462</v>
      </c>
      <c r="AI1943" s="196">
        <f>IFERROR($G1943/SUMIF($A:$A,$A1943,$G:$G)*SUMIF(Summary!$A$247:$A$283,$A1943,Summary!$P$247:$P$283),0)</f>
        <v>5226.459982681703</v>
      </c>
      <c r="AJ1943" s="196">
        <f>IFERROR($G1943/SUMIF($A:$A,$A1943,$G:$G)*(SUMIF(Summary!$A$247:$A$283,$A1943,Summary!$L$247:$L$283)+SUMIF(Summary!$A$297:$A$333,$A1943,Summary!$L$297:$L$333))-AI1943,0)</f>
        <v>12560.102262769928</v>
      </c>
      <c r="AK1943" s="196">
        <f>IFERROR($G1943/SUMIF($A:$A,$A1943,$G:$G)*SUMIF(Summary!$A$247:$A$283,$A1943,Summary!$Q$247:$Q$283),0)</f>
        <v>5244.3939311855202</v>
      </c>
      <c r="AL1943" s="196">
        <f>IFERROR($G1943/SUMIF($A:$A,$A1943,$G:$G)*(SUMIF(Summary!$A$247:$A$283,$A1943,Summary!$L$247:$L$283)+SUMIF(Summary!$A$297:$A$333,$A1943,Summary!$L$297:$L$333))-AK1943,0)</f>
        <v>12542.16831426611</v>
      </c>
      <c r="AM1943" s="198"/>
      <c r="AN1943" s="196">
        <f t="shared" ca="1" si="432"/>
        <v>142895.18341250834</v>
      </c>
      <c r="AO1943" s="196">
        <f t="shared" ca="1" si="433"/>
        <v>142778.91392431231</v>
      </c>
    </row>
    <row r="1944" spans="1:41">
      <c r="A1944" s="189">
        <v>3652</v>
      </c>
      <c r="B1944" s="190">
        <v>3</v>
      </c>
      <c r="C1944" s="191" t="s">
        <v>227</v>
      </c>
      <c r="D1944" s="192">
        <f t="shared" si="420"/>
        <v>0</v>
      </c>
      <c r="E1944" s="192">
        <f t="shared" si="421"/>
        <v>0</v>
      </c>
      <c r="F1944" s="192">
        <f t="shared" si="422"/>
        <v>0</v>
      </c>
      <c r="G1944" s="193">
        <f t="shared" si="423"/>
        <v>0</v>
      </c>
      <c r="H1944" s="194">
        <v>0</v>
      </c>
      <c r="I1944" s="194">
        <v>0</v>
      </c>
      <c r="J1944" s="194">
        <v>0</v>
      </c>
      <c r="K1944" s="193">
        <f t="shared" si="424"/>
        <v>0</v>
      </c>
      <c r="L1944" s="194">
        <v>0</v>
      </c>
      <c r="M1944" s="194">
        <v>0</v>
      </c>
      <c r="N1944" s="194">
        <v>0</v>
      </c>
      <c r="O1944" s="193">
        <f t="shared" si="425"/>
        <v>0</v>
      </c>
      <c r="P1944" s="194">
        <v>0</v>
      </c>
      <c r="Q1944" s="194">
        <v>0</v>
      </c>
      <c r="R1944" s="194">
        <v>0</v>
      </c>
      <c r="S1944" s="193">
        <f t="shared" si="426"/>
        <v>0</v>
      </c>
      <c r="T1944" s="193">
        <f t="shared" si="427"/>
        <v>0</v>
      </c>
      <c r="U1944" s="193">
        <f ca="1">OFFSET('Expenditure Study'!$B$7,'Operations Support'!$C1944,'Operations Support'!$B1944)*$G1944</f>
        <v>0</v>
      </c>
      <c r="V1944" s="199">
        <f ca="1">U1944*'Expenditure Study'!$B$31</f>
        <v>0</v>
      </c>
      <c r="W1944" s="199">
        <f ca="1">IF(A1944=10298,1.51,1)*IF($B1944&lt;3,$D1944*'Expenditure Study'!$B$32*OFFSET('Expenditure Study'!$B$7,'Operations Support'!$C1944,'Operations Support'!$B1944),0)</f>
        <v>0</v>
      </c>
      <c r="X1944" s="200">
        <f ca="1">W1944*'Expenditure Study'!$B$31</f>
        <v>0</v>
      </c>
      <c r="Y1944" s="199">
        <f ca="1">U1944*'Expenditure Study'!$B$31</f>
        <v>0</v>
      </c>
      <c r="Z1944" s="200">
        <f ca="1">W1944*'Expenditure Study'!$B$31</f>
        <v>0</v>
      </c>
      <c r="AA1944" s="195">
        <f t="shared" ca="1" si="428"/>
        <v>0</v>
      </c>
      <c r="AB1944" s="195">
        <f t="shared" ca="1" si="429"/>
        <v>0</v>
      </c>
      <c r="AD1944" s="196">
        <f>IFERROR($G1944/SUMIF($A:$A,$A1944,$G:$G)*SUMIF(Summary!$A$166:$A$242,$A1944,Summary!$P$166:$P$242),0)</f>
        <v>0</v>
      </c>
      <c r="AE1944" s="197">
        <f t="shared" ca="1" si="430"/>
        <v>0</v>
      </c>
      <c r="AF1944" s="196">
        <f>IFERROR(G1944/SUMIF(A:A,A1944,G:G)*SUMIF(Summary!$A$166:$A$242,'Operations Support'!A1944,Summary!$Q$166:$Q$242),0)</f>
        <v>0</v>
      </c>
      <c r="AG1944" s="196">
        <f t="shared" ca="1" si="431"/>
        <v>0</v>
      </c>
      <c r="AI1944" s="196">
        <f>IFERROR($G1944/SUMIF($A:$A,$A1944,$G:$G)*SUMIF(Summary!$A$247:$A$283,$A1944,Summary!$P$247:$P$283),0)</f>
        <v>0</v>
      </c>
      <c r="AJ1944" s="196">
        <f>IFERROR($G1944/SUMIF($A:$A,$A1944,$G:$G)*(SUMIF(Summary!$A$247:$A$283,$A1944,Summary!$L$247:$L$283)+SUMIF(Summary!$A$297:$A$333,$A1944,Summary!$L$297:$L$333))-AI1944,0)</f>
        <v>0</v>
      </c>
      <c r="AK1944" s="196">
        <f>IFERROR($G1944/SUMIF($A:$A,$A1944,$G:$G)*SUMIF(Summary!$A$247:$A$283,$A1944,Summary!$Q$247:$Q$283),0)</f>
        <v>0</v>
      </c>
      <c r="AL1944" s="196">
        <f>IFERROR($G1944/SUMIF($A:$A,$A1944,$G:$G)*(SUMIF(Summary!$A$247:$A$283,$A1944,Summary!$L$247:$L$283)+SUMIF(Summary!$A$297:$A$333,$A1944,Summary!$L$297:$L$333))-AK1944,0)</f>
        <v>0</v>
      </c>
      <c r="AM1944" s="198"/>
      <c r="AN1944" s="196">
        <f t="shared" ca="1" si="432"/>
        <v>0</v>
      </c>
      <c r="AO1944" s="196">
        <f t="shared" ca="1" si="433"/>
        <v>0</v>
      </c>
    </row>
    <row r="1945" spans="1:41">
      <c r="A1945" s="189">
        <v>3652</v>
      </c>
      <c r="B1945" s="190">
        <v>3</v>
      </c>
      <c r="C1945" s="191" t="s">
        <v>228</v>
      </c>
      <c r="D1945" s="192">
        <f t="shared" si="420"/>
        <v>2655</v>
      </c>
      <c r="E1945" s="192">
        <f t="shared" si="421"/>
        <v>9111</v>
      </c>
      <c r="F1945" s="192">
        <f t="shared" si="422"/>
        <v>0</v>
      </c>
      <c r="G1945" s="193">
        <f t="shared" si="423"/>
        <v>11766</v>
      </c>
      <c r="H1945" s="194">
        <v>745</v>
      </c>
      <c r="I1945" s="194">
        <v>3766</v>
      </c>
      <c r="J1945" s="194">
        <v>0</v>
      </c>
      <c r="K1945" s="193">
        <f t="shared" si="424"/>
        <v>4511</v>
      </c>
      <c r="L1945" s="194">
        <v>1337</v>
      </c>
      <c r="M1945" s="194">
        <v>3232</v>
      </c>
      <c r="N1945" s="194">
        <v>0</v>
      </c>
      <c r="O1945" s="193">
        <f t="shared" si="425"/>
        <v>4569</v>
      </c>
      <c r="P1945" s="194">
        <v>573</v>
      </c>
      <c r="Q1945" s="194">
        <v>2113</v>
      </c>
      <c r="R1945" s="194">
        <v>0</v>
      </c>
      <c r="S1945" s="193">
        <f t="shared" si="426"/>
        <v>2686</v>
      </c>
      <c r="T1945" s="193">
        <f t="shared" si="427"/>
        <v>490.25</v>
      </c>
      <c r="U1945" s="193">
        <f ca="1">OFFSET('Expenditure Study'!$B$7,'Operations Support'!$C1945,'Operations Support'!$B1945)*$G1945</f>
        <v>28709.040000000001</v>
      </c>
      <c r="V1945" s="199">
        <f ca="1">U1945*'Expenditure Study'!$B$31</f>
        <v>1696221.400914432</v>
      </c>
      <c r="W1945" s="199">
        <f ca="1">IF(A1945=10298,1.51,1)*IF($B1945&lt;3,$D1945*'Expenditure Study'!$B$32*OFFSET('Expenditure Study'!$B$7,'Operations Support'!$C1945,'Operations Support'!$B1945),0)</f>
        <v>0</v>
      </c>
      <c r="X1945" s="200">
        <f ca="1">W1945*'Expenditure Study'!$B$31</f>
        <v>0</v>
      </c>
      <c r="Y1945" s="199">
        <f ca="1">U1945*'Expenditure Study'!$B$31</f>
        <v>1696221.400914432</v>
      </c>
      <c r="Z1945" s="200">
        <f ca="1">W1945*'Expenditure Study'!$B$31</f>
        <v>0</v>
      </c>
      <c r="AA1945" s="195">
        <f t="shared" ca="1" si="428"/>
        <v>1696221.400914432</v>
      </c>
      <c r="AB1945" s="195">
        <f t="shared" ca="1" si="429"/>
        <v>1696221.400914432</v>
      </c>
      <c r="AD1945" s="196">
        <f>IFERROR($G1945/SUMIF($A:$A,$A1945,$G:$G)*SUMIF(Summary!$A$166:$A$242,$A1945,Summary!$P$166:$P$242),0)</f>
        <v>432291.26299372147</v>
      </c>
      <c r="AE1945" s="197">
        <f t="shared" ca="1" si="430"/>
        <v>1263930.1379207105</v>
      </c>
      <c r="AF1945" s="196">
        <f>IFERROR(G1945/SUMIF(A:A,A1945,G:G)*SUMIF(Summary!$A$166:$A$242,'Operations Support'!A1945,Summary!$Q$166:$Q$242),0)</f>
        <v>433774.61678861675</v>
      </c>
      <c r="AG1945" s="196">
        <f t="shared" ca="1" si="431"/>
        <v>1262446.7841258151</v>
      </c>
      <c r="AI1945" s="196">
        <f>IFERROR($G1945/SUMIF($A:$A,$A1945,$G:$G)*SUMIF(Summary!$A$247:$A$283,$A1945,Summary!$P$247:$P$283),0)</f>
        <v>78839.13866183706</v>
      </c>
      <c r="AJ1945" s="196">
        <f>IFERROR($G1945/SUMIF($A:$A,$A1945,$G:$G)*(SUMIF(Summary!$A$247:$A$283,$A1945,Summary!$L$247:$L$283)+SUMIF(Summary!$A$297:$A$333,$A1945,Summary!$L$297:$L$333))-AI1945,0)</f>
        <v>189464.31182532173</v>
      </c>
      <c r="AK1945" s="196">
        <f>IFERROR($G1945/SUMIF($A:$A,$A1945,$G:$G)*SUMIF(Summary!$A$247:$A$283,$A1945,Summary!$Q$247:$Q$283),0)</f>
        <v>79109.665377344645</v>
      </c>
      <c r="AL1945" s="196">
        <f>IFERROR($G1945/SUMIF($A:$A,$A1945,$G:$G)*(SUMIF(Summary!$A$247:$A$283,$A1945,Summary!$L$247:$L$283)+SUMIF(Summary!$A$297:$A$333,$A1945,Summary!$L$297:$L$333))-AK1945,0)</f>
        <v>189193.78510981414</v>
      </c>
      <c r="AM1945" s="198"/>
      <c r="AN1945" s="196">
        <f t="shared" ca="1" si="432"/>
        <v>1453394.4497460322</v>
      </c>
      <c r="AO1945" s="196">
        <f t="shared" ca="1" si="433"/>
        <v>1451640.5692356294</v>
      </c>
    </row>
    <row r="1946" spans="1:41">
      <c r="A1946" s="189">
        <v>3652</v>
      </c>
      <c r="B1946" s="190">
        <v>3</v>
      </c>
      <c r="C1946" s="191" t="s">
        <v>229</v>
      </c>
      <c r="D1946" s="192">
        <f t="shared" si="420"/>
        <v>0</v>
      </c>
      <c r="E1946" s="192">
        <f t="shared" si="421"/>
        <v>0</v>
      </c>
      <c r="F1946" s="192">
        <f t="shared" si="422"/>
        <v>0</v>
      </c>
      <c r="G1946" s="193">
        <f t="shared" si="423"/>
        <v>0</v>
      </c>
      <c r="H1946" s="194">
        <v>0</v>
      </c>
      <c r="I1946" s="194">
        <v>0</v>
      </c>
      <c r="J1946" s="194">
        <v>0</v>
      </c>
      <c r="K1946" s="193">
        <f t="shared" si="424"/>
        <v>0</v>
      </c>
      <c r="L1946" s="194">
        <v>0</v>
      </c>
      <c r="M1946" s="194">
        <v>0</v>
      </c>
      <c r="N1946" s="194">
        <v>0</v>
      </c>
      <c r="O1946" s="193">
        <f t="shared" si="425"/>
        <v>0</v>
      </c>
      <c r="P1946" s="194">
        <v>0</v>
      </c>
      <c r="Q1946" s="194">
        <v>0</v>
      </c>
      <c r="R1946" s="194">
        <v>0</v>
      </c>
      <c r="S1946" s="193">
        <f t="shared" si="426"/>
        <v>0</v>
      </c>
      <c r="T1946" s="193">
        <f t="shared" si="427"/>
        <v>0</v>
      </c>
      <c r="U1946" s="193">
        <f ca="1">OFFSET('Expenditure Study'!$B$7,'Operations Support'!$C1946,'Operations Support'!$B1946)*$G1946</f>
        <v>0</v>
      </c>
      <c r="V1946" s="199">
        <f ca="1">U1946*'Expenditure Study'!$B$31</f>
        <v>0</v>
      </c>
      <c r="W1946" s="199">
        <f ca="1">IF(A1946=10298,1.51,1)*IF($B1946&lt;3,$D1946*'Expenditure Study'!$B$32*OFFSET('Expenditure Study'!$B$7,'Operations Support'!$C1946,'Operations Support'!$B1946),0)</f>
        <v>0</v>
      </c>
      <c r="X1946" s="200">
        <f ca="1">W1946*'Expenditure Study'!$B$31</f>
        <v>0</v>
      </c>
      <c r="Y1946" s="199">
        <f ca="1">U1946*'Expenditure Study'!$B$31</f>
        <v>0</v>
      </c>
      <c r="Z1946" s="200">
        <f ca="1">W1946*'Expenditure Study'!$B$31</f>
        <v>0</v>
      </c>
      <c r="AA1946" s="195">
        <f t="shared" ca="1" si="428"/>
        <v>0</v>
      </c>
      <c r="AB1946" s="195">
        <f t="shared" ca="1" si="429"/>
        <v>0</v>
      </c>
      <c r="AD1946" s="196">
        <f>IFERROR($G1946/SUMIF($A:$A,$A1946,$G:$G)*SUMIF(Summary!$A$166:$A$242,$A1946,Summary!$P$166:$P$242),0)</f>
        <v>0</v>
      </c>
      <c r="AE1946" s="197">
        <f t="shared" ca="1" si="430"/>
        <v>0</v>
      </c>
      <c r="AF1946" s="196">
        <f>IFERROR(G1946/SUMIF(A:A,A1946,G:G)*SUMIF(Summary!$A$166:$A$242,'Operations Support'!A1946,Summary!$Q$166:$Q$242),0)</f>
        <v>0</v>
      </c>
      <c r="AG1946" s="196">
        <f t="shared" ca="1" si="431"/>
        <v>0</v>
      </c>
      <c r="AI1946" s="196">
        <f>IFERROR($G1946/SUMIF($A:$A,$A1946,$G:$G)*SUMIF(Summary!$A$247:$A$283,$A1946,Summary!$P$247:$P$283),0)</f>
        <v>0</v>
      </c>
      <c r="AJ1946" s="196">
        <f>IFERROR($G1946/SUMIF($A:$A,$A1946,$G:$G)*(SUMIF(Summary!$A$247:$A$283,$A1946,Summary!$L$247:$L$283)+SUMIF(Summary!$A$297:$A$333,$A1946,Summary!$L$297:$L$333))-AI1946,0)</f>
        <v>0</v>
      </c>
      <c r="AK1946" s="196">
        <f>IFERROR($G1946/SUMIF($A:$A,$A1946,$G:$G)*SUMIF(Summary!$A$247:$A$283,$A1946,Summary!$Q$247:$Q$283),0)</f>
        <v>0</v>
      </c>
      <c r="AL1946" s="196">
        <f>IFERROR($G1946/SUMIF($A:$A,$A1946,$G:$G)*(SUMIF(Summary!$A$247:$A$283,$A1946,Summary!$L$247:$L$283)+SUMIF(Summary!$A$297:$A$333,$A1946,Summary!$L$297:$L$333))-AK1946,0)</f>
        <v>0</v>
      </c>
      <c r="AM1946" s="198"/>
      <c r="AN1946" s="196">
        <f t="shared" ca="1" si="432"/>
        <v>0</v>
      </c>
      <c r="AO1946" s="196">
        <f t="shared" ca="1" si="433"/>
        <v>0</v>
      </c>
    </row>
    <row r="1947" spans="1:41">
      <c r="A1947" s="189">
        <v>3652</v>
      </c>
      <c r="B1947" s="190">
        <v>3</v>
      </c>
      <c r="C1947" s="191" t="s">
        <v>230</v>
      </c>
      <c r="D1947" s="192">
        <f t="shared" si="420"/>
        <v>0</v>
      </c>
      <c r="E1947" s="192">
        <f t="shared" si="421"/>
        <v>0</v>
      </c>
      <c r="F1947" s="192">
        <f t="shared" si="422"/>
        <v>0</v>
      </c>
      <c r="G1947" s="193">
        <f t="shared" si="423"/>
        <v>0</v>
      </c>
      <c r="H1947" s="194">
        <v>0</v>
      </c>
      <c r="I1947" s="194">
        <v>0</v>
      </c>
      <c r="J1947" s="194">
        <v>0</v>
      </c>
      <c r="K1947" s="193">
        <f t="shared" si="424"/>
        <v>0</v>
      </c>
      <c r="L1947" s="194">
        <v>0</v>
      </c>
      <c r="M1947" s="194">
        <v>0</v>
      </c>
      <c r="N1947" s="194">
        <v>0</v>
      </c>
      <c r="O1947" s="193">
        <f t="shared" si="425"/>
        <v>0</v>
      </c>
      <c r="P1947" s="194">
        <v>0</v>
      </c>
      <c r="Q1947" s="194">
        <v>0</v>
      </c>
      <c r="R1947" s="194">
        <v>0</v>
      </c>
      <c r="S1947" s="193">
        <f t="shared" si="426"/>
        <v>0</v>
      </c>
      <c r="T1947" s="193">
        <f t="shared" si="427"/>
        <v>0</v>
      </c>
      <c r="U1947" s="193">
        <f ca="1">OFFSET('Expenditure Study'!$B$7,'Operations Support'!$C1947,'Operations Support'!$B1947)*$G1947</f>
        <v>0</v>
      </c>
      <c r="V1947" s="199">
        <f ca="1">U1947*'Expenditure Study'!$B$31</f>
        <v>0</v>
      </c>
      <c r="W1947" s="199">
        <f ca="1">IF(A1947=10298,1.51,1)*IF($B1947&lt;3,$D1947*'Expenditure Study'!$B$32*OFFSET('Expenditure Study'!$B$7,'Operations Support'!$C1947,'Operations Support'!$B1947),0)</f>
        <v>0</v>
      </c>
      <c r="X1947" s="200">
        <f ca="1">W1947*'Expenditure Study'!$B$31</f>
        <v>0</v>
      </c>
      <c r="Y1947" s="199">
        <f ca="1">U1947*'Expenditure Study'!$B$31</f>
        <v>0</v>
      </c>
      <c r="Z1947" s="200">
        <f ca="1">W1947*'Expenditure Study'!$B$31</f>
        <v>0</v>
      </c>
      <c r="AA1947" s="195">
        <f t="shared" ca="1" si="428"/>
        <v>0</v>
      </c>
      <c r="AB1947" s="195">
        <f t="shared" ca="1" si="429"/>
        <v>0</v>
      </c>
      <c r="AD1947" s="196">
        <f>IFERROR($G1947/SUMIF($A:$A,$A1947,$G:$G)*SUMIF(Summary!$A$166:$A$242,$A1947,Summary!$P$166:$P$242),0)</f>
        <v>0</v>
      </c>
      <c r="AE1947" s="197">
        <f t="shared" ca="1" si="430"/>
        <v>0</v>
      </c>
      <c r="AF1947" s="196">
        <f>IFERROR(G1947/SUMIF(A:A,A1947,G:G)*SUMIF(Summary!$A$166:$A$242,'Operations Support'!A1947,Summary!$Q$166:$Q$242),0)</f>
        <v>0</v>
      </c>
      <c r="AG1947" s="196">
        <f t="shared" ca="1" si="431"/>
        <v>0</v>
      </c>
      <c r="AI1947" s="196">
        <f>IFERROR($G1947/SUMIF($A:$A,$A1947,$G:$G)*SUMIF(Summary!$A$247:$A$283,$A1947,Summary!$P$247:$P$283),0)</f>
        <v>0</v>
      </c>
      <c r="AJ1947" s="196">
        <f>IFERROR($G1947/SUMIF($A:$A,$A1947,$G:$G)*(SUMIF(Summary!$A$247:$A$283,$A1947,Summary!$L$247:$L$283)+SUMIF(Summary!$A$297:$A$333,$A1947,Summary!$L$297:$L$333))-AI1947,0)</f>
        <v>0</v>
      </c>
      <c r="AK1947" s="196">
        <f>IFERROR($G1947/SUMIF($A:$A,$A1947,$G:$G)*SUMIF(Summary!$A$247:$A$283,$A1947,Summary!$Q$247:$Q$283),0)</f>
        <v>0</v>
      </c>
      <c r="AL1947" s="196">
        <f>IFERROR($G1947/SUMIF($A:$A,$A1947,$G:$G)*(SUMIF(Summary!$A$247:$A$283,$A1947,Summary!$L$247:$L$283)+SUMIF(Summary!$A$297:$A$333,$A1947,Summary!$L$297:$L$333))-AK1947,0)</f>
        <v>0</v>
      </c>
      <c r="AM1947" s="198"/>
      <c r="AN1947" s="196">
        <f t="shared" ca="1" si="432"/>
        <v>0</v>
      </c>
      <c r="AO1947" s="196">
        <f t="shared" ca="1" si="433"/>
        <v>0</v>
      </c>
    </row>
    <row r="1948" spans="1:41">
      <c r="A1948" s="189">
        <v>3652</v>
      </c>
      <c r="B1948" s="190">
        <v>3</v>
      </c>
      <c r="C1948" s="191" t="s">
        <v>231</v>
      </c>
      <c r="D1948" s="192">
        <f t="shared" si="420"/>
        <v>0</v>
      </c>
      <c r="E1948" s="192">
        <f t="shared" si="421"/>
        <v>0</v>
      </c>
      <c r="F1948" s="192">
        <f t="shared" si="422"/>
        <v>0</v>
      </c>
      <c r="G1948" s="193">
        <f t="shared" si="423"/>
        <v>0</v>
      </c>
      <c r="H1948" s="194">
        <v>0</v>
      </c>
      <c r="I1948" s="194">
        <v>0</v>
      </c>
      <c r="J1948" s="194">
        <v>0</v>
      </c>
      <c r="K1948" s="193">
        <f t="shared" si="424"/>
        <v>0</v>
      </c>
      <c r="L1948" s="194">
        <v>0</v>
      </c>
      <c r="M1948" s="194">
        <v>0</v>
      </c>
      <c r="N1948" s="194">
        <v>0</v>
      </c>
      <c r="O1948" s="193">
        <f t="shared" si="425"/>
        <v>0</v>
      </c>
      <c r="P1948" s="194">
        <v>0</v>
      </c>
      <c r="Q1948" s="194">
        <v>0</v>
      </c>
      <c r="R1948" s="194">
        <v>0</v>
      </c>
      <c r="S1948" s="193">
        <f t="shared" si="426"/>
        <v>0</v>
      </c>
      <c r="T1948" s="193">
        <f t="shared" si="427"/>
        <v>0</v>
      </c>
      <c r="U1948" s="193">
        <f ca="1">OFFSET('Expenditure Study'!$B$7,'Operations Support'!$C1948,'Operations Support'!$B1948)*$G1948</f>
        <v>0</v>
      </c>
      <c r="V1948" s="199">
        <f ca="1">U1948*'Expenditure Study'!$B$31</f>
        <v>0</v>
      </c>
      <c r="W1948" s="199">
        <f ca="1">IF(A1948=10298,1.51,1)*IF($B1948&lt;3,$D1948*'Expenditure Study'!$B$32*OFFSET('Expenditure Study'!$B$7,'Operations Support'!$C1948,'Operations Support'!$B1948),0)</f>
        <v>0</v>
      </c>
      <c r="X1948" s="200">
        <f ca="1">W1948*'Expenditure Study'!$B$31</f>
        <v>0</v>
      </c>
      <c r="Y1948" s="199">
        <f ca="1">U1948*'Expenditure Study'!$B$31</f>
        <v>0</v>
      </c>
      <c r="Z1948" s="200">
        <f ca="1">W1948*'Expenditure Study'!$B$31</f>
        <v>0</v>
      </c>
      <c r="AA1948" s="195">
        <f t="shared" ca="1" si="428"/>
        <v>0</v>
      </c>
      <c r="AB1948" s="195">
        <f t="shared" ca="1" si="429"/>
        <v>0</v>
      </c>
      <c r="AD1948" s="196">
        <f>IFERROR($G1948/SUMIF($A:$A,$A1948,$G:$G)*SUMIF(Summary!$A$166:$A$242,$A1948,Summary!$P$166:$P$242),0)</f>
        <v>0</v>
      </c>
      <c r="AE1948" s="197">
        <f t="shared" ca="1" si="430"/>
        <v>0</v>
      </c>
      <c r="AF1948" s="196">
        <f>IFERROR(G1948/SUMIF(A:A,A1948,G:G)*SUMIF(Summary!$A$166:$A$242,'Operations Support'!A1948,Summary!$Q$166:$Q$242),0)</f>
        <v>0</v>
      </c>
      <c r="AG1948" s="196">
        <f t="shared" ca="1" si="431"/>
        <v>0</v>
      </c>
      <c r="AI1948" s="196">
        <f>IFERROR($G1948/SUMIF($A:$A,$A1948,$G:$G)*SUMIF(Summary!$A$247:$A$283,$A1948,Summary!$P$247:$P$283),0)</f>
        <v>0</v>
      </c>
      <c r="AJ1948" s="196">
        <f>IFERROR($G1948/SUMIF($A:$A,$A1948,$G:$G)*(SUMIF(Summary!$A$247:$A$283,$A1948,Summary!$L$247:$L$283)+SUMIF(Summary!$A$297:$A$333,$A1948,Summary!$L$297:$L$333))-AI1948,0)</f>
        <v>0</v>
      </c>
      <c r="AK1948" s="196">
        <f>IFERROR($G1948/SUMIF($A:$A,$A1948,$G:$G)*SUMIF(Summary!$A$247:$A$283,$A1948,Summary!$Q$247:$Q$283),0)</f>
        <v>0</v>
      </c>
      <c r="AL1948" s="196">
        <f>IFERROR($G1948/SUMIF($A:$A,$A1948,$G:$G)*(SUMIF(Summary!$A$247:$A$283,$A1948,Summary!$L$247:$L$283)+SUMIF(Summary!$A$297:$A$333,$A1948,Summary!$L$297:$L$333))-AK1948,0)</f>
        <v>0</v>
      </c>
      <c r="AM1948" s="198"/>
      <c r="AN1948" s="196">
        <f t="shared" ca="1" si="432"/>
        <v>0</v>
      </c>
      <c r="AO1948" s="196">
        <f t="shared" ca="1" si="433"/>
        <v>0</v>
      </c>
    </row>
    <row r="1949" spans="1:41">
      <c r="A1949" s="189">
        <v>3652</v>
      </c>
      <c r="B1949" s="190">
        <v>3</v>
      </c>
      <c r="C1949" s="191" t="s">
        <v>232</v>
      </c>
      <c r="D1949" s="192">
        <f t="shared" si="420"/>
        <v>0</v>
      </c>
      <c r="E1949" s="192">
        <f t="shared" si="421"/>
        <v>0</v>
      </c>
      <c r="F1949" s="192">
        <f t="shared" si="422"/>
        <v>0</v>
      </c>
      <c r="G1949" s="193">
        <f t="shared" si="423"/>
        <v>0</v>
      </c>
      <c r="H1949" s="194">
        <v>0</v>
      </c>
      <c r="I1949" s="194">
        <v>0</v>
      </c>
      <c r="J1949" s="194">
        <v>0</v>
      </c>
      <c r="K1949" s="193">
        <f t="shared" si="424"/>
        <v>0</v>
      </c>
      <c r="L1949" s="194">
        <v>0</v>
      </c>
      <c r="M1949" s="194">
        <v>0</v>
      </c>
      <c r="N1949" s="194">
        <v>0</v>
      </c>
      <c r="O1949" s="193">
        <f t="shared" si="425"/>
        <v>0</v>
      </c>
      <c r="P1949" s="194">
        <v>0</v>
      </c>
      <c r="Q1949" s="194">
        <v>0</v>
      </c>
      <c r="R1949" s="194">
        <v>0</v>
      </c>
      <c r="S1949" s="193">
        <f t="shared" si="426"/>
        <v>0</v>
      </c>
      <c r="T1949" s="193">
        <f t="shared" si="427"/>
        <v>0</v>
      </c>
      <c r="U1949" s="193">
        <f ca="1">OFFSET('Expenditure Study'!$B$7,'Operations Support'!$C1949,'Operations Support'!$B1949)*$G1949</f>
        <v>0</v>
      </c>
      <c r="V1949" s="199">
        <f ca="1">U1949*'Expenditure Study'!$B$31</f>
        <v>0</v>
      </c>
      <c r="W1949" s="199">
        <f ca="1">IF(A1949=10298,1.51,1)*IF($B1949&lt;3,$D1949*'Expenditure Study'!$B$32*OFFSET('Expenditure Study'!$B$7,'Operations Support'!$C1949,'Operations Support'!$B1949),0)</f>
        <v>0</v>
      </c>
      <c r="X1949" s="200">
        <f ca="1">W1949*'Expenditure Study'!$B$31</f>
        <v>0</v>
      </c>
      <c r="Y1949" s="199">
        <f ca="1">U1949*'Expenditure Study'!$B$31</f>
        <v>0</v>
      </c>
      <c r="Z1949" s="200">
        <f ca="1">W1949*'Expenditure Study'!$B$31</f>
        <v>0</v>
      </c>
      <c r="AA1949" s="195">
        <f t="shared" ca="1" si="428"/>
        <v>0</v>
      </c>
      <c r="AB1949" s="195">
        <f t="shared" ca="1" si="429"/>
        <v>0</v>
      </c>
      <c r="AD1949" s="196">
        <f>IFERROR($G1949/SUMIF($A:$A,$A1949,$G:$G)*SUMIF(Summary!$A$166:$A$242,$A1949,Summary!$P$166:$P$242),0)</f>
        <v>0</v>
      </c>
      <c r="AE1949" s="197">
        <f t="shared" ca="1" si="430"/>
        <v>0</v>
      </c>
      <c r="AF1949" s="196">
        <f>IFERROR(G1949/SUMIF(A:A,A1949,G:G)*SUMIF(Summary!$A$166:$A$242,'Operations Support'!A1949,Summary!$Q$166:$Q$242),0)</f>
        <v>0</v>
      </c>
      <c r="AG1949" s="196">
        <f t="shared" ca="1" si="431"/>
        <v>0</v>
      </c>
      <c r="AI1949" s="196">
        <f>IFERROR($G1949/SUMIF($A:$A,$A1949,$G:$G)*SUMIF(Summary!$A$247:$A$283,$A1949,Summary!$P$247:$P$283),0)</f>
        <v>0</v>
      </c>
      <c r="AJ1949" s="196">
        <f>IFERROR($G1949/SUMIF($A:$A,$A1949,$G:$G)*(SUMIF(Summary!$A$247:$A$283,$A1949,Summary!$L$247:$L$283)+SUMIF(Summary!$A$297:$A$333,$A1949,Summary!$L$297:$L$333))-AI1949,0)</f>
        <v>0</v>
      </c>
      <c r="AK1949" s="196">
        <f>IFERROR($G1949/SUMIF($A:$A,$A1949,$G:$G)*SUMIF(Summary!$A$247:$A$283,$A1949,Summary!$Q$247:$Q$283),0)</f>
        <v>0</v>
      </c>
      <c r="AL1949" s="196">
        <f>IFERROR($G1949/SUMIF($A:$A,$A1949,$G:$G)*(SUMIF(Summary!$A$247:$A$283,$A1949,Summary!$L$247:$L$283)+SUMIF(Summary!$A$297:$A$333,$A1949,Summary!$L$297:$L$333))-AK1949,0)</f>
        <v>0</v>
      </c>
      <c r="AM1949" s="198"/>
      <c r="AN1949" s="196">
        <f t="shared" ca="1" si="432"/>
        <v>0</v>
      </c>
      <c r="AO1949" s="196">
        <f t="shared" ca="1" si="433"/>
        <v>0</v>
      </c>
    </row>
    <row r="1950" spans="1:41">
      <c r="A1950" s="189">
        <v>3652</v>
      </c>
      <c r="B1950" s="190">
        <v>3</v>
      </c>
      <c r="C1950" s="191" t="s">
        <v>233</v>
      </c>
      <c r="D1950" s="192">
        <f t="shared" si="420"/>
        <v>753.5</v>
      </c>
      <c r="E1950" s="192">
        <f t="shared" si="421"/>
        <v>1567.5</v>
      </c>
      <c r="F1950" s="192">
        <f t="shared" si="422"/>
        <v>0</v>
      </c>
      <c r="G1950" s="193">
        <f t="shared" si="423"/>
        <v>2321</v>
      </c>
      <c r="H1950" s="194">
        <v>399</v>
      </c>
      <c r="I1950" s="194">
        <v>474</v>
      </c>
      <c r="J1950" s="194">
        <v>0</v>
      </c>
      <c r="K1950" s="193">
        <f t="shared" si="424"/>
        <v>873</v>
      </c>
      <c r="L1950" s="194">
        <v>339.5</v>
      </c>
      <c r="M1950" s="194">
        <v>768.5</v>
      </c>
      <c r="N1950" s="194">
        <v>0</v>
      </c>
      <c r="O1950" s="193">
        <f t="shared" si="425"/>
        <v>1108</v>
      </c>
      <c r="P1950" s="194">
        <v>15</v>
      </c>
      <c r="Q1950" s="194">
        <v>325</v>
      </c>
      <c r="R1950" s="194">
        <v>0</v>
      </c>
      <c r="S1950" s="193">
        <f t="shared" si="426"/>
        <v>340</v>
      </c>
      <c r="T1950" s="193">
        <f t="shared" si="427"/>
        <v>96.708333333333329</v>
      </c>
      <c r="U1950" s="193">
        <f ca="1">OFFSET('Expenditure Study'!$B$7,'Operations Support'!$C1950,'Operations Support'!$B1950)*$G1950</f>
        <v>6081.02</v>
      </c>
      <c r="V1950" s="199">
        <f ca="1">U1950*'Expenditure Study'!$B$31</f>
        <v>359286.00410841603</v>
      </c>
      <c r="W1950" s="199">
        <f ca="1">IF(A1950=10298,1.51,1)*IF($B1950&lt;3,$D1950*'Expenditure Study'!$B$32*OFFSET('Expenditure Study'!$B$7,'Operations Support'!$C1950,'Operations Support'!$B1950),0)</f>
        <v>0</v>
      </c>
      <c r="X1950" s="200">
        <f ca="1">W1950*'Expenditure Study'!$B$31</f>
        <v>0</v>
      </c>
      <c r="Y1950" s="199">
        <f ca="1">U1950*'Expenditure Study'!$B$31</f>
        <v>359286.00410841603</v>
      </c>
      <c r="Z1950" s="200">
        <f ca="1">W1950*'Expenditure Study'!$B$31</f>
        <v>0</v>
      </c>
      <c r="AA1950" s="195">
        <f t="shared" ca="1" si="428"/>
        <v>359286.00410841603</v>
      </c>
      <c r="AB1950" s="195">
        <f t="shared" ca="1" si="429"/>
        <v>359286.00410841603</v>
      </c>
      <c r="AD1950" s="196">
        <f>IFERROR($G1950/SUMIF($A:$A,$A1950,$G:$G)*SUMIF(Summary!$A$166:$A$242,$A1950,Summary!$P$166:$P$242),0)</f>
        <v>85275.201547546108</v>
      </c>
      <c r="AE1950" s="197">
        <f t="shared" ca="1" si="430"/>
        <v>274010.80256086995</v>
      </c>
      <c r="AF1950" s="196">
        <f>IFERROR(G1950/SUMIF(A:A,A1950,G:G)*SUMIF(Summary!$A$166:$A$242,'Operations Support'!A1950,Summary!$Q$166:$Q$242),0)</f>
        <v>85567.812813732759</v>
      </c>
      <c r="AG1950" s="196">
        <f t="shared" ca="1" si="431"/>
        <v>273718.19129468326</v>
      </c>
      <c r="AI1950" s="196">
        <f>IFERROR($G1950/SUMIF($A:$A,$A1950,$G:$G)*SUMIF(Summary!$A$247:$A$283,$A1950,Summary!$P$247:$P$283),0)</f>
        <v>15552.068743338757</v>
      </c>
      <c r="AJ1950" s="196">
        <f>IFERROR($G1950/SUMIF($A:$A,$A1950,$G:$G)*(SUMIF(Summary!$A$247:$A$283,$A1950,Summary!$L$247:$L$283)+SUMIF(Summary!$A$297:$A$333,$A1950,Summary!$L$297:$L$333))-AI1950,0)</f>
        <v>37374.355579344876</v>
      </c>
      <c r="AK1950" s="196">
        <f>IFERROR($G1950/SUMIF($A:$A,$A1950,$G:$G)*SUMIF(Summary!$A$247:$A$283,$A1950,Summary!$Q$247:$Q$283),0)</f>
        <v>15605.43373625845</v>
      </c>
      <c r="AL1950" s="196">
        <f>IFERROR($G1950/SUMIF($A:$A,$A1950,$G:$G)*(SUMIF(Summary!$A$247:$A$283,$A1950,Summary!$L$247:$L$283)+SUMIF(Summary!$A$297:$A$333,$A1950,Summary!$L$297:$L$333))-AK1950,0)</f>
        <v>37320.990586425185</v>
      </c>
      <c r="AM1950" s="198"/>
      <c r="AN1950" s="196">
        <f t="shared" ca="1" si="432"/>
        <v>311385.15814021486</v>
      </c>
      <c r="AO1950" s="196">
        <f t="shared" ca="1" si="433"/>
        <v>311039.18188110844</v>
      </c>
    </row>
    <row r="1951" spans="1:41">
      <c r="A1951" s="189">
        <v>3652</v>
      </c>
      <c r="B1951" s="190">
        <v>3</v>
      </c>
      <c r="C1951" s="191" t="s">
        <v>234</v>
      </c>
      <c r="D1951" s="192">
        <f t="shared" si="420"/>
        <v>576</v>
      </c>
      <c r="E1951" s="192">
        <f t="shared" si="421"/>
        <v>199.5</v>
      </c>
      <c r="F1951" s="192">
        <f t="shared" si="422"/>
        <v>0</v>
      </c>
      <c r="G1951" s="193">
        <f t="shared" si="423"/>
        <v>775.5</v>
      </c>
      <c r="H1951" s="194">
        <v>263</v>
      </c>
      <c r="I1951" s="194">
        <v>75.5</v>
      </c>
      <c r="J1951" s="194">
        <v>0</v>
      </c>
      <c r="K1951" s="193">
        <f t="shared" si="424"/>
        <v>338.5</v>
      </c>
      <c r="L1951" s="194">
        <v>290</v>
      </c>
      <c r="M1951" s="194">
        <v>88</v>
      </c>
      <c r="N1951" s="194">
        <v>0</v>
      </c>
      <c r="O1951" s="193">
        <f t="shared" si="425"/>
        <v>378</v>
      </c>
      <c r="P1951" s="194">
        <v>23</v>
      </c>
      <c r="Q1951" s="194">
        <v>36</v>
      </c>
      <c r="R1951" s="194">
        <v>0</v>
      </c>
      <c r="S1951" s="193">
        <f t="shared" si="426"/>
        <v>59</v>
      </c>
      <c r="T1951" s="193">
        <f t="shared" si="427"/>
        <v>32.3125</v>
      </c>
      <c r="U1951" s="193">
        <f ca="1">OFFSET('Expenditure Study'!$B$7,'Operations Support'!$C1951,'Operations Support'!$B1951)*$G1951</f>
        <v>34129.754999999997</v>
      </c>
      <c r="V1951" s="199">
        <f ca="1">U1951*'Expenditure Study'!$B$31</f>
        <v>2016494.4853247039</v>
      </c>
      <c r="W1951" s="199">
        <f ca="1">IF(A1951=10298,1.51,1)*IF($B1951&lt;3,$D1951*'Expenditure Study'!$B$32*OFFSET('Expenditure Study'!$B$7,'Operations Support'!$C1951,'Operations Support'!$B1951),0)</f>
        <v>0</v>
      </c>
      <c r="X1951" s="200">
        <f ca="1">W1951*'Expenditure Study'!$B$31</f>
        <v>0</v>
      </c>
      <c r="Y1951" s="199">
        <f ca="1">U1951*'Expenditure Study'!$B$31</f>
        <v>2016494.4853247039</v>
      </c>
      <c r="Z1951" s="200">
        <f ca="1">W1951*'Expenditure Study'!$B$31</f>
        <v>0</v>
      </c>
      <c r="AA1951" s="195">
        <f t="shared" ca="1" si="428"/>
        <v>2016494.4853247039</v>
      </c>
      <c r="AB1951" s="195">
        <f t="shared" ca="1" si="429"/>
        <v>2016494.4853247039</v>
      </c>
      <c r="AD1951" s="196">
        <f>IFERROR($G1951/SUMIF($A:$A,$A1951,$G:$G)*SUMIF(Summary!$A$166:$A$242,$A1951,Summary!$P$166:$P$242),0)</f>
        <v>28492.425161620857</v>
      </c>
      <c r="AE1951" s="197">
        <f t="shared" ca="1" si="430"/>
        <v>1988002.060163083</v>
      </c>
      <c r="AF1951" s="196">
        <f>IFERROR(G1951/SUMIF(A:A,A1951,G:G)*SUMIF(Summary!$A$166:$A$242,'Operations Support'!A1951,Summary!$Q$166:$Q$242),0)</f>
        <v>28590.193380891746</v>
      </c>
      <c r="AG1951" s="196">
        <f t="shared" ca="1" si="431"/>
        <v>1987904.291943812</v>
      </c>
      <c r="AI1951" s="196">
        <f>IFERROR($G1951/SUMIF($A:$A,$A1951,$G:$G)*SUMIF(Summary!$A$247:$A$283,$A1951,Summary!$P$247:$P$283),0)</f>
        <v>5196.3073289354616</v>
      </c>
      <c r="AJ1951" s="196">
        <f>IFERROR($G1951/SUMIF($A:$A,$A1951,$G:$G)*(SUMIF(Summary!$A$247:$A$283,$A1951,Summary!$L$247:$L$283)+SUMIF(Summary!$A$297:$A$333,$A1951,Summary!$L$297:$L$333))-AI1951,0)</f>
        <v>12487.640134330868</v>
      </c>
      <c r="AK1951" s="196">
        <f>IFERROR($G1951/SUMIF($A:$A,$A1951,$G:$G)*SUMIF(Summary!$A$247:$A$283,$A1951,Summary!$Q$247:$Q$283),0)</f>
        <v>5214.137812351757</v>
      </c>
      <c r="AL1951" s="196">
        <f>IFERROR($G1951/SUMIF($A:$A,$A1951,$G:$G)*(SUMIF(Summary!$A$247:$A$283,$A1951,Summary!$L$247:$L$283)+SUMIF(Summary!$A$297:$A$333,$A1951,Summary!$L$297:$L$333))-AK1951,0)</f>
        <v>12469.809650914573</v>
      </c>
      <c r="AM1951" s="198"/>
      <c r="AN1951" s="196">
        <f t="shared" ca="1" si="432"/>
        <v>2000489.7002974139</v>
      </c>
      <c r="AO1951" s="196">
        <f t="shared" ca="1" si="433"/>
        <v>2000374.1015947266</v>
      </c>
    </row>
    <row r="1952" spans="1:41">
      <c r="A1952" s="189">
        <v>3652</v>
      </c>
      <c r="B1952" s="190">
        <v>3</v>
      </c>
      <c r="C1952" s="191" t="s">
        <v>235</v>
      </c>
      <c r="D1952" s="192">
        <f t="shared" si="420"/>
        <v>12324.29</v>
      </c>
      <c r="E1952" s="192">
        <f t="shared" si="421"/>
        <v>13867.21</v>
      </c>
      <c r="F1952" s="192">
        <f t="shared" si="422"/>
        <v>0</v>
      </c>
      <c r="G1952" s="193">
        <f t="shared" si="423"/>
        <v>26191.5</v>
      </c>
      <c r="H1952" s="194">
        <v>5153.68</v>
      </c>
      <c r="I1952" s="194">
        <v>6056.82</v>
      </c>
      <c r="J1952" s="194">
        <v>0</v>
      </c>
      <c r="K1952" s="193">
        <f t="shared" si="424"/>
        <v>11210.5</v>
      </c>
      <c r="L1952" s="194">
        <v>5613.11</v>
      </c>
      <c r="M1952" s="194">
        <v>5271.89</v>
      </c>
      <c r="N1952" s="194">
        <v>0</v>
      </c>
      <c r="O1952" s="193">
        <f t="shared" si="425"/>
        <v>10885</v>
      </c>
      <c r="P1952" s="194">
        <v>1557.5</v>
      </c>
      <c r="Q1952" s="194">
        <v>2538.5</v>
      </c>
      <c r="R1952" s="194">
        <v>0</v>
      </c>
      <c r="S1952" s="193">
        <f t="shared" si="426"/>
        <v>4096</v>
      </c>
      <c r="T1952" s="193">
        <f t="shared" si="427"/>
        <v>1091.3125</v>
      </c>
      <c r="U1952" s="193">
        <f ca="1">OFFSET('Expenditure Study'!$B$7,'Operations Support'!$C1952,'Operations Support'!$B1952)*$G1952</f>
        <v>82765.14</v>
      </c>
      <c r="V1952" s="199">
        <f ca="1">U1952*'Expenditure Study'!$B$31</f>
        <v>4890027.7305573123</v>
      </c>
      <c r="W1952" s="199">
        <f ca="1">IF(A1952=10298,1.51,1)*IF($B1952&lt;3,$D1952*'Expenditure Study'!$B$32*OFFSET('Expenditure Study'!$B$7,'Operations Support'!$C1952,'Operations Support'!$B1952),0)</f>
        <v>0</v>
      </c>
      <c r="X1952" s="200">
        <f ca="1">W1952*'Expenditure Study'!$B$31</f>
        <v>0</v>
      </c>
      <c r="Y1952" s="199">
        <f ca="1">U1952*'Expenditure Study'!$B$31</f>
        <v>4890027.7305573123</v>
      </c>
      <c r="Z1952" s="200">
        <f ca="1">W1952*'Expenditure Study'!$B$31</f>
        <v>0</v>
      </c>
      <c r="AA1952" s="195">
        <f t="shared" ca="1" si="428"/>
        <v>4890027.7305573123</v>
      </c>
      <c r="AB1952" s="195">
        <f t="shared" ca="1" si="429"/>
        <v>4890027.7305573123</v>
      </c>
      <c r="AD1952" s="196">
        <f>IFERROR($G1952/SUMIF($A:$A,$A1952,$G:$G)*SUMIF(Summary!$A$166:$A$242,$A1952,Summary!$P$166:$P$242),0)</f>
        <v>962294.45985892031</v>
      </c>
      <c r="AE1952" s="197">
        <f t="shared" ca="1" si="430"/>
        <v>3927733.2706983918</v>
      </c>
      <c r="AF1952" s="196">
        <f>IFERROR(G1952/SUMIF(A:A,A1952,G:G)*SUMIF(Summary!$A$166:$A$242,'Operations Support'!A1952,Summary!$Q$166:$Q$242),0)</f>
        <v>965596.4538176998</v>
      </c>
      <c r="AG1952" s="196">
        <f t="shared" ca="1" si="431"/>
        <v>3924431.2767396122</v>
      </c>
      <c r="AI1952" s="196">
        <f>IFERROR($G1952/SUMIF($A:$A,$A1952,$G:$G)*SUMIF(Summary!$A$247:$A$283,$A1952,Summary!$P$247:$P$283),0)</f>
        <v>175498.49568770232</v>
      </c>
      <c r="AJ1952" s="196">
        <f>IFERROR($G1952/SUMIF($A:$A,$A1952,$G:$G)*(SUMIF(Summary!$A$247:$A$283,$A1952,Summary!$L$247:$L$283)+SUMIF(Summary!$A$297:$A$333,$A1952,Summary!$L$297:$L$333))-AI1952,0)</f>
        <v>421753.74155812629</v>
      </c>
      <c r="AK1952" s="196">
        <f>IFERROR($G1952/SUMIF($A:$A,$A1952,$G:$G)*SUMIF(Summary!$A$247:$A$283,$A1952,Summary!$Q$247:$Q$283),0)</f>
        <v>176100.69698544301</v>
      </c>
      <c r="AL1952" s="196">
        <f>IFERROR($G1952/SUMIF($A:$A,$A1952,$G:$G)*(SUMIF(Summary!$A$247:$A$283,$A1952,Summary!$L$247:$L$283)+SUMIF(Summary!$A$297:$A$333,$A1952,Summary!$L$297:$L$333))-AK1952,0)</f>
        <v>421151.54026038561</v>
      </c>
      <c r="AM1952" s="198"/>
      <c r="AN1952" s="196">
        <f t="shared" ca="1" si="432"/>
        <v>4349487.012256518</v>
      </c>
      <c r="AO1952" s="196">
        <f t="shared" ca="1" si="433"/>
        <v>4345582.8169999979</v>
      </c>
    </row>
    <row r="1953" spans="1:41">
      <c r="A1953" s="189">
        <v>3652</v>
      </c>
      <c r="B1953" s="190">
        <v>3</v>
      </c>
      <c r="C1953" s="191" t="s">
        <v>236</v>
      </c>
      <c r="D1953" s="192">
        <f t="shared" si="420"/>
        <v>0</v>
      </c>
      <c r="E1953" s="192">
        <f t="shared" si="421"/>
        <v>0</v>
      </c>
      <c r="F1953" s="192">
        <f t="shared" si="422"/>
        <v>0</v>
      </c>
      <c r="G1953" s="193">
        <f t="shared" si="423"/>
        <v>0</v>
      </c>
      <c r="H1953" s="194">
        <v>0</v>
      </c>
      <c r="I1953" s="194">
        <v>0</v>
      </c>
      <c r="J1953" s="194">
        <v>0</v>
      </c>
      <c r="K1953" s="193">
        <f t="shared" si="424"/>
        <v>0</v>
      </c>
      <c r="L1953" s="194">
        <v>0</v>
      </c>
      <c r="M1953" s="194">
        <v>0</v>
      </c>
      <c r="N1953" s="194">
        <v>0</v>
      </c>
      <c r="O1953" s="193">
        <f t="shared" si="425"/>
        <v>0</v>
      </c>
      <c r="P1953" s="194">
        <v>0</v>
      </c>
      <c r="Q1953" s="194">
        <v>0</v>
      </c>
      <c r="R1953" s="194">
        <v>0</v>
      </c>
      <c r="S1953" s="193">
        <f t="shared" si="426"/>
        <v>0</v>
      </c>
      <c r="T1953" s="193">
        <f t="shared" si="427"/>
        <v>0</v>
      </c>
      <c r="U1953" s="193">
        <f ca="1">OFFSET('Expenditure Study'!$B$7,'Operations Support'!$C1953,'Operations Support'!$B1953)*$G1953</f>
        <v>0</v>
      </c>
      <c r="V1953" s="199">
        <f ca="1">U1953*'Expenditure Study'!$B$31</f>
        <v>0</v>
      </c>
      <c r="W1953" s="199">
        <f ca="1">IF(A1953=10298,1.51,1)*IF($B1953&lt;3,$D1953*'Expenditure Study'!$B$32*OFFSET('Expenditure Study'!$B$7,'Operations Support'!$C1953,'Operations Support'!$B1953),0)</f>
        <v>0</v>
      </c>
      <c r="X1953" s="200">
        <f ca="1">W1953*'Expenditure Study'!$B$31</f>
        <v>0</v>
      </c>
      <c r="Y1953" s="199">
        <f ca="1">U1953*'Expenditure Study'!$B$31</f>
        <v>0</v>
      </c>
      <c r="Z1953" s="200">
        <f ca="1">W1953*'Expenditure Study'!$B$31</f>
        <v>0</v>
      </c>
      <c r="AA1953" s="195">
        <f t="shared" ca="1" si="428"/>
        <v>0</v>
      </c>
      <c r="AB1953" s="195">
        <f t="shared" ca="1" si="429"/>
        <v>0</v>
      </c>
      <c r="AD1953" s="196">
        <f>IFERROR($G1953/SUMIF($A:$A,$A1953,$G:$G)*SUMIF(Summary!$A$166:$A$242,$A1953,Summary!$P$166:$P$242),0)</f>
        <v>0</v>
      </c>
      <c r="AE1953" s="197">
        <f t="shared" ca="1" si="430"/>
        <v>0</v>
      </c>
      <c r="AF1953" s="196">
        <f>IFERROR(G1953/SUMIF(A:A,A1953,G:G)*SUMIF(Summary!$A$166:$A$242,'Operations Support'!A1953,Summary!$Q$166:$Q$242),0)</f>
        <v>0</v>
      </c>
      <c r="AG1953" s="196">
        <f t="shared" ca="1" si="431"/>
        <v>0</v>
      </c>
      <c r="AI1953" s="196">
        <f>IFERROR($G1953/SUMIF($A:$A,$A1953,$G:$G)*SUMIF(Summary!$A$247:$A$283,$A1953,Summary!$P$247:$P$283),0)</f>
        <v>0</v>
      </c>
      <c r="AJ1953" s="196">
        <f>IFERROR($G1953/SUMIF($A:$A,$A1953,$G:$G)*(SUMIF(Summary!$A$247:$A$283,$A1953,Summary!$L$247:$L$283)+SUMIF(Summary!$A$297:$A$333,$A1953,Summary!$L$297:$L$333))-AI1953,0)</f>
        <v>0</v>
      </c>
      <c r="AK1953" s="196">
        <f>IFERROR($G1953/SUMIF($A:$A,$A1953,$G:$G)*SUMIF(Summary!$A$247:$A$283,$A1953,Summary!$Q$247:$Q$283),0)</f>
        <v>0</v>
      </c>
      <c r="AL1953" s="196">
        <f>IFERROR($G1953/SUMIF($A:$A,$A1953,$G:$G)*(SUMIF(Summary!$A$247:$A$283,$A1953,Summary!$L$247:$L$283)+SUMIF(Summary!$A$297:$A$333,$A1953,Summary!$L$297:$L$333))-AK1953,0)</f>
        <v>0</v>
      </c>
      <c r="AM1953" s="198"/>
      <c r="AN1953" s="196">
        <f t="shared" ca="1" si="432"/>
        <v>0</v>
      </c>
      <c r="AO1953" s="196">
        <f t="shared" ca="1" si="433"/>
        <v>0</v>
      </c>
    </row>
    <row r="1954" spans="1:41">
      <c r="A1954" s="189">
        <v>3652</v>
      </c>
      <c r="B1954" s="190">
        <v>3</v>
      </c>
      <c r="C1954" s="191" t="s">
        <v>237</v>
      </c>
      <c r="D1954" s="192">
        <f t="shared" si="420"/>
        <v>0</v>
      </c>
      <c r="E1954" s="192">
        <f t="shared" si="421"/>
        <v>0</v>
      </c>
      <c r="F1954" s="192">
        <f t="shared" si="422"/>
        <v>0</v>
      </c>
      <c r="G1954" s="193">
        <f t="shared" si="423"/>
        <v>0</v>
      </c>
      <c r="H1954" s="194">
        <v>0</v>
      </c>
      <c r="I1954" s="194">
        <v>0</v>
      </c>
      <c r="J1954" s="194">
        <v>0</v>
      </c>
      <c r="K1954" s="193">
        <f t="shared" si="424"/>
        <v>0</v>
      </c>
      <c r="L1954" s="194">
        <v>0</v>
      </c>
      <c r="M1954" s="194">
        <v>0</v>
      </c>
      <c r="N1954" s="194">
        <v>0</v>
      </c>
      <c r="O1954" s="193">
        <f t="shared" si="425"/>
        <v>0</v>
      </c>
      <c r="P1954" s="194">
        <v>0</v>
      </c>
      <c r="Q1954" s="194">
        <v>0</v>
      </c>
      <c r="R1954" s="194">
        <v>0</v>
      </c>
      <c r="S1954" s="193">
        <f t="shared" si="426"/>
        <v>0</v>
      </c>
      <c r="T1954" s="193">
        <f t="shared" si="427"/>
        <v>0</v>
      </c>
      <c r="U1954" s="193">
        <f ca="1">OFFSET('Expenditure Study'!$B$7,'Operations Support'!$C1954,'Operations Support'!$B1954)*$G1954</f>
        <v>0</v>
      </c>
      <c r="V1954" s="199">
        <f ca="1">U1954*'Expenditure Study'!$B$31</f>
        <v>0</v>
      </c>
      <c r="W1954" s="199">
        <f ca="1">IF(A1954=10298,1.51,1)*IF($B1954&lt;3,$D1954*'Expenditure Study'!$B$32*OFFSET('Expenditure Study'!$B$7,'Operations Support'!$C1954,'Operations Support'!$B1954),0)</f>
        <v>0</v>
      </c>
      <c r="X1954" s="200">
        <f ca="1">W1954*'Expenditure Study'!$B$31</f>
        <v>0</v>
      </c>
      <c r="Y1954" s="199">
        <f ca="1">U1954*'Expenditure Study'!$B$31</f>
        <v>0</v>
      </c>
      <c r="Z1954" s="200">
        <f ca="1">W1954*'Expenditure Study'!$B$31</f>
        <v>0</v>
      </c>
      <c r="AA1954" s="195">
        <f t="shared" ca="1" si="428"/>
        <v>0</v>
      </c>
      <c r="AB1954" s="195">
        <f t="shared" ca="1" si="429"/>
        <v>0</v>
      </c>
      <c r="AD1954" s="196">
        <f>IFERROR($G1954/SUMIF($A:$A,$A1954,$G:$G)*SUMIF(Summary!$A$166:$A$242,$A1954,Summary!$P$166:$P$242),0)</f>
        <v>0</v>
      </c>
      <c r="AE1954" s="197">
        <f t="shared" ca="1" si="430"/>
        <v>0</v>
      </c>
      <c r="AF1954" s="196">
        <f>IFERROR(G1954/SUMIF(A:A,A1954,G:G)*SUMIF(Summary!$A$166:$A$242,'Operations Support'!A1954,Summary!$Q$166:$Q$242),0)</f>
        <v>0</v>
      </c>
      <c r="AG1954" s="196">
        <f t="shared" ca="1" si="431"/>
        <v>0</v>
      </c>
      <c r="AI1954" s="196">
        <f>IFERROR($G1954/SUMIF($A:$A,$A1954,$G:$G)*SUMIF(Summary!$A$247:$A$283,$A1954,Summary!$P$247:$P$283),0)</f>
        <v>0</v>
      </c>
      <c r="AJ1954" s="196">
        <f>IFERROR($G1954/SUMIF($A:$A,$A1954,$G:$G)*(SUMIF(Summary!$A$247:$A$283,$A1954,Summary!$L$247:$L$283)+SUMIF(Summary!$A$297:$A$333,$A1954,Summary!$L$297:$L$333))-AI1954,0)</f>
        <v>0</v>
      </c>
      <c r="AK1954" s="196">
        <f>IFERROR($G1954/SUMIF($A:$A,$A1954,$G:$G)*SUMIF(Summary!$A$247:$A$283,$A1954,Summary!$Q$247:$Q$283),0)</f>
        <v>0</v>
      </c>
      <c r="AL1954" s="196">
        <f>IFERROR($G1954/SUMIF($A:$A,$A1954,$G:$G)*(SUMIF(Summary!$A$247:$A$283,$A1954,Summary!$L$247:$L$283)+SUMIF(Summary!$A$297:$A$333,$A1954,Summary!$L$297:$L$333))-AK1954,0)</f>
        <v>0</v>
      </c>
      <c r="AM1954" s="198"/>
      <c r="AN1954" s="196">
        <f t="shared" ca="1" si="432"/>
        <v>0</v>
      </c>
      <c r="AO1954" s="196">
        <f t="shared" ca="1" si="433"/>
        <v>0</v>
      </c>
    </row>
    <row r="1955" spans="1:41">
      <c r="A1955" s="189">
        <v>3652</v>
      </c>
      <c r="B1955" s="190">
        <v>3</v>
      </c>
      <c r="C1955" s="191" t="s">
        <v>238</v>
      </c>
      <c r="D1955" s="192">
        <f t="shared" si="420"/>
        <v>1630.5</v>
      </c>
      <c r="E1955" s="192">
        <f t="shared" si="421"/>
        <v>235.5</v>
      </c>
      <c r="F1955" s="192">
        <f t="shared" si="422"/>
        <v>0</v>
      </c>
      <c r="G1955" s="193">
        <f t="shared" si="423"/>
        <v>1866</v>
      </c>
      <c r="H1955" s="194">
        <v>772.5</v>
      </c>
      <c r="I1955" s="194">
        <v>85.5</v>
      </c>
      <c r="J1955" s="194">
        <v>0</v>
      </c>
      <c r="K1955" s="193">
        <f t="shared" si="424"/>
        <v>858</v>
      </c>
      <c r="L1955" s="194">
        <v>813</v>
      </c>
      <c r="M1955" s="194">
        <v>147</v>
      </c>
      <c r="N1955" s="194">
        <v>0</v>
      </c>
      <c r="O1955" s="193">
        <f t="shared" si="425"/>
        <v>960</v>
      </c>
      <c r="P1955" s="194">
        <v>45</v>
      </c>
      <c r="Q1955" s="194">
        <v>3</v>
      </c>
      <c r="R1955" s="194">
        <v>0</v>
      </c>
      <c r="S1955" s="193">
        <f t="shared" si="426"/>
        <v>48</v>
      </c>
      <c r="T1955" s="193">
        <f t="shared" si="427"/>
        <v>77.75</v>
      </c>
      <c r="U1955" s="193">
        <f ca="1">OFFSET('Expenditure Study'!$B$7,'Operations Support'!$C1955,'Operations Support'!$B1955)*$G1955</f>
        <v>10897.44</v>
      </c>
      <c r="V1955" s="199">
        <f ca="1">U1955*'Expenditure Study'!$B$31</f>
        <v>643855.41777715203</v>
      </c>
      <c r="W1955" s="199">
        <f ca="1">IF(A1955=10298,1.51,1)*IF($B1955&lt;3,$D1955*'Expenditure Study'!$B$32*OFFSET('Expenditure Study'!$B$7,'Operations Support'!$C1955,'Operations Support'!$B1955),0)</f>
        <v>0</v>
      </c>
      <c r="X1955" s="200">
        <f ca="1">W1955*'Expenditure Study'!$B$31</f>
        <v>0</v>
      </c>
      <c r="Y1955" s="199">
        <f ca="1">U1955*'Expenditure Study'!$B$31</f>
        <v>643855.41777715203</v>
      </c>
      <c r="Z1955" s="200">
        <f ca="1">W1955*'Expenditure Study'!$B$31</f>
        <v>0</v>
      </c>
      <c r="AA1955" s="195">
        <f t="shared" ca="1" si="428"/>
        <v>643855.41777715203</v>
      </c>
      <c r="AB1955" s="195">
        <f t="shared" ca="1" si="429"/>
        <v>643855.41777715203</v>
      </c>
      <c r="AD1955" s="196">
        <f>IFERROR($G1955/SUMIF($A:$A,$A1955,$G:$G)*SUMIF(Summary!$A$166:$A$242,$A1955,Summary!$P$166:$P$242),0)</f>
        <v>68558.175824093516</v>
      </c>
      <c r="AE1955" s="197">
        <f t="shared" ca="1" si="430"/>
        <v>575297.24195305852</v>
      </c>
      <c r="AF1955" s="196">
        <f>IFERROR(G1955/SUMIF(A:A,A1955,G:G)*SUMIF(Summary!$A$166:$A$242,'Operations Support'!A1955,Summary!$Q$166:$Q$242),0)</f>
        <v>68793.424692126369</v>
      </c>
      <c r="AG1955" s="196">
        <f t="shared" ca="1" si="431"/>
        <v>575061.99308502569</v>
      </c>
      <c r="AI1955" s="196">
        <f>IFERROR($G1955/SUMIF($A:$A,$A1955,$G:$G)*SUMIF(Summary!$A$247:$A$283,$A1955,Summary!$P$247:$P$283),0)</f>
        <v>12503.300420107766</v>
      </c>
      <c r="AJ1955" s="196">
        <f>IFERROR($G1955/SUMIF($A:$A,$A1955,$G:$G)*(SUMIF(Summary!$A$247:$A$283,$A1955,Summary!$L$247:$L$283)+SUMIF(Summary!$A$297:$A$333,$A1955,Summary!$L$297:$L$333))-AI1955,0)</f>
        <v>30047.629259395748</v>
      </c>
      <c r="AK1955" s="196">
        <f>IFERROR($G1955/SUMIF($A:$A,$A1955,$G:$G)*SUMIF(Summary!$A$247:$A$283,$A1955,Summary!$Q$247:$Q$283),0)</f>
        <v>12546.203943066897</v>
      </c>
      <c r="AL1955" s="196">
        <f>IFERROR($G1955/SUMIF($A:$A,$A1955,$G:$G)*(SUMIF(Summary!$A$247:$A$283,$A1955,Summary!$L$247:$L$283)+SUMIF(Summary!$A$297:$A$333,$A1955,Summary!$L$297:$L$333))-AK1955,0)</f>
        <v>30004.725736436616</v>
      </c>
      <c r="AM1955" s="198"/>
      <c r="AN1955" s="196">
        <f t="shared" ca="1" si="432"/>
        <v>605344.87121245428</v>
      </c>
      <c r="AO1955" s="196">
        <f t="shared" ca="1" si="433"/>
        <v>605066.71882146236</v>
      </c>
    </row>
    <row r="1956" spans="1:41">
      <c r="A1956" s="189">
        <v>3652</v>
      </c>
      <c r="B1956" s="190">
        <v>3</v>
      </c>
      <c r="C1956" s="191" t="s">
        <v>239</v>
      </c>
      <c r="D1956" s="192">
        <f t="shared" si="420"/>
        <v>0</v>
      </c>
      <c r="E1956" s="192">
        <f t="shared" si="421"/>
        <v>13</v>
      </c>
      <c r="F1956" s="192">
        <f t="shared" si="422"/>
        <v>0</v>
      </c>
      <c r="G1956" s="193">
        <f t="shared" si="423"/>
        <v>13</v>
      </c>
      <c r="H1956" s="194">
        <v>0</v>
      </c>
      <c r="I1956" s="194">
        <v>5</v>
      </c>
      <c r="J1956" s="194">
        <v>0</v>
      </c>
      <c r="K1956" s="193">
        <f t="shared" si="424"/>
        <v>5</v>
      </c>
      <c r="L1956" s="194">
        <v>0</v>
      </c>
      <c r="M1956" s="194">
        <v>5</v>
      </c>
      <c r="N1956" s="194">
        <v>0</v>
      </c>
      <c r="O1956" s="193">
        <f t="shared" si="425"/>
        <v>5</v>
      </c>
      <c r="P1956" s="194">
        <v>0</v>
      </c>
      <c r="Q1956" s="194">
        <v>3</v>
      </c>
      <c r="R1956" s="194">
        <v>0</v>
      </c>
      <c r="S1956" s="193">
        <f t="shared" si="426"/>
        <v>3</v>
      </c>
      <c r="T1956" s="193">
        <f t="shared" si="427"/>
        <v>0.54166666666666663</v>
      </c>
      <c r="U1956" s="193">
        <f ca="1">OFFSET('Expenditure Study'!$B$7,'Operations Support'!$C1956,'Operations Support'!$B1956)*$G1956</f>
        <v>35.36</v>
      </c>
      <c r="V1956" s="199">
        <f ca="1">U1956*'Expenditure Study'!$B$31</f>
        <v>2089.1812730880001</v>
      </c>
      <c r="W1956" s="199">
        <f ca="1">IF(A1956=10298,1.51,1)*IF($B1956&lt;3,$D1956*'Expenditure Study'!$B$32*OFFSET('Expenditure Study'!$B$7,'Operations Support'!$C1956,'Operations Support'!$B1956),0)</f>
        <v>0</v>
      </c>
      <c r="X1956" s="200">
        <f ca="1">W1956*'Expenditure Study'!$B$31</f>
        <v>0</v>
      </c>
      <c r="Y1956" s="199">
        <f ca="1">U1956*'Expenditure Study'!$B$31</f>
        <v>2089.1812730880001</v>
      </c>
      <c r="Z1956" s="200">
        <f ca="1">W1956*'Expenditure Study'!$B$31</f>
        <v>0</v>
      </c>
      <c r="AA1956" s="195">
        <f t="shared" ca="1" si="428"/>
        <v>2089.1812730880001</v>
      </c>
      <c r="AB1956" s="195">
        <f t="shared" ca="1" si="429"/>
        <v>2089.1812730880001</v>
      </c>
      <c r="AD1956" s="196">
        <f>IFERROR($G1956/SUMIF($A:$A,$A1956,$G:$G)*SUMIF(Summary!$A$166:$A$242,$A1956,Summary!$P$166:$P$242),0)</f>
        <v>477.62930638435995</v>
      </c>
      <c r="AE1956" s="197">
        <f t="shared" ca="1" si="430"/>
        <v>1611.5519667036401</v>
      </c>
      <c r="AF1956" s="196">
        <f>IFERROR(G1956/SUMIF(A:A,A1956,G:G)*SUMIF(Summary!$A$166:$A$242,'Operations Support'!A1956,Summary!$Q$166:$Q$242),0)</f>
        <v>479.26823204589647</v>
      </c>
      <c r="AG1956" s="196">
        <f t="shared" ca="1" si="431"/>
        <v>1609.9130410421037</v>
      </c>
      <c r="AI1956" s="196">
        <f>IFERROR($G1956/SUMIF($A:$A,$A1956,$G:$G)*SUMIF(Summary!$A$247:$A$283,$A1956,Summary!$P$247:$P$283),0)</f>
        <v>87.10766637802837</v>
      </c>
      <c r="AJ1956" s="196">
        <f>IFERROR($G1956/SUMIF($A:$A,$A1956,$G:$G)*(SUMIF(Summary!$A$247:$A$283,$A1956,Summary!$L$247:$L$283)+SUMIF(Summary!$A$297:$A$333,$A1956,Summary!$L$297:$L$333))-AI1956,0)</f>
        <v>209.33503771283208</v>
      </c>
      <c r="AK1956" s="196">
        <f>IFERROR($G1956/SUMIF($A:$A,$A1956,$G:$G)*SUMIF(Summary!$A$247:$A$283,$A1956,Summary!$Q$247:$Q$283),0)</f>
        <v>87.406565519758658</v>
      </c>
      <c r="AL1956" s="196">
        <f>IFERROR($G1956/SUMIF($A:$A,$A1956,$G:$G)*(SUMIF(Summary!$A$247:$A$283,$A1956,Summary!$L$247:$L$283)+SUMIF(Summary!$A$297:$A$333,$A1956,Summary!$L$297:$L$333))-AK1956,0)</f>
        <v>209.03613857110179</v>
      </c>
      <c r="AM1956" s="198"/>
      <c r="AN1956" s="196">
        <f t="shared" ca="1" si="432"/>
        <v>1820.8870044164721</v>
      </c>
      <c r="AO1956" s="196">
        <f t="shared" ca="1" si="433"/>
        <v>1818.9491796132056</v>
      </c>
    </row>
    <row r="1957" spans="1:41" s="201" customFormat="1">
      <c r="A1957" s="189">
        <v>3652</v>
      </c>
      <c r="B1957" s="190">
        <v>3</v>
      </c>
      <c r="C1957" s="191" t="s">
        <v>240</v>
      </c>
      <c r="D1957" s="192">
        <f t="shared" si="420"/>
        <v>0</v>
      </c>
      <c r="E1957" s="192">
        <f t="shared" si="421"/>
        <v>0</v>
      </c>
      <c r="F1957" s="192">
        <f t="shared" si="422"/>
        <v>0</v>
      </c>
      <c r="G1957" s="193">
        <f t="shared" si="423"/>
        <v>0</v>
      </c>
      <c r="H1957" s="194">
        <v>0</v>
      </c>
      <c r="I1957" s="194">
        <v>0</v>
      </c>
      <c r="J1957" s="194">
        <v>0</v>
      </c>
      <c r="K1957" s="193">
        <f t="shared" si="424"/>
        <v>0</v>
      </c>
      <c r="L1957" s="194">
        <v>0</v>
      </c>
      <c r="M1957" s="194">
        <v>0</v>
      </c>
      <c r="N1957" s="194">
        <v>0</v>
      </c>
      <c r="O1957" s="193">
        <f t="shared" si="425"/>
        <v>0</v>
      </c>
      <c r="P1957" s="194">
        <v>0</v>
      </c>
      <c r="Q1957" s="194">
        <v>0</v>
      </c>
      <c r="R1957" s="194">
        <v>0</v>
      </c>
      <c r="S1957" s="193">
        <f t="shared" si="426"/>
        <v>0</v>
      </c>
      <c r="T1957" s="193">
        <f t="shared" si="427"/>
        <v>0</v>
      </c>
      <c r="U1957" s="193">
        <f ca="1">OFFSET('Expenditure Study'!$B$7,'Operations Support'!$C1957,'Operations Support'!$B1957)*$G1957</f>
        <v>0</v>
      </c>
      <c r="V1957" s="199">
        <f ca="1">U1957*'Expenditure Study'!$B$31</f>
        <v>0</v>
      </c>
      <c r="W1957" s="199">
        <f ca="1">IF(A1957=10298,1.51,1)*IF($B1957&lt;3,$D1957*'Expenditure Study'!$B$32*OFFSET('Expenditure Study'!$B$7,'Operations Support'!$C1957,'Operations Support'!$B1957),0)</f>
        <v>0</v>
      </c>
      <c r="X1957" s="200">
        <f ca="1">W1957*'Expenditure Study'!$B$31</f>
        <v>0</v>
      </c>
      <c r="Y1957" s="199">
        <f ca="1">U1957*'Expenditure Study'!$B$31</f>
        <v>0</v>
      </c>
      <c r="Z1957" s="200">
        <f ca="1">W1957*'Expenditure Study'!$B$31</f>
        <v>0</v>
      </c>
      <c r="AA1957" s="195">
        <f t="shared" ca="1" si="428"/>
        <v>0</v>
      </c>
      <c r="AB1957" s="195">
        <f t="shared" ca="1" si="429"/>
        <v>0</v>
      </c>
      <c r="AD1957" s="196">
        <f>IFERROR($G1957/SUMIF($A:$A,$A1957,$G:$G)*SUMIF(Summary!$A$166:$A$242,$A1957,Summary!$P$166:$P$242),0)</f>
        <v>0</v>
      </c>
      <c r="AE1957" s="197">
        <f t="shared" ca="1" si="430"/>
        <v>0</v>
      </c>
      <c r="AF1957" s="196">
        <f>IFERROR(G1957/SUMIF(A:A,A1957,G:G)*SUMIF(Summary!$A$166:$A$242,'Operations Support'!A1957,Summary!$Q$166:$Q$242),0)</f>
        <v>0</v>
      </c>
      <c r="AG1957" s="196">
        <f t="shared" ca="1" si="431"/>
        <v>0</v>
      </c>
      <c r="AH1957" s="180"/>
      <c r="AI1957" s="196">
        <f>IFERROR($G1957/SUMIF($A:$A,$A1957,$G:$G)*SUMIF(Summary!$A$247:$A$283,$A1957,Summary!$P$247:$P$283),0)</f>
        <v>0</v>
      </c>
      <c r="AJ1957" s="196">
        <f>IFERROR($G1957/SUMIF($A:$A,$A1957,$G:$G)*(SUMIF(Summary!$A$247:$A$283,$A1957,Summary!$L$247:$L$283)+SUMIF(Summary!$A$297:$A$333,$A1957,Summary!$L$297:$L$333))-AI1957,0)</f>
        <v>0</v>
      </c>
      <c r="AK1957" s="196">
        <f>IFERROR($G1957/SUMIF($A:$A,$A1957,$G:$G)*SUMIF(Summary!$A$247:$A$283,$A1957,Summary!$Q$247:$Q$283),0)</f>
        <v>0</v>
      </c>
      <c r="AL1957" s="196">
        <f>IFERROR($G1957/SUMIF($A:$A,$A1957,$G:$G)*(SUMIF(Summary!$A$247:$A$283,$A1957,Summary!$L$247:$L$283)+SUMIF(Summary!$A$297:$A$333,$A1957,Summary!$L$297:$L$333))-AK1957,0)</f>
        <v>0</v>
      </c>
      <c r="AM1957" s="198"/>
      <c r="AN1957" s="196">
        <f t="shared" ca="1" si="432"/>
        <v>0</v>
      </c>
      <c r="AO1957" s="196">
        <f t="shared" ca="1" si="433"/>
        <v>0</v>
      </c>
    </row>
    <row r="1958" spans="1:41">
      <c r="A1958" s="189">
        <v>3652</v>
      </c>
      <c r="B1958" s="190">
        <v>4</v>
      </c>
      <c r="C1958" s="191" t="s">
        <v>220</v>
      </c>
      <c r="D1958" s="192">
        <f t="shared" si="420"/>
        <v>7571.55</v>
      </c>
      <c r="E1958" s="192">
        <f t="shared" si="421"/>
        <v>582.45000000000005</v>
      </c>
      <c r="F1958" s="192">
        <f t="shared" si="422"/>
        <v>485</v>
      </c>
      <c r="G1958" s="193">
        <f t="shared" si="423"/>
        <v>7669</v>
      </c>
      <c r="H1958" s="194">
        <v>3332.3</v>
      </c>
      <c r="I1958" s="194">
        <v>179.7</v>
      </c>
      <c r="J1958" s="194">
        <v>250</v>
      </c>
      <c r="K1958" s="193">
        <f t="shared" si="424"/>
        <v>3262</v>
      </c>
      <c r="L1958" s="194">
        <v>3303.55</v>
      </c>
      <c r="M1958" s="194">
        <v>201.45</v>
      </c>
      <c r="N1958" s="194">
        <v>167</v>
      </c>
      <c r="O1958" s="193">
        <f t="shared" si="425"/>
        <v>3338</v>
      </c>
      <c r="P1958" s="194">
        <v>935.7</v>
      </c>
      <c r="Q1958" s="194">
        <v>201.3</v>
      </c>
      <c r="R1958" s="194">
        <v>68</v>
      </c>
      <c r="S1958" s="193">
        <f t="shared" si="426"/>
        <v>1069</v>
      </c>
      <c r="T1958" s="193">
        <f t="shared" si="427"/>
        <v>426.05555555555554</v>
      </c>
      <c r="U1958" s="193">
        <f ca="1">OFFSET('Expenditure Study'!$B$7,'Operations Support'!$C1958,'Operations Support'!$B1958)*$G1958</f>
        <v>112964.37000000001</v>
      </c>
      <c r="V1958" s="199">
        <f ca="1">U1958*'Expenditure Study'!$B$31</f>
        <v>6674294.2966680964</v>
      </c>
      <c r="W1958" s="199">
        <f ca="1">IF(A1958=10298,1.51,1)*IF($B1958&lt;3,$D1958*'Expenditure Study'!$B$32*OFFSET('Expenditure Study'!$B$7,'Operations Support'!$C1958,'Operations Support'!$B1958),0)</f>
        <v>0</v>
      </c>
      <c r="X1958" s="200">
        <f ca="1">W1958*'Expenditure Study'!$B$31</f>
        <v>0</v>
      </c>
      <c r="Y1958" s="199">
        <f ca="1">U1958*'Expenditure Study'!$B$31</f>
        <v>6674294.2966680964</v>
      </c>
      <c r="Z1958" s="200">
        <f ca="1">W1958*'Expenditure Study'!$B$31</f>
        <v>0</v>
      </c>
      <c r="AA1958" s="195">
        <f t="shared" ca="1" si="428"/>
        <v>6674294.2966680964</v>
      </c>
      <c r="AB1958" s="195">
        <f t="shared" ca="1" si="429"/>
        <v>6674294.2966680964</v>
      </c>
      <c r="AD1958" s="196">
        <f>IFERROR($G1958/SUMIF($A:$A,$A1958,$G:$G)*SUMIF(Summary!$A$166:$A$242,$A1958,Summary!$P$166:$P$242),0)</f>
        <v>281764.55005089665</v>
      </c>
      <c r="AE1958" s="197">
        <f t="shared" ca="1" si="430"/>
        <v>6392529.7466171999</v>
      </c>
      <c r="AF1958" s="196">
        <f>IFERROR(G1958/SUMIF(A:A,A1958,G:G)*SUMIF(Summary!$A$166:$A$242,'Operations Support'!A1958,Summary!$Q$166:$Q$242),0)</f>
        <v>282731.39011999848</v>
      </c>
      <c r="AG1958" s="196">
        <f t="shared" ca="1" si="431"/>
        <v>6391562.9065480977</v>
      </c>
      <c r="AI1958" s="196">
        <f>IFERROR($G1958/SUMIF($A:$A,$A1958,$G:$G)*SUMIF(Summary!$A$247:$A$283,$A1958,Summary!$P$247:$P$283),0)</f>
        <v>51386.822573315352</v>
      </c>
      <c r="AJ1958" s="196">
        <f>IFERROR($G1958/SUMIF($A:$A,$A1958,$G:$G)*(SUMIF(Summary!$A$247:$A$283,$A1958,Summary!$L$247:$L$283)+SUMIF(Summary!$A$297:$A$333,$A1958,Summary!$L$297:$L$333))-AI1958,0)</f>
        <v>123491.56955536228</v>
      </c>
      <c r="AK1958" s="196">
        <f>IFERROR($G1958/SUMIF($A:$A,$A1958,$G:$G)*SUMIF(Summary!$A$247:$A$283,$A1958,Summary!$Q$247:$Q$283),0)</f>
        <v>51563.150074694553</v>
      </c>
      <c r="AL1958" s="196">
        <f>IFERROR($G1958/SUMIF($A:$A,$A1958,$G:$G)*(SUMIF(Summary!$A$247:$A$283,$A1958,Summary!$L$247:$L$283)+SUMIF(Summary!$A$297:$A$333,$A1958,Summary!$L$297:$L$333))-AK1958,0)</f>
        <v>123315.24205398308</v>
      </c>
      <c r="AM1958" s="198"/>
      <c r="AN1958" s="196">
        <f t="shared" ca="1" si="432"/>
        <v>6516021.3161725625</v>
      </c>
      <c r="AO1958" s="196">
        <f t="shared" ca="1" si="433"/>
        <v>6514878.1486020805</v>
      </c>
    </row>
    <row r="1959" spans="1:41">
      <c r="A1959" s="189">
        <v>3652</v>
      </c>
      <c r="B1959" s="190">
        <v>4</v>
      </c>
      <c r="C1959" s="191" t="s">
        <v>221</v>
      </c>
      <c r="D1959" s="192">
        <f t="shared" si="420"/>
        <v>6873</v>
      </c>
      <c r="E1959" s="192">
        <f t="shared" si="421"/>
        <v>98</v>
      </c>
      <c r="F1959" s="192">
        <f t="shared" si="422"/>
        <v>176</v>
      </c>
      <c r="G1959" s="193">
        <f t="shared" si="423"/>
        <v>6795</v>
      </c>
      <c r="H1959" s="194">
        <v>2901</v>
      </c>
      <c r="I1959" s="194">
        <v>59</v>
      </c>
      <c r="J1959" s="194">
        <v>108</v>
      </c>
      <c r="K1959" s="193">
        <f t="shared" si="424"/>
        <v>2852</v>
      </c>
      <c r="L1959" s="194">
        <v>2632</v>
      </c>
      <c r="M1959" s="194">
        <v>30</v>
      </c>
      <c r="N1959" s="194">
        <v>43</v>
      </c>
      <c r="O1959" s="193">
        <f t="shared" si="425"/>
        <v>2619</v>
      </c>
      <c r="P1959" s="194">
        <v>1340</v>
      </c>
      <c r="Q1959" s="194">
        <v>9</v>
      </c>
      <c r="R1959" s="194">
        <v>25</v>
      </c>
      <c r="S1959" s="193">
        <f t="shared" si="426"/>
        <v>1324</v>
      </c>
      <c r="T1959" s="193">
        <f t="shared" si="427"/>
        <v>377.5</v>
      </c>
      <c r="U1959" s="193">
        <f ca="1">OFFSET('Expenditure Study'!$B$7,'Operations Support'!$C1959,'Operations Support'!$B1959)*$G1959</f>
        <v>147723.29999999999</v>
      </c>
      <c r="V1959" s="199">
        <f ca="1">U1959*'Expenditure Study'!$B$31</f>
        <v>8727962.4422726389</v>
      </c>
      <c r="W1959" s="199">
        <f ca="1">IF(A1959=10298,1.51,1)*IF($B1959&lt;3,$D1959*'Expenditure Study'!$B$32*OFFSET('Expenditure Study'!$B$7,'Operations Support'!$C1959,'Operations Support'!$B1959),0)</f>
        <v>0</v>
      </c>
      <c r="X1959" s="200">
        <f ca="1">W1959*'Expenditure Study'!$B$31</f>
        <v>0</v>
      </c>
      <c r="Y1959" s="199">
        <f ca="1">U1959*'Expenditure Study'!$B$31</f>
        <v>8727962.4422726389</v>
      </c>
      <c r="Z1959" s="200">
        <f ca="1">W1959*'Expenditure Study'!$B$31</f>
        <v>0</v>
      </c>
      <c r="AA1959" s="195">
        <f t="shared" ca="1" si="428"/>
        <v>8727962.4422726389</v>
      </c>
      <c r="AB1959" s="195">
        <f t="shared" ca="1" si="429"/>
        <v>8727962.4422726389</v>
      </c>
      <c r="AD1959" s="196">
        <f>IFERROR($G1959/SUMIF($A:$A,$A1959,$G:$G)*SUMIF(Summary!$A$166:$A$242,$A1959,Summary!$P$166:$P$242),0)</f>
        <v>249653.16437551737</v>
      </c>
      <c r="AE1959" s="197">
        <f t="shared" ca="1" si="430"/>
        <v>8478309.2778971214</v>
      </c>
      <c r="AF1959" s="196">
        <f>IFERROR(G1959/SUMIF(A:A,A1959,G:G)*SUMIF(Summary!$A$166:$A$242,'Operations Support'!A1959,Summary!$Q$166:$Q$242),0)</f>
        <v>250509.81821168205</v>
      </c>
      <c r="AG1959" s="196">
        <f t="shared" ca="1" si="431"/>
        <v>8477452.6240609568</v>
      </c>
      <c r="AI1959" s="196">
        <f>IFERROR($G1959/SUMIF($A:$A,$A1959,$G:$G)*SUMIF(Summary!$A$247:$A$283,$A1959,Summary!$P$247:$P$283),0)</f>
        <v>45530.507156823289</v>
      </c>
      <c r="AJ1959" s="196">
        <f>IFERROR($G1959/SUMIF($A:$A,$A1959,$G:$G)*(SUMIF(Summary!$A$247:$A$283,$A1959,Summary!$L$247:$L$283)+SUMIF(Summary!$A$297:$A$333,$A1959,Summary!$L$297:$L$333))-AI1959,0)</f>
        <v>109417.81394297647</v>
      </c>
      <c r="AK1959" s="196">
        <f>IFERROR($G1959/SUMIF($A:$A,$A1959,$G:$G)*SUMIF(Summary!$A$247:$A$283,$A1959,Summary!$Q$247:$Q$283),0)</f>
        <v>45686.739438981545</v>
      </c>
      <c r="AL1959" s="196">
        <f>IFERROR($G1959/SUMIF($A:$A,$A1959,$G:$G)*(SUMIF(Summary!$A$247:$A$283,$A1959,Summary!$L$247:$L$283)+SUMIF(Summary!$A$297:$A$333,$A1959,Summary!$L$297:$L$333))-AK1959,0)</f>
        <v>109261.58166081822</v>
      </c>
      <c r="AM1959" s="198"/>
      <c r="AN1959" s="196">
        <f t="shared" ca="1" si="432"/>
        <v>8587727.0918400977</v>
      </c>
      <c r="AO1959" s="196">
        <f t="shared" ca="1" si="433"/>
        <v>8586714.2057217751</v>
      </c>
    </row>
    <row r="1960" spans="1:41">
      <c r="A1960" s="189">
        <v>3652</v>
      </c>
      <c r="B1960" s="190">
        <v>4</v>
      </c>
      <c r="C1960" s="191" t="s">
        <v>222</v>
      </c>
      <c r="D1960" s="192">
        <f t="shared" si="420"/>
        <v>549.99</v>
      </c>
      <c r="E1960" s="192">
        <f t="shared" si="421"/>
        <v>162.01</v>
      </c>
      <c r="F1960" s="192">
        <f t="shared" si="422"/>
        <v>2</v>
      </c>
      <c r="G1960" s="193">
        <f t="shared" si="423"/>
        <v>710</v>
      </c>
      <c r="H1960" s="194">
        <v>289</v>
      </c>
      <c r="I1960" s="194">
        <v>78</v>
      </c>
      <c r="J1960" s="194">
        <v>0</v>
      </c>
      <c r="K1960" s="193">
        <f t="shared" si="424"/>
        <v>367</v>
      </c>
      <c r="L1960" s="194">
        <v>258.99</v>
      </c>
      <c r="M1960" s="194">
        <v>84.01</v>
      </c>
      <c r="N1960" s="194">
        <v>2</v>
      </c>
      <c r="O1960" s="193">
        <f t="shared" si="425"/>
        <v>341</v>
      </c>
      <c r="P1960" s="194">
        <v>2</v>
      </c>
      <c r="Q1960" s="194">
        <v>0</v>
      </c>
      <c r="R1960" s="194">
        <v>0</v>
      </c>
      <c r="S1960" s="193">
        <f t="shared" si="426"/>
        <v>2</v>
      </c>
      <c r="T1960" s="193">
        <f t="shared" si="427"/>
        <v>39.444444444444443</v>
      </c>
      <c r="U1960" s="193">
        <f ca="1">OFFSET('Expenditure Study'!$B$7,'Operations Support'!$C1960,'Operations Support'!$B1960)*$G1960</f>
        <v>7171</v>
      </c>
      <c r="V1960" s="199">
        <f ca="1">U1960*'Expenditure Study'!$B$31</f>
        <v>423685.48951679998</v>
      </c>
      <c r="W1960" s="199">
        <f ca="1">IF(A1960=10298,1.51,1)*IF($B1960&lt;3,$D1960*'Expenditure Study'!$B$32*OFFSET('Expenditure Study'!$B$7,'Operations Support'!$C1960,'Operations Support'!$B1960),0)</f>
        <v>0</v>
      </c>
      <c r="X1960" s="200">
        <f ca="1">W1960*'Expenditure Study'!$B$31</f>
        <v>0</v>
      </c>
      <c r="Y1960" s="199">
        <f ca="1">U1960*'Expenditure Study'!$B$31</f>
        <v>423685.48951679998</v>
      </c>
      <c r="Z1960" s="200">
        <f ca="1">W1960*'Expenditure Study'!$B$31</f>
        <v>0</v>
      </c>
      <c r="AA1960" s="195">
        <f t="shared" ca="1" si="428"/>
        <v>423685.48951679998</v>
      </c>
      <c r="AB1960" s="195">
        <f t="shared" ca="1" si="429"/>
        <v>423685.48951679998</v>
      </c>
      <c r="AD1960" s="196">
        <f>IFERROR($G1960/SUMIF($A:$A,$A1960,$G:$G)*SUMIF(Summary!$A$166:$A$242,$A1960,Summary!$P$166:$P$242),0)</f>
        <v>26085.908271761196</v>
      </c>
      <c r="AE1960" s="197">
        <f t="shared" ca="1" si="430"/>
        <v>397599.58124503877</v>
      </c>
      <c r="AF1960" s="196">
        <f>IFERROR(G1960/SUMIF(A:A,A1960,G:G)*SUMIF(Summary!$A$166:$A$242,'Operations Support'!A1960,Summary!$Q$166:$Q$242),0)</f>
        <v>26175.418827122037</v>
      </c>
      <c r="AG1960" s="196">
        <f t="shared" ca="1" si="431"/>
        <v>397510.07068967796</v>
      </c>
      <c r="AI1960" s="196">
        <f>IFERROR($G1960/SUMIF($A:$A,$A1960,$G:$G)*SUMIF(Summary!$A$247:$A$283,$A1960,Summary!$P$247:$P$283),0)</f>
        <v>4757.4187021846265</v>
      </c>
      <c r="AJ1960" s="196">
        <f>IFERROR($G1960/SUMIF($A:$A,$A1960,$G:$G)*(SUMIF(Summary!$A$247:$A$283,$A1960,Summary!$L$247:$L$283)+SUMIF(Summary!$A$297:$A$333,$A1960,Summary!$L$297:$L$333))-AI1960,0)</f>
        <v>11432.913598162368</v>
      </c>
      <c r="AK1960" s="196">
        <f>IFERROR($G1960/SUMIF($A:$A,$A1960,$G:$G)*SUMIF(Summary!$A$247:$A$283,$A1960,Summary!$Q$247:$Q$283),0)</f>
        <v>4773.7431937714346</v>
      </c>
      <c r="AL1960" s="196">
        <f>IFERROR($G1960/SUMIF($A:$A,$A1960,$G:$G)*(SUMIF(Summary!$A$247:$A$283,$A1960,Summary!$L$247:$L$283)+SUMIF(Summary!$A$297:$A$333,$A1960,Summary!$L$297:$L$333))-AK1960,0)</f>
        <v>11416.58910657556</v>
      </c>
      <c r="AM1960" s="198"/>
      <c r="AN1960" s="196">
        <f t="shared" ca="1" si="432"/>
        <v>409032.49484320113</v>
      </c>
      <c r="AO1960" s="196">
        <f t="shared" ca="1" si="433"/>
        <v>408926.65979625355</v>
      </c>
    </row>
    <row r="1961" spans="1:41">
      <c r="A1961" s="189">
        <v>3652</v>
      </c>
      <c r="B1961" s="190">
        <v>4</v>
      </c>
      <c r="C1961" s="191" t="s">
        <v>223</v>
      </c>
      <c r="D1961" s="192">
        <f t="shared" si="420"/>
        <v>2259</v>
      </c>
      <c r="E1961" s="192">
        <f t="shared" si="421"/>
        <v>1443</v>
      </c>
      <c r="F1961" s="192">
        <f t="shared" si="422"/>
        <v>73</v>
      </c>
      <c r="G1961" s="193">
        <f t="shared" si="423"/>
        <v>3629</v>
      </c>
      <c r="H1961" s="194">
        <v>942</v>
      </c>
      <c r="I1961" s="194">
        <v>450</v>
      </c>
      <c r="J1961" s="194">
        <v>39</v>
      </c>
      <c r="K1961" s="193">
        <f t="shared" si="424"/>
        <v>1353</v>
      </c>
      <c r="L1961" s="194">
        <v>1052</v>
      </c>
      <c r="M1961" s="194">
        <v>510</v>
      </c>
      <c r="N1961" s="194">
        <v>27</v>
      </c>
      <c r="O1961" s="193">
        <f t="shared" si="425"/>
        <v>1535</v>
      </c>
      <c r="P1961" s="194">
        <v>265</v>
      </c>
      <c r="Q1961" s="194">
        <v>483</v>
      </c>
      <c r="R1961" s="194">
        <v>7</v>
      </c>
      <c r="S1961" s="193">
        <f t="shared" si="426"/>
        <v>741</v>
      </c>
      <c r="T1961" s="193">
        <f t="shared" si="427"/>
        <v>201.61111111111111</v>
      </c>
      <c r="U1961" s="193">
        <f ca="1">OFFSET('Expenditure Study'!$B$7,'Operations Support'!$C1961,'Operations Support'!$B1961)*$G1961</f>
        <v>28378.780000000002</v>
      </c>
      <c r="V1961" s="199">
        <f ca="1">U1961*'Expenditure Study'!$B$31</f>
        <v>1676708.5896234242</v>
      </c>
      <c r="W1961" s="199">
        <f ca="1">IF(A1961=10298,1.51,1)*IF($B1961&lt;3,$D1961*'Expenditure Study'!$B$32*OFFSET('Expenditure Study'!$B$7,'Operations Support'!$C1961,'Operations Support'!$B1961),0)</f>
        <v>0</v>
      </c>
      <c r="X1961" s="200">
        <f ca="1">W1961*'Expenditure Study'!$B$31</f>
        <v>0</v>
      </c>
      <c r="Y1961" s="199">
        <f ca="1">U1961*'Expenditure Study'!$B$31</f>
        <v>1676708.5896234242</v>
      </c>
      <c r="Z1961" s="200">
        <f ca="1">W1961*'Expenditure Study'!$B$31</f>
        <v>0</v>
      </c>
      <c r="AA1961" s="195">
        <f t="shared" ca="1" si="428"/>
        <v>1676708.5896234242</v>
      </c>
      <c r="AB1961" s="195">
        <f t="shared" ca="1" si="429"/>
        <v>1676708.5896234242</v>
      </c>
      <c r="AD1961" s="196">
        <f>IFERROR($G1961/SUMIF($A:$A,$A1961,$G:$G)*SUMIF(Summary!$A$166:$A$242,$A1961,Summary!$P$166:$P$242),0)</f>
        <v>133332.05791298786</v>
      </c>
      <c r="AE1961" s="197">
        <f t="shared" ca="1" si="430"/>
        <v>1543376.5317104363</v>
      </c>
      <c r="AF1961" s="196">
        <f>IFERROR(G1961/SUMIF(A:A,A1961,G:G)*SUMIF(Summary!$A$166:$A$242,'Operations Support'!A1961,Summary!$Q$166:$Q$242),0)</f>
        <v>133789.57031496603</v>
      </c>
      <c r="AG1961" s="196">
        <f t="shared" ca="1" si="431"/>
        <v>1542919.0193084581</v>
      </c>
      <c r="AI1961" s="196">
        <f>IFERROR($G1961/SUMIF($A:$A,$A1961,$G:$G)*SUMIF(Summary!$A$247:$A$283,$A1961,Summary!$P$247:$P$283),0)</f>
        <v>24316.440098912688</v>
      </c>
      <c r="AJ1961" s="196">
        <f>IFERROR($G1961/SUMIF($A:$A,$A1961,$G:$G)*(SUMIF(Summary!$A$247:$A$283,$A1961,Summary!$L$247:$L$283)+SUMIF(Summary!$A$297:$A$333,$A1961,Summary!$L$297:$L$333))-AI1961,0)</f>
        <v>58436.68091229751</v>
      </c>
      <c r="AK1961" s="196">
        <f>IFERROR($G1961/SUMIF($A:$A,$A1961,$G:$G)*SUMIF(Summary!$A$247:$A$283,$A1961,Summary!$Q$247:$Q$283),0)</f>
        <v>24399.878943938784</v>
      </c>
      <c r="AL1961" s="196">
        <f>IFERROR($G1961/SUMIF($A:$A,$A1961,$G:$G)*(SUMIF(Summary!$A$247:$A$283,$A1961,Summary!$L$247:$L$283)+SUMIF(Summary!$A$297:$A$333,$A1961,Summary!$L$297:$L$333))-AK1961,0)</f>
        <v>58353.242067271414</v>
      </c>
      <c r="AM1961" s="198"/>
      <c r="AN1961" s="196">
        <f t="shared" ca="1" si="432"/>
        <v>1601813.2126227338</v>
      </c>
      <c r="AO1961" s="196">
        <f t="shared" ca="1" si="433"/>
        <v>1601272.2613757295</v>
      </c>
    </row>
    <row r="1962" spans="1:41">
      <c r="A1962" s="189">
        <v>3652</v>
      </c>
      <c r="B1962" s="190">
        <v>4</v>
      </c>
      <c r="C1962" s="191" t="s">
        <v>224</v>
      </c>
      <c r="D1962" s="192">
        <f t="shared" si="420"/>
        <v>0</v>
      </c>
      <c r="E1962" s="192">
        <f t="shared" si="421"/>
        <v>0</v>
      </c>
      <c r="F1962" s="192">
        <f t="shared" si="422"/>
        <v>0</v>
      </c>
      <c r="G1962" s="193">
        <f t="shared" si="423"/>
        <v>0</v>
      </c>
      <c r="H1962" s="194">
        <v>0</v>
      </c>
      <c r="I1962" s="194">
        <v>0</v>
      </c>
      <c r="J1962" s="194">
        <v>0</v>
      </c>
      <c r="K1962" s="193">
        <f t="shared" si="424"/>
        <v>0</v>
      </c>
      <c r="L1962" s="194">
        <v>0</v>
      </c>
      <c r="M1962" s="194">
        <v>0</v>
      </c>
      <c r="N1962" s="194">
        <v>0</v>
      </c>
      <c r="O1962" s="193">
        <f t="shared" si="425"/>
        <v>0</v>
      </c>
      <c r="P1962" s="194">
        <v>0</v>
      </c>
      <c r="Q1962" s="194">
        <v>0</v>
      </c>
      <c r="R1962" s="194">
        <v>0</v>
      </c>
      <c r="S1962" s="193">
        <f t="shared" si="426"/>
        <v>0</v>
      </c>
      <c r="T1962" s="193">
        <f t="shared" si="427"/>
        <v>0</v>
      </c>
      <c r="U1962" s="193">
        <f ca="1">OFFSET('Expenditure Study'!$B$7,'Operations Support'!$C1962,'Operations Support'!$B1962)*$G1962</f>
        <v>0</v>
      </c>
      <c r="V1962" s="199">
        <f ca="1">U1962*'Expenditure Study'!$B$31</f>
        <v>0</v>
      </c>
      <c r="W1962" s="199">
        <f ca="1">IF(A1962=10298,1.51,1)*IF($B1962&lt;3,$D1962*'Expenditure Study'!$B$32*OFFSET('Expenditure Study'!$B$7,'Operations Support'!$C1962,'Operations Support'!$B1962),0)</f>
        <v>0</v>
      </c>
      <c r="X1962" s="200">
        <f ca="1">W1962*'Expenditure Study'!$B$31</f>
        <v>0</v>
      </c>
      <c r="Y1962" s="199">
        <f ca="1">U1962*'Expenditure Study'!$B$31</f>
        <v>0</v>
      </c>
      <c r="Z1962" s="200">
        <f ca="1">W1962*'Expenditure Study'!$B$31</f>
        <v>0</v>
      </c>
      <c r="AA1962" s="195">
        <f t="shared" ca="1" si="428"/>
        <v>0</v>
      </c>
      <c r="AB1962" s="195">
        <f t="shared" ca="1" si="429"/>
        <v>0</v>
      </c>
      <c r="AD1962" s="196">
        <f>IFERROR($G1962/SUMIF($A:$A,$A1962,$G:$G)*SUMIF(Summary!$A$166:$A$242,$A1962,Summary!$P$166:$P$242),0)</f>
        <v>0</v>
      </c>
      <c r="AE1962" s="197">
        <f t="shared" ca="1" si="430"/>
        <v>0</v>
      </c>
      <c r="AF1962" s="196">
        <f>IFERROR(G1962/SUMIF(A:A,A1962,G:G)*SUMIF(Summary!$A$166:$A$242,'Operations Support'!A1962,Summary!$Q$166:$Q$242),0)</f>
        <v>0</v>
      </c>
      <c r="AG1962" s="196">
        <f t="shared" ca="1" si="431"/>
        <v>0</v>
      </c>
      <c r="AI1962" s="196">
        <f>IFERROR($G1962/SUMIF($A:$A,$A1962,$G:$G)*SUMIF(Summary!$A$247:$A$283,$A1962,Summary!$P$247:$P$283),0)</f>
        <v>0</v>
      </c>
      <c r="AJ1962" s="196">
        <f>IFERROR($G1962/SUMIF($A:$A,$A1962,$G:$G)*(SUMIF(Summary!$A$247:$A$283,$A1962,Summary!$L$247:$L$283)+SUMIF(Summary!$A$297:$A$333,$A1962,Summary!$L$297:$L$333))-AI1962,0)</f>
        <v>0</v>
      </c>
      <c r="AK1962" s="196">
        <f>IFERROR($G1962/SUMIF($A:$A,$A1962,$G:$G)*SUMIF(Summary!$A$247:$A$283,$A1962,Summary!$Q$247:$Q$283),0)</f>
        <v>0</v>
      </c>
      <c r="AL1962" s="196">
        <f>IFERROR($G1962/SUMIF($A:$A,$A1962,$G:$G)*(SUMIF(Summary!$A$247:$A$283,$A1962,Summary!$L$247:$L$283)+SUMIF(Summary!$A$297:$A$333,$A1962,Summary!$L$297:$L$333))-AK1962,0)</f>
        <v>0</v>
      </c>
      <c r="AM1962" s="198"/>
      <c r="AN1962" s="196">
        <f t="shared" ca="1" si="432"/>
        <v>0</v>
      </c>
      <c r="AO1962" s="196">
        <f t="shared" ca="1" si="433"/>
        <v>0</v>
      </c>
    </row>
    <row r="1963" spans="1:41">
      <c r="A1963" s="189">
        <v>3652</v>
      </c>
      <c r="B1963" s="190">
        <v>4</v>
      </c>
      <c r="C1963" s="191" t="s">
        <v>225</v>
      </c>
      <c r="D1963" s="192">
        <f t="shared" si="420"/>
        <v>9428.98</v>
      </c>
      <c r="E1963" s="192">
        <f t="shared" si="421"/>
        <v>143.01999999999998</v>
      </c>
      <c r="F1963" s="192">
        <f t="shared" si="422"/>
        <v>129</v>
      </c>
      <c r="G1963" s="193">
        <f t="shared" si="423"/>
        <v>9443</v>
      </c>
      <c r="H1963" s="194">
        <v>3791.98</v>
      </c>
      <c r="I1963" s="194">
        <v>81.02</v>
      </c>
      <c r="J1963" s="194">
        <v>69</v>
      </c>
      <c r="K1963" s="193">
        <f t="shared" si="424"/>
        <v>3804</v>
      </c>
      <c r="L1963" s="194">
        <v>3499</v>
      </c>
      <c r="M1963" s="194">
        <v>38</v>
      </c>
      <c r="N1963" s="194">
        <v>36</v>
      </c>
      <c r="O1963" s="193">
        <f t="shared" si="425"/>
        <v>3501</v>
      </c>
      <c r="P1963" s="194">
        <v>2138</v>
      </c>
      <c r="Q1963" s="194">
        <v>24</v>
      </c>
      <c r="R1963" s="194">
        <v>24</v>
      </c>
      <c r="S1963" s="193">
        <f t="shared" si="426"/>
        <v>2138</v>
      </c>
      <c r="T1963" s="193">
        <f t="shared" si="427"/>
        <v>524.61111111111109</v>
      </c>
      <c r="U1963" s="193">
        <f ca="1">OFFSET('Expenditure Study'!$B$7,'Operations Support'!$C1963,'Operations Support'!$B1963)*$G1963</f>
        <v>177433.97</v>
      </c>
      <c r="V1963" s="199">
        <f ca="1">U1963*'Expenditure Study'!$B$31</f>
        <v>10483363.329571776</v>
      </c>
      <c r="W1963" s="199">
        <f ca="1">IF(A1963=10298,1.51,1)*IF($B1963&lt;3,$D1963*'Expenditure Study'!$B$32*OFFSET('Expenditure Study'!$B$7,'Operations Support'!$C1963,'Operations Support'!$B1963),0)</f>
        <v>0</v>
      </c>
      <c r="X1963" s="200">
        <f ca="1">W1963*'Expenditure Study'!$B$31</f>
        <v>0</v>
      </c>
      <c r="Y1963" s="199">
        <f ca="1">U1963*'Expenditure Study'!$B$31</f>
        <v>10483363.329571776</v>
      </c>
      <c r="Z1963" s="200">
        <f ca="1">W1963*'Expenditure Study'!$B$31</f>
        <v>0</v>
      </c>
      <c r="AA1963" s="195">
        <f t="shared" ca="1" si="428"/>
        <v>10483363.329571776</v>
      </c>
      <c r="AB1963" s="195">
        <f t="shared" ca="1" si="429"/>
        <v>10483363.329571776</v>
      </c>
      <c r="AD1963" s="196">
        <f>IFERROR($G1963/SUMIF($A:$A,$A1963,$G:$G)*SUMIF(Summary!$A$166:$A$242,$A1963,Summary!$P$166:$P$242),0)</f>
        <v>346942.58001442399</v>
      </c>
      <c r="AE1963" s="197">
        <f t="shared" ca="1" si="430"/>
        <v>10136420.749557352</v>
      </c>
      <c r="AF1963" s="196">
        <f>IFERROR(G1963/SUMIF(A:A,A1963,G:G)*SUMIF(Summary!$A$166:$A$242,'Operations Support'!A1963,Summary!$Q$166:$Q$242),0)</f>
        <v>348133.07040072314</v>
      </c>
      <c r="AG1963" s="196">
        <f t="shared" ca="1" si="431"/>
        <v>10135230.259171054</v>
      </c>
      <c r="AI1963" s="196">
        <f>IFERROR($G1963/SUMIF($A:$A,$A1963,$G:$G)*SUMIF(Summary!$A$247:$A$283,$A1963,Summary!$P$247:$P$283),0)</f>
        <v>63273.668739055538</v>
      </c>
      <c r="AJ1963" s="196">
        <f>IFERROR($G1963/SUMIF($A:$A,$A1963,$G:$G)*(SUMIF(Summary!$A$247:$A$283,$A1963,Summary!$L$247:$L$283)+SUMIF(Summary!$A$297:$A$333,$A1963,Summary!$L$297:$L$333))-AI1963,0)</f>
        <v>152057.75085555951</v>
      </c>
      <c r="AK1963" s="196">
        <f>IFERROR($G1963/SUMIF($A:$A,$A1963,$G:$G)*SUMIF(Summary!$A$247:$A$283,$A1963,Summary!$Q$247:$Q$283),0)</f>
        <v>63490.784477160087</v>
      </c>
      <c r="AL1963" s="196">
        <f>IFERROR($G1963/SUMIF($A:$A,$A1963,$G:$G)*(SUMIF(Summary!$A$247:$A$283,$A1963,Summary!$L$247:$L$283)+SUMIF(Summary!$A$297:$A$333,$A1963,Summary!$L$297:$L$333))-AK1963,0)</f>
        <v>151840.63511745498</v>
      </c>
      <c r="AM1963" s="198"/>
      <c r="AN1963" s="196">
        <f t="shared" ca="1" si="432"/>
        <v>10288478.500412911</v>
      </c>
      <c r="AO1963" s="196">
        <f t="shared" ca="1" si="433"/>
        <v>10287070.894288508</v>
      </c>
    </row>
    <row r="1964" spans="1:41">
      <c r="A1964" s="189">
        <v>3652</v>
      </c>
      <c r="B1964" s="190">
        <v>4</v>
      </c>
      <c r="C1964" s="191" t="s">
        <v>226</v>
      </c>
      <c r="D1964" s="192">
        <f t="shared" si="420"/>
        <v>0</v>
      </c>
      <c r="E1964" s="192">
        <f t="shared" si="421"/>
        <v>0</v>
      </c>
      <c r="F1964" s="192">
        <f t="shared" si="422"/>
        <v>0</v>
      </c>
      <c r="G1964" s="193">
        <f t="shared" si="423"/>
        <v>0</v>
      </c>
      <c r="H1964" s="194">
        <v>0</v>
      </c>
      <c r="I1964" s="194">
        <v>0</v>
      </c>
      <c r="J1964" s="194">
        <v>0</v>
      </c>
      <c r="K1964" s="193">
        <f t="shared" si="424"/>
        <v>0</v>
      </c>
      <c r="L1964" s="194">
        <v>0</v>
      </c>
      <c r="M1964" s="194">
        <v>0</v>
      </c>
      <c r="N1964" s="194">
        <v>0</v>
      </c>
      <c r="O1964" s="193">
        <f t="shared" si="425"/>
        <v>0</v>
      </c>
      <c r="P1964" s="194">
        <v>0</v>
      </c>
      <c r="Q1964" s="194">
        <v>0</v>
      </c>
      <c r="R1964" s="194">
        <v>0</v>
      </c>
      <c r="S1964" s="193">
        <f t="shared" si="426"/>
        <v>0</v>
      </c>
      <c r="T1964" s="193">
        <f t="shared" si="427"/>
        <v>0</v>
      </c>
      <c r="U1964" s="193">
        <f ca="1">OFFSET('Expenditure Study'!$B$7,'Operations Support'!$C1964,'Operations Support'!$B1964)*$G1964</f>
        <v>0</v>
      </c>
      <c r="V1964" s="199">
        <f ca="1">U1964*'Expenditure Study'!$B$31</f>
        <v>0</v>
      </c>
      <c r="W1964" s="199">
        <f ca="1">IF(A1964=10298,1.51,1)*IF($B1964&lt;3,$D1964*'Expenditure Study'!$B$32*OFFSET('Expenditure Study'!$B$7,'Operations Support'!$C1964,'Operations Support'!$B1964),0)</f>
        <v>0</v>
      </c>
      <c r="X1964" s="200">
        <f ca="1">W1964*'Expenditure Study'!$B$31</f>
        <v>0</v>
      </c>
      <c r="Y1964" s="199">
        <f ca="1">U1964*'Expenditure Study'!$B$31</f>
        <v>0</v>
      </c>
      <c r="Z1964" s="200">
        <f ca="1">W1964*'Expenditure Study'!$B$31</f>
        <v>0</v>
      </c>
      <c r="AA1964" s="195">
        <f t="shared" ca="1" si="428"/>
        <v>0</v>
      </c>
      <c r="AB1964" s="195">
        <f t="shared" ca="1" si="429"/>
        <v>0</v>
      </c>
      <c r="AD1964" s="196">
        <f>IFERROR($G1964/SUMIF($A:$A,$A1964,$G:$G)*SUMIF(Summary!$A$166:$A$242,$A1964,Summary!$P$166:$P$242),0)</f>
        <v>0</v>
      </c>
      <c r="AE1964" s="197">
        <f t="shared" ca="1" si="430"/>
        <v>0</v>
      </c>
      <c r="AF1964" s="196">
        <f>IFERROR(G1964/SUMIF(A:A,A1964,G:G)*SUMIF(Summary!$A$166:$A$242,'Operations Support'!A1964,Summary!$Q$166:$Q$242),0)</f>
        <v>0</v>
      </c>
      <c r="AG1964" s="196">
        <f t="shared" ca="1" si="431"/>
        <v>0</v>
      </c>
      <c r="AI1964" s="196">
        <f>IFERROR($G1964/SUMIF($A:$A,$A1964,$G:$G)*SUMIF(Summary!$A$247:$A$283,$A1964,Summary!$P$247:$P$283),0)</f>
        <v>0</v>
      </c>
      <c r="AJ1964" s="196">
        <f>IFERROR($G1964/SUMIF($A:$A,$A1964,$G:$G)*(SUMIF(Summary!$A$247:$A$283,$A1964,Summary!$L$247:$L$283)+SUMIF(Summary!$A$297:$A$333,$A1964,Summary!$L$297:$L$333))-AI1964,0)</f>
        <v>0</v>
      </c>
      <c r="AK1964" s="196">
        <f>IFERROR($G1964/SUMIF($A:$A,$A1964,$G:$G)*SUMIF(Summary!$A$247:$A$283,$A1964,Summary!$Q$247:$Q$283),0)</f>
        <v>0</v>
      </c>
      <c r="AL1964" s="196">
        <f>IFERROR($G1964/SUMIF($A:$A,$A1964,$G:$G)*(SUMIF(Summary!$A$247:$A$283,$A1964,Summary!$L$247:$L$283)+SUMIF(Summary!$A$297:$A$333,$A1964,Summary!$L$297:$L$333))-AK1964,0)</f>
        <v>0</v>
      </c>
      <c r="AM1964" s="198"/>
      <c r="AN1964" s="196">
        <f t="shared" ca="1" si="432"/>
        <v>0</v>
      </c>
      <c r="AO1964" s="196">
        <f t="shared" ca="1" si="433"/>
        <v>0</v>
      </c>
    </row>
    <row r="1965" spans="1:41">
      <c r="A1965" s="189">
        <v>3652</v>
      </c>
      <c r="B1965" s="190">
        <v>4</v>
      </c>
      <c r="C1965" s="191" t="s">
        <v>227</v>
      </c>
      <c r="D1965" s="192">
        <f t="shared" si="420"/>
        <v>0</v>
      </c>
      <c r="E1965" s="192">
        <f t="shared" si="421"/>
        <v>0</v>
      </c>
      <c r="F1965" s="192">
        <f t="shared" si="422"/>
        <v>0</v>
      </c>
      <c r="G1965" s="193">
        <f t="shared" si="423"/>
        <v>0</v>
      </c>
      <c r="H1965" s="194">
        <v>0</v>
      </c>
      <c r="I1965" s="194">
        <v>0</v>
      </c>
      <c r="J1965" s="194">
        <v>0</v>
      </c>
      <c r="K1965" s="193">
        <f t="shared" si="424"/>
        <v>0</v>
      </c>
      <c r="L1965" s="194">
        <v>0</v>
      </c>
      <c r="M1965" s="194">
        <v>0</v>
      </c>
      <c r="N1965" s="194">
        <v>0</v>
      </c>
      <c r="O1965" s="193">
        <f t="shared" si="425"/>
        <v>0</v>
      </c>
      <c r="P1965" s="194">
        <v>0</v>
      </c>
      <c r="Q1965" s="194">
        <v>0</v>
      </c>
      <c r="R1965" s="194">
        <v>0</v>
      </c>
      <c r="S1965" s="193">
        <f t="shared" si="426"/>
        <v>0</v>
      </c>
      <c r="T1965" s="193">
        <f t="shared" si="427"/>
        <v>0</v>
      </c>
      <c r="U1965" s="193">
        <f ca="1">OFFSET('Expenditure Study'!$B$7,'Operations Support'!$C1965,'Operations Support'!$B1965)*$G1965</f>
        <v>0</v>
      </c>
      <c r="V1965" s="199">
        <f ca="1">U1965*'Expenditure Study'!$B$31</f>
        <v>0</v>
      </c>
      <c r="W1965" s="199">
        <f ca="1">IF(A1965=10298,1.51,1)*IF($B1965&lt;3,$D1965*'Expenditure Study'!$B$32*OFFSET('Expenditure Study'!$B$7,'Operations Support'!$C1965,'Operations Support'!$B1965),0)</f>
        <v>0</v>
      </c>
      <c r="X1965" s="200">
        <f ca="1">W1965*'Expenditure Study'!$B$31</f>
        <v>0</v>
      </c>
      <c r="Y1965" s="199">
        <f ca="1">U1965*'Expenditure Study'!$B$31</f>
        <v>0</v>
      </c>
      <c r="Z1965" s="200">
        <f ca="1">W1965*'Expenditure Study'!$B$31</f>
        <v>0</v>
      </c>
      <c r="AA1965" s="195">
        <f t="shared" ca="1" si="428"/>
        <v>0</v>
      </c>
      <c r="AB1965" s="195">
        <f t="shared" ca="1" si="429"/>
        <v>0</v>
      </c>
      <c r="AD1965" s="196">
        <f>IFERROR($G1965/SUMIF($A:$A,$A1965,$G:$G)*SUMIF(Summary!$A$166:$A$242,$A1965,Summary!$P$166:$P$242),0)</f>
        <v>0</v>
      </c>
      <c r="AE1965" s="197">
        <f t="shared" ca="1" si="430"/>
        <v>0</v>
      </c>
      <c r="AF1965" s="196">
        <f>IFERROR(G1965/SUMIF(A:A,A1965,G:G)*SUMIF(Summary!$A$166:$A$242,'Operations Support'!A1965,Summary!$Q$166:$Q$242),0)</f>
        <v>0</v>
      </c>
      <c r="AG1965" s="196">
        <f t="shared" ca="1" si="431"/>
        <v>0</v>
      </c>
      <c r="AI1965" s="196">
        <f>IFERROR($G1965/SUMIF($A:$A,$A1965,$G:$G)*SUMIF(Summary!$A$247:$A$283,$A1965,Summary!$P$247:$P$283),0)</f>
        <v>0</v>
      </c>
      <c r="AJ1965" s="196">
        <f>IFERROR($G1965/SUMIF($A:$A,$A1965,$G:$G)*(SUMIF(Summary!$A$247:$A$283,$A1965,Summary!$L$247:$L$283)+SUMIF(Summary!$A$297:$A$333,$A1965,Summary!$L$297:$L$333))-AI1965,0)</f>
        <v>0</v>
      </c>
      <c r="AK1965" s="196">
        <f>IFERROR($G1965/SUMIF($A:$A,$A1965,$G:$G)*SUMIF(Summary!$A$247:$A$283,$A1965,Summary!$Q$247:$Q$283),0)</f>
        <v>0</v>
      </c>
      <c r="AL1965" s="196">
        <f>IFERROR($G1965/SUMIF($A:$A,$A1965,$G:$G)*(SUMIF(Summary!$A$247:$A$283,$A1965,Summary!$L$247:$L$283)+SUMIF(Summary!$A$297:$A$333,$A1965,Summary!$L$297:$L$333))-AK1965,0)</f>
        <v>0</v>
      </c>
      <c r="AM1965" s="198"/>
      <c r="AN1965" s="196">
        <f t="shared" ca="1" si="432"/>
        <v>0</v>
      </c>
      <c r="AO1965" s="196">
        <f t="shared" ca="1" si="433"/>
        <v>0</v>
      </c>
    </row>
    <row r="1966" spans="1:41">
      <c r="A1966" s="189">
        <v>3652</v>
      </c>
      <c r="B1966" s="190">
        <v>4</v>
      </c>
      <c r="C1966" s="191" t="s">
        <v>228</v>
      </c>
      <c r="D1966" s="192">
        <f t="shared" si="420"/>
        <v>485</v>
      </c>
      <c r="E1966" s="192">
        <f t="shared" si="421"/>
        <v>12</v>
      </c>
      <c r="F1966" s="192">
        <f t="shared" si="422"/>
        <v>0</v>
      </c>
      <c r="G1966" s="193">
        <f t="shared" si="423"/>
        <v>497</v>
      </c>
      <c r="H1966" s="194">
        <v>236</v>
      </c>
      <c r="I1966" s="194">
        <v>0</v>
      </c>
      <c r="J1966" s="194">
        <v>0</v>
      </c>
      <c r="K1966" s="193">
        <f t="shared" si="424"/>
        <v>236</v>
      </c>
      <c r="L1966" s="194">
        <v>213</v>
      </c>
      <c r="M1966" s="194">
        <v>12</v>
      </c>
      <c r="N1966" s="194">
        <v>0</v>
      </c>
      <c r="O1966" s="193">
        <f t="shared" si="425"/>
        <v>225</v>
      </c>
      <c r="P1966" s="194">
        <v>36</v>
      </c>
      <c r="Q1966" s="194">
        <v>0</v>
      </c>
      <c r="R1966" s="194">
        <v>0</v>
      </c>
      <c r="S1966" s="193">
        <f t="shared" si="426"/>
        <v>36</v>
      </c>
      <c r="T1966" s="193">
        <f t="shared" si="427"/>
        <v>27.611111111111111</v>
      </c>
      <c r="U1966" s="193">
        <f ca="1">OFFSET('Expenditure Study'!$B$7,'Operations Support'!$C1966,'Operations Support'!$B1966)*$G1966</f>
        <v>14447.79</v>
      </c>
      <c r="V1966" s="199">
        <f ca="1">U1966*'Expenditure Study'!$B$31</f>
        <v>853621.38873043202</v>
      </c>
      <c r="W1966" s="199">
        <f ca="1">IF(A1966=10298,1.51,1)*IF($B1966&lt;3,$D1966*'Expenditure Study'!$B$32*OFFSET('Expenditure Study'!$B$7,'Operations Support'!$C1966,'Operations Support'!$B1966),0)</f>
        <v>0</v>
      </c>
      <c r="X1966" s="200">
        <f ca="1">W1966*'Expenditure Study'!$B$31</f>
        <v>0</v>
      </c>
      <c r="Y1966" s="199">
        <f ca="1">U1966*'Expenditure Study'!$B$31</f>
        <v>853621.38873043202</v>
      </c>
      <c r="Z1966" s="200">
        <f ca="1">W1966*'Expenditure Study'!$B$31</f>
        <v>0</v>
      </c>
      <c r="AA1966" s="195">
        <f t="shared" ca="1" si="428"/>
        <v>853621.38873043202</v>
      </c>
      <c r="AB1966" s="195">
        <f t="shared" ca="1" si="429"/>
        <v>853621.38873043202</v>
      </c>
      <c r="AD1966" s="196">
        <f>IFERROR($G1966/SUMIF($A:$A,$A1966,$G:$G)*SUMIF(Summary!$A$166:$A$242,$A1966,Summary!$P$166:$P$242),0)</f>
        <v>18260.135790232838</v>
      </c>
      <c r="AE1966" s="197">
        <f t="shared" ca="1" si="430"/>
        <v>835361.25294019922</v>
      </c>
      <c r="AF1966" s="196">
        <f>IFERROR(G1966/SUMIF(A:A,A1966,G:G)*SUMIF(Summary!$A$166:$A$242,'Operations Support'!A1966,Summary!$Q$166:$Q$242),0)</f>
        <v>18322.793178985426</v>
      </c>
      <c r="AG1966" s="196">
        <f t="shared" ca="1" si="431"/>
        <v>835298.59555144655</v>
      </c>
      <c r="AI1966" s="196">
        <f>IFERROR($G1966/SUMIF($A:$A,$A1966,$G:$G)*SUMIF(Summary!$A$247:$A$283,$A1966,Summary!$P$247:$P$283),0)</f>
        <v>3330.1930915292387</v>
      </c>
      <c r="AJ1966" s="196">
        <f>IFERROR($G1966/SUMIF($A:$A,$A1966,$G:$G)*(SUMIF(Summary!$A$247:$A$283,$A1966,Summary!$L$247:$L$283)+SUMIF(Summary!$A$297:$A$333,$A1966,Summary!$L$297:$L$333))-AI1966,0)</f>
        <v>8003.0395187136573</v>
      </c>
      <c r="AK1966" s="196">
        <f>IFERROR($G1966/SUMIF($A:$A,$A1966,$G:$G)*SUMIF(Summary!$A$247:$A$283,$A1966,Summary!$Q$247:$Q$283),0)</f>
        <v>3341.6202356400045</v>
      </c>
      <c r="AL1966" s="196">
        <f>IFERROR($G1966/SUMIF($A:$A,$A1966,$G:$G)*(SUMIF(Summary!$A$247:$A$283,$A1966,Summary!$L$247:$L$283)+SUMIF(Summary!$A$297:$A$333,$A1966,Summary!$L$297:$L$333))-AK1966,0)</f>
        <v>7991.6123746028916</v>
      </c>
      <c r="AM1966" s="198"/>
      <c r="AN1966" s="196">
        <f t="shared" ca="1" si="432"/>
        <v>843364.29245891282</v>
      </c>
      <c r="AO1966" s="196">
        <f t="shared" ca="1" si="433"/>
        <v>843290.20792604948</v>
      </c>
    </row>
    <row r="1967" spans="1:41">
      <c r="A1967" s="189">
        <v>3652</v>
      </c>
      <c r="B1967" s="190">
        <v>4</v>
      </c>
      <c r="C1967" s="191" t="s">
        <v>229</v>
      </c>
      <c r="D1967" s="192">
        <f t="shared" si="420"/>
        <v>0</v>
      </c>
      <c r="E1967" s="192">
        <f t="shared" si="421"/>
        <v>0</v>
      </c>
      <c r="F1967" s="192">
        <f t="shared" si="422"/>
        <v>0</v>
      </c>
      <c r="G1967" s="193">
        <f t="shared" si="423"/>
        <v>0</v>
      </c>
      <c r="H1967" s="194">
        <v>0</v>
      </c>
      <c r="I1967" s="194">
        <v>0</v>
      </c>
      <c r="J1967" s="194">
        <v>0</v>
      </c>
      <c r="K1967" s="193">
        <f t="shared" si="424"/>
        <v>0</v>
      </c>
      <c r="L1967" s="194">
        <v>0</v>
      </c>
      <c r="M1967" s="194">
        <v>0</v>
      </c>
      <c r="N1967" s="194">
        <v>0</v>
      </c>
      <c r="O1967" s="193">
        <f t="shared" si="425"/>
        <v>0</v>
      </c>
      <c r="P1967" s="194">
        <v>0</v>
      </c>
      <c r="Q1967" s="194">
        <v>0</v>
      </c>
      <c r="R1967" s="194">
        <v>0</v>
      </c>
      <c r="S1967" s="193">
        <f t="shared" si="426"/>
        <v>0</v>
      </c>
      <c r="T1967" s="193">
        <f t="shared" si="427"/>
        <v>0</v>
      </c>
      <c r="U1967" s="193">
        <f ca="1">OFFSET('Expenditure Study'!$B$7,'Operations Support'!$C1967,'Operations Support'!$B1967)*$G1967</f>
        <v>0</v>
      </c>
      <c r="V1967" s="199">
        <f ca="1">U1967*'Expenditure Study'!$B$31</f>
        <v>0</v>
      </c>
      <c r="W1967" s="199">
        <f ca="1">IF(A1967=10298,1.51,1)*IF($B1967&lt;3,$D1967*'Expenditure Study'!$B$32*OFFSET('Expenditure Study'!$B$7,'Operations Support'!$C1967,'Operations Support'!$B1967),0)</f>
        <v>0</v>
      </c>
      <c r="X1967" s="200">
        <f ca="1">W1967*'Expenditure Study'!$B$31</f>
        <v>0</v>
      </c>
      <c r="Y1967" s="199">
        <f ca="1">U1967*'Expenditure Study'!$B$31</f>
        <v>0</v>
      </c>
      <c r="Z1967" s="200">
        <f ca="1">W1967*'Expenditure Study'!$B$31</f>
        <v>0</v>
      </c>
      <c r="AA1967" s="195">
        <f t="shared" ca="1" si="428"/>
        <v>0</v>
      </c>
      <c r="AB1967" s="195">
        <f t="shared" ca="1" si="429"/>
        <v>0</v>
      </c>
      <c r="AD1967" s="196">
        <f>IFERROR($G1967/SUMIF($A:$A,$A1967,$G:$G)*SUMIF(Summary!$A$166:$A$242,$A1967,Summary!$P$166:$P$242),0)</f>
        <v>0</v>
      </c>
      <c r="AE1967" s="197">
        <f t="shared" ca="1" si="430"/>
        <v>0</v>
      </c>
      <c r="AF1967" s="196">
        <f>IFERROR(G1967/SUMIF(A:A,A1967,G:G)*SUMIF(Summary!$A$166:$A$242,'Operations Support'!A1967,Summary!$Q$166:$Q$242),0)</f>
        <v>0</v>
      </c>
      <c r="AG1967" s="196">
        <f t="shared" ca="1" si="431"/>
        <v>0</v>
      </c>
      <c r="AI1967" s="196">
        <f>IFERROR($G1967/SUMIF($A:$A,$A1967,$G:$G)*SUMIF(Summary!$A$247:$A$283,$A1967,Summary!$P$247:$P$283),0)</f>
        <v>0</v>
      </c>
      <c r="AJ1967" s="196">
        <f>IFERROR($G1967/SUMIF($A:$A,$A1967,$G:$G)*(SUMIF(Summary!$A$247:$A$283,$A1967,Summary!$L$247:$L$283)+SUMIF(Summary!$A$297:$A$333,$A1967,Summary!$L$297:$L$333))-AI1967,0)</f>
        <v>0</v>
      </c>
      <c r="AK1967" s="196">
        <f>IFERROR($G1967/SUMIF($A:$A,$A1967,$G:$G)*SUMIF(Summary!$A$247:$A$283,$A1967,Summary!$Q$247:$Q$283),0)</f>
        <v>0</v>
      </c>
      <c r="AL1967" s="196">
        <f>IFERROR($G1967/SUMIF($A:$A,$A1967,$G:$G)*(SUMIF(Summary!$A$247:$A$283,$A1967,Summary!$L$247:$L$283)+SUMIF(Summary!$A$297:$A$333,$A1967,Summary!$L$297:$L$333))-AK1967,0)</f>
        <v>0</v>
      </c>
      <c r="AM1967" s="198"/>
      <c r="AN1967" s="196">
        <f t="shared" ca="1" si="432"/>
        <v>0</v>
      </c>
      <c r="AO1967" s="196">
        <f t="shared" ca="1" si="433"/>
        <v>0</v>
      </c>
    </row>
    <row r="1968" spans="1:41">
      <c r="A1968" s="189">
        <v>3652</v>
      </c>
      <c r="B1968" s="190">
        <v>4</v>
      </c>
      <c r="C1968" s="191" t="s">
        <v>230</v>
      </c>
      <c r="D1968" s="192">
        <f t="shared" si="420"/>
        <v>0</v>
      </c>
      <c r="E1968" s="192">
        <f t="shared" si="421"/>
        <v>0</v>
      </c>
      <c r="F1968" s="192">
        <f t="shared" si="422"/>
        <v>0</v>
      </c>
      <c r="G1968" s="193">
        <f t="shared" si="423"/>
        <v>0</v>
      </c>
      <c r="H1968" s="194">
        <v>0</v>
      </c>
      <c r="I1968" s="194">
        <v>0</v>
      </c>
      <c r="J1968" s="194">
        <v>0</v>
      </c>
      <c r="K1968" s="193">
        <f t="shared" si="424"/>
        <v>0</v>
      </c>
      <c r="L1968" s="194">
        <v>0</v>
      </c>
      <c r="M1968" s="194">
        <v>0</v>
      </c>
      <c r="N1968" s="194">
        <v>0</v>
      </c>
      <c r="O1968" s="193">
        <f t="shared" si="425"/>
        <v>0</v>
      </c>
      <c r="P1968" s="194">
        <v>0</v>
      </c>
      <c r="Q1968" s="194">
        <v>0</v>
      </c>
      <c r="R1968" s="194">
        <v>0</v>
      </c>
      <c r="S1968" s="193">
        <f t="shared" si="426"/>
        <v>0</v>
      </c>
      <c r="T1968" s="193">
        <f t="shared" si="427"/>
        <v>0</v>
      </c>
      <c r="U1968" s="193">
        <f ca="1">OFFSET('Expenditure Study'!$B$7,'Operations Support'!$C1968,'Operations Support'!$B1968)*$G1968</f>
        <v>0</v>
      </c>
      <c r="V1968" s="199">
        <f ca="1">U1968*'Expenditure Study'!$B$31</f>
        <v>0</v>
      </c>
      <c r="W1968" s="199">
        <f ca="1">IF(A1968=10298,1.51,1)*IF($B1968&lt;3,$D1968*'Expenditure Study'!$B$32*OFFSET('Expenditure Study'!$B$7,'Operations Support'!$C1968,'Operations Support'!$B1968),0)</f>
        <v>0</v>
      </c>
      <c r="X1968" s="200">
        <f ca="1">W1968*'Expenditure Study'!$B$31</f>
        <v>0</v>
      </c>
      <c r="Y1968" s="199">
        <f ca="1">U1968*'Expenditure Study'!$B$31</f>
        <v>0</v>
      </c>
      <c r="Z1968" s="200">
        <f ca="1">W1968*'Expenditure Study'!$B$31</f>
        <v>0</v>
      </c>
      <c r="AA1968" s="195">
        <f t="shared" ca="1" si="428"/>
        <v>0</v>
      </c>
      <c r="AB1968" s="195">
        <f t="shared" ca="1" si="429"/>
        <v>0</v>
      </c>
      <c r="AD1968" s="196">
        <f>IFERROR($G1968/SUMIF($A:$A,$A1968,$G:$G)*SUMIF(Summary!$A$166:$A$242,$A1968,Summary!$P$166:$P$242),0)</f>
        <v>0</v>
      </c>
      <c r="AE1968" s="197">
        <f t="shared" ca="1" si="430"/>
        <v>0</v>
      </c>
      <c r="AF1968" s="196">
        <f>IFERROR(G1968/SUMIF(A:A,A1968,G:G)*SUMIF(Summary!$A$166:$A$242,'Operations Support'!A1968,Summary!$Q$166:$Q$242),0)</f>
        <v>0</v>
      </c>
      <c r="AG1968" s="196">
        <f t="shared" ca="1" si="431"/>
        <v>0</v>
      </c>
      <c r="AI1968" s="196">
        <f>IFERROR($G1968/SUMIF($A:$A,$A1968,$G:$G)*SUMIF(Summary!$A$247:$A$283,$A1968,Summary!$P$247:$P$283),0)</f>
        <v>0</v>
      </c>
      <c r="AJ1968" s="196">
        <f>IFERROR($G1968/SUMIF($A:$A,$A1968,$G:$G)*(SUMIF(Summary!$A$247:$A$283,$A1968,Summary!$L$247:$L$283)+SUMIF(Summary!$A$297:$A$333,$A1968,Summary!$L$297:$L$333))-AI1968,0)</f>
        <v>0</v>
      </c>
      <c r="AK1968" s="196">
        <f>IFERROR($G1968/SUMIF($A:$A,$A1968,$G:$G)*SUMIF(Summary!$A$247:$A$283,$A1968,Summary!$Q$247:$Q$283),0)</f>
        <v>0</v>
      </c>
      <c r="AL1968" s="196">
        <f>IFERROR($G1968/SUMIF($A:$A,$A1968,$G:$G)*(SUMIF(Summary!$A$247:$A$283,$A1968,Summary!$L$247:$L$283)+SUMIF(Summary!$A$297:$A$333,$A1968,Summary!$L$297:$L$333))-AK1968,0)</f>
        <v>0</v>
      </c>
      <c r="AM1968" s="198"/>
      <c r="AN1968" s="196">
        <f t="shared" ca="1" si="432"/>
        <v>0</v>
      </c>
      <c r="AO1968" s="196">
        <f t="shared" ca="1" si="433"/>
        <v>0</v>
      </c>
    </row>
    <row r="1969" spans="1:41">
      <c r="A1969" s="189">
        <v>3652</v>
      </c>
      <c r="B1969" s="190">
        <v>4</v>
      </c>
      <c r="C1969" s="191" t="s">
        <v>231</v>
      </c>
      <c r="D1969" s="192">
        <f t="shared" si="420"/>
        <v>0</v>
      </c>
      <c r="E1969" s="192">
        <f t="shared" si="421"/>
        <v>0</v>
      </c>
      <c r="F1969" s="192">
        <f t="shared" si="422"/>
        <v>0</v>
      </c>
      <c r="G1969" s="193">
        <f t="shared" si="423"/>
        <v>0</v>
      </c>
      <c r="H1969" s="194">
        <v>0</v>
      </c>
      <c r="I1969" s="194">
        <v>0</v>
      </c>
      <c r="J1969" s="194">
        <v>0</v>
      </c>
      <c r="K1969" s="193">
        <f t="shared" si="424"/>
        <v>0</v>
      </c>
      <c r="L1969" s="194">
        <v>0</v>
      </c>
      <c r="M1969" s="194">
        <v>0</v>
      </c>
      <c r="N1969" s="194">
        <v>0</v>
      </c>
      <c r="O1969" s="193">
        <f t="shared" si="425"/>
        <v>0</v>
      </c>
      <c r="P1969" s="194">
        <v>0</v>
      </c>
      <c r="Q1969" s="194">
        <v>0</v>
      </c>
      <c r="R1969" s="194">
        <v>0</v>
      </c>
      <c r="S1969" s="193">
        <f t="shared" si="426"/>
        <v>0</v>
      </c>
      <c r="T1969" s="193">
        <f t="shared" si="427"/>
        <v>0</v>
      </c>
      <c r="U1969" s="193">
        <f ca="1">OFFSET('Expenditure Study'!$B$7,'Operations Support'!$C1969,'Operations Support'!$B1969)*$G1969</f>
        <v>0</v>
      </c>
      <c r="V1969" s="199">
        <f ca="1">U1969*'Expenditure Study'!$B$31</f>
        <v>0</v>
      </c>
      <c r="W1969" s="199">
        <f ca="1">IF(A1969=10298,1.51,1)*IF($B1969&lt;3,$D1969*'Expenditure Study'!$B$32*OFFSET('Expenditure Study'!$B$7,'Operations Support'!$C1969,'Operations Support'!$B1969),0)</f>
        <v>0</v>
      </c>
      <c r="X1969" s="200">
        <f ca="1">W1969*'Expenditure Study'!$B$31</f>
        <v>0</v>
      </c>
      <c r="Y1969" s="199">
        <f ca="1">U1969*'Expenditure Study'!$B$31</f>
        <v>0</v>
      </c>
      <c r="Z1969" s="200">
        <f ca="1">W1969*'Expenditure Study'!$B$31</f>
        <v>0</v>
      </c>
      <c r="AA1969" s="195">
        <f t="shared" ca="1" si="428"/>
        <v>0</v>
      </c>
      <c r="AB1969" s="195">
        <f t="shared" ca="1" si="429"/>
        <v>0</v>
      </c>
      <c r="AD1969" s="196">
        <f>IFERROR($G1969/SUMIF($A:$A,$A1969,$G:$G)*SUMIF(Summary!$A$166:$A$242,$A1969,Summary!$P$166:$P$242),0)</f>
        <v>0</v>
      </c>
      <c r="AE1969" s="197">
        <f t="shared" ca="1" si="430"/>
        <v>0</v>
      </c>
      <c r="AF1969" s="196">
        <f>IFERROR(G1969/SUMIF(A:A,A1969,G:G)*SUMIF(Summary!$A$166:$A$242,'Operations Support'!A1969,Summary!$Q$166:$Q$242),0)</f>
        <v>0</v>
      </c>
      <c r="AG1969" s="196">
        <f t="shared" ca="1" si="431"/>
        <v>0</v>
      </c>
      <c r="AI1969" s="196">
        <f>IFERROR($G1969/SUMIF($A:$A,$A1969,$G:$G)*SUMIF(Summary!$A$247:$A$283,$A1969,Summary!$P$247:$P$283),0)</f>
        <v>0</v>
      </c>
      <c r="AJ1969" s="196">
        <f>IFERROR($G1969/SUMIF($A:$A,$A1969,$G:$G)*(SUMIF(Summary!$A$247:$A$283,$A1969,Summary!$L$247:$L$283)+SUMIF(Summary!$A$297:$A$333,$A1969,Summary!$L$297:$L$333))-AI1969,0)</f>
        <v>0</v>
      </c>
      <c r="AK1969" s="196">
        <f>IFERROR($G1969/SUMIF($A:$A,$A1969,$G:$G)*SUMIF(Summary!$A$247:$A$283,$A1969,Summary!$Q$247:$Q$283),0)</f>
        <v>0</v>
      </c>
      <c r="AL1969" s="196">
        <f>IFERROR($G1969/SUMIF($A:$A,$A1969,$G:$G)*(SUMIF(Summary!$A$247:$A$283,$A1969,Summary!$L$247:$L$283)+SUMIF(Summary!$A$297:$A$333,$A1969,Summary!$L$297:$L$333))-AK1969,0)</f>
        <v>0</v>
      </c>
      <c r="AM1969" s="198"/>
      <c r="AN1969" s="196">
        <f t="shared" ca="1" si="432"/>
        <v>0</v>
      </c>
      <c r="AO1969" s="196">
        <f t="shared" ca="1" si="433"/>
        <v>0</v>
      </c>
    </row>
    <row r="1970" spans="1:41">
      <c r="A1970" s="189">
        <v>3652</v>
      </c>
      <c r="B1970" s="190">
        <v>4</v>
      </c>
      <c r="C1970" s="191" t="s">
        <v>232</v>
      </c>
      <c r="D1970" s="192">
        <f t="shared" si="420"/>
        <v>0</v>
      </c>
      <c r="E1970" s="192">
        <f t="shared" si="421"/>
        <v>0</v>
      </c>
      <c r="F1970" s="192">
        <f t="shared" si="422"/>
        <v>0</v>
      </c>
      <c r="G1970" s="193">
        <f t="shared" si="423"/>
        <v>0</v>
      </c>
      <c r="H1970" s="194">
        <v>0</v>
      </c>
      <c r="I1970" s="194">
        <v>0</v>
      </c>
      <c r="J1970" s="194">
        <v>0</v>
      </c>
      <c r="K1970" s="193">
        <f t="shared" si="424"/>
        <v>0</v>
      </c>
      <c r="L1970" s="194">
        <v>0</v>
      </c>
      <c r="M1970" s="194">
        <v>0</v>
      </c>
      <c r="N1970" s="194">
        <v>0</v>
      </c>
      <c r="O1970" s="193">
        <f t="shared" si="425"/>
        <v>0</v>
      </c>
      <c r="P1970" s="194">
        <v>0</v>
      </c>
      <c r="Q1970" s="194">
        <v>0</v>
      </c>
      <c r="R1970" s="194">
        <v>0</v>
      </c>
      <c r="S1970" s="193">
        <f t="shared" si="426"/>
        <v>0</v>
      </c>
      <c r="T1970" s="193">
        <f t="shared" si="427"/>
        <v>0</v>
      </c>
      <c r="U1970" s="193">
        <f ca="1">OFFSET('Expenditure Study'!$B$7,'Operations Support'!$C1970,'Operations Support'!$B1970)*$G1970</f>
        <v>0</v>
      </c>
      <c r="V1970" s="199">
        <f ca="1">U1970*'Expenditure Study'!$B$31</f>
        <v>0</v>
      </c>
      <c r="W1970" s="199">
        <f ca="1">IF(A1970=10298,1.51,1)*IF($B1970&lt;3,$D1970*'Expenditure Study'!$B$32*OFFSET('Expenditure Study'!$B$7,'Operations Support'!$C1970,'Operations Support'!$B1970),0)</f>
        <v>0</v>
      </c>
      <c r="X1970" s="200">
        <f ca="1">W1970*'Expenditure Study'!$B$31</f>
        <v>0</v>
      </c>
      <c r="Y1970" s="199">
        <f ca="1">U1970*'Expenditure Study'!$B$31</f>
        <v>0</v>
      </c>
      <c r="Z1970" s="200">
        <f ca="1">W1970*'Expenditure Study'!$B$31</f>
        <v>0</v>
      </c>
      <c r="AA1970" s="195">
        <f t="shared" ca="1" si="428"/>
        <v>0</v>
      </c>
      <c r="AB1970" s="195">
        <f t="shared" ca="1" si="429"/>
        <v>0</v>
      </c>
      <c r="AD1970" s="196">
        <f>IFERROR($G1970/SUMIF($A:$A,$A1970,$G:$G)*SUMIF(Summary!$A$166:$A$242,$A1970,Summary!$P$166:$P$242),0)</f>
        <v>0</v>
      </c>
      <c r="AE1970" s="197">
        <f t="shared" ca="1" si="430"/>
        <v>0</v>
      </c>
      <c r="AF1970" s="196">
        <f>IFERROR(G1970/SUMIF(A:A,A1970,G:G)*SUMIF(Summary!$A$166:$A$242,'Operations Support'!A1970,Summary!$Q$166:$Q$242),0)</f>
        <v>0</v>
      </c>
      <c r="AG1970" s="196">
        <f t="shared" ca="1" si="431"/>
        <v>0</v>
      </c>
      <c r="AI1970" s="196">
        <f>IFERROR($G1970/SUMIF($A:$A,$A1970,$G:$G)*SUMIF(Summary!$A$247:$A$283,$A1970,Summary!$P$247:$P$283),0)</f>
        <v>0</v>
      </c>
      <c r="AJ1970" s="196">
        <f>IFERROR($G1970/SUMIF($A:$A,$A1970,$G:$G)*(SUMIF(Summary!$A$247:$A$283,$A1970,Summary!$L$247:$L$283)+SUMIF(Summary!$A$297:$A$333,$A1970,Summary!$L$297:$L$333))-AI1970,0)</f>
        <v>0</v>
      </c>
      <c r="AK1970" s="196">
        <f>IFERROR($G1970/SUMIF($A:$A,$A1970,$G:$G)*SUMIF(Summary!$A$247:$A$283,$A1970,Summary!$Q$247:$Q$283),0)</f>
        <v>0</v>
      </c>
      <c r="AL1970" s="196">
        <f>IFERROR($G1970/SUMIF($A:$A,$A1970,$G:$G)*(SUMIF(Summary!$A$247:$A$283,$A1970,Summary!$L$247:$L$283)+SUMIF(Summary!$A$297:$A$333,$A1970,Summary!$L$297:$L$333))-AK1970,0)</f>
        <v>0</v>
      </c>
      <c r="AM1970" s="198"/>
      <c r="AN1970" s="196">
        <f t="shared" ca="1" si="432"/>
        <v>0</v>
      </c>
      <c r="AO1970" s="196">
        <f t="shared" ca="1" si="433"/>
        <v>0</v>
      </c>
    </row>
    <row r="1971" spans="1:41">
      <c r="A1971" s="189">
        <v>3652</v>
      </c>
      <c r="B1971" s="190">
        <v>4</v>
      </c>
      <c r="C1971" s="191" t="s">
        <v>233</v>
      </c>
      <c r="D1971" s="192">
        <f t="shared" si="420"/>
        <v>205</v>
      </c>
      <c r="E1971" s="192">
        <f t="shared" si="421"/>
        <v>6</v>
      </c>
      <c r="F1971" s="192">
        <f t="shared" si="422"/>
        <v>19</v>
      </c>
      <c r="G1971" s="193">
        <f t="shared" si="423"/>
        <v>192</v>
      </c>
      <c r="H1971" s="194">
        <v>96</v>
      </c>
      <c r="I1971" s="194">
        <v>0</v>
      </c>
      <c r="J1971" s="194">
        <v>9</v>
      </c>
      <c r="K1971" s="193">
        <f t="shared" si="424"/>
        <v>87</v>
      </c>
      <c r="L1971" s="194">
        <v>96</v>
      </c>
      <c r="M1971" s="194">
        <v>6</v>
      </c>
      <c r="N1971" s="194">
        <v>9</v>
      </c>
      <c r="O1971" s="193">
        <f t="shared" si="425"/>
        <v>93</v>
      </c>
      <c r="P1971" s="194">
        <v>13</v>
      </c>
      <c r="Q1971" s="194">
        <v>0</v>
      </c>
      <c r="R1971" s="194">
        <v>1</v>
      </c>
      <c r="S1971" s="193">
        <f t="shared" si="426"/>
        <v>12</v>
      </c>
      <c r="T1971" s="193">
        <f t="shared" si="427"/>
        <v>10.666666666666666</v>
      </c>
      <c r="U1971" s="193">
        <f ca="1">OFFSET('Expenditure Study'!$B$7,'Operations Support'!$C1971,'Operations Support'!$B1971)*$G1971</f>
        <v>1766.3999999999999</v>
      </c>
      <c r="V1971" s="199">
        <f ca="1">U1971*'Expenditure Study'!$B$31</f>
        <v>104364.53056511999</v>
      </c>
      <c r="W1971" s="199">
        <f ca="1">IF(A1971=10298,1.51,1)*IF($B1971&lt;3,$D1971*'Expenditure Study'!$B$32*OFFSET('Expenditure Study'!$B$7,'Operations Support'!$C1971,'Operations Support'!$B1971),0)</f>
        <v>0</v>
      </c>
      <c r="X1971" s="200">
        <f ca="1">W1971*'Expenditure Study'!$B$31</f>
        <v>0</v>
      </c>
      <c r="Y1971" s="199">
        <f ca="1">U1971*'Expenditure Study'!$B$31</f>
        <v>104364.53056511999</v>
      </c>
      <c r="Z1971" s="200">
        <f ca="1">W1971*'Expenditure Study'!$B$31</f>
        <v>0</v>
      </c>
      <c r="AA1971" s="195">
        <f t="shared" ca="1" si="428"/>
        <v>104364.53056511999</v>
      </c>
      <c r="AB1971" s="195">
        <f t="shared" ca="1" si="429"/>
        <v>104364.53056511999</v>
      </c>
      <c r="AD1971" s="196">
        <f>IFERROR($G1971/SUMIF($A:$A,$A1971,$G:$G)*SUMIF(Summary!$A$166:$A$242,$A1971,Summary!$P$166:$P$242),0)</f>
        <v>7054.217448138239</v>
      </c>
      <c r="AE1971" s="197">
        <f t="shared" ca="1" si="430"/>
        <v>97310.31311698175</v>
      </c>
      <c r="AF1971" s="196">
        <f>IFERROR(G1971/SUMIF(A:A,A1971,G:G)*SUMIF(Summary!$A$166:$A$242,'Operations Support'!A1971,Summary!$Q$166:$Q$242),0)</f>
        <v>7078.4231194470867</v>
      </c>
      <c r="AG1971" s="196">
        <f t="shared" ca="1" si="431"/>
        <v>97286.107445672897</v>
      </c>
      <c r="AI1971" s="196">
        <f>IFERROR($G1971/SUMIF($A:$A,$A1971,$G:$G)*SUMIF(Summary!$A$247:$A$283,$A1971,Summary!$P$247:$P$283),0)</f>
        <v>1286.5132265062653</v>
      </c>
      <c r="AJ1971" s="196">
        <f>IFERROR($G1971/SUMIF($A:$A,$A1971,$G:$G)*(SUMIF(Summary!$A$247:$A$283,$A1971,Summary!$L$247:$L$283)+SUMIF(Summary!$A$297:$A$333,$A1971,Summary!$L$297:$L$333))-AI1971,0)</f>
        <v>3091.7174800664429</v>
      </c>
      <c r="AK1971" s="196">
        <f>IFERROR($G1971/SUMIF($A:$A,$A1971,$G:$G)*SUMIF(Summary!$A$247:$A$283,$A1971,Summary!$Q$247:$Q$283),0)</f>
        <v>1290.9277369072049</v>
      </c>
      <c r="AL1971" s="196">
        <f>IFERROR($G1971/SUMIF($A:$A,$A1971,$G:$G)*(SUMIF(Summary!$A$247:$A$283,$A1971,Summary!$L$247:$L$283)+SUMIF(Summary!$A$297:$A$333,$A1971,Summary!$L$297:$L$333))-AK1971,0)</f>
        <v>3087.302969665503</v>
      </c>
      <c r="AM1971" s="198"/>
      <c r="AN1971" s="196">
        <f t="shared" ca="1" si="432"/>
        <v>100402.03059704819</v>
      </c>
      <c r="AO1971" s="196">
        <f t="shared" ca="1" si="433"/>
        <v>100373.4104153384</v>
      </c>
    </row>
    <row r="1972" spans="1:41">
      <c r="A1972" s="189">
        <v>3652</v>
      </c>
      <c r="B1972" s="190">
        <v>4</v>
      </c>
      <c r="C1972" s="191" t="s">
        <v>234</v>
      </c>
      <c r="D1972" s="192">
        <f t="shared" si="420"/>
        <v>740</v>
      </c>
      <c r="E1972" s="192">
        <f t="shared" si="421"/>
        <v>0</v>
      </c>
      <c r="F1972" s="192">
        <f t="shared" si="422"/>
        <v>2</v>
      </c>
      <c r="G1972" s="193">
        <f t="shared" si="423"/>
        <v>738</v>
      </c>
      <c r="H1972" s="194">
        <v>304</v>
      </c>
      <c r="I1972" s="194">
        <v>0</v>
      </c>
      <c r="J1972" s="194">
        <v>0</v>
      </c>
      <c r="K1972" s="193">
        <f t="shared" si="424"/>
        <v>304</v>
      </c>
      <c r="L1972" s="194">
        <v>355</v>
      </c>
      <c r="M1972" s="194">
        <v>0</v>
      </c>
      <c r="N1972" s="194">
        <v>1</v>
      </c>
      <c r="O1972" s="193">
        <f t="shared" si="425"/>
        <v>354</v>
      </c>
      <c r="P1972" s="194">
        <v>81</v>
      </c>
      <c r="Q1972" s="194">
        <v>0</v>
      </c>
      <c r="R1972" s="194">
        <v>1</v>
      </c>
      <c r="S1972" s="193">
        <f t="shared" si="426"/>
        <v>80</v>
      </c>
      <c r="T1972" s="193">
        <f t="shared" si="427"/>
        <v>41</v>
      </c>
      <c r="U1972" s="193">
        <f ca="1">OFFSET('Expenditure Study'!$B$7,'Operations Support'!$C1972,'Operations Support'!$B1972)*$G1972</f>
        <v>38560.5</v>
      </c>
      <c r="V1972" s="199">
        <f ca="1">U1972*'Expenditure Study'!$B$31</f>
        <v>2278276.9932384002</v>
      </c>
      <c r="W1972" s="199">
        <f ca="1">IF(A1972=10298,1.51,1)*IF($B1972&lt;3,$D1972*'Expenditure Study'!$B$32*OFFSET('Expenditure Study'!$B$7,'Operations Support'!$C1972,'Operations Support'!$B1972),0)</f>
        <v>0</v>
      </c>
      <c r="X1972" s="200">
        <f ca="1">W1972*'Expenditure Study'!$B$31</f>
        <v>0</v>
      </c>
      <c r="Y1972" s="199">
        <f ca="1">U1972*'Expenditure Study'!$B$31</f>
        <v>2278276.9932384002</v>
      </c>
      <c r="Z1972" s="200">
        <f ca="1">W1972*'Expenditure Study'!$B$31</f>
        <v>0</v>
      </c>
      <c r="AA1972" s="195">
        <f t="shared" ca="1" si="428"/>
        <v>2278276.9932384002</v>
      </c>
      <c r="AB1972" s="195">
        <f t="shared" ca="1" si="429"/>
        <v>2278276.9932384002</v>
      </c>
      <c r="AD1972" s="196">
        <f>IFERROR($G1972/SUMIF($A:$A,$A1972,$G:$G)*SUMIF(Summary!$A$166:$A$242,$A1972,Summary!$P$166:$P$242),0)</f>
        <v>27114.648316281357</v>
      </c>
      <c r="AE1972" s="197">
        <f t="shared" ca="1" si="430"/>
        <v>2251162.3449221188</v>
      </c>
      <c r="AF1972" s="196">
        <f>IFERROR(G1972/SUMIF(A:A,A1972,G:G)*SUMIF(Summary!$A$166:$A$242,'Operations Support'!A1972,Summary!$Q$166:$Q$242),0)</f>
        <v>27207.688865374741</v>
      </c>
      <c r="AG1972" s="196">
        <f t="shared" ca="1" si="431"/>
        <v>2251069.3043730254</v>
      </c>
      <c r="AI1972" s="196">
        <f>IFERROR($G1972/SUMIF($A:$A,$A1972,$G:$G)*SUMIF(Summary!$A$247:$A$283,$A1972,Summary!$P$247:$P$283),0)</f>
        <v>4945.0352143834571</v>
      </c>
      <c r="AJ1972" s="196">
        <f>IFERROR($G1972/SUMIF($A:$A,$A1972,$G:$G)*(SUMIF(Summary!$A$247:$A$283,$A1972,Summary!$L$247:$L$283)+SUMIF(Summary!$A$297:$A$333,$A1972,Summary!$L$297:$L$333))-AI1972,0)</f>
        <v>11883.789064005392</v>
      </c>
      <c r="AK1972" s="196">
        <f>IFERROR($G1972/SUMIF($A:$A,$A1972,$G:$G)*SUMIF(Summary!$A$247:$A$283,$A1972,Summary!$Q$247:$Q$283),0)</f>
        <v>4962.0034887370684</v>
      </c>
      <c r="AL1972" s="196">
        <f>IFERROR($G1972/SUMIF($A:$A,$A1972,$G:$G)*(SUMIF(Summary!$A$247:$A$283,$A1972,Summary!$L$247:$L$283)+SUMIF(Summary!$A$297:$A$333,$A1972,Summary!$L$297:$L$333))-AK1972,0)</f>
        <v>11866.820789651782</v>
      </c>
      <c r="AM1972" s="198"/>
      <c r="AN1972" s="196">
        <f t="shared" ca="1" si="432"/>
        <v>2263046.1339861243</v>
      </c>
      <c r="AO1972" s="196">
        <f t="shared" ca="1" si="433"/>
        <v>2262936.1251626774</v>
      </c>
    </row>
    <row r="1973" spans="1:41">
      <c r="A1973" s="189">
        <v>3652</v>
      </c>
      <c r="B1973" s="190">
        <v>4</v>
      </c>
      <c r="C1973" s="191" t="s">
        <v>235</v>
      </c>
      <c r="D1973" s="192">
        <f t="shared" si="420"/>
        <v>581.5</v>
      </c>
      <c r="E1973" s="192">
        <f t="shared" si="421"/>
        <v>1.5</v>
      </c>
      <c r="F1973" s="192">
        <f t="shared" si="422"/>
        <v>27</v>
      </c>
      <c r="G1973" s="193">
        <f t="shared" si="423"/>
        <v>556</v>
      </c>
      <c r="H1973" s="194">
        <v>285</v>
      </c>
      <c r="I1973" s="194">
        <v>0</v>
      </c>
      <c r="J1973" s="194">
        <v>9</v>
      </c>
      <c r="K1973" s="193">
        <f t="shared" si="424"/>
        <v>276</v>
      </c>
      <c r="L1973" s="194">
        <v>283</v>
      </c>
      <c r="M1973" s="194">
        <v>0</v>
      </c>
      <c r="N1973" s="194">
        <v>12</v>
      </c>
      <c r="O1973" s="193">
        <f t="shared" si="425"/>
        <v>271</v>
      </c>
      <c r="P1973" s="194">
        <v>13.5</v>
      </c>
      <c r="Q1973" s="194">
        <v>1.5</v>
      </c>
      <c r="R1973" s="194">
        <v>6</v>
      </c>
      <c r="S1973" s="193">
        <f t="shared" si="426"/>
        <v>9</v>
      </c>
      <c r="T1973" s="193">
        <f t="shared" si="427"/>
        <v>30.888888888888889</v>
      </c>
      <c r="U1973" s="193">
        <f ca="1">OFFSET('Expenditure Study'!$B$7,'Operations Support'!$C1973,'Operations Support'!$B1973)*$G1973</f>
        <v>21161.360000000001</v>
      </c>
      <c r="V1973" s="199">
        <f ca="1">U1973*'Expenditure Study'!$B$31</f>
        <v>1250280.4588538881</v>
      </c>
      <c r="W1973" s="199">
        <f ca="1">IF(A1973=10298,1.51,1)*IF($B1973&lt;3,$D1973*'Expenditure Study'!$B$32*OFFSET('Expenditure Study'!$B$7,'Operations Support'!$C1973,'Operations Support'!$B1973),0)</f>
        <v>0</v>
      </c>
      <c r="X1973" s="200">
        <f ca="1">W1973*'Expenditure Study'!$B$31</f>
        <v>0</v>
      </c>
      <c r="Y1973" s="199">
        <f ca="1">U1973*'Expenditure Study'!$B$31</f>
        <v>1250280.4588538881</v>
      </c>
      <c r="Z1973" s="200">
        <f ca="1">W1973*'Expenditure Study'!$B$31</f>
        <v>0</v>
      </c>
      <c r="AA1973" s="195">
        <f t="shared" ca="1" si="428"/>
        <v>1250280.4588538881</v>
      </c>
      <c r="AB1973" s="195">
        <f t="shared" ca="1" si="429"/>
        <v>1250280.4588538881</v>
      </c>
      <c r="AD1973" s="196">
        <f>IFERROR($G1973/SUMIF($A:$A,$A1973,$G:$G)*SUMIF(Summary!$A$166:$A$242,$A1973,Summary!$P$166:$P$242),0)</f>
        <v>20427.838026900317</v>
      </c>
      <c r="AE1973" s="197">
        <f t="shared" ca="1" si="430"/>
        <v>1229852.6208269878</v>
      </c>
      <c r="AF1973" s="196">
        <f>IFERROR(G1973/SUMIF(A:A,A1973,G:G)*SUMIF(Summary!$A$166:$A$242,'Operations Support'!A1973,Summary!$Q$166:$Q$242),0)</f>
        <v>20497.933616732189</v>
      </c>
      <c r="AG1973" s="196">
        <f t="shared" ca="1" si="431"/>
        <v>1229782.5252371558</v>
      </c>
      <c r="AI1973" s="196">
        <f>IFERROR($G1973/SUMIF($A:$A,$A1973,$G:$G)*SUMIF(Summary!$A$247:$A$283,$A1973,Summary!$P$247:$P$283),0)</f>
        <v>3725.5278850910595</v>
      </c>
      <c r="AJ1973" s="196">
        <f>IFERROR($G1973/SUMIF($A:$A,$A1973,$G:$G)*(SUMIF(Summary!$A$247:$A$283,$A1973,Summary!$L$247:$L$283)+SUMIF(Summary!$A$297:$A$333,$A1973,Summary!$L$297:$L$333))-AI1973,0)</f>
        <v>8953.0985360257419</v>
      </c>
      <c r="AK1973" s="196">
        <f>IFERROR($G1973/SUMIF($A:$A,$A1973,$G:$G)*SUMIF(Summary!$A$247:$A$283,$A1973,Summary!$Q$247:$Q$283),0)</f>
        <v>3738.3115714604473</v>
      </c>
      <c r="AL1973" s="196">
        <f>IFERROR($G1973/SUMIF($A:$A,$A1973,$G:$G)*(SUMIF(Summary!$A$247:$A$283,$A1973,Summary!$L$247:$L$283)+SUMIF(Summary!$A$297:$A$333,$A1973,Summary!$L$297:$L$333))-AK1973,0)</f>
        <v>8940.3148496563554</v>
      </c>
      <c r="AM1973" s="198"/>
      <c r="AN1973" s="196">
        <f t="shared" ca="1" si="432"/>
        <v>1238805.7193630135</v>
      </c>
      <c r="AO1973" s="196">
        <f t="shared" ca="1" si="433"/>
        <v>1238722.8400868122</v>
      </c>
    </row>
    <row r="1974" spans="1:41">
      <c r="A1974" s="189">
        <v>3652</v>
      </c>
      <c r="B1974" s="190">
        <v>4</v>
      </c>
      <c r="C1974" s="191" t="s">
        <v>236</v>
      </c>
      <c r="D1974" s="192">
        <f t="shared" si="420"/>
        <v>0</v>
      </c>
      <c r="E1974" s="192">
        <f t="shared" si="421"/>
        <v>0</v>
      </c>
      <c r="F1974" s="192">
        <f t="shared" si="422"/>
        <v>0</v>
      </c>
      <c r="G1974" s="193">
        <f t="shared" si="423"/>
        <v>0</v>
      </c>
      <c r="H1974" s="194">
        <v>0</v>
      </c>
      <c r="I1974" s="194">
        <v>0</v>
      </c>
      <c r="J1974" s="194">
        <v>0</v>
      </c>
      <c r="K1974" s="193">
        <f t="shared" si="424"/>
        <v>0</v>
      </c>
      <c r="L1974" s="194">
        <v>0</v>
      </c>
      <c r="M1974" s="194">
        <v>0</v>
      </c>
      <c r="N1974" s="194">
        <v>0</v>
      </c>
      <c r="O1974" s="193">
        <f t="shared" si="425"/>
        <v>0</v>
      </c>
      <c r="P1974" s="194">
        <v>0</v>
      </c>
      <c r="Q1974" s="194">
        <v>0</v>
      </c>
      <c r="R1974" s="194">
        <v>0</v>
      </c>
      <c r="S1974" s="193">
        <f t="shared" si="426"/>
        <v>0</v>
      </c>
      <c r="T1974" s="193">
        <f t="shared" si="427"/>
        <v>0</v>
      </c>
      <c r="U1974" s="193">
        <f ca="1">OFFSET('Expenditure Study'!$B$7,'Operations Support'!$C1974,'Operations Support'!$B1974)*$G1974</f>
        <v>0</v>
      </c>
      <c r="V1974" s="199">
        <f ca="1">U1974*'Expenditure Study'!$B$31</f>
        <v>0</v>
      </c>
      <c r="W1974" s="199">
        <f ca="1">IF(A1974=10298,1.51,1)*IF($B1974&lt;3,$D1974*'Expenditure Study'!$B$32*OFFSET('Expenditure Study'!$B$7,'Operations Support'!$C1974,'Operations Support'!$B1974),0)</f>
        <v>0</v>
      </c>
      <c r="X1974" s="200">
        <f ca="1">W1974*'Expenditure Study'!$B$31</f>
        <v>0</v>
      </c>
      <c r="Y1974" s="199">
        <f ca="1">U1974*'Expenditure Study'!$B$31</f>
        <v>0</v>
      </c>
      <c r="Z1974" s="200">
        <f ca="1">W1974*'Expenditure Study'!$B$31</f>
        <v>0</v>
      </c>
      <c r="AA1974" s="195">
        <f t="shared" ca="1" si="428"/>
        <v>0</v>
      </c>
      <c r="AB1974" s="195">
        <f t="shared" ca="1" si="429"/>
        <v>0</v>
      </c>
      <c r="AD1974" s="196">
        <f>IFERROR($G1974/SUMIF($A:$A,$A1974,$G:$G)*SUMIF(Summary!$A$166:$A$242,$A1974,Summary!$P$166:$P$242),0)</f>
        <v>0</v>
      </c>
      <c r="AE1974" s="197">
        <f t="shared" ca="1" si="430"/>
        <v>0</v>
      </c>
      <c r="AF1974" s="196">
        <f>IFERROR(G1974/SUMIF(A:A,A1974,G:G)*SUMIF(Summary!$A$166:$A$242,'Operations Support'!A1974,Summary!$Q$166:$Q$242),0)</f>
        <v>0</v>
      </c>
      <c r="AG1974" s="196">
        <f t="shared" ca="1" si="431"/>
        <v>0</v>
      </c>
      <c r="AI1974" s="196">
        <f>IFERROR($G1974/SUMIF($A:$A,$A1974,$G:$G)*SUMIF(Summary!$A$247:$A$283,$A1974,Summary!$P$247:$P$283),0)</f>
        <v>0</v>
      </c>
      <c r="AJ1974" s="196">
        <f>IFERROR($G1974/SUMIF($A:$A,$A1974,$G:$G)*(SUMIF(Summary!$A$247:$A$283,$A1974,Summary!$L$247:$L$283)+SUMIF(Summary!$A$297:$A$333,$A1974,Summary!$L$297:$L$333))-AI1974,0)</f>
        <v>0</v>
      </c>
      <c r="AK1974" s="196">
        <f>IFERROR($G1974/SUMIF($A:$A,$A1974,$G:$G)*SUMIF(Summary!$A$247:$A$283,$A1974,Summary!$Q$247:$Q$283),0)</f>
        <v>0</v>
      </c>
      <c r="AL1974" s="196">
        <f>IFERROR($G1974/SUMIF($A:$A,$A1974,$G:$G)*(SUMIF(Summary!$A$247:$A$283,$A1974,Summary!$L$247:$L$283)+SUMIF(Summary!$A$297:$A$333,$A1974,Summary!$L$297:$L$333))-AK1974,0)</f>
        <v>0</v>
      </c>
      <c r="AM1974" s="198"/>
      <c r="AN1974" s="196">
        <f t="shared" ca="1" si="432"/>
        <v>0</v>
      </c>
      <c r="AO1974" s="196">
        <f t="shared" ca="1" si="433"/>
        <v>0</v>
      </c>
    </row>
    <row r="1975" spans="1:41">
      <c r="A1975" s="189">
        <v>3652</v>
      </c>
      <c r="B1975" s="190">
        <v>4</v>
      </c>
      <c r="C1975" s="191" t="s">
        <v>237</v>
      </c>
      <c r="D1975" s="192">
        <f t="shared" si="420"/>
        <v>0</v>
      </c>
      <c r="E1975" s="192">
        <f t="shared" si="421"/>
        <v>0</v>
      </c>
      <c r="F1975" s="192">
        <f t="shared" si="422"/>
        <v>0</v>
      </c>
      <c r="G1975" s="193">
        <f t="shared" si="423"/>
        <v>0</v>
      </c>
      <c r="H1975" s="194">
        <v>0</v>
      </c>
      <c r="I1975" s="194">
        <v>0</v>
      </c>
      <c r="J1975" s="194">
        <v>0</v>
      </c>
      <c r="K1975" s="193">
        <f t="shared" si="424"/>
        <v>0</v>
      </c>
      <c r="L1975" s="194">
        <v>0</v>
      </c>
      <c r="M1975" s="194">
        <v>0</v>
      </c>
      <c r="N1975" s="194">
        <v>0</v>
      </c>
      <c r="O1975" s="193">
        <f t="shared" si="425"/>
        <v>0</v>
      </c>
      <c r="P1975" s="194">
        <v>0</v>
      </c>
      <c r="Q1975" s="194">
        <v>0</v>
      </c>
      <c r="R1975" s="194">
        <v>0</v>
      </c>
      <c r="S1975" s="193">
        <f t="shared" si="426"/>
        <v>0</v>
      </c>
      <c r="T1975" s="193">
        <f t="shared" si="427"/>
        <v>0</v>
      </c>
      <c r="U1975" s="193">
        <f ca="1">OFFSET('Expenditure Study'!$B$7,'Operations Support'!$C1975,'Operations Support'!$B1975)*$G1975</f>
        <v>0</v>
      </c>
      <c r="V1975" s="199">
        <f ca="1">U1975*'Expenditure Study'!$B$31</f>
        <v>0</v>
      </c>
      <c r="W1975" s="199">
        <f ca="1">IF(A1975=10298,1.51,1)*IF($B1975&lt;3,$D1975*'Expenditure Study'!$B$32*OFFSET('Expenditure Study'!$B$7,'Operations Support'!$C1975,'Operations Support'!$B1975),0)</f>
        <v>0</v>
      </c>
      <c r="X1975" s="200">
        <f ca="1">W1975*'Expenditure Study'!$B$31</f>
        <v>0</v>
      </c>
      <c r="Y1975" s="199">
        <f ca="1">U1975*'Expenditure Study'!$B$31</f>
        <v>0</v>
      </c>
      <c r="Z1975" s="200">
        <f ca="1">W1975*'Expenditure Study'!$B$31</f>
        <v>0</v>
      </c>
      <c r="AA1975" s="195">
        <f t="shared" ca="1" si="428"/>
        <v>0</v>
      </c>
      <c r="AB1975" s="195">
        <f t="shared" ca="1" si="429"/>
        <v>0</v>
      </c>
      <c r="AD1975" s="196">
        <f>IFERROR($G1975/SUMIF($A:$A,$A1975,$G:$G)*SUMIF(Summary!$A$166:$A$242,$A1975,Summary!$P$166:$P$242),0)</f>
        <v>0</v>
      </c>
      <c r="AE1975" s="197">
        <f t="shared" ca="1" si="430"/>
        <v>0</v>
      </c>
      <c r="AF1975" s="196">
        <f>IFERROR(G1975/SUMIF(A:A,A1975,G:G)*SUMIF(Summary!$A$166:$A$242,'Operations Support'!A1975,Summary!$Q$166:$Q$242),0)</f>
        <v>0</v>
      </c>
      <c r="AG1975" s="196">
        <f t="shared" ca="1" si="431"/>
        <v>0</v>
      </c>
      <c r="AI1975" s="196">
        <f>IFERROR($G1975/SUMIF($A:$A,$A1975,$G:$G)*SUMIF(Summary!$A$247:$A$283,$A1975,Summary!$P$247:$P$283),0)</f>
        <v>0</v>
      </c>
      <c r="AJ1975" s="196">
        <f>IFERROR($G1975/SUMIF($A:$A,$A1975,$G:$G)*(SUMIF(Summary!$A$247:$A$283,$A1975,Summary!$L$247:$L$283)+SUMIF(Summary!$A$297:$A$333,$A1975,Summary!$L$297:$L$333))-AI1975,0)</f>
        <v>0</v>
      </c>
      <c r="AK1975" s="196">
        <f>IFERROR($G1975/SUMIF($A:$A,$A1975,$G:$G)*SUMIF(Summary!$A$247:$A$283,$A1975,Summary!$Q$247:$Q$283),0)</f>
        <v>0</v>
      </c>
      <c r="AL1975" s="196">
        <f>IFERROR($G1975/SUMIF($A:$A,$A1975,$G:$G)*(SUMIF(Summary!$A$247:$A$283,$A1975,Summary!$L$247:$L$283)+SUMIF(Summary!$A$297:$A$333,$A1975,Summary!$L$297:$L$333))-AK1975,0)</f>
        <v>0</v>
      </c>
      <c r="AM1975" s="198"/>
      <c r="AN1975" s="196">
        <f t="shared" ca="1" si="432"/>
        <v>0</v>
      </c>
      <c r="AO1975" s="196">
        <f t="shared" ca="1" si="433"/>
        <v>0</v>
      </c>
    </row>
    <row r="1976" spans="1:41">
      <c r="A1976" s="189">
        <v>3652</v>
      </c>
      <c r="B1976" s="190">
        <v>4</v>
      </c>
      <c r="C1976" s="191" t="s">
        <v>238</v>
      </c>
      <c r="D1976" s="192">
        <f t="shared" si="420"/>
        <v>39</v>
      </c>
      <c r="E1976" s="192">
        <f t="shared" si="421"/>
        <v>3</v>
      </c>
      <c r="F1976" s="192">
        <f t="shared" si="422"/>
        <v>0</v>
      </c>
      <c r="G1976" s="193">
        <f t="shared" si="423"/>
        <v>42</v>
      </c>
      <c r="H1976" s="194">
        <v>24</v>
      </c>
      <c r="I1976" s="194">
        <v>3</v>
      </c>
      <c r="J1976" s="194">
        <v>0</v>
      </c>
      <c r="K1976" s="193">
        <f t="shared" si="424"/>
        <v>27</v>
      </c>
      <c r="L1976" s="194">
        <v>15</v>
      </c>
      <c r="M1976" s="194">
        <v>0</v>
      </c>
      <c r="N1976" s="194">
        <v>0</v>
      </c>
      <c r="O1976" s="193">
        <f t="shared" si="425"/>
        <v>15</v>
      </c>
      <c r="P1976" s="194">
        <v>0</v>
      </c>
      <c r="Q1976" s="194">
        <v>0</v>
      </c>
      <c r="R1976" s="194">
        <v>0</v>
      </c>
      <c r="S1976" s="193">
        <f t="shared" si="426"/>
        <v>0</v>
      </c>
      <c r="T1976" s="193">
        <f t="shared" si="427"/>
        <v>2.3333333333333335</v>
      </c>
      <c r="U1976" s="193">
        <f ca="1">OFFSET('Expenditure Study'!$B$7,'Operations Support'!$C1976,'Operations Support'!$B1976)*$G1976</f>
        <v>662.34</v>
      </c>
      <c r="V1976" s="199">
        <f ca="1">U1976*'Expenditure Study'!$B$31</f>
        <v>39133.153971072003</v>
      </c>
      <c r="W1976" s="199">
        <f ca="1">IF(A1976=10298,1.51,1)*IF($B1976&lt;3,$D1976*'Expenditure Study'!$B$32*OFFSET('Expenditure Study'!$B$7,'Operations Support'!$C1976,'Operations Support'!$B1976),0)</f>
        <v>0</v>
      </c>
      <c r="X1976" s="200">
        <f ca="1">W1976*'Expenditure Study'!$B$31</f>
        <v>0</v>
      </c>
      <c r="Y1976" s="199">
        <f ca="1">U1976*'Expenditure Study'!$B$31</f>
        <v>39133.153971072003</v>
      </c>
      <c r="Z1976" s="200">
        <f ca="1">W1976*'Expenditure Study'!$B$31</f>
        <v>0</v>
      </c>
      <c r="AA1976" s="195">
        <f t="shared" ca="1" si="428"/>
        <v>39133.153971072003</v>
      </c>
      <c r="AB1976" s="195">
        <f t="shared" ca="1" si="429"/>
        <v>39133.153971072003</v>
      </c>
      <c r="AD1976" s="196">
        <f>IFERROR($G1976/SUMIF($A:$A,$A1976,$G:$G)*SUMIF(Summary!$A$166:$A$242,$A1976,Summary!$P$166:$P$242),0)</f>
        <v>1543.1100667802398</v>
      </c>
      <c r="AE1976" s="197">
        <f t="shared" ca="1" si="430"/>
        <v>37590.043904291764</v>
      </c>
      <c r="AF1976" s="196">
        <f>IFERROR(G1976/SUMIF(A:A,A1976,G:G)*SUMIF(Summary!$A$166:$A$242,'Operations Support'!A1976,Summary!$Q$166:$Q$242),0)</f>
        <v>1548.40505737905</v>
      </c>
      <c r="AG1976" s="196">
        <f t="shared" ca="1" si="431"/>
        <v>37584.748913692951</v>
      </c>
      <c r="AI1976" s="196">
        <f>IFERROR($G1976/SUMIF($A:$A,$A1976,$G:$G)*SUMIF(Summary!$A$247:$A$283,$A1976,Summary!$P$247:$P$283),0)</f>
        <v>281.42476829824551</v>
      </c>
      <c r="AJ1976" s="196">
        <f>IFERROR($G1976/SUMIF($A:$A,$A1976,$G:$G)*(SUMIF(Summary!$A$247:$A$283,$A1976,Summary!$L$247:$L$283)+SUMIF(Summary!$A$297:$A$333,$A1976,Summary!$L$297:$L$333))-AI1976,0)</f>
        <v>676.31319876453449</v>
      </c>
      <c r="AK1976" s="196">
        <f>IFERROR($G1976/SUMIF($A:$A,$A1976,$G:$G)*SUMIF(Summary!$A$247:$A$283,$A1976,Summary!$Q$247:$Q$283),0)</f>
        <v>282.39044244845104</v>
      </c>
      <c r="AL1976" s="196">
        <f>IFERROR($G1976/SUMIF($A:$A,$A1976,$G:$G)*(SUMIF(Summary!$A$247:$A$283,$A1976,Summary!$L$247:$L$283)+SUMIF(Summary!$A$297:$A$333,$A1976,Summary!$L$297:$L$333))-AK1976,0)</f>
        <v>675.3475246143289</v>
      </c>
      <c r="AM1976" s="198"/>
      <c r="AN1976" s="196">
        <f t="shared" ca="1" si="432"/>
        <v>38266.357103056296</v>
      </c>
      <c r="AO1976" s="196">
        <f t="shared" ca="1" si="433"/>
        <v>38260.096438307279</v>
      </c>
    </row>
    <row r="1977" spans="1:41">
      <c r="A1977" s="189">
        <v>3652</v>
      </c>
      <c r="B1977" s="190">
        <v>4</v>
      </c>
      <c r="C1977" s="191" t="s">
        <v>239</v>
      </c>
      <c r="D1977" s="192">
        <f t="shared" si="420"/>
        <v>0</v>
      </c>
      <c r="E1977" s="192">
        <f t="shared" si="421"/>
        <v>65</v>
      </c>
      <c r="F1977" s="192">
        <f t="shared" si="422"/>
        <v>0</v>
      </c>
      <c r="G1977" s="193">
        <f t="shared" si="423"/>
        <v>65</v>
      </c>
      <c r="H1977" s="194">
        <v>0</v>
      </c>
      <c r="I1977" s="194">
        <v>25</v>
      </c>
      <c r="J1977" s="194">
        <v>0</v>
      </c>
      <c r="K1977" s="193">
        <f t="shared" si="424"/>
        <v>25</v>
      </c>
      <c r="L1977" s="194">
        <v>0</v>
      </c>
      <c r="M1977" s="194">
        <v>25</v>
      </c>
      <c r="N1977" s="194">
        <v>0</v>
      </c>
      <c r="O1977" s="193">
        <f t="shared" si="425"/>
        <v>25</v>
      </c>
      <c r="P1977" s="194">
        <v>0</v>
      </c>
      <c r="Q1977" s="194">
        <v>15</v>
      </c>
      <c r="R1977" s="194">
        <v>0</v>
      </c>
      <c r="S1977" s="193">
        <f t="shared" si="426"/>
        <v>15</v>
      </c>
      <c r="T1977" s="193">
        <f t="shared" si="427"/>
        <v>3.6111111111111112</v>
      </c>
      <c r="U1977" s="193">
        <f ca="1">OFFSET('Expenditure Study'!$B$7,'Operations Support'!$C1977,'Operations Support'!$B1977)*$G1977</f>
        <v>596.04999999999995</v>
      </c>
      <c r="V1977" s="199">
        <f ca="1">U1977*'Expenditure Study'!$B$31</f>
        <v>35216.529915840001</v>
      </c>
      <c r="W1977" s="199">
        <f ca="1">IF(A1977=10298,1.51,1)*IF($B1977&lt;3,$D1977*'Expenditure Study'!$B$32*OFFSET('Expenditure Study'!$B$7,'Operations Support'!$C1977,'Operations Support'!$B1977),0)</f>
        <v>0</v>
      </c>
      <c r="X1977" s="200">
        <f ca="1">W1977*'Expenditure Study'!$B$31</f>
        <v>0</v>
      </c>
      <c r="Y1977" s="199">
        <f ca="1">U1977*'Expenditure Study'!$B$31</f>
        <v>35216.529915840001</v>
      </c>
      <c r="Z1977" s="200">
        <f ca="1">W1977*'Expenditure Study'!$B$31</f>
        <v>0</v>
      </c>
      <c r="AA1977" s="195">
        <f t="shared" ca="1" si="428"/>
        <v>35216.529915840001</v>
      </c>
      <c r="AB1977" s="195">
        <f t="shared" ca="1" si="429"/>
        <v>35216.529915840001</v>
      </c>
      <c r="AD1977" s="196">
        <f>IFERROR($G1977/SUMIF($A:$A,$A1977,$G:$G)*SUMIF(Summary!$A$166:$A$242,$A1977,Summary!$P$166:$P$242),0)</f>
        <v>2388.1465319218</v>
      </c>
      <c r="AE1977" s="197">
        <f t="shared" ca="1" si="430"/>
        <v>32828.383383918204</v>
      </c>
      <c r="AF1977" s="196">
        <f>IFERROR(G1977/SUMIF(A:A,A1977,G:G)*SUMIF(Summary!$A$166:$A$242,'Operations Support'!A1977,Summary!$Q$166:$Q$242),0)</f>
        <v>2396.3411602294827</v>
      </c>
      <c r="AG1977" s="196">
        <f t="shared" ca="1" si="431"/>
        <v>32820.188755610521</v>
      </c>
      <c r="AI1977" s="196">
        <f>IFERROR($G1977/SUMIF($A:$A,$A1977,$G:$G)*SUMIF(Summary!$A$247:$A$283,$A1977,Summary!$P$247:$P$283),0)</f>
        <v>435.53833189014188</v>
      </c>
      <c r="AJ1977" s="196">
        <f>IFERROR($G1977/SUMIF($A:$A,$A1977,$G:$G)*(SUMIF(Summary!$A$247:$A$283,$A1977,Summary!$L$247:$L$283)+SUMIF(Summary!$A$297:$A$333,$A1977,Summary!$L$297:$L$333))-AI1977,0)</f>
        <v>1046.6751885641606</v>
      </c>
      <c r="AK1977" s="196">
        <f>IFERROR($G1977/SUMIF($A:$A,$A1977,$G:$G)*SUMIF(Summary!$A$247:$A$283,$A1977,Summary!$Q$247:$Q$283),0)</f>
        <v>437.03282759879335</v>
      </c>
      <c r="AL1977" s="196">
        <f>IFERROR($G1977/SUMIF($A:$A,$A1977,$G:$G)*(SUMIF(Summary!$A$247:$A$283,$A1977,Summary!$L$247:$L$283)+SUMIF(Summary!$A$297:$A$333,$A1977,Summary!$L$297:$L$333))-AK1977,0)</f>
        <v>1045.1806928555091</v>
      </c>
      <c r="AM1977" s="198"/>
      <c r="AN1977" s="196">
        <f t="shared" ca="1" si="432"/>
        <v>33875.058572482361</v>
      </c>
      <c r="AO1977" s="196">
        <f t="shared" ca="1" si="433"/>
        <v>33865.36944846603</v>
      </c>
    </row>
    <row r="1978" spans="1:41">
      <c r="A1978" s="189">
        <v>3652</v>
      </c>
      <c r="B1978" s="190">
        <v>4</v>
      </c>
      <c r="C1978" s="191" t="s">
        <v>240</v>
      </c>
      <c r="D1978" s="192">
        <f t="shared" si="420"/>
        <v>0</v>
      </c>
      <c r="E1978" s="192">
        <f t="shared" si="421"/>
        <v>0</v>
      </c>
      <c r="F1978" s="192">
        <f t="shared" si="422"/>
        <v>0</v>
      </c>
      <c r="G1978" s="193">
        <f t="shared" si="423"/>
        <v>0</v>
      </c>
      <c r="H1978" s="194">
        <v>0</v>
      </c>
      <c r="I1978" s="194">
        <v>0</v>
      </c>
      <c r="J1978" s="194">
        <v>0</v>
      </c>
      <c r="K1978" s="193">
        <f t="shared" si="424"/>
        <v>0</v>
      </c>
      <c r="L1978" s="194">
        <v>0</v>
      </c>
      <c r="M1978" s="194">
        <v>0</v>
      </c>
      <c r="N1978" s="194">
        <v>0</v>
      </c>
      <c r="O1978" s="193">
        <f t="shared" si="425"/>
        <v>0</v>
      </c>
      <c r="P1978" s="194">
        <v>0</v>
      </c>
      <c r="Q1978" s="194">
        <v>0</v>
      </c>
      <c r="R1978" s="194">
        <v>0</v>
      </c>
      <c r="S1978" s="193">
        <f t="shared" si="426"/>
        <v>0</v>
      </c>
      <c r="T1978" s="193">
        <f t="shared" si="427"/>
        <v>0</v>
      </c>
      <c r="U1978" s="193">
        <f ca="1">OFFSET('Expenditure Study'!$B$7,'Operations Support'!$C1978,'Operations Support'!$B1978)*$G1978</f>
        <v>0</v>
      </c>
      <c r="V1978" s="199">
        <f ca="1">U1978*'Expenditure Study'!$B$31</f>
        <v>0</v>
      </c>
      <c r="W1978" s="199">
        <f ca="1">IF(A1978=10298,1.51,1)*IF($B1978&lt;3,$D1978*'Expenditure Study'!$B$32*OFFSET('Expenditure Study'!$B$7,'Operations Support'!$C1978,'Operations Support'!$B1978),0)</f>
        <v>0</v>
      </c>
      <c r="X1978" s="200">
        <f ca="1">W1978*'Expenditure Study'!$B$31</f>
        <v>0</v>
      </c>
      <c r="Y1978" s="199">
        <f ca="1">U1978*'Expenditure Study'!$B$31</f>
        <v>0</v>
      </c>
      <c r="Z1978" s="200">
        <f ca="1">W1978*'Expenditure Study'!$B$31</f>
        <v>0</v>
      </c>
      <c r="AA1978" s="195">
        <f t="shared" ca="1" si="428"/>
        <v>0</v>
      </c>
      <c r="AB1978" s="195">
        <f t="shared" ca="1" si="429"/>
        <v>0</v>
      </c>
      <c r="AD1978" s="196">
        <f>IFERROR($G1978/SUMIF($A:$A,$A1978,$G:$G)*SUMIF(Summary!$A$166:$A$242,$A1978,Summary!$P$166:$P$242),0)</f>
        <v>0</v>
      </c>
      <c r="AE1978" s="197">
        <f t="shared" ca="1" si="430"/>
        <v>0</v>
      </c>
      <c r="AF1978" s="196">
        <f>IFERROR(G1978/SUMIF(A:A,A1978,G:G)*SUMIF(Summary!$A$166:$A$242,'Operations Support'!A1978,Summary!$Q$166:$Q$242),0)</f>
        <v>0</v>
      </c>
      <c r="AG1978" s="196">
        <f t="shared" ca="1" si="431"/>
        <v>0</v>
      </c>
      <c r="AI1978" s="196">
        <f>IFERROR($G1978/SUMIF($A:$A,$A1978,$G:$G)*SUMIF(Summary!$A$247:$A$283,$A1978,Summary!$P$247:$P$283),0)</f>
        <v>0</v>
      </c>
      <c r="AJ1978" s="196">
        <f>IFERROR($G1978/SUMIF($A:$A,$A1978,$G:$G)*(SUMIF(Summary!$A$247:$A$283,$A1978,Summary!$L$247:$L$283)+SUMIF(Summary!$A$297:$A$333,$A1978,Summary!$L$297:$L$333))-AI1978,0)</f>
        <v>0</v>
      </c>
      <c r="AK1978" s="196">
        <f>IFERROR($G1978/SUMIF($A:$A,$A1978,$G:$G)*SUMIF(Summary!$A$247:$A$283,$A1978,Summary!$Q$247:$Q$283),0)</f>
        <v>0</v>
      </c>
      <c r="AL1978" s="196">
        <f>IFERROR($G1978/SUMIF($A:$A,$A1978,$G:$G)*(SUMIF(Summary!$A$247:$A$283,$A1978,Summary!$L$247:$L$283)+SUMIF(Summary!$A$297:$A$333,$A1978,Summary!$L$297:$L$333))-AK1978,0)</f>
        <v>0</v>
      </c>
      <c r="AM1978" s="198"/>
      <c r="AN1978" s="196">
        <f t="shared" ca="1" si="432"/>
        <v>0</v>
      </c>
      <c r="AO1978" s="196">
        <f t="shared" ca="1" si="433"/>
        <v>0</v>
      </c>
    </row>
    <row r="1979" spans="1:41" s="201" customFormat="1">
      <c r="A1979" s="189">
        <v>3652</v>
      </c>
      <c r="B1979" s="190">
        <v>5</v>
      </c>
      <c r="C1979" s="191" t="s">
        <v>220</v>
      </c>
      <c r="D1979" s="192">
        <f t="shared" si="420"/>
        <v>0</v>
      </c>
      <c r="E1979" s="192">
        <f t="shared" si="421"/>
        <v>0</v>
      </c>
      <c r="F1979" s="192">
        <f t="shared" si="422"/>
        <v>0</v>
      </c>
      <c r="G1979" s="193">
        <f t="shared" si="423"/>
        <v>0</v>
      </c>
      <c r="H1979" s="194">
        <v>0</v>
      </c>
      <c r="I1979" s="194">
        <v>0</v>
      </c>
      <c r="J1979" s="194">
        <v>0</v>
      </c>
      <c r="K1979" s="193">
        <f t="shared" si="424"/>
        <v>0</v>
      </c>
      <c r="L1979" s="194">
        <v>0</v>
      </c>
      <c r="M1979" s="194">
        <v>0</v>
      </c>
      <c r="N1979" s="194">
        <v>0</v>
      </c>
      <c r="O1979" s="193">
        <f t="shared" si="425"/>
        <v>0</v>
      </c>
      <c r="P1979" s="194">
        <v>0</v>
      </c>
      <c r="Q1979" s="194">
        <v>0</v>
      </c>
      <c r="R1979" s="194">
        <v>0</v>
      </c>
      <c r="S1979" s="193">
        <f t="shared" si="426"/>
        <v>0</v>
      </c>
      <c r="T1979" s="193">
        <f t="shared" si="427"/>
        <v>0</v>
      </c>
      <c r="U1979" s="193">
        <f ca="1">OFFSET('Expenditure Study'!$B$7,'Operations Support'!$C1979,'Operations Support'!$B1979)*$G1979</f>
        <v>0</v>
      </c>
      <c r="V1979" s="199">
        <f ca="1">U1979*'Expenditure Study'!$B$31</f>
        <v>0</v>
      </c>
      <c r="W1979" s="199">
        <f ca="1">IF(A1979=10298,1.51,1)*IF($B1979&lt;3,$D1979*'Expenditure Study'!$B$32*OFFSET('Expenditure Study'!$B$7,'Operations Support'!$C1979,'Operations Support'!$B1979),0)</f>
        <v>0</v>
      </c>
      <c r="X1979" s="200">
        <f ca="1">W1979*'Expenditure Study'!$B$31</f>
        <v>0</v>
      </c>
      <c r="Y1979" s="199">
        <f ca="1">U1979*'Expenditure Study'!$B$31</f>
        <v>0</v>
      </c>
      <c r="Z1979" s="200">
        <f ca="1">W1979*'Expenditure Study'!$B$31</f>
        <v>0</v>
      </c>
      <c r="AA1979" s="195">
        <f t="shared" ca="1" si="428"/>
        <v>0</v>
      </c>
      <c r="AB1979" s="195">
        <f t="shared" ca="1" si="429"/>
        <v>0</v>
      </c>
      <c r="AD1979" s="196">
        <f>IFERROR($G1979/SUMIF($A:$A,$A1979,$G:$G)*SUMIF(Summary!$A$166:$A$242,$A1979,Summary!$P$166:$P$242),0)</f>
        <v>0</v>
      </c>
      <c r="AE1979" s="197">
        <f t="shared" ca="1" si="430"/>
        <v>0</v>
      </c>
      <c r="AF1979" s="196">
        <f>IFERROR(G1979/SUMIF(A:A,A1979,G:G)*SUMIF(Summary!$A$166:$A$242,'Operations Support'!A1979,Summary!$Q$166:$Q$242),0)</f>
        <v>0</v>
      </c>
      <c r="AG1979" s="196">
        <f t="shared" ca="1" si="431"/>
        <v>0</v>
      </c>
      <c r="AH1979" s="180"/>
      <c r="AI1979" s="196">
        <f>IFERROR($G1979/SUMIF($A:$A,$A1979,$G:$G)*SUMIF(Summary!$A$247:$A$283,$A1979,Summary!$P$247:$P$283),0)</f>
        <v>0</v>
      </c>
      <c r="AJ1979" s="196">
        <f>IFERROR($G1979/SUMIF($A:$A,$A1979,$G:$G)*(SUMIF(Summary!$A$247:$A$283,$A1979,Summary!$L$247:$L$283)+SUMIF(Summary!$A$297:$A$333,$A1979,Summary!$L$297:$L$333))-AI1979,0)</f>
        <v>0</v>
      </c>
      <c r="AK1979" s="196">
        <f>IFERROR($G1979/SUMIF($A:$A,$A1979,$G:$G)*SUMIF(Summary!$A$247:$A$283,$A1979,Summary!$Q$247:$Q$283),0)</f>
        <v>0</v>
      </c>
      <c r="AL1979" s="196">
        <f>IFERROR($G1979/SUMIF($A:$A,$A1979,$G:$G)*(SUMIF(Summary!$A$247:$A$283,$A1979,Summary!$L$247:$L$283)+SUMIF(Summary!$A$297:$A$333,$A1979,Summary!$L$297:$L$333))-AK1979,0)</f>
        <v>0</v>
      </c>
      <c r="AM1979" s="198"/>
      <c r="AN1979" s="196">
        <f t="shared" ca="1" si="432"/>
        <v>0</v>
      </c>
      <c r="AO1979" s="196">
        <f t="shared" ca="1" si="433"/>
        <v>0</v>
      </c>
    </row>
    <row r="1980" spans="1:41">
      <c r="A1980" s="189">
        <v>3652</v>
      </c>
      <c r="B1980" s="190">
        <v>5</v>
      </c>
      <c r="C1980" s="191" t="s">
        <v>221</v>
      </c>
      <c r="D1980" s="192">
        <f t="shared" si="420"/>
        <v>0</v>
      </c>
      <c r="E1980" s="192">
        <f t="shared" si="421"/>
        <v>0</v>
      </c>
      <c r="F1980" s="192">
        <f t="shared" si="422"/>
        <v>0</v>
      </c>
      <c r="G1980" s="193">
        <f t="shared" si="423"/>
        <v>0</v>
      </c>
      <c r="H1980" s="194">
        <v>0</v>
      </c>
      <c r="I1980" s="194">
        <v>0</v>
      </c>
      <c r="J1980" s="194">
        <v>0</v>
      </c>
      <c r="K1980" s="193">
        <f t="shared" si="424"/>
        <v>0</v>
      </c>
      <c r="L1980" s="194">
        <v>0</v>
      </c>
      <c r="M1980" s="194">
        <v>0</v>
      </c>
      <c r="N1980" s="194">
        <v>0</v>
      </c>
      <c r="O1980" s="193">
        <f t="shared" si="425"/>
        <v>0</v>
      </c>
      <c r="P1980" s="194">
        <v>0</v>
      </c>
      <c r="Q1980" s="194">
        <v>0</v>
      </c>
      <c r="R1980" s="194">
        <v>0</v>
      </c>
      <c r="S1980" s="193">
        <f t="shared" si="426"/>
        <v>0</v>
      </c>
      <c r="T1980" s="193">
        <f t="shared" si="427"/>
        <v>0</v>
      </c>
      <c r="U1980" s="193">
        <f ca="1">OFFSET('Expenditure Study'!$B$7,'Operations Support'!$C1980,'Operations Support'!$B1980)*$G1980</f>
        <v>0</v>
      </c>
      <c r="V1980" s="199">
        <f ca="1">U1980*'Expenditure Study'!$B$31</f>
        <v>0</v>
      </c>
      <c r="W1980" s="199">
        <f ca="1">IF(A1980=10298,1.51,1)*IF($B1980&lt;3,$D1980*'Expenditure Study'!$B$32*OFFSET('Expenditure Study'!$B$7,'Operations Support'!$C1980,'Operations Support'!$B1980),0)</f>
        <v>0</v>
      </c>
      <c r="X1980" s="200">
        <f ca="1">W1980*'Expenditure Study'!$B$31</f>
        <v>0</v>
      </c>
      <c r="Y1980" s="199">
        <f ca="1">U1980*'Expenditure Study'!$B$31</f>
        <v>0</v>
      </c>
      <c r="Z1980" s="200">
        <f ca="1">W1980*'Expenditure Study'!$B$31</f>
        <v>0</v>
      </c>
      <c r="AA1980" s="195">
        <f t="shared" ca="1" si="428"/>
        <v>0</v>
      </c>
      <c r="AB1980" s="195">
        <f t="shared" ca="1" si="429"/>
        <v>0</v>
      </c>
      <c r="AD1980" s="196">
        <f>IFERROR($G1980/SUMIF($A:$A,$A1980,$G:$G)*SUMIF(Summary!$A$166:$A$242,$A1980,Summary!$P$166:$P$242),0)</f>
        <v>0</v>
      </c>
      <c r="AE1980" s="197">
        <f t="shared" ca="1" si="430"/>
        <v>0</v>
      </c>
      <c r="AF1980" s="196">
        <f>IFERROR(G1980/SUMIF(A:A,A1980,G:G)*SUMIF(Summary!$A$166:$A$242,'Operations Support'!A1980,Summary!$Q$166:$Q$242),0)</f>
        <v>0</v>
      </c>
      <c r="AG1980" s="196">
        <f t="shared" ca="1" si="431"/>
        <v>0</v>
      </c>
      <c r="AI1980" s="196">
        <f>IFERROR($G1980/SUMIF($A:$A,$A1980,$G:$G)*SUMIF(Summary!$A$247:$A$283,$A1980,Summary!$P$247:$P$283),0)</f>
        <v>0</v>
      </c>
      <c r="AJ1980" s="196">
        <f>IFERROR($G1980/SUMIF($A:$A,$A1980,$G:$G)*(SUMIF(Summary!$A$247:$A$283,$A1980,Summary!$L$247:$L$283)+SUMIF(Summary!$A$297:$A$333,$A1980,Summary!$L$297:$L$333))-AI1980,0)</f>
        <v>0</v>
      </c>
      <c r="AK1980" s="196">
        <f>IFERROR($G1980/SUMIF($A:$A,$A1980,$G:$G)*SUMIF(Summary!$A$247:$A$283,$A1980,Summary!$Q$247:$Q$283),0)</f>
        <v>0</v>
      </c>
      <c r="AL1980" s="196">
        <f>IFERROR($G1980/SUMIF($A:$A,$A1980,$G:$G)*(SUMIF(Summary!$A$247:$A$283,$A1980,Summary!$L$247:$L$283)+SUMIF(Summary!$A$297:$A$333,$A1980,Summary!$L$297:$L$333))-AK1980,0)</f>
        <v>0</v>
      </c>
      <c r="AM1980" s="198"/>
      <c r="AN1980" s="196">
        <f t="shared" ca="1" si="432"/>
        <v>0</v>
      </c>
      <c r="AO1980" s="196">
        <f t="shared" ca="1" si="433"/>
        <v>0</v>
      </c>
    </row>
    <row r="1981" spans="1:41">
      <c r="A1981" s="189">
        <v>3652</v>
      </c>
      <c r="B1981" s="190">
        <v>5</v>
      </c>
      <c r="C1981" s="191" t="s">
        <v>222</v>
      </c>
      <c r="D1981" s="192">
        <f t="shared" si="420"/>
        <v>0</v>
      </c>
      <c r="E1981" s="192">
        <f t="shared" si="421"/>
        <v>0</v>
      </c>
      <c r="F1981" s="192">
        <f t="shared" si="422"/>
        <v>0</v>
      </c>
      <c r="G1981" s="193">
        <f t="shared" si="423"/>
        <v>0</v>
      </c>
      <c r="H1981" s="194">
        <v>0</v>
      </c>
      <c r="I1981" s="194">
        <v>0</v>
      </c>
      <c r="J1981" s="194">
        <v>0</v>
      </c>
      <c r="K1981" s="193">
        <f t="shared" si="424"/>
        <v>0</v>
      </c>
      <c r="L1981" s="194">
        <v>0</v>
      </c>
      <c r="M1981" s="194">
        <v>0</v>
      </c>
      <c r="N1981" s="194">
        <v>0</v>
      </c>
      <c r="O1981" s="193">
        <f t="shared" si="425"/>
        <v>0</v>
      </c>
      <c r="P1981" s="194">
        <v>0</v>
      </c>
      <c r="Q1981" s="194">
        <v>0</v>
      </c>
      <c r="R1981" s="194">
        <v>0</v>
      </c>
      <c r="S1981" s="193">
        <f t="shared" si="426"/>
        <v>0</v>
      </c>
      <c r="T1981" s="193">
        <f t="shared" si="427"/>
        <v>0</v>
      </c>
      <c r="U1981" s="193">
        <f ca="1">OFFSET('Expenditure Study'!$B$7,'Operations Support'!$C1981,'Operations Support'!$B1981)*$G1981</f>
        <v>0</v>
      </c>
      <c r="V1981" s="199">
        <f ca="1">U1981*'Expenditure Study'!$B$31</f>
        <v>0</v>
      </c>
      <c r="W1981" s="199">
        <f ca="1">IF(A1981=10298,1.51,1)*IF($B1981&lt;3,$D1981*'Expenditure Study'!$B$32*OFFSET('Expenditure Study'!$B$7,'Operations Support'!$C1981,'Operations Support'!$B1981),0)</f>
        <v>0</v>
      </c>
      <c r="X1981" s="200">
        <f ca="1">W1981*'Expenditure Study'!$B$31</f>
        <v>0</v>
      </c>
      <c r="Y1981" s="199">
        <f ca="1">U1981*'Expenditure Study'!$B$31</f>
        <v>0</v>
      </c>
      <c r="Z1981" s="200">
        <f ca="1">W1981*'Expenditure Study'!$B$31</f>
        <v>0</v>
      </c>
      <c r="AA1981" s="195">
        <f t="shared" ca="1" si="428"/>
        <v>0</v>
      </c>
      <c r="AB1981" s="195">
        <f t="shared" ca="1" si="429"/>
        <v>0</v>
      </c>
      <c r="AD1981" s="196">
        <f>IFERROR($G1981/SUMIF($A:$A,$A1981,$G:$G)*SUMIF(Summary!$A$166:$A$242,$A1981,Summary!$P$166:$P$242),0)</f>
        <v>0</v>
      </c>
      <c r="AE1981" s="197">
        <f t="shared" ca="1" si="430"/>
        <v>0</v>
      </c>
      <c r="AF1981" s="196">
        <f>IFERROR(G1981/SUMIF(A:A,A1981,G:G)*SUMIF(Summary!$A$166:$A$242,'Operations Support'!A1981,Summary!$Q$166:$Q$242),0)</f>
        <v>0</v>
      </c>
      <c r="AG1981" s="196">
        <f t="shared" ca="1" si="431"/>
        <v>0</v>
      </c>
      <c r="AI1981" s="196">
        <f>IFERROR($G1981/SUMIF($A:$A,$A1981,$G:$G)*SUMIF(Summary!$A$247:$A$283,$A1981,Summary!$P$247:$P$283),0)</f>
        <v>0</v>
      </c>
      <c r="AJ1981" s="196">
        <f>IFERROR($G1981/SUMIF($A:$A,$A1981,$G:$G)*(SUMIF(Summary!$A$247:$A$283,$A1981,Summary!$L$247:$L$283)+SUMIF(Summary!$A$297:$A$333,$A1981,Summary!$L$297:$L$333))-AI1981,0)</f>
        <v>0</v>
      </c>
      <c r="AK1981" s="196">
        <f>IFERROR($G1981/SUMIF($A:$A,$A1981,$G:$G)*SUMIF(Summary!$A$247:$A$283,$A1981,Summary!$Q$247:$Q$283),0)</f>
        <v>0</v>
      </c>
      <c r="AL1981" s="196">
        <f>IFERROR($G1981/SUMIF($A:$A,$A1981,$G:$G)*(SUMIF(Summary!$A$247:$A$283,$A1981,Summary!$L$247:$L$283)+SUMIF(Summary!$A$297:$A$333,$A1981,Summary!$L$297:$L$333))-AK1981,0)</f>
        <v>0</v>
      </c>
      <c r="AM1981" s="198"/>
      <c r="AN1981" s="196">
        <f t="shared" ca="1" si="432"/>
        <v>0</v>
      </c>
      <c r="AO1981" s="196">
        <f t="shared" ca="1" si="433"/>
        <v>0</v>
      </c>
    </row>
    <row r="1982" spans="1:41">
      <c r="A1982" s="189">
        <v>3652</v>
      </c>
      <c r="B1982" s="190">
        <v>5</v>
      </c>
      <c r="C1982" s="191" t="s">
        <v>223</v>
      </c>
      <c r="D1982" s="192">
        <f t="shared" si="420"/>
        <v>0</v>
      </c>
      <c r="E1982" s="192">
        <f t="shared" si="421"/>
        <v>0</v>
      </c>
      <c r="F1982" s="192">
        <f t="shared" si="422"/>
        <v>0</v>
      </c>
      <c r="G1982" s="193">
        <f t="shared" si="423"/>
        <v>0</v>
      </c>
      <c r="H1982" s="194">
        <v>0</v>
      </c>
      <c r="I1982" s="194">
        <v>0</v>
      </c>
      <c r="J1982" s="194">
        <v>0</v>
      </c>
      <c r="K1982" s="193">
        <f t="shared" si="424"/>
        <v>0</v>
      </c>
      <c r="L1982" s="194">
        <v>0</v>
      </c>
      <c r="M1982" s="194">
        <v>0</v>
      </c>
      <c r="N1982" s="194">
        <v>0</v>
      </c>
      <c r="O1982" s="193">
        <f t="shared" si="425"/>
        <v>0</v>
      </c>
      <c r="P1982" s="194">
        <v>0</v>
      </c>
      <c r="Q1982" s="194">
        <v>0</v>
      </c>
      <c r="R1982" s="194">
        <v>0</v>
      </c>
      <c r="S1982" s="193">
        <f t="shared" si="426"/>
        <v>0</v>
      </c>
      <c r="T1982" s="193">
        <f t="shared" si="427"/>
        <v>0</v>
      </c>
      <c r="U1982" s="193">
        <f ca="1">OFFSET('Expenditure Study'!$B$7,'Operations Support'!$C1982,'Operations Support'!$B1982)*$G1982</f>
        <v>0</v>
      </c>
      <c r="V1982" s="199">
        <f ca="1">U1982*'Expenditure Study'!$B$31</f>
        <v>0</v>
      </c>
      <c r="W1982" s="199">
        <f ca="1">IF(A1982=10298,1.51,1)*IF($B1982&lt;3,$D1982*'Expenditure Study'!$B$32*OFFSET('Expenditure Study'!$B$7,'Operations Support'!$C1982,'Operations Support'!$B1982),0)</f>
        <v>0</v>
      </c>
      <c r="X1982" s="200">
        <f ca="1">W1982*'Expenditure Study'!$B$31</f>
        <v>0</v>
      </c>
      <c r="Y1982" s="199">
        <f ca="1">U1982*'Expenditure Study'!$B$31</f>
        <v>0</v>
      </c>
      <c r="Z1982" s="200">
        <f ca="1">W1982*'Expenditure Study'!$B$31</f>
        <v>0</v>
      </c>
      <c r="AA1982" s="195">
        <f t="shared" ca="1" si="428"/>
        <v>0</v>
      </c>
      <c r="AB1982" s="195">
        <f t="shared" ca="1" si="429"/>
        <v>0</v>
      </c>
      <c r="AD1982" s="196">
        <f>IFERROR($G1982/SUMIF($A:$A,$A1982,$G:$G)*SUMIF(Summary!$A$166:$A$242,$A1982,Summary!$P$166:$P$242),0)</f>
        <v>0</v>
      </c>
      <c r="AE1982" s="197">
        <f t="shared" ca="1" si="430"/>
        <v>0</v>
      </c>
      <c r="AF1982" s="196">
        <f>IFERROR(G1982/SUMIF(A:A,A1982,G:G)*SUMIF(Summary!$A$166:$A$242,'Operations Support'!A1982,Summary!$Q$166:$Q$242),0)</f>
        <v>0</v>
      </c>
      <c r="AG1982" s="196">
        <f t="shared" ca="1" si="431"/>
        <v>0</v>
      </c>
      <c r="AI1982" s="196">
        <f>IFERROR($G1982/SUMIF($A:$A,$A1982,$G:$G)*SUMIF(Summary!$A$247:$A$283,$A1982,Summary!$P$247:$P$283),0)</f>
        <v>0</v>
      </c>
      <c r="AJ1982" s="196">
        <f>IFERROR($G1982/SUMIF($A:$A,$A1982,$G:$G)*(SUMIF(Summary!$A$247:$A$283,$A1982,Summary!$L$247:$L$283)+SUMIF(Summary!$A$297:$A$333,$A1982,Summary!$L$297:$L$333))-AI1982,0)</f>
        <v>0</v>
      </c>
      <c r="AK1982" s="196">
        <f>IFERROR($G1982/SUMIF($A:$A,$A1982,$G:$G)*SUMIF(Summary!$A$247:$A$283,$A1982,Summary!$Q$247:$Q$283),0)</f>
        <v>0</v>
      </c>
      <c r="AL1982" s="196">
        <f>IFERROR($G1982/SUMIF($A:$A,$A1982,$G:$G)*(SUMIF(Summary!$A$247:$A$283,$A1982,Summary!$L$247:$L$283)+SUMIF(Summary!$A$297:$A$333,$A1982,Summary!$L$297:$L$333))-AK1982,0)</f>
        <v>0</v>
      </c>
      <c r="AM1982" s="198"/>
      <c r="AN1982" s="196">
        <f t="shared" ca="1" si="432"/>
        <v>0</v>
      </c>
      <c r="AO1982" s="196">
        <f t="shared" ca="1" si="433"/>
        <v>0</v>
      </c>
    </row>
    <row r="1983" spans="1:41">
      <c r="A1983" s="189">
        <v>3652</v>
      </c>
      <c r="B1983" s="190">
        <v>5</v>
      </c>
      <c r="C1983" s="191" t="s">
        <v>224</v>
      </c>
      <c r="D1983" s="192">
        <f t="shared" si="420"/>
        <v>0</v>
      </c>
      <c r="E1983" s="192">
        <f t="shared" si="421"/>
        <v>0</v>
      </c>
      <c r="F1983" s="192">
        <f t="shared" si="422"/>
        <v>0</v>
      </c>
      <c r="G1983" s="193">
        <f t="shared" si="423"/>
        <v>0</v>
      </c>
      <c r="H1983" s="194">
        <v>0</v>
      </c>
      <c r="I1983" s="194">
        <v>0</v>
      </c>
      <c r="J1983" s="194">
        <v>0</v>
      </c>
      <c r="K1983" s="193">
        <f t="shared" si="424"/>
        <v>0</v>
      </c>
      <c r="L1983" s="194">
        <v>0</v>
      </c>
      <c r="M1983" s="194">
        <v>0</v>
      </c>
      <c r="N1983" s="194">
        <v>0</v>
      </c>
      <c r="O1983" s="193">
        <f t="shared" si="425"/>
        <v>0</v>
      </c>
      <c r="P1983" s="194">
        <v>0</v>
      </c>
      <c r="Q1983" s="194">
        <v>0</v>
      </c>
      <c r="R1983" s="194">
        <v>0</v>
      </c>
      <c r="S1983" s="193">
        <f t="shared" si="426"/>
        <v>0</v>
      </c>
      <c r="T1983" s="193">
        <f t="shared" si="427"/>
        <v>0</v>
      </c>
      <c r="U1983" s="193">
        <f ca="1">OFFSET('Expenditure Study'!$B$7,'Operations Support'!$C1983,'Operations Support'!$B1983)*$G1983</f>
        <v>0</v>
      </c>
      <c r="V1983" s="199">
        <f ca="1">U1983*'Expenditure Study'!$B$31</f>
        <v>0</v>
      </c>
      <c r="W1983" s="199">
        <f ca="1">IF(A1983=10298,1.51,1)*IF($B1983&lt;3,$D1983*'Expenditure Study'!$B$32*OFFSET('Expenditure Study'!$B$7,'Operations Support'!$C1983,'Operations Support'!$B1983),0)</f>
        <v>0</v>
      </c>
      <c r="X1983" s="200">
        <f ca="1">W1983*'Expenditure Study'!$B$31</f>
        <v>0</v>
      </c>
      <c r="Y1983" s="199">
        <f ca="1">U1983*'Expenditure Study'!$B$31</f>
        <v>0</v>
      </c>
      <c r="Z1983" s="200">
        <f ca="1">W1983*'Expenditure Study'!$B$31</f>
        <v>0</v>
      </c>
      <c r="AA1983" s="195">
        <f t="shared" ca="1" si="428"/>
        <v>0</v>
      </c>
      <c r="AB1983" s="195">
        <f t="shared" ca="1" si="429"/>
        <v>0</v>
      </c>
      <c r="AD1983" s="196">
        <f>IFERROR($G1983/SUMIF($A:$A,$A1983,$G:$G)*SUMIF(Summary!$A$166:$A$242,$A1983,Summary!$P$166:$P$242),0)</f>
        <v>0</v>
      </c>
      <c r="AE1983" s="197">
        <f t="shared" ca="1" si="430"/>
        <v>0</v>
      </c>
      <c r="AF1983" s="196">
        <f>IFERROR(G1983/SUMIF(A:A,A1983,G:G)*SUMIF(Summary!$A$166:$A$242,'Operations Support'!A1983,Summary!$Q$166:$Q$242),0)</f>
        <v>0</v>
      </c>
      <c r="AG1983" s="196">
        <f t="shared" ca="1" si="431"/>
        <v>0</v>
      </c>
      <c r="AI1983" s="196">
        <f>IFERROR($G1983/SUMIF($A:$A,$A1983,$G:$G)*SUMIF(Summary!$A$247:$A$283,$A1983,Summary!$P$247:$P$283),0)</f>
        <v>0</v>
      </c>
      <c r="AJ1983" s="196">
        <f>IFERROR($G1983/SUMIF($A:$A,$A1983,$G:$G)*(SUMIF(Summary!$A$247:$A$283,$A1983,Summary!$L$247:$L$283)+SUMIF(Summary!$A$297:$A$333,$A1983,Summary!$L$297:$L$333))-AI1983,0)</f>
        <v>0</v>
      </c>
      <c r="AK1983" s="196">
        <f>IFERROR($G1983/SUMIF($A:$A,$A1983,$G:$G)*SUMIF(Summary!$A$247:$A$283,$A1983,Summary!$Q$247:$Q$283),0)</f>
        <v>0</v>
      </c>
      <c r="AL1983" s="196">
        <f>IFERROR($G1983/SUMIF($A:$A,$A1983,$G:$G)*(SUMIF(Summary!$A$247:$A$283,$A1983,Summary!$L$247:$L$283)+SUMIF(Summary!$A$297:$A$333,$A1983,Summary!$L$297:$L$333))-AK1983,0)</f>
        <v>0</v>
      </c>
      <c r="AM1983" s="198"/>
      <c r="AN1983" s="196">
        <f t="shared" ca="1" si="432"/>
        <v>0</v>
      </c>
      <c r="AO1983" s="196">
        <f t="shared" ca="1" si="433"/>
        <v>0</v>
      </c>
    </row>
    <row r="1984" spans="1:41">
      <c r="A1984" s="189">
        <v>3652</v>
      </c>
      <c r="B1984" s="190">
        <v>5</v>
      </c>
      <c r="C1984" s="191" t="s">
        <v>225</v>
      </c>
      <c r="D1984" s="192">
        <f t="shared" si="420"/>
        <v>0</v>
      </c>
      <c r="E1984" s="192">
        <f t="shared" si="421"/>
        <v>0</v>
      </c>
      <c r="F1984" s="192">
        <f t="shared" si="422"/>
        <v>0</v>
      </c>
      <c r="G1984" s="193">
        <f t="shared" si="423"/>
        <v>0</v>
      </c>
      <c r="H1984" s="194">
        <v>0</v>
      </c>
      <c r="I1984" s="194">
        <v>0</v>
      </c>
      <c r="J1984" s="194">
        <v>0</v>
      </c>
      <c r="K1984" s="193">
        <f t="shared" si="424"/>
        <v>0</v>
      </c>
      <c r="L1984" s="194">
        <v>0</v>
      </c>
      <c r="M1984" s="194">
        <v>0</v>
      </c>
      <c r="N1984" s="194">
        <v>0</v>
      </c>
      <c r="O1984" s="193">
        <f t="shared" si="425"/>
        <v>0</v>
      </c>
      <c r="P1984" s="194">
        <v>0</v>
      </c>
      <c r="Q1984" s="194">
        <v>0</v>
      </c>
      <c r="R1984" s="194">
        <v>0</v>
      </c>
      <c r="S1984" s="193">
        <f t="shared" si="426"/>
        <v>0</v>
      </c>
      <c r="T1984" s="193">
        <f t="shared" si="427"/>
        <v>0</v>
      </c>
      <c r="U1984" s="193">
        <f ca="1">OFFSET('Expenditure Study'!$B$7,'Operations Support'!$C1984,'Operations Support'!$B1984)*$G1984</f>
        <v>0</v>
      </c>
      <c r="V1984" s="199">
        <f ca="1">U1984*'Expenditure Study'!$B$31</f>
        <v>0</v>
      </c>
      <c r="W1984" s="199">
        <f ca="1">IF(A1984=10298,1.51,1)*IF($B1984&lt;3,$D1984*'Expenditure Study'!$B$32*OFFSET('Expenditure Study'!$B$7,'Operations Support'!$C1984,'Operations Support'!$B1984),0)</f>
        <v>0</v>
      </c>
      <c r="X1984" s="200">
        <f ca="1">W1984*'Expenditure Study'!$B$31</f>
        <v>0</v>
      </c>
      <c r="Y1984" s="199">
        <f ca="1">U1984*'Expenditure Study'!$B$31</f>
        <v>0</v>
      </c>
      <c r="Z1984" s="200">
        <f ca="1">W1984*'Expenditure Study'!$B$31</f>
        <v>0</v>
      </c>
      <c r="AA1984" s="195">
        <f t="shared" ca="1" si="428"/>
        <v>0</v>
      </c>
      <c r="AB1984" s="195">
        <f t="shared" ca="1" si="429"/>
        <v>0</v>
      </c>
      <c r="AD1984" s="196">
        <f>IFERROR($G1984/SUMIF($A:$A,$A1984,$G:$G)*SUMIF(Summary!$A$166:$A$242,$A1984,Summary!$P$166:$P$242),0)</f>
        <v>0</v>
      </c>
      <c r="AE1984" s="197">
        <f t="shared" ca="1" si="430"/>
        <v>0</v>
      </c>
      <c r="AF1984" s="196">
        <f>IFERROR(G1984/SUMIF(A:A,A1984,G:G)*SUMIF(Summary!$A$166:$A$242,'Operations Support'!A1984,Summary!$Q$166:$Q$242),0)</f>
        <v>0</v>
      </c>
      <c r="AG1984" s="196">
        <f t="shared" ca="1" si="431"/>
        <v>0</v>
      </c>
      <c r="AI1984" s="196">
        <f>IFERROR($G1984/SUMIF($A:$A,$A1984,$G:$G)*SUMIF(Summary!$A$247:$A$283,$A1984,Summary!$P$247:$P$283),0)</f>
        <v>0</v>
      </c>
      <c r="AJ1984" s="196">
        <f>IFERROR($G1984/SUMIF($A:$A,$A1984,$G:$G)*(SUMIF(Summary!$A$247:$A$283,$A1984,Summary!$L$247:$L$283)+SUMIF(Summary!$A$297:$A$333,$A1984,Summary!$L$297:$L$333))-AI1984,0)</f>
        <v>0</v>
      </c>
      <c r="AK1984" s="196">
        <f>IFERROR($G1984/SUMIF($A:$A,$A1984,$G:$G)*SUMIF(Summary!$A$247:$A$283,$A1984,Summary!$Q$247:$Q$283),0)</f>
        <v>0</v>
      </c>
      <c r="AL1984" s="196">
        <f>IFERROR($G1984/SUMIF($A:$A,$A1984,$G:$G)*(SUMIF(Summary!$A$247:$A$283,$A1984,Summary!$L$247:$L$283)+SUMIF(Summary!$A$297:$A$333,$A1984,Summary!$L$297:$L$333))-AK1984,0)</f>
        <v>0</v>
      </c>
      <c r="AM1984" s="198"/>
      <c r="AN1984" s="196">
        <f t="shared" ca="1" si="432"/>
        <v>0</v>
      </c>
      <c r="AO1984" s="196">
        <f t="shared" ca="1" si="433"/>
        <v>0</v>
      </c>
    </row>
    <row r="1985" spans="1:41">
      <c r="A1985" s="189">
        <v>3652</v>
      </c>
      <c r="B1985" s="190">
        <v>5</v>
      </c>
      <c r="C1985" s="191" t="s">
        <v>226</v>
      </c>
      <c r="D1985" s="192">
        <f t="shared" si="420"/>
        <v>0</v>
      </c>
      <c r="E1985" s="192">
        <f t="shared" si="421"/>
        <v>0</v>
      </c>
      <c r="F1985" s="192">
        <f t="shared" si="422"/>
        <v>0</v>
      </c>
      <c r="G1985" s="193">
        <f t="shared" si="423"/>
        <v>0</v>
      </c>
      <c r="H1985" s="194">
        <v>0</v>
      </c>
      <c r="I1985" s="194">
        <v>0</v>
      </c>
      <c r="J1985" s="194">
        <v>0</v>
      </c>
      <c r="K1985" s="193">
        <f t="shared" si="424"/>
        <v>0</v>
      </c>
      <c r="L1985" s="194">
        <v>0</v>
      </c>
      <c r="M1985" s="194">
        <v>0</v>
      </c>
      <c r="N1985" s="194">
        <v>0</v>
      </c>
      <c r="O1985" s="193">
        <f t="shared" si="425"/>
        <v>0</v>
      </c>
      <c r="P1985" s="194">
        <v>0</v>
      </c>
      <c r="Q1985" s="194">
        <v>0</v>
      </c>
      <c r="R1985" s="194">
        <v>0</v>
      </c>
      <c r="S1985" s="193">
        <f t="shared" si="426"/>
        <v>0</v>
      </c>
      <c r="T1985" s="193">
        <f t="shared" si="427"/>
        <v>0</v>
      </c>
      <c r="U1985" s="193">
        <f ca="1">OFFSET('Expenditure Study'!$B$7,'Operations Support'!$C1985,'Operations Support'!$B1985)*$G1985</f>
        <v>0</v>
      </c>
      <c r="V1985" s="199">
        <f ca="1">U1985*'Expenditure Study'!$B$31</f>
        <v>0</v>
      </c>
      <c r="W1985" s="199">
        <f ca="1">IF(A1985=10298,1.51,1)*IF($B1985&lt;3,$D1985*'Expenditure Study'!$B$32*OFFSET('Expenditure Study'!$B$7,'Operations Support'!$C1985,'Operations Support'!$B1985),0)</f>
        <v>0</v>
      </c>
      <c r="X1985" s="200">
        <f ca="1">W1985*'Expenditure Study'!$B$31</f>
        <v>0</v>
      </c>
      <c r="Y1985" s="199">
        <f ca="1">U1985*'Expenditure Study'!$B$31</f>
        <v>0</v>
      </c>
      <c r="Z1985" s="200">
        <f ca="1">W1985*'Expenditure Study'!$B$31</f>
        <v>0</v>
      </c>
      <c r="AA1985" s="195">
        <f t="shared" ca="1" si="428"/>
        <v>0</v>
      </c>
      <c r="AB1985" s="195">
        <f t="shared" ca="1" si="429"/>
        <v>0</v>
      </c>
      <c r="AD1985" s="196">
        <f>IFERROR($G1985/SUMIF($A:$A,$A1985,$G:$G)*SUMIF(Summary!$A$166:$A$242,$A1985,Summary!$P$166:$P$242),0)</f>
        <v>0</v>
      </c>
      <c r="AE1985" s="197">
        <f t="shared" ca="1" si="430"/>
        <v>0</v>
      </c>
      <c r="AF1985" s="196">
        <f>IFERROR(G1985/SUMIF(A:A,A1985,G:G)*SUMIF(Summary!$A$166:$A$242,'Operations Support'!A1985,Summary!$Q$166:$Q$242),0)</f>
        <v>0</v>
      </c>
      <c r="AG1985" s="196">
        <f t="shared" ca="1" si="431"/>
        <v>0</v>
      </c>
      <c r="AI1985" s="196">
        <f>IFERROR($G1985/SUMIF($A:$A,$A1985,$G:$G)*SUMIF(Summary!$A$247:$A$283,$A1985,Summary!$P$247:$P$283),0)</f>
        <v>0</v>
      </c>
      <c r="AJ1985" s="196">
        <f>IFERROR($G1985/SUMIF($A:$A,$A1985,$G:$G)*(SUMIF(Summary!$A$247:$A$283,$A1985,Summary!$L$247:$L$283)+SUMIF(Summary!$A$297:$A$333,$A1985,Summary!$L$297:$L$333))-AI1985,0)</f>
        <v>0</v>
      </c>
      <c r="AK1985" s="196">
        <f>IFERROR($G1985/SUMIF($A:$A,$A1985,$G:$G)*SUMIF(Summary!$A$247:$A$283,$A1985,Summary!$Q$247:$Q$283),0)</f>
        <v>0</v>
      </c>
      <c r="AL1985" s="196">
        <f>IFERROR($G1985/SUMIF($A:$A,$A1985,$G:$G)*(SUMIF(Summary!$A$247:$A$283,$A1985,Summary!$L$247:$L$283)+SUMIF(Summary!$A$297:$A$333,$A1985,Summary!$L$297:$L$333))-AK1985,0)</f>
        <v>0</v>
      </c>
      <c r="AM1985" s="198"/>
      <c r="AN1985" s="196">
        <f t="shared" ca="1" si="432"/>
        <v>0</v>
      </c>
      <c r="AO1985" s="196">
        <f t="shared" ca="1" si="433"/>
        <v>0</v>
      </c>
    </row>
    <row r="1986" spans="1:41">
      <c r="A1986" s="189">
        <v>3652</v>
      </c>
      <c r="B1986" s="190">
        <v>5</v>
      </c>
      <c r="C1986" s="191" t="s">
        <v>227</v>
      </c>
      <c r="D1986" s="192">
        <f t="shared" si="420"/>
        <v>13309.08</v>
      </c>
      <c r="E1986" s="192">
        <f t="shared" si="421"/>
        <v>10075.920000000009</v>
      </c>
      <c r="F1986" s="192">
        <f t="shared" si="422"/>
        <v>0</v>
      </c>
      <c r="G1986" s="193">
        <f t="shared" si="423"/>
        <v>23385.000000000007</v>
      </c>
      <c r="H1986" s="194">
        <v>6233.32</v>
      </c>
      <c r="I1986" s="194">
        <v>4748.6800000000103</v>
      </c>
      <c r="J1986" s="194">
        <v>0</v>
      </c>
      <c r="K1986" s="193">
        <f t="shared" si="424"/>
        <v>10982.000000000011</v>
      </c>
      <c r="L1986" s="194">
        <v>6562.9</v>
      </c>
      <c r="M1986" s="194">
        <v>4770.1000000000004</v>
      </c>
      <c r="N1986" s="194">
        <v>0</v>
      </c>
      <c r="O1986" s="193">
        <f t="shared" si="425"/>
        <v>11333</v>
      </c>
      <c r="P1986" s="194">
        <v>512.86</v>
      </c>
      <c r="Q1986" s="194">
        <v>557.14</v>
      </c>
      <c r="R1986" s="194">
        <v>0</v>
      </c>
      <c r="S1986" s="193">
        <f t="shared" si="426"/>
        <v>1070</v>
      </c>
      <c r="T1986" s="193">
        <f t="shared" si="427"/>
        <v>974.37500000000034</v>
      </c>
      <c r="U1986" s="193">
        <f ca="1">OFFSET('Expenditure Study'!$B$7,'Operations Support'!$C1986,'Operations Support'!$B1986)*$G1986</f>
        <v>128617.50000000004</v>
      </c>
      <c r="V1986" s="199">
        <f ca="1">U1986*'Expenditure Study'!$B$31</f>
        <v>7599131.0065440023</v>
      </c>
      <c r="W1986" s="199">
        <f ca="1">IF(A1986=10298,1.51,1)*IF($B1986&lt;3,$D1986*'Expenditure Study'!$B$32*OFFSET('Expenditure Study'!$B$7,'Operations Support'!$C1986,'Operations Support'!$B1986),0)</f>
        <v>0</v>
      </c>
      <c r="X1986" s="200">
        <f ca="1">W1986*'Expenditure Study'!$B$31</f>
        <v>0</v>
      </c>
      <c r="Y1986" s="199">
        <f ca="1">U1986*'Expenditure Study'!$B$31</f>
        <v>7599131.0065440023</v>
      </c>
      <c r="Z1986" s="200">
        <f ca="1">W1986*'Expenditure Study'!$B$31</f>
        <v>0</v>
      </c>
      <c r="AA1986" s="195">
        <f t="shared" ca="1" si="428"/>
        <v>7599131.0065440023</v>
      </c>
      <c r="AB1986" s="195">
        <f t="shared" ca="1" si="429"/>
        <v>7599131.0065440023</v>
      </c>
      <c r="AD1986" s="196">
        <f>IFERROR($G1986/SUMIF($A:$A,$A1986,$G:$G)*SUMIF(Summary!$A$166:$A$242,$A1986,Summary!$P$166:$P$242),0)</f>
        <v>859181.64075371239</v>
      </c>
      <c r="AE1986" s="197">
        <f t="shared" ca="1" si="430"/>
        <v>6739949.3657902898</v>
      </c>
      <c r="AF1986" s="196">
        <f>IFERROR(G1986/SUMIF(A:A,A1986,G:G)*SUMIF(Summary!$A$166:$A$242,'Operations Support'!A1986,Summary!$Q$166:$Q$242),0)</f>
        <v>862129.8158764072</v>
      </c>
      <c r="AG1986" s="196">
        <f t="shared" ca="1" si="431"/>
        <v>6737001.1906675948</v>
      </c>
      <c r="AI1986" s="196">
        <f>IFERROR($G1986/SUMIF($A:$A,$A1986,$G:$G)*SUMIF(Summary!$A$247:$A$283,$A1986,Summary!$P$247:$P$283),0)</f>
        <v>156693.29063463031</v>
      </c>
      <c r="AJ1986" s="196">
        <f>IFERROR($G1986/SUMIF($A:$A,$A1986,$G:$G)*(SUMIF(Summary!$A$247:$A$283,$A1986,Summary!$L$247:$L$283)+SUMIF(Summary!$A$297:$A$333,$A1986,Summary!$L$297:$L$333))-AI1986,0)</f>
        <v>376561.52745496779</v>
      </c>
      <c r="AK1986" s="196">
        <f>IFERROR($G1986/SUMIF($A:$A,$A1986,$G:$G)*SUMIF(Summary!$A$247:$A$283,$A1986,Summary!$Q$247:$Q$283),0)</f>
        <v>157230.96420611977</v>
      </c>
      <c r="AL1986" s="196">
        <f>IFERROR($G1986/SUMIF($A:$A,$A1986,$G:$G)*(SUMIF(Summary!$A$247:$A$283,$A1986,Summary!$L$247:$L$283)+SUMIF(Summary!$A$297:$A$333,$A1986,Summary!$L$297:$L$333))-AK1986,0)</f>
        <v>376023.85388347832</v>
      </c>
      <c r="AM1986" s="198"/>
      <c r="AN1986" s="196">
        <f t="shared" ca="1" si="432"/>
        <v>7116510.8932452574</v>
      </c>
      <c r="AO1986" s="196">
        <f t="shared" ca="1" si="433"/>
        <v>7113025.0445510726</v>
      </c>
    </row>
    <row r="1987" spans="1:41">
      <c r="A1987" s="189">
        <v>3652</v>
      </c>
      <c r="B1987" s="190">
        <v>5</v>
      </c>
      <c r="C1987" s="191" t="s">
        <v>228</v>
      </c>
      <c r="D1987" s="192">
        <f t="shared" si="420"/>
        <v>0</v>
      </c>
      <c r="E1987" s="192">
        <f t="shared" si="421"/>
        <v>0</v>
      </c>
      <c r="F1987" s="192">
        <f t="shared" si="422"/>
        <v>0</v>
      </c>
      <c r="G1987" s="193">
        <f t="shared" si="423"/>
        <v>0</v>
      </c>
      <c r="H1987" s="194">
        <v>0</v>
      </c>
      <c r="I1987" s="194">
        <v>0</v>
      </c>
      <c r="J1987" s="194">
        <v>0</v>
      </c>
      <c r="K1987" s="193">
        <f t="shared" si="424"/>
        <v>0</v>
      </c>
      <c r="L1987" s="194">
        <v>0</v>
      </c>
      <c r="M1987" s="194">
        <v>0</v>
      </c>
      <c r="N1987" s="194">
        <v>0</v>
      </c>
      <c r="O1987" s="193">
        <f t="shared" si="425"/>
        <v>0</v>
      </c>
      <c r="P1987" s="194">
        <v>0</v>
      </c>
      <c r="Q1987" s="194">
        <v>0</v>
      </c>
      <c r="R1987" s="194">
        <v>0</v>
      </c>
      <c r="S1987" s="193">
        <f t="shared" si="426"/>
        <v>0</v>
      </c>
      <c r="T1987" s="193">
        <f t="shared" si="427"/>
        <v>0</v>
      </c>
      <c r="U1987" s="193">
        <f ca="1">OFFSET('Expenditure Study'!$B$7,'Operations Support'!$C1987,'Operations Support'!$B1987)*$G1987</f>
        <v>0</v>
      </c>
      <c r="V1987" s="199">
        <f ca="1">U1987*'Expenditure Study'!$B$31</f>
        <v>0</v>
      </c>
      <c r="W1987" s="199">
        <f ca="1">IF(A1987=10298,1.51,1)*IF($B1987&lt;3,$D1987*'Expenditure Study'!$B$32*OFFSET('Expenditure Study'!$B$7,'Operations Support'!$C1987,'Operations Support'!$B1987),0)</f>
        <v>0</v>
      </c>
      <c r="X1987" s="200">
        <f ca="1">W1987*'Expenditure Study'!$B$31</f>
        <v>0</v>
      </c>
      <c r="Y1987" s="199">
        <f ca="1">U1987*'Expenditure Study'!$B$31</f>
        <v>0</v>
      </c>
      <c r="Z1987" s="200">
        <f ca="1">W1987*'Expenditure Study'!$B$31</f>
        <v>0</v>
      </c>
      <c r="AA1987" s="195">
        <f t="shared" ca="1" si="428"/>
        <v>0</v>
      </c>
      <c r="AB1987" s="195">
        <f t="shared" ca="1" si="429"/>
        <v>0</v>
      </c>
      <c r="AD1987" s="196">
        <f>IFERROR($G1987/SUMIF($A:$A,$A1987,$G:$G)*SUMIF(Summary!$A$166:$A$242,$A1987,Summary!$P$166:$P$242),0)</f>
        <v>0</v>
      </c>
      <c r="AE1987" s="197">
        <f t="shared" ca="1" si="430"/>
        <v>0</v>
      </c>
      <c r="AF1987" s="196">
        <f>IFERROR(G1987/SUMIF(A:A,A1987,G:G)*SUMIF(Summary!$A$166:$A$242,'Operations Support'!A1987,Summary!$Q$166:$Q$242),0)</f>
        <v>0</v>
      </c>
      <c r="AG1987" s="196">
        <f t="shared" ca="1" si="431"/>
        <v>0</v>
      </c>
      <c r="AI1987" s="196">
        <f>IFERROR($G1987/SUMIF($A:$A,$A1987,$G:$G)*SUMIF(Summary!$A$247:$A$283,$A1987,Summary!$P$247:$P$283),0)</f>
        <v>0</v>
      </c>
      <c r="AJ1987" s="196">
        <f>IFERROR($G1987/SUMIF($A:$A,$A1987,$G:$G)*(SUMIF(Summary!$A$247:$A$283,$A1987,Summary!$L$247:$L$283)+SUMIF(Summary!$A$297:$A$333,$A1987,Summary!$L$297:$L$333))-AI1987,0)</f>
        <v>0</v>
      </c>
      <c r="AK1987" s="196">
        <f>IFERROR($G1987/SUMIF($A:$A,$A1987,$G:$G)*SUMIF(Summary!$A$247:$A$283,$A1987,Summary!$Q$247:$Q$283),0)</f>
        <v>0</v>
      </c>
      <c r="AL1987" s="196">
        <f>IFERROR($G1987/SUMIF($A:$A,$A1987,$G:$G)*(SUMIF(Summary!$A$247:$A$283,$A1987,Summary!$L$247:$L$283)+SUMIF(Summary!$A$297:$A$333,$A1987,Summary!$L$297:$L$333))-AK1987,0)</f>
        <v>0</v>
      </c>
      <c r="AM1987" s="198"/>
      <c r="AN1987" s="196">
        <f t="shared" ca="1" si="432"/>
        <v>0</v>
      </c>
      <c r="AO1987" s="196">
        <f t="shared" ca="1" si="433"/>
        <v>0</v>
      </c>
    </row>
    <row r="1988" spans="1:41">
      <c r="A1988" s="189">
        <v>3652</v>
      </c>
      <c r="B1988" s="190">
        <v>5</v>
      </c>
      <c r="C1988" s="191" t="s">
        <v>229</v>
      </c>
      <c r="D1988" s="192">
        <f t="shared" si="420"/>
        <v>0</v>
      </c>
      <c r="E1988" s="192">
        <f t="shared" si="421"/>
        <v>0</v>
      </c>
      <c r="F1988" s="192">
        <f t="shared" si="422"/>
        <v>0</v>
      </c>
      <c r="G1988" s="193">
        <f t="shared" si="423"/>
        <v>0</v>
      </c>
      <c r="H1988" s="194">
        <v>0</v>
      </c>
      <c r="I1988" s="194">
        <v>0</v>
      </c>
      <c r="J1988" s="194">
        <v>0</v>
      </c>
      <c r="K1988" s="193">
        <f t="shared" si="424"/>
        <v>0</v>
      </c>
      <c r="L1988" s="194">
        <v>0</v>
      </c>
      <c r="M1988" s="194">
        <v>0</v>
      </c>
      <c r="N1988" s="194">
        <v>0</v>
      </c>
      <c r="O1988" s="193">
        <f t="shared" si="425"/>
        <v>0</v>
      </c>
      <c r="P1988" s="194">
        <v>0</v>
      </c>
      <c r="Q1988" s="194">
        <v>0</v>
      </c>
      <c r="R1988" s="194">
        <v>0</v>
      </c>
      <c r="S1988" s="193">
        <f t="shared" si="426"/>
        <v>0</v>
      </c>
      <c r="T1988" s="193">
        <f t="shared" si="427"/>
        <v>0</v>
      </c>
      <c r="U1988" s="193">
        <f ca="1">OFFSET('Expenditure Study'!$B$7,'Operations Support'!$C1988,'Operations Support'!$B1988)*$G1988</f>
        <v>0</v>
      </c>
      <c r="V1988" s="199">
        <f ca="1">U1988*'Expenditure Study'!$B$31</f>
        <v>0</v>
      </c>
      <c r="W1988" s="199">
        <f ca="1">IF(A1988=10298,1.51,1)*IF($B1988&lt;3,$D1988*'Expenditure Study'!$B$32*OFFSET('Expenditure Study'!$B$7,'Operations Support'!$C1988,'Operations Support'!$B1988),0)</f>
        <v>0</v>
      </c>
      <c r="X1988" s="200">
        <f ca="1">W1988*'Expenditure Study'!$B$31</f>
        <v>0</v>
      </c>
      <c r="Y1988" s="199">
        <f ca="1">U1988*'Expenditure Study'!$B$31</f>
        <v>0</v>
      </c>
      <c r="Z1988" s="200">
        <f ca="1">W1988*'Expenditure Study'!$B$31</f>
        <v>0</v>
      </c>
      <c r="AA1988" s="195">
        <f t="shared" ca="1" si="428"/>
        <v>0</v>
      </c>
      <c r="AB1988" s="195">
        <f t="shared" ca="1" si="429"/>
        <v>0</v>
      </c>
      <c r="AD1988" s="196">
        <f>IFERROR($G1988/SUMIF($A:$A,$A1988,$G:$G)*SUMIF(Summary!$A$166:$A$242,$A1988,Summary!$P$166:$P$242),0)</f>
        <v>0</v>
      </c>
      <c r="AE1988" s="197">
        <f t="shared" ca="1" si="430"/>
        <v>0</v>
      </c>
      <c r="AF1988" s="196">
        <f>IFERROR(G1988/SUMIF(A:A,A1988,G:G)*SUMIF(Summary!$A$166:$A$242,'Operations Support'!A1988,Summary!$Q$166:$Q$242),0)</f>
        <v>0</v>
      </c>
      <c r="AG1988" s="196">
        <f t="shared" ca="1" si="431"/>
        <v>0</v>
      </c>
      <c r="AI1988" s="196">
        <f>IFERROR($G1988/SUMIF($A:$A,$A1988,$G:$G)*SUMIF(Summary!$A$247:$A$283,$A1988,Summary!$P$247:$P$283),0)</f>
        <v>0</v>
      </c>
      <c r="AJ1988" s="196">
        <f>IFERROR($G1988/SUMIF($A:$A,$A1988,$G:$G)*(SUMIF(Summary!$A$247:$A$283,$A1988,Summary!$L$247:$L$283)+SUMIF(Summary!$A$297:$A$333,$A1988,Summary!$L$297:$L$333))-AI1988,0)</f>
        <v>0</v>
      </c>
      <c r="AK1988" s="196">
        <f>IFERROR($G1988/SUMIF($A:$A,$A1988,$G:$G)*SUMIF(Summary!$A$247:$A$283,$A1988,Summary!$Q$247:$Q$283),0)</f>
        <v>0</v>
      </c>
      <c r="AL1988" s="196">
        <f>IFERROR($G1988/SUMIF($A:$A,$A1988,$G:$G)*(SUMIF(Summary!$A$247:$A$283,$A1988,Summary!$L$247:$L$283)+SUMIF(Summary!$A$297:$A$333,$A1988,Summary!$L$297:$L$333))-AK1988,0)</f>
        <v>0</v>
      </c>
      <c r="AM1988" s="198"/>
      <c r="AN1988" s="196">
        <f t="shared" ca="1" si="432"/>
        <v>0</v>
      </c>
      <c r="AO1988" s="196">
        <f t="shared" ca="1" si="433"/>
        <v>0</v>
      </c>
    </row>
    <row r="1989" spans="1:41">
      <c r="A1989" s="189">
        <v>3652</v>
      </c>
      <c r="B1989" s="190">
        <v>5</v>
      </c>
      <c r="C1989" s="191" t="s">
        <v>230</v>
      </c>
      <c r="D1989" s="192">
        <f t="shared" ref="D1989:D2052" si="434">H1989+L1989+P1989</f>
        <v>0</v>
      </c>
      <c r="E1989" s="192">
        <f t="shared" ref="E1989:E2052" si="435">I1989+M1989+Q1989</f>
        <v>0</v>
      </c>
      <c r="F1989" s="192">
        <f t="shared" ref="F1989:F2052" si="436">J1989+N1989+R1989</f>
        <v>0</v>
      </c>
      <c r="G1989" s="193">
        <f t="shared" ref="G1989:G2052" si="437">(SUM(D1989:E1989)-F1989)*IF(A1989=10298,1.51,1)</f>
        <v>0</v>
      </c>
      <c r="H1989" s="194">
        <v>0</v>
      </c>
      <c r="I1989" s="194">
        <v>0</v>
      </c>
      <c r="J1989" s="194">
        <v>0</v>
      </c>
      <c r="K1989" s="193">
        <f t="shared" ref="K1989:K2052" si="438">SUM(H1989:I1989)-J1989</f>
        <v>0</v>
      </c>
      <c r="L1989" s="194">
        <v>0</v>
      </c>
      <c r="M1989" s="194">
        <v>0</v>
      </c>
      <c r="N1989" s="194">
        <v>0</v>
      </c>
      <c r="O1989" s="193">
        <f t="shared" ref="O1989:O2052" si="439">SUM(L1989:M1989)-N1989</f>
        <v>0</v>
      </c>
      <c r="P1989" s="194">
        <v>0</v>
      </c>
      <c r="Q1989" s="194">
        <v>0</v>
      </c>
      <c r="R1989" s="194">
        <v>0</v>
      </c>
      <c r="S1989" s="193">
        <f t="shared" ref="S1989:S2052" si="440">SUM(P1989:Q1989)-R1989</f>
        <v>0</v>
      </c>
      <c r="T1989" s="193">
        <f t="shared" ref="T1989:T2052" si="441">IF(OR(B1989=1,B1989=2),G1989/30,IF(OR(B1989=3,B1989=5),G1989/24,IF(B1989=4,G1989/18,0)))</f>
        <v>0</v>
      </c>
      <c r="U1989" s="193">
        <f ca="1">OFFSET('Expenditure Study'!$B$7,'Operations Support'!$C1989,'Operations Support'!$B1989)*$G1989</f>
        <v>0</v>
      </c>
      <c r="V1989" s="199">
        <f ca="1">U1989*'Expenditure Study'!$B$31</f>
        <v>0</v>
      </c>
      <c r="W1989" s="199">
        <f ca="1">IF(A1989=10298,1.51,1)*IF($B1989&lt;3,$D1989*'Expenditure Study'!$B$32*OFFSET('Expenditure Study'!$B$7,'Operations Support'!$C1989,'Operations Support'!$B1989),0)</f>
        <v>0</v>
      </c>
      <c r="X1989" s="200">
        <f ca="1">W1989*'Expenditure Study'!$B$31</f>
        <v>0</v>
      </c>
      <c r="Y1989" s="199">
        <f ca="1">U1989*'Expenditure Study'!$B$31</f>
        <v>0</v>
      </c>
      <c r="Z1989" s="200">
        <f ca="1">W1989*'Expenditure Study'!$B$31</f>
        <v>0</v>
      </c>
      <c r="AA1989" s="195">
        <f t="shared" ref="AA1989:AA2052" ca="1" si="442">V1989+X1989</f>
        <v>0</v>
      </c>
      <c r="AB1989" s="195">
        <f t="shared" ref="AB1989:AB2052" ca="1" si="443">Y1989+Z1989</f>
        <v>0</v>
      </c>
      <c r="AD1989" s="196">
        <f>IFERROR($G1989/SUMIF($A:$A,$A1989,$G:$G)*SUMIF(Summary!$A$166:$A$242,$A1989,Summary!$P$166:$P$242),0)</f>
        <v>0</v>
      </c>
      <c r="AE1989" s="197">
        <f t="shared" ca="1" si="430"/>
        <v>0</v>
      </c>
      <c r="AF1989" s="196">
        <f>IFERROR(G1989/SUMIF(A:A,A1989,G:G)*SUMIF(Summary!$A$166:$A$242,'Operations Support'!A1989,Summary!$Q$166:$Q$242),0)</f>
        <v>0</v>
      </c>
      <c r="AG1989" s="196">
        <f t="shared" ca="1" si="431"/>
        <v>0</v>
      </c>
      <c r="AI1989" s="196">
        <f>IFERROR($G1989/SUMIF($A:$A,$A1989,$G:$G)*SUMIF(Summary!$A$247:$A$283,$A1989,Summary!$P$247:$P$283),0)</f>
        <v>0</v>
      </c>
      <c r="AJ1989" s="196">
        <f>IFERROR($G1989/SUMIF($A:$A,$A1989,$G:$G)*(SUMIF(Summary!$A$247:$A$283,$A1989,Summary!$L$247:$L$283)+SUMIF(Summary!$A$297:$A$333,$A1989,Summary!$L$297:$L$333))-AI1989,0)</f>
        <v>0</v>
      </c>
      <c r="AK1989" s="196">
        <f>IFERROR($G1989/SUMIF($A:$A,$A1989,$G:$G)*SUMIF(Summary!$A$247:$A$283,$A1989,Summary!$Q$247:$Q$283),0)</f>
        <v>0</v>
      </c>
      <c r="AL1989" s="196">
        <f>IFERROR($G1989/SUMIF($A:$A,$A1989,$G:$G)*(SUMIF(Summary!$A$247:$A$283,$A1989,Summary!$L$247:$L$283)+SUMIF(Summary!$A$297:$A$333,$A1989,Summary!$L$297:$L$333))-AK1989,0)</f>
        <v>0</v>
      </c>
      <c r="AM1989" s="198"/>
      <c r="AN1989" s="196">
        <f t="shared" ca="1" si="432"/>
        <v>0</v>
      </c>
      <c r="AO1989" s="196">
        <f t="shared" ca="1" si="433"/>
        <v>0</v>
      </c>
    </row>
    <row r="1990" spans="1:41">
      <c r="A1990" s="189">
        <v>3652</v>
      </c>
      <c r="B1990" s="190">
        <v>5</v>
      </c>
      <c r="C1990" s="191" t="s">
        <v>231</v>
      </c>
      <c r="D1990" s="192">
        <f t="shared" si="434"/>
        <v>0</v>
      </c>
      <c r="E1990" s="192">
        <f t="shared" si="435"/>
        <v>0</v>
      </c>
      <c r="F1990" s="192">
        <f t="shared" si="436"/>
        <v>0</v>
      </c>
      <c r="G1990" s="193">
        <f t="shared" si="437"/>
        <v>0</v>
      </c>
      <c r="H1990" s="194">
        <v>0</v>
      </c>
      <c r="I1990" s="194">
        <v>0</v>
      </c>
      <c r="J1990" s="194">
        <v>0</v>
      </c>
      <c r="K1990" s="193">
        <f t="shared" si="438"/>
        <v>0</v>
      </c>
      <c r="L1990" s="194">
        <v>0</v>
      </c>
      <c r="M1990" s="194">
        <v>0</v>
      </c>
      <c r="N1990" s="194">
        <v>0</v>
      </c>
      <c r="O1990" s="193">
        <f t="shared" si="439"/>
        <v>0</v>
      </c>
      <c r="P1990" s="194">
        <v>0</v>
      </c>
      <c r="Q1990" s="194">
        <v>0</v>
      </c>
      <c r="R1990" s="194">
        <v>0</v>
      </c>
      <c r="S1990" s="193">
        <f t="shared" si="440"/>
        <v>0</v>
      </c>
      <c r="T1990" s="193">
        <f t="shared" si="441"/>
        <v>0</v>
      </c>
      <c r="U1990" s="193">
        <f ca="1">OFFSET('Expenditure Study'!$B$7,'Operations Support'!$C1990,'Operations Support'!$B1990)*$G1990</f>
        <v>0</v>
      </c>
      <c r="V1990" s="199">
        <f ca="1">U1990*'Expenditure Study'!$B$31</f>
        <v>0</v>
      </c>
      <c r="W1990" s="199">
        <f ca="1">IF(A1990=10298,1.51,1)*IF($B1990&lt;3,$D1990*'Expenditure Study'!$B$32*OFFSET('Expenditure Study'!$B$7,'Operations Support'!$C1990,'Operations Support'!$B1990),0)</f>
        <v>0</v>
      </c>
      <c r="X1990" s="200">
        <f ca="1">W1990*'Expenditure Study'!$B$31</f>
        <v>0</v>
      </c>
      <c r="Y1990" s="199">
        <f ca="1">U1990*'Expenditure Study'!$B$31</f>
        <v>0</v>
      </c>
      <c r="Z1990" s="200">
        <f ca="1">W1990*'Expenditure Study'!$B$31</f>
        <v>0</v>
      </c>
      <c r="AA1990" s="195">
        <f t="shared" ca="1" si="442"/>
        <v>0</v>
      </c>
      <c r="AB1990" s="195">
        <f t="shared" ca="1" si="443"/>
        <v>0</v>
      </c>
      <c r="AD1990" s="196">
        <f>IFERROR($G1990/SUMIF($A:$A,$A1990,$G:$G)*SUMIF(Summary!$A$166:$A$242,$A1990,Summary!$P$166:$P$242),0)</f>
        <v>0</v>
      </c>
      <c r="AE1990" s="197">
        <f t="shared" ref="AE1990:AE2053" ca="1" si="444">V1990+X1990-AD1990</f>
        <v>0</v>
      </c>
      <c r="AF1990" s="196">
        <f>IFERROR(G1990/SUMIF(A:A,A1990,G:G)*SUMIF(Summary!$A$166:$A$242,'Operations Support'!A1990,Summary!$Q$166:$Q$242),0)</f>
        <v>0</v>
      </c>
      <c r="AG1990" s="196">
        <f t="shared" ref="AG1990:AG2053" ca="1" si="445">Y1990+Z1990-AF1990</f>
        <v>0</v>
      </c>
      <c r="AI1990" s="196">
        <f>IFERROR($G1990/SUMIF($A:$A,$A1990,$G:$G)*SUMIF(Summary!$A$247:$A$283,$A1990,Summary!$P$247:$P$283),0)</f>
        <v>0</v>
      </c>
      <c r="AJ1990" s="196">
        <f>IFERROR($G1990/SUMIF($A:$A,$A1990,$G:$G)*(SUMIF(Summary!$A$247:$A$283,$A1990,Summary!$L$247:$L$283)+SUMIF(Summary!$A$297:$A$333,$A1990,Summary!$L$297:$L$333))-AI1990,0)</f>
        <v>0</v>
      </c>
      <c r="AK1990" s="196">
        <f>IFERROR($G1990/SUMIF($A:$A,$A1990,$G:$G)*SUMIF(Summary!$A$247:$A$283,$A1990,Summary!$Q$247:$Q$283),0)</f>
        <v>0</v>
      </c>
      <c r="AL1990" s="196">
        <f>IFERROR($G1990/SUMIF($A:$A,$A1990,$G:$G)*(SUMIF(Summary!$A$247:$A$283,$A1990,Summary!$L$247:$L$283)+SUMIF(Summary!$A$297:$A$333,$A1990,Summary!$L$297:$L$333))-AK1990,0)</f>
        <v>0</v>
      </c>
      <c r="AM1990" s="198"/>
      <c r="AN1990" s="196">
        <f t="shared" ref="AN1990:AN2053" ca="1" si="446">AE1990+AJ1990</f>
        <v>0</v>
      </c>
      <c r="AO1990" s="196">
        <f t="shared" ref="AO1990:AO2053" ca="1" si="447">AG1990+AL1990</f>
        <v>0</v>
      </c>
    </row>
    <row r="1991" spans="1:41">
      <c r="A1991" s="189">
        <v>3652</v>
      </c>
      <c r="B1991" s="190">
        <v>5</v>
      </c>
      <c r="C1991" s="191" t="s">
        <v>232</v>
      </c>
      <c r="D1991" s="192">
        <f t="shared" si="434"/>
        <v>0</v>
      </c>
      <c r="E1991" s="192">
        <f t="shared" si="435"/>
        <v>0</v>
      </c>
      <c r="F1991" s="192">
        <f t="shared" si="436"/>
        <v>0</v>
      </c>
      <c r="G1991" s="193">
        <f t="shared" si="437"/>
        <v>0</v>
      </c>
      <c r="H1991" s="194">
        <v>0</v>
      </c>
      <c r="I1991" s="194">
        <v>0</v>
      </c>
      <c r="J1991" s="194">
        <v>0</v>
      </c>
      <c r="K1991" s="193">
        <f t="shared" si="438"/>
        <v>0</v>
      </c>
      <c r="L1991" s="194">
        <v>0</v>
      </c>
      <c r="M1991" s="194">
        <v>0</v>
      </c>
      <c r="N1991" s="194">
        <v>0</v>
      </c>
      <c r="O1991" s="193">
        <f t="shared" si="439"/>
        <v>0</v>
      </c>
      <c r="P1991" s="194">
        <v>0</v>
      </c>
      <c r="Q1991" s="194">
        <v>0</v>
      </c>
      <c r="R1991" s="194">
        <v>0</v>
      </c>
      <c r="S1991" s="193">
        <f t="shared" si="440"/>
        <v>0</v>
      </c>
      <c r="T1991" s="193">
        <f t="shared" si="441"/>
        <v>0</v>
      </c>
      <c r="U1991" s="193">
        <f ca="1">OFFSET('Expenditure Study'!$B$7,'Operations Support'!$C1991,'Operations Support'!$B1991)*$G1991</f>
        <v>0</v>
      </c>
      <c r="V1991" s="199">
        <f ca="1">U1991*'Expenditure Study'!$B$31</f>
        <v>0</v>
      </c>
      <c r="W1991" s="199">
        <f ca="1">IF(A1991=10298,1.51,1)*IF($B1991&lt;3,$D1991*'Expenditure Study'!$B$32*OFFSET('Expenditure Study'!$B$7,'Operations Support'!$C1991,'Operations Support'!$B1991),0)</f>
        <v>0</v>
      </c>
      <c r="X1991" s="200">
        <f ca="1">W1991*'Expenditure Study'!$B$31</f>
        <v>0</v>
      </c>
      <c r="Y1991" s="199">
        <f ca="1">U1991*'Expenditure Study'!$B$31</f>
        <v>0</v>
      </c>
      <c r="Z1991" s="200">
        <f ca="1">W1991*'Expenditure Study'!$B$31</f>
        <v>0</v>
      </c>
      <c r="AA1991" s="195">
        <f t="shared" ca="1" si="442"/>
        <v>0</v>
      </c>
      <c r="AB1991" s="195">
        <f t="shared" ca="1" si="443"/>
        <v>0</v>
      </c>
      <c r="AD1991" s="196">
        <f>IFERROR($G1991/SUMIF($A:$A,$A1991,$G:$G)*SUMIF(Summary!$A$166:$A$242,$A1991,Summary!$P$166:$P$242),0)</f>
        <v>0</v>
      </c>
      <c r="AE1991" s="197">
        <f t="shared" ca="1" si="444"/>
        <v>0</v>
      </c>
      <c r="AF1991" s="196">
        <f>IFERROR(G1991/SUMIF(A:A,A1991,G:G)*SUMIF(Summary!$A$166:$A$242,'Operations Support'!A1991,Summary!$Q$166:$Q$242),0)</f>
        <v>0</v>
      </c>
      <c r="AG1991" s="196">
        <f t="shared" ca="1" si="445"/>
        <v>0</v>
      </c>
      <c r="AI1991" s="196">
        <f>IFERROR($G1991/SUMIF($A:$A,$A1991,$G:$G)*SUMIF(Summary!$A$247:$A$283,$A1991,Summary!$P$247:$P$283),0)</f>
        <v>0</v>
      </c>
      <c r="AJ1991" s="196">
        <f>IFERROR($G1991/SUMIF($A:$A,$A1991,$G:$G)*(SUMIF(Summary!$A$247:$A$283,$A1991,Summary!$L$247:$L$283)+SUMIF(Summary!$A$297:$A$333,$A1991,Summary!$L$297:$L$333))-AI1991,0)</f>
        <v>0</v>
      </c>
      <c r="AK1991" s="196">
        <f>IFERROR($G1991/SUMIF($A:$A,$A1991,$G:$G)*SUMIF(Summary!$A$247:$A$283,$A1991,Summary!$Q$247:$Q$283),0)</f>
        <v>0</v>
      </c>
      <c r="AL1991" s="196">
        <f>IFERROR($G1991/SUMIF($A:$A,$A1991,$G:$G)*(SUMIF(Summary!$A$247:$A$283,$A1991,Summary!$L$247:$L$283)+SUMIF(Summary!$A$297:$A$333,$A1991,Summary!$L$297:$L$333))-AK1991,0)</f>
        <v>0</v>
      </c>
      <c r="AM1991" s="198"/>
      <c r="AN1991" s="196">
        <f t="shared" ca="1" si="446"/>
        <v>0</v>
      </c>
      <c r="AO1991" s="196">
        <f t="shared" ca="1" si="447"/>
        <v>0</v>
      </c>
    </row>
    <row r="1992" spans="1:41">
      <c r="A1992" s="189">
        <v>3652</v>
      </c>
      <c r="B1992" s="190">
        <v>5</v>
      </c>
      <c r="C1992" s="191" t="s">
        <v>233</v>
      </c>
      <c r="D1992" s="192">
        <f t="shared" si="434"/>
        <v>0</v>
      </c>
      <c r="E1992" s="192">
        <f t="shared" si="435"/>
        <v>40</v>
      </c>
      <c r="F1992" s="192">
        <f t="shared" si="436"/>
        <v>0</v>
      </c>
      <c r="G1992" s="193">
        <f t="shared" si="437"/>
        <v>40</v>
      </c>
      <c r="H1992" s="194">
        <v>0</v>
      </c>
      <c r="I1992" s="194">
        <v>0</v>
      </c>
      <c r="J1992" s="194">
        <v>0</v>
      </c>
      <c r="K1992" s="193">
        <f t="shared" si="438"/>
        <v>0</v>
      </c>
      <c r="L1992" s="194">
        <v>0</v>
      </c>
      <c r="M1992" s="194">
        <v>0</v>
      </c>
      <c r="N1992" s="194">
        <v>0</v>
      </c>
      <c r="O1992" s="193">
        <f t="shared" si="439"/>
        <v>0</v>
      </c>
      <c r="P1992" s="194">
        <v>0</v>
      </c>
      <c r="Q1992" s="194">
        <v>40</v>
      </c>
      <c r="R1992" s="194">
        <v>0</v>
      </c>
      <c r="S1992" s="193">
        <f t="shared" si="440"/>
        <v>40</v>
      </c>
      <c r="T1992" s="193">
        <f t="shared" si="441"/>
        <v>1.6666666666666667</v>
      </c>
      <c r="U1992" s="193">
        <f ca="1">OFFSET('Expenditure Study'!$B$7,'Operations Support'!$C1992,'Operations Support'!$B1992)*$G1992</f>
        <v>131.19999999999999</v>
      </c>
      <c r="V1992" s="199">
        <f ca="1">U1992*'Expenditure Study'!$B$31</f>
        <v>7751.7133209599997</v>
      </c>
      <c r="W1992" s="199">
        <f ca="1">IF(A1992=10298,1.51,1)*IF($B1992&lt;3,$D1992*'Expenditure Study'!$B$32*OFFSET('Expenditure Study'!$B$7,'Operations Support'!$C1992,'Operations Support'!$B1992),0)</f>
        <v>0</v>
      </c>
      <c r="X1992" s="200">
        <f ca="1">W1992*'Expenditure Study'!$B$31</f>
        <v>0</v>
      </c>
      <c r="Y1992" s="199">
        <f ca="1">U1992*'Expenditure Study'!$B$31</f>
        <v>7751.7133209599997</v>
      </c>
      <c r="Z1992" s="200">
        <f ca="1">W1992*'Expenditure Study'!$B$31</f>
        <v>0</v>
      </c>
      <c r="AA1992" s="195">
        <f t="shared" ca="1" si="442"/>
        <v>7751.7133209599997</v>
      </c>
      <c r="AB1992" s="195">
        <f t="shared" ca="1" si="443"/>
        <v>7751.7133209599997</v>
      </c>
      <c r="AD1992" s="196">
        <f>IFERROR($G1992/SUMIF($A:$A,$A1992,$G:$G)*SUMIF(Summary!$A$166:$A$242,$A1992,Summary!$P$166:$P$242),0)</f>
        <v>1469.6286350288001</v>
      </c>
      <c r="AE1992" s="197">
        <f t="shared" ca="1" si="444"/>
        <v>6282.0846859311996</v>
      </c>
      <c r="AF1992" s="196">
        <f>IFERROR(G1992/SUMIF(A:A,A1992,G:G)*SUMIF(Summary!$A$166:$A$242,'Operations Support'!A1992,Summary!$Q$166:$Q$242),0)</f>
        <v>1474.6714832181431</v>
      </c>
      <c r="AG1992" s="196">
        <f t="shared" ca="1" si="445"/>
        <v>6277.0418377418564</v>
      </c>
      <c r="AI1992" s="196">
        <f>IFERROR($G1992/SUMIF($A:$A,$A1992,$G:$G)*SUMIF(Summary!$A$247:$A$283,$A1992,Summary!$P$247:$P$283),0)</f>
        <v>268.02358885547193</v>
      </c>
      <c r="AJ1992" s="196">
        <f>IFERROR($G1992/SUMIF($A:$A,$A1992,$G:$G)*(SUMIF(Summary!$A$247:$A$283,$A1992,Summary!$L$247:$L$283)+SUMIF(Summary!$A$297:$A$333,$A1992,Summary!$L$297:$L$333))-AI1992,0)</f>
        <v>644.10780834717571</v>
      </c>
      <c r="AK1992" s="196">
        <f>IFERROR($G1992/SUMIF($A:$A,$A1992,$G:$G)*SUMIF(Summary!$A$247:$A$283,$A1992,Summary!$Q$247:$Q$283),0)</f>
        <v>268.94327852233437</v>
      </c>
      <c r="AL1992" s="196">
        <f>IFERROR($G1992/SUMIF($A:$A,$A1992,$G:$G)*(SUMIF(Summary!$A$247:$A$283,$A1992,Summary!$L$247:$L$283)+SUMIF(Summary!$A$297:$A$333,$A1992,Summary!$L$297:$L$333))-AK1992,0)</f>
        <v>643.18811868031332</v>
      </c>
      <c r="AM1992" s="198"/>
      <c r="AN1992" s="196">
        <f t="shared" ca="1" si="446"/>
        <v>6926.1924942783753</v>
      </c>
      <c r="AO1992" s="196">
        <f t="shared" ca="1" si="447"/>
        <v>6920.2299564221694</v>
      </c>
    </row>
    <row r="1993" spans="1:41">
      <c r="A1993" s="189">
        <v>3652</v>
      </c>
      <c r="B1993" s="190">
        <v>5</v>
      </c>
      <c r="C1993" s="191" t="s">
        <v>234</v>
      </c>
      <c r="D1993" s="192">
        <f t="shared" si="434"/>
        <v>4779.8</v>
      </c>
      <c r="E1993" s="192">
        <f t="shared" si="435"/>
        <v>11641.2</v>
      </c>
      <c r="F1993" s="192">
        <f t="shared" si="436"/>
        <v>0</v>
      </c>
      <c r="G1993" s="193">
        <f t="shared" si="437"/>
        <v>16421</v>
      </c>
      <c r="H1993" s="194">
        <v>1727.5</v>
      </c>
      <c r="I1993" s="194">
        <v>4666.5</v>
      </c>
      <c r="J1993" s="194">
        <v>0</v>
      </c>
      <c r="K1993" s="193">
        <f t="shared" si="438"/>
        <v>6394</v>
      </c>
      <c r="L1993" s="194">
        <v>2977.5</v>
      </c>
      <c r="M1993" s="194">
        <v>4189.5</v>
      </c>
      <c r="N1993" s="194">
        <v>0</v>
      </c>
      <c r="O1993" s="193">
        <f t="shared" si="439"/>
        <v>7167</v>
      </c>
      <c r="P1993" s="194">
        <v>74.8</v>
      </c>
      <c r="Q1993" s="194">
        <v>2785.2</v>
      </c>
      <c r="R1993" s="194">
        <v>0</v>
      </c>
      <c r="S1993" s="193">
        <f t="shared" si="440"/>
        <v>2860</v>
      </c>
      <c r="T1993" s="193">
        <f t="shared" si="441"/>
        <v>684.20833333333337</v>
      </c>
      <c r="U1993" s="193">
        <f ca="1">OFFSET('Expenditure Study'!$B$7,'Operations Support'!$C1993,'Operations Support'!$B1993)*$G1993</f>
        <v>76686.069999999992</v>
      </c>
      <c r="V1993" s="199">
        <f ca="1">U1993*'Expenditure Study'!$B$31</f>
        <v>4530856.9386514556</v>
      </c>
      <c r="W1993" s="199">
        <f ca="1">IF(A1993=10298,1.51,1)*IF($B1993&lt;3,$D1993*'Expenditure Study'!$B$32*OFFSET('Expenditure Study'!$B$7,'Operations Support'!$C1993,'Operations Support'!$B1993),0)</f>
        <v>0</v>
      </c>
      <c r="X1993" s="200">
        <f ca="1">W1993*'Expenditure Study'!$B$31</f>
        <v>0</v>
      </c>
      <c r="Y1993" s="199">
        <f ca="1">U1993*'Expenditure Study'!$B$31</f>
        <v>4530856.9386514556</v>
      </c>
      <c r="Z1993" s="200">
        <f ca="1">W1993*'Expenditure Study'!$B$31</f>
        <v>0</v>
      </c>
      <c r="AA1993" s="195">
        <f t="shared" ca="1" si="442"/>
        <v>4530856.9386514556</v>
      </c>
      <c r="AB1993" s="195">
        <f t="shared" ca="1" si="443"/>
        <v>4530856.9386514556</v>
      </c>
      <c r="AD1993" s="196">
        <f>IFERROR($G1993/SUMIF($A:$A,$A1993,$G:$G)*SUMIF(Summary!$A$166:$A$242,$A1993,Summary!$P$166:$P$242),0)</f>
        <v>603319.29539519805</v>
      </c>
      <c r="AE1993" s="197">
        <f t="shared" ca="1" si="444"/>
        <v>3927537.6432562573</v>
      </c>
      <c r="AF1993" s="196">
        <f>IFERROR(G1993/SUMIF(A:A,A1993,G:G)*SUMIF(Summary!$A$166:$A$242,'Operations Support'!A1993,Summary!$Q$166:$Q$242),0)</f>
        <v>605389.51064812823</v>
      </c>
      <c r="AG1993" s="196">
        <f t="shared" ca="1" si="445"/>
        <v>3925467.4280033275</v>
      </c>
      <c r="AI1993" s="196">
        <f>IFERROR($G1993/SUMIF($A:$A,$A1993,$G:$G)*SUMIF(Summary!$A$247:$A$283,$A1993,Summary!$P$247:$P$283),0)</f>
        <v>110030.38381489262</v>
      </c>
      <c r="AJ1993" s="196">
        <f>IFERROR($G1993/SUMIF($A:$A,$A1993,$G:$G)*(SUMIF(Summary!$A$247:$A$283,$A1993,Summary!$L$247:$L$283)+SUMIF(Summary!$A$297:$A$333,$A1993,Summary!$L$297:$L$333))-AI1993,0)</f>
        <v>264422.35802172433</v>
      </c>
      <c r="AK1993" s="196">
        <f>IFERROR($G1993/SUMIF($A:$A,$A1993,$G:$G)*SUMIF(Summary!$A$247:$A$283,$A1993,Summary!$Q$247:$Q$283),0)</f>
        <v>110407.9394153813</v>
      </c>
      <c r="AL1993" s="196">
        <f>IFERROR($G1993/SUMIF($A:$A,$A1993,$G:$G)*(SUMIF(Summary!$A$247:$A$283,$A1993,Summary!$L$247:$L$283)+SUMIF(Summary!$A$297:$A$333,$A1993,Summary!$L$297:$L$333))-AK1993,0)</f>
        <v>264044.80242123565</v>
      </c>
      <c r="AM1993" s="198"/>
      <c r="AN1993" s="196">
        <f t="shared" ca="1" si="446"/>
        <v>4191960.0012779818</v>
      </c>
      <c r="AO1993" s="196">
        <f t="shared" ca="1" si="447"/>
        <v>4189512.2304245629</v>
      </c>
    </row>
    <row r="1994" spans="1:41">
      <c r="A1994" s="189">
        <v>3652</v>
      </c>
      <c r="B1994" s="190">
        <v>5</v>
      </c>
      <c r="C1994" s="191" t="s">
        <v>235</v>
      </c>
      <c r="D1994" s="192">
        <f t="shared" si="434"/>
        <v>0</v>
      </c>
      <c r="E1994" s="192">
        <f t="shared" si="435"/>
        <v>0</v>
      </c>
      <c r="F1994" s="192">
        <f t="shared" si="436"/>
        <v>0</v>
      </c>
      <c r="G1994" s="193">
        <f t="shared" si="437"/>
        <v>0</v>
      </c>
      <c r="H1994" s="194">
        <v>0</v>
      </c>
      <c r="I1994" s="194">
        <v>0</v>
      </c>
      <c r="J1994" s="194">
        <v>0</v>
      </c>
      <c r="K1994" s="193">
        <f t="shared" si="438"/>
        <v>0</v>
      </c>
      <c r="L1994" s="194">
        <v>0</v>
      </c>
      <c r="M1994" s="194">
        <v>0</v>
      </c>
      <c r="N1994" s="194">
        <v>0</v>
      </c>
      <c r="O1994" s="193">
        <f t="shared" si="439"/>
        <v>0</v>
      </c>
      <c r="P1994" s="194">
        <v>0</v>
      </c>
      <c r="Q1994" s="194">
        <v>0</v>
      </c>
      <c r="R1994" s="194">
        <v>0</v>
      </c>
      <c r="S1994" s="193">
        <f t="shared" si="440"/>
        <v>0</v>
      </c>
      <c r="T1994" s="193">
        <f t="shared" si="441"/>
        <v>0</v>
      </c>
      <c r="U1994" s="193">
        <f ca="1">OFFSET('Expenditure Study'!$B$7,'Operations Support'!$C1994,'Operations Support'!$B1994)*$G1994</f>
        <v>0</v>
      </c>
      <c r="V1994" s="199">
        <f ca="1">U1994*'Expenditure Study'!$B$31</f>
        <v>0</v>
      </c>
      <c r="W1994" s="199">
        <f ca="1">IF(A1994=10298,1.51,1)*IF($B1994&lt;3,$D1994*'Expenditure Study'!$B$32*OFFSET('Expenditure Study'!$B$7,'Operations Support'!$C1994,'Operations Support'!$B1994),0)</f>
        <v>0</v>
      </c>
      <c r="X1994" s="200">
        <f ca="1">W1994*'Expenditure Study'!$B$31</f>
        <v>0</v>
      </c>
      <c r="Y1994" s="199">
        <f ca="1">U1994*'Expenditure Study'!$B$31</f>
        <v>0</v>
      </c>
      <c r="Z1994" s="200">
        <f ca="1">W1994*'Expenditure Study'!$B$31</f>
        <v>0</v>
      </c>
      <c r="AA1994" s="195">
        <f t="shared" ca="1" si="442"/>
        <v>0</v>
      </c>
      <c r="AB1994" s="195">
        <f t="shared" ca="1" si="443"/>
        <v>0</v>
      </c>
      <c r="AD1994" s="196">
        <f>IFERROR($G1994/SUMIF($A:$A,$A1994,$G:$G)*SUMIF(Summary!$A$166:$A$242,$A1994,Summary!$P$166:$P$242),0)</f>
        <v>0</v>
      </c>
      <c r="AE1994" s="197">
        <f t="shared" ca="1" si="444"/>
        <v>0</v>
      </c>
      <c r="AF1994" s="196">
        <f>IFERROR(G1994/SUMIF(A:A,A1994,G:G)*SUMIF(Summary!$A$166:$A$242,'Operations Support'!A1994,Summary!$Q$166:$Q$242),0)</f>
        <v>0</v>
      </c>
      <c r="AG1994" s="196">
        <f t="shared" ca="1" si="445"/>
        <v>0</v>
      </c>
      <c r="AI1994" s="196">
        <f>IFERROR($G1994/SUMIF($A:$A,$A1994,$G:$G)*SUMIF(Summary!$A$247:$A$283,$A1994,Summary!$P$247:$P$283),0)</f>
        <v>0</v>
      </c>
      <c r="AJ1994" s="196">
        <f>IFERROR($G1994/SUMIF($A:$A,$A1994,$G:$G)*(SUMIF(Summary!$A$247:$A$283,$A1994,Summary!$L$247:$L$283)+SUMIF(Summary!$A$297:$A$333,$A1994,Summary!$L$297:$L$333))-AI1994,0)</f>
        <v>0</v>
      </c>
      <c r="AK1994" s="196">
        <f>IFERROR($G1994/SUMIF($A:$A,$A1994,$G:$G)*SUMIF(Summary!$A$247:$A$283,$A1994,Summary!$Q$247:$Q$283),0)</f>
        <v>0</v>
      </c>
      <c r="AL1994" s="196">
        <f>IFERROR($G1994/SUMIF($A:$A,$A1994,$G:$G)*(SUMIF(Summary!$A$247:$A$283,$A1994,Summary!$L$247:$L$283)+SUMIF(Summary!$A$297:$A$333,$A1994,Summary!$L$297:$L$333))-AK1994,0)</f>
        <v>0</v>
      </c>
      <c r="AM1994" s="198"/>
      <c r="AN1994" s="196">
        <f t="shared" ca="1" si="446"/>
        <v>0</v>
      </c>
      <c r="AO1994" s="196">
        <f t="shared" ca="1" si="447"/>
        <v>0</v>
      </c>
    </row>
    <row r="1995" spans="1:41">
      <c r="A1995" s="189">
        <v>3652</v>
      </c>
      <c r="B1995" s="190">
        <v>5</v>
      </c>
      <c r="C1995" s="191" t="s">
        <v>236</v>
      </c>
      <c r="D1995" s="192">
        <f t="shared" si="434"/>
        <v>3724.5599999999799</v>
      </c>
      <c r="E1995" s="192">
        <f t="shared" si="435"/>
        <v>11432.440000000021</v>
      </c>
      <c r="F1995" s="192">
        <f t="shared" si="436"/>
        <v>0</v>
      </c>
      <c r="G1995" s="193">
        <f t="shared" si="437"/>
        <v>15157</v>
      </c>
      <c r="H1995" s="194">
        <v>1722.3399999999899</v>
      </c>
      <c r="I1995" s="194">
        <v>4970.6600000000099</v>
      </c>
      <c r="J1995" s="194">
        <v>0</v>
      </c>
      <c r="K1995" s="193">
        <f t="shared" si="438"/>
        <v>6693</v>
      </c>
      <c r="L1995" s="194">
        <v>1954.71999999999</v>
      </c>
      <c r="M1995" s="194">
        <v>4373.2800000000097</v>
      </c>
      <c r="N1995" s="194">
        <v>0</v>
      </c>
      <c r="O1995" s="193">
        <f t="shared" si="439"/>
        <v>6328</v>
      </c>
      <c r="P1995" s="194">
        <f>33.5+14</f>
        <v>47.5</v>
      </c>
      <c r="Q1995" s="194">
        <f>1935.5+153</f>
        <v>2088.5</v>
      </c>
      <c r="R1995" s="194">
        <v>0</v>
      </c>
      <c r="S1995" s="193">
        <f t="shared" si="440"/>
        <v>2136</v>
      </c>
      <c r="T1995" s="193">
        <f t="shared" si="441"/>
        <v>631.54166666666663</v>
      </c>
      <c r="U1995" s="193">
        <f ca="1">OFFSET('Expenditure Study'!$B$7,'Operations Support'!$C1995,'Operations Support'!$B1995)*$G1995</f>
        <v>78361.69</v>
      </c>
      <c r="V1995" s="199">
        <f ca="1">U1995*'Expenditure Study'!$B$31</f>
        <v>4629857.8980635526</v>
      </c>
      <c r="W1995" s="199">
        <f ca="1">IF(A1995=10298,1.51,1)*IF($B1995&lt;3,$D1995*'Expenditure Study'!$B$32*OFFSET('Expenditure Study'!$B$7,'Operations Support'!$C1995,'Operations Support'!$B1995),0)</f>
        <v>0</v>
      </c>
      <c r="X1995" s="200">
        <f ca="1">W1995*'Expenditure Study'!$B$31</f>
        <v>0</v>
      </c>
      <c r="Y1995" s="199">
        <f ca="1">U1995*'Expenditure Study'!$B$31</f>
        <v>4629857.8980635526</v>
      </c>
      <c r="Z1995" s="200">
        <f ca="1">W1995*'Expenditure Study'!$B$31</f>
        <v>0</v>
      </c>
      <c r="AA1995" s="195">
        <f t="shared" ca="1" si="442"/>
        <v>4629857.8980635526</v>
      </c>
      <c r="AB1995" s="195">
        <f t="shared" ca="1" si="443"/>
        <v>4629857.8980635526</v>
      </c>
      <c r="AD1995" s="196">
        <f>IFERROR($G1995/SUMIF($A:$A,$A1995,$G:$G)*SUMIF(Summary!$A$166:$A$242,$A1995,Summary!$P$166:$P$242),0)</f>
        <v>556879.03052828799</v>
      </c>
      <c r="AE1995" s="197">
        <f t="shared" ca="1" si="444"/>
        <v>4072978.8675352647</v>
      </c>
      <c r="AF1995" s="196">
        <f>IFERROR(G1995/SUMIF(A:A,A1995,G:G)*SUMIF(Summary!$A$166:$A$242,'Operations Support'!A1995,Summary!$Q$166:$Q$242),0)</f>
        <v>558789.89177843486</v>
      </c>
      <c r="AG1995" s="196">
        <f t="shared" ca="1" si="445"/>
        <v>4071068.0062851179</v>
      </c>
      <c r="AI1995" s="196">
        <f>IFERROR($G1995/SUMIF($A:$A,$A1995,$G:$G)*SUMIF(Summary!$A$247:$A$283,$A1995,Summary!$P$247:$P$283),0)</f>
        <v>101560.83840705969</v>
      </c>
      <c r="AJ1995" s="196">
        <f>IFERROR($G1995/SUMIF($A:$A,$A1995,$G:$G)*(SUMIF(Summary!$A$247:$A$283,$A1995,Summary!$L$247:$L$283)+SUMIF(Summary!$A$297:$A$333,$A1995,Summary!$L$297:$L$333))-AI1995,0)</f>
        <v>244068.55127795358</v>
      </c>
      <c r="AK1995" s="196">
        <f>IFERROR($G1995/SUMIF($A:$A,$A1995,$G:$G)*SUMIF(Summary!$A$247:$A$283,$A1995,Summary!$Q$247:$Q$283),0)</f>
        <v>101909.33181407554</v>
      </c>
      <c r="AL1995" s="196">
        <f>IFERROR($G1995/SUMIF($A:$A,$A1995,$G:$G)*(SUMIF(Summary!$A$247:$A$283,$A1995,Summary!$L$247:$L$283)+SUMIF(Summary!$A$297:$A$333,$A1995,Summary!$L$297:$L$333))-AK1995,0)</f>
        <v>243720.05787093774</v>
      </c>
      <c r="AM1995" s="198"/>
      <c r="AN1995" s="196">
        <f t="shared" ca="1" si="446"/>
        <v>4317047.4188132184</v>
      </c>
      <c r="AO1995" s="196">
        <f t="shared" ca="1" si="447"/>
        <v>4314788.0641560555</v>
      </c>
    </row>
    <row r="1996" spans="1:41">
      <c r="A1996" s="189">
        <v>3652</v>
      </c>
      <c r="B1996" s="190">
        <v>5</v>
      </c>
      <c r="C1996" s="191" t="s">
        <v>237</v>
      </c>
      <c r="D1996" s="192">
        <f t="shared" si="434"/>
        <v>0</v>
      </c>
      <c r="E1996" s="192">
        <f t="shared" si="435"/>
        <v>0</v>
      </c>
      <c r="F1996" s="192">
        <f t="shared" si="436"/>
        <v>0</v>
      </c>
      <c r="G1996" s="193">
        <f t="shared" si="437"/>
        <v>0</v>
      </c>
      <c r="H1996" s="194">
        <v>0</v>
      </c>
      <c r="I1996" s="194">
        <v>0</v>
      </c>
      <c r="J1996" s="194">
        <v>0</v>
      </c>
      <c r="K1996" s="193">
        <f t="shared" si="438"/>
        <v>0</v>
      </c>
      <c r="L1996" s="194">
        <v>0</v>
      </c>
      <c r="M1996" s="194">
        <v>0</v>
      </c>
      <c r="N1996" s="194">
        <v>0</v>
      </c>
      <c r="O1996" s="193">
        <f t="shared" si="439"/>
        <v>0</v>
      </c>
      <c r="P1996" s="194">
        <v>0</v>
      </c>
      <c r="Q1996" s="194">
        <v>0</v>
      </c>
      <c r="R1996" s="194">
        <v>0</v>
      </c>
      <c r="S1996" s="193">
        <f t="shared" si="440"/>
        <v>0</v>
      </c>
      <c r="T1996" s="193">
        <f t="shared" si="441"/>
        <v>0</v>
      </c>
      <c r="U1996" s="193">
        <f ca="1">OFFSET('Expenditure Study'!$B$7,'Operations Support'!$C1996,'Operations Support'!$B1996)*$G1996</f>
        <v>0</v>
      </c>
      <c r="V1996" s="199">
        <f ca="1">U1996*'Expenditure Study'!$B$31</f>
        <v>0</v>
      </c>
      <c r="W1996" s="199">
        <f ca="1">IF(A1996=10298,1.51,1)*IF($B1996&lt;3,$D1996*'Expenditure Study'!$B$32*OFFSET('Expenditure Study'!$B$7,'Operations Support'!$C1996,'Operations Support'!$B1996),0)</f>
        <v>0</v>
      </c>
      <c r="X1996" s="200">
        <f ca="1">W1996*'Expenditure Study'!$B$31</f>
        <v>0</v>
      </c>
      <c r="Y1996" s="199">
        <f ca="1">U1996*'Expenditure Study'!$B$31</f>
        <v>0</v>
      </c>
      <c r="Z1996" s="200">
        <f ca="1">W1996*'Expenditure Study'!$B$31</f>
        <v>0</v>
      </c>
      <c r="AA1996" s="195">
        <f t="shared" ca="1" si="442"/>
        <v>0</v>
      </c>
      <c r="AB1996" s="195">
        <f t="shared" ca="1" si="443"/>
        <v>0</v>
      </c>
      <c r="AD1996" s="196">
        <f>IFERROR($G1996/SUMIF($A:$A,$A1996,$G:$G)*SUMIF(Summary!$A$166:$A$242,$A1996,Summary!$P$166:$P$242),0)</f>
        <v>0</v>
      </c>
      <c r="AE1996" s="197">
        <f t="shared" ca="1" si="444"/>
        <v>0</v>
      </c>
      <c r="AF1996" s="196">
        <f>IFERROR(G1996/SUMIF(A:A,A1996,G:G)*SUMIF(Summary!$A$166:$A$242,'Operations Support'!A1996,Summary!$Q$166:$Q$242),0)</f>
        <v>0</v>
      </c>
      <c r="AG1996" s="196">
        <f t="shared" ca="1" si="445"/>
        <v>0</v>
      </c>
      <c r="AI1996" s="196">
        <f>IFERROR($G1996/SUMIF($A:$A,$A1996,$G:$G)*SUMIF(Summary!$A$247:$A$283,$A1996,Summary!$P$247:$P$283),0)</f>
        <v>0</v>
      </c>
      <c r="AJ1996" s="196">
        <f>IFERROR($G1996/SUMIF($A:$A,$A1996,$G:$G)*(SUMIF(Summary!$A$247:$A$283,$A1996,Summary!$L$247:$L$283)+SUMIF(Summary!$A$297:$A$333,$A1996,Summary!$L$297:$L$333))-AI1996,0)</f>
        <v>0</v>
      </c>
      <c r="AK1996" s="196">
        <f>IFERROR($G1996/SUMIF($A:$A,$A1996,$G:$G)*SUMIF(Summary!$A$247:$A$283,$A1996,Summary!$Q$247:$Q$283),0)</f>
        <v>0</v>
      </c>
      <c r="AL1996" s="196">
        <f>IFERROR($G1996/SUMIF($A:$A,$A1996,$G:$G)*(SUMIF(Summary!$A$247:$A$283,$A1996,Summary!$L$247:$L$283)+SUMIF(Summary!$A$297:$A$333,$A1996,Summary!$L$297:$L$333))-AK1996,0)</f>
        <v>0</v>
      </c>
      <c r="AM1996" s="198"/>
      <c r="AN1996" s="196">
        <f t="shared" ca="1" si="446"/>
        <v>0</v>
      </c>
      <c r="AO1996" s="196">
        <f t="shared" ca="1" si="447"/>
        <v>0</v>
      </c>
    </row>
    <row r="1997" spans="1:41">
      <c r="A1997" s="189">
        <v>3652</v>
      </c>
      <c r="B1997" s="190">
        <v>5</v>
      </c>
      <c r="C1997" s="191" t="s">
        <v>238</v>
      </c>
      <c r="D1997" s="192">
        <f t="shared" si="434"/>
        <v>0</v>
      </c>
      <c r="E1997" s="192">
        <f t="shared" si="435"/>
        <v>0</v>
      </c>
      <c r="F1997" s="192">
        <f t="shared" si="436"/>
        <v>0</v>
      </c>
      <c r="G1997" s="193">
        <f t="shared" si="437"/>
        <v>0</v>
      </c>
      <c r="H1997" s="194">
        <v>0</v>
      </c>
      <c r="I1997" s="194">
        <v>0</v>
      </c>
      <c r="J1997" s="194">
        <v>0</v>
      </c>
      <c r="K1997" s="193">
        <f t="shared" si="438"/>
        <v>0</v>
      </c>
      <c r="L1997" s="194">
        <v>0</v>
      </c>
      <c r="M1997" s="194">
        <v>0</v>
      </c>
      <c r="N1997" s="194">
        <v>0</v>
      </c>
      <c r="O1997" s="193">
        <f t="shared" si="439"/>
        <v>0</v>
      </c>
      <c r="P1997" s="194">
        <v>0</v>
      </c>
      <c r="Q1997" s="194">
        <v>0</v>
      </c>
      <c r="R1997" s="194">
        <v>0</v>
      </c>
      <c r="S1997" s="193">
        <f t="shared" si="440"/>
        <v>0</v>
      </c>
      <c r="T1997" s="193">
        <f t="shared" si="441"/>
        <v>0</v>
      </c>
      <c r="U1997" s="193">
        <f ca="1">OFFSET('Expenditure Study'!$B$7,'Operations Support'!$C1997,'Operations Support'!$B1997)*$G1997</f>
        <v>0</v>
      </c>
      <c r="V1997" s="199">
        <f ca="1">U1997*'Expenditure Study'!$B$31</f>
        <v>0</v>
      </c>
      <c r="W1997" s="199">
        <f ca="1">IF(A1997=10298,1.51,1)*IF($B1997&lt;3,$D1997*'Expenditure Study'!$B$32*OFFSET('Expenditure Study'!$B$7,'Operations Support'!$C1997,'Operations Support'!$B1997),0)</f>
        <v>0</v>
      </c>
      <c r="X1997" s="200">
        <f ca="1">W1997*'Expenditure Study'!$B$31</f>
        <v>0</v>
      </c>
      <c r="Y1997" s="199">
        <f ca="1">U1997*'Expenditure Study'!$B$31</f>
        <v>0</v>
      </c>
      <c r="Z1997" s="200">
        <f ca="1">W1997*'Expenditure Study'!$B$31</f>
        <v>0</v>
      </c>
      <c r="AA1997" s="195">
        <f t="shared" ca="1" si="442"/>
        <v>0</v>
      </c>
      <c r="AB1997" s="195">
        <f t="shared" ca="1" si="443"/>
        <v>0</v>
      </c>
      <c r="AD1997" s="196">
        <f>IFERROR($G1997/SUMIF($A:$A,$A1997,$G:$G)*SUMIF(Summary!$A$166:$A$242,$A1997,Summary!$P$166:$P$242),0)</f>
        <v>0</v>
      </c>
      <c r="AE1997" s="197">
        <f t="shared" ca="1" si="444"/>
        <v>0</v>
      </c>
      <c r="AF1997" s="196">
        <f>IFERROR(G1997/SUMIF(A:A,A1997,G:G)*SUMIF(Summary!$A$166:$A$242,'Operations Support'!A1997,Summary!$Q$166:$Q$242),0)</f>
        <v>0</v>
      </c>
      <c r="AG1997" s="196">
        <f t="shared" ca="1" si="445"/>
        <v>0</v>
      </c>
      <c r="AI1997" s="196">
        <f>IFERROR($G1997/SUMIF($A:$A,$A1997,$G:$G)*SUMIF(Summary!$A$247:$A$283,$A1997,Summary!$P$247:$P$283),0)</f>
        <v>0</v>
      </c>
      <c r="AJ1997" s="196">
        <f>IFERROR($G1997/SUMIF($A:$A,$A1997,$G:$G)*(SUMIF(Summary!$A$247:$A$283,$A1997,Summary!$L$247:$L$283)+SUMIF(Summary!$A$297:$A$333,$A1997,Summary!$L$297:$L$333))-AI1997,0)</f>
        <v>0</v>
      </c>
      <c r="AK1997" s="196">
        <f>IFERROR($G1997/SUMIF($A:$A,$A1997,$G:$G)*SUMIF(Summary!$A$247:$A$283,$A1997,Summary!$Q$247:$Q$283),0)</f>
        <v>0</v>
      </c>
      <c r="AL1997" s="196">
        <f>IFERROR($G1997/SUMIF($A:$A,$A1997,$G:$G)*(SUMIF(Summary!$A$247:$A$283,$A1997,Summary!$L$247:$L$283)+SUMIF(Summary!$A$297:$A$333,$A1997,Summary!$L$297:$L$333))-AK1997,0)</f>
        <v>0</v>
      </c>
      <c r="AM1997" s="198"/>
      <c r="AN1997" s="196">
        <f t="shared" ca="1" si="446"/>
        <v>0</v>
      </c>
      <c r="AO1997" s="196">
        <f t="shared" ca="1" si="447"/>
        <v>0</v>
      </c>
    </row>
    <row r="1998" spans="1:41">
      <c r="A1998" s="189">
        <v>3652</v>
      </c>
      <c r="B1998" s="190">
        <v>5</v>
      </c>
      <c r="C1998" s="191" t="s">
        <v>239</v>
      </c>
      <c r="D1998" s="192">
        <f t="shared" si="434"/>
        <v>0</v>
      </c>
      <c r="E1998" s="192">
        <f t="shared" si="435"/>
        <v>0</v>
      </c>
      <c r="F1998" s="192">
        <f t="shared" si="436"/>
        <v>0</v>
      </c>
      <c r="G1998" s="193">
        <f t="shared" si="437"/>
        <v>0</v>
      </c>
      <c r="H1998" s="194">
        <v>0</v>
      </c>
      <c r="I1998" s="194">
        <v>0</v>
      </c>
      <c r="J1998" s="194">
        <v>0</v>
      </c>
      <c r="K1998" s="193">
        <f t="shared" si="438"/>
        <v>0</v>
      </c>
      <c r="L1998" s="194">
        <v>0</v>
      </c>
      <c r="M1998" s="194">
        <v>0</v>
      </c>
      <c r="N1998" s="194">
        <v>0</v>
      </c>
      <c r="O1998" s="193">
        <f t="shared" si="439"/>
        <v>0</v>
      </c>
      <c r="P1998" s="194">
        <v>0</v>
      </c>
      <c r="Q1998" s="194">
        <v>0</v>
      </c>
      <c r="R1998" s="194">
        <v>0</v>
      </c>
      <c r="S1998" s="193">
        <f t="shared" si="440"/>
        <v>0</v>
      </c>
      <c r="T1998" s="193">
        <f t="shared" si="441"/>
        <v>0</v>
      </c>
      <c r="U1998" s="193">
        <f ca="1">OFFSET('Expenditure Study'!$B$7,'Operations Support'!$C1998,'Operations Support'!$B1998)*$G1998</f>
        <v>0</v>
      </c>
      <c r="V1998" s="199">
        <f ca="1">U1998*'Expenditure Study'!$B$31</f>
        <v>0</v>
      </c>
      <c r="W1998" s="199">
        <f ca="1">IF(A1998=10298,1.51,1)*IF($B1998&lt;3,$D1998*'Expenditure Study'!$B$32*OFFSET('Expenditure Study'!$B$7,'Operations Support'!$C1998,'Operations Support'!$B1998),0)</f>
        <v>0</v>
      </c>
      <c r="X1998" s="200">
        <f ca="1">W1998*'Expenditure Study'!$B$31</f>
        <v>0</v>
      </c>
      <c r="Y1998" s="199">
        <f ca="1">U1998*'Expenditure Study'!$B$31</f>
        <v>0</v>
      </c>
      <c r="Z1998" s="200">
        <f ca="1">W1998*'Expenditure Study'!$B$31</f>
        <v>0</v>
      </c>
      <c r="AA1998" s="195">
        <f t="shared" ca="1" si="442"/>
        <v>0</v>
      </c>
      <c r="AB1998" s="195">
        <f t="shared" ca="1" si="443"/>
        <v>0</v>
      </c>
      <c r="AD1998" s="196">
        <f>IFERROR($G1998/SUMIF($A:$A,$A1998,$G:$G)*SUMIF(Summary!$A$166:$A$242,$A1998,Summary!$P$166:$P$242),0)</f>
        <v>0</v>
      </c>
      <c r="AE1998" s="197">
        <f t="shared" ca="1" si="444"/>
        <v>0</v>
      </c>
      <c r="AF1998" s="196">
        <f>IFERROR(G1998/SUMIF(A:A,A1998,G:G)*SUMIF(Summary!$A$166:$A$242,'Operations Support'!A1998,Summary!$Q$166:$Q$242),0)</f>
        <v>0</v>
      </c>
      <c r="AG1998" s="196">
        <f t="shared" ca="1" si="445"/>
        <v>0</v>
      </c>
      <c r="AI1998" s="196">
        <f>IFERROR($G1998/SUMIF($A:$A,$A1998,$G:$G)*SUMIF(Summary!$A$247:$A$283,$A1998,Summary!$P$247:$P$283),0)</f>
        <v>0</v>
      </c>
      <c r="AJ1998" s="196">
        <f>IFERROR($G1998/SUMIF($A:$A,$A1998,$G:$G)*(SUMIF(Summary!$A$247:$A$283,$A1998,Summary!$L$247:$L$283)+SUMIF(Summary!$A$297:$A$333,$A1998,Summary!$L$297:$L$333))-AI1998,0)</f>
        <v>0</v>
      </c>
      <c r="AK1998" s="196">
        <f>IFERROR($G1998/SUMIF($A:$A,$A1998,$G:$G)*SUMIF(Summary!$A$247:$A$283,$A1998,Summary!$Q$247:$Q$283),0)</f>
        <v>0</v>
      </c>
      <c r="AL1998" s="196">
        <f>IFERROR($G1998/SUMIF($A:$A,$A1998,$G:$G)*(SUMIF(Summary!$A$247:$A$283,$A1998,Summary!$L$247:$L$283)+SUMIF(Summary!$A$297:$A$333,$A1998,Summary!$L$297:$L$333))-AK1998,0)</f>
        <v>0</v>
      </c>
      <c r="AM1998" s="198"/>
      <c r="AN1998" s="196">
        <f t="shared" ca="1" si="446"/>
        <v>0</v>
      </c>
      <c r="AO1998" s="196">
        <f t="shared" ca="1" si="447"/>
        <v>0</v>
      </c>
    </row>
    <row r="1999" spans="1:41">
      <c r="A1999" s="189">
        <v>3652</v>
      </c>
      <c r="B1999" s="190">
        <v>5</v>
      </c>
      <c r="C1999" s="191" t="s">
        <v>240</v>
      </c>
      <c r="D1999" s="192">
        <f t="shared" si="434"/>
        <v>0</v>
      </c>
      <c r="E1999" s="192">
        <f t="shared" si="435"/>
        <v>0</v>
      </c>
      <c r="F1999" s="192">
        <f t="shared" si="436"/>
        <v>0</v>
      </c>
      <c r="G1999" s="193">
        <f t="shared" si="437"/>
        <v>0</v>
      </c>
      <c r="H1999" s="194">
        <v>0</v>
      </c>
      <c r="I1999" s="194">
        <v>0</v>
      </c>
      <c r="J1999" s="194">
        <v>0</v>
      </c>
      <c r="K1999" s="193">
        <f t="shared" si="438"/>
        <v>0</v>
      </c>
      <c r="L1999" s="194">
        <v>0</v>
      </c>
      <c r="M1999" s="194">
        <v>0</v>
      </c>
      <c r="N1999" s="194">
        <v>0</v>
      </c>
      <c r="O1999" s="193">
        <f t="shared" si="439"/>
        <v>0</v>
      </c>
      <c r="P1999" s="194">
        <v>0</v>
      </c>
      <c r="Q1999" s="194">
        <v>0</v>
      </c>
      <c r="R1999" s="194">
        <v>0</v>
      </c>
      <c r="S1999" s="193">
        <f t="shared" si="440"/>
        <v>0</v>
      </c>
      <c r="T1999" s="193">
        <f t="shared" si="441"/>
        <v>0</v>
      </c>
      <c r="U1999" s="193">
        <f ca="1">OFFSET('Expenditure Study'!$B$7,'Operations Support'!$C1999,'Operations Support'!$B1999)*$G1999</f>
        <v>0</v>
      </c>
      <c r="V1999" s="199">
        <f ca="1">U1999*'Expenditure Study'!$B$31</f>
        <v>0</v>
      </c>
      <c r="W1999" s="199">
        <f ca="1">IF(A1999=10298,1.51,1)*IF($B1999&lt;3,$D1999*'Expenditure Study'!$B$32*OFFSET('Expenditure Study'!$B$7,'Operations Support'!$C1999,'Operations Support'!$B1999),0)</f>
        <v>0</v>
      </c>
      <c r="X1999" s="200">
        <f ca="1">W1999*'Expenditure Study'!$B$31</f>
        <v>0</v>
      </c>
      <c r="Y1999" s="199">
        <f ca="1">U1999*'Expenditure Study'!$B$31</f>
        <v>0</v>
      </c>
      <c r="Z1999" s="200">
        <f ca="1">W1999*'Expenditure Study'!$B$31</f>
        <v>0</v>
      </c>
      <c r="AA1999" s="195">
        <f t="shared" ca="1" si="442"/>
        <v>0</v>
      </c>
      <c r="AB1999" s="195">
        <f t="shared" ca="1" si="443"/>
        <v>0</v>
      </c>
      <c r="AD1999" s="196">
        <f>IFERROR($G1999/SUMIF($A:$A,$A1999,$G:$G)*SUMIF(Summary!$A$166:$A$242,$A1999,Summary!$P$166:$P$242),0)</f>
        <v>0</v>
      </c>
      <c r="AE1999" s="197">
        <f t="shared" ca="1" si="444"/>
        <v>0</v>
      </c>
      <c r="AF1999" s="196">
        <f>IFERROR(G1999/SUMIF(A:A,A1999,G:G)*SUMIF(Summary!$A$166:$A$242,'Operations Support'!A1999,Summary!$Q$166:$Q$242),0)</f>
        <v>0</v>
      </c>
      <c r="AG1999" s="196">
        <f t="shared" ca="1" si="445"/>
        <v>0</v>
      </c>
      <c r="AI1999" s="196">
        <f>IFERROR($G1999/SUMIF($A:$A,$A1999,$G:$G)*SUMIF(Summary!$A$247:$A$283,$A1999,Summary!$P$247:$P$283),0)</f>
        <v>0</v>
      </c>
      <c r="AJ1999" s="196">
        <f>IFERROR($G1999/SUMIF($A:$A,$A1999,$G:$G)*(SUMIF(Summary!$A$247:$A$283,$A1999,Summary!$L$247:$L$283)+SUMIF(Summary!$A$297:$A$333,$A1999,Summary!$L$297:$L$333))-AI1999,0)</f>
        <v>0</v>
      </c>
      <c r="AK1999" s="196">
        <f>IFERROR($G1999/SUMIF($A:$A,$A1999,$G:$G)*SUMIF(Summary!$A$247:$A$283,$A1999,Summary!$Q$247:$Q$283),0)</f>
        <v>0</v>
      </c>
      <c r="AL1999" s="196">
        <f>IFERROR($G1999/SUMIF($A:$A,$A1999,$G:$G)*(SUMIF(Summary!$A$247:$A$283,$A1999,Summary!$L$247:$L$283)+SUMIF(Summary!$A$297:$A$333,$A1999,Summary!$L$297:$L$333))-AK1999,0)</f>
        <v>0</v>
      </c>
      <c r="AM1999" s="198"/>
      <c r="AN1999" s="196">
        <f t="shared" ca="1" si="446"/>
        <v>0</v>
      </c>
      <c r="AO1999" s="196">
        <f t="shared" ca="1" si="447"/>
        <v>0</v>
      </c>
    </row>
    <row r="2000" spans="1:41">
      <c r="A2000" s="189">
        <v>3656</v>
      </c>
      <c r="B2000" s="190">
        <v>1</v>
      </c>
      <c r="C2000" s="191" t="s">
        <v>220</v>
      </c>
      <c r="D2000" s="192">
        <f t="shared" si="434"/>
        <v>18833.980000000061</v>
      </c>
      <c r="E2000" s="192">
        <f t="shared" si="435"/>
        <v>156887.0199999997</v>
      </c>
      <c r="F2000" s="192">
        <f t="shared" si="436"/>
        <v>0</v>
      </c>
      <c r="G2000" s="193">
        <f t="shared" si="437"/>
        <v>175720.99999999977</v>
      </c>
      <c r="H2000" s="194">
        <v>7489.4800000000596</v>
      </c>
      <c r="I2000" s="194">
        <v>66996.519999999698</v>
      </c>
      <c r="J2000" s="194">
        <v>0</v>
      </c>
      <c r="K2000" s="193">
        <f t="shared" si="438"/>
        <v>74485.999999999753</v>
      </c>
      <c r="L2000" s="194">
        <v>10116.5</v>
      </c>
      <c r="M2000" s="194">
        <v>75192.5</v>
      </c>
      <c r="N2000" s="194">
        <v>0</v>
      </c>
      <c r="O2000" s="193">
        <f t="shared" si="439"/>
        <v>85309</v>
      </c>
      <c r="P2000" s="194">
        <v>1228</v>
      </c>
      <c r="Q2000" s="194">
        <v>14698</v>
      </c>
      <c r="R2000" s="194">
        <v>0</v>
      </c>
      <c r="S2000" s="193">
        <f t="shared" si="440"/>
        <v>15926</v>
      </c>
      <c r="T2000" s="193">
        <f t="shared" si="441"/>
        <v>5857.3666666666586</v>
      </c>
      <c r="U2000" s="193">
        <f ca="1">OFFSET('Expenditure Study'!$B$7,'Operations Support'!$C2000,'Operations Support'!$B2000)*$G2000</f>
        <v>175720.99999999977</v>
      </c>
      <c r="V2000" s="199">
        <f ca="1">U2000*'Expenditure Study'!$B$31</f>
        <v>10382155.613356786</v>
      </c>
      <c r="W2000" s="199">
        <f ca="1">IF(A2000=10298,1.51,1)*IF($B2000&lt;3,$D2000*'Expenditure Study'!$B$32*OFFSET('Expenditure Study'!$B$7,'Operations Support'!$C2000,'Operations Support'!$B2000),0)</f>
        <v>1883.3980000000063</v>
      </c>
      <c r="X2000" s="200">
        <f ca="1">W2000*'Expenditure Study'!$B$31</f>
        <v>111277.14455235878</v>
      </c>
      <c r="Y2000" s="199">
        <f ca="1">U2000*'Expenditure Study'!$B$31</f>
        <v>10382155.613356786</v>
      </c>
      <c r="Z2000" s="200">
        <f ca="1">W2000*'Expenditure Study'!$B$31</f>
        <v>111277.14455235878</v>
      </c>
      <c r="AA2000" s="195">
        <f t="shared" ca="1" si="442"/>
        <v>10493432.757909145</v>
      </c>
      <c r="AB2000" s="195">
        <f t="shared" ca="1" si="443"/>
        <v>10493432.757909145</v>
      </c>
      <c r="AD2000" s="196">
        <f>IFERROR($G2000/SUMIF($A:$A,$A2000,$G:$G)*SUMIF(Summary!$A$166:$A$242,$A2000,Summary!$P$166:$P$242),0)</f>
        <v>7871249.5664931815</v>
      </c>
      <c r="AE2000" s="197">
        <f t="shared" ca="1" si="444"/>
        <v>2622183.1914159637</v>
      </c>
      <c r="AF2000" s="196">
        <f>IFERROR(G2000/SUMIF(A:A,A2000,G:G)*SUMIF(Summary!$A$166:$A$242,'Operations Support'!A2000,Summary!$Q$166:$Q$242),0)</f>
        <v>7897826.8490067488</v>
      </c>
      <c r="AG2000" s="196">
        <f t="shared" ca="1" si="445"/>
        <v>2595605.9089023964</v>
      </c>
      <c r="AI2000" s="196">
        <f>IFERROR($G2000/SUMIF($A:$A,$A2000,$G:$G)*SUMIF(Summary!$A$247:$A$283,$A2000,Summary!$P$247:$P$283),0)</f>
        <v>1435519.4960849667</v>
      </c>
      <c r="AJ2000" s="196">
        <f>IFERROR($G2000/SUMIF($A:$A,$A2000,$G:$G)*(SUMIF(Summary!$A$247:$A$283,$A2000,Summary!$L$247:$L$283)+SUMIF(Summary!$A$297:$A$333,$A2000,Summary!$L$297:$L$333))-AI2000,0)</f>
        <v>2609651.7456269311</v>
      </c>
      <c r="AK2000" s="196">
        <f>IFERROR($G2000/SUMIF($A:$A,$A2000,$G:$G)*SUMIF(Summary!$A$247:$A$283,$A2000,Summary!$Q$247:$Q$283),0)</f>
        <v>1440366.5291867494</v>
      </c>
      <c r="AL2000" s="196">
        <f>IFERROR($G2000/SUMIF($A:$A,$A2000,$G:$G)*(SUMIF(Summary!$A$247:$A$283,$A2000,Summary!$L$247:$L$283)+SUMIF(Summary!$A$297:$A$333,$A2000,Summary!$L$297:$L$333))-AK2000,0)</f>
        <v>2604804.7125251484</v>
      </c>
      <c r="AM2000" s="198"/>
      <c r="AN2000" s="196">
        <f t="shared" ca="1" si="446"/>
        <v>5231834.9370428948</v>
      </c>
      <c r="AO2000" s="196">
        <f t="shared" ca="1" si="447"/>
        <v>5200410.6214275453</v>
      </c>
    </row>
    <row r="2001" spans="1:41" s="201" customFormat="1">
      <c r="A2001" s="189">
        <v>3656</v>
      </c>
      <c r="B2001" s="190">
        <v>1</v>
      </c>
      <c r="C2001" s="191" t="s">
        <v>221</v>
      </c>
      <c r="D2001" s="192">
        <f t="shared" si="434"/>
        <v>16000.620000000032</v>
      </c>
      <c r="E2001" s="192">
        <f t="shared" si="435"/>
        <v>69677.380000000092</v>
      </c>
      <c r="F2001" s="192">
        <f t="shared" si="436"/>
        <v>0</v>
      </c>
      <c r="G2001" s="193">
        <f t="shared" si="437"/>
        <v>85678.000000000116</v>
      </c>
      <c r="H2001" s="194">
        <v>6238.00000000003</v>
      </c>
      <c r="I2001" s="194">
        <v>30544.000000000098</v>
      </c>
      <c r="J2001" s="194">
        <v>0</v>
      </c>
      <c r="K2001" s="193">
        <f t="shared" si="438"/>
        <v>36782.000000000131</v>
      </c>
      <c r="L2001" s="194">
        <v>8961.1200000000008</v>
      </c>
      <c r="M2001" s="194">
        <v>30137.88</v>
      </c>
      <c r="N2001" s="194">
        <v>0</v>
      </c>
      <c r="O2001" s="193">
        <f t="shared" si="439"/>
        <v>39099</v>
      </c>
      <c r="P2001" s="194">
        <v>801.5</v>
      </c>
      <c r="Q2001" s="194">
        <v>8995.5</v>
      </c>
      <c r="R2001" s="194">
        <v>0</v>
      </c>
      <c r="S2001" s="193">
        <f t="shared" si="440"/>
        <v>9797</v>
      </c>
      <c r="T2001" s="193">
        <f t="shared" si="441"/>
        <v>2855.933333333337</v>
      </c>
      <c r="U2001" s="193">
        <f ca="1">OFFSET('Expenditure Study'!$B$7,'Operations Support'!$C2001,'Operations Support'!$B2001)*$G2001</f>
        <v>114808.52000000016</v>
      </c>
      <c r="V2001" s="199">
        <f ca="1">U2001*'Expenditure Study'!$B$31</f>
        <v>6783252.5445404258</v>
      </c>
      <c r="W2001" s="199">
        <f ca="1">IF(A2001=10298,1.51,1)*IF($B2001&lt;3,$D2001*'Expenditure Study'!$B$32*OFFSET('Expenditure Study'!$B$7,'Operations Support'!$C2001,'Operations Support'!$B2001),0)</f>
        <v>2144.0830800000044</v>
      </c>
      <c r="X2001" s="200">
        <f ca="1">W2001*'Expenditure Study'!$B$31</f>
        <v>126679.24826586113</v>
      </c>
      <c r="Y2001" s="199">
        <f ca="1">U2001*'Expenditure Study'!$B$31</f>
        <v>6783252.5445404258</v>
      </c>
      <c r="Z2001" s="200">
        <f ca="1">W2001*'Expenditure Study'!$B$31</f>
        <v>126679.24826586113</v>
      </c>
      <c r="AA2001" s="195">
        <f t="shared" ca="1" si="442"/>
        <v>6909931.7928062873</v>
      </c>
      <c r="AB2001" s="195">
        <f t="shared" ca="1" si="443"/>
        <v>6909931.7928062873</v>
      </c>
      <c r="AD2001" s="196">
        <f>IFERROR($G2001/SUMIF($A:$A,$A2001,$G:$G)*SUMIF(Summary!$A$166:$A$242,$A2001,Summary!$P$166:$P$242),0)</f>
        <v>3837861.8398370403</v>
      </c>
      <c r="AE2001" s="197">
        <f t="shared" ca="1" si="444"/>
        <v>3072069.952969247</v>
      </c>
      <c r="AF2001" s="196">
        <f>IFERROR(G2001/SUMIF(A:A,A2001,G:G)*SUMIF(Summary!$A$166:$A$242,'Operations Support'!A2001,Summary!$Q$166:$Q$242),0)</f>
        <v>3850820.3844116637</v>
      </c>
      <c r="AG2001" s="196">
        <f t="shared" ca="1" si="445"/>
        <v>3059111.4083946235</v>
      </c>
      <c r="AH2001" s="180"/>
      <c r="AI2001" s="196">
        <f>IFERROR($G2001/SUMIF($A:$A,$A2001,$G:$G)*SUMIF(Summary!$A$247:$A$283,$A2001,Summary!$P$247:$P$283),0)</f>
        <v>699930.22681163938</v>
      </c>
      <c r="AJ2001" s="196">
        <f>IFERROR($G2001/SUMIF($A:$A,$A2001,$G:$G)*(SUMIF(Summary!$A$247:$A$283,$A2001,Summary!$L$247:$L$283)+SUMIF(Summary!$A$297:$A$333,$A2001,Summary!$L$297:$L$333))-AI2001,0)</f>
        <v>1272413.3271596725</v>
      </c>
      <c r="AK2001" s="196">
        <f>IFERROR($G2001/SUMIF($A:$A,$A2001,$G:$G)*SUMIF(Summary!$A$247:$A$283,$A2001,Summary!$Q$247:$Q$283),0)</f>
        <v>702293.54196517565</v>
      </c>
      <c r="AL2001" s="196">
        <f>IFERROR($G2001/SUMIF($A:$A,$A2001,$G:$G)*(SUMIF(Summary!$A$247:$A$283,$A2001,Summary!$L$247:$L$283)+SUMIF(Summary!$A$297:$A$333,$A2001,Summary!$L$297:$L$333))-AK2001,0)</f>
        <v>1270050.0120061361</v>
      </c>
      <c r="AM2001" s="198"/>
      <c r="AN2001" s="196">
        <f t="shared" ca="1" si="446"/>
        <v>4344483.2801289195</v>
      </c>
      <c r="AO2001" s="196">
        <f t="shared" ca="1" si="447"/>
        <v>4329161.4204007592</v>
      </c>
    </row>
    <row r="2002" spans="1:41" s="201" customFormat="1">
      <c r="A2002" s="189">
        <v>3656</v>
      </c>
      <c r="B2002" s="190">
        <v>1</v>
      </c>
      <c r="C2002" s="191" t="s">
        <v>222</v>
      </c>
      <c r="D2002" s="192">
        <f t="shared" si="434"/>
        <v>6276.05</v>
      </c>
      <c r="E2002" s="192">
        <f t="shared" si="435"/>
        <v>21651.95</v>
      </c>
      <c r="F2002" s="192">
        <f t="shared" si="436"/>
        <v>0</v>
      </c>
      <c r="G2002" s="193">
        <f t="shared" si="437"/>
        <v>27928</v>
      </c>
      <c r="H2002" s="194">
        <v>2698.55</v>
      </c>
      <c r="I2002" s="194">
        <v>9075.4500000000007</v>
      </c>
      <c r="J2002" s="194">
        <v>0</v>
      </c>
      <c r="K2002" s="193">
        <f t="shared" si="438"/>
        <v>11774</v>
      </c>
      <c r="L2002" s="194">
        <v>3577.5</v>
      </c>
      <c r="M2002" s="194">
        <v>10587.5</v>
      </c>
      <c r="N2002" s="194">
        <v>0</v>
      </c>
      <c r="O2002" s="193">
        <f t="shared" si="439"/>
        <v>14165</v>
      </c>
      <c r="P2002" s="194">
        <v>0</v>
      </c>
      <c r="Q2002" s="194">
        <v>1989</v>
      </c>
      <c r="R2002" s="194">
        <v>0</v>
      </c>
      <c r="S2002" s="193">
        <f t="shared" si="440"/>
        <v>1989</v>
      </c>
      <c r="T2002" s="193">
        <f t="shared" si="441"/>
        <v>930.93333333333328</v>
      </c>
      <c r="U2002" s="193">
        <f ca="1">OFFSET('Expenditure Study'!$B$7,'Operations Support'!$C2002,'Operations Support'!$B2002)*$G2002</f>
        <v>38261.360000000001</v>
      </c>
      <c r="V2002" s="199">
        <f ca="1">U2002*'Expenditure Study'!$B$31</f>
        <v>2260602.8505338882</v>
      </c>
      <c r="W2002" s="199">
        <f ca="1">IF(A2002=10298,1.51,1)*IF($B2002&lt;3,$D2002*'Expenditure Study'!$B$32*OFFSET('Expenditure Study'!$B$7,'Operations Support'!$C2002,'Operations Support'!$B2002),0)</f>
        <v>859.81885000000011</v>
      </c>
      <c r="X2002" s="200">
        <f ca="1">W2002*'Expenditure Study'!$B$31</f>
        <v>50800.832569798091</v>
      </c>
      <c r="Y2002" s="199">
        <f ca="1">U2002*'Expenditure Study'!$B$31</f>
        <v>2260602.8505338882</v>
      </c>
      <c r="Z2002" s="200">
        <f ca="1">W2002*'Expenditure Study'!$B$31</f>
        <v>50800.832569798091</v>
      </c>
      <c r="AA2002" s="195">
        <f t="shared" ca="1" si="442"/>
        <v>2311403.6831036862</v>
      </c>
      <c r="AB2002" s="195">
        <f t="shared" ca="1" si="443"/>
        <v>2311403.6831036862</v>
      </c>
      <c r="AD2002" s="196">
        <f>IFERROR($G2002/SUMIF($A:$A,$A2002,$G:$G)*SUMIF(Summary!$A$166:$A$242,$A2002,Summary!$P$166:$P$242),0)</f>
        <v>1251007.3235015841</v>
      </c>
      <c r="AE2002" s="197">
        <f t="shared" ca="1" si="444"/>
        <v>1060396.3596021021</v>
      </c>
      <c r="AF2002" s="196">
        <f>IFERROR(G2002/SUMIF(A:A,A2002,G:G)*SUMIF(Summary!$A$166:$A$242,'Operations Support'!A2002,Summary!$Q$166:$Q$242),0)</f>
        <v>1255231.35105685</v>
      </c>
      <c r="AG2002" s="196">
        <f t="shared" ca="1" si="445"/>
        <v>1056172.3320468361</v>
      </c>
      <c r="AH2002" s="180"/>
      <c r="AI2002" s="196">
        <f>IFERROR($G2002/SUMIF($A:$A,$A2002,$G:$G)*SUMIF(Summary!$A$247:$A$283,$A2002,Summary!$P$247:$P$283),0)</f>
        <v>228152.51726692313</v>
      </c>
      <c r="AJ2002" s="196">
        <f>IFERROR($G2002/SUMIF($A:$A,$A2002,$G:$G)*(SUMIF(Summary!$A$247:$A$283,$A2002,Summary!$L$247:$L$283)+SUMIF(Summary!$A$297:$A$333,$A2002,Summary!$L$297:$L$333))-AI2002,0)</f>
        <v>414761.77549563814</v>
      </c>
      <c r="AK2002" s="196">
        <f>IFERROR($G2002/SUMIF($A:$A,$A2002,$G:$G)*SUMIF(Summary!$A$247:$A$283,$A2002,Summary!$Q$247:$Q$283),0)</f>
        <v>228922.87448357104</v>
      </c>
      <c r="AL2002" s="196">
        <f>IFERROR($G2002/SUMIF($A:$A,$A2002,$G:$G)*(SUMIF(Summary!$A$247:$A$283,$A2002,Summary!$L$247:$L$283)+SUMIF(Summary!$A$297:$A$333,$A2002,Summary!$L$297:$L$333))-AK2002,0)</f>
        <v>413991.4182789902</v>
      </c>
      <c r="AM2002" s="198"/>
      <c r="AN2002" s="196">
        <f t="shared" ca="1" si="446"/>
        <v>1475158.1350977402</v>
      </c>
      <c r="AO2002" s="196">
        <f t="shared" ca="1" si="447"/>
        <v>1470163.7503258265</v>
      </c>
    </row>
    <row r="2003" spans="1:41">
      <c r="A2003" s="189">
        <v>3656</v>
      </c>
      <c r="B2003" s="190">
        <v>1</v>
      </c>
      <c r="C2003" s="191" t="s">
        <v>223</v>
      </c>
      <c r="D2003" s="192">
        <f t="shared" si="434"/>
        <v>198</v>
      </c>
      <c r="E2003" s="192">
        <f t="shared" si="435"/>
        <v>1181</v>
      </c>
      <c r="F2003" s="192">
        <f t="shared" si="436"/>
        <v>0</v>
      </c>
      <c r="G2003" s="193">
        <f t="shared" si="437"/>
        <v>1379</v>
      </c>
      <c r="H2003" s="194">
        <v>78</v>
      </c>
      <c r="I2003" s="194">
        <v>451</v>
      </c>
      <c r="J2003" s="194">
        <v>0</v>
      </c>
      <c r="K2003" s="193">
        <f t="shared" si="438"/>
        <v>529</v>
      </c>
      <c r="L2003" s="194">
        <v>120</v>
      </c>
      <c r="M2003" s="194">
        <v>724</v>
      </c>
      <c r="N2003" s="194">
        <v>0</v>
      </c>
      <c r="O2003" s="193">
        <f t="shared" si="439"/>
        <v>844</v>
      </c>
      <c r="P2003" s="194">
        <v>0</v>
      </c>
      <c r="Q2003" s="194">
        <v>6</v>
      </c>
      <c r="R2003" s="194">
        <v>0</v>
      </c>
      <c r="S2003" s="193">
        <f t="shared" si="440"/>
        <v>6</v>
      </c>
      <c r="T2003" s="193">
        <f t="shared" si="441"/>
        <v>45.966666666666669</v>
      </c>
      <c r="U2003" s="193">
        <f ca="1">OFFSET('Expenditure Study'!$B$7,'Operations Support'!$C2003,'Operations Support'!$B2003)*$G2003</f>
        <v>1737.54</v>
      </c>
      <c r="V2003" s="199">
        <f ca="1">U2003*'Expenditure Study'!$B$31</f>
        <v>102659.389967232</v>
      </c>
      <c r="W2003" s="199">
        <f ca="1">IF(A2003=10298,1.51,1)*IF($B2003&lt;3,$D2003*'Expenditure Study'!$B$32*OFFSET('Expenditure Study'!$B$7,'Operations Support'!$C2003,'Operations Support'!$B2003),0)</f>
        <v>24.948</v>
      </c>
      <c r="X2003" s="200">
        <f ca="1">W2003*'Expenditure Study'!$B$31</f>
        <v>1474.0071945984</v>
      </c>
      <c r="Y2003" s="199">
        <f ca="1">U2003*'Expenditure Study'!$B$31</f>
        <v>102659.389967232</v>
      </c>
      <c r="Z2003" s="200">
        <f ca="1">W2003*'Expenditure Study'!$B$31</f>
        <v>1474.0071945984</v>
      </c>
      <c r="AA2003" s="195">
        <f t="shared" ca="1" si="442"/>
        <v>104133.39716183039</v>
      </c>
      <c r="AB2003" s="195">
        <f t="shared" ca="1" si="443"/>
        <v>104133.39716183039</v>
      </c>
      <c r="AD2003" s="196">
        <f>IFERROR($G2003/SUMIF($A:$A,$A2003,$G:$G)*SUMIF(Summary!$A$166:$A$242,$A2003,Summary!$P$166:$P$242),0)</f>
        <v>61770.950268858658</v>
      </c>
      <c r="AE2003" s="197">
        <f t="shared" ca="1" si="444"/>
        <v>42362.446892971733</v>
      </c>
      <c r="AF2003" s="196">
        <f>IFERROR(G2003/SUMIF(A:A,A2003,G:G)*SUMIF(Summary!$A$166:$A$242,'Operations Support'!A2003,Summary!$Q$166:$Q$242),0)</f>
        <v>61979.519947987552</v>
      </c>
      <c r="AG2003" s="196">
        <f t="shared" ca="1" si="445"/>
        <v>42153.877213842839</v>
      </c>
      <c r="AI2003" s="196">
        <f>IFERROR($G2003/SUMIF($A:$A,$A2003,$G:$G)*SUMIF(Summary!$A$247:$A$283,$A2003,Summary!$P$247:$P$283),0)</f>
        <v>11265.479852158658</v>
      </c>
      <c r="AJ2003" s="196">
        <f>IFERROR($G2003/SUMIF($A:$A,$A2003,$G:$G)*(SUMIF(Summary!$A$247:$A$283,$A2003,Summary!$L$247:$L$283)+SUMIF(Summary!$A$297:$A$333,$A2003,Summary!$L$297:$L$333))-AI2003,0)</f>
        <v>20479.679476098718</v>
      </c>
      <c r="AK2003" s="196">
        <f>IFERROR($G2003/SUMIF($A:$A,$A2003,$G:$G)*SUMIF(Summary!$A$247:$A$283,$A2003,Summary!$Q$247:$Q$283),0)</f>
        <v>11303.517756833446</v>
      </c>
      <c r="AL2003" s="196">
        <f>IFERROR($G2003/SUMIF($A:$A,$A2003,$G:$G)*(SUMIF(Summary!$A$247:$A$283,$A2003,Summary!$L$247:$L$283)+SUMIF(Summary!$A$297:$A$333,$A2003,Summary!$L$297:$L$333))-AK2003,0)</f>
        <v>20441.641571423934</v>
      </c>
      <c r="AM2003" s="198"/>
      <c r="AN2003" s="196">
        <f t="shared" ca="1" si="446"/>
        <v>62842.126369070451</v>
      </c>
      <c r="AO2003" s="196">
        <f t="shared" ca="1" si="447"/>
        <v>62595.518785266773</v>
      </c>
    </row>
    <row r="2004" spans="1:41">
      <c r="A2004" s="189">
        <v>3656</v>
      </c>
      <c r="B2004" s="190">
        <v>1</v>
      </c>
      <c r="C2004" s="191" t="s">
        <v>224</v>
      </c>
      <c r="D2004" s="192">
        <f t="shared" si="434"/>
        <v>0</v>
      </c>
      <c r="E2004" s="192">
        <f t="shared" si="435"/>
        <v>0</v>
      </c>
      <c r="F2004" s="192">
        <f t="shared" si="436"/>
        <v>0</v>
      </c>
      <c r="G2004" s="193">
        <f t="shared" si="437"/>
        <v>0</v>
      </c>
      <c r="H2004" s="194">
        <v>0</v>
      </c>
      <c r="I2004" s="194">
        <v>0</v>
      </c>
      <c r="J2004" s="194">
        <v>0</v>
      </c>
      <c r="K2004" s="193">
        <f t="shared" si="438"/>
        <v>0</v>
      </c>
      <c r="L2004" s="194">
        <v>0</v>
      </c>
      <c r="M2004" s="194">
        <v>0</v>
      </c>
      <c r="N2004" s="194">
        <v>0</v>
      </c>
      <c r="O2004" s="193">
        <f t="shared" si="439"/>
        <v>0</v>
      </c>
      <c r="P2004" s="194">
        <v>0</v>
      </c>
      <c r="Q2004" s="194">
        <v>0</v>
      </c>
      <c r="R2004" s="194">
        <v>0</v>
      </c>
      <c r="S2004" s="193">
        <f t="shared" si="440"/>
        <v>0</v>
      </c>
      <c r="T2004" s="193">
        <f t="shared" si="441"/>
        <v>0</v>
      </c>
      <c r="U2004" s="193">
        <f ca="1">OFFSET('Expenditure Study'!$B$7,'Operations Support'!$C2004,'Operations Support'!$B2004)*$G2004</f>
        <v>0</v>
      </c>
      <c r="V2004" s="199">
        <f ca="1">U2004*'Expenditure Study'!$B$31</f>
        <v>0</v>
      </c>
      <c r="W2004" s="199">
        <f ca="1">IF(A2004=10298,1.51,1)*IF($B2004&lt;3,$D2004*'Expenditure Study'!$B$32*OFFSET('Expenditure Study'!$B$7,'Operations Support'!$C2004,'Operations Support'!$B2004),0)</f>
        <v>0</v>
      </c>
      <c r="X2004" s="200">
        <f ca="1">W2004*'Expenditure Study'!$B$31</f>
        <v>0</v>
      </c>
      <c r="Y2004" s="199">
        <f ca="1">U2004*'Expenditure Study'!$B$31</f>
        <v>0</v>
      </c>
      <c r="Z2004" s="200">
        <f ca="1">W2004*'Expenditure Study'!$B$31</f>
        <v>0</v>
      </c>
      <c r="AA2004" s="195">
        <f t="shared" ca="1" si="442"/>
        <v>0</v>
      </c>
      <c r="AB2004" s="195">
        <f t="shared" ca="1" si="443"/>
        <v>0</v>
      </c>
      <c r="AD2004" s="196">
        <f>IFERROR($G2004/SUMIF($A:$A,$A2004,$G:$G)*SUMIF(Summary!$A$166:$A$242,$A2004,Summary!$P$166:$P$242),0)</f>
        <v>0</v>
      </c>
      <c r="AE2004" s="197">
        <f t="shared" ca="1" si="444"/>
        <v>0</v>
      </c>
      <c r="AF2004" s="196">
        <f>IFERROR(G2004/SUMIF(A:A,A2004,G:G)*SUMIF(Summary!$A$166:$A$242,'Operations Support'!A2004,Summary!$Q$166:$Q$242),0)</f>
        <v>0</v>
      </c>
      <c r="AG2004" s="196">
        <f t="shared" ca="1" si="445"/>
        <v>0</v>
      </c>
      <c r="AI2004" s="196">
        <f>IFERROR($G2004/SUMIF($A:$A,$A2004,$G:$G)*SUMIF(Summary!$A$247:$A$283,$A2004,Summary!$P$247:$P$283),0)</f>
        <v>0</v>
      </c>
      <c r="AJ2004" s="196">
        <f>IFERROR($G2004/SUMIF($A:$A,$A2004,$G:$G)*(SUMIF(Summary!$A$247:$A$283,$A2004,Summary!$L$247:$L$283)+SUMIF(Summary!$A$297:$A$333,$A2004,Summary!$L$297:$L$333))-AI2004,0)</f>
        <v>0</v>
      </c>
      <c r="AK2004" s="196">
        <f>IFERROR($G2004/SUMIF($A:$A,$A2004,$G:$G)*SUMIF(Summary!$A$247:$A$283,$A2004,Summary!$Q$247:$Q$283),0)</f>
        <v>0</v>
      </c>
      <c r="AL2004" s="196">
        <f>IFERROR($G2004/SUMIF($A:$A,$A2004,$G:$G)*(SUMIF(Summary!$A$247:$A$283,$A2004,Summary!$L$247:$L$283)+SUMIF(Summary!$A$297:$A$333,$A2004,Summary!$L$297:$L$333))-AK2004,0)</f>
        <v>0</v>
      </c>
      <c r="AM2004" s="198"/>
      <c r="AN2004" s="196">
        <f t="shared" ca="1" si="446"/>
        <v>0</v>
      </c>
      <c r="AO2004" s="196">
        <f t="shared" ca="1" si="447"/>
        <v>0</v>
      </c>
    </row>
    <row r="2005" spans="1:41">
      <c r="A2005" s="189">
        <v>3656</v>
      </c>
      <c r="B2005" s="190">
        <v>1</v>
      </c>
      <c r="C2005" s="191" t="s">
        <v>225</v>
      </c>
      <c r="D2005" s="192">
        <f t="shared" si="434"/>
        <v>7697</v>
      </c>
      <c r="E2005" s="192">
        <f t="shared" si="435"/>
        <v>28551</v>
      </c>
      <c r="F2005" s="192">
        <f t="shared" si="436"/>
        <v>0</v>
      </c>
      <c r="G2005" s="193">
        <f t="shared" si="437"/>
        <v>36248</v>
      </c>
      <c r="H2005" s="194">
        <v>3554.5</v>
      </c>
      <c r="I2005" s="194">
        <v>11083.5</v>
      </c>
      <c r="J2005" s="194">
        <v>0</v>
      </c>
      <c r="K2005" s="193">
        <f t="shared" si="438"/>
        <v>14638</v>
      </c>
      <c r="L2005" s="194">
        <v>3855.5</v>
      </c>
      <c r="M2005" s="194">
        <v>15840.5</v>
      </c>
      <c r="N2005" s="194">
        <v>0</v>
      </c>
      <c r="O2005" s="193">
        <f t="shared" si="439"/>
        <v>19696</v>
      </c>
      <c r="P2005" s="194">
        <v>287</v>
      </c>
      <c r="Q2005" s="194">
        <v>1627</v>
      </c>
      <c r="R2005" s="194">
        <v>0</v>
      </c>
      <c r="S2005" s="193">
        <f t="shared" si="440"/>
        <v>1914</v>
      </c>
      <c r="T2005" s="193">
        <f t="shared" si="441"/>
        <v>1208.2666666666667</v>
      </c>
      <c r="U2005" s="193">
        <f ca="1">OFFSET('Expenditure Study'!$B$7,'Operations Support'!$C2005,'Operations Support'!$B2005)*$G2005</f>
        <v>63796.480000000003</v>
      </c>
      <c r="V2005" s="199">
        <f ca="1">U2005*'Expenditure Study'!$B$31</f>
        <v>3769298.9622435845</v>
      </c>
      <c r="W2005" s="199">
        <f ca="1">IF(A2005=10298,1.51,1)*IF($B2005&lt;3,$D2005*'Expenditure Study'!$B$32*OFFSET('Expenditure Study'!$B$7,'Operations Support'!$C2005,'Operations Support'!$B2005),0)</f>
        <v>1354.672</v>
      </c>
      <c r="X2005" s="200">
        <f ca="1">W2005*'Expenditure Study'!$B$31</f>
        <v>80038.330700697596</v>
      </c>
      <c r="Y2005" s="199">
        <f ca="1">U2005*'Expenditure Study'!$B$31</f>
        <v>3769298.9622435845</v>
      </c>
      <c r="Z2005" s="200">
        <f ca="1">W2005*'Expenditure Study'!$B$31</f>
        <v>80038.330700697596</v>
      </c>
      <c r="AA2005" s="195">
        <f t="shared" ca="1" si="442"/>
        <v>3849337.2929442818</v>
      </c>
      <c r="AB2005" s="195">
        <f t="shared" ca="1" si="443"/>
        <v>3849337.2929442818</v>
      </c>
      <c r="AD2005" s="196">
        <f>IFERROR($G2005/SUMIF($A:$A,$A2005,$G:$G)*SUMIF(Summary!$A$166:$A$242,$A2005,Summary!$P$166:$P$242),0)</f>
        <v>1623693.5499242847</v>
      </c>
      <c r="AE2005" s="197">
        <f t="shared" ca="1" si="444"/>
        <v>2225643.7430199971</v>
      </c>
      <c r="AF2005" s="196">
        <f>IFERROR(G2005/SUMIF(A:A,A2005,G:G)*SUMIF(Summary!$A$166:$A$242,'Operations Support'!A2005,Summary!$Q$166:$Q$242),0)</f>
        <v>1629175.95291853</v>
      </c>
      <c r="AG2005" s="196">
        <f t="shared" ca="1" si="445"/>
        <v>2220161.3400257519</v>
      </c>
      <c r="AI2005" s="196">
        <f>IFERROR($G2005/SUMIF($A:$A,$A2005,$G:$G)*SUMIF(Summary!$A$247:$A$283,$A2005,Summary!$P$247:$P$283),0)</f>
        <v>296121.18468531332</v>
      </c>
      <c r="AJ2005" s="196">
        <f>IFERROR($G2005/SUMIF($A:$A,$A2005,$G:$G)*(SUMIF(Summary!$A$247:$A$283,$A2005,Summary!$L$247:$L$283)+SUMIF(Summary!$A$297:$A$333,$A2005,Summary!$L$297:$L$333))-AI2005,0)</f>
        <v>538323.00337173766</v>
      </c>
      <c r="AK2005" s="196">
        <f>IFERROR($G2005/SUMIF($A:$A,$A2005,$G:$G)*SUMIF(Summary!$A$247:$A$283,$A2005,Summary!$Q$247:$Q$283),0)</f>
        <v>297121.03817962197</v>
      </c>
      <c r="AL2005" s="196">
        <f>IFERROR($G2005/SUMIF($A:$A,$A2005,$G:$G)*(SUMIF(Summary!$A$247:$A$283,$A2005,Summary!$L$247:$L$283)+SUMIF(Summary!$A$297:$A$333,$A2005,Summary!$L$297:$L$333))-AK2005,0)</f>
        <v>537323.14987742901</v>
      </c>
      <c r="AM2005" s="198"/>
      <c r="AN2005" s="196">
        <f t="shared" ca="1" si="446"/>
        <v>2763966.746391735</v>
      </c>
      <c r="AO2005" s="196">
        <f t="shared" ca="1" si="447"/>
        <v>2757484.4899031809</v>
      </c>
    </row>
    <row r="2006" spans="1:41">
      <c r="A2006" s="189">
        <v>3656</v>
      </c>
      <c r="B2006" s="190">
        <v>1</v>
      </c>
      <c r="C2006" s="191" t="s">
        <v>226</v>
      </c>
      <c r="D2006" s="192">
        <f t="shared" si="434"/>
        <v>0</v>
      </c>
      <c r="E2006" s="192">
        <f t="shared" si="435"/>
        <v>792</v>
      </c>
      <c r="F2006" s="192">
        <f t="shared" si="436"/>
        <v>0</v>
      </c>
      <c r="G2006" s="193">
        <f t="shared" si="437"/>
        <v>792</v>
      </c>
      <c r="H2006" s="194">
        <v>0</v>
      </c>
      <c r="I2006" s="194">
        <v>444</v>
      </c>
      <c r="J2006" s="194">
        <v>0</v>
      </c>
      <c r="K2006" s="193">
        <f t="shared" si="438"/>
        <v>444</v>
      </c>
      <c r="L2006" s="194">
        <v>0</v>
      </c>
      <c r="M2006" s="194">
        <v>348</v>
      </c>
      <c r="N2006" s="194">
        <v>0</v>
      </c>
      <c r="O2006" s="193">
        <f t="shared" si="439"/>
        <v>348</v>
      </c>
      <c r="P2006" s="194">
        <v>0</v>
      </c>
      <c r="Q2006" s="194">
        <v>0</v>
      </c>
      <c r="R2006" s="194">
        <v>0</v>
      </c>
      <c r="S2006" s="193">
        <f t="shared" si="440"/>
        <v>0</v>
      </c>
      <c r="T2006" s="193">
        <f t="shared" si="441"/>
        <v>26.4</v>
      </c>
      <c r="U2006" s="193">
        <f ca="1">OFFSET('Expenditure Study'!$B$7,'Operations Support'!$C2006,'Operations Support'!$B2006)*$G2006</f>
        <v>752.4</v>
      </c>
      <c r="V2006" s="199">
        <f ca="1">U2006*'Expenditure Study'!$B$31</f>
        <v>44454.185233919998</v>
      </c>
      <c r="W2006" s="199">
        <f ca="1">IF(A2006=10298,1.51,1)*IF($B2006&lt;3,$D2006*'Expenditure Study'!$B$32*OFFSET('Expenditure Study'!$B$7,'Operations Support'!$C2006,'Operations Support'!$B2006),0)</f>
        <v>0</v>
      </c>
      <c r="X2006" s="200">
        <f ca="1">W2006*'Expenditure Study'!$B$31</f>
        <v>0</v>
      </c>
      <c r="Y2006" s="199">
        <f ca="1">U2006*'Expenditure Study'!$B$31</f>
        <v>44454.185233919998</v>
      </c>
      <c r="Z2006" s="200">
        <f ca="1">W2006*'Expenditure Study'!$B$31</f>
        <v>0</v>
      </c>
      <c r="AA2006" s="195">
        <f t="shared" ca="1" si="442"/>
        <v>44454.185233919998</v>
      </c>
      <c r="AB2006" s="195">
        <f t="shared" ca="1" si="443"/>
        <v>44454.185233919998</v>
      </c>
      <c r="AD2006" s="196">
        <f>IFERROR($G2006/SUMIF($A:$A,$A2006,$G:$G)*SUMIF(Summary!$A$166:$A$242,$A2006,Summary!$P$166:$P$242),0)</f>
        <v>35476.86193831476</v>
      </c>
      <c r="AE2006" s="197">
        <f t="shared" ca="1" si="444"/>
        <v>8977.3232956052379</v>
      </c>
      <c r="AF2006" s="196">
        <f>IFERROR(G2006/SUMIF(A:A,A2006,G:G)*SUMIF(Summary!$A$166:$A$242,'Operations Support'!A2006,Summary!$Q$166:$Q$242),0)</f>
        <v>35596.64960029452</v>
      </c>
      <c r="AG2006" s="196">
        <f t="shared" ca="1" si="445"/>
        <v>8857.5356336254772</v>
      </c>
      <c r="AI2006" s="196">
        <f>IFERROR($G2006/SUMIF($A:$A,$A2006,$G:$G)*SUMIF(Summary!$A$247:$A$283,$A2006,Summary!$P$247:$P$283),0)</f>
        <v>6470.0943023275258</v>
      </c>
      <c r="AJ2006" s="196">
        <f>IFERROR($G2006/SUMIF($A:$A,$A2006,$G:$G)*(SUMIF(Summary!$A$247:$A$283,$A2006,Summary!$L$247:$L$283)+SUMIF(Summary!$A$297:$A$333,$A2006,Summary!$L$297:$L$333))-AI2006,0)</f>
        <v>11762.078422821018</v>
      </c>
      <c r="AK2006" s="196">
        <f>IFERROR($G2006/SUMIF($A:$A,$A2006,$G:$G)*SUMIF(Summary!$A$247:$A$283,$A2006,Summary!$Q$247:$Q$283),0)</f>
        <v>6491.9405826048505</v>
      </c>
      <c r="AL2006" s="196">
        <f>IFERROR($G2006/SUMIF($A:$A,$A2006,$G:$G)*(SUMIF(Summary!$A$247:$A$283,$A2006,Summary!$L$247:$L$283)+SUMIF(Summary!$A$297:$A$333,$A2006,Summary!$L$297:$L$333))-AK2006,0)</f>
        <v>11740.232142543693</v>
      </c>
      <c r="AM2006" s="198"/>
      <c r="AN2006" s="196">
        <f t="shared" ca="1" si="446"/>
        <v>20739.401718426256</v>
      </c>
      <c r="AO2006" s="196">
        <f t="shared" ca="1" si="447"/>
        <v>20597.76777616917</v>
      </c>
    </row>
    <row r="2007" spans="1:41">
      <c r="A2007" s="189">
        <v>3656</v>
      </c>
      <c r="B2007" s="190">
        <v>1</v>
      </c>
      <c r="C2007" s="191" t="s">
        <v>227</v>
      </c>
      <c r="D2007" s="192">
        <f t="shared" si="434"/>
        <v>0</v>
      </c>
      <c r="E2007" s="192">
        <f t="shared" si="435"/>
        <v>0</v>
      </c>
      <c r="F2007" s="192">
        <f t="shared" si="436"/>
        <v>0</v>
      </c>
      <c r="G2007" s="193">
        <f t="shared" si="437"/>
        <v>0</v>
      </c>
      <c r="H2007" s="194">
        <v>0</v>
      </c>
      <c r="I2007" s="194">
        <v>0</v>
      </c>
      <c r="J2007" s="194">
        <v>0</v>
      </c>
      <c r="K2007" s="193">
        <f t="shared" si="438"/>
        <v>0</v>
      </c>
      <c r="L2007" s="194">
        <v>0</v>
      </c>
      <c r="M2007" s="194">
        <v>0</v>
      </c>
      <c r="N2007" s="194">
        <v>0</v>
      </c>
      <c r="O2007" s="193">
        <f t="shared" si="439"/>
        <v>0</v>
      </c>
      <c r="P2007" s="194">
        <v>0</v>
      </c>
      <c r="Q2007" s="194">
        <v>0</v>
      </c>
      <c r="R2007" s="194">
        <v>0</v>
      </c>
      <c r="S2007" s="193">
        <f t="shared" si="440"/>
        <v>0</v>
      </c>
      <c r="T2007" s="193">
        <f t="shared" si="441"/>
        <v>0</v>
      </c>
      <c r="U2007" s="193">
        <f ca="1">OFFSET('Expenditure Study'!$B$7,'Operations Support'!$C2007,'Operations Support'!$B2007)*$G2007</f>
        <v>0</v>
      </c>
      <c r="V2007" s="199">
        <f ca="1">U2007*'Expenditure Study'!$B$31</f>
        <v>0</v>
      </c>
      <c r="W2007" s="199">
        <f ca="1">IF(A2007=10298,1.51,1)*IF($B2007&lt;3,$D2007*'Expenditure Study'!$B$32*OFFSET('Expenditure Study'!$B$7,'Operations Support'!$C2007,'Operations Support'!$B2007),0)</f>
        <v>0</v>
      </c>
      <c r="X2007" s="200">
        <f ca="1">W2007*'Expenditure Study'!$B$31</f>
        <v>0</v>
      </c>
      <c r="Y2007" s="199">
        <f ca="1">U2007*'Expenditure Study'!$B$31</f>
        <v>0</v>
      </c>
      <c r="Z2007" s="200">
        <f ca="1">W2007*'Expenditure Study'!$B$31</f>
        <v>0</v>
      </c>
      <c r="AA2007" s="195">
        <f t="shared" ca="1" si="442"/>
        <v>0</v>
      </c>
      <c r="AB2007" s="195">
        <f t="shared" ca="1" si="443"/>
        <v>0</v>
      </c>
      <c r="AD2007" s="196">
        <f>IFERROR($G2007/SUMIF($A:$A,$A2007,$G:$G)*SUMIF(Summary!$A$166:$A$242,$A2007,Summary!$P$166:$P$242),0)</f>
        <v>0</v>
      </c>
      <c r="AE2007" s="197">
        <f t="shared" ca="1" si="444"/>
        <v>0</v>
      </c>
      <c r="AF2007" s="196">
        <f>IFERROR(G2007/SUMIF(A:A,A2007,G:G)*SUMIF(Summary!$A$166:$A$242,'Operations Support'!A2007,Summary!$Q$166:$Q$242),0)</f>
        <v>0</v>
      </c>
      <c r="AG2007" s="196">
        <f t="shared" ca="1" si="445"/>
        <v>0</v>
      </c>
      <c r="AI2007" s="196">
        <f>IFERROR($G2007/SUMIF($A:$A,$A2007,$G:$G)*SUMIF(Summary!$A$247:$A$283,$A2007,Summary!$P$247:$P$283),0)</f>
        <v>0</v>
      </c>
      <c r="AJ2007" s="196">
        <f>IFERROR($G2007/SUMIF($A:$A,$A2007,$G:$G)*(SUMIF(Summary!$A$247:$A$283,$A2007,Summary!$L$247:$L$283)+SUMIF(Summary!$A$297:$A$333,$A2007,Summary!$L$297:$L$333))-AI2007,0)</f>
        <v>0</v>
      </c>
      <c r="AK2007" s="196">
        <f>IFERROR($G2007/SUMIF($A:$A,$A2007,$G:$G)*SUMIF(Summary!$A$247:$A$283,$A2007,Summary!$Q$247:$Q$283),0)</f>
        <v>0</v>
      </c>
      <c r="AL2007" s="196">
        <f>IFERROR($G2007/SUMIF($A:$A,$A2007,$G:$G)*(SUMIF(Summary!$A$247:$A$283,$A2007,Summary!$L$247:$L$283)+SUMIF(Summary!$A$297:$A$333,$A2007,Summary!$L$297:$L$333))-AK2007,0)</f>
        <v>0</v>
      </c>
      <c r="AM2007" s="198"/>
      <c r="AN2007" s="196">
        <f t="shared" ca="1" si="446"/>
        <v>0</v>
      </c>
      <c r="AO2007" s="196">
        <f t="shared" ca="1" si="447"/>
        <v>0</v>
      </c>
    </row>
    <row r="2008" spans="1:41">
      <c r="A2008" s="189">
        <v>3656</v>
      </c>
      <c r="B2008" s="190">
        <v>1</v>
      </c>
      <c r="C2008" s="191" t="s">
        <v>228</v>
      </c>
      <c r="D2008" s="192">
        <f t="shared" si="434"/>
        <v>339</v>
      </c>
      <c r="E2008" s="192">
        <f t="shared" si="435"/>
        <v>3003</v>
      </c>
      <c r="F2008" s="192">
        <f t="shared" si="436"/>
        <v>0</v>
      </c>
      <c r="G2008" s="193">
        <f t="shared" si="437"/>
        <v>3342</v>
      </c>
      <c r="H2008" s="194">
        <v>63</v>
      </c>
      <c r="I2008" s="194">
        <v>1146</v>
      </c>
      <c r="J2008" s="194">
        <v>0</v>
      </c>
      <c r="K2008" s="193">
        <f t="shared" si="438"/>
        <v>1209</v>
      </c>
      <c r="L2008" s="194">
        <v>276</v>
      </c>
      <c r="M2008" s="194">
        <v>1650</v>
      </c>
      <c r="N2008" s="194">
        <v>0</v>
      </c>
      <c r="O2008" s="193">
        <f t="shared" si="439"/>
        <v>1926</v>
      </c>
      <c r="P2008" s="194">
        <v>0</v>
      </c>
      <c r="Q2008" s="194">
        <v>207</v>
      </c>
      <c r="R2008" s="194">
        <v>0</v>
      </c>
      <c r="S2008" s="193">
        <f t="shared" si="440"/>
        <v>207</v>
      </c>
      <c r="T2008" s="193">
        <f t="shared" si="441"/>
        <v>111.4</v>
      </c>
      <c r="U2008" s="193">
        <f ca="1">OFFSET('Expenditure Study'!$B$7,'Operations Support'!$C2008,'Operations Support'!$B2008)*$G2008</f>
        <v>5280.3600000000006</v>
      </c>
      <c r="V2008" s="199">
        <f ca="1">U2008*'Expenditure Study'!$B$31</f>
        <v>311980.46456908801</v>
      </c>
      <c r="W2008" s="199">
        <f ca="1">IF(A2008=10298,1.51,1)*IF($B2008&lt;3,$D2008*'Expenditure Study'!$B$32*OFFSET('Expenditure Study'!$B$7,'Operations Support'!$C2008,'Operations Support'!$B2008),0)</f>
        <v>53.561999999999998</v>
      </c>
      <c r="X2008" s="200">
        <f ca="1">W2008*'Expenditure Study'!$B$31</f>
        <v>3164.6133300095998</v>
      </c>
      <c r="Y2008" s="199">
        <f ca="1">U2008*'Expenditure Study'!$B$31</f>
        <v>311980.46456908801</v>
      </c>
      <c r="Z2008" s="200">
        <f ca="1">W2008*'Expenditure Study'!$B$31</f>
        <v>3164.6133300095998</v>
      </c>
      <c r="AA2008" s="195">
        <f t="shared" ca="1" si="442"/>
        <v>315145.07789909764</v>
      </c>
      <c r="AB2008" s="195">
        <f t="shared" ca="1" si="443"/>
        <v>315145.07789909764</v>
      </c>
      <c r="AD2008" s="196">
        <f>IFERROR($G2008/SUMIF($A:$A,$A2008,$G:$G)*SUMIF(Summary!$A$166:$A$242,$A2008,Summary!$P$166:$P$242),0)</f>
        <v>149701.60681546456</v>
      </c>
      <c r="AE2008" s="197">
        <f t="shared" ca="1" si="444"/>
        <v>165443.47108363308</v>
      </c>
      <c r="AF2008" s="196">
        <f>IFERROR(G2008/SUMIF(A:A,A2008,G:G)*SUMIF(Summary!$A$166:$A$242,'Operations Support'!A2008,Summary!$Q$166:$Q$242),0)</f>
        <v>150207.0744497276</v>
      </c>
      <c r="AG2008" s="196">
        <f t="shared" ca="1" si="445"/>
        <v>164938.00344937004</v>
      </c>
      <c r="AI2008" s="196">
        <f>IFERROR($G2008/SUMIF($A:$A,$A2008,$G:$G)*SUMIF(Summary!$A$247:$A$283,$A2008,Summary!$P$247:$P$283),0)</f>
        <v>27301.837321185085</v>
      </c>
      <c r="AJ2008" s="196">
        <f>IFERROR($G2008/SUMIF($A:$A,$A2008,$G:$G)*(SUMIF(Summary!$A$247:$A$283,$A2008,Summary!$L$247:$L$283)+SUMIF(Summary!$A$297:$A$333,$A2008,Summary!$L$297:$L$333))-AI2008,0)</f>
        <v>49632.406678115964</v>
      </c>
      <c r="AK2008" s="196">
        <f>IFERROR($G2008/SUMIF($A:$A,$A2008,$G:$G)*SUMIF(Summary!$A$247:$A$283,$A2008,Summary!$Q$247:$Q$283),0)</f>
        <v>27394.022003870465</v>
      </c>
      <c r="AL2008" s="196">
        <f>IFERROR($G2008/SUMIF($A:$A,$A2008,$G:$G)*(SUMIF(Summary!$A$247:$A$283,$A2008,Summary!$L$247:$L$283)+SUMIF(Summary!$A$297:$A$333,$A2008,Summary!$L$297:$L$333))-AK2008,0)</f>
        <v>49540.221995430584</v>
      </c>
      <c r="AM2008" s="198"/>
      <c r="AN2008" s="196">
        <f t="shared" ca="1" si="446"/>
        <v>215075.87776174903</v>
      </c>
      <c r="AO2008" s="196">
        <f t="shared" ca="1" si="447"/>
        <v>214478.22544480063</v>
      </c>
    </row>
    <row r="2009" spans="1:41">
      <c r="A2009" s="189">
        <v>3656</v>
      </c>
      <c r="B2009" s="190">
        <v>1</v>
      </c>
      <c r="C2009" s="191" t="s">
        <v>229</v>
      </c>
      <c r="D2009" s="192">
        <f t="shared" si="434"/>
        <v>0</v>
      </c>
      <c r="E2009" s="192">
        <f t="shared" si="435"/>
        <v>3</v>
      </c>
      <c r="F2009" s="192">
        <f t="shared" si="436"/>
        <v>0</v>
      </c>
      <c r="G2009" s="193">
        <f t="shared" si="437"/>
        <v>3</v>
      </c>
      <c r="H2009" s="194">
        <v>0</v>
      </c>
      <c r="I2009" s="194">
        <v>3</v>
      </c>
      <c r="J2009" s="194">
        <v>0</v>
      </c>
      <c r="K2009" s="193">
        <f t="shared" si="438"/>
        <v>3</v>
      </c>
      <c r="L2009" s="194">
        <v>0</v>
      </c>
      <c r="M2009" s="194">
        <v>0</v>
      </c>
      <c r="N2009" s="194">
        <v>0</v>
      </c>
      <c r="O2009" s="193">
        <f t="shared" si="439"/>
        <v>0</v>
      </c>
      <c r="P2009" s="194">
        <v>0</v>
      </c>
      <c r="Q2009" s="194">
        <v>0</v>
      </c>
      <c r="R2009" s="194">
        <v>0</v>
      </c>
      <c r="S2009" s="193">
        <f t="shared" si="440"/>
        <v>0</v>
      </c>
      <c r="T2009" s="193">
        <f t="shared" si="441"/>
        <v>0.1</v>
      </c>
      <c r="U2009" s="193">
        <f ca="1">OFFSET('Expenditure Study'!$B$7,'Operations Support'!$C2009,'Operations Support'!$B2009)*$G2009</f>
        <v>9.99</v>
      </c>
      <c r="V2009" s="199">
        <f ca="1">U2009*'Expenditure Study'!$B$31</f>
        <v>590.24097619200006</v>
      </c>
      <c r="W2009" s="199">
        <f ca="1">IF(A2009=10298,1.51,1)*IF($B2009&lt;3,$D2009*'Expenditure Study'!$B$32*OFFSET('Expenditure Study'!$B$7,'Operations Support'!$C2009,'Operations Support'!$B2009),0)</f>
        <v>0</v>
      </c>
      <c r="X2009" s="200">
        <f ca="1">W2009*'Expenditure Study'!$B$31</f>
        <v>0</v>
      </c>
      <c r="Y2009" s="199">
        <f ca="1">U2009*'Expenditure Study'!$B$31</f>
        <v>590.24097619200006</v>
      </c>
      <c r="Z2009" s="200">
        <f ca="1">W2009*'Expenditure Study'!$B$31</f>
        <v>0</v>
      </c>
      <c r="AA2009" s="195">
        <f t="shared" ca="1" si="442"/>
        <v>590.24097619200006</v>
      </c>
      <c r="AB2009" s="195">
        <f t="shared" ca="1" si="443"/>
        <v>590.24097619200006</v>
      </c>
      <c r="AD2009" s="196">
        <f>IFERROR($G2009/SUMIF($A:$A,$A2009,$G:$G)*SUMIF(Summary!$A$166:$A$242,$A2009,Summary!$P$166:$P$242),0)</f>
        <v>134.38205279664683</v>
      </c>
      <c r="AE2009" s="197">
        <f t="shared" ca="1" si="444"/>
        <v>455.85892339535326</v>
      </c>
      <c r="AF2009" s="196">
        <f>IFERROR(G2009/SUMIF(A:A,A2009,G:G)*SUMIF(Summary!$A$166:$A$242,'Operations Support'!A2009,Summary!$Q$166:$Q$242),0)</f>
        <v>134.83579394050955</v>
      </c>
      <c r="AG2009" s="196">
        <f t="shared" ca="1" si="445"/>
        <v>455.40518225149049</v>
      </c>
      <c r="AI2009" s="196">
        <f>IFERROR($G2009/SUMIF($A:$A,$A2009,$G:$G)*SUMIF(Summary!$A$247:$A$283,$A2009,Summary!$P$247:$P$283),0)</f>
        <v>24.507932963361839</v>
      </c>
      <c r="AJ2009" s="196">
        <f>IFERROR($G2009/SUMIF($A:$A,$A2009,$G:$G)*(SUMIF(Summary!$A$247:$A$283,$A2009,Summary!$L$247:$L$283)+SUMIF(Summary!$A$297:$A$333,$A2009,Summary!$L$297:$L$333))-AI2009,0)</f>
        <v>44.553327359170524</v>
      </c>
      <c r="AK2009" s="196">
        <f>IFERROR($G2009/SUMIF($A:$A,$A2009,$G:$G)*SUMIF(Summary!$A$247:$A$283,$A2009,Summary!$Q$247:$Q$283),0)</f>
        <v>24.590684025018373</v>
      </c>
      <c r="AL2009" s="196">
        <f>IFERROR($G2009/SUMIF($A:$A,$A2009,$G:$G)*(SUMIF(Summary!$A$247:$A$283,$A2009,Summary!$L$247:$L$283)+SUMIF(Summary!$A$297:$A$333,$A2009,Summary!$L$297:$L$333))-AK2009,0)</f>
        <v>44.470576297513986</v>
      </c>
      <c r="AM2009" s="198"/>
      <c r="AN2009" s="196">
        <f t="shared" ca="1" si="446"/>
        <v>500.41225075452377</v>
      </c>
      <c r="AO2009" s="196">
        <f t="shared" ca="1" si="447"/>
        <v>499.87575854900444</v>
      </c>
    </row>
    <row r="2010" spans="1:41">
      <c r="A2010" s="189">
        <v>3656</v>
      </c>
      <c r="B2010" s="190">
        <v>1</v>
      </c>
      <c r="C2010" s="191" t="s">
        <v>230</v>
      </c>
      <c r="D2010" s="192">
        <f t="shared" si="434"/>
        <v>0</v>
      </c>
      <c r="E2010" s="192">
        <f t="shared" si="435"/>
        <v>0</v>
      </c>
      <c r="F2010" s="192">
        <f t="shared" si="436"/>
        <v>0</v>
      </c>
      <c r="G2010" s="193">
        <f t="shared" si="437"/>
        <v>0</v>
      </c>
      <c r="H2010" s="194">
        <v>0</v>
      </c>
      <c r="I2010" s="194">
        <v>0</v>
      </c>
      <c r="J2010" s="194">
        <v>0</v>
      </c>
      <c r="K2010" s="193">
        <f t="shared" si="438"/>
        <v>0</v>
      </c>
      <c r="L2010" s="194">
        <v>0</v>
      </c>
      <c r="M2010" s="194">
        <v>0</v>
      </c>
      <c r="N2010" s="194">
        <v>0</v>
      </c>
      <c r="O2010" s="193">
        <f t="shared" si="439"/>
        <v>0</v>
      </c>
      <c r="P2010" s="194">
        <v>0</v>
      </c>
      <c r="Q2010" s="194">
        <v>0</v>
      </c>
      <c r="R2010" s="194">
        <v>0</v>
      </c>
      <c r="S2010" s="193">
        <f t="shared" si="440"/>
        <v>0</v>
      </c>
      <c r="T2010" s="193">
        <f t="shared" si="441"/>
        <v>0</v>
      </c>
      <c r="U2010" s="193">
        <f ca="1">OFFSET('Expenditure Study'!$B$7,'Operations Support'!$C2010,'Operations Support'!$B2010)*$G2010</f>
        <v>0</v>
      </c>
      <c r="V2010" s="199">
        <f ca="1">U2010*'Expenditure Study'!$B$31</f>
        <v>0</v>
      </c>
      <c r="W2010" s="199">
        <f ca="1">IF(A2010=10298,1.51,1)*IF($B2010&lt;3,$D2010*'Expenditure Study'!$B$32*OFFSET('Expenditure Study'!$B$7,'Operations Support'!$C2010,'Operations Support'!$B2010),0)</f>
        <v>0</v>
      </c>
      <c r="X2010" s="200">
        <f ca="1">W2010*'Expenditure Study'!$B$31</f>
        <v>0</v>
      </c>
      <c r="Y2010" s="199">
        <f ca="1">U2010*'Expenditure Study'!$B$31</f>
        <v>0</v>
      </c>
      <c r="Z2010" s="200">
        <f ca="1">W2010*'Expenditure Study'!$B$31</f>
        <v>0</v>
      </c>
      <c r="AA2010" s="195">
        <f t="shared" ca="1" si="442"/>
        <v>0</v>
      </c>
      <c r="AB2010" s="195">
        <f t="shared" ca="1" si="443"/>
        <v>0</v>
      </c>
      <c r="AD2010" s="196">
        <f>IFERROR($G2010/SUMIF($A:$A,$A2010,$G:$G)*SUMIF(Summary!$A$166:$A$242,$A2010,Summary!$P$166:$P$242),0)</f>
        <v>0</v>
      </c>
      <c r="AE2010" s="197">
        <f t="shared" ca="1" si="444"/>
        <v>0</v>
      </c>
      <c r="AF2010" s="196">
        <f>IFERROR(G2010/SUMIF(A:A,A2010,G:G)*SUMIF(Summary!$A$166:$A$242,'Operations Support'!A2010,Summary!$Q$166:$Q$242),0)</f>
        <v>0</v>
      </c>
      <c r="AG2010" s="196">
        <f t="shared" ca="1" si="445"/>
        <v>0</v>
      </c>
      <c r="AI2010" s="196">
        <f>IFERROR($G2010/SUMIF($A:$A,$A2010,$G:$G)*SUMIF(Summary!$A$247:$A$283,$A2010,Summary!$P$247:$P$283),0)</f>
        <v>0</v>
      </c>
      <c r="AJ2010" s="196">
        <f>IFERROR($G2010/SUMIF($A:$A,$A2010,$G:$G)*(SUMIF(Summary!$A$247:$A$283,$A2010,Summary!$L$247:$L$283)+SUMIF(Summary!$A$297:$A$333,$A2010,Summary!$L$297:$L$333))-AI2010,0)</f>
        <v>0</v>
      </c>
      <c r="AK2010" s="196">
        <f>IFERROR($G2010/SUMIF($A:$A,$A2010,$G:$G)*SUMIF(Summary!$A$247:$A$283,$A2010,Summary!$Q$247:$Q$283),0)</f>
        <v>0</v>
      </c>
      <c r="AL2010" s="196">
        <f>IFERROR($G2010/SUMIF($A:$A,$A2010,$G:$G)*(SUMIF(Summary!$A$247:$A$283,$A2010,Summary!$L$247:$L$283)+SUMIF(Summary!$A$297:$A$333,$A2010,Summary!$L$297:$L$333))-AK2010,0)</f>
        <v>0</v>
      </c>
      <c r="AM2010" s="198"/>
      <c r="AN2010" s="196">
        <f t="shared" ca="1" si="446"/>
        <v>0</v>
      </c>
      <c r="AO2010" s="196">
        <f t="shared" ca="1" si="447"/>
        <v>0</v>
      </c>
    </row>
    <row r="2011" spans="1:41">
      <c r="A2011" s="189">
        <v>3656</v>
      </c>
      <c r="B2011" s="190">
        <v>1</v>
      </c>
      <c r="C2011" s="191" t="s">
        <v>231</v>
      </c>
      <c r="D2011" s="192">
        <f t="shared" si="434"/>
        <v>0</v>
      </c>
      <c r="E2011" s="192">
        <f t="shared" si="435"/>
        <v>0</v>
      </c>
      <c r="F2011" s="192">
        <f t="shared" si="436"/>
        <v>0</v>
      </c>
      <c r="G2011" s="193">
        <f t="shared" si="437"/>
        <v>0</v>
      </c>
      <c r="H2011" s="194">
        <v>0</v>
      </c>
      <c r="I2011" s="194">
        <v>0</v>
      </c>
      <c r="J2011" s="194">
        <v>0</v>
      </c>
      <c r="K2011" s="193">
        <f t="shared" si="438"/>
        <v>0</v>
      </c>
      <c r="L2011" s="194">
        <v>0</v>
      </c>
      <c r="M2011" s="194">
        <v>0</v>
      </c>
      <c r="N2011" s="194">
        <v>0</v>
      </c>
      <c r="O2011" s="193">
        <f t="shared" si="439"/>
        <v>0</v>
      </c>
      <c r="P2011" s="194">
        <v>0</v>
      </c>
      <c r="Q2011" s="194">
        <v>0</v>
      </c>
      <c r="R2011" s="194">
        <v>0</v>
      </c>
      <c r="S2011" s="193">
        <f t="shared" si="440"/>
        <v>0</v>
      </c>
      <c r="T2011" s="193">
        <f t="shared" si="441"/>
        <v>0</v>
      </c>
      <c r="U2011" s="193">
        <f ca="1">OFFSET('Expenditure Study'!$B$7,'Operations Support'!$C2011,'Operations Support'!$B2011)*$G2011</f>
        <v>0</v>
      </c>
      <c r="V2011" s="199">
        <f ca="1">U2011*'Expenditure Study'!$B$31</f>
        <v>0</v>
      </c>
      <c r="W2011" s="199">
        <f ca="1">IF(A2011=10298,1.51,1)*IF($B2011&lt;3,$D2011*'Expenditure Study'!$B$32*OFFSET('Expenditure Study'!$B$7,'Operations Support'!$C2011,'Operations Support'!$B2011),0)</f>
        <v>0</v>
      </c>
      <c r="X2011" s="200">
        <f ca="1">W2011*'Expenditure Study'!$B$31</f>
        <v>0</v>
      </c>
      <c r="Y2011" s="199">
        <f ca="1">U2011*'Expenditure Study'!$B$31</f>
        <v>0</v>
      </c>
      <c r="Z2011" s="200">
        <f ca="1">W2011*'Expenditure Study'!$B$31</f>
        <v>0</v>
      </c>
      <c r="AA2011" s="195">
        <f t="shared" ca="1" si="442"/>
        <v>0</v>
      </c>
      <c r="AB2011" s="195">
        <f t="shared" ca="1" si="443"/>
        <v>0</v>
      </c>
      <c r="AD2011" s="196">
        <f>IFERROR($G2011/SUMIF($A:$A,$A2011,$G:$G)*SUMIF(Summary!$A$166:$A$242,$A2011,Summary!$P$166:$P$242),0)</f>
        <v>0</v>
      </c>
      <c r="AE2011" s="197">
        <f t="shared" ca="1" si="444"/>
        <v>0</v>
      </c>
      <c r="AF2011" s="196">
        <f>IFERROR(G2011/SUMIF(A:A,A2011,G:G)*SUMIF(Summary!$A$166:$A$242,'Operations Support'!A2011,Summary!$Q$166:$Q$242),0)</f>
        <v>0</v>
      </c>
      <c r="AG2011" s="196">
        <f t="shared" ca="1" si="445"/>
        <v>0</v>
      </c>
      <c r="AI2011" s="196">
        <f>IFERROR($G2011/SUMIF($A:$A,$A2011,$G:$G)*SUMIF(Summary!$A$247:$A$283,$A2011,Summary!$P$247:$P$283),0)</f>
        <v>0</v>
      </c>
      <c r="AJ2011" s="196">
        <f>IFERROR($G2011/SUMIF($A:$A,$A2011,$G:$G)*(SUMIF(Summary!$A$247:$A$283,$A2011,Summary!$L$247:$L$283)+SUMIF(Summary!$A$297:$A$333,$A2011,Summary!$L$297:$L$333))-AI2011,0)</f>
        <v>0</v>
      </c>
      <c r="AK2011" s="196">
        <f>IFERROR($G2011/SUMIF($A:$A,$A2011,$G:$G)*SUMIF(Summary!$A$247:$A$283,$A2011,Summary!$Q$247:$Q$283),0)</f>
        <v>0</v>
      </c>
      <c r="AL2011" s="196">
        <f>IFERROR($G2011/SUMIF($A:$A,$A2011,$G:$G)*(SUMIF(Summary!$A$247:$A$283,$A2011,Summary!$L$247:$L$283)+SUMIF(Summary!$A$297:$A$333,$A2011,Summary!$L$297:$L$333))-AK2011,0)</f>
        <v>0</v>
      </c>
      <c r="AM2011" s="198"/>
      <c r="AN2011" s="196">
        <f t="shared" ca="1" si="446"/>
        <v>0</v>
      </c>
      <c r="AO2011" s="196">
        <f t="shared" ca="1" si="447"/>
        <v>0</v>
      </c>
    </row>
    <row r="2012" spans="1:41">
      <c r="A2012" s="189">
        <v>3656</v>
      </c>
      <c r="B2012" s="190">
        <v>1</v>
      </c>
      <c r="C2012" s="191" t="s">
        <v>232</v>
      </c>
      <c r="D2012" s="192">
        <f t="shared" si="434"/>
        <v>0</v>
      </c>
      <c r="E2012" s="192">
        <f t="shared" si="435"/>
        <v>0</v>
      </c>
      <c r="F2012" s="192">
        <f t="shared" si="436"/>
        <v>0</v>
      </c>
      <c r="G2012" s="193">
        <f t="shared" si="437"/>
        <v>0</v>
      </c>
      <c r="H2012" s="194">
        <v>0</v>
      </c>
      <c r="I2012" s="194">
        <v>0</v>
      </c>
      <c r="J2012" s="194">
        <v>0</v>
      </c>
      <c r="K2012" s="193">
        <f t="shared" si="438"/>
        <v>0</v>
      </c>
      <c r="L2012" s="194">
        <v>0</v>
      </c>
      <c r="M2012" s="194">
        <v>0</v>
      </c>
      <c r="N2012" s="194">
        <v>0</v>
      </c>
      <c r="O2012" s="193">
        <f t="shared" si="439"/>
        <v>0</v>
      </c>
      <c r="P2012" s="194">
        <v>0</v>
      </c>
      <c r="Q2012" s="194">
        <v>0</v>
      </c>
      <c r="R2012" s="194">
        <v>0</v>
      </c>
      <c r="S2012" s="193">
        <f t="shared" si="440"/>
        <v>0</v>
      </c>
      <c r="T2012" s="193">
        <f t="shared" si="441"/>
        <v>0</v>
      </c>
      <c r="U2012" s="193">
        <f ca="1">OFFSET('Expenditure Study'!$B$7,'Operations Support'!$C2012,'Operations Support'!$B2012)*$G2012</f>
        <v>0</v>
      </c>
      <c r="V2012" s="199">
        <f ca="1">U2012*'Expenditure Study'!$B$31</f>
        <v>0</v>
      </c>
      <c r="W2012" s="199">
        <f ca="1">IF(A2012=10298,1.51,1)*IF($B2012&lt;3,$D2012*'Expenditure Study'!$B$32*OFFSET('Expenditure Study'!$B$7,'Operations Support'!$C2012,'Operations Support'!$B2012),0)</f>
        <v>0</v>
      </c>
      <c r="X2012" s="200">
        <f ca="1">W2012*'Expenditure Study'!$B$31</f>
        <v>0</v>
      </c>
      <c r="Y2012" s="199">
        <f ca="1">U2012*'Expenditure Study'!$B$31</f>
        <v>0</v>
      </c>
      <c r="Z2012" s="200">
        <f ca="1">W2012*'Expenditure Study'!$B$31</f>
        <v>0</v>
      </c>
      <c r="AA2012" s="195">
        <f t="shared" ca="1" si="442"/>
        <v>0</v>
      </c>
      <c r="AB2012" s="195">
        <f t="shared" ca="1" si="443"/>
        <v>0</v>
      </c>
      <c r="AD2012" s="196">
        <f>IFERROR($G2012/SUMIF($A:$A,$A2012,$G:$G)*SUMIF(Summary!$A$166:$A$242,$A2012,Summary!$P$166:$P$242),0)</f>
        <v>0</v>
      </c>
      <c r="AE2012" s="197">
        <f t="shared" ca="1" si="444"/>
        <v>0</v>
      </c>
      <c r="AF2012" s="196">
        <f>IFERROR(G2012/SUMIF(A:A,A2012,G:G)*SUMIF(Summary!$A$166:$A$242,'Operations Support'!A2012,Summary!$Q$166:$Q$242),0)</f>
        <v>0</v>
      </c>
      <c r="AG2012" s="196">
        <f t="shared" ca="1" si="445"/>
        <v>0</v>
      </c>
      <c r="AI2012" s="196">
        <f>IFERROR($G2012/SUMIF($A:$A,$A2012,$G:$G)*SUMIF(Summary!$A$247:$A$283,$A2012,Summary!$P$247:$P$283),0)</f>
        <v>0</v>
      </c>
      <c r="AJ2012" s="196">
        <f>IFERROR($G2012/SUMIF($A:$A,$A2012,$G:$G)*(SUMIF(Summary!$A$247:$A$283,$A2012,Summary!$L$247:$L$283)+SUMIF(Summary!$A$297:$A$333,$A2012,Summary!$L$297:$L$333))-AI2012,0)</f>
        <v>0</v>
      </c>
      <c r="AK2012" s="196">
        <f>IFERROR($G2012/SUMIF($A:$A,$A2012,$G:$G)*SUMIF(Summary!$A$247:$A$283,$A2012,Summary!$Q$247:$Q$283),0)</f>
        <v>0</v>
      </c>
      <c r="AL2012" s="196">
        <f>IFERROR($G2012/SUMIF($A:$A,$A2012,$G:$G)*(SUMIF(Summary!$A$247:$A$283,$A2012,Summary!$L$247:$L$283)+SUMIF(Summary!$A$297:$A$333,$A2012,Summary!$L$297:$L$333))-AK2012,0)</f>
        <v>0</v>
      </c>
      <c r="AM2012" s="198"/>
      <c r="AN2012" s="196">
        <f t="shared" ca="1" si="446"/>
        <v>0</v>
      </c>
      <c r="AO2012" s="196">
        <f t="shared" ca="1" si="447"/>
        <v>0</v>
      </c>
    </row>
    <row r="2013" spans="1:41">
      <c r="A2013" s="189">
        <v>3656</v>
      </c>
      <c r="B2013" s="190">
        <v>1</v>
      </c>
      <c r="C2013" s="191" t="s">
        <v>233</v>
      </c>
      <c r="D2013" s="192">
        <f t="shared" si="434"/>
        <v>1289</v>
      </c>
      <c r="E2013" s="192">
        <f t="shared" si="435"/>
        <v>5534</v>
      </c>
      <c r="F2013" s="192">
        <f t="shared" si="436"/>
        <v>0</v>
      </c>
      <c r="G2013" s="193">
        <f t="shared" si="437"/>
        <v>6823</v>
      </c>
      <c r="H2013" s="194">
        <v>502</v>
      </c>
      <c r="I2013" s="194">
        <v>2082</v>
      </c>
      <c r="J2013" s="194">
        <v>0</v>
      </c>
      <c r="K2013" s="193">
        <f t="shared" si="438"/>
        <v>2584</v>
      </c>
      <c r="L2013" s="194">
        <v>783</v>
      </c>
      <c r="M2013" s="194">
        <v>2975</v>
      </c>
      <c r="N2013" s="194">
        <v>0</v>
      </c>
      <c r="O2013" s="193">
        <f t="shared" si="439"/>
        <v>3758</v>
      </c>
      <c r="P2013" s="194">
        <v>4</v>
      </c>
      <c r="Q2013" s="194">
        <v>477</v>
      </c>
      <c r="R2013" s="194">
        <v>0</v>
      </c>
      <c r="S2013" s="193">
        <f t="shared" si="440"/>
        <v>481</v>
      </c>
      <c r="T2013" s="193">
        <f t="shared" si="441"/>
        <v>227.43333333333334</v>
      </c>
      <c r="U2013" s="193">
        <f ca="1">OFFSET('Expenditure Study'!$B$7,'Operations Support'!$C2013,'Operations Support'!$B2013)*$G2013</f>
        <v>6550.08</v>
      </c>
      <c r="V2013" s="199">
        <f ca="1">U2013*'Expenditure Study'!$B$31</f>
        <v>386999.56089446403</v>
      </c>
      <c r="W2013" s="199">
        <f ca="1">IF(A2013=10298,1.51,1)*IF($B2013&lt;3,$D2013*'Expenditure Study'!$B$32*OFFSET('Expenditure Study'!$B$7,'Operations Support'!$C2013,'Operations Support'!$B2013),0)</f>
        <v>123.744</v>
      </c>
      <c r="X2013" s="200">
        <f ca="1">W2013*'Expenditure Study'!$B$31</f>
        <v>7311.1891249152004</v>
      </c>
      <c r="Y2013" s="199">
        <f ca="1">U2013*'Expenditure Study'!$B$31</f>
        <v>386999.56089446403</v>
      </c>
      <c r="Z2013" s="200">
        <f ca="1">W2013*'Expenditure Study'!$B$31</f>
        <v>7311.1891249152004</v>
      </c>
      <c r="AA2013" s="195">
        <f t="shared" ca="1" si="442"/>
        <v>394310.75001937925</v>
      </c>
      <c r="AB2013" s="195">
        <f t="shared" ca="1" si="443"/>
        <v>394310.75001937925</v>
      </c>
      <c r="AD2013" s="196">
        <f>IFERROR($G2013/SUMIF($A:$A,$A2013,$G:$G)*SUMIF(Summary!$A$166:$A$242,$A2013,Summary!$P$166:$P$242),0)</f>
        <v>305629.58207717375</v>
      </c>
      <c r="AE2013" s="197">
        <f t="shared" ca="1" si="444"/>
        <v>88681.167942205502</v>
      </c>
      <c r="AF2013" s="196">
        <f>IFERROR(G2013/SUMIF(A:A,A2013,G:G)*SUMIF(Summary!$A$166:$A$242,'Operations Support'!A2013,Summary!$Q$166:$Q$242),0)</f>
        <v>306661.5406853655</v>
      </c>
      <c r="AG2013" s="196">
        <f t="shared" ca="1" si="445"/>
        <v>87649.209334013751</v>
      </c>
      <c r="AI2013" s="196">
        <f>IFERROR($G2013/SUMIF($A:$A,$A2013,$G:$G)*SUMIF(Summary!$A$247:$A$283,$A2013,Summary!$P$247:$P$283),0)</f>
        <v>55739.208869672606</v>
      </c>
      <c r="AJ2013" s="196">
        <f>IFERROR($G2013/SUMIF($A:$A,$A2013,$G:$G)*(SUMIF(Summary!$A$247:$A$283,$A2013,Summary!$L$247:$L$283)+SUMIF(Summary!$A$297:$A$333,$A2013,Summary!$L$297:$L$333))-AI2013,0)</f>
        <v>101329.11752387349</v>
      </c>
      <c r="AK2013" s="196">
        <f>IFERROR($G2013/SUMIF($A:$A,$A2013,$G:$G)*SUMIF(Summary!$A$247:$A$283,$A2013,Summary!$Q$247:$Q$283),0)</f>
        <v>55927.412367566787</v>
      </c>
      <c r="AL2013" s="196">
        <f>IFERROR($G2013/SUMIF($A:$A,$A2013,$G:$G)*(SUMIF(Summary!$A$247:$A$283,$A2013,Summary!$L$247:$L$283)+SUMIF(Summary!$A$297:$A$333,$A2013,Summary!$L$297:$L$333))-AK2013,0)</f>
        <v>101140.91402597932</v>
      </c>
      <c r="AM2013" s="198"/>
      <c r="AN2013" s="196">
        <f t="shared" ca="1" si="446"/>
        <v>190010.28546607899</v>
      </c>
      <c r="AO2013" s="196">
        <f t="shared" ca="1" si="447"/>
        <v>188790.12335999307</v>
      </c>
    </row>
    <row r="2014" spans="1:41">
      <c r="A2014" s="189">
        <v>3656</v>
      </c>
      <c r="B2014" s="190">
        <v>1</v>
      </c>
      <c r="C2014" s="191" t="s">
        <v>234</v>
      </c>
      <c r="D2014" s="192">
        <f t="shared" si="434"/>
        <v>0</v>
      </c>
      <c r="E2014" s="192">
        <f t="shared" si="435"/>
        <v>0</v>
      </c>
      <c r="F2014" s="192">
        <f t="shared" si="436"/>
        <v>0</v>
      </c>
      <c r="G2014" s="193">
        <f t="shared" si="437"/>
        <v>0</v>
      </c>
      <c r="H2014" s="194">
        <v>0</v>
      </c>
      <c r="I2014" s="194">
        <v>0</v>
      </c>
      <c r="J2014" s="194">
        <v>0</v>
      </c>
      <c r="K2014" s="193">
        <f t="shared" si="438"/>
        <v>0</v>
      </c>
      <c r="L2014" s="194">
        <v>0</v>
      </c>
      <c r="M2014" s="194">
        <v>0</v>
      </c>
      <c r="N2014" s="194">
        <v>0</v>
      </c>
      <c r="O2014" s="193">
        <f t="shared" si="439"/>
        <v>0</v>
      </c>
      <c r="P2014" s="194">
        <v>0</v>
      </c>
      <c r="Q2014" s="194">
        <v>0</v>
      </c>
      <c r="R2014" s="194">
        <v>0</v>
      </c>
      <c r="S2014" s="193">
        <f t="shared" si="440"/>
        <v>0</v>
      </c>
      <c r="T2014" s="193">
        <f t="shared" si="441"/>
        <v>0</v>
      </c>
      <c r="U2014" s="193">
        <f ca="1">OFFSET('Expenditure Study'!$B$7,'Operations Support'!$C2014,'Operations Support'!$B2014)*$G2014</f>
        <v>0</v>
      </c>
      <c r="V2014" s="199">
        <f ca="1">U2014*'Expenditure Study'!$B$31</f>
        <v>0</v>
      </c>
      <c r="W2014" s="199">
        <f ca="1">IF(A2014=10298,1.51,1)*IF($B2014&lt;3,$D2014*'Expenditure Study'!$B$32*OFFSET('Expenditure Study'!$B$7,'Operations Support'!$C2014,'Operations Support'!$B2014),0)</f>
        <v>0</v>
      </c>
      <c r="X2014" s="200">
        <f ca="1">W2014*'Expenditure Study'!$B$31</f>
        <v>0</v>
      </c>
      <c r="Y2014" s="199">
        <f ca="1">U2014*'Expenditure Study'!$B$31</f>
        <v>0</v>
      </c>
      <c r="Z2014" s="200">
        <f ca="1">W2014*'Expenditure Study'!$B$31</f>
        <v>0</v>
      </c>
      <c r="AA2014" s="195">
        <f t="shared" ca="1" si="442"/>
        <v>0</v>
      </c>
      <c r="AB2014" s="195">
        <f t="shared" ca="1" si="443"/>
        <v>0</v>
      </c>
      <c r="AD2014" s="196">
        <f>IFERROR($G2014/SUMIF($A:$A,$A2014,$G:$G)*SUMIF(Summary!$A$166:$A$242,$A2014,Summary!$P$166:$P$242),0)</f>
        <v>0</v>
      </c>
      <c r="AE2014" s="197">
        <f t="shared" ca="1" si="444"/>
        <v>0</v>
      </c>
      <c r="AF2014" s="196">
        <f>IFERROR(G2014/SUMIF(A:A,A2014,G:G)*SUMIF(Summary!$A$166:$A$242,'Operations Support'!A2014,Summary!$Q$166:$Q$242),0)</f>
        <v>0</v>
      </c>
      <c r="AG2014" s="196">
        <f t="shared" ca="1" si="445"/>
        <v>0</v>
      </c>
      <c r="AI2014" s="196">
        <f>IFERROR($G2014/SUMIF($A:$A,$A2014,$G:$G)*SUMIF(Summary!$A$247:$A$283,$A2014,Summary!$P$247:$P$283),0)</f>
        <v>0</v>
      </c>
      <c r="AJ2014" s="196">
        <f>IFERROR($G2014/SUMIF($A:$A,$A2014,$G:$G)*(SUMIF(Summary!$A$247:$A$283,$A2014,Summary!$L$247:$L$283)+SUMIF(Summary!$A$297:$A$333,$A2014,Summary!$L$297:$L$333))-AI2014,0)</f>
        <v>0</v>
      </c>
      <c r="AK2014" s="196">
        <f>IFERROR($G2014/SUMIF($A:$A,$A2014,$G:$G)*SUMIF(Summary!$A$247:$A$283,$A2014,Summary!$Q$247:$Q$283),0)</f>
        <v>0</v>
      </c>
      <c r="AL2014" s="196">
        <f>IFERROR($G2014/SUMIF($A:$A,$A2014,$G:$G)*(SUMIF(Summary!$A$247:$A$283,$A2014,Summary!$L$247:$L$283)+SUMIF(Summary!$A$297:$A$333,$A2014,Summary!$L$297:$L$333))-AK2014,0)</f>
        <v>0</v>
      </c>
      <c r="AM2014" s="198"/>
      <c r="AN2014" s="196">
        <f t="shared" ca="1" si="446"/>
        <v>0</v>
      </c>
      <c r="AO2014" s="196">
        <f t="shared" ca="1" si="447"/>
        <v>0</v>
      </c>
    </row>
    <row r="2015" spans="1:41">
      <c r="A2015" s="189">
        <v>3656</v>
      </c>
      <c r="B2015" s="190">
        <v>1</v>
      </c>
      <c r="C2015" s="191" t="s">
        <v>235</v>
      </c>
      <c r="D2015" s="192">
        <f t="shared" si="434"/>
        <v>2531</v>
      </c>
      <c r="E2015" s="192">
        <f t="shared" si="435"/>
        <v>15354</v>
      </c>
      <c r="F2015" s="192">
        <f t="shared" si="436"/>
        <v>0</v>
      </c>
      <c r="G2015" s="193">
        <f t="shared" si="437"/>
        <v>17885</v>
      </c>
      <c r="H2015" s="194">
        <v>810</v>
      </c>
      <c r="I2015" s="194">
        <v>7228</v>
      </c>
      <c r="J2015" s="194">
        <v>0</v>
      </c>
      <c r="K2015" s="193">
        <f t="shared" si="438"/>
        <v>8038</v>
      </c>
      <c r="L2015" s="194">
        <v>1673</v>
      </c>
      <c r="M2015" s="194">
        <v>7484</v>
      </c>
      <c r="N2015" s="194">
        <v>0</v>
      </c>
      <c r="O2015" s="193">
        <f t="shared" si="439"/>
        <v>9157</v>
      </c>
      <c r="P2015" s="194">
        <v>48</v>
      </c>
      <c r="Q2015" s="194">
        <v>642</v>
      </c>
      <c r="R2015" s="194">
        <v>0</v>
      </c>
      <c r="S2015" s="193">
        <f t="shared" si="440"/>
        <v>690</v>
      </c>
      <c r="T2015" s="193">
        <f t="shared" si="441"/>
        <v>596.16666666666663</v>
      </c>
      <c r="U2015" s="193">
        <f ca="1">OFFSET('Expenditure Study'!$B$7,'Operations Support'!$C2015,'Operations Support'!$B2015)*$G2015</f>
        <v>19673.5</v>
      </c>
      <c r="V2015" s="199">
        <f ca="1">U2015*'Expenditure Study'!$B$31</f>
        <v>1162372.9574688</v>
      </c>
      <c r="W2015" s="199">
        <f ca="1">IF(A2015=10298,1.51,1)*IF($B2015&lt;3,$D2015*'Expenditure Study'!$B$32*OFFSET('Expenditure Study'!$B$7,'Operations Support'!$C2015,'Operations Support'!$B2015),0)</f>
        <v>278.41000000000003</v>
      </c>
      <c r="X2015" s="200">
        <f ca="1">W2015*'Expenditure Study'!$B$31</f>
        <v>16449.348366528</v>
      </c>
      <c r="Y2015" s="199">
        <f ca="1">U2015*'Expenditure Study'!$B$31</f>
        <v>1162372.9574688</v>
      </c>
      <c r="Z2015" s="200">
        <f ca="1">W2015*'Expenditure Study'!$B$31</f>
        <v>16449.348366528</v>
      </c>
      <c r="AA2015" s="195">
        <f t="shared" ca="1" si="442"/>
        <v>1178822.3058353281</v>
      </c>
      <c r="AB2015" s="195">
        <f t="shared" ca="1" si="443"/>
        <v>1178822.3058353281</v>
      </c>
      <c r="AD2015" s="196">
        <f>IFERROR($G2015/SUMIF($A:$A,$A2015,$G:$G)*SUMIF(Summary!$A$166:$A$242,$A2015,Summary!$P$166:$P$242),0)</f>
        <v>801141.00475600944</v>
      </c>
      <c r="AE2015" s="197">
        <f t="shared" ca="1" si="444"/>
        <v>377681.30107931863</v>
      </c>
      <c r="AF2015" s="196">
        <f>IFERROR(G2015/SUMIF(A:A,A2015,G:G)*SUMIF(Summary!$A$166:$A$242,'Operations Support'!A2015,Summary!$Q$166:$Q$242),0)</f>
        <v>803846.05820867093</v>
      </c>
      <c r="AG2015" s="196">
        <f t="shared" ca="1" si="445"/>
        <v>374976.24762665713</v>
      </c>
      <c r="AI2015" s="196">
        <f>IFERROR($G2015/SUMIF($A:$A,$A2015,$G:$G)*SUMIF(Summary!$A$247:$A$283,$A2015,Summary!$P$247:$P$283),0)</f>
        <v>146108.12701657548</v>
      </c>
      <c r="AJ2015" s="196">
        <f>IFERROR($G2015/SUMIF($A:$A,$A2015,$G:$G)*(SUMIF(Summary!$A$247:$A$283,$A2015,Summary!$L$247:$L$283)+SUMIF(Summary!$A$297:$A$333,$A2015,Summary!$L$297:$L$333))-AI2015,0)</f>
        <v>265612.08660625492</v>
      </c>
      <c r="AK2015" s="196">
        <f>IFERROR($G2015/SUMIF($A:$A,$A2015,$G:$G)*SUMIF(Summary!$A$247:$A$283,$A2015,Summary!$Q$247:$Q$283),0)</f>
        <v>146601.46126248452</v>
      </c>
      <c r="AL2015" s="196">
        <f>IFERROR($G2015/SUMIF($A:$A,$A2015,$G:$G)*(SUMIF(Summary!$A$247:$A$283,$A2015,Summary!$L$247:$L$283)+SUMIF(Summary!$A$297:$A$333,$A2015,Summary!$L$297:$L$333))-AK2015,0)</f>
        <v>265118.75236034591</v>
      </c>
      <c r="AM2015" s="198"/>
      <c r="AN2015" s="196">
        <f t="shared" ca="1" si="446"/>
        <v>643293.38768557354</v>
      </c>
      <c r="AO2015" s="196">
        <f t="shared" ca="1" si="447"/>
        <v>640094.99998700304</v>
      </c>
    </row>
    <row r="2016" spans="1:41">
      <c r="A2016" s="189">
        <v>3656</v>
      </c>
      <c r="B2016" s="190">
        <v>1</v>
      </c>
      <c r="C2016" s="191" t="s">
        <v>236</v>
      </c>
      <c r="D2016" s="192">
        <f t="shared" si="434"/>
        <v>0</v>
      </c>
      <c r="E2016" s="192">
        <f t="shared" si="435"/>
        <v>0</v>
      </c>
      <c r="F2016" s="192">
        <f t="shared" si="436"/>
        <v>0</v>
      </c>
      <c r="G2016" s="193">
        <f t="shared" si="437"/>
        <v>0</v>
      </c>
      <c r="H2016" s="194">
        <v>0</v>
      </c>
      <c r="I2016" s="194">
        <v>0</v>
      </c>
      <c r="J2016" s="194">
        <v>0</v>
      </c>
      <c r="K2016" s="193">
        <f t="shared" si="438"/>
        <v>0</v>
      </c>
      <c r="L2016" s="194">
        <v>0</v>
      </c>
      <c r="M2016" s="194">
        <v>0</v>
      </c>
      <c r="N2016" s="194">
        <v>0</v>
      </c>
      <c r="O2016" s="193">
        <f t="shared" si="439"/>
        <v>0</v>
      </c>
      <c r="P2016" s="194">
        <v>0</v>
      </c>
      <c r="Q2016" s="194">
        <v>0</v>
      </c>
      <c r="R2016" s="194">
        <v>0</v>
      </c>
      <c r="S2016" s="193">
        <f t="shared" si="440"/>
        <v>0</v>
      </c>
      <c r="T2016" s="193">
        <f t="shared" si="441"/>
        <v>0</v>
      </c>
      <c r="U2016" s="193">
        <f ca="1">OFFSET('Expenditure Study'!$B$7,'Operations Support'!$C2016,'Operations Support'!$B2016)*$G2016</f>
        <v>0</v>
      </c>
      <c r="V2016" s="199">
        <f ca="1">U2016*'Expenditure Study'!$B$31</f>
        <v>0</v>
      </c>
      <c r="W2016" s="199">
        <f ca="1">IF(A2016=10298,1.51,1)*IF($B2016&lt;3,$D2016*'Expenditure Study'!$B$32*OFFSET('Expenditure Study'!$B$7,'Operations Support'!$C2016,'Operations Support'!$B2016),0)</f>
        <v>0</v>
      </c>
      <c r="X2016" s="200">
        <f ca="1">W2016*'Expenditure Study'!$B$31</f>
        <v>0</v>
      </c>
      <c r="Y2016" s="199">
        <f ca="1">U2016*'Expenditure Study'!$B$31</f>
        <v>0</v>
      </c>
      <c r="Z2016" s="200">
        <f ca="1">W2016*'Expenditure Study'!$B$31</f>
        <v>0</v>
      </c>
      <c r="AA2016" s="195">
        <f t="shared" ca="1" si="442"/>
        <v>0</v>
      </c>
      <c r="AB2016" s="195">
        <f t="shared" ca="1" si="443"/>
        <v>0</v>
      </c>
      <c r="AD2016" s="196">
        <f>IFERROR($G2016/SUMIF($A:$A,$A2016,$G:$G)*SUMIF(Summary!$A$166:$A$242,$A2016,Summary!$P$166:$P$242),0)</f>
        <v>0</v>
      </c>
      <c r="AE2016" s="197">
        <f t="shared" ca="1" si="444"/>
        <v>0</v>
      </c>
      <c r="AF2016" s="196">
        <f>IFERROR(G2016/SUMIF(A:A,A2016,G:G)*SUMIF(Summary!$A$166:$A$242,'Operations Support'!A2016,Summary!$Q$166:$Q$242),0)</f>
        <v>0</v>
      </c>
      <c r="AG2016" s="196">
        <f t="shared" ca="1" si="445"/>
        <v>0</v>
      </c>
      <c r="AI2016" s="196">
        <f>IFERROR($G2016/SUMIF($A:$A,$A2016,$G:$G)*SUMIF(Summary!$A$247:$A$283,$A2016,Summary!$P$247:$P$283),0)</f>
        <v>0</v>
      </c>
      <c r="AJ2016" s="196">
        <f>IFERROR($G2016/SUMIF($A:$A,$A2016,$G:$G)*(SUMIF(Summary!$A$247:$A$283,$A2016,Summary!$L$247:$L$283)+SUMIF(Summary!$A$297:$A$333,$A2016,Summary!$L$297:$L$333))-AI2016,0)</f>
        <v>0</v>
      </c>
      <c r="AK2016" s="196">
        <f>IFERROR($G2016/SUMIF($A:$A,$A2016,$G:$G)*SUMIF(Summary!$A$247:$A$283,$A2016,Summary!$Q$247:$Q$283),0)</f>
        <v>0</v>
      </c>
      <c r="AL2016" s="196">
        <f>IFERROR($G2016/SUMIF($A:$A,$A2016,$G:$G)*(SUMIF(Summary!$A$247:$A$283,$A2016,Summary!$L$247:$L$283)+SUMIF(Summary!$A$297:$A$333,$A2016,Summary!$L$297:$L$333))-AK2016,0)</f>
        <v>0</v>
      </c>
      <c r="AM2016" s="198"/>
      <c r="AN2016" s="196">
        <f t="shared" ca="1" si="446"/>
        <v>0</v>
      </c>
      <c r="AO2016" s="196">
        <f t="shared" ca="1" si="447"/>
        <v>0</v>
      </c>
    </row>
    <row r="2017" spans="1:41">
      <c r="A2017" s="189">
        <v>3656</v>
      </c>
      <c r="B2017" s="190">
        <v>1</v>
      </c>
      <c r="C2017" s="191" t="s">
        <v>237</v>
      </c>
      <c r="D2017" s="192">
        <f t="shared" si="434"/>
        <v>0</v>
      </c>
      <c r="E2017" s="192">
        <f t="shared" si="435"/>
        <v>0</v>
      </c>
      <c r="F2017" s="192">
        <f t="shared" si="436"/>
        <v>0</v>
      </c>
      <c r="G2017" s="193">
        <f t="shared" si="437"/>
        <v>0</v>
      </c>
      <c r="H2017" s="194">
        <v>0</v>
      </c>
      <c r="I2017" s="194">
        <v>0</v>
      </c>
      <c r="J2017" s="194">
        <v>0</v>
      </c>
      <c r="K2017" s="193">
        <f t="shared" si="438"/>
        <v>0</v>
      </c>
      <c r="L2017" s="194">
        <v>0</v>
      </c>
      <c r="M2017" s="194">
        <v>0</v>
      </c>
      <c r="N2017" s="194">
        <v>0</v>
      </c>
      <c r="O2017" s="193">
        <f t="shared" si="439"/>
        <v>0</v>
      </c>
      <c r="P2017" s="194">
        <v>0</v>
      </c>
      <c r="Q2017" s="194">
        <v>0</v>
      </c>
      <c r="R2017" s="194">
        <v>0</v>
      </c>
      <c r="S2017" s="193">
        <f t="shared" si="440"/>
        <v>0</v>
      </c>
      <c r="T2017" s="193">
        <f t="shared" si="441"/>
        <v>0</v>
      </c>
      <c r="U2017" s="193">
        <f ca="1">OFFSET('Expenditure Study'!$B$7,'Operations Support'!$C2017,'Operations Support'!$B2017)*$G2017</f>
        <v>0</v>
      </c>
      <c r="V2017" s="199">
        <f ca="1">U2017*'Expenditure Study'!$B$31</f>
        <v>0</v>
      </c>
      <c r="W2017" s="199">
        <f ca="1">IF(A2017=10298,1.51,1)*IF($B2017&lt;3,$D2017*'Expenditure Study'!$B$32*OFFSET('Expenditure Study'!$B$7,'Operations Support'!$C2017,'Operations Support'!$B2017),0)</f>
        <v>0</v>
      </c>
      <c r="X2017" s="200">
        <f ca="1">W2017*'Expenditure Study'!$B$31</f>
        <v>0</v>
      </c>
      <c r="Y2017" s="199">
        <f ca="1">U2017*'Expenditure Study'!$B$31</f>
        <v>0</v>
      </c>
      <c r="Z2017" s="200">
        <f ca="1">W2017*'Expenditure Study'!$B$31</f>
        <v>0</v>
      </c>
      <c r="AA2017" s="195">
        <f t="shared" ca="1" si="442"/>
        <v>0</v>
      </c>
      <c r="AB2017" s="195">
        <f t="shared" ca="1" si="443"/>
        <v>0</v>
      </c>
      <c r="AD2017" s="196">
        <f>IFERROR($G2017/SUMIF($A:$A,$A2017,$G:$G)*SUMIF(Summary!$A$166:$A$242,$A2017,Summary!$P$166:$P$242),0)</f>
        <v>0</v>
      </c>
      <c r="AE2017" s="197">
        <f t="shared" ca="1" si="444"/>
        <v>0</v>
      </c>
      <c r="AF2017" s="196">
        <f>IFERROR(G2017/SUMIF(A:A,A2017,G:G)*SUMIF(Summary!$A$166:$A$242,'Operations Support'!A2017,Summary!$Q$166:$Q$242),0)</f>
        <v>0</v>
      </c>
      <c r="AG2017" s="196">
        <f t="shared" ca="1" si="445"/>
        <v>0</v>
      </c>
      <c r="AI2017" s="196">
        <f>IFERROR($G2017/SUMIF($A:$A,$A2017,$G:$G)*SUMIF(Summary!$A$247:$A$283,$A2017,Summary!$P$247:$P$283),0)</f>
        <v>0</v>
      </c>
      <c r="AJ2017" s="196">
        <f>IFERROR($G2017/SUMIF($A:$A,$A2017,$G:$G)*(SUMIF(Summary!$A$247:$A$283,$A2017,Summary!$L$247:$L$283)+SUMIF(Summary!$A$297:$A$333,$A2017,Summary!$L$297:$L$333))-AI2017,0)</f>
        <v>0</v>
      </c>
      <c r="AK2017" s="196">
        <f>IFERROR($G2017/SUMIF($A:$A,$A2017,$G:$G)*SUMIF(Summary!$A$247:$A$283,$A2017,Summary!$Q$247:$Q$283),0)</f>
        <v>0</v>
      </c>
      <c r="AL2017" s="196">
        <f>IFERROR($G2017/SUMIF($A:$A,$A2017,$G:$G)*(SUMIF(Summary!$A$247:$A$283,$A2017,Summary!$L$247:$L$283)+SUMIF(Summary!$A$297:$A$333,$A2017,Summary!$L$297:$L$333))-AK2017,0)</f>
        <v>0</v>
      </c>
      <c r="AM2017" s="198"/>
      <c r="AN2017" s="196">
        <f t="shared" ca="1" si="446"/>
        <v>0</v>
      </c>
      <c r="AO2017" s="196">
        <f t="shared" ca="1" si="447"/>
        <v>0</v>
      </c>
    </row>
    <row r="2018" spans="1:41">
      <c r="A2018" s="189">
        <v>3656</v>
      </c>
      <c r="B2018" s="190">
        <v>1</v>
      </c>
      <c r="C2018" s="191" t="s">
        <v>238</v>
      </c>
      <c r="D2018" s="192">
        <f t="shared" si="434"/>
        <v>147</v>
      </c>
      <c r="E2018" s="192">
        <f t="shared" si="435"/>
        <v>2499</v>
      </c>
      <c r="F2018" s="192">
        <f t="shared" si="436"/>
        <v>0</v>
      </c>
      <c r="G2018" s="193">
        <f t="shared" si="437"/>
        <v>2646</v>
      </c>
      <c r="H2018" s="194">
        <v>15</v>
      </c>
      <c r="I2018" s="194">
        <v>1152</v>
      </c>
      <c r="J2018" s="194">
        <v>0</v>
      </c>
      <c r="K2018" s="193">
        <f t="shared" si="438"/>
        <v>1167</v>
      </c>
      <c r="L2018" s="194">
        <v>132</v>
      </c>
      <c r="M2018" s="194">
        <v>1122</v>
      </c>
      <c r="N2018" s="194">
        <v>0</v>
      </c>
      <c r="O2018" s="193">
        <f t="shared" si="439"/>
        <v>1254</v>
      </c>
      <c r="P2018" s="194">
        <v>0</v>
      </c>
      <c r="Q2018" s="194">
        <v>225</v>
      </c>
      <c r="R2018" s="194">
        <v>0</v>
      </c>
      <c r="S2018" s="193">
        <f t="shared" si="440"/>
        <v>225</v>
      </c>
      <c r="T2018" s="193">
        <f t="shared" si="441"/>
        <v>88.2</v>
      </c>
      <c r="U2018" s="193">
        <f ca="1">OFFSET('Expenditure Study'!$B$7,'Operations Support'!$C2018,'Operations Support'!$B2018)*$G2018</f>
        <v>4709.88</v>
      </c>
      <c r="V2018" s="199">
        <f ca="1">U2018*'Expenditure Study'!$B$31</f>
        <v>278274.69158630399</v>
      </c>
      <c r="W2018" s="199">
        <f ca="1">IF(A2018=10298,1.51,1)*IF($B2018&lt;3,$D2018*'Expenditure Study'!$B$32*OFFSET('Expenditure Study'!$B$7,'Operations Support'!$C2018,'Operations Support'!$B2018),0)</f>
        <v>26.166000000000004</v>
      </c>
      <c r="X2018" s="200">
        <f ca="1">W2018*'Expenditure Study'!$B$31</f>
        <v>1545.9705088128003</v>
      </c>
      <c r="Y2018" s="199">
        <f ca="1">U2018*'Expenditure Study'!$B$31</f>
        <v>278274.69158630399</v>
      </c>
      <c r="Z2018" s="200">
        <f ca="1">W2018*'Expenditure Study'!$B$31</f>
        <v>1545.9705088128003</v>
      </c>
      <c r="AA2018" s="195">
        <f t="shared" ca="1" si="442"/>
        <v>279820.6620951168</v>
      </c>
      <c r="AB2018" s="195">
        <f t="shared" ca="1" si="443"/>
        <v>279820.6620951168</v>
      </c>
      <c r="AD2018" s="196">
        <f>IFERROR($G2018/SUMIF($A:$A,$A2018,$G:$G)*SUMIF(Summary!$A$166:$A$242,$A2018,Summary!$P$166:$P$242),0)</f>
        <v>118524.97056664249</v>
      </c>
      <c r="AE2018" s="197">
        <f t="shared" ca="1" si="444"/>
        <v>161295.69152847433</v>
      </c>
      <c r="AF2018" s="196">
        <f>IFERROR(G2018/SUMIF(A:A,A2018,G:G)*SUMIF(Summary!$A$166:$A$242,'Operations Support'!A2018,Summary!$Q$166:$Q$242),0)</f>
        <v>118925.1702555294</v>
      </c>
      <c r="AG2018" s="196">
        <f t="shared" ca="1" si="445"/>
        <v>160895.4918395874</v>
      </c>
      <c r="AI2018" s="196">
        <f>IFERROR($G2018/SUMIF($A:$A,$A2018,$G:$G)*SUMIF(Summary!$A$247:$A$283,$A2018,Summary!$P$247:$P$283),0)</f>
        <v>21615.996873685141</v>
      </c>
      <c r="AJ2018" s="196">
        <f>IFERROR($G2018/SUMIF($A:$A,$A2018,$G:$G)*(SUMIF(Summary!$A$247:$A$283,$A2018,Summary!$L$247:$L$283)+SUMIF(Summary!$A$297:$A$333,$A2018,Summary!$L$297:$L$333))-AI2018,0)</f>
        <v>39296.034730788408</v>
      </c>
      <c r="AK2018" s="196">
        <f>IFERROR($G2018/SUMIF($A:$A,$A2018,$G:$G)*SUMIF(Summary!$A$247:$A$283,$A2018,Summary!$Q$247:$Q$283),0)</f>
        <v>21688.983310066204</v>
      </c>
      <c r="AL2018" s="196">
        <f>IFERROR($G2018/SUMIF($A:$A,$A2018,$G:$G)*(SUMIF(Summary!$A$247:$A$283,$A2018,Summary!$L$247:$L$283)+SUMIF(Summary!$A$297:$A$333,$A2018,Summary!$L$297:$L$333))-AK2018,0)</f>
        <v>39223.048294407345</v>
      </c>
      <c r="AM2018" s="198"/>
      <c r="AN2018" s="196">
        <f t="shared" ca="1" si="446"/>
        <v>200591.72625926274</v>
      </c>
      <c r="AO2018" s="196">
        <f t="shared" ca="1" si="447"/>
        <v>200118.54013399474</v>
      </c>
    </row>
    <row r="2019" spans="1:41">
      <c r="A2019" s="189">
        <v>3656</v>
      </c>
      <c r="B2019" s="190">
        <v>1</v>
      </c>
      <c r="C2019" s="191" t="s">
        <v>239</v>
      </c>
      <c r="D2019" s="192">
        <f t="shared" si="434"/>
        <v>0.3</v>
      </c>
      <c r="E2019" s="192">
        <f t="shared" si="435"/>
        <v>9595.7000000000007</v>
      </c>
      <c r="F2019" s="192">
        <f t="shared" si="436"/>
        <v>0</v>
      </c>
      <c r="G2019" s="193">
        <f t="shared" si="437"/>
        <v>9596</v>
      </c>
      <c r="H2019" s="194">
        <v>0</v>
      </c>
      <c r="I2019" s="194">
        <v>3544</v>
      </c>
      <c r="J2019" s="194">
        <v>0</v>
      </c>
      <c r="K2019" s="193">
        <f t="shared" si="438"/>
        <v>3544</v>
      </c>
      <c r="L2019" s="194">
        <v>0</v>
      </c>
      <c r="M2019" s="194">
        <v>3506</v>
      </c>
      <c r="N2019" s="194">
        <v>0</v>
      </c>
      <c r="O2019" s="193">
        <f t="shared" si="439"/>
        <v>3506</v>
      </c>
      <c r="P2019" s="194">
        <v>0.3</v>
      </c>
      <c r="Q2019" s="194">
        <v>2545.6999999999998</v>
      </c>
      <c r="R2019" s="194">
        <v>0</v>
      </c>
      <c r="S2019" s="193">
        <f t="shared" si="440"/>
        <v>2546</v>
      </c>
      <c r="T2019" s="193">
        <f t="shared" si="441"/>
        <v>319.86666666666667</v>
      </c>
      <c r="U2019" s="193">
        <f ca="1">OFFSET('Expenditure Study'!$B$7,'Operations Support'!$C2019,'Operations Support'!$B2019)*$G2019</f>
        <v>14873.800000000001</v>
      </c>
      <c r="V2019" s="199">
        <f ca="1">U2019*'Expenditure Study'!$B$31</f>
        <v>878791.41458304005</v>
      </c>
      <c r="W2019" s="199">
        <f ca="1">IF(A2019=10298,1.51,1)*IF($B2019&lt;3,$D2019*'Expenditure Study'!$B$32*OFFSET('Expenditure Study'!$B$7,'Operations Support'!$C2019,'Operations Support'!$B2019),0)</f>
        <v>4.65E-2</v>
      </c>
      <c r="X2019" s="200">
        <f ca="1">W2019*'Expenditure Study'!$B$31</f>
        <v>2.7473679072000001</v>
      </c>
      <c r="Y2019" s="199">
        <f ca="1">U2019*'Expenditure Study'!$B$31</f>
        <v>878791.41458304005</v>
      </c>
      <c r="Z2019" s="200">
        <f ca="1">W2019*'Expenditure Study'!$B$31</f>
        <v>2.7473679072000001</v>
      </c>
      <c r="AA2019" s="195">
        <f t="shared" ca="1" si="442"/>
        <v>878794.16195094725</v>
      </c>
      <c r="AB2019" s="195">
        <f t="shared" ca="1" si="443"/>
        <v>878794.16195094725</v>
      </c>
      <c r="AD2019" s="196">
        <f>IFERROR($G2019/SUMIF($A:$A,$A2019,$G:$G)*SUMIF(Summary!$A$166:$A$242,$A2019,Summary!$P$166:$P$242),0)</f>
        <v>429843.39287887426</v>
      </c>
      <c r="AE2019" s="197">
        <f t="shared" ca="1" si="444"/>
        <v>448950.76907207299</v>
      </c>
      <c r="AF2019" s="196">
        <f>IFERROR(G2019/SUMIF(A:A,A2019,G:G)*SUMIF(Summary!$A$166:$A$242,'Operations Support'!A2019,Summary!$Q$166:$Q$242),0)</f>
        <v>431294.75955104316</v>
      </c>
      <c r="AG2019" s="196">
        <f t="shared" ca="1" si="445"/>
        <v>447499.40239990409</v>
      </c>
      <c r="AI2019" s="196">
        <f>IFERROR($G2019/SUMIF($A:$A,$A2019,$G:$G)*SUMIF(Summary!$A$247:$A$283,$A2019,Summary!$P$247:$P$283),0)</f>
        <v>78392.708238806736</v>
      </c>
      <c r="AJ2019" s="196">
        <f>IFERROR($G2019/SUMIF($A:$A,$A2019,$G:$G)*(SUMIF(Summary!$A$247:$A$283,$A2019,Summary!$L$247:$L$283)+SUMIF(Summary!$A$297:$A$333,$A2019,Summary!$L$297:$L$333))-AI2019,0)</f>
        <v>142511.24311286677</v>
      </c>
      <c r="AK2019" s="196">
        <f>IFERROR($G2019/SUMIF($A:$A,$A2019,$G:$G)*SUMIF(Summary!$A$247:$A$283,$A2019,Summary!$Q$247:$Q$283),0)</f>
        <v>78657.401301358768</v>
      </c>
      <c r="AL2019" s="196">
        <f>IFERROR($G2019/SUMIF($A:$A,$A2019,$G:$G)*(SUMIF(Summary!$A$247:$A$283,$A2019,Summary!$L$247:$L$283)+SUMIF(Summary!$A$297:$A$333,$A2019,Summary!$L$297:$L$333))-AK2019,0)</f>
        <v>142246.55005031475</v>
      </c>
      <c r="AM2019" s="198"/>
      <c r="AN2019" s="196">
        <f t="shared" ca="1" si="446"/>
        <v>591462.01218493981</v>
      </c>
      <c r="AO2019" s="196">
        <f t="shared" ca="1" si="447"/>
        <v>589745.95245021884</v>
      </c>
    </row>
    <row r="2020" spans="1:41">
      <c r="A2020" s="189">
        <v>3656</v>
      </c>
      <c r="B2020" s="190">
        <v>1</v>
      </c>
      <c r="C2020" s="191" t="s">
        <v>240</v>
      </c>
      <c r="D2020" s="192">
        <f t="shared" si="434"/>
        <v>0</v>
      </c>
      <c r="E2020" s="192">
        <f t="shared" si="435"/>
        <v>3138</v>
      </c>
      <c r="F2020" s="192">
        <f t="shared" si="436"/>
        <v>0</v>
      </c>
      <c r="G2020" s="193">
        <f t="shared" si="437"/>
        <v>3138</v>
      </c>
      <c r="H2020" s="194">
        <v>0</v>
      </c>
      <c r="I2020" s="194">
        <v>942</v>
      </c>
      <c r="J2020" s="194">
        <v>0</v>
      </c>
      <c r="K2020" s="193">
        <f t="shared" si="438"/>
        <v>942</v>
      </c>
      <c r="L2020" s="194">
        <v>0</v>
      </c>
      <c r="M2020" s="194">
        <v>2196</v>
      </c>
      <c r="N2020" s="194">
        <v>0</v>
      </c>
      <c r="O2020" s="193">
        <f t="shared" si="439"/>
        <v>2196</v>
      </c>
      <c r="P2020" s="194">
        <v>0</v>
      </c>
      <c r="Q2020" s="194">
        <v>0</v>
      </c>
      <c r="R2020" s="194">
        <v>0</v>
      </c>
      <c r="S2020" s="193">
        <f t="shared" si="440"/>
        <v>0</v>
      </c>
      <c r="T2020" s="193">
        <f t="shared" si="441"/>
        <v>104.6</v>
      </c>
      <c r="U2020" s="193">
        <f ca="1">OFFSET('Expenditure Study'!$B$7,'Operations Support'!$C2020,'Operations Support'!$B2020)*$G2020</f>
        <v>3138</v>
      </c>
      <c r="V2020" s="199">
        <f ca="1">U2020*'Expenditure Study'!$B$31</f>
        <v>185403.0213504</v>
      </c>
      <c r="W2020" s="199">
        <f ca="1">IF(A2020=10298,1.51,1)*IF($B2020&lt;3,$D2020*'Expenditure Study'!$B$32*OFFSET('Expenditure Study'!$B$7,'Operations Support'!$C2020,'Operations Support'!$B2020),0)</f>
        <v>0</v>
      </c>
      <c r="X2020" s="200">
        <f ca="1">W2020*'Expenditure Study'!$B$31</f>
        <v>0</v>
      </c>
      <c r="Y2020" s="199">
        <f ca="1">U2020*'Expenditure Study'!$B$31</f>
        <v>185403.0213504</v>
      </c>
      <c r="Z2020" s="200">
        <f ca="1">W2020*'Expenditure Study'!$B$31</f>
        <v>0</v>
      </c>
      <c r="AA2020" s="195">
        <f t="shared" ca="1" si="442"/>
        <v>185403.0213504</v>
      </c>
      <c r="AB2020" s="195">
        <f t="shared" ca="1" si="443"/>
        <v>185403.0213504</v>
      </c>
      <c r="AD2020" s="196">
        <f>IFERROR($G2020/SUMIF($A:$A,$A2020,$G:$G)*SUMIF(Summary!$A$166:$A$242,$A2020,Summary!$P$166:$P$242),0)</f>
        <v>140563.62722529256</v>
      </c>
      <c r="AE2020" s="197">
        <f t="shared" ca="1" si="444"/>
        <v>44839.394125107443</v>
      </c>
      <c r="AF2020" s="196">
        <f>IFERROR(G2020/SUMIF(A:A,A2020,G:G)*SUMIF(Summary!$A$166:$A$242,'Operations Support'!A2020,Summary!$Q$166:$Q$242),0)</f>
        <v>141038.24046177298</v>
      </c>
      <c r="AG2020" s="196">
        <f t="shared" ca="1" si="445"/>
        <v>44364.780888627021</v>
      </c>
      <c r="AI2020" s="196">
        <f>IFERROR($G2020/SUMIF($A:$A,$A2020,$G:$G)*SUMIF(Summary!$A$247:$A$283,$A2020,Summary!$P$247:$P$283),0)</f>
        <v>25635.29787967648</v>
      </c>
      <c r="AJ2020" s="196">
        <f>IFERROR($G2020/SUMIF($A:$A,$A2020,$G:$G)*(SUMIF(Summary!$A$247:$A$283,$A2020,Summary!$L$247:$L$283)+SUMIF(Summary!$A$297:$A$333,$A2020,Summary!$L$297:$L$333))-AI2020,0)</f>
        <v>46602.780417692367</v>
      </c>
      <c r="AK2020" s="196">
        <f>IFERROR($G2020/SUMIF($A:$A,$A2020,$G:$G)*SUMIF(Summary!$A$247:$A$283,$A2020,Summary!$Q$247:$Q$283),0)</f>
        <v>25721.855490169219</v>
      </c>
      <c r="AL2020" s="196">
        <f>IFERROR($G2020/SUMIF($A:$A,$A2020,$G:$G)*(SUMIF(Summary!$A$247:$A$283,$A2020,Summary!$L$247:$L$283)+SUMIF(Summary!$A$297:$A$333,$A2020,Summary!$L$297:$L$333))-AK2020,0)</f>
        <v>46516.222807199629</v>
      </c>
      <c r="AM2020" s="198"/>
      <c r="AN2020" s="196">
        <f t="shared" ca="1" si="446"/>
        <v>91442.17454279981</v>
      </c>
      <c r="AO2020" s="196">
        <f t="shared" ca="1" si="447"/>
        <v>90881.003695826657</v>
      </c>
    </row>
    <row r="2021" spans="1:41">
      <c r="A2021" s="189">
        <v>3656</v>
      </c>
      <c r="B2021" s="190">
        <v>2</v>
      </c>
      <c r="C2021" s="191" t="s">
        <v>220</v>
      </c>
      <c r="D2021" s="192">
        <f t="shared" si="434"/>
        <v>22815.5</v>
      </c>
      <c r="E2021" s="192">
        <f t="shared" si="435"/>
        <v>34956.5</v>
      </c>
      <c r="F2021" s="192">
        <f t="shared" si="436"/>
        <v>0</v>
      </c>
      <c r="G2021" s="193">
        <f t="shared" si="437"/>
        <v>57772</v>
      </c>
      <c r="H2021" s="194">
        <v>9171</v>
      </c>
      <c r="I2021" s="194">
        <v>17160</v>
      </c>
      <c r="J2021" s="194">
        <v>0</v>
      </c>
      <c r="K2021" s="193">
        <f t="shared" si="438"/>
        <v>26331</v>
      </c>
      <c r="L2021" s="194">
        <v>11794.5</v>
      </c>
      <c r="M2021" s="194">
        <v>14263.5</v>
      </c>
      <c r="N2021" s="194">
        <v>0</v>
      </c>
      <c r="O2021" s="193">
        <f t="shared" si="439"/>
        <v>26058</v>
      </c>
      <c r="P2021" s="194">
        <v>1850</v>
      </c>
      <c r="Q2021" s="194">
        <v>3533</v>
      </c>
      <c r="R2021" s="194">
        <v>0</v>
      </c>
      <c r="S2021" s="193">
        <f t="shared" si="440"/>
        <v>5383</v>
      </c>
      <c r="T2021" s="193">
        <f t="shared" si="441"/>
        <v>1925.7333333333333</v>
      </c>
      <c r="U2021" s="193">
        <f ca="1">OFFSET('Expenditure Study'!$B$7,'Operations Support'!$C2021,'Operations Support'!$B2021)*$G2021</f>
        <v>106300.48000000001</v>
      </c>
      <c r="V2021" s="199">
        <f ca="1">U2021*'Expenditure Study'!$B$31</f>
        <v>6280570.4789667847</v>
      </c>
      <c r="W2021" s="199">
        <f ca="1">IF(A2021=10298,1.51,1)*IF($B2021&lt;3,$D2021*'Expenditure Study'!$B$32*OFFSET('Expenditure Study'!$B$7,'Operations Support'!$C2021,'Operations Support'!$B2021),0)</f>
        <v>4198.0520000000006</v>
      </c>
      <c r="X2021" s="200">
        <f ca="1">W2021*'Expenditure Study'!$B$31</f>
        <v>248034.26532380164</v>
      </c>
      <c r="Y2021" s="199">
        <f ca="1">U2021*'Expenditure Study'!$B$31</f>
        <v>6280570.4789667847</v>
      </c>
      <c r="Z2021" s="200">
        <f ca="1">W2021*'Expenditure Study'!$B$31</f>
        <v>248034.26532380164</v>
      </c>
      <c r="AA2021" s="195">
        <f t="shared" ca="1" si="442"/>
        <v>6528604.7442905866</v>
      </c>
      <c r="AB2021" s="195">
        <f t="shared" ca="1" si="443"/>
        <v>6528604.7442905866</v>
      </c>
      <c r="AD2021" s="196">
        <f>IFERROR($G2021/SUMIF($A:$A,$A2021,$G:$G)*SUMIF(Summary!$A$166:$A$242,$A2021,Summary!$P$166:$P$242),0)</f>
        <v>2587839.9847226264</v>
      </c>
      <c r="AE2021" s="197">
        <f t="shared" ca="1" si="444"/>
        <v>3940764.7595679602</v>
      </c>
      <c r="AF2021" s="196">
        <f>IFERROR(G2021/SUMIF(A:A,A2021,G:G)*SUMIF(Summary!$A$166:$A$242,'Operations Support'!A2021,Summary!$Q$166:$Q$242),0)</f>
        <v>2596577.8291770387</v>
      </c>
      <c r="AG2021" s="196">
        <f t="shared" ca="1" si="445"/>
        <v>3932026.9151135478</v>
      </c>
      <c r="AI2021" s="196">
        <f>IFERROR($G2021/SUMIF($A:$A,$A2021,$G:$G)*SUMIF(Summary!$A$247:$A$283,$A2021,Summary!$P$247:$P$283),0)</f>
        <v>471957.43438644666</v>
      </c>
      <c r="AJ2021" s="196">
        <f>IFERROR($G2021/SUMIF($A:$A,$A2021,$G:$G)*(SUMIF(Summary!$A$247:$A$283,$A2021,Summary!$L$247:$L$283)+SUMIF(Summary!$A$297:$A$333,$A2021,Summary!$L$297:$L$333))-AI2021,0)</f>
        <v>857978.27606466645</v>
      </c>
      <c r="AK2021" s="196">
        <f>IFERROR($G2021/SUMIF($A:$A,$A2021,$G:$G)*SUMIF(Summary!$A$247:$A$283,$A2021,Summary!$Q$247:$Q$283),0)</f>
        <v>473550.99916445377</v>
      </c>
      <c r="AL2021" s="196">
        <f>IFERROR($G2021/SUMIF($A:$A,$A2021,$G:$G)*(SUMIF(Summary!$A$247:$A$283,$A2021,Summary!$L$247:$L$283)+SUMIF(Summary!$A$297:$A$333,$A2021,Summary!$L$297:$L$333))-AK2021,0)</f>
        <v>856384.71128665935</v>
      </c>
      <c r="AM2021" s="198"/>
      <c r="AN2021" s="196">
        <f t="shared" ca="1" si="446"/>
        <v>4798743.0356326271</v>
      </c>
      <c r="AO2021" s="196">
        <f t="shared" ca="1" si="447"/>
        <v>4788411.6264002072</v>
      </c>
    </row>
    <row r="2022" spans="1:41">
      <c r="A2022" s="189">
        <v>3656</v>
      </c>
      <c r="B2022" s="190">
        <v>2</v>
      </c>
      <c r="C2022" s="191" t="s">
        <v>221</v>
      </c>
      <c r="D2022" s="192">
        <f t="shared" si="434"/>
        <v>6964.7</v>
      </c>
      <c r="E2022" s="192">
        <f t="shared" si="435"/>
        <v>15183.3</v>
      </c>
      <c r="F2022" s="192">
        <f t="shared" si="436"/>
        <v>0</v>
      </c>
      <c r="G2022" s="193">
        <f t="shared" si="437"/>
        <v>22148</v>
      </c>
      <c r="H2022" s="194">
        <v>3374</v>
      </c>
      <c r="I2022" s="194">
        <v>7385</v>
      </c>
      <c r="J2022" s="194">
        <v>0</v>
      </c>
      <c r="K2022" s="193">
        <f t="shared" si="438"/>
        <v>10759</v>
      </c>
      <c r="L2022" s="194">
        <v>3176</v>
      </c>
      <c r="M2022" s="194">
        <v>6895</v>
      </c>
      <c r="N2022" s="194">
        <v>0</v>
      </c>
      <c r="O2022" s="193">
        <f t="shared" si="439"/>
        <v>10071</v>
      </c>
      <c r="P2022" s="194">
        <v>414.7</v>
      </c>
      <c r="Q2022" s="194">
        <v>903.3</v>
      </c>
      <c r="R2022" s="194">
        <v>0</v>
      </c>
      <c r="S2022" s="193">
        <f t="shared" si="440"/>
        <v>1318</v>
      </c>
      <c r="T2022" s="193">
        <f t="shared" si="441"/>
        <v>738.26666666666665</v>
      </c>
      <c r="U2022" s="193">
        <f ca="1">OFFSET('Expenditure Study'!$B$7,'Operations Support'!$C2022,'Operations Support'!$B2022)*$G2022</f>
        <v>58249.24</v>
      </c>
      <c r="V2022" s="199">
        <f ca="1">U2022*'Expenditure Study'!$B$31</f>
        <v>3441550.378382592</v>
      </c>
      <c r="W2022" s="199">
        <f ca="1">IF(A2022=10298,1.51,1)*IF($B2022&lt;3,$D2022*'Expenditure Study'!$B$32*OFFSET('Expenditure Study'!$B$7,'Operations Support'!$C2022,'Operations Support'!$B2022),0)</f>
        <v>1831.7161000000001</v>
      </c>
      <c r="X2022" s="200">
        <f ca="1">W2022*'Expenditure Study'!$B$31</f>
        <v>108223.61351057088</v>
      </c>
      <c r="Y2022" s="199">
        <f ca="1">U2022*'Expenditure Study'!$B$31</f>
        <v>3441550.378382592</v>
      </c>
      <c r="Z2022" s="200">
        <f ca="1">W2022*'Expenditure Study'!$B$31</f>
        <v>108223.61351057088</v>
      </c>
      <c r="AA2022" s="195">
        <f t="shared" ca="1" si="442"/>
        <v>3549773.991893163</v>
      </c>
      <c r="AB2022" s="195">
        <f t="shared" ca="1" si="443"/>
        <v>3549773.991893163</v>
      </c>
      <c r="AD2022" s="196">
        <f>IFERROR($G2022/SUMIF($A:$A,$A2022,$G:$G)*SUMIF(Summary!$A$166:$A$242,$A2022,Summary!$P$166:$P$242),0)</f>
        <v>992097.90178004454</v>
      </c>
      <c r="AE2022" s="197">
        <f t="shared" ca="1" si="444"/>
        <v>2557676.0901131183</v>
      </c>
      <c r="AF2022" s="196">
        <f>IFERROR(G2022/SUMIF(A:A,A2022,G:G)*SUMIF(Summary!$A$166:$A$242,'Operations Support'!A2022,Summary!$Q$166:$Q$242),0)</f>
        <v>995447.72139813507</v>
      </c>
      <c r="AG2022" s="196">
        <f t="shared" ca="1" si="445"/>
        <v>2554326.2704950278</v>
      </c>
      <c r="AI2022" s="196">
        <f>IFERROR($G2022/SUMIF($A:$A,$A2022,$G:$G)*SUMIF(Summary!$A$247:$A$283,$A2022,Summary!$P$247:$P$283),0)</f>
        <v>180933.89975751264</v>
      </c>
      <c r="AJ2022" s="196">
        <f>IFERROR($G2022/SUMIF($A:$A,$A2022,$G:$G)*(SUMIF(Summary!$A$247:$A$283,$A2022,Summary!$L$247:$L$283)+SUMIF(Summary!$A$297:$A$333,$A2022,Summary!$L$297:$L$333))-AI2022,0)</f>
        <v>328922.36478363629</v>
      </c>
      <c r="AK2022" s="196">
        <f>IFERROR($G2022/SUMIF($A:$A,$A2022,$G:$G)*SUMIF(Summary!$A$247:$A$283,$A2022,Summary!$Q$247:$Q$283),0)</f>
        <v>181544.82326203564</v>
      </c>
      <c r="AL2022" s="196">
        <f>IFERROR($G2022/SUMIF($A:$A,$A2022,$G:$G)*(SUMIF(Summary!$A$247:$A$283,$A2022,Summary!$L$247:$L$283)+SUMIF(Summary!$A$297:$A$333,$A2022,Summary!$L$297:$L$333))-AK2022,0)</f>
        <v>328311.44127911329</v>
      </c>
      <c r="AM2022" s="198"/>
      <c r="AN2022" s="196">
        <f t="shared" ca="1" si="446"/>
        <v>2886598.4548967546</v>
      </c>
      <c r="AO2022" s="196">
        <f t="shared" ca="1" si="447"/>
        <v>2882637.7117741411</v>
      </c>
    </row>
    <row r="2023" spans="1:41">
      <c r="A2023" s="189">
        <v>3656</v>
      </c>
      <c r="B2023" s="190">
        <v>2</v>
      </c>
      <c r="C2023" s="191" t="s">
        <v>222</v>
      </c>
      <c r="D2023" s="192">
        <f t="shared" si="434"/>
        <v>3055.5</v>
      </c>
      <c r="E2023" s="192">
        <f t="shared" si="435"/>
        <v>6731.5</v>
      </c>
      <c r="F2023" s="192">
        <f t="shared" si="436"/>
        <v>0</v>
      </c>
      <c r="G2023" s="193">
        <f t="shared" si="437"/>
        <v>9787</v>
      </c>
      <c r="H2023" s="194">
        <v>1442</v>
      </c>
      <c r="I2023" s="194">
        <v>3287</v>
      </c>
      <c r="J2023" s="194">
        <v>0</v>
      </c>
      <c r="K2023" s="193">
        <f t="shared" si="438"/>
        <v>4729</v>
      </c>
      <c r="L2023" s="194">
        <v>1544.5</v>
      </c>
      <c r="M2023" s="194">
        <v>3225.5</v>
      </c>
      <c r="N2023" s="194">
        <v>0</v>
      </c>
      <c r="O2023" s="193">
        <f t="shared" si="439"/>
        <v>4770</v>
      </c>
      <c r="P2023" s="194">
        <v>69</v>
      </c>
      <c r="Q2023" s="194">
        <v>219</v>
      </c>
      <c r="R2023" s="194">
        <v>0</v>
      </c>
      <c r="S2023" s="193">
        <f t="shared" si="440"/>
        <v>288</v>
      </c>
      <c r="T2023" s="193">
        <f t="shared" si="441"/>
        <v>326.23333333333335</v>
      </c>
      <c r="U2023" s="193">
        <f ca="1">OFFSET('Expenditure Study'!$B$7,'Operations Support'!$C2023,'Operations Support'!$B2023)*$G2023</f>
        <v>26033.420000000002</v>
      </c>
      <c r="V2023" s="199">
        <f ca="1">U2023*'Expenditure Study'!$B$31</f>
        <v>1538137.2607023362</v>
      </c>
      <c r="W2023" s="199">
        <f ca="1">IF(A2023=10298,1.51,1)*IF($B2023&lt;3,$D2023*'Expenditure Study'!$B$32*OFFSET('Expenditure Study'!$B$7,'Operations Support'!$C2023,'Operations Support'!$B2023),0)</f>
        <v>812.76300000000003</v>
      </c>
      <c r="X2023" s="200">
        <f ca="1">W2023*'Expenditure Study'!$B$31</f>
        <v>48020.623276550403</v>
      </c>
      <c r="Y2023" s="199">
        <f ca="1">U2023*'Expenditure Study'!$B$31</f>
        <v>1538137.2607023362</v>
      </c>
      <c r="Z2023" s="200">
        <f ca="1">W2023*'Expenditure Study'!$B$31</f>
        <v>48020.623276550403</v>
      </c>
      <c r="AA2023" s="195">
        <f t="shared" ca="1" si="442"/>
        <v>1586157.8839788865</v>
      </c>
      <c r="AB2023" s="195">
        <f t="shared" ca="1" si="443"/>
        <v>1586157.8839788865</v>
      </c>
      <c r="AD2023" s="196">
        <f>IFERROR($G2023/SUMIF($A:$A,$A2023,$G:$G)*SUMIF(Summary!$A$166:$A$242,$A2023,Summary!$P$166:$P$242),0)</f>
        <v>438399.05024026078</v>
      </c>
      <c r="AE2023" s="197">
        <f t="shared" ca="1" si="444"/>
        <v>1147758.8337386257</v>
      </c>
      <c r="AF2023" s="196">
        <f>IFERROR(G2023/SUMIF(A:A,A2023,G:G)*SUMIF(Summary!$A$166:$A$242,'Operations Support'!A2023,Summary!$Q$166:$Q$242),0)</f>
        <v>439879.30509858887</v>
      </c>
      <c r="AG2023" s="196">
        <f t="shared" ca="1" si="445"/>
        <v>1146278.5788802977</v>
      </c>
      <c r="AI2023" s="196">
        <f>IFERROR($G2023/SUMIF($A:$A,$A2023,$G:$G)*SUMIF(Summary!$A$247:$A$283,$A2023,Summary!$P$247:$P$283),0)</f>
        <v>79953.046637474094</v>
      </c>
      <c r="AJ2023" s="196">
        <f>IFERROR($G2023/SUMIF($A:$A,$A2023,$G:$G)*(SUMIF(Summary!$A$247:$A$283,$A2023,Summary!$L$247:$L$283)+SUMIF(Summary!$A$297:$A$333,$A2023,Summary!$L$297:$L$333))-AI2023,0)</f>
        <v>145347.80495473396</v>
      </c>
      <c r="AK2023" s="196">
        <f>IFERROR($G2023/SUMIF($A:$A,$A2023,$G:$G)*SUMIF(Summary!$A$247:$A$283,$A2023,Summary!$Q$247:$Q$283),0)</f>
        <v>80223.008184284932</v>
      </c>
      <c r="AL2023" s="196">
        <f>IFERROR($G2023/SUMIF($A:$A,$A2023,$G:$G)*(SUMIF(Summary!$A$247:$A$283,$A2023,Summary!$L$247:$L$283)+SUMIF(Summary!$A$297:$A$333,$A2023,Summary!$L$297:$L$333))-AK2023,0)</f>
        <v>145077.84340792312</v>
      </c>
      <c r="AM2023" s="198"/>
      <c r="AN2023" s="196">
        <f t="shared" ca="1" si="446"/>
        <v>1293106.6386933597</v>
      </c>
      <c r="AO2023" s="196">
        <f t="shared" ca="1" si="447"/>
        <v>1291356.4222882208</v>
      </c>
    </row>
    <row r="2024" spans="1:41" s="201" customFormat="1">
      <c r="A2024" s="189">
        <v>3656</v>
      </c>
      <c r="B2024" s="190">
        <v>2</v>
      </c>
      <c r="C2024" s="191" t="s">
        <v>223</v>
      </c>
      <c r="D2024" s="192">
        <f t="shared" si="434"/>
        <v>2043</v>
      </c>
      <c r="E2024" s="192">
        <f t="shared" si="435"/>
        <v>5242</v>
      </c>
      <c r="F2024" s="192">
        <f t="shared" si="436"/>
        <v>0</v>
      </c>
      <c r="G2024" s="193">
        <f t="shared" si="437"/>
        <v>7285</v>
      </c>
      <c r="H2024" s="194">
        <v>939</v>
      </c>
      <c r="I2024" s="194">
        <v>1958</v>
      </c>
      <c r="J2024" s="194">
        <v>0</v>
      </c>
      <c r="K2024" s="193">
        <f t="shared" si="438"/>
        <v>2897</v>
      </c>
      <c r="L2024" s="194">
        <v>1065</v>
      </c>
      <c r="M2024" s="194">
        <v>2768</v>
      </c>
      <c r="N2024" s="194">
        <v>0</v>
      </c>
      <c r="O2024" s="193">
        <f t="shared" si="439"/>
        <v>3833</v>
      </c>
      <c r="P2024" s="194">
        <v>39</v>
      </c>
      <c r="Q2024" s="194">
        <v>516</v>
      </c>
      <c r="R2024" s="194">
        <v>0</v>
      </c>
      <c r="S2024" s="193">
        <f t="shared" si="440"/>
        <v>555</v>
      </c>
      <c r="T2024" s="193">
        <f t="shared" si="441"/>
        <v>242.83333333333334</v>
      </c>
      <c r="U2024" s="193">
        <f ca="1">OFFSET('Expenditure Study'!$B$7,'Operations Support'!$C2024,'Operations Support'!$B2024)*$G2024</f>
        <v>13841.5</v>
      </c>
      <c r="V2024" s="199">
        <f ca="1">U2024*'Expenditure Study'!$B$31</f>
        <v>817799.84704320005</v>
      </c>
      <c r="W2024" s="199">
        <f ca="1">IF(A2024=10298,1.51,1)*IF($B2024&lt;3,$D2024*'Expenditure Study'!$B$32*OFFSET('Expenditure Study'!$B$7,'Operations Support'!$C2024,'Operations Support'!$B2024),0)</f>
        <v>388.17</v>
      </c>
      <c r="X2024" s="200">
        <f ca="1">W2024*'Expenditure Study'!$B$31</f>
        <v>22934.318291136002</v>
      </c>
      <c r="Y2024" s="199">
        <f ca="1">U2024*'Expenditure Study'!$B$31</f>
        <v>817799.84704320005</v>
      </c>
      <c r="Z2024" s="200">
        <f ca="1">W2024*'Expenditure Study'!$B$31</f>
        <v>22934.318291136002</v>
      </c>
      <c r="AA2024" s="195">
        <f t="shared" ca="1" si="442"/>
        <v>840734.16533433599</v>
      </c>
      <c r="AB2024" s="195">
        <f t="shared" ca="1" si="443"/>
        <v>840734.16533433599</v>
      </c>
      <c r="AD2024" s="196">
        <f>IFERROR($G2024/SUMIF($A:$A,$A2024,$G:$G)*SUMIF(Summary!$A$166:$A$242,$A2024,Summary!$P$166:$P$242),0)</f>
        <v>326324.41820785735</v>
      </c>
      <c r="AE2024" s="197">
        <f t="shared" ca="1" si="444"/>
        <v>514409.74712647864</v>
      </c>
      <c r="AF2024" s="196">
        <f>IFERROR(G2024/SUMIF(A:A,A2024,G:G)*SUMIF(Summary!$A$166:$A$242,'Operations Support'!A2024,Summary!$Q$166:$Q$242),0)</f>
        <v>327426.25295220397</v>
      </c>
      <c r="AG2024" s="196">
        <f t="shared" ca="1" si="445"/>
        <v>513307.91238213202</v>
      </c>
      <c r="AH2024" s="180"/>
      <c r="AI2024" s="196">
        <f>IFERROR($G2024/SUMIF($A:$A,$A2024,$G:$G)*SUMIF(Summary!$A$247:$A$283,$A2024,Summary!$P$247:$P$283),0)</f>
        <v>59513.430546030322</v>
      </c>
      <c r="AJ2024" s="196">
        <f>IFERROR($G2024/SUMIF($A:$A,$A2024,$G:$G)*(SUMIF(Summary!$A$247:$A$283,$A2024,Summary!$L$247:$L$283)+SUMIF(Summary!$A$297:$A$333,$A2024,Summary!$L$297:$L$333))-AI2024,0)</f>
        <v>108190.32993718577</v>
      </c>
      <c r="AK2024" s="196">
        <f>IFERROR($G2024/SUMIF($A:$A,$A2024,$G:$G)*SUMIF(Summary!$A$247:$A$283,$A2024,Summary!$Q$247:$Q$283),0)</f>
        <v>59714.377707419611</v>
      </c>
      <c r="AL2024" s="196">
        <f>IFERROR($G2024/SUMIF($A:$A,$A2024,$G:$G)*(SUMIF(Summary!$A$247:$A$283,$A2024,Summary!$L$247:$L$283)+SUMIF(Summary!$A$297:$A$333,$A2024,Summary!$L$297:$L$333))-AK2024,0)</f>
        <v>107989.38277579648</v>
      </c>
      <c r="AM2024" s="198"/>
      <c r="AN2024" s="196">
        <f t="shared" ca="1" si="446"/>
        <v>622600.07706366444</v>
      </c>
      <c r="AO2024" s="196">
        <f t="shared" ca="1" si="447"/>
        <v>621297.29515792849</v>
      </c>
    </row>
    <row r="2025" spans="1:41">
      <c r="A2025" s="189">
        <v>3656</v>
      </c>
      <c r="B2025" s="190">
        <v>2</v>
      </c>
      <c r="C2025" s="191" t="s">
        <v>224</v>
      </c>
      <c r="D2025" s="192">
        <f t="shared" si="434"/>
        <v>0</v>
      </c>
      <c r="E2025" s="192">
        <f t="shared" si="435"/>
        <v>0</v>
      </c>
      <c r="F2025" s="192">
        <f t="shared" si="436"/>
        <v>0</v>
      </c>
      <c r="G2025" s="193">
        <f t="shared" si="437"/>
        <v>0</v>
      </c>
      <c r="H2025" s="194">
        <v>0</v>
      </c>
      <c r="I2025" s="194">
        <v>0</v>
      </c>
      <c r="J2025" s="194">
        <v>0</v>
      </c>
      <c r="K2025" s="193">
        <f t="shared" si="438"/>
        <v>0</v>
      </c>
      <c r="L2025" s="194">
        <v>0</v>
      </c>
      <c r="M2025" s="194">
        <v>0</v>
      </c>
      <c r="N2025" s="194">
        <v>0</v>
      </c>
      <c r="O2025" s="193">
        <f t="shared" si="439"/>
        <v>0</v>
      </c>
      <c r="P2025" s="194">
        <v>0</v>
      </c>
      <c r="Q2025" s="194">
        <v>0</v>
      </c>
      <c r="R2025" s="194">
        <v>0</v>
      </c>
      <c r="S2025" s="193">
        <f t="shared" si="440"/>
        <v>0</v>
      </c>
      <c r="T2025" s="193">
        <f t="shared" si="441"/>
        <v>0</v>
      </c>
      <c r="U2025" s="193">
        <f ca="1">OFFSET('Expenditure Study'!$B$7,'Operations Support'!$C2025,'Operations Support'!$B2025)*$G2025</f>
        <v>0</v>
      </c>
      <c r="V2025" s="199">
        <f ca="1">U2025*'Expenditure Study'!$B$31</f>
        <v>0</v>
      </c>
      <c r="W2025" s="199">
        <f ca="1">IF(A2025=10298,1.51,1)*IF($B2025&lt;3,$D2025*'Expenditure Study'!$B$32*OFFSET('Expenditure Study'!$B$7,'Operations Support'!$C2025,'Operations Support'!$B2025),0)</f>
        <v>0</v>
      </c>
      <c r="X2025" s="200">
        <f ca="1">W2025*'Expenditure Study'!$B$31</f>
        <v>0</v>
      </c>
      <c r="Y2025" s="199">
        <f ca="1">U2025*'Expenditure Study'!$B$31</f>
        <v>0</v>
      </c>
      <c r="Z2025" s="200">
        <f ca="1">W2025*'Expenditure Study'!$B$31</f>
        <v>0</v>
      </c>
      <c r="AA2025" s="195">
        <f t="shared" ca="1" si="442"/>
        <v>0</v>
      </c>
      <c r="AB2025" s="195">
        <f t="shared" ca="1" si="443"/>
        <v>0</v>
      </c>
      <c r="AD2025" s="196">
        <f>IFERROR($G2025/SUMIF($A:$A,$A2025,$G:$G)*SUMIF(Summary!$A$166:$A$242,$A2025,Summary!$P$166:$P$242),0)</f>
        <v>0</v>
      </c>
      <c r="AE2025" s="197">
        <f t="shared" ca="1" si="444"/>
        <v>0</v>
      </c>
      <c r="AF2025" s="196">
        <f>IFERROR(G2025/SUMIF(A:A,A2025,G:G)*SUMIF(Summary!$A$166:$A$242,'Operations Support'!A2025,Summary!$Q$166:$Q$242),0)</f>
        <v>0</v>
      </c>
      <c r="AG2025" s="196">
        <f t="shared" ca="1" si="445"/>
        <v>0</v>
      </c>
      <c r="AI2025" s="196">
        <f>IFERROR($G2025/SUMIF($A:$A,$A2025,$G:$G)*SUMIF(Summary!$A$247:$A$283,$A2025,Summary!$P$247:$P$283),0)</f>
        <v>0</v>
      </c>
      <c r="AJ2025" s="196">
        <f>IFERROR($G2025/SUMIF($A:$A,$A2025,$G:$G)*(SUMIF(Summary!$A$247:$A$283,$A2025,Summary!$L$247:$L$283)+SUMIF(Summary!$A$297:$A$333,$A2025,Summary!$L$297:$L$333))-AI2025,0)</f>
        <v>0</v>
      </c>
      <c r="AK2025" s="196">
        <f>IFERROR($G2025/SUMIF($A:$A,$A2025,$G:$G)*SUMIF(Summary!$A$247:$A$283,$A2025,Summary!$Q$247:$Q$283),0)</f>
        <v>0</v>
      </c>
      <c r="AL2025" s="196">
        <f>IFERROR($G2025/SUMIF($A:$A,$A2025,$G:$G)*(SUMIF(Summary!$A$247:$A$283,$A2025,Summary!$L$247:$L$283)+SUMIF(Summary!$A$297:$A$333,$A2025,Summary!$L$297:$L$333))-AK2025,0)</f>
        <v>0</v>
      </c>
      <c r="AM2025" s="198"/>
      <c r="AN2025" s="196">
        <f t="shared" ca="1" si="446"/>
        <v>0</v>
      </c>
      <c r="AO2025" s="196">
        <f t="shared" ca="1" si="447"/>
        <v>0</v>
      </c>
    </row>
    <row r="2026" spans="1:41">
      <c r="A2026" s="189">
        <v>3656</v>
      </c>
      <c r="B2026" s="190">
        <v>2</v>
      </c>
      <c r="C2026" s="191" t="s">
        <v>225</v>
      </c>
      <c r="D2026" s="192">
        <f t="shared" si="434"/>
        <v>15575</v>
      </c>
      <c r="E2026" s="192">
        <f t="shared" si="435"/>
        <v>29312</v>
      </c>
      <c r="F2026" s="192">
        <f t="shared" si="436"/>
        <v>0</v>
      </c>
      <c r="G2026" s="193">
        <f t="shared" si="437"/>
        <v>44887</v>
      </c>
      <c r="H2026" s="194">
        <v>7270</v>
      </c>
      <c r="I2026" s="194">
        <v>13980</v>
      </c>
      <c r="J2026" s="194">
        <v>0</v>
      </c>
      <c r="K2026" s="193">
        <f t="shared" si="438"/>
        <v>21250</v>
      </c>
      <c r="L2026" s="194">
        <v>7447</v>
      </c>
      <c r="M2026" s="194">
        <v>12883</v>
      </c>
      <c r="N2026" s="194">
        <v>0</v>
      </c>
      <c r="O2026" s="193">
        <f t="shared" si="439"/>
        <v>20330</v>
      </c>
      <c r="P2026" s="194">
        <v>858</v>
      </c>
      <c r="Q2026" s="194">
        <v>2449</v>
      </c>
      <c r="R2026" s="194">
        <v>0</v>
      </c>
      <c r="S2026" s="193">
        <f t="shared" si="440"/>
        <v>3307</v>
      </c>
      <c r="T2026" s="193">
        <f t="shared" si="441"/>
        <v>1496.2333333333333</v>
      </c>
      <c r="U2026" s="193">
        <f ca="1">OFFSET('Expenditure Study'!$B$7,'Operations Support'!$C2026,'Operations Support'!$B2026)*$G2026</f>
        <v>125683.59999999999</v>
      </c>
      <c r="V2026" s="199">
        <f ca="1">U2026*'Expenditure Study'!$B$31</f>
        <v>7425786.8623948796</v>
      </c>
      <c r="W2026" s="199">
        <f ca="1">IF(A2026=10298,1.51,1)*IF($B2026&lt;3,$D2026*'Expenditure Study'!$B$32*OFFSET('Expenditure Study'!$B$7,'Operations Support'!$C2026,'Operations Support'!$B2026),0)</f>
        <v>4361</v>
      </c>
      <c r="X2026" s="200">
        <f ca="1">W2026*'Expenditure Study'!$B$31</f>
        <v>257661.75146880001</v>
      </c>
      <c r="Y2026" s="199">
        <f ca="1">U2026*'Expenditure Study'!$B$31</f>
        <v>7425786.8623948796</v>
      </c>
      <c r="Z2026" s="200">
        <f ca="1">W2026*'Expenditure Study'!$B$31</f>
        <v>257661.75146880001</v>
      </c>
      <c r="AA2026" s="195">
        <f t="shared" ca="1" si="442"/>
        <v>7683448.6138636796</v>
      </c>
      <c r="AB2026" s="195">
        <f t="shared" ca="1" si="443"/>
        <v>7683448.6138636796</v>
      </c>
      <c r="AD2026" s="196">
        <f>IFERROR($G2026/SUMIF($A:$A,$A2026,$G:$G)*SUMIF(Summary!$A$166:$A$242,$A2026,Summary!$P$166:$P$242),0)</f>
        <v>2010669.0679610285</v>
      </c>
      <c r="AE2026" s="197">
        <f t="shared" ca="1" si="444"/>
        <v>5672779.5459026508</v>
      </c>
      <c r="AF2026" s="196">
        <f>IFERROR(G2026/SUMIF(A:A,A2026,G:G)*SUMIF(Summary!$A$166:$A$242,'Operations Support'!A2026,Summary!$Q$166:$Q$242),0)</f>
        <v>2017458.0942025506</v>
      </c>
      <c r="AG2026" s="196">
        <f t="shared" ca="1" si="445"/>
        <v>5665990.5196611285</v>
      </c>
      <c r="AI2026" s="196">
        <f>IFERROR($G2026/SUMIF($A:$A,$A2026,$G:$G)*SUMIF(Summary!$A$247:$A$283,$A2026,Summary!$P$247:$P$283),0)</f>
        <v>366695.86230880761</v>
      </c>
      <c r="AJ2026" s="196">
        <f>IFERROR($G2026/SUMIF($A:$A,$A2026,$G:$G)*(SUMIF(Summary!$A$247:$A$283,$A2026,Summary!$L$247:$L$283)+SUMIF(Summary!$A$297:$A$333,$A2026,Summary!$L$297:$L$333))-AI2026,0)</f>
        <v>666621.73505702917</v>
      </c>
      <c r="AK2026" s="196">
        <f>IFERROR($G2026/SUMIF($A:$A,$A2026,$G:$G)*SUMIF(Summary!$A$247:$A$283,$A2026,Summary!$Q$247:$Q$283),0)</f>
        <v>367934.0112769999</v>
      </c>
      <c r="AL2026" s="196">
        <f>IFERROR($G2026/SUMIF($A:$A,$A2026,$G:$G)*(SUMIF(Summary!$A$247:$A$283,$A2026,Summary!$L$247:$L$283)+SUMIF(Summary!$A$297:$A$333,$A2026,Summary!$L$297:$L$333))-AK2026,0)</f>
        <v>665383.58608883689</v>
      </c>
      <c r="AM2026" s="198"/>
      <c r="AN2026" s="196">
        <f t="shared" ca="1" si="446"/>
        <v>6339401.2809596797</v>
      </c>
      <c r="AO2026" s="196">
        <f t="shared" ca="1" si="447"/>
        <v>6331374.1057499656</v>
      </c>
    </row>
    <row r="2027" spans="1:41">
      <c r="A2027" s="189">
        <v>3656</v>
      </c>
      <c r="B2027" s="190">
        <v>2</v>
      </c>
      <c r="C2027" s="191" t="s">
        <v>226</v>
      </c>
      <c r="D2027" s="192">
        <f t="shared" si="434"/>
        <v>219</v>
      </c>
      <c r="E2027" s="192">
        <f t="shared" si="435"/>
        <v>933</v>
      </c>
      <c r="F2027" s="192">
        <f t="shared" si="436"/>
        <v>0</v>
      </c>
      <c r="G2027" s="193">
        <f t="shared" si="437"/>
        <v>1152</v>
      </c>
      <c r="H2027" s="194">
        <v>186</v>
      </c>
      <c r="I2027" s="194">
        <v>414</v>
      </c>
      <c r="J2027" s="194">
        <v>0</v>
      </c>
      <c r="K2027" s="193">
        <f t="shared" si="438"/>
        <v>600</v>
      </c>
      <c r="L2027" s="194">
        <v>33</v>
      </c>
      <c r="M2027" s="194">
        <v>519</v>
      </c>
      <c r="N2027" s="194">
        <v>0</v>
      </c>
      <c r="O2027" s="193">
        <f t="shared" si="439"/>
        <v>552</v>
      </c>
      <c r="P2027" s="194">
        <v>0</v>
      </c>
      <c r="Q2027" s="194">
        <v>0</v>
      </c>
      <c r="R2027" s="194">
        <v>0</v>
      </c>
      <c r="S2027" s="193">
        <f t="shared" si="440"/>
        <v>0</v>
      </c>
      <c r="T2027" s="193">
        <f t="shared" si="441"/>
        <v>38.4</v>
      </c>
      <c r="U2027" s="193">
        <f ca="1">OFFSET('Expenditure Study'!$B$7,'Operations Support'!$C2027,'Operations Support'!$B2027)*$G2027</f>
        <v>2073.6</v>
      </c>
      <c r="V2027" s="199">
        <f ca="1">U2027*'Expenditure Study'!$B$31</f>
        <v>122514.88370687999</v>
      </c>
      <c r="W2027" s="199">
        <f ca="1">IF(A2027=10298,1.51,1)*IF($B2027&lt;3,$D2027*'Expenditure Study'!$B$32*OFFSET('Expenditure Study'!$B$7,'Operations Support'!$C2027,'Operations Support'!$B2027),0)</f>
        <v>39.42</v>
      </c>
      <c r="X2027" s="200">
        <f ca="1">W2027*'Expenditure Study'!$B$31</f>
        <v>2329.0589871360003</v>
      </c>
      <c r="Y2027" s="199">
        <f ca="1">U2027*'Expenditure Study'!$B$31</f>
        <v>122514.88370687999</v>
      </c>
      <c r="Z2027" s="200">
        <f ca="1">W2027*'Expenditure Study'!$B$31</f>
        <v>2329.0589871360003</v>
      </c>
      <c r="AA2027" s="195">
        <f t="shared" ca="1" si="442"/>
        <v>124843.94269401599</v>
      </c>
      <c r="AB2027" s="195">
        <f t="shared" ca="1" si="443"/>
        <v>124843.94269401599</v>
      </c>
      <c r="AD2027" s="196">
        <f>IFERROR($G2027/SUMIF($A:$A,$A2027,$G:$G)*SUMIF(Summary!$A$166:$A$242,$A2027,Summary!$P$166:$P$242),0)</f>
        <v>51602.708273912373</v>
      </c>
      <c r="AE2027" s="197">
        <f t="shared" ca="1" si="444"/>
        <v>73241.234420103618</v>
      </c>
      <c r="AF2027" s="196">
        <f>IFERROR(G2027/SUMIF(A:A,A2027,G:G)*SUMIF(Summary!$A$166:$A$242,'Operations Support'!A2027,Summary!$Q$166:$Q$242),0)</f>
        <v>51776.944873155655</v>
      </c>
      <c r="AG2027" s="196">
        <f t="shared" ca="1" si="445"/>
        <v>73066.997820860328</v>
      </c>
      <c r="AI2027" s="196">
        <f>IFERROR($G2027/SUMIF($A:$A,$A2027,$G:$G)*SUMIF(Summary!$A$247:$A$283,$A2027,Summary!$P$247:$P$283),0)</f>
        <v>9411.046257930946</v>
      </c>
      <c r="AJ2027" s="196">
        <f>IFERROR($G2027/SUMIF($A:$A,$A2027,$G:$G)*(SUMIF(Summary!$A$247:$A$283,$A2027,Summary!$L$247:$L$283)+SUMIF(Summary!$A$297:$A$333,$A2027,Summary!$L$297:$L$333))-AI2027,0)</f>
        <v>17108.477705921479</v>
      </c>
      <c r="AK2027" s="196">
        <f>IFERROR($G2027/SUMIF($A:$A,$A2027,$G:$G)*SUMIF(Summary!$A$247:$A$283,$A2027,Summary!$Q$247:$Q$283),0)</f>
        <v>9442.8226656070547</v>
      </c>
      <c r="AL2027" s="196">
        <f>IFERROR($G2027/SUMIF($A:$A,$A2027,$G:$G)*(SUMIF(Summary!$A$247:$A$283,$A2027,Summary!$L$247:$L$283)+SUMIF(Summary!$A$297:$A$333,$A2027,Summary!$L$297:$L$333))-AK2027,0)</f>
        <v>17076.701298245371</v>
      </c>
      <c r="AM2027" s="198"/>
      <c r="AN2027" s="196">
        <f t="shared" ca="1" si="446"/>
        <v>90349.712126025101</v>
      </c>
      <c r="AO2027" s="196">
        <f t="shared" ca="1" si="447"/>
        <v>90143.699119105702</v>
      </c>
    </row>
    <row r="2028" spans="1:41">
      <c r="A2028" s="189">
        <v>3656</v>
      </c>
      <c r="B2028" s="190">
        <v>2</v>
      </c>
      <c r="C2028" s="191" t="s">
        <v>227</v>
      </c>
      <c r="D2028" s="192">
        <f t="shared" si="434"/>
        <v>0</v>
      </c>
      <c r="E2028" s="192">
        <f t="shared" si="435"/>
        <v>0</v>
      </c>
      <c r="F2028" s="192">
        <f t="shared" si="436"/>
        <v>0</v>
      </c>
      <c r="G2028" s="193">
        <f t="shared" si="437"/>
        <v>0</v>
      </c>
      <c r="H2028" s="194">
        <v>0</v>
      </c>
      <c r="I2028" s="194">
        <v>0</v>
      </c>
      <c r="J2028" s="194">
        <v>0</v>
      </c>
      <c r="K2028" s="193">
        <f t="shared" si="438"/>
        <v>0</v>
      </c>
      <c r="L2028" s="194">
        <v>0</v>
      </c>
      <c r="M2028" s="194">
        <v>0</v>
      </c>
      <c r="N2028" s="194">
        <v>0</v>
      </c>
      <c r="O2028" s="193">
        <f t="shared" si="439"/>
        <v>0</v>
      </c>
      <c r="P2028" s="194">
        <v>0</v>
      </c>
      <c r="Q2028" s="194">
        <v>0</v>
      </c>
      <c r="R2028" s="194">
        <v>0</v>
      </c>
      <c r="S2028" s="193">
        <f t="shared" si="440"/>
        <v>0</v>
      </c>
      <c r="T2028" s="193">
        <f t="shared" si="441"/>
        <v>0</v>
      </c>
      <c r="U2028" s="193">
        <f ca="1">OFFSET('Expenditure Study'!$B$7,'Operations Support'!$C2028,'Operations Support'!$B2028)*$G2028</f>
        <v>0</v>
      </c>
      <c r="V2028" s="199">
        <f ca="1">U2028*'Expenditure Study'!$B$31</f>
        <v>0</v>
      </c>
      <c r="W2028" s="199">
        <f ca="1">IF(A2028=10298,1.51,1)*IF($B2028&lt;3,$D2028*'Expenditure Study'!$B$32*OFFSET('Expenditure Study'!$B$7,'Operations Support'!$C2028,'Operations Support'!$B2028),0)</f>
        <v>0</v>
      </c>
      <c r="X2028" s="200">
        <f ca="1">W2028*'Expenditure Study'!$B$31</f>
        <v>0</v>
      </c>
      <c r="Y2028" s="199">
        <f ca="1">U2028*'Expenditure Study'!$B$31</f>
        <v>0</v>
      </c>
      <c r="Z2028" s="200">
        <f ca="1">W2028*'Expenditure Study'!$B$31</f>
        <v>0</v>
      </c>
      <c r="AA2028" s="195">
        <f t="shared" ca="1" si="442"/>
        <v>0</v>
      </c>
      <c r="AB2028" s="195">
        <f t="shared" ca="1" si="443"/>
        <v>0</v>
      </c>
      <c r="AD2028" s="196">
        <f>IFERROR($G2028/SUMIF($A:$A,$A2028,$G:$G)*SUMIF(Summary!$A$166:$A$242,$A2028,Summary!$P$166:$P$242),0)</f>
        <v>0</v>
      </c>
      <c r="AE2028" s="197">
        <f t="shared" ca="1" si="444"/>
        <v>0</v>
      </c>
      <c r="AF2028" s="196">
        <f>IFERROR(G2028/SUMIF(A:A,A2028,G:G)*SUMIF(Summary!$A$166:$A$242,'Operations Support'!A2028,Summary!$Q$166:$Q$242),0)</f>
        <v>0</v>
      </c>
      <c r="AG2028" s="196">
        <f t="shared" ca="1" si="445"/>
        <v>0</v>
      </c>
      <c r="AI2028" s="196">
        <f>IFERROR($G2028/SUMIF($A:$A,$A2028,$G:$G)*SUMIF(Summary!$A$247:$A$283,$A2028,Summary!$P$247:$P$283),0)</f>
        <v>0</v>
      </c>
      <c r="AJ2028" s="196">
        <f>IFERROR($G2028/SUMIF($A:$A,$A2028,$G:$G)*(SUMIF(Summary!$A$247:$A$283,$A2028,Summary!$L$247:$L$283)+SUMIF(Summary!$A$297:$A$333,$A2028,Summary!$L$297:$L$333))-AI2028,0)</f>
        <v>0</v>
      </c>
      <c r="AK2028" s="196">
        <f>IFERROR($G2028/SUMIF($A:$A,$A2028,$G:$G)*SUMIF(Summary!$A$247:$A$283,$A2028,Summary!$Q$247:$Q$283),0)</f>
        <v>0</v>
      </c>
      <c r="AL2028" s="196">
        <f>IFERROR($G2028/SUMIF($A:$A,$A2028,$G:$G)*(SUMIF(Summary!$A$247:$A$283,$A2028,Summary!$L$247:$L$283)+SUMIF(Summary!$A$297:$A$333,$A2028,Summary!$L$297:$L$333))-AK2028,0)</f>
        <v>0</v>
      </c>
      <c r="AM2028" s="198"/>
      <c r="AN2028" s="196">
        <f t="shared" ca="1" si="446"/>
        <v>0</v>
      </c>
      <c r="AO2028" s="196">
        <f t="shared" ca="1" si="447"/>
        <v>0</v>
      </c>
    </row>
    <row r="2029" spans="1:41">
      <c r="A2029" s="189">
        <v>3656</v>
      </c>
      <c r="B2029" s="190">
        <v>2</v>
      </c>
      <c r="C2029" s="191" t="s">
        <v>228</v>
      </c>
      <c r="D2029" s="192">
        <f t="shared" si="434"/>
        <v>918</v>
      </c>
      <c r="E2029" s="192">
        <f t="shared" si="435"/>
        <v>10581</v>
      </c>
      <c r="F2029" s="192">
        <f t="shared" si="436"/>
        <v>0</v>
      </c>
      <c r="G2029" s="193">
        <f t="shared" si="437"/>
        <v>11499</v>
      </c>
      <c r="H2029" s="194">
        <v>372</v>
      </c>
      <c r="I2029" s="194">
        <v>4692</v>
      </c>
      <c r="J2029" s="194">
        <v>0</v>
      </c>
      <c r="K2029" s="193">
        <f t="shared" si="438"/>
        <v>5064</v>
      </c>
      <c r="L2029" s="194">
        <v>543</v>
      </c>
      <c r="M2029" s="194">
        <v>4050</v>
      </c>
      <c r="N2029" s="194">
        <v>0</v>
      </c>
      <c r="O2029" s="193">
        <f t="shared" si="439"/>
        <v>4593</v>
      </c>
      <c r="P2029" s="194">
        <v>3</v>
      </c>
      <c r="Q2029" s="194">
        <v>1839</v>
      </c>
      <c r="R2029" s="194">
        <v>0</v>
      </c>
      <c r="S2029" s="193">
        <f t="shared" si="440"/>
        <v>1842</v>
      </c>
      <c r="T2029" s="193">
        <f t="shared" si="441"/>
        <v>383.3</v>
      </c>
      <c r="U2029" s="193">
        <f ca="1">OFFSET('Expenditure Study'!$B$7,'Operations Support'!$C2029,'Operations Support'!$B2029)*$G2029</f>
        <v>21963.09</v>
      </c>
      <c r="V2029" s="199">
        <f ca="1">U2029*'Expenditure Study'!$B$31</f>
        <v>1297649.2173966721</v>
      </c>
      <c r="W2029" s="199">
        <f ca="1">IF(A2029=10298,1.51,1)*IF($B2029&lt;3,$D2029*'Expenditure Study'!$B$32*OFFSET('Expenditure Study'!$B$7,'Operations Support'!$C2029,'Operations Support'!$B2029),0)</f>
        <v>175.33800000000002</v>
      </c>
      <c r="X2029" s="200">
        <f ca="1">W2029*'Expenditure Study'!$B$31</f>
        <v>10359.526755110401</v>
      </c>
      <c r="Y2029" s="199">
        <f ca="1">U2029*'Expenditure Study'!$B$31</f>
        <v>1297649.2173966721</v>
      </c>
      <c r="Z2029" s="200">
        <f ca="1">W2029*'Expenditure Study'!$B$31</f>
        <v>10359.526755110401</v>
      </c>
      <c r="AA2029" s="195">
        <f t="shared" ca="1" si="442"/>
        <v>1308008.7441517825</v>
      </c>
      <c r="AB2029" s="195">
        <f t="shared" ca="1" si="443"/>
        <v>1308008.7441517825</v>
      </c>
      <c r="AD2029" s="196">
        <f>IFERROR($G2029/SUMIF($A:$A,$A2029,$G:$G)*SUMIF(Summary!$A$166:$A$242,$A2029,Summary!$P$166:$P$242),0)</f>
        <v>515086.40836954722</v>
      </c>
      <c r="AE2029" s="197">
        <f t="shared" ca="1" si="444"/>
        <v>792922.33578223526</v>
      </c>
      <c r="AF2029" s="196">
        <f>IFERROR(G2029/SUMIF(A:A,A2029,G:G)*SUMIF(Summary!$A$166:$A$242,'Operations Support'!A2029,Summary!$Q$166:$Q$242),0)</f>
        <v>516825.59817397303</v>
      </c>
      <c r="AG2029" s="196">
        <f t="shared" ca="1" si="445"/>
        <v>791183.14597780944</v>
      </c>
      <c r="AI2029" s="196">
        <f>IFERROR($G2029/SUMIF($A:$A,$A2029,$G:$G)*SUMIF(Summary!$A$247:$A$283,$A2029,Summary!$P$247:$P$283),0)</f>
        <v>93938.907048565918</v>
      </c>
      <c r="AJ2029" s="196">
        <f>IFERROR($G2029/SUMIF($A:$A,$A2029,$G:$G)*(SUMIF(Summary!$A$247:$A$283,$A2029,Summary!$L$247:$L$283)+SUMIF(Summary!$A$297:$A$333,$A2029,Summary!$L$297:$L$333))-AI2029,0)</f>
        <v>170772.9037677006</v>
      </c>
      <c r="AK2029" s="196">
        <f>IFERROR($G2029/SUMIF($A:$A,$A2029,$G:$G)*SUMIF(Summary!$A$247:$A$283,$A2029,Summary!$Q$247:$Q$283),0)</f>
        <v>94256.091867895419</v>
      </c>
      <c r="AL2029" s="196">
        <f>IFERROR($G2029/SUMIF($A:$A,$A2029,$G:$G)*(SUMIF(Summary!$A$247:$A$283,$A2029,Summary!$L$247:$L$283)+SUMIF(Summary!$A$297:$A$333,$A2029,Summary!$L$297:$L$333))-AK2029,0)</f>
        <v>170455.7189483711</v>
      </c>
      <c r="AM2029" s="198"/>
      <c r="AN2029" s="196">
        <f t="shared" ca="1" si="446"/>
        <v>963695.2395499358</v>
      </c>
      <c r="AO2029" s="196">
        <f t="shared" ca="1" si="447"/>
        <v>961638.86492618057</v>
      </c>
    </row>
    <row r="2030" spans="1:41">
      <c r="A2030" s="189">
        <v>3656</v>
      </c>
      <c r="B2030" s="190">
        <v>2</v>
      </c>
      <c r="C2030" s="191" t="s">
        <v>229</v>
      </c>
      <c r="D2030" s="192">
        <f t="shared" si="434"/>
        <v>0</v>
      </c>
      <c r="E2030" s="192">
        <f t="shared" si="435"/>
        <v>54</v>
      </c>
      <c r="F2030" s="192">
        <f t="shared" si="436"/>
        <v>0</v>
      </c>
      <c r="G2030" s="193">
        <f t="shared" si="437"/>
        <v>54</v>
      </c>
      <c r="H2030" s="194">
        <v>0</v>
      </c>
      <c r="I2030" s="194">
        <v>27</v>
      </c>
      <c r="J2030" s="194">
        <v>0</v>
      </c>
      <c r="K2030" s="193">
        <f t="shared" si="438"/>
        <v>27</v>
      </c>
      <c r="L2030" s="194">
        <v>0</v>
      </c>
      <c r="M2030" s="194">
        <v>27</v>
      </c>
      <c r="N2030" s="194">
        <v>0</v>
      </c>
      <c r="O2030" s="193">
        <f t="shared" si="439"/>
        <v>27</v>
      </c>
      <c r="P2030" s="194">
        <v>0</v>
      </c>
      <c r="Q2030" s="194">
        <v>0</v>
      </c>
      <c r="R2030" s="194">
        <v>0</v>
      </c>
      <c r="S2030" s="193">
        <f t="shared" si="440"/>
        <v>0</v>
      </c>
      <c r="T2030" s="193">
        <f t="shared" si="441"/>
        <v>1.8</v>
      </c>
      <c r="U2030" s="193">
        <f ca="1">OFFSET('Expenditure Study'!$B$7,'Operations Support'!$C2030,'Operations Support'!$B2030)*$G2030</f>
        <v>103.67999999999999</v>
      </c>
      <c r="V2030" s="199">
        <f ca="1">U2030*'Expenditure Study'!$B$31</f>
        <v>6125.7441853439996</v>
      </c>
      <c r="W2030" s="199">
        <f ca="1">IF(A2030=10298,1.51,1)*IF($B2030&lt;3,$D2030*'Expenditure Study'!$B$32*OFFSET('Expenditure Study'!$B$7,'Operations Support'!$C2030,'Operations Support'!$B2030),0)</f>
        <v>0</v>
      </c>
      <c r="X2030" s="200">
        <f ca="1">W2030*'Expenditure Study'!$B$31</f>
        <v>0</v>
      </c>
      <c r="Y2030" s="199">
        <f ca="1">U2030*'Expenditure Study'!$B$31</f>
        <v>6125.7441853439996</v>
      </c>
      <c r="Z2030" s="200">
        <f ca="1">W2030*'Expenditure Study'!$B$31</f>
        <v>0</v>
      </c>
      <c r="AA2030" s="195">
        <f t="shared" ca="1" si="442"/>
        <v>6125.7441853439996</v>
      </c>
      <c r="AB2030" s="195">
        <f t="shared" ca="1" si="443"/>
        <v>6125.7441853439996</v>
      </c>
      <c r="AD2030" s="196">
        <f>IFERROR($G2030/SUMIF($A:$A,$A2030,$G:$G)*SUMIF(Summary!$A$166:$A$242,$A2030,Summary!$P$166:$P$242),0)</f>
        <v>2418.8769503396425</v>
      </c>
      <c r="AE2030" s="197">
        <f t="shared" ca="1" si="444"/>
        <v>3706.8672350043571</v>
      </c>
      <c r="AF2030" s="196">
        <f>IFERROR(G2030/SUMIF(A:A,A2030,G:G)*SUMIF(Summary!$A$166:$A$242,'Operations Support'!A2030,Summary!$Q$166:$Q$242),0)</f>
        <v>2427.0442909291714</v>
      </c>
      <c r="AG2030" s="196">
        <f t="shared" ca="1" si="445"/>
        <v>3698.6998944148281</v>
      </c>
      <c r="AI2030" s="196">
        <f>IFERROR($G2030/SUMIF($A:$A,$A2030,$G:$G)*SUMIF(Summary!$A$247:$A$283,$A2030,Summary!$P$247:$P$283),0)</f>
        <v>441.14279334051304</v>
      </c>
      <c r="AJ2030" s="196">
        <f>IFERROR($G2030/SUMIF($A:$A,$A2030,$G:$G)*(SUMIF(Summary!$A$247:$A$283,$A2030,Summary!$L$247:$L$283)+SUMIF(Summary!$A$297:$A$333,$A2030,Summary!$L$297:$L$333))-AI2030,0)</f>
        <v>801.95989246506952</v>
      </c>
      <c r="AK2030" s="196">
        <f>IFERROR($G2030/SUMIF($A:$A,$A2030,$G:$G)*SUMIF(Summary!$A$247:$A$283,$A2030,Summary!$Q$247:$Q$283),0)</f>
        <v>442.63231245033069</v>
      </c>
      <c r="AL2030" s="196">
        <f>IFERROR($G2030/SUMIF($A:$A,$A2030,$G:$G)*(SUMIF(Summary!$A$247:$A$283,$A2030,Summary!$L$247:$L$283)+SUMIF(Summary!$A$297:$A$333,$A2030,Summary!$L$297:$L$333))-AK2030,0)</f>
        <v>800.47037335525181</v>
      </c>
      <c r="AM2030" s="198"/>
      <c r="AN2030" s="196">
        <f t="shared" ca="1" si="446"/>
        <v>4508.8271274694271</v>
      </c>
      <c r="AO2030" s="196">
        <f t="shared" ca="1" si="447"/>
        <v>4499.1702677700796</v>
      </c>
    </row>
    <row r="2031" spans="1:41">
      <c r="A2031" s="189">
        <v>3656</v>
      </c>
      <c r="B2031" s="190">
        <v>2</v>
      </c>
      <c r="C2031" s="191" t="s">
        <v>230</v>
      </c>
      <c r="D2031" s="192">
        <f t="shared" si="434"/>
        <v>0</v>
      </c>
      <c r="E2031" s="192">
        <f t="shared" si="435"/>
        <v>0</v>
      </c>
      <c r="F2031" s="192">
        <f t="shared" si="436"/>
        <v>0</v>
      </c>
      <c r="G2031" s="193">
        <f t="shared" si="437"/>
        <v>0</v>
      </c>
      <c r="H2031" s="194">
        <v>0</v>
      </c>
      <c r="I2031" s="194">
        <v>0</v>
      </c>
      <c r="J2031" s="194">
        <v>0</v>
      </c>
      <c r="K2031" s="193">
        <f t="shared" si="438"/>
        <v>0</v>
      </c>
      <c r="L2031" s="194">
        <v>0</v>
      </c>
      <c r="M2031" s="194">
        <v>0</v>
      </c>
      <c r="N2031" s="194">
        <v>0</v>
      </c>
      <c r="O2031" s="193">
        <f t="shared" si="439"/>
        <v>0</v>
      </c>
      <c r="P2031" s="194">
        <v>0</v>
      </c>
      <c r="Q2031" s="194">
        <v>0</v>
      </c>
      <c r="R2031" s="194">
        <v>0</v>
      </c>
      <c r="S2031" s="193">
        <f t="shared" si="440"/>
        <v>0</v>
      </c>
      <c r="T2031" s="193">
        <f t="shared" si="441"/>
        <v>0</v>
      </c>
      <c r="U2031" s="193">
        <f ca="1">OFFSET('Expenditure Study'!$B$7,'Operations Support'!$C2031,'Operations Support'!$B2031)*$G2031</f>
        <v>0</v>
      </c>
      <c r="V2031" s="199">
        <f ca="1">U2031*'Expenditure Study'!$B$31</f>
        <v>0</v>
      </c>
      <c r="W2031" s="199">
        <f ca="1">IF(A2031=10298,1.51,1)*IF($B2031&lt;3,$D2031*'Expenditure Study'!$B$32*OFFSET('Expenditure Study'!$B$7,'Operations Support'!$C2031,'Operations Support'!$B2031),0)</f>
        <v>0</v>
      </c>
      <c r="X2031" s="200">
        <f ca="1">W2031*'Expenditure Study'!$B$31</f>
        <v>0</v>
      </c>
      <c r="Y2031" s="199">
        <f ca="1">U2031*'Expenditure Study'!$B$31</f>
        <v>0</v>
      </c>
      <c r="Z2031" s="200">
        <f ca="1">W2031*'Expenditure Study'!$B$31</f>
        <v>0</v>
      </c>
      <c r="AA2031" s="195">
        <f t="shared" ca="1" si="442"/>
        <v>0</v>
      </c>
      <c r="AB2031" s="195">
        <f t="shared" ca="1" si="443"/>
        <v>0</v>
      </c>
      <c r="AD2031" s="196">
        <f>IFERROR($G2031/SUMIF($A:$A,$A2031,$G:$G)*SUMIF(Summary!$A$166:$A$242,$A2031,Summary!$P$166:$P$242),0)</f>
        <v>0</v>
      </c>
      <c r="AE2031" s="197">
        <f t="shared" ca="1" si="444"/>
        <v>0</v>
      </c>
      <c r="AF2031" s="196">
        <f>IFERROR(G2031/SUMIF(A:A,A2031,G:G)*SUMIF(Summary!$A$166:$A$242,'Operations Support'!A2031,Summary!$Q$166:$Q$242),0)</f>
        <v>0</v>
      </c>
      <c r="AG2031" s="196">
        <f t="shared" ca="1" si="445"/>
        <v>0</v>
      </c>
      <c r="AI2031" s="196">
        <f>IFERROR($G2031/SUMIF($A:$A,$A2031,$G:$G)*SUMIF(Summary!$A$247:$A$283,$A2031,Summary!$P$247:$P$283),0)</f>
        <v>0</v>
      </c>
      <c r="AJ2031" s="196">
        <f>IFERROR($G2031/SUMIF($A:$A,$A2031,$G:$G)*(SUMIF(Summary!$A$247:$A$283,$A2031,Summary!$L$247:$L$283)+SUMIF(Summary!$A$297:$A$333,$A2031,Summary!$L$297:$L$333))-AI2031,0)</f>
        <v>0</v>
      </c>
      <c r="AK2031" s="196">
        <f>IFERROR($G2031/SUMIF($A:$A,$A2031,$G:$G)*SUMIF(Summary!$A$247:$A$283,$A2031,Summary!$Q$247:$Q$283),0)</f>
        <v>0</v>
      </c>
      <c r="AL2031" s="196">
        <f>IFERROR($G2031/SUMIF($A:$A,$A2031,$G:$G)*(SUMIF(Summary!$A$247:$A$283,$A2031,Summary!$L$247:$L$283)+SUMIF(Summary!$A$297:$A$333,$A2031,Summary!$L$297:$L$333))-AK2031,0)</f>
        <v>0</v>
      </c>
      <c r="AM2031" s="198"/>
      <c r="AN2031" s="196">
        <f t="shared" ca="1" si="446"/>
        <v>0</v>
      </c>
      <c r="AO2031" s="196">
        <f t="shared" ca="1" si="447"/>
        <v>0</v>
      </c>
    </row>
    <row r="2032" spans="1:41">
      <c r="A2032" s="189">
        <v>3656</v>
      </c>
      <c r="B2032" s="190">
        <v>2</v>
      </c>
      <c r="C2032" s="191" t="s">
        <v>231</v>
      </c>
      <c r="D2032" s="192">
        <f t="shared" si="434"/>
        <v>0</v>
      </c>
      <c r="E2032" s="192">
        <f t="shared" si="435"/>
        <v>0</v>
      </c>
      <c r="F2032" s="192">
        <f t="shared" si="436"/>
        <v>0</v>
      </c>
      <c r="G2032" s="193">
        <f t="shared" si="437"/>
        <v>0</v>
      </c>
      <c r="H2032" s="194">
        <v>0</v>
      </c>
      <c r="I2032" s="194">
        <v>0</v>
      </c>
      <c r="J2032" s="194">
        <v>0</v>
      </c>
      <c r="K2032" s="193">
        <f t="shared" si="438"/>
        <v>0</v>
      </c>
      <c r="L2032" s="194">
        <v>0</v>
      </c>
      <c r="M2032" s="194">
        <v>0</v>
      </c>
      <c r="N2032" s="194">
        <v>0</v>
      </c>
      <c r="O2032" s="193">
        <f t="shared" si="439"/>
        <v>0</v>
      </c>
      <c r="P2032" s="194">
        <v>0</v>
      </c>
      <c r="Q2032" s="194">
        <v>0</v>
      </c>
      <c r="R2032" s="194">
        <v>0</v>
      </c>
      <c r="S2032" s="193">
        <f t="shared" si="440"/>
        <v>0</v>
      </c>
      <c r="T2032" s="193">
        <f t="shared" si="441"/>
        <v>0</v>
      </c>
      <c r="U2032" s="193">
        <f ca="1">OFFSET('Expenditure Study'!$B$7,'Operations Support'!$C2032,'Operations Support'!$B2032)*$G2032</f>
        <v>0</v>
      </c>
      <c r="V2032" s="199">
        <f ca="1">U2032*'Expenditure Study'!$B$31</f>
        <v>0</v>
      </c>
      <c r="W2032" s="199">
        <f ca="1">IF(A2032=10298,1.51,1)*IF($B2032&lt;3,$D2032*'Expenditure Study'!$B$32*OFFSET('Expenditure Study'!$B$7,'Operations Support'!$C2032,'Operations Support'!$B2032),0)</f>
        <v>0</v>
      </c>
      <c r="X2032" s="200">
        <f ca="1">W2032*'Expenditure Study'!$B$31</f>
        <v>0</v>
      </c>
      <c r="Y2032" s="199">
        <f ca="1">U2032*'Expenditure Study'!$B$31</f>
        <v>0</v>
      </c>
      <c r="Z2032" s="200">
        <f ca="1">W2032*'Expenditure Study'!$B$31</f>
        <v>0</v>
      </c>
      <c r="AA2032" s="195">
        <f t="shared" ca="1" si="442"/>
        <v>0</v>
      </c>
      <c r="AB2032" s="195">
        <f t="shared" ca="1" si="443"/>
        <v>0</v>
      </c>
      <c r="AD2032" s="196">
        <f>IFERROR($G2032/SUMIF($A:$A,$A2032,$G:$G)*SUMIF(Summary!$A$166:$A$242,$A2032,Summary!$P$166:$P$242),0)</f>
        <v>0</v>
      </c>
      <c r="AE2032" s="197">
        <f t="shared" ca="1" si="444"/>
        <v>0</v>
      </c>
      <c r="AF2032" s="196">
        <f>IFERROR(G2032/SUMIF(A:A,A2032,G:G)*SUMIF(Summary!$A$166:$A$242,'Operations Support'!A2032,Summary!$Q$166:$Q$242),0)</f>
        <v>0</v>
      </c>
      <c r="AG2032" s="196">
        <f t="shared" ca="1" si="445"/>
        <v>0</v>
      </c>
      <c r="AI2032" s="196">
        <f>IFERROR($G2032/SUMIF($A:$A,$A2032,$G:$G)*SUMIF(Summary!$A$247:$A$283,$A2032,Summary!$P$247:$P$283),0)</f>
        <v>0</v>
      </c>
      <c r="AJ2032" s="196">
        <f>IFERROR($G2032/SUMIF($A:$A,$A2032,$G:$G)*(SUMIF(Summary!$A$247:$A$283,$A2032,Summary!$L$247:$L$283)+SUMIF(Summary!$A$297:$A$333,$A2032,Summary!$L$297:$L$333))-AI2032,0)</f>
        <v>0</v>
      </c>
      <c r="AK2032" s="196">
        <f>IFERROR($G2032/SUMIF($A:$A,$A2032,$G:$G)*SUMIF(Summary!$A$247:$A$283,$A2032,Summary!$Q$247:$Q$283),0)</f>
        <v>0</v>
      </c>
      <c r="AL2032" s="196">
        <f>IFERROR($G2032/SUMIF($A:$A,$A2032,$G:$G)*(SUMIF(Summary!$A$247:$A$283,$A2032,Summary!$L$247:$L$283)+SUMIF(Summary!$A$297:$A$333,$A2032,Summary!$L$297:$L$333))-AK2032,0)</f>
        <v>0</v>
      </c>
      <c r="AM2032" s="198"/>
      <c r="AN2032" s="196">
        <f t="shared" ca="1" si="446"/>
        <v>0</v>
      </c>
      <c r="AO2032" s="196">
        <f t="shared" ca="1" si="447"/>
        <v>0</v>
      </c>
    </row>
    <row r="2033" spans="1:41">
      <c r="A2033" s="189">
        <v>3656</v>
      </c>
      <c r="B2033" s="190">
        <v>2</v>
      </c>
      <c r="C2033" s="191" t="s">
        <v>232</v>
      </c>
      <c r="D2033" s="192">
        <f t="shared" si="434"/>
        <v>0</v>
      </c>
      <c r="E2033" s="192">
        <f t="shared" si="435"/>
        <v>0</v>
      </c>
      <c r="F2033" s="192">
        <f t="shared" si="436"/>
        <v>0</v>
      </c>
      <c r="G2033" s="193">
        <f t="shared" si="437"/>
        <v>0</v>
      </c>
      <c r="H2033" s="194">
        <v>0</v>
      </c>
      <c r="I2033" s="194">
        <v>0</v>
      </c>
      <c r="J2033" s="194">
        <v>0</v>
      </c>
      <c r="K2033" s="193">
        <f t="shared" si="438"/>
        <v>0</v>
      </c>
      <c r="L2033" s="194">
        <v>0</v>
      </c>
      <c r="M2033" s="194">
        <v>0</v>
      </c>
      <c r="N2033" s="194">
        <v>0</v>
      </c>
      <c r="O2033" s="193">
        <f t="shared" si="439"/>
        <v>0</v>
      </c>
      <c r="P2033" s="194">
        <v>0</v>
      </c>
      <c r="Q2033" s="194">
        <v>0</v>
      </c>
      <c r="R2033" s="194">
        <v>0</v>
      </c>
      <c r="S2033" s="193">
        <f t="shared" si="440"/>
        <v>0</v>
      </c>
      <c r="T2033" s="193">
        <f t="shared" si="441"/>
        <v>0</v>
      </c>
      <c r="U2033" s="193">
        <f ca="1">OFFSET('Expenditure Study'!$B$7,'Operations Support'!$C2033,'Operations Support'!$B2033)*$G2033</f>
        <v>0</v>
      </c>
      <c r="V2033" s="199">
        <f ca="1">U2033*'Expenditure Study'!$B$31</f>
        <v>0</v>
      </c>
      <c r="W2033" s="199">
        <f ca="1">IF(A2033=10298,1.51,1)*IF($B2033&lt;3,$D2033*'Expenditure Study'!$B$32*OFFSET('Expenditure Study'!$B$7,'Operations Support'!$C2033,'Operations Support'!$B2033),0)</f>
        <v>0</v>
      </c>
      <c r="X2033" s="200">
        <f ca="1">W2033*'Expenditure Study'!$B$31</f>
        <v>0</v>
      </c>
      <c r="Y2033" s="199">
        <f ca="1">U2033*'Expenditure Study'!$B$31</f>
        <v>0</v>
      </c>
      <c r="Z2033" s="200">
        <f ca="1">W2033*'Expenditure Study'!$B$31</f>
        <v>0</v>
      </c>
      <c r="AA2033" s="195">
        <f t="shared" ca="1" si="442"/>
        <v>0</v>
      </c>
      <c r="AB2033" s="195">
        <f t="shared" ca="1" si="443"/>
        <v>0</v>
      </c>
      <c r="AD2033" s="196">
        <f>IFERROR($G2033/SUMIF($A:$A,$A2033,$G:$G)*SUMIF(Summary!$A$166:$A$242,$A2033,Summary!$P$166:$P$242),0)</f>
        <v>0</v>
      </c>
      <c r="AE2033" s="197">
        <f t="shared" ca="1" si="444"/>
        <v>0</v>
      </c>
      <c r="AF2033" s="196">
        <f>IFERROR(G2033/SUMIF(A:A,A2033,G:G)*SUMIF(Summary!$A$166:$A$242,'Operations Support'!A2033,Summary!$Q$166:$Q$242),0)</f>
        <v>0</v>
      </c>
      <c r="AG2033" s="196">
        <f t="shared" ca="1" si="445"/>
        <v>0</v>
      </c>
      <c r="AI2033" s="196">
        <f>IFERROR($G2033/SUMIF($A:$A,$A2033,$G:$G)*SUMIF(Summary!$A$247:$A$283,$A2033,Summary!$P$247:$P$283),0)</f>
        <v>0</v>
      </c>
      <c r="AJ2033" s="196">
        <f>IFERROR($G2033/SUMIF($A:$A,$A2033,$G:$G)*(SUMIF(Summary!$A$247:$A$283,$A2033,Summary!$L$247:$L$283)+SUMIF(Summary!$A$297:$A$333,$A2033,Summary!$L$297:$L$333))-AI2033,0)</f>
        <v>0</v>
      </c>
      <c r="AK2033" s="196">
        <f>IFERROR($G2033/SUMIF($A:$A,$A2033,$G:$G)*SUMIF(Summary!$A$247:$A$283,$A2033,Summary!$Q$247:$Q$283),0)</f>
        <v>0</v>
      </c>
      <c r="AL2033" s="196">
        <f>IFERROR($G2033/SUMIF($A:$A,$A2033,$G:$G)*(SUMIF(Summary!$A$247:$A$283,$A2033,Summary!$L$247:$L$283)+SUMIF(Summary!$A$297:$A$333,$A2033,Summary!$L$297:$L$333))-AK2033,0)</f>
        <v>0</v>
      </c>
      <c r="AM2033" s="198"/>
      <c r="AN2033" s="196">
        <f t="shared" ca="1" si="446"/>
        <v>0</v>
      </c>
      <c r="AO2033" s="196">
        <f t="shared" ca="1" si="447"/>
        <v>0</v>
      </c>
    </row>
    <row r="2034" spans="1:41">
      <c r="A2034" s="189">
        <v>3656</v>
      </c>
      <c r="B2034" s="190">
        <v>2</v>
      </c>
      <c r="C2034" s="191" t="s">
        <v>233</v>
      </c>
      <c r="D2034" s="192">
        <f t="shared" si="434"/>
        <v>3545</v>
      </c>
      <c r="E2034" s="192">
        <f t="shared" si="435"/>
        <v>13408</v>
      </c>
      <c r="F2034" s="192">
        <f t="shared" si="436"/>
        <v>0</v>
      </c>
      <c r="G2034" s="193">
        <f t="shared" si="437"/>
        <v>16953</v>
      </c>
      <c r="H2034" s="194">
        <v>1841</v>
      </c>
      <c r="I2034" s="194">
        <v>5711</v>
      </c>
      <c r="J2034" s="194">
        <v>0</v>
      </c>
      <c r="K2034" s="193">
        <f t="shared" si="438"/>
        <v>7552</v>
      </c>
      <c r="L2034" s="194">
        <v>1588</v>
      </c>
      <c r="M2034" s="194">
        <v>4030</v>
      </c>
      <c r="N2034" s="194">
        <v>0</v>
      </c>
      <c r="O2034" s="193">
        <f t="shared" si="439"/>
        <v>5618</v>
      </c>
      <c r="P2034" s="194">
        <v>116</v>
      </c>
      <c r="Q2034" s="194">
        <v>3667</v>
      </c>
      <c r="R2034" s="194">
        <v>0</v>
      </c>
      <c r="S2034" s="193">
        <f t="shared" si="440"/>
        <v>3783</v>
      </c>
      <c r="T2034" s="193">
        <f t="shared" si="441"/>
        <v>565.1</v>
      </c>
      <c r="U2034" s="193">
        <f ca="1">OFFSET('Expenditure Study'!$B$7,'Operations Support'!$C2034,'Operations Support'!$B2034)*$G2034</f>
        <v>27294.33</v>
      </c>
      <c r="V2034" s="199">
        <f ca="1">U2034*'Expenditure Study'!$B$31</f>
        <v>1612635.8342048642</v>
      </c>
      <c r="W2034" s="199">
        <f ca="1">IF(A2034=10298,1.51,1)*IF($B2034&lt;3,$D2034*'Expenditure Study'!$B$32*OFFSET('Expenditure Study'!$B$7,'Operations Support'!$C2034,'Operations Support'!$B2034),0)</f>
        <v>570.745</v>
      </c>
      <c r="X2034" s="200">
        <f ca="1">W2034*'Expenditure Study'!$B$31</f>
        <v>33721.430025695998</v>
      </c>
      <c r="Y2034" s="199">
        <f ca="1">U2034*'Expenditure Study'!$B$31</f>
        <v>1612635.8342048642</v>
      </c>
      <c r="Z2034" s="200">
        <f ca="1">W2034*'Expenditure Study'!$B$31</f>
        <v>33721.430025695998</v>
      </c>
      <c r="AA2034" s="195">
        <f t="shared" ca="1" si="442"/>
        <v>1646357.2642305603</v>
      </c>
      <c r="AB2034" s="195">
        <f t="shared" ca="1" si="443"/>
        <v>1646357.2642305603</v>
      </c>
      <c r="AD2034" s="196">
        <f>IFERROR($G2034/SUMIF($A:$A,$A2034,$G:$G)*SUMIF(Summary!$A$166:$A$242,$A2034,Summary!$P$166:$P$242),0)</f>
        <v>759392.9803538511</v>
      </c>
      <c r="AE2034" s="197">
        <f t="shared" ca="1" si="444"/>
        <v>886964.28387670917</v>
      </c>
      <c r="AF2034" s="196">
        <f>IFERROR(G2034/SUMIF(A:A,A2034,G:G)*SUMIF(Summary!$A$166:$A$242,'Operations Support'!A2034,Summary!$Q$166:$Q$242),0)</f>
        <v>761957.07155781938</v>
      </c>
      <c r="AG2034" s="196">
        <f t="shared" ca="1" si="445"/>
        <v>884400.1926727409</v>
      </c>
      <c r="AI2034" s="196">
        <f>IFERROR($G2034/SUMIF($A:$A,$A2034,$G:$G)*SUMIF(Summary!$A$247:$A$283,$A2034,Summary!$P$247:$P$283),0)</f>
        <v>138494.32917595774</v>
      </c>
      <c r="AJ2034" s="196">
        <f>IFERROR($G2034/SUMIF($A:$A,$A2034,$G:$G)*(SUMIF(Summary!$A$247:$A$283,$A2034,Summary!$L$247:$L$283)+SUMIF(Summary!$A$297:$A$333,$A2034,Summary!$L$297:$L$333))-AI2034,0)</f>
        <v>251770.8529066726</v>
      </c>
      <c r="AK2034" s="196">
        <f>IFERROR($G2034/SUMIF($A:$A,$A2034,$G:$G)*SUMIF(Summary!$A$247:$A$283,$A2034,Summary!$Q$247:$Q$283),0)</f>
        <v>138961.95542537881</v>
      </c>
      <c r="AL2034" s="196">
        <f>IFERROR($G2034/SUMIF($A:$A,$A2034,$G:$G)*(SUMIF(Summary!$A$247:$A$283,$A2034,Summary!$L$247:$L$283)+SUMIF(Summary!$A$297:$A$333,$A2034,Summary!$L$297:$L$333))-AK2034,0)</f>
        <v>251303.22665725154</v>
      </c>
      <c r="AM2034" s="198"/>
      <c r="AN2034" s="196">
        <f t="shared" ca="1" si="446"/>
        <v>1138735.1367833817</v>
      </c>
      <c r="AO2034" s="196">
        <f t="shared" ca="1" si="447"/>
        <v>1135703.4193299925</v>
      </c>
    </row>
    <row r="2035" spans="1:41">
      <c r="A2035" s="189">
        <v>3656</v>
      </c>
      <c r="B2035" s="190">
        <v>2</v>
      </c>
      <c r="C2035" s="191" t="s">
        <v>234</v>
      </c>
      <c r="D2035" s="192">
        <f t="shared" si="434"/>
        <v>0</v>
      </c>
      <c r="E2035" s="192">
        <f t="shared" si="435"/>
        <v>0</v>
      </c>
      <c r="F2035" s="192">
        <f t="shared" si="436"/>
        <v>0</v>
      </c>
      <c r="G2035" s="193">
        <f t="shared" si="437"/>
        <v>0</v>
      </c>
      <c r="H2035" s="194">
        <v>0</v>
      </c>
      <c r="I2035" s="194">
        <v>0</v>
      </c>
      <c r="J2035" s="194">
        <v>0</v>
      </c>
      <c r="K2035" s="193">
        <f t="shared" si="438"/>
        <v>0</v>
      </c>
      <c r="L2035" s="194">
        <v>0</v>
      </c>
      <c r="M2035" s="194">
        <v>0</v>
      </c>
      <c r="N2035" s="194">
        <v>0</v>
      </c>
      <c r="O2035" s="193">
        <f t="shared" si="439"/>
        <v>0</v>
      </c>
      <c r="P2035" s="194">
        <v>0</v>
      </c>
      <c r="Q2035" s="194">
        <v>0</v>
      </c>
      <c r="R2035" s="194">
        <v>0</v>
      </c>
      <c r="S2035" s="193">
        <f t="shared" si="440"/>
        <v>0</v>
      </c>
      <c r="T2035" s="193">
        <f t="shared" si="441"/>
        <v>0</v>
      </c>
      <c r="U2035" s="193">
        <f ca="1">OFFSET('Expenditure Study'!$B$7,'Operations Support'!$C2035,'Operations Support'!$B2035)*$G2035</f>
        <v>0</v>
      </c>
      <c r="V2035" s="199">
        <f ca="1">U2035*'Expenditure Study'!$B$31</f>
        <v>0</v>
      </c>
      <c r="W2035" s="199">
        <f ca="1">IF(A2035=10298,1.51,1)*IF($B2035&lt;3,$D2035*'Expenditure Study'!$B$32*OFFSET('Expenditure Study'!$B$7,'Operations Support'!$C2035,'Operations Support'!$B2035),0)</f>
        <v>0</v>
      </c>
      <c r="X2035" s="200">
        <f ca="1">W2035*'Expenditure Study'!$B$31</f>
        <v>0</v>
      </c>
      <c r="Y2035" s="199">
        <f ca="1">U2035*'Expenditure Study'!$B$31</f>
        <v>0</v>
      </c>
      <c r="Z2035" s="200">
        <f ca="1">W2035*'Expenditure Study'!$B$31</f>
        <v>0</v>
      </c>
      <c r="AA2035" s="195">
        <f t="shared" ca="1" si="442"/>
        <v>0</v>
      </c>
      <c r="AB2035" s="195">
        <f t="shared" ca="1" si="443"/>
        <v>0</v>
      </c>
      <c r="AD2035" s="196">
        <f>IFERROR($G2035/SUMIF($A:$A,$A2035,$G:$G)*SUMIF(Summary!$A$166:$A$242,$A2035,Summary!$P$166:$P$242),0)</f>
        <v>0</v>
      </c>
      <c r="AE2035" s="197">
        <f t="shared" ca="1" si="444"/>
        <v>0</v>
      </c>
      <c r="AF2035" s="196">
        <f>IFERROR(G2035/SUMIF(A:A,A2035,G:G)*SUMIF(Summary!$A$166:$A$242,'Operations Support'!A2035,Summary!$Q$166:$Q$242),0)</f>
        <v>0</v>
      </c>
      <c r="AG2035" s="196">
        <f t="shared" ca="1" si="445"/>
        <v>0</v>
      </c>
      <c r="AI2035" s="196">
        <f>IFERROR($G2035/SUMIF($A:$A,$A2035,$G:$G)*SUMIF(Summary!$A$247:$A$283,$A2035,Summary!$P$247:$P$283),0)</f>
        <v>0</v>
      </c>
      <c r="AJ2035" s="196">
        <f>IFERROR($G2035/SUMIF($A:$A,$A2035,$G:$G)*(SUMIF(Summary!$A$247:$A$283,$A2035,Summary!$L$247:$L$283)+SUMIF(Summary!$A$297:$A$333,$A2035,Summary!$L$297:$L$333))-AI2035,0)</f>
        <v>0</v>
      </c>
      <c r="AK2035" s="196">
        <f>IFERROR($G2035/SUMIF($A:$A,$A2035,$G:$G)*SUMIF(Summary!$A$247:$A$283,$A2035,Summary!$Q$247:$Q$283),0)</f>
        <v>0</v>
      </c>
      <c r="AL2035" s="196">
        <f>IFERROR($G2035/SUMIF($A:$A,$A2035,$G:$G)*(SUMIF(Summary!$A$247:$A$283,$A2035,Summary!$L$247:$L$283)+SUMIF(Summary!$A$297:$A$333,$A2035,Summary!$L$297:$L$333))-AK2035,0)</f>
        <v>0</v>
      </c>
      <c r="AM2035" s="198"/>
      <c r="AN2035" s="196">
        <f t="shared" ca="1" si="446"/>
        <v>0</v>
      </c>
      <c r="AO2035" s="196">
        <f t="shared" ca="1" si="447"/>
        <v>0</v>
      </c>
    </row>
    <row r="2036" spans="1:41">
      <c r="A2036" s="189">
        <v>3656</v>
      </c>
      <c r="B2036" s="190">
        <v>2</v>
      </c>
      <c r="C2036" s="191" t="s">
        <v>235</v>
      </c>
      <c r="D2036" s="192">
        <f t="shared" si="434"/>
        <v>15005</v>
      </c>
      <c r="E2036" s="192">
        <f t="shared" si="435"/>
        <v>33990</v>
      </c>
      <c r="F2036" s="192">
        <f t="shared" si="436"/>
        <v>0</v>
      </c>
      <c r="G2036" s="193">
        <f t="shared" si="437"/>
        <v>48995</v>
      </c>
      <c r="H2036" s="194">
        <v>6511</v>
      </c>
      <c r="I2036" s="194">
        <v>14901</v>
      </c>
      <c r="J2036" s="194">
        <v>0</v>
      </c>
      <c r="K2036" s="193">
        <f t="shared" si="438"/>
        <v>21412</v>
      </c>
      <c r="L2036" s="194">
        <v>7312</v>
      </c>
      <c r="M2036" s="194">
        <v>14301</v>
      </c>
      <c r="N2036" s="194">
        <v>0</v>
      </c>
      <c r="O2036" s="193">
        <f t="shared" si="439"/>
        <v>21613</v>
      </c>
      <c r="P2036" s="194">
        <v>1182</v>
      </c>
      <c r="Q2036" s="194">
        <v>4788</v>
      </c>
      <c r="R2036" s="194">
        <v>0</v>
      </c>
      <c r="S2036" s="193">
        <f t="shared" si="440"/>
        <v>5970</v>
      </c>
      <c r="T2036" s="193">
        <f t="shared" si="441"/>
        <v>1633.1666666666667</v>
      </c>
      <c r="U2036" s="193">
        <f ca="1">OFFSET('Expenditure Study'!$B$7,'Operations Support'!$C2036,'Operations Support'!$B2036)*$G2036</f>
        <v>91620.650000000009</v>
      </c>
      <c r="V2036" s="199">
        <f ca="1">U2036*'Expenditure Study'!$B$31</f>
        <v>5413239.4289635206</v>
      </c>
      <c r="W2036" s="199">
        <f ca="1">IF(A2036=10298,1.51,1)*IF($B2036&lt;3,$D2036*'Expenditure Study'!$B$32*OFFSET('Expenditure Study'!$B$7,'Operations Support'!$C2036,'Operations Support'!$B2036),0)</f>
        <v>2805.9349999999999</v>
      </c>
      <c r="X2036" s="200">
        <f ca="1">W2036*'Expenditure Study'!$B$31</f>
        <v>165783.56491804801</v>
      </c>
      <c r="Y2036" s="199">
        <f ca="1">U2036*'Expenditure Study'!$B$31</f>
        <v>5413239.4289635206</v>
      </c>
      <c r="Z2036" s="200">
        <f ca="1">W2036*'Expenditure Study'!$B$31</f>
        <v>165783.56491804801</v>
      </c>
      <c r="AA2036" s="195">
        <f t="shared" ca="1" si="442"/>
        <v>5579022.9938815683</v>
      </c>
      <c r="AB2036" s="195">
        <f t="shared" ca="1" si="443"/>
        <v>5579022.9938815683</v>
      </c>
      <c r="AD2036" s="196">
        <f>IFERROR($G2036/SUMIF($A:$A,$A2036,$G:$G)*SUMIF(Summary!$A$166:$A$242,$A2036,Summary!$P$166:$P$242),0)</f>
        <v>2194682.8922572369</v>
      </c>
      <c r="AE2036" s="197">
        <f t="shared" ca="1" si="444"/>
        <v>3384340.1016243314</v>
      </c>
      <c r="AF2036" s="196">
        <f>IFERROR(G2036/SUMIF(A:A,A2036,G:G)*SUMIF(Summary!$A$166:$A$242,'Operations Support'!A2036,Summary!$Q$166:$Q$242),0)</f>
        <v>2202093.241371755</v>
      </c>
      <c r="AG2036" s="196">
        <f t="shared" ca="1" si="445"/>
        <v>3376929.7525098133</v>
      </c>
      <c r="AI2036" s="196">
        <f>IFERROR($G2036/SUMIF($A:$A,$A2036,$G:$G)*SUMIF(Summary!$A$247:$A$283,$A2036,Summary!$P$247:$P$283),0)</f>
        <v>400255.39184663777</v>
      </c>
      <c r="AJ2036" s="196">
        <f>IFERROR($G2036/SUMIF($A:$A,$A2036,$G:$G)*(SUMIF(Summary!$A$247:$A$283,$A2036,Summary!$L$247:$L$283)+SUMIF(Summary!$A$297:$A$333,$A2036,Summary!$L$297:$L$333))-AI2036,0)</f>
        <v>727630.09132085321</v>
      </c>
      <c r="AK2036" s="196">
        <f>IFERROR($G2036/SUMIF($A:$A,$A2036,$G:$G)*SUMIF(Summary!$A$247:$A$283,$A2036,Summary!$Q$247:$Q$283),0)</f>
        <v>401606.85460192506</v>
      </c>
      <c r="AL2036" s="196">
        <f>IFERROR($G2036/SUMIF($A:$A,$A2036,$G:$G)*(SUMIF(Summary!$A$247:$A$283,$A2036,Summary!$L$247:$L$283)+SUMIF(Summary!$A$297:$A$333,$A2036,Summary!$L$297:$L$333))-AK2036,0)</f>
        <v>726278.62856556592</v>
      </c>
      <c r="AM2036" s="198"/>
      <c r="AN2036" s="196">
        <f t="shared" ca="1" si="446"/>
        <v>4111970.1929451847</v>
      </c>
      <c r="AO2036" s="196">
        <f t="shared" ca="1" si="447"/>
        <v>4103208.3810753794</v>
      </c>
    </row>
    <row r="2037" spans="1:41">
      <c r="A2037" s="189">
        <v>3656</v>
      </c>
      <c r="B2037" s="190">
        <v>2</v>
      </c>
      <c r="C2037" s="191" t="s">
        <v>236</v>
      </c>
      <c r="D2037" s="192">
        <f t="shared" si="434"/>
        <v>0</v>
      </c>
      <c r="E2037" s="192">
        <f t="shared" si="435"/>
        <v>0</v>
      </c>
      <c r="F2037" s="192">
        <f t="shared" si="436"/>
        <v>0</v>
      </c>
      <c r="G2037" s="193">
        <f t="shared" si="437"/>
        <v>0</v>
      </c>
      <c r="H2037" s="194">
        <v>0</v>
      </c>
      <c r="I2037" s="194">
        <v>0</v>
      </c>
      <c r="J2037" s="194">
        <v>0</v>
      </c>
      <c r="K2037" s="193">
        <f t="shared" si="438"/>
        <v>0</v>
      </c>
      <c r="L2037" s="194">
        <v>0</v>
      </c>
      <c r="M2037" s="194">
        <v>0</v>
      </c>
      <c r="N2037" s="194">
        <v>0</v>
      </c>
      <c r="O2037" s="193">
        <f t="shared" si="439"/>
        <v>0</v>
      </c>
      <c r="P2037" s="194">
        <v>0</v>
      </c>
      <c r="Q2037" s="194">
        <v>0</v>
      </c>
      <c r="R2037" s="194">
        <v>0</v>
      </c>
      <c r="S2037" s="193">
        <f t="shared" si="440"/>
        <v>0</v>
      </c>
      <c r="T2037" s="193">
        <f t="shared" si="441"/>
        <v>0</v>
      </c>
      <c r="U2037" s="193">
        <f ca="1">OFFSET('Expenditure Study'!$B$7,'Operations Support'!$C2037,'Operations Support'!$B2037)*$G2037</f>
        <v>0</v>
      </c>
      <c r="V2037" s="199">
        <f ca="1">U2037*'Expenditure Study'!$B$31</f>
        <v>0</v>
      </c>
      <c r="W2037" s="199">
        <f ca="1">IF(A2037=10298,1.51,1)*IF($B2037&lt;3,$D2037*'Expenditure Study'!$B$32*OFFSET('Expenditure Study'!$B$7,'Operations Support'!$C2037,'Operations Support'!$B2037),0)</f>
        <v>0</v>
      </c>
      <c r="X2037" s="200">
        <f ca="1">W2037*'Expenditure Study'!$B$31</f>
        <v>0</v>
      </c>
      <c r="Y2037" s="199">
        <f ca="1">U2037*'Expenditure Study'!$B$31</f>
        <v>0</v>
      </c>
      <c r="Z2037" s="200">
        <f ca="1">W2037*'Expenditure Study'!$B$31</f>
        <v>0</v>
      </c>
      <c r="AA2037" s="195">
        <f t="shared" ca="1" si="442"/>
        <v>0</v>
      </c>
      <c r="AB2037" s="195">
        <f t="shared" ca="1" si="443"/>
        <v>0</v>
      </c>
      <c r="AD2037" s="196">
        <f>IFERROR($G2037/SUMIF($A:$A,$A2037,$G:$G)*SUMIF(Summary!$A$166:$A$242,$A2037,Summary!$P$166:$P$242),0)</f>
        <v>0</v>
      </c>
      <c r="AE2037" s="197">
        <f t="shared" ca="1" si="444"/>
        <v>0</v>
      </c>
      <c r="AF2037" s="196">
        <f>IFERROR(G2037/SUMIF(A:A,A2037,G:G)*SUMIF(Summary!$A$166:$A$242,'Operations Support'!A2037,Summary!$Q$166:$Q$242),0)</f>
        <v>0</v>
      </c>
      <c r="AG2037" s="196">
        <f t="shared" ca="1" si="445"/>
        <v>0</v>
      </c>
      <c r="AI2037" s="196">
        <f>IFERROR($G2037/SUMIF($A:$A,$A2037,$G:$G)*SUMIF(Summary!$A$247:$A$283,$A2037,Summary!$P$247:$P$283),0)</f>
        <v>0</v>
      </c>
      <c r="AJ2037" s="196">
        <f>IFERROR($G2037/SUMIF($A:$A,$A2037,$G:$G)*(SUMIF(Summary!$A$247:$A$283,$A2037,Summary!$L$247:$L$283)+SUMIF(Summary!$A$297:$A$333,$A2037,Summary!$L$297:$L$333))-AI2037,0)</f>
        <v>0</v>
      </c>
      <c r="AK2037" s="196">
        <f>IFERROR($G2037/SUMIF($A:$A,$A2037,$G:$G)*SUMIF(Summary!$A$247:$A$283,$A2037,Summary!$Q$247:$Q$283),0)</f>
        <v>0</v>
      </c>
      <c r="AL2037" s="196">
        <f>IFERROR($G2037/SUMIF($A:$A,$A2037,$G:$G)*(SUMIF(Summary!$A$247:$A$283,$A2037,Summary!$L$247:$L$283)+SUMIF(Summary!$A$297:$A$333,$A2037,Summary!$L$297:$L$333))-AK2037,0)</f>
        <v>0</v>
      </c>
      <c r="AM2037" s="198"/>
      <c r="AN2037" s="196">
        <f t="shared" ca="1" si="446"/>
        <v>0</v>
      </c>
      <c r="AO2037" s="196">
        <f t="shared" ca="1" si="447"/>
        <v>0</v>
      </c>
    </row>
    <row r="2038" spans="1:41">
      <c r="A2038" s="189">
        <v>3656</v>
      </c>
      <c r="B2038" s="190">
        <v>2</v>
      </c>
      <c r="C2038" s="191" t="s">
        <v>237</v>
      </c>
      <c r="D2038" s="192">
        <f t="shared" si="434"/>
        <v>0</v>
      </c>
      <c r="E2038" s="192">
        <f t="shared" si="435"/>
        <v>96</v>
      </c>
      <c r="F2038" s="192">
        <f t="shared" si="436"/>
        <v>0</v>
      </c>
      <c r="G2038" s="193">
        <f t="shared" si="437"/>
        <v>96</v>
      </c>
      <c r="H2038" s="194">
        <v>0</v>
      </c>
      <c r="I2038" s="194">
        <v>48</v>
      </c>
      <c r="J2038" s="194">
        <v>0</v>
      </c>
      <c r="K2038" s="193">
        <f t="shared" si="438"/>
        <v>48</v>
      </c>
      <c r="L2038" s="194">
        <v>0</v>
      </c>
      <c r="M2038" s="194">
        <v>48</v>
      </c>
      <c r="N2038" s="194">
        <v>0</v>
      </c>
      <c r="O2038" s="193">
        <f t="shared" si="439"/>
        <v>48</v>
      </c>
      <c r="P2038" s="194">
        <v>0</v>
      </c>
      <c r="Q2038" s="194">
        <v>0</v>
      </c>
      <c r="R2038" s="194">
        <v>0</v>
      </c>
      <c r="S2038" s="193">
        <f t="shared" si="440"/>
        <v>0</v>
      </c>
      <c r="T2038" s="193">
        <f t="shared" si="441"/>
        <v>3.2</v>
      </c>
      <c r="U2038" s="193">
        <f ca="1">OFFSET('Expenditure Study'!$B$7,'Operations Support'!$C2038,'Operations Support'!$B2038)*$G2038</f>
        <v>224.64</v>
      </c>
      <c r="V2038" s="199">
        <f ca="1">U2038*'Expenditure Study'!$B$31</f>
        <v>13272.445734912</v>
      </c>
      <c r="W2038" s="199">
        <f ca="1">IF(A2038=10298,1.51,1)*IF($B2038&lt;3,$D2038*'Expenditure Study'!$B$32*OFFSET('Expenditure Study'!$B$7,'Operations Support'!$C2038,'Operations Support'!$B2038),0)</f>
        <v>0</v>
      </c>
      <c r="X2038" s="200">
        <f ca="1">W2038*'Expenditure Study'!$B$31</f>
        <v>0</v>
      </c>
      <c r="Y2038" s="199">
        <f ca="1">U2038*'Expenditure Study'!$B$31</f>
        <v>13272.445734912</v>
      </c>
      <c r="Z2038" s="200">
        <f ca="1">W2038*'Expenditure Study'!$B$31</f>
        <v>0</v>
      </c>
      <c r="AA2038" s="195">
        <f t="shared" ca="1" si="442"/>
        <v>13272.445734912</v>
      </c>
      <c r="AB2038" s="195">
        <f t="shared" ca="1" si="443"/>
        <v>13272.445734912</v>
      </c>
      <c r="AD2038" s="196">
        <f>IFERROR($G2038/SUMIF($A:$A,$A2038,$G:$G)*SUMIF(Summary!$A$166:$A$242,$A2038,Summary!$P$166:$P$242),0)</f>
        <v>4300.2256894926986</v>
      </c>
      <c r="AE2038" s="197">
        <f t="shared" ca="1" si="444"/>
        <v>8972.2200454193007</v>
      </c>
      <c r="AF2038" s="196">
        <f>IFERROR(G2038/SUMIF(A:A,A2038,G:G)*SUMIF(Summary!$A$166:$A$242,'Operations Support'!A2038,Summary!$Q$166:$Q$242),0)</f>
        <v>4314.7454060963055</v>
      </c>
      <c r="AG2038" s="196">
        <f t="shared" ca="1" si="445"/>
        <v>8957.7003288156957</v>
      </c>
      <c r="AI2038" s="196">
        <f>IFERROR($G2038/SUMIF($A:$A,$A2038,$G:$G)*SUMIF(Summary!$A$247:$A$283,$A2038,Summary!$P$247:$P$283),0)</f>
        <v>784.25385482757883</v>
      </c>
      <c r="AJ2038" s="196">
        <f>IFERROR($G2038/SUMIF($A:$A,$A2038,$G:$G)*(SUMIF(Summary!$A$247:$A$283,$A2038,Summary!$L$247:$L$283)+SUMIF(Summary!$A$297:$A$333,$A2038,Summary!$L$297:$L$333))-AI2038,0)</f>
        <v>1425.7064754934568</v>
      </c>
      <c r="AK2038" s="196">
        <f>IFERROR($G2038/SUMIF($A:$A,$A2038,$G:$G)*SUMIF(Summary!$A$247:$A$283,$A2038,Summary!$Q$247:$Q$283),0)</f>
        <v>786.90188880058793</v>
      </c>
      <c r="AL2038" s="196">
        <f>IFERROR($G2038/SUMIF($A:$A,$A2038,$G:$G)*(SUMIF(Summary!$A$247:$A$283,$A2038,Summary!$L$247:$L$283)+SUMIF(Summary!$A$297:$A$333,$A2038,Summary!$L$297:$L$333))-AK2038,0)</f>
        <v>1423.0584415204476</v>
      </c>
      <c r="AM2038" s="198"/>
      <c r="AN2038" s="196">
        <f t="shared" ca="1" si="446"/>
        <v>10397.926520912757</v>
      </c>
      <c r="AO2038" s="196">
        <f t="shared" ca="1" si="447"/>
        <v>10380.758770336142</v>
      </c>
    </row>
    <row r="2039" spans="1:41">
      <c r="A2039" s="189">
        <v>3656</v>
      </c>
      <c r="B2039" s="190">
        <v>2</v>
      </c>
      <c r="C2039" s="191" t="s">
        <v>238</v>
      </c>
      <c r="D2039" s="192">
        <f t="shared" si="434"/>
        <v>547</v>
      </c>
      <c r="E2039" s="192">
        <f t="shared" si="435"/>
        <v>3765</v>
      </c>
      <c r="F2039" s="192">
        <f t="shared" si="436"/>
        <v>0</v>
      </c>
      <c r="G2039" s="193">
        <f t="shared" si="437"/>
        <v>4312</v>
      </c>
      <c r="H2039" s="194">
        <v>200</v>
      </c>
      <c r="I2039" s="194">
        <v>1704</v>
      </c>
      <c r="J2039" s="194">
        <v>0</v>
      </c>
      <c r="K2039" s="193">
        <f t="shared" si="438"/>
        <v>1904</v>
      </c>
      <c r="L2039" s="194">
        <v>317</v>
      </c>
      <c r="M2039" s="194">
        <v>1647</v>
      </c>
      <c r="N2039" s="194">
        <v>0</v>
      </c>
      <c r="O2039" s="193">
        <f t="shared" si="439"/>
        <v>1964</v>
      </c>
      <c r="P2039" s="194">
        <v>30</v>
      </c>
      <c r="Q2039" s="194">
        <v>414</v>
      </c>
      <c r="R2039" s="194">
        <v>0</v>
      </c>
      <c r="S2039" s="193">
        <f t="shared" si="440"/>
        <v>444</v>
      </c>
      <c r="T2039" s="193">
        <f t="shared" si="441"/>
        <v>143.73333333333332</v>
      </c>
      <c r="U2039" s="193">
        <f ca="1">OFFSET('Expenditure Study'!$B$7,'Operations Support'!$C2039,'Operations Support'!$B2039)*$G2039</f>
        <v>10348.799999999999</v>
      </c>
      <c r="V2039" s="199">
        <f ca="1">U2039*'Expenditure Study'!$B$31</f>
        <v>611440.02146303991</v>
      </c>
      <c r="W2039" s="199">
        <f ca="1">IF(A2039=10298,1.51,1)*IF($B2039&lt;3,$D2039*'Expenditure Study'!$B$32*OFFSET('Expenditure Study'!$B$7,'Operations Support'!$C2039,'Operations Support'!$B2039),0)</f>
        <v>131.28</v>
      </c>
      <c r="X2039" s="200">
        <f ca="1">W2039*'Expenditure Study'!$B$31</f>
        <v>7756.4399754240003</v>
      </c>
      <c r="Y2039" s="199">
        <f ca="1">U2039*'Expenditure Study'!$B$31</f>
        <v>611440.02146303991</v>
      </c>
      <c r="Z2039" s="200">
        <f ca="1">W2039*'Expenditure Study'!$B$31</f>
        <v>7756.4399754240003</v>
      </c>
      <c r="AA2039" s="195">
        <f t="shared" ca="1" si="442"/>
        <v>619196.46143846388</v>
      </c>
      <c r="AB2039" s="195">
        <f t="shared" ca="1" si="443"/>
        <v>619196.46143846388</v>
      </c>
      <c r="AD2039" s="196">
        <f>IFERROR($G2039/SUMIF($A:$A,$A2039,$G:$G)*SUMIF(Summary!$A$166:$A$242,$A2039,Summary!$P$166:$P$242),0)</f>
        <v>193151.80388638034</v>
      </c>
      <c r="AE2039" s="197">
        <f t="shared" ca="1" si="444"/>
        <v>426044.65755208355</v>
      </c>
      <c r="AF2039" s="196">
        <f>IFERROR(G2039/SUMIF(A:A,A2039,G:G)*SUMIF(Summary!$A$166:$A$242,'Operations Support'!A2039,Summary!$Q$166:$Q$242),0)</f>
        <v>193803.98115715903</v>
      </c>
      <c r="AG2039" s="196">
        <f t="shared" ca="1" si="445"/>
        <v>425392.48028130486</v>
      </c>
      <c r="AI2039" s="196">
        <f>IFERROR($G2039/SUMIF($A:$A,$A2039,$G:$G)*SUMIF(Summary!$A$247:$A$283,$A2039,Summary!$P$247:$P$283),0)</f>
        <v>35226.068979338743</v>
      </c>
      <c r="AJ2039" s="196">
        <f>IFERROR($G2039/SUMIF($A:$A,$A2039,$G:$G)*(SUMIF(Summary!$A$247:$A$283,$A2039,Summary!$L$247:$L$283)+SUMIF(Summary!$A$297:$A$333,$A2039,Summary!$L$297:$L$333))-AI2039,0)</f>
        <v>64037.982524247767</v>
      </c>
      <c r="AK2039" s="196">
        <f>IFERROR($G2039/SUMIF($A:$A,$A2039,$G:$G)*SUMIF(Summary!$A$247:$A$283,$A2039,Summary!$Q$247:$Q$283),0)</f>
        <v>35345.009838626407</v>
      </c>
      <c r="AL2039" s="196">
        <f>IFERROR($G2039/SUMIF($A:$A,$A2039,$G:$G)*(SUMIF(Summary!$A$247:$A$283,$A2039,Summary!$L$247:$L$283)+SUMIF(Summary!$A$297:$A$333,$A2039,Summary!$L$297:$L$333))-AK2039,0)</f>
        <v>63919.041664960103</v>
      </c>
      <c r="AM2039" s="198"/>
      <c r="AN2039" s="196">
        <f t="shared" ca="1" si="446"/>
        <v>490082.64007633133</v>
      </c>
      <c r="AO2039" s="196">
        <f t="shared" ca="1" si="447"/>
        <v>489311.52194626495</v>
      </c>
    </row>
    <row r="2040" spans="1:41">
      <c r="A2040" s="189">
        <v>3656</v>
      </c>
      <c r="B2040" s="190">
        <v>2</v>
      </c>
      <c r="C2040" s="191" t="s">
        <v>239</v>
      </c>
      <c r="D2040" s="192">
        <f t="shared" si="434"/>
        <v>3358.5000000000118</v>
      </c>
      <c r="E2040" s="192">
        <f t="shared" si="435"/>
        <v>99488.499999999593</v>
      </c>
      <c r="F2040" s="192">
        <f t="shared" si="436"/>
        <v>0</v>
      </c>
      <c r="G2040" s="193">
        <f t="shared" si="437"/>
        <v>102846.99999999961</v>
      </c>
      <c r="H2040" s="194">
        <v>901.800000000002</v>
      </c>
      <c r="I2040" s="194">
        <v>38389.199999999903</v>
      </c>
      <c r="J2040" s="194">
        <v>0</v>
      </c>
      <c r="K2040" s="193">
        <f t="shared" si="438"/>
        <v>39290.999999999905</v>
      </c>
      <c r="L2040" s="194">
        <v>189</v>
      </c>
      <c r="M2040" s="194">
        <v>25497</v>
      </c>
      <c r="N2040" s="194">
        <v>0</v>
      </c>
      <c r="O2040" s="193">
        <f t="shared" si="439"/>
        <v>25686</v>
      </c>
      <c r="P2040" s="194">
        <v>2267.7000000000098</v>
      </c>
      <c r="Q2040" s="194">
        <v>35602.299999999697</v>
      </c>
      <c r="R2040" s="194">
        <v>0</v>
      </c>
      <c r="S2040" s="193">
        <f t="shared" si="440"/>
        <v>37869.999999999709</v>
      </c>
      <c r="T2040" s="193">
        <f t="shared" si="441"/>
        <v>3428.2333333333204</v>
      </c>
      <c r="U2040" s="193">
        <f ca="1">OFFSET('Expenditure Study'!$B$7,'Operations Support'!$C2040,'Operations Support'!$B2040)*$G2040</f>
        <v>213921.75999999919</v>
      </c>
      <c r="V2040" s="199">
        <f ca="1">U2040*'Expenditure Study'!$B$31</f>
        <v>12639178.023134161</v>
      </c>
      <c r="W2040" s="199">
        <f ca="1">IF(A2040=10298,1.51,1)*IF($B2040&lt;3,$D2040*'Expenditure Study'!$B$32*OFFSET('Expenditure Study'!$B$7,'Operations Support'!$C2040,'Operations Support'!$B2040),0)</f>
        <v>698.5680000000026</v>
      </c>
      <c r="X2040" s="200">
        <f ca="1">W2040*'Expenditure Study'!$B$31</f>
        <v>41273.619445094555</v>
      </c>
      <c r="Y2040" s="199">
        <f ca="1">U2040*'Expenditure Study'!$B$31</f>
        <v>12639178.023134161</v>
      </c>
      <c r="Z2040" s="200">
        <f ca="1">W2040*'Expenditure Study'!$B$31</f>
        <v>41273.619445094555</v>
      </c>
      <c r="AA2040" s="195">
        <f t="shared" ca="1" si="442"/>
        <v>12680451.642579256</v>
      </c>
      <c r="AB2040" s="195">
        <f t="shared" ca="1" si="443"/>
        <v>12680451.642579256</v>
      </c>
      <c r="AD2040" s="196">
        <f>IFERROR($G2040/SUMIF($A:$A,$A2040,$G:$G)*SUMIF(Summary!$A$166:$A$242,$A2040,Summary!$P$166:$P$242),0)</f>
        <v>4606930.3279922279</v>
      </c>
      <c r="AE2040" s="197">
        <f t="shared" ca="1" si="444"/>
        <v>8073521.3145870278</v>
      </c>
      <c r="AF2040" s="196">
        <f>IFERROR(G2040/SUMIF(A:A,A2040,G:G)*SUMIF(Summary!$A$166:$A$242,'Operations Support'!A2040,Summary!$Q$166:$Q$242),0)</f>
        <v>4622485.6331331767</v>
      </c>
      <c r="AG2040" s="196">
        <f t="shared" ca="1" si="445"/>
        <v>8057966.0094460789</v>
      </c>
      <c r="AI2040" s="196">
        <f>IFERROR($G2040/SUMIF($A:$A,$A2040,$G:$G)*SUMIF(Summary!$A$247:$A$283,$A2040,Summary!$P$247:$P$283),0)</f>
        <v>840189.1271609551</v>
      </c>
      <c r="AJ2040" s="196">
        <f>IFERROR($G2040/SUMIF($A:$A,$A2040,$G:$G)*(SUMIF(Summary!$A$247:$A$283,$A2040,Summary!$L$247:$L$283)+SUMIF(Summary!$A$297:$A$333,$A2040,Summary!$L$297:$L$333))-AI2040,0)</f>
        <v>1527392.0196361975</v>
      </c>
      <c r="AK2040" s="196">
        <f>IFERROR($G2040/SUMIF($A:$A,$A2040,$G:$G)*SUMIF(Summary!$A$247:$A$283,$A2040,Summary!$Q$247:$Q$283),0)</f>
        <v>843026.02664035163</v>
      </c>
      <c r="AL2040" s="196">
        <f>IFERROR($G2040/SUMIF($A:$A,$A2040,$G:$G)*(SUMIF(Summary!$A$247:$A$283,$A2040,Summary!$L$247:$L$283)+SUMIF(Summary!$A$297:$A$333,$A2040,Summary!$L$297:$L$333))-AK2040,0)</f>
        <v>1524555.1201568011</v>
      </c>
      <c r="AM2040" s="198"/>
      <c r="AN2040" s="196">
        <f t="shared" ca="1" si="446"/>
        <v>9600913.3342232257</v>
      </c>
      <c r="AO2040" s="196">
        <f t="shared" ca="1" si="447"/>
        <v>9582521.1296028793</v>
      </c>
    </row>
    <row r="2041" spans="1:41">
      <c r="A2041" s="189">
        <v>3656</v>
      </c>
      <c r="B2041" s="190">
        <v>2</v>
      </c>
      <c r="C2041" s="191" t="s">
        <v>240</v>
      </c>
      <c r="D2041" s="192">
        <f t="shared" si="434"/>
        <v>0</v>
      </c>
      <c r="E2041" s="192">
        <f t="shared" si="435"/>
        <v>0</v>
      </c>
      <c r="F2041" s="192">
        <f t="shared" si="436"/>
        <v>0</v>
      </c>
      <c r="G2041" s="193">
        <f t="shared" si="437"/>
        <v>0</v>
      </c>
      <c r="H2041" s="194">
        <v>0</v>
      </c>
      <c r="I2041" s="194">
        <v>0</v>
      </c>
      <c r="J2041" s="194">
        <v>0</v>
      </c>
      <c r="K2041" s="193">
        <f t="shared" si="438"/>
        <v>0</v>
      </c>
      <c r="L2041" s="194">
        <v>0</v>
      </c>
      <c r="M2041" s="194">
        <v>0</v>
      </c>
      <c r="N2041" s="194">
        <v>0</v>
      </c>
      <c r="O2041" s="193">
        <f t="shared" si="439"/>
        <v>0</v>
      </c>
      <c r="P2041" s="194">
        <v>0</v>
      </c>
      <c r="Q2041" s="194">
        <v>0</v>
      </c>
      <c r="R2041" s="194">
        <v>0</v>
      </c>
      <c r="S2041" s="193">
        <f t="shared" si="440"/>
        <v>0</v>
      </c>
      <c r="T2041" s="193">
        <f t="shared" si="441"/>
        <v>0</v>
      </c>
      <c r="U2041" s="193">
        <f ca="1">OFFSET('Expenditure Study'!$B$7,'Operations Support'!$C2041,'Operations Support'!$B2041)*$G2041</f>
        <v>0</v>
      </c>
      <c r="V2041" s="199">
        <f ca="1">U2041*'Expenditure Study'!$B$31</f>
        <v>0</v>
      </c>
      <c r="W2041" s="199">
        <f ca="1">IF(A2041=10298,1.51,1)*IF($B2041&lt;3,$D2041*'Expenditure Study'!$B$32*OFFSET('Expenditure Study'!$B$7,'Operations Support'!$C2041,'Operations Support'!$B2041),0)</f>
        <v>0</v>
      </c>
      <c r="X2041" s="200">
        <f ca="1">W2041*'Expenditure Study'!$B$31</f>
        <v>0</v>
      </c>
      <c r="Y2041" s="199">
        <f ca="1">U2041*'Expenditure Study'!$B$31</f>
        <v>0</v>
      </c>
      <c r="Z2041" s="200">
        <f ca="1">W2041*'Expenditure Study'!$B$31</f>
        <v>0</v>
      </c>
      <c r="AA2041" s="195">
        <f t="shared" ca="1" si="442"/>
        <v>0</v>
      </c>
      <c r="AB2041" s="195">
        <f t="shared" ca="1" si="443"/>
        <v>0</v>
      </c>
      <c r="AD2041" s="196">
        <f>IFERROR($G2041/SUMIF($A:$A,$A2041,$G:$G)*SUMIF(Summary!$A$166:$A$242,$A2041,Summary!$P$166:$P$242),0)</f>
        <v>0</v>
      </c>
      <c r="AE2041" s="197">
        <f t="shared" ca="1" si="444"/>
        <v>0</v>
      </c>
      <c r="AF2041" s="196">
        <f>IFERROR(G2041/SUMIF(A:A,A2041,G:G)*SUMIF(Summary!$A$166:$A$242,'Operations Support'!A2041,Summary!$Q$166:$Q$242),0)</f>
        <v>0</v>
      </c>
      <c r="AG2041" s="196">
        <f t="shared" ca="1" si="445"/>
        <v>0</v>
      </c>
      <c r="AI2041" s="196">
        <f>IFERROR($G2041/SUMIF($A:$A,$A2041,$G:$G)*SUMIF(Summary!$A$247:$A$283,$A2041,Summary!$P$247:$P$283),0)</f>
        <v>0</v>
      </c>
      <c r="AJ2041" s="196">
        <f>IFERROR($G2041/SUMIF($A:$A,$A2041,$G:$G)*(SUMIF(Summary!$A$247:$A$283,$A2041,Summary!$L$247:$L$283)+SUMIF(Summary!$A$297:$A$333,$A2041,Summary!$L$297:$L$333))-AI2041,0)</f>
        <v>0</v>
      </c>
      <c r="AK2041" s="196">
        <f>IFERROR($G2041/SUMIF($A:$A,$A2041,$G:$G)*SUMIF(Summary!$A$247:$A$283,$A2041,Summary!$Q$247:$Q$283),0)</f>
        <v>0</v>
      </c>
      <c r="AL2041" s="196">
        <f>IFERROR($G2041/SUMIF($A:$A,$A2041,$G:$G)*(SUMIF(Summary!$A$247:$A$283,$A2041,Summary!$L$247:$L$283)+SUMIF(Summary!$A$297:$A$333,$A2041,Summary!$L$297:$L$333))-AK2041,0)</f>
        <v>0</v>
      </c>
      <c r="AM2041" s="198"/>
      <c r="AN2041" s="196">
        <f t="shared" ca="1" si="446"/>
        <v>0</v>
      </c>
      <c r="AO2041" s="196">
        <f t="shared" ca="1" si="447"/>
        <v>0</v>
      </c>
    </row>
    <row r="2042" spans="1:41">
      <c r="A2042" s="189">
        <v>3656</v>
      </c>
      <c r="B2042" s="190">
        <v>3</v>
      </c>
      <c r="C2042" s="191" t="s">
        <v>220</v>
      </c>
      <c r="D2042" s="192">
        <f t="shared" si="434"/>
        <v>5640</v>
      </c>
      <c r="E2042" s="192">
        <f t="shared" si="435"/>
        <v>2088</v>
      </c>
      <c r="F2042" s="192">
        <f t="shared" si="436"/>
        <v>0</v>
      </c>
      <c r="G2042" s="193">
        <f t="shared" si="437"/>
        <v>7728</v>
      </c>
      <c r="H2042" s="194">
        <v>2428</v>
      </c>
      <c r="I2042" s="194">
        <v>822</v>
      </c>
      <c r="J2042" s="194">
        <v>0</v>
      </c>
      <c r="K2042" s="193">
        <f t="shared" si="438"/>
        <v>3250</v>
      </c>
      <c r="L2042" s="194">
        <v>2098</v>
      </c>
      <c r="M2042" s="194">
        <v>934</v>
      </c>
      <c r="N2042" s="194">
        <v>0</v>
      </c>
      <c r="O2042" s="193">
        <f t="shared" si="439"/>
        <v>3032</v>
      </c>
      <c r="P2042" s="194">
        <v>1114</v>
      </c>
      <c r="Q2042" s="194">
        <v>332</v>
      </c>
      <c r="R2042" s="194">
        <v>0</v>
      </c>
      <c r="S2042" s="193">
        <f t="shared" si="440"/>
        <v>1446</v>
      </c>
      <c r="T2042" s="193">
        <f t="shared" si="441"/>
        <v>322</v>
      </c>
      <c r="U2042" s="193">
        <f ca="1">OFFSET('Expenditure Study'!$B$7,'Operations Support'!$C2042,'Operations Support'!$B2042)*$G2042</f>
        <v>34466.879999999997</v>
      </c>
      <c r="V2042" s="199">
        <f ca="1">U2042*'Expenditure Study'!$B$31</f>
        <v>2036412.9026519039</v>
      </c>
      <c r="W2042" s="199">
        <f ca="1">IF(A2042=10298,1.51,1)*IF($B2042&lt;3,$D2042*'Expenditure Study'!$B$32*OFFSET('Expenditure Study'!$B$7,'Operations Support'!$C2042,'Operations Support'!$B2042),0)</f>
        <v>0</v>
      </c>
      <c r="X2042" s="200">
        <f ca="1">W2042*'Expenditure Study'!$B$31</f>
        <v>0</v>
      </c>
      <c r="Y2042" s="199">
        <f ca="1">U2042*'Expenditure Study'!$B$31</f>
        <v>2036412.9026519039</v>
      </c>
      <c r="Z2042" s="200">
        <f ca="1">W2042*'Expenditure Study'!$B$31</f>
        <v>0</v>
      </c>
      <c r="AA2042" s="195">
        <f t="shared" ca="1" si="442"/>
        <v>2036412.9026519039</v>
      </c>
      <c r="AB2042" s="195">
        <f t="shared" ca="1" si="443"/>
        <v>2036412.9026519039</v>
      </c>
      <c r="AD2042" s="196">
        <f>IFERROR($G2042/SUMIF($A:$A,$A2042,$G:$G)*SUMIF(Summary!$A$166:$A$242,$A2042,Summary!$P$166:$P$242),0)</f>
        <v>346168.1680041622</v>
      </c>
      <c r="AE2042" s="197">
        <f t="shared" ca="1" si="444"/>
        <v>1690244.7346477418</v>
      </c>
      <c r="AF2042" s="196">
        <f>IFERROR(G2042/SUMIF(A:A,A2042,G:G)*SUMIF(Summary!$A$166:$A$242,'Operations Support'!A2042,Summary!$Q$166:$Q$242),0)</f>
        <v>347337.00519075256</v>
      </c>
      <c r="AG2042" s="196">
        <f t="shared" ca="1" si="445"/>
        <v>1689075.8974611512</v>
      </c>
      <c r="AI2042" s="196">
        <f>IFERROR($G2042/SUMIF($A:$A,$A2042,$G:$G)*SUMIF(Summary!$A$247:$A$283,$A2042,Summary!$P$247:$P$283),0)</f>
        <v>63132.435313620095</v>
      </c>
      <c r="AJ2042" s="196">
        <f>IFERROR($G2042/SUMIF($A:$A,$A2042,$G:$G)*(SUMIF(Summary!$A$247:$A$283,$A2042,Summary!$L$247:$L$283)+SUMIF(Summary!$A$297:$A$333,$A2042,Summary!$L$297:$L$333))-AI2042,0)</f>
        <v>114769.37127722327</v>
      </c>
      <c r="AK2042" s="196">
        <f>IFERROR($G2042/SUMIF($A:$A,$A2042,$G:$G)*SUMIF(Summary!$A$247:$A$283,$A2042,Summary!$Q$247:$Q$283),0)</f>
        <v>63345.602048447327</v>
      </c>
      <c r="AL2042" s="196">
        <f>IFERROR($G2042/SUMIF($A:$A,$A2042,$G:$G)*(SUMIF(Summary!$A$247:$A$283,$A2042,Summary!$L$247:$L$283)+SUMIF(Summary!$A$297:$A$333,$A2042,Summary!$L$297:$L$333))-AK2042,0)</f>
        <v>114556.20454239604</v>
      </c>
      <c r="AM2042" s="198"/>
      <c r="AN2042" s="196">
        <f t="shared" ca="1" si="446"/>
        <v>1805014.1059249651</v>
      </c>
      <c r="AO2042" s="196">
        <f t="shared" ca="1" si="447"/>
        <v>1803632.1020035474</v>
      </c>
    </row>
    <row r="2043" spans="1:41">
      <c r="A2043" s="189">
        <v>3656</v>
      </c>
      <c r="B2043" s="190">
        <v>3</v>
      </c>
      <c r="C2043" s="191" t="s">
        <v>221</v>
      </c>
      <c r="D2043" s="192">
        <f t="shared" si="434"/>
        <v>8018</v>
      </c>
      <c r="E2043" s="192">
        <f t="shared" si="435"/>
        <v>14422</v>
      </c>
      <c r="F2043" s="192">
        <f t="shared" si="436"/>
        <v>0</v>
      </c>
      <c r="G2043" s="193">
        <f t="shared" si="437"/>
        <v>22440</v>
      </c>
      <c r="H2043" s="194">
        <v>2772</v>
      </c>
      <c r="I2043" s="194">
        <v>5554</v>
      </c>
      <c r="J2043" s="194">
        <v>0</v>
      </c>
      <c r="K2043" s="193">
        <f t="shared" si="438"/>
        <v>8326</v>
      </c>
      <c r="L2043" s="194">
        <v>3928</v>
      </c>
      <c r="M2043" s="194">
        <v>6561</v>
      </c>
      <c r="N2043" s="194">
        <v>0</v>
      </c>
      <c r="O2043" s="193">
        <f t="shared" si="439"/>
        <v>10489</v>
      </c>
      <c r="P2043" s="194">
        <v>1318</v>
      </c>
      <c r="Q2043" s="194">
        <v>2307</v>
      </c>
      <c r="R2043" s="194">
        <v>0</v>
      </c>
      <c r="S2043" s="193">
        <f t="shared" si="440"/>
        <v>3625</v>
      </c>
      <c r="T2043" s="193">
        <f t="shared" si="441"/>
        <v>935</v>
      </c>
      <c r="U2043" s="193">
        <f ca="1">OFFSET('Expenditure Study'!$B$7,'Operations Support'!$C2043,'Operations Support'!$B2043)*$G2043</f>
        <v>157080</v>
      </c>
      <c r="V2043" s="199">
        <f ca="1">U2043*'Expenditure Study'!$B$31</f>
        <v>9280786.0400639996</v>
      </c>
      <c r="W2043" s="199">
        <f ca="1">IF(A2043=10298,1.51,1)*IF($B2043&lt;3,$D2043*'Expenditure Study'!$B$32*OFFSET('Expenditure Study'!$B$7,'Operations Support'!$C2043,'Operations Support'!$B2043),0)</f>
        <v>0</v>
      </c>
      <c r="X2043" s="200">
        <f ca="1">W2043*'Expenditure Study'!$B$31</f>
        <v>0</v>
      </c>
      <c r="Y2043" s="199">
        <f ca="1">U2043*'Expenditure Study'!$B$31</f>
        <v>9280786.0400639996</v>
      </c>
      <c r="Z2043" s="200">
        <f ca="1">W2043*'Expenditure Study'!$B$31</f>
        <v>0</v>
      </c>
      <c r="AA2043" s="195">
        <f t="shared" ca="1" si="442"/>
        <v>9280786.0400639996</v>
      </c>
      <c r="AB2043" s="195">
        <f t="shared" ca="1" si="443"/>
        <v>9280786.0400639996</v>
      </c>
      <c r="AD2043" s="196">
        <f>IFERROR($G2043/SUMIF($A:$A,$A2043,$G:$G)*SUMIF(Summary!$A$166:$A$242,$A2043,Summary!$P$166:$P$242),0)</f>
        <v>1005177.7549189181</v>
      </c>
      <c r="AE2043" s="197">
        <f t="shared" ca="1" si="444"/>
        <v>8275608.2851450816</v>
      </c>
      <c r="AF2043" s="196">
        <f>IFERROR(G2043/SUMIF(A:A,A2043,G:G)*SUMIF(Summary!$A$166:$A$242,'Operations Support'!A2043,Summary!$Q$166:$Q$242),0)</f>
        <v>1008571.7386750113</v>
      </c>
      <c r="AG2043" s="196">
        <f t="shared" ca="1" si="445"/>
        <v>8272214.3013889883</v>
      </c>
      <c r="AI2043" s="196">
        <f>IFERROR($G2043/SUMIF($A:$A,$A2043,$G:$G)*SUMIF(Summary!$A$247:$A$283,$A2043,Summary!$P$247:$P$283),0)</f>
        <v>183319.33856594653</v>
      </c>
      <c r="AJ2043" s="196">
        <f>IFERROR($G2043/SUMIF($A:$A,$A2043,$G:$G)*(SUMIF(Summary!$A$247:$A$283,$A2043,Summary!$L$247:$L$283)+SUMIF(Summary!$A$297:$A$333,$A2043,Summary!$L$297:$L$333))-AI2043,0)</f>
        <v>333258.88864659553</v>
      </c>
      <c r="AK2043" s="196">
        <f>IFERROR($G2043/SUMIF($A:$A,$A2043,$G:$G)*SUMIF(Summary!$A$247:$A$283,$A2043,Summary!$Q$247:$Q$283),0)</f>
        <v>183938.31650713741</v>
      </c>
      <c r="AL2043" s="196">
        <f>IFERROR($G2043/SUMIF($A:$A,$A2043,$G:$G)*(SUMIF(Summary!$A$247:$A$283,$A2043,Summary!$L$247:$L$283)+SUMIF(Summary!$A$297:$A$333,$A2043,Summary!$L$297:$L$333))-AK2043,0)</f>
        <v>332639.91070540459</v>
      </c>
      <c r="AM2043" s="198"/>
      <c r="AN2043" s="196">
        <f t="shared" ca="1" si="446"/>
        <v>8608867.1737916768</v>
      </c>
      <c r="AO2043" s="196">
        <f t="shared" ca="1" si="447"/>
        <v>8604854.2120943926</v>
      </c>
    </row>
    <row r="2044" spans="1:41">
      <c r="A2044" s="189">
        <v>3656</v>
      </c>
      <c r="B2044" s="190">
        <v>3</v>
      </c>
      <c r="C2044" s="191" t="s">
        <v>222</v>
      </c>
      <c r="D2044" s="192">
        <f t="shared" si="434"/>
        <v>438</v>
      </c>
      <c r="E2044" s="192">
        <f t="shared" si="435"/>
        <v>321</v>
      </c>
      <c r="F2044" s="192">
        <f t="shared" si="436"/>
        <v>0</v>
      </c>
      <c r="G2044" s="193">
        <f t="shared" si="437"/>
        <v>759</v>
      </c>
      <c r="H2044" s="194">
        <v>219</v>
      </c>
      <c r="I2044" s="194">
        <v>138</v>
      </c>
      <c r="J2044" s="194">
        <v>0</v>
      </c>
      <c r="K2044" s="193">
        <f t="shared" si="438"/>
        <v>357</v>
      </c>
      <c r="L2044" s="194">
        <v>216</v>
      </c>
      <c r="M2044" s="194">
        <v>183</v>
      </c>
      <c r="N2044" s="194">
        <v>0</v>
      </c>
      <c r="O2044" s="193">
        <f t="shared" si="439"/>
        <v>399</v>
      </c>
      <c r="P2044" s="194">
        <v>3</v>
      </c>
      <c r="Q2044" s="194">
        <v>0</v>
      </c>
      <c r="R2044" s="194">
        <v>0</v>
      </c>
      <c r="S2044" s="193">
        <f t="shared" si="440"/>
        <v>3</v>
      </c>
      <c r="T2044" s="193">
        <f t="shared" si="441"/>
        <v>31.625</v>
      </c>
      <c r="U2044" s="193">
        <f ca="1">OFFSET('Expenditure Study'!$B$7,'Operations Support'!$C2044,'Operations Support'!$B2044)*$G2044</f>
        <v>5700.09</v>
      </c>
      <c r="V2044" s="199">
        <f ca="1">U2044*'Expenditure Study'!$B$31</f>
        <v>336779.44804627204</v>
      </c>
      <c r="W2044" s="199">
        <f ca="1">IF(A2044=10298,1.51,1)*IF($B2044&lt;3,$D2044*'Expenditure Study'!$B$32*OFFSET('Expenditure Study'!$B$7,'Operations Support'!$C2044,'Operations Support'!$B2044),0)</f>
        <v>0</v>
      </c>
      <c r="X2044" s="200">
        <f ca="1">W2044*'Expenditure Study'!$B$31</f>
        <v>0</v>
      </c>
      <c r="Y2044" s="199">
        <f ca="1">U2044*'Expenditure Study'!$B$31</f>
        <v>336779.44804627204</v>
      </c>
      <c r="Z2044" s="200">
        <f ca="1">W2044*'Expenditure Study'!$B$31</f>
        <v>0</v>
      </c>
      <c r="AA2044" s="195">
        <f t="shared" ca="1" si="442"/>
        <v>336779.44804627204</v>
      </c>
      <c r="AB2044" s="195">
        <f t="shared" ca="1" si="443"/>
        <v>336779.44804627204</v>
      </c>
      <c r="AD2044" s="196">
        <f>IFERROR($G2044/SUMIF($A:$A,$A2044,$G:$G)*SUMIF(Summary!$A$166:$A$242,$A2044,Summary!$P$166:$P$242),0)</f>
        <v>33998.659357551645</v>
      </c>
      <c r="AE2044" s="197">
        <f t="shared" ca="1" si="444"/>
        <v>302780.78868872038</v>
      </c>
      <c r="AF2044" s="196">
        <f>IFERROR(G2044/SUMIF(A:A,A2044,G:G)*SUMIF(Summary!$A$166:$A$242,'Operations Support'!A2044,Summary!$Q$166:$Q$242),0)</f>
        <v>34113.455866948912</v>
      </c>
      <c r="AG2044" s="196">
        <f t="shared" ca="1" si="445"/>
        <v>302665.9921793231</v>
      </c>
      <c r="AI2044" s="196">
        <f>IFERROR($G2044/SUMIF($A:$A,$A2044,$G:$G)*SUMIF(Summary!$A$247:$A$283,$A2044,Summary!$P$247:$P$283),0)</f>
        <v>6200.5070397305453</v>
      </c>
      <c r="AJ2044" s="196">
        <f>IFERROR($G2044/SUMIF($A:$A,$A2044,$G:$G)*(SUMIF(Summary!$A$247:$A$283,$A2044,Summary!$L$247:$L$283)+SUMIF(Summary!$A$297:$A$333,$A2044,Summary!$L$297:$L$333))-AI2044,0)</f>
        <v>11271.991821870142</v>
      </c>
      <c r="AK2044" s="196">
        <f>IFERROR($G2044/SUMIF($A:$A,$A2044,$G:$G)*SUMIF(Summary!$A$247:$A$283,$A2044,Summary!$Q$247:$Q$283),0)</f>
        <v>6221.4430583296489</v>
      </c>
      <c r="AL2044" s="196">
        <f>IFERROR($G2044/SUMIF($A:$A,$A2044,$G:$G)*(SUMIF(Summary!$A$247:$A$283,$A2044,Summary!$L$247:$L$283)+SUMIF(Summary!$A$297:$A$333,$A2044,Summary!$L$297:$L$333))-AK2044,0)</f>
        <v>11251.05580327104</v>
      </c>
      <c r="AM2044" s="198"/>
      <c r="AN2044" s="196">
        <f t="shared" ca="1" si="446"/>
        <v>314052.78051059053</v>
      </c>
      <c r="AO2044" s="196">
        <f t="shared" ca="1" si="447"/>
        <v>313917.04798259411</v>
      </c>
    </row>
    <row r="2045" spans="1:41">
      <c r="A2045" s="189">
        <v>3656</v>
      </c>
      <c r="B2045" s="190">
        <v>3</v>
      </c>
      <c r="C2045" s="191" t="s">
        <v>223</v>
      </c>
      <c r="D2045" s="192">
        <f t="shared" si="434"/>
        <v>6346.5</v>
      </c>
      <c r="E2045" s="192">
        <f t="shared" si="435"/>
        <v>8752.5</v>
      </c>
      <c r="F2045" s="192">
        <f t="shared" si="436"/>
        <v>0</v>
      </c>
      <c r="G2045" s="193">
        <f t="shared" si="437"/>
        <v>15099</v>
      </c>
      <c r="H2045" s="194">
        <v>2853</v>
      </c>
      <c r="I2045" s="194">
        <v>2136</v>
      </c>
      <c r="J2045" s="194">
        <v>0</v>
      </c>
      <c r="K2045" s="193">
        <f t="shared" si="438"/>
        <v>4989</v>
      </c>
      <c r="L2045" s="194">
        <v>835.5</v>
      </c>
      <c r="M2045" s="194">
        <v>2488.5</v>
      </c>
      <c r="N2045" s="194">
        <v>0</v>
      </c>
      <c r="O2045" s="193">
        <f t="shared" si="439"/>
        <v>3324</v>
      </c>
      <c r="P2045" s="194">
        <v>2658</v>
      </c>
      <c r="Q2045" s="194">
        <v>4128</v>
      </c>
      <c r="R2045" s="194">
        <v>0</v>
      </c>
      <c r="S2045" s="193">
        <f t="shared" si="440"/>
        <v>6786</v>
      </c>
      <c r="T2045" s="193">
        <f t="shared" si="441"/>
        <v>629.125</v>
      </c>
      <c r="U2045" s="193">
        <f ca="1">OFFSET('Expenditure Study'!$B$7,'Operations Support'!$C2045,'Operations Support'!$B2045)*$G2045</f>
        <v>33821.760000000002</v>
      </c>
      <c r="V2045" s="199">
        <f ca="1">U2045*'Expenditure Study'!$B$31</f>
        <v>1998297.1610542082</v>
      </c>
      <c r="W2045" s="199">
        <f ca="1">IF(A2045=10298,1.51,1)*IF($B2045&lt;3,$D2045*'Expenditure Study'!$B$32*OFFSET('Expenditure Study'!$B$7,'Operations Support'!$C2045,'Operations Support'!$B2045),0)</f>
        <v>0</v>
      </c>
      <c r="X2045" s="200">
        <f ca="1">W2045*'Expenditure Study'!$B$31</f>
        <v>0</v>
      </c>
      <c r="Y2045" s="199">
        <f ca="1">U2045*'Expenditure Study'!$B$31</f>
        <v>1998297.1610542082</v>
      </c>
      <c r="Z2045" s="200">
        <f ca="1">W2045*'Expenditure Study'!$B$31</f>
        <v>0</v>
      </c>
      <c r="AA2045" s="195">
        <f t="shared" ca="1" si="442"/>
        <v>1998297.1610542082</v>
      </c>
      <c r="AB2045" s="195">
        <f t="shared" ca="1" si="443"/>
        <v>1998297.1610542082</v>
      </c>
      <c r="AD2045" s="196">
        <f>IFERROR($G2045/SUMIF($A:$A,$A2045,$G:$G)*SUMIF(Summary!$A$166:$A$242,$A2045,Summary!$P$166:$P$242),0)</f>
        <v>676344.8717255235</v>
      </c>
      <c r="AE2045" s="197">
        <f t="shared" ca="1" si="444"/>
        <v>1321952.2893286846</v>
      </c>
      <c r="AF2045" s="196">
        <f>IFERROR(G2045/SUMIF(A:A,A2045,G:G)*SUMIF(Summary!$A$166:$A$242,'Operations Support'!A2045,Summary!$Q$166:$Q$242),0)</f>
        <v>678628.55090258445</v>
      </c>
      <c r="AG2045" s="196">
        <f t="shared" ca="1" si="445"/>
        <v>1319668.6101516238</v>
      </c>
      <c r="AI2045" s="196">
        <f>IFERROR($G2045/SUMIF($A:$A,$A2045,$G:$G)*SUMIF(Summary!$A$247:$A$283,$A2045,Summary!$P$247:$P$283),0)</f>
        <v>123348.42660460013</v>
      </c>
      <c r="AJ2045" s="196">
        <f>IFERROR($G2045/SUMIF($A:$A,$A2045,$G:$G)*(SUMIF(Summary!$A$247:$A$283,$A2045,Summary!$L$247:$L$283)+SUMIF(Summary!$A$297:$A$333,$A2045,Summary!$L$297:$L$333))-AI2045,0)</f>
        <v>224236.89659870524</v>
      </c>
      <c r="AK2045" s="196">
        <f>IFERROR($G2045/SUMIF($A:$A,$A2045,$G:$G)*SUMIF(Summary!$A$247:$A$283,$A2045,Summary!$Q$247:$Q$283),0)</f>
        <v>123764.91269791748</v>
      </c>
      <c r="AL2045" s="196">
        <f>IFERROR($G2045/SUMIF($A:$A,$A2045,$G:$G)*(SUMIF(Summary!$A$247:$A$283,$A2045,Summary!$L$247:$L$283)+SUMIF(Summary!$A$297:$A$333,$A2045,Summary!$L$297:$L$333))-AK2045,0)</f>
        <v>223820.41050538787</v>
      </c>
      <c r="AM2045" s="198"/>
      <c r="AN2045" s="196">
        <f t="shared" ca="1" si="446"/>
        <v>1546189.1859273899</v>
      </c>
      <c r="AO2045" s="196">
        <f t="shared" ca="1" si="447"/>
        <v>1543489.0206570118</v>
      </c>
    </row>
    <row r="2046" spans="1:41" s="201" customFormat="1">
      <c r="A2046" s="189">
        <v>3656</v>
      </c>
      <c r="B2046" s="190">
        <v>3</v>
      </c>
      <c r="C2046" s="191" t="s">
        <v>224</v>
      </c>
      <c r="D2046" s="192">
        <f t="shared" si="434"/>
        <v>0</v>
      </c>
      <c r="E2046" s="192">
        <f t="shared" si="435"/>
        <v>0</v>
      </c>
      <c r="F2046" s="192">
        <f t="shared" si="436"/>
        <v>0</v>
      </c>
      <c r="G2046" s="193">
        <f t="shared" si="437"/>
        <v>0</v>
      </c>
      <c r="H2046" s="194">
        <v>0</v>
      </c>
      <c r="I2046" s="194">
        <v>0</v>
      </c>
      <c r="J2046" s="194">
        <v>0</v>
      </c>
      <c r="K2046" s="193">
        <f t="shared" si="438"/>
        <v>0</v>
      </c>
      <c r="L2046" s="194">
        <v>0</v>
      </c>
      <c r="M2046" s="194">
        <v>0</v>
      </c>
      <c r="N2046" s="194">
        <v>0</v>
      </c>
      <c r="O2046" s="193">
        <f t="shared" si="439"/>
        <v>0</v>
      </c>
      <c r="P2046" s="194">
        <v>0</v>
      </c>
      <c r="Q2046" s="194">
        <v>0</v>
      </c>
      <c r="R2046" s="194">
        <v>0</v>
      </c>
      <c r="S2046" s="193">
        <f t="shared" si="440"/>
        <v>0</v>
      </c>
      <c r="T2046" s="193">
        <f t="shared" si="441"/>
        <v>0</v>
      </c>
      <c r="U2046" s="193">
        <f ca="1">OFFSET('Expenditure Study'!$B$7,'Operations Support'!$C2046,'Operations Support'!$B2046)*$G2046</f>
        <v>0</v>
      </c>
      <c r="V2046" s="199">
        <f ca="1">U2046*'Expenditure Study'!$B$31</f>
        <v>0</v>
      </c>
      <c r="W2046" s="199">
        <f ca="1">IF(A2046=10298,1.51,1)*IF($B2046&lt;3,$D2046*'Expenditure Study'!$B$32*OFFSET('Expenditure Study'!$B$7,'Operations Support'!$C2046,'Operations Support'!$B2046),0)</f>
        <v>0</v>
      </c>
      <c r="X2046" s="200">
        <f ca="1">W2046*'Expenditure Study'!$B$31</f>
        <v>0</v>
      </c>
      <c r="Y2046" s="199">
        <f ca="1">U2046*'Expenditure Study'!$B$31</f>
        <v>0</v>
      </c>
      <c r="Z2046" s="200">
        <f ca="1">W2046*'Expenditure Study'!$B$31</f>
        <v>0</v>
      </c>
      <c r="AA2046" s="195">
        <f t="shared" ca="1" si="442"/>
        <v>0</v>
      </c>
      <c r="AB2046" s="195">
        <f t="shared" ca="1" si="443"/>
        <v>0</v>
      </c>
      <c r="AD2046" s="196">
        <f>IFERROR($G2046/SUMIF($A:$A,$A2046,$G:$G)*SUMIF(Summary!$A$166:$A$242,$A2046,Summary!$P$166:$P$242),0)</f>
        <v>0</v>
      </c>
      <c r="AE2046" s="197">
        <f t="shared" ca="1" si="444"/>
        <v>0</v>
      </c>
      <c r="AF2046" s="196">
        <f>IFERROR(G2046/SUMIF(A:A,A2046,G:G)*SUMIF(Summary!$A$166:$A$242,'Operations Support'!A2046,Summary!$Q$166:$Q$242),0)</f>
        <v>0</v>
      </c>
      <c r="AG2046" s="196">
        <f t="shared" ca="1" si="445"/>
        <v>0</v>
      </c>
      <c r="AH2046" s="180"/>
      <c r="AI2046" s="196">
        <f>IFERROR($G2046/SUMIF($A:$A,$A2046,$G:$G)*SUMIF(Summary!$A$247:$A$283,$A2046,Summary!$P$247:$P$283),0)</f>
        <v>0</v>
      </c>
      <c r="AJ2046" s="196">
        <f>IFERROR($G2046/SUMIF($A:$A,$A2046,$G:$G)*(SUMIF(Summary!$A$247:$A$283,$A2046,Summary!$L$247:$L$283)+SUMIF(Summary!$A$297:$A$333,$A2046,Summary!$L$297:$L$333))-AI2046,0)</f>
        <v>0</v>
      </c>
      <c r="AK2046" s="196">
        <f>IFERROR($G2046/SUMIF($A:$A,$A2046,$G:$G)*SUMIF(Summary!$A$247:$A$283,$A2046,Summary!$Q$247:$Q$283),0)</f>
        <v>0</v>
      </c>
      <c r="AL2046" s="196">
        <f>IFERROR($G2046/SUMIF($A:$A,$A2046,$G:$G)*(SUMIF(Summary!$A$247:$A$283,$A2046,Summary!$L$247:$L$283)+SUMIF(Summary!$A$297:$A$333,$A2046,Summary!$L$297:$L$333))-AK2046,0)</f>
        <v>0</v>
      </c>
      <c r="AM2046" s="198"/>
      <c r="AN2046" s="196">
        <f t="shared" ca="1" si="446"/>
        <v>0</v>
      </c>
      <c r="AO2046" s="196">
        <f t="shared" ca="1" si="447"/>
        <v>0</v>
      </c>
    </row>
    <row r="2047" spans="1:41">
      <c r="A2047" s="189">
        <v>3656</v>
      </c>
      <c r="B2047" s="190">
        <v>3</v>
      </c>
      <c r="C2047" s="191" t="s">
        <v>225</v>
      </c>
      <c r="D2047" s="192">
        <f t="shared" si="434"/>
        <v>19367</v>
      </c>
      <c r="E2047" s="192">
        <f t="shared" si="435"/>
        <v>28205</v>
      </c>
      <c r="F2047" s="192">
        <f t="shared" si="436"/>
        <v>0</v>
      </c>
      <c r="G2047" s="193">
        <f t="shared" si="437"/>
        <v>47572</v>
      </c>
      <c r="H2047" s="194">
        <v>8982.5</v>
      </c>
      <c r="I2047" s="194">
        <v>12721.5</v>
      </c>
      <c r="J2047" s="194">
        <v>0</v>
      </c>
      <c r="K2047" s="193">
        <f t="shared" si="438"/>
        <v>21704</v>
      </c>
      <c r="L2047" s="194">
        <v>8945.5</v>
      </c>
      <c r="M2047" s="194">
        <v>11811.5</v>
      </c>
      <c r="N2047" s="194">
        <v>0</v>
      </c>
      <c r="O2047" s="193">
        <f t="shared" si="439"/>
        <v>20757</v>
      </c>
      <c r="P2047" s="194">
        <v>1439</v>
      </c>
      <c r="Q2047" s="194">
        <v>3672</v>
      </c>
      <c r="R2047" s="194">
        <v>0</v>
      </c>
      <c r="S2047" s="193">
        <f t="shared" si="440"/>
        <v>5111</v>
      </c>
      <c r="T2047" s="193">
        <f t="shared" si="441"/>
        <v>1982.1666666666667</v>
      </c>
      <c r="U2047" s="193">
        <f ca="1">OFFSET('Expenditure Study'!$B$7,'Operations Support'!$C2047,'Operations Support'!$B2047)*$G2047</f>
        <v>328722.52</v>
      </c>
      <c r="V2047" s="199">
        <f ca="1">U2047*'Expenditure Study'!$B$31</f>
        <v>19421972.082191616</v>
      </c>
      <c r="W2047" s="199">
        <f ca="1">IF(A2047=10298,1.51,1)*IF($B2047&lt;3,$D2047*'Expenditure Study'!$B$32*OFFSET('Expenditure Study'!$B$7,'Operations Support'!$C2047,'Operations Support'!$B2047),0)</f>
        <v>0</v>
      </c>
      <c r="X2047" s="200">
        <f ca="1">W2047*'Expenditure Study'!$B$31</f>
        <v>0</v>
      </c>
      <c r="Y2047" s="199">
        <f ca="1">U2047*'Expenditure Study'!$B$31</f>
        <v>19421972.082191616</v>
      </c>
      <c r="Z2047" s="200">
        <f ca="1">W2047*'Expenditure Study'!$B$31</f>
        <v>0</v>
      </c>
      <c r="AA2047" s="195">
        <f t="shared" ca="1" si="442"/>
        <v>19421972.082191616</v>
      </c>
      <c r="AB2047" s="195">
        <f t="shared" ca="1" si="443"/>
        <v>19421972.082191616</v>
      </c>
      <c r="AD2047" s="196">
        <f>IFERROR($G2047/SUMIF($A:$A,$A2047,$G:$G)*SUMIF(Summary!$A$166:$A$242,$A2047,Summary!$P$166:$P$242),0)</f>
        <v>2130941.0052140276</v>
      </c>
      <c r="AE2047" s="197">
        <f t="shared" ca="1" si="444"/>
        <v>17291031.076977588</v>
      </c>
      <c r="AF2047" s="196">
        <f>IFERROR(G2047/SUMIF(A:A,A2047,G:G)*SUMIF(Summary!$A$166:$A$242,'Operations Support'!A2047,Summary!$Q$166:$Q$242),0)</f>
        <v>2138136.1297793062</v>
      </c>
      <c r="AG2047" s="196">
        <f t="shared" ca="1" si="445"/>
        <v>17283835.952412311</v>
      </c>
      <c r="AI2047" s="196">
        <f>IFERROR($G2047/SUMIF($A:$A,$A2047,$G:$G)*SUMIF(Summary!$A$247:$A$283,$A2047,Summary!$P$247:$P$283),0)</f>
        <v>388630.4623110164</v>
      </c>
      <c r="AJ2047" s="196">
        <f>IFERROR($G2047/SUMIF($A:$A,$A2047,$G:$G)*(SUMIF(Summary!$A$247:$A$283,$A2047,Summary!$L$247:$L$283)+SUMIF(Summary!$A$297:$A$333,$A2047,Summary!$L$297:$L$333))-AI2047,0)</f>
        <v>706496.9630434867</v>
      </c>
      <c r="AK2047" s="196">
        <f>IFERROR($G2047/SUMIF($A:$A,$A2047,$G:$G)*SUMIF(Summary!$A$247:$A$283,$A2047,Summary!$Q$247:$Q$283),0)</f>
        <v>389942.67347939132</v>
      </c>
      <c r="AL2047" s="196">
        <f>IFERROR($G2047/SUMIF($A:$A,$A2047,$G:$G)*(SUMIF(Summary!$A$247:$A$283,$A2047,Summary!$L$247:$L$283)+SUMIF(Summary!$A$297:$A$333,$A2047,Summary!$L$297:$L$333))-AK2047,0)</f>
        <v>705184.75187511183</v>
      </c>
      <c r="AM2047" s="198"/>
      <c r="AN2047" s="196">
        <f t="shared" ca="1" si="446"/>
        <v>17997528.040021077</v>
      </c>
      <c r="AO2047" s="196">
        <f t="shared" ca="1" si="447"/>
        <v>17989020.704287425</v>
      </c>
    </row>
    <row r="2048" spans="1:41">
      <c r="A2048" s="189">
        <v>3656</v>
      </c>
      <c r="B2048" s="190">
        <v>3</v>
      </c>
      <c r="C2048" s="191" t="s">
        <v>226</v>
      </c>
      <c r="D2048" s="192">
        <f t="shared" si="434"/>
        <v>0</v>
      </c>
      <c r="E2048" s="192">
        <f t="shared" si="435"/>
        <v>0</v>
      </c>
      <c r="F2048" s="192">
        <f t="shared" si="436"/>
        <v>0</v>
      </c>
      <c r="G2048" s="193">
        <f t="shared" si="437"/>
        <v>0</v>
      </c>
      <c r="H2048" s="194">
        <v>0</v>
      </c>
      <c r="I2048" s="194">
        <v>0</v>
      </c>
      <c r="J2048" s="194">
        <v>0</v>
      </c>
      <c r="K2048" s="193">
        <f t="shared" si="438"/>
        <v>0</v>
      </c>
      <c r="L2048" s="194">
        <v>0</v>
      </c>
      <c r="M2048" s="194">
        <v>0</v>
      </c>
      <c r="N2048" s="194">
        <v>0</v>
      </c>
      <c r="O2048" s="193">
        <f t="shared" si="439"/>
        <v>0</v>
      </c>
      <c r="P2048" s="194">
        <v>0</v>
      </c>
      <c r="Q2048" s="194">
        <v>0</v>
      </c>
      <c r="R2048" s="194">
        <v>0</v>
      </c>
      <c r="S2048" s="193">
        <f t="shared" si="440"/>
        <v>0</v>
      </c>
      <c r="T2048" s="193">
        <f t="shared" si="441"/>
        <v>0</v>
      </c>
      <c r="U2048" s="193">
        <f ca="1">OFFSET('Expenditure Study'!$B$7,'Operations Support'!$C2048,'Operations Support'!$B2048)*$G2048</f>
        <v>0</v>
      </c>
      <c r="V2048" s="199">
        <f ca="1">U2048*'Expenditure Study'!$B$31</f>
        <v>0</v>
      </c>
      <c r="W2048" s="199">
        <f ca="1">IF(A2048=10298,1.51,1)*IF($B2048&lt;3,$D2048*'Expenditure Study'!$B$32*OFFSET('Expenditure Study'!$B$7,'Operations Support'!$C2048,'Operations Support'!$B2048),0)</f>
        <v>0</v>
      </c>
      <c r="X2048" s="200">
        <f ca="1">W2048*'Expenditure Study'!$B$31</f>
        <v>0</v>
      </c>
      <c r="Y2048" s="199">
        <f ca="1">U2048*'Expenditure Study'!$B$31</f>
        <v>0</v>
      </c>
      <c r="Z2048" s="200">
        <f ca="1">W2048*'Expenditure Study'!$B$31</f>
        <v>0</v>
      </c>
      <c r="AA2048" s="195">
        <f t="shared" ca="1" si="442"/>
        <v>0</v>
      </c>
      <c r="AB2048" s="195">
        <f t="shared" ca="1" si="443"/>
        <v>0</v>
      </c>
      <c r="AD2048" s="196">
        <f>IFERROR($G2048/SUMIF($A:$A,$A2048,$G:$G)*SUMIF(Summary!$A$166:$A$242,$A2048,Summary!$P$166:$P$242),0)</f>
        <v>0</v>
      </c>
      <c r="AE2048" s="197">
        <f t="shared" ca="1" si="444"/>
        <v>0</v>
      </c>
      <c r="AF2048" s="196">
        <f>IFERROR(G2048/SUMIF(A:A,A2048,G:G)*SUMIF(Summary!$A$166:$A$242,'Operations Support'!A2048,Summary!$Q$166:$Q$242),0)</f>
        <v>0</v>
      </c>
      <c r="AG2048" s="196">
        <f t="shared" ca="1" si="445"/>
        <v>0</v>
      </c>
      <c r="AI2048" s="196">
        <f>IFERROR($G2048/SUMIF($A:$A,$A2048,$G:$G)*SUMIF(Summary!$A$247:$A$283,$A2048,Summary!$P$247:$P$283),0)</f>
        <v>0</v>
      </c>
      <c r="AJ2048" s="196">
        <f>IFERROR($G2048/SUMIF($A:$A,$A2048,$G:$G)*(SUMIF(Summary!$A$247:$A$283,$A2048,Summary!$L$247:$L$283)+SUMIF(Summary!$A$297:$A$333,$A2048,Summary!$L$297:$L$333))-AI2048,0)</f>
        <v>0</v>
      </c>
      <c r="AK2048" s="196">
        <f>IFERROR($G2048/SUMIF($A:$A,$A2048,$G:$G)*SUMIF(Summary!$A$247:$A$283,$A2048,Summary!$Q$247:$Q$283),0)</f>
        <v>0</v>
      </c>
      <c r="AL2048" s="196">
        <f>IFERROR($G2048/SUMIF($A:$A,$A2048,$G:$G)*(SUMIF(Summary!$A$247:$A$283,$A2048,Summary!$L$247:$L$283)+SUMIF(Summary!$A$297:$A$333,$A2048,Summary!$L$297:$L$333))-AK2048,0)</f>
        <v>0</v>
      </c>
      <c r="AM2048" s="198"/>
      <c r="AN2048" s="196">
        <f t="shared" ca="1" si="446"/>
        <v>0</v>
      </c>
      <c r="AO2048" s="196">
        <f t="shared" ca="1" si="447"/>
        <v>0</v>
      </c>
    </row>
    <row r="2049" spans="1:41">
      <c r="A2049" s="189">
        <v>3656</v>
      </c>
      <c r="B2049" s="190">
        <v>3</v>
      </c>
      <c r="C2049" s="191" t="s">
        <v>227</v>
      </c>
      <c r="D2049" s="192">
        <f t="shared" si="434"/>
        <v>0</v>
      </c>
      <c r="E2049" s="192">
        <f t="shared" si="435"/>
        <v>0</v>
      </c>
      <c r="F2049" s="192">
        <f t="shared" si="436"/>
        <v>0</v>
      </c>
      <c r="G2049" s="193">
        <f t="shared" si="437"/>
        <v>0</v>
      </c>
      <c r="H2049" s="194">
        <v>0</v>
      </c>
      <c r="I2049" s="194">
        <v>0</v>
      </c>
      <c r="J2049" s="194">
        <v>0</v>
      </c>
      <c r="K2049" s="193">
        <f t="shared" si="438"/>
        <v>0</v>
      </c>
      <c r="L2049" s="194">
        <v>0</v>
      </c>
      <c r="M2049" s="194">
        <v>0</v>
      </c>
      <c r="N2049" s="194">
        <v>0</v>
      </c>
      <c r="O2049" s="193">
        <f t="shared" si="439"/>
        <v>0</v>
      </c>
      <c r="P2049" s="194">
        <v>0</v>
      </c>
      <c r="Q2049" s="194">
        <v>0</v>
      </c>
      <c r="R2049" s="194">
        <v>0</v>
      </c>
      <c r="S2049" s="193">
        <f t="shared" si="440"/>
        <v>0</v>
      </c>
      <c r="T2049" s="193">
        <f t="shared" si="441"/>
        <v>0</v>
      </c>
      <c r="U2049" s="193">
        <f ca="1">OFFSET('Expenditure Study'!$B$7,'Operations Support'!$C2049,'Operations Support'!$B2049)*$G2049</f>
        <v>0</v>
      </c>
      <c r="V2049" s="199">
        <f ca="1">U2049*'Expenditure Study'!$B$31</f>
        <v>0</v>
      </c>
      <c r="W2049" s="199">
        <f ca="1">IF(A2049=10298,1.51,1)*IF($B2049&lt;3,$D2049*'Expenditure Study'!$B$32*OFFSET('Expenditure Study'!$B$7,'Operations Support'!$C2049,'Operations Support'!$B2049),0)</f>
        <v>0</v>
      </c>
      <c r="X2049" s="200">
        <f ca="1">W2049*'Expenditure Study'!$B$31</f>
        <v>0</v>
      </c>
      <c r="Y2049" s="199">
        <f ca="1">U2049*'Expenditure Study'!$B$31</f>
        <v>0</v>
      </c>
      <c r="Z2049" s="200">
        <f ca="1">W2049*'Expenditure Study'!$B$31</f>
        <v>0</v>
      </c>
      <c r="AA2049" s="195">
        <f t="shared" ca="1" si="442"/>
        <v>0</v>
      </c>
      <c r="AB2049" s="195">
        <f t="shared" ca="1" si="443"/>
        <v>0</v>
      </c>
      <c r="AD2049" s="196">
        <f>IFERROR($G2049/SUMIF($A:$A,$A2049,$G:$G)*SUMIF(Summary!$A$166:$A$242,$A2049,Summary!$P$166:$P$242),0)</f>
        <v>0</v>
      </c>
      <c r="AE2049" s="197">
        <f t="shared" ca="1" si="444"/>
        <v>0</v>
      </c>
      <c r="AF2049" s="196">
        <f>IFERROR(G2049/SUMIF(A:A,A2049,G:G)*SUMIF(Summary!$A$166:$A$242,'Operations Support'!A2049,Summary!$Q$166:$Q$242),0)</f>
        <v>0</v>
      </c>
      <c r="AG2049" s="196">
        <f t="shared" ca="1" si="445"/>
        <v>0</v>
      </c>
      <c r="AI2049" s="196">
        <f>IFERROR($G2049/SUMIF($A:$A,$A2049,$G:$G)*SUMIF(Summary!$A$247:$A$283,$A2049,Summary!$P$247:$P$283),0)</f>
        <v>0</v>
      </c>
      <c r="AJ2049" s="196">
        <f>IFERROR($G2049/SUMIF($A:$A,$A2049,$G:$G)*(SUMIF(Summary!$A$247:$A$283,$A2049,Summary!$L$247:$L$283)+SUMIF(Summary!$A$297:$A$333,$A2049,Summary!$L$297:$L$333))-AI2049,0)</f>
        <v>0</v>
      </c>
      <c r="AK2049" s="196">
        <f>IFERROR($G2049/SUMIF($A:$A,$A2049,$G:$G)*SUMIF(Summary!$A$247:$A$283,$A2049,Summary!$Q$247:$Q$283),0)</f>
        <v>0</v>
      </c>
      <c r="AL2049" s="196">
        <f>IFERROR($G2049/SUMIF($A:$A,$A2049,$G:$G)*(SUMIF(Summary!$A$247:$A$283,$A2049,Summary!$L$247:$L$283)+SUMIF(Summary!$A$297:$A$333,$A2049,Summary!$L$297:$L$333))-AK2049,0)</f>
        <v>0</v>
      </c>
      <c r="AM2049" s="198"/>
      <c r="AN2049" s="196">
        <f t="shared" ca="1" si="446"/>
        <v>0</v>
      </c>
      <c r="AO2049" s="196">
        <f t="shared" ca="1" si="447"/>
        <v>0</v>
      </c>
    </row>
    <row r="2050" spans="1:41">
      <c r="A2050" s="189">
        <v>3656</v>
      </c>
      <c r="B2050" s="190">
        <v>3</v>
      </c>
      <c r="C2050" s="191" t="s">
        <v>228</v>
      </c>
      <c r="D2050" s="192">
        <f t="shared" si="434"/>
        <v>3732</v>
      </c>
      <c r="E2050" s="192">
        <f t="shared" si="435"/>
        <v>30246</v>
      </c>
      <c r="F2050" s="192">
        <f t="shared" si="436"/>
        <v>0</v>
      </c>
      <c r="G2050" s="193">
        <f t="shared" si="437"/>
        <v>33978</v>
      </c>
      <c r="H2050" s="194">
        <v>1098</v>
      </c>
      <c r="I2050" s="194">
        <v>11081</v>
      </c>
      <c r="J2050" s="194">
        <v>0</v>
      </c>
      <c r="K2050" s="193">
        <f t="shared" si="438"/>
        <v>12179</v>
      </c>
      <c r="L2050" s="194">
        <v>2208</v>
      </c>
      <c r="M2050" s="194">
        <v>9815</v>
      </c>
      <c r="N2050" s="194">
        <v>0</v>
      </c>
      <c r="O2050" s="193">
        <f t="shared" si="439"/>
        <v>12023</v>
      </c>
      <c r="P2050" s="194">
        <v>426</v>
      </c>
      <c r="Q2050" s="194">
        <v>9350</v>
      </c>
      <c r="R2050" s="194">
        <v>0</v>
      </c>
      <c r="S2050" s="193">
        <f t="shared" si="440"/>
        <v>9776</v>
      </c>
      <c r="T2050" s="193">
        <f t="shared" si="441"/>
        <v>1415.75</v>
      </c>
      <c r="U2050" s="193">
        <f ca="1">OFFSET('Expenditure Study'!$B$7,'Operations Support'!$C2050,'Operations Support'!$B2050)*$G2050</f>
        <v>82906.319999999992</v>
      </c>
      <c r="V2050" s="199">
        <f ca="1">U2050*'Expenditure Study'!$B$31</f>
        <v>4898369.0940226559</v>
      </c>
      <c r="W2050" s="199">
        <f ca="1">IF(A2050=10298,1.51,1)*IF($B2050&lt;3,$D2050*'Expenditure Study'!$B$32*OFFSET('Expenditure Study'!$B$7,'Operations Support'!$C2050,'Operations Support'!$B2050),0)</f>
        <v>0</v>
      </c>
      <c r="X2050" s="200">
        <f ca="1">W2050*'Expenditure Study'!$B$31</f>
        <v>0</v>
      </c>
      <c r="Y2050" s="199">
        <f ca="1">U2050*'Expenditure Study'!$B$31</f>
        <v>4898369.0940226559</v>
      </c>
      <c r="Z2050" s="200">
        <f ca="1">W2050*'Expenditure Study'!$B$31</f>
        <v>0</v>
      </c>
      <c r="AA2050" s="195">
        <f t="shared" ca="1" si="442"/>
        <v>4898369.0940226559</v>
      </c>
      <c r="AB2050" s="195">
        <f t="shared" ca="1" si="443"/>
        <v>4898369.0940226559</v>
      </c>
      <c r="AD2050" s="196">
        <f>IFERROR($G2050/SUMIF($A:$A,$A2050,$G:$G)*SUMIF(Summary!$A$166:$A$242,$A2050,Summary!$P$166:$P$242),0)</f>
        <v>1522011.129974822</v>
      </c>
      <c r="AE2050" s="197">
        <f t="shared" ca="1" si="444"/>
        <v>3376357.9640478338</v>
      </c>
      <c r="AF2050" s="196">
        <f>IFERROR(G2050/SUMIF(A:A,A2050,G:G)*SUMIF(Summary!$A$166:$A$242,'Operations Support'!A2050,Summary!$Q$166:$Q$242),0)</f>
        <v>1527150.2021702111</v>
      </c>
      <c r="AG2050" s="196">
        <f t="shared" ca="1" si="445"/>
        <v>3371218.891852445</v>
      </c>
      <c r="AI2050" s="196">
        <f>IFERROR($G2050/SUMIF($A:$A,$A2050,$G:$G)*SUMIF(Summary!$A$247:$A$283,$A2050,Summary!$P$247:$P$283),0)</f>
        <v>277576.84874303616</v>
      </c>
      <c r="AJ2050" s="196">
        <f>IFERROR($G2050/SUMIF($A:$A,$A2050,$G:$G)*(SUMIF(Summary!$A$247:$A$283,$A2050,Summary!$L$247:$L$283)+SUMIF(Summary!$A$297:$A$333,$A2050,Summary!$L$297:$L$333))-AI2050,0)</f>
        <v>504610.98566996539</v>
      </c>
      <c r="AK2050" s="196">
        <f>IFERROR($G2050/SUMIF($A:$A,$A2050,$G:$G)*SUMIF(Summary!$A$247:$A$283,$A2050,Summary!$Q$247:$Q$283),0)</f>
        <v>278514.08726735809</v>
      </c>
      <c r="AL2050" s="196">
        <f>IFERROR($G2050/SUMIF($A:$A,$A2050,$G:$G)*(SUMIF(Summary!$A$247:$A$283,$A2050,Summary!$L$247:$L$283)+SUMIF(Summary!$A$297:$A$333,$A2050,Summary!$L$297:$L$333))-AK2050,0)</f>
        <v>503673.74714564346</v>
      </c>
      <c r="AM2050" s="198"/>
      <c r="AN2050" s="196">
        <f t="shared" ca="1" si="446"/>
        <v>3880968.9497177992</v>
      </c>
      <c r="AO2050" s="196">
        <f t="shared" ca="1" si="447"/>
        <v>3874892.6389980884</v>
      </c>
    </row>
    <row r="2051" spans="1:41">
      <c r="A2051" s="189">
        <v>3656</v>
      </c>
      <c r="B2051" s="190">
        <v>3</v>
      </c>
      <c r="C2051" s="191" t="s">
        <v>229</v>
      </c>
      <c r="D2051" s="192">
        <f t="shared" si="434"/>
        <v>0</v>
      </c>
      <c r="E2051" s="192">
        <f t="shared" si="435"/>
        <v>0</v>
      </c>
      <c r="F2051" s="192">
        <f t="shared" si="436"/>
        <v>0</v>
      </c>
      <c r="G2051" s="193">
        <f t="shared" si="437"/>
        <v>0</v>
      </c>
      <c r="H2051" s="194">
        <v>0</v>
      </c>
      <c r="I2051" s="194">
        <v>0</v>
      </c>
      <c r="J2051" s="194">
        <v>0</v>
      </c>
      <c r="K2051" s="193">
        <f t="shared" si="438"/>
        <v>0</v>
      </c>
      <c r="L2051" s="194">
        <v>0</v>
      </c>
      <c r="M2051" s="194">
        <v>0</v>
      </c>
      <c r="N2051" s="194">
        <v>0</v>
      </c>
      <c r="O2051" s="193">
        <f t="shared" si="439"/>
        <v>0</v>
      </c>
      <c r="P2051" s="194">
        <v>0</v>
      </c>
      <c r="Q2051" s="194">
        <v>0</v>
      </c>
      <c r="R2051" s="194">
        <v>0</v>
      </c>
      <c r="S2051" s="193">
        <f t="shared" si="440"/>
        <v>0</v>
      </c>
      <c r="T2051" s="193">
        <f t="shared" si="441"/>
        <v>0</v>
      </c>
      <c r="U2051" s="193">
        <f ca="1">OFFSET('Expenditure Study'!$B$7,'Operations Support'!$C2051,'Operations Support'!$B2051)*$G2051</f>
        <v>0</v>
      </c>
      <c r="V2051" s="199">
        <f ca="1">U2051*'Expenditure Study'!$B$31</f>
        <v>0</v>
      </c>
      <c r="W2051" s="199">
        <f ca="1">IF(A2051=10298,1.51,1)*IF($B2051&lt;3,$D2051*'Expenditure Study'!$B$32*OFFSET('Expenditure Study'!$B$7,'Operations Support'!$C2051,'Operations Support'!$B2051),0)</f>
        <v>0</v>
      </c>
      <c r="X2051" s="200">
        <f ca="1">W2051*'Expenditure Study'!$B$31</f>
        <v>0</v>
      </c>
      <c r="Y2051" s="199">
        <f ca="1">U2051*'Expenditure Study'!$B$31</f>
        <v>0</v>
      </c>
      <c r="Z2051" s="200">
        <f ca="1">W2051*'Expenditure Study'!$B$31</f>
        <v>0</v>
      </c>
      <c r="AA2051" s="195">
        <f t="shared" ca="1" si="442"/>
        <v>0</v>
      </c>
      <c r="AB2051" s="195">
        <f t="shared" ca="1" si="443"/>
        <v>0</v>
      </c>
      <c r="AD2051" s="196">
        <f>IFERROR($G2051/SUMIF($A:$A,$A2051,$G:$G)*SUMIF(Summary!$A$166:$A$242,$A2051,Summary!$P$166:$P$242),0)</f>
        <v>0</v>
      </c>
      <c r="AE2051" s="197">
        <f t="shared" ca="1" si="444"/>
        <v>0</v>
      </c>
      <c r="AF2051" s="196">
        <f>IFERROR(G2051/SUMIF(A:A,A2051,G:G)*SUMIF(Summary!$A$166:$A$242,'Operations Support'!A2051,Summary!$Q$166:$Q$242),0)</f>
        <v>0</v>
      </c>
      <c r="AG2051" s="196">
        <f t="shared" ca="1" si="445"/>
        <v>0</v>
      </c>
      <c r="AI2051" s="196">
        <f>IFERROR($G2051/SUMIF($A:$A,$A2051,$G:$G)*SUMIF(Summary!$A$247:$A$283,$A2051,Summary!$P$247:$P$283),0)</f>
        <v>0</v>
      </c>
      <c r="AJ2051" s="196">
        <f>IFERROR($G2051/SUMIF($A:$A,$A2051,$G:$G)*(SUMIF(Summary!$A$247:$A$283,$A2051,Summary!$L$247:$L$283)+SUMIF(Summary!$A$297:$A$333,$A2051,Summary!$L$297:$L$333))-AI2051,0)</f>
        <v>0</v>
      </c>
      <c r="AK2051" s="196">
        <f>IFERROR($G2051/SUMIF($A:$A,$A2051,$G:$G)*SUMIF(Summary!$A$247:$A$283,$A2051,Summary!$Q$247:$Q$283),0)</f>
        <v>0</v>
      </c>
      <c r="AL2051" s="196">
        <f>IFERROR($G2051/SUMIF($A:$A,$A2051,$G:$G)*(SUMIF(Summary!$A$247:$A$283,$A2051,Summary!$L$247:$L$283)+SUMIF(Summary!$A$297:$A$333,$A2051,Summary!$L$297:$L$333))-AK2051,0)</f>
        <v>0</v>
      </c>
      <c r="AM2051" s="198"/>
      <c r="AN2051" s="196">
        <f t="shared" ca="1" si="446"/>
        <v>0</v>
      </c>
      <c r="AO2051" s="196">
        <f t="shared" ca="1" si="447"/>
        <v>0</v>
      </c>
    </row>
    <row r="2052" spans="1:41">
      <c r="A2052" s="189">
        <v>3656</v>
      </c>
      <c r="B2052" s="190">
        <v>3</v>
      </c>
      <c r="C2052" s="191" t="s">
        <v>230</v>
      </c>
      <c r="D2052" s="192">
        <f t="shared" si="434"/>
        <v>0</v>
      </c>
      <c r="E2052" s="192">
        <f t="shared" si="435"/>
        <v>0</v>
      </c>
      <c r="F2052" s="192">
        <f t="shared" si="436"/>
        <v>0</v>
      </c>
      <c r="G2052" s="193">
        <f t="shared" si="437"/>
        <v>0</v>
      </c>
      <c r="H2052" s="194">
        <v>0</v>
      </c>
      <c r="I2052" s="194">
        <v>0</v>
      </c>
      <c r="J2052" s="194">
        <v>0</v>
      </c>
      <c r="K2052" s="193">
        <f t="shared" si="438"/>
        <v>0</v>
      </c>
      <c r="L2052" s="194">
        <v>0</v>
      </c>
      <c r="M2052" s="194">
        <v>0</v>
      </c>
      <c r="N2052" s="194">
        <v>0</v>
      </c>
      <c r="O2052" s="193">
        <f t="shared" si="439"/>
        <v>0</v>
      </c>
      <c r="P2052" s="194">
        <v>0</v>
      </c>
      <c r="Q2052" s="194">
        <v>0</v>
      </c>
      <c r="R2052" s="194">
        <v>0</v>
      </c>
      <c r="S2052" s="193">
        <f t="shared" si="440"/>
        <v>0</v>
      </c>
      <c r="T2052" s="193">
        <f t="shared" si="441"/>
        <v>0</v>
      </c>
      <c r="U2052" s="193">
        <f ca="1">OFFSET('Expenditure Study'!$B$7,'Operations Support'!$C2052,'Operations Support'!$B2052)*$G2052</f>
        <v>0</v>
      </c>
      <c r="V2052" s="199">
        <f ca="1">U2052*'Expenditure Study'!$B$31</f>
        <v>0</v>
      </c>
      <c r="W2052" s="199">
        <f ca="1">IF(A2052=10298,1.51,1)*IF($B2052&lt;3,$D2052*'Expenditure Study'!$B$32*OFFSET('Expenditure Study'!$B$7,'Operations Support'!$C2052,'Operations Support'!$B2052),0)</f>
        <v>0</v>
      </c>
      <c r="X2052" s="200">
        <f ca="1">W2052*'Expenditure Study'!$B$31</f>
        <v>0</v>
      </c>
      <c r="Y2052" s="199">
        <f ca="1">U2052*'Expenditure Study'!$B$31</f>
        <v>0</v>
      </c>
      <c r="Z2052" s="200">
        <f ca="1">W2052*'Expenditure Study'!$B$31</f>
        <v>0</v>
      </c>
      <c r="AA2052" s="195">
        <f t="shared" ca="1" si="442"/>
        <v>0</v>
      </c>
      <c r="AB2052" s="195">
        <f t="shared" ca="1" si="443"/>
        <v>0</v>
      </c>
      <c r="AD2052" s="196">
        <f>IFERROR($G2052/SUMIF($A:$A,$A2052,$G:$G)*SUMIF(Summary!$A$166:$A$242,$A2052,Summary!$P$166:$P$242),0)</f>
        <v>0</v>
      </c>
      <c r="AE2052" s="197">
        <f t="shared" ca="1" si="444"/>
        <v>0</v>
      </c>
      <c r="AF2052" s="196">
        <f>IFERROR(G2052/SUMIF(A:A,A2052,G:G)*SUMIF(Summary!$A$166:$A$242,'Operations Support'!A2052,Summary!$Q$166:$Q$242),0)</f>
        <v>0</v>
      </c>
      <c r="AG2052" s="196">
        <f t="shared" ca="1" si="445"/>
        <v>0</v>
      </c>
      <c r="AI2052" s="196">
        <f>IFERROR($G2052/SUMIF($A:$A,$A2052,$G:$G)*SUMIF(Summary!$A$247:$A$283,$A2052,Summary!$P$247:$P$283),0)</f>
        <v>0</v>
      </c>
      <c r="AJ2052" s="196">
        <f>IFERROR($G2052/SUMIF($A:$A,$A2052,$G:$G)*(SUMIF(Summary!$A$247:$A$283,$A2052,Summary!$L$247:$L$283)+SUMIF(Summary!$A$297:$A$333,$A2052,Summary!$L$297:$L$333))-AI2052,0)</f>
        <v>0</v>
      </c>
      <c r="AK2052" s="196">
        <f>IFERROR($G2052/SUMIF($A:$A,$A2052,$G:$G)*SUMIF(Summary!$A$247:$A$283,$A2052,Summary!$Q$247:$Q$283),0)</f>
        <v>0</v>
      </c>
      <c r="AL2052" s="196">
        <f>IFERROR($G2052/SUMIF($A:$A,$A2052,$G:$G)*(SUMIF(Summary!$A$247:$A$283,$A2052,Summary!$L$247:$L$283)+SUMIF(Summary!$A$297:$A$333,$A2052,Summary!$L$297:$L$333))-AK2052,0)</f>
        <v>0</v>
      </c>
      <c r="AM2052" s="198"/>
      <c r="AN2052" s="196">
        <f t="shared" ca="1" si="446"/>
        <v>0</v>
      </c>
      <c r="AO2052" s="196">
        <f t="shared" ca="1" si="447"/>
        <v>0</v>
      </c>
    </row>
    <row r="2053" spans="1:41">
      <c r="A2053" s="189">
        <v>3656</v>
      </c>
      <c r="B2053" s="190">
        <v>3</v>
      </c>
      <c r="C2053" s="191" t="s">
        <v>231</v>
      </c>
      <c r="D2053" s="192">
        <f t="shared" ref="D2053:D2116" si="448">H2053+L2053+P2053</f>
        <v>0</v>
      </c>
      <c r="E2053" s="192">
        <f t="shared" ref="E2053:E2116" si="449">I2053+M2053+Q2053</f>
        <v>0</v>
      </c>
      <c r="F2053" s="192">
        <f t="shared" ref="F2053:F2116" si="450">J2053+N2053+R2053</f>
        <v>0</v>
      </c>
      <c r="G2053" s="193">
        <f t="shared" ref="G2053:G2116" si="451">(SUM(D2053:E2053)-F2053)*IF(A2053=10298,1.51,1)</f>
        <v>0</v>
      </c>
      <c r="H2053" s="194">
        <v>0</v>
      </c>
      <c r="I2053" s="194">
        <v>0</v>
      </c>
      <c r="J2053" s="194">
        <v>0</v>
      </c>
      <c r="K2053" s="193">
        <f t="shared" ref="K2053:K2116" si="452">SUM(H2053:I2053)-J2053</f>
        <v>0</v>
      </c>
      <c r="L2053" s="194">
        <v>0</v>
      </c>
      <c r="M2053" s="194">
        <v>0</v>
      </c>
      <c r="N2053" s="194">
        <v>0</v>
      </c>
      <c r="O2053" s="193">
        <f t="shared" ref="O2053:O2116" si="453">SUM(L2053:M2053)-N2053</f>
        <v>0</v>
      </c>
      <c r="P2053" s="194">
        <v>0</v>
      </c>
      <c r="Q2053" s="194">
        <v>0</v>
      </c>
      <c r="R2053" s="194">
        <v>0</v>
      </c>
      <c r="S2053" s="193">
        <f t="shared" ref="S2053:S2116" si="454">SUM(P2053:Q2053)-R2053</f>
        <v>0</v>
      </c>
      <c r="T2053" s="193">
        <f t="shared" ref="T2053:T2116" si="455">IF(OR(B2053=1,B2053=2),G2053/30,IF(OR(B2053=3,B2053=5),G2053/24,IF(B2053=4,G2053/18,0)))</f>
        <v>0</v>
      </c>
      <c r="U2053" s="193">
        <f ca="1">OFFSET('Expenditure Study'!$B$7,'Operations Support'!$C2053,'Operations Support'!$B2053)*$G2053</f>
        <v>0</v>
      </c>
      <c r="V2053" s="199">
        <f ca="1">U2053*'Expenditure Study'!$B$31</f>
        <v>0</v>
      </c>
      <c r="W2053" s="199">
        <f ca="1">IF(A2053=10298,1.51,1)*IF($B2053&lt;3,$D2053*'Expenditure Study'!$B$32*OFFSET('Expenditure Study'!$B$7,'Operations Support'!$C2053,'Operations Support'!$B2053),0)</f>
        <v>0</v>
      </c>
      <c r="X2053" s="200">
        <f ca="1">W2053*'Expenditure Study'!$B$31</f>
        <v>0</v>
      </c>
      <c r="Y2053" s="199">
        <f ca="1">U2053*'Expenditure Study'!$B$31</f>
        <v>0</v>
      </c>
      <c r="Z2053" s="200">
        <f ca="1">W2053*'Expenditure Study'!$B$31</f>
        <v>0</v>
      </c>
      <c r="AA2053" s="195">
        <f t="shared" ref="AA2053:AA2116" ca="1" si="456">V2053+X2053</f>
        <v>0</v>
      </c>
      <c r="AB2053" s="195">
        <f t="shared" ref="AB2053:AB2116" ca="1" si="457">Y2053+Z2053</f>
        <v>0</v>
      </c>
      <c r="AD2053" s="196">
        <f>IFERROR($G2053/SUMIF($A:$A,$A2053,$G:$G)*SUMIF(Summary!$A$166:$A$242,$A2053,Summary!$P$166:$P$242),0)</f>
        <v>0</v>
      </c>
      <c r="AE2053" s="197">
        <f t="shared" ca="1" si="444"/>
        <v>0</v>
      </c>
      <c r="AF2053" s="196">
        <f>IFERROR(G2053/SUMIF(A:A,A2053,G:G)*SUMIF(Summary!$A$166:$A$242,'Operations Support'!A2053,Summary!$Q$166:$Q$242),0)</f>
        <v>0</v>
      </c>
      <c r="AG2053" s="196">
        <f t="shared" ca="1" si="445"/>
        <v>0</v>
      </c>
      <c r="AI2053" s="196">
        <f>IFERROR($G2053/SUMIF($A:$A,$A2053,$G:$G)*SUMIF(Summary!$A$247:$A$283,$A2053,Summary!$P$247:$P$283),0)</f>
        <v>0</v>
      </c>
      <c r="AJ2053" s="196">
        <f>IFERROR($G2053/SUMIF($A:$A,$A2053,$G:$G)*(SUMIF(Summary!$A$247:$A$283,$A2053,Summary!$L$247:$L$283)+SUMIF(Summary!$A$297:$A$333,$A2053,Summary!$L$297:$L$333))-AI2053,0)</f>
        <v>0</v>
      </c>
      <c r="AK2053" s="196">
        <f>IFERROR($G2053/SUMIF($A:$A,$A2053,$G:$G)*SUMIF(Summary!$A$247:$A$283,$A2053,Summary!$Q$247:$Q$283),0)</f>
        <v>0</v>
      </c>
      <c r="AL2053" s="196">
        <f>IFERROR($G2053/SUMIF($A:$A,$A2053,$G:$G)*(SUMIF(Summary!$A$247:$A$283,$A2053,Summary!$L$247:$L$283)+SUMIF(Summary!$A$297:$A$333,$A2053,Summary!$L$297:$L$333))-AK2053,0)</f>
        <v>0</v>
      </c>
      <c r="AM2053" s="198"/>
      <c r="AN2053" s="196">
        <f t="shared" ca="1" si="446"/>
        <v>0</v>
      </c>
      <c r="AO2053" s="196">
        <f t="shared" ca="1" si="447"/>
        <v>0</v>
      </c>
    </row>
    <row r="2054" spans="1:41">
      <c r="A2054" s="189">
        <v>3656</v>
      </c>
      <c r="B2054" s="190">
        <v>3</v>
      </c>
      <c r="C2054" s="191" t="s">
        <v>232</v>
      </c>
      <c r="D2054" s="192">
        <f t="shared" si="448"/>
        <v>0</v>
      </c>
      <c r="E2054" s="192">
        <f t="shared" si="449"/>
        <v>0</v>
      </c>
      <c r="F2054" s="192">
        <f t="shared" si="450"/>
        <v>0</v>
      </c>
      <c r="G2054" s="193">
        <f t="shared" si="451"/>
        <v>0</v>
      </c>
      <c r="H2054" s="194">
        <v>0</v>
      </c>
      <c r="I2054" s="194">
        <v>0</v>
      </c>
      <c r="J2054" s="194">
        <v>0</v>
      </c>
      <c r="K2054" s="193">
        <f t="shared" si="452"/>
        <v>0</v>
      </c>
      <c r="L2054" s="194">
        <v>0</v>
      </c>
      <c r="M2054" s="194">
        <v>0</v>
      </c>
      <c r="N2054" s="194">
        <v>0</v>
      </c>
      <c r="O2054" s="193">
        <f t="shared" si="453"/>
        <v>0</v>
      </c>
      <c r="P2054" s="194">
        <v>0</v>
      </c>
      <c r="Q2054" s="194">
        <v>0</v>
      </c>
      <c r="R2054" s="194">
        <v>0</v>
      </c>
      <c r="S2054" s="193">
        <f t="shared" si="454"/>
        <v>0</v>
      </c>
      <c r="T2054" s="193">
        <f t="shared" si="455"/>
        <v>0</v>
      </c>
      <c r="U2054" s="193">
        <f ca="1">OFFSET('Expenditure Study'!$B$7,'Operations Support'!$C2054,'Operations Support'!$B2054)*$G2054</f>
        <v>0</v>
      </c>
      <c r="V2054" s="199">
        <f ca="1">U2054*'Expenditure Study'!$B$31</f>
        <v>0</v>
      </c>
      <c r="W2054" s="199">
        <f ca="1">IF(A2054=10298,1.51,1)*IF($B2054&lt;3,$D2054*'Expenditure Study'!$B$32*OFFSET('Expenditure Study'!$B$7,'Operations Support'!$C2054,'Operations Support'!$B2054),0)</f>
        <v>0</v>
      </c>
      <c r="X2054" s="200">
        <f ca="1">W2054*'Expenditure Study'!$B$31</f>
        <v>0</v>
      </c>
      <c r="Y2054" s="199">
        <f ca="1">U2054*'Expenditure Study'!$B$31</f>
        <v>0</v>
      </c>
      <c r="Z2054" s="200">
        <f ca="1">W2054*'Expenditure Study'!$B$31</f>
        <v>0</v>
      </c>
      <c r="AA2054" s="195">
        <f t="shared" ca="1" si="456"/>
        <v>0</v>
      </c>
      <c r="AB2054" s="195">
        <f t="shared" ca="1" si="457"/>
        <v>0</v>
      </c>
      <c r="AD2054" s="196">
        <f>IFERROR($G2054/SUMIF($A:$A,$A2054,$G:$G)*SUMIF(Summary!$A$166:$A$242,$A2054,Summary!$P$166:$P$242),0)</f>
        <v>0</v>
      </c>
      <c r="AE2054" s="197">
        <f t="shared" ref="AE2054:AE2117" ca="1" si="458">V2054+X2054-AD2054</f>
        <v>0</v>
      </c>
      <c r="AF2054" s="196">
        <f>IFERROR(G2054/SUMIF(A:A,A2054,G:G)*SUMIF(Summary!$A$166:$A$242,'Operations Support'!A2054,Summary!$Q$166:$Q$242),0)</f>
        <v>0</v>
      </c>
      <c r="AG2054" s="196">
        <f t="shared" ref="AG2054:AG2117" ca="1" si="459">Y2054+Z2054-AF2054</f>
        <v>0</v>
      </c>
      <c r="AI2054" s="196">
        <f>IFERROR($G2054/SUMIF($A:$A,$A2054,$G:$G)*SUMIF(Summary!$A$247:$A$283,$A2054,Summary!$P$247:$P$283),0)</f>
        <v>0</v>
      </c>
      <c r="AJ2054" s="196">
        <f>IFERROR($G2054/SUMIF($A:$A,$A2054,$G:$G)*(SUMIF(Summary!$A$247:$A$283,$A2054,Summary!$L$247:$L$283)+SUMIF(Summary!$A$297:$A$333,$A2054,Summary!$L$297:$L$333))-AI2054,0)</f>
        <v>0</v>
      </c>
      <c r="AK2054" s="196">
        <f>IFERROR($G2054/SUMIF($A:$A,$A2054,$G:$G)*SUMIF(Summary!$A$247:$A$283,$A2054,Summary!$Q$247:$Q$283),0)</f>
        <v>0</v>
      </c>
      <c r="AL2054" s="196">
        <f>IFERROR($G2054/SUMIF($A:$A,$A2054,$G:$G)*(SUMIF(Summary!$A$247:$A$283,$A2054,Summary!$L$247:$L$283)+SUMIF(Summary!$A$297:$A$333,$A2054,Summary!$L$297:$L$333))-AK2054,0)</f>
        <v>0</v>
      </c>
      <c r="AM2054" s="198"/>
      <c r="AN2054" s="196">
        <f t="shared" ref="AN2054:AN2117" ca="1" si="460">AE2054+AJ2054</f>
        <v>0</v>
      </c>
      <c r="AO2054" s="196">
        <f t="shared" ref="AO2054:AO2117" ca="1" si="461">AG2054+AL2054</f>
        <v>0</v>
      </c>
    </row>
    <row r="2055" spans="1:41">
      <c r="A2055" s="189">
        <v>3656</v>
      </c>
      <c r="B2055" s="190">
        <v>3</v>
      </c>
      <c r="C2055" s="191" t="s">
        <v>233</v>
      </c>
      <c r="D2055" s="192">
        <f t="shared" si="448"/>
        <v>815</v>
      </c>
      <c r="E2055" s="192">
        <f t="shared" si="449"/>
        <v>2121</v>
      </c>
      <c r="F2055" s="192">
        <f t="shared" si="450"/>
        <v>0</v>
      </c>
      <c r="G2055" s="193">
        <f t="shared" si="451"/>
        <v>2936</v>
      </c>
      <c r="H2055" s="194">
        <v>311.5</v>
      </c>
      <c r="I2055" s="194">
        <v>949.5</v>
      </c>
      <c r="J2055" s="194">
        <v>0</v>
      </c>
      <c r="K2055" s="193">
        <f t="shared" si="452"/>
        <v>1261</v>
      </c>
      <c r="L2055" s="194">
        <v>462.5</v>
      </c>
      <c r="M2055" s="194">
        <v>625.5</v>
      </c>
      <c r="N2055" s="194">
        <v>0</v>
      </c>
      <c r="O2055" s="193">
        <f t="shared" si="453"/>
        <v>1088</v>
      </c>
      <c r="P2055" s="194">
        <v>41</v>
      </c>
      <c r="Q2055" s="194">
        <v>546</v>
      </c>
      <c r="R2055" s="194">
        <v>0</v>
      </c>
      <c r="S2055" s="193">
        <f t="shared" si="454"/>
        <v>587</v>
      </c>
      <c r="T2055" s="193">
        <f t="shared" si="455"/>
        <v>122.33333333333333</v>
      </c>
      <c r="U2055" s="193">
        <f ca="1">OFFSET('Expenditure Study'!$B$7,'Operations Support'!$C2055,'Operations Support'!$B2055)*$G2055</f>
        <v>7692.3200000000006</v>
      </c>
      <c r="V2055" s="199">
        <f ca="1">U2055*'Expenditure Study'!$B$31</f>
        <v>454486.73333145602</v>
      </c>
      <c r="W2055" s="199">
        <f ca="1">IF(A2055=10298,1.51,1)*IF($B2055&lt;3,$D2055*'Expenditure Study'!$B$32*OFFSET('Expenditure Study'!$B$7,'Operations Support'!$C2055,'Operations Support'!$B2055),0)</f>
        <v>0</v>
      </c>
      <c r="X2055" s="200">
        <f ca="1">W2055*'Expenditure Study'!$B$31</f>
        <v>0</v>
      </c>
      <c r="Y2055" s="199">
        <f ca="1">U2055*'Expenditure Study'!$B$31</f>
        <v>454486.73333145602</v>
      </c>
      <c r="Z2055" s="200">
        <f ca="1">W2055*'Expenditure Study'!$B$31</f>
        <v>0</v>
      </c>
      <c r="AA2055" s="195">
        <f t="shared" ca="1" si="456"/>
        <v>454486.73333145602</v>
      </c>
      <c r="AB2055" s="195">
        <f t="shared" ca="1" si="457"/>
        <v>454486.73333145602</v>
      </c>
      <c r="AD2055" s="196">
        <f>IFERROR($G2055/SUMIF($A:$A,$A2055,$G:$G)*SUMIF(Summary!$A$166:$A$242,$A2055,Summary!$P$166:$P$242),0)</f>
        <v>131515.23567031836</v>
      </c>
      <c r="AE2055" s="197">
        <f t="shared" ca="1" si="458"/>
        <v>322971.49766113766</v>
      </c>
      <c r="AF2055" s="196">
        <f>IFERROR(G2055/SUMIF(A:A,A2055,G:G)*SUMIF(Summary!$A$166:$A$242,'Operations Support'!A2055,Summary!$Q$166:$Q$242),0)</f>
        <v>131959.29700311201</v>
      </c>
      <c r="AG2055" s="196">
        <f t="shared" ca="1" si="459"/>
        <v>322527.43632834405</v>
      </c>
      <c r="AI2055" s="196">
        <f>IFERROR($G2055/SUMIF($A:$A,$A2055,$G:$G)*SUMIF(Summary!$A$247:$A$283,$A2055,Summary!$P$247:$P$283),0)</f>
        <v>23985.097060143449</v>
      </c>
      <c r="AJ2055" s="196">
        <f>IFERROR($G2055/SUMIF($A:$A,$A2055,$G:$G)*(SUMIF(Summary!$A$247:$A$283,$A2055,Summary!$L$247:$L$283)+SUMIF(Summary!$A$297:$A$333,$A2055,Summary!$L$297:$L$333))-AI2055,0)</f>
        <v>43602.856375508214</v>
      </c>
      <c r="AK2055" s="196">
        <f>IFERROR($G2055/SUMIF($A:$A,$A2055,$G:$G)*SUMIF(Summary!$A$247:$A$283,$A2055,Summary!$Q$247:$Q$283),0)</f>
        <v>24066.082765817981</v>
      </c>
      <c r="AL2055" s="196">
        <f>IFERROR($G2055/SUMIF($A:$A,$A2055,$G:$G)*(SUMIF(Summary!$A$247:$A$283,$A2055,Summary!$L$247:$L$283)+SUMIF(Summary!$A$297:$A$333,$A2055,Summary!$L$297:$L$333))-AK2055,0)</f>
        <v>43521.87066983369</v>
      </c>
      <c r="AM2055" s="198"/>
      <c r="AN2055" s="196">
        <f t="shared" ca="1" si="460"/>
        <v>366574.35403664585</v>
      </c>
      <c r="AO2055" s="196">
        <f t="shared" ca="1" si="461"/>
        <v>366049.30699817772</v>
      </c>
    </row>
    <row r="2056" spans="1:41">
      <c r="A2056" s="189">
        <v>3656</v>
      </c>
      <c r="B2056" s="190">
        <v>3</v>
      </c>
      <c r="C2056" s="191" t="s">
        <v>234</v>
      </c>
      <c r="D2056" s="192">
        <f t="shared" si="448"/>
        <v>0</v>
      </c>
      <c r="E2056" s="192">
        <f t="shared" si="449"/>
        <v>0</v>
      </c>
      <c r="F2056" s="192">
        <f t="shared" si="450"/>
        <v>0</v>
      </c>
      <c r="G2056" s="193">
        <f t="shared" si="451"/>
        <v>0</v>
      </c>
      <c r="H2056" s="194">
        <v>0</v>
      </c>
      <c r="I2056" s="194">
        <v>0</v>
      </c>
      <c r="J2056" s="194">
        <v>0</v>
      </c>
      <c r="K2056" s="193">
        <f t="shared" si="452"/>
        <v>0</v>
      </c>
      <c r="L2056" s="194">
        <v>0</v>
      </c>
      <c r="M2056" s="194">
        <v>0</v>
      </c>
      <c r="N2056" s="194">
        <v>0</v>
      </c>
      <c r="O2056" s="193">
        <f t="shared" si="453"/>
        <v>0</v>
      </c>
      <c r="P2056" s="194">
        <v>0</v>
      </c>
      <c r="Q2056" s="194">
        <v>0</v>
      </c>
      <c r="R2056" s="194">
        <v>0</v>
      </c>
      <c r="S2056" s="193">
        <f t="shared" si="454"/>
        <v>0</v>
      </c>
      <c r="T2056" s="193">
        <f t="shared" si="455"/>
        <v>0</v>
      </c>
      <c r="U2056" s="193">
        <f ca="1">OFFSET('Expenditure Study'!$B$7,'Operations Support'!$C2056,'Operations Support'!$B2056)*$G2056</f>
        <v>0</v>
      </c>
      <c r="V2056" s="199">
        <f ca="1">U2056*'Expenditure Study'!$B$31</f>
        <v>0</v>
      </c>
      <c r="W2056" s="199">
        <f ca="1">IF(A2056=10298,1.51,1)*IF($B2056&lt;3,$D2056*'Expenditure Study'!$B$32*OFFSET('Expenditure Study'!$B$7,'Operations Support'!$C2056,'Operations Support'!$B2056),0)</f>
        <v>0</v>
      </c>
      <c r="X2056" s="200">
        <f ca="1">W2056*'Expenditure Study'!$B$31</f>
        <v>0</v>
      </c>
      <c r="Y2056" s="199">
        <f ca="1">U2056*'Expenditure Study'!$B$31</f>
        <v>0</v>
      </c>
      <c r="Z2056" s="200">
        <f ca="1">W2056*'Expenditure Study'!$B$31</f>
        <v>0</v>
      </c>
      <c r="AA2056" s="195">
        <f t="shared" ca="1" si="456"/>
        <v>0</v>
      </c>
      <c r="AB2056" s="195">
        <f t="shared" ca="1" si="457"/>
        <v>0</v>
      </c>
      <c r="AD2056" s="196">
        <f>IFERROR($G2056/SUMIF($A:$A,$A2056,$G:$G)*SUMIF(Summary!$A$166:$A$242,$A2056,Summary!$P$166:$P$242),0)</f>
        <v>0</v>
      </c>
      <c r="AE2056" s="197">
        <f t="shared" ca="1" si="458"/>
        <v>0</v>
      </c>
      <c r="AF2056" s="196">
        <f>IFERROR(G2056/SUMIF(A:A,A2056,G:G)*SUMIF(Summary!$A$166:$A$242,'Operations Support'!A2056,Summary!$Q$166:$Q$242),0)</f>
        <v>0</v>
      </c>
      <c r="AG2056" s="196">
        <f t="shared" ca="1" si="459"/>
        <v>0</v>
      </c>
      <c r="AI2056" s="196">
        <f>IFERROR($G2056/SUMIF($A:$A,$A2056,$G:$G)*SUMIF(Summary!$A$247:$A$283,$A2056,Summary!$P$247:$P$283),0)</f>
        <v>0</v>
      </c>
      <c r="AJ2056" s="196">
        <f>IFERROR($G2056/SUMIF($A:$A,$A2056,$G:$G)*(SUMIF(Summary!$A$247:$A$283,$A2056,Summary!$L$247:$L$283)+SUMIF(Summary!$A$297:$A$333,$A2056,Summary!$L$297:$L$333))-AI2056,0)</f>
        <v>0</v>
      </c>
      <c r="AK2056" s="196">
        <f>IFERROR($G2056/SUMIF($A:$A,$A2056,$G:$G)*SUMIF(Summary!$A$247:$A$283,$A2056,Summary!$Q$247:$Q$283),0)</f>
        <v>0</v>
      </c>
      <c r="AL2056" s="196">
        <f>IFERROR($G2056/SUMIF($A:$A,$A2056,$G:$G)*(SUMIF(Summary!$A$247:$A$283,$A2056,Summary!$L$247:$L$283)+SUMIF(Summary!$A$297:$A$333,$A2056,Summary!$L$297:$L$333))-AK2056,0)</f>
        <v>0</v>
      </c>
      <c r="AM2056" s="198"/>
      <c r="AN2056" s="196">
        <f t="shared" ca="1" si="460"/>
        <v>0</v>
      </c>
      <c r="AO2056" s="196">
        <f t="shared" ca="1" si="461"/>
        <v>0</v>
      </c>
    </row>
    <row r="2057" spans="1:41">
      <c r="A2057" s="189">
        <v>3656</v>
      </c>
      <c r="B2057" s="190">
        <v>3</v>
      </c>
      <c r="C2057" s="191" t="s">
        <v>235</v>
      </c>
      <c r="D2057" s="192">
        <f t="shared" si="448"/>
        <v>5542</v>
      </c>
      <c r="E2057" s="192">
        <f t="shared" si="449"/>
        <v>11055</v>
      </c>
      <c r="F2057" s="192">
        <f t="shared" si="450"/>
        <v>0</v>
      </c>
      <c r="G2057" s="193">
        <f t="shared" si="451"/>
        <v>16597</v>
      </c>
      <c r="H2057" s="194">
        <v>2391</v>
      </c>
      <c r="I2057" s="194">
        <v>4921</v>
      </c>
      <c r="J2057" s="194">
        <v>0</v>
      </c>
      <c r="K2057" s="193">
        <f t="shared" si="452"/>
        <v>7312</v>
      </c>
      <c r="L2057" s="194">
        <v>2465</v>
      </c>
      <c r="M2057" s="194">
        <v>4606</v>
      </c>
      <c r="N2057" s="194">
        <v>0</v>
      </c>
      <c r="O2057" s="193">
        <f t="shared" si="453"/>
        <v>7071</v>
      </c>
      <c r="P2057" s="194">
        <v>686</v>
      </c>
      <c r="Q2057" s="194">
        <v>1528</v>
      </c>
      <c r="R2057" s="194">
        <v>0</v>
      </c>
      <c r="S2057" s="193">
        <f t="shared" si="454"/>
        <v>2214</v>
      </c>
      <c r="T2057" s="193">
        <f t="shared" si="455"/>
        <v>691.54166666666663</v>
      </c>
      <c r="U2057" s="193">
        <f ca="1">OFFSET('Expenditure Study'!$B$7,'Operations Support'!$C2057,'Operations Support'!$B2057)*$G2057</f>
        <v>52446.520000000004</v>
      </c>
      <c r="V2057" s="199">
        <f ca="1">U2057*'Expenditure Study'!$B$31</f>
        <v>3098707.2234908161</v>
      </c>
      <c r="W2057" s="199">
        <f ca="1">IF(A2057=10298,1.51,1)*IF($B2057&lt;3,$D2057*'Expenditure Study'!$B$32*OFFSET('Expenditure Study'!$B$7,'Operations Support'!$C2057,'Operations Support'!$B2057),0)</f>
        <v>0</v>
      </c>
      <c r="X2057" s="200">
        <f ca="1">W2057*'Expenditure Study'!$B$31</f>
        <v>0</v>
      </c>
      <c r="Y2057" s="199">
        <f ca="1">U2057*'Expenditure Study'!$B$31</f>
        <v>3098707.2234908161</v>
      </c>
      <c r="Z2057" s="200">
        <f ca="1">W2057*'Expenditure Study'!$B$31</f>
        <v>0</v>
      </c>
      <c r="AA2057" s="195">
        <f t="shared" ca="1" si="456"/>
        <v>3098707.2234908161</v>
      </c>
      <c r="AB2057" s="195">
        <f t="shared" ca="1" si="457"/>
        <v>3098707.2234908161</v>
      </c>
      <c r="AD2057" s="196">
        <f>IFERROR($G2057/SUMIF($A:$A,$A2057,$G:$G)*SUMIF(Summary!$A$166:$A$242,$A2057,Summary!$P$166:$P$242),0)</f>
        <v>743446.31008864904</v>
      </c>
      <c r="AE2057" s="197">
        <f t="shared" ca="1" si="458"/>
        <v>2355260.9134021671</v>
      </c>
      <c r="AF2057" s="196">
        <f>IFERROR(G2057/SUMIF(A:A,A2057,G:G)*SUMIF(Summary!$A$166:$A$242,'Operations Support'!A2057,Summary!$Q$166:$Q$242),0)</f>
        <v>745956.5573435456</v>
      </c>
      <c r="AG2057" s="196">
        <f t="shared" ca="1" si="459"/>
        <v>2352750.6661472702</v>
      </c>
      <c r="AI2057" s="196">
        <f>IFERROR($G2057/SUMIF($A:$A,$A2057,$G:$G)*SUMIF(Summary!$A$247:$A$283,$A2057,Summary!$P$247:$P$283),0)</f>
        <v>135586.05446430546</v>
      </c>
      <c r="AJ2057" s="196">
        <f>IFERROR($G2057/SUMIF($A:$A,$A2057,$G:$G)*(SUMIF(Summary!$A$247:$A$283,$A2057,Summary!$L$247:$L$283)+SUMIF(Summary!$A$297:$A$333,$A2057,Summary!$L$297:$L$333))-AI2057,0)</f>
        <v>246483.85806005105</v>
      </c>
      <c r="AK2057" s="196">
        <f>IFERROR($G2057/SUMIF($A:$A,$A2057,$G:$G)*SUMIF(Summary!$A$247:$A$283,$A2057,Summary!$Q$247:$Q$283),0)</f>
        <v>136043.86092107664</v>
      </c>
      <c r="AL2057" s="196">
        <f>IFERROR($G2057/SUMIF($A:$A,$A2057,$G:$G)*(SUMIF(Summary!$A$247:$A$283,$A2057,Summary!$L$247:$L$283)+SUMIF(Summary!$A$297:$A$333,$A2057,Summary!$L$297:$L$333))-AK2057,0)</f>
        <v>246026.05160327986</v>
      </c>
      <c r="AM2057" s="198"/>
      <c r="AN2057" s="196">
        <f t="shared" ca="1" si="460"/>
        <v>2601744.7714622184</v>
      </c>
      <c r="AO2057" s="196">
        <f t="shared" ca="1" si="461"/>
        <v>2598776.7177505502</v>
      </c>
    </row>
    <row r="2058" spans="1:41">
      <c r="A2058" s="189">
        <v>3656</v>
      </c>
      <c r="B2058" s="190">
        <v>3</v>
      </c>
      <c r="C2058" s="191" t="s">
        <v>236</v>
      </c>
      <c r="D2058" s="192">
        <f t="shared" si="448"/>
        <v>0</v>
      </c>
      <c r="E2058" s="192">
        <f t="shared" si="449"/>
        <v>0</v>
      </c>
      <c r="F2058" s="192">
        <f t="shared" si="450"/>
        <v>0</v>
      </c>
      <c r="G2058" s="193">
        <f t="shared" si="451"/>
        <v>0</v>
      </c>
      <c r="H2058" s="194">
        <v>0</v>
      </c>
      <c r="I2058" s="194">
        <v>0</v>
      </c>
      <c r="J2058" s="194">
        <v>0</v>
      </c>
      <c r="K2058" s="193">
        <f t="shared" si="452"/>
        <v>0</v>
      </c>
      <c r="L2058" s="194">
        <v>0</v>
      </c>
      <c r="M2058" s="194">
        <v>0</v>
      </c>
      <c r="N2058" s="194">
        <v>0</v>
      </c>
      <c r="O2058" s="193">
        <f t="shared" si="453"/>
        <v>0</v>
      </c>
      <c r="P2058" s="194">
        <v>0</v>
      </c>
      <c r="Q2058" s="194">
        <v>0</v>
      </c>
      <c r="R2058" s="194">
        <v>0</v>
      </c>
      <c r="S2058" s="193">
        <f t="shared" si="454"/>
        <v>0</v>
      </c>
      <c r="T2058" s="193">
        <f t="shared" si="455"/>
        <v>0</v>
      </c>
      <c r="U2058" s="193">
        <f ca="1">OFFSET('Expenditure Study'!$B$7,'Operations Support'!$C2058,'Operations Support'!$B2058)*$G2058</f>
        <v>0</v>
      </c>
      <c r="V2058" s="199">
        <f ca="1">U2058*'Expenditure Study'!$B$31</f>
        <v>0</v>
      </c>
      <c r="W2058" s="199">
        <f ca="1">IF(A2058=10298,1.51,1)*IF($B2058&lt;3,$D2058*'Expenditure Study'!$B$32*OFFSET('Expenditure Study'!$B$7,'Operations Support'!$C2058,'Operations Support'!$B2058),0)</f>
        <v>0</v>
      </c>
      <c r="X2058" s="200">
        <f ca="1">W2058*'Expenditure Study'!$B$31</f>
        <v>0</v>
      </c>
      <c r="Y2058" s="199">
        <f ca="1">U2058*'Expenditure Study'!$B$31</f>
        <v>0</v>
      </c>
      <c r="Z2058" s="200">
        <f ca="1">W2058*'Expenditure Study'!$B$31</f>
        <v>0</v>
      </c>
      <c r="AA2058" s="195">
        <f t="shared" ca="1" si="456"/>
        <v>0</v>
      </c>
      <c r="AB2058" s="195">
        <f t="shared" ca="1" si="457"/>
        <v>0</v>
      </c>
      <c r="AD2058" s="196">
        <f>IFERROR($G2058/SUMIF($A:$A,$A2058,$G:$G)*SUMIF(Summary!$A$166:$A$242,$A2058,Summary!$P$166:$P$242),0)</f>
        <v>0</v>
      </c>
      <c r="AE2058" s="197">
        <f t="shared" ca="1" si="458"/>
        <v>0</v>
      </c>
      <c r="AF2058" s="196">
        <f>IFERROR(G2058/SUMIF(A:A,A2058,G:G)*SUMIF(Summary!$A$166:$A$242,'Operations Support'!A2058,Summary!$Q$166:$Q$242),0)</f>
        <v>0</v>
      </c>
      <c r="AG2058" s="196">
        <f t="shared" ca="1" si="459"/>
        <v>0</v>
      </c>
      <c r="AI2058" s="196">
        <f>IFERROR($G2058/SUMIF($A:$A,$A2058,$G:$G)*SUMIF(Summary!$A$247:$A$283,$A2058,Summary!$P$247:$P$283),0)</f>
        <v>0</v>
      </c>
      <c r="AJ2058" s="196">
        <f>IFERROR($G2058/SUMIF($A:$A,$A2058,$G:$G)*(SUMIF(Summary!$A$247:$A$283,$A2058,Summary!$L$247:$L$283)+SUMIF(Summary!$A$297:$A$333,$A2058,Summary!$L$297:$L$333))-AI2058,0)</f>
        <v>0</v>
      </c>
      <c r="AK2058" s="196">
        <f>IFERROR($G2058/SUMIF($A:$A,$A2058,$G:$G)*SUMIF(Summary!$A$247:$A$283,$A2058,Summary!$Q$247:$Q$283),0)</f>
        <v>0</v>
      </c>
      <c r="AL2058" s="196">
        <f>IFERROR($G2058/SUMIF($A:$A,$A2058,$G:$G)*(SUMIF(Summary!$A$247:$A$283,$A2058,Summary!$L$247:$L$283)+SUMIF(Summary!$A$297:$A$333,$A2058,Summary!$L$297:$L$333))-AK2058,0)</f>
        <v>0</v>
      </c>
      <c r="AM2058" s="198"/>
      <c r="AN2058" s="196">
        <f t="shared" ca="1" si="460"/>
        <v>0</v>
      </c>
      <c r="AO2058" s="196">
        <f t="shared" ca="1" si="461"/>
        <v>0</v>
      </c>
    </row>
    <row r="2059" spans="1:41">
      <c r="A2059" s="189">
        <v>3656</v>
      </c>
      <c r="B2059" s="190">
        <v>3</v>
      </c>
      <c r="C2059" s="191" t="s">
        <v>237</v>
      </c>
      <c r="D2059" s="192">
        <f t="shared" si="448"/>
        <v>0</v>
      </c>
      <c r="E2059" s="192">
        <f t="shared" si="449"/>
        <v>0</v>
      </c>
      <c r="F2059" s="192">
        <f t="shared" si="450"/>
        <v>0</v>
      </c>
      <c r="G2059" s="193">
        <f t="shared" si="451"/>
        <v>0</v>
      </c>
      <c r="H2059" s="194">
        <v>0</v>
      </c>
      <c r="I2059" s="194">
        <v>0</v>
      </c>
      <c r="J2059" s="194">
        <v>0</v>
      </c>
      <c r="K2059" s="193">
        <f t="shared" si="452"/>
        <v>0</v>
      </c>
      <c r="L2059" s="194">
        <v>0</v>
      </c>
      <c r="M2059" s="194">
        <v>0</v>
      </c>
      <c r="N2059" s="194">
        <v>0</v>
      </c>
      <c r="O2059" s="193">
        <f t="shared" si="453"/>
        <v>0</v>
      </c>
      <c r="P2059" s="194">
        <v>0</v>
      </c>
      <c r="Q2059" s="194">
        <v>0</v>
      </c>
      <c r="R2059" s="194">
        <v>0</v>
      </c>
      <c r="S2059" s="193">
        <f t="shared" si="454"/>
        <v>0</v>
      </c>
      <c r="T2059" s="193">
        <f t="shared" si="455"/>
        <v>0</v>
      </c>
      <c r="U2059" s="193">
        <f ca="1">OFFSET('Expenditure Study'!$B$7,'Operations Support'!$C2059,'Operations Support'!$B2059)*$G2059</f>
        <v>0</v>
      </c>
      <c r="V2059" s="199">
        <f ca="1">U2059*'Expenditure Study'!$B$31</f>
        <v>0</v>
      </c>
      <c r="W2059" s="199">
        <f ca="1">IF(A2059=10298,1.51,1)*IF($B2059&lt;3,$D2059*'Expenditure Study'!$B$32*OFFSET('Expenditure Study'!$B$7,'Operations Support'!$C2059,'Operations Support'!$B2059),0)</f>
        <v>0</v>
      </c>
      <c r="X2059" s="200">
        <f ca="1">W2059*'Expenditure Study'!$B$31</f>
        <v>0</v>
      </c>
      <c r="Y2059" s="199">
        <f ca="1">U2059*'Expenditure Study'!$B$31</f>
        <v>0</v>
      </c>
      <c r="Z2059" s="200">
        <f ca="1">W2059*'Expenditure Study'!$B$31</f>
        <v>0</v>
      </c>
      <c r="AA2059" s="195">
        <f t="shared" ca="1" si="456"/>
        <v>0</v>
      </c>
      <c r="AB2059" s="195">
        <f t="shared" ca="1" si="457"/>
        <v>0</v>
      </c>
      <c r="AD2059" s="196">
        <f>IFERROR($G2059/SUMIF($A:$A,$A2059,$G:$G)*SUMIF(Summary!$A$166:$A$242,$A2059,Summary!$P$166:$P$242),0)</f>
        <v>0</v>
      </c>
      <c r="AE2059" s="197">
        <f t="shared" ca="1" si="458"/>
        <v>0</v>
      </c>
      <c r="AF2059" s="196">
        <f>IFERROR(G2059/SUMIF(A:A,A2059,G:G)*SUMIF(Summary!$A$166:$A$242,'Operations Support'!A2059,Summary!$Q$166:$Q$242),0)</f>
        <v>0</v>
      </c>
      <c r="AG2059" s="196">
        <f t="shared" ca="1" si="459"/>
        <v>0</v>
      </c>
      <c r="AI2059" s="196">
        <f>IFERROR($G2059/SUMIF($A:$A,$A2059,$G:$G)*SUMIF(Summary!$A$247:$A$283,$A2059,Summary!$P$247:$P$283),0)</f>
        <v>0</v>
      </c>
      <c r="AJ2059" s="196">
        <f>IFERROR($G2059/SUMIF($A:$A,$A2059,$G:$G)*(SUMIF(Summary!$A$247:$A$283,$A2059,Summary!$L$247:$L$283)+SUMIF(Summary!$A$297:$A$333,$A2059,Summary!$L$297:$L$333))-AI2059,0)</f>
        <v>0</v>
      </c>
      <c r="AK2059" s="196">
        <f>IFERROR($G2059/SUMIF($A:$A,$A2059,$G:$G)*SUMIF(Summary!$A$247:$A$283,$A2059,Summary!$Q$247:$Q$283),0)</f>
        <v>0</v>
      </c>
      <c r="AL2059" s="196">
        <f>IFERROR($G2059/SUMIF($A:$A,$A2059,$G:$G)*(SUMIF(Summary!$A$247:$A$283,$A2059,Summary!$L$247:$L$283)+SUMIF(Summary!$A$297:$A$333,$A2059,Summary!$L$297:$L$333))-AK2059,0)</f>
        <v>0</v>
      </c>
      <c r="AM2059" s="198"/>
      <c r="AN2059" s="196">
        <f t="shared" ca="1" si="460"/>
        <v>0</v>
      </c>
      <c r="AO2059" s="196">
        <f t="shared" ca="1" si="461"/>
        <v>0</v>
      </c>
    </row>
    <row r="2060" spans="1:41">
      <c r="A2060" s="189">
        <v>3656</v>
      </c>
      <c r="B2060" s="190">
        <v>3</v>
      </c>
      <c r="C2060" s="191" t="s">
        <v>238</v>
      </c>
      <c r="D2060" s="192">
        <f t="shared" si="448"/>
        <v>186</v>
      </c>
      <c r="E2060" s="192">
        <f t="shared" si="449"/>
        <v>1815</v>
      </c>
      <c r="F2060" s="192">
        <f t="shared" si="450"/>
        <v>0</v>
      </c>
      <c r="G2060" s="193">
        <f t="shared" si="451"/>
        <v>2001</v>
      </c>
      <c r="H2060" s="194">
        <v>6</v>
      </c>
      <c r="I2060" s="194">
        <v>480</v>
      </c>
      <c r="J2060" s="194">
        <v>0</v>
      </c>
      <c r="K2060" s="193">
        <f t="shared" si="452"/>
        <v>486</v>
      </c>
      <c r="L2060" s="194">
        <v>180</v>
      </c>
      <c r="M2060" s="194">
        <v>1188</v>
      </c>
      <c r="N2060" s="194">
        <v>0</v>
      </c>
      <c r="O2060" s="193">
        <f t="shared" si="453"/>
        <v>1368</v>
      </c>
      <c r="P2060" s="194">
        <v>0</v>
      </c>
      <c r="Q2060" s="194">
        <v>147</v>
      </c>
      <c r="R2060" s="194">
        <v>0</v>
      </c>
      <c r="S2060" s="193">
        <f t="shared" si="454"/>
        <v>147</v>
      </c>
      <c r="T2060" s="193">
        <f t="shared" si="455"/>
        <v>83.375</v>
      </c>
      <c r="U2060" s="193">
        <f ca="1">OFFSET('Expenditure Study'!$B$7,'Operations Support'!$C2060,'Operations Support'!$B2060)*$G2060</f>
        <v>11685.84</v>
      </c>
      <c r="V2060" s="199">
        <f ca="1">U2060*'Expenditure Study'!$B$31</f>
        <v>690436.59751987201</v>
      </c>
      <c r="W2060" s="199">
        <f ca="1">IF(A2060=10298,1.51,1)*IF($B2060&lt;3,$D2060*'Expenditure Study'!$B$32*OFFSET('Expenditure Study'!$B$7,'Operations Support'!$C2060,'Operations Support'!$B2060),0)</f>
        <v>0</v>
      </c>
      <c r="X2060" s="200">
        <f ca="1">W2060*'Expenditure Study'!$B$31</f>
        <v>0</v>
      </c>
      <c r="Y2060" s="199">
        <f ca="1">U2060*'Expenditure Study'!$B$31</f>
        <v>690436.59751987201</v>
      </c>
      <c r="Z2060" s="200">
        <f ca="1">W2060*'Expenditure Study'!$B$31</f>
        <v>0</v>
      </c>
      <c r="AA2060" s="195">
        <f t="shared" ca="1" si="456"/>
        <v>690436.59751987201</v>
      </c>
      <c r="AB2060" s="195">
        <f t="shared" ca="1" si="457"/>
        <v>690436.59751987201</v>
      </c>
      <c r="AD2060" s="196">
        <f>IFERROR($G2060/SUMIF($A:$A,$A2060,$G:$G)*SUMIF(Summary!$A$166:$A$242,$A2060,Summary!$P$166:$P$242),0)</f>
        <v>89632.829215363439</v>
      </c>
      <c r="AE2060" s="197">
        <f t="shared" ca="1" si="458"/>
        <v>600803.76830450853</v>
      </c>
      <c r="AF2060" s="196">
        <f>IFERROR(G2060/SUMIF(A:A,A2060,G:G)*SUMIF(Summary!$A$166:$A$242,'Operations Support'!A2060,Summary!$Q$166:$Q$242),0)</f>
        <v>89935.474558319867</v>
      </c>
      <c r="AG2060" s="196">
        <f t="shared" ca="1" si="459"/>
        <v>600501.12296155212</v>
      </c>
      <c r="AI2060" s="196">
        <f>IFERROR($G2060/SUMIF($A:$A,$A2060,$G:$G)*SUMIF(Summary!$A$247:$A$283,$A2060,Summary!$P$247:$P$283),0)</f>
        <v>16346.791286562346</v>
      </c>
      <c r="AJ2060" s="196">
        <f>IFERROR($G2060/SUMIF($A:$A,$A2060,$G:$G)*(SUMIF(Summary!$A$247:$A$283,$A2060,Summary!$L$247:$L$283)+SUMIF(Summary!$A$297:$A$333,$A2060,Summary!$L$297:$L$333))-AI2060,0)</f>
        <v>29717.069348566743</v>
      </c>
      <c r="AK2060" s="196">
        <f>IFERROR($G2060/SUMIF($A:$A,$A2060,$G:$G)*SUMIF(Summary!$A$247:$A$283,$A2060,Summary!$Q$247:$Q$283),0)</f>
        <v>16401.986244687254</v>
      </c>
      <c r="AL2060" s="196">
        <f>IFERROR($G2060/SUMIF($A:$A,$A2060,$G:$G)*(SUMIF(Summary!$A$247:$A$283,$A2060,Summary!$L$247:$L$283)+SUMIF(Summary!$A$297:$A$333,$A2060,Summary!$L$297:$L$333))-AK2060,0)</f>
        <v>29661.874390441833</v>
      </c>
      <c r="AM2060" s="198"/>
      <c r="AN2060" s="196">
        <f t="shared" ca="1" si="460"/>
        <v>630520.83765307523</v>
      </c>
      <c r="AO2060" s="196">
        <f t="shared" ca="1" si="461"/>
        <v>630162.99735199392</v>
      </c>
    </row>
    <row r="2061" spans="1:41">
      <c r="A2061" s="189">
        <v>3656</v>
      </c>
      <c r="B2061" s="190">
        <v>3</v>
      </c>
      <c r="C2061" s="191" t="s">
        <v>239</v>
      </c>
      <c r="D2061" s="192">
        <f t="shared" si="448"/>
        <v>3975</v>
      </c>
      <c r="E2061" s="192">
        <f t="shared" si="449"/>
        <v>39774</v>
      </c>
      <c r="F2061" s="192">
        <f t="shared" si="450"/>
        <v>0</v>
      </c>
      <c r="G2061" s="193">
        <f t="shared" si="451"/>
        <v>43749</v>
      </c>
      <c r="H2061" s="194">
        <v>1491</v>
      </c>
      <c r="I2061" s="194">
        <v>14310</v>
      </c>
      <c r="J2061" s="194">
        <v>0</v>
      </c>
      <c r="K2061" s="193">
        <f t="shared" si="452"/>
        <v>15801</v>
      </c>
      <c r="L2061" s="194">
        <v>674</v>
      </c>
      <c r="M2061" s="194">
        <v>7547</v>
      </c>
      <c r="N2061" s="194">
        <v>0</v>
      </c>
      <c r="O2061" s="193">
        <f t="shared" si="453"/>
        <v>8221</v>
      </c>
      <c r="P2061" s="194">
        <v>1810</v>
      </c>
      <c r="Q2061" s="194">
        <v>17917</v>
      </c>
      <c r="R2061" s="194">
        <v>0</v>
      </c>
      <c r="S2061" s="193">
        <f t="shared" si="454"/>
        <v>19727</v>
      </c>
      <c r="T2061" s="193">
        <f t="shared" si="455"/>
        <v>1822.875</v>
      </c>
      <c r="U2061" s="193">
        <f ca="1">OFFSET('Expenditure Study'!$B$7,'Operations Support'!$C2061,'Operations Support'!$B2061)*$G2061</f>
        <v>118997.28000000001</v>
      </c>
      <c r="V2061" s="199">
        <f ca="1">U2061*'Expenditure Study'!$B$31</f>
        <v>7030737.8089482253</v>
      </c>
      <c r="W2061" s="199">
        <f ca="1">IF(A2061=10298,1.51,1)*IF($B2061&lt;3,$D2061*'Expenditure Study'!$B$32*OFFSET('Expenditure Study'!$B$7,'Operations Support'!$C2061,'Operations Support'!$B2061),0)</f>
        <v>0</v>
      </c>
      <c r="X2061" s="200">
        <f ca="1">W2061*'Expenditure Study'!$B$31</f>
        <v>0</v>
      </c>
      <c r="Y2061" s="199">
        <f ca="1">U2061*'Expenditure Study'!$B$31</f>
        <v>7030737.8089482253</v>
      </c>
      <c r="Z2061" s="200">
        <f ca="1">W2061*'Expenditure Study'!$B$31</f>
        <v>0</v>
      </c>
      <c r="AA2061" s="195">
        <f t="shared" ca="1" si="456"/>
        <v>7030737.8089482253</v>
      </c>
      <c r="AB2061" s="195">
        <f t="shared" ca="1" si="457"/>
        <v>7030737.8089482253</v>
      </c>
      <c r="AD2061" s="196">
        <f>IFERROR($G2061/SUMIF($A:$A,$A2061,$G:$G)*SUMIF(Summary!$A$166:$A$242,$A2061,Summary!$P$166:$P$242),0)</f>
        <v>1959693.4759335006</v>
      </c>
      <c r="AE2061" s="197">
        <f t="shared" ca="1" si="458"/>
        <v>5071044.3330147248</v>
      </c>
      <c r="AF2061" s="196">
        <f>IFERROR(G2061/SUMIF(A:A,A2061,G:G)*SUMIF(Summary!$A$166:$A$242,'Operations Support'!A2061,Summary!$Q$166:$Q$242),0)</f>
        <v>1966310.3830344507</v>
      </c>
      <c r="AG2061" s="196">
        <f t="shared" ca="1" si="459"/>
        <v>5064427.4259137744</v>
      </c>
      <c r="AI2061" s="196">
        <f>IFERROR($G2061/SUMIF($A:$A,$A2061,$G:$G)*SUMIF(Summary!$A$247:$A$283,$A2061,Summary!$P$247:$P$283),0)</f>
        <v>357399.18640470569</v>
      </c>
      <c r="AJ2061" s="196">
        <f>IFERROR($G2061/SUMIF($A:$A,$A2061,$G:$G)*(SUMIF(Summary!$A$247:$A$283,$A2061,Summary!$L$247:$L$283)+SUMIF(Summary!$A$297:$A$333,$A2061,Summary!$L$297:$L$333))-AI2061,0)</f>
        <v>649721.17287878389</v>
      </c>
      <c r="AK2061" s="196">
        <f>IFERROR($G2061/SUMIF($A:$A,$A2061,$G:$G)*SUMIF(Summary!$A$247:$A$283,$A2061,Summary!$Q$247:$Q$283),0)</f>
        <v>358605.94513684296</v>
      </c>
      <c r="AL2061" s="196">
        <f>IFERROR($G2061/SUMIF($A:$A,$A2061,$G:$G)*(SUMIF(Summary!$A$247:$A$283,$A2061,Summary!$L$247:$L$283)+SUMIF(Summary!$A$297:$A$333,$A2061,Summary!$L$297:$L$333))-AK2061,0)</f>
        <v>648514.41414664662</v>
      </c>
      <c r="AM2061" s="198"/>
      <c r="AN2061" s="196">
        <f t="shared" ca="1" si="460"/>
        <v>5720765.5058935089</v>
      </c>
      <c r="AO2061" s="196">
        <f t="shared" ca="1" si="461"/>
        <v>5712941.8400604213</v>
      </c>
    </row>
    <row r="2062" spans="1:41">
      <c r="A2062" s="189">
        <v>3656</v>
      </c>
      <c r="B2062" s="190">
        <v>3</v>
      </c>
      <c r="C2062" s="191" t="s">
        <v>240</v>
      </c>
      <c r="D2062" s="192">
        <f t="shared" si="448"/>
        <v>0</v>
      </c>
      <c r="E2062" s="192">
        <f t="shared" si="449"/>
        <v>0</v>
      </c>
      <c r="F2062" s="192">
        <f t="shared" si="450"/>
        <v>0</v>
      </c>
      <c r="G2062" s="193">
        <f t="shared" si="451"/>
        <v>0</v>
      </c>
      <c r="H2062" s="194">
        <v>0</v>
      </c>
      <c r="I2062" s="194">
        <v>0</v>
      </c>
      <c r="J2062" s="194">
        <v>0</v>
      </c>
      <c r="K2062" s="193">
        <f t="shared" si="452"/>
        <v>0</v>
      </c>
      <c r="L2062" s="194">
        <v>0</v>
      </c>
      <c r="M2062" s="194">
        <v>0</v>
      </c>
      <c r="N2062" s="194">
        <v>0</v>
      </c>
      <c r="O2062" s="193">
        <f t="shared" si="453"/>
        <v>0</v>
      </c>
      <c r="P2062" s="194">
        <v>0</v>
      </c>
      <c r="Q2062" s="194">
        <v>0</v>
      </c>
      <c r="R2062" s="194">
        <v>0</v>
      </c>
      <c r="S2062" s="193">
        <f t="shared" si="454"/>
        <v>0</v>
      </c>
      <c r="T2062" s="193">
        <f t="shared" si="455"/>
        <v>0</v>
      </c>
      <c r="U2062" s="193">
        <f ca="1">OFFSET('Expenditure Study'!$B$7,'Operations Support'!$C2062,'Operations Support'!$B2062)*$G2062</f>
        <v>0</v>
      </c>
      <c r="V2062" s="199">
        <f ca="1">U2062*'Expenditure Study'!$B$31</f>
        <v>0</v>
      </c>
      <c r="W2062" s="199">
        <f ca="1">IF(A2062=10298,1.51,1)*IF($B2062&lt;3,$D2062*'Expenditure Study'!$B$32*OFFSET('Expenditure Study'!$B$7,'Operations Support'!$C2062,'Operations Support'!$B2062),0)</f>
        <v>0</v>
      </c>
      <c r="X2062" s="200">
        <f ca="1">W2062*'Expenditure Study'!$B$31</f>
        <v>0</v>
      </c>
      <c r="Y2062" s="199">
        <f ca="1">U2062*'Expenditure Study'!$B$31</f>
        <v>0</v>
      </c>
      <c r="Z2062" s="200">
        <f ca="1">W2062*'Expenditure Study'!$B$31</f>
        <v>0</v>
      </c>
      <c r="AA2062" s="195">
        <f t="shared" ca="1" si="456"/>
        <v>0</v>
      </c>
      <c r="AB2062" s="195">
        <f t="shared" ca="1" si="457"/>
        <v>0</v>
      </c>
      <c r="AD2062" s="196">
        <f>IFERROR($G2062/SUMIF($A:$A,$A2062,$G:$G)*SUMIF(Summary!$A$166:$A$242,$A2062,Summary!$P$166:$P$242),0)</f>
        <v>0</v>
      </c>
      <c r="AE2062" s="197">
        <f t="shared" ca="1" si="458"/>
        <v>0</v>
      </c>
      <c r="AF2062" s="196">
        <f>IFERROR(G2062/SUMIF(A:A,A2062,G:G)*SUMIF(Summary!$A$166:$A$242,'Operations Support'!A2062,Summary!$Q$166:$Q$242),0)</f>
        <v>0</v>
      </c>
      <c r="AG2062" s="196">
        <f t="shared" ca="1" si="459"/>
        <v>0</v>
      </c>
      <c r="AI2062" s="196">
        <f>IFERROR($G2062/SUMIF($A:$A,$A2062,$G:$G)*SUMIF(Summary!$A$247:$A$283,$A2062,Summary!$P$247:$P$283),0)</f>
        <v>0</v>
      </c>
      <c r="AJ2062" s="196">
        <f>IFERROR($G2062/SUMIF($A:$A,$A2062,$G:$G)*(SUMIF(Summary!$A$247:$A$283,$A2062,Summary!$L$247:$L$283)+SUMIF(Summary!$A$297:$A$333,$A2062,Summary!$L$297:$L$333))-AI2062,0)</f>
        <v>0</v>
      </c>
      <c r="AK2062" s="196">
        <f>IFERROR($G2062/SUMIF($A:$A,$A2062,$G:$G)*SUMIF(Summary!$A$247:$A$283,$A2062,Summary!$Q$247:$Q$283),0)</f>
        <v>0</v>
      </c>
      <c r="AL2062" s="196">
        <f>IFERROR($G2062/SUMIF($A:$A,$A2062,$G:$G)*(SUMIF(Summary!$A$247:$A$283,$A2062,Summary!$L$247:$L$283)+SUMIF(Summary!$A$297:$A$333,$A2062,Summary!$L$297:$L$333))-AK2062,0)</f>
        <v>0</v>
      </c>
      <c r="AM2062" s="198"/>
      <c r="AN2062" s="196">
        <f t="shared" ca="1" si="460"/>
        <v>0</v>
      </c>
      <c r="AO2062" s="196">
        <f t="shared" ca="1" si="461"/>
        <v>0</v>
      </c>
    </row>
    <row r="2063" spans="1:41">
      <c r="A2063" s="189">
        <v>3656</v>
      </c>
      <c r="B2063" s="190">
        <v>4</v>
      </c>
      <c r="C2063" s="191" t="s">
        <v>220</v>
      </c>
      <c r="D2063" s="192">
        <f t="shared" si="448"/>
        <v>2000</v>
      </c>
      <c r="E2063" s="192">
        <f t="shared" si="449"/>
        <v>50</v>
      </c>
      <c r="F2063" s="192">
        <f t="shared" si="450"/>
        <v>15</v>
      </c>
      <c r="G2063" s="193">
        <f t="shared" si="451"/>
        <v>2035</v>
      </c>
      <c r="H2063" s="194">
        <v>1025</v>
      </c>
      <c r="I2063" s="194">
        <v>15</v>
      </c>
      <c r="J2063" s="194">
        <v>12</v>
      </c>
      <c r="K2063" s="193">
        <f t="shared" si="452"/>
        <v>1028</v>
      </c>
      <c r="L2063" s="194">
        <v>884</v>
      </c>
      <c r="M2063" s="194">
        <v>29</v>
      </c>
      <c r="N2063" s="194">
        <v>3</v>
      </c>
      <c r="O2063" s="193">
        <f t="shared" si="453"/>
        <v>910</v>
      </c>
      <c r="P2063" s="194">
        <v>91</v>
      </c>
      <c r="Q2063" s="194">
        <v>6</v>
      </c>
      <c r="R2063" s="194">
        <v>0</v>
      </c>
      <c r="S2063" s="193">
        <f t="shared" si="454"/>
        <v>97</v>
      </c>
      <c r="T2063" s="193">
        <f t="shared" si="455"/>
        <v>113.05555555555556</v>
      </c>
      <c r="U2063" s="193">
        <f ca="1">OFFSET('Expenditure Study'!$B$7,'Operations Support'!$C2063,'Operations Support'!$B2063)*$G2063</f>
        <v>29975.55</v>
      </c>
      <c r="V2063" s="199">
        <f ca="1">U2063*'Expenditure Study'!$B$31</f>
        <v>1771050.84022944</v>
      </c>
      <c r="W2063" s="199">
        <f ca="1">IF(A2063=10298,1.51,1)*IF($B2063&lt;3,$D2063*'Expenditure Study'!$B$32*OFFSET('Expenditure Study'!$B$7,'Operations Support'!$C2063,'Operations Support'!$B2063),0)</f>
        <v>0</v>
      </c>
      <c r="X2063" s="200">
        <f ca="1">W2063*'Expenditure Study'!$B$31</f>
        <v>0</v>
      </c>
      <c r="Y2063" s="199">
        <f ca="1">U2063*'Expenditure Study'!$B$31</f>
        <v>1771050.84022944</v>
      </c>
      <c r="Z2063" s="200">
        <f ca="1">W2063*'Expenditure Study'!$B$31</f>
        <v>0</v>
      </c>
      <c r="AA2063" s="195">
        <f t="shared" ca="1" si="456"/>
        <v>1771050.84022944</v>
      </c>
      <c r="AB2063" s="195">
        <f t="shared" ca="1" si="457"/>
        <v>1771050.84022944</v>
      </c>
      <c r="AD2063" s="196">
        <f>IFERROR($G2063/SUMIF($A:$A,$A2063,$G:$G)*SUMIF(Summary!$A$166:$A$242,$A2063,Summary!$P$166:$P$242),0)</f>
        <v>91155.825813725431</v>
      </c>
      <c r="AE2063" s="197">
        <f t="shared" ca="1" si="458"/>
        <v>1679895.0144157147</v>
      </c>
      <c r="AF2063" s="196">
        <f>IFERROR(G2063/SUMIF(A:A,A2063,G:G)*SUMIF(Summary!$A$166:$A$242,'Operations Support'!A2063,Summary!$Q$166:$Q$242),0)</f>
        <v>91463.61355631231</v>
      </c>
      <c r="AG2063" s="196">
        <f t="shared" ca="1" si="459"/>
        <v>1679587.2266731276</v>
      </c>
      <c r="AI2063" s="196">
        <f>IFERROR($G2063/SUMIF($A:$A,$A2063,$G:$G)*SUMIF(Summary!$A$247:$A$283,$A2063,Summary!$P$247:$P$283),0)</f>
        <v>16624.547860147115</v>
      </c>
      <c r="AJ2063" s="196">
        <f>IFERROR($G2063/SUMIF($A:$A,$A2063,$G:$G)*(SUMIF(Summary!$A$247:$A$283,$A2063,Summary!$L$247:$L$283)+SUMIF(Summary!$A$297:$A$333,$A2063,Summary!$L$297:$L$333))-AI2063,0)</f>
        <v>30222.007058637337</v>
      </c>
      <c r="AK2063" s="196">
        <f>IFERROR($G2063/SUMIF($A:$A,$A2063,$G:$G)*SUMIF(Summary!$A$247:$A$283,$A2063,Summary!$Q$247:$Q$283),0)</f>
        <v>16680.680663637464</v>
      </c>
      <c r="AL2063" s="196">
        <f>IFERROR($G2063/SUMIF($A:$A,$A2063,$G:$G)*(SUMIF(Summary!$A$247:$A$283,$A2063,Summary!$L$247:$L$283)+SUMIF(Summary!$A$297:$A$333,$A2063,Summary!$L$297:$L$333))-AK2063,0)</f>
        <v>30165.874255146988</v>
      </c>
      <c r="AM2063" s="198"/>
      <c r="AN2063" s="196">
        <f t="shared" ca="1" si="460"/>
        <v>1710117.0214743521</v>
      </c>
      <c r="AO2063" s="196">
        <f t="shared" ca="1" si="461"/>
        <v>1709753.1009282747</v>
      </c>
    </row>
    <row r="2064" spans="1:41">
      <c r="A2064" s="189">
        <v>3656</v>
      </c>
      <c r="B2064" s="190">
        <v>4</v>
      </c>
      <c r="C2064" s="191" t="s">
        <v>221</v>
      </c>
      <c r="D2064" s="192">
        <f t="shared" si="448"/>
        <v>2202</v>
      </c>
      <c r="E2064" s="192">
        <f t="shared" si="449"/>
        <v>125</v>
      </c>
      <c r="F2064" s="192">
        <f t="shared" si="450"/>
        <v>0</v>
      </c>
      <c r="G2064" s="193">
        <f t="shared" si="451"/>
        <v>2327</v>
      </c>
      <c r="H2064" s="194">
        <v>988</v>
      </c>
      <c r="I2064" s="194">
        <v>37</v>
      </c>
      <c r="J2064" s="194">
        <v>0</v>
      </c>
      <c r="K2064" s="193">
        <f t="shared" si="452"/>
        <v>1025</v>
      </c>
      <c r="L2064" s="194">
        <v>1116</v>
      </c>
      <c r="M2064" s="194">
        <v>88</v>
      </c>
      <c r="N2064" s="194">
        <v>0</v>
      </c>
      <c r="O2064" s="193">
        <f t="shared" si="453"/>
        <v>1204</v>
      </c>
      <c r="P2064" s="194">
        <v>98</v>
      </c>
      <c r="Q2064" s="194">
        <v>0</v>
      </c>
      <c r="R2064" s="194">
        <v>0</v>
      </c>
      <c r="S2064" s="193">
        <f t="shared" si="454"/>
        <v>98</v>
      </c>
      <c r="T2064" s="193">
        <f t="shared" si="455"/>
        <v>129.27777777777777</v>
      </c>
      <c r="U2064" s="193">
        <f ca="1">OFFSET('Expenditure Study'!$B$7,'Operations Support'!$C2064,'Operations Support'!$B2064)*$G2064</f>
        <v>50588.979999999996</v>
      </c>
      <c r="V2064" s="199">
        <f ca="1">U2064*'Expenditure Study'!$B$31</f>
        <v>2988957.8518275837</v>
      </c>
      <c r="W2064" s="199">
        <f ca="1">IF(A2064=10298,1.51,1)*IF($B2064&lt;3,$D2064*'Expenditure Study'!$B$32*OFFSET('Expenditure Study'!$B$7,'Operations Support'!$C2064,'Operations Support'!$B2064),0)</f>
        <v>0</v>
      </c>
      <c r="X2064" s="200">
        <f ca="1">W2064*'Expenditure Study'!$B$31</f>
        <v>0</v>
      </c>
      <c r="Y2064" s="199">
        <f ca="1">U2064*'Expenditure Study'!$B$31</f>
        <v>2988957.8518275837</v>
      </c>
      <c r="Z2064" s="200">
        <f ca="1">W2064*'Expenditure Study'!$B$31</f>
        <v>0</v>
      </c>
      <c r="AA2064" s="195">
        <f t="shared" ca="1" si="456"/>
        <v>2988957.8518275837</v>
      </c>
      <c r="AB2064" s="195">
        <f t="shared" ca="1" si="457"/>
        <v>2988957.8518275837</v>
      </c>
      <c r="AD2064" s="196">
        <f>IFERROR($G2064/SUMIF($A:$A,$A2064,$G:$G)*SUMIF(Summary!$A$166:$A$242,$A2064,Summary!$P$166:$P$242),0)</f>
        <v>104235.67895259905</v>
      </c>
      <c r="AE2064" s="197">
        <f t="shared" ca="1" si="458"/>
        <v>2884722.1728749848</v>
      </c>
      <c r="AF2064" s="196">
        <f>IFERROR(G2064/SUMIF(A:A,A2064,G:G)*SUMIF(Summary!$A$166:$A$242,'Operations Support'!A2064,Summary!$Q$166:$Q$242),0)</f>
        <v>104587.63083318857</v>
      </c>
      <c r="AG2064" s="196">
        <f t="shared" ca="1" si="459"/>
        <v>2884370.2209943952</v>
      </c>
      <c r="AI2064" s="196">
        <f>IFERROR($G2064/SUMIF($A:$A,$A2064,$G:$G)*SUMIF(Summary!$A$247:$A$283,$A2064,Summary!$P$247:$P$283),0)</f>
        <v>19009.986668580998</v>
      </c>
      <c r="AJ2064" s="196">
        <f>IFERROR($G2064/SUMIF($A:$A,$A2064,$G:$G)*(SUMIF(Summary!$A$247:$A$283,$A2064,Summary!$L$247:$L$283)+SUMIF(Summary!$A$297:$A$333,$A2064,Summary!$L$297:$L$333))-AI2064,0)</f>
        <v>34558.530921596604</v>
      </c>
      <c r="AK2064" s="196">
        <f>IFERROR($G2064/SUMIF($A:$A,$A2064,$G:$G)*SUMIF(Summary!$A$247:$A$283,$A2064,Summary!$Q$247:$Q$283),0)</f>
        <v>19074.173908739253</v>
      </c>
      <c r="AL2064" s="196">
        <f>IFERROR($G2064/SUMIF($A:$A,$A2064,$G:$G)*(SUMIF(Summary!$A$247:$A$283,$A2064,Summary!$L$247:$L$283)+SUMIF(Summary!$A$297:$A$333,$A2064,Summary!$L$297:$L$333))-AK2064,0)</f>
        <v>34494.343681438346</v>
      </c>
      <c r="AM2064" s="198"/>
      <c r="AN2064" s="196">
        <f t="shared" ca="1" si="460"/>
        <v>2919280.7037965814</v>
      </c>
      <c r="AO2064" s="196">
        <f t="shared" ca="1" si="461"/>
        <v>2918864.5646758336</v>
      </c>
    </row>
    <row r="2065" spans="1:41">
      <c r="A2065" s="189">
        <v>3656</v>
      </c>
      <c r="B2065" s="190">
        <v>4</v>
      </c>
      <c r="C2065" s="191" t="s">
        <v>222</v>
      </c>
      <c r="D2065" s="192">
        <f t="shared" si="448"/>
        <v>0</v>
      </c>
      <c r="E2065" s="192">
        <f t="shared" si="449"/>
        <v>0</v>
      </c>
      <c r="F2065" s="192">
        <f t="shared" si="450"/>
        <v>0</v>
      </c>
      <c r="G2065" s="193">
        <f t="shared" si="451"/>
        <v>0</v>
      </c>
      <c r="H2065" s="194">
        <v>0</v>
      </c>
      <c r="I2065" s="194">
        <v>0</v>
      </c>
      <c r="J2065" s="194">
        <v>0</v>
      </c>
      <c r="K2065" s="193">
        <f t="shared" si="452"/>
        <v>0</v>
      </c>
      <c r="L2065" s="194">
        <v>0</v>
      </c>
      <c r="M2065" s="194">
        <v>0</v>
      </c>
      <c r="N2065" s="194">
        <v>0</v>
      </c>
      <c r="O2065" s="193">
        <f t="shared" si="453"/>
        <v>0</v>
      </c>
      <c r="P2065" s="194">
        <v>0</v>
      </c>
      <c r="Q2065" s="194">
        <v>0</v>
      </c>
      <c r="R2065" s="194">
        <v>0</v>
      </c>
      <c r="S2065" s="193">
        <f t="shared" si="454"/>
        <v>0</v>
      </c>
      <c r="T2065" s="193">
        <f t="shared" si="455"/>
        <v>0</v>
      </c>
      <c r="U2065" s="193">
        <f ca="1">OFFSET('Expenditure Study'!$B$7,'Operations Support'!$C2065,'Operations Support'!$B2065)*$G2065</f>
        <v>0</v>
      </c>
      <c r="V2065" s="199">
        <f ca="1">U2065*'Expenditure Study'!$B$31</f>
        <v>0</v>
      </c>
      <c r="W2065" s="199">
        <f ca="1">IF(A2065=10298,1.51,1)*IF($B2065&lt;3,$D2065*'Expenditure Study'!$B$32*OFFSET('Expenditure Study'!$B$7,'Operations Support'!$C2065,'Operations Support'!$B2065),0)</f>
        <v>0</v>
      </c>
      <c r="X2065" s="200">
        <f ca="1">W2065*'Expenditure Study'!$B$31</f>
        <v>0</v>
      </c>
      <c r="Y2065" s="199">
        <f ca="1">U2065*'Expenditure Study'!$B$31</f>
        <v>0</v>
      </c>
      <c r="Z2065" s="200">
        <f ca="1">W2065*'Expenditure Study'!$B$31</f>
        <v>0</v>
      </c>
      <c r="AA2065" s="195">
        <f t="shared" ca="1" si="456"/>
        <v>0</v>
      </c>
      <c r="AB2065" s="195">
        <f t="shared" ca="1" si="457"/>
        <v>0</v>
      </c>
      <c r="AD2065" s="196">
        <f>IFERROR($G2065/SUMIF($A:$A,$A2065,$G:$G)*SUMIF(Summary!$A$166:$A$242,$A2065,Summary!$P$166:$P$242),0)</f>
        <v>0</v>
      </c>
      <c r="AE2065" s="197">
        <f t="shared" ca="1" si="458"/>
        <v>0</v>
      </c>
      <c r="AF2065" s="196">
        <f>IFERROR(G2065/SUMIF(A:A,A2065,G:G)*SUMIF(Summary!$A$166:$A$242,'Operations Support'!A2065,Summary!$Q$166:$Q$242),0)</f>
        <v>0</v>
      </c>
      <c r="AG2065" s="196">
        <f t="shared" ca="1" si="459"/>
        <v>0</v>
      </c>
      <c r="AI2065" s="196">
        <f>IFERROR($G2065/SUMIF($A:$A,$A2065,$G:$G)*SUMIF(Summary!$A$247:$A$283,$A2065,Summary!$P$247:$P$283),0)</f>
        <v>0</v>
      </c>
      <c r="AJ2065" s="196">
        <f>IFERROR($G2065/SUMIF($A:$A,$A2065,$G:$G)*(SUMIF(Summary!$A$247:$A$283,$A2065,Summary!$L$247:$L$283)+SUMIF(Summary!$A$297:$A$333,$A2065,Summary!$L$297:$L$333))-AI2065,0)</f>
        <v>0</v>
      </c>
      <c r="AK2065" s="196">
        <f>IFERROR($G2065/SUMIF($A:$A,$A2065,$G:$G)*SUMIF(Summary!$A$247:$A$283,$A2065,Summary!$Q$247:$Q$283),0)</f>
        <v>0</v>
      </c>
      <c r="AL2065" s="196">
        <f>IFERROR($G2065/SUMIF($A:$A,$A2065,$G:$G)*(SUMIF(Summary!$A$247:$A$283,$A2065,Summary!$L$247:$L$283)+SUMIF(Summary!$A$297:$A$333,$A2065,Summary!$L$297:$L$333))-AK2065,0)</f>
        <v>0</v>
      </c>
      <c r="AM2065" s="198"/>
      <c r="AN2065" s="196">
        <f t="shared" ca="1" si="460"/>
        <v>0</v>
      </c>
      <c r="AO2065" s="196">
        <f t="shared" ca="1" si="461"/>
        <v>0</v>
      </c>
    </row>
    <row r="2066" spans="1:41">
      <c r="A2066" s="189">
        <v>3656</v>
      </c>
      <c r="B2066" s="190">
        <v>4</v>
      </c>
      <c r="C2066" s="191" t="s">
        <v>223</v>
      </c>
      <c r="D2066" s="192">
        <f t="shared" si="448"/>
        <v>567</v>
      </c>
      <c r="E2066" s="192">
        <f t="shared" si="449"/>
        <v>57</v>
      </c>
      <c r="F2066" s="192">
        <f t="shared" si="450"/>
        <v>9</v>
      </c>
      <c r="G2066" s="193">
        <f t="shared" si="451"/>
        <v>615</v>
      </c>
      <c r="H2066" s="194">
        <v>219</v>
      </c>
      <c r="I2066" s="194">
        <v>15</v>
      </c>
      <c r="J2066" s="194">
        <v>6</v>
      </c>
      <c r="K2066" s="193">
        <f t="shared" si="452"/>
        <v>228</v>
      </c>
      <c r="L2066" s="194">
        <v>210</v>
      </c>
      <c r="M2066" s="194">
        <v>39</v>
      </c>
      <c r="N2066" s="194">
        <v>0</v>
      </c>
      <c r="O2066" s="193">
        <f t="shared" si="453"/>
        <v>249</v>
      </c>
      <c r="P2066" s="194">
        <v>138</v>
      </c>
      <c r="Q2066" s="194">
        <v>3</v>
      </c>
      <c r="R2066" s="194">
        <v>3</v>
      </c>
      <c r="S2066" s="193">
        <f t="shared" si="454"/>
        <v>138</v>
      </c>
      <c r="T2066" s="193">
        <f t="shared" si="455"/>
        <v>34.166666666666664</v>
      </c>
      <c r="U2066" s="193">
        <f ca="1">OFFSET('Expenditure Study'!$B$7,'Operations Support'!$C2066,'Operations Support'!$B2066)*$G2066</f>
        <v>4809.3</v>
      </c>
      <c r="V2066" s="199">
        <f ca="1">U2066*'Expenditure Study'!$B$31</f>
        <v>284148.74142144003</v>
      </c>
      <c r="W2066" s="199">
        <f ca="1">IF(A2066=10298,1.51,1)*IF($B2066&lt;3,$D2066*'Expenditure Study'!$B$32*OFFSET('Expenditure Study'!$B$7,'Operations Support'!$C2066,'Operations Support'!$B2066),0)</f>
        <v>0</v>
      </c>
      <c r="X2066" s="200">
        <f ca="1">W2066*'Expenditure Study'!$B$31</f>
        <v>0</v>
      </c>
      <c r="Y2066" s="199">
        <f ca="1">U2066*'Expenditure Study'!$B$31</f>
        <v>284148.74142144003</v>
      </c>
      <c r="Z2066" s="200">
        <f ca="1">W2066*'Expenditure Study'!$B$31</f>
        <v>0</v>
      </c>
      <c r="AA2066" s="195">
        <f t="shared" ca="1" si="456"/>
        <v>284148.74142144003</v>
      </c>
      <c r="AB2066" s="195">
        <f t="shared" ca="1" si="457"/>
        <v>284148.74142144003</v>
      </c>
      <c r="AD2066" s="196">
        <f>IFERROR($G2066/SUMIF($A:$A,$A2066,$G:$G)*SUMIF(Summary!$A$166:$A$242,$A2066,Summary!$P$166:$P$242),0)</f>
        <v>27548.320823312599</v>
      </c>
      <c r="AE2066" s="197">
        <f t="shared" ca="1" si="458"/>
        <v>256600.42059812744</v>
      </c>
      <c r="AF2066" s="196">
        <f>IFERROR(G2066/SUMIF(A:A,A2066,G:G)*SUMIF(Summary!$A$166:$A$242,'Operations Support'!A2066,Summary!$Q$166:$Q$242),0)</f>
        <v>27641.337757804453</v>
      </c>
      <c r="AG2066" s="196">
        <f t="shared" ca="1" si="459"/>
        <v>256507.40366363557</v>
      </c>
      <c r="AI2066" s="196">
        <f>IFERROR($G2066/SUMIF($A:$A,$A2066,$G:$G)*SUMIF(Summary!$A$247:$A$283,$A2066,Summary!$P$247:$P$283),0)</f>
        <v>5024.1262574891771</v>
      </c>
      <c r="AJ2066" s="196">
        <f>IFERROR($G2066/SUMIF($A:$A,$A2066,$G:$G)*(SUMIF(Summary!$A$247:$A$283,$A2066,Summary!$L$247:$L$283)+SUMIF(Summary!$A$297:$A$333,$A2066,Summary!$L$297:$L$333))-AI2066,0)</f>
        <v>9133.4321086299569</v>
      </c>
      <c r="AK2066" s="196">
        <f>IFERROR($G2066/SUMIF($A:$A,$A2066,$G:$G)*SUMIF(Summary!$A$247:$A$283,$A2066,Summary!$Q$247:$Q$283),0)</f>
        <v>5041.0902251287662</v>
      </c>
      <c r="AL2066" s="196">
        <f>IFERROR($G2066/SUMIF($A:$A,$A2066,$G:$G)*(SUMIF(Summary!$A$247:$A$283,$A2066,Summary!$L$247:$L$283)+SUMIF(Summary!$A$297:$A$333,$A2066,Summary!$L$297:$L$333))-AK2066,0)</f>
        <v>9116.4681409903678</v>
      </c>
      <c r="AM2066" s="198"/>
      <c r="AN2066" s="196">
        <f t="shared" ca="1" si="460"/>
        <v>265733.85270675737</v>
      </c>
      <c r="AO2066" s="196">
        <f t="shared" ca="1" si="461"/>
        <v>265623.87180462596</v>
      </c>
    </row>
    <row r="2067" spans="1:41">
      <c r="A2067" s="189">
        <v>3656</v>
      </c>
      <c r="B2067" s="190">
        <v>4</v>
      </c>
      <c r="C2067" s="191" t="s">
        <v>224</v>
      </c>
      <c r="D2067" s="192">
        <f t="shared" si="448"/>
        <v>0</v>
      </c>
      <c r="E2067" s="192">
        <f t="shared" si="449"/>
        <v>0</v>
      </c>
      <c r="F2067" s="192">
        <f t="shared" si="450"/>
        <v>0</v>
      </c>
      <c r="G2067" s="193">
        <f t="shared" si="451"/>
        <v>0</v>
      </c>
      <c r="H2067" s="194">
        <v>0</v>
      </c>
      <c r="I2067" s="194">
        <v>0</v>
      </c>
      <c r="J2067" s="194">
        <v>0</v>
      </c>
      <c r="K2067" s="193">
        <f t="shared" si="452"/>
        <v>0</v>
      </c>
      <c r="L2067" s="194">
        <v>0</v>
      </c>
      <c r="M2067" s="194">
        <v>0</v>
      </c>
      <c r="N2067" s="194">
        <v>0</v>
      </c>
      <c r="O2067" s="193">
        <f t="shared" si="453"/>
        <v>0</v>
      </c>
      <c r="P2067" s="194">
        <v>0</v>
      </c>
      <c r="Q2067" s="194">
        <v>0</v>
      </c>
      <c r="R2067" s="194">
        <v>0</v>
      </c>
      <c r="S2067" s="193">
        <f t="shared" si="454"/>
        <v>0</v>
      </c>
      <c r="T2067" s="193">
        <f t="shared" si="455"/>
        <v>0</v>
      </c>
      <c r="U2067" s="193">
        <f ca="1">OFFSET('Expenditure Study'!$B$7,'Operations Support'!$C2067,'Operations Support'!$B2067)*$G2067</f>
        <v>0</v>
      </c>
      <c r="V2067" s="199">
        <f ca="1">U2067*'Expenditure Study'!$B$31</f>
        <v>0</v>
      </c>
      <c r="W2067" s="199">
        <f ca="1">IF(A2067=10298,1.51,1)*IF($B2067&lt;3,$D2067*'Expenditure Study'!$B$32*OFFSET('Expenditure Study'!$B$7,'Operations Support'!$C2067,'Operations Support'!$B2067),0)</f>
        <v>0</v>
      </c>
      <c r="X2067" s="200">
        <f ca="1">W2067*'Expenditure Study'!$B$31</f>
        <v>0</v>
      </c>
      <c r="Y2067" s="199">
        <f ca="1">U2067*'Expenditure Study'!$B$31</f>
        <v>0</v>
      </c>
      <c r="Z2067" s="200">
        <f ca="1">W2067*'Expenditure Study'!$B$31</f>
        <v>0</v>
      </c>
      <c r="AA2067" s="195">
        <f t="shared" ca="1" si="456"/>
        <v>0</v>
      </c>
      <c r="AB2067" s="195">
        <f t="shared" ca="1" si="457"/>
        <v>0</v>
      </c>
      <c r="AD2067" s="196">
        <f>IFERROR($G2067/SUMIF($A:$A,$A2067,$G:$G)*SUMIF(Summary!$A$166:$A$242,$A2067,Summary!$P$166:$P$242),0)</f>
        <v>0</v>
      </c>
      <c r="AE2067" s="197">
        <f t="shared" ca="1" si="458"/>
        <v>0</v>
      </c>
      <c r="AF2067" s="196">
        <f>IFERROR(G2067/SUMIF(A:A,A2067,G:G)*SUMIF(Summary!$A$166:$A$242,'Operations Support'!A2067,Summary!$Q$166:$Q$242),0)</f>
        <v>0</v>
      </c>
      <c r="AG2067" s="196">
        <f t="shared" ca="1" si="459"/>
        <v>0</v>
      </c>
      <c r="AI2067" s="196">
        <f>IFERROR($G2067/SUMIF($A:$A,$A2067,$G:$G)*SUMIF(Summary!$A$247:$A$283,$A2067,Summary!$P$247:$P$283),0)</f>
        <v>0</v>
      </c>
      <c r="AJ2067" s="196">
        <f>IFERROR($G2067/SUMIF($A:$A,$A2067,$G:$G)*(SUMIF(Summary!$A$247:$A$283,$A2067,Summary!$L$247:$L$283)+SUMIF(Summary!$A$297:$A$333,$A2067,Summary!$L$297:$L$333))-AI2067,0)</f>
        <v>0</v>
      </c>
      <c r="AK2067" s="196">
        <f>IFERROR($G2067/SUMIF($A:$A,$A2067,$G:$G)*SUMIF(Summary!$A$247:$A$283,$A2067,Summary!$Q$247:$Q$283),0)</f>
        <v>0</v>
      </c>
      <c r="AL2067" s="196">
        <f>IFERROR($G2067/SUMIF($A:$A,$A2067,$G:$G)*(SUMIF(Summary!$A$247:$A$283,$A2067,Summary!$L$247:$L$283)+SUMIF(Summary!$A$297:$A$333,$A2067,Summary!$L$297:$L$333))-AK2067,0)</f>
        <v>0</v>
      </c>
      <c r="AM2067" s="198"/>
      <c r="AN2067" s="196">
        <f t="shared" ca="1" si="460"/>
        <v>0</v>
      </c>
      <c r="AO2067" s="196">
        <f t="shared" ca="1" si="461"/>
        <v>0</v>
      </c>
    </row>
    <row r="2068" spans="1:41" s="201" customFormat="1">
      <c r="A2068" s="189">
        <v>3656</v>
      </c>
      <c r="B2068" s="190">
        <v>4</v>
      </c>
      <c r="C2068" s="191" t="s">
        <v>225</v>
      </c>
      <c r="D2068" s="192">
        <f t="shared" si="448"/>
        <v>5668.5</v>
      </c>
      <c r="E2068" s="192">
        <f t="shared" si="449"/>
        <v>466.5</v>
      </c>
      <c r="F2068" s="192">
        <f t="shared" si="450"/>
        <v>72</v>
      </c>
      <c r="G2068" s="193">
        <f t="shared" si="451"/>
        <v>6063</v>
      </c>
      <c r="H2068" s="194">
        <v>2673</v>
      </c>
      <c r="I2068" s="194">
        <v>193</v>
      </c>
      <c r="J2068" s="194">
        <v>43</v>
      </c>
      <c r="K2068" s="193">
        <f t="shared" si="452"/>
        <v>2823</v>
      </c>
      <c r="L2068" s="194">
        <v>2532.5</v>
      </c>
      <c r="M2068" s="194">
        <v>225.5</v>
      </c>
      <c r="N2068" s="194">
        <v>18</v>
      </c>
      <c r="O2068" s="193">
        <f t="shared" si="453"/>
        <v>2740</v>
      </c>
      <c r="P2068" s="194">
        <v>463</v>
      </c>
      <c r="Q2068" s="194">
        <v>48</v>
      </c>
      <c r="R2068" s="194">
        <v>11</v>
      </c>
      <c r="S2068" s="193">
        <f t="shared" si="454"/>
        <v>500</v>
      </c>
      <c r="T2068" s="193">
        <f t="shared" si="455"/>
        <v>336.83333333333331</v>
      </c>
      <c r="U2068" s="193">
        <f ca="1">OFFSET('Expenditure Study'!$B$7,'Operations Support'!$C2068,'Operations Support'!$B2068)*$G2068</f>
        <v>113923.76999999999</v>
      </c>
      <c r="V2068" s="199">
        <f ca="1">U2068*'Expenditure Study'!$B$31</f>
        <v>6730978.7003276153</v>
      </c>
      <c r="W2068" s="199">
        <f ca="1">IF(A2068=10298,1.51,1)*IF($B2068&lt;3,$D2068*'Expenditure Study'!$B$32*OFFSET('Expenditure Study'!$B$7,'Operations Support'!$C2068,'Operations Support'!$B2068),0)</f>
        <v>0</v>
      </c>
      <c r="X2068" s="200">
        <f ca="1">W2068*'Expenditure Study'!$B$31</f>
        <v>0</v>
      </c>
      <c r="Y2068" s="199">
        <f ca="1">U2068*'Expenditure Study'!$B$31</f>
        <v>6730978.7003276153</v>
      </c>
      <c r="Z2068" s="200">
        <f ca="1">W2068*'Expenditure Study'!$B$31</f>
        <v>0</v>
      </c>
      <c r="AA2068" s="195">
        <f t="shared" ca="1" si="456"/>
        <v>6730978.7003276153</v>
      </c>
      <c r="AB2068" s="195">
        <f t="shared" ca="1" si="457"/>
        <v>6730978.7003276153</v>
      </c>
      <c r="AD2068" s="196">
        <f>IFERROR($G2068/SUMIF($A:$A,$A2068,$G:$G)*SUMIF(Summary!$A$166:$A$242,$A2068,Summary!$P$166:$P$242),0)</f>
        <v>271586.12870202324</v>
      </c>
      <c r="AE2068" s="197">
        <f t="shared" ca="1" si="458"/>
        <v>6459392.5716255922</v>
      </c>
      <c r="AF2068" s="196">
        <f>IFERROR(G2068/SUMIF(A:A,A2068,G:G)*SUMIF(Summary!$A$166:$A$242,'Operations Support'!A2068,Summary!$Q$166:$Q$242),0)</f>
        <v>272503.13955376978</v>
      </c>
      <c r="AG2068" s="196">
        <f t="shared" ca="1" si="459"/>
        <v>6458475.5607738458</v>
      </c>
      <c r="AH2068" s="180"/>
      <c r="AI2068" s="196">
        <f>IFERROR($G2068/SUMIF($A:$A,$A2068,$G:$G)*SUMIF(Summary!$A$247:$A$283,$A2068,Summary!$P$247:$P$283),0)</f>
        <v>49530.532518954271</v>
      </c>
      <c r="AJ2068" s="196">
        <f>IFERROR($G2068/SUMIF($A:$A,$A2068,$G:$G)*(SUMIF(Summary!$A$247:$A$283,$A2068,Summary!$L$247:$L$283)+SUMIF(Summary!$A$297:$A$333,$A2068,Summary!$L$297:$L$333))-AI2068,0)</f>
        <v>90042.274592883623</v>
      </c>
      <c r="AK2068" s="196">
        <f>IFERROR($G2068/SUMIF($A:$A,$A2068,$G:$G)*SUMIF(Summary!$A$247:$A$283,$A2068,Summary!$Q$247:$Q$283),0)</f>
        <v>49697.772414562132</v>
      </c>
      <c r="AL2068" s="196">
        <f>IFERROR($G2068/SUMIF($A:$A,$A2068,$G:$G)*(SUMIF(Summary!$A$247:$A$283,$A2068,Summary!$L$247:$L$283)+SUMIF(Summary!$A$297:$A$333,$A2068,Summary!$L$297:$L$333))-AK2068,0)</f>
        <v>89875.034697275769</v>
      </c>
      <c r="AM2068" s="198"/>
      <c r="AN2068" s="196">
        <f t="shared" ca="1" si="460"/>
        <v>6549434.8462184761</v>
      </c>
      <c r="AO2068" s="196">
        <f t="shared" ca="1" si="461"/>
        <v>6548350.5954711214</v>
      </c>
    </row>
    <row r="2069" spans="1:41">
      <c r="A2069" s="189">
        <v>3656</v>
      </c>
      <c r="B2069" s="190">
        <v>4</v>
      </c>
      <c r="C2069" s="191" t="s">
        <v>226</v>
      </c>
      <c r="D2069" s="192">
        <f t="shared" si="448"/>
        <v>0</v>
      </c>
      <c r="E2069" s="192">
        <f t="shared" si="449"/>
        <v>0</v>
      </c>
      <c r="F2069" s="192">
        <f t="shared" si="450"/>
        <v>0</v>
      </c>
      <c r="G2069" s="193">
        <f t="shared" si="451"/>
        <v>0</v>
      </c>
      <c r="H2069" s="194">
        <v>0</v>
      </c>
      <c r="I2069" s="194">
        <v>0</v>
      </c>
      <c r="J2069" s="194">
        <v>0</v>
      </c>
      <c r="K2069" s="193">
        <f t="shared" si="452"/>
        <v>0</v>
      </c>
      <c r="L2069" s="194">
        <v>0</v>
      </c>
      <c r="M2069" s="194">
        <v>0</v>
      </c>
      <c r="N2069" s="194">
        <v>0</v>
      </c>
      <c r="O2069" s="193">
        <f t="shared" si="453"/>
        <v>0</v>
      </c>
      <c r="P2069" s="194">
        <v>0</v>
      </c>
      <c r="Q2069" s="194">
        <v>0</v>
      </c>
      <c r="R2069" s="194">
        <v>0</v>
      </c>
      <c r="S2069" s="193">
        <f t="shared" si="454"/>
        <v>0</v>
      </c>
      <c r="T2069" s="193">
        <f t="shared" si="455"/>
        <v>0</v>
      </c>
      <c r="U2069" s="193">
        <f ca="1">OFFSET('Expenditure Study'!$B$7,'Operations Support'!$C2069,'Operations Support'!$B2069)*$G2069</f>
        <v>0</v>
      </c>
      <c r="V2069" s="199">
        <f ca="1">U2069*'Expenditure Study'!$B$31</f>
        <v>0</v>
      </c>
      <c r="W2069" s="199">
        <f ca="1">IF(A2069=10298,1.51,1)*IF($B2069&lt;3,$D2069*'Expenditure Study'!$B$32*OFFSET('Expenditure Study'!$B$7,'Operations Support'!$C2069,'Operations Support'!$B2069),0)</f>
        <v>0</v>
      </c>
      <c r="X2069" s="200">
        <f ca="1">W2069*'Expenditure Study'!$B$31</f>
        <v>0</v>
      </c>
      <c r="Y2069" s="199">
        <f ca="1">U2069*'Expenditure Study'!$B$31</f>
        <v>0</v>
      </c>
      <c r="Z2069" s="200">
        <f ca="1">W2069*'Expenditure Study'!$B$31</f>
        <v>0</v>
      </c>
      <c r="AA2069" s="195">
        <f t="shared" ca="1" si="456"/>
        <v>0</v>
      </c>
      <c r="AB2069" s="195">
        <f t="shared" ca="1" si="457"/>
        <v>0</v>
      </c>
      <c r="AD2069" s="196">
        <f>IFERROR($G2069/SUMIF($A:$A,$A2069,$G:$G)*SUMIF(Summary!$A$166:$A$242,$A2069,Summary!$P$166:$P$242),0)</f>
        <v>0</v>
      </c>
      <c r="AE2069" s="197">
        <f t="shared" ca="1" si="458"/>
        <v>0</v>
      </c>
      <c r="AF2069" s="196">
        <f>IFERROR(G2069/SUMIF(A:A,A2069,G:G)*SUMIF(Summary!$A$166:$A$242,'Operations Support'!A2069,Summary!$Q$166:$Q$242),0)</f>
        <v>0</v>
      </c>
      <c r="AG2069" s="196">
        <f t="shared" ca="1" si="459"/>
        <v>0</v>
      </c>
      <c r="AI2069" s="196">
        <f>IFERROR($G2069/SUMIF($A:$A,$A2069,$G:$G)*SUMIF(Summary!$A$247:$A$283,$A2069,Summary!$P$247:$P$283),0)</f>
        <v>0</v>
      </c>
      <c r="AJ2069" s="196">
        <f>IFERROR($G2069/SUMIF($A:$A,$A2069,$G:$G)*(SUMIF(Summary!$A$247:$A$283,$A2069,Summary!$L$247:$L$283)+SUMIF(Summary!$A$297:$A$333,$A2069,Summary!$L$297:$L$333))-AI2069,0)</f>
        <v>0</v>
      </c>
      <c r="AK2069" s="196">
        <f>IFERROR($G2069/SUMIF($A:$A,$A2069,$G:$G)*SUMIF(Summary!$A$247:$A$283,$A2069,Summary!$Q$247:$Q$283),0)</f>
        <v>0</v>
      </c>
      <c r="AL2069" s="196">
        <f>IFERROR($G2069/SUMIF($A:$A,$A2069,$G:$G)*(SUMIF(Summary!$A$247:$A$283,$A2069,Summary!$L$247:$L$283)+SUMIF(Summary!$A$297:$A$333,$A2069,Summary!$L$297:$L$333))-AK2069,0)</f>
        <v>0</v>
      </c>
      <c r="AM2069" s="198"/>
      <c r="AN2069" s="196">
        <f t="shared" ca="1" si="460"/>
        <v>0</v>
      </c>
      <c r="AO2069" s="196">
        <f t="shared" ca="1" si="461"/>
        <v>0</v>
      </c>
    </row>
    <row r="2070" spans="1:41">
      <c r="A2070" s="189">
        <v>3656</v>
      </c>
      <c r="B2070" s="190">
        <v>4</v>
      </c>
      <c r="C2070" s="191" t="s">
        <v>227</v>
      </c>
      <c r="D2070" s="192">
        <f t="shared" si="448"/>
        <v>0</v>
      </c>
      <c r="E2070" s="192">
        <f t="shared" si="449"/>
        <v>0</v>
      </c>
      <c r="F2070" s="192">
        <f t="shared" si="450"/>
        <v>0</v>
      </c>
      <c r="G2070" s="193">
        <f t="shared" si="451"/>
        <v>0</v>
      </c>
      <c r="H2070" s="194">
        <v>0</v>
      </c>
      <c r="I2070" s="194">
        <v>0</v>
      </c>
      <c r="J2070" s="194">
        <v>0</v>
      </c>
      <c r="K2070" s="193">
        <f t="shared" si="452"/>
        <v>0</v>
      </c>
      <c r="L2070" s="194">
        <v>0</v>
      </c>
      <c r="M2070" s="194">
        <v>0</v>
      </c>
      <c r="N2070" s="194">
        <v>0</v>
      </c>
      <c r="O2070" s="193">
        <f t="shared" si="453"/>
        <v>0</v>
      </c>
      <c r="P2070" s="194">
        <v>0</v>
      </c>
      <c r="Q2070" s="194">
        <v>0</v>
      </c>
      <c r="R2070" s="194">
        <v>0</v>
      </c>
      <c r="S2070" s="193">
        <f t="shared" si="454"/>
        <v>0</v>
      </c>
      <c r="T2070" s="193">
        <f t="shared" si="455"/>
        <v>0</v>
      </c>
      <c r="U2070" s="193">
        <f ca="1">OFFSET('Expenditure Study'!$B$7,'Operations Support'!$C2070,'Operations Support'!$B2070)*$G2070</f>
        <v>0</v>
      </c>
      <c r="V2070" s="199">
        <f ca="1">U2070*'Expenditure Study'!$B$31</f>
        <v>0</v>
      </c>
      <c r="W2070" s="199">
        <f ca="1">IF(A2070=10298,1.51,1)*IF($B2070&lt;3,$D2070*'Expenditure Study'!$B$32*OFFSET('Expenditure Study'!$B$7,'Operations Support'!$C2070,'Operations Support'!$B2070),0)</f>
        <v>0</v>
      </c>
      <c r="X2070" s="200">
        <f ca="1">W2070*'Expenditure Study'!$B$31</f>
        <v>0</v>
      </c>
      <c r="Y2070" s="199">
        <f ca="1">U2070*'Expenditure Study'!$B$31</f>
        <v>0</v>
      </c>
      <c r="Z2070" s="200">
        <f ca="1">W2070*'Expenditure Study'!$B$31</f>
        <v>0</v>
      </c>
      <c r="AA2070" s="195">
        <f t="shared" ca="1" si="456"/>
        <v>0</v>
      </c>
      <c r="AB2070" s="195">
        <f t="shared" ca="1" si="457"/>
        <v>0</v>
      </c>
      <c r="AD2070" s="196">
        <f>IFERROR($G2070/SUMIF($A:$A,$A2070,$G:$G)*SUMIF(Summary!$A$166:$A$242,$A2070,Summary!$P$166:$P$242),0)</f>
        <v>0</v>
      </c>
      <c r="AE2070" s="197">
        <f t="shared" ca="1" si="458"/>
        <v>0</v>
      </c>
      <c r="AF2070" s="196">
        <f>IFERROR(G2070/SUMIF(A:A,A2070,G:G)*SUMIF(Summary!$A$166:$A$242,'Operations Support'!A2070,Summary!$Q$166:$Q$242),0)</f>
        <v>0</v>
      </c>
      <c r="AG2070" s="196">
        <f t="shared" ca="1" si="459"/>
        <v>0</v>
      </c>
      <c r="AI2070" s="196">
        <f>IFERROR($G2070/SUMIF($A:$A,$A2070,$G:$G)*SUMIF(Summary!$A$247:$A$283,$A2070,Summary!$P$247:$P$283),0)</f>
        <v>0</v>
      </c>
      <c r="AJ2070" s="196">
        <f>IFERROR($G2070/SUMIF($A:$A,$A2070,$G:$G)*(SUMIF(Summary!$A$247:$A$283,$A2070,Summary!$L$247:$L$283)+SUMIF(Summary!$A$297:$A$333,$A2070,Summary!$L$297:$L$333))-AI2070,0)</f>
        <v>0</v>
      </c>
      <c r="AK2070" s="196">
        <f>IFERROR($G2070/SUMIF($A:$A,$A2070,$G:$G)*SUMIF(Summary!$A$247:$A$283,$A2070,Summary!$Q$247:$Q$283),0)</f>
        <v>0</v>
      </c>
      <c r="AL2070" s="196">
        <f>IFERROR($G2070/SUMIF($A:$A,$A2070,$G:$G)*(SUMIF(Summary!$A$247:$A$283,$A2070,Summary!$L$247:$L$283)+SUMIF(Summary!$A$297:$A$333,$A2070,Summary!$L$297:$L$333))-AK2070,0)</f>
        <v>0</v>
      </c>
      <c r="AM2070" s="198"/>
      <c r="AN2070" s="196">
        <f t="shared" ca="1" si="460"/>
        <v>0</v>
      </c>
      <c r="AO2070" s="196">
        <f t="shared" ca="1" si="461"/>
        <v>0</v>
      </c>
    </row>
    <row r="2071" spans="1:41">
      <c r="A2071" s="189">
        <v>3656</v>
      </c>
      <c r="B2071" s="190">
        <v>4</v>
      </c>
      <c r="C2071" s="191" t="s">
        <v>228</v>
      </c>
      <c r="D2071" s="192">
        <f t="shared" si="448"/>
        <v>342</v>
      </c>
      <c r="E2071" s="192">
        <f t="shared" si="449"/>
        <v>0</v>
      </c>
      <c r="F2071" s="192">
        <f t="shared" si="450"/>
        <v>0</v>
      </c>
      <c r="G2071" s="193">
        <f t="shared" si="451"/>
        <v>342</v>
      </c>
      <c r="H2071" s="194">
        <v>147</v>
      </c>
      <c r="I2071" s="194">
        <v>0</v>
      </c>
      <c r="J2071" s="194">
        <v>0</v>
      </c>
      <c r="K2071" s="193">
        <f t="shared" si="452"/>
        <v>147</v>
      </c>
      <c r="L2071" s="194">
        <v>186</v>
      </c>
      <c r="M2071" s="194">
        <v>0</v>
      </c>
      <c r="N2071" s="194">
        <v>0</v>
      </c>
      <c r="O2071" s="193">
        <f t="shared" si="453"/>
        <v>186</v>
      </c>
      <c r="P2071" s="194">
        <v>9</v>
      </c>
      <c r="Q2071" s="194">
        <v>0</v>
      </c>
      <c r="R2071" s="194">
        <v>0</v>
      </c>
      <c r="S2071" s="193">
        <f t="shared" si="454"/>
        <v>9</v>
      </c>
      <c r="T2071" s="193">
        <f t="shared" si="455"/>
        <v>19</v>
      </c>
      <c r="U2071" s="193">
        <f ca="1">OFFSET('Expenditure Study'!$B$7,'Operations Support'!$C2071,'Operations Support'!$B2071)*$G2071</f>
        <v>9941.94</v>
      </c>
      <c r="V2071" s="199">
        <f ca="1">U2071*'Expenditure Study'!$B$31</f>
        <v>587401.43852275203</v>
      </c>
      <c r="W2071" s="199">
        <f ca="1">IF(A2071=10298,1.51,1)*IF($B2071&lt;3,$D2071*'Expenditure Study'!$B$32*OFFSET('Expenditure Study'!$B$7,'Operations Support'!$C2071,'Operations Support'!$B2071),0)</f>
        <v>0</v>
      </c>
      <c r="X2071" s="200">
        <f ca="1">W2071*'Expenditure Study'!$B$31</f>
        <v>0</v>
      </c>
      <c r="Y2071" s="199">
        <f ca="1">U2071*'Expenditure Study'!$B$31</f>
        <v>587401.43852275203</v>
      </c>
      <c r="Z2071" s="200">
        <f ca="1">W2071*'Expenditure Study'!$B$31</f>
        <v>0</v>
      </c>
      <c r="AA2071" s="195">
        <f t="shared" ca="1" si="456"/>
        <v>587401.43852275203</v>
      </c>
      <c r="AB2071" s="195">
        <f t="shared" ca="1" si="457"/>
        <v>587401.43852275203</v>
      </c>
      <c r="AD2071" s="196">
        <f>IFERROR($G2071/SUMIF($A:$A,$A2071,$G:$G)*SUMIF(Summary!$A$166:$A$242,$A2071,Summary!$P$166:$P$242),0)</f>
        <v>15319.554018817737</v>
      </c>
      <c r="AE2071" s="197">
        <f t="shared" ca="1" si="458"/>
        <v>572081.8845039343</v>
      </c>
      <c r="AF2071" s="196">
        <f>IFERROR(G2071/SUMIF(A:A,A2071,G:G)*SUMIF(Summary!$A$166:$A$242,'Operations Support'!A2071,Summary!$Q$166:$Q$242),0)</f>
        <v>15371.280509218086</v>
      </c>
      <c r="AG2071" s="196">
        <f t="shared" ca="1" si="459"/>
        <v>572030.15801353392</v>
      </c>
      <c r="AI2071" s="196">
        <f>IFERROR($G2071/SUMIF($A:$A,$A2071,$G:$G)*SUMIF(Summary!$A$247:$A$283,$A2071,Summary!$P$247:$P$283),0)</f>
        <v>2793.9043578232495</v>
      </c>
      <c r="AJ2071" s="196">
        <f>IFERROR($G2071/SUMIF($A:$A,$A2071,$G:$G)*(SUMIF(Summary!$A$247:$A$283,$A2071,Summary!$L$247:$L$283)+SUMIF(Summary!$A$297:$A$333,$A2071,Summary!$L$297:$L$333))-AI2071,0)</f>
        <v>5079.0793189454389</v>
      </c>
      <c r="AK2071" s="196">
        <f>IFERROR($G2071/SUMIF($A:$A,$A2071,$G:$G)*SUMIF(Summary!$A$247:$A$283,$A2071,Summary!$Q$247:$Q$283),0)</f>
        <v>2803.3379788520942</v>
      </c>
      <c r="AL2071" s="196">
        <f>IFERROR($G2071/SUMIF($A:$A,$A2071,$G:$G)*(SUMIF(Summary!$A$247:$A$283,$A2071,Summary!$L$247:$L$283)+SUMIF(Summary!$A$297:$A$333,$A2071,Summary!$L$297:$L$333))-AK2071,0)</f>
        <v>5069.6456979165941</v>
      </c>
      <c r="AM2071" s="198"/>
      <c r="AN2071" s="196">
        <f t="shared" ca="1" si="460"/>
        <v>577160.96382287971</v>
      </c>
      <c r="AO2071" s="196">
        <f t="shared" ca="1" si="461"/>
        <v>577099.80371145054</v>
      </c>
    </row>
    <row r="2072" spans="1:41">
      <c r="A2072" s="189">
        <v>3656</v>
      </c>
      <c r="B2072" s="190">
        <v>4</v>
      </c>
      <c r="C2072" s="191" t="s">
        <v>229</v>
      </c>
      <c r="D2072" s="192">
        <f t="shared" si="448"/>
        <v>0</v>
      </c>
      <c r="E2072" s="192">
        <f t="shared" si="449"/>
        <v>0</v>
      </c>
      <c r="F2072" s="192">
        <f t="shared" si="450"/>
        <v>0</v>
      </c>
      <c r="G2072" s="193">
        <f t="shared" si="451"/>
        <v>0</v>
      </c>
      <c r="H2072" s="194">
        <v>0</v>
      </c>
      <c r="I2072" s="194">
        <v>0</v>
      </c>
      <c r="J2072" s="194">
        <v>0</v>
      </c>
      <c r="K2072" s="193">
        <f t="shared" si="452"/>
        <v>0</v>
      </c>
      <c r="L2072" s="194">
        <v>0</v>
      </c>
      <c r="M2072" s="194">
        <v>0</v>
      </c>
      <c r="N2072" s="194">
        <v>0</v>
      </c>
      <c r="O2072" s="193">
        <f t="shared" si="453"/>
        <v>0</v>
      </c>
      <c r="P2072" s="194">
        <v>0</v>
      </c>
      <c r="Q2072" s="194">
        <v>0</v>
      </c>
      <c r="R2072" s="194">
        <v>0</v>
      </c>
      <c r="S2072" s="193">
        <f t="shared" si="454"/>
        <v>0</v>
      </c>
      <c r="T2072" s="193">
        <f t="shared" si="455"/>
        <v>0</v>
      </c>
      <c r="U2072" s="193">
        <f ca="1">OFFSET('Expenditure Study'!$B$7,'Operations Support'!$C2072,'Operations Support'!$B2072)*$G2072</f>
        <v>0</v>
      </c>
      <c r="V2072" s="199">
        <f ca="1">U2072*'Expenditure Study'!$B$31</f>
        <v>0</v>
      </c>
      <c r="W2072" s="199">
        <f ca="1">IF(A2072=10298,1.51,1)*IF($B2072&lt;3,$D2072*'Expenditure Study'!$B$32*OFFSET('Expenditure Study'!$B$7,'Operations Support'!$C2072,'Operations Support'!$B2072),0)</f>
        <v>0</v>
      </c>
      <c r="X2072" s="200">
        <f ca="1">W2072*'Expenditure Study'!$B$31</f>
        <v>0</v>
      </c>
      <c r="Y2072" s="199">
        <f ca="1">U2072*'Expenditure Study'!$B$31</f>
        <v>0</v>
      </c>
      <c r="Z2072" s="200">
        <f ca="1">W2072*'Expenditure Study'!$B$31</f>
        <v>0</v>
      </c>
      <c r="AA2072" s="195">
        <f t="shared" ca="1" si="456"/>
        <v>0</v>
      </c>
      <c r="AB2072" s="195">
        <f t="shared" ca="1" si="457"/>
        <v>0</v>
      </c>
      <c r="AD2072" s="196">
        <f>IFERROR($G2072/SUMIF($A:$A,$A2072,$G:$G)*SUMIF(Summary!$A$166:$A$242,$A2072,Summary!$P$166:$P$242),0)</f>
        <v>0</v>
      </c>
      <c r="AE2072" s="197">
        <f t="shared" ca="1" si="458"/>
        <v>0</v>
      </c>
      <c r="AF2072" s="196">
        <f>IFERROR(G2072/SUMIF(A:A,A2072,G:G)*SUMIF(Summary!$A$166:$A$242,'Operations Support'!A2072,Summary!$Q$166:$Q$242),0)</f>
        <v>0</v>
      </c>
      <c r="AG2072" s="196">
        <f t="shared" ca="1" si="459"/>
        <v>0</v>
      </c>
      <c r="AI2072" s="196">
        <f>IFERROR($G2072/SUMIF($A:$A,$A2072,$G:$G)*SUMIF(Summary!$A$247:$A$283,$A2072,Summary!$P$247:$P$283),0)</f>
        <v>0</v>
      </c>
      <c r="AJ2072" s="196">
        <f>IFERROR($G2072/SUMIF($A:$A,$A2072,$G:$G)*(SUMIF(Summary!$A$247:$A$283,$A2072,Summary!$L$247:$L$283)+SUMIF(Summary!$A$297:$A$333,$A2072,Summary!$L$297:$L$333))-AI2072,0)</f>
        <v>0</v>
      </c>
      <c r="AK2072" s="196">
        <f>IFERROR($G2072/SUMIF($A:$A,$A2072,$G:$G)*SUMIF(Summary!$A$247:$A$283,$A2072,Summary!$Q$247:$Q$283),0)</f>
        <v>0</v>
      </c>
      <c r="AL2072" s="196">
        <f>IFERROR($G2072/SUMIF($A:$A,$A2072,$G:$G)*(SUMIF(Summary!$A$247:$A$283,$A2072,Summary!$L$247:$L$283)+SUMIF(Summary!$A$297:$A$333,$A2072,Summary!$L$297:$L$333))-AK2072,0)</f>
        <v>0</v>
      </c>
      <c r="AM2072" s="198"/>
      <c r="AN2072" s="196">
        <f t="shared" ca="1" si="460"/>
        <v>0</v>
      </c>
      <c r="AO2072" s="196">
        <f t="shared" ca="1" si="461"/>
        <v>0</v>
      </c>
    </row>
    <row r="2073" spans="1:41">
      <c r="A2073" s="189">
        <v>3656</v>
      </c>
      <c r="B2073" s="190">
        <v>4</v>
      </c>
      <c r="C2073" s="191" t="s">
        <v>230</v>
      </c>
      <c r="D2073" s="192">
        <f t="shared" si="448"/>
        <v>0</v>
      </c>
      <c r="E2073" s="192">
        <f t="shared" si="449"/>
        <v>0</v>
      </c>
      <c r="F2073" s="192">
        <f t="shared" si="450"/>
        <v>0</v>
      </c>
      <c r="G2073" s="193">
        <f t="shared" si="451"/>
        <v>0</v>
      </c>
      <c r="H2073" s="194">
        <v>0</v>
      </c>
      <c r="I2073" s="194">
        <v>0</v>
      </c>
      <c r="J2073" s="194">
        <v>0</v>
      </c>
      <c r="K2073" s="193">
        <f t="shared" si="452"/>
        <v>0</v>
      </c>
      <c r="L2073" s="194">
        <v>0</v>
      </c>
      <c r="M2073" s="194">
        <v>0</v>
      </c>
      <c r="N2073" s="194">
        <v>0</v>
      </c>
      <c r="O2073" s="193">
        <f t="shared" si="453"/>
        <v>0</v>
      </c>
      <c r="P2073" s="194">
        <v>0</v>
      </c>
      <c r="Q2073" s="194">
        <v>0</v>
      </c>
      <c r="R2073" s="194">
        <v>0</v>
      </c>
      <c r="S2073" s="193">
        <f t="shared" si="454"/>
        <v>0</v>
      </c>
      <c r="T2073" s="193">
        <f t="shared" si="455"/>
        <v>0</v>
      </c>
      <c r="U2073" s="193">
        <f ca="1">OFFSET('Expenditure Study'!$B$7,'Operations Support'!$C2073,'Operations Support'!$B2073)*$G2073</f>
        <v>0</v>
      </c>
      <c r="V2073" s="199">
        <f ca="1">U2073*'Expenditure Study'!$B$31</f>
        <v>0</v>
      </c>
      <c r="W2073" s="199">
        <f ca="1">IF(A2073=10298,1.51,1)*IF($B2073&lt;3,$D2073*'Expenditure Study'!$B$32*OFFSET('Expenditure Study'!$B$7,'Operations Support'!$C2073,'Operations Support'!$B2073),0)</f>
        <v>0</v>
      </c>
      <c r="X2073" s="200">
        <f ca="1">W2073*'Expenditure Study'!$B$31</f>
        <v>0</v>
      </c>
      <c r="Y2073" s="199">
        <f ca="1">U2073*'Expenditure Study'!$B$31</f>
        <v>0</v>
      </c>
      <c r="Z2073" s="200">
        <f ca="1">W2073*'Expenditure Study'!$B$31</f>
        <v>0</v>
      </c>
      <c r="AA2073" s="195">
        <f t="shared" ca="1" si="456"/>
        <v>0</v>
      </c>
      <c r="AB2073" s="195">
        <f t="shared" ca="1" si="457"/>
        <v>0</v>
      </c>
      <c r="AD2073" s="196">
        <f>IFERROR($G2073/SUMIF($A:$A,$A2073,$G:$G)*SUMIF(Summary!$A$166:$A$242,$A2073,Summary!$P$166:$P$242),0)</f>
        <v>0</v>
      </c>
      <c r="AE2073" s="197">
        <f t="shared" ca="1" si="458"/>
        <v>0</v>
      </c>
      <c r="AF2073" s="196">
        <f>IFERROR(G2073/SUMIF(A:A,A2073,G:G)*SUMIF(Summary!$A$166:$A$242,'Operations Support'!A2073,Summary!$Q$166:$Q$242),0)</f>
        <v>0</v>
      </c>
      <c r="AG2073" s="196">
        <f t="shared" ca="1" si="459"/>
        <v>0</v>
      </c>
      <c r="AI2073" s="196">
        <f>IFERROR($G2073/SUMIF($A:$A,$A2073,$G:$G)*SUMIF(Summary!$A$247:$A$283,$A2073,Summary!$P$247:$P$283),0)</f>
        <v>0</v>
      </c>
      <c r="AJ2073" s="196">
        <f>IFERROR($G2073/SUMIF($A:$A,$A2073,$G:$G)*(SUMIF(Summary!$A$247:$A$283,$A2073,Summary!$L$247:$L$283)+SUMIF(Summary!$A$297:$A$333,$A2073,Summary!$L$297:$L$333))-AI2073,0)</f>
        <v>0</v>
      </c>
      <c r="AK2073" s="196">
        <f>IFERROR($G2073/SUMIF($A:$A,$A2073,$G:$G)*SUMIF(Summary!$A$247:$A$283,$A2073,Summary!$Q$247:$Q$283),0)</f>
        <v>0</v>
      </c>
      <c r="AL2073" s="196">
        <f>IFERROR($G2073/SUMIF($A:$A,$A2073,$G:$G)*(SUMIF(Summary!$A$247:$A$283,$A2073,Summary!$L$247:$L$283)+SUMIF(Summary!$A$297:$A$333,$A2073,Summary!$L$297:$L$333))-AK2073,0)</f>
        <v>0</v>
      </c>
      <c r="AM2073" s="198"/>
      <c r="AN2073" s="196">
        <f t="shared" ca="1" si="460"/>
        <v>0</v>
      </c>
      <c r="AO2073" s="196">
        <f t="shared" ca="1" si="461"/>
        <v>0</v>
      </c>
    </row>
    <row r="2074" spans="1:41">
      <c r="A2074" s="189">
        <v>3656</v>
      </c>
      <c r="B2074" s="190">
        <v>4</v>
      </c>
      <c r="C2074" s="191" t="s">
        <v>231</v>
      </c>
      <c r="D2074" s="192">
        <f t="shared" si="448"/>
        <v>0</v>
      </c>
      <c r="E2074" s="192">
        <f t="shared" si="449"/>
        <v>0</v>
      </c>
      <c r="F2074" s="192">
        <f t="shared" si="450"/>
        <v>0</v>
      </c>
      <c r="G2074" s="193">
        <f t="shared" si="451"/>
        <v>0</v>
      </c>
      <c r="H2074" s="194">
        <v>0</v>
      </c>
      <c r="I2074" s="194">
        <v>0</v>
      </c>
      <c r="J2074" s="194">
        <v>0</v>
      </c>
      <c r="K2074" s="193">
        <f t="shared" si="452"/>
        <v>0</v>
      </c>
      <c r="L2074" s="194">
        <v>0</v>
      </c>
      <c r="M2074" s="194">
        <v>0</v>
      </c>
      <c r="N2074" s="194">
        <v>0</v>
      </c>
      <c r="O2074" s="193">
        <f t="shared" si="453"/>
        <v>0</v>
      </c>
      <c r="P2074" s="194">
        <v>0</v>
      </c>
      <c r="Q2074" s="194">
        <v>0</v>
      </c>
      <c r="R2074" s="194">
        <v>0</v>
      </c>
      <c r="S2074" s="193">
        <f t="shared" si="454"/>
        <v>0</v>
      </c>
      <c r="T2074" s="193">
        <f t="shared" si="455"/>
        <v>0</v>
      </c>
      <c r="U2074" s="193">
        <f ca="1">OFFSET('Expenditure Study'!$B$7,'Operations Support'!$C2074,'Operations Support'!$B2074)*$G2074</f>
        <v>0</v>
      </c>
      <c r="V2074" s="199">
        <f ca="1">U2074*'Expenditure Study'!$B$31</f>
        <v>0</v>
      </c>
      <c r="W2074" s="199">
        <f ca="1">IF(A2074=10298,1.51,1)*IF($B2074&lt;3,$D2074*'Expenditure Study'!$B$32*OFFSET('Expenditure Study'!$B$7,'Operations Support'!$C2074,'Operations Support'!$B2074),0)</f>
        <v>0</v>
      </c>
      <c r="X2074" s="200">
        <f ca="1">W2074*'Expenditure Study'!$B$31</f>
        <v>0</v>
      </c>
      <c r="Y2074" s="199">
        <f ca="1">U2074*'Expenditure Study'!$B$31</f>
        <v>0</v>
      </c>
      <c r="Z2074" s="200">
        <f ca="1">W2074*'Expenditure Study'!$B$31</f>
        <v>0</v>
      </c>
      <c r="AA2074" s="195">
        <f t="shared" ca="1" si="456"/>
        <v>0</v>
      </c>
      <c r="AB2074" s="195">
        <f t="shared" ca="1" si="457"/>
        <v>0</v>
      </c>
      <c r="AD2074" s="196">
        <f>IFERROR($G2074/SUMIF($A:$A,$A2074,$G:$G)*SUMIF(Summary!$A$166:$A$242,$A2074,Summary!$P$166:$P$242),0)</f>
        <v>0</v>
      </c>
      <c r="AE2074" s="197">
        <f t="shared" ca="1" si="458"/>
        <v>0</v>
      </c>
      <c r="AF2074" s="196">
        <f>IFERROR(G2074/SUMIF(A:A,A2074,G:G)*SUMIF(Summary!$A$166:$A$242,'Operations Support'!A2074,Summary!$Q$166:$Q$242),0)</f>
        <v>0</v>
      </c>
      <c r="AG2074" s="196">
        <f t="shared" ca="1" si="459"/>
        <v>0</v>
      </c>
      <c r="AI2074" s="196">
        <f>IFERROR($G2074/SUMIF($A:$A,$A2074,$G:$G)*SUMIF(Summary!$A$247:$A$283,$A2074,Summary!$P$247:$P$283),0)</f>
        <v>0</v>
      </c>
      <c r="AJ2074" s="196">
        <f>IFERROR($G2074/SUMIF($A:$A,$A2074,$G:$G)*(SUMIF(Summary!$A$247:$A$283,$A2074,Summary!$L$247:$L$283)+SUMIF(Summary!$A$297:$A$333,$A2074,Summary!$L$297:$L$333))-AI2074,0)</f>
        <v>0</v>
      </c>
      <c r="AK2074" s="196">
        <f>IFERROR($G2074/SUMIF($A:$A,$A2074,$G:$G)*SUMIF(Summary!$A$247:$A$283,$A2074,Summary!$Q$247:$Q$283),0)</f>
        <v>0</v>
      </c>
      <c r="AL2074" s="196">
        <f>IFERROR($G2074/SUMIF($A:$A,$A2074,$G:$G)*(SUMIF(Summary!$A$247:$A$283,$A2074,Summary!$L$247:$L$283)+SUMIF(Summary!$A$297:$A$333,$A2074,Summary!$L$297:$L$333))-AK2074,0)</f>
        <v>0</v>
      </c>
      <c r="AM2074" s="198"/>
      <c r="AN2074" s="196">
        <f t="shared" ca="1" si="460"/>
        <v>0</v>
      </c>
      <c r="AO2074" s="196">
        <f t="shared" ca="1" si="461"/>
        <v>0</v>
      </c>
    </row>
    <row r="2075" spans="1:41">
      <c r="A2075" s="189">
        <v>3656</v>
      </c>
      <c r="B2075" s="190">
        <v>4</v>
      </c>
      <c r="C2075" s="191" t="s">
        <v>232</v>
      </c>
      <c r="D2075" s="192">
        <f t="shared" si="448"/>
        <v>0</v>
      </c>
      <c r="E2075" s="192">
        <f t="shared" si="449"/>
        <v>0</v>
      </c>
      <c r="F2075" s="192">
        <f t="shared" si="450"/>
        <v>0</v>
      </c>
      <c r="G2075" s="193">
        <f t="shared" si="451"/>
        <v>0</v>
      </c>
      <c r="H2075" s="194">
        <v>0</v>
      </c>
      <c r="I2075" s="194">
        <v>0</v>
      </c>
      <c r="J2075" s="194">
        <v>0</v>
      </c>
      <c r="K2075" s="193">
        <f t="shared" si="452"/>
        <v>0</v>
      </c>
      <c r="L2075" s="194">
        <v>0</v>
      </c>
      <c r="M2075" s="194">
        <v>0</v>
      </c>
      <c r="N2075" s="194">
        <v>0</v>
      </c>
      <c r="O2075" s="193">
        <f t="shared" si="453"/>
        <v>0</v>
      </c>
      <c r="P2075" s="194">
        <v>0</v>
      </c>
      <c r="Q2075" s="194">
        <v>0</v>
      </c>
      <c r="R2075" s="194">
        <v>0</v>
      </c>
      <c r="S2075" s="193">
        <f t="shared" si="454"/>
        <v>0</v>
      </c>
      <c r="T2075" s="193">
        <f t="shared" si="455"/>
        <v>0</v>
      </c>
      <c r="U2075" s="193">
        <f ca="1">OFFSET('Expenditure Study'!$B$7,'Operations Support'!$C2075,'Operations Support'!$B2075)*$G2075</f>
        <v>0</v>
      </c>
      <c r="V2075" s="199">
        <f ca="1">U2075*'Expenditure Study'!$B$31</f>
        <v>0</v>
      </c>
      <c r="W2075" s="199">
        <f ca="1">IF(A2075=10298,1.51,1)*IF($B2075&lt;3,$D2075*'Expenditure Study'!$B$32*OFFSET('Expenditure Study'!$B$7,'Operations Support'!$C2075,'Operations Support'!$B2075),0)</f>
        <v>0</v>
      </c>
      <c r="X2075" s="200">
        <f ca="1">W2075*'Expenditure Study'!$B$31</f>
        <v>0</v>
      </c>
      <c r="Y2075" s="199">
        <f ca="1">U2075*'Expenditure Study'!$B$31</f>
        <v>0</v>
      </c>
      <c r="Z2075" s="200">
        <f ca="1">W2075*'Expenditure Study'!$B$31</f>
        <v>0</v>
      </c>
      <c r="AA2075" s="195">
        <f t="shared" ca="1" si="456"/>
        <v>0</v>
      </c>
      <c r="AB2075" s="195">
        <f t="shared" ca="1" si="457"/>
        <v>0</v>
      </c>
      <c r="AD2075" s="196">
        <f>IFERROR($G2075/SUMIF($A:$A,$A2075,$G:$G)*SUMIF(Summary!$A$166:$A$242,$A2075,Summary!$P$166:$P$242),0)</f>
        <v>0</v>
      </c>
      <c r="AE2075" s="197">
        <f t="shared" ca="1" si="458"/>
        <v>0</v>
      </c>
      <c r="AF2075" s="196">
        <f>IFERROR(G2075/SUMIF(A:A,A2075,G:G)*SUMIF(Summary!$A$166:$A$242,'Operations Support'!A2075,Summary!$Q$166:$Q$242),0)</f>
        <v>0</v>
      </c>
      <c r="AG2075" s="196">
        <f t="shared" ca="1" si="459"/>
        <v>0</v>
      </c>
      <c r="AI2075" s="196">
        <f>IFERROR($G2075/SUMIF($A:$A,$A2075,$G:$G)*SUMIF(Summary!$A$247:$A$283,$A2075,Summary!$P$247:$P$283),0)</f>
        <v>0</v>
      </c>
      <c r="AJ2075" s="196">
        <f>IFERROR($G2075/SUMIF($A:$A,$A2075,$G:$G)*(SUMIF(Summary!$A$247:$A$283,$A2075,Summary!$L$247:$L$283)+SUMIF(Summary!$A$297:$A$333,$A2075,Summary!$L$297:$L$333))-AI2075,0)</f>
        <v>0</v>
      </c>
      <c r="AK2075" s="196">
        <f>IFERROR($G2075/SUMIF($A:$A,$A2075,$G:$G)*SUMIF(Summary!$A$247:$A$283,$A2075,Summary!$Q$247:$Q$283),0)</f>
        <v>0</v>
      </c>
      <c r="AL2075" s="196">
        <f>IFERROR($G2075/SUMIF($A:$A,$A2075,$G:$G)*(SUMIF(Summary!$A$247:$A$283,$A2075,Summary!$L$247:$L$283)+SUMIF(Summary!$A$297:$A$333,$A2075,Summary!$L$297:$L$333))-AK2075,0)</f>
        <v>0</v>
      </c>
      <c r="AM2075" s="198"/>
      <c r="AN2075" s="196">
        <f t="shared" ca="1" si="460"/>
        <v>0</v>
      </c>
      <c r="AO2075" s="196">
        <f t="shared" ca="1" si="461"/>
        <v>0</v>
      </c>
    </row>
    <row r="2076" spans="1:41">
      <c r="A2076" s="189">
        <v>3656</v>
      </c>
      <c r="B2076" s="190">
        <v>4</v>
      </c>
      <c r="C2076" s="191" t="s">
        <v>233</v>
      </c>
      <c r="D2076" s="192">
        <f t="shared" si="448"/>
        <v>242</v>
      </c>
      <c r="E2076" s="192">
        <f t="shared" si="449"/>
        <v>0</v>
      </c>
      <c r="F2076" s="192">
        <f t="shared" si="450"/>
        <v>0</v>
      </c>
      <c r="G2076" s="193">
        <f t="shared" si="451"/>
        <v>242</v>
      </c>
      <c r="H2076" s="194">
        <v>92</v>
      </c>
      <c r="I2076" s="194">
        <v>0</v>
      </c>
      <c r="J2076" s="194">
        <v>0</v>
      </c>
      <c r="K2076" s="193">
        <f t="shared" si="452"/>
        <v>92</v>
      </c>
      <c r="L2076" s="194">
        <v>96</v>
      </c>
      <c r="M2076" s="194">
        <v>0</v>
      </c>
      <c r="N2076" s="194">
        <v>0</v>
      </c>
      <c r="O2076" s="193">
        <f t="shared" si="453"/>
        <v>96</v>
      </c>
      <c r="P2076" s="194">
        <v>54</v>
      </c>
      <c r="Q2076" s="194">
        <v>0</v>
      </c>
      <c r="R2076" s="194">
        <v>0</v>
      </c>
      <c r="S2076" s="193">
        <f t="shared" si="454"/>
        <v>54</v>
      </c>
      <c r="T2076" s="193">
        <f t="shared" si="455"/>
        <v>13.444444444444445</v>
      </c>
      <c r="U2076" s="193">
        <f ca="1">OFFSET('Expenditure Study'!$B$7,'Operations Support'!$C2076,'Operations Support'!$B2076)*$G2076</f>
        <v>2226.3999999999996</v>
      </c>
      <c r="V2076" s="199">
        <f ca="1">U2076*'Expenditure Study'!$B$31</f>
        <v>131542.79373311999</v>
      </c>
      <c r="W2076" s="199">
        <f ca="1">IF(A2076=10298,1.51,1)*IF($B2076&lt;3,$D2076*'Expenditure Study'!$B$32*OFFSET('Expenditure Study'!$B$7,'Operations Support'!$C2076,'Operations Support'!$B2076),0)</f>
        <v>0</v>
      </c>
      <c r="X2076" s="200">
        <f ca="1">W2076*'Expenditure Study'!$B$31</f>
        <v>0</v>
      </c>
      <c r="Y2076" s="199">
        <f ca="1">U2076*'Expenditure Study'!$B$31</f>
        <v>131542.79373311999</v>
      </c>
      <c r="Z2076" s="200">
        <f ca="1">W2076*'Expenditure Study'!$B$31</f>
        <v>0</v>
      </c>
      <c r="AA2076" s="195">
        <f t="shared" ca="1" si="456"/>
        <v>131542.79373311999</v>
      </c>
      <c r="AB2076" s="195">
        <f t="shared" ca="1" si="457"/>
        <v>131542.79373311999</v>
      </c>
      <c r="AD2076" s="196">
        <f>IFERROR($G2076/SUMIF($A:$A,$A2076,$G:$G)*SUMIF(Summary!$A$166:$A$242,$A2076,Summary!$P$166:$P$242),0)</f>
        <v>10840.152258929509</v>
      </c>
      <c r="AE2076" s="197">
        <f t="shared" ca="1" si="458"/>
        <v>120702.64147419049</v>
      </c>
      <c r="AF2076" s="196">
        <f>IFERROR(G2076/SUMIF(A:A,A2076,G:G)*SUMIF(Summary!$A$166:$A$242,'Operations Support'!A2076,Summary!$Q$166:$Q$242),0)</f>
        <v>10876.754044534435</v>
      </c>
      <c r="AG2076" s="196">
        <f t="shared" ca="1" si="459"/>
        <v>120666.03968858556</v>
      </c>
      <c r="AI2076" s="196">
        <f>IFERROR($G2076/SUMIF($A:$A,$A2076,$G:$G)*SUMIF(Summary!$A$247:$A$283,$A2076,Summary!$P$247:$P$283),0)</f>
        <v>1976.9732590445215</v>
      </c>
      <c r="AJ2076" s="196">
        <f>IFERROR($G2076/SUMIF($A:$A,$A2076,$G:$G)*(SUMIF(Summary!$A$247:$A$283,$A2076,Summary!$L$247:$L$283)+SUMIF(Summary!$A$297:$A$333,$A2076,Summary!$L$297:$L$333))-AI2076,0)</f>
        <v>3593.9684069730888</v>
      </c>
      <c r="AK2076" s="196">
        <f>IFERROR($G2076/SUMIF($A:$A,$A2076,$G:$G)*SUMIF(Summary!$A$247:$A$283,$A2076,Summary!$Q$247:$Q$283),0)</f>
        <v>1983.6485113514818</v>
      </c>
      <c r="AL2076" s="196">
        <f>IFERROR($G2076/SUMIF($A:$A,$A2076,$G:$G)*(SUMIF(Summary!$A$247:$A$283,$A2076,Summary!$L$247:$L$283)+SUMIF(Summary!$A$297:$A$333,$A2076,Summary!$L$297:$L$333))-AK2076,0)</f>
        <v>3587.2931546661284</v>
      </c>
      <c r="AM2076" s="198"/>
      <c r="AN2076" s="196">
        <f t="shared" ca="1" si="460"/>
        <v>124296.60988116357</v>
      </c>
      <c r="AO2076" s="196">
        <f t="shared" ca="1" si="461"/>
        <v>124253.33284325169</v>
      </c>
    </row>
    <row r="2077" spans="1:41">
      <c r="A2077" s="189">
        <v>3656</v>
      </c>
      <c r="B2077" s="190">
        <v>4</v>
      </c>
      <c r="C2077" s="191" t="s">
        <v>234</v>
      </c>
      <c r="D2077" s="192">
        <f t="shared" si="448"/>
        <v>0</v>
      </c>
      <c r="E2077" s="192">
        <f t="shared" si="449"/>
        <v>0</v>
      </c>
      <c r="F2077" s="192">
        <f t="shared" si="450"/>
        <v>0</v>
      </c>
      <c r="G2077" s="193">
        <f t="shared" si="451"/>
        <v>0</v>
      </c>
      <c r="H2077" s="194">
        <v>0</v>
      </c>
      <c r="I2077" s="194">
        <v>0</v>
      </c>
      <c r="J2077" s="194">
        <v>0</v>
      </c>
      <c r="K2077" s="193">
        <f t="shared" si="452"/>
        <v>0</v>
      </c>
      <c r="L2077" s="194">
        <v>0</v>
      </c>
      <c r="M2077" s="194">
        <v>0</v>
      </c>
      <c r="N2077" s="194">
        <v>0</v>
      </c>
      <c r="O2077" s="193">
        <f t="shared" si="453"/>
        <v>0</v>
      </c>
      <c r="P2077" s="194">
        <v>0</v>
      </c>
      <c r="Q2077" s="194">
        <v>0</v>
      </c>
      <c r="R2077" s="194">
        <v>0</v>
      </c>
      <c r="S2077" s="193">
        <f t="shared" si="454"/>
        <v>0</v>
      </c>
      <c r="T2077" s="193">
        <f t="shared" si="455"/>
        <v>0</v>
      </c>
      <c r="U2077" s="193">
        <f ca="1">OFFSET('Expenditure Study'!$B$7,'Operations Support'!$C2077,'Operations Support'!$B2077)*$G2077</f>
        <v>0</v>
      </c>
      <c r="V2077" s="199">
        <f ca="1">U2077*'Expenditure Study'!$B$31</f>
        <v>0</v>
      </c>
      <c r="W2077" s="199">
        <f ca="1">IF(A2077=10298,1.51,1)*IF($B2077&lt;3,$D2077*'Expenditure Study'!$B$32*OFFSET('Expenditure Study'!$B$7,'Operations Support'!$C2077,'Operations Support'!$B2077),0)</f>
        <v>0</v>
      </c>
      <c r="X2077" s="200">
        <f ca="1">W2077*'Expenditure Study'!$B$31</f>
        <v>0</v>
      </c>
      <c r="Y2077" s="199">
        <f ca="1">U2077*'Expenditure Study'!$B$31</f>
        <v>0</v>
      </c>
      <c r="Z2077" s="200">
        <f ca="1">W2077*'Expenditure Study'!$B$31</f>
        <v>0</v>
      </c>
      <c r="AA2077" s="195">
        <f t="shared" ca="1" si="456"/>
        <v>0</v>
      </c>
      <c r="AB2077" s="195">
        <f t="shared" ca="1" si="457"/>
        <v>0</v>
      </c>
      <c r="AD2077" s="196">
        <f>IFERROR($G2077/SUMIF($A:$A,$A2077,$G:$G)*SUMIF(Summary!$A$166:$A$242,$A2077,Summary!$P$166:$P$242),0)</f>
        <v>0</v>
      </c>
      <c r="AE2077" s="197">
        <f t="shared" ca="1" si="458"/>
        <v>0</v>
      </c>
      <c r="AF2077" s="196">
        <f>IFERROR(G2077/SUMIF(A:A,A2077,G:G)*SUMIF(Summary!$A$166:$A$242,'Operations Support'!A2077,Summary!$Q$166:$Q$242),0)</f>
        <v>0</v>
      </c>
      <c r="AG2077" s="196">
        <f t="shared" ca="1" si="459"/>
        <v>0</v>
      </c>
      <c r="AI2077" s="196">
        <f>IFERROR($G2077/SUMIF($A:$A,$A2077,$G:$G)*SUMIF(Summary!$A$247:$A$283,$A2077,Summary!$P$247:$P$283),0)</f>
        <v>0</v>
      </c>
      <c r="AJ2077" s="196">
        <f>IFERROR($G2077/SUMIF($A:$A,$A2077,$G:$G)*(SUMIF(Summary!$A$247:$A$283,$A2077,Summary!$L$247:$L$283)+SUMIF(Summary!$A$297:$A$333,$A2077,Summary!$L$297:$L$333))-AI2077,0)</f>
        <v>0</v>
      </c>
      <c r="AK2077" s="196">
        <f>IFERROR($G2077/SUMIF($A:$A,$A2077,$G:$G)*SUMIF(Summary!$A$247:$A$283,$A2077,Summary!$Q$247:$Q$283),0)</f>
        <v>0</v>
      </c>
      <c r="AL2077" s="196">
        <f>IFERROR($G2077/SUMIF($A:$A,$A2077,$G:$G)*(SUMIF(Summary!$A$247:$A$283,$A2077,Summary!$L$247:$L$283)+SUMIF(Summary!$A$297:$A$333,$A2077,Summary!$L$297:$L$333))-AK2077,0)</f>
        <v>0</v>
      </c>
      <c r="AM2077" s="198"/>
      <c r="AN2077" s="196">
        <f t="shared" ca="1" si="460"/>
        <v>0</v>
      </c>
      <c r="AO2077" s="196">
        <f t="shared" ca="1" si="461"/>
        <v>0</v>
      </c>
    </row>
    <row r="2078" spans="1:41">
      <c r="A2078" s="189">
        <v>3656</v>
      </c>
      <c r="B2078" s="190">
        <v>4</v>
      </c>
      <c r="C2078" s="191" t="s">
        <v>235</v>
      </c>
      <c r="D2078" s="192">
        <f t="shared" si="448"/>
        <v>871</v>
      </c>
      <c r="E2078" s="192">
        <f t="shared" si="449"/>
        <v>39</v>
      </c>
      <c r="F2078" s="192">
        <f t="shared" si="450"/>
        <v>3</v>
      </c>
      <c r="G2078" s="193">
        <f t="shared" si="451"/>
        <v>907</v>
      </c>
      <c r="H2078" s="194">
        <v>402</v>
      </c>
      <c r="I2078" s="194">
        <v>6</v>
      </c>
      <c r="J2078" s="194">
        <v>3</v>
      </c>
      <c r="K2078" s="193">
        <f t="shared" si="452"/>
        <v>405</v>
      </c>
      <c r="L2078" s="194">
        <v>424</v>
      </c>
      <c r="M2078" s="194">
        <v>33</v>
      </c>
      <c r="N2078" s="194">
        <v>0</v>
      </c>
      <c r="O2078" s="193">
        <f t="shared" si="453"/>
        <v>457</v>
      </c>
      <c r="P2078" s="194">
        <v>45</v>
      </c>
      <c r="Q2078" s="194">
        <v>0</v>
      </c>
      <c r="R2078" s="194">
        <v>0</v>
      </c>
      <c r="S2078" s="193">
        <f t="shared" si="454"/>
        <v>45</v>
      </c>
      <c r="T2078" s="193">
        <f t="shared" si="455"/>
        <v>50.388888888888886</v>
      </c>
      <c r="U2078" s="193">
        <f ca="1">OFFSET('Expenditure Study'!$B$7,'Operations Support'!$C2078,'Operations Support'!$B2078)*$G2078</f>
        <v>34520.420000000006</v>
      </c>
      <c r="V2078" s="199">
        <f ca="1">U2078*'Expenditure Study'!$B$31</f>
        <v>2039576.2161519364</v>
      </c>
      <c r="W2078" s="199">
        <f ca="1">IF(A2078=10298,1.51,1)*IF($B2078&lt;3,$D2078*'Expenditure Study'!$B$32*OFFSET('Expenditure Study'!$B$7,'Operations Support'!$C2078,'Operations Support'!$B2078),0)</f>
        <v>0</v>
      </c>
      <c r="X2078" s="200">
        <f ca="1">W2078*'Expenditure Study'!$B$31</f>
        <v>0</v>
      </c>
      <c r="Y2078" s="199">
        <f ca="1">U2078*'Expenditure Study'!$B$31</f>
        <v>2039576.2161519364</v>
      </c>
      <c r="Z2078" s="200">
        <f ca="1">W2078*'Expenditure Study'!$B$31</f>
        <v>0</v>
      </c>
      <c r="AA2078" s="195">
        <f t="shared" ca="1" si="456"/>
        <v>2039576.2161519364</v>
      </c>
      <c r="AB2078" s="195">
        <f t="shared" ca="1" si="457"/>
        <v>2039576.2161519364</v>
      </c>
      <c r="AD2078" s="196">
        <f>IFERROR($G2078/SUMIF($A:$A,$A2078,$G:$G)*SUMIF(Summary!$A$166:$A$242,$A2078,Summary!$P$166:$P$242),0)</f>
        <v>40628.173962186214</v>
      </c>
      <c r="AE2078" s="197">
        <f t="shared" ca="1" si="458"/>
        <v>1998948.0421897501</v>
      </c>
      <c r="AF2078" s="196">
        <f>IFERROR(G2078/SUMIF(A:A,A2078,G:G)*SUMIF(Summary!$A$166:$A$242,'Operations Support'!A2078,Summary!$Q$166:$Q$242),0)</f>
        <v>40765.35503468071</v>
      </c>
      <c r="AG2078" s="196">
        <f t="shared" ca="1" si="459"/>
        <v>1998810.8611172556</v>
      </c>
      <c r="AI2078" s="196">
        <f>IFERROR($G2078/SUMIF($A:$A,$A2078,$G:$G)*SUMIF(Summary!$A$247:$A$283,$A2078,Summary!$P$247:$P$283),0)</f>
        <v>7409.5650659230614</v>
      </c>
      <c r="AJ2078" s="196">
        <f>IFERROR($G2078/SUMIF($A:$A,$A2078,$G:$G)*(SUMIF(Summary!$A$247:$A$283,$A2078,Summary!$L$247:$L$283)+SUMIF(Summary!$A$297:$A$333,$A2078,Summary!$L$297:$L$333))-AI2078,0)</f>
        <v>13469.955971589219</v>
      </c>
      <c r="AK2078" s="196">
        <f>IFERROR($G2078/SUMIF($A:$A,$A2078,$G:$G)*SUMIF(Summary!$A$247:$A$283,$A2078,Summary!$Q$247:$Q$283),0)</f>
        <v>7434.5834702305538</v>
      </c>
      <c r="AL2078" s="196">
        <f>IFERROR($G2078/SUMIF($A:$A,$A2078,$G:$G)*(SUMIF(Summary!$A$247:$A$283,$A2078,Summary!$L$247:$L$283)+SUMIF(Summary!$A$297:$A$333,$A2078,Summary!$L$297:$L$333))-AK2078,0)</f>
        <v>13444.937567281726</v>
      </c>
      <c r="AM2078" s="198"/>
      <c r="AN2078" s="196">
        <f t="shared" ca="1" si="460"/>
        <v>2012417.9981613394</v>
      </c>
      <c r="AO2078" s="196">
        <f t="shared" ca="1" si="461"/>
        <v>2012255.7986845374</v>
      </c>
    </row>
    <row r="2079" spans="1:41">
      <c r="A2079" s="189">
        <v>3656</v>
      </c>
      <c r="B2079" s="190">
        <v>4</v>
      </c>
      <c r="C2079" s="191" t="s">
        <v>236</v>
      </c>
      <c r="D2079" s="192">
        <f t="shared" si="448"/>
        <v>0</v>
      </c>
      <c r="E2079" s="192">
        <f t="shared" si="449"/>
        <v>0</v>
      </c>
      <c r="F2079" s="192">
        <f t="shared" si="450"/>
        <v>0</v>
      </c>
      <c r="G2079" s="193">
        <f t="shared" si="451"/>
        <v>0</v>
      </c>
      <c r="H2079" s="194">
        <v>0</v>
      </c>
      <c r="I2079" s="194">
        <v>0</v>
      </c>
      <c r="J2079" s="194">
        <v>0</v>
      </c>
      <c r="K2079" s="193">
        <f t="shared" si="452"/>
        <v>0</v>
      </c>
      <c r="L2079" s="194">
        <v>0</v>
      </c>
      <c r="M2079" s="194">
        <v>0</v>
      </c>
      <c r="N2079" s="194">
        <v>0</v>
      </c>
      <c r="O2079" s="193">
        <f t="shared" si="453"/>
        <v>0</v>
      </c>
      <c r="P2079" s="194">
        <v>0</v>
      </c>
      <c r="Q2079" s="194">
        <v>0</v>
      </c>
      <c r="R2079" s="194">
        <v>0</v>
      </c>
      <c r="S2079" s="193">
        <f t="shared" si="454"/>
        <v>0</v>
      </c>
      <c r="T2079" s="193">
        <f t="shared" si="455"/>
        <v>0</v>
      </c>
      <c r="U2079" s="193">
        <f ca="1">OFFSET('Expenditure Study'!$B$7,'Operations Support'!$C2079,'Operations Support'!$B2079)*$G2079</f>
        <v>0</v>
      </c>
      <c r="V2079" s="199">
        <f ca="1">U2079*'Expenditure Study'!$B$31</f>
        <v>0</v>
      </c>
      <c r="W2079" s="199">
        <f ca="1">IF(A2079=10298,1.51,1)*IF($B2079&lt;3,$D2079*'Expenditure Study'!$B$32*OFFSET('Expenditure Study'!$B$7,'Operations Support'!$C2079,'Operations Support'!$B2079),0)</f>
        <v>0</v>
      </c>
      <c r="X2079" s="200">
        <f ca="1">W2079*'Expenditure Study'!$B$31</f>
        <v>0</v>
      </c>
      <c r="Y2079" s="199">
        <f ca="1">U2079*'Expenditure Study'!$B$31</f>
        <v>0</v>
      </c>
      <c r="Z2079" s="200">
        <f ca="1">W2079*'Expenditure Study'!$B$31</f>
        <v>0</v>
      </c>
      <c r="AA2079" s="195">
        <f t="shared" ca="1" si="456"/>
        <v>0</v>
      </c>
      <c r="AB2079" s="195">
        <f t="shared" ca="1" si="457"/>
        <v>0</v>
      </c>
      <c r="AD2079" s="196">
        <f>IFERROR($G2079/SUMIF($A:$A,$A2079,$G:$G)*SUMIF(Summary!$A$166:$A$242,$A2079,Summary!$P$166:$P$242),0)</f>
        <v>0</v>
      </c>
      <c r="AE2079" s="197">
        <f t="shared" ca="1" si="458"/>
        <v>0</v>
      </c>
      <c r="AF2079" s="196">
        <f>IFERROR(G2079/SUMIF(A:A,A2079,G:G)*SUMIF(Summary!$A$166:$A$242,'Operations Support'!A2079,Summary!$Q$166:$Q$242),0)</f>
        <v>0</v>
      </c>
      <c r="AG2079" s="196">
        <f t="shared" ca="1" si="459"/>
        <v>0</v>
      </c>
      <c r="AI2079" s="196">
        <f>IFERROR($G2079/SUMIF($A:$A,$A2079,$G:$G)*SUMIF(Summary!$A$247:$A$283,$A2079,Summary!$P$247:$P$283),0)</f>
        <v>0</v>
      </c>
      <c r="AJ2079" s="196">
        <f>IFERROR($G2079/SUMIF($A:$A,$A2079,$G:$G)*(SUMIF(Summary!$A$247:$A$283,$A2079,Summary!$L$247:$L$283)+SUMIF(Summary!$A$297:$A$333,$A2079,Summary!$L$297:$L$333))-AI2079,0)</f>
        <v>0</v>
      </c>
      <c r="AK2079" s="196">
        <f>IFERROR($G2079/SUMIF($A:$A,$A2079,$G:$G)*SUMIF(Summary!$A$247:$A$283,$A2079,Summary!$Q$247:$Q$283),0)</f>
        <v>0</v>
      </c>
      <c r="AL2079" s="196">
        <f>IFERROR($G2079/SUMIF($A:$A,$A2079,$G:$G)*(SUMIF(Summary!$A$247:$A$283,$A2079,Summary!$L$247:$L$283)+SUMIF(Summary!$A$297:$A$333,$A2079,Summary!$L$297:$L$333))-AK2079,0)</f>
        <v>0</v>
      </c>
      <c r="AM2079" s="198"/>
      <c r="AN2079" s="196">
        <f t="shared" ca="1" si="460"/>
        <v>0</v>
      </c>
      <c r="AO2079" s="196">
        <f t="shared" ca="1" si="461"/>
        <v>0</v>
      </c>
    </row>
    <row r="2080" spans="1:41">
      <c r="A2080" s="189">
        <v>3656</v>
      </c>
      <c r="B2080" s="190">
        <v>4</v>
      </c>
      <c r="C2080" s="191" t="s">
        <v>237</v>
      </c>
      <c r="D2080" s="192">
        <f t="shared" si="448"/>
        <v>0</v>
      </c>
      <c r="E2080" s="192">
        <f t="shared" si="449"/>
        <v>0</v>
      </c>
      <c r="F2080" s="192">
        <f t="shared" si="450"/>
        <v>0</v>
      </c>
      <c r="G2080" s="193">
        <f t="shared" si="451"/>
        <v>0</v>
      </c>
      <c r="H2080" s="194">
        <v>0</v>
      </c>
      <c r="I2080" s="194">
        <v>0</v>
      </c>
      <c r="J2080" s="194">
        <v>0</v>
      </c>
      <c r="K2080" s="193">
        <f t="shared" si="452"/>
        <v>0</v>
      </c>
      <c r="L2080" s="194">
        <v>0</v>
      </c>
      <c r="M2080" s="194">
        <v>0</v>
      </c>
      <c r="N2080" s="194">
        <v>0</v>
      </c>
      <c r="O2080" s="193">
        <f t="shared" si="453"/>
        <v>0</v>
      </c>
      <c r="P2080" s="194">
        <v>0</v>
      </c>
      <c r="Q2080" s="194">
        <v>0</v>
      </c>
      <c r="R2080" s="194">
        <v>0</v>
      </c>
      <c r="S2080" s="193">
        <f t="shared" si="454"/>
        <v>0</v>
      </c>
      <c r="T2080" s="193">
        <f t="shared" si="455"/>
        <v>0</v>
      </c>
      <c r="U2080" s="193">
        <f ca="1">OFFSET('Expenditure Study'!$B$7,'Operations Support'!$C2080,'Operations Support'!$B2080)*$G2080</f>
        <v>0</v>
      </c>
      <c r="V2080" s="199">
        <f ca="1">U2080*'Expenditure Study'!$B$31</f>
        <v>0</v>
      </c>
      <c r="W2080" s="199">
        <f ca="1">IF(A2080=10298,1.51,1)*IF($B2080&lt;3,$D2080*'Expenditure Study'!$B$32*OFFSET('Expenditure Study'!$B$7,'Operations Support'!$C2080,'Operations Support'!$B2080),0)</f>
        <v>0</v>
      </c>
      <c r="X2080" s="200">
        <f ca="1">W2080*'Expenditure Study'!$B$31</f>
        <v>0</v>
      </c>
      <c r="Y2080" s="199">
        <f ca="1">U2080*'Expenditure Study'!$B$31</f>
        <v>0</v>
      </c>
      <c r="Z2080" s="200">
        <f ca="1">W2080*'Expenditure Study'!$B$31</f>
        <v>0</v>
      </c>
      <c r="AA2080" s="195">
        <f t="shared" ca="1" si="456"/>
        <v>0</v>
      </c>
      <c r="AB2080" s="195">
        <f t="shared" ca="1" si="457"/>
        <v>0</v>
      </c>
      <c r="AD2080" s="196">
        <f>IFERROR($G2080/SUMIF($A:$A,$A2080,$G:$G)*SUMIF(Summary!$A$166:$A$242,$A2080,Summary!$P$166:$P$242),0)</f>
        <v>0</v>
      </c>
      <c r="AE2080" s="197">
        <f t="shared" ca="1" si="458"/>
        <v>0</v>
      </c>
      <c r="AF2080" s="196">
        <f>IFERROR(G2080/SUMIF(A:A,A2080,G:G)*SUMIF(Summary!$A$166:$A$242,'Operations Support'!A2080,Summary!$Q$166:$Q$242),0)</f>
        <v>0</v>
      </c>
      <c r="AG2080" s="196">
        <f t="shared" ca="1" si="459"/>
        <v>0</v>
      </c>
      <c r="AI2080" s="196">
        <f>IFERROR($G2080/SUMIF($A:$A,$A2080,$G:$G)*SUMIF(Summary!$A$247:$A$283,$A2080,Summary!$P$247:$P$283),0)</f>
        <v>0</v>
      </c>
      <c r="AJ2080" s="196">
        <f>IFERROR($G2080/SUMIF($A:$A,$A2080,$G:$G)*(SUMIF(Summary!$A$247:$A$283,$A2080,Summary!$L$247:$L$283)+SUMIF(Summary!$A$297:$A$333,$A2080,Summary!$L$297:$L$333))-AI2080,0)</f>
        <v>0</v>
      </c>
      <c r="AK2080" s="196">
        <f>IFERROR($G2080/SUMIF($A:$A,$A2080,$G:$G)*SUMIF(Summary!$A$247:$A$283,$A2080,Summary!$Q$247:$Q$283),0)</f>
        <v>0</v>
      </c>
      <c r="AL2080" s="196">
        <f>IFERROR($G2080/SUMIF($A:$A,$A2080,$G:$G)*(SUMIF(Summary!$A$247:$A$283,$A2080,Summary!$L$247:$L$283)+SUMIF(Summary!$A$297:$A$333,$A2080,Summary!$L$297:$L$333))-AK2080,0)</f>
        <v>0</v>
      </c>
      <c r="AM2080" s="198"/>
      <c r="AN2080" s="196">
        <f t="shared" ca="1" si="460"/>
        <v>0</v>
      </c>
      <c r="AO2080" s="196">
        <f t="shared" ca="1" si="461"/>
        <v>0</v>
      </c>
    </row>
    <row r="2081" spans="1:41">
      <c r="A2081" s="189">
        <v>3656</v>
      </c>
      <c r="B2081" s="190">
        <v>4</v>
      </c>
      <c r="C2081" s="191" t="s">
        <v>238</v>
      </c>
      <c r="D2081" s="192">
        <f t="shared" si="448"/>
        <v>0</v>
      </c>
      <c r="E2081" s="192">
        <f t="shared" si="449"/>
        <v>0</v>
      </c>
      <c r="F2081" s="192">
        <f t="shared" si="450"/>
        <v>0</v>
      </c>
      <c r="G2081" s="193">
        <f t="shared" si="451"/>
        <v>0</v>
      </c>
      <c r="H2081" s="194">
        <v>0</v>
      </c>
      <c r="I2081" s="194">
        <v>0</v>
      </c>
      <c r="J2081" s="194">
        <v>0</v>
      </c>
      <c r="K2081" s="193">
        <f t="shared" si="452"/>
        <v>0</v>
      </c>
      <c r="L2081" s="194">
        <v>0</v>
      </c>
      <c r="M2081" s="194">
        <v>0</v>
      </c>
      <c r="N2081" s="194">
        <v>0</v>
      </c>
      <c r="O2081" s="193">
        <f t="shared" si="453"/>
        <v>0</v>
      </c>
      <c r="P2081" s="194">
        <v>0</v>
      </c>
      <c r="Q2081" s="194">
        <v>0</v>
      </c>
      <c r="R2081" s="194">
        <v>0</v>
      </c>
      <c r="S2081" s="193">
        <f t="shared" si="454"/>
        <v>0</v>
      </c>
      <c r="T2081" s="193">
        <f t="shared" si="455"/>
        <v>0</v>
      </c>
      <c r="U2081" s="193">
        <f ca="1">OFFSET('Expenditure Study'!$B$7,'Operations Support'!$C2081,'Operations Support'!$B2081)*$G2081</f>
        <v>0</v>
      </c>
      <c r="V2081" s="199">
        <f ca="1">U2081*'Expenditure Study'!$B$31</f>
        <v>0</v>
      </c>
      <c r="W2081" s="199">
        <f ca="1">IF(A2081=10298,1.51,1)*IF($B2081&lt;3,$D2081*'Expenditure Study'!$B$32*OFFSET('Expenditure Study'!$B$7,'Operations Support'!$C2081,'Operations Support'!$B2081),0)</f>
        <v>0</v>
      </c>
      <c r="X2081" s="200">
        <f ca="1">W2081*'Expenditure Study'!$B$31</f>
        <v>0</v>
      </c>
      <c r="Y2081" s="199">
        <f ca="1">U2081*'Expenditure Study'!$B$31</f>
        <v>0</v>
      </c>
      <c r="Z2081" s="200">
        <f ca="1">W2081*'Expenditure Study'!$B$31</f>
        <v>0</v>
      </c>
      <c r="AA2081" s="195">
        <f t="shared" ca="1" si="456"/>
        <v>0</v>
      </c>
      <c r="AB2081" s="195">
        <f t="shared" ca="1" si="457"/>
        <v>0</v>
      </c>
      <c r="AD2081" s="196">
        <f>IFERROR($G2081/SUMIF($A:$A,$A2081,$G:$G)*SUMIF(Summary!$A$166:$A$242,$A2081,Summary!$P$166:$P$242),0)</f>
        <v>0</v>
      </c>
      <c r="AE2081" s="197">
        <f t="shared" ca="1" si="458"/>
        <v>0</v>
      </c>
      <c r="AF2081" s="196">
        <f>IFERROR(G2081/SUMIF(A:A,A2081,G:G)*SUMIF(Summary!$A$166:$A$242,'Operations Support'!A2081,Summary!$Q$166:$Q$242),0)</f>
        <v>0</v>
      </c>
      <c r="AG2081" s="196">
        <f t="shared" ca="1" si="459"/>
        <v>0</v>
      </c>
      <c r="AI2081" s="196">
        <f>IFERROR($G2081/SUMIF($A:$A,$A2081,$G:$G)*SUMIF(Summary!$A$247:$A$283,$A2081,Summary!$P$247:$P$283),0)</f>
        <v>0</v>
      </c>
      <c r="AJ2081" s="196">
        <f>IFERROR($G2081/SUMIF($A:$A,$A2081,$G:$G)*(SUMIF(Summary!$A$247:$A$283,$A2081,Summary!$L$247:$L$283)+SUMIF(Summary!$A$297:$A$333,$A2081,Summary!$L$297:$L$333))-AI2081,0)</f>
        <v>0</v>
      </c>
      <c r="AK2081" s="196">
        <f>IFERROR($G2081/SUMIF($A:$A,$A2081,$G:$G)*SUMIF(Summary!$A$247:$A$283,$A2081,Summary!$Q$247:$Q$283),0)</f>
        <v>0</v>
      </c>
      <c r="AL2081" s="196">
        <f>IFERROR($G2081/SUMIF($A:$A,$A2081,$G:$G)*(SUMIF(Summary!$A$247:$A$283,$A2081,Summary!$L$247:$L$283)+SUMIF(Summary!$A$297:$A$333,$A2081,Summary!$L$297:$L$333))-AK2081,0)</f>
        <v>0</v>
      </c>
      <c r="AM2081" s="198"/>
      <c r="AN2081" s="196">
        <f t="shared" ca="1" si="460"/>
        <v>0</v>
      </c>
      <c r="AO2081" s="196">
        <f t="shared" ca="1" si="461"/>
        <v>0</v>
      </c>
    </row>
    <row r="2082" spans="1:41">
      <c r="A2082" s="189">
        <v>3656</v>
      </c>
      <c r="B2082" s="190">
        <v>4</v>
      </c>
      <c r="C2082" s="191" t="s">
        <v>239</v>
      </c>
      <c r="D2082" s="192">
        <f t="shared" si="448"/>
        <v>273</v>
      </c>
      <c r="E2082" s="192">
        <f t="shared" si="449"/>
        <v>2970</v>
      </c>
      <c r="F2082" s="192">
        <f t="shared" si="450"/>
        <v>0</v>
      </c>
      <c r="G2082" s="193">
        <f t="shared" si="451"/>
        <v>3243</v>
      </c>
      <c r="H2082" s="194">
        <v>114</v>
      </c>
      <c r="I2082" s="194">
        <v>1037</v>
      </c>
      <c r="J2082" s="194">
        <v>0</v>
      </c>
      <c r="K2082" s="193">
        <f t="shared" si="452"/>
        <v>1151</v>
      </c>
      <c r="L2082" s="194">
        <v>120</v>
      </c>
      <c r="M2082" s="194">
        <v>762</v>
      </c>
      <c r="N2082" s="194">
        <v>0</v>
      </c>
      <c r="O2082" s="193">
        <f t="shared" si="453"/>
        <v>882</v>
      </c>
      <c r="P2082" s="194">
        <v>39</v>
      </c>
      <c r="Q2082" s="194">
        <v>1171</v>
      </c>
      <c r="R2082" s="194">
        <v>0</v>
      </c>
      <c r="S2082" s="193">
        <f t="shared" si="454"/>
        <v>1210</v>
      </c>
      <c r="T2082" s="193">
        <f t="shared" si="455"/>
        <v>180.16666666666666</v>
      </c>
      <c r="U2082" s="193">
        <f ca="1">OFFSET('Expenditure Study'!$B$7,'Operations Support'!$C2082,'Operations Support'!$B2082)*$G2082</f>
        <v>29738.31</v>
      </c>
      <c r="V2082" s="199">
        <f ca="1">U2082*'Expenditure Study'!$B$31</f>
        <v>1757033.9464164481</v>
      </c>
      <c r="W2082" s="199">
        <f ca="1">IF(A2082=10298,1.51,1)*IF($B2082&lt;3,$D2082*'Expenditure Study'!$B$32*OFFSET('Expenditure Study'!$B$7,'Operations Support'!$C2082,'Operations Support'!$B2082),0)</f>
        <v>0</v>
      </c>
      <c r="X2082" s="200">
        <f ca="1">W2082*'Expenditure Study'!$B$31</f>
        <v>0</v>
      </c>
      <c r="Y2082" s="199">
        <f ca="1">U2082*'Expenditure Study'!$B$31</f>
        <v>1757033.9464164481</v>
      </c>
      <c r="Z2082" s="200">
        <f ca="1">W2082*'Expenditure Study'!$B$31</f>
        <v>0</v>
      </c>
      <c r="AA2082" s="195">
        <f t="shared" ca="1" si="456"/>
        <v>1757033.9464164481</v>
      </c>
      <c r="AB2082" s="195">
        <f t="shared" ca="1" si="457"/>
        <v>1757033.9464164481</v>
      </c>
      <c r="AD2082" s="196">
        <f>IFERROR($G2082/SUMIF($A:$A,$A2082,$G:$G)*SUMIF(Summary!$A$166:$A$242,$A2082,Summary!$P$166:$P$242),0)</f>
        <v>145266.99907317522</v>
      </c>
      <c r="AE2082" s="197">
        <f t="shared" ca="1" si="458"/>
        <v>1611766.9473432729</v>
      </c>
      <c r="AF2082" s="196">
        <f>IFERROR(G2082/SUMIF(A:A,A2082,G:G)*SUMIF(Summary!$A$166:$A$242,'Operations Support'!A2082,Summary!$Q$166:$Q$242),0)</f>
        <v>145757.4932496908</v>
      </c>
      <c r="AG2082" s="196">
        <f t="shared" ca="1" si="459"/>
        <v>1611276.4531667572</v>
      </c>
      <c r="AI2082" s="196">
        <f>IFERROR($G2082/SUMIF($A:$A,$A2082,$G:$G)*SUMIF(Summary!$A$247:$A$283,$A2082,Summary!$P$247:$P$283),0)</f>
        <v>26493.075533394145</v>
      </c>
      <c r="AJ2082" s="196">
        <f>IFERROR($G2082/SUMIF($A:$A,$A2082,$G:$G)*(SUMIF(Summary!$A$247:$A$283,$A2082,Summary!$L$247:$L$283)+SUMIF(Summary!$A$297:$A$333,$A2082,Summary!$L$297:$L$333))-AI2082,0)</f>
        <v>48162.146875263337</v>
      </c>
      <c r="AK2082" s="196">
        <f>IFERROR($G2082/SUMIF($A:$A,$A2082,$G:$G)*SUMIF(Summary!$A$247:$A$283,$A2082,Summary!$Q$247:$Q$283),0)</f>
        <v>26582.529431044859</v>
      </c>
      <c r="AL2082" s="196">
        <f>IFERROR($G2082/SUMIF($A:$A,$A2082,$G:$G)*(SUMIF(Summary!$A$247:$A$283,$A2082,Summary!$L$247:$L$283)+SUMIF(Summary!$A$297:$A$333,$A2082,Summary!$L$297:$L$333))-AK2082,0)</f>
        <v>48072.692977612627</v>
      </c>
      <c r="AM2082" s="198"/>
      <c r="AN2082" s="196">
        <f t="shared" ca="1" si="460"/>
        <v>1659929.0942185363</v>
      </c>
      <c r="AO2082" s="196">
        <f t="shared" ca="1" si="461"/>
        <v>1659349.1461443698</v>
      </c>
    </row>
    <row r="2083" spans="1:41">
      <c r="A2083" s="189">
        <v>3656</v>
      </c>
      <c r="B2083" s="190">
        <v>4</v>
      </c>
      <c r="C2083" s="191" t="s">
        <v>240</v>
      </c>
      <c r="D2083" s="192">
        <f t="shared" si="448"/>
        <v>0</v>
      </c>
      <c r="E2083" s="192">
        <f t="shared" si="449"/>
        <v>0</v>
      </c>
      <c r="F2083" s="192">
        <f t="shared" si="450"/>
        <v>0</v>
      </c>
      <c r="G2083" s="193">
        <f t="shared" si="451"/>
        <v>0</v>
      </c>
      <c r="H2083" s="194">
        <v>0</v>
      </c>
      <c r="I2083" s="194">
        <v>0</v>
      </c>
      <c r="J2083" s="194">
        <v>0</v>
      </c>
      <c r="K2083" s="193">
        <f t="shared" si="452"/>
        <v>0</v>
      </c>
      <c r="L2083" s="194">
        <v>0</v>
      </c>
      <c r="M2083" s="194">
        <v>0</v>
      </c>
      <c r="N2083" s="194">
        <v>0</v>
      </c>
      <c r="O2083" s="193">
        <f t="shared" si="453"/>
        <v>0</v>
      </c>
      <c r="P2083" s="194">
        <v>0</v>
      </c>
      <c r="Q2083" s="194">
        <v>0</v>
      </c>
      <c r="R2083" s="194">
        <v>0</v>
      </c>
      <c r="S2083" s="193">
        <f t="shared" si="454"/>
        <v>0</v>
      </c>
      <c r="T2083" s="193">
        <f t="shared" si="455"/>
        <v>0</v>
      </c>
      <c r="U2083" s="193">
        <f ca="1">OFFSET('Expenditure Study'!$B$7,'Operations Support'!$C2083,'Operations Support'!$B2083)*$G2083</f>
        <v>0</v>
      </c>
      <c r="V2083" s="199">
        <f ca="1">U2083*'Expenditure Study'!$B$31</f>
        <v>0</v>
      </c>
      <c r="W2083" s="199">
        <f ca="1">IF(A2083=10298,1.51,1)*IF($B2083&lt;3,$D2083*'Expenditure Study'!$B$32*OFFSET('Expenditure Study'!$B$7,'Operations Support'!$C2083,'Operations Support'!$B2083),0)</f>
        <v>0</v>
      </c>
      <c r="X2083" s="200">
        <f ca="1">W2083*'Expenditure Study'!$B$31</f>
        <v>0</v>
      </c>
      <c r="Y2083" s="199">
        <f ca="1">U2083*'Expenditure Study'!$B$31</f>
        <v>0</v>
      </c>
      <c r="Z2083" s="200">
        <f ca="1">W2083*'Expenditure Study'!$B$31</f>
        <v>0</v>
      </c>
      <c r="AA2083" s="195">
        <f t="shared" ca="1" si="456"/>
        <v>0</v>
      </c>
      <c r="AB2083" s="195">
        <f t="shared" ca="1" si="457"/>
        <v>0</v>
      </c>
      <c r="AD2083" s="196">
        <f>IFERROR($G2083/SUMIF($A:$A,$A2083,$G:$G)*SUMIF(Summary!$A$166:$A$242,$A2083,Summary!$P$166:$P$242),0)</f>
        <v>0</v>
      </c>
      <c r="AE2083" s="197">
        <f t="shared" ca="1" si="458"/>
        <v>0</v>
      </c>
      <c r="AF2083" s="196">
        <f>IFERROR(G2083/SUMIF(A:A,A2083,G:G)*SUMIF(Summary!$A$166:$A$242,'Operations Support'!A2083,Summary!$Q$166:$Q$242),0)</f>
        <v>0</v>
      </c>
      <c r="AG2083" s="196">
        <f t="shared" ca="1" si="459"/>
        <v>0</v>
      </c>
      <c r="AI2083" s="196">
        <f>IFERROR($G2083/SUMIF($A:$A,$A2083,$G:$G)*SUMIF(Summary!$A$247:$A$283,$A2083,Summary!$P$247:$P$283),0)</f>
        <v>0</v>
      </c>
      <c r="AJ2083" s="196">
        <f>IFERROR($G2083/SUMIF($A:$A,$A2083,$G:$G)*(SUMIF(Summary!$A$247:$A$283,$A2083,Summary!$L$247:$L$283)+SUMIF(Summary!$A$297:$A$333,$A2083,Summary!$L$297:$L$333))-AI2083,0)</f>
        <v>0</v>
      </c>
      <c r="AK2083" s="196">
        <f>IFERROR($G2083/SUMIF($A:$A,$A2083,$G:$G)*SUMIF(Summary!$A$247:$A$283,$A2083,Summary!$Q$247:$Q$283),0)</f>
        <v>0</v>
      </c>
      <c r="AL2083" s="196">
        <f>IFERROR($G2083/SUMIF($A:$A,$A2083,$G:$G)*(SUMIF(Summary!$A$247:$A$283,$A2083,Summary!$L$247:$L$283)+SUMIF(Summary!$A$297:$A$333,$A2083,Summary!$L$297:$L$333))-AK2083,0)</f>
        <v>0</v>
      </c>
      <c r="AM2083" s="198"/>
      <c r="AN2083" s="196">
        <f t="shared" ca="1" si="460"/>
        <v>0</v>
      </c>
      <c r="AO2083" s="196">
        <f t="shared" ca="1" si="461"/>
        <v>0</v>
      </c>
    </row>
    <row r="2084" spans="1:41">
      <c r="A2084" s="189">
        <v>3656</v>
      </c>
      <c r="B2084" s="190">
        <v>5</v>
      </c>
      <c r="C2084" s="191" t="s">
        <v>220</v>
      </c>
      <c r="D2084" s="192">
        <f t="shared" si="448"/>
        <v>0</v>
      </c>
      <c r="E2084" s="192">
        <f t="shared" si="449"/>
        <v>0</v>
      </c>
      <c r="F2084" s="192">
        <f t="shared" si="450"/>
        <v>0</v>
      </c>
      <c r="G2084" s="193">
        <f t="shared" si="451"/>
        <v>0</v>
      </c>
      <c r="H2084" s="194">
        <v>0</v>
      </c>
      <c r="I2084" s="194">
        <v>0</v>
      </c>
      <c r="J2084" s="194">
        <v>0</v>
      </c>
      <c r="K2084" s="193">
        <f t="shared" si="452"/>
        <v>0</v>
      </c>
      <c r="L2084" s="194">
        <v>0</v>
      </c>
      <c r="M2084" s="194">
        <v>0</v>
      </c>
      <c r="N2084" s="194">
        <v>0</v>
      </c>
      <c r="O2084" s="193">
        <f t="shared" si="453"/>
        <v>0</v>
      </c>
      <c r="P2084" s="194">
        <v>0</v>
      </c>
      <c r="Q2084" s="194">
        <v>0</v>
      </c>
      <c r="R2084" s="194">
        <v>0</v>
      </c>
      <c r="S2084" s="193">
        <f t="shared" si="454"/>
        <v>0</v>
      </c>
      <c r="T2084" s="193">
        <f t="shared" si="455"/>
        <v>0</v>
      </c>
      <c r="U2084" s="193">
        <f ca="1">OFFSET('Expenditure Study'!$B$7,'Operations Support'!$C2084,'Operations Support'!$B2084)*$G2084</f>
        <v>0</v>
      </c>
      <c r="V2084" s="199">
        <f ca="1">U2084*'Expenditure Study'!$B$31</f>
        <v>0</v>
      </c>
      <c r="W2084" s="199">
        <f ca="1">IF(A2084=10298,1.51,1)*IF($B2084&lt;3,$D2084*'Expenditure Study'!$B$32*OFFSET('Expenditure Study'!$B$7,'Operations Support'!$C2084,'Operations Support'!$B2084),0)</f>
        <v>0</v>
      </c>
      <c r="X2084" s="200">
        <f ca="1">W2084*'Expenditure Study'!$B$31</f>
        <v>0</v>
      </c>
      <c r="Y2084" s="199">
        <f ca="1">U2084*'Expenditure Study'!$B$31</f>
        <v>0</v>
      </c>
      <c r="Z2084" s="200">
        <f ca="1">W2084*'Expenditure Study'!$B$31</f>
        <v>0</v>
      </c>
      <c r="AA2084" s="195">
        <f t="shared" ca="1" si="456"/>
        <v>0</v>
      </c>
      <c r="AB2084" s="195">
        <f t="shared" ca="1" si="457"/>
        <v>0</v>
      </c>
      <c r="AD2084" s="196">
        <f>IFERROR($G2084/SUMIF($A:$A,$A2084,$G:$G)*SUMIF(Summary!$A$166:$A$242,$A2084,Summary!$P$166:$P$242),0)</f>
        <v>0</v>
      </c>
      <c r="AE2084" s="197">
        <f t="shared" ca="1" si="458"/>
        <v>0</v>
      </c>
      <c r="AF2084" s="196">
        <f>IFERROR(G2084/SUMIF(A:A,A2084,G:G)*SUMIF(Summary!$A$166:$A$242,'Operations Support'!A2084,Summary!$Q$166:$Q$242),0)</f>
        <v>0</v>
      </c>
      <c r="AG2084" s="196">
        <f t="shared" ca="1" si="459"/>
        <v>0</v>
      </c>
      <c r="AI2084" s="196">
        <f>IFERROR($G2084/SUMIF($A:$A,$A2084,$G:$G)*SUMIF(Summary!$A$247:$A$283,$A2084,Summary!$P$247:$P$283),0)</f>
        <v>0</v>
      </c>
      <c r="AJ2084" s="196">
        <f>IFERROR($G2084/SUMIF($A:$A,$A2084,$G:$G)*(SUMIF(Summary!$A$247:$A$283,$A2084,Summary!$L$247:$L$283)+SUMIF(Summary!$A$297:$A$333,$A2084,Summary!$L$297:$L$333))-AI2084,0)</f>
        <v>0</v>
      </c>
      <c r="AK2084" s="196">
        <f>IFERROR($G2084/SUMIF($A:$A,$A2084,$G:$G)*SUMIF(Summary!$A$247:$A$283,$A2084,Summary!$Q$247:$Q$283),0)</f>
        <v>0</v>
      </c>
      <c r="AL2084" s="196">
        <f>IFERROR($G2084/SUMIF($A:$A,$A2084,$G:$G)*(SUMIF(Summary!$A$247:$A$283,$A2084,Summary!$L$247:$L$283)+SUMIF(Summary!$A$297:$A$333,$A2084,Summary!$L$297:$L$333))-AK2084,0)</f>
        <v>0</v>
      </c>
      <c r="AM2084" s="198"/>
      <c r="AN2084" s="196">
        <f t="shared" ca="1" si="460"/>
        <v>0</v>
      </c>
      <c r="AO2084" s="196">
        <f t="shared" ca="1" si="461"/>
        <v>0</v>
      </c>
    </row>
    <row r="2085" spans="1:41">
      <c r="A2085" s="189">
        <v>3656</v>
      </c>
      <c r="B2085" s="190">
        <v>5</v>
      </c>
      <c r="C2085" s="191" t="s">
        <v>221</v>
      </c>
      <c r="D2085" s="192">
        <f t="shared" si="448"/>
        <v>0</v>
      </c>
      <c r="E2085" s="192">
        <f t="shared" si="449"/>
        <v>0</v>
      </c>
      <c r="F2085" s="192">
        <f t="shared" si="450"/>
        <v>0</v>
      </c>
      <c r="G2085" s="193">
        <f t="shared" si="451"/>
        <v>0</v>
      </c>
      <c r="H2085" s="194">
        <v>0</v>
      </c>
      <c r="I2085" s="194">
        <v>0</v>
      </c>
      <c r="J2085" s="194">
        <v>0</v>
      </c>
      <c r="K2085" s="193">
        <f t="shared" si="452"/>
        <v>0</v>
      </c>
      <c r="L2085" s="194">
        <v>0</v>
      </c>
      <c r="M2085" s="194">
        <v>0</v>
      </c>
      <c r="N2085" s="194">
        <v>0</v>
      </c>
      <c r="O2085" s="193">
        <f t="shared" si="453"/>
        <v>0</v>
      </c>
      <c r="P2085" s="194">
        <v>0</v>
      </c>
      <c r="Q2085" s="194">
        <v>0</v>
      </c>
      <c r="R2085" s="194">
        <v>0</v>
      </c>
      <c r="S2085" s="193">
        <f t="shared" si="454"/>
        <v>0</v>
      </c>
      <c r="T2085" s="193">
        <f t="shared" si="455"/>
        <v>0</v>
      </c>
      <c r="U2085" s="193">
        <f ca="1">OFFSET('Expenditure Study'!$B$7,'Operations Support'!$C2085,'Operations Support'!$B2085)*$G2085</f>
        <v>0</v>
      </c>
      <c r="V2085" s="199">
        <f ca="1">U2085*'Expenditure Study'!$B$31</f>
        <v>0</v>
      </c>
      <c r="W2085" s="199">
        <f ca="1">IF(A2085=10298,1.51,1)*IF($B2085&lt;3,$D2085*'Expenditure Study'!$B$32*OFFSET('Expenditure Study'!$B$7,'Operations Support'!$C2085,'Operations Support'!$B2085),0)</f>
        <v>0</v>
      </c>
      <c r="X2085" s="200">
        <f ca="1">W2085*'Expenditure Study'!$B$31</f>
        <v>0</v>
      </c>
      <c r="Y2085" s="199">
        <f ca="1">U2085*'Expenditure Study'!$B$31</f>
        <v>0</v>
      </c>
      <c r="Z2085" s="200">
        <f ca="1">W2085*'Expenditure Study'!$B$31</f>
        <v>0</v>
      </c>
      <c r="AA2085" s="195">
        <f t="shared" ca="1" si="456"/>
        <v>0</v>
      </c>
      <c r="AB2085" s="195">
        <f t="shared" ca="1" si="457"/>
        <v>0</v>
      </c>
      <c r="AD2085" s="196">
        <f>IFERROR($G2085/SUMIF($A:$A,$A2085,$G:$G)*SUMIF(Summary!$A$166:$A$242,$A2085,Summary!$P$166:$P$242),0)</f>
        <v>0</v>
      </c>
      <c r="AE2085" s="197">
        <f t="shared" ca="1" si="458"/>
        <v>0</v>
      </c>
      <c r="AF2085" s="196">
        <f>IFERROR(G2085/SUMIF(A:A,A2085,G:G)*SUMIF(Summary!$A$166:$A$242,'Operations Support'!A2085,Summary!$Q$166:$Q$242),0)</f>
        <v>0</v>
      </c>
      <c r="AG2085" s="196">
        <f t="shared" ca="1" si="459"/>
        <v>0</v>
      </c>
      <c r="AI2085" s="196">
        <f>IFERROR($G2085/SUMIF($A:$A,$A2085,$G:$G)*SUMIF(Summary!$A$247:$A$283,$A2085,Summary!$P$247:$P$283),0)</f>
        <v>0</v>
      </c>
      <c r="AJ2085" s="196">
        <f>IFERROR($G2085/SUMIF($A:$A,$A2085,$G:$G)*(SUMIF(Summary!$A$247:$A$283,$A2085,Summary!$L$247:$L$283)+SUMIF(Summary!$A$297:$A$333,$A2085,Summary!$L$297:$L$333))-AI2085,0)</f>
        <v>0</v>
      </c>
      <c r="AK2085" s="196">
        <f>IFERROR($G2085/SUMIF($A:$A,$A2085,$G:$G)*SUMIF(Summary!$A$247:$A$283,$A2085,Summary!$Q$247:$Q$283),0)</f>
        <v>0</v>
      </c>
      <c r="AL2085" s="196">
        <f>IFERROR($G2085/SUMIF($A:$A,$A2085,$G:$G)*(SUMIF(Summary!$A$247:$A$283,$A2085,Summary!$L$247:$L$283)+SUMIF(Summary!$A$297:$A$333,$A2085,Summary!$L$297:$L$333))-AK2085,0)</f>
        <v>0</v>
      </c>
      <c r="AM2085" s="198"/>
      <c r="AN2085" s="196">
        <f t="shared" ca="1" si="460"/>
        <v>0</v>
      </c>
      <c r="AO2085" s="196">
        <f t="shared" ca="1" si="461"/>
        <v>0</v>
      </c>
    </row>
    <row r="2086" spans="1:41">
      <c r="A2086" s="189">
        <v>3656</v>
      </c>
      <c r="B2086" s="190">
        <v>5</v>
      </c>
      <c r="C2086" s="191" t="s">
        <v>222</v>
      </c>
      <c r="D2086" s="192">
        <f t="shared" si="448"/>
        <v>0</v>
      </c>
      <c r="E2086" s="192">
        <f t="shared" si="449"/>
        <v>0</v>
      </c>
      <c r="F2086" s="192">
        <f t="shared" si="450"/>
        <v>0</v>
      </c>
      <c r="G2086" s="193">
        <f t="shared" si="451"/>
        <v>0</v>
      </c>
      <c r="H2086" s="194">
        <v>0</v>
      </c>
      <c r="I2086" s="194">
        <v>0</v>
      </c>
      <c r="J2086" s="194">
        <v>0</v>
      </c>
      <c r="K2086" s="193">
        <f t="shared" si="452"/>
        <v>0</v>
      </c>
      <c r="L2086" s="194">
        <v>0</v>
      </c>
      <c r="M2086" s="194">
        <v>0</v>
      </c>
      <c r="N2086" s="194">
        <v>0</v>
      </c>
      <c r="O2086" s="193">
        <f t="shared" si="453"/>
        <v>0</v>
      </c>
      <c r="P2086" s="194">
        <v>0</v>
      </c>
      <c r="Q2086" s="194">
        <v>0</v>
      </c>
      <c r="R2086" s="194">
        <v>0</v>
      </c>
      <c r="S2086" s="193">
        <f t="shared" si="454"/>
        <v>0</v>
      </c>
      <c r="T2086" s="193">
        <f t="shared" si="455"/>
        <v>0</v>
      </c>
      <c r="U2086" s="193">
        <f ca="1">OFFSET('Expenditure Study'!$B$7,'Operations Support'!$C2086,'Operations Support'!$B2086)*$G2086</f>
        <v>0</v>
      </c>
      <c r="V2086" s="199">
        <f ca="1">U2086*'Expenditure Study'!$B$31</f>
        <v>0</v>
      </c>
      <c r="W2086" s="199">
        <f ca="1">IF(A2086=10298,1.51,1)*IF($B2086&lt;3,$D2086*'Expenditure Study'!$B$32*OFFSET('Expenditure Study'!$B$7,'Operations Support'!$C2086,'Operations Support'!$B2086),0)</f>
        <v>0</v>
      </c>
      <c r="X2086" s="200">
        <f ca="1">W2086*'Expenditure Study'!$B$31</f>
        <v>0</v>
      </c>
      <c r="Y2086" s="199">
        <f ca="1">U2086*'Expenditure Study'!$B$31</f>
        <v>0</v>
      </c>
      <c r="Z2086" s="200">
        <f ca="1">W2086*'Expenditure Study'!$B$31</f>
        <v>0</v>
      </c>
      <c r="AA2086" s="195">
        <f t="shared" ca="1" si="456"/>
        <v>0</v>
      </c>
      <c r="AB2086" s="195">
        <f t="shared" ca="1" si="457"/>
        <v>0</v>
      </c>
      <c r="AD2086" s="196">
        <f>IFERROR($G2086/SUMIF($A:$A,$A2086,$G:$G)*SUMIF(Summary!$A$166:$A$242,$A2086,Summary!$P$166:$P$242),0)</f>
        <v>0</v>
      </c>
      <c r="AE2086" s="197">
        <f t="shared" ca="1" si="458"/>
        <v>0</v>
      </c>
      <c r="AF2086" s="196">
        <f>IFERROR(G2086/SUMIF(A:A,A2086,G:G)*SUMIF(Summary!$A$166:$A$242,'Operations Support'!A2086,Summary!$Q$166:$Q$242),0)</f>
        <v>0</v>
      </c>
      <c r="AG2086" s="196">
        <f t="shared" ca="1" si="459"/>
        <v>0</v>
      </c>
      <c r="AI2086" s="196">
        <f>IFERROR($G2086/SUMIF($A:$A,$A2086,$G:$G)*SUMIF(Summary!$A$247:$A$283,$A2086,Summary!$P$247:$P$283),0)</f>
        <v>0</v>
      </c>
      <c r="AJ2086" s="196">
        <f>IFERROR($G2086/SUMIF($A:$A,$A2086,$G:$G)*(SUMIF(Summary!$A$247:$A$283,$A2086,Summary!$L$247:$L$283)+SUMIF(Summary!$A$297:$A$333,$A2086,Summary!$L$297:$L$333))-AI2086,0)</f>
        <v>0</v>
      </c>
      <c r="AK2086" s="196">
        <f>IFERROR($G2086/SUMIF($A:$A,$A2086,$G:$G)*SUMIF(Summary!$A$247:$A$283,$A2086,Summary!$Q$247:$Q$283),0)</f>
        <v>0</v>
      </c>
      <c r="AL2086" s="196">
        <f>IFERROR($G2086/SUMIF($A:$A,$A2086,$G:$G)*(SUMIF(Summary!$A$247:$A$283,$A2086,Summary!$L$247:$L$283)+SUMIF(Summary!$A$297:$A$333,$A2086,Summary!$L$297:$L$333))-AK2086,0)</f>
        <v>0</v>
      </c>
      <c r="AM2086" s="198"/>
      <c r="AN2086" s="196">
        <f t="shared" ca="1" si="460"/>
        <v>0</v>
      </c>
      <c r="AO2086" s="196">
        <f t="shared" ca="1" si="461"/>
        <v>0</v>
      </c>
    </row>
    <row r="2087" spans="1:41">
      <c r="A2087" s="189">
        <v>3656</v>
      </c>
      <c r="B2087" s="190">
        <v>5</v>
      </c>
      <c r="C2087" s="191" t="s">
        <v>223</v>
      </c>
      <c r="D2087" s="192">
        <f t="shared" si="448"/>
        <v>0</v>
      </c>
      <c r="E2087" s="192">
        <f t="shared" si="449"/>
        <v>0</v>
      </c>
      <c r="F2087" s="192">
        <f t="shared" si="450"/>
        <v>0</v>
      </c>
      <c r="G2087" s="193">
        <f t="shared" si="451"/>
        <v>0</v>
      </c>
      <c r="H2087" s="194">
        <v>0</v>
      </c>
      <c r="I2087" s="194">
        <v>0</v>
      </c>
      <c r="J2087" s="194">
        <v>0</v>
      </c>
      <c r="K2087" s="193">
        <f t="shared" si="452"/>
        <v>0</v>
      </c>
      <c r="L2087" s="194">
        <v>0</v>
      </c>
      <c r="M2087" s="194">
        <v>0</v>
      </c>
      <c r="N2087" s="194">
        <v>0</v>
      </c>
      <c r="O2087" s="193">
        <f t="shared" si="453"/>
        <v>0</v>
      </c>
      <c r="P2087" s="194">
        <v>0</v>
      </c>
      <c r="Q2087" s="194">
        <v>0</v>
      </c>
      <c r="R2087" s="194">
        <v>0</v>
      </c>
      <c r="S2087" s="193">
        <f t="shared" si="454"/>
        <v>0</v>
      </c>
      <c r="T2087" s="193">
        <f t="shared" si="455"/>
        <v>0</v>
      </c>
      <c r="U2087" s="193">
        <f ca="1">OFFSET('Expenditure Study'!$B$7,'Operations Support'!$C2087,'Operations Support'!$B2087)*$G2087</f>
        <v>0</v>
      </c>
      <c r="V2087" s="199">
        <f ca="1">U2087*'Expenditure Study'!$B$31</f>
        <v>0</v>
      </c>
      <c r="W2087" s="199">
        <f ca="1">IF(A2087=10298,1.51,1)*IF($B2087&lt;3,$D2087*'Expenditure Study'!$B$32*OFFSET('Expenditure Study'!$B$7,'Operations Support'!$C2087,'Operations Support'!$B2087),0)</f>
        <v>0</v>
      </c>
      <c r="X2087" s="200">
        <f ca="1">W2087*'Expenditure Study'!$B$31</f>
        <v>0</v>
      </c>
      <c r="Y2087" s="199">
        <f ca="1">U2087*'Expenditure Study'!$B$31</f>
        <v>0</v>
      </c>
      <c r="Z2087" s="200">
        <f ca="1">W2087*'Expenditure Study'!$B$31</f>
        <v>0</v>
      </c>
      <c r="AA2087" s="195">
        <f t="shared" ca="1" si="456"/>
        <v>0</v>
      </c>
      <c r="AB2087" s="195">
        <f t="shared" ca="1" si="457"/>
        <v>0</v>
      </c>
      <c r="AD2087" s="196">
        <f>IFERROR($G2087/SUMIF($A:$A,$A2087,$G:$G)*SUMIF(Summary!$A$166:$A$242,$A2087,Summary!$P$166:$P$242),0)</f>
        <v>0</v>
      </c>
      <c r="AE2087" s="197">
        <f t="shared" ca="1" si="458"/>
        <v>0</v>
      </c>
      <c r="AF2087" s="196">
        <f>IFERROR(G2087/SUMIF(A:A,A2087,G:G)*SUMIF(Summary!$A$166:$A$242,'Operations Support'!A2087,Summary!$Q$166:$Q$242),0)</f>
        <v>0</v>
      </c>
      <c r="AG2087" s="196">
        <f t="shared" ca="1" si="459"/>
        <v>0</v>
      </c>
      <c r="AI2087" s="196">
        <f>IFERROR($G2087/SUMIF($A:$A,$A2087,$G:$G)*SUMIF(Summary!$A$247:$A$283,$A2087,Summary!$P$247:$P$283),0)</f>
        <v>0</v>
      </c>
      <c r="AJ2087" s="196">
        <f>IFERROR($G2087/SUMIF($A:$A,$A2087,$G:$G)*(SUMIF(Summary!$A$247:$A$283,$A2087,Summary!$L$247:$L$283)+SUMIF(Summary!$A$297:$A$333,$A2087,Summary!$L$297:$L$333))-AI2087,0)</f>
        <v>0</v>
      </c>
      <c r="AK2087" s="196">
        <f>IFERROR($G2087/SUMIF($A:$A,$A2087,$G:$G)*SUMIF(Summary!$A$247:$A$283,$A2087,Summary!$Q$247:$Q$283),0)</f>
        <v>0</v>
      </c>
      <c r="AL2087" s="196">
        <f>IFERROR($G2087/SUMIF($A:$A,$A2087,$G:$G)*(SUMIF(Summary!$A$247:$A$283,$A2087,Summary!$L$247:$L$283)+SUMIF(Summary!$A$297:$A$333,$A2087,Summary!$L$297:$L$333))-AK2087,0)</f>
        <v>0</v>
      </c>
      <c r="AM2087" s="198"/>
      <c r="AN2087" s="196">
        <f t="shared" ca="1" si="460"/>
        <v>0</v>
      </c>
      <c r="AO2087" s="196">
        <f t="shared" ca="1" si="461"/>
        <v>0</v>
      </c>
    </row>
    <row r="2088" spans="1:41">
      <c r="A2088" s="189">
        <v>3656</v>
      </c>
      <c r="B2088" s="190">
        <v>5</v>
      </c>
      <c r="C2088" s="191" t="s">
        <v>224</v>
      </c>
      <c r="D2088" s="192">
        <f t="shared" si="448"/>
        <v>0</v>
      </c>
      <c r="E2088" s="192">
        <f t="shared" si="449"/>
        <v>0</v>
      </c>
      <c r="F2088" s="192">
        <f t="shared" si="450"/>
        <v>0</v>
      </c>
      <c r="G2088" s="193">
        <f t="shared" si="451"/>
        <v>0</v>
      </c>
      <c r="H2088" s="194">
        <v>0</v>
      </c>
      <c r="I2088" s="194">
        <v>0</v>
      </c>
      <c r="J2088" s="194">
        <v>0</v>
      </c>
      <c r="K2088" s="193">
        <f t="shared" si="452"/>
        <v>0</v>
      </c>
      <c r="L2088" s="194">
        <v>0</v>
      </c>
      <c r="M2088" s="194">
        <v>0</v>
      </c>
      <c r="N2088" s="194">
        <v>0</v>
      </c>
      <c r="O2088" s="193">
        <f t="shared" si="453"/>
        <v>0</v>
      </c>
      <c r="P2088" s="194">
        <v>0</v>
      </c>
      <c r="Q2088" s="194">
        <v>0</v>
      </c>
      <c r="R2088" s="194">
        <v>0</v>
      </c>
      <c r="S2088" s="193">
        <f t="shared" si="454"/>
        <v>0</v>
      </c>
      <c r="T2088" s="193">
        <f t="shared" si="455"/>
        <v>0</v>
      </c>
      <c r="U2088" s="193">
        <f ca="1">OFFSET('Expenditure Study'!$B$7,'Operations Support'!$C2088,'Operations Support'!$B2088)*$G2088</f>
        <v>0</v>
      </c>
      <c r="V2088" s="199">
        <f ca="1">U2088*'Expenditure Study'!$B$31</f>
        <v>0</v>
      </c>
      <c r="W2088" s="199">
        <f ca="1">IF(A2088=10298,1.51,1)*IF($B2088&lt;3,$D2088*'Expenditure Study'!$B$32*OFFSET('Expenditure Study'!$B$7,'Operations Support'!$C2088,'Operations Support'!$B2088),0)</f>
        <v>0</v>
      </c>
      <c r="X2088" s="200">
        <f ca="1">W2088*'Expenditure Study'!$B$31</f>
        <v>0</v>
      </c>
      <c r="Y2088" s="199">
        <f ca="1">U2088*'Expenditure Study'!$B$31</f>
        <v>0</v>
      </c>
      <c r="Z2088" s="200">
        <f ca="1">W2088*'Expenditure Study'!$B$31</f>
        <v>0</v>
      </c>
      <c r="AA2088" s="195">
        <f t="shared" ca="1" si="456"/>
        <v>0</v>
      </c>
      <c r="AB2088" s="195">
        <f t="shared" ca="1" si="457"/>
        <v>0</v>
      </c>
      <c r="AD2088" s="196">
        <f>IFERROR($G2088/SUMIF($A:$A,$A2088,$G:$G)*SUMIF(Summary!$A$166:$A$242,$A2088,Summary!$P$166:$P$242),0)</f>
        <v>0</v>
      </c>
      <c r="AE2088" s="197">
        <f t="shared" ca="1" si="458"/>
        <v>0</v>
      </c>
      <c r="AF2088" s="196">
        <f>IFERROR(G2088/SUMIF(A:A,A2088,G:G)*SUMIF(Summary!$A$166:$A$242,'Operations Support'!A2088,Summary!$Q$166:$Q$242),0)</f>
        <v>0</v>
      </c>
      <c r="AG2088" s="196">
        <f t="shared" ca="1" si="459"/>
        <v>0</v>
      </c>
      <c r="AI2088" s="196">
        <f>IFERROR($G2088/SUMIF($A:$A,$A2088,$G:$G)*SUMIF(Summary!$A$247:$A$283,$A2088,Summary!$P$247:$P$283),0)</f>
        <v>0</v>
      </c>
      <c r="AJ2088" s="196">
        <f>IFERROR($G2088/SUMIF($A:$A,$A2088,$G:$G)*(SUMIF(Summary!$A$247:$A$283,$A2088,Summary!$L$247:$L$283)+SUMIF(Summary!$A$297:$A$333,$A2088,Summary!$L$297:$L$333))-AI2088,0)</f>
        <v>0</v>
      </c>
      <c r="AK2088" s="196">
        <f>IFERROR($G2088/SUMIF($A:$A,$A2088,$G:$G)*SUMIF(Summary!$A$247:$A$283,$A2088,Summary!$Q$247:$Q$283),0)</f>
        <v>0</v>
      </c>
      <c r="AL2088" s="196">
        <f>IFERROR($G2088/SUMIF($A:$A,$A2088,$G:$G)*(SUMIF(Summary!$A$247:$A$283,$A2088,Summary!$L$247:$L$283)+SUMIF(Summary!$A$297:$A$333,$A2088,Summary!$L$297:$L$333))-AK2088,0)</f>
        <v>0</v>
      </c>
      <c r="AM2088" s="198"/>
      <c r="AN2088" s="196">
        <f t="shared" ca="1" si="460"/>
        <v>0</v>
      </c>
      <c r="AO2088" s="196">
        <f t="shared" ca="1" si="461"/>
        <v>0</v>
      </c>
    </row>
    <row r="2089" spans="1:41">
      <c r="A2089" s="189">
        <v>3656</v>
      </c>
      <c r="B2089" s="190">
        <v>5</v>
      </c>
      <c r="C2089" s="191" t="s">
        <v>225</v>
      </c>
      <c r="D2089" s="192">
        <f t="shared" si="448"/>
        <v>0</v>
      </c>
      <c r="E2089" s="192">
        <f t="shared" si="449"/>
        <v>0</v>
      </c>
      <c r="F2089" s="192">
        <f t="shared" si="450"/>
        <v>0</v>
      </c>
      <c r="G2089" s="193">
        <f t="shared" si="451"/>
        <v>0</v>
      </c>
      <c r="H2089" s="194">
        <v>0</v>
      </c>
      <c r="I2089" s="194">
        <v>0</v>
      </c>
      <c r="J2089" s="194">
        <v>0</v>
      </c>
      <c r="K2089" s="193">
        <f t="shared" si="452"/>
        <v>0</v>
      </c>
      <c r="L2089" s="194">
        <v>0</v>
      </c>
      <c r="M2089" s="194">
        <v>0</v>
      </c>
      <c r="N2089" s="194">
        <v>0</v>
      </c>
      <c r="O2089" s="193">
        <f t="shared" si="453"/>
        <v>0</v>
      </c>
      <c r="P2089" s="194">
        <v>0</v>
      </c>
      <c r="Q2089" s="194">
        <v>0</v>
      </c>
      <c r="R2089" s="194">
        <v>0</v>
      </c>
      <c r="S2089" s="193">
        <f t="shared" si="454"/>
        <v>0</v>
      </c>
      <c r="T2089" s="193">
        <f t="shared" si="455"/>
        <v>0</v>
      </c>
      <c r="U2089" s="193">
        <f ca="1">OFFSET('Expenditure Study'!$B$7,'Operations Support'!$C2089,'Operations Support'!$B2089)*$G2089</f>
        <v>0</v>
      </c>
      <c r="V2089" s="199">
        <f ca="1">U2089*'Expenditure Study'!$B$31</f>
        <v>0</v>
      </c>
      <c r="W2089" s="199">
        <f ca="1">IF(A2089=10298,1.51,1)*IF($B2089&lt;3,$D2089*'Expenditure Study'!$B$32*OFFSET('Expenditure Study'!$B$7,'Operations Support'!$C2089,'Operations Support'!$B2089),0)</f>
        <v>0</v>
      </c>
      <c r="X2089" s="200">
        <f ca="1">W2089*'Expenditure Study'!$B$31</f>
        <v>0</v>
      </c>
      <c r="Y2089" s="199">
        <f ca="1">U2089*'Expenditure Study'!$B$31</f>
        <v>0</v>
      </c>
      <c r="Z2089" s="200">
        <f ca="1">W2089*'Expenditure Study'!$B$31</f>
        <v>0</v>
      </c>
      <c r="AA2089" s="195">
        <f t="shared" ca="1" si="456"/>
        <v>0</v>
      </c>
      <c r="AB2089" s="195">
        <f t="shared" ca="1" si="457"/>
        <v>0</v>
      </c>
      <c r="AD2089" s="196">
        <f>IFERROR($G2089/SUMIF($A:$A,$A2089,$G:$G)*SUMIF(Summary!$A$166:$A$242,$A2089,Summary!$P$166:$P$242),0)</f>
        <v>0</v>
      </c>
      <c r="AE2089" s="197">
        <f t="shared" ca="1" si="458"/>
        <v>0</v>
      </c>
      <c r="AF2089" s="196">
        <f>IFERROR(G2089/SUMIF(A:A,A2089,G:G)*SUMIF(Summary!$A$166:$A$242,'Operations Support'!A2089,Summary!$Q$166:$Q$242),0)</f>
        <v>0</v>
      </c>
      <c r="AG2089" s="196">
        <f t="shared" ca="1" si="459"/>
        <v>0</v>
      </c>
      <c r="AI2089" s="196">
        <f>IFERROR($G2089/SUMIF($A:$A,$A2089,$G:$G)*SUMIF(Summary!$A$247:$A$283,$A2089,Summary!$P$247:$P$283),0)</f>
        <v>0</v>
      </c>
      <c r="AJ2089" s="196">
        <f>IFERROR($G2089/SUMIF($A:$A,$A2089,$G:$G)*(SUMIF(Summary!$A$247:$A$283,$A2089,Summary!$L$247:$L$283)+SUMIF(Summary!$A$297:$A$333,$A2089,Summary!$L$297:$L$333))-AI2089,0)</f>
        <v>0</v>
      </c>
      <c r="AK2089" s="196">
        <f>IFERROR($G2089/SUMIF($A:$A,$A2089,$G:$G)*SUMIF(Summary!$A$247:$A$283,$A2089,Summary!$Q$247:$Q$283),0)</f>
        <v>0</v>
      </c>
      <c r="AL2089" s="196">
        <f>IFERROR($G2089/SUMIF($A:$A,$A2089,$G:$G)*(SUMIF(Summary!$A$247:$A$283,$A2089,Summary!$L$247:$L$283)+SUMIF(Summary!$A$297:$A$333,$A2089,Summary!$L$297:$L$333))-AK2089,0)</f>
        <v>0</v>
      </c>
      <c r="AM2089" s="198"/>
      <c r="AN2089" s="196">
        <f t="shared" ca="1" si="460"/>
        <v>0</v>
      </c>
      <c r="AO2089" s="196">
        <f t="shared" ca="1" si="461"/>
        <v>0</v>
      </c>
    </row>
    <row r="2090" spans="1:41" s="201" customFormat="1">
      <c r="A2090" s="189">
        <v>3656</v>
      </c>
      <c r="B2090" s="190">
        <v>5</v>
      </c>
      <c r="C2090" s="191" t="s">
        <v>226</v>
      </c>
      <c r="D2090" s="192">
        <f t="shared" si="448"/>
        <v>0</v>
      </c>
      <c r="E2090" s="192">
        <f t="shared" si="449"/>
        <v>0</v>
      </c>
      <c r="F2090" s="192">
        <f t="shared" si="450"/>
        <v>0</v>
      </c>
      <c r="G2090" s="193">
        <f t="shared" si="451"/>
        <v>0</v>
      </c>
      <c r="H2090" s="194">
        <v>0</v>
      </c>
      <c r="I2090" s="194">
        <v>0</v>
      </c>
      <c r="J2090" s="194">
        <v>0</v>
      </c>
      <c r="K2090" s="193">
        <f t="shared" si="452"/>
        <v>0</v>
      </c>
      <c r="L2090" s="194">
        <v>0</v>
      </c>
      <c r="M2090" s="194">
        <v>0</v>
      </c>
      <c r="N2090" s="194">
        <v>0</v>
      </c>
      <c r="O2090" s="193">
        <f t="shared" si="453"/>
        <v>0</v>
      </c>
      <c r="P2090" s="194">
        <v>0</v>
      </c>
      <c r="Q2090" s="194">
        <v>0</v>
      </c>
      <c r="R2090" s="194">
        <v>0</v>
      </c>
      <c r="S2090" s="193">
        <f t="shared" si="454"/>
        <v>0</v>
      </c>
      <c r="T2090" s="193">
        <f t="shared" si="455"/>
        <v>0</v>
      </c>
      <c r="U2090" s="193">
        <f ca="1">OFFSET('Expenditure Study'!$B$7,'Operations Support'!$C2090,'Operations Support'!$B2090)*$G2090</f>
        <v>0</v>
      </c>
      <c r="V2090" s="199">
        <f ca="1">U2090*'Expenditure Study'!$B$31</f>
        <v>0</v>
      </c>
      <c r="W2090" s="199">
        <f ca="1">IF(A2090=10298,1.51,1)*IF($B2090&lt;3,$D2090*'Expenditure Study'!$B$32*OFFSET('Expenditure Study'!$B$7,'Operations Support'!$C2090,'Operations Support'!$B2090),0)</f>
        <v>0</v>
      </c>
      <c r="X2090" s="200">
        <f ca="1">W2090*'Expenditure Study'!$B$31</f>
        <v>0</v>
      </c>
      <c r="Y2090" s="199">
        <f ca="1">U2090*'Expenditure Study'!$B$31</f>
        <v>0</v>
      </c>
      <c r="Z2090" s="200">
        <f ca="1">W2090*'Expenditure Study'!$B$31</f>
        <v>0</v>
      </c>
      <c r="AA2090" s="195">
        <f t="shared" ca="1" si="456"/>
        <v>0</v>
      </c>
      <c r="AB2090" s="195">
        <f t="shared" ca="1" si="457"/>
        <v>0</v>
      </c>
      <c r="AD2090" s="196">
        <f>IFERROR($G2090/SUMIF($A:$A,$A2090,$G:$G)*SUMIF(Summary!$A$166:$A$242,$A2090,Summary!$P$166:$P$242),0)</f>
        <v>0</v>
      </c>
      <c r="AE2090" s="197">
        <f t="shared" ca="1" si="458"/>
        <v>0</v>
      </c>
      <c r="AF2090" s="196">
        <f>IFERROR(G2090/SUMIF(A:A,A2090,G:G)*SUMIF(Summary!$A$166:$A$242,'Operations Support'!A2090,Summary!$Q$166:$Q$242),0)</f>
        <v>0</v>
      </c>
      <c r="AG2090" s="196">
        <f t="shared" ca="1" si="459"/>
        <v>0</v>
      </c>
      <c r="AH2090" s="180"/>
      <c r="AI2090" s="196">
        <f>IFERROR($G2090/SUMIF($A:$A,$A2090,$G:$G)*SUMIF(Summary!$A$247:$A$283,$A2090,Summary!$P$247:$P$283),0)</f>
        <v>0</v>
      </c>
      <c r="AJ2090" s="196">
        <f>IFERROR($G2090/SUMIF($A:$A,$A2090,$G:$G)*(SUMIF(Summary!$A$247:$A$283,$A2090,Summary!$L$247:$L$283)+SUMIF(Summary!$A$297:$A$333,$A2090,Summary!$L$297:$L$333))-AI2090,0)</f>
        <v>0</v>
      </c>
      <c r="AK2090" s="196">
        <f>IFERROR($G2090/SUMIF($A:$A,$A2090,$G:$G)*SUMIF(Summary!$A$247:$A$283,$A2090,Summary!$Q$247:$Q$283),0)</f>
        <v>0</v>
      </c>
      <c r="AL2090" s="196">
        <f>IFERROR($G2090/SUMIF($A:$A,$A2090,$G:$G)*(SUMIF(Summary!$A$247:$A$283,$A2090,Summary!$L$247:$L$283)+SUMIF(Summary!$A$297:$A$333,$A2090,Summary!$L$297:$L$333))-AK2090,0)</f>
        <v>0</v>
      </c>
      <c r="AM2090" s="198"/>
      <c r="AN2090" s="196">
        <f t="shared" ca="1" si="460"/>
        <v>0</v>
      </c>
      <c r="AO2090" s="196">
        <f t="shared" ca="1" si="461"/>
        <v>0</v>
      </c>
    </row>
    <row r="2091" spans="1:41">
      <c r="A2091" s="189">
        <v>3656</v>
      </c>
      <c r="B2091" s="190">
        <v>5</v>
      </c>
      <c r="C2091" s="191" t="s">
        <v>227</v>
      </c>
      <c r="D2091" s="192">
        <f t="shared" si="448"/>
        <v>0</v>
      </c>
      <c r="E2091" s="192">
        <f t="shared" si="449"/>
        <v>0</v>
      </c>
      <c r="F2091" s="192">
        <f t="shared" si="450"/>
        <v>0</v>
      </c>
      <c r="G2091" s="193">
        <f t="shared" si="451"/>
        <v>0</v>
      </c>
      <c r="H2091" s="194">
        <v>0</v>
      </c>
      <c r="I2091" s="194">
        <v>0</v>
      </c>
      <c r="J2091" s="194">
        <v>0</v>
      </c>
      <c r="K2091" s="193">
        <f t="shared" si="452"/>
        <v>0</v>
      </c>
      <c r="L2091" s="194">
        <v>0</v>
      </c>
      <c r="M2091" s="194">
        <v>0</v>
      </c>
      <c r="N2091" s="194">
        <v>0</v>
      </c>
      <c r="O2091" s="193">
        <f t="shared" si="453"/>
        <v>0</v>
      </c>
      <c r="P2091" s="194">
        <v>0</v>
      </c>
      <c r="Q2091" s="194">
        <v>0</v>
      </c>
      <c r="R2091" s="194">
        <v>0</v>
      </c>
      <c r="S2091" s="193">
        <f t="shared" si="454"/>
        <v>0</v>
      </c>
      <c r="T2091" s="193">
        <f t="shared" si="455"/>
        <v>0</v>
      </c>
      <c r="U2091" s="193">
        <f ca="1">OFFSET('Expenditure Study'!$B$7,'Operations Support'!$C2091,'Operations Support'!$B2091)*$G2091</f>
        <v>0</v>
      </c>
      <c r="V2091" s="199">
        <f ca="1">U2091*'Expenditure Study'!$B$31</f>
        <v>0</v>
      </c>
      <c r="W2091" s="199">
        <f ca="1">IF(A2091=10298,1.51,1)*IF($B2091&lt;3,$D2091*'Expenditure Study'!$B$32*OFFSET('Expenditure Study'!$B$7,'Operations Support'!$C2091,'Operations Support'!$B2091),0)</f>
        <v>0</v>
      </c>
      <c r="X2091" s="200">
        <f ca="1">W2091*'Expenditure Study'!$B$31</f>
        <v>0</v>
      </c>
      <c r="Y2091" s="199">
        <f ca="1">U2091*'Expenditure Study'!$B$31</f>
        <v>0</v>
      </c>
      <c r="Z2091" s="200">
        <f ca="1">W2091*'Expenditure Study'!$B$31</f>
        <v>0</v>
      </c>
      <c r="AA2091" s="195">
        <f t="shared" ca="1" si="456"/>
        <v>0</v>
      </c>
      <c r="AB2091" s="195">
        <f t="shared" ca="1" si="457"/>
        <v>0</v>
      </c>
      <c r="AD2091" s="196">
        <f>IFERROR($G2091/SUMIF($A:$A,$A2091,$G:$G)*SUMIF(Summary!$A$166:$A$242,$A2091,Summary!$P$166:$P$242),0)</f>
        <v>0</v>
      </c>
      <c r="AE2091" s="197">
        <f t="shared" ca="1" si="458"/>
        <v>0</v>
      </c>
      <c r="AF2091" s="196">
        <f>IFERROR(G2091/SUMIF(A:A,A2091,G:G)*SUMIF(Summary!$A$166:$A$242,'Operations Support'!A2091,Summary!$Q$166:$Q$242),0)</f>
        <v>0</v>
      </c>
      <c r="AG2091" s="196">
        <f t="shared" ca="1" si="459"/>
        <v>0</v>
      </c>
      <c r="AI2091" s="196">
        <f>IFERROR($G2091/SUMIF($A:$A,$A2091,$G:$G)*SUMIF(Summary!$A$247:$A$283,$A2091,Summary!$P$247:$P$283),0)</f>
        <v>0</v>
      </c>
      <c r="AJ2091" s="196">
        <f>IFERROR($G2091/SUMIF($A:$A,$A2091,$G:$G)*(SUMIF(Summary!$A$247:$A$283,$A2091,Summary!$L$247:$L$283)+SUMIF(Summary!$A$297:$A$333,$A2091,Summary!$L$297:$L$333))-AI2091,0)</f>
        <v>0</v>
      </c>
      <c r="AK2091" s="196">
        <f>IFERROR($G2091/SUMIF($A:$A,$A2091,$G:$G)*SUMIF(Summary!$A$247:$A$283,$A2091,Summary!$Q$247:$Q$283),0)</f>
        <v>0</v>
      </c>
      <c r="AL2091" s="196">
        <f>IFERROR($G2091/SUMIF($A:$A,$A2091,$G:$G)*(SUMIF(Summary!$A$247:$A$283,$A2091,Summary!$L$247:$L$283)+SUMIF(Summary!$A$297:$A$333,$A2091,Summary!$L$297:$L$333))-AK2091,0)</f>
        <v>0</v>
      </c>
      <c r="AM2091" s="198"/>
      <c r="AN2091" s="196">
        <f t="shared" ca="1" si="460"/>
        <v>0</v>
      </c>
      <c r="AO2091" s="196">
        <f t="shared" ca="1" si="461"/>
        <v>0</v>
      </c>
    </row>
    <row r="2092" spans="1:41">
      <c r="A2092" s="189">
        <v>3656</v>
      </c>
      <c r="B2092" s="190">
        <v>5</v>
      </c>
      <c r="C2092" s="191" t="s">
        <v>228</v>
      </c>
      <c r="D2092" s="192">
        <f t="shared" si="448"/>
        <v>0</v>
      </c>
      <c r="E2092" s="192">
        <f t="shared" si="449"/>
        <v>0</v>
      </c>
      <c r="F2092" s="192">
        <f t="shared" si="450"/>
        <v>0</v>
      </c>
      <c r="G2092" s="193">
        <f t="shared" si="451"/>
        <v>0</v>
      </c>
      <c r="H2092" s="194">
        <v>0</v>
      </c>
      <c r="I2092" s="194">
        <v>0</v>
      </c>
      <c r="J2092" s="194">
        <v>0</v>
      </c>
      <c r="K2092" s="193">
        <f t="shared" si="452"/>
        <v>0</v>
      </c>
      <c r="L2092" s="194">
        <v>0</v>
      </c>
      <c r="M2092" s="194">
        <v>0</v>
      </c>
      <c r="N2092" s="194">
        <v>0</v>
      </c>
      <c r="O2092" s="193">
        <f t="shared" si="453"/>
        <v>0</v>
      </c>
      <c r="P2092" s="194">
        <v>0</v>
      </c>
      <c r="Q2092" s="194">
        <v>0</v>
      </c>
      <c r="R2092" s="194">
        <v>0</v>
      </c>
      <c r="S2092" s="193">
        <f t="shared" si="454"/>
        <v>0</v>
      </c>
      <c r="T2092" s="193">
        <f t="shared" si="455"/>
        <v>0</v>
      </c>
      <c r="U2092" s="193">
        <f ca="1">OFFSET('Expenditure Study'!$B$7,'Operations Support'!$C2092,'Operations Support'!$B2092)*$G2092</f>
        <v>0</v>
      </c>
      <c r="V2092" s="199">
        <f ca="1">U2092*'Expenditure Study'!$B$31</f>
        <v>0</v>
      </c>
      <c r="W2092" s="199">
        <f ca="1">IF(A2092=10298,1.51,1)*IF($B2092&lt;3,$D2092*'Expenditure Study'!$B$32*OFFSET('Expenditure Study'!$B$7,'Operations Support'!$C2092,'Operations Support'!$B2092),0)</f>
        <v>0</v>
      </c>
      <c r="X2092" s="200">
        <f ca="1">W2092*'Expenditure Study'!$B$31</f>
        <v>0</v>
      </c>
      <c r="Y2092" s="199">
        <f ca="1">U2092*'Expenditure Study'!$B$31</f>
        <v>0</v>
      </c>
      <c r="Z2092" s="200">
        <f ca="1">W2092*'Expenditure Study'!$B$31</f>
        <v>0</v>
      </c>
      <c r="AA2092" s="195">
        <f t="shared" ca="1" si="456"/>
        <v>0</v>
      </c>
      <c r="AB2092" s="195">
        <f t="shared" ca="1" si="457"/>
        <v>0</v>
      </c>
      <c r="AD2092" s="196">
        <f>IFERROR($G2092/SUMIF($A:$A,$A2092,$G:$G)*SUMIF(Summary!$A$166:$A$242,$A2092,Summary!$P$166:$P$242),0)</f>
        <v>0</v>
      </c>
      <c r="AE2092" s="197">
        <f t="shared" ca="1" si="458"/>
        <v>0</v>
      </c>
      <c r="AF2092" s="196">
        <f>IFERROR(G2092/SUMIF(A:A,A2092,G:G)*SUMIF(Summary!$A$166:$A$242,'Operations Support'!A2092,Summary!$Q$166:$Q$242),0)</f>
        <v>0</v>
      </c>
      <c r="AG2092" s="196">
        <f t="shared" ca="1" si="459"/>
        <v>0</v>
      </c>
      <c r="AI2092" s="196">
        <f>IFERROR($G2092/SUMIF($A:$A,$A2092,$G:$G)*SUMIF(Summary!$A$247:$A$283,$A2092,Summary!$P$247:$P$283),0)</f>
        <v>0</v>
      </c>
      <c r="AJ2092" s="196">
        <f>IFERROR($G2092/SUMIF($A:$A,$A2092,$G:$G)*(SUMIF(Summary!$A$247:$A$283,$A2092,Summary!$L$247:$L$283)+SUMIF(Summary!$A$297:$A$333,$A2092,Summary!$L$297:$L$333))-AI2092,0)</f>
        <v>0</v>
      </c>
      <c r="AK2092" s="196">
        <f>IFERROR($G2092/SUMIF($A:$A,$A2092,$G:$G)*SUMIF(Summary!$A$247:$A$283,$A2092,Summary!$Q$247:$Q$283),0)</f>
        <v>0</v>
      </c>
      <c r="AL2092" s="196">
        <f>IFERROR($G2092/SUMIF($A:$A,$A2092,$G:$G)*(SUMIF(Summary!$A$247:$A$283,$A2092,Summary!$L$247:$L$283)+SUMIF(Summary!$A$297:$A$333,$A2092,Summary!$L$297:$L$333))-AK2092,0)</f>
        <v>0</v>
      </c>
      <c r="AM2092" s="198"/>
      <c r="AN2092" s="196">
        <f t="shared" ca="1" si="460"/>
        <v>0</v>
      </c>
      <c r="AO2092" s="196">
        <f t="shared" ca="1" si="461"/>
        <v>0</v>
      </c>
    </row>
    <row r="2093" spans="1:41">
      <c r="A2093" s="189">
        <v>3656</v>
      </c>
      <c r="B2093" s="190">
        <v>5</v>
      </c>
      <c r="C2093" s="191" t="s">
        <v>229</v>
      </c>
      <c r="D2093" s="192">
        <f t="shared" si="448"/>
        <v>0</v>
      </c>
      <c r="E2093" s="192">
        <f t="shared" si="449"/>
        <v>0</v>
      </c>
      <c r="F2093" s="192">
        <f t="shared" si="450"/>
        <v>0</v>
      </c>
      <c r="G2093" s="193">
        <f t="shared" si="451"/>
        <v>0</v>
      </c>
      <c r="H2093" s="194">
        <v>0</v>
      </c>
      <c r="I2093" s="194">
        <v>0</v>
      </c>
      <c r="J2093" s="194">
        <v>0</v>
      </c>
      <c r="K2093" s="193">
        <f t="shared" si="452"/>
        <v>0</v>
      </c>
      <c r="L2093" s="194">
        <v>0</v>
      </c>
      <c r="M2093" s="194">
        <v>0</v>
      </c>
      <c r="N2093" s="194">
        <v>0</v>
      </c>
      <c r="O2093" s="193">
        <f t="shared" si="453"/>
        <v>0</v>
      </c>
      <c r="P2093" s="194">
        <v>0</v>
      </c>
      <c r="Q2093" s="194">
        <v>0</v>
      </c>
      <c r="R2093" s="194">
        <v>0</v>
      </c>
      <c r="S2093" s="193">
        <f t="shared" si="454"/>
        <v>0</v>
      </c>
      <c r="T2093" s="193">
        <f t="shared" si="455"/>
        <v>0</v>
      </c>
      <c r="U2093" s="193">
        <f ca="1">OFFSET('Expenditure Study'!$B$7,'Operations Support'!$C2093,'Operations Support'!$B2093)*$G2093</f>
        <v>0</v>
      </c>
      <c r="V2093" s="199">
        <f ca="1">U2093*'Expenditure Study'!$B$31</f>
        <v>0</v>
      </c>
      <c r="W2093" s="199">
        <f ca="1">IF(A2093=10298,1.51,1)*IF($B2093&lt;3,$D2093*'Expenditure Study'!$B$32*OFFSET('Expenditure Study'!$B$7,'Operations Support'!$C2093,'Operations Support'!$B2093),0)</f>
        <v>0</v>
      </c>
      <c r="X2093" s="200">
        <f ca="1">W2093*'Expenditure Study'!$B$31</f>
        <v>0</v>
      </c>
      <c r="Y2093" s="199">
        <f ca="1">U2093*'Expenditure Study'!$B$31</f>
        <v>0</v>
      </c>
      <c r="Z2093" s="200">
        <f ca="1">W2093*'Expenditure Study'!$B$31</f>
        <v>0</v>
      </c>
      <c r="AA2093" s="195">
        <f t="shared" ca="1" si="456"/>
        <v>0</v>
      </c>
      <c r="AB2093" s="195">
        <f t="shared" ca="1" si="457"/>
        <v>0</v>
      </c>
      <c r="AD2093" s="196">
        <f>IFERROR($G2093/SUMIF($A:$A,$A2093,$G:$G)*SUMIF(Summary!$A$166:$A$242,$A2093,Summary!$P$166:$P$242),0)</f>
        <v>0</v>
      </c>
      <c r="AE2093" s="197">
        <f t="shared" ca="1" si="458"/>
        <v>0</v>
      </c>
      <c r="AF2093" s="196">
        <f>IFERROR(G2093/SUMIF(A:A,A2093,G:G)*SUMIF(Summary!$A$166:$A$242,'Operations Support'!A2093,Summary!$Q$166:$Q$242),0)</f>
        <v>0</v>
      </c>
      <c r="AG2093" s="196">
        <f t="shared" ca="1" si="459"/>
        <v>0</v>
      </c>
      <c r="AI2093" s="196">
        <f>IFERROR($G2093/SUMIF($A:$A,$A2093,$G:$G)*SUMIF(Summary!$A$247:$A$283,$A2093,Summary!$P$247:$P$283),0)</f>
        <v>0</v>
      </c>
      <c r="AJ2093" s="196">
        <f>IFERROR($G2093/SUMIF($A:$A,$A2093,$G:$G)*(SUMIF(Summary!$A$247:$A$283,$A2093,Summary!$L$247:$L$283)+SUMIF(Summary!$A$297:$A$333,$A2093,Summary!$L$297:$L$333))-AI2093,0)</f>
        <v>0</v>
      </c>
      <c r="AK2093" s="196">
        <f>IFERROR($G2093/SUMIF($A:$A,$A2093,$G:$G)*SUMIF(Summary!$A$247:$A$283,$A2093,Summary!$Q$247:$Q$283),0)</f>
        <v>0</v>
      </c>
      <c r="AL2093" s="196">
        <f>IFERROR($G2093/SUMIF($A:$A,$A2093,$G:$G)*(SUMIF(Summary!$A$247:$A$283,$A2093,Summary!$L$247:$L$283)+SUMIF(Summary!$A$297:$A$333,$A2093,Summary!$L$297:$L$333))-AK2093,0)</f>
        <v>0</v>
      </c>
      <c r="AM2093" s="198"/>
      <c r="AN2093" s="196">
        <f t="shared" ca="1" si="460"/>
        <v>0</v>
      </c>
      <c r="AO2093" s="196">
        <f t="shared" ca="1" si="461"/>
        <v>0</v>
      </c>
    </row>
    <row r="2094" spans="1:41">
      <c r="A2094" s="189">
        <v>3656</v>
      </c>
      <c r="B2094" s="190">
        <v>5</v>
      </c>
      <c r="C2094" s="191" t="s">
        <v>230</v>
      </c>
      <c r="D2094" s="192">
        <f t="shared" si="448"/>
        <v>0</v>
      </c>
      <c r="E2094" s="192">
        <f t="shared" si="449"/>
        <v>0</v>
      </c>
      <c r="F2094" s="192">
        <f t="shared" si="450"/>
        <v>0</v>
      </c>
      <c r="G2094" s="193">
        <f t="shared" si="451"/>
        <v>0</v>
      </c>
      <c r="H2094" s="194">
        <v>0</v>
      </c>
      <c r="I2094" s="194">
        <v>0</v>
      </c>
      <c r="J2094" s="194">
        <v>0</v>
      </c>
      <c r="K2094" s="193">
        <f t="shared" si="452"/>
        <v>0</v>
      </c>
      <c r="L2094" s="194">
        <v>0</v>
      </c>
      <c r="M2094" s="194">
        <v>0</v>
      </c>
      <c r="N2094" s="194">
        <v>0</v>
      </c>
      <c r="O2094" s="193">
        <f t="shared" si="453"/>
        <v>0</v>
      </c>
      <c r="P2094" s="194">
        <v>0</v>
      </c>
      <c r="Q2094" s="194">
        <v>0</v>
      </c>
      <c r="R2094" s="194">
        <v>0</v>
      </c>
      <c r="S2094" s="193">
        <f t="shared" si="454"/>
        <v>0</v>
      </c>
      <c r="T2094" s="193">
        <f t="shared" si="455"/>
        <v>0</v>
      </c>
      <c r="U2094" s="193">
        <f ca="1">OFFSET('Expenditure Study'!$B$7,'Operations Support'!$C2094,'Operations Support'!$B2094)*$G2094</f>
        <v>0</v>
      </c>
      <c r="V2094" s="199">
        <f ca="1">U2094*'Expenditure Study'!$B$31</f>
        <v>0</v>
      </c>
      <c r="W2094" s="199">
        <f ca="1">IF(A2094=10298,1.51,1)*IF($B2094&lt;3,$D2094*'Expenditure Study'!$B$32*OFFSET('Expenditure Study'!$B$7,'Operations Support'!$C2094,'Operations Support'!$B2094),0)</f>
        <v>0</v>
      </c>
      <c r="X2094" s="200">
        <f ca="1">W2094*'Expenditure Study'!$B$31</f>
        <v>0</v>
      </c>
      <c r="Y2094" s="199">
        <f ca="1">U2094*'Expenditure Study'!$B$31</f>
        <v>0</v>
      </c>
      <c r="Z2094" s="200">
        <f ca="1">W2094*'Expenditure Study'!$B$31</f>
        <v>0</v>
      </c>
      <c r="AA2094" s="195">
        <f t="shared" ca="1" si="456"/>
        <v>0</v>
      </c>
      <c r="AB2094" s="195">
        <f t="shared" ca="1" si="457"/>
        <v>0</v>
      </c>
      <c r="AD2094" s="196">
        <f>IFERROR($G2094/SUMIF($A:$A,$A2094,$G:$G)*SUMIF(Summary!$A$166:$A$242,$A2094,Summary!$P$166:$P$242),0)</f>
        <v>0</v>
      </c>
      <c r="AE2094" s="197">
        <f t="shared" ca="1" si="458"/>
        <v>0</v>
      </c>
      <c r="AF2094" s="196">
        <f>IFERROR(G2094/SUMIF(A:A,A2094,G:G)*SUMIF(Summary!$A$166:$A$242,'Operations Support'!A2094,Summary!$Q$166:$Q$242),0)</f>
        <v>0</v>
      </c>
      <c r="AG2094" s="196">
        <f t="shared" ca="1" si="459"/>
        <v>0</v>
      </c>
      <c r="AI2094" s="196">
        <f>IFERROR($G2094/SUMIF($A:$A,$A2094,$G:$G)*SUMIF(Summary!$A$247:$A$283,$A2094,Summary!$P$247:$P$283),0)</f>
        <v>0</v>
      </c>
      <c r="AJ2094" s="196">
        <f>IFERROR($G2094/SUMIF($A:$A,$A2094,$G:$G)*(SUMIF(Summary!$A$247:$A$283,$A2094,Summary!$L$247:$L$283)+SUMIF(Summary!$A$297:$A$333,$A2094,Summary!$L$297:$L$333))-AI2094,0)</f>
        <v>0</v>
      </c>
      <c r="AK2094" s="196">
        <f>IFERROR($G2094/SUMIF($A:$A,$A2094,$G:$G)*SUMIF(Summary!$A$247:$A$283,$A2094,Summary!$Q$247:$Q$283),0)</f>
        <v>0</v>
      </c>
      <c r="AL2094" s="196">
        <f>IFERROR($G2094/SUMIF($A:$A,$A2094,$G:$G)*(SUMIF(Summary!$A$247:$A$283,$A2094,Summary!$L$247:$L$283)+SUMIF(Summary!$A$297:$A$333,$A2094,Summary!$L$297:$L$333))-AK2094,0)</f>
        <v>0</v>
      </c>
      <c r="AM2094" s="198"/>
      <c r="AN2094" s="196">
        <f t="shared" ca="1" si="460"/>
        <v>0</v>
      </c>
      <c r="AO2094" s="196">
        <f t="shared" ca="1" si="461"/>
        <v>0</v>
      </c>
    </row>
    <row r="2095" spans="1:41">
      <c r="A2095" s="189">
        <v>3656</v>
      </c>
      <c r="B2095" s="190">
        <v>5</v>
      </c>
      <c r="C2095" s="191" t="s">
        <v>231</v>
      </c>
      <c r="D2095" s="192">
        <f t="shared" si="448"/>
        <v>0</v>
      </c>
      <c r="E2095" s="192">
        <f t="shared" si="449"/>
        <v>0</v>
      </c>
      <c r="F2095" s="192">
        <f t="shared" si="450"/>
        <v>0</v>
      </c>
      <c r="G2095" s="193">
        <f t="shared" si="451"/>
        <v>0</v>
      </c>
      <c r="H2095" s="194">
        <v>0</v>
      </c>
      <c r="I2095" s="194">
        <v>0</v>
      </c>
      <c r="J2095" s="194">
        <v>0</v>
      </c>
      <c r="K2095" s="193">
        <f t="shared" si="452"/>
        <v>0</v>
      </c>
      <c r="L2095" s="194">
        <v>0</v>
      </c>
      <c r="M2095" s="194">
        <v>0</v>
      </c>
      <c r="N2095" s="194">
        <v>0</v>
      </c>
      <c r="O2095" s="193">
        <f t="shared" si="453"/>
        <v>0</v>
      </c>
      <c r="P2095" s="194">
        <v>0</v>
      </c>
      <c r="Q2095" s="194">
        <v>0</v>
      </c>
      <c r="R2095" s="194">
        <v>0</v>
      </c>
      <c r="S2095" s="193">
        <f t="shared" si="454"/>
        <v>0</v>
      </c>
      <c r="T2095" s="193">
        <f t="shared" si="455"/>
        <v>0</v>
      </c>
      <c r="U2095" s="193">
        <f ca="1">OFFSET('Expenditure Study'!$B$7,'Operations Support'!$C2095,'Operations Support'!$B2095)*$G2095</f>
        <v>0</v>
      </c>
      <c r="V2095" s="199">
        <f ca="1">U2095*'Expenditure Study'!$B$31</f>
        <v>0</v>
      </c>
      <c r="W2095" s="199">
        <f ca="1">IF(A2095=10298,1.51,1)*IF($B2095&lt;3,$D2095*'Expenditure Study'!$B$32*OFFSET('Expenditure Study'!$B$7,'Operations Support'!$C2095,'Operations Support'!$B2095),0)</f>
        <v>0</v>
      </c>
      <c r="X2095" s="200">
        <f ca="1">W2095*'Expenditure Study'!$B$31</f>
        <v>0</v>
      </c>
      <c r="Y2095" s="199">
        <f ca="1">U2095*'Expenditure Study'!$B$31</f>
        <v>0</v>
      </c>
      <c r="Z2095" s="200">
        <f ca="1">W2095*'Expenditure Study'!$B$31</f>
        <v>0</v>
      </c>
      <c r="AA2095" s="195">
        <f t="shared" ca="1" si="456"/>
        <v>0</v>
      </c>
      <c r="AB2095" s="195">
        <f t="shared" ca="1" si="457"/>
        <v>0</v>
      </c>
      <c r="AD2095" s="196">
        <f>IFERROR($G2095/SUMIF($A:$A,$A2095,$G:$G)*SUMIF(Summary!$A$166:$A$242,$A2095,Summary!$P$166:$P$242),0)</f>
        <v>0</v>
      </c>
      <c r="AE2095" s="197">
        <f t="shared" ca="1" si="458"/>
        <v>0</v>
      </c>
      <c r="AF2095" s="196">
        <f>IFERROR(G2095/SUMIF(A:A,A2095,G:G)*SUMIF(Summary!$A$166:$A$242,'Operations Support'!A2095,Summary!$Q$166:$Q$242),0)</f>
        <v>0</v>
      </c>
      <c r="AG2095" s="196">
        <f t="shared" ca="1" si="459"/>
        <v>0</v>
      </c>
      <c r="AI2095" s="196">
        <f>IFERROR($G2095/SUMIF($A:$A,$A2095,$G:$G)*SUMIF(Summary!$A$247:$A$283,$A2095,Summary!$P$247:$P$283),0)</f>
        <v>0</v>
      </c>
      <c r="AJ2095" s="196">
        <f>IFERROR($G2095/SUMIF($A:$A,$A2095,$G:$G)*(SUMIF(Summary!$A$247:$A$283,$A2095,Summary!$L$247:$L$283)+SUMIF(Summary!$A$297:$A$333,$A2095,Summary!$L$297:$L$333))-AI2095,0)</f>
        <v>0</v>
      </c>
      <c r="AK2095" s="196">
        <f>IFERROR($G2095/SUMIF($A:$A,$A2095,$G:$G)*SUMIF(Summary!$A$247:$A$283,$A2095,Summary!$Q$247:$Q$283),0)</f>
        <v>0</v>
      </c>
      <c r="AL2095" s="196">
        <f>IFERROR($G2095/SUMIF($A:$A,$A2095,$G:$G)*(SUMIF(Summary!$A$247:$A$283,$A2095,Summary!$L$247:$L$283)+SUMIF(Summary!$A$297:$A$333,$A2095,Summary!$L$297:$L$333))-AK2095,0)</f>
        <v>0</v>
      </c>
      <c r="AM2095" s="198"/>
      <c r="AN2095" s="196">
        <f t="shared" ca="1" si="460"/>
        <v>0</v>
      </c>
      <c r="AO2095" s="196">
        <f t="shared" ca="1" si="461"/>
        <v>0</v>
      </c>
    </row>
    <row r="2096" spans="1:41">
      <c r="A2096" s="189">
        <v>3656</v>
      </c>
      <c r="B2096" s="190">
        <v>5</v>
      </c>
      <c r="C2096" s="191" t="s">
        <v>232</v>
      </c>
      <c r="D2096" s="192">
        <f t="shared" si="448"/>
        <v>0</v>
      </c>
      <c r="E2096" s="192">
        <f t="shared" si="449"/>
        <v>0</v>
      </c>
      <c r="F2096" s="192">
        <f t="shared" si="450"/>
        <v>0</v>
      </c>
      <c r="G2096" s="193">
        <f t="shared" si="451"/>
        <v>0</v>
      </c>
      <c r="H2096" s="194">
        <v>0</v>
      </c>
      <c r="I2096" s="194">
        <v>0</v>
      </c>
      <c r="J2096" s="194">
        <v>0</v>
      </c>
      <c r="K2096" s="193">
        <f t="shared" si="452"/>
        <v>0</v>
      </c>
      <c r="L2096" s="194">
        <v>0</v>
      </c>
      <c r="M2096" s="194">
        <v>0</v>
      </c>
      <c r="N2096" s="194">
        <v>0</v>
      </c>
      <c r="O2096" s="193">
        <f t="shared" si="453"/>
        <v>0</v>
      </c>
      <c r="P2096" s="194">
        <v>0</v>
      </c>
      <c r="Q2096" s="194">
        <v>0</v>
      </c>
      <c r="R2096" s="194">
        <v>0</v>
      </c>
      <c r="S2096" s="193">
        <f t="shared" si="454"/>
        <v>0</v>
      </c>
      <c r="T2096" s="193">
        <f t="shared" si="455"/>
        <v>0</v>
      </c>
      <c r="U2096" s="193">
        <f ca="1">OFFSET('Expenditure Study'!$B$7,'Operations Support'!$C2096,'Operations Support'!$B2096)*$G2096</f>
        <v>0</v>
      </c>
      <c r="V2096" s="199">
        <f ca="1">U2096*'Expenditure Study'!$B$31</f>
        <v>0</v>
      </c>
      <c r="W2096" s="199">
        <f ca="1">IF(A2096=10298,1.51,1)*IF($B2096&lt;3,$D2096*'Expenditure Study'!$B$32*OFFSET('Expenditure Study'!$B$7,'Operations Support'!$C2096,'Operations Support'!$B2096),0)</f>
        <v>0</v>
      </c>
      <c r="X2096" s="200">
        <f ca="1">W2096*'Expenditure Study'!$B$31</f>
        <v>0</v>
      </c>
      <c r="Y2096" s="199">
        <f ca="1">U2096*'Expenditure Study'!$B$31</f>
        <v>0</v>
      </c>
      <c r="Z2096" s="200">
        <f ca="1">W2096*'Expenditure Study'!$B$31</f>
        <v>0</v>
      </c>
      <c r="AA2096" s="195">
        <f t="shared" ca="1" si="456"/>
        <v>0</v>
      </c>
      <c r="AB2096" s="195">
        <f t="shared" ca="1" si="457"/>
        <v>0</v>
      </c>
      <c r="AD2096" s="196">
        <f>IFERROR($G2096/SUMIF($A:$A,$A2096,$G:$G)*SUMIF(Summary!$A$166:$A$242,$A2096,Summary!$P$166:$P$242),0)</f>
        <v>0</v>
      </c>
      <c r="AE2096" s="197">
        <f t="shared" ca="1" si="458"/>
        <v>0</v>
      </c>
      <c r="AF2096" s="196">
        <f>IFERROR(G2096/SUMIF(A:A,A2096,G:G)*SUMIF(Summary!$A$166:$A$242,'Operations Support'!A2096,Summary!$Q$166:$Q$242),0)</f>
        <v>0</v>
      </c>
      <c r="AG2096" s="196">
        <f t="shared" ca="1" si="459"/>
        <v>0</v>
      </c>
      <c r="AI2096" s="196">
        <f>IFERROR($G2096/SUMIF($A:$A,$A2096,$G:$G)*SUMIF(Summary!$A$247:$A$283,$A2096,Summary!$P$247:$P$283),0)</f>
        <v>0</v>
      </c>
      <c r="AJ2096" s="196">
        <f>IFERROR($G2096/SUMIF($A:$A,$A2096,$G:$G)*(SUMIF(Summary!$A$247:$A$283,$A2096,Summary!$L$247:$L$283)+SUMIF(Summary!$A$297:$A$333,$A2096,Summary!$L$297:$L$333))-AI2096,0)</f>
        <v>0</v>
      </c>
      <c r="AK2096" s="196">
        <f>IFERROR($G2096/SUMIF($A:$A,$A2096,$G:$G)*SUMIF(Summary!$A$247:$A$283,$A2096,Summary!$Q$247:$Q$283),0)</f>
        <v>0</v>
      </c>
      <c r="AL2096" s="196">
        <f>IFERROR($G2096/SUMIF($A:$A,$A2096,$G:$G)*(SUMIF(Summary!$A$247:$A$283,$A2096,Summary!$L$247:$L$283)+SUMIF(Summary!$A$297:$A$333,$A2096,Summary!$L$297:$L$333))-AK2096,0)</f>
        <v>0</v>
      </c>
      <c r="AM2096" s="198"/>
      <c r="AN2096" s="196">
        <f t="shared" ca="1" si="460"/>
        <v>0</v>
      </c>
      <c r="AO2096" s="196">
        <f t="shared" ca="1" si="461"/>
        <v>0</v>
      </c>
    </row>
    <row r="2097" spans="1:41">
      <c r="A2097" s="189">
        <v>3656</v>
      </c>
      <c r="B2097" s="190">
        <v>5</v>
      </c>
      <c r="C2097" s="191" t="s">
        <v>233</v>
      </c>
      <c r="D2097" s="192">
        <f t="shared" si="448"/>
        <v>0</v>
      </c>
      <c r="E2097" s="192">
        <f t="shared" si="449"/>
        <v>0</v>
      </c>
      <c r="F2097" s="192">
        <f t="shared" si="450"/>
        <v>0</v>
      </c>
      <c r="G2097" s="193">
        <f t="shared" si="451"/>
        <v>0</v>
      </c>
      <c r="H2097" s="194">
        <v>0</v>
      </c>
      <c r="I2097" s="194">
        <v>0</v>
      </c>
      <c r="J2097" s="194">
        <v>0</v>
      </c>
      <c r="K2097" s="193">
        <f t="shared" si="452"/>
        <v>0</v>
      </c>
      <c r="L2097" s="194">
        <v>0</v>
      </c>
      <c r="M2097" s="194">
        <v>0</v>
      </c>
      <c r="N2097" s="194">
        <v>0</v>
      </c>
      <c r="O2097" s="193">
        <f t="shared" si="453"/>
        <v>0</v>
      </c>
      <c r="P2097" s="194">
        <v>0</v>
      </c>
      <c r="Q2097" s="194">
        <v>0</v>
      </c>
      <c r="R2097" s="194">
        <v>0</v>
      </c>
      <c r="S2097" s="193">
        <f t="shared" si="454"/>
        <v>0</v>
      </c>
      <c r="T2097" s="193">
        <f t="shared" si="455"/>
        <v>0</v>
      </c>
      <c r="U2097" s="193">
        <f ca="1">OFFSET('Expenditure Study'!$B$7,'Operations Support'!$C2097,'Operations Support'!$B2097)*$G2097</f>
        <v>0</v>
      </c>
      <c r="V2097" s="199">
        <f ca="1">U2097*'Expenditure Study'!$B$31</f>
        <v>0</v>
      </c>
      <c r="W2097" s="199">
        <f ca="1">IF(A2097=10298,1.51,1)*IF($B2097&lt;3,$D2097*'Expenditure Study'!$B$32*OFFSET('Expenditure Study'!$B$7,'Operations Support'!$C2097,'Operations Support'!$B2097),0)</f>
        <v>0</v>
      </c>
      <c r="X2097" s="200">
        <f ca="1">W2097*'Expenditure Study'!$B$31</f>
        <v>0</v>
      </c>
      <c r="Y2097" s="199">
        <f ca="1">U2097*'Expenditure Study'!$B$31</f>
        <v>0</v>
      </c>
      <c r="Z2097" s="200">
        <f ca="1">W2097*'Expenditure Study'!$B$31</f>
        <v>0</v>
      </c>
      <c r="AA2097" s="195">
        <f t="shared" ca="1" si="456"/>
        <v>0</v>
      </c>
      <c r="AB2097" s="195">
        <f t="shared" ca="1" si="457"/>
        <v>0</v>
      </c>
      <c r="AD2097" s="196">
        <f>IFERROR($G2097/SUMIF($A:$A,$A2097,$G:$G)*SUMIF(Summary!$A$166:$A$242,$A2097,Summary!$P$166:$P$242),0)</f>
        <v>0</v>
      </c>
      <c r="AE2097" s="197">
        <f t="shared" ca="1" si="458"/>
        <v>0</v>
      </c>
      <c r="AF2097" s="196">
        <f>IFERROR(G2097/SUMIF(A:A,A2097,G:G)*SUMIF(Summary!$A$166:$A$242,'Operations Support'!A2097,Summary!$Q$166:$Q$242),0)</f>
        <v>0</v>
      </c>
      <c r="AG2097" s="196">
        <f t="shared" ca="1" si="459"/>
        <v>0</v>
      </c>
      <c r="AI2097" s="196">
        <f>IFERROR($G2097/SUMIF($A:$A,$A2097,$G:$G)*SUMIF(Summary!$A$247:$A$283,$A2097,Summary!$P$247:$P$283),0)</f>
        <v>0</v>
      </c>
      <c r="AJ2097" s="196">
        <f>IFERROR($G2097/SUMIF($A:$A,$A2097,$G:$G)*(SUMIF(Summary!$A$247:$A$283,$A2097,Summary!$L$247:$L$283)+SUMIF(Summary!$A$297:$A$333,$A2097,Summary!$L$297:$L$333))-AI2097,0)</f>
        <v>0</v>
      </c>
      <c r="AK2097" s="196">
        <f>IFERROR($G2097/SUMIF($A:$A,$A2097,$G:$G)*SUMIF(Summary!$A$247:$A$283,$A2097,Summary!$Q$247:$Q$283),0)</f>
        <v>0</v>
      </c>
      <c r="AL2097" s="196">
        <f>IFERROR($G2097/SUMIF($A:$A,$A2097,$G:$G)*(SUMIF(Summary!$A$247:$A$283,$A2097,Summary!$L$247:$L$283)+SUMIF(Summary!$A$297:$A$333,$A2097,Summary!$L$297:$L$333))-AK2097,0)</f>
        <v>0</v>
      </c>
      <c r="AM2097" s="198"/>
      <c r="AN2097" s="196">
        <f t="shared" ca="1" si="460"/>
        <v>0</v>
      </c>
      <c r="AO2097" s="196">
        <f t="shared" ca="1" si="461"/>
        <v>0</v>
      </c>
    </row>
    <row r="2098" spans="1:41">
      <c r="A2098" s="189">
        <v>3656</v>
      </c>
      <c r="B2098" s="190">
        <v>5</v>
      </c>
      <c r="C2098" s="191" t="s">
        <v>234</v>
      </c>
      <c r="D2098" s="192">
        <f t="shared" si="448"/>
        <v>0</v>
      </c>
      <c r="E2098" s="192">
        <f t="shared" si="449"/>
        <v>0</v>
      </c>
      <c r="F2098" s="192">
        <f t="shared" si="450"/>
        <v>0</v>
      </c>
      <c r="G2098" s="193">
        <f t="shared" si="451"/>
        <v>0</v>
      </c>
      <c r="H2098" s="194">
        <v>0</v>
      </c>
      <c r="I2098" s="194">
        <v>0</v>
      </c>
      <c r="J2098" s="194">
        <v>0</v>
      </c>
      <c r="K2098" s="193">
        <f t="shared" si="452"/>
        <v>0</v>
      </c>
      <c r="L2098" s="194">
        <v>0</v>
      </c>
      <c r="M2098" s="194">
        <v>0</v>
      </c>
      <c r="N2098" s="194">
        <v>0</v>
      </c>
      <c r="O2098" s="193">
        <f t="shared" si="453"/>
        <v>0</v>
      </c>
      <c r="P2098" s="194">
        <v>0</v>
      </c>
      <c r="Q2098" s="194">
        <v>0</v>
      </c>
      <c r="R2098" s="194">
        <v>0</v>
      </c>
      <c r="S2098" s="193">
        <f t="shared" si="454"/>
        <v>0</v>
      </c>
      <c r="T2098" s="193">
        <f t="shared" si="455"/>
        <v>0</v>
      </c>
      <c r="U2098" s="193">
        <f ca="1">OFFSET('Expenditure Study'!$B$7,'Operations Support'!$C2098,'Operations Support'!$B2098)*$G2098</f>
        <v>0</v>
      </c>
      <c r="V2098" s="199">
        <f ca="1">U2098*'Expenditure Study'!$B$31</f>
        <v>0</v>
      </c>
      <c r="W2098" s="199">
        <f ca="1">IF(A2098=10298,1.51,1)*IF($B2098&lt;3,$D2098*'Expenditure Study'!$B$32*OFFSET('Expenditure Study'!$B$7,'Operations Support'!$C2098,'Operations Support'!$B2098),0)</f>
        <v>0</v>
      </c>
      <c r="X2098" s="200">
        <f ca="1">W2098*'Expenditure Study'!$B$31</f>
        <v>0</v>
      </c>
      <c r="Y2098" s="199">
        <f ca="1">U2098*'Expenditure Study'!$B$31</f>
        <v>0</v>
      </c>
      <c r="Z2098" s="200">
        <f ca="1">W2098*'Expenditure Study'!$B$31</f>
        <v>0</v>
      </c>
      <c r="AA2098" s="195">
        <f t="shared" ca="1" si="456"/>
        <v>0</v>
      </c>
      <c r="AB2098" s="195">
        <f t="shared" ca="1" si="457"/>
        <v>0</v>
      </c>
      <c r="AD2098" s="196">
        <f>IFERROR($G2098/SUMIF($A:$A,$A2098,$G:$G)*SUMIF(Summary!$A$166:$A$242,$A2098,Summary!$P$166:$P$242),0)</f>
        <v>0</v>
      </c>
      <c r="AE2098" s="197">
        <f t="shared" ca="1" si="458"/>
        <v>0</v>
      </c>
      <c r="AF2098" s="196">
        <f>IFERROR(G2098/SUMIF(A:A,A2098,G:G)*SUMIF(Summary!$A$166:$A$242,'Operations Support'!A2098,Summary!$Q$166:$Q$242),0)</f>
        <v>0</v>
      </c>
      <c r="AG2098" s="196">
        <f t="shared" ca="1" si="459"/>
        <v>0</v>
      </c>
      <c r="AI2098" s="196">
        <f>IFERROR($G2098/SUMIF($A:$A,$A2098,$G:$G)*SUMIF(Summary!$A$247:$A$283,$A2098,Summary!$P$247:$P$283),0)</f>
        <v>0</v>
      </c>
      <c r="AJ2098" s="196">
        <f>IFERROR($G2098/SUMIF($A:$A,$A2098,$G:$G)*(SUMIF(Summary!$A$247:$A$283,$A2098,Summary!$L$247:$L$283)+SUMIF(Summary!$A$297:$A$333,$A2098,Summary!$L$297:$L$333))-AI2098,0)</f>
        <v>0</v>
      </c>
      <c r="AK2098" s="196">
        <f>IFERROR($G2098/SUMIF($A:$A,$A2098,$G:$G)*SUMIF(Summary!$A$247:$A$283,$A2098,Summary!$Q$247:$Q$283),0)</f>
        <v>0</v>
      </c>
      <c r="AL2098" s="196">
        <f>IFERROR($G2098/SUMIF($A:$A,$A2098,$G:$G)*(SUMIF(Summary!$A$247:$A$283,$A2098,Summary!$L$247:$L$283)+SUMIF(Summary!$A$297:$A$333,$A2098,Summary!$L$297:$L$333))-AK2098,0)</f>
        <v>0</v>
      </c>
      <c r="AM2098" s="198"/>
      <c r="AN2098" s="196">
        <f t="shared" ca="1" si="460"/>
        <v>0</v>
      </c>
      <c r="AO2098" s="196">
        <f t="shared" ca="1" si="461"/>
        <v>0</v>
      </c>
    </row>
    <row r="2099" spans="1:41">
      <c r="A2099" s="189">
        <v>3656</v>
      </c>
      <c r="B2099" s="190">
        <v>5</v>
      </c>
      <c r="C2099" s="191" t="s">
        <v>235</v>
      </c>
      <c r="D2099" s="192">
        <f t="shared" si="448"/>
        <v>0</v>
      </c>
      <c r="E2099" s="192">
        <f t="shared" si="449"/>
        <v>0</v>
      </c>
      <c r="F2099" s="192">
        <f t="shared" si="450"/>
        <v>0</v>
      </c>
      <c r="G2099" s="193">
        <f t="shared" si="451"/>
        <v>0</v>
      </c>
      <c r="H2099" s="194">
        <v>0</v>
      </c>
      <c r="I2099" s="194">
        <v>0</v>
      </c>
      <c r="J2099" s="194">
        <v>0</v>
      </c>
      <c r="K2099" s="193">
        <f t="shared" si="452"/>
        <v>0</v>
      </c>
      <c r="L2099" s="194">
        <v>0</v>
      </c>
      <c r="M2099" s="194">
        <v>0</v>
      </c>
      <c r="N2099" s="194">
        <v>0</v>
      </c>
      <c r="O2099" s="193">
        <f t="shared" si="453"/>
        <v>0</v>
      </c>
      <c r="P2099" s="194">
        <v>0</v>
      </c>
      <c r="Q2099" s="194">
        <v>0</v>
      </c>
      <c r="R2099" s="194">
        <v>0</v>
      </c>
      <c r="S2099" s="193">
        <f t="shared" si="454"/>
        <v>0</v>
      </c>
      <c r="T2099" s="193">
        <f t="shared" si="455"/>
        <v>0</v>
      </c>
      <c r="U2099" s="193">
        <f ca="1">OFFSET('Expenditure Study'!$B$7,'Operations Support'!$C2099,'Operations Support'!$B2099)*$G2099</f>
        <v>0</v>
      </c>
      <c r="V2099" s="199">
        <f ca="1">U2099*'Expenditure Study'!$B$31</f>
        <v>0</v>
      </c>
      <c r="W2099" s="199">
        <f ca="1">IF(A2099=10298,1.51,1)*IF($B2099&lt;3,$D2099*'Expenditure Study'!$B$32*OFFSET('Expenditure Study'!$B$7,'Operations Support'!$C2099,'Operations Support'!$B2099),0)</f>
        <v>0</v>
      </c>
      <c r="X2099" s="200">
        <f ca="1">W2099*'Expenditure Study'!$B$31</f>
        <v>0</v>
      </c>
      <c r="Y2099" s="199">
        <f ca="1">U2099*'Expenditure Study'!$B$31</f>
        <v>0</v>
      </c>
      <c r="Z2099" s="200">
        <f ca="1">W2099*'Expenditure Study'!$B$31</f>
        <v>0</v>
      </c>
      <c r="AA2099" s="195">
        <f t="shared" ca="1" si="456"/>
        <v>0</v>
      </c>
      <c r="AB2099" s="195">
        <f t="shared" ca="1" si="457"/>
        <v>0</v>
      </c>
      <c r="AD2099" s="196">
        <f>IFERROR($G2099/SUMIF($A:$A,$A2099,$G:$G)*SUMIF(Summary!$A$166:$A$242,$A2099,Summary!$P$166:$P$242),0)</f>
        <v>0</v>
      </c>
      <c r="AE2099" s="197">
        <f t="shared" ca="1" si="458"/>
        <v>0</v>
      </c>
      <c r="AF2099" s="196">
        <f>IFERROR(G2099/SUMIF(A:A,A2099,G:G)*SUMIF(Summary!$A$166:$A$242,'Operations Support'!A2099,Summary!$Q$166:$Q$242),0)</f>
        <v>0</v>
      </c>
      <c r="AG2099" s="196">
        <f t="shared" ca="1" si="459"/>
        <v>0</v>
      </c>
      <c r="AI2099" s="196">
        <f>IFERROR($G2099/SUMIF($A:$A,$A2099,$G:$G)*SUMIF(Summary!$A$247:$A$283,$A2099,Summary!$P$247:$P$283),0)</f>
        <v>0</v>
      </c>
      <c r="AJ2099" s="196">
        <f>IFERROR($G2099/SUMIF($A:$A,$A2099,$G:$G)*(SUMIF(Summary!$A$247:$A$283,$A2099,Summary!$L$247:$L$283)+SUMIF(Summary!$A$297:$A$333,$A2099,Summary!$L$297:$L$333))-AI2099,0)</f>
        <v>0</v>
      </c>
      <c r="AK2099" s="196">
        <f>IFERROR($G2099/SUMIF($A:$A,$A2099,$G:$G)*SUMIF(Summary!$A$247:$A$283,$A2099,Summary!$Q$247:$Q$283),0)</f>
        <v>0</v>
      </c>
      <c r="AL2099" s="196">
        <f>IFERROR($G2099/SUMIF($A:$A,$A2099,$G:$G)*(SUMIF(Summary!$A$247:$A$283,$A2099,Summary!$L$247:$L$283)+SUMIF(Summary!$A$297:$A$333,$A2099,Summary!$L$297:$L$333))-AK2099,0)</f>
        <v>0</v>
      </c>
      <c r="AM2099" s="198"/>
      <c r="AN2099" s="196">
        <f t="shared" ca="1" si="460"/>
        <v>0</v>
      </c>
      <c r="AO2099" s="196">
        <f t="shared" ca="1" si="461"/>
        <v>0</v>
      </c>
    </row>
    <row r="2100" spans="1:41">
      <c r="A2100" s="189">
        <v>3656</v>
      </c>
      <c r="B2100" s="190">
        <v>5</v>
      </c>
      <c r="C2100" s="191" t="s">
        <v>236</v>
      </c>
      <c r="D2100" s="192">
        <f t="shared" si="448"/>
        <v>0</v>
      </c>
      <c r="E2100" s="192">
        <f t="shared" si="449"/>
        <v>0</v>
      </c>
      <c r="F2100" s="192">
        <f t="shared" si="450"/>
        <v>0</v>
      </c>
      <c r="G2100" s="193">
        <f t="shared" si="451"/>
        <v>0</v>
      </c>
      <c r="H2100" s="194">
        <v>0</v>
      </c>
      <c r="I2100" s="194">
        <v>0</v>
      </c>
      <c r="J2100" s="194">
        <v>0</v>
      </c>
      <c r="K2100" s="193">
        <f t="shared" si="452"/>
        <v>0</v>
      </c>
      <c r="L2100" s="194">
        <v>0</v>
      </c>
      <c r="M2100" s="194">
        <v>0</v>
      </c>
      <c r="N2100" s="194">
        <v>0</v>
      </c>
      <c r="O2100" s="193">
        <f t="shared" si="453"/>
        <v>0</v>
      </c>
      <c r="P2100" s="194">
        <v>0</v>
      </c>
      <c r="Q2100" s="194">
        <v>0</v>
      </c>
      <c r="R2100" s="194">
        <v>0</v>
      </c>
      <c r="S2100" s="193">
        <f t="shared" si="454"/>
        <v>0</v>
      </c>
      <c r="T2100" s="193">
        <f t="shared" si="455"/>
        <v>0</v>
      </c>
      <c r="U2100" s="193">
        <f ca="1">OFFSET('Expenditure Study'!$B$7,'Operations Support'!$C2100,'Operations Support'!$B2100)*$G2100</f>
        <v>0</v>
      </c>
      <c r="V2100" s="199">
        <f ca="1">U2100*'Expenditure Study'!$B$31</f>
        <v>0</v>
      </c>
      <c r="W2100" s="199">
        <f ca="1">IF(A2100=10298,1.51,1)*IF($B2100&lt;3,$D2100*'Expenditure Study'!$B$32*OFFSET('Expenditure Study'!$B$7,'Operations Support'!$C2100,'Operations Support'!$B2100),0)</f>
        <v>0</v>
      </c>
      <c r="X2100" s="200">
        <f ca="1">W2100*'Expenditure Study'!$B$31</f>
        <v>0</v>
      </c>
      <c r="Y2100" s="199">
        <f ca="1">U2100*'Expenditure Study'!$B$31</f>
        <v>0</v>
      </c>
      <c r="Z2100" s="200">
        <f ca="1">W2100*'Expenditure Study'!$B$31</f>
        <v>0</v>
      </c>
      <c r="AA2100" s="195">
        <f t="shared" ca="1" si="456"/>
        <v>0</v>
      </c>
      <c r="AB2100" s="195">
        <f t="shared" ca="1" si="457"/>
        <v>0</v>
      </c>
      <c r="AD2100" s="196">
        <f>IFERROR($G2100/SUMIF($A:$A,$A2100,$G:$G)*SUMIF(Summary!$A$166:$A$242,$A2100,Summary!$P$166:$P$242),0)</f>
        <v>0</v>
      </c>
      <c r="AE2100" s="197">
        <f t="shared" ca="1" si="458"/>
        <v>0</v>
      </c>
      <c r="AF2100" s="196">
        <f>IFERROR(G2100/SUMIF(A:A,A2100,G:G)*SUMIF(Summary!$A$166:$A$242,'Operations Support'!A2100,Summary!$Q$166:$Q$242),0)</f>
        <v>0</v>
      </c>
      <c r="AG2100" s="196">
        <f t="shared" ca="1" si="459"/>
        <v>0</v>
      </c>
      <c r="AI2100" s="196">
        <f>IFERROR($G2100/SUMIF($A:$A,$A2100,$G:$G)*SUMIF(Summary!$A$247:$A$283,$A2100,Summary!$P$247:$P$283),0)</f>
        <v>0</v>
      </c>
      <c r="AJ2100" s="196">
        <f>IFERROR($G2100/SUMIF($A:$A,$A2100,$G:$G)*(SUMIF(Summary!$A$247:$A$283,$A2100,Summary!$L$247:$L$283)+SUMIF(Summary!$A$297:$A$333,$A2100,Summary!$L$297:$L$333))-AI2100,0)</f>
        <v>0</v>
      </c>
      <c r="AK2100" s="196">
        <f>IFERROR($G2100/SUMIF($A:$A,$A2100,$G:$G)*SUMIF(Summary!$A$247:$A$283,$A2100,Summary!$Q$247:$Q$283),0)</f>
        <v>0</v>
      </c>
      <c r="AL2100" s="196">
        <f>IFERROR($G2100/SUMIF($A:$A,$A2100,$G:$G)*(SUMIF(Summary!$A$247:$A$283,$A2100,Summary!$L$247:$L$283)+SUMIF(Summary!$A$297:$A$333,$A2100,Summary!$L$297:$L$333))-AK2100,0)</f>
        <v>0</v>
      </c>
      <c r="AM2100" s="198"/>
      <c r="AN2100" s="196">
        <f t="shared" ca="1" si="460"/>
        <v>0</v>
      </c>
      <c r="AO2100" s="196">
        <f t="shared" ca="1" si="461"/>
        <v>0</v>
      </c>
    </row>
    <row r="2101" spans="1:41">
      <c r="A2101" s="189">
        <v>3656</v>
      </c>
      <c r="B2101" s="190">
        <v>5</v>
      </c>
      <c r="C2101" s="191" t="s">
        <v>237</v>
      </c>
      <c r="D2101" s="192">
        <f t="shared" si="448"/>
        <v>0</v>
      </c>
      <c r="E2101" s="192">
        <f t="shared" si="449"/>
        <v>0</v>
      </c>
      <c r="F2101" s="192">
        <f t="shared" si="450"/>
        <v>0</v>
      </c>
      <c r="G2101" s="193">
        <f t="shared" si="451"/>
        <v>0</v>
      </c>
      <c r="H2101" s="194">
        <v>0</v>
      </c>
      <c r="I2101" s="194">
        <v>0</v>
      </c>
      <c r="J2101" s="194">
        <v>0</v>
      </c>
      <c r="K2101" s="193">
        <f t="shared" si="452"/>
        <v>0</v>
      </c>
      <c r="L2101" s="194">
        <v>0</v>
      </c>
      <c r="M2101" s="194">
        <v>0</v>
      </c>
      <c r="N2101" s="194">
        <v>0</v>
      </c>
      <c r="O2101" s="193">
        <f t="shared" si="453"/>
        <v>0</v>
      </c>
      <c r="P2101" s="194">
        <v>0</v>
      </c>
      <c r="Q2101" s="194">
        <v>0</v>
      </c>
      <c r="R2101" s="194">
        <v>0</v>
      </c>
      <c r="S2101" s="193">
        <f t="shared" si="454"/>
        <v>0</v>
      </c>
      <c r="T2101" s="193">
        <f t="shared" si="455"/>
        <v>0</v>
      </c>
      <c r="U2101" s="193">
        <f ca="1">OFFSET('Expenditure Study'!$B$7,'Operations Support'!$C2101,'Operations Support'!$B2101)*$G2101</f>
        <v>0</v>
      </c>
      <c r="V2101" s="199">
        <f ca="1">U2101*'Expenditure Study'!$B$31</f>
        <v>0</v>
      </c>
      <c r="W2101" s="199">
        <f ca="1">IF(A2101=10298,1.51,1)*IF($B2101&lt;3,$D2101*'Expenditure Study'!$B$32*OFFSET('Expenditure Study'!$B$7,'Operations Support'!$C2101,'Operations Support'!$B2101),0)</f>
        <v>0</v>
      </c>
      <c r="X2101" s="200">
        <f ca="1">W2101*'Expenditure Study'!$B$31</f>
        <v>0</v>
      </c>
      <c r="Y2101" s="199">
        <f ca="1">U2101*'Expenditure Study'!$B$31</f>
        <v>0</v>
      </c>
      <c r="Z2101" s="200">
        <f ca="1">W2101*'Expenditure Study'!$B$31</f>
        <v>0</v>
      </c>
      <c r="AA2101" s="195">
        <f t="shared" ca="1" si="456"/>
        <v>0</v>
      </c>
      <c r="AB2101" s="195">
        <f t="shared" ca="1" si="457"/>
        <v>0</v>
      </c>
      <c r="AD2101" s="196">
        <f>IFERROR($G2101/SUMIF($A:$A,$A2101,$G:$G)*SUMIF(Summary!$A$166:$A$242,$A2101,Summary!$P$166:$P$242),0)</f>
        <v>0</v>
      </c>
      <c r="AE2101" s="197">
        <f t="shared" ca="1" si="458"/>
        <v>0</v>
      </c>
      <c r="AF2101" s="196">
        <f>IFERROR(G2101/SUMIF(A:A,A2101,G:G)*SUMIF(Summary!$A$166:$A$242,'Operations Support'!A2101,Summary!$Q$166:$Q$242),0)</f>
        <v>0</v>
      </c>
      <c r="AG2101" s="196">
        <f t="shared" ca="1" si="459"/>
        <v>0</v>
      </c>
      <c r="AI2101" s="196">
        <f>IFERROR($G2101/SUMIF($A:$A,$A2101,$G:$G)*SUMIF(Summary!$A$247:$A$283,$A2101,Summary!$P$247:$P$283),0)</f>
        <v>0</v>
      </c>
      <c r="AJ2101" s="196">
        <f>IFERROR($G2101/SUMIF($A:$A,$A2101,$G:$G)*(SUMIF(Summary!$A$247:$A$283,$A2101,Summary!$L$247:$L$283)+SUMIF(Summary!$A$297:$A$333,$A2101,Summary!$L$297:$L$333))-AI2101,0)</f>
        <v>0</v>
      </c>
      <c r="AK2101" s="196">
        <f>IFERROR($G2101/SUMIF($A:$A,$A2101,$G:$G)*SUMIF(Summary!$A$247:$A$283,$A2101,Summary!$Q$247:$Q$283),0)</f>
        <v>0</v>
      </c>
      <c r="AL2101" s="196">
        <f>IFERROR($G2101/SUMIF($A:$A,$A2101,$G:$G)*(SUMIF(Summary!$A$247:$A$283,$A2101,Summary!$L$247:$L$283)+SUMIF(Summary!$A$297:$A$333,$A2101,Summary!$L$297:$L$333))-AK2101,0)</f>
        <v>0</v>
      </c>
      <c r="AM2101" s="198"/>
      <c r="AN2101" s="196">
        <f t="shared" ca="1" si="460"/>
        <v>0</v>
      </c>
      <c r="AO2101" s="196">
        <f t="shared" ca="1" si="461"/>
        <v>0</v>
      </c>
    </row>
    <row r="2102" spans="1:41">
      <c r="A2102" s="189">
        <v>3656</v>
      </c>
      <c r="B2102" s="190">
        <v>5</v>
      </c>
      <c r="C2102" s="191" t="s">
        <v>238</v>
      </c>
      <c r="D2102" s="192">
        <f t="shared" si="448"/>
        <v>0</v>
      </c>
      <c r="E2102" s="192">
        <f t="shared" si="449"/>
        <v>0</v>
      </c>
      <c r="F2102" s="192">
        <f t="shared" si="450"/>
        <v>0</v>
      </c>
      <c r="G2102" s="193">
        <f t="shared" si="451"/>
        <v>0</v>
      </c>
      <c r="H2102" s="194">
        <v>0</v>
      </c>
      <c r="I2102" s="194">
        <v>0</v>
      </c>
      <c r="J2102" s="194">
        <v>0</v>
      </c>
      <c r="K2102" s="193">
        <f t="shared" si="452"/>
        <v>0</v>
      </c>
      <c r="L2102" s="194">
        <v>0</v>
      </c>
      <c r="M2102" s="194">
        <v>0</v>
      </c>
      <c r="N2102" s="194">
        <v>0</v>
      </c>
      <c r="O2102" s="193">
        <f t="shared" si="453"/>
        <v>0</v>
      </c>
      <c r="P2102" s="194">
        <v>0</v>
      </c>
      <c r="Q2102" s="194">
        <v>0</v>
      </c>
      <c r="R2102" s="194">
        <v>0</v>
      </c>
      <c r="S2102" s="193">
        <f t="shared" si="454"/>
        <v>0</v>
      </c>
      <c r="T2102" s="193">
        <f t="shared" si="455"/>
        <v>0</v>
      </c>
      <c r="U2102" s="193">
        <f ca="1">OFFSET('Expenditure Study'!$B$7,'Operations Support'!$C2102,'Operations Support'!$B2102)*$G2102</f>
        <v>0</v>
      </c>
      <c r="V2102" s="199">
        <f ca="1">U2102*'Expenditure Study'!$B$31</f>
        <v>0</v>
      </c>
      <c r="W2102" s="199">
        <f ca="1">IF(A2102=10298,1.51,1)*IF($B2102&lt;3,$D2102*'Expenditure Study'!$B$32*OFFSET('Expenditure Study'!$B$7,'Operations Support'!$C2102,'Operations Support'!$B2102),0)</f>
        <v>0</v>
      </c>
      <c r="X2102" s="200">
        <f ca="1">W2102*'Expenditure Study'!$B$31</f>
        <v>0</v>
      </c>
      <c r="Y2102" s="199">
        <f ca="1">U2102*'Expenditure Study'!$B$31</f>
        <v>0</v>
      </c>
      <c r="Z2102" s="200">
        <f ca="1">W2102*'Expenditure Study'!$B$31</f>
        <v>0</v>
      </c>
      <c r="AA2102" s="195">
        <f t="shared" ca="1" si="456"/>
        <v>0</v>
      </c>
      <c r="AB2102" s="195">
        <f t="shared" ca="1" si="457"/>
        <v>0</v>
      </c>
      <c r="AD2102" s="196">
        <f>IFERROR($G2102/SUMIF($A:$A,$A2102,$G:$G)*SUMIF(Summary!$A$166:$A$242,$A2102,Summary!$P$166:$P$242),0)</f>
        <v>0</v>
      </c>
      <c r="AE2102" s="197">
        <f t="shared" ca="1" si="458"/>
        <v>0</v>
      </c>
      <c r="AF2102" s="196">
        <f>IFERROR(G2102/SUMIF(A:A,A2102,G:G)*SUMIF(Summary!$A$166:$A$242,'Operations Support'!A2102,Summary!$Q$166:$Q$242),0)</f>
        <v>0</v>
      </c>
      <c r="AG2102" s="196">
        <f t="shared" ca="1" si="459"/>
        <v>0</v>
      </c>
      <c r="AI2102" s="196">
        <f>IFERROR($G2102/SUMIF($A:$A,$A2102,$G:$G)*SUMIF(Summary!$A$247:$A$283,$A2102,Summary!$P$247:$P$283),0)</f>
        <v>0</v>
      </c>
      <c r="AJ2102" s="196">
        <f>IFERROR($G2102/SUMIF($A:$A,$A2102,$G:$G)*(SUMIF(Summary!$A$247:$A$283,$A2102,Summary!$L$247:$L$283)+SUMIF(Summary!$A$297:$A$333,$A2102,Summary!$L$297:$L$333))-AI2102,0)</f>
        <v>0</v>
      </c>
      <c r="AK2102" s="196">
        <f>IFERROR($G2102/SUMIF($A:$A,$A2102,$G:$G)*SUMIF(Summary!$A$247:$A$283,$A2102,Summary!$Q$247:$Q$283),0)</f>
        <v>0</v>
      </c>
      <c r="AL2102" s="196">
        <f>IFERROR($G2102/SUMIF($A:$A,$A2102,$G:$G)*(SUMIF(Summary!$A$247:$A$283,$A2102,Summary!$L$247:$L$283)+SUMIF(Summary!$A$297:$A$333,$A2102,Summary!$L$297:$L$333))-AK2102,0)</f>
        <v>0</v>
      </c>
      <c r="AM2102" s="198"/>
      <c r="AN2102" s="196">
        <f t="shared" ca="1" si="460"/>
        <v>0</v>
      </c>
      <c r="AO2102" s="196">
        <f t="shared" ca="1" si="461"/>
        <v>0</v>
      </c>
    </row>
    <row r="2103" spans="1:41">
      <c r="A2103" s="189">
        <v>3656</v>
      </c>
      <c r="B2103" s="190">
        <v>5</v>
      </c>
      <c r="C2103" s="191" t="s">
        <v>239</v>
      </c>
      <c r="D2103" s="192">
        <f t="shared" si="448"/>
        <v>0</v>
      </c>
      <c r="E2103" s="192">
        <f t="shared" si="449"/>
        <v>0</v>
      </c>
      <c r="F2103" s="192">
        <f t="shared" si="450"/>
        <v>0</v>
      </c>
      <c r="G2103" s="193">
        <f t="shared" si="451"/>
        <v>0</v>
      </c>
      <c r="H2103" s="194">
        <v>0</v>
      </c>
      <c r="I2103" s="194">
        <v>0</v>
      </c>
      <c r="J2103" s="194">
        <v>0</v>
      </c>
      <c r="K2103" s="193">
        <f t="shared" si="452"/>
        <v>0</v>
      </c>
      <c r="L2103" s="194">
        <v>0</v>
      </c>
      <c r="M2103" s="194">
        <v>0</v>
      </c>
      <c r="N2103" s="194">
        <v>0</v>
      </c>
      <c r="O2103" s="193">
        <f t="shared" si="453"/>
        <v>0</v>
      </c>
      <c r="P2103" s="194">
        <v>0</v>
      </c>
      <c r="Q2103" s="194">
        <v>0</v>
      </c>
      <c r="R2103" s="194">
        <v>0</v>
      </c>
      <c r="S2103" s="193">
        <f t="shared" si="454"/>
        <v>0</v>
      </c>
      <c r="T2103" s="193">
        <f t="shared" si="455"/>
        <v>0</v>
      </c>
      <c r="U2103" s="193">
        <f ca="1">OFFSET('Expenditure Study'!$B$7,'Operations Support'!$C2103,'Operations Support'!$B2103)*$G2103</f>
        <v>0</v>
      </c>
      <c r="V2103" s="199">
        <f ca="1">U2103*'Expenditure Study'!$B$31</f>
        <v>0</v>
      </c>
      <c r="W2103" s="199">
        <f ca="1">IF(A2103=10298,1.51,1)*IF($B2103&lt;3,$D2103*'Expenditure Study'!$B$32*OFFSET('Expenditure Study'!$B$7,'Operations Support'!$C2103,'Operations Support'!$B2103),0)</f>
        <v>0</v>
      </c>
      <c r="X2103" s="200">
        <f ca="1">W2103*'Expenditure Study'!$B$31</f>
        <v>0</v>
      </c>
      <c r="Y2103" s="199">
        <f ca="1">U2103*'Expenditure Study'!$B$31</f>
        <v>0</v>
      </c>
      <c r="Z2103" s="200">
        <f ca="1">W2103*'Expenditure Study'!$B$31</f>
        <v>0</v>
      </c>
      <c r="AA2103" s="195">
        <f t="shared" ca="1" si="456"/>
        <v>0</v>
      </c>
      <c r="AB2103" s="195">
        <f t="shared" ca="1" si="457"/>
        <v>0</v>
      </c>
      <c r="AD2103" s="196">
        <f>IFERROR($G2103/SUMIF($A:$A,$A2103,$G:$G)*SUMIF(Summary!$A$166:$A$242,$A2103,Summary!$P$166:$P$242),0)</f>
        <v>0</v>
      </c>
      <c r="AE2103" s="197">
        <f t="shared" ca="1" si="458"/>
        <v>0</v>
      </c>
      <c r="AF2103" s="196">
        <f>IFERROR(G2103/SUMIF(A:A,A2103,G:G)*SUMIF(Summary!$A$166:$A$242,'Operations Support'!A2103,Summary!$Q$166:$Q$242),0)</f>
        <v>0</v>
      </c>
      <c r="AG2103" s="196">
        <f t="shared" ca="1" si="459"/>
        <v>0</v>
      </c>
      <c r="AI2103" s="196">
        <f>IFERROR($G2103/SUMIF($A:$A,$A2103,$G:$G)*SUMIF(Summary!$A$247:$A$283,$A2103,Summary!$P$247:$P$283),0)</f>
        <v>0</v>
      </c>
      <c r="AJ2103" s="196">
        <f>IFERROR($G2103/SUMIF($A:$A,$A2103,$G:$G)*(SUMIF(Summary!$A$247:$A$283,$A2103,Summary!$L$247:$L$283)+SUMIF(Summary!$A$297:$A$333,$A2103,Summary!$L$297:$L$333))-AI2103,0)</f>
        <v>0</v>
      </c>
      <c r="AK2103" s="196">
        <f>IFERROR($G2103/SUMIF($A:$A,$A2103,$G:$G)*SUMIF(Summary!$A$247:$A$283,$A2103,Summary!$Q$247:$Q$283),0)</f>
        <v>0</v>
      </c>
      <c r="AL2103" s="196">
        <f>IFERROR($G2103/SUMIF($A:$A,$A2103,$G:$G)*(SUMIF(Summary!$A$247:$A$283,$A2103,Summary!$L$247:$L$283)+SUMIF(Summary!$A$297:$A$333,$A2103,Summary!$L$297:$L$333))-AK2103,0)</f>
        <v>0</v>
      </c>
      <c r="AM2103" s="198"/>
      <c r="AN2103" s="196">
        <f t="shared" ca="1" si="460"/>
        <v>0</v>
      </c>
      <c r="AO2103" s="196">
        <f t="shared" ca="1" si="461"/>
        <v>0</v>
      </c>
    </row>
    <row r="2104" spans="1:41">
      <c r="A2104" s="189">
        <v>3656</v>
      </c>
      <c r="B2104" s="190">
        <v>5</v>
      </c>
      <c r="C2104" s="191" t="s">
        <v>240</v>
      </c>
      <c r="D2104" s="192">
        <f t="shared" si="448"/>
        <v>0</v>
      </c>
      <c r="E2104" s="192">
        <f t="shared" si="449"/>
        <v>0</v>
      </c>
      <c r="F2104" s="192">
        <f t="shared" si="450"/>
        <v>0</v>
      </c>
      <c r="G2104" s="193">
        <f t="shared" si="451"/>
        <v>0</v>
      </c>
      <c r="H2104" s="194">
        <v>0</v>
      </c>
      <c r="I2104" s="194">
        <v>0</v>
      </c>
      <c r="J2104" s="194">
        <v>0</v>
      </c>
      <c r="K2104" s="193">
        <f t="shared" si="452"/>
        <v>0</v>
      </c>
      <c r="L2104" s="194">
        <v>0</v>
      </c>
      <c r="M2104" s="194">
        <v>0</v>
      </c>
      <c r="N2104" s="194">
        <v>0</v>
      </c>
      <c r="O2104" s="193">
        <f t="shared" si="453"/>
        <v>0</v>
      </c>
      <c r="P2104" s="194">
        <v>0</v>
      </c>
      <c r="Q2104" s="194">
        <v>0</v>
      </c>
      <c r="R2104" s="194">
        <v>0</v>
      </c>
      <c r="S2104" s="193">
        <f t="shared" si="454"/>
        <v>0</v>
      </c>
      <c r="T2104" s="193">
        <f t="shared" si="455"/>
        <v>0</v>
      </c>
      <c r="U2104" s="193">
        <f ca="1">OFFSET('Expenditure Study'!$B$7,'Operations Support'!$C2104,'Operations Support'!$B2104)*$G2104</f>
        <v>0</v>
      </c>
      <c r="V2104" s="199">
        <f ca="1">U2104*'Expenditure Study'!$B$31</f>
        <v>0</v>
      </c>
      <c r="W2104" s="199">
        <f ca="1">IF(A2104=10298,1.51,1)*IF($B2104&lt;3,$D2104*'Expenditure Study'!$B$32*OFFSET('Expenditure Study'!$B$7,'Operations Support'!$C2104,'Operations Support'!$B2104),0)</f>
        <v>0</v>
      </c>
      <c r="X2104" s="200">
        <f ca="1">W2104*'Expenditure Study'!$B$31</f>
        <v>0</v>
      </c>
      <c r="Y2104" s="199">
        <f ca="1">U2104*'Expenditure Study'!$B$31</f>
        <v>0</v>
      </c>
      <c r="Z2104" s="200">
        <f ca="1">W2104*'Expenditure Study'!$B$31</f>
        <v>0</v>
      </c>
      <c r="AA2104" s="195">
        <f t="shared" ca="1" si="456"/>
        <v>0</v>
      </c>
      <c r="AB2104" s="195">
        <f t="shared" ca="1" si="457"/>
        <v>0</v>
      </c>
      <c r="AD2104" s="196">
        <f>IFERROR($G2104/SUMIF($A:$A,$A2104,$G:$G)*SUMIF(Summary!$A$166:$A$242,$A2104,Summary!$P$166:$P$242),0)</f>
        <v>0</v>
      </c>
      <c r="AE2104" s="197">
        <f t="shared" ca="1" si="458"/>
        <v>0</v>
      </c>
      <c r="AF2104" s="196">
        <f>IFERROR(G2104/SUMIF(A:A,A2104,G:G)*SUMIF(Summary!$A$166:$A$242,'Operations Support'!A2104,Summary!$Q$166:$Q$242),0)</f>
        <v>0</v>
      </c>
      <c r="AG2104" s="196">
        <f t="shared" ca="1" si="459"/>
        <v>0</v>
      </c>
      <c r="AI2104" s="196">
        <f>IFERROR($G2104/SUMIF($A:$A,$A2104,$G:$G)*SUMIF(Summary!$A$247:$A$283,$A2104,Summary!$P$247:$P$283),0)</f>
        <v>0</v>
      </c>
      <c r="AJ2104" s="196">
        <f>IFERROR($G2104/SUMIF($A:$A,$A2104,$G:$G)*(SUMIF(Summary!$A$247:$A$283,$A2104,Summary!$L$247:$L$283)+SUMIF(Summary!$A$297:$A$333,$A2104,Summary!$L$297:$L$333))-AI2104,0)</f>
        <v>0</v>
      </c>
      <c r="AK2104" s="196">
        <f>IFERROR($G2104/SUMIF($A:$A,$A2104,$G:$G)*SUMIF(Summary!$A$247:$A$283,$A2104,Summary!$Q$247:$Q$283),0)</f>
        <v>0</v>
      </c>
      <c r="AL2104" s="196">
        <f>IFERROR($G2104/SUMIF($A:$A,$A2104,$G:$G)*(SUMIF(Summary!$A$247:$A$283,$A2104,Summary!$L$247:$L$283)+SUMIF(Summary!$A$297:$A$333,$A2104,Summary!$L$297:$L$333))-AK2104,0)</f>
        <v>0</v>
      </c>
      <c r="AM2104" s="198"/>
      <c r="AN2104" s="196">
        <f t="shared" ca="1" si="460"/>
        <v>0</v>
      </c>
      <c r="AO2104" s="196">
        <f t="shared" ca="1" si="461"/>
        <v>0</v>
      </c>
    </row>
    <row r="2105" spans="1:41">
      <c r="A2105" s="189">
        <v>3658</v>
      </c>
      <c r="B2105" s="190">
        <v>1</v>
      </c>
      <c r="C2105" s="191" t="s">
        <v>220</v>
      </c>
      <c r="D2105" s="192">
        <f t="shared" si="448"/>
        <v>134073.6400000022</v>
      </c>
      <c r="E2105" s="192">
        <f t="shared" si="449"/>
        <v>221413.36000000598</v>
      </c>
      <c r="F2105" s="192">
        <f t="shared" si="450"/>
        <v>0</v>
      </c>
      <c r="G2105" s="193">
        <f t="shared" si="451"/>
        <v>355487.00000000815</v>
      </c>
      <c r="H2105" s="194">
        <v>55468.75</v>
      </c>
      <c r="I2105" s="194">
        <v>96148.25</v>
      </c>
      <c r="J2105" s="194">
        <v>0</v>
      </c>
      <c r="K2105" s="193">
        <f t="shared" si="452"/>
        <v>151617</v>
      </c>
      <c r="L2105" s="194">
        <v>71539.390000002197</v>
      </c>
      <c r="M2105" s="194">
        <v>110917.610000006</v>
      </c>
      <c r="N2105" s="194">
        <v>0</v>
      </c>
      <c r="O2105" s="193">
        <f t="shared" si="453"/>
        <v>182457.00000000821</v>
      </c>
      <c r="P2105" s="194">
        <v>7065.5</v>
      </c>
      <c r="Q2105" s="194">
        <v>14347.5</v>
      </c>
      <c r="R2105" s="194">
        <v>0</v>
      </c>
      <c r="S2105" s="193">
        <f t="shared" si="454"/>
        <v>21413</v>
      </c>
      <c r="T2105" s="193">
        <f t="shared" si="455"/>
        <v>11849.566666666939</v>
      </c>
      <c r="U2105" s="193">
        <f ca="1">OFFSET('Expenditure Study'!$B$7,'Operations Support'!$C2105,'Operations Support'!$B2105)*$G2105</f>
        <v>355487.00000000815</v>
      </c>
      <c r="V2105" s="199">
        <f ca="1">U2105*'Expenditure Study'!$B$31</f>
        <v>21003302.693050083</v>
      </c>
      <c r="W2105" s="199">
        <f ca="1">IF(A2105=10298,1.51,1)*IF($B2105&lt;3,$D2105*'Expenditure Study'!$B$32*OFFSET('Expenditure Study'!$B$7,'Operations Support'!$C2105,'Operations Support'!$B2105),0)</f>
        <v>13407.36400000022</v>
      </c>
      <c r="X2105" s="200">
        <f ca="1">W2105*'Expenditure Study'!$B$31</f>
        <v>792149.71126342413</v>
      </c>
      <c r="Y2105" s="199">
        <f ca="1">U2105*'Expenditure Study'!$B$31</f>
        <v>21003302.693050083</v>
      </c>
      <c r="Z2105" s="200">
        <f ca="1">W2105*'Expenditure Study'!$B$31</f>
        <v>792149.71126342413</v>
      </c>
      <c r="AA2105" s="195">
        <f t="shared" ca="1" si="456"/>
        <v>21795452.404313508</v>
      </c>
      <c r="AB2105" s="195">
        <f t="shared" ca="1" si="457"/>
        <v>21795452.404313508</v>
      </c>
      <c r="AD2105" s="196">
        <f>IFERROR($G2105/SUMIF($A:$A,$A2105,$G:$G)*SUMIF(Summary!$A$166:$A$242,$A2105,Summary!$P$166:$P$242),0)</f>
        <v>16526623.462197661</v>
      </c>
      <c r="AE2105" s="197">
        <f t="shared" ca="1" si="458"/>
        <v>5268828.942115847</v>
      </c>
      <c r="AF2105" s="196">
        <f>IFERROR(G2105/SUMIF(A:A,A2105,G:G)*SUMIF(Summary!$A$166:$A$242,'Operations Support'!A2105,Summary!$Q$166:$Q$242),0)</f>
        <v>16620291.964679647</v>
      </c>
      <c r="AG2105" s="196">
        <f t="shared" ca="1" si="459"/>
        <v>5175160.4396338612</v>
      </c>
      <c r="AI2105" s="196">
        <f>IFERROR($G2105/SUMIF($A:$A,$A2105,$G:$G)*SUMIF(Summary!$A$247:$A$283,$A2105,Summary!$P$247:$P$283),0)</f>
        <v>3014043.7022135584</v>
      </c>
      <c r="AJ2105" s="196">
        <f>IFERROR($G2105/SUMIF($A:$A,$A2105,$G:$G)*(SUMIF(Summary!$A$247:$A$283,$A2105,Summary!$L$247:$L$283)+SUMIF(Summary!$A$297:$A$333,$A2105,Summary!$L$297:$L$333))-AI2105,0)</f>
        <v>12564885.652684804</v>
      </c>
      <c r="AK2105" s="196">
        <f>IFERROR($G2105/SUMIF($A:$A,$A2105,$G:$G)*SUMIF(Summary!$A$247:$A$283,$A2105,Summary!$Q$247:$Q$283),0)</f>
        <v>3031126.4995948486</v>
      </c>
      <c r="AL2105" s="196">
        <f>IFERROR($G2105/SUMIF($A:$A,$A2105,$G:$G)*(SUMIF(Summary!$A$247:$A$283,$A2105,Summary!$L$247:$L$283)+SUMIF(Summary!$A$297:$A$333,$A2105,Summary!$L$297:$L$333))-AK2105,0)</f>
        <v>12547802.855303513</v>
      </c>
      <c r="AM2105" s="198"/>
      <c r="AN2105" s="196">
        <f t="shared" ca="1" si="460"/>
        <v>17833714.594800651</v>
      </c>
      <c r="AO2105" s="196">
        <f t="shared" ca="1" si="461"/>
        <v>17722963.294937372</v>
      </c>
    </row>
    <row r="2106" spans="1:41">
      <c r="A2106" s="189">
        <v>3658</v>
      </c>
      <c r="B2106" s="190">
        <v>1</v>
      </c>
      <c r="C2106" s="191" t="s">
        <v>221</v>
      </c>
      <c r="D2106" s="192">
        <f t="shared" si="448"/>
        <v>36102.740000000005</v>
      </c>
      <c r="E2106" s="192">
        <f t="shared" si="449"/>
        <v>83481.260000000009</v>
      </c>
      <c r="F2106" s="192">
        <f t="shared" si="450"/>
        <v>0</v>
      </c>
      <c r="G2106" s="193">
        <f t="shared" si="451"/>
        <v>119584.00000000001</v>
      </c>
      <c r="H2106" s="194">
        <v>17174.18</v>
      </c>
      <c r="I2106" s="194">
        <v>37279.82</v>
      </c>
      <c r="J2106" s="194">
        <v>0</v>
      </c>
      <c r="K2106" s="193">
        <f t="shared" si="452"/>
        <v>54454</v>
      </c>
      <c r="L2106" s="194">
        <v>18154.560000000001</v>
      </c>
      <c r="M2106" s="194">
        <v>42610.44</v>
      </c>
      <c r="N2106" s="194">
        <v>0</v>
      </c>
      <c r="O2106" s="193">
        <f t="shared" si="453"/>
        <v>60765</v>
      </c>
      <c r="P2106" s="194">
        <v>774</v>
      </c>
      <c r="Q2106" s="194">
        <v>3591</v>
      </c>
      <c r="R2106" s="194">
        <v>0</v>
      </c>
      <c r="S2106" s="193">
        <f t="shared" si="454"/>
        <v>4365</v>
      </c>
      <c r="T2106" s="193">
        <f t="shared" si="455"/>
        <v>3986.1333333333337</v>
      </c>
      <c r="U2106" s="193">
        <f ca="1">OFFSET('Expenditure Study'!$B$7,'Operations Support'!$C2106,'Operations Support'!$B2106)*$G2106</f>
        <v>160242.56000000003</v>
      </c>
      <c r="V2106" s="199">
        <f ca="1">U2106*'Expenditure Study'!$B$31</f>
        <v>9467640.144334849</v>
      </c>
      <c r="W2106" s="199">
        <f ca="1">IF(A2106=10298,1.51,1)*IF($B2106&lt;3,$D2106*'Expenditure Study'!$B$32*OFFSET('Expenditure Study'!$B$7,'Operations Support'!$C2106,'Operations Support'!$B2106),0)</f>
        <v>4837.7671600000012</v>
      </c>
      <c r="X2106" s="200">
        <f ca="1">W2106*'Expenditure Study'!$B$31</f>
        <v>285830.67178258259</v>
      </c>
      <c r="Y2106" s="199">
        <f ca="1">U2106*'Expenditure Study'!$B$31</f>
        <v>9467640.144334849</v>
      </c>
      <c r="Z2106" s="200">
        <f ca="1">W2106*'Expenditure Study'!$B$31</f>
        <v>285830.67178258259</v>
      </c>
      <c r="AA2106" s="195">
        <f t="shared" ca="1" si="456"/>
        <v>9753470.816117432</v>
      </c>
      <c r="AB2106" s="195">
        <f t="shared" ca="1" si="457"/>
        <v>9753470.816117432</v>
      </c>
      <c r="AD2106" s="196">
        <f>IFERROR($G2106/SUMIF($A:$A,$A2106,$G:$G)*SUMIF(Summary!$A$166:$A$242,$A2106,Summary!$P$166:$P$242),0)</f>
        <v>5559471.2045824463</v>
      </c>
      <c r="AE2106" s="197">
        <f t="shared" ca="1" si="458"/>
        <v>4193999.6115349857</v>
      </c>
      <c r="AF2106" s="196">
        <f>IFERROR(G2106/SUMIF(A:A,A2106,G:G)*SUMIF(Summary!$A$166:$A$242,'Operations Support'!A2106,Summary!$Q$166:$Q$242),0)</f>
        <v>5590980.8074675184</v>
      </c>
      <c r="AG2106" s="196">
        <f t="shared" ca="1" si="459"/>
        <v>4162490.0086499136</v>
      </c>
      <c r="AI2106" s="196">
        <f>IFERROR($G2106/SUMIF($A:$A,$A2106,$G:$G)*SUMIF(Summary!$A$247:$A$283,$A2106,Summary!$P$247:$P$283),0)</f>
        <v>1013908.8126584037</v>
      </c>
      <c r="AJ2106" s="196">
        <f>IFERROR($G2106/SUMIF($A:$A,$A2106,$G:$G)*(SUMIF(Summary!$A$247:$A$283,$A2106,Summary!$L$247:$L$283)+SUMIF(Summary!$A$297:$A$333,$A2106,Summary!$L$297:$L$333))-AI2106,0)</f>
        <v>4226762.9643014371</v>
      </c>
      <c r="AK2106" s="196">
        <f>IFERROR($G2106/SUMIF($A:$A,$A2106,$G:$G)*SUMIF(Summary!$A$247:$A$283,$A2106,Summary!$Q$247:$Q$283),0)</f>
        <v>1019655.3779112658</v>
      </c>
      <c r="AL2106" s="196">
        <f>IFERROR($G2106/SUMIF($A:$A,$A2106,$G:$G)*(SUMIF(Summary!$A$247:$A$283,$A2106,Summary!$L$247:$L$283)+SUMIF(Summary!$A$297:$A$333,$A2106,Summary!$L$297:$L$333))-AK2106,0)</f>
        <v>4221016.3990485752</v>
      </c>
      <c r="AM2106" s="198"/>
      <c r="AN2106" s="196">
        <f t="shared" ca="1" si="460"/>
        <v>8420762.5758364238</v>
      </c>
      <c r="AO2106" s="196">
        <f t="shared" ca="1" si="461"/>
        <v>8383506.4076984888</v>
      </c>
    </row>
    <row r="2107" spans="1:41">
      <c r="A2107" s="189">
        <v>3658</v>
      </c>
      <c r="B2107" s="190">
        <v>1</v>
      </c>
      <c r="C2107" s="191" t="s">
        <v>222</v>
      </c>
      <c r="D2107" s="192">
        <f t="shared" si="448"/>
        <v>8766.98</v>
      </c>
      <c r="E2107" s="192">
        <f t="shared" si="449"/>
        <v>24043.019999999997</v>
      </c>
      <c r="F2107" s="192">
        <f t="shared" si="450"/>
        <v>0</v>
      </c>
      <c r="G2107" s="193">
        <f t="shared" si="451"/>
        <v>32810</v>
      </c>
      <c r="H2107" s="194">
        <v>4184.78</v>
      </c>
      <c r="I2107" s="194">
        <v>10442.219999999999</v>
      </c>
      <c r="J2107" s="194">
        <v>0</v>
      </c>
      <c r="K2107" s="193">
        <f t="shared" si="452"/>
        <v>14627</v>
      </c>
      <c r="L2107" s="194">
        <v>3730.2</v>
      </c>
      <c r="M2107" s="194">
        <v>13591.8</v>
      </c>
      <c r="N2107" s="194">
        <v>0</v>
      </c>
      <c r="O2107" s="193">
        <f t="shared" si="453"/>
        <v>17322</v>
      </c>
      <c r="P2107" s="194">
        <v>852</v>
      </c>
      <c r="Q2107" s="194">
        <v>9</v>
      </c>
      <c r="R2107" s="194">
        <v>0</v>
      </c>
      <c r="S2107" s="193">
        <f t="shared" si="454"/>
        <v>861</v>
      </c>
      <c r="T2107" s="193">
        <f t="shared" si="455"/>
        <v>1093.6666666666667</v>
      </c>
      <c r="U2107" s="193">
        <f ca="1">OFFSET('Expenditure Study'!$B$7,'Operations Support'!$C2107,'Operations Support'!$B2107)*$G2107</f>
        <v>44949.700000000004</v>
      </c>
      <c r="V2107" s="199">
        <f ca="1">U2107*'Expenditure Study'!$B$31</f>
        <v>2655771.2520057601</v>
      </c>
      <c r="W2107" s="199">
        <f ca="1">IF(A2107=10298,1.51,1)*IF($B2107&lt;3,$D2107*'Expenditure Study'!$B$32*OFFSET('Expenditure Study'!$B$7,'Operations Support'!$C2107,'Operations Support'!$B2107),0)</f>
        <v>1201.07626</v>
      </c>
      <c r="X2107" s="200">
        <f ca="1">W2107*'Expenditure Study'!$B$31</f>
        <v>70963.405824167814</v>
      </c>
      <c r="Y2107" s="199">
        <f ca="1">U2107*'Expenditure Study'!$B$31</f>
        <v>2655771.2520057601</v>
      </c>
      <c r="Z2107" s="200">
        <f ca="1">W2107*'Expenditure Study'!$B$31</f>
        <v>70963.405824167814</v>
      </c>
      <c r="AA2107" s="195">
        <f t="shared" ca="1" si="456"/>
        <v>2726734.6578299277</v>
      </c>
      <c r="AB2107" s="195">
        <f t="shared" ca="1" si="457"/>
        <v>2726734.6578299277</v>
      </c>
      <c r="AD2107" s="196">
        <f>IFERROR($G2107/SUMIF($A:$A,$A2107,$G:$G)*SUMIF(Summary!$A$166:$A$242,$A2107,Summary!$P$166:$P$242),0)</f>
        <v>1525339.9302778803</v>
      </c>
      <c r="AE2107" s="197">
        <f t="shared" ca="1" si="458"/>
        <v>1201394.7275520475</v>
      </c>
      <c r="AF2107" s="196">
        <f>IFERROR(G2107/SUMIF(A:A,A2107,G:G)*SUMIF(Summary!$A$166:$A$242,'Operations Support'!A2107,Summary!$Q$166:$Q$242),0)</f>
        <v>1533985.1509650894</v>
      </c>
      <c r="AG2107" s="196">
        <f t="shared" ca="1" si="459"/>
        <v>1192749.5068648383</v>
      </c>
      <c r="AI2107" s="196">
        <f>IFERROR($G2107/SUMIF($A:$A,$A2107,$G:$G)*SUMIF(Summary!$A$247:$A$283,$A2107,Summary!$P$247:$P$283),0)</f>
        <v>278183.93884902849</v>
      </c>
      <c r="AJ2107" s="196">
        <f>IFERROR($G2107/SUMIF($A:$A,$A2107,$G:$G)*(SUMIF(Summary!$A$247:$A$283,$A2107,Summary!$L$247:$L$283)+SUMIF(Summary!$A$297:$A$333,$A2107,Summary!$L$297:$L$333))-AI2107,0)</f>
        <v>1159687.6911520786</v>
      </c>
      <c r="AK2107" s="196">
        <f>IFERROR($G2107/SUMIF($A:$A,$A2107,$G:$G)*SUMIF(Summary!$A$247:$A$283,$A2107,Summary!$Q$247:$Q$283),0)</f>
        <v>279760.61136329797</v>
      </c>
      <c r="AL2107" s="196">
        <f>IFERROR($G2107/SUMIF($A:$A,$A2107,$G:$G)*(SUMIF(Summary!$A$247:$A$283,$A2107,Summary!$L$247:$L$283)+SUMIF(Summary!$A$297:$A$333,$A2107,Summary!$L$297:$L$333))-AK2107,0)</f>
        <v>1158111.018637809</v>
      </c>
      <c r="AM2107" s="198"/>
      <c r="AN2107" s="196">
        <f t="shared" ca="1" si="460"/>
        <v>2361082.418704126</v>
      </c>
      <c r="AO2107" s="196">
        <f t="shared" ca="1" si="461"/>
        <v>2350860.5255026473</v>
      </c>
    </row>
    <row r="2108" spans="1:41">
      <c r="A2108" s="189">
        <v>3658</v>
      </c>
      <c r="B2108" s="190">
        <v>1</v>
      </c>
      <c r="C2108" s="191" t="s">
        <v>223</v>
      </c>
      <c r="D2108" s="192">
        <f t="shared" si="448"/>
        <v>1469</v>
      </c>
      <c r="E2108" s="192">
        <f t="shared" si="449"/>
        <v>5575</v>
      </c>
      <c r="F2108" s="192">
        <f t="shared" si="450"/>
        <v>0</v>
      </c>
      <c r="G2108" s="193">
        <f t="shared" si="451"/>
        <v>7044</v>
      </c>
      <c r="H2108" s="194">
        <v>839</v>
      </c>
      <c r="I2108" s="194">
        <v>1906</v>
      </c>
      <c r="J2108" s="194">
        <v>0</v>
      </c>
      <c r="K2108" s="193">
        <f t="shared" si="452"/>
        <v>2745</v>
      </c>
      <c r="L2108" s="194">
        <v>621</v>
      </c>
      <c r="M2108" s="194">
        <v>3177</v>
      </c>
      <c r="N2108" s="194">
        <v>0</v>
      </c>
      <c r="O2108" s="193">
        <f t="shared" si="453"/>
        <v>3798</v>
      </c>
      <c r="P2108" s="194">
        <v>9</v>
      </c>
      <c r="Q2108" s="194">
        <v>492</v>
      </c>
      <c r="R2108" s="194">
        <v>0</v>
      </c>
      <c r="S2108" s="193">
        <f t="shared" si="454"/>
        <v>501</v>
      </c>
      <c r="T2108" s="193">
        <f t="shared" si="455"/>
        <v>234.8</v>
      </c>
      <c r="U2108" s="193">
        <f ca="1">OFFSET('Expenditure Study'!$B$7,'Operations Support'!$C2108,'Operations Support'!$B2108)*$G2108</f>
        <v>8875.44</v>
      </c>
      <c r="V2108" s="199">
        <f ca="1">U2108*'Expenditure Study'!$B$31</f>
        <v>524389.22619955207</v>
      </c>
      <c r="W2108" s="199">
        <f ca="1">IF(A2108=10298,1.51,1)*IF($B2108&lt;3,$D2108*'Expenditure Study'!$B$32*OFFSET('Expenditure Study'!$B$7,'Operations Support'!$C2108,'Operations Support'!$B2108),0)</f>
        <v>185.09400000000002</v>
      </c>
      <c r="X2108" s="200">
        <f ca="1">W2108*'Expenditure Study'!$B$31</f>
        <v>10935.942266995202</v>
      </c>
      <c r="Y2108" s="199">
        <f ca="1">U2108*'Expenditure Study'!$B$31</f>
        <v>524389.22619955207</v>
      </c>
      <c r="Z2108" s="200">
        <f ca="1">W2108*'Expenditure Study'!$B$31</f>
        <v>10935.942266995202</v>
      </c>
      <c r="AA2108" s="195">
        <f t="shared" ca="1" si="456"/>
        <v>535325.16846654727</v>
      </c>
      <c r="AB2108" s="195">
        <f t="shared" ca="1" si="457"/>
        <v>535325.16846654727</v>
      </c>
      <c r="AD2108" s="196">
        <f>IFERROR($G2108/SUMIF($A:$A,$A2108,$G:$G)*SUMIF(Summary!$A$166:$A$242,$A2108,Summary!$P$166:$P$242),0)</f>
        <v>327476.21057230694</v>
      </c>
      <c r="AE2108" s="197">
        <f t="shared" ca="1" si="458"/>
        <v>207848.95789424033</v>
      </c>
      <c r="AF2108" s="196">
        <f>IFERROR(G2108/SUMIF(A:A,A2108,G:G)*SUMIF(Summary!$A$166:$A$242,'Operations Support'!A2108,Summary!$Q$166:$Q$242),0)</f>
        <v>329332.25856135599</v>
      </c>
      <c r="AG2108" s="196">
        <f t="shared" ca="1" si="459"/>
        <v>205992.90990519128</v>
      </c>
      <c r="AI2108" s="196">
        <f>IFERROR($G2108/SUMIF($A:$A,$A2108,$G:$G)*SUMIF(Summary!$A$247:$A$283,$A2108,Summary!$P$247:$P$283),0)</f>
        <v>59723.48873064787</v>
      </c>
      <c r="AJ2108" s="196">
        <f>IFERROR($G2108/SUMIF($A:$A,$A2108,$G:$G)*(SUMIF(Summary!$A$247:$A$283,$A2108,Summary!$L$247:$L$283)+SUMIF(Summary!$A$297:$A$333,$A2108,Summary!$L$297:$L$333))-AI2108,0)</f>
        <v>248974.09620467058</v>
      </c>
      <c r="AK2108" s="196">
        <f>IFERROR($G2108/SUMIF($A:$A,$A2108,$G:$G)*SUMIF(Summary!$A$247:$A$283,$A2108,Summary!$Q$247:$Q$283),0)</f>
        <v>60061.985566689153</v>
      </c>
      <c r="AL2108" s="196">
        <f>IFERROR($G2108/SUMIF($A:$A,$A2108,$G:$G)*(SUMIF(Summary!$A$247:$A$283,$A2108,Summary!$L$247:$L$283)+SUMIF(Summary!$A$297:$A$333,$A2108,Summary!$L$297:$L$333))-AK2108,0)</f>
        <v>248635.59936862928</v>
      </c>
      <c r="AM2108" s="198"/>
      <c r="AN2108" s="196">
        <f t="shared" ca="1" si="460"/>
        <v>456823.05409891088</v>
      </c>
      <c r="AO2108" s="196">
        <f t="shared" ca="1" si="461"/>
        <v>454628.50927382056</v>
      </c>
    </row>
    <row r="2109" spans="1:41">
      <c r="A2109" s="189">
        <v>3658</v>
      </c>
      <c r="B2109" s="190">
        <v>1</v>
      </c>
      <c r="C2109" s="191" t="s">
        <v>224</v>
      </c>
      <c r="D2109" s="192">
        <f t="shared" si="448"/>
        <v>0</v>
      </c>
      <c r="E2109" s="192">
        <f t="shared" si="449"/>
        <v>0</v>
      </c>
      <c r="F2109" s="192">
        <f t="shared" si="450"/>
        <v>0</v>
      </c>
      <c r="G2109" s="193">
        <f t="shared" si="451"/>
        <v>0</v>
      </c>
      <c r="H2109" s="194">
        <v>0</v>
      </c>
      <c r="I2109" s="194">
        <v>0</v>
      </c>
      <c r="J2109" s="194">
        <v>0</v>
      </c>
      <c r="K2109" s="193">
        <f t="shared" si="452"/>
        <v>0</v>
      </c>
      <c r="L2109" s="194">
        <v>0</v>
      </c>
      <c r="M2109" s="194">
        <v>0</v>
      </c>
      <c r="N2109" s="194">
        <v>0</v>
      </c>
      <c r="O2109" s="193">
        <f t="shared" si="453"/>
        <v>0</v>
      </c>
      <c r="P2109" s="194">
        <v>0</v>
      </c>
      <c r="Q2109" s="194">
        <v>0</v>
      </c>
      <c r="R2109" s="194">
        <v>0</v>
      </c>
      <c r="S2109" s="193">
        <f t="shared" si="454"/>
        <v>0</v>
      </c>
      <c r="T2109" s="193">
        <f t="shared" si="455"/>
        <v>0</v>
      </c>
      <c r="U2109" s="193">
        <f ca="1">OFFSET('Expenditure Study'!$B$7,'Operations Support'!$C2109,'Operations Support'!$B2109)*$G2109</f>
        <v>0</v>
      </c>
      <c r="V2109" s="199">
        <f ca="1">U2109*'Expenditure Study'!$B$31</f>
        <v>0</v>
      </c>
      <c r="W2109" s="199">
        <f ca="1">IF(A2109=10298,1.51,1)*IF($B2109&lt;3,$D2109*'Expenditure Study'!$B$32*OFFSET('Expenditure Study'!$B$7,'Operations Support'!$C2109,'Operations Support'!$B2109),0)</f>
        <v>0</v>
      </c>
      <c r="X2109" s="200">
        <f ca="1">W2109*'Expenditure Study'!$B$31</f>
        <v>0</v>
      </c>
      <c r="Y2109" s="199">
        <f ca="1">U2109*'Expenditure Study'!$B$31</f>
        <v>0</v>
      </c>
      <c r="Z2109" s="200">
        <f ca="1">W2109*'Expenditure Study'!$B$31</f>
        <v>0</v>
      </c>
      <c r="AA2109" s="195">
        <f t="shared" ca="1" si="456"/>
        <v>0</v>
      </c>
      <c r="AB2109" s="195">
        <f t="shared" ca="1" si="457"/>
        <v>0</v>
      </c>
      <c r="AD2109" s="196">
        <f>IFERROR($G2109/SUMIF($A:$A,$A2109,$G:$G)*SUMIF(Summary!$A$166:$A$242,$A2109,Summary!$P$166:$P$242),0)</f>
        <v>0</v>
      </c>
      <c r="AE2109" s="197">
        <f t="shared" ca="1" si="458"/>
        <v>0</v>
      </c>
      <c r="AF2109" s="196">
        <f>IFERROR(G2109/SUMIF(A:A,A2109,G:G)*SUMIF(Summary!$A$166:$A$242,'Operations Support'!A2109,Summary!$Q$166:$Q$242),0)</f>
        <v>0</v>
      </c>
      <c r="AG2109" s="196">
        <f t="shared" ca="1" si="459"/>
        <v>0</v>
      </c>
      <c r="AI2109" s="196">
        <f>IFERROR($G2109/SUMIF($A:$A,$A2109,$G:$G)*SUMIF(Summary!$A$247:$A$283,$A2109,Summary!$P$247:$P$283),0)</f>
        <v>0</v>
      </c>
      <c r="AJ2109" s="196">
        <f>IFERROR($G2109/SUMIF($A:$A,$A2109,$G:$G)*(SUMIF(Summary!$A$247:$A$283,$A2109,Summary!$L$247:$L$283)+SUMIF(Summary!$A$297:$A$333,$A2109,Summary!$L$297:$L$333))-AI2109,0)</f>
        <v>0</v>
      </c>
      <c r="AK2109" s="196">
        <f>IFERROR($G2109/SUMIF($A:$A,$A2109,$G:$G)*SUMIF(Summary!$A$247:$A$283,$A2109,Summary!$Q$247:$Q$283),0)</f>
        <v>0</v>
      </c>
      <c r="AL2109" s="196">
        <f>IFERROR($G2109/SUMIF($A:$A,$A2109,$G:$G)*(SUMIF(Summary!$A$247:$A$283,$A2109,Summary!$L$247:$L$283)+SUMIF(Summary!$A$297:$A$333,$A2109,Summary!$L$297:$L$333))-AK2109,0)</f>
        <v>0</v>
      </c>
      <c r="AM2109" s="198"/>
      <c r="AN2109" s="196">
        <f t="shared" ca="1" si="460"/>
        <v>0</v>
      </c>
      <c r="AO2109" s="196">
        <f t="shared" ca="1" si="461"/>
        <v>0</v>
      </c>
    </row>
    <row r="2110" spans="1:41">
      <c r="A2110" s="189">
        <v>3658</v>
      </c>
      <c r="B2110" s="190">
        <v>1</v>
      </c>
      <c r="C2110" s="191" t="s">
        <v>225</v>
      </c>
      <c r="D2110" s="192">
        <f t="shared" si="448"/>
        <v>26815</v>
      </c>
      <c r="E2110" s="192">
        <f t="shared" si="449"/>
        <v>30133</v>
      </c>
      <c r="F2110" s="192">
        <f t="shared" si="450"/>
        <v>0</v>
      </c>
      <c r="G2110" s="193">
        <f t="shared" si="451"/>
        <v>56948</v>
      </c>
      <c r="H2110" s="194">
        <v>11774</v>
      </c>
      <c r="I2110" s="194">
        <v>15601.000000000002</v>
      </c>
      <c r="J2110" s="194">
        <v>0</v>
      </c>
      <c r="K2110" s="193">
        <f t="shared" si="452"/>
        <v>27375</v>
      </c>
      <c r="L2110" s="194">
        <v>14836</v>
      </c>
      <c r="M2110" s="194">
        <v>13488</v>
      </c>
      <c r="N2110" s="194">
        <v>0</v>
      </c>
      <c r="O2110" s="193">
        <f t="shared" si="453"/>
        <v>28324</v>
      </c>
      <c r="P2110" s="194">
        <v>205</v>
      </c>
      <c r="Q2110" s="194">
        <v>1044</v>
      </c>
      <c r="R2110" s="194">
        <v>0</v>
      </c>
      <c r="S2110" s="193">
        <f t="shared" si="454"/>
        <v>1249</v>
      </c>
      <c r="T2110" s="193">
        <f t="shared" si="455"/>
        <v>1898.2666666666667</v>
      </c>
      <c r="U2110" s="193">
        <f ca="1">OFFSET('Expenditure Study'!$B$7,'Operations Support'!$C2110,'Operations Support'!$B2110)*$G2110</f>
        <v>100228.48</v>
      </c>
      <c r="V2110" s="199">
        <f ca="1">U2110*'Expenditure Study'!$B$31</f>
        <v>5921817.4051491842</v>
      </c>
      <c r="W2110" s="199">
        <f ca="1">IF(A2110=10298,1.51,1)*IF($B2110&lt;3,$D2110*'Expenditure Study'!$B$32*OFFSET('Expenditure Study'!$B$7,'Operations Support'!$C2110,'Operations Support'!$B2110),0)</f>
        <v>4719.4399999999996</v>
      </c>
      <c r="X2110" s="200">
        <f ca="1">W2110*'Expenditure Study'!$B$31</f>
        <v>278839.52679475199</v>
      </c>
      <c r="Y2110" s="199">
        <f ca="1">U2110*'Expenditure Study'!$B$31</f>
        <v>5921817.4051491842</v>
      </c>
      <c r="Z2110" s="200">
        <f ca="1">W2110*'Expenditure Study'!$B$31</f>
        <v>278839.52679475199</v>
      </c>
      <c r="AA2110" s="195">
        <f t="shared" ca="1" si="456"/>
        <v>6200656.9319439363</v>
      </c>
      <c r="AB2110" s="195">
        <f t="shared" ca="1" si="457"/>
        <v>6200656.9319439363</v>
      </c>
      <c r="AD2110" s="196">
        <f>IFERROR($G2110/SUMIF($A:$A,$A2110,$G:$G)*SUMIF(Summary!$A$166:$A$242,$A2110,Summary!$P$166:$P$242),0)</f>
        <v>2647517.7796240398</v>
      </c>
      <c r="AE2110" s="197">
        <f t="shared" ca="1" si="458"/>
        <v>3553139.1523198965</v>
      </c>
      <c r="AF2110" s="196">
        <f>IFERROR(G2110/SUMIF(A:A,A2110,G:G)*SUMIF(Summary!$A$166:$A$242,'Operations Support'!A2110,Summary!$Q$166:$Q$242),0)</f>
        <v>2662523.2056433992</v>
      </c>
      <c r="AG2110" s="196">
        <f t="shared" ca="1" si="459"/>
        <v>3538133.7263005371</v>
      </c>
      <c r="AI2110" s="196">
        <f>IFERROR($G2110/SUMIF($A:$A,$A2110,$G:$G)*SUMIF(Summary!$A$247:$A$283,$A2110,Summary!$P$247:$P$283),0)</f>
        <v>482841.17493369326</v>
      </c>
      <c r="AJ2110" s="196">
        <f>IFERROR($G2110/SUMIF($A:$A,$A2110,$G:$G)*(SUMIF(Summary!$A$247:$A$283,$A2110,Summary!$L$247:$L$283)+SUMIF(Summary!$A$297:$A$333,$A2110,Summary!$L$297:$L$333))-AI2110,0)</f>
        <v>2012858.7209914224</v>
      </c>
      <c r="AK2110" s="196">
        <f>IFERROR($G2110/SUMIF($A:$A,$A2110,$G:$G)*SUMIF(Summary!$A$247:$A$283,$A2110,Summary!$Q$247:$Q$283),0)</f>
        <v>485577.79018339212</v>
      </c>
      <c r="AL2110" s="196">
        <f>IFERROR($G2110/SUMIF($A:$A,$A2110,$G:$G)*(SUMIF(Summary!$A$247:$A$283,$A2110,Summary!$L$247:$L$283)+SUMIF(Summary!$A$297:$A$333,$A2110,Summary!$L$297:$L$333))-AK2110,0)</f>
        <v>2010122.1057417237</v>
      </c>
      <c r="AM2110" s="198"/>
      <c r="AN2110" s="196">
        <f t="shared" ca="1" si="460"/>
        <v>5565997.8733113185</v>
      </c>
      <c r="AO2110" s="196">
        <f t="shared" ca="1" si="461"/>
        <v>5548255.832042261</v>
      </c>
    </row>
    <row r="2111" spans="1:41">
      <c r="A2111" s="189">
        <v>3658</v>
      </c>
      <c r="B2111" s="190">
        <v>1</v>
      </c>
      <c r="C2111" s="191" t="s">
        <v>226</v>
      </c>
      <c r="D2111" s="192">
        <f t="shared" si="448"/>
        <v>9130</v>
      </c>
      <c r="E2111" s="192">
        <f t="shared" si="449"/>
        <v>13611</v>
      </c>
      <c r="F2111" s="192">
        <f t="shared" si="450"/>
        <v>0</v>
      </c>
      <c r="G2111" s="193">
        <f t="shared" si="451"/>
        <v>22741</v>
      </c>
      <c r="H2111" s="194">
        <v>3765</v>
      </c>
      <c r="I2111" s="194">
        <v>6497</v>
      </c>
      <c r="J2111" s="194">
        <v>0</v>
      </c>
      <c r="K2111" s="193">
        <f t="shared" si="452"/>
        <v>10262</v>
      </c>
      <c r="L2111" s="194">
        <v>5356</v>
      </c>
      <c r="M2111" s="194">
        <v>5677</v>
      </c>
      <c r="N2111" s="194">
        <v>0</v>
      </c>
      <c r="O2111" s="193">
        <f t="shared" si="453"/>
        <v>11033</v>
      </c>
      <c r="P2111" s="194">
        <v>9</v>
      </c>
      <c r="Q2111" s="194">
        <v>1437</v>
      </c>
      <c r="R2111" s="194">
        <v>0</v>
      </c>
      <c r="S2111" s="193">
        <f t="shared" si="454"/>
        <v>1446</v>
      </c>
      <c r="T2111" s="193">
        <f t="shared" si="455"/>
        <v>758.0333333333333</v>
      </c>
      <c r="U2111" s="193">
        <f ca="1">OFFSET('Expenditure Study'!$B$7,'Operations Support'!$C2111,'Operations Support'!$B2111)*$G2111</f>
        <v>21603.95</v>
      </c>
      <c r="V2111" s="199">
        <f ca="1">U2111*'Expenditure Study'!$B$31</f>
        <v>1276430.08384416</v>
      </c>
      <c r="W2111" s="199">
        <f ca="1">IF(A2111=10298,1.51,1)*IF($B2111&lt;3,$D2111*'Expenditure Study'!$B$32*OFFSET('Expenditure Study'!$B$7,'Operations Support'!$C2111,'Operations Support'!$B2111),0)</f>
        <v>867.34999999999991</v>
      </c>
      <c r="X2111" s="200">
        <f ca="1">W2111*'Expenditure Study'!$B$31</f>
        <v>51245.796866879995</v>
      </c>
      <c r="Y2111" s="199">
        <f ca="1">U2111*'Expenditure Study'!$B$31</f>
        <v>1276430.08384416</v>
      </c>
      <c r="Z2111" s="200">
        <f ca="1">W2111*'Expenditure Study'!$B$31</f>
        <v>51245.796866879995</v>
      </c>
      <c r="AA2111" s="195">
        <f t="shared" ca="1" si="456"/>
        <v>1327675.88071104</v>
      </c>
      <c r="AB2111" s="195">
        <f t="shared" ca="1" si="457"/>
        <v>1327675.88071104</v>
      </c>
      <c r="AD2111" s="196">
        <f>IFERROR($G2111/SUMIF($A:$A,$A2111,$G:$G)*SUMIF(Summary!$A$166:$A$242,$A2111,Summary!$P$166:$P$242),0)</f>
        <v>1057231.1903215263</v>
      </c>
      <c r="AE2111" s="197">
        <f t="shared" ca="1" si="458"/>
        <v>270444.69038951374</v>
      </c>
      <c r="AF2111" s="196">
        <f>IFERROR(G2111/SUMIF(A:A,A2111,G:G)*SUMIF(Summary!$A$166:$A$242,'Operations Support'!A2111,Summary!$Q$166:$Q$242),0)</f>
        <v>1063223.2952787899</v>
      </c>
      <c r="AG2111" s="196">
        <f t="shared" ca="1" si="459"/>
        <v>264452.58543225005</v>
      </c>
      <c r="AI2111" s="196">
        <f>IFERROR($G2111/SUMIF($A:$A,$A2111,$G:$G)*SUMIF(Summary!$A$247:$A$283,$A2111,Summary!$P$247:$P$283),0)</f>
        <v>192812.58620438149</v>
      </c>
      <c r="AJ2111" s="196">
        <f>IFERROR($G2111/SUMIF($A:$A,$A2111,$G:$G)*(SUMIF(Summary!$A$247:$A$283,$A2111,Summary!$L$247:$L$283)+SUMIF(Summary!$A$297:$A$333,$A2111,Summary!$L$297:$L$333))-AI2111,0)</f>
        <v>803793.28815877531</v>
      </c>
      <c r="AK2111" s="196">
        <f>IFERROR($G2111/SUMIF($A:$A,$A2111,$G:$G)*SUMIF(Summary!$A$247:$A$283,$A2111,Summary!$Q$247:$Q$283),0)</f>
        <v>193905.39661727397</v>
      </c>
      <c r="AL2111" s="196">
        <f>IFERROR($G2111/SUMIF($A:$A,$A2111,$G:$G)*(SUMIF(Summary!$A$247:$A$283,$A2111,Summary!$L$247:$L$283)+SUMIF(Summary!$A$297:$A$333,$A2111,Summary!$L$297:$L$333))-AK2111,0)</f>
        <v>802700.4777458827</v>
      </c>
      <c r="AM2111" s="198"/>
      <c r="AN2111" s="196">
        <f t="shared" ca="1" si="460"/>
        <v>1074237.978548289</v>
      </c>
      <c r="AO2111" s="196">
        <f t="shared" ca="1" si="461"/>
        <v>1067153.0631781328</v>
      </c>
    </row>
    <row r="2112" spans="1:41" s="201" customFormat="1">
      <c r="A2112" s="189">
        <v>3658</v>
      </c>
      <c r="B2112" s="190">
        <v>1</v>
      </c>
      <c r="C2112" s="191" t="s">
        <v>227</v>
      </c>
      <c r="D2112" s="192">
        <f t="shared" si="448"/>
        <v>0</v>
      </c>
      <c r="E2112" s="192">
        <f t="shared" si="449"/>
        <v>0</v>
      </c>
      <c r="F2112" s="192">
        <f t="shared" si="450"/>
        <v>0</v>
      </c>
      <c r="G2112" s="193">
        <f t="shared" si="451"/>
        <v>0</v>
      </c>
      <c r="H2112" s="194">
        <v>0</v>
      </c>
      <c r="I2112" s="194">
        <v>0</v>
      </c>
      <c r="J2112" s="194">
        <v>0</v>
      </c>
      <c r="K2112" s="193">
        <f t="shared" si="452"/>
        <v>0</v>
      </c>
      <c r="L2112" s="194">
        <v>0</v>
      </c>
      <c r="M2112" s="194">
        <v>0</v>
      </c>
      <c r="N2112" s="194">
        <v>0</v>
      </c>
      <c r="O2112" s="193">
        <f t="shared" si="453"/>
        <v>0</v>
      </c>
      <c r="P2112" s="194">
        <v>0</v>
      </c>
      <c r="Q2112" s="194">
        <v>0</v>
      </c>
      <c r="R2112" s="194">
        <v>0</v>
      </c>
      <c r="S2112" s="193">
        <f t="shared" si="454"/>
        <v>0</v>
      </c>
      <c r="T2112" s="193">
        <f t="shared" si="455"/>
        <v>0</v>
      </c>
      <c r="U2112" s="193">
        <f ca="1">OFFSET('Expenditure Study'!$B$7,'Operations Support'!$C2112,'Operations Support'!$B2112)*$G2112</f>
        <v>0</v>
      </c>
      <c r="V2112" s="199">
        <f ca="1">U2112*'Expenditure Study'!$B$31</f>
        <v>0</v>
      </c>
      <c r="W2112" s="199">
        <f ca="1">IF(A2112=10298,1.51,1)*IF($B2112&lt;3,$D2112*'Expenditure Study'!$B$32*OFFSET('Expenditure Study'!$B$7,'Operations Support'!$C2112,'Operations Support'!$B2112),0)</f>
        <v>0</v>
      </c>
      <c r="X2112" s="200">
        <f ca="1">W2112*'Expenditure Study'!$B$31</f>
        <v>0</v>
      </c>
      <c r="Y2112" s="199">
        <f ca="1">U2112*'Expenditure Study'!$B$31</f>
        <v>0</v>
      </c>
      <c r="Z2112" s="200">
        <f ca="1">W2112*'Expenditure Study'!$B$31</f>
        <v>0</v>
      </c>
      <c r="AA2112" s="195">
        <f t="shared" ca="1" si="456"/>
        <v>0</v>
      </c>
      <c r="AB2112" s="195">
        <f t="shared" ca="1" si="457"/>
        <v>0</v>
      </c>
      <c r="AD2112" s="196">
        <f>IFERROR($G2112/SUMIF($A:$A,$A2112,$G:$G)*SUMIF(Summary!$A$166:$A$242,$A2112,Summary!$P$166:$P$242),0)</f>
        <v>0</v>
      </c>
      <c r="AE2112" s="197">
        <f t="shared" ca="1" si="458"/>
        <v>0</v>
      </c>
      <c r="AF2112" s="196">
        <f>IFERROR(G2112/SUMIF(A:A,A2112,G:G)*SUMIF(Summary!$A$166:$A$242,'Operations Support'!A2112,Summary!$Q$166:$Q$242),0)</f>
        <v>0</v>
      </c>
      <c r="AG2112" s="196">
        <f t="shared" ca="1" si="459"/>
        <v>0</v>
      </c>
      <c r="AH2112" s="180"/>
      <c r="AI2112" s="196">
        <f>IFERROR($G2112/SUMIF($A:$A,$A2112,$G:$G)*SUMIF(Summary!$A$247:$A$283,$A2112,Summary!$P$247:$P$283),0)</f>
        <v>0</v>
      </c>
      <c r="AJ2112" s="196">
        <f>IFERROR($G2112/SUMIF($A:$A,$A2112,$G:$G)*(SUMIF(Summary!$A$247:$A$283,$A2112,Summary!$L$247:$L$283)+SUMIF(Summary!$A$297:$A$333,$A2112,Summary!$L$297:$L$333))-AI2112,0)</f>
        <v>0</v>
      </c>
      <c r="AK2112" s="196">
        <f>IFERROR($G2112/SUMIF($A:$A,$A2112,$G:$G)*SUMIF(Summary!$A$247:$A$283,$A2112,Summary!$Q$247:$Q$283),0)</f>
        <v>0</v>
      </c>
      <c r="AL2112" s="196">
        <f>IFERROR($G2112/SUMIF($A:$A,$A2112,$G:$G)*(SUMIF(Summary!$A$247:$A$283,$A2112,Summary!$L$247:$L$283)+SUMIF(Summary!$A$297:$A$333,$A2112,Summary!$L$297:$L$333))-AK2112,0)</f>
        <v>0</v>
      </c>
      <c r="AM2112" s="198"/>
      <c r="AN2112" s="196">
        <f t="shared" ca="1" si="460"/>
        <v>0</v>
      </c>
      <c r="AO2112" s="196">
        <f t="shared" ca="1" si="461"/>
        <v>0</v>
      </c>
    </row>
    <row r="2113" spans="1:41" s="201" customFormat="1">
      <c r="A2113" s="189">
        <v>3658</v>
      </c>
      <c r="B2113" s="190">
        <v>1</v>
      </c>
      <c r="C2113" s="191" t="s">
        <v>228</v>
      </c>
      <c r="D2113" s="192">
        <f t="shared" si="448"/>
        <v>138.5</v>
      </c>
      <c r="E2113" s="192">
        <f t="shared" si="449"/>
        <v>1914.5</v>
      </c>
      <c r="F2113" s="192">
        <f t="shared" si="450"/>
        <v>0</v>
      </c>
      <c r="G2113" s="193">
        <f t="shared" si="451"/>
        <v>2053</v>
      </c>
      <c r="H2113" s="194">
        <v>136.5</v>
      </c>
      <c r="I2113" s="194">
        <v>790.5</v>
      </c>
      <c r="J2113" s="194">
        <v>0</v>
      </c>
      <c r="K2113" s="193">
        <f t="shared" si="452"/>
        <v>927</v>
      </c>
      <c r="L2113" s="194">
        <v>0</v>
      </c>
      <c r="M2113" s="194">
        <v>1104</v>
      </c>
      <c r="N2113" s="194">
        <v>0</v>
      </c>
      <c r="O2113" s="193">
        <f t="shared" si="453"/>
        <v>1104</v>
      </c>
      <c r="P2113" s="194">
        <v>2</v>
      </c>
      <c r="Q2113" s="194">
        <v>20</v>
      </c>
      <c r="R2113" s="194">
        <v>0</v>
      </c>
      <c r="S2113" s="193">
        <f t="shared" si="454"/>
        <v>22</v>
      </c>
      <c r="T2113" s="193">
        <f t="shared" si="455"/>
        <v>68.433333333333337</v>
      </c>
      <c r="U2113" s="193">
        <f ca="1">OFFSET('Expenditure Study'!$B$7,'Operations Support'!$C2113,'Operations Support'!$B2113)*$G2113</f>
        <v>3243.7400000000002</v>
      </c>
      <c r="V2113" s="199">
        <f ca="1">U2113*'Expenditure Study'!$B$31</f>
        <v>191650.476888192</v>
      </c>
      <c r="W2113" s="199">
        <f ca="1">IF(A2113=10298,1.51,1)*IF($B2113&lt;3,$D2113*'Expenditure Study'!$B$32*OFFSET('Expenditure Study'!$B$7,'Operations Support'!$C2113,'Operations Support'!$B2113),0)</f>
        <v>21.883000000000003</v>
      </c>
      <c r="X2113" s="200">
        <f ca="1">W2113*'Expenditure Study'!$B$31</f>
        <v>1292.9172454464001</v>
      </c>
      <c r="Y2113" s="199">
        <f ca="1">U2113*'Expenditure Study'!$B$31</f>
        <v>191650.476888192</v>
      </c>
      <c r="Z2113" s="200">
        <f ca="1">W2113*'Expenditure Study'!$B$31</f>
        <v>1292.9172454464001</v>
      </c>
      <c r="AA2113" s="195">
        <f t="shared" ca="1" si="456"/>
        <v>192943.39413363842</v>
      </c>
      <c r="AB2113" s="195">
        <f t="shared" ca="1" si="457"/>
        <v>192943.39413363842</v>
      </c>
      <c r="AD2113" s="196">
        <f>IFERROR($G2113/SUMIF($A:$A,$A2113,$G:$G)*SUMIF(Summary!$A$166:$A$242,$A2113,Summary!$P$166:$P$242),0)</f>
        <v>95444.159611718627</v>
      </c>
      <c r="AE2113" s="197">
        <f t="shared" ca="1" si="458"/>
        <v>97499.234521919789</v>
      </c>
      <c r="AF2113" s="196">
        <f>IFERROR(G2113/SUMIF(A:A,A2113,G:G)*SUMIF(Summary!$A$166:$A$242,'Operations Support'!A2113,Summary!$Q$166:$Q$242),0)</f>
        <v>95985.111701655856</v>
      </c>
      <c r="AG2113" s="196">
        <f t="shared" ca="1" si="459"/>
        <v>96958.28243198256</v>
      </c>
      <c r="AH2113" s="180"/>
      <c r="AI2113" s="196">
        <f>IFERROR($G2113/SUMIF($A:$A,$A2113,$G:$G)*SUMIF(Summary!$A$247:$A$283,$A2113,Summary!$P$247:$P$283),0)</f>
        <v>17406.63293072403</v>
      </c>
      <c r="AJ2113" s="196">
        <f>IFERROR($G2113/SUMIF($A:$A,$A2113,$G:$G)*(SUMIF(Summary!$A$247:$A$283,$A2113,Summary!$L$247:$L$283)+SUMIF(Summary!$A$297:$A$333,$A2113,Summary!$L$297:$L$333))-AI2113,0)</f>
        <v>72564.426392417459</v>
      </c>
      <c r="AK2113" s="196">
        <f>IFERROR($G2113/SUMIF($A:$A,$A2113,$G:$G)*SUMIF(Summary!$A$247:$A$283,$A2113,Summary!$Q$247:$Q$283),0)</f>
        <v>17505.289092619652</v>
      </c>
      <c r="AL2113" s="196">
        <f>IFERROR($G2113/SUMIF($A:$A,$A2113,$G:$G)*(SUMIF(Summary!$A$247:$A$283,$A2113,Summary!$L$247:$L$283)+SUMIF(Summary!$A$297:$A$333,$A2113,Summary!$L$297:$L$333))-AK2113,0)</f>
        <v>72465.770230521841</v>
      </c>
      <c r="AM2113" s="198"/>
      <c r="AN2113" s="196">
        <f t="shared" ca="1" si="460"/>
        <v>170063.66091433726</v>
      </c>
      <c r="AO2113" s="196">
        <f t="shared" ca="1" si="461"/>
        <v>169424.0526625044</v>
      </c>
    </row>
    <row r="2114" spans="1:41">
      <c r="A2114" s="189">
        <v>3658</v>
      </c>
      <c r="B2114" s="190">
        <v>1</v>
      </c>
      <c r="C2114" s="191" t="s">
        <v>229</v>
      </c>
      <c r="D2114" s="192">
        <f t="shared" si="448"/>
        <v>0</v>
      </c>
      <c r="E2114" s="192">
        <f t="shared" si="449"/>
        <v>0</v>
      </c>
      <c r="F2114" s="192">
        <f t="shared" si="450"/>
        <v>0</v>
      </c>
      <c r="G2114" s="193">
        <f t="shared" si="451"/>
        <v>0</v>
      </c>
      <c r="H2114" s="194">
        <v>0</v>
      </c>
      <c r="I2114" s="194">
        <v>0</v>
      </c>
      <c r="J2114" s="194">
        <v>0</v>
      </c>
      <c r="K2114" s="193">
        <f t="shared" si="452"/>
        <v>0</v>
      </c>
      <c r="L2114" s="194">
        <v>0</v>
      </c>
      <c r="M2114" s="194">
        <v>0</v>
      </c>
      <c r="N2114" s="194">
        <v>0</v>
      </c>
      <c r="O2114" s="193">
        <f t="shared" si="453"/>
        <v>0</v>
      </c>
      <c r="P2114" s="194">
        <v>0</v>
      </c>
      <c r="Q2114" s="194">
        <v>0</v>
      </c>
      <c r="R2114" s="194">
        <v>0</v>
      </c>
      <c r="S2114" s="193">
        <f t="shared" si="454"/>
        <v>0</v>
      </c>
      <c r="T2114" s="193">
        <f t="shared" si="455"/>
        <v>0</v>
      </c>
      <c r="U2114" s="193">
        <f ca="1">OFFSET('Expenditure Study'!$B$7,'Operations Support'!$C2114,'Operations Support'!$B2114)*$G2114</f>
        <v>0</v>
      </c>
      <c r="V2114" s="199">
        <f ca="1">U2114*'Expenditure Study'!$B$31</f>
        <v>0</v>
      </c>
      <c r="W2114" s="199">
        <f ca="1">IF(A2114=10298,1.51,1)*IF($B2114&lt;3,$D2114*'Expenditure Study'!$B$32*OFFSET('Expenditure Study'!$B$7,'Operations Support'!$C2114,'Operations Support'!$B2114),0)</f>
        <v>0</v>
      </c>
      <c r="X2114" s="200">
        <f ca="1">W2114*'Expenditure Study'!$B$31</f>
        <v>0</v>
      </c>
      <c r="Y2114" s="199">
        <f ca="1">U2114*'Expenditure Study'!$B$31</f>
        <v>0</v>
      </c>
      <c r="Z2114" s="200">
        <f ca="1">W2114*'Expenditure Study'!$B$31</f>
        <v>0</v>
      </c>
      <c r="AA2114" s="195">
        <f t="shared" ca="1" si="456"/>
        <v>0</v>
      </c>
      <c r="AB2114" s="195">
        <f t="shared" ca="1" si="457"/>
        <v>0</v>
      </c>
      <c r="AD2114" s="196">
        <f>IFERROR($G2114/SUMIF($A:$A,$A2114,$G:$G)*SUMIF(Summary!$A$166:$A$242,$A2114,Summary!$P$166:$P$242),0)</f>
        <v>0</v>
      </c>
      <c r="AE2114" s="197">
        <f t="shared" ca="1" si="458"/>
        <v>0</v>
      </c>
      <c r="AF2114" s="196">
        <f>IFERROR(G2114/SUMIF(A:A,A2114,G:G)*SUMIF(Summary!$A$166:$A$242,'Operations Support'!A2114,Summary!$Q$166:$Q$242),0)</f>
        <v>0</v>
      </c>
      <c r="AG2114" s="196">
        <f t="shared" ca="1" si="459"/>
        <v>0</v>
      </c>
      <c r="AI2114" s="196">
        <f>IFERROR($G2114/SUMIF($A:$A,$A2114,$G:$G)*SUMIF(Summary!$A$247:$A$283,$A2114,Summary!$P$247:$P$283),0)</f>
        <v>0</v>
      </c>
      <c r="AJ2114" s="196">
        <f>IFERROR($G2114/SUMIF($A:$A,$A2114,$G:$G)*(SUMIF(Summary!$A$247:$A$283,$A2114,Summary!$L$247:$L$283)+SUMIF(Summary!$A$297:$A$333,$A2114,Summary!$L$297:$L$333))-AI2114,0)</f>
        <v>0</v>
      </c>
      <c r="AK2114" s="196">
        <f>IFERROR($G2114/SUMIF($A:$A,$A2114,$G:$G)*SUMIF(Summary!$A$247:$A$283,$A2114,Summary!$Q$247:$Q$283),0)</f>
        <v>0</v>
      </c>
      <c r="AL2114" s="196">
        <f>IFERROR($G2114/SUMIF($A:$A,$A2114,$G:$G)*(SUMIF(Summary!$A$247:$A$283,$A2114,Summary!$L$247:$L$283)+SUMIF(Summary!$A$297:$A$333,$A2114,Summary!$L$297:$L$333))-AK2114,0)</f>
        <v>0</v>
      </c>
      <c r="AM2114" s="198"/>
      <c r="AN2114" s="196">
        <f t="shared" ca="1" si="460"/>
        <v>0</v>
      </c>
      <c r="AO2114" s="196">
        <f t="shared" ca="1" si="461"/>
        <v>0</v>
      </c>
    </row>
    <row r="2115" spans="1:41">
      <c r="A2115" s="189">
        <v>3658</v>
      </c>
      <c r="B2115" s="190">
        <v>1</v>
      </c>
      <c r="C2115" s="191" t="s">
        <v>230</v>
      </c>
      <c r="D2115" s="192">
        <f t="shared" si="448"/>
        <v>0</v>
      </c>
      <c r="E2115" s="192">
        <f t="shared" si="449"/>
        <v>0</v>
      </c>
      <c r="F2115" s="192">
        <f t="shared" si="450"/>
        <v>0</v>
      </c>
      <c r="G2115" s="193">
        <f t="shared" si="451"/>
        <v>0</v>
      </c>
      <c r="H2115" s="194">
        <v>0</v>
      </c>
      <c r="I2115" s="194">
        <v>0</v>
      </c>
      <c r="J2115" s="194">
        <v>0</v>
      </c>
      <c r="K2115" s="193">
        <f t="shared" si="452"/>
        <v>0</v>
      </c>
      <c r="L2115" s="194">
        <v>0</v>
      </c>
      <c r="M2115" s="194">
        <v>0</v>
      </c>
      <c r="N2115" s="194">
        <v>0</v>
      </c>
      <c r="O2115" s="193">
        <f t="shared" si="453"/>
        <v>0</v>
      </c>
      <c r="P2115" s="194">
        <v>0</v>
      </c>
      <c r="Q2115" s="194">
        <v>0</v>
      </c>
      <c r="R2115" s="194">
        <v>0</v>
      </c>
      <c r="S2115" s="193">
        <f t="shared" si="454"/>
        <v>0</v>
      </c>
      <c r="T2115" s="193">
        <f t="shared" si="455"/>
        <v>0</v>
      </c>
      <c r="U2115" s="193">
        <f ca="1">OFFSET('Expenditure Study'!$B$7,'Operations Support'!$C2115,'Operations Support'!$B2115)*$G2115</f>
        <v>0</v>
      </c>
      <c r="V2115" s="199">
        <f ca="1">U2115*'Expenditure Study'!$B$31</f>
        <v>0</v>
      </c>
      <c r="W2115" s="199">
        <f ca="1">IF(A2115=10298,1.51,1)*IF($B2115&lt;3,$D2115*'Expenditure Study'!$B$32*OFFSET('Expenditure Study'!$B$7,'Operations Support'!$C2115,'Operations Support'!$B2115),0)</f>
        <v>0</v>
      </c>
      <c r="X2115" s="200">
        <f ca="1">W2115*'Expenditure Study'!$B$31</f>
        <v>0</v>
      </c>
      <c r="Y2115" s="199">
        <f ca="1">U2115*'Expenditure Study'!$B$31</f>
        <v>0</v>
      </c>
      <c r="Z2115" s="200">
        <f ca="1">W2115*'Expenditure Study'!$B$31</f>
        <v>0</v>
      </c>
      <c r="AA2115" s="195">
        <f t="shared" ca="1" si="456"/>
        <v>0</v>
      </c>
      <c r="AB2115" s="195">
        <f t="shared" ca="1" si="457"/>
        <v>0</v>
      </c>
      <c r="AD2115" s="196">
        <f>IFERROR($G2115/SUMIF($A:$A,$A2115,$G:$G)*SUMIF(Summary!$A$166:$A$242,$A2115,Summary!$P$166:$P$242),0)</f>
        <v>0</v>
      </c>
      <c r="AE2115" s="197">
        <f t="shared" ca="1" si="458"/>
        <v>0</v>
      </c>
      <c r="AF2115" s="196">
        <f>IFERROR(G2115/SUMIF(A:A,A2115,G:G)*SUMIF(Summary!$A$166:$A$242,'Operations Support'!A2115,Summary!$Q$166:$Q$242),0)</f>
        <v>0</v>
      </c>
      <c r="AG2115" s="196">
        <f t="shared" ca="1" si="459"/>
        <v>0</v>
      </c>
      <c r="AI2115" s="196">
        <f>IFERROR($G2115/SUMIF($A:$A,$A2115,$G:$G)*SUMIF(Summary!$A$247:$A$283,$A2115,Summary!$P$247:$P$283),0)</f>
        <v>0</v>
      </c>
      <c r="AJ2115" s="196">
        <f>IFERROR($G2115/SUMIF($A:$A,$A2115,$G:$G)*(SUMIF(Summary!$A$247:$A$283,$A2115,Summary!$L$247:$L$283)+SUMIF(Summary!$A$297:$A$333,$A2115,Summary!$L$297:$L$333))-AI2115,0)</f>
        <v>0</v>
      </c>
      <c r="AK2115" s="196">
        <f>IFERROR($G2115/SUMIF($A:$A,$A2115,$G:$G)*SUMIF(Summary!$A$247:$A$283,$A2115,Summary!$Q$247:$Q$283),0)</f>
        <v>0</v>
      </c>
      <c r="AL2115" s="196">
        <f>IFERROR($G2115/SUMIF($A:$A,$A2115,$G:$G)*(SUMIF(Summary!$A$247:$A$283,$A2115,Summary!$L$247:$L$283)+SUMIF(Summary!$A$297:$A$333,$A2115,Summary!$L$297:$L$333))-AK2115,0)</f>
        <v>0</v>
      </c>
      <c r="AM2115" s="198"/>
      <c r="AN2115" s="196">
        <f t="shared" ca="1" si="460"/>
        <v>0</v>
      </c>
      <c r="AO2115" s="196">
        <f t="shared" ca="1" si="461"/>
        <v>0</v>
      </c>
    </row>
    <row r="2116" spans="1:41">
      <c r="A2116" s="189">
        <v>3658</v>
      </c>
      <c r="B2116" s="190">
        <v>1</v>
      </c>
      <c r="C2116" s="191" t="s">
        <v>231</v>
      </c>
      <c r="D2116" s="192">
        <f t="shared" si="448"/>
        <v>0</v>
      </c>
      <c r="E2116" s="192">
        <f t="shared" si="449"/>
        <v>0</v>
      </c>
      <c r="F2116" s="192">
        <f t="shared" si="450"/>
        <v>0</v>
      </c>
      <c r="G2116" s="193">
        <f t="shared" si="451"/>
        <v>0</v>
      </c>
      <c r="H2116" s="194">
        <v>0</v>
      </c>
      <c r="I2116" s="194">
        <v>0</v>
      </c>
      <c r="J2116" s="194">
        <v>0</v>
      </c>
      <c r="K2116" s="193">
        <f t="shared" si="452"/>
        <v>0</v>
      </c>
      <c r="L2116" s="194">
        <v>0</v>
      </c>
      <c r="M2116" s="194">
        <v>0</v>
      </c>
      <c r="N2116" s="194">
        <v>0</v>
      </c>
      <c r="O2116" s="193">
        <f t="shared" si="453"/>
        <v>0</v>
      </c>
      <c r="P2116" s="194">
        <v>0</v>
      </c>
      <c r="Q2116" s="194">
        <v>0</v>
      </c>
      <c r="R2116" s="194">
        <v>0</v>
      </c>
      <c r="S2116" s="193">
        <f t="shared" si="454"/>
        <v>0</v>
      </c>
      <c r="T2116" s="193">
        <f t="shared" si="455"/>
        <v>0</v>
      </c>
      <c r="U2116" s="193">
        <f ca="1">OFFSET('Expenditure Study'!$B$7,'Operations Support'!$C2116,'Operations Support'!$B2116)*$G2116</f>
        <v>0</v>
      </c>
      <c r="V2116" s="199">
        <f ca="1">U2116*'Expenditure Study'!$B$31</f>
        <v>0</v>
      </c>
      <c r="W2116" s="199">
        <f ca="1">IF(A2116=10298,1.51,1)*IF($B2116&lt;3,$D2116*'Expenditure Study'!$B$32*OFFSET('Expenditure Study'!$B$7,'Operations Support'!$C2116,'Operations Support'!$B2116),0)</f>
        <v>0</v>
      </c>
      <c r="X2116" s="200">
        <f ca="1">W2116*'Expenditure Study'!$B$31</f>
        <v>0</v>
      </c>
      <c r="Y2116" s="199">
        <f ca="1">U2116*'Expenditure Study'!$B$31</f>
        <v>0</v>
      </c>
      <c r="Z2116" s="200">
        <f ca="1">W2116*'Expenditure Study'!$B$31</f>
        <v>0</v>
      </c>
      <c r="AA2116" s="195">
        <f t="shared" ca="1" si="456"/>
        <v>0</v>
      </c>
      <c r="AB2116" s="195">
        <f t="shared" ca="1" si="457"/>
        <v>0</v>
      </c>
      <c r="AD2116" s="196">
        <f>IFERROR($G2116/SUMIF($A:$A,$A2116,$G:$G)*SUMIF(Summary!$A$166:$A$242,$A2116,Summary!$P$166:$P$242),0)</f>
        <v>0</v>
      </c>
      <c r="AE2116" s="197">
        <f t="shared" ca="1" si="458"/>
        <v>0</v>
      </c>
      <c r="AF2116" s="196">
        <f>IFERROR(G2116/SUMIF(A:A,A2116,G:G)*SUMIF(Summary!$A$166:$A$242,'Operations Support'!A2116,Summary!$Q$166:$Q$242),0)</f>
        <v>0</v>
      </c>
      <c r="AG2116" s="196">
        <f t="shared" ca="1" si="459"/>
        <v>0</v>
      </c>
      <c r="AI2116" s="196">
        <f>IFERROR($G2116/SUMIF($A:$A,$A2116,$G:$G)*SUMIF(Summary!$A$247:$A$283,$A2116,Summary!$P$247:$P$283),0)</f>
        <v>0</v>
      </c>
      <c r="AJ2116" s="196">
        <f>IFERROR($G2116/SUMIF($A:$A,$A2116,$G:$G)*(SUMIF(Summary!$A$247:$A$283,$A2116,Summary!$L$247:$L$283)+SUMIF(Summary!$A$297:$A$333,$A2116,Summary!$L$297:$L$333))-AI2116,0)</f>
        <v>0</v>
      </c>
      <c r="AK2116" s="196">
        <f>IFERROR($G2116/SUMIF($A:$A,$A2116,$G:$G)*SUMIF(Summary!$A$247:$A$283,$A2116,Summary!$Q$247:$Q$283),0)</f>
        <v>0</v>
      </c>
      <c r="AL2116" s="196">
        <f>IFERROR($G2116/SUMIF($A:$A,$A2116,$G:$G)*(SUMIF(Summary!$A$247:$A$283,$A2116,Summary!$L$247:$L$283)+SUMIF(Summary!$A$297:$A$333,$A2116,Summary!$L$297:$L$333))-AK2116,0)</f>
        <v>0</v>
      </c>
      <c r="AM2116" s="198"/>
      <c r="AN2116" s="196">
        <f t="shared" ca="1" si="460"/>
        <v>0</v>
      </c>
      <c r="AO2116" s="196">
        <f t="shared" ca="1" si="461"/>
        <v>0</v>
      </c>
    </row>
    <row r="2117" spans="1:41">
      <c r="A2117" s="189">
        <v>3658</v>
      </c>
      <c r="B2117" s="190">
        <v>1</v>
      </c>
      <c r="C2117" s="191" t="s">
        <v>232</v>
      </c>
      <c r="D2117" s="192">
        <f t="shared" ref="D2117:D2180" si="462">H2117+L2117+P2117</f>
        <v>0</v>
      </c>
      <c r="E2117" s="192">
        <f t="shared" ref="E2117:E2180" si="463">I2117+M2117+Q2117</f>
        <v>0</v>
      </c>
      <c r="F2117" s="192">
        <f t="shared" ref="F2117:F2180" si="464">J2117+N2117+R2117</f>
        <v>0</v>
      </c>
      <c r="G2117" s="193">
        <f t="shared" ref="G2117:G2180" si="465">(SUM(D2117:E2117)-F2117)*IF(A2117=10298,1.51,1)</f>
        <v>0</v>
      </c>
      <c r="H2117" s="194">
        <v>0</v>
      </c>
      <c r="I2117" s="194">
        <v>0</v>
      </c>
      <c r="J2117" s="194">
        <v>0</v>
      </c>
      <c r="K2117" s="193">
        <f t="shared" ref="K2117:K2180" si="466">SUM(H2117:I2117)-J2117</f>
        <v>0</v>
      </c>
      <c r="L2117" s="194">
        <v>0</v>
      </c>
      <c r="M2117" s="194">
        <v>0</v>
      </c>
      <c r="N2117" s="194">
        <v>0</v>
      </c>
      <c r="O2117" s="193">
        <f t="shared" ref="O2117:O2180" si="467">SUM(L2117:M2117)-N2117</f>
        <v>0</v>
      </c>
      <c r="P2117" s="194">
        <v>0</v>
      </c>
      <c r="Q2117" s="194">
        <v>0</v>
      </c>
      <c r="R2117" s="194">
        <v>0</v>
      </c>
      <c r="S2117" s="193">
        <f t="shared" ref="S2117:S2180" si="468">SUM(P2117:Q2117)-R2117</f>
        <v>0</v>
      </c>
      <c r="T2117" s="193">
        <f t="shared" ref="T2117:T2180" si="469">IF(OR(B2117=1,B2117=2),G2117/30,IF(OR(B2117=3,B2117=5),G2117/24,IF(B2117=4,G2117/18,0)))</f>
        <v>0</v>
      </c>
      <c r="U2117" s="193">
        <f ca="1">OFFSET('Expenditure Study'!$B$7,'Operations Support'!$C2117,'Operations Support'!$B2117)*$G2117</f>
        <v>0</v>
      </c>
      <c r="V2117" s="199">
        <f ca="1">U2117*'Expenditure Study'!$B$31</f>
        <v>0</v>
      </c>
      <c r="W2117" s="199">
        <f ca="1">IF(A2117=10298,1.51,1)*IF($B2117&lt;3,$D2117*'Expenditure Study'!$B$32*OFFSET('Expenditure Study'!$B$7,'Operations Support'!$C2117,'Operations Support'!$B2117),0)</f>
        <v>0</v>
      </c>
      <c r="X2117" s="200">
        <f ca="1">W2117*'Expenditure Study'!$B$31</f>
        <v>0</v>
      </c>
      <c r="Y2117" s="199">
        <f ca="1">U2117*'Expenditure Study'!$B$31</f>
        <v>0</v>
      </c>
      <c r="Z2117" s="200">
        <f ca="1">W2117*'Expenditure Study'!$B$31</f>
        <v>0</v>
      </c>
      <c r="AA2117" s="195">
        <f t="shared" ref="AA2117:AA2180" ca="1" si="470">V2117+X2117</f>
        <v>0</v>
      </c>
      <c r="AB2117" s="195">
        <f t="shared" ref="AB2117:AB2180" ca="1" si="471">Y2117+Z2117</f>
        <v>0</v>
      </c>
      <c r="AD2117" s="196">
        <f>IFERROR($G2117/SUMIF($A:$A,$A2117,$G:$G)*SUMIF(Summary!$A$166:$A$242,$A2117,Summary!$P$166:$P$242),0)</f>
        <v>0</v>
      </c>
      <c r="AE2117" s="197">
        <f t="shared" ca="1" si="458"/>
        <v>0</v>
      </c>
      <c r="AF2117" s="196">
        <f>IFERROR(G2117/SUMIF(A:A,A2117,G:G)*SUMIF(Summary!$A$166:$A$242,'Operations Support'!A2117,Summary!$Q$166:$Q$242),0)</f>
        <v>0</v>
      </c>
      <c r="AG2117" s="196">
        <f t="shared" ca="1" si="459"/>
        <v>0</v>
      </c>
      <c r="AI2117" s="196">
        <f>IFERROR($G2117/SUMIF($A:$A,$A2117,$G:$G)*SUMIF(Summary!$A$247:$A$283,$A2117,Summary!$P$247:$P$283),0)</f>
        <v>0</v>
      </c>
      <c r="AJ2117" s="196">
        <f>IFERROR($G2117/SUMIF($A:$A,$A2117,$G:$G)*(SUMIF(Summary!$A$247:$A$283,$A2117,Summary!$L$247:$L$283)+SUMIF(Summary!$A$297:$A$333,$A2117,Summary!$L$297:$L$333))-AI2117,0)</f>
        <v>0</v>
      </c>
      <c r="AK2117" s="196">
        <f>IFERROR($G2117/SUMIF($A:$A,$A2117,$G:$G)*SUMIF(Summary!$A$247:$A$283,$A2117,Summary!$Q$247:$Q$283),0)</f>
        <v>0</v>
      </c>
      <c r="AL2117" s="196">
        <f>IFERROR($G2117/SUMIF($A:$A,$A2117,$G:$G)*(SUMIF(Summary!$A$247:$A$283,$A2117,Summary!$L$247:$L$283)+SUMIF(Summary!$A$297:$A$333,$A2117,Summary!$L$297:$L$333))-AK2117,0)</f>
        <v>0</v>
      </c>
      <c r="AM2117" s="198"/>
      <c r="AN2117" s="196">
        <f t="shared" ca="1" si="460"/>
        <v>0</v>
      </c>
      <c r="AO2117" s="196">
        <f t="shared" ca="1" si="461"/>
        <v>0</v>
      </c>
    </row>
    <row r="2118" spans="1:41">
      <c r="A2118" s="189">
        <v>3658</v>
      </c>
      <c r="B2118" s="190">
        <v>1</v>
      </c>
      <c r="C2118" s="191" t="s">
        <v>233</v>
      </c>
      <c r="D2118" s="192">
        <f t="shared" si="462"/>
        <v>609</v>
      </c>
      <c r="E2118" s="192">
        <f t="shared" si="463"/>
        <v>6275</v>
      </c>
      <c r="F2118" s="192">
        <f t="shared" si="464"/>
        <v>0</v>
      </c>
      <c r="G2118" s="193">
        <f t="shared" si="465"/>
        <v>6884</v>
      </c>
      <c r="H2118" s="194">
        <v>369</v>
      </c>
      <c r="I2118" s="194">
        <v>2731</v>
      </c>
      <c r="J2118" s="194">
        <v>0</v>
      </c>
      <c r="K2118" s="193">
        <f t="shared" si="466"/>
        <v>3100</v>
      </c>
      <c r="L2118" s="194">
        <v>186</v>
      </c>
      <c r="M2118" s="194">
        <v>3241</v>
      </c>
      <c r="N2118" s="194">
        <v>0</v>
      </c>
      <c r="O2118" s="193">
        <f t="shared" si="467"/>
        <v>3427</v>
      </c>
      <c r="P2118" s="194">
        <v>54</v>
      </c>
      <c r="Q2118" s="194">
        <v>303</v>
      </c>
      <c r="R2118" s="194">
        <v>0</v>
      </c>
      <c r="S2118" s="193">
        <f t="shared" si="468"/>
        <v>357</v>
      </c>
      <c r="T2118" s="193">
        <f t="shared" si="469"/>
        <v>229.46666666666667</v>
      </c>
      <c r="U2118" s="193">
        <f ca="1">OFFSET('Expenditure Study'!$B$7,'Operations Support'!$C2118,'Operations Support'!$B2118)*$G2118</f>
        <v>6608.6399999999994</v>
      </c>
      <c r="V2118" s="199">
        <f ca="1">U2118*'Expenditure Study'!$B$31</f>
        <v>390459.47196211194</v>
      </c>
      <c r="W2118" s="199">
        <f ca="1">IF(A2118=10298,1.51,1)*IF($B2118&lt;3,$D2118*'Expenditure Study'!$B$32*OFFSET('Expenditure Study'!$B$7,'Operations Support'!$C2118,'Operations Support'!$B2118),0)</f>
        <v>58.464000000000006</v>
      </c>
      <c r="X2118" s="200">
        <f ca="1">W2118*'Expenditure Study'!$B$31</f>
        <v>3454.2390822912002</v>
      </c>
      <c r="Y2118" s="199">
        <f ca="1">U2118*'Expenditure Study'!$B$31</f>
        <v>390459.47196211194</v>
      </c>
      <c r="Z2118" s="200">
        <f ca="1">W2118*'Expenditure Study'!$B$31</f>
        <v>3454.2390822912002</v>
      </c>
      <c r="AA2118" s="195">
        <f t="shared" ca="1" si="470"/>
        <v>393913.71104440314</v>
      </c>
      <c r="AB2118" s="195">
        <f t="shared" ca="1" si="471"/>
        <v>393913.71104440314</v>
      </c>
      <c r="AD2118" s="196">
        <f>IFERROR($G2118/SUMIF($A:$A,$A2118,$G:$G)*SUMIF(Summary!$A$166:$A$242,$A2118,Summary!$P$166:$P$242),0)</f>
        <v>320037.79579496884</v>
      </c>
      <c r="AE2118" s="197">
        <f t="shared" ref="AE2118:AE2181" ca="1" si="472">V2118+X2118-AD2118</f>
        <v>73875.9152494343</v>
      </c>
      <c r="AF2118" s="196">
        <f>IFERROR(G2118/SUMIF(A:A,A2118,G:G)*SUMIF(Summary!$A$166:$A$242,'Operations Support'!A2118,Summary!$Q$166:$Q$242),0)</f>
        <v>321851.68482912757</v>
      </c>
      <c r="AG2118" s="196">
        <f t="shared" ref="AG2118:AG2181" ca="1" si="473">Y2118+Z2118-AF2118</f>
        <v>72062.026215275575</v>
      </c>
      <c r="AI2118" s="196">
        <f>IFERROR($G2118/SUMIF($A:$A,$A2118,$G:$G)*SUMIF(Summary!$A$247:$A$283,$A2118,Summary!$P$247:$P$283),0)</f>
        <v>58366.907498833039</v>
      </c>
      <c r="AJ2118" s="196">
        <f>IFERROR($G2118/SUMIF($A:$A,$A2118,$G:$G)*(SUMIF(Summary!$A$247:$A$283,$A2118,Summary!$L$247:$L$283)+SUMIF(Summary!$A$297:$A$333,$A2118,Summary!$L$297:$L$333))-AI2118,0)</f>
        <v>243318.80725056108</v>
      </c>
      <c r="AK2118" s="196">
        <f>IFERROR($G2118/SUMIF($A:$A,$A2118,$G:$G)*SUMIF(Summary!$A$247:$A$283,$A2118,Summary!$Q$247:$Q$283),0)</f>
        <v>58697.715593567307</v>
      </c>
      <c r="AL2118" s="196">
        <f>IFERROR($G2118/SUMIF($A:$A,$A2118,$G:$G)*(SUMIF(Summary!$A$247:$A$283,$A2118,Summary!$L$247:$L$283)+SUMIF(Summary!$A$297:$A$333,$A2118,Summary!$L$297:$L$333))-AK2118,0)</f>
        <v>242987.99915582681</v>
      </c>
      <c r="AM2118" s="198"/>
      <c r="AN2118" s="196">
        <f t="shared" ref="AN2118:AN2181" ca="1" si="474">AE2118+AJ2118</f>
        <v>317194.72249999538</v>
      </c>
      <c r="AO2118" s="196">
        <f t="shared" ref="AO2118:AO2181" ca="1" si="475">AG2118+AL2118</f>
        <v>315050.02537110238</v>
      </c>
    </row>
    <row r="2119" spans="1:41">
      <c r="A2119" s="189">
        <v>3658</v>
      </c>
      <c r="B2119" s="190">
        <v>1</v>
      </c>
      <c r="C2119" s="191" t="s">
        <v>234</v>
      </c>
      <c r="D2119" s="192">
        <f t="shared" si="462"/>
        <v>0</v>
      </c>
      <c r="E2119" s="192">
        <f t="shared" si="463"/>
        <v>3</v>
      </c>
      <c r="F2119" s="192">
        <f t="shared" si="464"/>
        <v>0</v>
      </c>
      <c r="G2119" s="193">
        <f t="shared" si="465"/>
        <v>3</v>
      </c>
      <c r="H2119" s="194">
        <v>0</v>
      </c>
      <c r="I2119" s="194">
        <v>0</v>
      </c>
      <c r="J2119" s="194">
        <v>0</v>
      </c>
      <c r="K2119" s="193">
        <f t="shared" si="466"/>
        <v>0</v>
      </c>
      <c r="L2119" s="194">
        <v>0</v>
      </c>
      <c r="M2119" s="194">
        <v>0</v>
      </c>
      <c r="N2119" s="194">
        <v>0</v>
      </c>
      <c r="O2119" s="193">
        <f t="shared" si="467"/>
        <v>0</v>
      </c>
      <c r="P2119" s="194">
        <v>0</v>
      </c>
      <c r="Q2119" s="194">
        <v>3</v>
      </c>
      <c r="R2119" s="194">
        <v>0</v>
      </c>
      <c r="S2119" s="193">
        <f t="shared" si="468"/>
        <v>3</v>
      </c>
      <c r="T2119" s="193">
        <f t="shared" si="469"/>
        <v>0.1</v>
      </c>
      <c r="U2119" s="193">
        <f ca="1">OFFSET('Expenditure Study'!$B$7,'Operations Support'!$C2119,'Operations Support'!$B2119)*$G2119</f>
        <v>34.92</v>
      </c>
      <c r="V2119" s="199">
        <f ca="1">U2119*'Expenditure Study'!$B$31</f>
        <v>2063.184673536</v>
      </c>
      <c r="W2119" s="199">
        <f ca="1">IF(A2119=10298,1.51,1)*IF($B2119&lt;3,$D2119*'Expenditure Study'!$B$32*OFFSET('Expenditure Study'!$B$7,'Operations Support'!$C2119,'Operations Support'!$B2119),0)</f>
        <v>0</v>
      </c>
      <c r="X2119" s="200">
        <f ca="1">W2119*'Expenditure Study'!$B$31</f>
        <v>0</v>
      </c>
      <c r="Y2119" s="199">
        <f ca="1">U2119*'Expenditure Study'!$B$31</f>
        <v>2063.184673536</v>
      </c>
      <c r="Z2119" s="200">
        <f ca="1">W2119*'Expenditure Study'!$B$31</f>
        <v>0</v>
      </c>
      <c r="AA2119" s="195">
        <f t="shared" ca="1" si="470"/>
        <v>2063.184673536</v>
      </c>
      <c r="AB2119" s="195">
        <f t="shared" ca="1" si="471"/>
        <v>2063.184673536</v>
      </c>
      <c r="AD2119" s="196">
        <f>IFERROR($G2119/SUMIF($A:$A,$A2119,$G:$G)*SUMIF(Summary!$A$166:$A$242,$A2119,Summary!$P$166:$P$242),0)</f>
        <v>139.47027707508812</v>
      </c>
      <c r="AE2119" s="197">
        <f t="shared" ca="1" si="472"/>
        <v>1923.7143964609118</v>
      </c>
      <c r="AF2119" s="196">
        <f>IFERROR(G2119/SUMIF(A:A,A2119,G:G)*SUMIF(Summary!$A$166:$A$242,'Operations Support'!A2119,Summary!$Q$166:$Q$242),0)</f>
        <v>140.26075747928277</v>
      </c>
      <c r="AG2119" s="196">
        <f t="shared" ca="1" si="473"/>
        <v>1922.9239160567172</v>
      </c>
      <c r="AI2119" s="196">
        <f>IFERROR($G2119/SUMIF($A:$A,$A2119,$G:$G)*SUMIF(Summary!$A$247:$A$283,$A2119,Summary!$P$247:$P$283),0)</f>
        <v>25.435898096528053</v>
      </c>
      <c r="AJ2119" s="196">
        <f>IFERROR($G2119/SUMIF($A:$A,$A2119,$G:$G)*(SUMIF(Summary!$A$247:$A$283,$A2119,Summary!$L$247:$L$283)+SUMIF(Summary!$A$297:$A$333,$A2119,Summary!$L$297:$L$333))-AI2119,0)</f>
        <v>106.03666788955304</v>
      </c>
      <c r="AK2119" s="196">
        <f>IFERROR($G2119/SUMIF($A:$A,$A2119,$G:$G)*SUMIF(Summary!$A$247:$A$283,$A2119,Summary!$Q$247:$Q$283),0)</f>
        <v>25.580061996034559</v>
      </c>
      <c r="AL2119" s="196">
        <f>IFERROR($G2119/SUMIF($A:$A,$A2119,$G:$G)*(SUMIF(Summary!$A$247:$A$283,$A2119,Summary!$L$247:$L$283)+SUMIF(Summary!$A$297:$A$333,$A2119,Summary!$L$297:$L$333))-AK2119,0)</f>
        <v>105.89250399004654</v>
      </c>
      <c r="AM2119" s="198"/>
      <c r="AN2119" s="196">
        <f t="shared" ca="1" si="474"/>
        <v>2029.7510643504647</v>
      </c>
      <c r="AO2119" s="196">
        <f t="shared" ca="1" si="475"/>
        <v>2028.8164200467638</v>
      </c>
    </row>
    <row r="2120" spans="1:41">
      <c r="A2120" s="189">
        <v>3658</v>
      </c>
      <c r="B2120" s="190">
        <v>1</v>
      </c>
      <c r="C2120" s="191" t="s">
        <v>235</v>
      </c>
      <c r="D2120" s="192">
        <f t="shared" si="462"/>
        <v>3603</v>
      </c>
      <c r="E2120" s="192">
        <f t="shared" si="463"/>
        <v>33399</v>
      </c>
      <c r="F2120" s="192">
        <f t="shared" si="464"/>
        <v>0</v>
      </c>
      <c r="G2120" s="193">
        <f t="shared" si="465"/>
        <v>37002</v>
      </c>
      <c r="H2120" s="194">
        <v>1766</v>
      </c>
      <c r="I2120" s="194">
        <v>15037</v>
      </c>
      <c r="J2120" s="194">
        <v>0</v>
      </c>
      <c r="K2120" s="193">
        <f t="shared" si="466"/>
        <v>16803</v>
      </c>
      <c r="L2120" s="194">
        <v>1819</v>
      </c>
      <c r="M2120" s="194">
        <v>17349</v>
      </c>
      <c r="N2120" s="194">
        <v>0</v>
      </c>
      <c r="O2120" s="193">
        <f t="shared" si="467"/>
        <v>19168</v>
      </c>
      <c r="P2120" s="194">
        <v>18</v>
      </c>
      <c r="Q2120" s="194">
        <v>1013</v>
      </c>
      <c r="R2120" s="194">
        <v>0</v>
      </c>
      <c r="S2120" s="193">
        <f t="shared" si="468"/>
        <v>1031</v>
      </c>
      <c r="T2120" s="193">
        <f t="shared" si="469"/>
        <v>1233.4000000000001</v>
      </c>
      <c r="U2120" s="193">
        <f ca="1">OFFSET('Expenditure Study'!$B$7,'Operations Support'!$C2120,'Operations Support'!$B2120)*$G2120</f>
        <v>40702.200000000004</v>
      </c>
      <c r="V2120" s="199">
        <f ca="1">U2120*'Expenditure Study'!$B$31</f>
        <v>2404815.4415577604</v>
      </c>
      <c r="W2120" s="199">
        <f ca="1">IF(A2120=10298,1.51,1)*IF($B2120&lt;3,$D2120*'Expenditure Study'!$B$32*OFFSET('Expenditure Study'!$B$7,'Operations Support'!$C2120,'Operations Support'!$B2120),0)</f>
        <v>396.33000000000004</v>
      </c>
      <c r="X2120" s="200">
        <f ca="1">W2120*'Expenditure Study'!$B$31</f>
        <v>23416.437046464001</v>
      </c>
      <c r="Y2120" s="199">
        <f ca="1">U2120*'Expenditure Study'!$B$31</f>
        <v>2404815.4415577604</v>
      </c>
      <c r="Z2120" s="200">
        <f ca="1">W2120*'Expenditure Study'!$B$31</f>
        <v>23416.437046464001</v>
      </c>
      <c r="AA2120" s="195">
        <f t="shared" ca="1" si="470"/>
        <v>2428231.8786042244</v>
      </c>
      <c r="AB2120" s="195">
        <f t="shared" ca="1" si="471"/>
        <v>2428231.8786042244</v>
      </c>
      <c r="AD2120" s="196">
        <f>IFERROR($G2120/SUMIF($A:$A,$A2120,$G:$G)*SUMIF(Summary!$A$166:$A$242,$A2120,Summary!$P$166:$P$242),0)</f>
        <v>1720226.3974441367</v>
      </c>
      <c r="AE2120" s="197">
        <f t="shared" ca="1" si="472"/>
        <v>708005.48116008774</v>
      </c>
      <c r="AF2120" s="196">
        <f>IFERROR(G2120/SUMIF(A:A,A2120,G:G)*SUMIF(Summary!$A$166:$A$242,'Operations Support'!A2120,Summary!$Q$166:$Q$242),0)</f>
        <v>1729976.182749474</v>
      </c>
      <c r="AG2120" s="196">
        <f t="shared" ca="1" si="473"/>
        <v>698255.69585475046</v>
      </c>
      <c r="AI2120" s="196">
        <f>IFERROR($G2120/SUMIF($A:$A,$A2120,$G:$G)*SUMIF(Summary!$A$247:$A$283,$A2120,Summary!$P$247:$P$283),0)</f>
        <v>313726.36712257698</v>
      </c>
      <c r="AJ2120" s="196">
        <f>IFERROR($G2120/SUMIF($A:$A,$A2120,$G:$G)*(SUMIF(Summary!$A$247:$A$283,$A2120,Summary!$L$247:$L$283)+SUMIF(Summary!$A$297:$A$333,$A2120,Summary!$L$297:$L$333))-AI2120,0)</f>
        <v>1307856.2617497472</v>
      </c>
      <c r="AK2120" s="196">
        <f>IFERROR($G2120/SUMIF($A:$A,$A2120,$G:$G)*SUMIF(Summary!$A$247:$A$283,$A2120,Summary!$Q$247:$Q$283),0)</f>
        <v>315504.48465909029</v>
      </c>
      <c r="AL2120" s="196">
        <f>IFERROR($G2120/SUMIF($A:$A,$A2120,$G:$G)*(SUMIF(Summary!$A$247:$A$283,$A2120,Summary!$L$247:$L$283)+SUMIF(Summary!$A$297:$A$333,$A2120,Summary!$L$297:$L$333))-AK2120,0)</f>
        <v>1306078.1442132341</v>
      </c>
      <c r="AM2120" s="198"/>
      <c r="AN2120" s="196">
        <f t="shared" ca="1" si="474"/>
        <v>2015861.742909835</v>
      </c>
      <c r="AO2120" s="196">
        <f t="shared" ca="1" si="475"/>
        <v>2004333.8400679845</v>
      </c>
    </row>
    <row r="2121" spans="1:41">
      <c r="A2121" s="189">
        <v>3658</v>
      </c>
      <c r="B2121" s="190">
        <v>1</v>
      </c>
      <c r="C2121" s="191" t="s">
        <v>236</v>
      </c>
      <c r="D2121" s="192">
        <f t="shared" si="462"/>
        <v>0</v>
      </c>
      <c r="E2121" s="192">
        <f t="shared" si="463"/>
        <v>0</v>
      </c>
      <c r="F2121" s="192">
        <f t="shared" si="464"/>
        <v>0</v>
      </c>
      <c r="G2121" s="193">
        <f t="shared" si="465"/>
        <v>0</v>
      </c>
      <c r="H2121" s="194">
        <v>0</v>
      </c>
      <c r="I2121" s="194">
        <v>0</v>
      </c>
      <c r="J2121" s="194">
        <v>0</v>
      </c>
      <c r="K2121" s="193">
        <f t="shared" si="466"/>
        <v>0</v>
      </c>
      <c r="L2121" s="194">
        <v>0</v>
      </c>
      <c r="M2121" s="194">
        <v>0</v>
      </c>
      <c r="N2121" s="194">
        <v>0</v>
      </c>
      <c r="O2121" s="193">
        <f t="shared" si="467"/>
        <v>0</v>
      </c>
      <c r="P2121" s="194">
        <v>0</v>
      </c>
      <c r="Q2121" s="194">
        <v>0</v>
      </c>
      <c r="R2121" s="194">
        <v>0</v>
      </c>
      <c r="S2121" s="193">
        <f t="shared" si="468"/>
        <v>0</v>
      </c>
      <c r="T2121" s="193">
        <f t="shared" si="469"/>
        <v>0</v>
      </c>
      <c r="U2121" s="193">
        <f ca="1">OFFSET('Expenditure Study'!$B$7,'Operations Support'!$C2121,'Operations Support'!$B2121)*$G2121</f>
        <v>0</v>
      </c>
      <c r="V2121" s="199">
        <f ca="1">U2121*'Expenditure Study'!$B$31</f>
        <v>0</v>
      </c>
      <c r="W2121" s="199">
        <f ca="1">IF(A2121=10298,1.51,1)*IF($B2121&lt;3,$D2121*'Expenditure Study'!$B$32*OFFSET('Expenditure Study'!$B$7,'Operations Support'!$C2121,'Operations Support'!$B2121),0)</f>
        <v>0</v>
      </c>
      <c r="X2121" s="200">
        <f ca="1">W2121*'Expenditure Study'!$B$31</f>
        <v>0</v>
      </c>
      <c r="Y2121" s="199">
        <f ca="1">U2121*'Expenditure Study'!$B$31</f>
        <v>0</v>
      </c>
      <c r="Z2121" s="200">
        <f ca="1">W2121*'Expenditure Study'!$B$31</f>
        <v>0</v>
      </c>
      <c r="AA2121" s="195">
        <f t="shared" ca="1" si="470"/>
        <v>0</v>
      </c>
      <c r="AB2121" s="195">
        <f t="shared" ca="1" si="471"/>
        <v>0</v>
      </c>
      <c r="AD2121" s="196">
        <f>IFERROR($G2121/SUMIF($A:$A,$A2121,$G:$G)*SUMIF(Summary!$A$166:$A$242,$A2121,Summary!$P$166:$P$242),0)</f>
        <v>0</v>
      </c>
      <c r="AE2121" s="197">
        <f t="shared" ca="1" si="472"/>
        <v>0</v>
      </c>
      <c r="AF2121" s="196">
        <f>IFERROR(G2121/SUMIF(A:A,A2121,G:G)*SUMIF(Summary!$A$166:$A$242,'Operations Support'!A2121,Summary!$Q$166:$Q$242),0)</f>
        <v>0</v>
      </c>
      <c r="AG2121" s="196">
        <f t="shared" ca="1" si="473"/>
        <v>0</v>
      </c>
      <c r="AI2121" s="196">
        <f>IFERROR($G2121/SUMIF($A:$A,$A2121,$G:$G)*SUMIF(Summary!$A$247:$A$283,$A2121,Summary!$P$247:$P$283),0)</f>
        <v>0</v>
      </c>
      <c r="AJ2121" s="196">
        <f>IFERROR($G2121/SUMIF($A:$A,$A2121,$G:$G)*(SUMIF(Summary!$A$247:$A$283,$A2121,Summary!$L$247:$L$283)+SUMIF(Summary!$A$297:$A$333,$A2121,Summary!$L$297:$L$333))-AI2121,0)</f>
        <v>0</v>
      </c>
      <c r="AK2121" s="196">
        <f>IFERROR($G2121/SUMIF($A:$A,$A2121,$G:$G)*SUMIF(Summary!$A$247:$A$283,$A2121,Summary!$Q$247:$Q$283),0)</f>
        <v>0</v>
      </c>
      <c r="AL2121" s="196">
        <f>IFERROR($G2121/SUMIF($A:$A,$A2121,$G:$G)*(SUMIF(Summary!$A$247:$A$283,$A2121,Summary!$L$247:$L$283)+SUMIF(Summary!$A$297:$A$333,$A2121,Summary!$L$297:$L$333))-AK2121,0)</f>
        <v>0</v>
      </c>
      <c r="AM2121" s="198"/>
      <c r="AN2121" s="196">
        <f t="shared" ca="1" si="474"/>
        <v>0</v>
      </c>
      <c r="AO2121" s="196">
        <f t="shared" ca="1" si="475"/>
        <v>0</v>
      </c>
    </row>
    <row r="2122" spans="1:41">
      <c r="A2122" s="189">
        <v>3658</v>
      </c>
      <c r="B2122" s="190">
        <v>1</v>
      </c>
      <c r="C2122" s="191" t="s">
        <v>237</v>
      </c>
      <c r="D2122" s="192">
        <f t="shared" si="462"/>
        <v>0</v>
      </c>
      <c r="E2122" s="192">
        <f t="shared" si="463"/>
        <v>0</v>
      </c>
      <c r="F2122" s="192">
        <f t="shared" si="464"/>
        <v>0</v>
      </c>
      <c r="G2122" s="193">
        <f t="shared" si="465"/>
        <v>0</v>
      </c>
      <c r="H2122" s="194">
        <v>0</v>
      </c>
      <c r="I2122" s="194">
        <v>0</v>
      </c>
      <c r="J2122" s="194">
        <v>0</v>
      </c>
      <c r="K2122" s="193">
        <f t="shared" si="466"/>
        <v>0</v>
      </c>
      <c r="L2122" s="194">
        <v>0</v>
      </c>
      <c r="M2122" s="194">
        <v>0</v>
      </c>
      <c r="N2122" s="194">
        <v>0</v>
      </c>
      <c r="O2122" s="193">
        <f t="shared" si="467"/>
        <v>0</v>
      </c>
      <c r="P2122" s="194">
        <v>0</v>
      </c>
      <c r="Q2122" s="194">
        <v>0</v>
      </c>
      <c r="R2122" s="194">
        <v>0</v>
      </c>
      <c r="S2122" s="193">
        <f t="shared" si="468"/>
        <v>0</v>
      </c>
      <c r="T2122" s="193">
        <f t="shared" si="469"/>
        <v>0</v>
      </c>
      <c r="U2122" s="193">
        <f ca="1">OFFSET('Expenditure Study'!$B$7,'Operations Support'!$C2122,'Operations Support'!$B2122)*$G2122</f>
        <v>0</v>
      </c>
      <c r="V2122" s="199">
        <f ca="1">U2122*'Expenditure Study'!$B$31</f>
        <v>0</v>
      </c>
      <c r="W2122" s="199">
        <f ca="1">IF(A2122=10298,1.51,1)*IF($B2122&lt;3,$D2122*'Expenditure Study'!$B$32*OFFSET('Expenditure Study'!$B$7,'Operations Support'!$C2122,'Operations Support'!$B2122),0)</f>
        <v>0</v>
      </c>
      <c r="X2122" s="200">
        <f ca="1">W2122*'Expenditure Study'!$B$31</f>
        <v>0</v>
      </c>
      <c r="Y2122" s="199">
        <f ca="1">U2122*'Expenditure Study'!$B$31</f>
        <v>0</v>
      </c>
      <c r="Z2122" s="200">
        <f ca="1">W2122*'Expenditure Study'!$B$31</f>
        <v>0</v>
      </c>
      <c r="AA2122" s="195">
        <f t="shared" ca="1" si="470"/>
        <v>0</v>
      </c>
      <c r="AB2122" s="195">
        <f t="shared" ca="1" si="471"/>
        <v>0</v>
      </c>
      <c r="AD2122" s="196">
        <f>IFERROR($G2122/SUMIF($A:$A,$A2122,$G:$G)*SUMIF(Summary!$A$166:$A$242,$A2122,Summary!$P$166:$P$242),0)</f>
        <v>0</v>
      </c>
      <c r="AE2122" s="197">
        <f t="shared" ca="1" si="472"/>
        <v>0</v>
      </c>
      <c r="AF2122" s="196">
        <f>IFERROR(G2122/SUMIF(A:A,A2122,G:G)*SUMIF(Summary!$A$166:$A$242,'Operations Support'!A2122,Summary!$Q$166:$Q$242),0)</f>
        <v>0</v>
      </c>
      <c r="AG2122" s="196">
        <f t="shared" ca="1" si="473"/>
        <v>0</v>
      </c>
      <c r="AI2122" s="196">
        <f>IFERROR($G2122/SUMIF($A:$A,$A2122,$G:$G)*SUMIF(Summary!$A$247:$A$283,$A2122,Summary!$P$247:$P$283),0)</f>
        <v>0</v>
      </c>
      <c r="AJ2122" s="196">
        <f>IFERROR($G2122/SUMIF($A:$A,$A2122,$G:$G)*(SUMIF(Summary!$A$247:$A$283,$A2122,Summary!$L$247:$L$283)+SUMIF(Summary!$A$297:$A$333,$A2122,Summary!$L$297:$L$333))-AI2122,0)</f>
        <v>0</v>
      </c>
      <c r="AK2122" s="196">
        <f>IFERROR($G2122/SUMIF($A:$A,$A2122,$G:$G)*SUMIF(Summary!$A$247:$A$283,$A2122,Summary!$Q$247:$Q$283),0)</f>
        <v>0</v>
      </c>
      <c r="AL2122" s="196">
        <f>IFERROR($G2122/SUMIF($A:$A,$A2122,$G:$G)*(SUMIF(Summary!$A$247:$A$283,$A2122,Summary!$L$247:$L$283)+SUMIF(Summary!$A$297:$A$333,$A2122,Summary!$L$297:$L$333))-AK2122,0)</f>
        <v>0</v>
      </c>
      <c r="AM2122" s="198"/>
      <c r="AN2122" s="196">
        <f t="shared" ca="1" si="474"/>
        <v>0</v>
      </c>
      <c r="AO2122" s="196">
        <f t="shared" ca="1" si="475"/>
        <v>0</v>
      </c>
    </row>
    <row r="2123" spans="1:41">
      <c r="A2123" s="189">
        <v>3658</v>
      </c>
      <c r="B2123" s="190">
        <v>1</v>
      </c>
      <c r="C2123" s="191" t="s">
        <v>238</v>
      </c>
      <c r="D2123" s="192">
        <f t="shared" si="462"/>
        <v>708</v>
      </c>
      <c r="E2123" s="192">
        <f t="shared" si="463"/>
        <v>0</v>
      </c>
      <c r="F2123" s="192">
        <f t="shared" si="464"/>
        <v>0</v>
      </c>
      <c r="G2123" s="193">
        <f t="shared" si="465"/>
        <v>708</v>
      </c>
      <c r="H2123" s="194">
        <v>249</v>
      </c>
      <c r="I2123" s="194">
        <v>0</v>
      </c>
      <c r="J2123" s="194">
        <v>0</v>
      </c>
      <c r="K2123" s="193">
        <f t="shared" si="466"/>
        <v>249</v>
      </c>
      <c r="L2123" s="194">
        <v>459</v>
      </c>
      <c r="M2123" s="194">
        <v>0</v>
      </c>
      <c r="N2123" s="194">
        <v>0</v>
      </c>
      <c r="O2123" s="193">
        <f t="shared" si="467"/>
        <v>459</v>
      </c>
      <c r="P2123" s="194">
        <v>0</v>
      </c>
      <c r="Q2123" s="194">
        <v>0</v>
      </c>
      <c r="R2123" s="194">
        <v>0</v>
      </c>
      <c r="S2123" s="193">
        <f t="shared" si="468"/>
        <v>0</v>
      </c>
      <c r="T2123" s="193">
        <f t="shared" si="469"/>
        <v>23.6</v>
      </c>
      <c r="U2123" s="193">
        <f ca="1">OFFSET('Expenditure Study'!$B$7,'Operations Support'!$C2123,'Operations Support'!$B2123)*$G2123</f>
        <v>1260.24</v>
      </c>
      <c r="V2123" s="199">
        <f ca="1">U2123*'Expenditure Study'!$B$31</f>
        <v>74458.987771392</v>
      </c>
      <c r="W2123" s="199">
        <f ca="1">IF(A2123=10298,1.51,1)*IF($B2123&lt;3,$D2123*'Expenditure Study'!$B$32*OFFSET('Expenditure Study'!$B$7,'Operations Support'!$C2123,'Operations Support'!$B2123),0)</f>
        <v>126.024</v>
      </c>
      <c r="X2123" s="200">
        <f ca="1">W2123*'Expenditure Study'!$B$31</f>
        <v>7445.8987771392003</v>
      </c>
      <c r="Y2123" s="199">
        <f ca="1">U2123*'Expenditure Study'!$B$31</f>
        <v>74458.987771392</v>
      </c>
      <c r="Z2123" s="200">
        <f ca="1">W2123*'Expenditure Study'!$B$31</f>
        <v>7445.8987771392003</v>
      </c>
      <c r="AA2123" s="195">
        <f t="shared" ca="1" si="470"/>
        <v>81904.886548531198</v>
      </c>
      <c r="AB2123" s="195">
        <f t="shared" ca="1" si="471"/>
        <v>81904.886548531198</v>
      </c>
      <c r="AD2123" s="196">
        <f>IFERROR($G2123/SUMIF($A:$A,$A2123,$G:$G)*SUMIF(Summary!$A$166:$A$242,$A2123,Summary!$P$166:$P$242),0)</f>
        <v>32914.985389720794</v>
      </c>
      <c r="AE2123" s="197">
        <f t="shared" ca="1" si="472"/>
        <v>48989.901158810404</v>
      </c>
      <c r="AF2123" s="196">
        <f>IFERROR(G2123/SUMIF(A:A,A2123,G:G)*SUMIF(Summary!$A$166:$A$242,'Operations Support'!A2123,Summary!$Q$166:$Q$242),0)</f>
        <v>33101.538765110738</v>
      </c>
      <c r="AG2123" s="196">
        <f t="shared" ca="1" si="473"/>
        <v>48803.34778342046</v>
      </c>
      <c r="AI2123" s="196">
        <f>IFERROR($G2123/SUMIF($A:$A,$A2123,$G:$G)*SUMIF(Summary!$A$247:$A$283,$A2123,Summary!$P$247:$P$283),0)</f>
        <v>6002.87195078062</v>
      </c>
      <c r="AJ2123" s="196">
        <f>IFERROR($G2123/SUMIF($A:$A,$A2123,$G:$G)*(SUMIF(Summary!$A$247:$A$283,$A2123,Summary!$L$247:$L$283)+SUMIF(Summary!$A$297:$A$333,$A2123,Summary!$L$297:$L$333))-AI2123,0)</f>
        <v>25024.653621934518</v>
      </c>
      <c r="AK2123" s="196">
        <f>IFERROR($G2123/SUMIF($A:$A,$A2123,$G:$G)*SUMIF(Summary!$A$247:$A$283,$A2123,Summary!$Q$247:$Q$283),0)</f>
        <v>6036.8946310641559</v>
      </c>
      <c r="AL2123" s="196">
        <f>IFERROR($G2123/SUMIF($A:$A,$A2123,$G:$G)*(SUMIF(Summary!$A$247:$A$283,$A2123,Summary!$L$247:$L$283)+SUMIF(Summary!$A$297:$A$333,$A2123,Summary!$L$297:$L$333))-AK2123,0)</f>
        <v>24990.630941650983</v>
      </c>
      <c r="AM2123" s="198"/>
      <c r="AN2123" s="196">
        <f t="shared" ca="1" si="474"/>
        <v>74014.554780744918</v>
      </c>
      <c r="AO2123" s="196">
        <f t="shared" ca="1" si="475"/>
        <v>73793.978725071443</v>
      </c>
    </row>
    <row r="2124" spans="1:41">
      <c r="A2124" s="189">
        <v>3658</v>
      </c>
      <c r="B2124" s="190">
        <v>1</v>
      </c>
      <c r="C2124" s="191" t="s">
        <v>239</v>
      </c>
      <c r="D2124" s="192">
        <f t="shared" si="462"/>
        <v>1665</v>
      </c>
      <c r="E2124" s="192">
        <f t="shared" si="463"/>
        <v>283</v>
      </c>
      <c r="F2124" s="192">
        <f t="shared" si="464"/>
        <v>0</v>
      </c>
      <c r="G2124" s="193">
        <f t="shared" si="465"/>
        <v>1948</v>
      </c>
      <c r="H2124" s="194">
        <v>865</v>
      </c>
      <c r="I2124" s="194">
        <v>168</v>
      </c>
      <c r="J2124" s="194">
        <v>0</v>
      </c>
      <c r="K2124" s="193">
        <f t="shared" si="466"/>
        <v>1033</v>
      </c>
      <c r="L2124" s="194">
        <v>800</v>
      </c>
      <c r="M2124" s="194">
        <v>115</v>
      </c>
      <c r="N2124" s="194">
        <v>0</v>
      </c>
      <c r="O2124" s="193">
        <f t="shared" si="467"/>
        <v>915</v>
      </c>
      <c r="P2124" s="194">
        <v>0</v>
      </c>
      <c r="Q2124" s="194">
        <v>0</v>
      </c>
      <c r="R2124" s="194">
        <v>0</v>
      </c>
      <c r="S2124" s="193">
        <f t="shared" si="468"/>
        <v>0</v>
      </c>
      <c r="T2124" s="193">
        <f t="shared" si="469"/>
        <v>64.933333333333337</v>
      </c>
      <c r="U2124" s="193">
        <f ca="1">OFFSET('Expenditure Study'!$B$7,'Operations Support'!$C2124,'Operations Support'!$B2124)*$G2124</f>
        <v>3019.4</v>
      </c>
      <c r="V2124" s="199">
        <f ca="1">U2124*'Expenditure Study'!$B$31</f>
        <v>178395.75610752002</v>
      </c>
      <c r="W2124" s="199">
        <f ca="1">IF(A2124=10298,1.51,1)*IF($B2124&lt;3,$D2124*'Expenditure Study'!$B$32*OFFSET('Expenditure Study'!$B$7,'Operations Support'!$C2124,'Operations Support'!$B2124),0)</f>
        <v>258.07499999999999</v>
      </c>
      <c r="X2124" s="200">
        <f ca="1">W2124*'Expenditure Study'!$B$31</f>
        <v>15247.89188496</v>
      </c>
      <c r="Y2124" s="199">
        <f ca="1">U2124*'Expenditure Study'!$B$31</f>
        <v>178395.75610752002</v>
      </c>
      <c r="Z2124" s="200">
        <f ca="1">W2124*'Expenditure Study'!$B$31</f>
        <v>15247.89188496</v>
      </c>
      <c r="AA2124" s="195">
        <f t="shared" ca="1" si="470"/>
        <v>193643.64799248002</v>
      </c>
      <c r="AB2124" s="195">
        <f t="shared" ca="1" si="471"/>
        <v>193643.64799248002</v>
      </c>
      <c r="AD2124" s="196">
        <f>IFERROR($G2124/SUMIF($A:$A,$A2124,$G:$G)*SUMIF(Summary!$A$166:$A$242,$A2124,Summary!$P$166:$P$242),0)</f>
        <v>90562.699914090554</v>
      </c>
      <c r="AE2124" s="197">
        <f t="shared" ca="1" si="472"/>
        <v>103080.94807838947</v>
      </c>
      <c r="AF2124" s="196">
        <f>IFERROR(G2124/SUMIF(A:A,A2124,G:G)*SUMIF(Summary!$A$166:$A$242,'Operations Support'!A2124,Summary!$Q$166:$Q$242),0)</f>
        <v>91075.985189880957</v>
      </c>
      <c r="AG2124" s="196">
        <f t="shared" ca="1" si="473"/>
        <v>102567.66280259906</v>
      </c>
      <c r="AI2124" s="196">
        <f>IFERROR($G2124/SUMIF($A:$A,$A2124,$G:$G)*SUMIF(Summary!$A$247:$A$283,$A2124,Summary!$P$247:$P$283),0)</f>
        <v>16516.376497345547</v>
      </c>
      <c r="AJ2124" s="196">
        <f>IFERROR($G2124/SUMIF($A:$A,$A2124,$G:$G)*(SUMIF(Summary!$A$247:$A$283,$A2124,Summary!$L$247:$L$283)+SUMIF(Summary!$A$297:$A$333,$A2124,Summary!$L$297:$L$333))-AI2124,0)</f>
        <v>68853.143016283109</v>
      </c>
      <c r="AK2124" s="196">
        <f>IFERROR($G2124/SUMIF($A:$A,$A2124,$G:$G)*SUMIF(Summary!$A$247:$A$283,$A2124,Summary!$Q$247:$Q$283),0)</f>
        <v>16609.986922758442</v>
      </c>
      <c r="AL2124" s="196">
        <f>IFERROR($G2124/SUMIF($A:$A,$A2124,$G:$G)*(SUMIF(Summary!$A$247:$A$283,$A2124,Summary!$L$247:$L$283)+SUMIF(Summary!$A$297:$A$333,$A2124,Summary!$L$297:$L$333))-AK2124,0)</f>
        <v>68759.532590870222</v>
      </c>
      <c r="AM2124" s="198"/>
      <c r="AN2124" s="196">
        <f t="shared" ca="1" si="474"/>
        <v>171934.09109467256</v>
      </c>
      <c r="AO2124" s="196">
        <f t="shared" ca="1" si="475"/>
        <v>171327.1953934693</v>
      </c>
    </row>
    <row r="2125" spans="1:41">
      <c r="A2125" s="189">
        <v>3658</v>
      </c>
      <c r="B2125" s="190">
        <v>1</v>
      </c>
      <c r="C2125" s="191" t="s">
        <v>240</v>
      </c>
      <c r="D2125" s="192">
        <f t="shared" si="462"/>
        <v>0</v>
      </c>
      <c r="E2125" s="192">
        <f t="shared" si="463"/>
        <v>567</v>
      </c>
      <c r="F2125" s="192">
        <f t="shared" si="464"/>
        <v>0</v>
      </c>
      <c r="G2125" s="193">
        <f t="shared" si="465"/>
        <v>567</v>
      </c>
      <c r="H2125" s="194">
        <v>0</v>
      </c>
      <c r="I2125" s="194">
        <v>207</v>
      </c>
      <c r="J2125" s="194">
        <v>0</v>
      </c>
      <c r="K2125" s="193">
        <f t="shared" si="466"/>
        <v>207</v>
      </c>
      <c r="L2125" s="194">
        <v>0</v>
      </c>
      <c r="M2125" s="194">
        <v>306</v>
      </c>
      <c r="N2125" s="194">
        <v>0</v>
      </c>
      <c r="O2125" s="193">
        <f t="shared" si="467"/>
        <v>306</v>
      </c>
      <c r="P2125" s="194">
        <v>0</v>
      </c>
      <c r="Q2125" s="194">
        <v>54</v>
      </c>
      <c r="R2125" s="194">
        <v>0</v>
      </c>
      <c r="S2125" s="193">
        <f t="shared" si="468"/>
        <v>54</v>
      </c>
      <c r="T2125" s="193">
        <f t="shared" si="469"/>
        <v>18.899999999999999</v>
      </c>
      <c r="U2125" s="193">
        <f ca="1">OFFSET('Expenditure Study'!$B$7,'Operations Support'!$C2125,'Operations Support'!$B2125)*$G2125</f>
        <v>567</v>
      </c>
      <c r="V2125" s="199">
        <f ca="1">U2125*'Expenditure Study'!$B$31</f>
        <v>33500.163513600004</v>
      </c>
      <c r="W2125" s="199">
        <f ca="1">IF(A2125=10298,1.51,1)*IF($B2125&lt;3,$D2125*'Expenditure Study'!$B$32*OFFSET('Expenditure Study'!$B$7,'Operations Support'!$C2125,'Operations Support'!$B2125),0)</f>
        <v>0</v>
      </c>
      <c r="X2125" s="200">
        <f ca="1">W2125*'Expenditure Study'!$B$31</f>
        <v>0</v>
      </c>
      <c r="Y2125" s="199">
        <f ca="1">U2125*'Expenditure Study'!$B$31</f>
        <v>33500.163513600004</v>
      </c>
      <c r="Z2125" s="200">
        <f ca="1">W2125*'Expenditure Study'!$B$31</f>
        <v>0</v>
      </c>
      <c r="AA2125" s="195">
        <f t="shared" ca="1" si="470"/>
        <v>33500.163513600004</v>
      </c>
      <c r="AB2125" s="195">
        <f t="shared" ca="1" si="471"/>
        <v>33500.163513600004</v>
      </c>
      <c r="AD2125" s="196">
        <f>IFERROR($G2125/SUMIF($A:$A,$A2125,$G:$G)*SUMIF(Summary!$A$166:$A$242,$A2125,Summary!$P$166:$P$242),0)</f>
        <v>26359.882367191654</v>
      </c>
      <c r="AE2125" s="197">
        <f t="shared" ca="1" si="472"/>
        <v>7140.2811464083497</v>
      </c>
      <c r="AF2125" s="196">
        <f>IFERROR(G2125/SUMIF(A:A,A2125,G:G)*SUMIF(Summary!$A$166:$A$242,'Operations Support'!A2125,Summary!$Q$166:$Q$242),0)</f>
        <v>26509.283163584449</v>
      </c>
      <c r="AG2125" s="196">
        <f t="shared" ca="1" si="473"/>
        <v>6990.8803500155555</v>
      </c>
      <c r="AI2125" s="196">
        <f>IFERROR($G2125/SUMIF($A:$A,$A2125,$G:$G)*SUMIF(Summary!$A$247:$A$283,$A2125,Summary!$P$247:$P$283),0)</f>
        <v>4807.3847402438023</v>
      </c>
      <c r="AJ2125" s="196">
        <f>IFERROR($G2125/SUMIF($A:$A,$A2125,$G:$G)*(SUMIF(Summary!$A$247:$A$283,$A2125,Summary!$L$247:$L$283)+SUMIF(Summary!$A$297:$A$333,$A2125,Summary!$L$297:$L$333))-AI2125,0)</f>
        <v>20040.930231125523</v>
      </c>
      <c r="AK2125" s="196">
        <f>IFERROR($G2125/SUMIF($A:$A,$A2125,$G:$G)*SUMIF(Summary!$A$247:$A$283,$A2125,Summary!$Q$247:$Q$283),0)</f>
        <v>4834.6317172505323</v>
      </c>
      <c r="AL2125" s="196">
        <f>IFERROR($G2125/SUMIF($A:$A,$A2125,$G:$G)*(SUMIF(Summary!$A$247:$A$283,$A2125,Summary!$L$247:$L$283)+SUMIF(Summary!$A$297:$A$333,$A2125,Summary!$L$297:$L$333))-AK2125,0)</f>
        <v>20013.683254118794</v>
      </c>
      <c r="AM2125" s="198"/>
      <c r="AN2125" s="196">
        <f t="shared" ca="1" si="474"/>
        <v>27181.211377533873</v>
      </c>
      <c r="AO2125" s="196">
        <f t="shared" ca="1" si="475"/>
        <v>27004.56360413435</v>
      </c>
    </row>
    <row r="2126" spans="1:41">
      <c r="A2126" s="189">
        <v>3658</v>
      </c>
      <c r="B2126" s="190">
        <v>2</v>
      </c>
      <c r="C2126" s="191" t="s">
        <v>220</v>
      </c>
      <c r="D2126" s="192">
        <f t="shared" si="462"/>
        <v>87924</v>
      </c>
      <c r="E2126" s="192">
        <f t="shared" si="463"/>
        <v>90404</v>
      </c>
      <c r="F2126" s="192">
        <f t="shared" si="464"/>
        <v>0</v>
      </c>
      <c r="G2126" s="193">
        <f t="shared" si="465"/>
        <v>178328</v>
      </c>
      <c r="H2126" s="194">
        <v>42246.5</v>
      </c>
      <c r="I2126" s="194">
        <v>44233.5</v>
      </c>
      <c r="J2126" s="194">
        <v>0</v>
      </c>
      <c r="K2126" s="193">
        <f t="shared" si="466"/>
        <v>86480</v>
      </c>
      <c r="L2126" s="194">
        <v>41236</v>
      </c>
      <c r="M2126" s="194">
        <v>37421</v>
      </c>
      <c r="N2126" s="194">
        <v>0</v>
      </c>
      <c r="O2126" s="193">
        <f t="shared" si="467"/>
        <v>78657</v>
      </c>
      <c r="P2126" s="194">
        <v>4441.5</v>
      </c>
      <c r="Q2126" s="194">
        <v>8749.5</v>
      </c>
      <c r="R2126" s="194">
        <v>0</v>
      </c>
      <c r="S2126" s="193">
        <f t="shared" si="468"/>
        <v>13191</v>
      </c>
      <c r="T2126" s="193">
        <f t="shared" si="469"/>
        <v>5944.2666666666664</v>
      </c>
      <c r="U2126" s="193">
        <f ca="1">OFFSET('Expenditure Study'!$B$7,'Operations Support'!$C2126,'Operations Support'!$B2126)*$G2126</f>
        <v>328123.52000000002</v>
      </c>
      <c r="V2126" s="199">
        <f ca="1">U2126*'Expenditure Study'!$B$31</f>
        <v>19386581.256892417</v>
      </c>
      <c r="W2126" s="199">
        <f ca="1">IF(A2126=10298,1.51,1)*IF($B2126&lt;3,$D2126*'Expenditure Study'!$B$32*OFFSET('Expenditure Study'!$B$7,'Operations Support'!$C2126,'Operations Support'!$B2126),0)</f>
        <v>16178.016</v>
      </c>
      <c r="X2126" s="200">
        <f ca="1">W2126*'Expenditure Study'!$B$31</f>
        <v>955848.64431329281</v>
      </c>
      <c r="Y2126" s="199">
        <f ca="1">U2126*'Expenditure Study'!$B$31</f>
        <v>19386581.256892417</v>
      </c>
      <c r="Z2126" s="200">
        <f ca="1">W2126*'Expenditure Study'!$B$31</f>
        <v>955848.64431329281</v>
      </c>
      <c r="AA2126" s="195">
        <f t="shared" ca="1" si="470"/>
        <v>20342429.901205711</v>
      </c>
      <c r="AB2126" s="195">
        <f t="shared" ca="1" si="471"/>
        <v>20342429.901205711</v>
      </c>
      <c r="AD2126" s="196">
        <f>IFERROR($G2126/SUMIF($A:$A,$A2126,$G:$G)*SUMIF(Summary!$A$166:$A$242,$A2126,Summary!$P$166:$P$242),0)</f>
        <v>8290485.1900821049</v>
      </c>
      <c r="AE2126" s="197">
        <f t="shared" ca="1" si="472"/>
        <v>12051944.711123606</v>
      </c>
      <c r="AF2126" s="196">
        <f>IFERROR(G2126/SUMIF(A:A,A2126,G:G)*SUMIF(Summary!$A$166:$A$242,'Operations Support'!A2126,Summary!$Q$166:$Q$242),0)</f>
        <v>8337473.4532551812</v>
      </c>
      <c r="AG2126" s="196">
        <f t="shared" ca="1" si="473"/>
        <v>12004956.447950531</v>
      </c>
      <c r="AI2126" s="196">
        <f>IFERROR($G2126/SUMIF($A:$A,$A2126,$G:$G)*SUMIF(Summary!$A$247:$A$283,$A2126,Summary!$P$247:$P$283),0)</f>
        <v>1511977.6119192182</v>
      </c>
      <c r="AJ2126" s="196">
        <f>IFERROR($G2126/SUMIF($A:$A,$A2126,$G:$G)*(SUMIF(Summary!$A$247:$A$283,$A2126,Summary!$L$247:$L$283)+SUMIF(Summary!$A$297:$A$333,$A2126,Summary!$L$297:$L$333))-AI2126,0)</f>
        <v>6303102.3038027398</v>
      </c>
      <c r="AK2126" s="196">
        <f>IFERROR($G2126/SUMIF($A:$A,$A2126,$G:$G)*SUMIF(Summary!$A$247:$A$283,$A2126,Summary!$Q$247:$Q$283),0)</f>
        <v>1520547.0985429506</v>
      </c>
      <c r="AL2126" s="196">
        <f>IFERROR($G2126/SUMIF($A:$A,$A2126,$G:$G)*(SUMIF(Summary!$A$247:$A$283,$A2126,Summary!$L$247:$L$283)+SUMIF(Summary!$A$297:$A$333,$A2126,Summary!$L$297:$L$333))-AK2126,0)</f>
        <v>6294532.8171790075</v>
      </c>
      <c r="AM2126" s="198"/>
      <c r="AN2126" s="196">
        <f t="shared" ca="1" si="474"/>
        <v>18355047.014926344</v>
      </c>
      <c r="AO2126" s="196">
        <f t="shared" ca="1" si="475"/>
        <v>18299489.265129536</v>
      </c>
    </row>
    <row r="2127" spans="1:41">
      <c r="A2127" s="189">
        <v>3658</v>
      </c>
      <c r="B2127" s="190">
        <v>2</v>
      </c>
      <c r="C2127" s="191" t="s">
        <v>221</v>
      </c>
      <c r="D2127" s="192">
        <f t="shared" si="462"/>
        <v>32490.86</v>
      </c>
      <c r="E2127" s="192">
        <f t="shared" si="463"/>
        <v>51161.140000000007</v>
      </c>
      <c r="F2127" s="192">
        <f t="shared" si="464"/>
        <v>0</v>
      </c>
      <c r="G2127" s="193">
        <f t="shared" si="465"/>
        <v>83652</v>
      </c>
      <c r="H2127" s="194">
        <v>17971.34</v>
      </c>
      <c r="I2127" s="194">
        <v>24115.66</v>
      </c>
      <c r="J2127" s="194">
        <v>0</v>
      </c>
      <c r="K2127" s="193">
        <f t="shared" si="466"/>
        <v>42087</v>
      </c>
      <c r="L2127" s="194">
        <v>13631.82</v>
      </c>
      <c r="M2127" s="194">
        <v>23320.18</v>
      </c>
      <c r="N2127" s="194">
        <v>0</v>
      </c>
      <c r="O2127" s="193">
        <f t="shared" si="467"/>
        <v>36952</v>
      </c>
      <c r="P2127" s="194">
        <v>887.7</v>
      </c>
      <c r="Q2127" s="194">
        <v>3725.3000000000102</v>
      </c>
      <c r="R2127" s="194">
        <v>0</v>
      </c>
      <c r="S2127" s="193">
        <f t="shared" si="468"/>
        <v>4613.00000000001</v>
      </c>
      <c r="T2127" s="193">
        <f t="shared" si="469"/>
        <v>2788.4</v>
      </c>
      <c r="U2127" s="193">
        <f ca="1">OFFSET('Expenditure Study'!$B$7,'Operations Support'!$C2127,'Operations Support'!$B2127)*$G2127</f>
        <v>220004.75999999998</v>
      </c>
      <c r="V2127" s="199">
        <f ca="1">U2127*'Expenditure Study'!$B$31</f>
        <v>12998581.011940608</v>
      </c>
      <c r="W2127" s="199">
        <f ca="1">IF(A2127=10298,1.51,1)*IF($B2127&lt;3,$D2127*'Expenditure Study'!$B$32*OFFSET('Expenditure Study'!$B$7,'Operations Support'!$C2127,'Operations Support'!$B2127),0)</f>
        <v>8545.0961800000005</v>
      </c>
      <c r="X2127" s="200">
        <f ca="1">W2127*'Expenditure Study'!$B$31</f>
        <v>504871.46255632938</v>
      </c>
      <c r="Y2127" s="199">
        <f ca="1">U2127*'Expenditure Study'!$B$31</f>
        <v>12998581.011940608</v>
      </c>
      <c r="Z2127" s="200">
        <f ca="1">W2127*'Expenditure Study'!$B$31</f>
        <v>504871.46255632938</v>
      </c>
      <c r="AA2127" s="195">
        <f t="shared" ca="1" si="470"/>
        <v>13503452.474496936</v>
      </c>
      <c r="AB2127" s="195">
        <f t="shared" ca="1" si="471"/>
        <v>13503452.474496936</v>
      </c>
      <c r="AD2127" s="196">
        <f>IFERROR($G2127/SUMIF($A:$A,$A2127,$G:$G)*SUMIF(Summary!$A$166:$A$242,$A2127,Summary!$P$166:$P$242),0)</f>
        <v>3888989.2059617573</v>
      </c>
      <c r="AE2127" s="197">
        <f t="shared" ca="1" si="472"/>
        <v>9614463.2685351782</v>
      </c>
      <c r="AF2127" s="196">
        <f>IFERROR(G2127/SUMIF(A:A,A2127,G:G)*SUMIF(Summary!$A$166:$A$242,'Operations Support'!A2127,Summary!$Q$166:$Q$242),0)</f>
        <v>3911030.9615523214</v>
      </c>
      <c r="AG2127" s="196">
        <f t="shared" ca="1" si="473"/>
        <v>9592421.5129446145</v>
      </c>
      <c r="AI2127" s="196">
        <f>IFERROR($G2127/SUMIF($A:$A,$A2127,$G:$G)*SUMIF(Summary!$A$247:$A$283,$A2127,Summary!$P$247:$P$283),0)</f>
        <v>709254.58252358821</v>
      </c>
      <c r="AJ2127" s="196">
        <f>IFERROR($G2127/SUMIF($A:$A,$A2127,$G:$G)*(SUMIF(Summary!$A$247:$A$283,$A2127,Summary!$L$247:$L$283)+SUMIF(Summary!$A$297:$A$333,$A2127,Summary!$L$297:$L$333))-AI2127,0)</f>
        <v>2956726.4474322977</v>
      </c>
      <c r="AK2127" s="196">
        <f>IFERROR($G2127/SUMIF($A:$A,$A2127,$G:$G)*SUMIF(Summary!$A$247:$A$283,$A2127,Summary!$Q$247:$Q$283),0)</f>
        <v>713274.44869742775</v>
      </c>
      <c r="AL2127" s="196">
        <f>IFERROR($G2127/SUMIF($A:$A,$A2127,$G:$G)*(SUMIF(Summary!$A$247:$A$283,$A2127,Summary!$L$247:$L$283)+SUMIF(Summary!$A$297:$A$333,$A2127,Summary!$L$297:$L$333))-AK2127,0)</f>
        <v>2952706.5812584581</v>
      </c>
      <c r="AM2127" s="198"/>
      <c r="AN2127" s="196">
        <f t="shared" ca="1" si="474"/>
        <v>12571189.715967476</v>
      </c>
      <c r="AO2127" s="196">
        <f t="shared" ca="1" si="475"/>
        <v>12545128.094203074</v>
      </c>
    </row>
    <row r="2128" spans="1:41">
      <c r="A2128" s="189">
        <v>3658</v>
      </c>
      <c r="B2128" s="190">
        <v>2</v>
      </c>
      <c r="C2128" s="191" t="s">
        <v>222</v>
      </c>
      <c r="D2128" s="192">
        <f t="shared" si="462"/>
        <v>6445.8600000000097</v>
      </c>
      <c r="E2128" s="192">
        <f t="shared" si="463"/>
        <v>12166.14</v>
      </c>
      <c r="F2128" s="192">
        <f t="shared" si="464"/>
        <v>0</v>
      </c>
      <c r="G2128" s="193">
        <f t="shared" si="465"/>
        <v>18612.000000000007</v>
      </c>
      <c r="H2128" s="194">
        <v>2752.84</v>
      </c>
      <c r="I2128" s="194">
        <v>6046.16</v>
      </c>
      <c r="J2128" s="194">
        <v>0</v>
      </c>
      <c r="K2128" s="193">
        <f t="shared" si="466"/>
        <v>8799</v>
      </c>
      <c r="L2128" s="194">
        <v>3630.02000000001</v>
      </c>
      <c r="M2128" s="194">
        <v>5784.98</v>
      </c>
      <c r="N2128" s="194">
        <v>0</v>
      </c>
      <c r="O2128" s="193">
        <f t="shared" si="467"/>
        <v>9415.0000000000091</v>
      </c>
      <c r="P2128" s="194">
        <v>63</v>
      </c>
      <c r="Q2128" s="194">
        <v>335</v>
      </c>
      <c r="R2128" s="194">
        <v>0</v>
      </c>
      <c r="S2128" s="193">
        <f t="shared" si="468"/>
        <v>398</v>
      </c>
      <c r="T2128" s="193">
        <f t="shared" si="469"/>
        <v>620.4000000000002</v>
      </c>
      <c r="U2128" s="193">
        <f ca="1">OFFSET('Expenditure Study'!$B$7,'Operations Support'!$C2128,'Operations Support'!$B2128)*$G2128</f>
        <v>49507.92000000002</v>
      </c>
      <c r="V2128" s="199">
        <f ca="1">U2128*'Expenditure Study'!$B$31</f>
        <v>2925085.3883919371</v>
      </c>
      <c r="W2128" s="199">
        <f ca="1">IF(A2128=10298,1.51,1)*IF($B2128&lt;3,$D2128*'Expenditure Study'!$B$32*OFFSET('Expenditure Study'!$B$7,'Operations Support'!$C2128,'Operations Support'!$B2128),0)</f>
        <v>1714.5987600000028</v>
      </c>
      <c r="X2128" s="200">
        <f ca="1">W2128*'Expenditure Study'!$B$31</f>
        <v>101303.94853653597</v>
      </c>
      <c r="Y2128" s="199">
        <f ca="1">U2128*'Expenditure Study'!$B$31</f>
        <v>2925085.3883919371</v>
      </c>
      <c r="Z2128" s="200">
        <f ca="1">W2128*'Expenditure Study'!$B$31</f>
        <v>101303.94853653597</v>
      </c>
      <c r="AA2128" s="195">
        <f t="shared" ca="1" si="470"/>
        <v>3026389.3369284733</v>
      </c>
      <c r="AB2128" s="195">
        <f t="shared" ca="1" si="471"/>
        <v>3026389.3369284733</v>
      </c>
      <c r="AD2128" s="196">
        <f>IFERROR($G2128/SUMIF($A:$A,$A2128,$G:$G)*SUMIF(Summary!$A$166:$A$242,$A2128,Summary!$P$166:$P$242),0)</f>
        <v>865273.59897384699</v>
      </c>
      <c r="AE2128" s="197">
        <f t="shared" ca="1" si="472"/>
        <v>2161115.7379546263</v>
      </c>
      <c r="AF2128" s="196">
        <f>IFERROR(G2128/SUMIF(A:A,A2128,G:G)*SUMIF(Summary!$A$166:$A$242,'Operations Support'!A2128,Summary!$Q$166:$Q$242),0)</f>
        <v>870177.73940147075</v>
      </c>
      <c r="AG2128" s="196">
        <f t="shared" ca="1" si="473"/>
        <v>2156211.5975270025</v>
      </c>
      <c r="AI2128" s="196">
        <f>IFERROR($G2128/SUMIF($A:$A,$A2128,$G:$G)*SUMIF(Summary!$A$247:$A$283,$A2128,Summary!$P$247:$P$283),0)</f>
        <v>157804.31179086011</v>
      </c>
      <c r="AJ2128" s="196">
        <f>IFERROR($G2128/SUMIF($A:$A,$A2128,$G:$G)*(SUMIF(Summary!$A$247:$A$283,$A2128,Summary!$L$247:$L$283)+SUMIF(Summary!$A$297:$A$333,$A2128,Summary!$L$297:$L$333))-AI2128,0)</f>
        <v>657851.48758678732</v>
      </c>
      <c r="AK2128" s="196">
        <f>IFERROR($G2128/SUMIF($A:$A,$A2128,$G:$G)*SUMIF(Summary!$A$247:$A$283,$A2128,Summary!$Q$247:$Q$283),0)</f>
        <v>158698.70462339849</v>
      </c>
      <c r="AL2128" s="196">
        <f>IFERROR($G2128/SUMIF($A:$A,$A2128,$G:$G)*(SUMIF(Summary!$A$247:$A$283,$A2128,Summary!$L$247:$L$283)+SUMIF(Summary!$A$297:$A$333,$A2128,Summary!$L$297:$L$333))-AK2128,0)</f>
        <v>656957.09475424897</v>
      </c>
      <c r="AM2128" s="198"/>
      <c r="AN2128" s="196">
        <f t="shared" ca="1" si="474"/>
        <v>2818967.2255414138</v>
      </c>
      <c r="AO2128" s="196">
        <f t="shared" ca="1" si="475"/>
        <v>2813168.6922812513</v>
      </c>
    </row>
    <row r="2129" spans="1:41">
      <c r="A2129" s="189">
        <v>3658</v>
      </c>
      <c r="B2129" s="190">
        <v>2</v>
      </c>
      <c r="C2129" s="191" t="s">
        <v>223</v>
      </c>
      <c r="D2129" s="192">
        <f t="shared" si="462"/>
        <v>2022</v>
      </c>
      <c r="E2129" s="192">
        <f t="shared" si="463"/>
        <v>7722</v>
      </c>
      <c r="F2129" s="192">
        <f t="shared" si="464"/>
        <v>0</v>
      </c>
      <c r="G2129" s="193">
        <f t="shared" si="465"/>
        <v>9744</v>
      </c>
      <c r="H2129" s="194">
        <v>999</v>
      </c>
      <c r="I2129" s="194">
        <v>4522</v>
      </c>
      <c r="J2129" s="194">
        <v>0</v>
      </c>
      <c r="K2129" s="193">
        <f t="shared" si="466"/>
        <v>5521</v>
      </c>
      <c r="L2129" s="194">
        <v>1017</v>
      </c>
      <c r="M2129" s="194">
        <v>3089</v>
      </c>
      <c r="N2129" s="194">
        <v>0</v>
      </c>
      <c r="O2129" s="193">
        <f t="shared" si="467"/>
        <v>4106</v>
      </c>
      <c r="P2129" s="194">
        <v>6</v>
      </c>
      <c r="Q2129" s="194">
        <v>111</v>
      </c>
      <c r="R2129" s="194">
        <v>0</v>
      </c>
      <c r="S2129" s="193">
        <f t="shared" si="468"/>
        <v>117</v>
      </c>
      <c r="T2129" s="193">
        <f t="shared" si="469"/>
        <v>324.8</v>
      </c>
      <c r="U2129" s="193">
        <f ca="1">OFFSET('Expenditure Study'!$B$7,'Operations Support'!$C2129,'Operations Support'!$B2129)*$G2129</f>
        <v>18513.599999999999</v>
      </c>
      <c r="V2129" s="199">
        <f ca="1">U2129*'Expenditure Study'!$B$31</f>
        <v>1093842.37605888</v>
      </c>
      <c r="W2129" s="199">
        <f ca="1">IF(A2129=10298,1.51,1)*IF($B2129&lt;3,$D2129*'Expenditure Study'!$B$32*OFFSET('Expenditure Study'!$B$7,'Operations Support'!$C2129,'Operations Support'!$B2129),0)</f>
        <v>384.18</v>
      </c>
      <c r="X2129" s="200">
        <f ca="1">W2129*'Expenditure Study'!$B$31</f>
        <v>22698.576399744001</v>
      </c>
      <c r="Y2129" s="199">
        <f ca="1">U2129*'Expenditure Study'!$B$31</f>
        <v>1093842.37605888</v>
      </c>
      <c r="Z2129" s="200">
        <f ca="1">W2129*'Expenditure Study'!$B$31</f>
        <v>22698.576399744001</v>
      </c>
      <c r="AA2129" s="195">
        <f t="shared" ca="1" si="470"/>
        <v>1116540.952458624</v>
      </c>
      <c r="AB2129" s="195">
        <f t="shared" ca="1" si="471"/>
        <v>1116540.952458624</v>
      </c>
      <c r="AD2129" s="196">
        <f>IFERROR($G2129/SUMIF($A:$A,$A2129,$G:$G)*SUMIF(Summary!$A$166:$A$242,$A2129,Summary!$P$166:$P$242),0)</f>
        <v>452999.45993988618</v>
      </c>
      <c r="AE2129" s="197">
        <f t="shared" ca="1" si="472"/>
        <v>663541.49251873791</v>
      </c>
      <c r="AF2129" s="196">
        <f>IFERROR(G2129/SUMIF(A:A,A2129,G:G)*SUMIF(Summary!$A$166:$A$242,'Operations Support'!A2129,Summary!$Q$166:$Q$242),0)</f>
        <v>455566.9402927105</v>
      </c>
      <c r="AG2129" s="196">
        <f t="shared" ca="1" si="473"/>
        <v>660974.01216591359</v>
      </c>
      <c r="AI2129" s="196">
        <f>IFERROR($G2129/SUMIF($A:$A,$A2129,$G:$G)*SUMIF(Summary!$A$247:$A$283,$A2129,Summary!$P$247:$P$283),0)</f>
        <v>82615.797017523117</v>
      </c>
      <c r="AJ2129" s="196">
        <f>IFERROR($G2129/SUMIF($A:$A,$A2129,$G:$G)*(SUMIF(Summary!$A$247:$A$283,$A2129,Summary!$L$247:$L$283)+SUMIF(Summary!$A$297:$A$333,$A2129,Summary!$L$297:$L$333))-AI2129,0)</f>
        <v>344407.09730526828</v>
      </c>
      <c r="AK2129" s="196">
        <f>IFERROR($G2129/SUMIF($A:$A,$A2129,$G:$G)*SUMIF(Summary!$A$247:$A$283,$A2129,Summary!$Q$247:$Q$283),0)</f>
        <v>83084.041363120254</v>
      </c>
      <c r="AL2129" s="196">
        <f>IFERROR($G2129/SUMIF($A:$A,$A2129,$G:$G)*(SUMIF(Summary!$A$247:$A$283,$A2129,Summary!$L$247:$L$283)+SUMIF(Summary!$A$297:$A$333,$A2129,Summary!$L$297:$L$333))-AK2129,0)</f>
        <v>343938.85295967117</v>
      </c>
      <c r="AM2129" s="198"/>
      <c r="AN2129" s="196">
        <f t="shared" ca="1" si="474"/>
        <v>1007948.5898240062</v>
      </c>
      <c r="AO2129" s="196">
        <f t="shared" ca="1" si="475"/>
        <v>1004912.8651255848</v>
      </c>
    </row>
    <row r="2130" spans="1:41">
      <c r="A2130" s="189">
        <v>3658</v>
      </c>
      <c r="B2130" s="190">
        <v>2</v>
      </c>
      <c r="C2130" s="191" t="s">
        <v>224</v>
      </c>
      <c r="D2130" s="192">
        <f t="shared" si="462"/>
        <v>0</v>
      </c>
      <c r="E2130" s="192">
        <f t="shared" si="463"/>
        <v>0</v>
      </c>
      <c r="F2130" s="192">
        <f t="shared" si="464"/>
        <v>0</v>
      </c>
      <c r="G2130" s="193">
        <f t="shared" si="465"/>
        <v>0</v>
      </c>
      <c r="H2130" s="194">
        <v>0</v>
      </c>
      <c r="I2130" s="194">
        <v>0</v>
      </c>
      <c r="J2130" s="194">
        <v>0</v>
      </c>
      <c r="K2130" s="193">
        <f t="shared" si="466"/>
        <v>0</v>
      </c>
      <c r="L2130" s="194">
        <v>0</v>
      </c>
      <c r="M2130" s="194">
        <v>0</v>
      </c>
      <c r="N2130" s="194">
        <v>0</v>
      </c>
      <c r="O2130" s="193">
        <f t="shared" si="467"/>
        <v>0</v>
      </c>
      <c r="P2130" s="194">
        <v>0</v>
      </c>
      <c r="Q2130" s="194">
        <v>0</v>
      </c>
      <c r="R2130" s="194">
        <v>0</v>
      </c>
      <c r="S2130" s="193">
        <f t="shared" si="468"/>
        <v>0</v>
      </c>
      <c r="T2130" s="193">
        <f t="shared" si="469"/>
        <v>0</v>
      </c>
      <c r="U2130" s="193">
        <f ca="1">OFFSET('Expenditure Study'!$B$7,'Operations Support'!$C2130,'Operations Support'!$B2130)*$G2130</f>
        <v>0</v>
      </c>
      <c r="V2130" s="199">
        <f ca="1">U2130*'Expenditure Study'!$B$31</f>
        <v>0</v>
      </c>
      <c r="W2130" s="199">
        <f ca="1">IF(A2130=10298,1.51,1)*IF($B2130&lt;3,$D2130*'Expenditure Study'!$B$32*OFFSET('Expenditure Study'!$B$7,'Operations Support'!$C2130,'Operations Support'!$B2130),0)</f>
        <v>0</v>
      </c>
      <c r="X2130" s="200">
        <f ca="1">W2130*'Expenditure Study'!$B$31</f>
        <v>0</v>
      </c>
      <c r="Y2130" s="199">
        <f ca="1">U2130*'Expenditure Study'!$B$31</f>
        <v>0</v>
      </c>
      <c r="Z2130" s="200">
        <f ca="1">W2130*'Expenditure Study'!$B$31</f>
        <v>0</v>
      </c>
      <c r="AA2130" s="195">
        <f t="shared" ca="1" si="470"/>
        <v>0</v>
      </c>
      <c r="AB2130" s="195">
        <f t="shared" ca="1" si="471"/>
        <v>0</v>
      </c>
      <c r="AD2130" s="196">
        <f>IFERROR($G2130/SUMIF($A:$A,$A2130,$G:$G)*SUMIF(Summary!$A$166:$A$242,$A2130,Summary!$P$166:$P$242),0)</f>
        <v>0</v>
      </c>
      <c r="AE2130" s="197">
        <f t="shared" ca="1" si="472"/>
        <v>0</v>
      </c>
      <c r="AF2130" s="196">
        <f>IFERROR(G2130/SUMIF(A:A,A2130,G:G)*SUMIF(Summary!$A$166:$A$242,'Operations Support'!A2130,Summary!$Q$166:$Q$242),0)</f>
        <v>0</v>
      </c>
      <c r="AG2130" s="196">
        <f t="shared" ca="1" si="473"/>
        <v>0</v>
      </c>
      <c r="AI2130" s="196">
        <f>IFERROR($G2130/SUMIF($A:$A,$A2130,$G:$G)*SUMIF(Summary!$A$247:$A$283,$A2130,Summary!$P$247:$P$283),0)</f>
        <v>0</v>
      </c>
      <c r="AJ2130" s="196">
        <f>IFERROR($G2130/SUMIF($A:$A,$A2130,$G:$G)*(SUMIF(Summary!$A$247:$A$283,$A2130,Summary!$L$247:$L$283)+SUMIF(Summary!$A$297:$A$333,$A2130,Summary!$L$297:$L$333))-AI2130,0)</f>
        <v>0</v>
      </c>
      <c r="AK2130" s="196">
        <f>IFERROR($G2130/SUMIF($A:$A,$A2130,$G:$G)*SUMIF(Summary!$A$247:$A$283,$A2130,Summary!$Q$247:$Q$283),0)</f>
        <v>0</v>
      </c>
      <c r="AL2130" s="196">
        <f>IFERROR($G2130/SUMIF($A:$A,$A2130,$G:$G)*(SUMIF(Summary!$A$247:$A$283,$A2130,Summary!$L$247:$L$283)+SUMIF(Summary!$A$297:$A$333,$A2130,Summary!$L$297:$L$333))-AK2130,0)</f>
        <v>0</v>
      </c>
      <c r="AM2130" s="198"/>
      <c r="AN2130" s="196">
        <f t="shared" ca="1" si="474"/>
        <v>0</v>
      </c>
      <c r="AO2130" s="196">
        <f t="shared" ca="1" si="475"/>
        <v>0</v>
      </c>
    </row>
    <row r="2131" spans="1:41">
      <c r="A2131" s="189">
        <v>3658</v>
      </c>
      <c r="B2131" s="190">
        <v>2</v>
      </c>
      <c r="C2131" s="191" t="s">
        <v>225</v>
      </c>
      <c r="D2131" s="192">
        <f t="shared" si="462"/>
        <v>52243</v>
      </c>
      <c r="E2131" s="192">
        <f t="shared" si="463"/>
        <v>37257</v>
      </c>
      <c r="F2131" s="192">
        <f t="shared" si="464"/>
        <v>0</v>
      </c>
      <c r="G2131" s="193">
        <f t="shared" si="465"/>
        <v>89500</v>
      </c>
      <c r="H2131" s="194">
        <v>26410</v>
      </c>
      <c r="I2131" s="194">
        <v>18670</v>
      </c>
      <c r="J2131" s="194">
        <v>0</v>
      </c>
      <c r="K2131" s="193">
        <f t="shared" si="466"/>
        <v>45080</v>
      </c>
      <c r="L2131" s="194">
        <v>25202</v>
      </c>
      <c r="M2131" s="194">
        <v>17159</v>
      </c>
      <c r="N2131" s="194">
        <v>0</v>
      </c>
      <c r="O2131" s="193">
        <f t="shared" si="467"/>
        <v>42361</v>
      </c>
      <c r="P2131" s="194">
        <v>631</v>
      </c>
      <c r="Q2131" s="194">
        <v>1428</v>
      </c>
      <c r="R2131" s="194">
        <v>0</v>
      </c>
      <c r="S2131" s="193">
        <f t="shared" si="468"/>
        <v>2059</v>
      </c>
      <c r="T2131" s="193">
        <f t="shared" si="469"/>
        <v>2983.3333333333335</v>
      </c>
      <c r="U2131" s="193">
        <f ca="1">OFFSET('Expenditure Study'!$B$7,'Operations Support'!$C2131,'Operations Support'!$B2131)*$G2131</f>
        <v>250599.99999999997</v>
      </c>
      <c r="V2131" s="199">
        <f ca="1">U2131*'Expenditure Study'!$B$31</f>
        <v>14806245.108479999</v>
      </c>
      <c r="W2131" s="199">
        <f ca="1">IF(A2131=10298,1.51,1)*IF($B2131&lt;3,$D2131*'Expenditure Study'!$B$32*OFFSET('Expenditure Study'!$B$7,'Operations Support'!$C2131,'Operations Support'!$B2131),0)</f>
        <v>14628.039999999999</v>
      </c>
      <c r="X2131" s="200">
        <f ca="1">W2131*'Expenditure Study'!$B$31</f>
        <v>864271.13206963195</v>
      </c>
      <c r="Y2131" s="199">
        <f ca="1">U2131*'Expenditure Study'!$B$31</f>
        <v>14806245.108479999</v>
      </c>
      <c r="Z2131" s="200">
        <f ca="1">W2131*'Expenditure Study'!$B$31</f>
        <v>864271.13206963195</v>
      </c>
      <c r="AA2131" s="195">
        <f t="shared" ca="1" si="470"/>
        <v>15670516.240549631</v>
      </c>
      <c r="AB2131" s="195">
        <f t="shared" ca="1" si="471"/>
        <v>15670516.240549631</v>
      </c>
      <c r="AD2131" s="196">
        <f>IFERROR($G2131/SUMIF($A:$A,$A2131,$G:$G)*SUMIF(Summary!$A$166:$A$242,$A2131,Summary!$P$166:$P$242),0)</f>
        <v>4160863.2660734621</v>
      </c>
      <c r="AE2131" s="197">
        <f t="shared" ca="1" si="472"/>
        <v>11509652.97447617</v>
      </c>
      <c r="AF2131" s="196">
        <f>IFERROR(G2131/SUMIF(A:A,A2131,G:G)*SUMIF(Summary!$A$166:$A$242,'Operations Support'!A2131,Summary!$Q$166:$Q$242),0)</f>
        <v>4184445.93146527</v>
      </c>
      <c r="AG2131" s="196">
        <f t="shared" ca="1" si="473"/>
        <v>11486070.309084361</v>
      </c>
      <c r="AI2131" s="196">
        <f>IFERROR($G2131/SUMIF($A:$A,$A2131,$G:$G)*SUMIF(Summary!$A$247:$A$283,$A2131,Summary!$P$247:$P$283),0)</f>
        <v>758837.62654642027</v>
      </c>
      <c r="AJ2131" s="196">
        <f>IFERROR($G2131/SUMIF($A:$A,$A2131,$G:$G)*(SUMIF(Summary!$A$247:$A$283,$A2131,Summary!$L$247:$L$283)+SUMIF(Summary!$A$297:$A$333,$A2131,Summary!$L$297:$L$333))-AI2131,0)</f>
        <v>3163427.2587049995</v>
      </c>
      <c r="AK2131" s="196">
        <f>IFERROR($G2131/SUMIF($A:$A,$A2131,$G:$G)*SUMIF(Summary!$A$247:$A$283,$A2131,Summary!$Q$247:$Q$283),0)</f>
        <v>763138.51621503115</v>
      </c>
      <c r="AL2131" s="196">
        <f>IFERROR($G2131/SUMIF($A:$A,$A2131,$G:$G)*(SUMIF(Summary!$A$247:$A$283,$A2131,Summary!$L$247:$L$283)+SUMIF(Summary!$A$297:$A$333,$A2131,Summary!$L$297:$L$333))-AK2131,0)</f>
        <v>3159126.3690363886</v>
      </c>
      <c r="AM2131" s="198"/>
      <c r="AN2131" s="196">
        <f t="shared" ca="1" si="474"/>
        <v>14673080.233181169</v>
      </c>
      <c r="AO2131" s="196">
        <f t="shared" ca="1" si="475"/>
        <v>14645196.678120751</v>
      </c>
    </row>
    <row r="2132" spans="1:41">
      <c r="A2132" s="189">
        <v>3658</v>
      </c>
      <c r="B2132" s="190">
        <v>2</v>
      </c>
      <c r="C2132" s="191" t="s">
        <v>226</v>
      </c>
      <c r="D2132" s="192">
        <f t="shared" si="462"/>
        <v>2934</v>
      </c>
      <c r="E2132" s="192">
        <f t="shared" si="463"/>
        <v>5936</v>
      </c>
      <c r="F2132" s="192">
        <f t="shared" si="464"/>
        <v>0</v>
      </c>
      <c r="G2132" s="193">
        <f t="shared" si="465"/>
        <v>8870</v>
      </c>
      <c r="H2132" s="194">
        <v>1368</v>
      </c>
      <c r="I2132" s="194">
        <v>2706</v>
      </c>
      <c r="J2132" s="194">
        <v>0</v>
      </c>
      <c r="K2132" s="193">
        <f t="shared" si="466"/>
        <v>4074</v>
      </c>
      <c r="L2132" s="194">
        <v>1461</v>
      </c>
      <c r="M2132" s="194">
        <v>2765</v>
      </c>
      <c r="N2132" s="194">
        <v>0</v>
      </c>
      <c r="O2132" s="193">
        <f t="shared" si="467"/>
        <v>4226</v>
      </c>
      <c r="P2132" s="194">
        <v>105</v>
      </c>
      <c r="Q2132" s="194">
        <v>465</v>
      </c>
      <c r="R2132" s="194">
        <v>0</v>
      </c>
      <c r="S2132" s="193">
        <f t="shared" si="468"/>
        <v>570</v>
      </c>
      <c r="T2132" s="193">
        <f t="shared" si="469"/>
        <v>295.66666666666669</v>
      </c>
      <c r="U2132" s="193">
        <f ca="1">OFFSET('Expenditure Study'!$B$7,'Operations Support'!$C2132,'Operations Support'!$B2132)*$G2132</f>
        <v>15966</v>
      </c>
      <c r="V2132" s="199">
        <f ca="1">U2132*'Expenditure Study'!$B$31</f>
        <v>943322.06465279998</v>
      </c>
      <c r="W2132" s="199">
        <f ca="1">IF(A2132=10298,1.51,1)*IF($B2132&lt;3,$D2132*'Expenditure Study'!$B$32*OFFSET('Expenditure Study'!$B$7,'Operations Support'!$C2132,'Operations Support'!$B2132),0)</f>
        <v>528.12000000000012</v>
      </c>
      <c r="X2132" s="200">
        <f ca="1">W2132*'Expenditure Study'!$B$31</f>
        <v>31203.009444096009</v>
      </c>
      <c r="Y2132" s="199">
        <f ca="1">U2132*'Expenditure Study'!$B$31</f>
        <v>943322.06465279998</v>
      </c>
      <c r="Z2132" s="200">
        <f ca="1">W2132*'Expenditure Study'!$B$31</f>
        <v>31203.009444096009</v>
      </c>
      <c r="AA2132" s="195">
        <f t="shared" ca="1" si="470"/>
        <v>974525.07409689599</v>
      </c>
      <c r="AB2132" s="195">
        <f t="shared" ca="1" si="471"/>
        <v>974525.07409689599</v>
      </c>
      <c r="AD2132" s="196">
        <f>IFERROR($G2132/SUMIF($A:$A,$A2132,$G:$G)*SUMIF(Summary!$A$166:$A$242,$A2132,Summary!$P$166:$P$242),0)</f>
        <v>412367.11921867717</v>
      </c>
      <c r="AE2132" s="197">
        <f t="shared" ca="1" si="472"/>
        <v>562157.95487821882</v>
      </c>
      <c r="AF2132" s="196">
        <f>IFERROR(G2132/SUMIF(A:A,A2132,G:G)*SUMIF(Summary!$A$166:$A$242,'Operations Support'!A2132,Summary!$Q$166:$Q$242),0)</f>
        <v>414704.30628041277</v>
      </c>
      <c r="AG2132" s="196">
        <f t="shared" ca="1" si="473"/>
        <v>559820.76781648328</v>
      </c>
      <c r="AI2132" s="196">
        <f>IFERROR($G2132/SUMIF($A:$A,$A2132,$G:$G)*SUMIF(Summary!$A$247:$A$283,$A2132,Summary!$P$247:$P$283),0)</f>
        <v>75205.472038734602</v>
      </c>
      <c r="AJ2132" s="196">
        <f>IFERROR($G2132/SUMIF($A:$A,$A2132,$G:$G)*(SUMIF(Summary!$A$247:$A$283,$A2132,Summary!$L$247:$L$283)+SUMIF(Summary!$A$297:$A$333,$A2132,Summary!$L$297:$L$333))-AI2132,0)</f>
        <v>313515.0813934452</v>
      </c>
      <c r="AK2132" s="196">
        <f>IFERROR($G2132/SUMIF($A:$A,$A2132,$G:$G)*SUMIF(Summary!$A$247:$A$283,$A2132,Summary!$Q$247:$Q$283),0)</f>
        <v>75631.71663494219</v>
      </c>
      <c r="AL2132" s="196">
        <f>IFERROR($G2132/SUMIF($A:$A,$A2132,$G:$G)*(SUMIF(Summary!$A$247:$A$283,$A2132,Summary!$L$247:$L$283)+SUMIF(Summary!$A$297:$A$333,$A2132,Summary!$L$297:$L$333))-AK2132,0)</f>
        <v>313088.83679723763</v>
      </c>
      <c r="AM2132" s="198"/>
      <c r="AN2132" s="196">
        <f t="shared" ca="1" si="474"/>
        <v>875673.03627166408</v>
      </c>
      <c r="AO2132" s="196">
        <f t="shared" ca="1" si="475"/>
        <v>872909.60461372091</v>
      </c>
    </row>
    <row r="2133" spans="1:41">
      <c r="A2133" s="189">
        <v>3658</v>
      </c>
      <c r="B2133" s="190">
        <v>2</v>
      </c>
      <c r="C2133" s="191" t="s">
        <v>227</v>
      </c>
      <c r="D2133" s="192">
        <f t="shared" si="462"/>
        <v>0</v>
      </c>
      <c r="E2133" s="192">
        <f t="shared" si="463"/>
        <v>0</v>
      </c>
      <c r="F2133" s="192">
        <f t="shared" si="464"/>
        <v>0</v>
      </c>
      <c r="G2133" s="193">
        <f t="shared" si="465"/>
        <v>0</v>
      </c>
      <c r="H2133" s="194">
        <v>0</v>
      </c>
      <c r="I2133" s="194">
        <v>0</v>
      </c>
      <c r="J2133" s="194">
        <v>0</v>
      </c>
      <c r="K2133" s="193">
        <f t="shared" si="466"/>
        <v>0</v>
      </c>
      <c r="L2133" s="194">
        <v>0</v>
      </c>
      <c r="M2133" s="194">
        <v>0</v>
      </c>
      <c r="N2133" s="194">
        <v>0</v>
      </c>
      <c r="O2133" s="193">
        <f t="shared" si="467"/>
        <v>0</v>
      </c>
      <c r="P2133" s="194">
        <v>0</v>
      </c>
      <c r="Q2133" s="194">
        <v>0</v>
      </c>
      <c r="R2133" s="194">
        <v>0</v>
      </c>
      <c r="S2133" s="193">
        <f t="shared" si="468"/>
        <v>0</v>
      </c>
      <c r="T2133" s="193">
        <f t="shared" si="469"/>
        <v>0</v>
      </c>
      <c r="U2133" s="193">
        <f ca="1">OFFSET('Expenditure Study'!$B$7,'Operations Support'!$C2133,'Operations Support'!$B2133)*$G2133</f>
        <v>0</v>
      </c>
      <c r="V2133" s="199">
        <f ca="1">U2133*'Expenditure Study'!$B$31</f>
        <v>0</v>
      </c>
      <c r="W2133" s="199">
        <f ca="1">IF(A2133=10298,1.51,1)*IF($B2133&lt;3,$D2133*'Expenditure Study'!$B$32*OFFSET('Expenditure Study'!$B$7,'Operations Support'!$C2133,'Operations Support'!$B2133),0)</f>
        <v>0</v>
      </c>
      <c r="X2133" s="200">
        <f ca="1">W2133*'Expenditure Study'!$B$31</f>
        <v>0</v>
      </c>
      <c r="Y2133" s="199">
        <f ca="1">U2133*'Expenditure Study'!$B$31</f>
        <v>0</v>
      </c>
      <c r="Z2133" s="200">
        <f ca="1">W2133*'Expenditure Study'!$B$31</f>
        <v>0</v>
      </c>
      <c r="AA2133" s="195">
        <f t="shared" ca="1" si="470"/>
        <v>0</v>
      </c>
      <c r="AB2133" s="195">
        <f t="shared" ca="1" si="471"/>
        <v>0</v>
      </c>
      <c r="AD2133" s="196">
        <f>IFERROR($G2133/SUMIF($A:$A,$A2133,$G:$G)*SUMIF(Summary!$A$166:$A$242,$A2133,Summary!$P$166:$P$242),0)</f>
        <v>0</v>
      </c>
      <c r="AE2133" s="197">
        <f t="shared" ca="1" si="472"/>
        <v>0</v>
      </c>
      <c r="AF2133" s="196">
        <f>IFERROR(G2133/SUMIF(A:A,A2133,G:G)*SUMIF(Summary!$A$166:$A$242,'Operations Support'!A2133,Summary!$Q$166:$Q$242),0)</f>
        <v>0</v>
      </c>
      <c r="AG2133" s="196">
        <f t="shared" ca="1" si="473"/>
        <v>0</v>
      </c>
      <c r="AI2133" s="196">
        <f>IFERROR($G2133/SUMIF($A:$A,$A2133,$G:$G)*SUMIF(Summary!$A$247:$A$283,$A2133,Summary!$P$247:$P$283),0)</f>
        <v>0</v>
      </c>
      <c r="AJ2133" s="196">
        <f>IFERROR($G2133/SUMIF($A:$A,$A2133,$G:$G)*(SUMIF(Summary!$A$247:$A$283,$A2133,Summary!$L$247:$L$283)+SUMIF(Summary!$A$297:$A$333,$A2133,Summary!$L$297:$L$333))-AI2133,0)</f>
        <v>0</v>
      </c>
      <c r="AK2133" s="196">
        <f>IFERROR($G2133/SUMIF($A:$A,$A2133,$G:$G)*SUMIF(Summary!$A$247:$A$283,$A2133,Summary!$Q$247:$Q$283),0)</f>
        <v>0</v>
      </c>
      <c r="AL2133" s="196">
        <f>IFERROR($G2133/SUMIF($A:$A,$A2133,$G:$G)*(SUMIF(Summary!$A$247:$A$283,$A2133,Summary!$L$247:$L$283)+SUMIF(Summary!$A$297:$A$333,$A2133,Summary!$L$297:$L$333))-AK2133,0)</f>
        <v>0</v>
      </c>
      <c r="AM2133" s="198"/>
      <c r="AN2133" s="196">
        <f t="shared" ca="1" si="474"/>
        <v>0</v>
      </c>
      <c r="AO2133" s="196">
        <f t="shared" ca="1" si="475"/>
        <v>0</v>
      </c>
    </row>
    <row r="2134" spans="1:41">
      <c r="A2134" s="189">
        <v>3658</v>
      </c>
      <c r="B2134" s="190">
        <v>2</v>
      </c>
      <c r="C2134" s="191" t="s">
        <v>228</v>
      </c>
      <c r="D2134" s="192">
        <f t="shared" si="462"/>
        <v>257</v>
      </c>
      <c r="E2134" s="192">
        <f t="shared" si="463"/>
        <v>4034</v>
      </c>
      <c r="F2134" s="192">
        <f t="shared" si="464"/>
        <v>0</v>
      </c>
      <c r="G2134" s="193">
        <f t="shared" si="465"/>
        <v>4291</v>
      </c>
      <c r="H2134" s="194">
        <v>222</v>
      </c>
      <c r="I2134" s="194">
        <v>2066</v>
      </c>
      <c r="J2134" s="194">
        <v>0</v>
      </c>
      <c r="K2134" s="193">
        <f t="shared" si="466"/>
        <v>2288</v>
      </c>
      <c r="L2134" s="194">
        <v>3</v>
      </c>
      <c r="M2134" s="194">
        <v>1813</v>
      </c>
      <c r="N2134" s="194">
        <v>0</v>
      </c>
      <c r="O2134" s="193">
        <f t="shared" si="467"/>
        <v>1816</v>
      </c>
      <c r="P2134" s="194">
        <v>32</v>
      </c>
      <c r="Q2134" s="194">
        <v>155</v>
      </c>
      <c r="R2134" s="194">
        <v>0</v>
      </c>
      <c r="S2134" s="193">
        <f t="shared" si="468"/>
        <v>187</v>
      </c>
      <c r="T2134" s="193">
        <f t="shared" si="469"/>
        <v>143.03333333333333</v>
      </c>
      <c r="U2134" s="193">
        <f ca="1">OFFSET('Expenditure Study'!$B$7,'Operations Support'!$C2134,'Operations Support'!$B2134)*$G2134</f>
        <v>8195.81</v>
      </c>
      <c r="V2134" s="199">
        <f ca="1">U2134*'Expenditure Study'!$B$31</f>
        <v>484234.52403244795</v>
      </c>
      <c r="W2134" s="199">
        <f ca="1">IF(A2134=10298,1.51,1)*IF($B2134&lt;3,$D2134*'Expenditure Study'!$B$32*OFFSET('Expenditure Study'!$B$7,'Operations Support'!$C2134,'Operations Support'!$B2134),0)</f>
        <v>49.087000000000003</v>
      </c>
      <c r="X2134" s="200">
        <f ca="1">W2134*'Expenditure Study'!$B$31</f>
        <v>2900.2160959296002</v>
      </c>
      <c r="Y2134" s="199">
        <f ca="1">U2134*'Expenditure Study'!$B$31</f>
        <v>484234.52403244795</v>
      </c>
      <c r="Z2134" s="200">
        <f ca="1">W2134*'Expenditure Study'!$B$31</f>
        <v>2900.2160959296002</v>
      </c>
      <c r="AA2134" s="195">
        <f t="shared" ca="1" si="470"/>
        <v>487134.74012837757</v>
      </c>
      <c r="AB2134" s="195">
        <f t="shared" ca="1" si="471"/>
        <v>487134.74012837757</v>
      </c>
      <c r="AD2134" s="196">
        <f>IFERROR($G2134/SUMIF($A:$A,$A2134,$G:$G)*SUMIF(Summary!$A$166:$A$242,$A2134,Summary!$P$166:$P$242),0)</f>
        <v>199488.98630973435</v>
      </c>
      <c r="AE2134" s="197">
        <f t="shared" ca="1" si="472"/>
        <v>287645.75381864322</v>
      </c>
      <c r="AF2134" s="196">
        <f>IFERROR(G2134/SUMIF(A:A,A2134,G:G)*SUMIF(Summary!$A$166:$A$242,'Operations Support'!A2134,Summary!$Q$166:$Q$242),0)</f>
        <v>200619.63678120082</v>
      </c>
      <c r="AG2134" s="196">
        <f t="shared" ca="1" si="473"/>
        <v>286515.10334717674</v>
      </c>
      <c r="AI2134" s="196">
        <f>IFERROR($G2134/SUMIF($A:$A,$A2134,$G:$G)*SUMIF(Summary!$A$247:$A$283,$A2134,Summary!$P$247:$P$283),0)</f>
        <v>36381.812910733956</v>
      </c>
      <c r="AJ2134" s="196">
        <f>IFERROR($G2134/SUMIF($A:$A,$A2134,$G:$G)*(SUMIF(Summary!$A$247:$A$283,$A2134,Summary!$L$247:$L$283)+SUMIF(Summary!$A$297:$A$333,$A2134,Summary!$L$297:$L$333))-AI2134,0)</f>
        <v>151667.78063802404</v>
      </c>
      <c r="AK2134" s="196">
        <f>IFERROR($G2134/SUMIF($A:$A,$A2134,$G:$G)*SUMIF(Summary!$A$247:$A$283,$A2134,Summary!$Q$247:$Q$283),0)</f>
        <v>36588.015341661434</v>
      </c>
      <c r="AL2134" s="196">
        <f>IFERROR($G2134/SUMIF($A:$A,$A2134,$G:$G)*(SUMIF(Summary!$A$247:$A$283,$A2134,Summary!$L$247:$L$283)+SUMIF(Summary!$A$297:$A$333,$A2134,Summary!$L$297:$L$333))-AK2134,0)</f>
        <v>151461.57820709655</v>
      </c>
      <c r="AM2134" s="198"/>
      <c r="AN2134" s="196">
        <f t="shared" ca="1" si="474"/>
        <v>439313.53445666726</v>
      </c>
      <c r="AO2134" s="196">
        <f t="shared" ca="1" si="475"/>
        <v>437976.68155427329</v>
      </c>
    </row>
    <row r="2135" spans="1:41" s="201" customFormat="1">
      <c r="A2135" s="189">
        <v>3658</v>
      </c>
      <c r="B2135" s="190">
        <v>2</v>
      </c>
      <c r="C2135" s="191" t="s">
        <v>229</v>
      </c>
      <c r="D2135" s="192">
        <f t="shared" si="462"/>
        <v>15</v>
      </c>
      <c r="E2135" s="192">
        <f t="shared" si="463"/>
        <v>27</v>
      </c>
      <c r="F2135" s="192">
        <f t="shared" si="464"/>
        <v>0</v>
      </c>
      <c r="G2135" s="193">
        <f t="shared" si="465"/>
        <v>42</v>
      </c>
      <c r="H2135" s="194">
        <v>0</v>
      </c>
      <c r="I2135" s="194">
        <v>15</v>
      </c>
      <c r="J2135" s="194">
        <v>0</v>
      </c>
      <c r="K2135" s="193">
        <f t="shared" si="466"/>
        <v>15</v>
      </c>
      <c r="L2135" s="194">
        <v>15</v>
      </c>
      <c r="M2135" s="194">
        <v>12</v>
      </c>
      <c r="N2135" s="194">
        <v>0</v>
      </c>
      <c r="O2135" s="193">
        <f t="shared" si="467"/>
        <v>27</v>
      </c>
      <c r="P2135" s="194">
        <v>0</v>
      </c>
      <c r="Q2135" s="194">
        <v>0</v>
      </c>
      <c r="R2135" s="194">
        <v>0</v>
      </c>
      <c r="S2135" s="193">
        <f t="shared" si="468"/>
        <v>0</v>
      </c>
      <c r="T2135" s="193">
        <f t="shared" si="469"/>
        <v>1.4</v>
      </c>
      <c r="U2135" s="193">
        <f ca="1">OFFSET('Expenditure Study'!$B$7,'Operations Support'!$C2135,'Operations Support'!$B2135)*$G2135</f>
        <v>80.64</v>
      </c>
      <c r="V2135" s="199">
        <f ca="1">U2135*'Expenditure Study'!$B$31</f>
        <v>4764.4676997120005</v>
      </c>
      <c r="W2135" s="199">
        <f ca="1">IF(A2135=10298,1.51,1)*IF($B2135&lt;3,$D2135*'Expenditure Study'!$B$32*OFFSET('Expenditure Study'!$B$7,'Operations Support'!$C2135,'Operations Support'!$B2135),0)</f>
        <v>2.88</v>
      </c>
      <c r="X2135" s="200">
        <f ca="1">W2135*'Expenditure Study'!$B$31</f>
        <v>170.159560704</v>
      </c>
      <c r="Y2135" s="199">
        <f ca="1">U2135*'Expenditure Study'!$B$31</f>
        <v>4764.4676997120005</v>
      </c>
      <c r="Z2135" s="200">
        <f ca="1">W2135*'Expenditure Study'!$B$31</f>
        <v>170.159560704</v>
      </c>
      <c r="AA2135" s="195">
        <f t="shared" ca="1" si="470"/>
        <v>4934.6272604160004</v>
      </c>
      <c r="AB2135" s="195">
        <f t="shared" ca="1" si="471"/>
        <v>4934.6272604160004</v>
      </c>
      <c r="AD2135" s="196">
        <f>IFERROR($G2135/SUMIF($A:$A,$A2135,$G:$G)*SUMIF(Summary!$A$166:$A$242,$A2135,Summary!$P$166:$P$242),0)</f>
        <v>1952.5838790512335</v>
      </c>
      <c r="AE2135" s="197">
        <f t="shared" ca="1" si="472"/>
        <v>2982.0433813647669</v>
      </c>
      <c r="AF2135" s="196">
        <f>IFERROR(G2135/SUMIF(A:A,A2135,G:G)*SUMIF(Summary!$A$166:$A$242,'Operations Support'!A2135,Summary!$Q$166:$Q$242),0)</f>
        <v>1963.650604709959</v>
      </c>
      <c r="AG2135" s="196">
        <f t="shared" ca="1" si="473"/>
        <v>2970.9766557060411</v>
      </c>
      <c r="AH2135" s="180"/>
      <c r="AI2135" s="196">
        <f>IFERROR($G2135/SUMIF($A:$A,$A2135,$G:$G)*SUMIF(Summary!$A$247:$A$283,$A2135,Summary!$P$247:$P$283),0)</f>
        <v>356.10257335139272</v>
      </c>
      <c r="AJ2135" s="196">
        <f>IFERROR($G2135/SUMIF($A:$A,$A2135,$G:$G)*(SUMIF(Summary!$A$247:$A$283,$A2135,Summary!$L$247:$L$283)+SUMIF(Summary!$A$297:$A$333,$A2135,Summary!$L$297:$L$333))-AI2135,0)</f>
        <v>1484.5133504537425</v>
      </c>
      <c r="AK2135" s="196">
        <f>IFERROR($G2135/SUMIF($A:$A,$A2135,$G:$G)*SUMIF(Summary!$A$247:$A$283,$A2135,Summary!$Q$247:$Q$283),0)</f>
        <v>358.12086794448385</v>
      </c>
      <c r="AL2135" s="196">
        <f>IFERROR($G2135/SUMIF($A:$A,$A2135,$G:$G)*(SUMIF(Summary!$A$247:$A$283,$A2135,Summary!$L$247:$L$283)+SUMIF(Summary!$A$297:$A$333,$A2135,Summary!$L$297:$L$333))-AK2135,0)</f>
        <v>1482.4950558606515</v>
      </c>
      <c r="AM2135" s="198"/>
      <c r="AN2135" s="196">
        <f t="shared" ca="1" si="474"/>
        <v>4466.5567318185094</v>
      </c>
      <c r="AO2135" s="196">
        <f t="shared" ca="1" si="475"/>
        <v>4453.4717115666926</v>
      </c>
    </row>
    <row r="2136" spans="1:41">
      <c r="A2136" s="189">
        <v>3658</v>
      </c>
      <c r="B2136" s="190">
        <v>2</v>
      </c>
      <c r="C2136" s="191" t="s">
        <v>230</v>
      </c>
      <c r="D2136" s="192">
        <f t="shared" si="462"/>
        <v>0</v>
      </c>
      <c r="E2136" s="192">
        <f t="shared" si="463"/>
        <v>0</v>
      </c>
      <c r="F2136" s="192">
        <f t="shared" si="464"/>
        <v>0</v>
      </c>
      <c r="G2136" s="193">
        <f t="shared" si="465"/>
        <v>0</v>
      </c>
      <c r="H2136" s="194">
        <v>0</v>
      </c>
      <c r="I2136" s="194">
        <v>0</v>
      </c>
      <c r="J2136" s="194">
        <v>0</v>
      </c>
      <c r="K2136" s="193">
        <f t="shared" si="466"/>
        <v>0</v>
      </c>
      <c r="L2136" s="194">
        <v>0</v>
      </c>
      <c r="M2136" s="194">
        <v>0</v>
      </c>
      <c r="N2136" s="194">
        <v>0</v>
      </c>
      <c r="O2136" s="193">
        <f t="shared" si="467"/>
        <v>0</v>
      </c>
      <c r="P2136" s="194">
        <v>0</v>
      </c>
      <c r="Q2136" s="194">
        <v>0</v>
      </c>
      <c r="R2136" s="194">
        <v>0</v>
      </c>
      <c r="S2136" s="193">
        <f t="shared" si="468"/>
        <v>0</v>
      </c>
      <c r="T2136" s="193">
        <f t="shared" si="469"/>
        <v>0</v>
      </c>
      <c r="U2136" s="193">
        <f ca="1">OFFSET('Expenditure Study'!$B$7,'Operations Support'!$C2136,'Operations Support'!$B2136)*$G2136</f>
        <v>0</v>
      </c>
      <c r="V2136" s="199">
        <f ca="1">U2136*'Expenditure Study'!$B$31</f>
        <v>0</v>
      </c>
      <c r="W2136" s="199">
        <f ca="1">IF(A2136=10298,1.51,1)*IF($B2136&lt;3,$D2136*'Expenditure Study'!$B$32*OFFSET('Expenditure Study'!$B$7,'Operations Support'!$C2136,'Operations Support'!$B2136),0)</f>
        <v>0</v>
      </c>
      <c r="X2136" s="200">
        <f ca="1">W2136*'Expenditure Study'!$B$31</f>
        <v>0</v>
      </c>
      <c r="Y2136" s="199">
        <f ca="1">U2136*'Expenditure Study'!$B$31</f>
        <v>0</v>
      </c>
      <c r="Z2136" s="200">
        <f ca="1">W2136*'Expenditure Study'!$B$31</f>
        <v>0</v>
      </c>
      <c r="AA2136" s="195">
        <f t="shared" ca="1" si="470"/>
        <v>0</v>
      </c>
      <c r="AB2136" s="195">
        <f t="shared" ca="1" si="471"/>
        <v>0</v>
      </c>
      <c r="AD2136" s="196">
        <f>IFERROR($G2136/SUMIF($A:$A,$A2136,$G:$G)*SUMIF(Summary!$A$166:$A$242,$A2136,Summary!$P$166:$P$242),0)</f>
        <v>0</v>
      </c>
      <c r="AE2136" s="197">
        <f t="shared" ca="1" si="472"/>
        <v>0</v>
      </c>
      <c r="AF2136" s="196">
        <f>IFERROR(G2136/SUMIF(A:A,A2136,G:G)*SUMIF(Summary!$A$166:$A$242,'Operations Support'!A2136,Summary!$Q$166:$Q$242),0)</f>
        <v>0</v>
      </c>
      <c r="AG2136" s="196">
        <f t="shared" ca="1" si="473"/>
        <v>0</v>
      </c>
      <c r="AI2136" s="196">
        <f>IFERROR($G2136/SUMIF($A:$A,$A2136,$G:$G)*SUMIF(Summary!$A$247:$A$283,$A2136,Summary!$P$247:$P$283),0)</f>
        <v>0</v>
      </c>
      <c r="AJ2136" s="196">
        <f>IFERROR($G2136/SUMIF($A:$A,$A2136,$G:$G)*(SUMIF(Summary!$A$247:$A$283,$A2136,Summary!$L$247:$L$283)+SUMIF(Summary!$A$297:$A$333,$A2136,Summary!$L$297:$L$333))-AI2136,0)</f>
        <v>0</v>
      </c>
      <c r="AK2136" s="196">
        <f>IFERROR($G2136/SUMIF($A:$A,$A2136,$G:$G)*SUMIF(Summary!$A$247:$A$283,$A2136,Summary!$Q$247:$Q$283),0)</f>
        <v>0</v>
      </c>
      <c r="AL2136" s="196">
        <f>IFERROR($G2136/SUMIF($A:$A,$A2136,$G:$G)*(SUMIF(Summary!$A$247:$A$283,$A2136,Summary!$L$247:$L$283)+SUMIF(Summary!$A$297:$A$333,$A2136,Summary!$L$297:$L$333))-AK2136,0)</f>
        <v>0</v>
      </c>
      <c r="AM2136" s="198"/>
      <c r="AN2136" s="196">
        <f t="shared" ca="1" si="474"/>
        <v>0</v>
      </c>
      <c r="AO2136" s="196">
        <f t="shared" ca="1" si="475"/>
        <v>0</v>
      </c>
    </row>
    <row r="2137" spans="1:41">
      <c r="A2137" s="189">
        <v>3658</v>
      </c>
      <c r="B2137" s="190">
        <v>2</v>
      </c>
      <c r="C2137" s="191" t="s">
        <v>231</v>
      </c>
      <c r="D2137" s="192">
        <f t="shared" si="462"/>
        <v>0</v>
      </c>
      <c r="E2137" s="192">
        <f t="shared" si="463"/>
        <v>0</v>
      </c>
      <c r="F2137" s="192">
        <f t="shared" si="464"/>
        <v>0</v>
      </c>
      <c r="G2137" s="193">
        <f t="shared" si="465"/>
        <v>0</v>
      </c>
      <c r="H2137" s="194">
        <v>0</v>
      </c>
      <c r="I2137" s="194">
        <v>0</v>
      </c>
      <c r="J2137" s="194">
        <v>0</v>
      </c>
      <c r="K2137" s="193">
        <f t="shared" si="466"/>
        <v>0</v>
      </c>
      <c r="L2137" s="194">
        <v>0</v>
      </c>
      <c r="M2137" s="194">
        <v>0</v>
      </c>
      <c r="N2137" s="194">
        <v>0</v>
      </c>
      <c r="O2137" s="193">
        <f t="shared" si="467"/>
        <v>0</v>
      </c>
      <c r="P2137" s="194">
        <v>0</v>
      </c>
      <c r="Q2137" s="194">
        <v>0</v>
      </c>
      <c r="R2137" s="194">
        <v>0</v>
      </c>
      <c r="S2137" s="193">
        <f t="shared" si="468"/>
        <v>0</v>
      </c>
      <c r="T2137" s="193">
        <f t="shared" si="469"/>
        <v>0</v>
      </c>
      <c r="U2137" s="193">
        <f ca="1">OFFSET('Expenditure Study'!$B$7,'Operations Support'!$C2137,'Operations Support'!$B2137)*$G2137</f>
        <v>0</v>
      </c>
      <c r="V2137" s="199">
        <f ca="1">U2137*'Expenditure Study'!$B$31</f>
        <v>0</v>
      </c>
      <c r="W2137" s="199">
        <f ca="1">IF(A2137=10298,1.51,1)*IF($B2137&lt;3,$D2137*'Expenditure Study'!$B$32*OFFSET('Expenditure Study'!$B$7,'Operations Support'!$C2137,'Operations Support'!$B2137),0)</f>
        <v>0</v>
      </c>
      <c r="X2137" s="200">
        <f ca="1">W2137*'Expenditure Study'!$B$31</f>
        <v>0</v>
      </c>
      <c r="Y2137" s="199">
        <f ca="1">U2137*'Expenditure Study'!$B$31</f>
        <v>0</v>
      </c>
      <c r="Z2137" s="200">
        <f ca="1">W2137*'Expenditure Study'!$B$31</f>
        <v>0</v>
      </c>
      <c r="AA2137" s="195">
        <f t="shared" ca="1" si="470"/>
        <v>0</v>
      </c>
      <c r="AB2137" s="195">
        <f t="shared" ca="1" si="471"/>
        <v>0</v>
      </c>
      <c r="AD2137" s="196">
        <f>IFERROR($G2137/SUMIF($A:$A,$A2137,$G:$G)*SUMIF(Summary!$A$166:$A$242,$A2137,Summary!$P$166:$P$242),0)</f>
        <v>0</v>
      </c>
      <c r="AE2137" s="197">
        <f t="shared" ca="1" si="472"/>
        <v>0</v>
      </c>
      <c r="AF2137" s="196">
        <f>IFERROR(G2137/SUMIF(A:A,A2137,G:G)*SUMIF(Summary!$A$166:$A$242,'Operations Support'!A2137,Summary!$Q$166:$Q$242),0)</f>
        <v>0</v>
      </c>
      <c r="AG2137" s="196">
        <f t="shared" ca="1" si="473"/>
        <v>0</v>
      </c>
      <c r="AI2137" s="196">
        <f>IFERROR($G2137/SUMIF($A:$A,$A2137,$G:$G)*SUMIF(Summary!$A$247:$A$283,$A2137,Summary!$P$247:$P$283),0)</f>
        <v>0</v>
      </c>
      <c r="AJ2137" s="196">
        <f>IFERROR($G2137/SUMIF($A:$A,$A2137,$G:$G)*(SUMIF(Summary!$A$247:$A$283,$A2137,Summary!$L$247:$L$283)+SUMIF(Summary!$A$297:$A$333,$A2137,Summary!$L$297:$L$333))-AI2137,0)</f>
        <v>0</v>
      </c>
      <c r="AK2137" s="196">
        <f>IFERROR($G2137/SUMIF($A:$A,$A2137,$G:$G)*SUMIF(Summary!$A$247:$A$283,$A2137,Summary!$Q$247:$Q$283),0)</f>
        <v>0</v>
      </c>
      <c r="AL2137" s="196">
        <f>IFERROR($G2137/SUMIF($A:$A,$A2137,$G:$G)*(SUMIF(Summary!$A$247:$A$283,$A2137,Summary!$L$247:$L$283)+SUMIF(Summary!$A$297:$A$333,$A2137,Summary!$L$297:$L$333))-AK2137,0)</f>
        <v>0</v>
      </c>
      <c r="AM2137" s="198"/>
      <c r="AN2137" s="196">
        <f t="shared" ca="1" si="474"/>
        <v>0</v>
      </c>
      <c r="AO2137" s="196">
        <f t="shared" ca="1" si="475"/>
        <v>0</v>
      </c>
    </row>
    <row r="2138" spans="1:41">
      <c r="A2138" s="189">
        <v>3658</v>
      </c>
      <c r="B2138" s="190">
        <v>2</v>
      </c>
      <c r="C2138" s="191" t="s">
        <v>232</v>
      </c>
      <c r="D2138" s="192">
        <f t="shared" si="462"/>
        <v>0</v>
      </c>
      <c r="E2138" s="192">
        <f t="shared" si="463"/>
        <v>0</v>
      </c>
      <c r="F2138" s="192">
        <f t="shared" si="464"/>
        <v>0</v>
      </c>
      <c r="G2138" s="193">
        <f t="shared" si="465"/>
        <v>0</v>
      </c>
      <c r="H2138" s="194">
        <v>0</v>
      </c>
      <c r="I2138" s="194">
        <v>0</v>
      </c>
      <c r="J2138" s="194">
        <v>0</v>
      </c>
      <c r="K2138" s="193">
        <f t="shared" si="466"/>
        <v>0</v>
      </c>
      <c r="L2138" s="194">
        <v>0</v>
      </c>
      <c r="M2138" s="194">
        <v>0</v>
      </c>
      <c r="N2138" s="194">
        <v>0</v>
      </c>
      <c r="O2138" s="193">
        <f t="shared" si="467"/>
        <v>0</v>
      </c>
      <c r="P2138" s="194">
        <v>0</v>
      </c>
      <c r="Q2138" s="194">
        <v>0</v>
      </c>
      <c r="R2138" s="194">
        <v>0</v>
      </c>
      <c r="S2138" s="193">
        <f t="shared" si="468"/>
        <v>0</v>
      </c>
      <c r="T2138" s="193">
        <f t="shared" si="469"/>
        <v>0</v>
      </c>
      <c r="U2138" s="193">
        <f ca="1">OFFSET('Expenditure Study'!$B$7,'Operations Support'!$C2138,'Operations Support'!$B2138)*$G2138</f>
        <v>0</v>
      </c>
      <c r="V2138" s="199">
        <f ca="1">U2138*'Expenditure Study'!$B$31</f>
        <v>0</v>
      </c>
      <c r="W2138" s="199">
        <f ca="1">IF(A2138=10298,1.51,1)*IF($B2138&lt;3,$D2138*'Expenditure Study'!$B$32*OFFSET('Expenditure Study'!$B$7,'Operations Support'!$C2138,'Operations Support'!$B2138),0)</f>
        <v>0</v>
      </c>
      <c r="X2138" s="200">
        <f ca="1">W2138*'Expenditure Study'!$B$31</f>
        <v>0</v>
      </c>
      <c r="Y2138" s="199">
        <f ca="1">U2138*'Expenditure Study'!$B$31</f>
        <v>0</v>
      </c>
      <c r="Z2138" s="200">
        <f ca="1">W2138*'Expenditure Study'!$B$31</f>
        <v>0</v>
      </c>
      <c r="AA2138" s="195">
        <f t="shared" ca="1" si="470"/>
        <v>0</v>
      </c>
      <c r="AB2138" s="195">
        <f t="shared" ca="1" si="471"/>
        <v>0</v>
      </c>
      <c r="AD2138" s="196">
        <f>IFERROR($G2138/SUMIF($A:$A,$A2138,$G:$G)*SUMIF(Summary!$A$166:$A$242,$A2138,Summary!$P$166:$P$242),0)</f>
        <v>0</v>
      </c>
      <c r="AE2138" s="197">
        <f t="shared" ca="1" si="472"/>
        <v>0</v>
      </c>
      <c r="AF2138" s="196">
        <f>IFERROR(G2138/SUMIF(A:A,A2138,G:G)*SUMIF(Summary!$A$166:$A$242,'Operations Support'!A2138,Summary!$Q$166:$Q$242),0)</f>
        <v>0</v>
      </c>
      <c r="AG2138" s="196">
        <f t="shared" ca="1" si="473"/>
        <v>0</v>
      </c>
      <c r="AI2138" s="196">
        <f>IFERROR($G2138/SUMIF($A:$A,$A2138,$G:$G)*SUMIF(Summary!$A$247:$A$283,$A2138,Summary!$P$247:$P$283),0)</f>
        <v>0</v>
      </c>
      <c r="AJ2138" s="196">
        <f>IFERROR($G2138/SUMIF($A:$A,$A2138,$G:$G)*(SUMIF(Summary!$A$247:$A$283,$A2138,Summary!$L$247:$L$283)+SUMIF(Summary!$A$297:$A$333,$A2138,Summary!$L$297:$L$333))-AI2138,0)</f>
        <v>0</v>
      </c>
      <c r="AK2138" s="196">
        <f>IFERROR($G2138/SUMIF($A:$A,$A2138,$G:$G)*SUMIF(Summary!$A$247:$A$283,$A2138,Summary!$Q$247:$Q$283),0)</f>
        <v>0</v>
      </c>
      <c r="AL2138" s="196">
        <f>IFERROR($G2138/SUMIF($A:$A,$A2138,$G:$G)*(SUMIF(Summary!$A$247:$A$283,$A2138,Summary!$L$247:$L$283)+SUMIF(Summary!$A$297:$A$333,$A2138,Summary!$L$297:$L$333))-AK2138,0)</f>
        <v>0</v>
      </c>
      <c r="AM2138" s="198"/>
      <c r="AN2138" s="196">
        <f t="shared" ca="1" si="474"/>
        <v>0</v>
      </c>
      <c r="AO2138" s="196">
        <f t="shared" ca="1" si="475"/>
        <v>0</v>
      </c>
    </row>
    <row r="2139" spans="1:41">
      <c r="A2139" s="189">
        <v>3658</v>
      </c>
      <c r="B2139" s="190">
        <v>2</v>
      </c>
      <c r="C2139" s="191" t="s">
        <v>233</v>
      </c>
      <c r="D2139" s="192">
        <f t="shared" si="462"/>
        <v>3837</v>
      </c>
      <c r="E2139" s="192">
        <f t="shared" si="463"/>
        <v>8984</v>
      </c>
      <c r="F2139" s="192">
        <f t="shared" si="464"/>
        <v>0</v>
      </c>
      <c r="G2139" s="193">
        <f t="shared" si="465"/>
        <v>12821</v>
      </c>
      <c r="H2139" s="194">
        <v>1767</v>
      </c>
      <c r="I2139" s="194">
        <v>4517</v>
      </c>
      <c r="J2139" s="194">
        <v>0</v>
      </c>
      <c r="K2139" s="193">
        <f t="shared" si="466"/>
        <v>6284</v>
      </c>
      <c r="L2139" s="194">
        <v>1777</v>
      </c>
      <c r="M2139" s="194">
        <v>4074</v>
      </c>
      <c r="N2139" s="194">
        <v>0</v>
      </c>
      <c r="O2139" s="193">
        <f t="shared" si="467"/>
        <v>5851</v>
      </c>
      <c r="P2139" s="194">
        <v>293</v>
      </c>
      <c r="Q2139" s="194">
        <v>393</v>
      </c>
      <c r="R2139" s="194">
        <v>0</v>
      </c>
      <c r="S2139" s="193">
        <f t="shared" si="468"/>
        <v>686</v>
      </c>
      <c r="T2139" s="193">
        <f t="shared" si="469"/>
        <v>427.36666666666667</v>
      </c>
      <c r="U2139" s="193">
        <f ca="1">OFFSET('Expenditure Study'!$B$7,'Operations Support'!$C2139,'Operations Support'!$B2139)*$G2139</f>
        <v>20641.810000000001</v>
      </c>
      <c r="V2139" s="199">
        <f ca="1">U2139*'Expenditure Study'!$B$31</f>
        <v>1219583.792269248</v>
      </c>
      <c r="W2139" s="199">
        <f ca="1">IF(A2139=10298,1.51,1)*IF($B2139&lt;3,$D2139*'Expenditure Study'!$B$32*OFFSET('Expenditure Study'!$B$7,'Operations Support'!$C2139,'Operations Support'!$B2139),0)</f>
        <v>617.75700000000006</v>
      </c>
      <c r="X2139" s="200">
        <f ca="1">W2139*'Expenditure Study'!$B$31</f>
        <v>36499.048521465607</v>
      </c>
      <c r="Y2139" s="199">
        <f ca="1">U2139*'Expenditure Study'!$B$31</f>
        <v>1219583.792269248</v>
      </c>
      <c r="Z2139" s="200">
        <f ca="1">W2139*'Expenditure Study'!$B$31</f>
        <v>36499.048521465607</v>
      </c>
      <c r="AA2139" s="195">
        <f t="shared" ca="1" si="470"/>
        <v>1256082.8407907137</v>
      </c>
      <c r="AB2139" s="195">
        <f t="shared" ca="1" si="471"/>
        <v>1256082.8407907137</v>
      </c>
      <c r="AD2139" s="196">
        <f>IFERROR($G2139/SUMIF($A:$A,$A2139,$G:$G)*SUMIF(Summary!$A$166:$A$242,$A2139,Summary!$P$166:$P$242),0)</f>
        <v>596049.4741265683</v>
      </c>
      <c r="AE2139" s="197">
        <f t="shared" ca="1" si="472"/>
        <v>660033.36666414537</v>
      </c>
      <c r="AF2139" s="196">
        <f>IFERROR(G2139/SUMIF(A:A,A2139,G:G)*SUMIF(Summary!$A$166:$A$242,'Operations Support'!A2139,Summary!$Q$166:$Q$242),0)</f>
        <v>599427.72388062824</v>
      </c>
      <c r="AG2139" s="196">
        <f t="shared" ca="1" si="473"/>
        <v>656655.11691008543</v>
      </c>
      <c r="AI2139" s="196">
        <f>IFERROR($G2139/SUMIF($A:$A,$A2139,$G:$G)*SUMIF(Summary!$A$247:$A$283,$A2139,Summary!$P$247:$P$283),0)</f>
        <v>108704.54983186207</v>
      </c>
      <c r="AJ2139" s="196">
        <f>IFERROR($G2139/SUMIF($A:$A,$A2139,$G:$G)*(SUMIF(Summary!$A$247:$A$283,$A2139,Summary!$L$247:$L$283)+SUMIF(Summary!$A$297:$A$333,$A2139,Summary!$L$297:$L$333))-AI2139,0)</f>
        <v>453165.37300398655</v>
      </c>
      <c r="AK2139" s="196">
        <f>IFERROR($G2139/SUMIF($A:$A,$A2139,$G:$G)*SUMIF(Summary!$A$247:$A$283,$A2139,Summary!$Q$247:$Q$283),0)</f>
        <v>109320.65828371972</v>
      </c>
      <c r="AL2139" s="196">
        <f>IFERROR($G2139/SUMIF($A:$A,$A2139,$G:$G)*(SUMIF(Summary!$A$247:$A$283,$A2139,Summary!$L$247:$L$283)+SUMIF(Summary!$A$297:$A$333,$A2139,Summary!$L$297:$L$333))-AK2139,0)</f>
        <v>452549.26455212891</v>
      </c>
      <c r="AM2139" s="198"/>
      <c r="AN2139" s="196">
        <f t="shared" ca="1" si="474"/>
        <v>1113198.7396681318</v>
      </c>
      <c r="AO2139" s="196">
        <f t="shared" ca="1" si="475"/>
        <v>1109204.3814622143</v>
      </c>
    </row>
    <row r="2140" spans="1:41">
      <c r="A2140" s="189">
        <v>3658</v>
      </c>
      <c r="B2140" s="190">
        <v>2</v>
      </c>
      <c r="C2140" s="191" t="s">
        <v>234</v>
      </c>
      <c r="D2140" s="192">
        <f t="shared" si="462"/>
        <v>3</v>
      </c>
      <c r="E2140" s="192">
        <f t="shared" si="463"/>
        <v>402</v>
      </c>
      <c r="F2140" s="192">
        <f t="shared" si="464"/>
        <v>0</v>
      </c>
      <c r="G2140" s="193">
        <f t="shared" si="465"/>
        <v>405</v>
      </c>
      <c r="H2140" s="194">
        <v>3</v>
      </c>
      <c r="I2140" s="194">
        <v>150</v>
      </c>
      <c r="J2140" s="194">
        <v>0</v>
      </c>
      <c r="K2140" s="193">
        <f t="shared" si="466"/>
        <v>153</v>
      </c>
      <c r="L2140" s="194">
        <v>0</v>
      </c>
      <c r="M2140" s="194">
        <v>0</v>
      </c>
      <c r="N2140" s="194">
        <v>0</v>
      </c>
      <c r="O2140" s="193">
        <f t="shared" si="467"/>
        <v>0</v>
      </c>
      <c r="P2140" s="194">
        <v>0</v>
      </c>
      <c r="Q2140" s="194">
        <v>252</v>
      </c>
      <c r="R2140" s="194">
        <v>0</v>
      </c>
      <c r="S2140" s="193">
        <f t="shared" si="468"/>
        <v>252</v>
      </c>
      <c r="T2140" s="193">
        <f t="shared" si="469"/>
        <v>13.5</v>
      </c>
      <c r="U2140" s="193">
        <f ca="1">OFFSET('Expenditure Study'!$B$7,'Operations Support'!$C2140,'Operations Support'!$B2140)*$G2140</f>
        <v>1915.65</v>
      </c>
      <c r="V2140" s="199">
        <f ca="1">U2140*'Expenditure Study'!$B$31</f>
        <v>113182.69529952001</v>
      </c>
      <c r="W2140" s="199">
        <f ca="1">IF(A2140=10298,1.51,1)*IF($B2140&lt;3,$D2140*'Expenditure Study'!$B$32*OFFSET('Expenditure Study'!$B$7,'Operations Support'!$C2140,'Operations Support'!$B2140),0)</f>
        <v>1.4190000000000003</v>
      </c>
      <c r="X2140" s="200">
        <f ca="1">W2140*'Expenditure Study'!$B$31</f>
        <v>83.839033555200018</v>
      </c>
      <c r="Y2140" s="199">
        <f ca="1">U2140*'Expenditure Study'!$B$31</f>
        <v>113182.69529952001</v>
      </c>
      <c r="Z2140" s="200">
        <f ca="1">W2140*'Expenditure Study'!$B$31</f>
        <v>83.839033555200018</v>
      </c>
      <c r="AA2140" s="195">
        <f t="shared" ca="1" si="470"/>
        <v>113266.53433307521</v>
      </c>
      <c r="AB2140" s="195">
        <f t="shared" ca="1" si="471"/>
        <v>113266.53433307521</v>
      </c>
      <c r="AD2140" s="196">
        <f>IFERROR($G2140/SUMIF($A:$A,$A2140,$G:$G)*SUMIF(Summary!$A$166:$A$242,$A2140,Summary!$P$166:$P$242),0)</f>
        <v>18828.487405136897</v>
      </c>
      <c r="AE2140" s="197">
        <f t="shared" ca="1" si="472"/>
        <v>94438.046927938311</v>
      </c>
      <c r="AF2140" s="196">
        <f>IFERROR(G2140/SUMIF(A:A,A2140,G:G)*SUMIF(Summary!$A$166:$A$242,'Operations Support'!A2140,Summary!$Q$166:$Q$242),0)</f>
        <v>18935.202259703179</v>
      </c>
      <c r="AG2140" s="196">
        <f t="shared" ca="1" si="473"/>
        <v>94331.332073372032</v>
      </c>
      <c r="AI2140" s="196">
        <f>IFERROR($G2140/SUMIF($A:$A,$A2140,$G:$G)*SUMIF(Summary!$A$247:$A$283,$A2140,Summary!$P$247:$P$283),0)</f>
        <v>3433.8462430312875</v>
      </c>
      <c r="AJ2140" s="196">
        <f>IFERROR($G2140/SUMIF($A:$A,$A2140,$G:$G)*(SUMIF(Summary!$A$247:$A$283,$A2140,Summary!$L$247:$L$283)+SUMIF(Summary!$A$297:$A$333,$A2140,Summary!$L$297:$L$333))-AI2140,0)</f>
        <v>14314.950165089664</v>
      </c>
      <c r="AK2140" s="196">
        <f>IFERROR($G2140/SUMIF($A:$A,$A2140,$G:$G)*SUMIF(Summary!$A$247:$A$283,$A2140,Summary!$Q$247:$Q$283),0)</f>
        <v>3453.3083694646662</v>
      </c>
      <c r="AL2140" s="196">
        <f>IFERROR($G2140/SUMIF($A:$A,$A2140,$G:$G)*(SUMIF(Summary!$A$247:$A$283,$A2140,Summary!$L$247:$L$283)+SUMIF(Summary!$A$297:$A$333,$A2140,Summary!$L$297:$L$333))-AK2140,0)</f>
        <v>14295.488038656284</v>
      </c>
      <c r="AM2140" s="198"/>
      <c r="AN2140" s="196">
        <f t="shared" ca="1" si="474"/>
        <v>108752.99709302798</v>
      </c>
      <c r="AO2140" s="196">
        <f t="shared" ca="1" si="475"/>
        <v>108626.82011202832</v>
      </c>
    </row>
    <row r="2141" spans="1:41">
      <c r="A2141" s="189">
        <v>3658</v>
      </c>
      <c r="B2141" s="190">
        <v>2</v>
      </c>
      <c r="C2141" s="191" t="s">
        <v>235</v>
      </c>
      <c r="D2141" s="192">
        <f t="shared" si="462"/>
        <v>14997</v>
      </c>
      <c r="E2141" s="192">
        <f t="shared" si="463"/>
        <v>59605</v>
      </c>
      <c r="F2141" s="192">
        <f t="shared" si="464"/>
        <v>0</v>
      </c>
      <c r="G2141" s="193">
        <f t="shared" si="465"/>
        <v>74602</v>
      </c>
      <c r="H2141" s="194">
        <v>7712</v>
      </c>
      <c r="I2141" s="194">
        <v>27272</v>
      </c>
      <c r="J2141" s="194">
        <v>0</v>
      </c>
      <c r="K2141" s="193">
        <f t="shared" si="466"/>
        <v>34984</v>
      </c>
      <c r="L2141" s="194">
        <v>7144</v>
      </c>
      <c r="M2141" s="194">
        <v>29243</v>
      </c>
      <c r="N2141" s="194">
        <v>0</v>
      </c>
      <c r="O2141" s="193">
        <f t="shared" si="467"/>
        <v>36387</v>
      </c>
      <c r="P2141" s="194">
        <v>141</v>
      </c>
      <c r="Q2141" s="194">
        <v>3090</v>
      </c>
      <c r="R2141" s="194">
        <v>0</v>
      </c>
      <c r="S2141" s="193">
        <f t="shared" si="468"/>
        <v>3231</v>
      </c>
      <c r="T2141" s="193">
        <f t="shared" si="469"/>
        <v>2486.7333333333331</v>
      </c>
      <c r="U2141" s="193">
        <f ca="1">OFFSET('Expenditure Study'!$B$7,'Operations Support'!$C2141,'Operations Support'!$B2141)*$G2141</f>
        <v>139505.74000000002</v>
      </c>
      <c r="V2141" s="199">
        <f ca="1">U2141*'Expenditure Study'!$B$31</f>
        <v>8242442.8590577934</v>
      </c>
      <c r="W2141" s="199">
        <f ca="1">IF(A2141=10298,1.51,1)*IF($B2141&lt;3,$D2141*'Expenditure Study'!$B$32*OFFSET('Expenditure Study'!$B$7,'Operations Support'!$C2141,'Operations Support'!$B2141),0)</f>
        <v>2804.4390000000003</v>
      </c>
      <c r="X2141" s="200">
        <f ca="1">W2141*'Expenditure Study'!$B$31</f>
        <v>165695.17647957121</v>
      </c>
      <c r="Y2141" s="199">
        <f ca="1">U2141*'Expenditure Study'!$B$31</f>
        <v>8242442.8590577934</v>
      </c>
      <c r="Z2141" s="200">
        <f ca="1">W2141*'Expenditure Study'!$B$31</f>
        <v>165695.17647957121</v>
      </c>
      <c r="AA2141" s="195">
        <f t="shared" ca="1" si="470"/>
        <v>8408138.035537364</v>
      </c>
      <c r="AB2141" s="195">
        <f t="shared" ca="1" si="471"/>
        <v>8408138.035537364</v>
      </c>
      <c r="AD2141" s="196">
        <f>IFERROR($G2141/SUMIF($A:$A,$A2141,$G:$G)*SUMIF(Summary!$A$166:$A$242,$A2141,Summary!$P$166:$P$242),0)</f>
        <v>3468253.8701185747</v>
      </c>
      <c r="AE2141" s="197">
        <f t="shared" ca="1" si="472"/>
        <v>4939884.1654187888</v>
      </c>
      <c r="AF2141" s="196">
        <f>IFERROR(G2141/SUMIF(A:A,A2141,G:G)*SUMIF(Summary!$A$166:$A$242,'Operations Support'!A2141,Summary!$Q$166:$Q$242),0)</f>
        <v>3487911.0098231519</v>
      </c>
      <c r="AG2141" s="196">
        <f t="shared" ca="1" si="473"/>
        <v>4920227.0257142121</v>
      </c>
      <c r="AI2141" s="196">
        <f>IFERROR($G2141/SUMIF($A:$A,$A2141,$G:$G)*SUMIF(Summary!$A$247:$A$283,$A2141,Summary!$P$247:$P$283),0)</f>
        <v>632522.95659906196</v>
      </c>
      <c r="AJ2141" s="196">
        <f>IFERROR($G2141/SUMIF($A:$A,$A2141,$G:$G)*(SUMIF(Summary!$A$247:$A$283,$A2141,Summary!$L$247:$L$283)+SUMIF(Summary!$A$297:$A$333,$A2141,Summary!$L$297:$L$333))-AI2141,0)</f>
        <v>2636849.1659654789</v>
      </c>
      <c r="AK2141" s="196">
        <f>IFERROR($G2141/SUMIF($A:$A,$A2141,$G:$G)*SUMIF(Summary!$A$247:$A$283,$A2141,Summary!$Q$247:$Q$283),0)</f>
        <v>636107.92834272352</v>
      </c>
      <c r="AL2141" s="196">
        <f>IFERROR($G2141/SUMIF($A:$A,$A2141,$G:$G)*(SUMIF(Summary!$A$247:$A$283,$A2141,Summary!$L$247:$L$283)+SUMIF(Summary!$A$297:$A$333,$A2141,Summary!$L$297:$L$333))-AK2141,0)</f>
        <v>2633264.194221817</v>
      </c>
      <c r="AM2141" s="198"/>
      <c r="AN2141" s="196">
        <f t="shared" ca="1" si="474"/>
        <v>7576733.3313842677</v>
      </c>
      <c r="AO2141" s="196">
        <f t="shared" ca="1" si="475"/>
        <v>7553491.2199360291</v>
      </c>
    </row>
    <row r="2142" spans="1:41">
      <c r="A2142" s="189">
        <v>3658</v>
      </c>
      <c r="B2142" s="190">
        <v>2</v>
      </c>
      <c r="C2142" s="191" t="s">
        <v>236</v>
      </c>
      <c r="D2142" s="192">
        <f t="shared" si="462"/>
        <v>0</v>
      </c>
      <c r="E2142" s="192">
        <f t="shared" si="463"/>
        <v>0</v>
      </c>
      <c r="F2142" s="192">
        <f t="shared" si="464"/>
        <v>0</v>
      </c>
      <c r="G2142" s="193">
        <f t="shared" si="465"/>
        <v>0</v>
      </c>
      <c r="H2142" s="194">
        <v>0</v>
      </c>
      <c r="I2142" s="194">
        <v>0</v>
      </c>
      <c r="J2142" s="194">
        <v>0</v>
      </c>
      <c r="K2142" s="193">
        <f t="shared" si="466"/>
        <v>0</v>
      </c>
      <c r="L2142" s="194">
        <v>0</v>
      </c>
      <c r="M2142" s="194">
        <v>0</v>
      </c>
      <c r="N2142" s="194">
        <v>0</v>
      </c>
      <c r="O2142" s="193">
        <f t="shared" si="467"/>
        <v>0</v>
      </c>
      <c r="P2142" s="194">
        <v>0</v>
      </c>
      <c r="Q2142" s="194">
        <v>0</v>
      </c>
      <c r="R2142" s="194">
        <v>0</v>
      </c>
      <c r="S2142" s="193">
        <f t="shared" si="468"/>
        <v>0</v>
      </c>
      <c r="T2142" s="193">
        <f t="shared" si="469"/>
        <v>0</v>
      </c>
      <c r="U2142" s="193">
        <f ca="1">OFFSET('Expenditure Study'!$B$7,'Operations Support'!$C2142,'Operations Support'!$B2142)*$G2142</f>
        <v>0</v>
      </c>
      <c r="V2142" s="199">
        <f ca="1">U2142*'Expenditure Study'!$B$31</f>
        <v>0</v>
      </c>
      <c r="W2142" s="199">
        <f ca="1">IF(A2142=10298,1.51,1)*IF($B2142&lt;3,$D2142*'Expenditure Study'!$B$32*OFFSET('Expenditure Study'!$B$7,'Operations Support'!$C2142,'Operations Support'!$B2142),0)</f>
        <v>0</v>
      </c>
      <c r="X2142" s="200">
        <f ca="1">W2142*'Expenditure Study'!$B$31</f>
        <v>0</v>
      </c>
      <c r="Y2142" s="199">
        <f ca="1">U2142*'Expenditure Study'!$B$31</f>
        <v>0</v>
      </c>
      <c r="Z2142" s="200">
        <f ca="1">W2142*'Expenditure Study'!$B$31</f>
        <v>0</v>
      </c>
      <c r="AA2142" s="195">
        <f t="shared" ca="1" si="470"/>
        <v>0</v>
      </c>
      <c r="AB2142" s="195">
        <f t="shared" ca="1" si="471"/>
        <v>0</v>
      </c>
      <c r="AD2142" s="196">
        <f>IFERROR($G2142/SUMIF($A:$A,$A2142,$G:$G)*SUMIF(Summary!$A$166:$A$242,$A2142,Summary!$P$166:$P$242),0)</f>
        <v>0</v>
      </c>
      <c r="AE2142" s="197">
        <f t="shared" ca="1" si="472"/>
        <v>0</v>
      </c>
      <c r="AF2142" s="196">
        <f>IFERROR(G2142/SUMIF(A:A,A2142,G:G)*SUMIF(Summary!$A$166:$A$242,'Operations Support'!A2142,Summary!$Q$166:$Q$242),0)</f>
        <v>0</v>
      </c>
      <c r="AG2142" s="196">
        <f t="shared" ca="1" si="473"/>
        <v>0</v>
      </c>
      <c r="AI2142" s="196">
        <f>IFERROR($G2142/SUMIF($A:$A,$A2142,$G:$G)*SUMIF(Summary!$A$247:$A$283,$A2142,Summary!$P$247:$P$283),0)</f>
        <v>0</v>
      </c>
      <c r="AJ2142" s="196">
        <f>IFERROR($G2142/SUMIF($A:$A,$A2142,$G:$G)*(SUMIF(Summary!$A$247:$A$283,$A2142,Summary!$L$247:$L$283)+SUMIF(Summary!$A$297:$A$333,$A2142,Summary!$L$297:$L$333))-AI2142,0)</f>
        <v>0</v>
      </c>
      <c r="AK2142" s="196">
        <f>IFERROR($G2142/SUMIF($A:$A,$A2142,$G:$G)*SUMIF(Summary!$A$247:$A$283,$A2142,Summary!$Q$247:$Q$283),0)</f>
        <v>0</v>
      </c>
      <c r="AL2142" s="196">
        <f>IFERROR($G2142/SUMIF($A:$A,$A2142,$G:$G)*(SUMIF(Summary!$A$247:$A$283,$A2142,Summary!$L$247:$L$283)+SUMIF(Summary!$A$297:$A$333,$A2142,Summary!$L$297:$L$333))-AK2142,0)</f>
        <v>0</v>
      </c>
      <c r="AM2142" s="198"/>
      <c r="AN2142" s="196">
        <f t="shared" ca="1" si="474"/>
        <v>0</v>
      </c>
      <c r="AO2142" s="196">
        <f t="shared" ca="1" si="475"/>
        <v>0</v>
      </c>
    </row>
    <row r="2143" spans="1:41">
      <c r="A2143" s="189">
        <v>3658</v>
      </c>
      <c r="B2143" s="190">
        <v>2</v>
      </c>
      <c r="C2143" s="191" t="s">
        <v>237</v>
      </c>
      <c r="D2143" s="192">
        <f t="shared" si="462"/>
        <v>0</v>
      </c>
      <c r="E2143" s="192">
        <f t="shared" si="463"/>
        <v>0</v>
      </c>
      <c r="F2143" s="192">
        <f t="shared" si="464"/>
        <v>0</v>
      </c>
      <c r="G2143" s="193">
        <f t="shared" si="465"/>
        <v>0</v>
      </c>
      <c r="H2143" s="194">
        <v>0</v>
      </c>
      <c r="I2143" s="194">
        <v>0</v>
      </c>
      <c r="J2143" s="194">
        <v>0</v>
      </c>
      <c r="K2143" s="193">
        <f t="shared" si="466"/>
        <v>0</v>
      </c>
      <c r="L2143" s="194">
        <v>0</v>
      </c>
      <c r="M2143" s="194">
        <v>0</v>
      </c>
      <c r="N2143" s="194">
        <v>0</v>
      </c>
      <c r="O2143" s="193">
        <f t="shared" si="467"/>
        <v>0</v>
      </c>
      <c r="P2143" s="194">
        <v>0</v>
      </c>
      <c r="Q2143" s="194">
        <v>0</v>
      </c>
      <c r="R2143" s="194">
        <v>0</v>
      </c>
      <c r="S2143" s="193">
        <f t="shared" si="468"/>
        <v>0</v>
      </c>
      <c r="T2143" s="193">
        <f t="shared" si="469"/>
        <v>0</v>
      </c>
      <c r="U2143" s="193">
        <f ca="1">OFFSET('Expenditure Study'!$B$7,'Operations Support'!$C2143,'Operations Support'!$B2143)*$G2143</f>
        <v>0</v>
      </c>
      <c r="V2143" s="199">
        <f ca="1">U2143*'Expenditure Study'!$B$31</f>
        <v>0</v>
      </c>
      <c r="W2143" s="199">
        <f ca="1">IF(A2143=10298,1.51,1)*IF($B2143&lt;3,$D2143*'Expenditure Study'!$B$32*OFFSET('Expenditure Study'!$B$7,'Operations Support'!$C2143,'Operations Support'!$B2143),0)</f>
        <v>0</v>
      </c>
      <c r="X2143" s="200">
        <f ca="1">W2143*'Expenditure Study'!$B$31</f>
        <v>0</v>
      </c>
      <c r="Y2143" s="199">
        <f ca="1">U2143*'Expenditure Study'!$B$31</f>
        <v>0</v>
      </c>
      <c r="Z2143" s="200">
        <f ca="1">W2143*'Expenditure Study'!$B$31</f>
        <v>0</v>
      </c>
      <c r="AA2143" s="195">
        <f t="shared" ca="1" si="470"/>
        <v>0</v>
      </c>
      <c r="AB2143" s="195">
        <f t="shared" ca="1" si="471"/>
        <v>0</v>
      </c>
      <c r="AD2143" s="196">
        <f>IFERROR($G2143/SUMIF($A:$A,$A2143,$G:$G)*SUMIF(Summary!$A$166:$A$242,$A2143,Summary!$P$166:$P$242),0)</f>
        <v>0</v>
      </c>
      <c r="AE2143" s="197">
        <f t="shared" ca="1" si="472"/>
        <v>0</v>
      </c>
      <c r="AF2143" s="196">
        <f>IFERROR(G2143/SUMIF(A:A,A2143,G:G)*SUMIF(Summary!$A$166:$A$242,'Operations Support'!A2143,Summary!$Q$166:$Q$242),0)</f>
        <v>0</v>
      </c>
      <c r="AG2143" s="196">
        <f t="shared" ca="1" si="473"/>
        <v>0</v>
      </c>
      <c r="AI2143" s="196">
        <f>IFERROR($G2143/SUMIF($A:$A,$A2143,$G:$G)*SUMIF(Summary!$A$247:$A$283,$A2143,Summary!$P$247:$P$283),0)</f>
        <v>0</v>
      </c>
      <c r="AJ2143" s="196">
        <f>IFERROR($G2143/SUMIF($A:$A,$A2143,$G:$G)*(SUMIF(Summary!$A$247:$A$283,$A2143,Summary!$L$247:$L$283)+SUMIF(Summary!$A$297:$A$333,$A2143,Summary!$L$297:$L$333))-AI2143,0)</f>
        <v>0</v>
      </c>
      <c r="AK2143" s="196">
        <f>IFERROR($G2143/SUMIF($A:$A,$A2143,$G:$G)*SUMIF(Summary!$A$247:$A$283,$A2143,Summary!$Q$247:$Q$283),0)</f>
        <v>0</v>
      </c>
      <c r="AL2143" s="196">
        <f>IFERROR($G2143/SUMIF($A:$A,$A2143,$G:$G)*(SUMIF(Summary!$A$247:$A$283,$A2143,Summary!$L$247:$L$283)+SUMIF(Summary!$A$297:$A$333,$A2143,Summary!$L$297:$L$333))-AK2143,0)</f>
        <v>0</v>
      </c>
      <c r="AM2143" s="198"/>
      <c r="AN2143" s="196">
        <f t="shared" ca="1" si="474"/>
        <v>0</v>
      </c>
      <c r="AO2143" s="196">
        <f t="shared" ca="1" si="475"/>
        <v>0</v>
      </c>
    </row>
    <row r="2144" spans="1:41">
      <c r="A2144" s="189">
        <v>3658</v>
      </c>
      <c r="B2144" s="190">
        <v>2</v>
      </c>
      <c r="C2144" s="191" t="s">
        <v>238</v>
      </c>
      <c r="D2144" s="192">
        <f t="shared" si="462"/>
        <v>0</v>
      </c>
      <c r="E2144" s="192">
        <f t="shared" si="463"/>
        <v>0</v>
      </c>
      <c r="F2144" s="192">
        <f t="shared" si="464"/>
        <v>0</v>
      </c>
      <c r="G2144" s="193">
        <f t="shared" si="465"/>
        <v>0</v>
      </c>
      <c r="H2144" s="194">
        <v>0</v>
      </c>
      <c r="I2144" s="194">
        <v>0</v>
      </c>
      <c r="J2144" s="194">
        <v>0</v>
      </c>
      <c r="K2144" s="193">
        <f t="shared" si="466"/>
        <v>0</v>
      </c>
      <c r="L2144" s="194">
        <v>0</v>
      </c>
      <c r="M2144" s="194">
        <v>0</v>
      </c>
      <c r="N2144" s="194">
        <v>0</v>
      </c>
      <c r="O2144" s="193">
        <f t="shared" si="467"/>
        <v>0</v>
      </c>
      <c r="P2144" s="194">
        <v>0</v>
      </c>
      <c r="Q2144" s="194">
        <v>0</v>
      </c>
      <c r="R2144" s="194">
        <v>0</v>
      </c>
      <c r="S2144" s="193">
        <f t="shared" si="468"/>
        <v>0</v>
      </c>
      <c r="T2144" s="193">
        <f t="shared" si="469"/>
        <v>0</v>
      </c>
      <c r="U2144" s="193">
        <f ca="1">OFFSET('Expenditure Study'!$B$7,'Operations Support'!$C2144,'Operations Support'!$B2144)*$G2144</f>
        <v>0</v>
      </c>
      <c r="V2144" s="199">
        <f ca="1">U2144*'Expenditure Study'!$B$31</f>
        <v>0</v>
      </c>
      <c r="W2144" s="199">
        <f ca="1">IF(A2144=10298,1.51,1)*IF($B2144&lt;3,$D2144*'Expenditure Study'!$B$32*OFFSET('Expenditure Study'!$B$7,'Operations Support'!$C2144,'Operations Support'!$B2144),0)</f>
        <v>0</v>
      </c>
      <c r="X2144" s="200">
        <f ca="1">W2144*'Expenditure Study'!$B$31</f>
        <v>0</v>
      </c>
      <c r="Y2144" s="199">
        <f ca="1">U2144*'Expenditure Study'!$B$31</f>
        <v>0</v>
      </c>
      <c r="Z2144" s="200">
        <f ca="1">W2144*'Expenditure Study'!$B$31</f>
        <v>0</v>
      </c>
      <c r="AA2144" s="195">
        <f t="shared" ca="1" si="470"/>
        <v>0</v>
      </c>
      <c r="AB2144" s="195">
        <f t="shared" ca="1" si="471"/>
        <v>0</v>
      </c>
      <c r="AD2144" s="196">
        <f>IFERROR($G2144/SUMIF($A:$A,$A2144,$G:$G)*SUMIF(Summary!$A$166:$A$242,$A2144,Summary!$P$166:$P$242),0)</f>
        <v>0</v>
      </c>
      <c r="AE2144" s="197">
        <f t="shared" ca="1" si="472"/>
        <v>0</v>
      </c>
      <c r="AF2144" s="196">
        <f>IFERROR(G2144/SUMIF(A:A,A2144,G:G)*SUMIF(Summary!$A$166:$A$242,'Operations Support'!A2144,Summary!$Q$166:$Q$242),0)</f>
        <v>0</v>
      </c>
      <c r="AG2144" s="196">
        <f t="shared" ca="1" si="473"/>
        <v>0</v>
      </c>
      <c r="AI2144" s="196">
        <f>IFERROR($G2144/SUMIF($A:$A,$A2144,$G:$G)*SUMIF(Summary!$A$247:$A$283,$A2144,Summary!$P$247:$P$283),0)</f>
        <v>0</v>
      </c>
      <c r="AJ2144" s="196">
        <f>IFERROR($G2144/SUMIF($A:$A,$A2144,$G:$G)*(SUMIF(Summary!$A$247:$A$283,$A2144,Summary!$L$247:$L$283)+SUMIF(Summary!$A$297:$A$333,$A2144,Summary!$L$297:$L$333))-AI2144,0)</f>
        <v>0</v>
      </c>
      <c r="AK2144" s="196">
        <f>IFERROR($G2144/SUMIF($A:$A,$A2144,$G:$G)*SUMIF(Summary!$A$247:$A$283,$A2144,Summary!$Q$247:$Q$283),0)</f>
        <v>0</v>
      </c>
      <c r="AL2144" s="196">
        <f>IFERROR($G2144/SUMIF($A:$A,$A2144,$G:$G)*(SUMIF(Summary!$A$247:$A$283,$A2144,Summary!$L$247:$L$283)+SUMIF(Summary!$A$297:$A$333,$A2144,Summary!$L$297:$L$333))-AK2144,0)</f>
        <v>0</v>
      </c>
      <c r="AM2144" s="198"/>
      <c r="AN2144" s="196">
        <f t="shared" ca="1" si="474"/>
        <v>0</v>
      </c>
      <c r="AO2144" s="196">
        <f t="shared" ca="1" si="475"/>
        <v>0</v>
      </c>
    </row>
    <row r="2145" spans="1:41">
      <c r="A2145" s="189">
        <v>3658</v>
      </c>
      <c r="B2145" s="190">
        <v>2</v>
      </c>
      <c r="C2145" s="191" t="s">
        <v>239</v>
      </c>
      <c r="D2145" s="192">
        <f t="shared" si="462"/>
        <v>891.24</v>
      </c>
      <c r="E2145" s="192">
        <f t="shared" si="463"/>
        <v>6397.76</v>
      </c>
      <c r="F2145" s="192">
        <f t="shared" si="464"/>
        <v>0</v>
      </c>
      <c r="G2145" s="193">
        <f t="shared" si="465"/>
        <v>7289</v>
      </c>
      <c r="H2145" s="194">
        <v>545.12</v>
      </c>
      <c r="I2145" s="194">
        <v>2947.88</v>
      </c>
      <c r="J2145" s="194">
        <v>0</v>
      </c>
      <c r="K2145" s="193">
        <f t="shared" si="466"/>
        <v>3493</v>
      </c>
      <c r="L2145" s="194">
        <v>346.12</v>
      </c>
      <c r="M2145" s="194">
        <v>3449.88</v>
      </c>
      <c r="N2145" s="194">
        <v>0</v>
      </c>
      <c r="O2145" s="193">
        <f t="shared" si="467"/>
        <v>3796</v>
      </c>
      <c r="P2145" s="194">
        <v>0</v>
      </c>
      <c r="Q2145" s="194">
        <v>0</v>
      </c>
      <c r="R2145" s="194">
        <v>0</v>
      </c>
      <c r="S2145" s="193">
        <f t="shared" si="468"/>
        <v>0</v>
      </c>
      <c r="T2145" s="193">
        <f t="shared" si="469"/>
        <v>242.96666666666667</v>
      </c>
      <c r="U2145" s="193">
        <f ca="1">OFFSET('Expenditure Study'!$B$7,'Operations Support'!$C2145,'Operations Support'!$B2145)*$G2145</f>
        <v>15161.12</v>
      </c>
      <c r="V2145" s="199">
        <f ca="1">U2145*'Expenditure Study'!$B$31</f>
        <v>895767.19409049605</v>
      </c>
      <c r="W2145" s="199">
        <f ca="1">IF(A2145=10298,1.51,1)*IF($B2145&lt;3,$D2145*'Expenditure Study'!$B$32*OFFSET('Expenditure Study'!$B$7,'Operations Support'!$C2145,'Operations Support'!$B2145),0)</f>
        <v>185.37792000000002</v>
      </c>
      <c r="X2145" s="200">
        <f ca="1">W2145*'Expenditure Study'!$B$31</f>
        <v>10952.717163687938</v>
      </c>
      <c r="Y2145" s="199">
        <f ca="1">U2145*'Expenditure Study'!$B$31</f>
        <v>895767.19409049605</v>
      </c>
      <c r="Z2145" s="200">
        <f ca="1">W2145*'Expenditure Study'!$B$31</f>
        <v>10952.717163687938</v>
      </c>
      <c r="AA2145" s="195">
        <f t="shared" ca="1" si="470"/>
        <v>906719.91125418397</v>
      </c>
      <c r="AB2145" s="195">
        <f t="shared" ca="1" si="471"/>
        <v>906719.91125418397</v>
      </c>
      <c r="AD2145" s="196">
        <f>IFERROR($G2145/SUMIF($A:$A,$A2145,$G:$G)*SUMIF(Summary!$A$166:$A$242,$A2145,Summary!$P$166:$P$242),0)</f>
        <v>338866.28320010577</v>
      </c>
      <c r="AE2145" s="197">
        <f t="shared" ca="1" si="472"/>
        <v>567853.6280540782</v>
      </c>
      <c r="AF2145" s="196">
        <f>IFERROR(G2145/SUMIF(A:A,A2145,G:G)*SUMIF(Summary!$A$166:$A$242,'Operations Support'!A2145,Summary!$Q$166:$Q$242),0)</f>
        <v>340786.88708883076</v>
      </c>
      <c r="AG2145" s="196">
        <f t="shared" ca="1" si="473"/>
        <v>565933.02416535327</v>
      </c>
      <c r="AI2145" s="196">
        <f>IFERROR($G2145/SUMIF($A:$A,$A2145,$G:$G)*SUMIF(Summary!$A$247:$A$283,$A2145,Summary!$P$247:$P$283),0)</f>
        <v>61800.753741864326</v>
      </c>
      <c r="AJ2145" s="196">
        <f>IFERROR($G2145/SUMIF($A:$A,$A2145,$G:$G)*(SUMIF(Summary!$A$247:$A$283,$A2145,Summary!$L$247:$L$283)+SUMIF(Summary!$A$297:$A$333,$A2145,Summary!$L$297:$L$333))-AI2145,0)</f>
        <v>257633.75741565073</v>
      </c>
      <c r="AK2145" s="196">
        <f>IFERROR($G2145/SUMIF($A:$A,$A2145,$G:$G)*SUMIF(Summary!$A$247:$A$283,$A2145,Summary!$Q$247:$Q$283),0)</f>
        <v>62151.023963031977</v>
      </c>
      <c r="AL2145" s="196">
        <f>IFERROR($G2145/SUMIF($A:$A,$A2145,$G:$G)*(SUMIF(Summary!$A$247:$A$283,$A2145,Summary!$L$247:$L$283)+SUMIF(Summary!$A$297:$A$333,$A2145,Summary!$L$297:$L$333))-AK2145,0)</f>
        <v>257283.48719448308</v>
      </c>
      <c r="AM2145" s="198"/>
      <c r="AN2145" s="196">
        <f t="shared" ca="1" si="474"/>
        <v>825487.38546972896</v>
      </c>
      <c r="AO2145" s="196">
        <f t="shared" ca="1" si="475"/>
        <v>823216.51135983632</v>
      </c>
    </row>
    <row r="2146" spans="1:41">
      <c r="A2146" s="189">
        <v>3658</v>
      </c>
      <c r="B2146" s="190">
        <v>2</v>
      </c>
      <c r="C2146" s="191" t="s">
        <v>240</v>
      </c>
      <c r="D2146" s="192">
        <f t="shared" si="462"/>
        <v>0</v>
      </c>
      <c r="E2146" s="192">
        <f t="shared" si="463"/>
        <v>0</v>
      </c>
      <c r="F2146" s="192">
        <f t="shared" si="464"/>
        <v>0</v>
      </c>
      <c r="G2146" s="193">
        <f t="shared" si="465"/>
        <v>0</v>
      </c>
      <c r="H2146" s="194">
        <v>0</v>
      </c>
      <c r="I2146" s="194">
        <v>0</v>
      </c>
      <c r="J2146" s="194">
        <v>0</v>
      </c>
      <c r="K2146" s="193">
        <f t="shared" si="466"/>
        <v>0</v>
      </c>
      <c r="L2146" s="194">
        <v>0</v>
      </c>
      <c r="M2146" s="194">
        <v>0</v>
      </c>
      <c r="N2146" s="194">
        <v>0</v>
      </c>
      <c r="O2146" s="193">
        <f t="shared" si="467"/>
        <v>0</v>
      </c>
      <c r="P2146" s="194">
        <v>0</v>
      </c>
      <c r="Q2146" s="194">
        <v>0</v>
      </c>
      <c r="R2146" s="194">
        <v>0</v>
      </c>
      <c r="S2146" s="193">
        <f t="shared" si="468"/>
        <v>0</v>
      </c>
      <c r="T2146" s="193">
        <f t="shared" si="469"/>
        <v>0</v>
      </c>
      <c r="U2146" s="193">
        <f ca="1">OFFSET('Expenditure Study'!$B$7,'Operations Support'!$C2146,'Operations Support'!$B2146)*$G2146</f>
        <v>0</v>
      </c>
      <c r="V2146" s="199">
        <f ca="1">U2146*'Expenditure Study'!$B$31</f>
        <v>0</v>
      </c>
      <c r="W2146" s="199">
        <f ca="1">IF(A2146=10298,1.51,1)*IF($B2146&lt;3,$D2146*'Expenditure Study'!$B$32*OFFSET('Expenditure Study'!$B$7,'Operations Support'!$C2146,'Operations Support'!$B2146),0)</f>
        <v>0</v>
      </c>
      <c r="X2146" s="200">
        <f ca="1">W2146*'Expenditure Study'!$B$31</f>
        <v>0</v>
      </c>
      <c r="Y2146" s="199">
        <f ca="1">U2146*'Expenditure Study'!$B$31</f>
        <v>0</v>
      </c>
      <c r="Z2146" s="200">
        <f ca="1">W2146*'Expenditure Study'!$B$31</f>
        <v>0</v>
      </c>
      <c r="AA2146" s="195">
        <f t="shared" ca="1" si="470"/>
        <v>0</v>
      </c>
      <c r="AB2146" s="195">
        <f t="shared" ca="1" si="471"/>
        <v>0</v>
      </c>
      <c r="AD2146" s="196">
        <f>IFERROR($G2146/SUMIF($A:$A,$A2146,$G:$G)*SUMIF(Summary!$A$166:$A$242,$A2146,Summary!$P$166:$P$242),0)</f>
        <v>0</v>
      </c>
      <c r="AE2146" s="197">
        <f t="shared" ca="1" si="472"/>
        <v>0</v>
      </c>
      <c r="AF2146" s="196">
        <f>IFERROR(G2146/SUMIF(A:A,A2146,G:G)*SUMIF(Summary!$A$166:$A$242,'Operations Support'!A2146,Summary!$Q$166:$Q$242),0)</f>
        <v>0</v>
      </c>
      <c r="AG2146" s="196">
        <f t="shared" ca="1" si="473"/>
        <v>0</v>
      </c>
      <c r="AI2146" s="196">
        <f>IFERROR($G2146/SUMIF($A:$A,$A2146,$G:$G)*SUMIF(Summary!$A$247:$A$283,$A2146,Summary!$P$247:$P$283),0)</f>
        <v>0</v>
      </c>
      <c r="AJ2146" s="196">
        <f>IFERROR($G2146/SUMIF($A:$A,$A2146,$G:$G)*(SUMIF(Summary!$A$247:$A$283,$A2146,Summary!$L$247:$L$283)+SUMIF(Summary!$A$297:$A$333,$A2146,Summary!$L$297:$L$333))-AI2146,0)</f>
        <v>0</v>
      </c>
      <c r="AK2146" s="196">
        <f>IFERROR($G2146/SUMIF($A:$A,$A2146,$G:$G)*SUMIF(Summary!$A$247:$A$283,$A2146,Summary!$Q$247:$Q$283),0)</f>
        <v>0</v>
      </c>
      <c r="AL2146" s="196">
        <f>IFERROR($G2146/SUMIF($A:$A,$A2146,$G:$G)*(SUMIF(Summary!$A$247:$A$283,$A2146,Summary!$L$247:$L$283)+SUMIF(Summary!$A$297:$A$333,$A2146,Summary!$L$297:$L$333))-AK2146,0)</f>
        <v>0</v>
      </c>
      <c r="AM2146" s="198"/>
      <c r="AN2146" s="196">
        <f t="shared" ca="1" si="474"/>
        <v>0</v>
      </c>
      <c r="AO2146" s="196">
        <f t="shared" ca="1" si="475"/>
        <v>0</v>
      </c>
    </row>
    <row r="2147" spans="1:41">
      <c r="A2147" s="189">
        <v>3658</v>
      </c>
      <c r="B2147" s="190">
        <v>3</v>
      </c>
      <c r="C2147" s="191" t="s">
        <v>220</v>
      </c>
      <c r="D2147" s="192">
        <f t="shared" si="462"/>
        <v>12889</v>
      </c>
      <c r="E2147" s="192">
        <f t="shared" si="463"/>
        <v>7654</v>
      </c>
      <c r="F2147" s="192">
        <f t="shared" si="464"/>
        <v>0</v>
      </c>
      <c r="G2147" s="193">
        <f t="shared" si="465"/>
        <v>20543</v>
      </c>
      <c r="H2147" s="194">
        <v>5738.5</v>
      </c>
      <c r="I2147" s="194">
        <v>3216.5</v>
      </c>
      <c r="J2147" s="194">
        <v>0</v>
      </c>
      <c r="K2147" s="193">
        <f t="shared" si="466"/>
        <v>8955</v>
      </c>
      <c r="L2147" s="194">
        <v>6670.5</v>
      </c>
      <c r="M2147" s="194">
        <v>3840.5</v>
      </c>
      <c r="N2147" s="194">
        <v>0</v>
      </c>
      <c r="O2147" s="193">
        <f t="shared" si="467"/>
        <v>10511</v>
      </c>
      <c r="P2147" s="194">
        <v>480</v>
      </c>
      <c r="Q2147" s="194">
        <v>597</v>
      </c>
      <c r="R2147" s="194">
        <v>0</v>
      </c>
      <c r="S2147" s="193">
        <f t="shared" si="468"/>
        <v>1077</v>
      </c>
      <c r="T2147" s="193">
        <f t="shared" si="469"/>
        <v>855.95833333333337</v>
      </c>
      <c r="U2147" s="193">
        <f ca="1">OFFSET('Expenditure Study'!$B$7,'Operations Support'!$C2147,'Operations Support'!$B2147)*$G2147</f>
        <v>91621.78</v>
      </c>
      <c r="V2147" s="199">
        <f ca="1">U2147*'Expenditure Study'!$B$31</f>
        <v>5413306.1929578241</v>
      </c>
      <c r="W2147" s="199">
        <f ca="1">IF(A2147=10298,1.51,1)*IF($B2147&lt;3,$D2147*'Expenditure Study'!$B$32*OFFSET('Expenditure Study'!$B$7,'Operations Support'!$C2147,'Operations Support'!$B2147),0)</f>
        <v>0</v>
      </c>
      <c r="X2147" s="200">
        <f ca="1">W2147*'Expenditure Study'!$B$31</f>
        <v>0</v>
      </c>
      <c r="Y2147" s="199">
        <f ca="1">U2147*'Expenditure Study'!$B$31</f>
        <v>5413306.1929578241</v>
      </c>
      <c r="Z2147" s="200">
        <f ca="1">W2147*'Expenditure Study'!$B$31</f>
        <v>0</v>
      </c>
      <c r="AA2147" s="195">
        <f t="shared" ca="1" si="470"/>
        <v>5413306.1929578241</v>
      </c>
      <c r="AB2147" s="195">
        <f t="shared" ca="1" si="471"/>
        <v>5413306.1929578241</v>
      </c>
      <c r="AD2147" s="196">
        <f>IFERROR($G2147/SUMIF($A:$A,$A2147,$G:$G)*SUMIF(Summary!$A$166:$A$242,$A2147,Summary!$P$166:$P$242),0)</f>
        <v>955045.96731784497</v>
      </c>
      <c r="AE2147" s="197">
        <f t="shared" ca="1" si="472"/>
        <v>4458260.2256399794</v>
      </c>
      <c r="AF2147" s="196">
        <f>IFERROR(G2147/SUMIF(A:A,A2147,G:G)*SUMIF(Summary!$A$166:$A$242,'Operations Support'!A2147,Summary!$Q$166:$Q$242),0)</f>
        <v>960458.91363230208</v>
      </c>
      <c r="AG2147" s="196">
        <f t="shared" ca="1" si="473"/>
        <v>4452847.2793255225</v>
      </c>
      <c r="AI2147" s="196">
        <f>IFERROR($G2147/SUMIF($A:$A,$A2147,$G:$G)*SUMIF(Summary!$A$247:$A$283,$A2147,Summary!$P$247:$P$283),0)</f>
        <v>174176.55153232525</v>
      </c>
      <c r="AJ2147" s="196">
        <f>IFERROR($G2147/SUMIF($A:$A,$A2147,$G:$G)*(SUMIF(Summary!$A$247:$A$283,$A2147,Summary!$L$247:$L$283)+SUMIF(Summary!$A$297:$A$333,$A2147,Summary!$L$297:$L$333))-AI2147,0)</f>
        <v>726103.75615169608</v>
      </c>
      <c r="AK2147" s="196">
        <f>IFERROR($G2147/SUMIF($A:$A,$A2147,$G:$G)*SUMIF(Summary!$A$247:$A$283,$A2147,Summary!$Q$247:$Q$283),0)</f>
        <v>175163.73786151267</v>
      </c>
      <c r="AL2147" s="196">
        <f>IFERROR($G2147/SUMIF($A:$A,$A2147,$G:$G)*(SUMIF(Summary!$A$247:$A$283,$A2147,Summary!$L$247:$L$283)+SUMIF(Summary!$A$297:$A$333,$A2147,Summary!$L$297:$L$333))-AK2147,0)</f>
        <v>725116.56982250861</v>
      </c>
      <c r="AM2147" s="198"/>
      <c r="AN2147" s="196">
        <f t="shared" ca="1" si="474"/>
        <v>5184363.9817916751</v>
      </c>
      <c r="AO2147" s="196">
        <f t="shared" ca="1" si="475"/>
        <v>5177963.8491480313</v>
      </c>
    </row>
    <row r="2148" spans="1:41">
      <c r="A2148" s="189">
        <v>3658</v>
      </c>
      <c r="B2148" s="190">
        <v>3</v>
      </c>
      <c r="C2148" s="191" t="s">
        <v>221</v>
      </c>
      <c r="D2148" s="192">
        <f t="shared" si="462"/>
        <v>4449.3999999999996</v>
      </c>
      <c r="E2148" s="192">
        <f t="shared" si="463"/>
        <v>627.6</v>
      </c>
      <c r="F2148" s="192">
        <f t="shared" si="464"/>
        <v>0</v>
      </c>
      <c r="G2148" s="193">
        <f t="shared" si="465"/>
        <v>5077</v>
      </c>
      <c r="H2148" s="194">
        <v>1358</v>
      </c>
      <c r="I2148" s="194">
        <v>229</v>
      </c>
      <c r="J2148" s="194">
        <v>0</v>
      </c>
      <c r="K2148" s="193">
        <f t="shared" si="466"/>
        <v>1587</v>
      </c>
      <c r="L2148" s="194">
        <v>2560.4</v>
      </c>
      <c r="M2148" s="194">
        <v>350.6</v>
      </c>
      <c r="N2148" s="194">
        <v>0</v>
      </c>
      <c r="O2148" s="193">
        <f t="shared" si="467"/>
        <v>2911</v>
      </c>
      <c r="P2148" s="194">
        <v>531</v>
      </c>
      <c r="Q2148" s="194">
        <v>48</v>
      </c>
      <c r="R2148" s="194">
        <v>0</v>
      </c>
      <c r="S2148" s="193">
        <f t="shared" si="468"/>
        <v>579</v>
      </c>
      <c r="T2148" s="193">
        <f t="shared" si="469"/>
        <v>211.54166666666666</v>
      </c>
      <c r="U2148" s="193">
        <f ca="1">OFFSET('Expenditure Study'!$B$7,'Operations Support'!$C2148,'Operations Support'!$B2148)*$G2148</f>
        <v>35539</v>
      </c>
      <c r="V2148" s="199">
        <f ca="1">U2148*'Expenditure Study'!$B$31</f>
        <v>2099757.1624512002</v>
      </c>
      <c r="W2148" s="199">
        <f ca="1">IF(A2148=10298,1.51,1)*IF($B2148&lt;3,$D2148*'Expenditure Study'!$B$32*OFFSET('Expenditure Study'!$B$7,'Operations Support'!$C2148,'Operations Support'!$B2148),0)</f>
        <v>0</v>
      </c>
      <c r="X2148" s="200">
        <f ca="1">W2148*'Expenditure Study'!$B$31</f>
        <v>0</v>
      </c>
      <c r="Y2148" s="199">
        <f ca="1">U2148*'Expenditure Study'!$B$31</f>
        <v>2099757.1624512002</v>
      </c>
      <c r="Z2148" s="200">
        <f ca="1">W2148*'Expenditure Study'!$B$31</f>
        <v>0</v>
      </c>
      <c r="AA2148" s="195">
        <f t="shared" ca="1" si="470"/>
        <v>2099757.1624512002</v>
      </c>
      <c r="AB2148" s="195">
        <f t="shared" ca="1" si="471"/>
        <v>2099757.1624512002</v>
      </c>
      <c r="AD2148" s="196">
        <f>IFERROR($G2148/SUMIF($A:$A,$A2148,$G:$G)*SUMIF(Summary!$A$166:$A$242,$A2148,Summary!$P$166:$P$242),0)</f>
        <v>236030.19890340746</v>
      </c>
      <c r="AE2148" s="197">
        <f t="shared" ca="1" si="472"/>
        <v>1863726.9635477928</v>
      </c>
      <c r="AF2148" s="196">
        <f>IFERROR(G2148/SUMIF(A:A,A2148,G:G)*SUMIF(Summary!$A$166:$A$242,'Operations Support'!A2148,Summary!$Q$166:$Q$242),0)</f>
        <v>237367.95524077292</v>
      </c>
      <c r="AG2148" s="196">
        <f t="shared" ca="1" si="473"/>
        <v>1862389.2072104272</v>
      </c>
      <c r="AI2148" s="196">
        <f>IFERROR($G2148/SUMIF($A:$A,$A2148,$G:$G)*SUMIF(Summary!$A$247:$A$283,$A2148,Summary!$P$247:$P$283),0)</f>
        <v>43046.018212024312</v>
      </c>
      <c r="AJ2148" s="196">
        <f>IFERROR($G2148/SUMIF($A:$A,$A2148,$G:$G)*(SUMIF(Summary!$A$247:$A$283,$A2148,Summary!$L$247:$L$283)+SUMIF(Summary!$A$297:$A$333,$A2148,Summary!$L$297:$L$333))-AI2148,0)</f>
        <v>179449.38762508694</v>
      </c>
      <c r="AK2148" s="196">
        <f>IFERROR($G2148/SUMIF($A:$A,$A2148,$G:$G)*SUMIF(Summary!$A$247:$A$283,$A2148,Summary!$Q$247:$Q$283),0)</f>
        <v>43289.99158462249</v>
      </c>
      <c r="AL2148" s="196">
        <f>IFERROR($G2148/SUMIF($A:$A,$A2148,$G:$G)*(SUMIF(Summary!$A$247:$A$283,$A2148,Summary!$L$247:$L$283)+SUMIF(Summary!$A$297:$A$333,$A2148,Summary!$L$297:$L$333))-AK2148,0)</f>
        <v>179205.41425248876</v>
      </c>
      <c r="AM2148" s="198"/>
      <c r="AN2148" s="196">
        <f t="shared" ca="1" si="474"/>
        <v>2043176.3511728798</v>
      </c>
      <c r="AO2148" s="196">
        <f t="shared" ca="1" si="475"/>
        <v>2041594.621462916</v>
      </c>
    </row>
    <row r="2149" spans="1:41">
      <c r="A2149" s="189">
        <v>3658</v>
      </c>
      <c r="B2149" s="190">
        <v>3</v>
      </c>
      <c r="C2149" s="191" t="s">
        <v>222</v>
      </c>
      <c r="D2149" s="192">
        <f t="shared" si="462"/>
        <v>3159.12</v>
      </c>
      <c r="E2149" s="192">
        <f t="shared" si="463"/>
        <v>2102.88</v>
      </c>
      <c r="F2149" s="192">
        <f t="shared" si="464"/>
        <v>0</v>
      </c>
      <c r="G2149" s="193">
        <f t="shared" si="465"/>
        <v>5262</v>
      </c>
      <c r="H2149" s="194">
        <v>1503.16</v>
      </c>
      <c r="I2149" s="194">
        <v>1018.84</v>
      </c>
      <c r="J2149" s="194">
        <v>0</v>
      </c>
      <c r="K2149" s="193">
        <f t="shared" si="466"/>
        <v>2522</v>
      </c>
      <c r="L2149" s="194">
        <v>1603.96</v>
      </c>
      <c r="M2149" s="194">
        <v>1033.04</v>
      </c>
      <c r="N2149" s="194">
        <v>0</v>
      </c>
      <c r="O2149" s="193">
        <f t="shared" si="467"/>
        <v>2637</v>
      </c>
      <c r="P2149" s="194">
        <v>52</v>
      </c>
      <c r="Q2149" s="194">
        <v>51</v>
      </c>
      <c r="R2149" s="194">
        <v>0</v>
      </c>
      <c r="S2149" s="193">
        <f t="shared" si="468"/>
        <v>103</v>
      </c>
      <c r="T2149" s="193">
        <f t="shared" si="469"/>
        <v>219.25</v>
      </c>
      <c r="U2149" s="193">
        <f ca="1">OFFSET('Expenditure Study'!$B$7,'Operations Support'!$C2149,'Operations Support'!$B2149)*$G2149</f>
        <v>39517.619999999995</v>
      </c>
      <c r="V2149" s="199">
        <f ca="1">U2149*'Expenditure Study'!$B$31</f>
        <v>2334826.6872456959</v>
      </c>
      <c r="W2149" s="199">
        <f ca="1">IF(A2149=10298,1.51,1)*IF($B2149&lt;3,$D2149*'Expenditure Study'!$B$32*OFFSET('Expenditure Study'!$B$7,'Operations Support'!$C2149,'Operations Support'!$B2149),0)</f>
        <v>0</v>
      </c>
      <c r="X2149" s="200">
        <f ca="1">W2149*'Expenditure Study'!$B$31</f>
        <v>0</v>
      </c>
      <c r="Y2149" s="199">
        <f ca="1">U2149*'Expenditure Study'!$B$31</f>
        <v>2334826.6872456959</v>
      </c>
      <c r="Z2149" s="200">
        <f ca="1">W2149*'Expenditure Study'!$B$31</f>
        <v>0</v>
      </c>
      <c r="AA2149" s="195">
        <f t="shared" ca="1" si="470"/>
        <v>2334826.6872456959</v>
      </c>
      <c r="AB2149" s="195">
        <f t="shared" ca="1" si="471"/>
        <v>2334826.6872456959</v>
      </c>
      <c r="AD2149" s="196">
        <f>IFERROR($G2149/SUMIF($A:$A,$A2149,$G:$G)*SUMIF(Summary!$A$166:$A$242,$A2149,Summary!$P$166:$P$242),0)</f>
        <v>244630.86598970456</v>
      </c>
      <c r="AE2149" s="197">
        <f t="shared" ca="1" si="472"/>
        <v>2090195.8212559912</v>
      </c>
      <c r="AF2149" s="196">
        <f>IFERROR(G2149/SUMIF(A:A,A2149,G:G)*SUMIF(Summary!$A$166:$A$242,'Operations Support'!A2149,Summary!$Q$166:$Q$242),0)</f>
        <v>246017.36861866203</v>
      </c>
      <c r="AG2149" s="196">
        <f t="shared" ca="1" si="473"/>
        <v>2088809.3186270338</v>
      </c>
      <c r="AI2149" s="196">
        <f>IFERROR($G2149/SUMIF($A:$A,$A2149,$G:$G)*SUMIF(Summary!$A$247:$A$283,$A2149,Summary!$P$247:$P$283),0)</f>
        <v>44614.565261310207</v>
      </c>
      <c r="AJ2149" s="196">
        <f>IFERROR($G2149/SUMIF($A:$A,$A2149,$G:$G)*(SUMIF(Summary!$A$247:$A$283,$A2149,Summary!$L$247:$L$283)+SUMIF(Summary!$A$297:$A$333,$A2149,Summary!$L$297:$L$333))-AI2149,0)</f>
        <v>185988.31547827605</v>
      </c>
      <c r="AK2149" s="196">
        <f>IFERROR($G2149/SUMIF($A:$A,$A2149,$G:$G)*SUMIF(Summary!$A$247:$A$283,$A2149,Summary!$Q$247:$Q$283),0)</f>
        <v>44867.42874104462</v>
      </c>
      <c r="AL2149" s="196">
        <f>IFERROR($G2149/SUMIF($A:$A,$A2149,$G:$G)*(SUMIF(Summary!$A$247:$A$283,$A2149,Summary!$L$247:$L$283)+SUMIF(Summary!$A$297:$A$333,$A2149,Summary!$L$297:$L$333))-AK2149,0)</f>
        <v>185735.45199854163</v>
      </c>
      <c r="AM2149" s="198"/>
      <c r="AN2149" s="196">
        <f t="shared" ca="1" si="474"/>
        <v>2276184.1367342672</v>
      </c>
      <c r="AO2149" s="196">
        <f t="shared" ca="1" si="475"/>
        <v>2274544.7706255754</v>
      </c>
    </row>
    <row r="2150" spans="1:41">
      <c r="A2150" s="189">
        <v>3658</v>
      </c>
      <c r="B2150" s="190">
        <v>3</v>
      </c>
      <c r="C2150" s="191" t="s">
        <v>223</v>
      </c>
      <c r="D2150" s="192">
        <f t="shared" si="462"/>
        <v>2308</v>
      </c>
      <c r="E2150" s="192">
        <f t="shared" si="463"/>
        <v>2532</v>
      </c>
      <c r="F2150" s="192">
        <f t="shared" si="464"/>
        <v>0</v>
      </c>
      <c r="G2150" s="193">
        <f t="shared" si="465"/>
        <v>4840</v>
      </c>
      <c r="H2150" s="194">
        <v>1016</v>
      </c>
      <c r="I2150" s="194">
        <v>882</v>
      </c>
      <c r="J2150" s="194">
        <v>0</v>
      </c>
      <c r="K2150" s="193">
        <f t="shared" si="466"/>
        <v>1898</v>
      </c>
      <c r="L2150" s="194">
        <v>995</v>
      </c>
      <c r="M2150" s="194">
        <v>894</v>
      </c>
      <c r="N2150" s="194">
        <v>0</v>
      </c>
      <c r="O2150" s="193">
        <f t="shared" si="467"/>
        <v>1889</v>
      </c>
      <c r="P2150" s="194">
        <v>297</v>
      </c>
      <c r="Q2150" s="194">
        <v>756</v>
      </c>
      <c r="R2150" s="194">
        <v>0</v>
      </c>
      <c r="S2150" s="193">
        <f t="shared" si="468"/>
        <v>1053</v>
      </c>
      <c r="T2150" s="193">
        <f t="shared" si="469"/>
        <v>201.66666666666666</v>
      </c>
      <c r="U2150" s="193">
        <f ca="1">OFFSET('Expenditure Study'!$B$7,'Operations Support'!$C2150,'Operations Support'!$B2150)*$G2150</f>
        <v>10841.6</v>
      </c>
      <c r="V2150" s="199">
        <f ca="1">U2150*'Expenditure Study'!$B$31</f>
        <v>640556.21296128002</v>
      </c>
      <c r="W2150" s="199">
        <f ca="1">IF(A2150=10298,1.51,1)*IF($B2150&lt;3,$D2150*'Expenditure Study'!$B$32*OFFSET('Expenditure Study'!$B$7,'Operations Support'!$C2150,'Operations Support'!$B2150),0)</f>
        <v>0</v>
      </c>
      <c r="X2150" s="200">
        <f ca="1">W2150*'Expenditure Study'!$B$31</f>
        <v>0</v>
      </c>
      <c r="Y2150" s="199">
        <f ca="1">U2150*'Expenditure Study'!$B$31</f>
        <v>640556.21296128002</v>
      </c>
      <c r="Z2150" s="200">
        <f ca="1">W2150*'Expenditure Study'!$B$31</f>
        <v>0</v>
      </c>
      <c r="AA2150" s="195">
        <f t="shared" ca="1" si="470"/>
        <v>640556.21296128002</v>
      </c>
      <c r="AB2150" s="195">
        <f t="shared" ca="1" si="471"/>
        <v>640556.21296128002</v>
      </c>
      <c r="AD2150" s="196">
        <f>IFERROR($G2150/SUMIF($A:$A,$A2150,$G:$G)*SUMIF(Summary!$A$166:$A$242,$A2150,Summary!$P$166:$P$242),0)</f>
        <v>225012.04701447551</v>
      </c>
      <c r="AE2150" s="197">
        <f t="shared" ca="1" si="472"/>
        <v>415544.16594680451</v>
      </c>
      <c r="AF2150" s="196">
        <f>IFERROR(G2150/SUMIF(A:A,A2150,G:G)*SUMIF(Summary!$A$166:$A$242,'Operations Support'!A2150,Summary!$Q$166:$Q$242),0)</f>
        <v>226287.35539990957</v>
      </c>
      <c r="AG2150" s="196">
        <f t="shared" ca="1" si="473"/>
        <v>414268.85756137047</v>
      </c>
      <c r="AI2150" s="196">
        <f>IFERROR($G2150/SUMIF($A:$A,$A2150,$G:$G)*SUMIF(Summary!$A$247:$A$283,$A2150,Summary!$P$247:$P$283),0)</f>
        <v>41036.582262398595</v>
      </c>
      <c r="AJ2150" s="196">
        <f>IFERROR($G2150/SUMIF($A:$A,$A2150,$G:$G)*(SUMIF(Summary!$A$247:$A$283,$A2150,Summary!$L$247:$L$283)+SUMIF(Summary!$A$297:$A$333,$A2150,Summary!$L$297:$L$333))-AI2150,0)</f>
        <v>171072.49086181229</v>
      </c>
      <c r="AK2150" s="196">
        <f>IFERROR($G2150/SUMIF($A:$A,$A2150,$G:$G)*SUMIF(Summary!$A$247:$A$283,$A2150,Summary!$Q$247:$Q$283),0)</f>
        <v>41269.166686935765</v>
      </c>
      <c r="AL2150" s="196">
        <f>IFERROR($G2150/SUMIF($A:$A,$A2150,$G:$G)*(SUMIF(Summary!$A$247:$A$283,$A2150,Summary!$L$247:$L$283)+SUMIF(Summary!$A$297:$A$333,$A2150,Summary!$L$297:$L$333))-AK2150,0)</f>
        <v>170839.90643727512</v>
      </c>
      <c r="AM2150" s="198"/>
      <c r="AN2150" s="196">
        <f t="shared" ca="1" si="474"/>
        <v>586616.65680861683</v>
      </c>
      <c r="AO2150" s="196">
        <f t="shared" ca="1" si="475"/>
        <v>585108.76399864559</v>
      </c>
    </row>
    <row r="2151" spans="1:41">
      <c r="A2151" s="189">
        <v>3658</v>
      </c>
      <c r="B2151" s="190">
        <v>3</v>
      </c>
      <c r="C2151" s="191" t="s">
        <v>224</v>
      </c>
      <c r="D2151" s="192">
        <f t="shared" si="462"/>
        <v>0</v>
      </c>
      <c r="E2151" s="192">
        <f t="shared" si="463"/>
        <v>0</v>
      </c>
      <c r="F2151" s="192">
        <f t="shared" si="464"/>
        <v>0</v>
      </c>
      <c r="G2151" s="193">
        <f t="shared" si="465"/>
        <v>0</v>
      </c>
      <c r="H2151" s="194">
        <v>0</v>
      </c>
      <c r="I2151" s="194">
        <v>0</v>
      </c>
      <c r="J2151" s="194">
        <v>0</v>
      </c>
      <c r="K2151" s="193">
        <f t="shared" si="466"/>
        <v>0</v>
      </c>
      <c r="L2151" s="194">
        <v>0</v>
      </c>
      <c r="M2151" s="194">
        <v>0</v>
      </c>
      <c r="N2151" s="194">
        <v>0</v>
      </c>
      <c r="O2151" s="193">
        <f t="shared" si="467"/>
        <v>0</v>
      </c>
      <c r="P2151" s="194">
        <v>0</v>
      </c>
      <c r="Q2151" s="194">
        <v>0</v>
      </c>
      <c r="R2151" s="194">
        <v>0</v>
      </c>
      <c r="S2151" s="193">
        <f t="shared" si="468"/>
        <v>0</v>
      </c>
      <c r="T2151" s="193">
        <f t="shared" si="469"/>
        <v>0</v>
      </c>
      <c r="U2151" s="193">
        <f ca="1">OFFSET('Expenditure Study'!$B$7,'Operations Support'!$C2151,'Operations Support'!$B2151)*$G2151</f>
        <v>0</v>
      </c>
      <c r="V2151" s="199">
        <f ca="1">U2151*'Expenditure Study'!$B$31</f>
        <v>0</v>
      </c>
      <c r="W2151" s="199">
        <f ca="1">IF(A2151=10298,1.51,1)*IF($B2151&lt;3,$D2151*'Expenditure Study'!$B$32*OFFSET('Expenditure Study'!$B$7,'Operations Support'!$C2151,'Operations Support'!$B2151),0)</f>
        <v>0</v>
      </c>
      <c r="X2151" s="200">
        <f ca="1">W2151*'Expenditure Study'!$B$31</f>
        <v>0</v>
      </c>
      <c r="Y2151" s="199">
        <f ca="1">U2151*'Expenditure Study'!$B$31</f>
        <v>0</v>
      </c>
      <c r="Z2151" s="200">
        <f ca="1">W2151*'Expenditure Study'!$B$31</f>
        <v>0</v>
      </c>
      <c r="AA2151" s="195">
        <f t="shared" ca="1" si="470"/>
        <v>0</v>
      </c>
      <c r="AB2151" s="195">
        <f t="shared" ca="1" si="471"/>
        <v>0</v>
      </c>
      <c r="AD2151" s="196">
        <f>IFERROR($G2151/SUMIF($A:$A,$A2151,$G:$G)*SUMIF(Summary!$A$166:$A$242,$A2151,Summary!$P$166:$P$242),0)</f>
        <v>0</v>
      </c>
      <c r="AE2151" s="197">
        <f t="shared" ca="1" si="472"/>
        <v>0</v>
      </c>
      <c r="AF2151" s="196">
        <f>IFERROR(G2151/SUMIF(A:A,A2151,G:G)*SUMIF(Summary!$A$166:$A$242,'Operations Support'!A2151,Summary!$Q$166:$Q$242),0)</f>
        <v>0</v>
      </c>
      <c r="AG2151" s="196">
        <f t="shared" ca="1" si="473"/>
        <v>0</v>
      </c>
      <c r="AI2151" s="196">
        <f>IFERROR($G2151/SUMIF($A:$A,$A2151,$G:$G)*SUMIF(Summary!$A$247:$A$283,$A2151,Summary!$P$247:$P$283),0)</f>
        <v>0</v>
      </c>
      <c r="AJ2151" s="196">
        <f>IFERROR($G2151/SUMIF($A:$A,$A2151,$G:$G)*(SUMIF(Summary!$A$247:$A$283,$A2151,Summary!$L$247:$L$283)+SUMIF(Summary!$A$297:$A$333,$A2151,Summary!$L$297:$L$333))-AI2151,0)</f>
        <v>0</v>
      </c>
      <c r="AK2151" s="196">
        <f>IFERROR($G2151/SUMIF($A:$A,$A2151,$G:$G)*SUMIF(Summary!$A$247:$A$283,$A2151,Summary!$Q$247:$Q$283),0)</f>
        <v>0</v>
      </c>
      <c r="AL2151" s="196">
        <f>IFERROR($G2151/SUMIF($A:$A,$A2151,$G:$G)*(SUMIF(Summary!$A$247:$A$283,$A2151,Summary!$L$247:$L$283)+SUMIF(Summary!$A$297:$A$333,$A2151,Summary!$L$297:$L$333))-AK2151,0)</f>
        <v>0</v>
      </c>
      <c r="AM2151" s="198"/>
      <c r="AN2151" s="196">
        <f t="shared" ca="1" si="474"/>
        <v>0</v>
      </c>
      <c r="AO2151" s="196">
        <f t="shared" ca="1" si="475"/>
        <v>0</v>
      </c>
    </row>
    <row r="2152" spans="1:41">
      <c r="A2152" s="189">
        <v>3658</v>
      </c>
      <c r="B2152" s="190">
        <v>3</v>
      </c>
      <c r="C2152" s="191" t="s">
        <v>225</v>
      </c>
      <c r="D2152" s="192">
        <f t="shared" si="462"/>
        <v>19515</v>
      </c>
      <c r="E2152" s="192">
        <f t="shared" si="463"/>
        <v>5339</v>
      </c>
      <c r="F2152" s="192">
        <f t="shared" si="464"/>
        <v>0</v>
      </c>
      <c r="G2152" s="193">
        <f t="shared" si="465"/>
        <v>24854</v>
      </c>
      <c r="H2152" s="194">
        <v>8819</v>
      </c>
      <c r="I2152" s="194">
        <v>1859</v>
      </c>
      <c r="J2152" s="194">
        <v>0</v>
      </c>
      <c r="K2152" s="193">
        <f t="shared" si="466"/>
        <v>10678</v>
      </c>
      <c r="L2152" s="194">
        <v>9673</v>
      </c>
      <c r="M2152" s="194">
        <v>2994</v>
      </c>
      <c r="N2152" s="194">
        <v>0</v>
      </c>
      <c r="O2152" s="193">
        <f t="shared" si="467"/>
        <v>12667</v>
      </c>
      <c r="P2152" s="194">
        <v>1023</v>
      </c>
      <c r="Q2152" s="194">
        <v>486</v>
      </c>
      <c r="R2152" s="194">
        <v>0</v>
      </c>
      <c r="S2152" s="193">
        <f t="shared" si="468"/>
        <v>1509</v>
      </c>
      <c r="T2152" s="193">
        <f t="shared" si="469"/>
        <v>1035.5833333333333</v>
      </c>
      <c r="U2152" s="193">
        <f ca="1">OFFSET('Expenditure Study'!$B$7,'Operations Support'!$C2152,'Operations Support'!$B2152)*$G2152</f>
        <v>171741.14</v>
      </c>
      <c r="V2152" s="199">
        <f ca="1">U2152*'Expenditure Study'!$B$31</f>
        <v>10147012.825418113</v>
      </c>
      <c r="W2152" s="199">
        <f ca="1">IF(A2152=10298,1.51,1)*IF($B2152&lt;3,$D2152*'Expenditure Study'!$B$32*OFFSET('Expenditure Study'!$B$7,'Operations Support'!$C2152,'Operations Support'!$B2152),0)</f>
        <v>0</v>
      </c>
      <c r="X2152" s="200">
        <f ca="1">W2152*'Expenditure Study'!$B$31</f>
        <v>0</v>
      </c>
      <c r="Y2152" s="199">
        <f ca="1">U2152*'Expenditure Study'!$B$31</f>
        <v>10147012.825418113</v>
      </c>
      <c r="Z2152" s="200">
        <f ca="1">W2152*'Expenditure Study'!$B$31</f>
        <v>0</v>
      </c>
      <c r="AA2152" s="195">
        <f t="shared" ca="1" si="470"/>
        <v>10147012.825418113</v>
      </c>
      <c r="AB2152" s="195">
        <f t="shared" ca="1" si="471"/>
        <v>10147012.825418113</v>
      </c>
      <c r="AD2152" s="196">
        <f>IFERROR($G2152/SUMIF($A:$A,$A2152,$G:$G)*SUMIF(Summary!$A$166:$A$242,$A2152,Summary!$P$166:$P$242),0)</f>
        <v>1155464.7554747467</v>
      </c>
      <c r="AE2152" s="197">
        <f t="shared" ca="1" si="472"/>
        <v>8991548.0699433666</v>
      </c>
      <c r="AF2152" s="196">
        <f>IFERROR(G2152/SUMIF(A:A,A2152,G:G)*SUMIF(Summary!$A$166:$A$242,'Operations Support'!A2152,Summary!$Q$166:$Q$242),0)</f>
        <v>1162013.6221300315</v>
      </c>
      <c r="AG2152" s="196">
        <f t="shared" ca="1" si="473"/>
        <v>8984999.203288082</v>
      </c>
      <c r="AI2152" s="196">
        <f>IFERROR($G2152/SUMIF($A:$A,$A2152,$G:$G)*SUMIF(Summary!$A$247:$A$283,$A2152,Summary!$P$247:$P$283),0)</f>
        <v>210727.93709703605</v>
      </c>
      <c r="AJ2152" s="196">
        <f>IFERROR($G2152/SUMIF($A:$A,$A2152,$G:$G)*(SUMIF(Summary!$A$247:$A$283,$A2152,Summary!$L$247:$L$283)+SUMIF(Summary!$A$297:$A$333,$A2152,Summary!$L$297:$L$333))-AI2152,0)</f>
        <v>878478.4479089838</v>
      </c>
      <c r="AK2152" s="196">
        <f>IFERROR($G2152/SUMIF($A:$A,$A2152,$G:$G)*SUMIF(Summary!$A$247:$A$283,$A2152,Summary!$Q$247:$Q$283),0)</f>
        <v>211922.28694981433</v>
      </c>
      <c r="AL2152" s="196">
        <f>IFERROR($G2152/SUMIF($A:$A,$A2152,$G:$G)*(SUMIF(Summary!$A$247:$A$283,$A2152,Summary!$L$247:$L$283)+SUMIF(Summary!$A$297:$A$333,$A2152,Summary!$L$297:$L$333))-AK2152,0)</f>
        <v>877284.09805620555</v>
      </c>
      <c r="AM2152" s="198"/>
      <c r="AN2152" s="196">
        <f t="shared" ca="1" si="474"/>
        <v>9870026.5178523511</v>
      </c>
      <c r="AO2152" s="196">
        <f t="shared" ca="1" si="475"/>
        <v>9862283.3013442867</v>
      </c>
    </row>
    <row r="2153" spans="1:41">
      <c r="A2153" s="189">
        <v>3658</v>
      </c>
      <c r="B2153" s="190">
        <v>3</v>
      </c>
      <c r="C2153" s="191" t="s">
        <v>226</v>
      </c>
      <c r="D2153" s="192">
        <f t="shared" si="462"/>
        <v>519</v>
      </c>
      <c r="E2153" s="192">
        <f t="shared" si="463"/>
        <v>27</v>
      </c>
      <c r="F2153" s="192">
        <f t="shared" si="464"/>
        <v>0</v>
      </c>
      <c r="G2153" s="193">
        <f t="shared" si="465"/>
        <v>546</v>
      </c>
      <c r="H2153" s="194">
        <v>192</v>
      </c>
      <c r="I2153" s="194">
        <v>27</v>
      </c>
      <c r="J2153" s="194">
        <v>0</v>
      </c>
      <c r="K2153" s="193">
        <f t="shared" si="466"/>
        <v>219</v>
      </c>
      <c r="L2153" s="194">
        <v>279</v>
      </c>
      <c r="M2153" s="194">
        <v>0</v>
      </c>
      <c r="N2153" s="194">
        <v>0</v>
      </c>
      <c r="O2153" s="193">
        <f t="shared" si="467"/>
        <v>279</v>
      </c>
      <c r="P2153" s="194">
        <v>48</v>
      </c>
      <c r="Q2153" s="194">
        <v>0</v>
      </c>
      <c r="R2153" s="194">
        <v>0</v>
      </c>
      <c r="S2153" s="193">
        <f t="shared" si="468"/>
        <v>48</v>
      </c>
      <c r="T2153" s="193">
        <f t="shared" si="469"/>
        <v>22.75</v>
      </c>
      <c r="U2153" s="193">
        <f ca="1">OFFSET('Expenditure Study'!$B$7,'Operations Support'!$C2153,'Operations Support'!$B2153)*$G2153</f>
        <v>1883.7</v>
      </c>
      <c r="V2153" s="199">
        <f ca="1">U2153*'Expenditure Study'!$B$31</f>
        <v>111294.98767296001</v>
      </c>
      <c r="W2153" s="199">
        <f ca="1">IF(A2153=10298,1.51,1)*IF($B2153&lt;3,$D2153*'Expenditure Study'!$B$32*OFFSET('Expenditure Study'!$B$7,'Operations Support'!$C2153,'Operations Support'!$B2153),0)</f>
        <v>0</v>
      </c>
      <c r="X2153" s="200">
        <f ca="1">W2153*'Expenditure Study'!$B$31</f>
        <v>0</v>
      </c>
      <c r="Y2153" s="199">
        <f ca="1">U2153*'Expenditure Study'!$B$31</f>
        <v>111294.98767296001</v>
      </c>
      <c r="Z2153" s="200">
        <f ca="1">W2153*'Expenditure Study'!$B$31</f>
        <v>0</v>
      </c>
      <c r="AA2153" s="195">
        <f t="shared" ca="1" si="470"/>
        <v>111294.98767296001</v>
      </c>
      <c r="AB2153" s="195">
        <f t="shared" ca="1" si="471"/>
        <v>111294.98767296001</v>
      </c>
      <c r="AD2153" s="196">
        <f>IFERROR($G2153/SUMIF($A:$A,$A2153,$G:$G)*SUMIF(Summary!$A$166:$A$242,$A2153,Summary!$P$166:$P$242),0)</f>
        <v>25383.590427666037</v>
      </c>
      <c r="AE2153" s="197">
        <f t="shared" ca="1" si="472"/>
        <v>85911.397245293978</v>
      </c>
      <c r="AF2153" s="196">
        <f>IFERROR(G2153/SUMIF(A:A,A2153,G:G)*SUMIF(Summary!$A$166:$A$242,'Operations Support'!A2153,Summary!$Q$166:$Q$242),0)</f>
        <v>25527.457861229468</v>
      </c>
      <c r="AG2153" s="196">
        <f t="shared" ca="1" si="473"/>
        <v>85767.529811730536</v>
      </c>
      <c r="AI2153" s="196">
        <f>IFERROR($G2153/SUMIF($A:$A,$A2153,$G:$G)*SUMIF(Summary!$A$247:$A$283,$A2153,Summary!$P$247:$P$283),0)</f>
        <v>4629.3334535681061</v>
      </c>
      <c r="AJ2153" s="196">
        <f>IFERROR($G2153/SUMIF($A:$A,$A2153,$G:$G)*(SUMIF(Summary!$A$247:$A$283,$A2153,Summary!$L$247:$L$283)+SUMIF(Summary!$A$297:$A$333,$A2153,Summary!$L$297:$L$333))-AI2153,0)</f>
        <v>19298.673555898655</v>
      </c>
      <c r="AK2153" s="196">
        <f>IFERROR($G2153/SUMIF($A:$A,$A2153,$G:$G)*SUMIF(Summary!$A$247:$A$283,$A2153,Summary!$Q$247:$Q$283),0)</f>
        <v>4655.5712832782901</v>
      </c>
      <c r="AL2153" s="196">
        <f>IFERROR($G2153/SUMIF($A:$A,$A2153,$G:$G)*(SUMIF(Summary!$A$247:$A$283,$A2153,Summary!$L$247:$L$283)+SUMIF(Summary!$A$297:$A$333,$A2153,Summary!$L$297:$L$333))-AK2153,0)</f>
        <v>19272.435726188472</v>
      </c>
      <c r="AM2153" s="198"/>
      <c r="AN2153" s="196">
        <f t="shared" ca="1" si="474"/>
        <v>105210.07080119263</v>
      </c>
      <c r="AO2153" s="196">
        <f t="shared" ca="1" si="475"/>
        <v>105039.96553791901</v>
      </c>
    </row>
    <row r="2154" spans="1:41">
      <c r="A2154" s="189">
        <v>3658</v>
      </c>
      <c r="B2154" s="190">
        <v>3</v>
      </c>
      <c r="C2154" s="191" t="s">
        <v>227</v>
      </c>
      <c r="D2154" s="192">
        <f t="shared" si="462"/>
        <v>0</v>
      </c>
      <c r="E2154" s="192">
        <f t="shared" si="463"/>
        <v>0</v>
      </c>
      <c r="F2154" s="192">
        <f t="shared" si="464"/>
        <v>0</v>
      </c>
      <c r="G2154" s="193">
        <f t="shared" si="465"/>
        <v>0</v>
      </c>
      <c r="H2154" s="194">
        <v>0</v>
      </c>
      <c r="I2154" s="194">
        <v>0</v>
      </c>
      <c r="J2154" s="194">
        <v>0</v>
      </c>
      <c r="K2154" s="193">
        <f t="shared" si="466"/>
        <v>0</v>
      </c>
      <c r="L2154" s="194">
        <v>0</v>
      </c>
      <c r="M2154" s="194">
        <v>0</v>
      </c>
      <c r="N2154" s="194">
        <v>0</v>
      </c>
      <c r="O2154" s="193">
        <f t="shared" si="467"/>
        <v>0</v>
      </c>
      <c r="P2154" s="194">
        <v>0</v>
      </c>
      <c r="Q2154" s="194">
        <v>0</v>
      </c>
      <c r="R2154" s="194">
        <v>0</v>
      </c>
      <c r="S2154" s="193">
        <f t="shared" si="468"/>
        <v>0</v>
      </c>
      <c r="T2154" s="193">
        <f t="shared" si="469"/>
        <v>0</v>
      </c>
      <c r="U2154" s="193">
        <f ca="1">OFFSET('Expenditure Study'!$B$7,'Operations Support'!$C2154,'Operations Support'!$B2154)*$G2154</f>
        <v>0</v>
      </c>
      <c r="V2154" s="199">
        <f ca="1">U2154*'Expenditure Study'!$B$31</f>
        <v>0</v>
      </c>
      <c r="W2154" s="199">
        <f ca="1">IF(A2154=10298,1.51,1)*IF($B2154&lt;3,$D2154*'Expenditure Study'!$B$32*OFFSET('Expenditure Study'!$B$7,'Operations Support'!$C2154,'Operations Support'!$B2154),0)</f>
        <v>0</v>
      </c>
      <c r="X2154" s="200">
        <f ca="1">W2154*'Expenditure Study'!$B$31</f>
        <v>0</v>
      </c>
      <c r="Y2154" s="199">
        <f ca="1">U2154*'Expenditure Study'!$B$31</f>
        <v>0</v>
      </c>
      <c r="Z2154" s="200">
        <f ca="1">W2154*'Expenditure Study'!$B$31</f>
        <v>0</v>
      </c>
      <c r="AA2154" s="195">
        <f t="shared" ca="1" si="470"/>
        <v>0</v>
      </c>
      <c r="AB2154" s="195">
        <f t="shared" ca="1" si="471"/>
        <v>0</v>
      </c>
      <c r="AD2154" s="196">
        <f>IFERROR($G2154/SUMIF($A:$A,$A2154,$G:$G)*SUMIF(Summary!$A$166:$A$242,$A2154,Summary!$P$166:$P$242),0)</f>
        <v>0</v>
      </c>
      <c r="AE2154" s="197">
        <f t="shared" ca="1" si="472"/>
        <v>0</v>
      </c>
      <c r="AF2154" s="196">
        <f>IFERROR(G2154/SUMIF(A:A,A2154,G:G)*SUMIF(Summary!$A$166:$A$242,'Operations Support'!A2154,Summary!$Q$166:$Q$242),0)</f>
        <v>0</v>
      </c>
      <c r="AG2154" s="196">
        <f t="shared" ca="1" si="473"/>
        <v>0</v>
      </c>
      <c r="AI2154" s="196">
        <f>IFERROR($G2154/SUMIF($A:$A,$A2154,$G:$G)*SUMIF(Summary!$A$247:$A$283,$A2154,Summary!$P$247:$P$283),0)</f>
        <v>0</v>
      </c>
      <c r="AJ2154" s="196">
        <f>IFERROR($G2154/SUMIF($A:$A,$A2154,$G:$G)*(SUMIF(Summary!$A$247:$A$283,$A2154,Summary!$L$247:$L$283)+SUMIF(Summary!$A$297:$A$333,$A2154,Summary!$L$297:$L$333))-AI2154,0)</f>
        <v>0</v>
      </c>
      <c r="AK2154" s="196">
        <f>IFERROR($G2154/SUMIF($A:$A,$A2154,$G:$G)*SUMIF(Summary!$A$247:$A$283,$A2154,Summary!$Q$247:$Q$283),0)</f>
        <v>0</v>
      </c>
      <c r="AL2154" s="196">
        <f>IFERROR($G2154/SUMIF($A:$A,$A2154,$G:$G)*(SUMIF(Summary!$A$247:$A$283,$A2154,Summary!$L$247:$L$283)+SUMIF(Summary!$A$297:$A$333,$A2154,Summary!$L$297:$L$333))-AK2154,0)</f>
        <v>0</v>
      </c>
      <c r="AM2154" s="198"/>
      <c r="AN2154" s="196">
        <f t="shared" ca="1" si="474"/>
        <v>0</v>
      </c>
      <c r="AO2154" s="196">
        <f t="shared" ca="1" si="475"/>
        <v>0</v>
      </c>
    </row>
    <row r="2155" spans="1:41">
      <c r="A2155" s="189">
        <v>3658</v>
      </c>
      <c r="B2155" s="190">
        <v>3</v>
      </c>
      <c r="C2155" s="191" t="s">
        <v>228</v>
      </c>
      <c r="D2155" s="192">
        <f t="shared" si="462"/>
        <v>1111</v>
      </c>
      <c r="E2155" s="192">
        <f t="shared" si="463"/>
        <v>6900</v>
      </c>
      <c r="F2155" s="192">
        <f t="shared" si="464"/>
        <v>0</v>
      </c>
      <c r="G2155" s="193">
        <f t="shared" si="465"/>
        <v>8011</v>
      </c>
      <c r="H2155" s="194">
        <v>521</v>
      </c>
      <c r="I2155" s="194">
        <v>2681</v>
      </c>
      <c r="J2155" s="194">
        <v>0</v>
      </c>
      <c r="K2155" s="193">
        <f t="shared" si="466"/>
        <v>3202</v>
      </c>
      <c r="L2155" s="194">
        <v>580</v>
      </c>
      <c r="M2155" s="194">
        <v>2904</v>
      </c>
      <c r="N2155" s="194">
        <v>0</v>
      </c>
      <c r="O2155" s="193">
        <f t="shared" si="467"/>
        <v>3484</v>
      </c>
      <c r="P2155" s="194">
        <v>10</v>
      </c>
      <c r="Q2155" s="194">
        <v>1315</v>
      </c>
      <c r="R2155" s="194">
        <v>0</v>
      </c>
      <c r="S2155" s="193">
        <f t="shared" si="468"/>
        <v>1325</v>
      </c>
      <c r="T2155" s="193">
        <f t="shared" si="469"/>
        <v>333.79166666666669</v>
      </c>
      <c r="U2155" s="193">
        <f ca="1">OFFSET('Expenditure Study'!$B$7,'Operations Support'!$C2155,'Operations Support'!$B2155)*$G2155</f>
        <v>19546.84</v>
      </c>
      <c r="V2155" s="199">
        <f ca="1">U2155*'Expenditure Study'!$B$31</f>
        <v>1154889.481788672</v>
      </c>
      <c r="W2155" s="199">
        <f ca="1">IF(A2155=10298,1.51,1)*IF($B2155&lt;3,$D2155*'Expenditure Study'!$B$32*OFFSET('Expenditure Study'!$B$7,'Operations Support'!$C2155,'Operations Support'!$B2155),0)</f>
        <v>0</v>
      </c>
      <c r="X2155" s="200">
        <f ca="1">W2155*'Expenditure Study'!$B$31</f>
        <v>0</v>
      </c>
      <c r="Y2155" s="199">
        <f ca="1">U2155*'Expenditure Study'!$B$31</f>
        <v>1154889.481788672</v>
      </c>
      <c r="Z2155" s="200">
        <f ca="1">W2155*'Expenditure Study'!$B$31</f>
        <v>0</v>
      </c>
      <c r="AA2155" s="195">
        <f t="shared" ca="1" si="470"/>
        <v>1154889.481788672</v>
      </c>
      <c r="AB2155" s="195">
        <f t="shared" ca="1" si="471"/>
        <v>1154889.481788672</v>
      </c>
      <c r="AD2155" s="196">
        <f>IFERROR($G2155/SUMIF($A:$A,$A2155,$G:$G)*SUMIF(Summary!$A$166:$A$242,$A2155,Summary!$P$166:$P$242),0)</f>
        <v>372432.12988284364</v>
      </c>
      <c r="AE2155" s="197">
        <f t="shared" ca="1" si="472"/>
        <v>782457.35190582834</v>
      </c>
      <c r="AF2155" s="196">
        <f>IFERROR(G2155/SUMIF(A:A,A2155,G:G)*SUMIF(Summary!$A$166:$A$242,'Operations Support'!A2155,Summary!$Q$166:$Q$242),0)</f>
        <v>374542.97605551151</v>
      </c>
      <c r="AG2155" s="196">
        <f t="shared" ca="1" si="473"/>
        <v>780346.50573316053</v>
      </c>
      <c r="AI2155" s="196">
        <f>IFERROR($G2155/SUMIF($A:$A,$A2155,$G:$G)*SUMIF(Summary!$A$247:$A$283,$A2155,Summary!$P$247:$P$283),0)</f>
        <v>67922.326550428756</v>
      </c>
      <c r="AJ2155" s="196">
        <f>IFERROR($G2155/SUMIF($A:$A,$A2155,$G:$G)*(SUMIF(Summary!$A$247:$A$283,$A2155,Summary!$L$247:$L$283)+SUMIF(Summary!$A$297:$A$333,$A2155,Summary!$L$297:$L$333))-AI2155,0)</f>
        <v>283153.24882106984</v>
      </c>
      <c r="AK2155" s="196">
        <f>IFERROR($G2155/SUMIF($A:$A,$A2155,$G:$G)*SUMIF(Summary!$A$247:$A$283,$A2155,Summary!$Q$247:$Q$283),0)</f>
        <v>68307.292216744303</v>
      </c>
      <c r="AL2155" s="196">
        <f>IFERROR($G2155/SUMIF($A:$A,$A2155,$G:$G)*(SUMIF(Summary!$A$247:$A$283,$A2155,Summary!$L$247:$L$283)+SUMIF(Summary!$A$297:$A$333,$A2155,Summary!$L$297:$L$333))-AK2155,0)</f>
        <v>282768.28315475432</v>
      </c>
      <c r="AM2155" s="198"/>
      <c r="AN2155" s="196">
        <f t="shared" ca="1" si="474"/>
        <v>1065610.6007268983</v>
      </c>
      <c r="AO2155" s="196">
        <f t="shared" ca="1" si="475"/>
        <v>1063114.7888879147</v>
      </c>
    </row>
    <row r="2156" spans="1:41">
      <c r="A2156" s="189">
        <v>3658</v>
      </c>
      <c r="B2156" s="190">
        <v>3</v>
      </c>
      <c r="C2156" s="191" t="s">
        <v>229</v>
      </c>
      <c r="D2156" s="192">
        <f t="shared" si="462"/>
        <v>2143.5</v>
      </c>
      <c r="E2156" s="192">
        <f t="shared" si="463"/>
        <v>3019.5</v>
      </c>
      <c r="F2156" s="192">
        <f t="shared" si="464"/>
        <v>0</v>
      </c>
      <c r="G2156" s="193">
        <f t="shared" si="465"/>
        <v>5163</v>
      </c>
      <c r="H2156" s="194">
        <v>715.5</v>
      </c>
      <c r="I2156" s="194">
        <v>1600.5</v>
      </c>
      <c r="J2156" s="194">
        <v>0</v>
      </c>
      <c r="K2156" s="193">
        <f t="shared" si="466"/>
        <v>2316</v>
      </c>
      <c r="L2156" s="194">
        <v>1398</v>
      </c>
      <c r="M2156" s="194">
        <v>1314</v>
      </c>
      <c r="N2156" s="194">
        <v>0</v>
      </c>
      <c r="O2156" s="193">
        <f t="shared" si="467"/>
        <v>2712</v>
      </c>
      <c r="P2156" s="194">
        <v>30</v>
      </c>
      <c r="Q2156" s="194">
        <v>105</v>
      </c>
      <c r="R2156" s="194">
        <v>0</v>
      </c>
      <c r="S2156" s="193">
        <f t="shared" si="468"/>
        <v>135</v>
      </c>
      <c r="T2156" s="193">
        <f t="shared" si="469"/>
        <v>215.125</v>
      </c>
      <c r="U2156" s="193">
        <f ca="1">OFFSET('Expenditure Study'!$B$7,'Operations Support'!$C2156,'Operations Support'!$B2156)*$G2156</f>
        <v>19051.47</v>
      </c>
      <c r="V2156" s="199">
        <f ca="1">U2156*'Expenditure Study'!$B$31</f>
        <v>1125621.446515776</v>
      </c>
      <c r="W2156" s="199">
        <f ca="1">IF(A2156=10298,1.51,1)*IF($B2156&lt;3,$D2156*'Expenditure Study'!$B$32*OFFSET('Expenditure Study'!$B$7,'Operations Support'!$C2156,'Operations Support'!$B2156),0)</f>
        <v>0</v>
      </c>
      <c r="X2156" s="200">
        <f ca="1">W2156*'Expenditure Study'!$B$31</f>
        <v>0</v>
      </c>
      <c r="Y2156" s="199">
        <f ca="1">U2156*'Expenditure Study'!$B$31</f>
        <v>1125621.446515776</v>
      </c>
      <c r="Z2156" s="200">
        <f ca="1">W2156*'Expenditure Study'!$B$31</f>
        <v>0</v>
      </c>
      <c r="AA2156" s="195">
        <f t="shared" ca="1" si="470"/>
        <v>1125621.446515776</v>
      </c>
      <c r="AB2156" s="195">
        <f t="shared" ca="1" si="471"/>
        <v>1125621.446515776</v>
      </c>
      <c r="AD2156" s="196">
        <f>IFERROR($G2156/SUMIF($A:$A,$A2156,$G:$G)*SUMIF(Summary!$A$166:$A$242,$A2156,Summary!$P$166:$P$242),0)</f>
        <v>240028.34684622666</v>
      </c>
      <c r="AE2156" s="197">
        <f t="shared" ca="1" si="472"/>
        <v>885593.09966954938</v>
      </c>
      <c r="AF2156" s="196">
        <f>IFERROR(G2156/SUMIF(A:A,A2156,G:G)*SUMIF(Summary!$A$166:$A$242,'Operations Support'!A2156,Summary!$Q$166:$Q$242),0)</f>
        <v>241388.76362184569</v>
      </c>
      <c r="AG2156" s="196">
        <f t="shared" ca="1" si="473"/>
        <v>884232.68289393024</v>
      </c>
      <c r="AI2156" s="196">
        <f>IFERROR($G2156/SUMIF($A:$A,$A2156,$G:$G)*SUMIF(Summary!$A$247:$A$283,$A2156,Summary!$P$247:$P$283),0)</f>
        <v>43775.180624124783</v>
      </c>
      <c r="AJ2156" s="196">
        <f>IFERROR($G2156/SUMIF($A:$A,$A2156,$G:$G)*(SUMIF(Summary!$A$247:$A$283,$A2156,Summary!$L$247:$L$283)+SUMIF(Summary!$A$297:$A$333,$A2156,Summary!$L$297:$L$333))-AI2156,0)</f>
        <v>182489.10543792078</v>
      </c>
      <c r="AK2156" s="196">
        <f>IFERROR($G2156/SUMIF($A:$A,$A2156,$G:$G)*SUMIF(Summary!$A$247:$A$283,$A2156,Summary!$Q$247:$Q$283),0)</f>
        <v>44023.286695175484</v>
      </c>
      <c r="AL2156" s="196">
        <f>IFERROR($G2156/SUMIF($A:$A,$A2156,$G:$G)*(SUMIF(Summary!$A$247:$A$283,$A2156,Summary!$L$247:$L$283)+SUMIF(Summary!$A$297:$A$333,$A2156,Summary!$L$297:$L$333))-AK2156,0)</f>
        <v>182240.99936687009</v>
      </c>
      <c r="AM2156" s="198"/>
      <c r="AN2156" s="196">
        <f t="shared" ca="1" si="474"/>
        <v>1068082.20510747</v>
      </c>
      <c r="AO2156" s="196">
        <f t="shared" ca="1" si="475"/>
        <v>1066473.6822608004</v>
      </c>
    </row>
    <row r="2157" spans="1:41" s="201" customFormat="1">
      <c r="A2157" s="189">
        <v>3658</v>
      </c>
      <c r="B2157" s="190">
        <v>3</v>
      </c>
      <c r="C2157" s="191" t="s">
        <v>230</v>
      </c>
      <c r="D2157" s="192">
        <f t="shared" si="462"/>
        <v>0</v>
      </c>
      <c r="E2157" s="192">
        <f t="shared" si="463"/>
        <v>0</v>
      </c>
      <c r="F2157" s="192">
        <f t="shared" si="464"/>
        <v>0</v>
      </c>
      <c r="G2157" s="193">
        <f t="shared" si="465"/>
        <v>0</v>
      </c>
      <c r="H2157" s="194">
        <v>0</v>
      </c>
      <c r="I2157" s="194">
        <v>0</v>
      </c>
      <c r="J2157" s="194">
        <v>0</v>
      </c>
      <c r="K2157" s="193">
        <f t="shared" si="466"/>
        <v>0</v>
      </c>
      <c r="L2157" s="194">
        <v>0</v>
      </c>
      <c r="M2157" s="194">
        <v>0</v>
      </c>
      <c r="N2157" s="194">
        <v>0</v>
      </c>
      <c r="O2157" s="193">
        <f t="shared" si="467"/>
        <v>0</v>
      </c>
      <c r="P2157" s="194">
        <v>0</v>
      </c>
      <c r="Q2157" s="194">
        <v>0</v>
      </c>
      <c r="R2157" s="194">
        <v>0</v>
      </c>
      <c r="S2157" s="193">
        <f t="shared" si="468"/>
        <v>0</v>
      </c>
      <c r="T2157" s="193">
        <f t="shared" si="469"/>
        <v>0</v>
      </c>
      <c r="U2157" s="193">
        <f ca="1">OFFSET('Expenditure Study'!$B$7,'Operations Support'!$C2157,'Operations Support'!$B2157)*$G2157</f>
        <v>0</v>
      </c>
      <c r="V2157" s="199">
        <f ca="1">U2157*'Expenditure Study'!$B$31</f>
        <v>0</v>
      </c>
      <c r="W2157" s="199">
        <f ca="1">IF(A2157=10298,1.51,1)*IF($B2157&lt;3,$D2157*'Expenditure Study'!$B$32*OFFSET('Expenditure Study'!$B$7,'Operations Support'!$C2157,'Operations Support'!$B2157),0)</f>
        <v>0</v>
      </c>
      <c r="X2157" s="200">
        <f ca="1">W2157*'Expenditure Study'!$B$31</f>
        <v>0</v>
      </c>
      <c r="Y2157" s="199">
        <f ca="1">U2157*'Expenditure Study'!$B$31</f>
        <v>0</v>
      </c>
      <c r="Z2157" s="200">
        <f ca="1">W2157*'Expenditure Study'!$B$31</f>
        <v>0</v>
      </c>
      <c r="AA2157" s="195">
        <f t="shared" ca="1" si="470"/>
        <v>0</v>
      </c>
      <c r="AB2157" s="195">
        <f t="shared" ca="1" si="471"/>
        <v>0</v>
      </c>
      <c r="AD2157" s="196">
        <f>IFERROR($G2157/SUMIF($A:$A,$A2157,$G:$G)*SUMIF(Summary!$A$166:$A$242,$A2157,Summary!$P$166:$P$242),0)</f>
        <v>0</v>
      </c>
      <c r="AE2157" s="197">
        <f t="shared" ca="1" si="472"/>
        <v>0</v>
      </c>
      <c r="AF2157" s="196">
        <f>IFERROR(G2157/SUMIF(A:A,A2157,G:G)*SUMIF(Summary!$A$166:$A$242,'Operations Support'!A2157,Summary!$Q$166:$Q$242),0)</f>
        <v>0</v>
      </c>
      <c r="AG2157" s="196">
        <f t="shared" ca="1" si="473"/>
        <v>0</v>
      </c>
      <c r="AH2157" s="180"/>
      <c r="AI2157" s="196">
        <f>IFERROR($G2157/SUMIF($A:$A,$A2157,$G:$G)*SUMIF(Summary!$A$247:$A$283,$A2157,Summary!$P$247:$P$283),0)</f>
        <v>0</v>
      </c>
      <c r="AJ2157" s="196">
        <f>IFERROR($G2157/SUMIF($A:$A,$A2157,$G:$G)*(SUMIF(Summary!$A$247:$A$283,$A2157,Summary!$L$247:$L$283)+SUMIF(Summary!$A$297:$A$333,$A2157,Summary!$L$297:$L$333))-AI2157,0)</f>
        <v>0</v>
      </c>
      <c r="AK2157" s="196">
        <f>IFERROR($G2157/SUMIF($A:$A,$A2157,$G:$G)*SUMIF(Summary!$A$247:$A$283,$A2157,Summary!$Q$247:$Q$283),0)</f>
        <v>0</v>
      </c>
      <c r="AL2157" s="196">
        <f>IFERROR($G2157/SUMIF($A:$A,$A2157,$G:$G)*(SUMIF(Summary!$A$247:$A$283,$A2157,Summary!$L$247:$L$283)+SUMIF(Summary!$A$297:$A$333,$A2157,Summary!$L$297:$L$333))-AK2157,0)</f>
        <v>0</v>
      </c>
      <c r="AM2157" s="198"/>
      <c r="AN2157" s="196">
        <f t="shared" ca="1" si="474"/>
        <v>0</v>
      </c>
      <c r="AO2157" s="196">
        <f t="shared" ca="1" si="475"/>
        <v>0</v>
      </c>
    </row>
    <row r="2158" spans="1:41">
      <c r="A2158" s="189">
        <v>3658</v>
      </c>
      <c r="B2158" s="190">
        <v>3</v>
      </c>
      <c r="C2158" s="191" t="s">
        <v>231</v>
      </c>
      <c r="D2158" s="192">
        <f t="shared" si="462"/>
        <v>0</v>
      </c>
      <c r="E2158" s="192">
        <f t="shared" si="463"/>
        <v>0</v>
      </c>
      <c r="F2158" s="192">
        <f t="shared" si="464"/>
        <v>0</v>
      </c>
      <c r="G2158" s="193">
        <f t="shared" si="465"/>
        <v>0</v>
      </c>
      <c r="H2158" s="194">
        <v>0</v>
      </c>
      <c r="I2158" s="194">
        <v>0</v>
      </c>
      <c r="J2158" s="194">
        <v>0</v>
      </c>
      <c r="K2158" s="193">
        <f t="shared" si="466"/>
        <v>0</v>
      </c>
      <c r="L2158" s="194">
        <v>0</v>
      </c>
      <c r="M2158" s="194">
        <v>0</v>
      </c>
      <c r="N2158" s="194">
        <v>0</v>
      </c>
      <c r="O2158" s="193">
        <f t="shared" si="467"/>
        <v>0</v>
      </c>
      <c r="P2158" s="194">
        <v>0</v>
      </c>
      <c r="Q2158" s="194">
        <v>0</v>
      </c>
      <c r="R2158" s="194">
        <v>0</v>
      </c>
      <c r="S2158" s="193">
        <f t="shared" si="468"/>
        <v>0</v>
      </c>
      <c r="T2158" s="193">
        <f t="shared" si="469"/>
        <v>0</v>
      </c>
      <c r="U2158" s="193">
        <f ca="1">OFFSET('Expenditure Study'!$B$7,'Operations Support'!$C2158,'Operations Support'!$B2158)*$G2158</f>
        <v>0</v>
      </c>
      <c r="V2158" s="199">
        <f ca="1">U2158*'Expenditure Study'!$B$31</f>
        <v>0</v>
      </c>
      <c r="W2158" s="199">
        <f ca="1">IF(A2158=10298,1.51,1)*IF($B2158&lt;3,$D2158*'Expenditure Study'!$B$32*OFFSET('Expenditure Study'!$B$7,'Operations Support'!$C2158,'Operations Support'!$B2158),0)</f>
        <v>0</v>
      </c>
      <c r="X2158" s="200">
        <f ca="1">W2158*'Expenditure Study'!$B$31</f>
        <v>0</v>
      </c>
      <c r="Y2158" s="199">
        <f ca="1">U2158*'Expenditure Study'!$B$31</f>
        <v>0</v>
      </c>
      <c r="Z2158" s="200">
        <f ca="1">W2158*'Expenditure Study'!$B$31</f>
        <v>0</v>
      </c>
      <c r="AA2158" s="195">
        <f t="shared" ca="1" si="470"/>
        <v>0</v>
      </c>
      <c r="AB2158" s="195">
        <f t="shared" ca="1" si="471"/>
        <v>0</v>
      </c>
      <c r="AD2158" s="196">
        <f>IFERROR($G2158/SUMIF($A:$A,$A2158,$G:$G)*SUMIF(Summary!$A$166:$A$242,$A2158,Summary!$P$166:$P$242),0)</f>
        <v>0</v>
      </c>
      <c r="AE2158" s="197">
        <f t="shared" ca="1" si="472"/>
        <v>0</v>
      </c>
      <c r="AF2158" s="196">
        <f>IFERROR(G2158/SUMIF(A:A,A2158,G:G)*SUMIF(Summary!$A$166:$A$242,'Operations Support'!A2158,Summary!$Q$166:$Q$242),0)</f>
        <v>0</v>
      </c>
      <c r="AG2158" s="196">
        <f t="shared" ca="1" si="473"/>
        <v>0</v>
      </c>
      <c r="AI2158" s="196">
        <f>IFERROR($G2158/SUMIF($A:$A,$A2158,$G:$G)*SUMIF(Summary!$A$247:$A$283,$A2158,Summary!$P$247:$P$283),0)</f>
        <v>0</v>
      </c>
      <c r="AJ2158" s="196">
        <f>IFERROR($G2158/SUMIF($A:$A,$A2158,$G:$G)*(SUMIF(Summary!$A$247:$A$283,$A2158,Summary!$L$247:$L$283)+SUMIF(Summary!$A$297:$A$333,$A2158,Summary!$L$297:$L$333))-AI2158,0)</f>
        <v>0</v>
      </c>
      <c r="AK2158" s="196">
        <f>IFERROR($G2158/SUMIF($A:$A,$A2158,$G:$G)*SUMIF(Summary!$A$247:$A$283,$A2158,Summary!$Q$247:$Q$283),0)</f>
        <v>0</v>
      </c>
      <c r="AL2158" s="196">
        <f>IFERROR($G2158/SUMIF($A:$A,$A2158,$G:$G)*(SUMIF(Summary!$A$247:$A$283,$A2158,Summary!$L$247:$L$283)+SUMIF(Summary!$A$297:$A$333,$A2158,Summary!$L$297:$L$333))-AK2158,0)</f>
        <v>0</v>
      </c>
      <c r="AM2158" s="198"/>
      <c r="AN2158" s="196">
        <f t="shared" ca="1" si="474"/>
        <v>0</v>
      </c>
      <c r="AO2158" s="196">
        <f t="shared" ca="1" si="475"/>
        <v>0</v>
      </c>
    </row>
    <row r="2159" spans="1:41">
      <c r="A2159" s="189">
        <v>3658</v>
      </c>
      <c r="B2159" s="190">
        <v>3</v>
      </c>
      <c r="C2159" s="191" t="s">
        <v>232</v>
      </c>
      <c r="D2159" s="192">
        <f t="shared" si="462"/>
        <v>0</v>
      </c>
      <c r="E2159" s="192">
        <f t="shared" si="463"/>
        <v>0</v>
      </c>
      <c r="F2159" s="192">
        <f t="shared" si="464"/>
        <v>0</v>
      </c>
      <c r="G2159" s="193">
        <f t="shared" si="465"/>
        <v>0</v>
      </c>
      <c r="H2159" s="194">
        <v>0</v>
      </c>
      <c r="I2159" s="194">
        <v>0</v>
      </c>
      <c r="J2159" s="194">
        <v>0</v>
      </c>
      <c r="K2159" s="193">
        <f t="shared" si="466"/>
        <v>0</v>
      </c>
      <c r="L2159" s="194">
        <v>0</v>
      </c>
      <c r="M2159" s="194">
        <v>0</v>
      </c>
      <c r="N2159" s="194">
        <v>0</v>
      </c>
      <c r="O2159" s="193">
        <f t="shared" si="467"/>
        <v>0</v>
      </c>
      <c r="P2159" s="194">
        <v>0</v>
      </c>
      <c r="Q2159" s="194">
        <v>0</v>
      </c>
      <c r="R2159" s="194">
        <v>0</v>
      </c>
      <c r="S2159" s="193">
        <f t="shared" si="468"/>
        <v>0</v>
      </c>
      <c r="T2159" s="193">
        <f t="shared" si="469"/>
        <v>0</v>
      </c>
      <c r="U2159" s="193">
        <f ca="1">OFFSET('Expenditure Study'!$B$7,'Operations Support'!$C2159,'Operations Support'!$B2159)*$G2159</f>
        <v>0</v>
      </c>
      <c r="V2159" s="199">
        <f ca="1">U2159*'Expenditure Study'!$B$31</f>
        <v>0</v>
      </c>
      <c r="W2159" s="199">
        <f ca="1">IF(A2159=10298,1.51,1)*IF($B2159&lt;3,$D2159*'Expenditure Study'!$B$32*OFFSET('Expenditure Study'!$B$7,'Operations Support'!$C2159,'Operations Support'!$B2159),0)</f>
        <v>0</v>
      </c>
      <c r="X2159" s="200">
        <f ca="1">W2159*'Expenditure Study'!$B$31</f>
        <v>0</v>
      </c>
      <c r="Y2159" s="199">
        <f ca="1">U2159*'Expenditure Study'!$B$31</f>
        <v>0</v>
      </c>
      <c r="Z2159" s="200">
        <f ca="1">W2159*'Expenditure Study'!$B$31</f>
        <v>0</v>
      </c>
      <c r="AA2159" s="195">
        <f t="shared" ca="1" si="470"/>
        <v>0</v>
      </c>
      <c r="AB2159" s="195">
        <f t="shared" ca="1" si="471"/>
        <v>0</v>
      </c>
      <c r="AD2159" s="196">
        <f>IFERROR($G2159/SUMIF($A:$A,$A2159,$G:$G)*SUMIF(Summary!$A$166:$A$242,$A2159,Summary!$P$166:$P$242),0)</f>
        <v>0</v>
      </c>
      <c r="AE2159" s="197">
        <f t="shared" ca="1" si="472"/>
        <v>0</v>
      </c>
      <c r="AF2159" s="196">
        <f>IFERROR(G2159/SUMIF(A:A,A2159,G:G)*SUMIF(Summary!$A$166:$A$242,'Operations Support'!A2159,Summary!$Q$166:$Q$242),0)</f>
        <v>0</v>
      </c>
      <c r="AG2159" s="196">
        <f t="shared" ca="1" si="473"/>
        <v>0</v>
      </c>
      <c r="AI2159" s="196">
        <f>IFERROR($G2159/SUMIF($A:$A,$A2159,$G:$G)*SUMIF(Summary!$A$247:$A$283,$A2159,Summary!$P$247:$P$283),0)</f>
        <v>0</v>
      </c>
      <c r="AJ2159" s="196">
        <f>IFERROR($G2159/SUMIF($A:$A,$A2159,$G:$G)*(SUMIF(Summary!$A$247:$A$283,$A2159,Summary!$L$247:$L$283)+SUMIF(Summary!$A$297:$A$333,$A2159,Summary!$L$297:$L$333))-AI2159,0)</f>
        <v>0</v>
      </c>
      <c r="AK2159" s="196">
        <f>IFERROR($G2159/SUMIF($A:$A,$A2159,$G:$G)*SUMIF(Summary!$A$247:$A$283,$A2159,Summary!$Q$247:$Q$283),0)</f>
        <v>0</v>
      </c>
      <c r="AL2159" s="196">
        <f>IFERROR($G2159/SUMIF($A:$A,$A2159,$G:$G)*(SUMIF(Summary!$A$247:$A$283,$A2159,Summary!$L$247:$L$283)+SUMIF(Summary!$A$297:$A$333,$A2159,Summary!$L$297:$L$333))-AK2159,0)</f>
        <v>0</v>
      </c>
      <c r="AM2159" s="198"/>
      <c r="AN2159" s="196">
        <f t="shared" ca="1" si="474"/>
        <v>0</v>
      </c>
      <c r="AO2159" s="196">
        <f t="shared" ca="1" si="475"/>
        <v>0</v>
      </c>
    </row>
    <row r="2160" spans="1:41">
      <c r="A2160" s="189">
        <v>3658</v>
      </c>
      <c r="B2160" s="190">
        <v>3</v>
      </c>
      <c r="C2160" s="191" t="s">
        <v>233</v>
      </c>
      <c r="D2160" s="192">
        <f t="shared" si="462"/>
        <v>788</v>
      </c>
      <c r="E2160" s="192">
        <f t="shared" si="463"/>
        <v>768</v>
      </c>
      <c r="F2160" s="192">
        <f t="shared" si="464"/>
        <v>0</v>
      </c>
      <c r="G2160" s="193">
        <f t="shared" si="465"/>
        <v>1556</v>
      </c>
      <c r="H2160" s="194">
        <v>481</v>
      </c>
      <c r="I2160" s="194">
        <v>327</v>
      </c>
      <c r="J2160" s="194">
        <v>0</v>
      </c>
      <c r="K2160" s="193">
        <f t="shared" si="466"/>
        <v>808</v>
      </c>
      <c r="L2160" s="194">
        <v>289</v>
      </c>
      <c r="M2160" s="194">
        <v>435</v>
      </c>
      <c r="N2160" s="194">
        <v>0</v>
      </c>
      <c r="O2160" s="193">
        <f t="shared" si="467"/>
        <v>724</v>
      </c>
      <c r="P2160" s="194">
        <v>18</v>
      </c>
      <c r="Q2160" s="194">
        <v>6</v>
      </c>
      <c r="R2160" s="194">
        <v>0</v>
      </c>
      <c r="S2160" s="193">
        <f t="shared" si="468"/>
        <v>24</v>
      </c>
      <c r="T2160" s="193">
        <f t="shared" si="469"/>
        <v>64.833333333333329</v>
      </c>
      <c r="U2160" s="193">
        <f ca="1">OFFSET('Expenditure Study'!$B$7,'Operations Support'!$C2160,'Operations Support'!$B2160)*$G2160</f>
        <v>4076.7200000000003</v>
      </c>
      <c r="V2160" s="199">
        <f ca="1">U2160*'Expenditure Study'!$B$31</f>
        <v>240865.58483097603</v>
      </c>
      <c r="W2160" s="199">
        <f ca="1">IF(A2160=10298,1.51,1)*IF($B2160&lt;3,$D2160*'Expenditure Study'!$B$32*OFFSET('Expenditure Study'!$B$7,'Operations Support'!$C2160,'Operations Support'!$B2160),0)</f>
        <v>0</v>
      </c>
      <c r="X2160" s="200">
        <f ca="1">W2160*'Expenditure Study'!$B$31</f>
        <v>0</v>
      </c>
      <c r="Y2160" s="199">
        <f ca="1">U2160*'Expenditure Study'!$B$31</f>
        <v>240865.58483097603</v>
      </c>
      <c r="Z2160" s="200">
        <f ca="1">W2160*'Expenditure Study'!$B$31</f>
        <v>0</v>
      </c>
      <c r="AA2160" s="195">
        <f t="shared" ca="1" si="470"/>
        <v>240865.58483097603</v>
      </c>
      <c r="AB2160" s="195">
        <f t="shared" ca="1" si="471"/>
        <v>240865.58483097603</v>
      </c>
      <c r="AD2160" s="196">
        <f>IFERROR($G2160/SUMIF($A:$A,$A2160,$G:$G)*SUMIF(Summary!$A$166:$A$242,$A2160,Summary!$P$166:$P$242),0)</f>
        <v>72338.583709612372</v>
      </c>
      <c r="AE2160" s="197">
        <f t="shared" ca="1" si="472"/>
        <v>168527.00112136366</v>
      </c>
      <c r="AF2160" s="196">
        <f>IFERROR(G2160/SUMIF(A:A,A2160,G:G)*SUMIF(Summary!$A$166:$A$242,'Operations Support'!A2160,Summary!$Q$166:$Q$242),0)</f>
        <v>72748.579545921355</v>
      </c>
      <c r="AG2160" s="196">
        <f t="shared" ca="1" si="473"/>
        <v>168117.00528505468</v>
      </c>
      <c r="AI2160" s="196">
        <f>IFERROR($G2160/SUMIF($A:$A,$A2160,$G:$G)*SUMIF(Summary!$A$247:$A$283,$A2160,Summary!$P$247:$P$283),0)</f>
        <v>13192.752479399218</v>
      </c>
      <c r="AJ2160" s="196">
        <f>IFERROR($G2160/SUMIF($A:$A,$A2160,$G:$G)*(SUMIF(Summary!$A$247:$A$283,$A2160,Summary!$L$247:$L$283)+SUMIF(Summary!$A$297:$A$333,$A2160,Summary!$L$297:$L$333))-AI2160,0)</f>
        <v>54997.685078714858</v>
      </c>
      <c r="AK2160" s="196">
        <f>IFERROR($G2160/SUMIF($A:$A,$A2160,$G:$G)*SUMIF(Summary!$A$247:$A$283,$A2160,Summary!$Q$247:$Q$283),0)</f>
        <v>13267.525488609926</v>
      </c>
      <c r="AL2160" s="196">
        <f>IFERROR($G2160/SUMIF($A:$A,$A2160,$G:$G)*(SUMIF(Summary!$A$247:$A$283,$A2160,Summary!$L$247:$L$283)+SUMIF(Summary!$A$297:$A$333,$A2160,Summary!$L$297:$L$333))-AK2160,0)</f>
        <v>54922.912069504149</v>
      </c>
      <c r="AM2160" s="198"/>
      <c r="AN2160" s="196">
        <f t="shared" ca="1" si="474"/>
        <v>223524.68620007852</v>
      </c>
      <c r="AO2160" s="196">
        <f t="shared" ca="1" si="475"/>
        <v>223039.91735455883</v>
      </c>
    </row>
    <row r="2161" spans="1:41">
      <c r="A2161" s="189">
        <v>3658</v>
      </c>
      <c r="B2161" s="190">
        <v>3</v>
      </c>
      <c r="C2161" s="191" t="s">
        <v>234</v>
      </c>
      <c r="D2161" s="192">
        <f t="shared" si="462"/>
        <v>421.92</v>
      </c>
      <c r="E2161" s="192">
        <f t="shared" si="463"/>
        <v>81.08</v>
      </c>
      <c r="F2161" s="192">
        <f t="shared" si="464"/>
        <v>0</v>
      </c>
      <c r="G2161" s="193">
        <f t="shared" si="465"/>
        <v>503</v>
      </c>
      <c r="H2161" s="194">
        <v>144.9</v>
      </c>
      <c r="I2161" s="194">
        <v>34.1</v>
      </c>
      <c r="J2161" s="194">
        <v>0</v>
      </c>
      <c r="K2161" s="193">
        <f t="shared" si="466"/>
        <v>179</v>
      </c>
      <c r="L2161" s="194">
        <v>206.02</v>
      </c>
      <c r="M2161" s="194">
        <v>32.979999999999997</v>
      </c>
      <c r="N2161" s="194">
        <v>0</v>
      </c>
      <c r="O2161" s="193">
        <f t="shared" si="467"/>
        <v>239</v>
      </c>
      <c r="P2161" s="194">
        <v>71</v>
      </c>
      <c r="Q2161" s="194">
        <v>14</v>
      </c>
      <c r="R2161" s="194">
        <v>0</v>
      </c>
      <c r="S2161" s="193">
        <f t="shared" si="468"/>
        <v>85</v>
      </c>
      <c r="T2161" s="193">
        <f t="shared" si="469"/>
        <v>20.958333333333332</v>
      </c>
      <c r="U2161" s="193">
        <f ca="1">OFFSET('Expenditure Study'!$B$7,'Operations Support'!$C2161,'Operations Support'!$B2161)*$G2161</f>
        <v>22137.03</v>
      </c>
      <c r="V2161" s="199">
        <f ca="1">U2161*'Expenditure Study'!$B$31</f>
        <v>1307926.1458650241</v>
      </c>
      <c r="W2161" s="199">
        <f ca="1">IF(A2161=10298,1.51,1)*IF($B2161&lt;3,$D2161*'Expenditure Study'!$B$32*OFFSET('Expenditure Study'!$B$7,'Operations Support'!$C2161,'Operations Support'!$B2161),0)</f>
        <v>0</v>
      </c>
      <c r="X2161" s="200">
        <f ca="1">W2161*'Expenditure Study'!$B$31</f>
        <v>0</v>
      </c>
      <c r="Y2161" s="199">
        <f ca="1">U2161*'Expenditure Study'!$B$31</f>
        <v>1307926.1458650241</v>
      </c>
      <c r="Z2161" s="200">
        <f ca="1">W2161*'Expenditure Study'!$B$31</f>
        <v>0</v>
      </c>
      <c r="AA2161" s="195">
        <f t="shared" ca="1" si="470"/>
        <v>1307926.1458650241</v>
      </c>
      <c r="AB2161" s="195">
        <f t="shared" ca="1" si="471"/>
        <v>1307926.1458650241</v>
      </c>
      <c r="AD2161" s="196">
        <f>IFERROR($G2161/SUMIF($A:$A,$A2161,$G:$G)*SUMIF(Summary!$A$166:$A$242,$A2161,Summary!$P$166:$P$242),0)</f>
        <v>23384.516456256439</v>
      </c>
      <c r="AE2161" s="197">
        <f t="shared" ca="1" si="472"/>
        <v>1284541.6294087677</v>
      </c>
      <c r="AF2161" s="196">
        <f>IFERROR(G2161/SUMIF(A:A,A2161,G:G)*SUMIF(Summary!$A$166:$A$242,'Operations Support'!A2161,Summary!$Q$166:$Q$242),0)</f>
        <v>23517.05367069308</v>
      </c>
      <c r="AG2161" s="196">
        <f t="shared" ca="1" si="473"/>
        <v>1284409.0921943309</v>
      </c>
      <c r="AI2161" s="196">
        <f>IFERROR($G2161/SUMIF($A:$A,$A2161,$G:$G)*SUMIF(Summary!$A$247:$A$283,$A2161,Summary!$P$247:$P$283),0)</f>
        <v>4264.7522475178703</v>
      </c>
      <c r="AJ2161" s="196">
        <f>IFERROR($G2161/SUMIF($A:$A,$A2161,$G:$G)*(SUMIF(Summary!$A$247:$A$283,$A2161,Summary!$L$247:$L$283)+SUMIF(Summary!$A$297:$A$333,$A2161,Summary!$L$297:$L$333))-AI2161,0)</f>
        <v>17778.814649481727</v>
      </c>
      <c r="AK2161" s="196">
        <f>IFERROR($G2161/SUMIF($A:$A,$A2161,$G:$G)*SUMIF(Summary!$A$247:$A$283,$A2161,Summary!$Q$247:$Q$283),0)</f>
        <v>4288.9237280017951</v>
      </c>
      <c r="AL2161" s="196">
        <f>IFERROR($G2161/SUMIF($A:$A,$A2161,$G:$G)*(SUMIF(Summary!$A$247:$A$283,$A2161,Summary!$L$247:$L$283)+SUMIF(Summary!$A$297:$A$333,$A2161,Summary!$L$297:$L$333))-AK2161,0)</f>
        <v>17754.643168997802</v>
      </c>
      <c r="AM2161" s="198"/>
      <c r="AN2161" s="196">
        <f t="shared" ca="1" si="474"/>
        <v>1302320.4440582495</v>
      </c>
      <c r="AO2161" s="196">
        <f t="shared" ca="1" si="475"/>
        <v>1302163.7353633286</v>
      </c>
    </row>
    <row r="2162" spans="1:41">
      <c r="A2162" s="189">
        <v>3658</v>
      </c>
      <c r="B2162" s="190">
        <v>3</v>
      </c>
      <c r="C2162" s="191" t="s">
        <v>235</v>
      </c>
      <c r="D2162" s="192">
        <f t="shared" si="462"/>
        <v>8420.51</v>
      </c>
      <c r="E2162" s="192">
        <f t="shared" si="463"/>
        <v>16152.49</v>
      </c>
      <c r="F2162" s="192">
        <f t="shared" si="464"/>
        <v>0</v>
      </c>
      <c r="G2162" s="193">
        <f t="shared" si="465"/>
        <v>24573</v>
      </c>
      <c r="H2162" s="194">
        <v>3755.01</v>
      </c>
      <c r="I2162" s="194">
        <v>7375.99</v>
      </c>
      <c r="J2162" s="194">
        <v>0</v>
      </c>
      <c r="K2162" s="193">
        <f t="shared" si="466"/>
        <v>11131</v>
      </c>
      <c r="L2162" s="194">
        <v>4437</v>
      </c>
      <c r="M2162" s="194">
        <v>7788</v>
      </c>
      <c r="N2162" s="194">
        <v>0</v>
      </c>
      <c r="O2162" s="193">
        <f t="shared" si="467"/>
        <v>12225</v>
      </c>
      <c r="P2162" s="194">
        <v>228.5</v>
      </c>
      <c r="Q2162" s="194">
        <v>988.5</v>
      </c>
      <c r="R2162" s="194">
        <v>0</v>
      </c>
      <c r="S2162" s="193">
        <f t="shared" si="468"/>
        <v>1217</v>
      </c>
      <c r="T2162" s="193">
        <f t="shared" si="469"/>
        <v>1023.875</v>
      </c>
      <c r="U2162" s="193">
        <f ca="1">OFFSET('Expenditure Study'!$B$7,'Operations Support'!$C2162,'Operations Support'!$B2162)*$G2162</f>
        <v>77650.680000000008</v>
      </c>
      <c r="V2162" s="199">
        <f ca="1">U2162*'Expenditure Study'!$B$31</f>
        <v>4587849.1656829445</v>
      </c>
      <c r="W2162" s="199">
        <f ca="1">IF(A2162=10298,1.51,1)*IF($B2162&lt;3,$D2162*'Expenditure Study'!$B$32*OFFSET('Expenditure Study'!$B$7,'Operations Support'!$C2162,'Operations Support'!$B2162),0)</f>
        <v>0</v>
      </c>
      <c r="X2162" s="200">
        <f ca="1">W2162*'Expenditure Study'!$B$31</f>
        <v>0</v>
      </c>
      <c r="Y2162" s="199">
        <f ca="1">U2162*'Expenditure Study'!$B$31</f>
        <v>4587849.1656829445</v>
      </c>
      <c r="Z2162" s="200">
        <f ca="1">W2162*'Expenditure Study'!$B$31</f>
        <v>0</v>
      </c>
      <c r="AA2162" s="195">
        <f t="shared" ca="1" si="470"/>
        <v>4587849.1656829445</v>
      </c>
      <c r="AB2162" s="195">
        <f t="shared" ca="1" si="471"/>
        <v>4587849.1656829445</v>
      </c>
      <c r="AD2162" s="196">
        <f>IFERROR($G2162/SUMIF($A:$A,$A2162,$G:$G)*SUMIF(Summary!$A$166:$A$242,$A2162,Summary!$P$166:$P$242),0)</f>
        <v>1142401.0395220467</v>
      </c>
      <c r="AE2162" s="197">
        <f t="shared" ca="1" si="472"/>
        <v>3445448.1261608978</v>
      </c>
      <c r="AF2162" s="196">
        <f>IFERROR(G2162/SUMIF(A:A,A2162,G:G)*SUMIF(Summary!$A$166:$A$242,'Operations Support'!A2162,Summary!$Q$166:$Q$242),0)</f>
        <v>1148875.8645128054</v>
      </c>
      <c r="AG2162" s="196">
        <f t="shared" ca="1" si="473"/>
        <v>3438973.3011701391</v>
      </c>
      <c r="AI2162" s="196">
        <f>IFERROR($G2162/SUMIF($A:$A,$A2162,$G:$G)*SUMIF(Summary!$A$247:$A$283,$A2162,Summary!$P$247:$P$283),0)</f>
        <v>208345.44130866128</v>
      </c>
      <c r="AJ2162" s="196">
        <f>IFERROR($G2162/SUMIF($A:$A,$A2162,$G:$G)*(SUMIF(Summary!$A$247:$A$283,$A2162,Summary!$L$247:$L$283)+SUMIF(Summary!$A$297:$A$333,$A2162,Summary!$L$297:$L$333))-AI2162,0)</f>
        <v>868546.34668332909</v>
      </c>
      <c r="AK2162" s="196">
        <f>IFERROR($G2162/SUMIF($A:$A,$A2162,$G:$G)*SUMIF(Summary!$A$247:$A$283,$A2162,Summary!$Q$247:$Q$283),0)</f>
        <v>209526.2878095191</v>
      </c>
      <c r="AL2162" s="196">
        <f>IFERROR($G2162/SUMIF($A:$A,$A2162,$G:$G)*(SUMIF(Summary!$A$247:$A$283,$A2162,Summary!$L$247:$L$283)+SUMIF(Summary!$A$297:$A$333,$A2162,Summary!$L$297:$L$333))-AK2162,0)</f>
        <v>867365.50018247124</v>
      </c>
      <c r="AM2162" s="198"/>
      <c r="AN2162" s="196">
        <f t="shared" ca="1" si="474"/>
        <v>4313994.4728442272</v>
      </c>
      <c r="AO2162" s="196">
        <f t="shared" ca="1" si="475"/>
        <v>4306338.8013526108</v>
      </c>
    </row>
    <row r="2163" spans="1:41">
      <c r="A2163" s="189">
        <v>3658</v>
      </c>
      <c r="B2163" s="190">
        <v>3</v>
      </c>
      <c r="C2163" s="191" t="s">
        <v>236</v>
      </c>
      <c r="D2163" s="192">
        <f t="shared" si="462"/>
        <v>0</v>
      </c>
      <c r="E2163" s="192">
        <f t="shared" si="463"/>
        <v>0</v>
      </c>
      <c r="F2163" s="192">
        <f t="shared" si="464"/>
        <v>0</v>
      </c>
      <c r="G2163" s="193">
        <f t="shared" si="465"/>
        <v>0</v>
      </c>
      <c r="H2163" s="194">
        <v>0</v>
      </c>
      <c r="I2163" s="194">
        <v>0</v>
      </c>
      <c r="J2163" s="194">
        <v>0</v>
      </c>
      <c r="K2163" s="193">
        <f t="shared" si="466"/>
        <v>0</v>
      </c>
      <c r="L2163" s="194">
        <v>0</v>
      </c>
      <c r="M2163" s="194">
        <v>0</v>
      </c>
      <c r="N2163" s="194">
        <v>0</v>
      </c>
      <c r="O2163" s="193">
        <f t="shared" si="467"/>
        <v>0</v>
      </c>
      <c r="P2163" s="194">
        <v>0</v>
      </c>
      <c r="Q2163" s="194">
        <v>0</v>
      </c>
      <c r="R2163" s="194">
        <v>0</v>
      </c>
      <c r="S2163" s="193">
        <f t="shared" si="468"/>
        <v>0</v>
      </c>
      <c r="T2163" s="193">
        <f t="shared" si="469"/>
        <v>0</v>
      </c>
      <c r="U2163" s="193">
        <f ca="1">OFFSET('Expenditure Study'!$B$7,'Operations Support'!$C2163,'Operations Support'!$B2163)*$G2163</f>
        <v>0</v>
      </c>
      <c r="V2163" s="199">
        <f ca="1">U2163*'Expenditure Study'!$B$31</f>
        <v>0</v>
      </c>
      <c r="W2163" s="199">
        <f ca="1">IF(A2163=10298,1.51,1)*IF($B2163&lt;3,$D2163*'Expenditure Study'!$B$32*OFFSET('Expenditure Study'!$B$7,'Operations Support'!$C2163,'Operations Support'!$B2163),0)</f>
        <v>0</v>
      </c>
      <c r="X2163" s="200">
        <f ca="1">W2163*'Expenditure Study'!$B$31</f>
        <v>0</v>
      </c>
      <c r="Y2163" s="199">
        <f ca="1">U2163*'Expenditure Study'!$B$31</f>
        <v>0</v>
      </c>
      <c r="Z2163" s="200">
        <f ca="1">W2163*'Expenditure Study'!$B$31</f>
        <v>0</v>
      </c>
      <c r="AA2163" s="195">
        <f t="shared" ca="1" si="470"/>
        <v>0</v>
      </c>
      <c r="AB2163" s="195">
        <f t="shared" ca="1" si="471"/>
        <v>0</v>
      </c>
      <c r="AD2163" s="196">
        <f>IFERROR($G2163/SUMIF($A:$A,$A2163,$G:$G)*SUMIF(Summary!$A$166:$A$242,$A2163,Summary!$P$166:$P$242),0)</f>
        <v>0</v>
      </c>
      <c r="AE2163" s="197">
        <f t="shared" ca="1" si="472"/>
        <v>0</v>
      </c>
      <c r="AF2163" s="196">
        <f>IFERROR(G2163/SUMIF(A:A,A2163,G:G)*SUMIF(Summary!$A$166:$A$242,'Operations Support'!A2163,Summary!$Q$166:$Q$242),0)</f>
        <v>0</v>
      </c>
      <c r="AG2163" s="196">
        <f t="shared" ca="1" si="473"/>
        <v>0</v>
      </c>
      <c r="AI2163" s="196">
        <f>IFERROR($G2163/SUMIF($A:$A,$A2163,$G:$G)*SUMIF(Summary!$A$247:$A$283,$A2163,Summary!$P$247:$P$283),0)</f>
        <v>0</v>
      </c>
      <c r="AJ2163" s="196">
        <f>IFERROR($G2163/SUMIF($A:$A,$A2163,$G:$G)*(SUMIF(Summary!$A$247:$A$283,$A2163,Summary!$L$247:$L$283)+SUMIF(Summary!$A$297:$A$333,$A2163,Summary!$L$297:$L$333))-AI2163,0)</f>
        <v>0</v>
      </c>
      <c r="AK2163" s="196">
        <f>IFERROR($G2163/SUMIF($A:$A,$A2163,$G:$G)*SUMIF(Summary!$A$247:$A$283,$A2163,Summary!$Q$247:$Q$283),0)</f>
        <v>0</v>
      </c>
      <c r="AL2163" s="196">
        <f>IFERROR($G2163/SUMIF($A:$A,$A2163,$G:$G)*(SUMIF(Summary!$A$247:$A$283,$A2163,Summary!$L$247:$L$283)+SUMIF(Summary!$A$297:$A$333,$A2163,Summary!$L$297:$L$333))-AK2163,0)</f>
        <v>0</v>
      </c>
      <c r="AM2163" s="198"/>
      <c r="AN2163" s="196">
        <f t="shared" ca="1" si="474"/>
        <v>0</v>
      </c>
      <c r="AO2163" s="196">
        <f t="shared" ca="1" si="475"/>
        <v>0</v>
      </c>
    </row>
    <row r="2164" spans="1:41">
      <c r="A2164" s="189">
        <v>3658</v>
      </c>
      <c r="B2164" s="190">
        <v>3</v>
      </c>
      <c r="C2164" s="191" t="s">
        <v>237</v>
      </c>
      <c r="D2164" s="192">
        <f t="shared" si="462"/>
        <v>0</v>
      </c>
      <c r="E2164" s="192">
        <f t="shared" si="463"/>
        <v>0</v>
      </c>
      <c r="F2164" s="192">
        <f t="shared" si="464"/>
        <v>0</v>
      </c>
      <c r="G2164" s="193">
        <f t="shared" si="465"/>
        <v>0</v>
      </c>
      <c r="H2164" s="194">
        <v>0</v>
      </c>
      <c r="I2164" s="194">
        <v>0</v>
      </c>
      <c r="J2164" s="194">
        <v>0</v>
      </c>
      <c r="K2164" s="193">
        <f t="shared" si="466"/>
        <v>0</v>
      </c>
      <c r="L2164" s="194">
        <v>0</v>
      </c>
      <c r="M2164" s="194">
        <v>0</v>
      </c>
      <c r="N2164" s="194">
        <v>0</v>
      </c>
      <c r="O2164" s="193">
        <f t="shared" si="467"/>
        <v>0</v>
      </c>
      <c r="P2164" s="194">
        <v>0</v>
      </c>
      <c r="Q2164" s="194">
        <v>0</v>
      </c>
      <c r="R2164" s="194">
        <v>0</v>
      </c>
      <c r="S2164" s="193">
        <f t="shared" si="468"/>
        <v>0</v>
      </c>
      <c r="T2164" s="193">
        <f t="shared" si="469"/>
        <v>0</v>
      </c>
      <c r="U2164" s="193">
        <f ca="1">OFFSET('Expenditure Study'!$B$7,'Operations Support'!$C2164,'Operations Support'!$B2164)*$G2164</f>
        <v>0</v>
      </c>
      <c r="V2164" s="199">
        <f ca="1">U2164*'Expenditure Study'!$B$31</f>
        <v>0</v>
      </c>
      <c r="W2164" s="199">
        <f ca="1">IF(A2164=10298,1.51,1)*IF($B2164&lt;3,$D2164*'Expenditure Study'!$B$32*OFFSET('Expenditure Study'!$B$7,'Operations Support'!$C2164,'Operations Support'!$B2164),0)</f>
        <v>0</v>
      </c>
      <c r="X2164" s="200">
        <f ca="1">W2164*'Expenditure Study'!$B$31</f>
        <v>0</v>
      </c>
      <c r="Y2164" s="199">
        <f ca="1">U2164*'Expenditure Study'!$B$31</f>
        <v>0</v>
      </c>
      <c r="Z2164" s="200">
        <f ca="1">W2164*'Expenditure Study'!$B$31</f>
        <v>0</v>
      </c>
      <c r="AA2164" s="195">
        <f t="shared" ca="1" si="470"/>
        <v>0</v>
      </c>
      <c r="AB2164" s="195">
        <f t="shared" ca="1" si="471"/>
        <v>0</v>
      </c>
      <c r="AD2164" s="196">
        <f>IFERROR($G2164/SUMIF($A:$A,$A2164,$G:$G)*SUMIF(Summary!$A$166:$A$242,$A2164,Summary!$P$166:$P$242),0)</f>
        <v>0</v>
      </c>
      <c r="AE2164" s="197">
        <f t="shared" ca="1" si="472"/>
        <v>0</v>
      </c>
      <c r="AF2164" s="196">
        <f>IFERROR(G2164/SUMIF(A:A,A2164,G:G)*SUMIF(Summary!$A$166:$A$242,'Operations Support'!A2164,Summary!$Q$166:$Q$242),0)</f>
        <v>0</v>
      </c>
      <c r="AG2164" s="196">
        <f t="shared" ca="1" si="473"/>
        <v>0</v>
      </c>
      <c r="AI2164" s="196">
        <f>IFERROR($G2164/SUMIF($A:$A,$A2164,$G:$G)*SUMIF(Summary!$A$247:$A$283,$A2164,Summary!$P$247:$P$283),0)</f>
        <v>0</v>
      </c>
      <c r="AJ2164" s="196">
        <f>IFERROR($G2164/SUMIF($A:$A,$A2164,$G:$G)*(SUMIF(Summary!$A$247:$A$283,$A2164,Summary!$L$247:$L$283)+SUMIF(Summary!$A$297:$A$333,$A2164,Summary!$L$297:$L$333))-AI2164,0)</f>
        <v>0</v>
      </c>
      <c r="AK2164" s="196">
        <f>IFERROR($G2164/SUMIF($A:$A,$A2164,$G:$G)*SUMIF(Summary!$A$247:$A$283,$A2164,Summary!$Q$247:$Q$283),0)</f>
        <v>0</v>
      </c>
      <c r="AL2164" s="196">
        <f>IFERROR($G2164/SUMIF($A:$A,$A2164,$G:$G)*(SUMIF(Summary!$A$247:$A$283,$A2164,Summary!$L$247:$L$283)+SUMIF(Summary!$A$297:$A$333,$A2164,Summary!$L$297:$L$333))-AK2164,0)</f>
        <v>0</v>
      </c>
      <c r="AM2164" s="198"/>
      <c r="AN2164" s="196">
        <f t="shared" ca="1" si="474"/>
        <v>0</v>
      </c>
      <c r="AO2164" s="196">
        <f t="shared" ca="1" si="475"/>
        <v>0</v>
      </c>
    </row>
    <row r="2165" spans="1:41">
      <c r="A2165" s="189">
        <v>3658</v>
      </c>
      <c r="B2165" s="190">
        <v>3</v>
      </c>
      <c r="C2165" s="191" t="s">
        <v>238</v>
      </c>
      <c r="D2165" s="192">
        <f t="shared" si="462"/>
        <v>183</v>
      </c>
      <c r="E2165" s="192">
        <f t="shared" si="463"/>
        <v>144</v>
      </c>
      <c r="F2165" s="192">
        <f t="shared" si="464"/>
        <v>0</v>
      </c>
      <c r="G2165" s="193">
        <f t="shared" si="465"/>
        <v>327</v>
      </c>
      <c r="H2165" s="194">
        <v>60</v>
      </c>
      <c r="I2165" s="194">
        <v>39</v>
      </c>
      <c r="J2165" s="194">
        <v>0</v>
      </c>
      <c r="K2165" s="193">
        <f t="shared" si="466"/>
        <v>99</v>
      </c>
      <c r="L2165" s="194">
        <v>123</v>
      </c>
      <c r="M2165" s="194">
        <v>90</v>
      </c>
      <c r="N2165" s="194">
        <v>0</v>
      </c>
      <c r="O2165" s="193">
        <f t="shared" si="467"/>
        <v>213</v>
      </c>
      <c r="P2165" s="194">
        <v>0</v>
      </c>
      <c r="Q2165" s="194">
        <v>15</v>
      </c>
      <c r="R2165" s="194">
        <v>0</v>
      </c>
      <c r="S2165" s="193">
        <f t="shared" si="468"/>
        <v>15</v>
      </c>
      <c r="T2165" s="193">
        <f t="shared" si="469"/>
        <v>13.625</v>
      </c>
      <c r="U2165" s="193">
        <f ca="1">OFFSET('Expenditure Study'!$B$7,'Operations Support'!$C2165,'Operations Support'!$B2165)*$G2165</f>
        <v>1909.68</v>
      </c>
      <c r="V2165" s="199">
        <f ca="1">U2165*'Expenditure Study'!$B$31</f>
        <v>112829.96871014401</v>
      </c>
      <c r="W2165" s="199">
        <f ca="1">IF(A2165=10298,1.51,1)*IF($B2165&lt;3,$D2165*'Expenditure Study'!$B$32*OFFSET('Expenditure Study'!$B$7,'Operations Support'!$C2165,'Operations Support'!$B2165),0)</f>
        <v>0</v>
      </c>
      <c r="X2165" s="200">
        <f ca="1">W2165*'Expenditure Study'!$B$31</f>
        <v>0</v>
      </c>
      <c r="Y2165" s="199">
        <f ca="1">U2165*'Expenditure Study'!$B$31</f>
        <v>112829.96871014401</v>
      </c>
      <c r="Z2165" s="200">
        <f ca="1">W2165*'Expenditure Study'!$B$31</f>
        <v>0</v>
      </c>
      <c r="AA2165" s="195">
        <f t="shared" ca="1" si="470"/>
        <v>112829.96871014401</v>
      </c>
      <c r="AB2165" s="195">
        <f t="shared" ca="1" si="471"/>
        <v>112829.96871014401</v>
      </c>
      <c r="AD2165" s="196">
        <f>IFERROR($G2165/SUMIF($A:$A,$A2165,$G:$G)*SUMIF(Summary!$A$166:$A$242,$A2165,Summary!$P$166:$P$242),0)</f>
        <v>15202.260201184605</v>
      </c>
      <c r="AE2165" s="197">
        <f t="shared" ca="1" si="472"/>
        <v>97627.708508959404</v>
      </c>
      <c r="AF2165" s="196">
        <f>IFERROR(G2165/SUMIF(A:A,A2165,G:G)*SUMIF(Summary!$A$166:$A$242,'Operations Support'!A2165,Summary!$Q$166:$Q$242),0)</f>
        <v>15288.422565241824</v>
      </c>
      <c r="AG2165" s="196">
        <f t="shared" ca="1" si="473"/>
        <v>97541.546144902182</v>
      </c>
      <c r="AI2165" s="196">
        <f>IFERROR($G2165/SUMIF($A:$A,$A2165,$G:$G)*SUMIF(Summary!$A$247:$A$283,$A2165,Summary!$P$247:$P$283),0)</f>
        <v>2772.5128925215577</v>
      </c>
      <c r="AJ2165" s="196">
        <f>IFERROR($G2165/SUMIF($A:$A,$A2165,$G:$G)*(SUMIF(Summary!$A$247:$A$283,$A2165,Summary!$L$247:$L$283)+SUMIF(Summary!$A$297:$A$333,$A2165,Summary!$L$297:$L$333))-AI2165,0)</f>
        <v>11557.996799961284</v>
      </c>
      <c r="AK2165" s="196">
        <f>IFERROR($G2165/SUMIF($A:$A,$A2165,$G:$G)*SUMIF(Summary!$A$247:$A$283,$A2165,Summary!$Q$247:$Q$283),0)</f>
        <v>2788.2267575677674</v>
      </c>
      <c r="AL2165" s="196">
        <f>IFERROR($G2165/SUMIF($A:$A,$A2165,$G:$G)*(SUMIF(Summary!$A$247:$A$283,$A2165,Summary!$L$247:$L$283)+SUMIF(Summary!$A$297:$A$333,$A2165,Summary!$L$297:$L$333))-AK2165,0)</f>
        <v>11542.282934915074</v>
      </c>
      <c r="AM2165" s="198"/>
      <c r="AN2165" s="196">
        <f t="shared" ca="1" si="474"/>
        <v>109185.70530892069</v>
      </c>
      <c r="AO2165" s="196">
        <f t="shared" ca="1" si="475"/>
        <v>109083.82907981725</v>
      </c>
    </row>
    <row r="2166" spans="1:41">
      <c r="A2166" s="189">
        <v>3658</v>
      </c>
      <c r="B2166" s="190">
        <v>3</v>
      </c>
      <c r="C2166" s="191" t="s">
        <v>239</v>
      </c>
      <c r="D2166" s="192">
        <f t="shared" si="462"/>
        <v>1045.44</v>
      </c>
      <c r="E2166" s="192">
        <f t="shared" si="463"/>
        <v>4028.56</v>
      </c>
      <c r="F2166" s="192">
        <f t="shared" si="464"/>
        <v>0</v>
      </c>
      <c r="G2166" s="193">
        <f t="shared" si="465"/>
        <v>5074</v>
      </c>
      <c r="H2166" s="194">
        <v>297</v>
      </c>
      <c r="I2166" s="194">
        <v>1701</v>
      </c>
      <c r="J2166" s="194">
        <v>0</v>
      </c>
      <c r="K2166" s="193">
        <f t="shared" si="466"/>
        <v>1998</v>
      </c>
      <c r="L2166" s="194">
        <v>608.44000000000005</v>
      </c>
      <c r="M2166" s="194">
        <v>1627.56</v>
      </c>
      <c r="N2166" s="194">
        <v>0</v>
      </c>
      <c r="O2166" s="193">
        <f t="shared" si="467"/>
        <v>2236</v>
      </c>
      <c r="P2166" s="194">
        <v>140</v>
      </c>
      <c r="Q2166" s="194">
        <v>700</v>
      </c>
      <c r="R2166" s="194">
        <v>0</v>
      </c>
      <c r="S2166" s="193">
        <f t="shared" si="468"/>
        <v>840</v>
      </c>
      <c r="T2166" s="193">
        <f t="shared" si="469"/>
        <v>211.41666666666666</v>
      </c>
      <c r="U2166" s="193">
        <f ca="1">OFFSET('Expenditure Study'!$B$7,'Operations Support'!$C2166,'Operations Support'!$B2166)*$G2166</f>
        <v>13801.28</v>
      </c>
      <c r="V2166" s="199">
        <f ca="1">U2166*'Expenditure Study'!$B$31</f>
        <v>815423.5215114241</v>
      </c>
      <c r="W2166" s="199">
        <f ca="1">IF(A2166=10298,1.51,1)*IF($B2166&lt;3,$D2166*'Expenditure Study'!$B$32*OFFSET('Expenditure Study'!$B$7,'Operations Support'!$C2166,'Operations Support'!$B2166),0)</f>
        <v>0</v>
      </c>
      <c r="X2166" s="200">
        <f ca="1">W2166*'Expenditure Study'!$B$31</f>
        <v>0</v>
      </c>
      <c r="Y2166" s="199">
        <f ca="1">U2166*'Expenditure Study'!$B$31</f>
        <v>815423.5215114241</v>
      </c>
      <c r="Z2166" s="200">
        <f ca="1">W2166*'Expenditure Study'!$B$31</f>
        <v>0</v>
      </c>
      <c r="AA2166" s="195">
        <f t="shared" ca="1" si="470"/>
        <v>815423.5215114241</v>
      </c>
      <c r="AB2166" s="195">
        <f t="shared" ca="1" si="471"/>
        <v>815423.5215114241</v>
      </c>
      <c r="AD2166" s="196">
        <f>IFERROR($G2166/SUMIF($A:$A,$A2166,$G:$G)*SUMIF(Summary!$A$166:$A$242,$A2166,Summary!$P$166:$P$242),0)</f>
        <v>235890.72862633236</v>
      </c>
      <c r="AE2166" s="197">
        <f t="shared" ca="1" si="472"/>
        <v>579532.79288509174</v>
      </c>
      <c r="AF2166" s="196">
        <f>IFERROR(G2166/SUMIF(A:A,A2166,G:G)*SUMIF(Summary!$A$166:$A$242,'Operations Support'!A2166,Summary!$Q$166:$Q$242),0)</f>
        <v>237227.69448329363</v>
      </c>
      <c r="AG2166" s="196">
        <f t="shared" ca="1" si="473"/>
        <v>578195.82702813041</v>
      </c>
      <c r="AI2166" s="196">
        <f>IFERROR($G2166/SUMIF($A:$A,$A2166,$G:$G)*SUMIF(Summary!$A$247:$A$283,$A2166,Summary!$P$247:$P$283),0)</f>
        <v>43020.582313927778</v>
      </c>
      <c r="AJ2166" s="196">
        <f>IFERROR($G2166/SUMIF($A:$A,$A2166,$G:$G)*(SUMIF(Summary!$A$247:$A$283,$A2166,Summary!$L$247:$L$283)+SUMIF(Summary!$A$297:$A$333,$A2166,Summary!$L$297:$L$333))-AI2166,0)</f>
        <v>179343.35095719737</v>
      </c>
      <c r="AK2166" s="196">
        <f>IFERROR($G2166/SUMIF($A:$A,$A2166,$G:$G)*SUMIF(Summary!$A$247:$A$283,$A2166,Summary!$Q$247:$Q$283),0)</f>
        <v>43264.411522626455</v>
      </c>
      <c r="AL2166" s="196">
        <f>IFERROR($G2166/SUMIF($A:$A,$A2166,$G:$G)*(SUMIF(Summary!$A$247:$A$283,$A2166,Summary!$L$247:$L$283)+SUMIF(Summary!$A$297:$A$333,$A2166,Summary!$L$297:$L$333))-AK2166,0)</f>
        <v>179099.52174849872</v>
      </c>
      <c r="AM2166" s="198"/>
      <c r="AN2166" s="196">
        <f t="shared" ca="1" si="474"/>
        <v>758876.14384228911</v>
      </c>
      <c r="AO2166" s="196">
        <f t="shared" ca="1" si="475"/>
        <v>757295.34877662919</v>
      </c>
    </row>
    <row r="2167" spans="1:41">
      <c r="A2167" s="189">
        <v>3658</v>
      </c>
      <c r="B2167" s="190">
        <v>3</v>
      </c>
      <c r="C2167" s="191" t="s">
        <v>240</v>
      </c>
      <c r="D2167" s="192">
        <f t="shared" si="462"/>
        <v>0</v>
      </c>
      <c r="E2167" s="192">
        <f t="shared" si="463"/>
        <v>0</v>
      </c>
      <c r="F2167" s="192">
        <f t="shared" si="464"/>
        <v>0</v>
      </c>
      <c r="G2167" s="193">
        <f t="shared" si="465"/>
        <v>0</v>
      </c>
      <c r="H2167" s="194">
        <v>0</v>
      </c>
      <c r="I2167" s="194">
        <v>0</v>
      </c>
      <c r="J2167" s="194">
        <v>0</v>
      </c>
      <c r="K2167" s="193">
        <f t="shared" si="466"/>
        <v>0</v>
      </c>
      <c r="L2167" s="194">
        <v>0</v>
      </c>
      <c r="M2167" s="194">
        <v>0</v>
      </c>
      <c r="N2167" s="194">
        <v>0</v>
      </c>
      <c r="O2167" s="193">
        <f t="shared" si="467"/>
        <v>0</v>
      </c>
      <c r="P2167" s="194">
        <v>0</v>
      </c>
      <c r="Q2167" s="194">
        <v>0</v>
      </c>
      <c r="R2167" s="194">
        <v>0</v>
      </c>
      <c r="S2167" s="193">
        <f t="shared" si="468"/>
        <v>0</v>
      </c>
      <c r="T2167" s="193">
        <f t="shared" si="469"/>
        <v>0</v>
      </c>
      <c r="U2167" s="193">
        <f ca="1">OFFSET('Expenditure Study'!$B$7,'Operations Support'!$C2167,'Operations Support'!$B2167)*$G2167</f>
        <v>0</v>
      </c>
      <c r="V2167" s="199">
        <f ca="1">U2167*'Expenditure Study'!$B$31</f>
        <v>0</v>
      </c>
      <c r="W2167" s="199">
        <f ca="1">IF(A2167=10298,1.51,1)*IF($B2167&lt;3,$D2167*'Expenditure Study'!$B$32*OFFSET('Expenditure Study'!$B$7,'Operations Support'!$C2167,'Operations Support'!$B2167),0)</f>
        <v>0</v>
      </c>
      <c r="X2167" s="200">
        <f ca="1">W2167*'Expenditure Study'!$B$31</f>
        <v>0</v>
      </c>
      <c r="Y2167" s="199">
        <f ca="1">U2167*'Expenditure Study'!$B$31</f>
        <v>0</v>
      </c>
      <c r="Z2167" s="200">
        <f ca="1">W2167*'Expenditure Study'!$B$31</f>
        <v>0</v>
      </c>
      <c r="AA2167" s="195">
        <f t="shared" ca="1" si="470"/>
        <v>0</v>
      </c>
      <c r="AB2167" s="195">
        <f t="shared" ca="1" si="471"/>
        <v>0</v>
      </c>
      <c r="AD2167" s="196">
        <f>IFERROR($G2167/SUMIF($A:$A,$A2167,$G:$G)*SUMIF(Summary!$A$166:$A$242,$A2167,Summary!$P$166:$P$242),0)</f>
        <v>0</v>
      </c>
      <c r="AE2167" s="197">
        <f t="shared" ca="1" si="472"/>
        <v>0</v>
      </c>
      <c r="AF2167" s="196">
        <f>IFERROR(G2167/SUMIF(A:A,A2167,G:G)*SUMIF(Summary!$A$166:$A$242,'Operations Support'!A2167,Summary!$Q$166:$Q$242),0)</f>
        <v>0</v>
      </c>
      <c r="AG2167" s="196">
        <f t="shared" ca="1" si="473"/>
        <v>0</v>
      </c>
      <c r="AI2167" s="196">
        <f>IFERROR($G2167/SUMIF($A:$A,$A2167,$G:$G)*SUMIF(Summary!$A$247:$A$283,$A2167,Summary!$P$247:$P$283),0)</f>
        <v>0</v>
      </c>
      <c r="AJ2167" s="196">
        <f>IFERROR($G2167/SUMIF($A:$A,$A2167,$G:$G)*(SUMIF(Summary!$A$247:$A$283,$A2167,Summary!$L$247:$L$283)+SUMIF(Summary!$A$297:$A$333,$A2167,Summary!$L$297:$L$333))-AI2167,0)</f>
        <v>0</v>
      </c>
      <c r="AK2167" s="196">
        <f>IFERROR($G2167/SUMIF($A:$A,$A2167,$G:$G)*SUMIF(Summary!$A$247:$A$283,$A2167,Summary!$Q$247:$Q$283),0)</f>
        <v>0</v>
      </c>
      <c r="AL2167" s="196">
        <f>IFERROR($G2167/SUMIF($A:$A,$A2167,$G:$G)*(SUMIF(Summary!$A$247:$A$283,$A2167,Summary!$L$247:$L$283)+SUMIF(Summary!$A$297:$A$333,$A2167,Summary!$L$297:$L$333))-AK2167,0)</f>
        <v>0</v>
      </c>
      <c r="AM2167" s="198"/>
      <c r="AN2167" s="196">
        <f t="shared" ca="1" si="474"/>
        <v>0</v>
      </c>
      <c r="AO2167" s="196">
        <f t="shared" ca="1" si="475"/>
        <v>0</v>
      </c>
    </row>
    <row r="2168" spans="1:41">
      <c r="A2168" s="189">
        <v>3658</v>
      </c>
      <c r="B2168" s="190">
        <v>4</v>
      </c>
      <c r="C2168" s="191" t="s">
        <v>220</v>
      </c>
      <c r="D2168" s="192">
        <f t="shared" si="462"/>
        <v>21580.5</v>
      </c>
      <c r="E2168" s="192">
        <f t="shared" si="463"/>
        <v>2166.5</v>
      </c>
      <c r="F2168" s="192">
        <f t="shared" si="464"/>
        <v>2131</v>
      </c>
      <c r="G2168" s="193">
        <f t="shared" si="465"/>
        <v>21616</v>
      </c>
      <c r="H2168" s="194">
        <v>10180.5</v>
      </c>
      <c r="I2168" s="194">
        <v>837.5</v>
      </c>
      <c r="J2168" s="194">
        <v>1098</v>
      </c>
      <c r="K2168" s="193">
        <f t="shared" si="466"/>
        <v>9920</v>
      </c>
      <c r="L2168" s="194">
        <v>9428</v>
      </c>
      <c r="M2168" s="194">
        <v>1108</v>
      </c>
      <c r="N2168" s="194">
        <v>730</v>
      </c>
      <c r="O2168" s="193">
        <f t="shared" si="467"/>
        <v>9806</v>
      </c>
      <c r="P2168" s="194">
        <v>1972</v>
      </c>
      <c r="Q2168" s="194">
        <v>221</v>
      </c>
      <c r="R2168" s="194">
        <v>303</v>
      </c>
      <c r="S2168" s="193">
        <f t="shared" si="468"/>
        <v>1890</v>
      </c>
      <c r="T2168" s="193">
        <f t="shared" si="469"/>
        <v>1200.8888888888889</v>
      </c>
      <c r="U2168" s="193">
        <f ca="1">OFFSET('Expenditure Study'!$B$7,'Operations Support'!$C2168,'Operations Support'!$B2168)*$G2168</f>
        <v>318403.68</v>
      </c>
      <c r="V2168" s="199">
        <f ca="1">U2168*'Expenditure Study'!$B$31</f>
        <v>18812302.192825343</v>
      </c>
      <c r="W2168" s="199">
        <f ca="1">IF(A2168=10298,1.51,1)*IF($B2168&lt;3,$D2168*'Expenditure Study'!$B$32*OFFSET('Expenditure Study'!$B$7,'Operations Support'!$C2168,'Operations Support'!$B2168),0)</f>
        <v>0</v>
      </c>
      <c r="X2168" s="200">
        <f ca="1">W2168*'Expenditure Study'!$B$31</f>
        <v>0</v>
      </c>
      <c r="Y2168" s="199">
        <f ca="1">U2168*'Expenditure Study'!$B$31</f>
        <v>18812302.192825343</v>
      </c>
      <c r="Z2168" s="200">
        <f ca="1">W2168*'Expenditure Study'!$B$31</f>
        <v>0</v>
      </c>
      <c r="AA2168" s="195">
        <f t="shared" ca="1" si="470"/>
        <v>18812302.192825343</v>
      </c>
      <c r="AB2168" s="195">
        <f t="shared" ca="1" si="471"/>
        <v>18812302.192825343</v>
      </c>
      <c r="AD2168" s="196">
        <f>IFERROR($G2168/SUMIF($A:$A,$A2168,$G:$G)*SUMIF(Summary!$A$166:$A$242,$A2168,Summary!$P$166:$P$242),0)</f>
        <v>1004929.8364183682</v>
      </c>
      <c r="AE2168" s="197">
        <f t="shared" ca="1" si="472"/>
        <v>17807372.356406976</v>
      </c>
      <c r="AF2168" s="196">
        <f>IFERROR(G2168/SUMIF(A:A,A2168,G:G)*SUMIF(Summary!$A$166:$A$242,'Operations Support'!A2168,Summary!$Q$166:$Q$242),0)</f>
        <v>1010625.5112240588</v>
      </c>
      <c r="AG2168" s="196">
        <f t="shared" ca="1" si="473"/>
        <v>17801676.681601286</v>
      </c>
      <c r="AI2168" s="196">
        <f>IFERROR($G2168/SUMIF($A:$A,$A2168,$G:$G)*SUMIF(Summary!$A$247:$A$283,$A2168,Summary!$P$247:$P$283),0)</f>
        <v>183274.12441818343</v>
      </c>
      <c r="AJ2168" s="196">
        <f>IFERROR($G2168/SUMIF($A:$A,$A2168,$G:$G)*(SUMIF(Summary!$A$247:$A$283,$A2168,Summary!$L$247:$L$283)+SUMIF(Summary!$A$297:$A$333,$A2168,Summary!$L$297:$L$333))-AI2168,0)</f>
        <v>764029.53770019289</v>
      </c>
      <c r="AK2168" s="196">
        <f>IFERROR($G2168/SUMIF($A:$A,$A2168,$G:$G)*SUMIF(Summary!$A$247:$A$283,$A2168,Summary!$Q$247:$Q$283),0)</f>
        <v>184312.87336876101</v>
      </c>
      <c r="AL2168" s="196">
        <f>IFERROR($G2168/SUMIF($A:$A,$A2168,$G:$G)*(SUMIF(Summary!$A$247:$A$283,$A2168,Summary!$L$247:$L$283)+SUMIF(Summary!$A$297:$A$333,$A2168,Summary!$L$297:$L$333))-AK2168,0)</f>
        <v>762990.78874961531</v>
      </c>
      <c r="AM2168" s="198"/>
      <c r="AN2168" s="196">
        <f t="shared" ca="1" si="474"/>
        <v>18571401.894107167</v>
      </c>
      <c r="AO2168" s="196">
        <f t="shared" ca="1" si="475"/>
        <v>18564667.470350903</v>
      </c>
    </row>
    <row r="2169" spans="1:41">
      <c r="A2169" s="189">
        <v>3658</v>
      </c>
      <c r="B2169" s="190">
        <v>4</v>
      </c>
      <c r="C2169" s="191" t="s">
        <v>221</v>
      </c>
      <c r="D2169" s="192">
        <f t="shared" si="462"/>
        <v>14063.82</v>
      </c>
      <c r="E2169" s="192">
        <f t="shared" si="463"/>
        <v>820.18000000000006</v>
      </c>
      <c r="F2169" s="192">
        <f t="shared" si="464"/>
        <v>1100</v>
      </c>
      <c r="G2169" s="193">
        <f t="shared" si="465"/>
        <v>13784</v>
      </c>
      <c r="H2169" s="194">
        <v>6485.5</v>
      </c>
      <c r="I2169" s="194">
        <v>351.5</v>
      </c>
      <c r="J2169" s="194">
        <v>462</v>
      </c>
      <c r="K2169" s="193">
        <f t="shared" si="466"/>
        <v>6375</v>
      </c>
      <c r="L2169" s="194">
        <v>5830.82</v>
      </c>
      <c r="M2169" s="194">
        <v>326.18</v>
      </c>
      <c r="N2169" s="194">
        <v>469</v>
      </c>
      <c r="O2169" s="193">
        <f t="shared" si="467"/>
        <v>5688</v>
      </c>
      <c r="P2169" s="194">
        <v>1747.5</v>
      </c>
      <c r="Q2169" s="194">
        <v>142.5</v>
      </c>
      <c r="R2169" s="194">
        <v>169</v>
      </c>
      <c r="S2169" s="193">
        <f t="shared" si="468"/>
        <v>1721</v>
      </c>
      <c r="T2169" s="193">
        <f t="shared" si="469"/>
        <v>765.77777777777783</v>
      </c>
      <c r="U2169" s="193">
        <f ca="1">OFFSET('Expenditure Study'!$B$7,'Operations Support'!$C2169,'Operations Support'!$B2169)*$G2169</f>
        <v>299664.15999999997</v>
      </c>
      <c r="V2169" s="199">
        <f ca="1">U2169*'Expenditure Study'!$B$31</f>
        <v>17705111.744560126</v>
      </c>
      <c r="W2169" s="199">
        <f ca="1">IF(A2169=10298,1.51,1)*IF($B2169&lt;3,$D2169*'Expenditure Study'!$B$32*OFFSET('Expenditure Study'!$B$7,'Operations Support'!$C2169,'Operations Support'!$B2169),0)</f>
        <v>0</v>
      </c>
      <c r="X2169" s="200">
        <f ca="1">W2169*'Expenditure Study'!$B$31</f>
        <v>0</v>
      </c>
      <c r="Y2169" s="199">
        <f ca="1">U2169*'Expenditure Study'!$B$31</f>
        <v>17705111.744560126</v>
      </c>
      <c r="Z2169" s="200">
        <f ca="1">W2169*'Expenditure Study'!$B$31</f>
        <v>0</v>
      </c>
      <c r="AA2169" s="195">
        <f t="shared" ca="1" si="470"/>
        <v>17705111.744560126</v>
      </c>
      <c r="AB2169" s="195">
        <f t="shared" ca="1" si="471"/>
        <v>17705111.744560126</v>
      </c>
      <c r="AD2169" s="196">
        <f>IFERROR($G2169/SUMIF($A:$A,$A2169,$G:$G)*SUMIF(Summary!$A$166:$A$242,$A2169,Summary!$P$166:$P$242),0)</f>
        <v>640819.43306767149</v>
      </c>
      <c r="AE2169" s="197">
        <f t="shared" ca="1" si="472"/>
        <v>17064292.311492454</v>
      </c>
      <c r="AF2169" s="196">
        <f>IFERROR(G2169/SUMIF(A:A,A2169,G:G)*SUMIF(Summary!$A$166:$A$242,'Operations Support'!A2169,Summary!$Q$166:$Q$242),0)</f>
        <v>644451.42703147803</v>
      </c>
      <c r="AG2169" s="196">
        <f t="shared" ca="1" si="473"/>
        <v>17060660.317528646</v>
      </c>
      <c r="AI2169" s="196">
        <f>IFERROR($G2169/SUMIF($A:$A,$A2169,$G:$G)*SUMIF(Summary!$A$247:$A$283,$A2169,Summary!$P$247:$P$283),0)</f>
        <v>116869.47312084756</v>
      </c>
      <c r="AJ2169" s="196">
        <f>IFERROR($G2169/SUMIF($A:$A,$A2169,$G:$G)*(SUMIF(Summary!$A$247:$A$283,$A2169,Summary!$L$247:$L$283)+SUMIF(Summary!$A$297:$A$333,$A2169,Summary!$L$297:$L$333))-AI2169,0)</f>
        <v>487203.14339653315</v>
      </c>
      <c r="AK2169" s="196">
        <f>IFERROR($G2169/SUMIF($A:$A,$A2169,$G:$G)*SUMIF(Summary!$A$247:$A$283,$A2169,Summary!$Q$247:$Q$283),0)</f>
        <v>117531.8581844468</v>
      </c>
      <c r="AL2169" s="196">
        <f>IFERROR($G2169/SUMIF($A:$A,$A2169,$G:$G)*(SUMIF(Summary!$A$247:$A$283,$A2169,Summary!$L$247:$L$283)+SUMIF(Summary!$A$297:$A$333,$A2169,Summary!$L$297:$L$333))-AK2169,0)</f>
        <v>486540.75833293388</v>
      </c>
      <c r="AM2169" s="198"/>
      <c r="AN2169" s="196">
        <f t="shared" ca="1" si="474"/>
        <v>17551495.454888988</v>
      </c>
      <c r="AO2169" s="196">
        <f t="shared" ca="1" si="475"/>
        <v>17547201.075861581</v>
      </c>
    </row>
    <row r="2170" spans="1:41">
      <c r="A2170" s="189">
        <v>3658</v>
      </c>
      <c r="B2170" s="190">
        <v>4</v>
      </c>
      <c r="C2170" s="191" t="s">
        <v>222</v>
      </c>
      <c r="D2170" s="192">
        <f t="shared" si="462"/>
        <v>1930</v>
      </c>
      <c r="E2170" s="192">
        <f t="shared" si="463"/>
        <v>683</v>
      </c>
      <c r="F2170" s="192">
        <f t="shared" si="464"/>
        <v>115</v>
      </c>
      <c r="G2170" s="193">
        <f t="shared" si="465"/>
        <v>2498</v>
      </c>
      <c r="H2170" s="194">
        <v>982</v>
      </c>
      <c r="I2170" s="194">
        <v>312</v>
      </c>
      <c r="J2170" s="194">
        <v>66</v>
      </c>
      <c r="K2170" s="193">
        <f t="shared" si="466"/>
        <v>1228</v>
      </c>
      <c r="L2170" s="194">
        <v>908</v>
      </c>
      <c r="M2170" s="194">
        <v>368</v>
      </c>
      <c r="N2170" s="194">
        <v>42</v>
      </c>
      <c r="O2170" s="193">
        <f t="shared" si="467"/>
        <v>1234</v>
      </c>
      <c r="P2170" s="194">
        <v>40</v>
      </c>
      <c r="Q2170" s="194">
        <v>3</v>
      </c>
      <c r="R2170" s="194">
        <v>7</v>
      </c>
      <c r="S2170" s="193">
        <f t="shared" si="468"/>
        <v>36</v>
      </c>
      <c r="T2170" s="193">
        <f t="shared" si="469"/>
        <v>138.77777777777777</v>
      </c>
      <c r="U2170" s="193">
        <f ca="1">OFFSET('Expenditure Study'!$B$7,'Operations Support'!$C2170,'Operations Support'!$B2170)*$G2170</f>
        <v>25229.8</v>
      </c>
      <c r="V2170" s="199">
        <f ca="1">U2170*'Expenditure Study'!$B$31</f>
        <v>1490656.8349478401</v>
      </c>
      <c r="W2170" s="199">
        <f ca="1">IF(A2170=10298,1.51,1)*IF($B2170&lt;3,$D2170*'Expenditure Study'!$B$32*OFFSET('Expenditure Study'!$B$7,'Operations Support'!$C2170,'Operations Support'!$B2170),0)</f>
        <v>0</v>
      </c>
      <c r="X2170" s="200">
        <f ca="1">W2170*'Expenditure Study'!$B$31</f>
        <v>0</v>
      </c>
      <c r="Y2170" s="199">
        <f ca="1">U2170*'Expenditure Study'!$B$31</f>
        <v>1490656.8349478401</v>
      </c>
      <c r="Z2170" s="200">
        <f ca="1">W2170*'Expenditure Study'!$B$31</f>
        <v>0</v>
      </c>
      <c r="AA2170" s="195">
        <f t="shared" ca="1" si="470"/>
        <v>1490656.8349478401</v>
      </c>
      <c r="AB2170" s="195">
        <f t="shared" ca="1" si="471"/>
        <v>1490656.8349478401</v>
      </c>
      <c r="AD2170" s="196">
        <f>IFERROR($G2170/SUMIF($A:$A,$A2170,$G:$G)*SUMIF(Summary!$A$166:$A$242,$A2170,Summary!$P$166:$P$242),0)</f>
        <v>116132.25071119005</v>
      </c>
      <c r="AE2170" s="197">
        <f t="shared" ca="1" si="472"/>
        <v>1374524.58423665</v>
      </c>
      <c r="AF2170" s="196">
        <f>IFERROR(G2170/SUMIF(A:A,A2170,G:G)*SUMIF(Summary!$A$166:$A$242,'Operations Support'!A2170,Summary!$Q$166:$Q$242),0)</f>
        <v>116790.45739441614</v>
      </c>
      <c r="AG2170" s="196">
        <f t="shared" ca="1" si="473"/>
        <v>1373866.3775534239</v>
      </c>
      <c r="AI2170" s="196">
        <f>IFERROR($G2170/SUMIF($A:$A,$A2170,$G:$G)*SUMIF(Summary!$A$247:$A$283,$A2170,Summary!$P$247:$P$283),0)</f>
        <v>21179.624481709026</v>
      </c>
      <c r="AJ2170" s="196">
        <f>IFERROR($G2170/SUMIF($A:$A,$A2170,$G:$G)*(SUMIF(Summary!$A$247:$A$283,$A2170,Summary!$L$247:$L$283)+SUMIF(Summary!$A$297:$A$333,$A2170,Summary!$L$297:$L$333))-AI2170,0)</f>
        <v>88293.1987960345</v>
      </c>
      <c r="AK2170" s="196">
        <f>IFERROR($G2170/SUMIF($A:$A,$A2170,$G:$G)*SUMIF(Summary!$A$247:$A$283,$A2170,Summary!$Q$247:$Q$283),0)</f>
        <v>21299.66495536478</v>
      </c>
      <c r="AL2170" s="196">
        <f>IFERROR($G2170/SUMIF($A:$A,$A2170,$G:$G)*(SUMIF(Summary!$A$247:$A$283,$A2170,Summary!$L$247:$L$283)+SUMIF(Summary!$A$297:$A$333,$A2170,Summary!$L$297:$L$333))-AK2170,0)</f>
        <v>88173.15832237876</v>
      </c>
      <c r="AM2170" s="198"/>
      <c r="AN2170" s="196">
        <f t="shared" ca="1" si="474"/>
        <v>1462817.7830326846</v>
      </c>
      <c r="AO2170" s="196">
        <f t="shared" ca="1" si="475"/>
        <v>1462039.5358758026</v>
      </c>
    </row>
    <row r="2171" spans="1:41">
      <c r="A2171" s="189">
        <v>3658</v>
      </c>
      <c r="B2171" s="190">
        <v>4</v>
      </c>
      <c r="C2171" s="191" t="s">
        <v>223</v>
      </c>
      <c r="D2171" s="192">
        <f t="shared" si="462"/>
        <v>4342</v>
      </c>
      <c r="E2171" s="192">
        <f t="shared" si="463"/>
        <v>903</v>
      </c>
      <c r="F2171" s="192">
        <f t="shared" si="464"/>
        <v>397</v>
      </c>
      <c r="G2171" s="193">
        <f t="shared" si="465"/>
        <v>4848</v>
      </c>
      <c r="H2171" s="194">
        <v>1868</v>
      </c>
      <c r="I2171" s="194">
        <v>330</v>
      </c>
      <c r="J2171" s="194">
        <v>191</v>
      </c>
      <c r="K2171" s="193">
        <f t="shared" si="466"/>
        <v>2007</v>
      </c>
      <c r="L2171" s="194">
        <v>1975.5</v>
      </c>
      <c r="M2171" s="194">
        <v>364.5</v>
      </c>
      <c r="N2171" s="194">
        <v>159</v>
      </c>
      <c r="O2171" s="193">
        <f t="shared" si="467"/>
        <v>2181</v>
      </c>
      <c r="P2171" s="194">
        <v>498.5</v>
      </c>
      <c r="Q2171" s="194">
        <v>208.5</v>
      </c>
      <c r="R2171" s="194">
        <v>47</v>
      </c>
      <c r="S2171" s="193">
        <f t="shared" si="468"/>
        <v>660</v>
      </c>
      <c r="T2171" s="193">
        <f t="shared" si="469"/>
        <v>269.33333333333331</v>
      </c>
      <c r="U2171" s="193">
        <f ca="1">OFFSET('Expenditure Study'!$B$7,'Operations Support'!$C2171,'Operations Support'!$B2171)*$G2171</f>
        <v>37911.360000000001</v>
      </c>
      <c r="V2171" s="199">
        <f ca="1">U2171*'Expenditure Study'!$B$31</f>
        <v>2239923.737253888</v>
      </c>
      <c r="W2171" s="199">
        <f ca="1">IF(A2171=10298,1.51,1)*IF($B2171&lt;3,$D2171*'Expenditure Study'!$B$32*OFFSET('Expenditure Study'!$B$7,'Operations Support'!$C2171,'Operations Support'!$B2171),0)</f>
        <v>0</v>
      </c>
      <c r="X2171" s="200">
        <f ca="1">W2171*'Expenditure Study'!$B$31</f>
        <v>0</v>
      </c>
      <c r="Y2171" s="199">
        <f ca="1">U2171*'Expenditure Study'!$B$31</f>
        <v>2239923.737253888</v>
      </c>
      <c r="Z2171" s="200">
        <f ca="1">W2171*'Expenditure Study'!$B$31</f>
        <v>0</v>
      </c>
      <c r="AA2171" s="195">
        <f t="shared" ca="1" si="470"/>
        <v>2239923.737253888</v>
      </c>
      <c r="AB2171" s="195">
        <f t="shared" ca="1" si="471"/>
        <v>2239923.737253888</v>
      </c>
      <c r="AD2171" s="196">
        <f>IFERROR($G2171/SUMIF($A:$A,$A2171,$G:$G)*SUMIF(Summary!$A$166:$A$242,$A2171,Summary!$P$166:$P$242),0)</f>
        <v>225383.96775334238</v>
      </c>
      <c r="AE2171" s="197">
        <f t="shared" ca="1" si="472"/>
        <v>2014539.7695005457</v>
      </c>
      <c r="AF2171" s="196">
        <f>IFERROR(G2171/SUMIF(A:A,A2171,G:G)*SUMIF(Summary!$A$166:$A$242,'Operations Support'!A2171,Summary!$Q$166:$Q$242),0)</f>
        <v>226661.38408652099</v>
      </c>
      <c r="AG2171" s="196">
        <f t="shared" ca="1" si="473"/>
        <v>2013262.3531673672</v>
      </c>
      <c r="AI2171" s="196">
        <f>IFERROR($G2171/SUMIF($A:$A,$A2171,$G:$G)*SUMIF(Summary!$A$247:$A$283,$A2171,Summary!$P$247:$P$283),0)</f>
        <v>41104.411323989334</v>
      </c>
      <c r="AJ2171" s="196">
        <f>IFERROR($G2171/SUMIF($A:$A,$A2171,$G:$G)*(SUMIF(Summary!$A$247:$A$283,$A2171,Summary!$L$247:$L$283)+SUMIF(Summary!$A$297:$A$333,$A2171,Summary!$L$297:$L$333))-AI2171,0)</f>
        <v>171355.25530951773</v>
      </c>
      <c r="AK2171" s="196">
        <f>IFERROR($G2171/SUMIF($A:$A,$A2171,$G:$G)*SUMIF(Summary!$A$247:$A$283,$A2171,Summary!$Q$247:$Q$283),0)</f>
        <v>41337.38018559185</v>
      </c>
      <c r="AL2171" s="196">
        <f>IFERROR($G2171/SUMIF($A:$A,$A2171,$G:$G)*(SUMIF(Summary!$A$247:$A$283,$A2171,Summary!$L$247:$L$283)+SUMIF(Summary!$A$297:$A$333,$A2171,Summary!$L$297:$L$333))-AK2171,0)</f>
        <v>171122.28644791522</v>
      </c>
      <c r="AM2171" s="198"/>
      <c r="AN2171" s="196">
        <f t="shared" ca="1" si="474"/>
        <v>2185895.0248100637</v>
      </c>
      <c r="AO2171" s="196">
        <f t="shared" ca="1" si="475"/>
        <v>2184384.6396152824</v>
      </c>
    </row>
    <row r="2172" spans="1:41">
      <c r="A2172" s="189">
        <v>3658</v>
      </c>
      <c r="B2172" s="190">
        <v>4</v>
      </c>
      <c r="C2172" s="191" t="s">
        <v>224</v>
      </c>
      <c r="D2172" s="192">
        <f t="shared" si="462"/>
        <v>0</v>
      </c>
      <c r="E2172" s="192">
        <f t="shared" si="463"/>
        <v>0</v>
      </c>
      <c r="F2172" s="192">
        <f t="shared" si="464"/>
        <v>0</v>
      </c>
      <c r="G2172" s="193">
        <f t="shared" si="465"/>
        <v>0</v>
      </c>
      <c r="H2172" s="194">
        <v>0</v>
      </c>
      <c r="I2172" s="194">
        <v>0</v>
      </c>
      <c r="J2172" s="194">
        <v>0</v>
      </c>
      <c r="K2172" s="193">
        <f t="shared" si="466"/>
        <v>0</v>
      </c>
      <c r="L2172" s="194">
        <v>0</v>
      </c>
      <c r="M2172" s="194">
        <v>0</v>
      </c>
      <c r="N2172" s="194">
        <v>0</v>
      </c>
      <c r="O2172" s="193">
        <f t="shared" si="467"/>
        <v>0</v>
      </c>
      <c r="P2172" s="194">
        <v>0</v>
      </c>
      <c r="Q2172" s="194">
        <v>0</v>
      </c>
      <c r="R2172" s="194">
        <v>0</v>
      </c>
      <c r="S2172" s="193">
        <f t="shared" si="468"/>
        <v>0</v>
      </c>
      <c r="T2172" s="193">
        <f t="shared" si="469"/>
        <v>0</v>
      </c>
      <c r="U2172" s="193">
        <f ca="1">OFFSET('Expenditure Study'!$B$7,'Operations Support'!$C2172,'Operations Support'!$B2172)*$G2172</f>
        <v>0</v>
      </c>
      <c r="V2172" s="199">
        <f ca="1">U2172*'Expenditure Study'!$B$31</f>
        <v>0</v>
      </c>
      <c r="W2172" s="199">
        <f ca="1">IF(A2172=10298,1.51,1)*IF($B2172&lt;3,$D2172*'Expenditure Study'!$B$32*OFFSET('Expenditure Study'!$B$7,'Operations Support'!$C2172,'Operations Support'!$B2172),0)</f>
        <v>0</v>
      </c>
      <c r="X2172" s="200">
        <f ca="1">W2172*'Expenditure Study'!$B$31</f>
        <v>0</v>
      </c>
      <c r="Y2172" s="199">
        <f ca="1">U2172*'Expenditure Study'!$B$31</f>
        <v>0</v>
      </c>
      <c r="Z2172" s="200">
        <f ca="1">W2172*'Expenditure Study'!$B$31</f>
        <v>0</v>
      </c>
      <c r="AA2172" s="195">
        <f t="shared" ca="1" si="470"/>
        <v>0</v>
      </c>
      <c r="AB2172" s="195">
        <f t="shared" ca="1" si="471"/>
        <v>0</v>
      </c>
      <c r="AD2172" s="196">
        <f>IFERROR($G2172/SUMIF($A:$A,$A2172,$G:$G)*SUMIF(Summary!$A$166:$A$242,$A2172,Summary!$P$166:$P$242),0)</f>
        <v>0</v>
      </c>
      <c r="AE2172" s="197">
        <f t="shared" ca="1" si="472"/>
        <v>0</v>
      </c>
      <c r="AF2172" s="196">
        <f>IFERROR(G2172/SUMIF(A:A,A2172,G:G)*SUMIF(Summary!$A$166:$A$242,'Operations Support'!A2172,Summary!$Q$166:$Q$242),0)</f>
        <v>0</v>
      </c>
      <c r="AG2172" s="196">
        <f t="shared" ca="1" si="473"/>
        <v>0</v>
      </c>
      <c r="AI2172" s="196">
        <f>IFERROR($G2172/SUMIF($A:$A,$A2172,$G:$G)*SUMIF(Summary!$A$247:$A$283,$A2172,Summary!$P$247:$P$283),0)</f>
        <v>0</v>
      </c>
      <c r="AJ2172" s="196">
        <f>IFERROR($G2172/SUMIF($A:$A,$A2172,$G:$G)*(SUMIF(Summary!$A$247:$A$283,$A2172,Summary!$L$247:$L$283)+SUMIF(Summary!$A$297:$A$333,$A2172,Summary!$L$297:$L$333))-AI2172,0)</f>
        <v>0</v>
      </c>
      <c r="AK2172" s="196">
        <f>IFERROR($G2172/SUMIF($A:$A,$A2172,$G:$G)*SUMIF(Summary!$A$247:$A$283,$A2172,Summary!$Q$247:$Q$283),0)</f>
        <v>0</v>
      </c>
      <c r="AL2172" s="196">
        <f>IFERROR($G2172/SUMIF($A:$A,$A2172,$G:$G)*(SUMIF(Summary!$A$247:$A$283,$A2172,Summary!$L$247:$L$283)+SUMIF(Summary!$A$297:$A$333,$A2172,Summary!$L$297:$L$333))-AK2172,0)</f>
        <v>0</v>
      </c>
      <c r="AM2172" s="198"/>
      <c r="AN2172" s="196">
        <f t="shared" ca="1" si="474"/>
        <v>0</v>
      </c>
      <c r="AO2172" s="196">
        <f t="shared" ca="1" si="475"/>
        <v>0</v>
      </c>
    </row>
    <row r="2173" spans="1:41">
      <c r="A2173" s="189">
        <v>3658</v>
      </c>
      <c r="B2173" s="190">
        <v>4</v>
      </c>
      <c r="C2173" s="191" t="s">
        <v>225</v>
      </c>
      <c r="D2173" s="192">
        <f t="shared" si="462"/>
        <v>22061.5</v>
      </c>
      <c r="E2173" s="192">
        <f t="shared" si="463"/>
        <v>3991.5</v>
      </c>
      <c r="F2173" s="192">
        <f t="shared" si="464"/>
        <v>1350</v>
      </c>
      <c r="G2173" s="193">
        <f t="shared" si="465"/>
        <v>24703</v>
      </c>
      <c r="H2173" s="194">
        <v>10798.5</v>
      </c>
      <c r="I2173" s="194">
        <v>1310.5</v>
      </c>
      <c r="J2173" s="194">
        <v>611</v>
      </c>
      <c r="K2173" s="193">
        <f t="shared" si="466"/>
        <v>11498</v>
      </c>
      <c r="L2173" s="194">
        <v>8819.5</v>
      </c>
      <c r="M2173" s="194">
        <v>2367.5</v>
      </c>
      <c r="N2173" s="194">
        <v>534</v>
      </c>
      <c r="O2173" s="193">
        <f t="shared" si="467"/>
        <v>10653</v>
      </c>
      <c r="P2173" s="194">
        <v>2443.5</v>
      </c>
      <c r="Q2173" s="194">
        <v>313.5</v>
      </c>
      <c r="R2173" s="194">
        <v>205</v>
      </c>
      <c r="S2173" s="193">
        <f t="shared" si="468"/>
        <v>2552</v>
      </c>
      <c r="T2173" s="193">
        <f t="shared" si="469"/>
        <v>1372.3888888888889</v>
      </c>
      <c r="U2173" s="193">
        <f ca="1">OFFSET('Expenditure Study'!$B$7,'Operations Support'!$C2173,'Operations Support'!$B2173)*$G2173</f>
        <v>464169.37</v>
      </c>
      <c r="V2173" s="199">
        <f ca="1">U2173*'Expenditure Study'!$B$31</f>
        <v>27424602.809532095</v>
      </c>
      <c r="W2173" s="199">
        <f ca="1">IF(A2173=10298,1.51,1)*IF($B2173&lt;3,$D2173*'Expenditure Study'!$B$32*OFFSET('Expenditure Study'!$B$7,'Operations Support'!$C2173,'Operations Support'!$B2173),0)</f>
        <v>0</v>
      </c>
      <c r="X2173" s="200">
        <f ca="1">W2173*'Expenditure Study'!$B$31</f>
        <v>0</v>
      </c>
      <c r="Y2173" s="199">
        <f ca="1">U2173*'Expenditure Study'!$B$31</f>
        <v>27424602.809532095</v>
      </c>
      <c r="Z2173" s="200">
        <f ca="1">W2173*'Expenditure Study'!$B$31</f>
        <v>0</v>
      </c>
      <c r="AA2173" s="195">
        <f t="shared" ca="1" si="470"/>
        <v>27424602.809532095</v>
      </c>
      <c r="AB2173" s="195">
        <f t="shared" ca="1" si="471"/>
        <v>27424602.809532095</v>
      </c>
      <c r="AD2173" s="196">
        <f>IFERROR($G2173/SUMIF($A:$A,$A2173,$G:$G)*SUMIF(Summary!$A$166:$A$242,$A2173,Summary!$P$166:$P$242),0)</f>
        <v>1148444.751528634</v>
      </c>
      <c r="AE2173" s="197">
        <f t="shared" ca="1" si="472"/>
        <v>26276158.058003459</v>
      </c>
      <c r="AF2173" s="196">
        <f>IFERROR(G2173/SUMIF(A:A,A2173,G:G)*SUMIF(Summary!$A$166:$A$242,'Operations Support'!A2173,Summary!$Q$166:$Q$242),0)</f>
        <v>1154953.830670241</v>
      </c>
      <c r="AG2173" s="196">
        <f t="shared" ca="1" si="473"/>
        <v>26269648.978861853</v>
      </c>
      <c r="AI2173" s="196">
        <f>IFERROR($G2173/SUMIF($A:$A,$A2173,$G:$G)*SUMIF(Summary!$A$247:$A$283,$A2173,Summary!$P$247:$P$283),0)</f>
        <v>209447.66355951084</v>
      </c>
      <c r="AJ2173" s="196">
        <f>IFERROR($G2173/SUMIF($A:$A,$A2173,$G:$G)*(SUMIF(Summary!$A$247:$A$283,$A2173,Summary!$L$247:$L$283)+SUMIF(Summary!$A$297:$A$333,$A2173,Summary!$L$297:$L$333))-AI2173,0)</f>
        <v>873141.26895854319</v>
      </c>
      <c r="AK2173" s="196">
        <f>IFERROR($G2173/SUMIF($A:$A,$A2173,$G:$G)*SUMIF(Summary!$A$247:$A$283,$A2173,Summary!$Q$247:$Q$283),0)</f>
        <v>210634.75716268062</v>
      </c>
      <c r="AL2173" s="196">
        <f>IFERROR($G2173/SUMIF($A:$A,$A2173,$G:$G)*(SUMIF(Summary!$A$247:$A$283,$A2173,Summary!$L$247:$L$283)+SUMIF(Summary!$A$297:$A$333,$A2173,Summary!$L$297:$L$333))-AK2173,0)</f>
        <v>871954.17535537342</v>
      </c>
      <c r="AM2173" s="198"/>
      <c r="AN2173" s="196">
        <f t="shared" ca="1" si="474"/>
        <v>27149299.326962002</v>
      </c>
      <c r="AO2173" s="196">
        <f t="shared" ca="1" si="475"/>
        <v>27141603.154217228</v>
      </c>
    </row>
    <row r="2174" spans="1:41">
      <c r="A2174" s="189">
        <v>3658</v>
      </c>
      <c r="B2174" s="190">
        <v>4</v>
      </c>
      <c r="C2174" s="191" t="s">
        <v>226</v>
      </c>
      <c r="D2174" s="192">
        <f t="shared" si="462"/>
        <v>899</v>
      </c>
      <c r="E2174" s="192">
        <f t="shared" si="463"/>
        <v>3</v>
      </c>
      <c r="F2174" s="192">
        <f t="shared" si="464"/>
        <v>33</v>
      </c>
      <c r="G2174" s="193">
        <f t="shared" si="465"/>
        <v>869</v>
      </c>
      <c r="H2174" s="194">
        <v>423</v>
      </c>
      <c r="I2174" s="194">
        <v>3</v>
      </c>
      <c r="J2174" s="194">
        <v>21</v>
      </c>
      <c r="K2174" s="193">
        <f t="shared" si="466"/>
        <v>405</v>
      </c>
      <c r="L2174" s="194">
        <v>395</v>
      </c>
      <c r="M2174" s="194">
        <v>0</v>
      </c>
      <c r="N2174" s="194">
        <v>9</v>
      </c>
      <c r="O2174" s="193">
        <f t="shared" si="467"/>
        <v>386</v>
      </c>
      <c r="P2174" s="194">
        <v>81</v>
      </c>
      <c r="Q2174" s="194">
        <v>0</v>
      </c>
      <c r="R2174" s="194">
        <v>3</v>
      </c>
      <c r="S2174" s="193">
        <f t="shared" si="468"/>
        <v>78</v>
      </c>
      <c r="T2174" s="193">
        <f t="shared" si="469"/>
        <v>48.277777777777779</v>
      </c>
      <c r="U2174" s="193">
        <f ca="1">OFFSET('Expenditure Study'!$B$7,'Operations Support'!$C2174,'Operations Support'!$B2174)*$G2174</f>
        <v>12200.759999999998</v>
      </c>
      <c r="V2174" s="199">
        <f ca="1">U2174*'Expenditure Study'!$B$31</f>
        <v>720859.70897740789</v>
      </c>
      <c r="W2174" s="199">
        <f ca="1">IF(A2174=10298,1.51,1)*IF($B2174&lt;3,$D2174*'Expenditure Study'!$B$32*OFFSET('Expenditure Study'!$B$7,'Operations Support'!$C2174,'Operations Support'!$B2174),0)</f>
        <v>0</v>
      </c>
      <c r="X2174" s="200">
        <f ca="1">W2174*'Expenditure Study'!$B$31</f>
        <v>0</v>
      </c>
      <c r="Y2174" s="199">
        <f ca="1">U2174*'Expenditure Study'!$B$31</f>
        <v>720859.70897740789</v>
      </c>
      <c r="Z2174" s="200">
        <f ca="1">W2174*'Expenditure Study'!$B$31</f>
        <v>0</v>
      </c>
      <c r="AA2174" s="195">
        <f t="shared" ca="1" si="470"/>
        <v>720859.70897740789</v>
      </c>
      <c r="AB2174" s="195">
        <f t="shared" ca="1" si="471"/>
        <v>720859.70897740789</v>
      </c>
      <c r="AD2174" s="196">
        <f>IFERROR($G2174/SUMIF($A:$A,$A2174,$G:$G)*SUMIF(Summary!$A$166:$A$242,$A2174,Summary!$P$166:$P$242),0)</f>
        <v>40399.890259417189</v>
      </c>
      <c r="AE2174" s="197">
        <f t="shared" ca="1" si="472"/>
        <v>680459.81871799065</v>
      </c>
      <c r="AF2174" s="196">
        <f>IFERROR(G2174/SUMIF(A:A,A2174,G:G)*SUMIF(Summary!$A$166:$A$242,'Operations Support'!A2174,Summary!$Q$166:$Q$242),0)</f>
        <v>40628.86608316558</v>
      </c>
      <c r="AG2174" s="196">
        <f t="shared" ca="1" si="473"/>
        <v>680230.84289424226</v>
      </c>
      <c r="AI2174" s="196">
        <f>IFERROR($G2174/SUMIF($A:$A,$A2174,$G:$G)*SUMIF(Summary!$A$247:$A$283,$A2174,Summary!$P$247:$P$283),0)</f>
        <v>7367.9318152942933</v>
      </c>
      <c r="AJ2174" s="196">
        <f>IFERROR($G2174/SUMIF($A:$A,$A2174,$G:$G)*(SUMIF(Summary!$A$247:$A$283,$A2174,Summary!$L$247:$L$283)+SUMIF(Summary!$A$297:$A$333,$A2174,Summary!$L$297:$L$333))-AI2174,0)</f>
        <v>30715.288132007197</v>
      </c>
      <c r="AK2174" s="196">
        <f>IFERROR($G2174/SUMIF($A:$A,$A2174,$G:$G)*SUMIF(Summary!$A$247:$A$283,$A2174,Summary!$Q$247:$Q$283),0)</f>
        <v>7409.6912915180119</v>
      </c>
      <c r="AL2174" s="196">
        <f>IFERROR($G2174/SUMIF($A:$A,$A2174,$G:$G)*(SUMIF(Summary!$A$247:$A$283,$A2174,Summary!$L$247:$L$283)+SUMIF(Summary!$A$297:$A$333,$A2174,Summary!$L$297:$L$333))-AK2174,0)</f>
        <v>30673.528655783481</v>
      </c>
      <c r="AM2174" s="198"/>
      <c r="AN2174" s="196">
        <f t="shared" ca="1" si="474"/>
        <v>711175.10684999789</v>
      </c>
      <c r="AO2174" s="196">
        <f t="shared" ca="1" si="475"/>
        <v>710904.37155002577</v>
      </c>
    </row>
    <row r="2175" spans="1:41">
      <c r="A2175" s="189">
        <v>3658</v>
      </c>
      <c r="B2175" s="190">
        <v>4</v>
      </c>
      <c r="C2175" s="191" t="s">
        <v>227</v>
      </c>
      <c r="D2175" s="192">
        <f t="shared" si="462"/>
        <v>0</v>
      </c>
      <c r="E2175" s="192">
        <f t="shared" si="463"/>
        <v>0</v>
      </c>
      <c r="F2175" s="192">
        <f t="shared" si="464"/>
        <v>0</v>
      </c>
      <c r="G2175" s="193">
        <f t="shared" si="465"/>
        <v>0</v>
      </c>
      <c r="H2175" s="194">
        <v>0</v>
      </c>
      <c r="I2175" s="194">
        <v>0</v>
      </c>
      <c r="J2175" s="194">
        <v>0</v>
      </c>
      <c r="K2175" s="193">
        <f t="shared" si="466"/>
        <v>0</v>
      </c>
      <c r="L2175" s="194">
        <v>0</v>
      </c>
      <c r="M2175" s="194">
        <v>0</v>
      </c>
      <c r="N2175" s="194">
        <v>0</v>
      </c>
      <c r="O2175" s="193">
        <f t="shared" si="467"/>
        <v>0</v>
      </c>
      <c r="P2175" s="194">
        <v>0</v>
      </c>
      <c r="Q2175" s="194">
        <v>0</v>
      </c>
      <c r="R2175" s="194">
        <v>0</v>
      </c>
      <c r="S2175" s="193">
        <f t="shared" si="468"/>
        <v>0</v>
      </c>
      <c r="T2175" s="193">
        <f t="shared" si="469"/>
        <v>0</v>
      </c>
      <c r="U2175" s="193">
        <f ca="1">OFFSET('Expenditure Study'!$B$7,'Operations Support'!$C2175,'Operations Support'!$B2175)*$G2175</f>
        <v>0</v>
      </c>
      <c r="V2175" s="199">
        <f ca="1">U2175*'Expenditure Study'!$B$31</f>
        <v>0</v>
      </c>
      <c r="W2175" s="199">
        <f ca="1">IF(A2175=10298,1.51,1)*IF($B2175&lt;3,$D2175*'Expenditure Study'!$B$32*OFFSET('Expenditure Study'!$B$7,'Operations Support'!$C2175,'Operations Support'!$B2175),0)</f>
        <v>0</v>
      </c>
      <c r="X2175" s="200">
        <f ca="1">W2175*'Expenditure Study'!$B$31</f>
        <v>0</v>
      </c>
      <c r="Y2175" s="199">
        <f ca="1">U2175*'Expenditure Study'!$B$31</f>
        <v>0</v>
      </c>
      <c r="Z2175" s="200">
        <f ca="1">W2175*'Expenditure Study'!$B$31</f>
        <v>0</v>
      </c>
      <c r="AA2175" s="195">
        <f t="shared" ca="1" si="470"/>
        <v>0</v>
      </c>
      <c r="AB2175" s="195">
        <f t="shared" ca="1" si="471"/>
        <v>0</v>
      </c>
      <c r="AD2175" s="196">
        <f>IFERROR($G2175/SUMIF($A:$A,$A2175,$G:$G)*SUMIF(Summary!$A$166:$A$242,$A2175,Summary!$P$166:$P$242),0)</f>
        <v>0</v>
      </c>
      <c r="AE2175" s="197">
        <f t="shared" ca="1" si="472"/>
        <v>0</v>
      </c>
      <c r="AF2175" s="196">
        <f>IFERROR(G2175/SUMIF(A:A,A2175,G:G)*SUMIF(Summary!$A$166:$A$242,'Operations Support'!A2175,Summary!$Q$166:$Q$242),0)</f>
        <v>0</v>
      </c>
      <c r="AG2175" s="196">
        <f t="shared" ca="1" si="473"/>
        <v>0</v>
      </c>
      <c r="AI2175" s="196">
        <f>IFERROR($G2175/SUMIF($A:$A,$A2175,$G:$G)*SUMIF(Summary!$A$247:$A$283,$A2175,Summary!$P$247:$P$283),0)</f>
        <v>0</v>
      </c>
      <c r="AJ2175" s="196">
        <f>IFERROR($G2175/SUMIF($A:$A,$A2175,$G:$G)*(SUMIF(Summary!$A$247:$A$283,$A2175,Summary!$L$247:$L$283)+SUMIF(Summary!$A$297:$A$333,$A2175,Summary!$L$297:$L$333))-AI2175,0)</f>
        <v>0</v>
      </c>
      <c r="AK2175" s="196">
        <f>IFERROR($G2175/SUMIF($A:$A,$A2175,$G:$G)*SUMIF(Summary!$A$247:$A$283,$A2175,Summary!$Q$247:$Q$283),0)</f>
        <v>0</v>
      </c>
      <c r="AL2175" s="196">
        <f>IFERROR($G2175/SUMIF($A:$A,$A2175,$G:$G)*(SUMIF(Summary!$A$247:$A$283,$A2175,Summary!$L$247:$L$283)+SUMIF(Summary!$A$297:$A$333,$A2175,Summary!$L$297:$L$333))-AK2175,0)</f>
        <v>0</v>
      </c>
      <c r="AM2175" s="198"/>
      <c r="AN2175" s="196">
        <f t="shared" ca="1" si="474"/>
        <v>0</v>
      </c>
      <c r="AO2175" s="196">
        <f t="shared" ca="1" si="475"/>
        <v>0</v>
      </c>
    </row>
    <row r="2176" spans="1:41">
      <c r="A2176" s="189">
        <v>3658</v>
      </c>
      <c r="B2176" s="190">
        <v>4</v>
      </c>
      <c r="C2176" s="191" t="s">
        <v>228</v>
      </c>
      <c r="D2176" s="192">
        <f t="shared" si="462"/>
        <v>404</v>
      </c>
      <c r="E2176" s="192">
        <f t="shared" si="463"/>
        <v>75</v>
      </c>
      <c r="F2176" s="192">
        <f t="shared" si="464"/>
        <v>0</v>
      </c>
      <c r="G2176" s="193">
        <f t="shared" si="465"/>
        <v>479</v>
      </c>
      <c r="H2176" s="194">
        <v>186</v>
      </c>
      <c r="I2176" s="194">
        <v>30</v>
      </c>
      <c r="J2176" s="194">
        <v>0</v>
      </c>
      <c r="K2176" s="193">
        <f t="shared" si="466"/>
        <v>216</v>
      </c>
      <c r="L2176" s="194">
        <v>149</v>
      </c>
      <c r="M2176" s="194">
        <v>21</v>
      </c>
      <c r="N2176" s="194">
        <v>0</v>
      </c>
      <c r="O2176" s="193">
        <f t="shared" si="467"/>
        <v>170</v>
      </c>
      <c r="P2176" s="194">
        <v>69</v>
      </c>
      <c r="Q2176" s="194">
        <v>24</v>
      </c>
      <c r="R2176" s="194">
        <v>0</v>
      </c>
      <c r="S2176" s="193">
        <f t="shared" si="468"/>
        <v>93</v>
      </c>
      <c r="T2176" s="193">
        <f t="shared" si="469"/>
        <v>26.611111111111111</v>
      </c>
      <c r="U2176" s="193">
        <f ca="1">OFFSET('Expenditure Study'!$B$7,'Operations Support'!$C2176,'Operations Support'!$B2176)*$G2176</f>
        <v>13924.53</v>
      </c>
      <c r="V2176" s="199">
        <f ca="1">U2176*'Expenditure Study'!$B$31</f>
        <v>822705.5235450241</v>
      </c>
      <c r="W2176" s="199">
        <f ca="1">IF(A2176=10298,1.51,1)*IF($B2176&lt;3,$D2176*'Expenditure Study'!$B$32*OFFSET('Expenditure Study'!$B$7,'Operations Support'!$C2176,'Operations Support'!$B2176),0)</f>
        <v>0</v>
      </c>
      <c r="X2176" s="200">
        <f ca="1">W2176*'Expenditure Study'!$B$31</f>
        <v>0</v>
      </c>
      <c r="Y2176" s="199">
        <f ca="1">U2176*'Expenditure Study'!$B$31</f>
        <v>822705.5235450241</v>
      </c>
      <c r="Z2176" s="200">
        <f ca="1">W2176*'Expenditure Study'!$B$31</f>
        <v>0</v>
      </c>
      <c r="AA2176" s="195">
        <f t="shared" ca="1" si="470"/>
        <v>822705.5235450241</v>
      </c>
      <c r="AB2176" s="195">
        <f t="shared" ca="1" si="471"/>
        <v>822705.5235450241</v>
      </c>
      <c r="AD2176" s="196">
        <f>IFERROR($G2176/SUMIF($A:$A,$A2176,$G:$G)*SUMIF(Summary!$A$166:$A$242,$A2176,Summary!$P$166:$P$242),0)</f>
        <v>22268.754239655736</v>
      </c>
      <c r="AE2176" s="197">
        <f t="shared" ca="1" si="472"/>
        <v>800436.76930536842</v>
      </c>
      <c r="AF2176" s="196">
        <f>IFERROR(G2176/SUMIF(A:A,A2176,G:G)*SUMIF(Summary!$A$166:$A$242,'Operations Support'!A2176,Summary!$Q$166:$Q$242),0)</f>
        <v>22394.967610858821</v>
      </c>
      <c r="AG2176" s="196">
        <f t="shared" ca="1" si="473"/>
        <v>800310.55593416526</v>
      </c>
      <c r="AI2176" s="196">
        <f>IFERROR($G2176/SUMIF($A:$A,$A2176,$G:$G)*SUMIF(Summary!$A$247:$A$283,$A2176,Summary!$P$247:$P$283),0)</f>
        <v>4061.265062745646</v>
      </c>
      <c r="AJ2176" s="196">
        <f>IFERROR($G2176/SUMIF($A:$A,$A2176,$G:$G)*(SUMIF(Summary!$A$247:$A$283,$A2176,Summary!$L$247:$L$283)+SUMIF(Summary!$A$297:$A$333,$A2176,Summary!$L$297:$L$333))-AI2176,0)</f>
        <v>16930.521306365306</v>
      </c>
      <c r="AK2176" s="196">
        <f>IFERROR($G2176/SUMIF($A:$A,$A2176,$G:$G)*SUMIF(Summary!$A$247:$A$283,$A2176,Summary!$Q$247:$Q$283),0)</f>
        <v>4084.2832320335187</v>
      </c>
      <c r="AL2176" s="196">
        <f>IFERROR($G2176/SUMIF($A:$A,$A2176,$G:$G)*(SUMIF(Summary!$A$247:$A$283,$A2176,Summary!$L$247:$L$283)+SUMIF(Summary!$A$297:$A$333,$A2176,Summary!$L$297:$L$333))-AK2176,0)</f>
        <v>16907.503137077434</v>
      </c>
      <c r="AM2176" s="198"/>
      <c r="AN2176" s="196">
        <f t="shared" ca="1" si="474"/>
        <v>817367.29061173368</v>
      </c>
      <c r="AO2176" s="196">
        <f t="shared" ca="1" si="475"/>
        <v>817218.05907124269</v>
      </c>
    </row>
    <row r="2177" spans="1:41">
      <c r="A2177" s="189">
        <v>3658</v>
      </c>
      <c r="B2177" s="190">
        <v>4</v>
      </c>
      <c r="C2177" s="191" t="s">
        <v>229</v>
      </c>
      <c r="D2177" s="192">
        <f t="shared" si="462"/>
        <v>430</v>
      </c>
      <c r="E2177" s="192">
        <f t="shared" si="463"/>
        <v>189</v>
      </c>
      <c r="F2177" s="192">
        <f t="shared" si="464"/>
        <v>12</v>
      </c>
      <c r="G2177" s="193">
        <f t="shared" si="465"/>
        <v>607</v>
      </c>
      <c r="H2177" s="194">
        <v>256</v>
      </c>
      <c r="I2177" s="194">
        <v>39</v>
      </c>
      <c r="J2177" s="194">
        <v>9</v>
      </c>
      <c r="K2177" s="193">
        <f t="shared" si="466"/>
        <v>286</v>
      </c>
      <c r="L2177" s="194">
        <v>111</v>
      </c>
      <c r="M2177" s="194">
        <v>147</v>
      </c>
      <c r="N2177" s="194">
        <v>0</v>
      </c>
      <c r="O2177" s="193">
        <f t="shared" si="467"/>
        <v>258</v>
      </c>
      <c r="P2177" s="194">
        <v>63</v>
      </c>
      <c r="Q2177" s="194">
        <v>3</v>
      </c>
      <c r="R2177" s="194">
        <v>3</v>
      </c>
      <c r="S2177" s="193">
        <f t="shared" si="468"/>
        <v>63</v>
      </c>
      <c r="T2177" s="193">
        <f t="shared" si="469"/>
        <v>33.722222222222221</v>
      </c>
      <c r="U2177" s="193">
        <f ca="1">OFFSET('Expenditure Study'!$B$7,'Operations Support'!$C2177,'Operations Support'!$B2177)*$G2177</f>
        <v>16073.36</v>
      </c>
      <c r="V2177" s="199">
        <f ca="1">U2177*'Expenditure Study'!$B$31</f>
        <v>949665.23494348803</v>
      </c>
      <c r="W2177" s="199">
        <f ca="1">IF(A2177=10298,1.51,1)*IF($B2177&lt;3,$D2177*'Expenditure Study'!$B$32*OFFSET('Expenditure Study'!$B$7,'Operations Support'!$C2177,'Operations Support'!$B2177),0)</f>
        <v>0</v>
      </c>
      <c r="X2177" s="200">
        <f ca="1">W2177*'Expenditure Study'!$B$31</f>
        <v>0</v>
      </c>
      <c r="Y2177" s="199">
        <f ca="1">U2177*'Expenditure Study'!$B$31</f>
        <v>949665.23494348803</v>
      </c>
      <c r="Z2177" s="200">
        <f ca="1">W2177*'Expenditure Study'!$B$31</f>
        <v>0</v>
      </c>
      <c r="AA2177" s="195">
        <f t="shared" ca="1" si="470"/>
        <v>949665.23494348803</v>
      </c>
      <c r="AB2177" s="195">
        <f t="shared" ca="1" si="471"/>
        <v>949665.23494348803</v>
      </c>
      <c r="AD2177" s="196">
        <f>IFERROR($G2177/SUMIF($A:$A,$A2177,$G:$G)*SUMIF(Summary!$A$166:$A$242,$A2177,Summary!$P$166:$P$242),0)</f>
        <v>28219.486061526164</v>
      </c>
      <c r="AE2177" s="197">
        <f t="shared" ca="1" si="472"/>
        <v>921445.74888196192</v>
      </c>
      <c r="AF2177" s="196">
        <f>IFERROR(G2177/SUMIF(A:A,A2177,G:G)*SUMIF(Summary!$A$166:$A$242,'Operations Support'!A2177,Summary!$Q$166:$Q$242),0)</f>
        <v>28379.426596641555</v>
      </c>
      <c r="AG2177" s="196">
        <f t="shared" ca="1" si="473"/>
        <v>921285.80834684649</v>
      </c>
      <c r="AI2177" s="196">
        <f>IFERROR($G2177/SUMIF($A:$A,$A2177,$G:$G)*SUMIF(Summary!$A$247:$A$283,$A2177,Summary!$P$247:$P$283),0)</f>
        <v>5146.53004819751</v>
      </c>
      <c r="AJ2177" s="196">
        <f>IFERROR($G2177/SUMIF($A:$A,$A2177,$G:$G)*(SUMIF(Summary!$A$247:$A$283,$A2177,Summary!$L$247:$L$283)+SUMIF(Summary!$A$297:$A$333,$A2177,Summary!$L$297:$L$333))-AI2177,0)</f>
        <v>21454.752469652904</v>
      </c>
      <c r="AK2177" s="196">
        <f>IFERROR($G2177/SUMIF($A:$A,$A2177,$G:$G)*SUMIF(Summary!$A$247:$A$283,$A2177,Summary!$Q$247:$Q$283),0)</f>
        <v>5175.6992105309937</v>
      </c>
      <c r="AL2177" s="196">
        <f>IFERROR($G2177/SUMIF($A:$A,$A2177,$G:$G)*(SUMIF(Summary!$A$247:$A$283,$A2177,Summary!$L$247:$L$283)+SUMIF(Summary!$A$297:$A$333,$A2177,Summary!$L$297:$L$333))-AK2177,0)</f>
        <v>21425.583307319419</v>
      </c>
      <c r="AM2177" s="198"/>
      <c r="AN2177" s="196">
        <f t="shared" ca="1" si="474"/>
        <v>942900.50135161483</v>
      </c>
      <c r="AO2177" s="196">
        <f t="shared" ca="1" si="475"/>
        <v>942711.39165416593</v>
      </c>
    </row>
    <row r="2178" spans="1:41">
      <c r="A2178" s="189">
        <v>3658</v>
      </c>
      <c r="B2178" s="190">
        <v>4</v>
      </c>
      <c r="C2178" s="191" t="s">
        <v>230</v>
      </c>
      <c r="D2178" s="192">
        <f t="shared" si="462"/>
        <v>0</v>
      </c>
      <c r="E2178" s="192">
        <f t="shared" si="463"/>
        <v>0</v>
      </c>
      <c r="F2178" s="192">
        <f t="shared" si="464"/>
        <v>0</v>
      </c>
      <c r="G2178" s="193">
        <f t="shared" si="465"/>
        <v>0</v>
      </c>
      <c r="H2178" s="194">
        <v>0</v>
      </c>
      <c r="I2178" s="194">
        <v>0</v>
      </c>
      <c r="J2178" s="194">
        <v>0</v>
      </c>
      <c r="K2178" s="193">
        <f t="shared" si="466"/>
        <v>0</v>
      </c>
      <c r="L2178" s="194">
        <v>0</v>
      </c>
      <c r="M2178" s="194">
        <v>0</v>
      </c>
      <c r="N2178" s="194">
        <v>0</v>
      </c>
      <c r="O2178" s="193">
        <f t="shared" si="467"/>
        <v>0</v>
      </c>
      <c r="P2178" s="194">
        <v>0</v>
      </c>
      <c r="Q2178" s="194">
        <v>0</v>
      </c>
      <c r="R2178" s="194">
        <v>0</v>
      </c>
      <c r="S2178" s="193">
        <f t="shared" si="468"/>
        <v>0</v>
      </c>
      <c r="T2178" s="193">
        <f t="shared" si="469"/>
        <v>0</v>
      </c>
      <c r="U2178" s="193">
        <f ca="1">OFFSET('Expenditure Study'!$B$7,'Operations Support'!$C2178,'Operations Support'!$B2178)*$G2178</f>
        <v>0</v>
      </c>
      <c r="V2178" s="199">
        <f ca="1">U2178*'Expenditure Study'!$B$31</f>
        <v>0</v>
      </c>
      <c r="W2178" s="199">
        <f ca="1">IF(A2178=10298,1.51,1)*IF($B2178&lt;3,$D2178*'Expenditure Study'!$B$32*OFFSET('Expenditure Study'!$B$7,'Operations Support'!$C2178,'Operations Support'!$B2178),0)</f>
        <v>0</v>
      </c>
      <c r="X2178" s="200">
        <f ca="1">W2178*'Expenditure Study'!$B$31</f>
        <v>0</v>
      </c>
      <c r="Y2178" s="199">
        <f ca="1">U2178*'Expenditure Study'!$B$31</f>
        <v>0</v>
      </c>
      <c r="Z2178" s="200">
        <f ca="1">W2178*'Expenditure Study'!$B$31</f>
        <v>0</v>
      </c>
      <c r="AA2178" s="195">
        <f t="shared" ca="1" si="470"/>
        <v>0</v>
      </c>
      <c r="AB2178" s="195">
        <f t="shared" ca="1" si="471"/>
        <v>0</v>
      </c>
      <c r="AD2178" s="196">
        <f>IFERROR($G2178/SUMIF($A:$A,$A2178,$G:$G)*SUMIF(Summary!$A$166:$A$242,$A2178,Summary!$P$166:$P$242),0)</f>
        <v>0</v>
      </c>
      <c r="AE2178" s="197">
        <f t="shared" ca="1" si="472"/>
        <v>0</v>
      </c>
      <c r="AF2178" s="196">
        <f>IFERROR(G2178/SUMIF(A:A,A2178,G:G)*SUMIF(Summary!$A$166:$A$242,'Operations Support'!A2178,Summary!$Q$166:$Q$242),0)</f>
        <v>0</v>
      </c>
      <c r="AG2178" s="196">
        <f t="shared" ca="1" si="473"/>
        <v>0</v>
      </c>
      <c r="AI2178" s="196">
        <f>IFERROR($G2178/SUMIF($A:$A,$A2178,$G:$G)*SUMIF(Summary!$A$247:$A$283,$A2178,Summary!$P$247:$P$283),0)</f>
        <v>0</v>
      </c>
      <c r="AJ2178" s="196">
        <f>IFERROR($G2178/SUMIF($A:$A,$A2178,$G:$G)*(SUMIF(Summary!$A$247:$A$283,$A2178,Summary!$L$247:$L$283)+SUMIF(Summary!$A$297:$A$333,$A2178,Summary!$L$297:$L$333))-AI2178,0)</f>
        <v>0</v>
      </c>
      <c r="AK2178" s="196">
        <f>IFERROR($G2178/SUMIF($A:$A,$A2178,$G:$G)*SUMIF(Summary!$A$247:$A$283,$A2178,Summary!$Q$247:$Q$283),0)</f>
        <v>0</v>
      </c>
      <c r="AL2178" s="196">
        <f>IFERROR($G2178/SUMIF($A:$A,$A2178,$G:$G)*(SUMIF(Summary!$A$247:$A$283,$A2178,Summary!$L$247:$L$283)+SUMIF(Summary!$A$297:$A$333,$A2178,Summary!$L$297:$L$333))-AK2178,0)</f>
        <v>0</v>
      </c>
      <c r="AM2178" s="198"/>
      <c r="AN2178" s="196">
        <f t="shared" ca="1" si="474"/>
        <v>0</v>
      </c>
      <c r="AO2178" s="196">
        <f t="shared" ca="1" si="475"/>
        <v>0</v>
      </c>
    </row>
    <row r="2179" spans="1:41" s="201" customFormat="1">
      <c r="A2179" s="189">
        <v>3658</v>
      </c>
      <c r="B2179" s="190">
        <v>4</v>
      </c>
      <c r="C2179" s="191" t="s">
        <v>231</v>
      </c>
      <c r="D2179" s="192">
        <f t="shared" si="462"/>
        <v>0</v>
      </c>
      <c r="E2179" s="192">
        <f t="shared" si="463"/>
        <v>0</v>
      </c>
      <c r="F2179" s="192">
        <f t="shared" si="464"/>
        <v>0</v>
      </c>
      <c r="G2179" s="193">
        <f t="shared" si="465"/>
        <v>0</v>
      </c>
      <c r="H2179" s="194">
        <v>0</v>
      </c>
      <c r="I2179" s="194">
        <v>0</v>
      </c>
      <c r="J2179" s="194">
        <v>0</v>
      </c>
      <c r="K2179" s="193">
        <f t="shared" si="466"/>
        <v>0</v>
      </c>
      <c r="L2179" s="194">
        <v>0</v>
      </c>
      <c r="M2179" s="194">
        <v>0</v>
      </c>
      <c r="N2179" s="194">
        <v>0</v>
      </c>
      <c r="O2179" s="193">
        <f t="shared" si="467"/>
        <v>0</v>
      </c>
      <c r="P2179" s="194">
        <v>0</v>
      </c>
      <c r="Q2179" s="194">
        <v>0</v>
      </c>
      <c r="R2179" s="194">
        <v>0</v>
      </c>
      <c r="S2179" s="193">
        <f t="shared" si="468"/>
        <v>0</v>
      </c>
      <c r="T2179" s="193">
        <f t="shared" si="469"/>
        <v>0</v>
      </c>
      <c r="U2179" s="193">
        <f ca="1">OFFSET('Expenditure Study'!$B$7,'Operations Support'!$C2179,'Operations Support'!$B2179)*$G2179</f>
        <v>0</v>
      </c>
      <c r="V2179" s="199">
        <f ca="1">U2179*'Expenditure Study'!$B$31</f>
        <v>0</v>
      </c>
      <c r="W2179" s="199">
        <f ca="1">IF(A2179=10298,1.51,1)*IF($B2179&lt;3,$D2179*'Expenditure Study'!$B$32*OFFSET('Expenditure Study'!$B$7,'Operations Support'!$C2179,'Operations Support'!$B2179),0)</f>
        <v>0</v>
      </c>
      <c r="X2179" s="200">
        <f ca="1">W2179*'Expenditure Study'!$B$31</f>
        <v>0</v>
      </c>
      <c r="Y2179" s="199">
        <f ca="1">U2179*'Expenditure Study'!$B$31</f>
        <v>0</v>
      </c>
      <c r="Z2179" s="200">
        <f ca="1">W2179*'Expenditure Study'!$B$31</f>
        <v>0</v>
      </c>
      <c r="AA2179" s="195">
        <f t="shared" ca="1" si="470"/>
        <v>0</v>
      </c>
      <c r="AB2179" s="195">
        <f t="shared" ca="1" si="471"/>
        <v>0</v>
      </c>
      <c r="AD2179" s="196">
        <f>IFERROR($G2179/SUMIF($A:$A,$A2179,$G:$G)*SUMIF(Summary!$A$166:$A$242,$A2179,Summary!$P$166:$P$242),0)</f>
        <v>0</v>
      </c>
      <c r="AE2179" s="197">
        <f t="shared" ca="1" si="472"/>
        <v>0</v>
      </c>
      <c r="AF2179" s="196">
        <f>IFERROR(G2179/SUMIF(A:A,A2179,G:G)*SUMIF(Summary!$A$166:$A$242,'Operations Support'!A2179,Summary!$Q$166:$Q$242),0)</f>
        <v>0</v>
      </c>
      <c r="AG2179" s="196">
        <f t="shared" ca="1" si="473"/>
        <v>0</v>
      </c>
      <c r="AH2179" s="180"/>
      <c r="AI2179" s="196">
        <f>IFERROR($G2179/SUMIF($A:$A,$A2179,$G:$G)*SUMIF(Summary!$A$247:$A$283,$A2179,Summary!$P$247:$P$283),0)</f>
        <v>0</v>
      </c>
      <c r="AJ2179" s="196">
        <f>IFERROR($G2179/SUMIF($A:$A,$A2179,$G:$G)*(SUMIF(Summary!$A$247:$A$283,$A2179,Summary!$L$247:$L$283)+SUMIF(Summary!$A$297:$A$333,$A2179,Summary!$L$297:$L$333))-AI2179,0)</f>
        <v>0</v>
      </c>
      <c r="AK2179" s="196">
        <f>IFERROR($G2179/SUMIF($A:$A,$A2179,$G:$G)*SUMIF(Summary!$A$247:$A$283,$A2179,Summary!$Q$247:$Q$283),0)</f>
        <v>0</v>
      </c>
      <c r="AL2179" s="196">
        <f>IFERROR($G2179/SUMIF($A:$A,$A2179,$G:$G)*(SUMIF(Summary!$A$247:$A$283,$A2179,Summary!$L$247:$L$283)+SUMIF(Summary!$A$297:$A$333,$A2179,Summary!$L$297:$L$333))-AK2179,0)</f>
        <v>0</v>
      </c>
      <c r="AM2179" s="198"/>
      <c r="AN2179" s="196">
        <f t="shared" ca="1" si="474"/>
        <v>0</v>
      </c>
      <c r="AO2179" s="196">
        <f t="shared" ca="1" si="475"/>
        <v>0</v>
      </c>
    </row>
    <row r="2180" spans="1:41">
      <c r="A2180" s="189">
        <v>3658</v>
      </c>
      <c r="B2180" s="190">
        <v>4</v>
      </c>
      <c r="C2180" s="191" t="s">
        <v>232</v>
      </c>
      <c r="D2180" s="192">
        <f t="shared" si="462"/>
        <v>0</v>
      </c>
      <c r="E2180" s="192">
        <f t="shared" si="463"/>
        <v>0</v>
      </c>
      <c r="F2180" s="192">
        <f t="shared" si="464"/>
        <v>0</v>
      </c>
      <c r="G2180" s="193">
        <f t="shared" si="465"/>
        <v>0</v>
      </c>
      <c r="H2180" s="194">
        <v>0</v>
      </c>
      <c r="I2180" s="194">
        <v>0</v>
      </c>
      <c r="J2180" s="194">
        <v>0</v>
      </c>
      <c r="K2180" s="193">
        <f t="shared" si="466"/>
        <v>0</v>
      </c>
      <c r="L2180" s="194">
        <v>0</v>
      </c>
      <c r="M2180" s="194">
        <v>0</v>
      </c>
      <c r="N2180" s="194">
        <v>0</v>
      </c>
      <c r="O2180" s="193">
        <f t="shared" si="467"/>
        <v>0</v>
      </c>
      <c r="P2180" s="194">
        <v>0</v>
      </c>
      <c r="Q2180" s="194">
        <v>0</v>
      </c>
      <c r="R2180" s="194">
        <v>0</v>
      </c>
      <c r="S2180" s="193">
        <f t="shared" si="468"/>
        <v>0</v>
      </c>
      <c r="T2180" s="193">
        <f t="shared" si="469"/>
        <v>0</v>
      </c>
      <c r="U2180" s="193">
        <f ca="1">OFFSET('Expenditure Study'!$B$7,'Operations Support'!$C2180,'Operations Support'!$B2180)*$G2180</f>
        <v>0</v>
      </c>
      <c r="V2180" s="199">
        <f ca="1">U2180*'Expenditure Study'!$B$31</f>
        <v>0</v>
      </c>
      <c r="W2180" s="199">
        <f ca="1">IF(A2180=10298,1.51,1)*IF($B2180&lt;3,$D2180*'Expenditure Study'!$B$32*OFFSET('Expenditure Study'!$B$7,'Operations Support'!$C2180,'Operations Support'!$B2180),0)</f>
        <v>0</v>
      </c>
      <c r="X2180" s="200">
        <f ca="1">W2180*'Expenditure Study'!$B$31</f>
        <v>0</v>
      </c>
      <c r="Y2180" s="199">
        <f ca="1">U2180*'Expenditure Study'!$B$31</f>
        <v>0</v>
      </c>
      <c r="Z2180" s="200">
        <f ca="1">W2180*'Expenditure Study'!$B$31</f>
        <v>0</v>
      </c>
      <c r="AA2180" s="195">
        <f t="shared" ca="1" si="470"/>
        <v>0</v>
      </c>
      <c r="AB2180" s="195">
        <f t="shared" ca="1" si="471"/>
        <v>0</v>
      </c>
      <c r="AD2180" s="196">
        <f>IFERROR($G2180/SUMIF($A:$A,$A2180,$G:$G)*SUMIF(Summary!$A$166:$A$242,$A2180,Summary!$P$166:$P$242),0)</f>
        <v>0</v>
      </c>
      <c r="AE2180" s="197">
        <f t="shared" ca="1" si="472"/>
        <v>0</v>
      </c>
      <c r="AF2180" s="196">
        <f>IFERROR(G2180/SUMIF(A:A,A2180,G:G)*SUMIF(Summary!$A$166:$A$242,'Operations Support'!A2180,Summary!$Q$166:$Q$242),0)</f>
        <v>0</v>
      </c>
      <c r="AG2180" s="196">
        <f t="shared" ca="1" si="473"/>
        <v>0</v>
      </c>
      <c r="AI2180" s="196">
        <f>IFERROR($G2180/SUMIF($A:$A,$A2180,$G:$G)*SUMIF(Summary!$A$247:$A$283,$A2180,Summary!$P$247:$P$283),0)</f>
        <v>0</v>
      </c>
      <c r="AJ2180" s="196">
        <f>IFERROR($G2180/SUMIF($A:$A,$A2180,$G:$G)*(SUMIF(Summary!$A$247:$A$283,$A2180,Summary!$L$247:$L$283)+SUMIF(Summary!$A$297:$A$333,$A2180,Summary!$L$297:$L$333))-AI2180,0)</f>
        <v>0</v>
      </c>
      <c r="AK2180" s="196">
        <f>IFERROR($G2180/SUMIF($A:$A,$A2180,$G:$G)*SUMIF(Summary!$A$247:$A$283,$A2180,Summary!$Q$247:$Q$283),0)</f>
        <v>0</v>
      </c>
      <c r="AL2180" s="196">
        <f>IFERROR($G2180/SUMIF($A:$A,$A2180,$G:$G)*(SUMIF(Summary!$A$247:$A$283,$A2180,Summary!$L$247:$L$283)+SUMIF(Summary!$A$297:$A$333,$A2180,Summary!$L$297:$L$333))-AK2180,0)</f>
        <v>0</v>
      </c>
      <c r="AM2180" s="198"/>
      <c r="AN2180" s="196">
        <f t="shared" ca="1" si="474"/>
        <v>0</v>
      </c>
      <c r="AO2180" s="196">
        <f t="shared" ca="1" si="475"/>
        <v>0</v>
      </c>
    </row>
    <row r="2181" spans="1:41">
      <c r="A2181" s="189">
        <v>3658</v>
      </c>
      <c r="B2181" s="190">
        <v>4</v>
      </c>
      <c r="C2181" s="191" t="s">
        <v>233</v>
      </c>
      <c r="D2181" s="192">
        <f t="shared" ref="D2181:D2244" si="476">H2181+L2181+P2181</f>
        <v>470</v>
      </c>
      <c r="E2181" s="192">
        <f t="shared" ref="E2181:E2244" si="477">I2181+M2181+Q2181</f>
        <v>117</v>
      </c>
      <c r="F2181" s="192">
        <f t="shared" ref="F2181:F2244" si="478">J2181+N2181+R2181</f>
        <v>40</v>
      </c>
      <c r="G2181" s="193">
        <f t="shared" ref="G2181:G2244" si="479">(SUM(D2181:E2181)-F2181)*IF(A2181=10298,1.51,1)</f>
        <v>547</v>
      </c>
      <c r="H2181" s="194">
        <v>221</v>
      </c>
      <c r="I2181" s="194">
        <v>57</v>
      </c>
      <c r="J2181" s="194">
        <v>22</v>
      </c>
      <c r="K2181" s="193">
        <f t="shared" ref="K2181:K2244" si="480">SUM(H2181:I2181)-J2181</f>
        <v>256</v>
      </c>
      <c r="L2181" s="194">
        <v>195</v>
      </c>
      <c r="M2181" s="194">
        <v>48</v>
      </c>
      <c r="N2181" s="194">
        <v>15</v>
      </c>
      <c r="O2181" s="193">
        <f t="shared" ref="O2181:O2244" si="481">SUM(L2181:M2181)-N2181</f>
        <v>228</v>
      </c>
      <c r="P2181" s="194">
        <v>54</v>
      </c>
      <c r="Q2181" s="194">
        <v>12</v>
      </c>
      <c r="R2181" s="194">
        <v>3</v>
      </c>
      <c r="S2181" s="193">
        <f t="shared" ref="S2181:S2244" si="482">SUM(P2181:Q2181)-R2181</f>
        <v>63</v>
      </c>
      <c r="T2181" s="193">
        <f t="shared" ref="T2181:T2244" si="483">IF(OR(B2181=1,B2181=2),G2181/30,IF(OR(B2181=3,B2181=5),G2181/24,IF(B2181=4,G2181/18,0)))</f>
        <v>30.388888888888889</v>
      </c>
      <c r="U2181" s="193">
        <f ca="1">OFFSET('Expenditure Study'!$B$7,'Operations Support'!$C2181,'Operations Support'!$B2181)*$G2181</f>
        <v>5032.3999999999996</v>
      </c>
      <c r="V2181" s="199">
        <f ca="1">U2181*'Expenditure Study'!$B$31</f>
        <v>297330.19905791996</v>
      </c>
      <c r="W2181" s="199">
        <f ca="1">IF(A2181=10298,1.51,1)*IF($B2181&lt;3,$D2181*'Expenditure Study'!$B$32*OFFSET('Expenditure Study'!$B$7,'Operations Support'!$C2181,'Operations Support'!$B2181),0)</f>
        <v>0</v>
      </c>
      <c r="X2181" s="200">
        <f ca="1">W2181*'Expenditure Study'!$B$31</f>
        <v>0</v>
      </c>
      <c r="Y2181" s="199">
        <f ca="1">U2181*'Expenditure Study'!$B$31</f>
        <v>297330.19905791996</v>
      </c>
      <c r="Z2181" s="200">
        <f ca="1">W2181*'Expenditure Study'!$B$31</f>
        <v>0</v>
      </c>
      <c r="AA2181" s="195">
        <f t="shared" ref="AA2181:AA2244" ca="1" si="484">V2181+X2181</f>
        <v>297330.19905791996</v>
      </c>
      <c r="AB2181" s="195">
        <f t="shared" ref="AB2181:AB2244" ca="1" si="485">Y2181+Z2181</f>
        <v>297330.19905791996</v>
      </c>
      <c r="AD2181" s="196">
        <f>IFERROR($G2181/SUMIF($A:$A,$A2181,$G:$G)*SUMIF(Summary!$A$166:$A$242,$A2181,Summary!$P$166:$P$242),0)</f>
        <v>25430.080520024399</v>
      </c>
      <c r="AE2181" s="197">
        <f t="shared" ca="1" si="472"/>
        <v>271900.11853789556</v>
      </c>
      <c r="AF2181" s="196">
        <f>IFERROR(G2181/SUMIF(A:A,A2181,G:G)*SUMIF(Summary!$A$166:$A$242,'Operations Support'!A2181,Summary!$Q$166:$Q$242),0)</f>
        <v>25574.211447055895</v>
      </c>
      <c r="AG2181" s="196">
        <f t="shared" ca="1" si="473"/>
        <v>271755.98761086405</v>
      </c>
      <c r="AI2181" s="196">
        <f>IFERROR($G2181/SUMIF($A:$A,$A2181,$G:$G)*SUMIF(Summary!$A$247:$A$283,$A2181,Summary!$P$247:$P$283),0)</f>
        <v>4637.8120862669484</v>
      </c>
      <c r="AJ2181" s="196">
        <f>IFERROR($G2181/SUMIF($A:$A,$A2181,$G:$G)*(SUMIF(Summary!$A$247:$A$283,$A2181,Summary!$L$247:$L$283)+SUMIF(Summary!$A$297:$A$333,$A2181,Summary!$L$297:$L$333))-AI2181,0)</f>
        <v>19334.019111861839</v>
      </c>
      <c r="AK2181" s="196">
        <f>IFERROR($G2181/SUMIF($A:$A,$A2181,$G:$G)*SUMIF(Summary!$A$247:$A$283,$A2181,Summary!$Q$247:$Q$283),0)</f>
        <v>4664.0979706103017</v>
      </c>
      <c r="AL2181" s="196">
        <f>IFERROR($G2181/SUMIF($A:$A,$A2181,$G:$G)*(SUMIF(Summary!$A$247:$A$283,$A2181,Summary!$L$247:$L$283)+SUMIF(Summary!$A$297:$A$333,$A2181,Summary!$L$297:$L$333))-AK2181,0)</f>
        <v>19307.733227518485</v>
      </c>
      <c r="AM2181" s="198"/>
      <c r="AN2181" s="196">
        <f t="shared" ca="1" si="474"/>
        <v>291234.13764975738</v>
      </c>
      <c r="AO2181" s="196">
        <f t="shared" ca="1" si="475"/>
        <v>291063.72083838255</v>
      </c>
    </row>
    <row r="2182" spans="1:41">
      <c r="A2182" s="189">
        <v>3658</v>
      </c>
      <c r="B2182" s="190">
        <v>4</v>
      </c>
      <c r="C2182" s="191" t="s">
        <v>234</v>
      </c>
      <c r="D2182" s="192">
        <f t="shared" si="476"/>
        <v>1546.44</v>
      </c>
      <c r="E2182" s="192">
        <f t="shared" si="477"/>
        <v>112.56</v>
      </c>
      <c r="F2182" s="192">
        <f t="shared" si="478"/>
        <v>42</v>
      </c>
      <c r="G2182" s="193">
        <f t="shared" si="479"/>
        <v>1617</v>
      </c>
      <c r="H2182" s="194">
        <v>739.28</v>
      </c>
      <c r="I2182" s="194">
        <v>53.72</v>
      </c>
      <c r="J2182" s="194">
        <v>27</v>
      </c>
      <c r="K2182" s="193">
        <f t="shared" si="480"/>
        <v>766</v>
      </c>
      <c r="L2182" s="194">
        <v>607.20000000000005</v>
      </c>
      <c r="M2182" s="194">
        <v>29.8</v>
      </c>
      <c r="N2182" s="194">
        <v>9</v>
      </c>
      <c r="O2182" s="193">
        <f t="shared" si="481"/>
        <v>628</v>
      </c>
      <c r="P2182" s="194">
        <v>199.96</v>
      </c>
      <c r="Q2182" s="194">
        <v>29.04</v>
      </c>
      <c r="R2182" s="194">
        <v>6</v>
      </c>
      <c r="S2182" s="193">
        <f t="shared" si="482"/>
        <v>223</v>
      </c>
      <c r="T2182" s="193">
        <f t="shared" si="483"/>
        <v>89.833333333333329</v>
      </c>
      <c r="U2182" s="193">
        <f ca="1">OFFSET('Expenditure Study'!$B$7,'Operations Support'!$C2182,'Operations Support'!$B2182)*$G2182</f>
        <v>84488.25</v>
      </c>
      <c r="V2182" s="199">
        <f ca="1">U2182*'Expenditure Study'!$B$31</f>
        <v>4991834.5502255997</v>
      </c>
      <c r="W2182" s="199">
        <f ca="1">IF(A2182=10298,1.51,1)*IF($B2182&lt;3,$D2182*'Expenditure Study'!$B$32*OFFSET('Expenditure Study'!$B$7,'Operations Support'!$C2182,'Operations Support'!$B2182),0)</f>
        <v>0</v>
      </c>
      <c r="X2182" s="200">
        <f ca="1">W2182*'Expenditure Study'!$B$31</f>
        <v>0</v>
      </c>
      <c r="Y2182" s="199">
        <f ca="1">U2182*'Expenditure Study'!$B$31</f>
        <v>4991834.5502255997</v>
      </c>
      <c r="Z2182" s="200">
        <f ca="1">W2182*'Expenditure Study'!$B$31</f>
        <v>0</v>
      </c>
      <c r="AA2182" s="195">
        <f t="shared" ca="1" si="484"/>
        <v>4991834.5502255997</v>
      </c>
      <c r="AB2182" s="195">
        <f t="shared" ca="1" si="485"/>
        <v>4991834.5502255997</v>
      </c>
      <c r="AD2182" s="196">
        <f>IFERROR($G2182/SUMIF($A:$A,$A2182,$G:$G)*SUMIF(Summary!$A$166:$A$242,$A2182,Summary!$P$166:$P$242),0)</f>
        <v>75174.4793434725</v>
      </c>
      <c r="AE2182" s="197">
        <f t="shared" ref="AE2182:AE2245" ca="1" si="486">V2182+X2182-AD2182</f>
        <v>4916660.0708821276</v>
      </c>
      <c r="AF2182" s="196">
        <f>IFERROR(G2182/SUMIF(A:A,A2182,G:G)*SUMIF(Summary!$A$166:$A$242,'Operations Support'!A2182,Summary!$Q$166:$Q$242),0)</f>
        <v>75600.548281333424</v>
      </c>
      <c r="AG2182" s="196">
        <f t="shared" ref="AG2182:AG2245" ca="1" si="487">Y2182+Z2182-AF2182</f>
        <v>4916234.0019442663</v>
      </c>
      <c r="AI2182" s="196">
        <f>IFERROR($G2182/SUMIF($A:$A,$A2182,$G:$G)*SUMIF(Summary!$A$247:$A$283,$A2182,Summary!$P$247:$P$283),0)</f>
        <v>13709.94907402862</v>
      </c>
      <c r="AJ2182" s="196">
        <f>IFERROR($G2182/SUMIF($A:$A,$A2182,$G:$G)*(SUMIF(Summary!$A$247:$A$283,$A2182,Summary!$L$247:$L$283)+SUMIF(Summary!$A$297:$A$333,$A2182,Summary!$L$297:$L$333))-AI2182,0)</f>
        <v>57153.763992469096</v>
      </c>
      <c r="AK2182" s="196">
        <f>IFERROR($G2182/SUMIF($A:$A,$A2182,$G:$G)*SUMIF(Summary!$A$247:$A$283,$A2182,Summary!$Q$247:$Q$283),0)</f>
        <v>13787.653415862629</v>
      </c>
      <c r="AL2182" s="196">
        <f>IFERROR($G2182/SUMIF($A:$A,$A2182,$G:$G)*(SUMIF(Summary!$A$247:$A$283,$A2182,Summary!$L$247:$L$283)+SUMIF(Summary!$A$297:$A$333,$A2182,Summary!$L$297:$L$333))-AK2182,0)</f>
        <v>57076.059650635085</v>
      </c>
      <c r="AM2182" s="198"/>
      <c r="AN2182" s="196">
        <f t="shared" ref="AN2182:AN2245" ca="1" si="488">AE2182+AJ2182</f>
        <v>4973813.8348745964</v>
      </c>
      <c r="AO2182" s="196">
        <f t="shared" ref="AO2182:AO2245" ca="1" si="489">AG2182+AL2182</f>
        <v>4973310.0615949016</v>
      </c>
    </row>
    <row r="2183" spans="1:41">
      <c r="A2183" s="189">
        <v>3658</v>
      </c>
      <c r="B2183" s="190">
        <v>4</v>
      </c>
      <c r="C2183" s="191" t="s">
        <v>235</v>
      </c>
      <c r="D2183" s="192">
        <f t="shared" si="476"/>
        <v>1244</v>
      </c>
      <c r="E2183" s="192">
        <f t="shared" si="477"/>
        <v>277</v>
      </c>
      <c r="F2183" s="192">
        <f t="shared" si="478"/>
        <v>80</v>
      </c>
      <c r="G2183" s="193">
        <f t="shared" si="479"/>
        <v>1441</v>
      </c>
      <c r="H2183" s="194">
        <v>629</v>
      </c>
      <c r="I2183" s="194">
        <v>91</v>
      </c>
      <c r="J2183" s="194">
        <v>47</v>
      </c>
      <c r="K2183" s="193">
        <f t="shared" si="480"/>
        <v>673</v>
      </c>
      <c r="L2183" s="194">
        <v>429</v>
      </c>
      <c r="M2183" s="194">
        <v>156</v>
      </c>
      <c r="N2183" s="194">
        <v>12</v>
      </c>
      <c r="O2183" s="193">
        <f t="shared" si="481"/>
        <v>573</v>
      </c>
      <c r="P2183" s="194">
        <v>186</v>
      </c>
      <c r="Q2183" s="194">
        <v>30</v>
      </c>
      <c r="R2183" s="194">
        <v>21</v>
      </c>
      <c r="S2183" s="193">
        <f t="shared" si="482"/>
        <v>195</v>
      </c>
      <c r="T2183" s="193">
        <f t="shared" si="483"/>
        <v>80.055555555555557</v>
      </c>
      <c r="U2183" s="193">
        <f ca="1">OFFSET('Expenditure Study'!$B$7,'Operations Support'!$C2183,'Operations Support'!$B2183)*$G2183</f>
        <v>54844.460000000006</v>
      </c>
      <c r="V2183" s="199">
        <f ca="1">U2183*'Expenditure Study'!$B$31</f>
        <v>3240385.1460583685</v>
      </c>
      <c r="W2183" s="199">
        <f ca="1">IF(A2183=10298,1.51,1)*IF($B2183&lt;3,$D2183*'Expenditure Study'!$B$32*OFFSET('Expenditure Study'!$B$7,'Operations Support'!$C2183,'Operations Support'!$B2183),0)</f>
        <v>0</v>
      </c>
      <c r="X2183" s="200">
        <f ca="1">W2183*'Expenditure Study'!$B$31</f>
        <v>0</v>
      </c>
      <c r="Y2183" s="199">
        <f ca="1">U2183*'Expenditure Study'!$B$31</f>
        <v>3240385.1460583685</v>
      </c>
      <c r="Z2183" s="200">
        <f ca="1">W2183*'Expenditure Study'!$B$31</f>
        <v>0</v>
      </c>
      <c r="AA2183" s="195">
        <f t="shared" ca="1" si="484"/>
        <v>3240385.1460583685</v>
      </c>
      <c r="AB2183" s="195">
        <f t="shared" ca="1" si="485"/>
        <v>3240385.1460583685</v>
      </c>
      <c r="AD2183" s="196">
        <f>IFERROR($G2183/SUMIF($A:$A,$A2183,$G:$G)*SUMIF(Summary!$A$166:$A$242,$A2183,Summary!$P$166:$P$242),0)</f>
        <v>66992.223088400657</v>
      </c>
      <c r="AE2183" s="197">
        <f t="shared" ca="1" si="486"/>
        <v>3173392.9229699681</v>
      </c>
      <c r="AF2183" s="196">
        <f>IFERROR(G2183/SUMIF(A:A,A2183,G:G)*SUMIF(Summary!$A$166:$A$242,'Operations Support'!A2183,Summary!$Q$166:$Q$242),0)</f>
        <v>67371.917175882176</v>
      </c>
      <c r="AG2183" s="196">
        <f t="shared" ca="1" si="487"/>
        <v>3173013.2288824865</v>
      </c>
      <c r="AI2183" s="196">
        <f>IFERROR($G2183/SUMIF($A:$A,$A2183,$G:$G)*SUMIF(Summary!$A$247:$A$283,$A2183,Summary!$P$247:$P$283),0)</f>
        <v>12217.709719032309</v>
      </c>
      <c r="AJ2183" s="196">
        <f>IFERROR($G2183/SUMIF($A:$A,$A2183,$G:$G)*(SUMIF(Summary!$A$247:$A$283,$A2183,Summary!$L$247:$L$283)+SUMIF(Summary!$A$297:$A$333,$A2183,Summary!$L$297:$L$333))-AI2183,0)</f>
        <v>50932.946142948647</v>
      </c>
      <c r="AK2183" s="196">
        <f>IFERROR($G2183/SUMIF($A:$A,$A2183,$G:$G)*SUMIF(Summary!$A$247:$A$283,$A2183,Summary!$Q$247:$Q$283),0)</f>
        <v>12286.956445428601</v>
      </c>
      <c r="AL2183" s="196">
        <f>IFERROR($G2183/SUMIF($A:$A,$A2183,$G:$G)*(SUMIF(Summary!$A$247:$A$283,$A2183,Summary!$L$247:$L$283)+SUMIF(Summary!$A$297:$A$333,$A2183,Summary!$L$297:$L$333))-AK2183,0)</f>
        <v>50863.699416552357</v>
      </c>
      <c r="AM2183" s="198"/>
      <c r="AN2183" s="196">
        <f t="shared" ca="1" si="488"/>
        <v>3224325.8691129168</v>
      </c>
      <c r="AO2183" s="196">
        <f t="shared" ca="1" si="489"/>
        <v>3223876.9282990387</v>
      </c>
    </row>
    <row r="2184" spans="1:41">
      <c r="A2184" s="189">
        <v>3658</v>
      </c>
      <c r="B2184" s="190">
        <v>4</v>
      </c>
      <c r="C2184" s="191" t="s">
        <v>236</v>
      </c>
      <c r="D2184" s="192">
        <f t="shared" si="476"/>
        <v>0</v>
      </c>
      <c r="E2184" s="192">
        <f t="shared" si="477"/>
        <v>0</v>
      </c>
      <c r="F2184" s="192">
        <f t="shared" si="478"/>
        <v>0</v>
      </c>
      <c r="G2184" s="193">
        <f t="shared" si="479"/>
        <v>0</v>
      </c>
      <c r="H2184" s="194">
        <v>0</v>
      </c>
      <c r="I2184" s="194">
        <v>0</v>
      </c>
      <c r="J2184" s="194">
        <v>0</v>
      </c>
      <c r="K2184" s="193">
        <f t="shared" si="480"/>
        <v>0</v>
      </c>
      <c r="L2184" s="194">
        <v>0</v>
      </c>
      <c r="M2184" s="194">
        <v>0</v>
      </c>
      <c r="N2184" s="194">
        <v>0</v>
      </c>
      <c r="O2184" s="193">
        <f t="shared" si="481"/>
        <v>0</v>
      </c>
      <c r="P2184" s="194">
        <v>0</v>
      </c>
      <c r="Q2184" s="194">
        <v>0</v>
      </c>
      <c r="R2184" s="194">
        <v>0</v>
      </c>
      <c r="S2184" s="193">
        <f t="shared" si="482"/>
        <v>0</v>
      </c>
      <c r="T2184" s="193">
        <f t="shared" si="483"/>
        <v>0</v>
      </c>
      <c r="U2184" s="193">
        <f ca="1">OFFSET('Expenditure Study'!$B$7,'Operations Support'!$C2184,'Operations Support'!$B2184)*$G2184</f>
        <v>0</v>
      </c>
      <c r="V2184" s="199">
        <f ca="1">U2184*'Expenditure Study'!$B$31</f>
        <v>0</v>
      </c>
      <c r="W2184" s="199">
        <f ca="1">IF(A2184=10298,1.51,1)*IF($B2184&lt;3,$D2184*'Expenditure Study'!$B$32*OFFSET('Expenditure Study'!$B$7,'Operations Support'!$C2184,'Operations Support'!$B2184),0)</f>
        <v>0</v>
      </c>
      <c r="X2184" s="200">
        <f ca="1">W2184*'Expenditure Study'!$B$31</f>
        <v>0</v>
      </c>
      <c r="Y2184" s="199">
        <f ca="1">U2184*'Expenditure Study'!$B$31</f>
        <v>0</v>
      </c>
      <c r="Z2184" s="200">
        <f ca="1">W2184*'Expenditure Study'!$B$31</f>
        <v>0</v>
      </c>
      <c r="AA2184" s="195">
        <f t="shared" ca="1" si="484"/>
        <v>0</v>
      </c>
      <c r="AB2184" s="195">
        <f t="shared" ca="1" si="485"/>
        <v>0</v>
      </c>
      <c r="AD2184" s="196">
        <f>IFERROR($G2184/SUMIF($A:$A,$A2184,$G:$G)*SUMIF(Summary!$A$166:$A$242,$A2184,Summary!$P$166:$P$242),0)</f>
        <v>0</v>
      </c>
      <c r="AE2184" s="197">
        <f t="shared" ca="1" si="486"/>
        <v>0</v>
      </c>
      <c r="AF2184" s="196">
        <f>IFERROR(G2184/SUMIF(A:A,A2184,G:G)*SUMIF(Summary!$A$166:$A$242,'Operations Support'!A2184,Summary!$Q$166:$Q$242),0)</f>
        <v>0</v>
      </c>
      <c r="AG2184" s="196">
        <f t="shared" ca="1" si="487"/>
        <v>0</v>
      </c>
      <c r="AI2184" s="196">
        <f>IFERROR($G2184/SUMIF($A:$A,$A2184,$G:$G)*SUMIF(Summary!$A$247:$A$283,$A2184,Summary!$P$247:$P$283),0)</f>
        <v>0</v>
      </c>
      <c r="AJ2184" s="196">
        <f>IFERROR($G2184/SUMIF($A:$A,$A2184,$G:$G)*(SUMIF(Summary!$A$247:$A$283,$A2184,Summary!$L$247:$L$283)+SUMIF(Summary!$A$297:$A$333,$A2184,Summary!$L$297:$L$333))-AI2184,0)</f>
        <v>0</v>
      </c>
      <c r="AK2184" s="196">
        <f>IFERROR($G2184/SUMIF($A:$A,$A2184,$G:$G)*SUMIF(Summary!$A$247:$A$283,$A2184,Summary!$Q$247:$Q$283),0)</f>
        <v>0</v>
      </c>
      <c r="AL2184" s="196">
        <f>IFERROR($G2184/SUMIF($A:$A,$A2184,$G:$G)*(SUMIF(Summary!$A$247:$A$283,$A2184,Summary!$L$247:$L$283)+SUMIF(Summary!$A$297:$A$333,$A2184,Summary!$L$297:$L$333))-AK2184,0)</f>
        <v>0</v>
      </c>
      <c r="AM2184" s="198"/>
      <c r="AN2184" s="196">
        <f t="shared" ca="1" si="488"/>
        <v>0</v>
      </c>
      <c r="AO2184" s="196">
        <f t="shared" ca="1" si="489"/>
        <v>0</v>
      </c>
    </row>
    <row r="2185" spans="1:41">
      <c r="A2185" s="189">
        <v>3658</v>
      </c>
      <c r="B2185" s="190">
        <v>4</v>
      </c>
      <c r="C2185" s="191" t="s">
        <v>237</v>
      </c>
      <c r="D2185" s="192">
        <f t="shared" si="476"/>
        <v>0</v>
      </c>
      <c r="E2185" s="192">
        <f t="shared" si="477"/>
        <v>0</v>
      </c>
      <c r="F2185" s="192">
        <f t="shared" si="478"/>
        <v>0</v>
      </c>
      <c r="G2185" s="193">
        <f t="shared" si="479"/>
        <v>0</v>
      </c>
      <c r="H2185" s="194">
        <v>0</v>
      </c>
      <c r="I2185" s="194">
        <v>0</v>
      </c>
      <c r="J2185" s="194">
        <v>0</v>
      </c>
      <c r="K2185" s="193">
        <f t="shared" si="480"/>
        <v>0</v>
      </c>
      <c r="L2185" s="194">
        <v>0</v>
      </c>
      <c r="M2185" s="194">
        <v>0</v>
      </c>
      <c r="N2185" s="194">
        <v>0</v>
      </c>
      <c r="O2185" s="193">
        <f t="shared" si="481"/>
        <v>0</v>
      </c>
      <c r="P2185" s="194">
        <v>0</v>
      </c>
      <c r="Q2185" s="194">
        <v>0</v>
      </c>
      <c r="R2185" s="194">
        <v>0</v>
      </c>
      <c r="S2185" s="193">
        <f t="shared" si="482"/>
        <v>0</v>
      </c>
      <c r="T2185" s="193">
        <f t="shared" si="483"/>
        <v>0</v>
      </c>
      <c r="U2185" s="193">
        <f ca="1">OFFSET('Expenditure Study'!$B$7,'Operations Support'!$C2185,'Operations Support'!$B2185)*$G2185</f>
        <v>0</v>
      </c>
      <c r="V2185" s="199">
        <f ca="1">U2185*'Expenditure Study'!$B$31</f>
        <v>0</v>
      </c>
      <c r="W2185" s="199">
        <f ca="1">IF(A2185=10298,1.51,1)*IF($B2185&lt;3,$D2185*'Expenditure Study'!$B$32*OFFSET('Expenditure Study'!$B$7,'Operations Support'!$C2185,'Operations Support'!$B2185),0)</f>
        <v>0</v>
      </c>
      <c r="X2185" s="200">
        <f ca="1">W2185*'Expenditure Study'!$B$31</f>
        <v>0</v>
      </c>
      <c r="Y2185" s="199">
        <f ca="1">U2185*'Expenditure Study'!$B$31</f>
        <v>0</v>
      </c>
      <c r="Z2185" s="200">
        <f ca="1">W2185*'Expenditure Study'!$B$31</f>
        <v>0</v>
      </c>
      <c r="AA2185" s="195">
        <f t="shared" ca="1" si="484"/>
        <v>0</v>
      </c>
      <c r="AB2185" s="195">
        <f t="shared" ca="1" si="485"/>
        <v>0</v>
      </c>
      <c r="AD2185" s="196">
        <f>IFERROR($G2185/SUMIF($A:$A,$A2185,$G:$G)*SUMIF(Summary!$A$166:$A$242,$A2185,Summary!$P$166:$P$242),0)</f>
        <v>0</v>
      </c>
      <c r="AE2185" s="197">
        <f t="shared" ca="1" si="486"/>
        <v>0</v>
      </c>
      <c r="AF2185" s="196">
        <f>IFERROR(G2185/SUMIF(A:A,A2185,G:G)*SUMIF(Summary!$A$166:$A$242,'Operations Support'!A2185,Summary!$Q$166:$Q$242),0)</f>
        <v>0</v>
      </c>
      <c r="AG2185" s="196">
        <f t="shared" ca="1" si="487"/>
        <v>0</v>
      </c>
      <c r="AI2185" s="196">
        <f>IFERROR($G2185/SUMIF($A:$A,$A2185,$G:$G)*SUMIF(Summary!$A$247:$A$283,$A2185,Summary!$P$247:$P$283),0)</f>
        <v>0</v>
      </c>
      <c r="AJ2185" s="196">
        <f>IFERROR($G2185/SUMIF($A:$A,$A2185,$G:$G)*(SUMIF(Summary!$A$247:$A$283,$A2185,Summary!$L$247:$L$283)+SUMIF(Summary!$A$297:$A$333,$A2185,Summary!$L$297:$L$333))-AI2185,0)</f>
        <v>0</v>
      </c>
      <c r="AK2185" s="196">
        <f>IFERROR($G2185/SUMIF($A:$A,$A2185,$G:$G)*SUMIF(Summary!$A$247:$A$283,$A2185,Summary!$Q$247:$Q$283),0)</f>
        <v>0</v>
      </c>
      <c r="AL2185" s="196">
        <f>IFERROR($G2185/SUMIF($A:$A,$A2185,$G:$G)*(SUMIF(Summary!$A$247:$A$283,$A2185,Summary!$L$247:$L$283)+SUMIF(Summary!$A$297:$A$333,$A2185,Summary!$L$297:$L$333))-AK2185,0)</f>
        <v>0</v>
      </c>
      <c r="AM2185" s="198"/>
      <c r="AN2185" s="196">
        <f t="shared" ca="1" si="488"/>
        <v>0</v>
      </c>
      <c r="AO2185" s="196">
        <f t="shared" ca="1" si="489"/>
        <v>0</v>
      </c>
    </row>
    <row r="2186" spans="1:41">
      <c r="A2186" s="189">
        <v>3658</v>
      </c>
      <c r="B2186" s="190">
        <v>4</v>
      </c>
      <c r="C2186" s="191" t="s">
        <v>238</v>
      </c>
      <c r="D2186" s="192">
        <f t="shared" si="476"/>
        <v>0</v>
      </c>
      <c r="E2186" s="192">
        <f t="shared" si="477"/>
        <v>3</v>
      </c>
      <c r="F2186" s="192">
        <f t="shared" si="478"/>
        <v>0</v>
      </c>
      <c r="G2186" s="193">
        <f t="shared" si="479"/>
        <v>3</v>
      </c>
      <c r="H2186" s="194">
        <v>0</v>
      </c>
      <c r="I2186" s="194">
        <v>3</v>
      </c>
      <c r="J2186" s="194">
        <v>0</v>
      </c>
      <c r="K2186" s="193">
        <f t="shared" si="480"/>
        <v>3</v>
      </c>
      <c r="L2186" s="194">
        <v>0</v>
      </c>
      <c r="M2186" s="194">
        <v>0</v>
      </c>
      <c r="N2186" s="194">
        <v>0</v>
      </c>
      <c r="O2186" s="193">
        <f t="shared" si="481"/>
        <v>0</v>
      </c>
      <c r="P2186" s="194">
        <v>0</v>
      </c>
      <c r="Q2186" s="194">
        <v>0</v>
      </c>
      <c r="R2186" s="194">
        <v>0</v>
      </c>
      <c r="S2186" s="193">
        <f t="shared" si="482"/>
        <v>0</v>
      </c>
      <c r="T2186" s="193">
        <f t="shared" si="483"/>
        <v>0.16666666666666666</v>
      </c>
      <c r="U2186" s="193">
        <f ca="1">OFFSET('Expenditure Study'!$B$7,'Operations Support'!$C2186,'Operations Support'!$B2186)*$G2186</f>
        <v>47.31</v>
      </c>
      <c r="V2186" s="199">
        <f ca="1">U2186*'Expenditure Study'!$B$31</f>
        <v>2795.2252836480002</v>
      </c>
      <c r="W2186" s="199">
        <f ca="1">IF(A2186=10298,1.51,1)*IF($B2186&lt;3,$D2186*'Expenditure Study'!$B$32*OFFSET('Expenditure Study'!$B$7,'Operations Support'!$C2186,'Operations Support'!$B2186),0)</f>
        <v>0</v>
      </c>
      <c r="X2186" s="200">
        <f ca="1">W2186*'Expenditure Study'!$B$31</f>
        <v>0</v>
      </c>
      <c r="Y2186" s="199">
        <f ca="1">U2186*'Expenditure Study'!$B$31</f>
        <v>2795.2252836480002</v>
      </c>
      <c r="Z2186" s="200">
        <f ca="1">W2186*'Expenditure Study'!$B$31</f>
        <v>0</v>
      </c>
      <c r="AA2186" s="195">
        <f t="shared" ca="1" si="484"/>
        <v>2795.2252836480002</v>
      </c>
      <c r="AB2186" s="195">
        <f t="shared" ca="1" si="485"/>
        <v>2795.2252836480002</v>
      </c>
      <c r="AD2186" s="196">
        <f>IFERROR($G2186/SUMIF($A:$A,$A2186,$G:$G)*SUMIF(Summary!$A$166:$A$242,$A2186,Summary!$P$166:$P$242),0)</f>
        <v>139.47027707508812</v>
      </c>
      <c r="AE2186" s="197">
        <f t="shared" ca="1" si="486"/>
        <v>2655.755006572912</v>
      </c>
      <c r="AF2186" s="196">
        <f>IFERROR(G2186/SUMIF(A:A,A2186,G:G)*SUMIF(Summary!$A$166:$A$242,'Operations Support'!A2186,Summary!$Q$166:$Q$242),0)</f>
        <v>140.26075747928277</v>
      </c>
      <c r="AG2186" s="196">
        <f t="shared" ca="1" si="487"/>
        <v>2654.9645261687174</v>
      </c>
      <c r="AI2186" s="196">
        <f>IFERROR($G2186/SUMIF($A:$A,$A2186,$G:$G)*SUMIF(Summary!$A$247:$A$283,$A2186,Summary!$P$247:$P$283),0)</f>
        <v>25.435898096528053</v>
      </c>
      <c r="AJ2186" s="196">
        <f>IFERROR($G2186/SUMIF($A:$A,$A2186,$G:$G)*(SUMIF(Summary!$A$247:$A$283,$A2186,Summary!$L$247:$L$283)+SUMIF(Summary!$A$297:$A$333,$A2186,Summary!$L$297:$L$333))-AI2186,0)</f>
        <v>106.03666788955304</v>
      </c>
      <c r="AK2186" s="196">
        <f>IFERROR($G2186/SUMIF($A:$A,$A2186,$G:$G)*SUMIF(Summary!$A$247:$A$283,$A2186,Summary!$Q$247:$Q$283),0)</f>
        <v>25.580061996034559</v>
      </c>
      <c r="AL2186" s="196">
        <f>IFERROR($G2186/SUMIF($A:$A,$A2186,$G:$G)*(SUMIF(Summary!$A$247:$A$283,$A2186,Summary!$L$247:$L$283)+SUMIF(Summary!$A$297:$A$333,$A2186,Summary!$L$297:$L$333))-AK2186,0)</f>
        <v>105.89250399004654</v>
      </c>
      <c r="AM2186" s="198"/>
      <c r="AN2186" s="196">
        <f t="shared" ca="1" si="488"/>
        <v>2761.7916744624649</v>
      </c>
      <c r="AO2186" s="196">
        <f t="shared" ca="1" si="489"/>
        <v>2760.8570301587638</v>
      </c>
    </row>
    <row r="2187" spans="1:41">
      <c r="A2187" s="189">
        <v>3658</v>
      </c>
      <c r="B2187" s="190">
        <v>4</v>
      </c>
      <c r="C2187" s="191" t="s">
        <v>239</v>
      </c>
      <c r="D2187" s="192">
        <f t="shared" si="476"/>
        <v>673</v>
      </c>
      <c r="E2187" s="192">
        <f t="shared" si="477"/>
        <v>46</v>
      </c>
      <c r="F2187" s="192">
        <f t="shared" si="478"/>
        <v>102</v>
      </c>
      <c r="G2187" s="193">
        <f t="shared" si="479"/>
        <v>617</v>
      </c>
      <c r="H2187" s="194">
        <v>291</v>
      </c>
      <c r="I2187" s="194">
        <v>20</v>
      </c>
      <c r="J2187" s="194">
        <v>47</v>
      </c>
      <c r="K2187" s="193">
        <f t="shared" si="480"/>
        <v>264</v>
      </c>
      <c r="L2187" s="194">
        <v>292</v>
      </c>
      <c r="M2187" s="194">
        <v>21</v>
      </c>
      <c r="N2187" s="194">
        <v>42</v>
      </c>
      <c r="O2187" s="193">
        <f t="shared" si="481"/>
        <v>271</v>
      </c>
      <c r="P2187" s="194">
        <v>90</v>
      </c>
      <c r="Q2187" s="194">
        <v>5</v>
      </c>
      <c r="R2187" s="194">
        <v>13</v>
      </c>
      <c r="S2187" s="193">
        <f t="shared" si="482"/>
        <v>82</v>
      </c>
      <c r="T2187" s="193">
        <f t="shared" si="483"/>
        <v>34.277777777777779</v>
      </c>
      <c r="U2187" s="193">
        <f ca="1">OFFSET('Expenditure Study'!$B$7,'Operations Support'!$C2187,'Operations Support'!$B2187)*$G2187</f>
        <v>5657.89</v>
      </c>
      <c r="V2187" s="199">
        <f ca="1">U2187*'Expenditure Study'!$B$31</f>
        <v>334286.13781651203</v>
      </c>
      <c r="W2187" s="199">
        <f ca="1">IF(A2187=10298,1.51,1)*IF($B2187&lt;3,$D2187*'Expenditure Study'!$B$32*OFFSET('Expenditure Study'!$B$7,'Operations Support'!$C2187,'Operations Support'!$B2187),0)</f>
        <v>0</v>
      </c>
      <c r="X2187" s="200">
        <f ca="1">W2187*'Expenditure Study'!$B$31</f>
        <v>0</v>
      </c>
      <c r="Y2187" s="199">
        <f ca="1">U2187*'Expenditure Study'!$B$31</f>
        <v>334286.13781651203</v>
      </c>
      <c r="Z2187" s="200">
        <f ca="1">W2187*'Expenditure Study'!$B$31</f>
        <v>0</v>
      </c>
      <c r="AA2187" s="195">
        <f t="shared" ca="1" si="484"/>
        <v>334286.13781651203</v>
      </c>
      <c r="AB2187" s="195">
        <f t="shared" ca="1" si="485"/>
        <v>334286.13781651203</v>
      </c>
      <c r="AD2187" s="196">
        <f>IFERROR($G2187/SUMIF($A:$A,$A2187,$G:$G)*SUMIF(Summary!$A$166:$A$242,$A2187,Summary!$P$166:$P$242),0)</f>
        <v>28684.386985109788</v>
      </c>
      <c r="AE2187" s="197">
        <f t="shared" ca="1" si="486"/>
        <v>305601.75083140226</v>
      </c>
      <c r="AF2187" s="196">
        <f>IFERROR(G2187/SUMIF(A:A,A2187,G:G)*SUMIF(Summary!$A$166:$A$242,'Operations Support'!A2187,Summary!$Q$166:$Q$242),0)</f>
        <v>28846.962454905828</v>
      </c>
      <c r="AG2187" s="196">
        <f t="shared" ca="1" si="487"/>
        <v>305439.17536160618</v>
      </c>
      <c r="AI2187" s="196">
        <f>IFERROR($G2187/SUMIF($A:$A,$A2187,$G:$G)*SUMIF(Summary!$A$247:$A$283,$A2187,Summary!$P$247:$P$283),0)</f>
        <v>5231.3163751859365</v>
      </c>
      <c r="AJ2187" s="196">
        <f>IFERROR($G2187/SUMIF($A:$A,$A2187,$G:$G)*(SUMIF(Summary!$A$247:$A$283,$A2187,Summary!$L$247:$L$283)+SUMIF(Summary!$A$297:$A$333,$A2187,Summary!$L$297:$L$333))-AI2187,0)</f>
        <v>21808.208029284746</v>
      </c>
      <c r="AK2187" s="196">
        <f>IFERROR($G2187/SUMIF($A:$A,$A2187,$G:$G)*SUMIF(Summary!$A$247:$A$283,$A2187,Summary!$Q$247:$Q$283),0)</f>
        <v>5260.9660838511081</v>
      </c>
      <c r="AL2187" s="196">
        <f>IFERROR($G2187/SUMIF($A:$A,$A2187,$G:$G)*(SUMIF(Summary!$A$247:$A$283,$A2187,Summary!$L$247:$L$283)+SUMIF(Summary!$A$297:$A$333,$A2187,Summary!$L$297:$L$333))-AK2187,0)</f>
        <v>21778.558320619573</v>
      </c>
      <c r="AM2187" s="198"/>
      <c r="AN2187" s="196">
        <f t="shared" ca="1" si="488"/>
        <v>327409.95886068698</v>
      </c>
      <c r="AO2187" s="196">
        <f t="shared" ca="1" si="489"/>
        <v>327217.73368222575</v>
      </c>
    </row>
    <row r="2188" spans="1:41">
      <c r="A2188" s="189">
        <v>3658</v>
      </c>
      <c r="B2188" s="190">
        <v>4</v>
      </c>
      <c r="C2188" s="191" t="s">
        <v>240</v>
      </c>
      <c r="D2188" s="192">
        <f t="shared" si="476"/>
        <v>0</v>
      </c>
      <c r="E2188" s="192">
        <f t="shared" si="477"/>
        <v>0</v>
      </c>
      <c r="F2188" s="192">
        <f t="shared" si="478"/>
        <v>0</v>
      </c>
      <c r="G2188" s="193">
        <f t="shared" si="479"/>
        <v>0</v>
      </c>
      <c r="H2188" s="194">
        <v>0</v>
      </c>
      <c r="I2188" s="194">
        <v>0</v>
      </c>
      <c r="J2188" s="194">
        <v>0</v>
      </c>
      <c r="K2188" s="193">
        <f t="shared" si="480"/>
        <v>0</v>
      </c>
      <c r="L2188" s="194">
        <v>0</v>
      </c>
      <c r="M2188" s="194">
        <v>0</v>
      </c>
      <c r="N2188" s="194">
        <v>0</v>
      </c>
      <c r="O2188" s="193">
        <f t="shared" si="481"/>
        <v>0</v>
      </c>
      <c r="P2188" s="194">
        <v>0</v>
      </c>
      <c r="Q2188" s="194">
        <v>0</v>
      </c>
      <c r="R2188" s="194">
        <v>0</v>
      </c>
      <c r="S2188" s="193">
        <f t="shared" si="482"/>
        <v>0</v>
      </c>
      <c r="T2188" s="193">
        <f t="shared" si="483"/>
        <v>0</v>
      </c>
      <c r="U2188" s="193">
        <f ca="1">OFFSET('Expenditure Study'!$B$7,'Operations Support'!$C2188,'Operations Support'!$B2188)*$G2188</f>
        <v>0</v>
      </c>
      <c r="V2188" s="199">
        <f ca="1">U2188*'Expenditure Study'!$B$31</f>
        <v>0</v>
      </c>
      <c r="W2188" s="199">
        <f ca="1">IF(A2188=10298,1.51,1)*IF($B2188&lt;3,$D2188*'Expenditure Study'!$B$32*OFFSET('Expenditure Study'!$B$7,'Operations Support'!$C2188,'Operations Support'!$B2188),0)</f>
        <v>0</v>
      </c>
      <c r="X2188" s="200">
        <f ca="1">W2188*'Expenditure Study'!$B$31</f>
        <v>0</v>
      </c>
      <c r="Y2188" s="199">
        <f ca="1">U2188*'Expenditure Study'!$B$31</f>
        <v>0</v>
      </c>
      <c r="Z2188" s="200">
        <f ca="1">W2188*'Expenditure Study'!$B$31</f>
        <v>0</v>
      </c>
      <c r="AA2188" s="195">
        <f t="shared" ca="1" si="484"/>
        <v>0</v>
      </c>
      <c r="AB2188" s="195">
        <f t="shared" ca="1" si="485"/>
        <v>0</v>
      </c>
      <c r="AD2188" s="196">
        <f>IFERROR($G2188/SUMIF($A:$A,$A2188,$G:$G)*SUMIF(Summary!$A$166:$A$242,$A2188,Summary!$P$166:$P$242),0)</f>
        <v>0</v>
      </c>
      <c r="AE2188" s="197">
        <f t="shared" ca="1" si="486"/>
        <v>0</v>
      </c>
      <c r="AF2188" s="196">
        <f>IFERROR(G2188/SUMIF(A:A,A2188,G:G)*SUMIF(Summary!$A$166:$A$242,'Operations Support'!A2188,Summary!$Q$166:$Q$242),0)</f>
        <v>0</v>
      </c>
      <c r="AG2188" s="196">
        <f t="shared" ca="1" si="487"/>
        <v>0</v>
      </c>
      <c r="AI2188" s="196">
        <f>IFERROR($G2188/SUMIF($A:$A,$A2188,$G:$G)*SUMIF(Summary!$A$247:$A$283,$A2188,Summary!$P$247:$P$283),0)</f>
        <v>0</v>
      </c>
      <c r="AJ2188" s="196">
        <f>IFERROR($G2188/SUMIF($A:$A,$A2188,$G:$G)*(SUMIF(Summary!$A$247:$A$283,$A2188,Summary!$L$247:$L$283)+SUMIF(Summary!$A$297:$A$333,$A2188,Summary!$L$297:$L$333))-AI2188,0)</f>
        <v>0</v>
      </c>
      <c r="AK2188" s="196">
        <f>IFERROR($G2188/SUMIF($A:$A,$A2188,$G:$G)*SUMIF(Summary!$A$247:$A$283,$A2188,Summary!$Q$247:$Q$283),0)</f>
        <v>0</v>
      </c>
      <c r="AL2188" s="196">
        <f>IFERROR($G2188/SUMIF($A:$A,$A2188,$G:$G)*(SUMIF(Summary!$A$247:$A$283,$A2188,Summary!$L$247:$L$283)+SUMIF(Summary!$A$297:$A$333,$A2188,Summary!$L$297:$L$333))-AK2188,0)</f>
        <v>0</v>
      </c>
      <c r="AM2188" s="198"/>
      <c r="AN2188" s="196">
        <f t="shared" ca="1" si="488"/>
        <v>0</v>
      </c>
      <c r="AO2188" s="196">
        <f t="shared" ca="1" si="489"/>
        <v>0</v>
      </c>
    </row>
    <row r="2189" spans="1:41">
      <c r="A2189" s="189">
        <v>3658</v>
      </c>
      <c r="B2189" s="190">
        <v>5</v>
      </c>
      <c r="C2189" s="191" t="s">
        <v>220</v>
      </c>
      <c r="D2189" s="192">
        <f t="shared" si="476"/>
        <v>0</v>
      </c>
      <c r="E2189" s="192">
        <f t="shared" si="477"/>
        <v>0</v>
      </c>
      <c r="F2189" s="192">
        <f t="shared" si="478"/>
        <v>0</v>
      </c>
      <c r="G2189" s="193">
        <f t="shared" si="479"/>
        <v>0</v>
      </c>
      <c r="H2189" s="194">
        <v>0</v>
      </c>
      <c r="I2189" s="194">
        <v>0</v>
      </c>
      <c r="J2189" s="194">
        <v>0</v>
      </c>
      <c r="K2189" s="193">
        <f t="shared" si="480"/>
        <v>0</v>
      </c>
      <c r="L2189" s="194">
        <v>0</v>
      </c>
      <c r="M2189" s="194">
        <v>0</v>
      </c>
      <c r="N2189" s="194">
        <v>0</v>
      </c>
      <c r="O2189" s="193">
        <f t="shared" si="481"/>
        <v>0</v>
      </c>
      <c r="P2189" s="194">
        <v>0</v>
      </c>
      <c r="Q2189" s="194">
        <v>0</v>
      </c>
      <c r="R2189" s="194">
        <v>0</v>
      </c>
      <c r="S2189" s="193">
        <f t="shared" si="482"/>
        <v>0</v>
      </c>
      <c r="T2189" s="193">
        <f t="shared" si="483"/>
        <v>0</v>
      </c>
      <c r="U2189" s="193">
        <f ca="1">OFFSET('Expenditure Study'!$B$7,'Operations Support'!$C2189,'Operations Support'!$B2189)*$G2189</f>
        <v>0</v>
      </c>
      <c r="V2189" s="199">
        <f ca="1">U2189*'Expenditure Study'!$B$31</f>
        <v>0</v>
      </c>
      <c r="W2189" s="199">
        <f ca="1">IF(A2189=10298,1.51,1)*IF($B2189&lt;3,$D2189*'Expenditure Study'!$B$32*OFFSET('Expenditure Study'!$B$7,'Operations Support'!$C2189,'Operations Support'!$B2189),0)</f>
        <v>0</v>
      </c>
      <c r="X2189" s="200">
        <f ca="1">W2189*'Expenditure Study'!$B$31</f>
        <v>0</v>
      </c>
      <c r="Y2189" s="199">
        <f ca="1">U2189*'Expenditure Study'!$B$31</f>
        <v>0</v>
      </c>
      <c r="Z2189" s="200">
        <f ca="1">W2189*'Expenditure Study'!$B$31</f>
        <v>0</v>
      </c>
      <c r="AA2189" s="195">
        <f t="shared" ca="1" si="484"/>
        <v>0</v>
      </c>
      <c r="AB2189" s="195">
        <f t="shared" ca="1" si="485"/>
        <v>0</v>
      </c>
      <c r="AD2189" s="196">
        <f>IFERROR($G2189/SUMIF($A:$A,$A2189,$G:$G)*SUMIF(Summary!$A$166:$A$242,$A2189,Summary!$P$166:$P$242),0)</f>
        <v>0</v>
      </c>
      <c r="AE2189" s="197">
        <f t="shared" ca="1" si="486"/>
        <v>0</v>
      </c>
      <c r="AF2189" s="196">
        <f>IFERROR(G2189/SUMIF(A:A,A2189,G:G)*SUMIF(Summary!$A$166:$A$242,'Operations Support'!A2189,Summary!$Q$166:$Q$242),0)</f>
        <v>0</v>
      </c>
      <c r="AG2189" s="196">
        <f t="shared" ca="1" si="487"/>
        <v>0</v>
      </c>
      <c r="AI2189" s="196">
        <f>IFERROR($G2189/SUMIF($A:$A,$A2189,$G:$G)*SUMIF(Summary!$A$247:$A$283,$A2189,Summary!$P$247:$P$283),0)</f>
        <v>0</v>
      </c>
      <c r="AJ2189" s="196">
        <f>IFERROR($G2189/SUMIF($A:$A,$A2189,$G:$G)*(SUMIF(Summary!$A$247:$A$283,$A2189,Summary!$L$247:$L$283)+SUMIF(Summary!$A$297:$A$333,$A2189,Summary!$L$297:$L$333))-AI2189,0)</f>
        <v>0</v>
      </c>
      <c r="AK2189" s="196">
        <f>IFERROR($G2189/SUMIF($A:$A,$A2189,$G:$G)*SUMIF(Summary!$A$247:$A$283,$A2189,Summary!$Q$247:$Q$283),0)</f>
        <v>0</v>
      </c>
      <c r="AL2189" s="196">
        <f>IFERROR($G2189/SUMIF($A:$A,$A2189,$G:$G)*(SUMIF(Summary!$A$247:$A$283,$A2189,Summary!$L$247:$L$283)+SUMIF(Summary!$A$297:$A$333,$A2189,Summary!$L$297:$L$333))-AK2189,0)</f>
        <v>0</v>
      </c>
      <c r="AM2189" s="198"/>
      <c r="AN2189" s="196">
        <f t="shared" ca="1" si="488"/>
        <v>0</v>
      </c>
      <c r="AO2189" s="196">
        <f t="shared" ca="1" si="489"/>
        <v>0</v>
      </c>
    </row>
    <row r="2190" spans="1:41">
      <c r="A2190" s="189">
        <v>3658</v>
      </c>
      <c r="B2190" s="190">
        <v>5</v>
      </c>
      <c r="C2190" s="191" t="s">
        <v>221</v>
      </c>
      <c r="D2190" s="192">
        <f t="shared" si="476"/>
        <v>0</v>
      </c>
      <c r="E2190" s="192">
        <f t="shared" si="477"/>
        <v>0</v>
      </c>
      <c r="F2190" s="192">
        <f t="shared" si="478"/>
        <v>0</v>
      </c>
      <c r="G2190" s="193">
        <f t="shared" si="479"/>
        <v>0</v>
      </c>
      <c r="H2190" s="194">
        <v>0</v>
      </c>
      <c r="I2190" s="194">
        <v>0</v>
      </c>
      <c r="J2190" s="194">
        <v>0</v>
      </c>
      <c r="K2190" s="193">
        <f t="shared" si="480"/>
        <v>0</v>
      </c>
      <c r="L2190" s="194">
        <v>0</v>
      </c>
      <c r="M2190" s="194">
        <v>0</v>
      </c>
      <c r="N2190" s="194">
        <v>0</v>
      </c>
      <c r="O2190" s="193">
        <f t="shared" si="481"/>
        <v>0</v>
      </c>
      <c r="P2190" s="194">
        <v>0</v>
      </c>
      <c r="Q2190" s="194">
        <v>0</v>
      </c>
      <c r="R2190" s="194">
        <v>0</v>
      </c>
      <c r="S2190" s="193">
        <f t="shared" si="482"/>
        <v>0</v>
      </c>
      <c r="T2190" s="193">
        <f t="shared" si="483"/>
        <v>0</v>
      </c>
      <c r="U2190" s="193">
        <f ca="1">OFFSET('Expenditure Study'!$B$7,'Operations Support'!$C2190,'Operations Support'!$B2190)*$G2190</f>
        <v>0</v>
      </c>
      <c r="V2190" s="199">
        <f ca="1">U2190*'Expenditure Study'!$B$31</f>
        <v>0</v>
      </c>
      <c r="W2190" s="199">
        <f ca="1">IF(A2190=10298,1.51,1)*IF($B2190&lt;3,$D2190*'Expenditure Study'!$B$32*OFFSET('Expenditure Study'!$B$7,'Operations Support'!$C2190,'Operations Support'!$B2190),0)</f>
        <v>0</v>
      </c>
      <c r="X2190" s="200">
        <f ca="1">W2190*'Expenditure Study'!$B$31</f>
        <v>0</v>
      </c>
      <c r="Y2190" s="199">
        <f ca="1">U2190*'Expenditure Study'!$B$31</f>
        <v>0</v>
      </c>
      <c r="Z2190" s="200">
        <f ca="1">W2190*'Expenditure Study'!$B$31</f>
        <v>0</v>
      </c>
      <c r="AA2190" s="195">
        <f t="shared" ca="1" si="484"/>
        <v>0</v>
      </c>
      <c r="AB2190" s="195">
        <f t="shared" ca="1" si="485"/>
        <v>0</v>
      </c>
      <c r="AD2190" s="196">
        <f>IFERROR($G2190/SUMIF($A:$A,$A2190,$G:$G)*SUMIF(Summary!$A$166:$A$242,$A2190,Summary!$P$166:$P$242),0)</f>
        <v>0</v>
      </c>
      <c r="AE2190" s="197">
        <f t="shared" ca="1" si="486"/>
        <v>0</v>
      </c>
      <c r="AF2190" s="196">
        <f>IFERROR(G2190/SUMIF(A:A,A2190,G:G)*SUMIF(Summary!$A$166:$A$242,'Operations Support'!A2190,Summary!$Q$166:$Q$242),0)</f>
        <v>0</v>
      </c>
      <c r="AG2190" s="196">
        <f t="shared" ca="1" si="487"/>
        <v>0</v>
      </c>
      <c r="AI2190" s="196">
        <f>IFERROR($G2190/SUMIF($A:$A,$A2190,$G:$G)*SUMIF(Summary!$A$247:$A$283,$A2190,Summary!$P$247:$P$283),0)</f>
        <v>0</v>
      </c>
      <c r="AJ2190" s="196">
        <f>IFERROR($G2190/SUMIF($A:$A,$A2190,$G:$G)*(SUMIF(Summary!$A$247:$A$283,$A2190,Summary!$L$247:$L$283)+SUMIF(Summary!$A$297:$A$333,$A2190,Summary!$L$297:$L$333))-AI2190,0)</f>
        <v>0</v>
      </c>
      <c r="AK2190" s="196">
        <f>IFERROR($G2190/SUMIF($A:$A,$A2190,$G:$G)*SUMIF(Summary!$A$247:$A$283,$A2190,Summary!$Q$247:$Q$283),0)</f>
        <v>0</v>
      </c>
      <c r="AL2190" s="196">
        <f>IFERROR($G2190/SUMIF($A:$A,$A2190,$G:$G)*(SUMIF(Summary!$A$247:$A$283,$A2190,Summary!$L$247:$L$283)+SUMIF(Summary!$A$297:$A$333,$A2190,Summary!$L$297:$L$333))-AK2190,0)</f>
        <v>0</v>
      </c>
      <c r="AM2190" s="198"/>
      <c r="AN2190" s="196">
        <f t="shared" ca="1" si="488"/>
        <v>0</v>
      </c>
      <c r="AO2190" s="196">
        <f t="shared" ca="1" si="489"/>
        <v>0</v>
      </c>
    </row>
    <row r="2191" spans="1:41">
      <c r="A2191" s="189">
        <v>3658</v>
      </c>
      <c r="B2191" s="190">
        <v>5</v>
      </c>
      <c r="C2191" s="191" t="s">
        <v>222</v>
      </c>
      <c r="D2191" s="192">
        <f t="shared" si="476"/>
        <v>0</v>
      </c>
      <c r="E2191" s="192">
        <f t="shared" si="477"/>
        <v>0</v>
      </c>
      <c r="F2191" s="192">
        <f t="shared" si="478"/>
        <v>0</v>
      </c>
      <c r="G2191" s="193">
        <f t="shared" si="479"/>
        <v>0</v>
      </c>
      <c r="H2191" s="194">
        <v>0</v>
      </c>
      <c r="I2191" s="194">
        <v>0</v>
      </c>
      <c r="J2191" s="194">
        <v>0</v>
      </c>
      <c r="K2191" s="193">
        <f t="shared" si="480"/>
        <v>0</v>
      </c>
      <c r="L2191" s="194">
        <v>0</v>
      </c>
      <c r="M2191" s="194">
        <v>0</v>
      </c>
      <c r="N2191" s="194">
        <v>0</v>
      </c>
      <c r="O2191" s="193">
        <f t="shared" si="481"/>
        <v>0</v>
      </c>
      <c r="P2191" s="194">
        <v>0</v>
      </c>
      <c r="Q2191" s="194">
        <v>0</v>
      </c>
      <c r="R2191" s="194">
        <v>0</v>
      </c>
      <c r="S2191" s="193">
        <f t="shared" si="482"/>
        <v>0</v>
      </c>
      <c r="T2191" s="193">
        <f t="shared" si="483"/>
        <v>0</v>
      </c>
      <c r="U2191" s="193">
        <f ca="1">OFFSET('Expenditure Study'!$B$7,'Operations Support'!$C2191,'Operations Support'!$B2191)*$G2191</f>
        <v>0</v>
      </c>
      <c r="V2191" s="199">
        <f ca="1">U2191*'Expenditure Study'!$B$31</f>
        <v>0</v>
      </c>
      <c r="W2191" s="199">
        <f ca="1">IF(A2191=10298,1.51,1)*IF($B2191&lt;3,$D2191*'Expenditure Study'!$B$32*OFFSET('Expenditure Study'!$B$7,'Operations Support'!$C2191,'Operations Support'!$B2191),0)</f>
        <v>0</v>
      </c>
      <c r="X2191" s="200">
        <f ca="1">W2191*'Expenditure Study'!$B$31</f>
        <v>0</v>
      </c>
      <c r="Y2191" s="199">
        <f ca="1">U2191*'Expenditure Study'!$B$31</f>
        <v>0</v>
      </c>
      <c r="Z2191" s="200">
        <f ca="1">W2191*'Expenditure Study'!$B$31</f>
        <v>0</v>
      </c>
      <c r="AA2191" s="195">
        <f t="shared" ca="1" si="484"/>
        <v>0</v>
      </c>
      <c r="AB2191" s="195">
        <f t="shared" ca="1" si="485"/>
        <v>0</v>
      </c>
      <c r="AD2191" s="196">
        <f>IFERROR($G2191/SUMIF($A:$A,$A2191,$G:$G)*SUMIF(Summary!$A$166:$A$242,$A2191,Summary!$P$166:$P$242),0)</f>
        <v>0</v>
      </c>
      <c r="AE2191" s="197">
        <f t="shared" ca="1" si="486"/>
        <v>0</v>
      </c>
      <c r="AF2191" s="196">
        <f>IFERROR(G2191/SUMIF(A:A,A2191,G:G)*SUMIF(Summary!$A$166:$A$242,'Operations Support'!A2191,Summary!$Q$166:$Q$242),0)</f>
        <v>0</v>
      </c>
      <c r="AG2191" s="196">
        <f t="shared" ca="1" si="487"/>
        <v>0</v>
      </c>
      <c r="AI2191" s="196">
        <f>IFERROR($G2191/SUMIF($A:$A,$A2191,$G:$G)*SUMIF(Summary!$A$247:$A$283,$A2191,Summary!$P$247:$P$283),0)</f>
        <v>0</v>
      </c>
      <c r="AJ2191" s="196">
        <f>IFERROR($G2191/SUMIF($A:$A,$A2191,$G:$G)*(SUMIF(Summary!$A$247:$A$283,$A2191,Summary!$L$247:$L$283)+SUMIF(Summary!$A$297:$A$333,$A2191,Summary!$L$297:$L$333))-AI2191,0)</f>
        <v>0</v>
      </c>
      <c r="AK2191" s="196">
        <f>IFERROR($G2191/SUMIF($A:$A,$A2191,$G:$G)*SUMIF(Summary!$A$247:$A$283,$A2191,Summary!$Q$247:$Q$283),0)</f>
        <v>0</v>
      </c>
      <c r="AL2191" s="196">
        <f>IFERROR($G2191/SUMIF($A:$A,$A2191,$G:$G)*(SUMIF(Summary!$A$247:$A$283,$A2191,Summary!$L$247:$L$283)+SUMIF(Summary!$A$297:$A$333,$A2191,Summary!$L$297:$L$333))-AK2191,0)</f>
        <v>0</v>
      </c>
      <c r="AM2191" s="198"/>
      <c r="AN2191" s="196">
        <f t="shared" ca="1" si="488"/>
        <v>0</v>
      </c>
      <c r="AO2191" s="196">
        <f t="shared" ca="1" si="489"/>
        <v>0</v>
      </c>
    </row>
    <row r="2192" spans="1:41">
      <c r="A2192" s="189">
        <v>3658</v>
      </c>
      <c r="B2192" s="190">
        <v>5</v>
      </c>
      <c r="C2192" s="191" t="s">
        <v>223</v>
      </c>
      <c r="D2192" s="192">
        <f t="shared" si="476"/>
        <v>0</v>
      </c>
      <c r="E2192" s="192">
        <f t="shared" si="477"/>
        <v>0</v>
      </c>
      <c r="F2192" s="192">
        <f t="shared" si="478"/>
        <v>0</v>
      </c>
      <c r="G2192" s="193">
        <f t="shared" si="479"/>
        <v>0</v>
      </c>
      <c r="H2192" s="194">
        <v>0</v>
      </c>
      <c r="I2192" s="194">
        <v>0</v>
      </c>
      <c r="J2192" s="194">
        <v>0</v>
      </c>
      <c r="K2192" s="193">
        <f t="shared" si="480"/>
        <v>0</v>
      </c>
      <c r="L2192" s="194">
        <v>0</v>
      </c>
      <c r="M2192" s="194">
        <v>0</v>
      </c>
      <c r="N2192" s="194">
        <v>0</v>
      </c>
      <c r="O2192" s="193">
        <f t="shared" si="481"/>
        <v>0</v>
      </c>
      <c r="P2192" s="194">
        <v>0</v>
      </c>
      <c r="Q2192" s="194">
        <v>0</v>
      </c>
      <c r="R2192" s="194">
        <v>0</v>
      </c>
      <c r="S2192" s="193">
        <f t="shared" si="482"/>
        <v>0</v>
      </c>
      <c r="T2192" s="193">
        <f t="shared" si="483"/>
        <v>0</v>
      </c>
      <c r="U2192" s="193">
        <f ca="1">OFFSET('Expenditure Study'!$B$7,'Operations Support'!$C2192,'Operations Support'!$B2192)*$G2192</f>
        <v>0</v>
      </c>
      <c r="V2192" s="199">
        <f ca="1">U2192*'Expenditure Study'!$B$31</f>
        <v>0</v>
      </c>
      <c r="W2192" s="199">
        <f ca="1">IF(A2192=10298,1.51,1)*IF($B2192&lt;3,$D2192*'Expenditure Study'!$B$32*OFFSET('Expenditure Study'!$B$7,'Operations Support'!$C2192,'Operations Support'!$B2192),0)</f>
        <v>0</v>
      </c>
      <c r="X2192" s="200">
        <f ca="1">W2192*'Expenditure Study'!$B$31</f>
        <v>0</v>
      </c>
      <c r="Y2192" s="199">
        <f ca="1">U2192*'Expenditure Study'!$B$31</f>
        <v>0</v>
      </c>
      <c r="Z2192" s="200">
        <f ca="1">W2192*'Expenditure Study'!$B$31</f>
        <v>0</v>
      </c>
      <c r="AA2192" s="195">
        <f t="shared" ca="1" si="484"/>
        <v>0</v>
      </c>
      <c r="AB2192" s="195">
        <f t="shared" ca="1" si="485"/>
        <v>0</v>
      </c>
      <c r="AD2192" s="196">
        <f>IFERROR($G2192/SUMIF($A:$A,$A2192,$G:$G)*SUMIF(Summary!$A$166:$A$242,$A2192,Summary!$P$166:$P$242),0)</f>
        <v>0</v>
      </c>
      <c r="AE2192" s="197">
        <f t="shared" ca="1" si="486"/>
        <v>0</v>
      </c>
      <c r="AF2192" s="196">
        <f>IFERROR(G2192/SUMIF(A:A,A2192,G:G)*SUMIF(Summary!$A$166:$A$242,'Operations Support'!A2192,Summary!$Q$166:$Q$242),0)</f>
        <v>0</v>
      </c>
      <c r="AG2192" s="196">
        <f t="shared" ca="1" si="487"/>
        <v>0</v>
      </c>
      <c r="AI2192" s="196">
        <f>IFERROR($G2192/SUMIF($A:$A,$A2192,$G:$G)*SUMIF(Summary!$A$247:$A$283,$A2192,Summary!$P$247:$P$283),0)</f>
        <v>0</v>
      </c>
      <c r="AJ2192" s="196">
        <f>IFERROR($G2192/SUMIF($A:$A,$A2192,$G:$G)*(SUMIF(Summary!$A$247:$A$283,$A2192,Summary!$L$247:$L$283)+SUMIF(Summary!$A$297:$A$333,$A2192,Summary!$L$297:$L$333))-AI2192,0)</f>
        <v>0</v>
      </c>
      <c r="AK2192" s="196">
        <f>IFERROR($G2192/SUMIF($A:$A,$A2192,$G:$G)*SUMIF(Summary!$A$247:$A$283,$A2192,Summary!$Q$247:$Q$283),0)</f>
        <v>0</v>
      </c>
      <c r="AL2192" s="196">
        <f>IFERROR($G2192/SUMIF($A:$A,$A2192,$G:$G)*(SUMIF(Summary!$A$247:$A$283,$A2192,Summary!$L$247:$L$283)+SUMIF(Summary!$A$297:$A$333,$A2192,Summary!$L$297:$L$333))-AK2192,0)</f>
        <v>0</v>
      </c>
      <c r="AM2192" s="198"/>
      <c r="AN2192" s="196">
        <f t="shared" ca="1" si="488"/>
        <v>0</v>
      </c>
      <c r="AO2192" s="196">
        <f t="shared" ca="1" si="489"/>
        <v>0</v>
      </c>
    </row>
    <row r="2193" spans="1:41">
      <c r="A2193" s="189">
        <v>3658</v>
      </c>
      <c r="B2193" s="190">
        <v>5</v>
      </c>
      <c r="C2193" s="191" t="s">
        <v>224</v>
      </c>
      <c r="D2193" s="192">
        <f t="shared" si="476"/>
        <v>0</v>
      </c>
      <c r="E2193" s="192">
        <f t="shared" si="477"/>
        <v>0</v>
      </c>
      <c r="F2193" s="192">
        <f t="shared" si="478"/>
        <v>0</v>
      </c>
      <c r="G2193" s="193">
        <f t="shared" si="479"/>
        <v>0</v>
      </c>
      <c r="H2193" s="194">
        <v>0</v>
      </c>
      <c r="I2193" s="194">
        <v>0</v>
      </c>
      <c r="J2193" s="194">
        <v>0</v>
      </c>
      <c r="K2193" s="193">
        <f t="shared" si="480"/>
        <v>0</v>
      </c>
      <c r="L2193" s="194">
        <v>0</v>
      </c>
      <c r="M2193" s="194">
        <v>0</v>
      </c>
      <c r="N2193" s="194">
        <v>0</v>
      </c>
      <c r="O2193" s="193">
        <f t="shared" si="481"/>
        <v>0</v>
      </c>
      <c r="P2193" s="194">
        <v>0</v>
      </c>
      <c r="Q2193" s="194">
        <v>0</v>
      </c>
      <c r="R2193" s="194">
        <v>0</v>
      </c>
      <c r="S2193" s="193">
        <f t="shared" si="482"/>
        <v>0</v>
      </c>
      <c r="T2193" s="193">
        <f t="shared" si="483"/>
        <v>0</v>
      </c>
      <c r="U2193" s="193">
        <f ca="1">OFFSET('Expenditure Study'!$B$7,'Operations Support'!$C2193,'Operations Support'!$B2193)*$G2193</f>
        <v>0</v>
      </c>
      <c r="V2193" s="199">
        <f ca="1">U2193*'Expenditure Study'!$B$31</f>
        <v>0</v>
      </c>
      <c r="W2193" s="199">
        <f ca="1">IF(A2193=10298,1.51,1)*IF($B2193&lt;3,$D2193*'Expenditure Study'!$B$32*OFFSET('Expenditure Study'!$B$7,'Operations Support'!$C2193,'Operations Support'!$B2193),0)</f>
        <v>0</v>
      </c>
      <c r="X2193" s="200">
        <f ca="1">W2193*'Expenditure Study'!$B$31</f>
        <v>0</v>
      </c>
      <c r="Y2193" s="199">
        <f ca="1">U2193*'Expenditure Study'!$B$31</f>
        <v>0</v>
      </c>
      <c r="Z2193" s="200">
        <f ca="1">W2193*'Expenditure Study'!$B$31</f>
        <v>0</v>
      </c>
      <c r="AA2193" s="195">
        <f t="shared" ca="1" si="484"/>
        <v>0</v>
      </c>
      <c r="AB2193" s="195">
        <f t="shared" ca="1" si="485"/>
        <v>0</v>
      </c>
      <c r="AD2193" s="196">
        <f>IFERROR($G2193/SUMIF($A:$A,$A2193,$G:$G)*SUMIF(Summary!$A$166:$A$242,$A2193,Summary!$P$166:$P$242),0)</f>
        <v>0</v>
      </c>
      <c r="AE2193" s="197">
        <f t="shared" ca="1" si="486"/>
        <v>0</v>
      </c>
      <c r="AF2193" s="196">
        <f>IFERROR(G2193/SUMIF(A:A,A2193,G:G)*SUMIF(Summary!$A$166:$A$242,'Operations Support'!A2193,Summary!$Q$166:$Q$242),0)</f>
        <v>0</v>
      </c>
      <c r="AG2193" s="196">
        <f t="shared" ca="1" si="487"/>
        <v>0</v>
      </c>
      <c r="AI2193" s="196">
        <f>IFERROR($G2193/SUMIF($A:$A,$A2193,$G:$G)*SUMIF(Summary!$A$247:$A$283,$A2193,Summary!$P$247:$P$283),0)</f>
        <v>0</v>
      </c>
      <c r="AJ2193" s="196">
        <f>IFERROR($G2193/SUMIF($A:$A,$A2193,$G:$G)*(SUMIF(Summary!$A$247:$A$283,$A2193,Summary!$L$247:$L$283)+SUMIF(Summary!$A$297:$A$333,$A2193,Summary!$L$297:$L$333))-AI2193,0)</f>
        <v>0</v>
      </c>
      <c r="AK2193" s="196">
        <f>IFERROR($G2193/SUMIF($A:$A,$A2193,$G:$G)*SUMIF(Summary!$A$247:$A$283,$A2193,Summary!$Q$247:$Q$283),0)</f>
        <v>0</v>
      </c>
      <c r="AL2193" s="196">
        <f>IFERROR($G2193/SUMIF($A:$A,$A2193,$G:$G)*(SUMIF(Summary!$A$247:$A$283,$A2193,Summary!$L$247:$L$283)+SUMIF(Summary!$A$297:$A$333,$A2193,Summary!$L$297:$L$333))-AK2193,0)</f>
        <v>0</v>
      </c>
      <c r="AM2193" s="198"/>
      <c r="AN2193" s="196">
        <f t="shared" ca="1" si="488"/>
        <v>0</v>
      </c>
      <c r="AO2193" s="196">
        <f t="shared" ca="1" si="489"/>
        <v>0</v>
      </c>
    </row>
    <row r="2194" spans="1:41">
      <c r="A2194" s="189">
        <v>3658</v>
      </c>
      <c r="B2194" s="190">
        <v>5</v>
      </c>
      <c r="C2194" s="191" t="s">
        <v>225</v>
      </c>
      <c r="D2194" s="192">
        <f t="shared" si="476"/>
        <v>0</v>
      </c>
      <c r="E2194" s="192">
        <f t="shared" si="477"/>
        <v>0</v>
      </c>
      <c r="F2194" s="192">
        <f t="shared" si="478"/>
        <v>0</v>
      </c>
      <c r="G2194" s="193">
        <f t="shared" si="479"/>
        <v>0</v>
      </c>
      <c r="H2194" s="194">
        <v>0</v>
      </c>
      <c r="I2194" s="194">
        <v>0</v>
      </c>
      <c r="J2194" s="194">
        <v>0</v>
      </c>
      <c r="K2194" s="193">
        <f t="shared" si="480"/>
        <v>0</v>
      </c>
      <c r="L2194" s="194">
        <v>0</v>
      </c>
      <c r="M2194" s="194">
        <v>0</v>
      </c>
      <c r="N2194" s="194">
        <v>0</v>
      </c>
      <c r="O2194" s="193">
        <f t="shared" si="481"/>
        <v>0</v>
      </c>
      <c r="P2194" s="194">
        <v>0</v>
      </c>
      <c r="Q2194" s="194">
        <v>0</v>
      </c>
      <c r="R2194" s="194">
        <v>0</v>
      </c>
      <c r="S2194" s="193">
        <f t="shared" si="482"/>
        <v>0</v>
      </c>
      <c r="T2194" s="193">
        <f t="shared" si="483"/>
        <v>0</v>
      </c>
      <c r="U2194" s="193">
        <f ca="1">OFFSET('Expenditure Study'!$B$7,'Operations Support'!$C2194,'Operations Support'!$B2194)*$G2194</f>
        <v>0</v>
      </c>
      <c r="V2194" s="199">
        <f ca="1">U2194*'Expenditure Study'!$B$31</f>
        <v>0</v>
      </c>
      <c r="W2194" s="199">
        <f ca="1">IF(A2194=10298,1.51,1)*IF($B2194&lt;3,$D2194*'Expenditure Study'!$B$32*OFFSET('Expenditure Study'!$B$7,'Operations Support'!$C2194,'Operations Support'!$B2194),0)</f>
        <v>0</v>
      </c>
      <c r="X2194" s="200">
        <f ca="1">W2194*'Expenditure Study'!$B$31</f>
        <v>0</v>
      </c>
      <c r="Y2194" s="199">
        <f ca="1">U2194*'Expenditure Study'!$B$31</f>
        <v>0</v>
      </c>
      <c r="Z2194" s="200">
        <f ca="1">W2194*'Expenditure Study'!$B$31</f>
        <v>0</v>
      </c>
      <c r="AA2194" s="195">
        <f t="shared" ca="1" si="484"/>
        <v>0</v>
      </c>
      <c r="AB2194" s="195">
        <f t="shared" ca="1" si="485"/>
        <v>0</v>
      </c>
      <c r="AD2194" s="196">
        <f>IFERROR($G2194/SUMIF($A:$A,$A2194,$G:$G)*SUMIF(Summary!$A$166:$A$242,$A2194,Summary!$P$166:$P$242),0)</f>
        <v>0</v>
      </c>
      <c r="AE2194" s="197">
        <f t="shared" ca="1" si="486"/>
        <v>0</v>
      </c>
      <c r="AF2194" s="196">
        <f>IFERROR(G2194/SUMIF(A:A,A2194,G:G)*SUMIF(Summary!$A$166:$A$242,'Operations Support'!A2194,Summary!$Q$166:$Q$242),0)</f>
        <v>0</v>
      </c>
      <c r="AG2194" s="196">
        <f t="shared" ca="1" si="487"/>
        <v>0</v>
      </c>
      <c r="AI2194" s="196">
        <f>IFERROR($G2194/SUMIF($A:$A,$A2194,$G:$G)*SUMIF(Summary!$A$247:$A$283,$A2194,Summary!$P$247:$P$283),0)</f>
        <v>0</v>
      </c>
      <c r="AJ2194" s="196">
        <f>IFERROR($G2194/SUMIF($A:$A,$A2194,$G:$G)*(SUMIF(Summary!$A$247:$A$283,$A2194,Summary!$L$247:$L$283)+SUMIF(Summary!$A$297:$A$333,$A2194,Summary!$L$297:$L$333))-AI2194,0)</f>
        <v>0</v>
      </c>
      <c r="AK2194" s="196">
        <f>IFERROR($G2194/SUMIF($A:$A,$A2194,$G:$G)*SUMIF(Summary!$A$247:$A$283,$A2194,Summary!$Q$247:$Q$283),0)</f>
        <v>0</v>
      </c>
      <c r="AL2194" s="196">
        <f>IFERROR($G2194/SUMIF($A:$A,$A2194,$G:$G)*(SUMIF(Summary!$A$247:$A$283,$A2194,Summary!$L$247:$L$283)+SUMIF(Summary!$A$297:$A$333,$A2194,Summary!$L$297:$L$333))-AK2194,0)</f>
        <v>0</v>
      </c>
      <c r="AM2194" s="198"/>
      <c r="AN2194" s="196">
        <f t="shared" ca="1" si="488"/>
        <v>0</v>
      </c>
      <c r="AO2194" s="196">
        <f t="shared" ca="1" si="489"/>
        <v>0</v>
      </c>
    </row>
    <row r="2195" spans="1:41">
      <c r="A2195" s="189">
        <v>3658</v>
      </c>
      <c r="B2195" s="190">
        <v>5</v>
      </c>
      <c r="C2195" s="191" t="s">
        <v>226</v>
      </c>
      <c r="D2195" s="192">
        <f t="shared" si="476"/>
        <v>0</v>
      </c>
      <c r="E2195" s="192">
        <f t="shared" si="477"/>
        <v>0</v>
      </c>
      <c r="F2195" s="192">
        <f t="shared" si="478"/>
        <v>0</v>
      </c>
      <c r="G2195" s="193">
        <f t="shared" si="479"/>
        <v>0</v>
      </c>
      <c r="H2195" s="194">
        <v>0</v>
      </c>
      <c r="I2195" s="194">
        <v>0</v>
      </c>
      <c r="J2195" s="194">
        <v>0</v>
      </c>
      <c r="K2195" s="193">
        <f t="shared" si="480"/>
        <v>0</v>
      </c>
      <c r="L2195" s="194">
        <v>0</v>
      </c>
      <c r="M2195" s="194">
        <v>0</v>
      </c>
      <c r="N2195" s="194">
        <v>0</v>
      </c>
      <c r="O2195" s="193">
        <f t="shared" si="481"/>
        <v>0</v>
      </c>
      <c r="P2195" s="194">
        <v>0</v>
      </c>
      <c r="Q2195" s="194">
        <v>0</v>
      </c>
      <c r="R2195" s="194">
        <v>0</v>
      </c>
      <c r="S2195" s="193">
        <f t="shared" si="482"/>
        <v>0</v>
      </c>
      <c r="T2195" s="193">
        <f t="shared" si="483"/>
        <v>0</v>
      </c>
      <c r="U2195" s="193">
        <f ca="1">OFFSET('Expenditure Study'!$B$7,'Operations Support'!$C2195,'Operations Support'!$B2195)*$G2195</f>
        <v>0</v>
      </c>
      <c r="V2195" s="199">
        <f ca="1">U2195*'Expenditure Study'!$B$31</f>
        <v>0</v>
      </c>
      <c r="W2195" s="199">
        <f ca="1">IF(A2195=10298,1.51,1)*IF($B2195&lt;3,$D2195*'Expenditure Study'!$B$32*OFFSET('Expenditure Study'!$B$7,'Operations Support'!$C2195,'Operations Support'!$B2195),0)</f>
        <v>0</v>
      </c>
      <c r="X2195" s="200">
        <f ca="1">W2195*'Expenditure Study'!$B$31</f>
        <v>0</v>
      </c>
      <c r="Y2195" s="199">
        <f ca="1">U2195*'Expenditure Study'!$B$31</f>
        <v>0</v>
      </c>
      <c r="Z2195" s="200">
        <f ca="1">W2195*'Expenditure Study'!$B$31</f>
        <v>0</v>
      </c>
      <c r="AA2195" s="195">
        <f t="shared" ca="1" si="484"/>
        <v>0</v>
      </c>
      <c r="AB2195" s="195">
        <f t="shared" ca="1" si="485"/>
        <v>0</v>
      </c>
      <c r="AD2195" s="196">
        <f>IFERROR($G2195/SUMIF($A:$A,$A2195,$G:$G)*SUMIF(Summary!$A$166:$A$242,$A2195,Summary!$P$166:$P$242),0)</f>
        <v>0</v>
      </c>
      <c r="AE2195" s="197">
        <f t="shared" ca="1" si="486"/>
        <v>0</v>
      </c>
      <c r="AF2195" s="196">
        <f>IFERROR(G2195/SUMIF(A:A,A2195,G:G)*SUMIF(Summary!$A$166:$A$242,'Operations Support'!A2195,Summary!$Q$166:$Q$242),0)</f>
        <v>0</v>
      </c>
      <c r="AG2195" s="196">
        <f t="shared" ca="1" si="487"/>
        <v>0</v>
      </c>
      <c r="AI2195" s="196">
        <f>IFERROR($G2195/SUMIF($A:$A,$A2195,$G:$G)*SUMIF(Summary!$A$247:$A$283,$A2195,Summary!$P$247:$P$283),0)</f>
        <v>0</v>
      </c>
      <c r="AJ2195" s="196">
        <f>IFERROR($G2195/SUMIF($A:$A,$A2195,$G:$G)*(SUMIF(Summary!$A$247:$A$283,$A2195,Summary!$L$247:$L$283)+SUMIF(Summary!$A$297:$A$333,$A2195,Summary!$L$297:$L$333))-AI2195,0)</f>
        <v>0</v>
      </c>
      <c r="AK2195" s="196">
        <f>IFERROR($G2195/SUMIF($A:$A,$A2195,$G:$G)*SUMIF(Summary!$A$247:$A$283,$A2195,Summary!$Q$247:$Q$283),0)</f>
        <v>0</v>
      </c>
      <c r="AL2195" s="196">
        <f>IFERROR($G2195/SUMIF($A:$A,$A2195,$G:$G)*(SUMIF(Summary!$A$247:$A$283,$A2195,Summary!$L$247:$L$283)+SUMIF(Summary!$A$297:$A$333,$A2195,Summary!$L$297:$L$333))-AK2195,0)</f>
        <v>0</v>
      </c>
      <c r="AM2195" s="198"/>
      <c r="AN2195" s="196">
        <f t="shared" ca="1" si="488"/>
        <v>0</v>
      </c>
      <c r="AO2195" s="196">
        <f t="shared" ca="1" si="489"/>
        <v>0</v>
      </c>
    </row>
    <row r="2196" spans="1:41">
      <c r="A2196" s="189">
        <v>3658</v>
      </c>
      <c r="B2196" s="190">
        <v>5</v>
      </c>
      <c r="C2196" s="191" t="s">
        <v>227</v>
      </c>
      <c r="D2196" s="192">
        <f t="shared" si="476"/>
        <v>14065.6</v>
      </c>
      <c r="E2196" s="192">
        <f t="shared" si="477"/>
        <v>15283.70000000001</v>
      </c>
      <c r="F2196" s="192">
        <f t="shared" si="478"/>
        <v>0</v>
      </c>
      <c r="G2196" s="193">
        <f t="shared" si="479"/>
        <v>29349.30000000001</v>
      </c>
      <c r="H2196" s="194">
        <v>6860.3</v>
      </c>
      <c r="I2196" s="194">
        <v>7457.7000000000098</v>
      </c>
      <c r="J2196" s="194">
        <v>0</v>
      </c>
      <c r="K2196" s="193">
        <f t="shared" si="480"/>
        <v>14318.000000000011</v>
      </c>
      <c r="L2196" s="194">
        <v>7197.3</v>
      </c>
      <c r="M2196" s="194">
        <v>7721</v>
      </c>
      <c r="N2196" s="194">
        <v>0</v>
      </c>
      <c r="O2196" s="193">
        <f t="shared" si="481"/>
        <v>14918.3</v>
      </c>
      <c r="P2196" s="194">
        <v>8</v>
      </c>
      <c r="Q2196" s="194">
        <v>105</v>
      </c>
      <c r="R2196" s="194">
        <v>0</v>
      </c>
      <c r="S2196" s="193">
        <f t="shared" si="482"/>
        <v>113</v>
      </c>
      <c r="T2196" s="193">
        <f t="shared" si="483"/>
        <v>1222.8875000000005</v>
      </c>
      <c r="U2196" s="193">
        <f ca="1">OFFSET('Expenditure Study'!$B$7,'Operations Support'!$C2196,'Operations Support'!$B2196)*$G2196</f>
        <v>161421.15000000005</v>
      </c>
      <c r="V2196" s="199">
        <f ca="1">U2196*'Expenditure Study'!$B$31</f>
        <v>9537274.9903939236</v>
      </c>
      <c r="W2196" s="199">
        <f ca="1">IF(A2196=10298,1.51,1)*IF($B2196&lt;3,$D2196*'Expenditure Study'!$B$32*OFFSET('Expenditure Study'!$B$7,'Operations Support'!$C2196,'Operations Support'!$B2196),0)</f>
        <v>0</v>
      </c>
      <c r="X2196" s="200">
        <f ca="1">W2196*'Expenditure Study'!$B$31</f>
        <v>0</v>
      </c>
      <c r="Y2196" s="199">
        <f ca="1">U2196*'Expenditure Study'!$B$31</f>
        <v>9537274.9903939236</v>
      </c>
      <c r="Z2196" s="200">
        <f ca="1">W2196*'Expenditure Study'!$B$31</f>
        <v>0</v>
      </c>
      <c r="AA2196" s="195">
        <f t="shared" ca="1" si="484"/>
        <v>9537274.9903939236</v>
      </c>
      <c r="AB2196" s="195">
        <f t="shared" ca="1" si="485"/>
        <v>9537274.9903939236</v>
      </c>
      <c r="AD2196" s="196">
        <f>IFERROR($G2196/SUMIF($A:$A,$A2196,$G:$G)*SUMIF(Summary!$A$166:$A$242,$A2196,Summary!$P$166:$P$242),0)</f>
        <v>1364451.667653295</v>
      </c>
      <c r="AE2196" s="197">
        <f t="shared" ca="1" si="486"/>
        <v>8172823.3227406284</v>
      </c>
      <c r="AF2196" s="196">
        <f>IFERROR(G2196/SUMIF(A:A,A2196,G:G)*SUMIF(Summary!$A$166:$A$242,'Operations Support'!A2196,Summary!$Q$166:$Q$242),0)</f>
        <v>1372185.0164955719</v>
      </c>
      <c r="AG2196" s="196">
        <f t="shared" ca="1" si="487"/>
        <v>8165089.9738983512</v>
      </c>
      <c r="AI2196" s="196">
        <f>IFERROR($G2196/SUMIF($A:$A,$A2196,$G:$G)*SUMIF(Summary!$A$247:$A$283,$A2196,Summary!$P$247:$P$283),0)</f>
        <v>248841.93466814369</v>
      </c>
      <c r="AJ2196" s="196">
        <f>IFERROR($G2196/SUMIF($A:$A,$A2196,$G:$G)*(SUMIF(Summary!$A$247:$A$283,$A2196,Summary!$L$247:$L$283)+SUMIF(Summary!$A$297:$A$333,$A2196,Summary!$L$297:$L$333))-AI2196,0)</f>
        <v>1037367.3256302869</v>
      </c>
      <c r="AK2196" s="196">
        <f>IFERROR($G2196/SUMIF($A:$A,$A2196,$G:$G)*SUMIF(Summary!$A$247:$A$283,$A2196,Summary!$Q$247:$Q$283),0)</f>
        <v>250252.30451340583</v>
      </c>
      <c r="AL2196" s="196">
        <f>IFERROR($G2196/SUMIF($A:$A,$A2196,$G:$G)*(SUMIF(Summary!$A$247:$A$283,$A2196,Summary!$L$247:$L$283)+SUMIF(Summary!$A$297:$A$333,$A2196,Summary!$L$297:$L$333))-AK2196,0)</f>
        <v>1035956.9557850249</v>
      </c>
      <c r="AM2196" s="198"/>
      <c r="AN2196" s="196">
        <f t="shared" ca="1" si="488"/>
        <v>9210190.648370916</v>
      </c>
      <c r="AO2196" s="196">
        <f t="shared" ca="1" si="489"/>
        <v>9201046.9296833761</v>
      </c>
    </row>
    <row r="2197" spans="1:41">
      <c r="A2197" s="189">
        <v>3658</v>
      </c>
      <c r="B2197" s="190">
        <v>5</v>
      </c>
      <c r="C2197" s="191" t="s">
        <v>228</v>
      </c>
      <c r="D2197" s="192">
        <f t="shared" si="476"/>
        <v>0</v>
      </c>
      <c r="E2197" s="192">
        <f t="shared" si="477"/>
        <v>0</v>
      </c>
      <c r="F2197" s="192">
        <f t="shared" si="478"/>
        <v>0</v>
      </c>
      <c r="G2197" s="193">
        <f t="shared" si="479"/>
        <v>0</v>
      </c>
      <c r="H2197" s="194">
        <v>0</v>
      </c>
      <c r="I2197" s="194">
        <v>0</v>
      </c>
      <c r="J2197" s="194">
        <v>0</v>
      </c>
      <c r="K2197" s="193">
        <f t="shared" si="480"/>
        <v>0</v>
      </c>
      <c r="L2197" s="194">
        <v>0</v>
      </c>
      <c r="M2197" s="194">
        <v>0</v>
      </c>
      <c r="N2197" s="194">
        <v>0</v>
      </c>
      <c r="O2197" s="193">
        <f t="shared" si="481"/>
        <v>0</v>
      </c>
      <c r="P2197" s="194">
        <v>0</v>
      </c>
      <c r="Q2197" s="194">
        <v>0</v>
      </c>
      <c r="R2197" s="194">
        <v>0</v>
      </c>
      <c r="S2197" s="193">
        <f t="shared" si="482"/>
        <v>0</v>
      </c>
      <c r="T2197" s="193">
        <f t="shared" si="483"/>
        <v>0</v>
      </c>
      <c r="U2197" s="193">
        <f ca="1">OFFSET('Expenditure Study'!$B$7,'Operations Support'!$C2197,'Operations Support'!$B2197)*$G2197</f>
        <v>0</v>
      </c>
      <c r="V2197" s="199">
        <f ca="1">U2197*'Expenditure Study'!$B$31</f>
        <v>0</v>
      </c>
      <c r="W2197" s="199">
        <f ca="1">IF(A2197=10298,1.51,1)*IF($B2197&lt;3,$D2197*'Expenditure Study'!$B$32*OFFSET('Expenditure Study'!$B$7,'Operations Support'!$C2197,'Operations Support'!$B2197),0)</f>
        <v>0</v>
      </c>
      <c r="X2197" s="200">
        <f ca="1">W2197*'Expenditure Study'!$B$31</f>
        <v>0</v>
      </c>
      <c r="Y2197" s="199">
        <f ca="1">U2197*'Expenditure Study'!$B$31</f>
        <v>0</v>
      </c>
      <c r="Z2197" s="200">
        <f ca="1">W2197*'Expenditure Study'!$B$31</f>
        <v>0</v>
      </c>
      <c r="AA2197" s="195">
        <f t="shared" ca="1" si="484"/>
        <v>0</v>
      </c>
      <c r="AB2197" s="195">
        <f t="shared" ca="1" si="485"/>
        <v>0</v>
      </c>
      <c r="AD2197" s="196">
        <f>IFERROR($G2197/SUMIF($A:$A,$A2197,$G:$G)*SUMIF(Summary!$A$166:$A$242,$A2197,Summary!$P$166:$P$242),0)</f>
        <v>0</v>
      </c>
      <c r="AE2197" s="197">
        <f t="shared" ca="1" si="486"/>
        <v>0</v>
      </c>
      <c r="AF2197" s="196">
        <f>IFERROR(G2197/SUMIF(A:A,A2197,G:G)*SUMIF(Summary!$A$166:$A$242,'Operations Support'!A2197,Summary!$Q$166:$Q$242),0)</f>
        <v>0</v>
      </c>
      <c r="AG2197" s="196">
        <f t="shared" ca="1" si="487"/>
        <v>0</v>
      </c>
      <c r="AI2197" s="196">
        <f>IFERROR($G2197/SUMIF($A:$A,$A2197,$G:$G)*SUMIF(Summary!$A$247:$A$283,$A2197,Summary!$P$247:$P$283),0)</f>
        <v>0</v>
      </c>
      <c r="AJ2197" s="196">
        <f>IFERROR($G2197/SUMIF($A:$A,$A2197,$G:$G)*(SUMIF(Summary!$A$247:$A$283,$A2197,Summary!$L$247:$L$283)+SUMIF(Summary!$A$297:$A$333,$A2197,Summary!$L$297:$L$333))-AI2197,0)</f>
        <v>0</v>
      </c>
      <c r="AK2197" s="196">
        <f>IFERROR($G2197/SUMIF($A:$A,$A2197,$G:$G)*SUMIF(Summary!$A$247:$A$283,$A2197,Summary!$Q$247:$Q$283),0)</f>
        <v>0</v>
      </c>
      <c r="AL2197" s="196">
        <f>IFERROR($G2197/SUMIF($A:$A,$A2197,$G:$G)*(SUMIF(Summary!$A$247:$A$283,$A2197,Summary!$L$247:$L$283)+SUMIF(Summary!$A$297:$A$333,$A2197,Summary!$L$297:$L$333))-AK2197,0)</f>
        <v>0</v>
      </c>
      <c r="AM2197" s="198"/>
      <c r="AN2197" s="196">
        <f t="shared" ca="1" si="488"/>
        <v>0</v>
      </c>
      <c r="AO2197" s="196">
        <f t="shared" ca="1" si="489"/>
        <v>0</v>
      </c>
    </row>
    <row r="2198" spans="1:41">
      <c r="A2198" s="189">
        <v>3658</v>
      </c>
      <c r="B2198" s="190">
        <v>5</v>
      </c>
      <c r="C2198" s="191" t="s">
        <v>229</v>
      </c>
      <c r="D2198" s="192">
        <f t="shared" si="476"/>
        <v>0</v>
      </c>
      <c r="E2198" s="192">
        <f t="shared" si="477"/>
        <v>0</v>
      </c>
      <c r="F2198" s="192">
        <f t="shared" si="478"/>
        <v>0</v>
      </c>
      <c r="G2198" s="193">
        <f t="shared" si="479"/>
        <v>0</v>
      </c>
      <c r="H2198" s="194">
        <v>0</v>
      </c>
      <c r="I2198" s="194">
        <v>0</v>
      </c>
      <c r="J2198" s="194">
        <v>0</v>
      </c>
      <c r="K2198" s="193">
        <f t="shared" si="480"/>
        <v>0</v>
      </c>
      <c r="L2198" s="194">
        <v>0</v>
      </c>
      <c r="M2198" s="194">
        <v>0</v>
      </c>
      <c r="N2198" s="194">
        <v>0</v>
      </c>
      <c r="O2198" s="193">
        <f t="shared" si="481"/>
        <v>0</v>
      </c>
      <c r="P2198" s="194">
        <v>0</v>
      </c>
      <c r="Q2198" s="194">
        <v>0</v>
      </c>
      <c r="R2198" s="194">
        <v>0</v>
      </c>
      <c r="S2198" s="193">
        <f t="shared" si="482"/>
        <v>0</v>
      </c>
      <c r="T2198" s="193">
        <f t="shared" si="483"/>
        <v>0</v>
      </c>
      <c r="U2198" s="193">
        <f ca="1">OFFSET('Expenditure Study'!$B$7,'Operations Support'!$C2198,'Operations Support'!$B2198)*$G2198</f>
        <v>0</v>
      </c>
      <c r="V2198" s="199">
        <f ca="1">U2198*'Expenditure Study'!$B$31</f>
        <v>0</v>
      </c>
      <c r="W2198" s="199">
        <f ca="1">IF(A2198=10298,1.51,1)*IF($B2198&lt;3,$D2198*'Expenditure Study'!$B$32*OFFSET('Expenditure Study'!$B$7,'Operations Support'!$C2198,'Operations Support'!$B2198),0)</f>
        <v>0</v>
      </c>
      <c r="X2198" s="200">
        <f ca="1">W2198*'Expenditure Study'!$B$31</f>
        <v>0</v>
      </c>
      <c r="Y2198" s="199">
        <f ca="1">U2198*'Expenditure Study'!$B$31</f>
        <v>0</v>
      </c>
      <c r="Z2198" s="200">
        <f ca="1">W2198*'Expenditure Study'!$B$31</f>
        <v>0</v>
      </c>
      <c r="AA2198" s="195">
        <f t="shared" ca="1" si="484"/>
        <v>0</v>
      </c>
      <c r="AB2198" s="195">
        <f t="shared" ca="1" si="485"/>
        <v>0</v>
      </c>
      <c r="AD2198" s="196">
        <f>IFERROR($G2198/SUMIF($A:$A,$A2198,$G:$G)*SUMIF(Summary!$A$166:$A$242,$A2198,Summary!$P$166:$P$242),0)</f>
        <v>0</v>
      </c>
      <c r="AE2198" s="197">
        <f t="shared" ca="1" si="486"/>
        <v>0</v>
      </c>
      <c r="AF2198" s="196">
        <f>IFERROR(G2198/SUMIF(A:A,A2198,G:G)*SUMIF(Summary!$A$166:$A$242,'Operations Support'!A2198,Summary!$Q$166:$Q$242),0)</f>
        <v>0</v>
      </c>
      <c r="AG2198" s="196">
        <f t="shared" ca="1" si="487"/>
        <v>0</v>
      </c>
      <c r="AI2198" s="196">
        <f>IFERROR($G2198/SUMIF($A:$A,$A2198,$G:$G)*SUMIF(Summary!$A$247:$A$283,$A2198,Summary!$P$247:$P$283),0)</f>
        <v>0</v>
      </c>
      <c r="AJ2198" s="196">
        <f>IFERROR($G2198/SUMIF($A:$A,$A2198,$G:$G)*(SUMIF(Summary!$A$247:$A$283,$A2198,Summary!$L$247:$L$283)+SUMIF(Summary!$A$297:$A$333,$A2198,Summary!$L$297:$L$333))-AI2198,0)</f>
        <v>0</v>
      </c>
      <c r="AK2198" s="196">
        <f>IFERROR($G2198/SUMIF($A:$A,$A2198,$G:$G)*SUMIF(Summary!$A$247:$A$283,$A2198,Summary!$Q$247:$Q$283),0)</f>
        <v>0</v>
      </c>
      <c r="AL2198" s="196">
        <f>IFERROR($G2198/SUMIF($A:$A,$A2198,$G:$G)*(SUMIF(Summary!$A$247:$A$283,$A2198,Summary!$L$247:$L$283)+SUMIF(Summary!$A$297:$A$333,$A2198,Summary!$L$297:$L$333))-AK2198,0)</f>
        <v>0</v>
      </c>
      <c r="AM2198" s="198"/>
      <c r="AN2198" s="196">
        <f t="shared" ca="1" si="488"/>
        <v>0</v>
      </c>
      <c r="AO2198" s="196">
        <f t="shared" ca="1" si="489"/>
        <v>0</v>
      </c>
    </row>
    <row r="2199" spans="1:41">
      <c r="A2199" s="189">
        <v>3658</v>
      </c>
      <c r="B2199" s="190">
        <v>5</v>
      </c>
      <c r="C2199" s="191" t="s">
        <v>230</v>
      </c>
      <c r="D2199" s="192">
        <f t="shared" si="476"/>
        <v>0</v>
      </c>
      <c r="E2199" s="192">
        <f t="shared" si="477"/>
        <v>0</v>
      </c>
      <c r="F2199" s="192">
        <f t="shared" si="478"/>
        <v>0</v>
      </c>
      <c r="G2199" s="193">
        <f t="shared" si="479"/>
        <v>0</v>
      </c>
      <c r="H2199" s="194">
        <v>0</v>
      </c>
      <c r="I2199" s="194">
        <v>0</v>
      </c>
      <c r="J2199" s="194">
        <v>0</v>
      </c>
      <c r="K2199" s="193">
        <f t="shared" si="480"/>
        <v>0</v>
      </c>
      <c r="L2199" s="194">
        <v>0</v>
      </c>
      <c r="M2199" s="194">
        <v>0</v>
      </c>
      <c r="N2199" s="194">
        <v>0</v>
      </c>
      <c r="O2199" s="193">
        <f t="shared" si="481"/>
        <v>0</v>
      </c>
      <c r="P2199" s="194">
        <v>0</v>
      </c>
      <c r="Q2199" s="194">
        <v>0</v>
      </c>
      <c r="R2199" s="194">
        <v>0</v>
      </c>
      <c r="S2199" s="193">
        <f t="shared" si="482"/>
        <v>0</v>
      </c>
      <c r="T2199" s="193">
        <f t="shared" si="483"/>
        <v>0</v>
      </c>
      <c r="U2199" s="193">
        <f ca="1">OFFSET('Expenditure Study'!$B$7,'Operations Support'!$C2199,'Operations Support'!$B2199)*$G2199</f>
        <v>0</v>
      </c>
      <c r="V2199" s="199">
        <f ca="1">U2199*'Expenditure Study'!$B$31</f>
        <v>0</v>
      </c>
      <c r="W2199" s="199">
        <f ca="1">IF(A2199=10298,1.51,1)*IF($B2199&lt;3,$D2199*'Expenditure Study'!$B$32*OFFSET('Expenditure Study'!$B$7,'Operations Support'!$C2199,'Operations Support'!$B2199),0)</f>
        <v>0</v>
      </c>
      <c r="X2199" s="200">
        <f ca="1">W2199*'Expenditure Study'!$B$31</f>
        <v>0</v>
      </c>
      <c r="Y2199" s="199">
        <f ca="1">U2199*'Expenditure Study'!$B$31</f>
        <v>0</v>
      </c>
      <c r="Z2199" s="200">
        <f ca="1">W2199*'Expenditure Study'!$B$31</f>
        <v>0</v>
      </c>
      <c r="AA2199" s="195">
        <f t="shared" ca="1" si="484"/>
        <v>0</v>
      </c>
      <c r="AB2199" s="195">
        <f t="shared" ca="1" si="485"/>
        <v>0</v>
      </c>
      <c r="AD2199" s="196">
        <f>IFERROR($G2199/SUMIF($A:$A,$A2199,$G:$G)*SUMIF(Summary!$A$166:$A$242,$A2199,Summary!$P$166:$P$242),0)</f>
        <v>0</v>
      </c>
      <c r="AE2199" s="197">
        <f t="shared" ca="1" si="486"/>
        <v>0</v>
      </c>
      <c r="AF2199" s="196">
        <f>IFERROR(G2199/SUMIF(A:A,A2199,G:G)*SUMIF(Summary!$A$166:$A$242,'Operations Support'!A2199,Summary!$Q$166:$Q$242),0)</f>
        <v>0</v>
      </c>
      <c r="AG2199" s="196">
        <f t="shared" ca="1" si="487"/>
        <v>0</v>
      </c>
      <c r="AI2199" s="196">
        <f>IFERROR($G2199/SUMIF($A:$A,$A2199,$G:$G)*SUMIF(Summary!$A$247:$A$283,$A2199,Summary!$P$247:$P$283),0)</f>
        <v>0</v>
      </c>
      <c r="AJ2199" s="196">
        <f>IFERROR($G2199/SUMIF($A:$A,$A2199,$G:$G)*(SUMIF(Summary!$A$247:$A$283,$A2199,Summary!$L$247:$L$283)+SUMIF(Summary!$A$297:$A$333,$A2199,Summary!$L$297:$L$333))-AI2199,0)</f>
        <v>0</v>
      </c>
      <c r="AK2199" s="196">
        <f>IFERROR($G2199/SUMIF($A:$A,$A2199,$G:$G)*SUMIF(Summary!$A$247:$A$283,$A2199,Summary!$Q$247:$Q$283),0)</f>
        <v>0</v>
      </c>
      <c r="AL2199" s="196">
        <f>IFERROR($G2199/SUMIF($A:$A,$A2199,$G:$G)*(SUMIF(Summary!$A$247:$A$283,$A2199,Summary!$L$247:$L$283)+SUMIF(Summary!$A$297:$A$333,$A2199,Summary!$L$297:$L$333))-AK2199,0)</f>
        <v>0</v>
      </c>
      <c r="AM2199" s="198"/>
      <c r="AN2199" s="196">
        <f t="shared" ca="1" si="488"/>
        <v>0</v>
      </c>
      <c r="AO2199" s="196">
        <f t="shared" ca="1" si="489"/>
        <v>0</v>
      </c>
    </row>
    <row r="2200" spans="1:41">
      <c r="A2200" s="189">
        <v>3658</v>
      </c>
      <c r="B2200" s="190">
        <v>5</v>
      </c>
      <c r="C2200" s="191" t="s">
        <v>231</v>
      </c>
      <c r="D2200" s="192">
        <f t="shared" si="476"/>
        <v>0</v>
      </c>
      <c r="E2200" s="192">
        <f t="shared" si="477"/>
        <v>0</v>
      </c>
      <c r="F2200" s="192">
        <f t="shared" si="478"/>
        <v>0</v>
      </c>
      <c r="G2200" s="193">
        <f t="shared" si="479"/>
        <v>0</v>
      </c>
      <c r="H2200" s="194">
        <v>0</v>
      </c>
      <c r="I2200" s="194">
        <v>0</v>
      </c>
      <c r="J2200" s="194">
        <v>0</v>
      </c>
      <c r="K2200" s="193">
        <f t="shared" si="480"/>
        <v>0</v>
      </c>
      <c r="L2200" s="194">
        <v>0</v>
      </c>
      <c r="M2200" s="194">
        <v>0</v>
      </c>
      <c r="N2200" s="194">
        <v>0</v>
      </c>
      <c r="O2200" s="193">
        <f t="shared" si="481"/>
        <v>0</v>
      </c>
      <c r="P2200" s="194">
        <v>0</v>
      </c>
      <c r="Q2200" s="194">
        <v>0</v>
      </c>
      <c r="R2200" s="194">
        <v>0</v>
      </c>
      <c r="S2200" s="193">
        <f t="shared" si="482"/>
        <v>0</v>
      </c>
      <c r="T2200" s="193">
        <f t="shared" si="483"/>
        <v>0</v>
      </c>
      <c r="U2200" s="193">
        <f ca="1">OFFSET('Expenditure Study'!$B$7,'Operations Support'!$C2200,'Operations Support'!$B2200)*$G2200</f>
        <v>0</v>
      </c>
      <c r="V2200" s="199">
        <f ca="1">U2200*'Expenditure Study'!$B$31</f>
        <v>0</v>
      </c>
      <c r="W2200" s="199">
        <f ca="1">IF(A2200=10298,1.51,1)*IF($B2200&lt;3,$D2200*'Expenditure Study'!$B$32*OFFSET('Expenditure Study'!$B$7,'Operations Support'!$C2200,'Operations Support'!$B2200),0)</f>
        <v>0</v>
      </c>
      <c r="X2200" s="200">
        <f ca="1">W2200*'Expenditure Study'!$B$31</f>
        <v>0</v>
      </c>
      <c r="Y2200" s="199">
        <f ca="1">U2200*'Expenditure Study'!$B$31</f>
        <v>0</v>
      </c>
      <c r="Z2200" s="200">
        <f ca="1">W2200*'Expenditure Study'!$B$31</f>
        <v>0</v>
      </c>
      <c r="AA2200" s="195">
        <f t="shared" ca="1" si="484"/>
        <v>0</v>
      </c>
      <c r="AB2200" s="195">
        <f t="shared" ca="1" si="485"/>
        <v>0</v>
      </c>
      <c r="AD2200" s="196">
        <f>IFERROR($G2200/SUMIF($A:$A,$A2200,$G:$G)*SUMIF(Summary!$A$166:$A$242,$A2200,Summary!$P$166:$P$242),0)</f>
        <v>0</v>
      </c>
      <c r="AE2200" s="197">
        <f t="shared" ca="1" si="486"/>
        <v>0</v>
      </c>
      <c r="AF2200" s="196">
        <f>IFERROR(G2200/SUMIF(A:A,A2200,G:G)*SUMIF(Summary!$A$166:$A$242,'Operations Support'!A2200,Summary!$Q$166:$Q$242),0)</f>
        <v>0</v>
      </c>
      <c r="AG2200" s="196">
        <f t="shared" ca="1" si="487"/>
        <v>0</v>
      </c>
      <c r="AI2200" s="196">
        <f>IFERROR($G2200/SUMIF($A:$A,$A2200,$G:$G)*SUMIF(Summary!$A$247:$A$283,$A2200,Summary!$P$247:$P$283),0)</f>
        <v>0</v>
      </c>
      <c r="AJ2200" s="196">
        <f>IFERROR($G2200/SUMIF($A:$A,$A2200,$G:$G)*(SUMIF(Summary!$A$247:$A$283,$A2200,Summary!$L$247:$L$283)+SUMIF(Summary!$A$297:$A$333,$A2200,Summary!$L$297:$L$333))-AI2200,0)</f>
        <v>0</v>
      </c>
      <c r="AK2200" s="196">
        <f>IFERROR($G2200/SUMIF($A:$A,$A2200,$G:$G)*SUMIF(Summary!$A$247:$A$283,$A2200,Summary!$Q$247:$Q$283),0)</f>
        <v>0</v>
      </c>
      <c r="AL2200" s="196">
        <f>IFERROR($G2200/SUMIF($A:$A,$A2200,$G:$G)*(SUMIF(Summary!$A$247:$A$283,$A2200,Summary!$L$247:$L$283)+SUMIF(Summary!$A$297:$A$333,$A2200,Summary!$L$297:$L$333))-AK2200,0)</f>
        <v>0</v>
      </c>
      <c r="AM2200" s="198"/>
      <c r="AN2200" s="196">
        <f t="shared" ca="1" si="488"/>
        <v>0</v>
      </c>
      <c r="AO2200" s="196">
        <f t="shared" ca="1" si="489"/>
        <v>0</v>
      </c>
    </row>
    <row r="2201" spans="1:41" s="201" customFormat="1">
      <c r="A2201" s="189">
        <v>3658</v>
      </c>
      <c r="B2201" s="190">
        <v>5</v>
      </c>
      <c r="C2201" s="191" t="s">
        <v>232</v>
      </c>
      <c r="D2201" s="192">
        <f t="shared" si="476"/>
        <v>0</v>
      </c>
      <c r="E2201" s="192">
        <f t="shared" si="477"/>
        <v>0</v>
      </c>
      <c r="F2201" s="192">
        <f t="shared" si="478"/>
        <v>0</v>
      </c>
      <c r="G2201" s="193">
        <f t="shared" si="479"/>
        <v>0</v>
      </c>
      <c r="H2201" s="194">
        <v>0</v>
      </c>
      <c r="I2201" s="194">
        <v>0</v>
      </c>
      <c r="J2201" s="194">
        <v>0</v>
      </c>
      <c r="K2201" s="193">
        <f t="shared" si="480"/>
        <v>0</v>
      </c>
      <c r="L2201" s="194">
        <v>0</v>
      </c>
      <c r="M2201" s="194">
        <v>0</v>
      </c>
      <c r="N2201" s="194">
        <v>0</v>
      </c>
      <c r="O2201" s="193">
        <f t="shared" si="481"/>
        <v>0</v>
      </c>
      <c r="P2201" s="194">
        <v>0</v>
      </c>
      <c r="Q2201" s="194">
        <v>0</v>
      </c>
      <c r="R2201" s="194">
        <v>0</v>
      </c>
      <c r="S2201" s="193">
        <f t="shared" si="482"/>
        <v>0</v>
      </c>
      <c r="T2201" s="193">
        <f t="shared" si="483"/>
        <v>0</v>
      </c>
      <c r="U2201" s="193">
        <f ca="1">OFFSET('Expenditure Study'!$B$7,'Operations Support'!$C2201,'Operations Support'!$B2201)*$G2201</f>
        <v>0</v>
      </c>
      <c r="V2201" s="199">
        <f ca="1">U2201*'Expenditure Study'!$B$31</f>
        <v>0</v>
      </c>
      <c r="W2201" s="199">
        <f ca="1">IF(A2201=10298,1.51,1)*IF($B2201&lt;3,$D2201*'Expenditure Study'!$B$32*OFFSET('Expenditure Study'!$B$7,'Operations Support'!$C2201,'Operations Support'!$B2201),0)</f>
        <v>0</v>
      </c>
      <c r="X2201" s="200">
        <f ca="1">W2201*'Expenditure Study'!$B$31</f>
        <v>0</v>
      </c>
      <c r="Y2201" s="199">
        <f ca="1">U2201*'Expenditure Study'!$B$31</f>
        <v>0</v>
      </c>
      <c r="Z2201" s="200">
        <f ca="1">W2201*'Expenditure Study'!$B$31</f>
        <v>0</v>
      </c>
      <c r="AA2201" s="195">
        <f t="shared" ca="1" si="484"/>
        <v>0</v>
      </c>
      <c r="AB2201" s="195">
        <f t="shared" ca="1" si="485"/>
        <v>0</v>
      </c>
      <c r="AD2201" s="196">
        <f>IFERROR($G2201/SUMIF($A:$A,$A2201,$G:$G)*SUMIF(Summary!$A$166:$A$242,$A2201,Summary!$P$166:$P$242),0)</f>
        <v>0</v>
      </c>
      <c r="AE2201" s="197">
        <f t="shared" ca="1" si="486"/>
        <v>0</v>
      </c>
      <c r="AF2201" s="196">
        <f>IFERROR(G2201/SUMIF(A:A,A2201,G:G)*SUMIF(Summary!$A$166:$A$242,'Operations Support'!A2201,Summary!$Q$166:$Q$242),0)</f>
        <v>0</v>
      </c>
      <c r="AG2201" s="196">
        <f t="shared" ca="1" si="487"/>
        <v>0</v>
      </c>
      <c r="AH2201" s="180"/>
      <c r="AI2201" s="196">
        <f>IFERROR($G2201/SUMIF($A:$A,$A2201,$G:$G)*SUMIF(Summary!$A$247:$A$283,$A2201,Summary!$P$247:$P$283),0)</f>
        <v>0</v>
      </c>
      <c r="AJ2201" s="196">
        <f>IFERROR($G2201/SUMIF($A:$A,$A2201,$G:$G)*(SUMIF(Summary!$A$247:$A$283,$A2201,Summary!$L$247:$L$283)+SUMIF(Summary!$A$297:$A$333,$A2201,Summary!$L$297:$L$333))-AI2201,0)</f>
        <v>0</v>
      </c>
      <c r="AK2201" s="196">
        <f>IFERROR($G2201/SUMIF($A:$A,$A2201,$G:$G)*SUMIF(Summary!$A$247:$A$283,$A2201,Summary!$Q$247:$Q$283),0)</f>
        <v>0</v>
      </c>
      <c r="AL2201" s="196">
        <f>IFERROR($G2201/SUMIF($A:$A,$A2201,$G:$G)*(SUMIF(Summary!$A$247:$A$283,$A2201,Summary!$L$247:$L$283)+SUMIF(Summary!$A$297:$A$333,$A2201,Summary!$L$297:$L$333))-AK2201,0)</f>
        <v>0</v>
      </c>
      <c r="AM2201" s="198"/>
      <c r="AN2201" s="196">
        <f t="shared" ca="1" si="488"/>
        <v>0</v>
      </c>
      <c r="AO2201" s="196">
        <f t="shared" ca="1" si="489"/>
        <v>0</v>
      </c>
    </row>
    <row r="2202" spans="1:41">
      <c r="A2202" s="189">
        <v>3658</v>
      </c>
      <c r="B2202" s="190">
        <v>5</v>
      </c>
      <c r="C2202" s="191" t="s">
        <v>233</v>
      </c>
      <c r="D2202" s="192">
        <f t="shared" si="476"/>
        <v>381</v>
      </c>
      <c r="E2202" s="192">
        <f t="shared" si="477"/>
        <v>453</v>
      </c>
      <c r="F2202" s="192">
        <f t="shared" si="478"/>
        <v>0</v>
      </c>
      <c r="G2202" s="193">
        <f t="shared" si="479"/>
        <v>834</v>
      </c>
      <c r="H2202" s="194">
        <v>207</v>
      </c>
      <c r="I2202" s="194">
        <v>174</v>
      </c>
      <c r="J2202" s="194">
        <v>0</v>
      </c>
      <c r="K2202" s="193">
        <f t="shared" si="480"/>
        <v>381</v>
      </c>
      <c r="L2202" s="194">
        <v>174</v>
      </c>
      <c r="M2202" s="194">
        <v>162</v>
      </c>
      <c r="N2202" s="194">
        <v>0</v>
      </c>
      <c r="O2202" s="193">
        <f t="shared" si="481"/>
        <v>336</v>
      </c>
      <c r="P2202" s="194">
        <v>0</v>
      </c>
      <c r="Q2202" s="194">
        <v>117</v>
      </c>
      <c r="R2202" s="194">
        <v>0</v>
      </c>
      <c r="S2202" s="193">
        <f t="shared" si="482"/>
        <v>117</v>
      </c>
      <c r="T2202" s="193">
        <f t="shared" si="483"/>
        <v>34.75</v>
      </c>
      <c r="U2202" s="193">
        <f ca="1">OFFSET('Expenditure Study'!$B$7,'Operations Support'!$C2202,'Operations Support'!$B2202)*$G2202</f>
        <v>2735.52</v>
      </c>
      <c r="V2202" s="199">
        <f ca="1">U2202*'Expenditure Study'!$B$31</f>
        <v>161623.22274201599</v>
      </c>
      <c r="W2202" s="199">
        <f ca="1">IF(A2202=10298,1.51,1)*IF($B2202&lt;3,$D2202*'Expenditure Study'!$B$32*OFFSET('Expenditure Study'!$B$7,'Operations Support'!$C2202,'Operations Support'!$B2202),0)</f>
        <v>0</v>
      </c>
      <c r="X2202" s="200">
        <f ca="1">W2202*'Expenditure Study'!$B$31</f>
        <v>0</v>
      </c>
      <c r="Y2202" s="199">
        <f ca="1">U2202*'Expenditure Study'!$B$31</f>
        <v>161623.22274201599</v>
      </c>
      <c r="Z2202" s="200">
        <f ca="1">W2202*'Expenditure Study'!$B$31</f>
        <v>0</v>
      </c>
      <c r="AA2202" s="195">
        <f t="shared" ca="1" si="484"/>
        <v>161623.22274201599</v>
      </c>
      <c r="AB2202" s="195">
        <f t="shared" ca="1" si="485"/>
        <v>161623.22274201599</v>
      </c>
      <c r="AD2202" s="196">
        <f>IFERROR($G2202/SUMIF($A:$A,$A2202,$G:$G)*SUMIF(Summary!$A$166:$A$242,$A2202,Summary!$P$166:$P$242),0)</f>
        <v>38772.7370268745</v>
      </c>
      <c r="AE2202" s="197">
        <f t="shared" ca="1" si="486"/>
        <v>122850.48571514149</v>
      </c>
      <c r="AF2202" s="196">
        <f>IFERROR(G2202/SUMIF(A:A,A2202,G:G)*SUMIF(Summary!$A$166:$A$242,'Operations Support'!A2202,Summary!$Q$166:$Q$242),0)</f>
        <v>38992.490579240621</v>
      </c>
      <c r="AG2202" s="196">
        <f t="shared" ca="1" si="487"/>
        <v>122630.73216277537</v>
      </c>
      <c r="AI2202" s="196">
        <f>IFERROR($G2202/SUMIF($A:$A,$A2202,$G:$G)*SUMIF(Summary!$A$247:$A$283,$A2202,Summary!$P$247:$P$283),0)</f>
        <v>7071.1796708347993</v>
      </c>
      <c r="AJ2202" s="196">
        <f>IFERROR($G2202/SUMIF($A:$A,$A2202,$G:$G)*(SUMIF(Summary!$A$247:$A$283,$A2202,Summary!$L$247:$L$283)+SUMIF(Summary!$A$297:$A$333,$A2202,Summary!$L$297:$L$333))-AI2202,0)</f>
        <v>29478.193673295755</v>
      </c>
      <c r="AK2202" s="196">
        <f>IFERROR($G2202/SUMIF($A:$A,$A2202,$G:$G)*SUMIF(Summary!$A$247:$A$283,$A2202,Summary!$Q$247:$Q$283),0)</f>
        <v>7111.2572348976082</v>
      </c>
      <c r="AL2202" s="196">
        <f>IFERROR($G2202/SUMIF($A:$A,$A2202,$G:$G)*(SUMIF(Summary!$A$247:$A$283,$A2202,Summary!$L$247:$L$283)+SUMIF(Summary!$A$297:$A$333,$A2202,Summary!$L$297:$L$333))-AK2202,0)</f>
        <v>29438.116109232942</v>
      </c>
      <c r="AM2202" s="198"/>
      <c r="AN2202" s="196">
        <f t="shared" ca="1" si="488"/>
        <v>152328.67938843725</v>
      </c>
      <c r="AO2202" s="196">
        <f t="shared" ca="1" si="489"/>
        <v>152068.8482720083</v>
      </c>
    </row>
    <row r="2203" spans="1:41">
      <c r="A2203" s="189">
        <v>3658</v>
      </c>
      <c r="B2203" s="190">
        <v>5</v>
      </c>
      <c r="C2203" s="191" t="s">
        <v>234</v>
      </c>
      <c r="D2203" s="192">
        <f t="shared" si="476"/>
        <v>4907.8100000000395</v>
      </c>
      <c r="E2203" s="192">
        <f t="shared" si="477"/>
        <v>12006.189999999999</v>
      </c>
      <c r="F2203" s="192">
        <f t="shared" si="478"/>
        <v>0</v>
      </c>
      <c r="G2203" s="193">
        <f t="shared" si="479"/>
        <v>16914.000000000036</v>
      </c>
      <c r="H2203" s="194">
        <v>2487.3300000000199</v>
      </c>
      <c r="I2203" s="194">
        <v>5306.6699999999801</v>
      </c>
      <c r="J2203" s="194">
        <v>0</v>
      </c>
      <c r="K2203" s="193">
        <f t="shared" si="480"/>
        <v>7794</v>
      </c>
      <c r="L2203" s="194">
        <v>2412.1400000000199</v>
      </c>
      <c r="M2203" s="194">
        <v>5285.8600000000197</v>
      </c>
      <c r="N2203" s="194">
        <v>0</v>
      </c>
      <c r="O2203" s="193">
        <f t="shared" si="481"/>
        <v>7698.00000000004</v>
      </c>
      <c r="P2203" s="194">
        <v>8.34</v>
      </c>
      <c r="Q2203" s="194">
        <v>1413.66</v>
      </c>
      <c r="R2203" s="194">
        <v>0</v>
      </c>
      <c r="S2203" s="193">
        <f t="shared" si="482"/>
        <v>1422</v>
      </c>
      <c r="T2203" s="193">
        <f t="shared" si="483"/>
        <v>704.75000000000148</v>
      </c>
      <c r="U2203" s="193">
        <f ca="1">OFFSET('Expenditure Study'!$B$7,'Operations Support'!$C2203,'Operations Support'!$B2203)*$G2203</f>
        <v>78988.380000000165</v>
      </c>
      <c r="V2203" s="199">
        <f ca="1">U2203*'Expenditure Study'!$B$31</f>
        <v>4666884.7366391141</v>
      </c>
      <c r="W2203" s="199">
        <f ca="1">IF(A2203=10298,1.51,1)*IF($B2203&lt;3,$D2203*'Expenditure Study'!$B$32*OFFSET('Expenditure Study'!$B$7,'Operations Support'!$C2203,'Operations Support'!$B2203),0)</f>
        <v>0</v>
      </c>
      <c r="X2203" s="200">
        <f ca="1">W2203*'Expenditure Study'!$B$31</f>
        <v>0</v>
      </c>
      <c r="Y2203" s="199">
        <f ca="1">U2203*'Expenditure Study'!$B$31</f>
        <v>4666884.7366391141</v>
      </c>
      <c r="Z2203" s="200">
        <f ca="1">W2203*'Expenditure Study'!$B$31</f>
        <v>0</v>
      </c>
      <c r="AA2203" s="195">
        <f t="shared" ca="1" si="484"/>
        <v>4666884.7366391141</v>
      </c>
      <c r="AB2203" s="195">
        <f t="shared" ca="1" si="485"/>
        <v>4666884.7366391141</v>
      </c>
      <c r="AD2203" s="196">
        <f>IFERROR($G2203/SUMIF($A:$A,$A2203,$G:$G)*SUMIF(Summary!$A$166:$A$242,$A2203,Summary!$P$166:$P$242),0)</f>
        <v>786333.42214934842</v>
      </c>
      <c r="AE2203" s="197">
        <f t="shared" ca="1" si="486"/>
        <v>3880551.3144897656</v>
      </c>
      <c r="AF2203" s="196">
        <f>IFERROR(G2203/SUMIF(A:A,A2203,G:G)*SUMIF(Summary!$A$166:$A$242,'Operations Support'!A2203,Summary!$Q$166:$Q$242),0)</f>
        <v>790790.15066819801</v>
      </c>
      <c r="AG2203" s="196">
        <f t="shared" ca="1" si="487"/>
        <v>3876094.5859709159</v>
      </c>
      <c r="AI2203" s="196">
        <f>IFERROR($G2203/SUMIF($A:$A,$A2203,$G:$G)*SUMIF(Summary!$A$247:$A$283,$A2203,Summary!$P$247:$P$283),0)</f>
        <v>143407.59346822547</v>
      </c>
      <c r="AJ2203" s="196">
        <f>IFERROR($G2203/SUMIF($A:$A,$A2203,$G:$G)*(SUMIF(Summary!$A$247:$A$283,$A2203,Summary!$L$247:$L$283)+SUMIF(Summary!$A$297:$A$333,$A2203,Summary!$L$297:$L$333))-AI2203,0)</f>
        <v>597834.73356130137</v>
      </c>
      <c r="AK2203" s="196">
        <f>IFERROR($G2203/SUMIF($A:$A,$A2203,$G:$G)*SUMIF(Summary!$A$247:$A$283,$A2203,Summary!$Q$247:$Q$283),0)</f>
        <v>144220.38953364317</v>
      </c>
      <c r="AL2203" s="196">
        <f>IFERROR($G2203/SUMIF($A:$A,$A2203,$G:$G)*(SUMIF(Summary!$A$247:$A$283,$A2203,Summary!$L$247:$L$283)+SUMIF(Summary!$A$297:$A$333,$A2203,Summary!$L$297:$L$333))-AK2203,0)</f>
        <v>597021.93749588367</v>
      </c>
      <c r="AM2203" s="198"/>
      <c r="AN2203" s="196">
        <f t="shared" ca="1" si="488"/>
        <v>4478386.0480510667</v>
      </c>
      <c r="AO2203" s="196">
        <f t="shared" ca="1" si="489"/>
        <v>4473116.5234667994</v>
      </c>
    </row>
    <row r="2204" spans="1:41">
      <c r="A2204" s="189">
        <v>3658</v>
      </c>
      <c r="B2204" s="190">
        <v>5</v>
      </c>
      <c r="C2204" s="191" t="s">
        <v>235</v>
      </c>
      <c r="D2204" s="192">
        <f t="shared" si="476"/>
        <v>0</v>
      </c>
      <c r="E2204" s="192">
        <f t="shared" si="477"/>
        <v>0</v>
      </c>
      <c r="F2204" s="192">
        <f t="shared" si="478"/>
        <v>0</v>
      </c>
      <c r="G2204" s="193">
        <f t="shared" si="479"/>
        <v>0</v>
      </c>
      <c r="H2204" s="194">
        <v>0</v>
      </c>
      <c r="I2204" s="194">
        <v>0</v>
      </c>
      <c r="J2204" s="194">
        <v>0</v>
      </c>
      <c r="K2204" s="193">
        <f t="shared" si="480"/>
        <v>0</v>
      </c>
      <c r="L2204" s="194">
        <v>0</v>
      </c>
      <c r="M2204" s="194">
        <v>0</v>
      </c>
      <c r="N2204" s="194">
        <v>0</v>
      </c>
      <c r="O2204" s="193">
        <f t="shared" si="481"/>
        <v>0</v>
      </c>
      <c r="P2204" s="194">
        <v>0</v>
      </c>
      <c r="Q2204" s="194">
        <v>0</v>
      </c>
      <c r="R2204" s="194">
        <v>0</v>
      </c>
      <c r="S2204" s="193">
        <f t="shared" si="482"/>
        <v>0</v>
      </c>
      <c r="T2204" s="193">
        <f t="shared" si="483"/>
        <v>0</v>
      </c>
      <c r="U2204" s="193">
        <f ca="1">OFFSET('Expenditure Study'!$B$7,'Operations Support'!$C2204,'Operations Support'!$B2204)*$G2204</f>
        <v>0</v>
      </c>
      <c r="V2204" s="199">
        <f ca="1">U2204*'Expenditure Study'!$B$31</f>
        <v>0</v>
      </c>
      <c r="W2204" s="199">
        <f ca="1">IF(A2204=10298,1.51,1)*IF($B2204&lt;3,$D2204*'Expenditure Study'!$B$32*OFFSET('Expenditure Study'!$B$7,'Operations Support'!$C2204,'Operations Support'!$B2204),0)</f>
        <v>0</v>
      </c>
      <c r="X2204" s="200">
        <f ca="1">W2204*'Expenditure Study'!$B$31</f>
        <v>0</v>
      </c>
      <c r="Y2204" s="199">
        <f ca="1">U2204*'Expenditure Study'!$B$31</f>
        <v>0</v>
      </c>
      <c r="Z2204" s="200">
        <f ca="1">W2204*'Expenditure Study'!$B$31</f>
        <v>0</v>
      </c>
      <c r="AA2204" s="195">
        <f t="shared" ca="1" si="484"/>
        <v>0</v>
      </c>
      <c r="AB2204" s="195">
        <f t="shared" ca="1" si="485"/>
        <v>0</v>
      </c>
      <c r="AD2204" s="196">
        <f>IFERROR($G2204/SUMIF($A:$A,$A2204,$G:$G)*SUMIF(Summary!$A$166:$A$242,$A2204,Summary!$P$166:$P$242),0)</f>
        <v>0</v>
      </c>
      <c r="AE2204" s="197">
        <f t="shared" ca="1" si="486"/>
        <v>0</v>
      </c>
      <c r="AF2204" s="196">
        <f>IFERROR(G2204/SUMIF(A:A,A2204,G:G)*SUMIF(Summary!$A$166:$A$242,'Operations Support'!A2204,Summary!$Q$166:$Q$242),0)</f>
        <v>0</v>
      </c>
      <c r="AG2204" s="196">
        <f t="shared" ca="1" si="487"/>
        <v>0</v>
      </c>
      <c r="AI2204" s="196">
        <f>IFERROR($G2204/SUMIF($A:$A,$A2204,$G:$G)*SUMIF(Summary!$A$247:$A$283,$A2204,Summary!$P$247:$P$283),0)</f>
        <v>0</v>
      </c>
      <c r="AJ2204" s="196">
        <f>IFERROR($G2204/SUMIF($A:$A,$A2204,$G:$G)*(SUMIF(Summary!$A$247:$A$283,$A2204,Summary!$L$247:$L$283)+SUMIF(Summary!$A$297:$A$333,$A2204,Summary!$L$297:$L$333))-AI2204,0)</f>
        <v>0</v>
      </c>
      <c r="AK2204" s="196">
        <f>IFERROR($G2204/SUMIF($A:$A,$A2204,$G:$G)*SUMIF(Summary!$A$247:$A$283,$A2204,Summary!$Q$247:$Q$283),0)</f>
        <v>0</v>
      </c>
      <c r="AL2204" s="196">
        <f>IFERROR($G2204/SUMIF($A:$A,$A2204,$G:$G)*(SUMIF(Summary!$A$247:$A$283,$A2204,Summary!$L$247:$L$283)+SUMIF(Summary!$A$297:$A$333,$A2204,Summary!$L$297:$L$333))-AK2204,0)</f>
        <v>0</v>
      </c>
      <c r="AM2204" s="198"/>
      <c r="AN2204" s="196">
        <f t="shared" ca="1" si="488"/>
        <v>0</v>
      </c>
      <c r="AO2204" s="196">
        <f t="shared" ca="1" si="489"/>
        <v>0</v>
      </c>
    </row>
    <row r="2205" spans="1:41">
      <c r="A2205" s="189">
        <v>3658</v>
      </c>
      <c r="B2205" s="190">
        <v>5</v>
      </c>
      <c r="C2205" s="191" t="s">
        <v>236</v>
      </c>
      <c r="D2205" s="192">
        <f t="shared" si="476"/>
        <v>0</v>
      </c>
      <c r="E2205" s="192">
        <f t="shared" si="477"/>
        <v>0</v>
      </c>
      <c r="F2205" s="192">
        <f t="shared" si="478"/>
        <v>0</v>
      </c>
      <c r="G2205" s="193">
        <f t="shared" si="479"/>
        <v>0</v>
      </c>
      <c r="H2205" s="194">
        <v>0</v>
      </c>
      <c r="I2205" s="194">
        <v>0</v>
      </c>
      <c r="J2205" s="194">
        <v>0</v>
      </c>
      <c r="K2205" s="193">
        <f t="shared" si="480"/>
        <v>0</v>
      </c>
      <c r="L2205" s="194">
        <v>0</v>
      </c>
      <c r="M2205" s="194">
        <v>0</v>
      </c>
      <c r="N2205" s="194">
        <v>0</v>
      </c>
      <c r="O2205" s="193">
        <f t="shared" si="481"/>
        <v>0</v>
      </c>
      <c r="P2205" s="194">
        <v>0</v>
      </c>
      <c r="Q2205" s="194">
        <v>0</v>
      </c>
      <c r="R2205" s="194">
        <v>0</v>
      </c>
      <c r="S2205" s="193">
        <f t="shared" si="482"/>
        <v>0</v>
      </c>
      <c r="T2205" s="193">
        <f t="shared" si="483"/>
        <v>0</v>
      </c>
      <c r="U2205" s="193">
        <f ca="1">OFFSET('Expenditure Study'!$B$7,'Operations Support'!$C2205,'Operations Support'!$B2205)*$G2205</f>
        <v>0</v>
      </c>
      <c r="V2205" s="199">
        <f ca="1">U2205*'Expenditure Study'!$B$31</f>
        <v>0</v>
      </c>
      <c r="W2205" s="199">
        <f ca="1">IF(A2205=10298,1.51,1)*IF($B2205&lt;3,$D2205*'Expenditure Study'!$B$32*OFFSET('Expenditure Study'!$B$7,'Operations Support'!$C2205,'Operations Support'!$B2205),0)</f>
        <v>0</v>
      </c>
      <c r="X2205" s="200">
        <f ca="1">W2205*'Expenditure Study'!$B$31</f>
        <v>0</v>
      </c>
      <c r="Y2205" s="199">
        <f ca="1">U2205*'Expenditure Study'!$B$31</f>
        <v>0</v>
      </c>
      <c r="Z2205" s="200">
        <f ca="1">W2205*'Expenditure Study'!$B$31</f>
        <v>0</v>
      </c>
      <c r="AA2205" s="195">
        <f t="shared" ca="1" si="484"/>
        <v>0</v>
      </c>
      <c r="AB2205" s="195">
        <f t="shared" ca="1" si="485"/>
        <v>0</v>
      </c>
      <c r="AD2205" s="196">
        <f>IFERROR($G2205/SUMIF($A:$A,$A2205,$G:$G)*SUMIF(Summary!$A$166:$A$242,$A2205,Summary!$P$166:$P$242),0)</f>
        <v>0</v>
      </c>
      <c r="AE2205" s="197">
        <f t="shared" ca="1" si="486"/>
        <v>0</v>
      </c>
      <c r="AF2205" s="196">
        <f>IFERROR(G2205/SUMIF(A:A,A2205,G:G)*SUMIF(Summary!$A$166:$A$242,'Operations Support'!A2205,Summary!$Q$166:$Q$242),0)</f>
        <v>0</v>
      </c>
      <c r="AG2205" s="196">
        <f t="shared" ca="1" si="487"/>
        <v>0</v>
      </c>
      <c r="AI2205" s="196">
        <f>IFERROR($G2205/SUMIF($A:$A,$A2205,$G:$G)*SUMIF(Summary!$A$247:$A$283,$A2205,Summary!$P$247:$P$283),0)</f>
        <v>0</v>
      </c>
      <c r="AJ2205" s="196">
        <f>IFERROR($G2205/SUMIF($A:$A,$A2205,$G:$G)*(SUMIF(Summary!$A$247:$A$283,$A2205,Summary!$L$247:$L$283)+SUMIF(Summary!$A$297:$A$333,$A2205,Summary!$L$297:$L$333))-AI2205,0)</f>
        <v>0</v>
      </c>
      <c r="AK2205" s="196">
        <f>IFERROR($G2205/SUMIF($A:$A,$A2205,$G:$G)*SUMIF(Summary!$A$247:$A$283,$A2205,Summary!$Q$247:$Q$283),0)</f>
        <v>0</v>
      </c>
      <c r="AL2205" s="196">
        <f>IFERROR($G2205/SUMIF($A:$A,$A2205,$G:$G)*(SUMIF(Summary!$A$247:$A$283,$A2205,Summary!$L$247:$L$283)+SUMIF(Summary!$A$297:$A$333,$A2205,Summary!$L$297:$L$333))-AK2205,0)</f>
        <v>0</v>
      </c>
      <c r="AM2205" s="198"/>
      <c r="AN2205" s="196">
        <f t="shared" ca="1" si="488"/>
        <v>0</v>
      </c>
      <c r="AO2205" s="196">
        <f t="shared" ca="1" si="489"/>
        <v>0</v>
      </c>
    </row>
    <row r="2206" spans="1:41">
      <c r="A2206" s="189">
        <v>3658</v>
      </c>
      <c r="B2206" s="190">
        <v>5</v>
      </c>
      <c r="C2206" s="191" t="s">
        <v>237</v>
      </c>
      <c r="D2206" s="192">
        <f t="shared" si="476"/>
        <v>0</v>
      </c>
      <c r="E2206" s="192">
        <f t="shared" si="477"/>
        <v>0</v>
      </c>
      <c r="F2206" s="192">
        <f t="shared" si="478"/>
        <v>0</v>
      </c>
      <c r="G2206" s="193">
        <f t="shared" si="479"/>
        <v>0</v>
      </c>
      <c r="H2206" s="194">
        <v>0</v>
      </c>
      <c r="I2206" s="194">
        <v>0</v>
      </c>
      <c r="J2206" s="194">
        <v>0</v>
      </c>
      <c r="K2206" s="193">
        <f t="shared" si="480"/>
        <v>0</v>
      </c>
      <c r="L2206" s="194">
        <v>0</v>
      </c>
      <c r="M2206" s="194">
        <v>0</v>
      </c>
      <c r="N2206" s="194">
        <v>0</v>
      </c>
      <c r="O2206" s="193">
        <f t="shared" si="481"/>
        <v>0</v>
      </c>
      <c r="P2206" s="194">
        <v>0</v>
      </c>
      <c r="Q2206" s="194">
        <v>0</v>
      </c>
      <c r="R2206" s="194">
        <v>0</v>
      </c>
      <c r="S2206" s="193">
        <f t="shared" si="482"/>
        <v>0</v>
      </c>
      <c r="T2206" s="193">
        <f t="shared" si="483"/>
        <v>0</v>
      </c>
      <c r="U2206" s="193">
        <f ca="1">OFFSET('Expenditure Study'!$B$7,'Operations Support'!$C2206,'Operations Support'!$B2206)*$G2206</f>
        <v>0</v>
      </c>
      <c r="V2206" s="199">
        <f ca="1">U2206*'Expenditure Study'!$B$31</f>
        <v>0</v>
      </c>
      <c r="W2206" s="199">
        <f ca="1">IF(A2206=10298,1.51,1)*IF($B2206&lt;3,$D2206*'Expenditure Study'!$B$32*OFFSET('Expenditure Study'!$B$7,'Operations Support'!$C2206,'Operations Support'!$B2206),0)</f>
        <v>0</v>
      </c>
      <c r="X2206" s="200">
        <f ca="1">W2206*'Expenditure Study'!$B$31</f>
        <v>0</v>
      </c>
      <c r="Y2206" s="199">
        <f ca="1">U2206*'Expenditure Study'!$B$31</f>
        <v>0</v>
      </c>
      <c r="Z2206" s="200">
        <f ca="1">W2206*'Expenditure Study'!$B$31</f>
        <v>0</v>
      </c>
      <c r="AA2206" s="195">
        <f t="shared" ca="1" si="484"/>
        <v>0</v>
      </c>
      <c r="AB2206" s="195">
        <f t="shared" ca="1" si="485"/>
        <v>0</v>
      </c>
      <c r="AD2206" s="196">
        <f>IFERROR($G2206/SUMIF($A:$A,$A2206,$G:$G)*SUMIF(Summary!$A$166:$A$242,$A2206,Summary!$P$166:$P$242),0)</f>
        <v>0</v>
      </c>
      <c r="AE2206" s="197">
        <f t="shared" ca="1" si="486"/>
        <v>0</v>
      </c>
      <c r="AF2206" s="196">
        <f>IFERROR(G2206/SUMIF(A:A,A2206,G:G)*SUMIF(Summary!$A$166:$A$242,'Operations Support'!A2206,Summary!$Q$166:$Q$242),0)</f>
        <v>0</v>
      </c>
      <c r="AG2206" s="196">
        <f t="shared" ca="1" si="487"/>
        <v>0</v>
      </c>
      <c r="AI2206" s="196">
        <f>IFERROR($G2206/SUMIF($A:$A,$A2206,$G:$G)*SUMIF(Summary!$A$247:$A$283,$A2206,Summary!$P$247:$P$283),0)</f>
        <v>0</v>
      </c>
      <c r="AJ2206" s="196">
        <f>IFERROR($G2206/SUMIF($A:$A,$A2206,$G:$G)*(SUMIF(Summary!$A$247:$A$283,$A2206,Summary!$L$247:$L$283)+SUMIF(Summary!$A$297:$A$333,$A2206,Summary!$L$297:$L$333))-AI2206,0)</f>
        <v>0</v>
      </c>
      <c r="AK2206" s="196">
        <f>IFERROR($G2206/SUMIF($A:$A,$A2206,$G:$G)*SUMIF(Summary!$A$247:$A$283,$A2206,Summary!$Q$247:$Q$283),0)</f>
        <v>0</v>
      </c>
      <c r="AL2206" s="196">
        <f>IFERROR($G2206/SUMIF($A:$A,$A2206,$G:$G)*(SUMIF(Summary!$A$247:$A$283,$A2206,Summary!$L$247:$L$283)+SUMIF(Summary!$A$297:$A$333,$A2206,Summary!$L$297:$L$333))-AK2206,0)</f>
        <v>0</v>
      </c>
      <c r="AM2206" s="198"/>
      <c r="AN2206" s="196">
        <f t="shared" ca="1" si="488"/>
        <v>0</v>
      </c>
      <c r="AO2206" s="196">
        <f t="shared" ca="1" si="489"/>
        <v>0</v>
      </c>
    </row>
    <row r="2207" spans="1:41">
      <c r="A2207" s="189">
        <v>3658</v>
      </c>
      <c r="B2207" s="190">
        <v>5</v>
      </c>
      <c r="C2207" s="191" t="s">
        <v>238</v>
      </c>
      <c r="D2207" s="192">
        <f t="shared" si="476"/>
        <v>0</v>
      </c>
      <c r="E2207" s="192">
        <f t="shared" si="477"/>
        <v>0</v>
      </c>
      <c r="F2207" s="192">
        <f t="shared" si="478"/>
        <v>0</v>
      </c>
      <c r="G2207" s="193">
        <f t="shared" si="479"/>
        <v>0</v>
      </c>
      <c r="H2207" s="194">
        <v>0</v>
      </c>
      <c r="I2207" s="194">
        <v>0</v>
      </c>
      <c r="J2207" s="194">
        <v>0</v>
      </c>
      <c r="K2207" s="193">
        <f t="shared" si="480"/>
        <v>0</v>
      </c>
      <c r="L2207" s="194">
        <v>0</v>
      </c>
      <c r="M2207" s="194">
        <v>0</v>
      </c>
      <c r="N2207" s="194">
        <v>0</v>
      </c>
      <c r="O2207" s="193">
        <f t="shared" si="481"/>
        <v>0</v>
      </c>
      <c r="P2207" s="194">
        <v>0</v>
      </c>
      <c r="Q2207" s="194">
        <v>0</v>
      </c>
      <c r="R2207" s="194">
        <v>0</v>
      </c>
      <c r="S2207" s="193">
        <f t="shared" si="482"/>
        <v>0</v>
      </c>
      <c r="T2207" s="193">
        <f t="shared" si="483"/>
        <v>0</v>
      </c>
      <c r="U2207" s="193">
        <f ca="1">OFFSET('Expenditure Study'!$B$7,'Operations Support'!$C2207,'Operations Support'!$B2207)*$G2207</f>
        <v>0</v>
      </c>
      <c r="V2207" s="199">
        <f ca="1">U2207*'Expenditure Study'!$B$31</f>
        <v>0</v>
      </c>
      <c r="W2207" s="199">
        <f ca="1">IF(A2207=10298,1.51,1)*IF($B2207&lt;3,$D2207*'Expenditure Study'!$B$32*OFFSET('Expenditure Study'!$B$7,'Operations Support'!$C2207,'Operations Support'!$B2207),0)</f>
        <v>0</v>
      </c>
      <c r="X2207" s="200">
        <f ca="1">W2207*'Expenditure Study'!$B$31</f>
        <v>0</v>
      </c>
      <c r="Y2207" s="199">
        <f ca="1">U2207*'Expenditure Study'!$B$31</f>
        <v>0</v>
      </c>
      <c r="Z2207" s="200">
        <f ca="1">W2207*'Expenditure Study'!$B$31</f>
        <v>0</v>
      </c>
      <c r="AA2207" s="195">
        <f t="shared" ca="1" si="484"/>
        <v>0</v>
      </c>
      <c r="AB2207" s="195">
        <f t="shared" ca="1" si="485"/>
        <v>0</v>
      </c>
      <c r="AD2207" s="196">
        <f>IFERROR($G2207/SUMIF($A:$A,$A2207,$G:$G)*SUMIF(Summary!$A$166:$A$242,$A2207,Summary!$P$166:$P$242),0)</f>
        <v>0</v>
      </c>
      <c r="AE2207" s="197">
        <f t="shared" ca="1" si="486"/>
        <v>0</v>
      </c>
      <c r="AF2207" s="196">
        <f>IFERROR(G2207/SUMIF(A:A,A2207,G:G)*SUMIF(Summary!$A$166:$A$242,'Operations Support'!A2207,Summary!$Q$166:$Q$242),0)</f>
        <v>0</v>
      </c>
      <c r="AG2207" s="196">
        <f t="shared" ca="1" si="487"/>
        <v>0</v>
      </c>
      <c r="AI2207" s="196">
        <f>IFERROR($G2207/SUMIF($A:$A,$A2207,$G:$G)*SUMIF(Summary!$A$247:$A$283,$A2207,Summary!$P$247:$P$283),0)</f>
        <v>0</v>
      </c>
      <c r="AJ2207" s="196">
        <f>IFERROR($G2207/SUMIF($A:$A,$A2207,$G:$G)*(SUMIF(Summary!$A$247:$A$283,$A2207,Summary!$L$247:$L$283)+SUMIF(Summary!$A$297:$A$333,$A2207,Summary!$L$297:$L$333))-AI2207,0)</f>
        <v>0</v>
      </c>
      <c r="AK2207" s="196">
        <f>IFERROR($G2207/SUMIF($A:$A,$A2207,$G:$G)*SUMIF(Summary!$A$247:$A$283,$A2207,Summary!$Q$247:$Q$283),0)</f>
        <v>0</v>
      </c>
      <c r="AL2207" s="196">
        <f>IFERROR($G2207/SUMIF($A:$A,$A2207,$G:$G)*(SUMIF(Summary!$A$247:$A$283,$A2207,Summary!$L$247:$L$283)+SUMIF(Summary!$A$297:$A$333,$A2207,Summary!$L$297:$L$333))-AK2207,0)</f>
        <v>0</v>
      </c>
      <c r="AM2207" s="198"/>
      <c r="AN2207" s="196">
        <f t="shared" ca="1" si="488"/>
        <v>0</v>
      </c>
      <c r="AO2207" s="196">
        <f t="shared" ca="1" si="489"/>
        <v>0</v>
      </c>
    </row>
    <row r="2208" spans="1:41">
      <c r="A2208" s="189">
        <v>3658</v>
      </c>
      <c r="B2208" s="190">
        <v>5</v>
      </c>
      <c r="C2208" s="191" t="s">
        <v>239</v>
      </c>
      <c r="D2208" s="192">
        <f t="shared" si="476"/>
        <v>0</v>
      </c>
      <c r="E2208" s="192">
        <f t="shared" si="477"/>
        <v>0</v>
      </c>
      <c r="F2208" s="192">
        <f t="shared" si="478"/>
        <v>0</v>
      </c>
      <c r="G2208" s="193">
        <f t="shared" si="479"/>
        <v>0</v>
      </c>
      <c r="H2208" s="194">
        <v>0</v>
      </c>
      <c r="I2208" s="194">
        <v>0</v>
      </c>
      <c r="J2208" s="194">
        <v>0</v>
      </c>
      <c r="K2208" s="193">
        <f t="shared" si="480"/>
        <v>0</v>
      </c>
      <c r="L2208" s="194">
        <v>0</v>
      </c>
      <c r="M2208" s="194">
        <v>0</v>
      </c>
      <c r="N2208" s="194">
        <v>0</v>
      </c>
      <c r="O2208" s="193">
        <f t="shared" si="481"/>
        <v>0</v>
      </c>
      <c r="P2208" s="194">
        <v>0</v>
      </c>
      <c r="Q2208" s="194">
        <v>0</v>
      </c>
      <c r="R2208" s="194">
        <v>0</v>
      </c>
      <c r="S2208" s="193">
        <f t="shared" si="482"/>
        <v>0</v>
      </c>
      <c r="T2208" s="193">
        <f t="shared" si="483"/>
        <v>0</v>
      </c>
      <c r="U2208" s="193">
        <f ca="1">OFFSET('Expenditure Study'!$B$7,'Operations Support'!$C2208,'Operations Support'!$B2208)*$G2208</f>
        <v>0</v>
      </c>
      <c r="V2208" s="199">
        <f ca="1">U2208*'Expenditure Study'!$B$31</f>
        <v>0</v>
      </c>
      <c r="W2208" s="199">
        <f ca="1">IF(A2208=10298,1.51,1)*IF($B2208&lt;3,$D2208*'Expenditure Study'!$B$32*OFFSET('Expenditure Study'!$B$7,'Operations Support'!$C2208,'Operations Support'!$B2208),0)</f>
        <v>0</v>
      </c>
      <c r="X2208" s="200">
        <f ca="1">W2208*'Expenditure Study'!$B$31</f>
        <v>0</v>
      </c>
      <c r="Y2208" s="199">
        <f ca="1">U2208*'Expenditure Study'!$B$31</f>
        <v>0</v>
      </c>
      <c r="Z2208" s="200">
        <f ca="1">W2208*'Expenditure Study'!$B$31</f>
        <v>0</v>
      </c>
      <c r="AA2208" s="195">
        <f t="shared" ca="1" si="484"/>
        <v>0</v>
      </c>
      <c r="AB2208" s="195">
        <f t="shared" ca="1" si="485"/>
        <v>0</v>
      </c>
      <c r="AD2208" s="196">
        <f>IFERROR($G2208/SUMIF($A:$A,$A2208,$G:$G)*SUMIF(Summary!$A$166:$A$242,$A2208,Summary!$P$166:$P$242),0)</f>
        <v>0</v>
      </c>
      <c r="AE2208" s="197">
        <f t="shared" ca="1" si="486"/>
        <v>0</v>
      </c>
      <c r="AF2208" s="196">
        <f>IFERROR(G2208/SUMIF(A:A,A2208,G:G)*SUMIF(Summary!$A$166:$A$242,'Operations Support'!A2208,Summary!$Q$166:$Q$242),0)</f>
        <v>0</v>
      </c>
      <c r="AG2208" s="196">
        <f t="shared" ca="1" si="487"/>
        <v>0</v>
      </c>
      <c r="AI2208" s="196">
        <f>IFERROR($G2208/SUMIF($A:$A,$A2208,$G:$G)*SUMIF(Summary!$A$247:$A$283,$A2208,Summary!$P$247:$P$283),0)</f>
        <v>0</v>
      </c>
      <c r="AJ2208" s="196">
        <f>IFERROR($G2208/SUMIF($A:$A,$A2208,$G:$G)*(SUMIF(Summary!$A$247:$A$283,$A2208,Summary!$L$247:$L$283)+SUMIF(Summary!$A$297:$A$333,$A2208,Summary!$L$297:$L$333))-AI2208,0)</f>
        <v>0</v>
      </c>
      <c r="AK2208" s="196">
        <f>IFERROR($G2208/SUMIF($A:$A,$A2208,$G:$G)*SUMIF(Summary!$A$247:$A$283,$A2208,Summary!$Q$247:$Q$283),0)</f>
        <v>0</v>
      </c>
      <c r="AL2208" s="196">
        <f>IFERROR($G2208/SUMIF($A:$A,$A2208,$G:$G)*(SUMIF(Summary!$A$247:$A$283,$A2208,Summary!$L$247:$L$283)+SUMIF(Summary!$A$297:$A$333,$A2208,Summary!$L$297:$L$333))-AK2208,0)</f>
        <v>0</v>
      </c>
      <c r="AM2208" s="198"/>
      <c r="AN2208" s="196">
        <f t="shared" ca="1" si="488"/>
        <v>0</v>
      </c>
      <c r="AO2208" s="196">
        <f t="shared" ca="1" si="489"/>
        <v>0</v>
      </c>
    </row>
    <row r="2209" spans="1:41">
      <c r="A2209" s="189">
        <v>3658</v>
      </c>
      <c r="B2209" s="190">
        <v>5</v>
      </c>
      <c r="C2209" s="191" t="s">
        <v>240</v>
      </c>
      <c r="D2209" s="192">
        <f t="shared" si="476"/>
        <v>0</v>
      </c>
      <c r="E2209" s="192">
        <f t="shared" si="477"/>
        <v>0</v>
      </c>
      <c r="F2209" s="192">
        <f t="shared" si="478"/>
        <v>0</v>
      </c>
      <c r="G2209" s="193">
        <f t="shared" si="479"/>
        <v>0</v>
      </c>
      <c r="H2209" s="194">
        <v>0</v>
      </c>
      <c r="I2209" s="194">
        <v>0</v>
      </c>
      <c r="J2209" s="194">
        <v>0</v>
      </c>
      <c r="K2209" s="193">
        <f t="shared" si="480"/>
        <v>0</v>
      </c>
      <c r="L2209" s="194">
        <v>0</v>
      </c>
      <c r="M2209" s="194">
        <v>0</v>
      </c>
      <c r="N2209" s="194">
        <v>0</v>
      </c>
      <c r="O2209" s="193">
        <f t="shared" si="481"/>
        <v>0</v>
      </c>
      <c r="P2209" s="194">
        <v>0</v>
      </c>
      <c r="Q2209" s="194">
        <v>0</v>
      </c>
      <c r="R2209" s="194">
        <v>0</v>
      </c>
      <c r="S2209" s="193">
        <f t="shared" si="482"/>
        <v>0</v>
      </c>
      <c r="T2209" s="193">
        <f t="shared" si="483"/>
        <v>0</v>
      </c>
      <c r="U2209" s="193">
        <f ca="1">OFFSET('Expenditure Study'!$B$7,'Operations Support'!$C2209,'Operations Support'!$B2209)*$G2209</f>
        <v>0</v>
      </c>
      <c r="V2209" s="199">
        <f ca="1">U2209*'Expenditure Study'!$B$31</f>
        <v>0</v>
      </c>
      <c r="W2209" s="199">
        <f ca="1">IF(A2209=10298,1.51,1)*IF($B2209&lt;3,$D2209*'Expenditure Study'!$B$32*OFFSET('Expenditure Study'!$B$7,'Operations Support'!$C2209,'Operations Support'!$B2209),0)</f>
        <v>0</v>
      </c>
      <c r="X2209" s="200">
        <f ca="1">W2209*'Expenditure Study'!$B$31</f>
        <v>0</v>
      </c>
      <c r="Y2209" s="199">
        <f ca="1">U2209*'Expenditure Study'!$B$31</f>
        <v>0</v>
      </c>
      <c r="Z2209" s="200">
        <f ca="1">W2209*'Expenditure Study'!$B$31</f>
        <v>0</v>
      </c>
      <c r="AA2209" s="195">
        <f t="shared" ca="1" si="484"/>
        <v>0</v>
      </c>
      <c r="AB2209" s="195">
        <f t="shared" ca="1" si="485"/>
        <v>0</v>
      </c>
      <c r="AD2209" s="196">
        <f>IFERROR($G2209/SUMIF($A:$A,$A2209,$G:$G)*SUMIF(Summary!$A$166:$A$242,$A2209,Summary!$P$166:$P$242),0)</f>
        <v>0</v>
      </c>
      <c r="AE2209" s="197">
        <f t="shared" ca="1" si="486"/>
        <v>0</v>
      </c>
      <c r="AF2209" s="196">
        <f>IFERROR(G2209/SUMIF(A:A,A2209,G:G)*SUMIF(Summary!$A$166:$A$242,'Operations Support'!A2209,Summary!$Q$166:$Q$242),0)</f>
        <v>0</v>
      </c>
      <c r="AG2209" s="196">
        <f t="shared" ca="1" si="487"/>
        <v>0</v>
      </c>
      <c r="AI2209" s="196">
        <f>IFERROR($G2209/SUMIF($A:$A,$A2209,$G:$G)*SUMIF(Summary!$A$247:$A$283,$A2209,Summary!$P$247:$P$283),0)</f>
        <v>0</v>
      </c>
      <c r="AJ2209" s="196">
        <f>IFERROR($G2209/SUMIF($A:$A,$A2209,$G:$G)*(SUMIF(Summary!$A$247:$A$283,$A2209,Summary!$L$247:$L$283)+SUMIF(Summary!$A$297:$A$333,$A2209,Summary!$L$297:$L$333))-AI2209,0)</f>
        <v>0</v>
      </c>
      <c r="AK2209" s="196">
        <f>IFERROR($G2209/SUMIF($A:$A,$A2209,$G:$G)*SUMIF(Summary!$A$247:$A$283,$A2209,Summary!$Q$247:$Q$283),0)</f>
        <v>0</v>
      </c>
      <c r="AL2209" s="196">
        <f>IFERROR($G2209/SUMIF($A:$A,$A2209,$G:$G)*(SUMIF(Summary!$A$247:$A$283,$A2209,Summary!$L$247:$L$283)+SUMIF(Summary!$A$297:$A$333,$A2209,Summary!$L$297:$L$333))-AK2209,0)</f>
        <v>0</v>
      </c>
      <c r="AM2209" s="198"/>
      <c r="AN2209" s="196">
        <f t="shared" ca="1" si="488"/>
        <v>0</v>
      </c>
      <c r="AO2209" s="196">
        <f t="shared" ca="1" si="489"/>
        <v>0</v>
      </c>
    </row>
    <row r="2210" spans="1:41">
      <c r="A2210" s="189">
        <v>3661</v>
      </c>
      <c r="B2210" s="190">
        <v>1</v>
      </c>
      <c r="C2210" s="191" t="s">
        <v>220</v>
      </c>
      <c r="D2210" s="192">
        <f t="shared" si="476"/>
        <v>24715.5</v>
      </c>
      <c r="E2210" s="192">
        <f t="shared" si="477"/>
        <v>121720.5</v>
      </c>
      <c r="F2210" s="192">
        <f t="shared" si="478"/>
        <v>0</v>
      </c>
      <c r="G2210" s="193">
        <f t="shared" si="479"/>
        <v>146436</v>
      </c>
      <c r="H2210" s="194">
        <v>10674</v>
      </c>
      <c r="I2210" s="194">
        <v>52558</v>
      </c>
      <c r="J2210" s="194">
        <v>0</v>
      </c>
      <c r="K2210" s="193">
        <f t="shared" si="480"/>
        <v>63232</v>
      </c>
      <c r="L2210" s="194">
        <v>11943.5</v>
      </c>
      <c r="M2210" s="194">
        <v>58265.5</v>
      </c>
      <c r="N2210" s="194">
        <v>0</v>
      </c>
      <c r="O2210" s="193">
        <f t="shared" si="481"/>
        <v>70209</v>
      </c>
      <c r="P2210" s="194">
        <v>2098</v>
      </c>
      <c r="Q2210" s="194">
        <v>10897</v>
      </c>
      <c r="R2210" s="194">
        <v>0</v>
      </c>
      <c r="S2210" s="193">
        <f t="shared" si="482"/>
        <v>12995</v>
      </c>
      <c r="T2210" s="193">
        <f t="shared" si="483"/>
        <v>4881.2</v>
      </c>
      <c r="U2210" s="193">
        <f ca="1">OFFSET('Expenditure Study'!$B$7,'Operations Support'!$C2210,'Operations Support'!$B2210)*$G2210</f>
        <v>146436</v>
      </c>
      <c r="V2210" s="199">
        <f ca="1">U2210*'Expenditure Study'!$B$31</f>
        <v>8651904.6636287998</v>
      </c>
      <c r="W2210" s="199">
        <f ca="1">IF(A2210=10298,1.51,1)*IF($B2210&lt;3,$D2210*'Expenditure Study'!$B$32*OFFSET('Expenditure Study'!$B$7,'Operations Support'!$C2210,'Operations Support'!$B2210),0)</f>
        <v>2471.5500000000002</v>
      </c>
      <c r="X2210" s="200">
        <f ca="1">W2210*'Expenditure Study'!$B$31</f>
        <v>146027.03550624</v>
      </c>
      <c r="Y2210" s="199">
        <f ca="1">U2210*'Expenditure Study'!$B$31</f>
        <v>8651904.6636287998</v>
      </c>
      <c r="Z2210" s="200">
        <f ca="1">W2210*'Expenditure Study'!$B$31</f>
        <v>146027.03550624</v>
      </c>
      <c r="AA2210" s="195">
        <f t="shared" ca="1" si="484"/>
        <v>8797931.699135039</v>
      </c>
      <c r="AB2210" s="195">
        <f t="shared" ca="1" si="485"/>
        <v>8797931.699135039</v>
      </c>
      <c r="AD2210" s="196">
        <f>IFERROR($G2210/SUMIF($A:$A,$A2210,$G:$G)*SUMIF(Summary!$A$166:$A$242,$A2210,Summary!$P$166:$P$242),0)</f>
        <v>3865598.7885324238</v>
      </c>
      <c r="AE2210" s="197">
        <f t="shared" ca="1" si="486"/>
        <v>4932332.9106026152</v>
      </c>
      <c r="AF2210" s="196">
        <f>IFERROR(G2210/SUMIF(A:A,A2210,G:G)*SUMIF(Summary!$A$166:$A$242,'Operations Support'!A2210,Summary!$Q$166:$Q$242),0)</f>
        <v>3873379.6788378018</v>
      </c>
      <c r="AG2210" s="196">
        <f t="shared" ca="1" si="487"/>
        <v>4924552.0202972367</v>
      </c>
      <c r="AI2210" s="196">
        <f>IFERROR($G2210/SUMIF($A:$A,$A2210,$G:$G)*SUMIF(Summary!$A$247:$A$283,$A2210,Summary!$P$247:$P$283),0)</f>
        <v>704988.75408583821</v>
      </c>
      <c r="AJ2210" s="196">
        <f>IFERROR($G2210/SUMIF($A:$A,$A2210,$G:$G)*(SUMIF(Summary!$A$247:$A$283,$A2210,Summary!$L$247:$L$283)+SUMIF(Summary!$A$297:$A$333,$A2210,Summary!$L$297:$L$333))-AI2210,0)</f>
        <v>3286432.237516054</v>
      </c>
      <c r="AK2210" s="196">
        <f>IFERROR($G2210/SUMIF($A:$A,$A2210,$G:$G)*SUMIF(Summary!$A$247:$A$283,$A2210,Summary!$Q$247:$Q$283),0)</f>
        <v>706407.79430758592</v>
      </c>
      <c r="AL2210" s="196">
        <f>IFERROR($G2210/SUMIF($A:$A,$A2210,$G:$G)*(SUMIF(Summary!$A$247:$A$283,$A2210,Summary!$L$247:$L$283)+SUMIF(Summary!$A$297:$A$333,$A2210,Summary!$L$297:$L$333))-AK2210,0)</f>
        <v>3285013.1972943065</v>
      </c>
      <c r="AM2210" s="198"/>
      <c r="AN2210" s="196">
        <f t="shared" ca="1" si="488"/>
        <v>8218765.1481186692</v>
      </c>
      <c r="AO2210" s="196">
        <f t="shared" ca="1" si="489"/>
        <v>8209565.2175915428</v>
      </c>
    </row>
    <row r="2211" spans="1:41">
      <c r="A2211" s="189">
        <v>3661</v>
      </c>
      <c r="B2211" s="190">
        <v>1</v>
      </c>
      <c r="C2211" s="191" t="s">
        <v>221</v>
      </c>
      <c r="D2211" s="192">
        <f t="shared" si="476"/>
        <v>30972.100000000202</v>
      </c>
      <c r="E2211" s="192">
        <f t="shared" si="477"/>
        <v>28806.899999999798</v>
      </c>
      <c r="F2211" s="192">
        <f t="shared" si="478"/>
        <v>0</v>
      </c>
      <c r="G2211" s="193">
        <f t="shared" si="479"/>
        <v>59779</v>
      </c>
      <c r="H2211" s="194">
        <v>13996</v>
      </c>
      <c r="I2211" s="194">
        <v>12288</v>
      </c>
      <c r="J2211" s="194">
        <v>0</v>
      </c>
      <c r="K2211" s="193">
        <f t="shared" si="480"/>
        <v>26284</v>
      </c>
      <c r="L2211" s="194">
        <v>15029.1000000002</v>
      </c>
      <c r="M2211" s="194">
        <v>14252.8999999998</v>
      </c>
      <c r="N2211" s="194">
        <v>0</v>
      </c>
      <c r="O2211" s="193">
        <f t="shared" si="481"/>
        <v>29282</v>
      </c>
      <c r="P2211" s="194">
        <v>1947</v>
      </c>
      <c r="Q2211" s="194">
        <v>2266</v>
      </c>
      <c r="R2211" s="194">
        <v>0</v>
      </c>
      <c r="S2211" s="193">
        <f t="shared" si="482"/>
        <v>4213</v>
      </c>
      <c r="T2211" s="193">
        <f t="shared" si="483"/>
        <v>1992.6333333333334</v>
      </c>
      <c r="U2211" s="193">
        <f ca="1">OFFSET('Expenditure Study'!$B$7,'Operations Support'!$C2211,'Operations Support'!$B2211)*$G2211</f>
        <v>80103.86</v>
      </c>
      <c r="V2211" s="199">
        <f ca="1">U2211*'Expenditure Study'!$B$31</f>
        <v>4732790.8431578884</v>
      </c>
      <c r="W2211" s="199">
        <f ca="1">IF(A2211=10298,1.51,1)*IF($B2211&lt;3,$D2211*'Expenditure Study'!$B$32*OFFSET('Expenditure Study'!$B$7,'Operations Support'!$C2211,'Operations Support'!$B2211),0)</f>
        <v>4150.2614000000276</v>
      </c>
      <c r="X2211" s="200">
        <f ca="1">W2211*'Expenditure Study'!$B$31</f>
        <v>245210.64466346276</v>
      </c>
      <c r="Y2211" s="199">
        <f ca="1">U2211*'Expenditure Study'!$B$31</f>
        <v>4732790.8431578884</v>
      </c>
      <c r="Z2211" s="200">
        <f ca="1">W2211*'Expenditure Study'!$B$31</f>
        <v>245210.64466346276</v>
      </c>
      <c r="AA2211" s="195">
        <f t="shared" ca="1" si="484"/>
        <v>4978001.4878213508</v>
      </c>
      <c r="AB2211" s="195">
        <f t="shared" ca="1" si="485"/>
        <v>4978001.4878213508</v>
      </c>
      <c r="AD2211" s="196">
        <f>IFERROR($G2211/SUMIF($A:$A,$A2211,$G:$G)*SUMIF(Summary!$A$166:$A$242,$A2211,Summary!$P$166:$P$242),0)</f>
        <v>1578038.3920598745</v>
      </c>
      <c r="AE2211" s="197">
        <f t="shared" ca="1" si="486"/>
        <v>3399963.0957614761</v>
      </c>
      <c r="AF2211" s="196">
        <f>IFERROR(G2211/SUMIF(A:A,A2211,G:G)*SUMIF(Summary!$A$166:$A$242,'Operations Support'!A2211,Summary!$Q$166:$Q$242),0)</f>
        <v>1581214.7547136291</v>
      </c>
      <c r="AG2211" s="196">
        <f t="shared" ca="1" si="487"/>
        <v>3396786.7331077214</v>
      </c>
      <c r="AI2211" s="196">
        <f>IFERROR($G2211/SUMIF($A:$A,$A2211,$G:$G)*SUMIF(Summary!$A$247:$A$283,$A2211,Summary!$P$247:$P$283),0)</f>
        <v>287794.82320260949</v>
      </c>
      <c r="AJ2211" s="196">
        <f>IFERROR($G2211/SUMIF($A:$A,$A2211,$G:$G)*(SUMIF(Summary!$A$247:$A$283,$A2211,Summary!$L$247:$L$283)+SUMIF(Summary!$A$297:$A$333,$A2211,Summary!$L$297:$L$333))-AI2211,0)</f>
        <v>1341607.4785330945</v>
      </c>
      <c r="AK2211" s="196">
        <f>IFERROR($G2211/SUMIF($A:$A,$A2211,$G:$G)*SUMIF(Summary!$A$247:$A$283,$A2211,Summary!$Q$247:$Q$283),0)</f>
        <v>288374.11248540785</v>
      </c>
      <c r="AL2211" s="196">
        <f>IFERROR($G2211/SUMIF($A:$A,$A2211,$G:$G)*(SUMIF(Summary!$A$247:$A$283,$A2211,Summary!$L$247:$L$283)+SUMIF(Summary!$A$297:$A$333,$A2211,Summary!$L$297:$L$333))-AK2211,0)</f>
        <v>1341028.1892502962</v>
      </c>
      <c r="AM2211" s="198"/>
      <c r="AN2211" s="196">
        <f t="shared" ca="1" si="488"/>
        <v>4741570.5742945708</v>
      </c>
      <c r="AO2211" s="196">
        <f t="shared" ca="1" si="489"/>
        <v>4737814.9223580174</v>
      </c>
    </row>
    <row r="2212" spans="1:41">
      <c r="A2212" s="189">
        <v>3661</v>
      </c>
      <c r="B2212" s="190">
        <v>1</v>
      </c>
      <c r="C2212" s="191" t="s">
        <v>222</v>
      </c>
      <c r="D2212" s="192">
        <f t="shared" si="476"/>
        <v>3676.5</v>
      </c>
      <c r="E2212" s="192">
        <f t="shared" si="477"/>
        <v>17893.5</v>
      </c>
      <c r="F2212" s="192">
        <f t="shared" si="478"/>
        <v>0</v>
      </c>
      <c r="G2212" s="193">
        <f t="shared" si="479"/>
        <v>21570</v>
      </c>
      <c r="H2212" s="194">
        <v>1392</v>
      </c>
      <c r="I2212" s="194">
        <v>7647</v>
      </c>
      <c r="J2212" s="194">
        <v>0</v>
      </c>
      <c r="K2212" s="193">
        <f t="shared" si="480"/>
        <v>9039</v>
      </c>
      <c r="L2212" s="194">
        <v>2056.5</v>
      </c>
      <c r="M2212" s="194">
        <v>9150.5</v>
      </c>
      <c r="N2212" s="194">
        <v>0</v>
      </c>
      <c r="O2212" s="193">
        <f t="shared" si="481"/>
        <v>11207</v>
      </c>
      <c r="P2212" s="194">
        <v>228</v>
      </c>
      <c r="Q2212" s="194">
        <v>1096</v>
      </c>
      <c r="R2212" s="194">
        <v>0</v>
      </c>
      <c r="S2212" s="193">
        <f t="shared" si="482"/>
        <v>1324</v>
      </c>
      <c r="T2212" s="193">
        <f t="shared" si="483"/>
        <v>719</v>
      </c>
      <c r="U2212" s="193">
        <f ca="1">OFFSET('Expenditure Study'!$B$7,'Operations Support'!$C2212,'Operations Support'!$B2212)*$G2212</f>
        <v>29550.9</v>
      </c>
      <c r="V2212" s="199">
        <f ca="1">U2212*'Expenditure Study'!$B$31</f>
        <v>1745961.1675027201</v>
      </c>
      <c r="W2212" s="199">
        <f ca="1">IF(A2212=10298,1.51,1)*IF($B2212&lt;3,$D2212*'Expenditure Study'!$B$32*OFFSET('Expenditure Study'!$B$7,'Operations Support'!$C2212,'Operations Support'!$B2212),0)</f>
        <v>503.68050000000011</v>
      </c>
      <c r="X2212" s="200">
        <f ca="1">W2212*'Expenditure Study'!$B$31</f>
        <v>29759.046046934407</v>
      </c>
      <c r="Y2212" s="199">
        <f ca="1">U2212*'Expenditure Study'!$B$31</f>
        <v>1745961.1675027201</v>
      </c>
      <c r="Z2212" s="200">
        <f ca="1">W2212*'Expenditure Study'!$B$31</f>
        <v>29759.046046934407</v>
      </c>
      <c r="AA2212" s="195">
        <f t="shared" ca="1" si="484"/>
        <v>1775720.2135496545</v>
      </c>
      <c r="AB2212" s="195">
        <f t="shared" ca="1" si="485"/>
        <v>1775720.2135496545</v>
      </c>
      <c r="AD2212" s="196">
        <f>IFERROR($G2212/SUMIF($A:$A,$A2212,$G:$G)*SUMIF(Summary!$A$166:$A$242,$A2212,Summary!$P$166:$P$242),0)</f>
        <v>569402.09967934375</v>
      </c>
      <c r="AE2212" s="197">
        <f t="shared" ca="1" si="486"/>
        <v>1206318.1138703106</v>
      </c>
      <c r="AF2212" s="196">
        <f>IFERROR(G2212/SUMIF(A:A,A2212,G:G)*SUMIF(Summary!$A$166:$A$242,'Operations Support'!A2212,Summary!$Q$166:$Q$242),0)</f>
        <v>570548.22360984585</v>
      </c>
      <c r="AG2212" s="196">
        <f t="shared" ca="1" si="487"/>
        <v>1205171.9899398086</v>
      </c>
      <c r="AI2212" s="196">
        <f>IFERROR($G2212/SUMIF($A:$A,$A2212,$G:$G)*SUMIF(Summary!$A$247:$A$283,$A2212,Summary!$P$247:$P$283),0)</f>
        <v>103844.73371050514</v>
      </c>
      <c r="AJ2212" s="196">
        <f>IFERROR($G2212/SUMIF($A:$A,$A2212,$G:$G)*(SUMIF(Summary!$A$247:$A$283,$A2212,Summary!$L$247:$L$283)+SUMIF(Summary!$A$297:$A$333,$A2212,Summary!$L$297:$L$333))-AI2212,0)</f>
        <v>484090.95689052757</v>
      </c>
      <c r="AK2212" s="196">
        <f>IFERROR($G2212/SUMIF($A:$A,$A2212,$G:$G)*SUMIF(Summary!$A$247:$A$283,$A2212,Summary!$Q$247:$Q$283),0)</f>
        <v>104053.75811422485</v>
      </c>
      <c r="AL2212" s="196">
        <f>IFERROR($G2212/SUMIF($A:$A,$A2212,$G:$G)*(SUMIF(Summary!$A$247:$A$283,$A2212,Summary!$L$247:$L$283)+SUMIF(Summary!$A$297:$A$333,$A2212,Summary!$L$297:$L$333))-AK2212,0)</f>
        <v>483881.93248680781</v>
      </c>
      <c r="AM2212" s="198"/>
      <c r="AN2212" s="196">
        <f t="shared" ca="1" si="488"/>
        <v>1690409.0707608382</v>
      </c>
      <c r="AO2212" s="196">
        <f t="shared" ca="1" si="489"/>
        <v>1689053.9224266163</v>
      </c>
    </row>
    <row r="2213" spans="1:41">
      <c r="A2213" s="189">
        <v>3661</v>
      </c>
      <c r="B2213" s="190">
        <v>1</v>
      </c>
      <c r="C2213" s="191" t="s">
        <v>223</v>
      </c>
      <c r="D2213" s="192">
        <f t="shared" si="476"/>
        <v>114</v>
      </c>
      <c r="E2213" s="192">
        <f t="shared" si="477"/>
        <v>472</v>
      </c>
      <c r="F2213" s="192">
        <f t="shared" si="478"/>
        <v>0</v>
      </c>
      <c r="G2213" s="193">
        <f t="shared" si="479"/>
        <v>586</v>
      </c>
      <c r="H2213" s="194">
        <v>51</v>
      </c>
      <c r="I2213" s="194">
        <v>162</v>
      </c>
      <c r="J2213" s="194">
        <v>0</v>
      </c>
      <c r="K2213" s="193">
        <f t="shared" si="480"/>
        <v>213</v>
      </c>
      <c r="L2213" s="194">
        <v>51</v>
      </c>
      <c r="M2213" s="194">
        <v>256</v>
      </c>
      <c r="N2213" s="194">
        <v>0</v>
      </c>
      <c r="O2213" s="193">
        <f t="shared" si="481"/>
        <v>307</v>
      </c>
      <c r="P2213" s="194">
        <v>12</v>
      </c>
      <c r="Q2213" s="194">
        <v>54</v>
      </c>
      <c r="R2213" s="194">
        <v>0</v>
      </c>
      <c r="S2213" s="193">
        <f t="shared" si="482"/>
        <v>66</v>
      </c>
      <c r="T2213" s="193">
        <f t="shared" si="483"/>
        <v>19.533333333333335</v>
      </c>
      <c r="U2213" s="193">
        <f ca="1">OFFSET('Expenditure Study'!$B$7,'Operations Support'!$C2213,'Operations Support'!$B2213)*$G2213</f>
        <v>738.36</v>
      </c>
      <c r="V2213" s="199">
        <f ca="1">U2213*'Expenditure Study'!$B$31</f>
        <v>43624.657375488001</v>
      </c>
      <c r="W2213" s="199">
        <f ca="1">IF(A2213=10298,1.51,1)*IF($B2213&lt;3,$D2213*'Expenditure Study'!$B$32*OFFSET('Expenditure Study'!$B$7,'Operations Support'!$C2213,'Operations Support'!$B2213),0)</f>
        <v>14.364000000000001</v>
      </c>
      <c r="X2213" s="200">
        <f ca="1">W2213*'Expenditure Study'!$B$31</f>
        <v>848.67080901120005</v>
      </c>
      <c r="Y2213" s="199">
        <f ca="1">U2213*'Expenditure Study'!$B$31</f>
        <v>43624.657375488001</v>
      </c>
      <c r="Z2213" s="200">
        <f ca="1">W2213*'Expenditure Study'!$B$31</f>
        <v>848.67080901120005</v>
      </c>
      <c r="AA2213" s="195">
        <f t="shared" ca="1" si="484"/>
        <v>44473.328184499202</v>
      </c>
      <c r="AB2213" s="195">
        <f t="shared" ca="1" si="485"/>
        <v>44473.328184499202</v>
      </c>
      <c r="AD2213" s="196">
        <f>IFERROR($G2213/SUMIF($A:$A,$A2213,$G:$G)*SUMIF(Summary!$A$166:$A$242,$A2213,Summary!$P$166:$P$242),0)</f>
        <v>15469.153009369285</v>
      </c>
      <c r="AE2213" s="197">
        <f t="shared" ca="1" si="486"/>
        <v>29004.175175129916</v>
      </c>
      <c r="AF2213" s="196">
        <f>IFERROR(G2213/SUMIF(A:A,A2213,G:G)*SUMIF(Summary!$A$166:$A$242,'Operations Support'!A2213,Summary!$Q$166:$Q$242),0)</f>
        <v>15500.290173174302</v>
      </c>
      <c r="AG2213" s="196">
        <f t="shared" ca="1" si="487"/>
        <v>28973.038011324898</v>
      </c>
      <c r="AI2213" s="196">
        <f>IFERROR($G2213/SUMIF($A:$A,$A2213,$G:$G)*SUMIF(Summary!$A$247:$A$283,$A2213,Summary!$P$247:$P$283),0)</f>
        <v>2821.1874804986564</v>
      </c>
      <c r="AJ2213" s="196">
        <f>IFERROR($G2213/SUMIF($A:$A,$A2213,$G:$G)*(SUMIF(Summary!$A$247:$A$283,$A2213,Summary!$L$247:$L$283)+SUMIF(Summary!$A$297:$A$333,$A2213,Summary!$L$297:$L$333))-AI2213,0)</f>
        <v>13151.474304026386</v>
      </c>
      <c r="AK2213" s="196">
        <f>IFERROR($G2213/SUMIF($A:$A,$A2213,$G:$G)*SUMIF(Summary!$A$247:$A$283,$A2213,Summary!$Q$247:$Q$283),0)</f>
        <v>2826.8661221574303</v>
      </c>
      <c r="AL2213" s="196">
        <f>IFERROR($G2213/SUMIF($A:$A,$A2213,$G:$G)*(SUMIF(Summary!$A$247:$A$283,$A2213,Summary!$L$247:$L$283)+SUMIF(Summary!$A$297:$A$333,$A2213,Summary!$L$297:$L$333))-AK2213,0)</f>
        <v>13145.795662367611</v>
      </c>
      <c r="AM2213" s="198"/>
      <c r="AN2213" s="196">
        <f t="shared" ca="1" si="488"/>
        <v>42155.649479156302</v>
      </c>
      <c r="AO2213" s="196">
        <f t="shared" ca="1" si="489"/>
        <v>42118.833673692512</v>
      </c>
    </row>
    <row r="2214" spans="1:41">
      <c r="A2214" s="189">
        <v>3661</v>
      </c>
      <c r="B2214" s="190">
        <v>1</v>
      </c>
      <c r="C2214" s="191" t="s">
        <v>224</v>
      </c>
      <c r="D2214" s="192">
        <f t="shared" si="476"/>
        <v>0</v>
      </c>
      <c r="E2214" s="192">
        <f t="shared" si="477"/>
        <v>0</v>
      </c>
      <c r="F2214" s="192">
        <f t="shared" si="478"/>
        <v>0</v>
      </c>
      <c r="G2214" s="193">
        <f t="shared" si="479"/>
        <v>0</v>
      </c>
      <c r="H2214" s="194">
        <v>0</v>
      </c>
      <c r="I2214" s="194">
        <v>0</v>
      </c>
      <c r="J2214" s="194">
        <v>0</v>
      </c>
      <c r="K2214" s="193">
        <f t="shared" si="480"/>
        <v>0</v>
      </c>
      <c r="L2214" s="194">
        <v>0</v>
      </c>
      <c r="M2214" s="194">
        <v>0</v>
      </c>
      <c r="N2214" s="194">
        <v>0</v>
      </c>
      <c r="O2214" s="193">
        <f t="shared" si="481"/>
        <v>0</v>
      </c>
      <c r="P2214" s="194">
        <v>0</v>
      </c>
      <c r="Q2214" s="194">
        <v>0</v>
      </c>
      <c r="R2214" s="194">
        <v>0</v>
      </c>
      <c r="S2214" s="193">
        <f t="shared" si="482"/>
        <v>0</v>
      </c>
      <c r="T2214" s="193">
        <f t="shared" si="483"/>
        <v>0</v>
      </c>
      <c r="U2214" s="193">
        <f ca="1">OFFSET('Expenditure Study'!$B$7,'Operations Support'!$C2214,'Operations Support'!$B2214)*$G2214</f>
        <v>0</v>
      </c>
      <c r="V2214" s="199">
        <f ca="1">U2214*'Expenditure Study'!$B$31</f>
        <v>0</v>
      </c>
      <c r="W2214" s="199">
        <f ca="1">IF(A2214=10298,1.51,1)*IF($B2214&lt;3,$D2214*'Expenditure Study'!$B$32*OFFSET('Expenditure Study'!$B$7,'Operations Support'!$C2214,'Operations Support'!$B2214),0)</f>
        <v>0</v>
      </c>
      <c r="X2214" s="200">
        <f ca="1">W2214*'Expenditure Study'!$B$31</f>
        <v>0</v>
      </c>
      <c r="Y2214" s="199">
        <f ca="1">U2214*'Expenditure Study'!$B$31</f>
        <v>0</v>
      </c>
      <c r="Z2214" s="200">
        <f ca="1">W2214*'Expenditure Study'!$B$31</f>
        <v>0</v>
      </c>
      <c r="AA2214" s="195">
        <f t="shared" ca="1" si="484"/>
        <v>0</v>
      </c>
      <c r="AB2214" s="195">
        <f t="shared" ca="1" si="485"/>
        <v>0</v>
      </c>
      <c r="AD2214" s="196">
        <f>IFERROR($G2214/SUMIF($A:$A,$A2214,$G:$G)*SUMIF(Summary!$A$166:$A$242,$A2214,Summary!$P$166:$P$242),0)</f>
        <v>0</v>
      </c>
      <c r="AE2214" s="197">
        <f t="shared" ca="1" si="486"/>
        <v>0</v>
      </c>
      <c r="AF2214" s="196">
        <f>IFERROR(G2214/SUMIF(A:A,A2214,G:G)*SUMIF(Summary!$A$166:$A$242,'Operations Support'!A2214,Summary!$Q$166:$Q$242),0)</f>
        <v>0</v>
      </c>
      <c r="AG2214" s="196">
        <f t="shared" ca="1" si="487"/>
        <v>0</v>
      </c>
      <c r="AI2214" s="196">
        <f>IFERROR($G2214/SUMIF($A:$A,$A2214,$G:$G)*SUMIF(Summary!$A$247:$A$283,$A2214,Summary!$P$247:$P$283),0)</f>
        <v>0</v>
      </c>
      <c r="AJ2214" s="196">
        <f>IFERROR($G2214/SUMIF($A:$A,$A2214,$G:$G)*(SUMIF(Summary!$A$247:$A$283,$A2214,Summary!$L$247:$L$283)+SUMIF(Summary!$A$297:$A$333,$A2214,Summary!$L$297:$L$333))-AI2214,0)</f>
        <v>0</v>
      </c>
      <c r="AK2214" s="196">
        <f>IFERROR($G2214/SUMIF($A:$A,$A2214,$G:$G)*SUMIF(Summary!$A$247:$A$283,$A2214,Summary!$Q$247:$Q$283),0)</f>
        <v>0</v>
      </c>
      <c r="AL2214" s="196">
        <f>IFERROR($G2214/SUMIF($A:$A,$A2214,$G:$G)*(SUMIF(Summary!$A$247:$A$283,$A2214,Summary!$L$247:$L$283)+SUMIF(Summary!$A$297:$A$333,$A2214,Summary!$L$297:$L$333))-AK2214,0)</f>
        <v>0</v>
      </c>
      <c r="AM2214" s="198"/>
      <c r="AN2214" s="196">
        <f t="shared" ca="1" si="488"/>
        <v>0</v>
      </c>
      <c r="AO2214" s="196">
        <f t="shared" ca="1" si="489"/>
        <v>0</v>
      </c>
    </row>
    <row r="2215" spans="1:41">
      <c r="A2215" s="189">
        <v>3661</v>
      </c>
      <c r="B2215" s="190">
        <v>1</v>
      </c>
      <c r="C2215" s="191" t="s">
        <v>225</v>
      </c>
      <c r="D2215" s="192">
        <f t="shared" si="476"/>
        <v>5733.9399999999896</v>
      </c>
      <c r="E2215" s="192">
        <f t="shared" si="477"/>
        <v>14417.06000000001</v>
      </c>
      <c r="F2215" s="192">
        <f t="shared" si="478"/>
        <v>0</v>
      </c>
      <c r="G2215" s="193">
        <f t="shared" si="479"/>
        <v>20151</v>
      </c>
      <c r="H2215" s="194">
        <v>2985.74</v>
      </c>
      <c r="I2215" s="194">
        <v>5951.26</v>
      </c>
      <c r="J2215" s="194">
        <v>0</v>
      </c>
      <c r="K2215" s="193">
        <f t="shared" si="480"/>
        <v>8937</v>
      </c>
      <c r="L2215" s="194">
        <v>2598.1999999999898</v>
      </c>
      <c r="M2215" s="194">
        <v>7525.8000000000102</v>
      </c>
      <c r="N2215" s="194">
        <v>0</v>
      </c>
      <c r="O2215" s="193">
        <f t="shared" si="481"/>
        <v>10124</v>
      </c>
      <c r="P2215" s="194">
        <v>150</v>
      </c>
      <c r="Q2215" s="194">
        <v>940</v>
      </c>
      <c r="R2215" s="194">
        <v>0</v>
      </c>
      <c r="S2215" s="193">
        <f t="shared" si="482"/>
        <v>1090</v>
      </c>
      <c r="T2215" s="193">
        <f t="shared" si="483"/>
        <v>671.7</v>
      </c>
      <c r="U2215" s="193">
        <f ca="1">OFFSET('Expenditure Study'!$B$7,'Operations Support'!$C2215,'Operations Support'!$B2215)*$G2215</f>
        <v>35465.760000000002</v>
      </c>
      <c r="V2215" s="199">
        <f ca="1">U2215*'Expenditure Study'!$B$31</f>
        <v>2095429.9102894082</v>
      </c>
      <c r="W2215" s="199">
        <f ca="1">IF(A2215=10298,1.51,1)*IF($B2215&lt;3,$D2215*'Expenditure Study'!$B$32*OFFSET('Expenditure Study'!$B$7,'Operations Support'!$C2215,'Operations Support'!$B2215),0)</f>
        <v>1009.1734399999982</v>
      </c>
      <c r="X2215" s="200">
        <f ca="1">W2215*'Expenditure Study'!$B$31</f>
        <v>59625.176814077844</v>
      </c>
      <c r="Y2215" s="199">
        <f ca="1">U2215*'Expenditure Study'!$B$31</f>
        <v>2095429.9102894082</v>
      </c>
      <c r="Z2215" s="200">
        <f ca="1">W2215*'Expenditure Study'!$B$31</f>
        <v>59625.176814077844</v>
      </c>
      <c r="AA2215" s="195">
        <f t="shared" ca="1" si="484"/>
        <v>2155055.0871034861</v>
      </c>
      <c r="AB2215" s="195">
        <f t="shared" ca="1" si="485"/>
        <v>2155055.0871034861</v>
      </c>
      <c r="AD2215" s="196">
        <f>IFERROR($G2215/SUMIF($A:$A,$A2215,$G:$G)*SUMIF(Summary!$A$166:$A$242,$A2215,Summary!$P$166:$P$242),0)</f>
        <v>531943.51926928398</v>
      </c>
      <c r="AE2215" s="197">
        <f t="shared" ca="1" si="486"/>
        <v>1623111.5678342022</v>
      </c>
      <c r="AF2215" s="196">
        <f>IFERROR(G2215/SUMIF(A:A,A2215,G:G)*SUMIF(Summary!$A$166:$A$242,'Operations Support'!A2215,Summary!$Q$166:$Q$242),0)</f>
        <v>533014.24450449715</v>
      </c>
      <c r="AG2215" s="196">
        <f t="shared" ca="1" si="487"/>
        <v>1622040.8425989889</v>
      </c>
      <c r="AI2215" s="196">
        <f>IFERROR($G2215/SUMIF($A:$A,$A2215,$G:$G)*SUMIF(Summary!$A$247:$A$283,$A2215,Summary!$P$247:$P$283),0)</f>
        <v>97013.223412164531</v>
      </c>
      <c r="AJ2215" s="196">
        <f>IFERROR($G2215/SUMIF($A:$A,$A2215,$G:$G)*(SUMIF(Summary!$A$247:$A$283,$A2215,Summary!$L$247:$L$283)+SUMIF(Summary!$A$297:$A$333,$A2215,Summary!$L$297:$L$333))-AI2215,0)</f>
        <v>452244.63942053873</v>
      </c>
      <c r="AK2215" s="196">
        <f>IFERROR($G2215/SUMIF($A:$A,$A2215,$G:$G)*SUMIF(Summary!$A$247:$A$283,$A2215,Summary!$Q$247:$Q$283),0)</f>
        <v>97208.496975417002</v>
      </c>
      <c r="AL2215" s="196">
        <f>IFERROR($G2215/SUMIF($A:$A,$A2215,$G:$G)*(SUMIF(Summary!$A$247:$A$283,$A2215,Summary!$L$247:$L$283)+SUMIF(Summary!$A$297:$A$333,$A2215,Summary!$L$297:$L$333))-AK2215,0)</f>
        <v>452049.36585728626</v>
      </c>
      <c r="AM2215" s="198"/>
      <c r="AN2215" s="196">
        <f t="shared" ca="1" si="488"/>
        <v>2075356.2072547409</v>
      </c>
      <c r="AO2215" s="196">
        <f t="shared" ca="1" si="489"/>
        <v>2074090.2084562751</v>
      </c>
    </row>
    <row r="2216" spans="1:41">
      <c r="A2216" s="189">
        <v>3661</v>
      </c>
      <c r="B2216" s="190">
        <v>1</v>
      </c>
      <c r="C2216" s="191" t="s">
        <v>226</v>
      </c>
      <c r="D2216" s="192">
        <f t="shared" si="476"/>
        <v>0</v>
      </c>
      <c r="E2216" s="192">
        <f t="shared" si="477"/>
        <v>0</v>
      </c>
      <c r="F2216" s="192">
        <f t="shared" si="478"/>
        <v>0</v>
      </c>
      <c r="G2216" s="193">
        <f t="shared" si="479"/>
        <v>0</v>
      </c>
      <c r="H2216" s="194">
        <v>0</v>
      </c>
      <c r="I2216" s="194">
        <v>0</v>
      </c>
      <c r="J2216" s="194">
        <v>0</v>
      </c>
      <c r="K2216" s="193">
        <f t="shared" si="480"/>
        <v>0</v>
      </c>
      <c r="L2216" s="194">
        <v>0</v>
      </c>
      <c r="M2216" s="194">
        <v>0</v>
      </c>
      <c r="N2216" s="194">
        <v>0</v>
      </c>
      <c r="O2216" s="193">
        <f t="shared" si="481"/>
        <v>0</v>
      </c>
      <c r="P2216" s="194">
        <v>0</v>
      </c>
      <c r="Q2216" s="194">
        <v>0</v>
      </c>
      <c r="R2216" s="194">
        <v>0</v>
      </c>
      <c r="S2216" s="193">
        <f t="shared" si="482"/>
        <v>0</v>
      </c>
      <c r="T2216" s="193">
        <f t="shared" si="483"/>
        <v>0</v>
      </c>
      <c r="U2216" s="193">
        <f ca="1">OFFSET('Expenditure Study'!$B$7,'Operations Support'!$C2216,'Operations Support'!$B2216)*$G2216</f>
        <v>0</v>
      </c>
      <c r="V2216" s="199">
        <f ca="1">U2216*'Expenditure Study'!$B$31</f>
        <v>0</v>
      </c>
      <c r="W2216" s="199">
        <f ca="1">IF(A2216=10298,1.51,1)*IF($B2216&lt;3,$D2216*'Expenditure Study'!$B$32*OFFSET('Expenditure Study'!$B$7,'Operations Support'!$C2216,'Operations Support'!$B2216),0)</f>
        <v>0</v>
      </c>
      <c r="X2216" s="200">
        <f ca="1">W2216*'Expenditure Study'!$B$31</f>
        <v>0</v>
      </c>
      <c r="Y2216" s="199">
        <f ca="1">U2216*'Expenditure Study'!$B$31</f>
        <v>0</v>
      </c>
      <c r="Z2216" s="200">
        <f ca="1">W2216*'Expenditure Study'!$B$31</f>
        <v>0</v>
      </c>
      <c r="AA2216" s="195">
        <f t="shared" ca="1" si="484"/>
        <v>0</v>
      </c>
      <c r="AB2216" s="195">
        <f t="shared" ca="1" si="485"/>
        <v>0</v>
      </c>
      <c r="AD2216" s="196">
        <f>IFERROR($G2216/SUMIF($A:$A,$A2216,$G:$G)*SUMIF(Summary!$A$166:$A$242,$A2216,Summary!$P$166:$P$242),0)</f>
        <v>0</v>
      </c>
      <c r="AE2216" s="197">
        <f t="shared" ca="1" si="486"/>
        <v>0</v>
      </c>
      <c r="AF2216" s="196">
        <f>IFERROR(G2216/SUMIF(A:A,A2216,G:G)*SUMIF(Summary!$A$166:$A$242,'Operations Support'!A2216,Summary!$Q$166:$Q$242),0)</f>
        <v>0</v>
      </c>
      <c r="AG2216" s="196">
        <f t="shared" ca="1" si="487"/>
        <v>0</v>
      </c>
      <c r="AI2216" s="196">
        <f>IFERROR($G2216/SUMIF($A:$A,$A2216,$G:$G)*SUMIF(Summary!$A$247:$A$283,$A2216,Summary!$P$247:$P$283),0)</f>
        <v>0</v>
      </c>
      <c r="AJ2216" s="196">
        <f>IFERROR($G2216/SUMIF($A:$A,$A2216,$G:$G)*(SUMIF(Summary!$A$247:$A$283,$A2216,Summary!$L$247:$L$283)+SUMIF(Summary!$A$297:$A$333,$A2216,Summary!$L$297:$L$333))-AI2216,0)</f>
        <v>0</v>
      </c>
      <c r="AK2216" s="196">
        <f>IFERROR($G2216/SUMIF($A:$A,$A2216,$G:$G)*SUMIF(Summary!$A$247:$A$283,$A2216,Summary!$Q$247:$Q$283),0)</f>
        <v>0</v>
      </c>
      <c r="AL2216" s="196">
        <f>IFERROR($G2216/SUMIF($A:$A,$A2216,$G:$G)*(SUMIF(Summary!$A$247:$A$283,$A2216,Summary!$L$247:$L$283)+SUMIF(Summary!$A$297:$A$333,$A2216,Summary!$L$297:$L$333))-AK2216,0)</f>
        <v>0</v>
      </c>
      <c r="AM2216" s="198"/>
      <c r="AN2216" s="196">
        <f t="shared" ca="1" si="488"/>
        <v>0</v>
      </c>
      <c r="AO2216" s="196">
        <f t="shared" ca="1" si="489"/>
        <v>0</v>
      </c>
    </row>
    <row r="2217" spans="1:41">
      <c r="A2217" s="189">
        <v>3661</v>
      </c>
      <c r="B2217" s="190">
        <v>1</v>
      </c>
      <c r="C2217" s="191" t="s">
        <v>227</v>
      </c>
      <c r="D2217" s="192">
        <f t="shared" si="476"/>
        <v>0</v>
      </c>
      <c r="E2217" s="192">
        <f t="shared" si="477"/>
        <v>0</v>
      </c>
      <c r="F2217" s="192">
        <f t="shared" si="478"/>
        <v>0</v>
      </c>
      <c r="G2217" s="193">
        <f t="shared" si="479"/>
        <v>0</v>
      </c>
      <c r="H2217" s="194">
        <v>0</v>
      </c>
      <c r="I2217" s="194">
        <v>0</v>
      </c>
      <c r="J2217" s="194">
        <v>0</v>
      </c>
      <c r="K2217" s="193">
        <f t="shared" si="480"/>
        <v>0</v>
      </c>
      <c r="L2217" s="194">
        <v>0</v>
      </c>
      <c r="M2217" s="194">
        <v>0</v>
      </c>
      <c r="N2217" s="194">
        <v>0</v>
      </c>
      <c r="O2217" s="193">
        <f t="shared" si="481"/>
        <v>0</v>
      </c>
      <c r="P2217" s="194">
        <v>0</v>
      </c>
      <c r="Q2217" s="194">
        <v>0</v>
      </c>
      <c r="R2217" s="194">
        <v>0</v>
      </c>
      <c r="S2217" s="193">
        <f t="shared" si="482"/>
        <v>0</v>
      </c>
      <c r="T2217" s="193">
        <f t="shared" si="483"/>
        <v>0</v>
      </c>
      <c r="U2217" s="193">
        <f ca="1">OFFSET('Expenditure Study'!$B$7,'Operations Support'!$C2217,'Operations Support'!$B2217)*$G2217</f>
        <v>0</v>
      </c>
      <c r="V2217" s="199">
        <f ca="1">U2217*'Expenditure Study'!$B$31</f>
        <v>0</v>
      </c>
      <c r="W2217" s="199">
        <f ca="1">IF(A2217=10298,1.51,1)*IF($B2217&lt;3,$D2217*'Expenditure Study'!$B$32*OFFSET('Expenditure Study'!$B$7,'Operations Support'!$C2217,'Operations Support'!$B2217),0)</f>
        <v>0</v>
      </c>
      <c r="X2217" s="200">
        <f ca="1">W2217*'Expenditure Study'!$B$31</f>
        <v>0</v>
      </c>
      <c r="Y2217" s="199">
        <f ca="1">U2217*'Expenditure Study'!$B$31</f>
        <v>0</v>
      </c>
      <c r="Z2217" s="200">
        <f ca="1">W2217*'Expenditure Study'!$B$31</f>
        <v>0</v>
      </c>
      <c r="AA2217" s="195">
        <f t="shared" ca="1" si="484"/>
        <v>0</v>
      </c>
      <c r="AB2217" s="195">
        <f t="shared" ca="1" si="485"/>
        <v>0</v>
      </c>
      <c r="AD2217" s="196">
        <f>IFERROR($G2217/SUMIF($A:$A,$A2217,$G:$G)*SUMIF(Summary!$A$166:$A$242,$A2217,Summary!$P$166:$P$242),0)</f>
        <v>0</v>
      </c>
      <c r="AE2217" s="197">
        <f t="shared" ca="1" si="486"/>
        <v>0</v>
      </c>
      <c r="AF2217" s="196">
        <f>IFERROR(G2217/SUMIF(A:A,A2217,G:G)*SUMIF(Summary!$A$166:$A$242,'Operations Support'!A2217,Summary!$Q$166:$Q$242),0)</f>
        <v>0</v>
      </c>
      <c r="AG2217" s="196">
        <f t="shared" ca="1" si="487"/>
        <v>0</v>
      </c>
      <c r="AI2217" s="196">
        <f>IFERROR($G2217/SUMIF($A:$A,$A2217,$G:$G)*SUMIF(Summary!$A$247:$A$283,$A2217,Summary!$P$247:$P$283),0)</f>
        <v>0</v>
      </c>
      <c r="AJ2217" s="196">
        <f>IFERROR($G2217/SUMIF($A:$A,$A2217,$G:$G)*(SUMIF(Summary!$A$247:$A$283,$A2217,Summary!$L$247:$L$283)+SUMIF(Summary!$A$297:$A$333,$A2217,Summary!$L$297:$L$333))-AI2217,0)</f>
        <v>0</v>
      </c>
      <c r="AK2217" s="196">
        <f>IFERROR($G2217/SUMIF($A:$A,$A2217,$G:$G)*SUMIF(Summary!$A$247:$A$283,$A2217,Summary!$Q$247:$Q$283),0)</f>
        <v>0</v>
      </c>
      <c r="AL2217" s="196">
        <f>IFERROR($G2217/SUMIF($A:$A,$A2217,$G:$G)*(SUMIF(Summary!$A$247:$A$283,$A2217,Summary!$L$247:$L$283)+SUMIF(Summary!$A$297:$A$333,$A2217,Summary!$L$297:$L$333))-AK2217,0)</f>
        <v>0</v>
      </c>
      <c r="AM2217" s="198"/>
      <c r="AN2217" s="196">
        <f t="shared" ca="1" si="488"/>
        <v>0</v>
      </c>
      <c r="AO2217" s="196">
        <f t="shared" ca="1" si="489"/>
        <v>0</v>
      </c>
    </row>
    <row r="2218" spans="1:41">
      <c r="A2218" s="189">
        <v>3661</v>
      </c>
      <c r="B2218" s="190">
        <v>1</v>
      </c>
      <c r="C2218" s="191" t="s">
        <v>228</v>
      </c>
      <c r="D2218" s="192">
        <f t="shared" si="476"/>
        <v>0</v>
      </c>
      <c r="E2218" s="192">
        <f t="shared" si="477"/>
        <v>372</v>
      </c>
      <c r="F2218" s="192">
        <f t="shared" si="478"/>
        <v>0</v>
      </c>
      <c r="G2218" s="193">
        <f t="shared" si="479"/>
        <v>372</v>
      </c>
      <c r="H2218" s="194">
        <v>0</v>
      </c>
      <c r="I2218" s="194">
        <v>69</v>
      </c>
      <c r="J2218" s="194">
        <v>0</v>
      </c>
      <c r="K2218" s="193">
        <f t="shared" si="480"/>
        <v>69</v>
      </c>
      <c r="L2218" s="194">
        <v>0</v>
      </c>
      <c r="M2218" s="194">
        <v>303</v>
      </c>
      <c r="N2218" s="194">
        <v>0</v>
      </c>
      <c r="O2218" s="193">
        <f t="shared" si="481"/>
        <v>303</v>
      </c>
      <c r="P2218" s="194">
        <v>0</v>
      </c>
      <c r="Q2218" s="194">
        <v>0</v>
      </c>
      <c r="R2218" s="194">
        <v>0</v>
      </c>
      <c r="S2218" s="193">
        <f t="shared" si="482"/>
        <v>0</v>
      </c>
      <c r="T2218" s="193">
        <f t="shared" si="483"/>
        <v>12.4</v>
      </c>
      <c r="U2218" s="193">
        <f ca="1">OFFSET('Expenditure Study'!$B$7,'Operations Support'!$C2218,'Operations Support'!$B2218)*$G2218</f>
        <v>587.76</v>
      </c>
      <c r="V2218" s="199">
        <f ca="1">U2218*'Expenditure Study'!$B$31</f>
        <v>34726.730347008001</v>
      </c>
      <c r="W2218" s="199">
        <f ca="1">IF(A2218=10298,1.51,1)*IF($B2218&lt;3,$D2218*'Expenditure Study'!$B$32*OFFSET('Expenditure Study'!$B$7,'Operations Support'!$C2218,'Operations Support'!$B2218),0)</f>
        <v>0</v>
      </c>
      <c r="X2218" s="200">
        <f ca="1">W2218*'Expenditure Study'!$B$31</f>
        <v>0</v>
      </c>
      <c r="Y2218" s="199">
        <f ca="1">U2218*'Expenditure Study'!$B$31</f>
        <v>34726.730347008001</v>
      </c>
      <c r="Z2218" s="200">
        <f ca="1">W2218*'Expenditure Study'!$B$31</f>
        <v>0</v>
      </c>
      <c r="AA2218" s="195">
        <f t="shared" ca="1" si="484"/>
        <v>34726.730347008001</v>
      </c>
      <c r="AB2218" s="195">
        <f t="shared" ca="1" si="485"/>
        <v>34726.730347008001</v>
      </c>
      <c r="AD2218" s="196">
        <f>IFERROR($G2218/SUMIF($A:$A,$A2218,$G:$G)*SUMIF(Summary!$A$166:$A$242,$A2218,Summary!$P$166:$P$242),0)</f>
        <v>9820.0083950262342</v>
      </c>
      <c r="AE2218" s="197">
        <f t="shared" ca="1" si="486"/>
        <v>24906.721951981766</v>
      </c>
      <c r="AF2218" s="196">
        <f>IFERROR(G2218/SUMIF(A:A,A2218,G:G)*SUMIF(Summary!$A$166:$A$242,'Operations Support'!A2218,Summary!$Q$166:$Q$242),0)</f>
        <v>9839.7746491823218</v>
      </c>
      <c r="AG2218" s="196">
        <f t="shared" ca="1" si="487"/>
        <v>24886.955697825681</v>
      </c>
      <c r="AI2218" s="196">
        <f>IFERROR($G2218/SUMIF($A:$A,$A2218,$G:$G)*SUMIF(Summary!$A$247:$A$283,$A2218,Summary!$P$247:$P$283),0)</f>
        <v>1790.9244756749149</v>
      </c>
      <c r="AJ2218" s="196">
        <f>IFERROR($G2218/SUMIF($A:$A,$A2218,$G:$G)*(SUMIF(Summary!$A$247:$A$283,$A2218,Summary!$L$247:$L$283)+SUMIF(Summary!$A$297:$A$333,$A2218,Summary!$L$297:$L$333))-AI2218,0)</f>
        <v>8348.7174762761351</v>
      </c>
      <c r="AK2218" s="196">
        <f>IFERROR($G2218/SUMIF($A:$A,$A2218,$G:$G)*SUMIF(Summary!$A$247:$A$283,$A2218,Summary!$Q$247:$Q$283),0)</f>
        <v>1794.5293471716109</v>
      </c>
      <c r="AL2218" s="196">
        <f>IFERROR($G2218/SUMIF($A:$A,$A2218,$G:$G)*(SUMIF(Summary!$A$247:$A$283,$A2218,Summary!$L$247:$L$283)+SUMIF(Summary!$A$297:$A$333,$A2218,Summary!$L$297:$L$333))-AK2218,0)</f>
        <v>8345.1126047794405</v>
      </c>
      <c r="AM2218" s="198"/>
      <c r="AN2218" s="196">
        <f t="shared" ca="1" si="488"/>
        <v>33255.439428257901</v>
      </c>
      <c r="AO2218" s="196">
        <f t="shared" ca="1" si="489"/>
        <v>33232.068302605119</v>
      </c>
    </row>
    <row r="2219" spans="1:41">
      <c r="A2219" s="189">
        <v>3661</v>
      </c>
      <c r="B2219" s="190">
        <v>1</v>
      </c>
      <c r="C2219" s="191" t="s">
        <v>229</v>
      </c>
      <c r="D2219" s="192">
        <f t="shared" si="476"/>
        <v>0</v>
      </c>
      <c r="E2219" s="192">
        <f t="shared" si="477"/>
        <v>0</v>
      </c>
      <c r="F2219" s="192">
        <f t="shared" si="478"/>
        <v>0</v>
      </c>
      <c r="G2219" s="193">
        <f t="shared" si="479"/>
        <v>0</v>
      </c>
      <c r="H2219" s="194">
        <v>0</v>
      </c>
      <c r="I2219" s="194">
        <v>0</v>
      </c>
      <c r="J2219" s="194">
        <v>0</v>
      </c>
      <c r="K2219" s="193">
        <f t="shared" si="480"/>
        <v>0</v>
      </c>
      <c r="L2219" s="194">
        <v>0</v>
      </c>
      <c r="M2219" s="194">
        <v>0</v>
      </c>
      <c r="N2219" s="194">
        <v>0</v>
      </c>
      <c r="O2219" s="193">
        <f t="shared" si="481"/>
        <v>0</v>
      </c>
      <c r="P2219" s="194">
        <v>0</v>
      </c>
      <c r="Q2219" s="194">
        <v>0</v>
      </c>
      <c r="R2219" s="194">
        <v>0</v>
      </c>
      <c r="S2219" s="193">
        <f t="shared" si="482"/>
        <v>0</v>
      </c>
      <c r="T2219" s="193">
        <f t="shared" si="483"/>
        <v>0</v>
      </c>
      <c r="U2219" s="193">
        <f ca="1">OFFSET('Expenditure Study'!$B$7,'Operations Support'!$C2219,'Operations Support'!$B2219)*$G2219</f>
        <v>0</v>
      </c>
      <c r="V2219" s="199">
        <f ca="1">U2219*'Expenditure Study'!$B$31</f>
        <v>0</v>
      </c>
      <c r="W2219" s="199">
        <f ca="1">IF(A2219=10298,1.51,1)*IF($B2219&lt;3,$D2219*'Expenditure Study'!$B$32*OFFSET('Expenditure Study'!$B$7,'Operations Support'!$C2219,'Operations Support'!$B2219),0)</f>
        <v>0</v>
      </c>
      <c r="X2219" s="200">
        <f ca="1">W2219*'Expenditure Study'!$B$31</f>
        <v>0</v>
      </c>
      <c r="Y2219" s="199">
        <f ca="1">U2219*'Expenditure Study'!$B$31</f>
        <v>0</v>
      </c>
      <c r="Z2219" s="200">
        <f ca="1">W2219*'Expenditure Study'!$B$31</f>
        <v>0</v>
      </c>
      <c r="AA2219" s="195">
        <f t="shared" ca="1" si="484"/>
        <v>0</v>
      </c>
      <c r="AB2219" s="195">
        <f t="shared" ca="1" si="485"/>
        <v>0</v>
      </c>
      <c r="AD2219" s="196">
        <f>IFERROR($G2219/SUMIF($A:$A,$A2219,$G:$G)*SUMIF(Summary!$A$166:$A$242,$A2219,Summary!$P$166:$P$242),0)</f>
        <v>0</v>
      </c>
      <c r="AE2219" s="197">
        <f t="shared" ca="1" si="486"/>
        <v>0</v>
      </c>
      <c r="AF2219" s="196">
        <f>IFERROR(G2219/SUMIF(A:A,A2219,G:G)*SUMIF(Summary!$A$166:$A$242,'Operations Support'!A2219,Summary!$Q$166:$Q$242),0)</f>
        <v>0</v>
      </c>
      <c r="AG2219" s="196">
        <f t="shared" ca="1" si="487"/>
        <v>0</v>
      </c>
      <c r="AI2219" s="196">
        <f>IFERROR($G2219/SUMIF($A:$A,$A2219,$G:$G)*SUMIF(Summary!$A$247:$A$283,$A2219,Summary!$P$247:$P$283),0)</f>
        <v>0</v>
      </c>
      <c r="AJ2219" s="196">
        <f>IFERROR($G2219/SUMIF($A:$A,$A2219,$G:$G)*(SUMIF(Summary!$A$247:$A$283,$A2219,Summary!$L$247:$L$283)+SUMIF(Summary!$A$297:$A$333,$A2219,Summary!$L$297:$L$333))-AI2219,0)</f>
        <v>0</v>
      </c>
      <c r="AK2219" s="196">
        <f>IFERROR($G2219/SUMIF($A:$A,$A2219,$G:$G)*SUMIF(Summary!$A$247:$A$283,$A2219,Summary!$Q$247:$Q$283),0)</f>
        <v>0</v>
      </c>
      <c r="AL2219" s="196">
        <f>IFERROR($G2219/SUMIF($A:$A,$A2219,$G:$G)*(SUMIF(Summary!$A$247:$A$283,$A2219,Summary!$L$247:$L$283)+SUMIF(Summary!$A$297:$A$333,$A2219,Summary!$L$297:$L$333))-AK2219,0)</f>
        <v>0</v>
      </c>
      <c r="AM2219" s="198"/>
      <c r="AN2219" s="196">
        <f t="shared" ca="1" si="488"/>
        <v>0</v>
      </c>
      <c r="AO2219" s="196">
        <f t="shared" ca="1" si="489"/>
        <v>0</v>
      </c>
    </row>
    <row r="2220" spans="1:41">
      <c r="A2220" s="189">
        <v>3661</v>
      </c>
      <c r="B2220" s="190">
        <v>1</v>
      </c>
      <c r="C2220" s="191" t="s">
        <v>230</v>
      </c>
      <c r="D2220" s="192">
        <f t="shared" si="476"/>
        <v>0</v>
      </c>
      <c r="E2220" s="192">
        <f t="shared" si="477"/>
        <v>0</v>
      </c>
      <c r="F2220" s="192">
        <f t="shared" si="478"/>
        <v>0</v>
      </c>
      <c r="G2220" s="193">
        <f t="shared" si="479"/>
        <v>0</v>
      </c>
      <c r="H2220" s="194">
        <v>0</v>
      </c>
      <c r="I2220" s="194">
        <v>0</v>
      </c>
      <c r="J2220" s="194">
        <v>0</v>
      </c>
      <c r="K2220" s="193">
        <f t="shared" si="480"/>
        <v>0</v>
      </c>
      <c r="L2220" s="194">
        <v>0</v>
      </c>
      <c r="M2220" s="194">
        <v>0</v>
      </c>
      <c r="N2220" s="194">
        <v>0</v>
      </c>
      <c r="O2220" s="193">
        <f t="shared" si="481"/>
        <v>0</v>
      </c>
      <c r="P2220" s="194">
        <v>0</v>
      </c>
      <c r="Q2220" s="194">
        <v>0</v>
      </c>
      <c r="R2220" s="194">
        <v>0</v>
      </c>
      <c r="S2220" s="193">
        <f t="shared" si="482"/>
        <v>0</v>
      </c>
      <c r="T2220" s="193">
        <f t="shared" si="483"/>
        <v>0</v>
      </c>
      <c r="U2220" s="193">
        <f ca="1">OFFSET('Expenditure Study'!$B$7,'Operations Support'!$C2220,'Operations Support'!$B2220)*$G2220</f>
        <v>0</v>
      </c>
      <c r="V2220" s="199">
        <f ca="1">U2220*'Expenditure Study'!$B$31</f>
        <v>0</v>
      </c>
      <c r="W2220" s="199">
        <f ca="1">IF(A2220=10298,1.51,1)*IF($B2220&lt;3,$D2220*'Expenditure Study'!$B$32*OFFSET('Expenditure Study'!$B$7,'Operations Support'!$C2220,'Operations Support'!$B2220),0)</f>
        <v>0</v>
      </c>
      <c r="X2220" s="200">
        <f ca="1">W2220*'Expenditure Study'!$B$31</f>
        <v>0</v>
      </c>
      <c r="Y2220" s="199">
        <f ca="1">U2220*'Expenditure Study'!$B$31</f>
        <v>0</v>
      </c>
      <c r="Z2220" s="200">
        <f ca="1">W2220*'Expenditure Study'!$B$31</f>
        <v>0</v>
      </c>
      <c r="AA2220" s="195">
        <f t="shared" ca="1" si="484"/>
        <v>0</v>
      </c>
      <c r="AB2220" s="195">
        <f t="shared" ca="1" si="485"/>
        <v>0</v>
      </c>
      <c r="AD2220" s="196">
        <f>IFERROR($G2220/SUMIF($A:$A,$A2220,$G:$G)*SUMIF(Summary!$A$166:$A$242,$A2220,Summary!$P$166:$P$242),0)</f>
        <v>0</v>
      </c>
      <c r="AE2220" s="197">
        <f t="shared" ca="1" si="486"/>
        <v>0</v>
      </c>
      <c r="AF2220" s="196">
        <f>IFERROR(G2220/SUMIF(A:A,A2220,G:G)*SUMIF(Summary!$A$166:$A$242,'Operations Support'!A2220,Summary!$Q$166:$Q$242),0)</f>
        <v>0</v>
      </c>
      <c r="AG2220" s="196">
        <f t="shared" ca="1" si="487"/>
        <v>0</v>
      </c>
      <c r="AI2220" s="196">
        <f>IFERROR($G2220/SUMIF($A:$A,$A2220,$G:$G)*SUMIF(Summary!$A$247:$A$283,$A2220,Summary!$P$247:$P$283),0)</f>
        <v>0</v>
      </c>
      <c r="AJ2220" s="196">
        <f>IFERROR($G2220/SUMIF($A:$A,$A2220,$G:$G)*(SUMIF(Summary!$A$247:$A$283,$A2220,Summary!$L$247:$L$283)+SUMIF(Summary!$A$297:$A$333,$A2220,Summary!$L$297:$L$333))-AI2220,0)</f>
        <v>0</v>
      </c>
      <c r="AK2220" s="196">
        <f>IFERROR($G2220/SUMIF($A:$A,$A2220,$G:$G)*SUMIF(Summary!$A$247:$A$283,$A2220,Summary!$Q$247:$Q$283),0)</f>
        <v>0</v>
      </c>
      <c r="AL2220" s="196">
        <f>IFERROR($G2220/SUMIF($A:$A,$A2220,$G:$G)*(SUMIF(Summary!$A$247:$A$283,$A2220,Summary!$L$247:$L$283)+SUMIF(Summary!$A$297:$A$333,$A2220,Summary!$L$297:$L$333))-AK2220,0)</f>
        <v>0</v>
      </c>
      <c r="AM2220" s="198"/>
      <c r="AN2220" s="196">
        <f t="shared" ca="1" si="488"/>
        <v>0</v>
      </c>
      <c r="AO2220" s="196">
        <f t="shared" ca="1" si="489"/>
        <v>0</v>
      </c>
    </row>
    <row r="2221" spans="1:41">
      <c r="A2221" s="189">
        <v>3661</v>
      </c>
      <c r="B2221" s="190">
        <v>1</v>
      </c>
      <c r="C2221" s="191" t="s">
        <v>231</v>
      </c>
      <c r="D2221" s="192">
        <f t="shared" si="476"/>
        <v>0</v>
      </c>
      <c r="E2221" s="192">
        <f t="shared" si="477"/>
        <v>0</v>
      </c>
      <c r="F2221" s="192">
        <f t="shared" si="478"/>
        <v>0</v>
      </c>
      <c r="G2221" s="193">
        <f t="shared" si="479"/>
        <v>0</v>
      </c>
      <c r="H2221" s="194">
        <v>0</v>
      </c>
      <c r="I2221" s="194">
        <v>0</v>
      </c>
      <c r="J2221" s="194">
        <v>0</v>
      </c>
      <c r="K2221" s="193">
        <f t="shared" si="480"/>
        <v>0</v>
      </c>
      <c r="L2221" s="194">
        <v>0</v>
      </c>
      <c r="M2221" s="194">
        <v>0</v>
      </c>
      <c r="N2221" s="194">
        <v>0</v>
      </c>
      <c r="O2221" s="193">
        <f t="shared" si="481"/>
        <v>0</v>
      </c>
      <c r="P2221" s="194">
        <v>0</v>
      </c>
      <c r="Q2221" s="194">
        <v>0</v>
      </c>
      <c r="R2221" s="194">
        <v>0</v>
      </c>
      <c r="S2221" s="193">
        <f t="shared" si="482"/>
        <v>0</v>
      </c>
      <c r="T2221" s="193">
        <f t="shared" si="483"/>
        <v>0</v>
      </c>
      <c r="U2221" s="193">
        <f ca="1">OFFSET('Expenditure Study'!$B$7,'Operations Support'!$C2221,'Operations Support'!$B2221)*$G2221</f>
        <v>0</v>
      </c>
      <c r="V2221" s="199">
        <f ca="1">U2221*'Expenditure Study'!$B$31</f>
        <v>0</v>
      </c>
      <c r="W2221" s="199">
        <f ca="1">IF(A2221=10298,1.51,1)*IF($B2221&lt;3,$D2221*'Expenditure Study'!$B$32*OFFSET('Expenditure Study'!$B$7,'Operations Support'!$C2221,'Operations Support'!$B2221),0)</f>
        <v>0</v>
      </c>
      <c r="X2221" s="200">
        <f ca="1">W2221*'Expenditure Study'!$B$31</f>
        <v>0</v>
      </c>
      <c r="Y2221" s="199">
        <f ca="1">U2221*'Expenditure Study'!$B$31</f>
        <v>0</v>
      </c>
      <c r="Z2221" s="200">
        <f ca="1">W2221*'Expenditure Study'!$B$31</f>
        <v>0</v>
      </c>
      <c r="AA2221" s="195">
        <f t="shared" ca="1" si="484"/>
        <v>0</v>
      </c>
      <c r="AB2221" s="195">
        <f t="shared" ca="1" si="485"/>
        <v>0</v>
      </c>
      <c r="AD2221" s="196">
        <f>IFERROR($G2221/SUMIF($A:$A,$A2221,$G:$G)*SUMIF(Summary!$A$166:$A$242,$A2221,Summary!$P$166:$P$242),0)</f>
        <v>0</v>
      </c>
      <c r="AE2221" s="197">
        <f t="shared" ca="1" si="486"/>
        <v>0</v>
      </c>
      <c r="AF2221" s="196">
        <f>IFERROR(G2221/SUMIF(A:A,A2221,G:G)*SUMIF(Summary!$A$166:$A$242,'Operations Support'!A2221,Summary!$Q$166:$Q$242),0)</f>
        <v>0</v>
      </c>
      <c r="AG2221" s="196">
        <f t="shared" ca="1" si="487"/>
        <v>0</v>
      </c>
      <c r="AI2221" s="196">
        <f>IFERROR($G2221/SUMIF($A:$A,$A2221,$G:$G)*SUMIF(Summary!$A$247:$A$283,$A2221,Summary!$P$247:$P$283),0)</f>
        <v>0</v>
      </c>
      <c r="AJ2221" s="196">
        <f>IFERROR($G2221/SUMIF($A:$A,$A2221,$G:$G)*(SUMIF(Summary!$A$247:$A$283,$A2221,Summary!$L$247:$L$283)+SUMIF(Summary!$A$297:$A$333,$A2221,Summary!$L$297:$L$333))-AI2221,0)</f>
        <v>0</v>
      </c>
      <c r="AK2221" s="196">
        <f>IFERROR($G2221/SUMIF($A:$A,$A2221,$G:$G)*SUMIF(Summary!$A$247:$A$283,$A2221,Summary!$Q$247:$Q$283),0)</f>
        <v>0</v>
      </c>
      <c r="AL2221" s="196">
        <f>IFERROR($G2221/SUMIF($A:$A,$A2221,$G:$G)*(SUMIF(Summary!$A$247:$A$283,$A2221,Summary!$L$247:$L$283)+SUMIF(Summary!$A$297:$A$333,$A2221,Summary!$L$297:$L$333))-AK2221,0)</f>
        <v>0</v>
      </c>
      <c r="AM2221" s="198"/>
      <c r="AN2221" s="196">
        <f t="shared" ca="1" si="488"/>
        <v>0</v>
      </c>
      <c r="AO2221" s="196">
        <f t="shared" ca="1" si="489"/>
        <v>0</v>
      </c>
    </row>
    <row r="2222" spans="1:41">
      <c r="A2222" s="189">
        <v>3661</v>
      </c>
      <c r="B2222" s="190">
        <v>1</v>
      </c>
      <c r="C2222" s="191" t="s">
        <v>232</v>
      </c>
      <c r="D2222" s="192">
        <f t="shared" si="476"/>
        <v>0</v>
      </c>
      <c r="E2222" s="192">
        <f t="shared" si="477"/>
        <v>0</v>
      </c>
      <c r="F2222" s="192">
        <f t="shared" si="478"/>
        <v>0</v>
      </c>
      <c r="G2222" s="193">
        <f t="shared" si="479"/>
        <v>0</v>
      </c>
      <c r="H2222" s="194">
        <v>0</v>
      </c>
      <c r="I2222" s="194">
        <v>0</v>
      </c>
      <c r="J2222" s="194">
        <v>0</v>
      </c>
      <c r="K2222" s="193">
        <f t="shared" si="480"/>
        <v>0</v>
      </c>
      <c r="L2222" s="194">
        <v>0</v>
      </c>
      <c r="M2222" s="194">
        <v>0</v>
      </c>
      <c r="N2222" s="194">
        <v>0</v>
      </c>
      <c r="O2222" s="193">
        <f t="shared" si="481"/>
        <v>0</v>
      </c>
      <c r="P2222" s="194">
        <v>0</v>
      </c>
      <c r="Q2222" s="194">
        <v>0</v>
      </c>
      <c r="R2222" s="194">
        <v>0</v>
      </c>
      <c r="S2222" s="193">
        <f t="shared" si="482"/>
        <v>0</v>
      </c>
      <c r="T2222" s="193">
        <f t="shared" si="483"/>
        <v>0</v>
      </c>
      <c r="U2222" s="193">
        <f ca="1">OFFSET('Expenditure Study'!$B$7,'Operations Support'!$C2222,'Operations Support'!$B2222)*$G2222</f>
        <v>0</v>
      </c>
      <c r="V2222" s="199">
        <f ca="1">U2222*'Expenditure Study'!$B$31</f>
        <v>0</v>
      </c>
      <c r="W2222" s="199">
        <f ca="1">IF(A2222=10298,1.51,1)*IF($B2222&lt;3,$D2222*'Expenditure Study'!$B$32*OFFSET('Expenditure Study'!$B$7,'Operations Support'!$C2222,'Operations Support'!$B2222),0)</f>
        <v>0</v>
      </c>
      <c r="X2222" s="200">
        <f ca="1">W2222*'Expenditure Study'!$B$31</f>
        <v>0</v>
      </c>
      <c r="Y2222" s="199">
        <f ca="1">U2222*'Expenditure Study'!$B$31</f>
        <v>0</v>
      </c>
      <c r="Z2222" s="200">
        <f ca="1">W2222*'Expenditure Study'!$B$31</f>
        <v>0</v>
      </c>
      <c r="AA2222" s="195">
        <f t="shared" ca="1" si="484"/>
        <v>0</v>
      </c>
      <c r="AB2222" s="195">
        <f t="shared" ca="1" si="485"/>
        <v>0</v>
      </c>
      <c r="AD2222" s="196">
        <f>IFERROR($G2222/SUMIF($A:$A,$A2222,$G:$G)*SUMIF(Summary!$A$166:$A$242,$A2222,Summary!$P$166:$P$242),0)</f>
        <v>0</v>
      </c>
      <c r="AE2222" s="197">
        <f t="shared" ca="1" si="486"/>
        <v>0</v>
      </c>
      <c r="AF2222" s="196">
        <f>IFERROR(G2222/SUMIF(A:A,A2222,G:G)*SUMIF(Summary!$A$166:$A$242,'Operations Support'!A2222,Summary!$Q$166:$Q$242),0)</f>
        <v>0</v>
      </c>
      <c r="AG2222" s="196">
        <f t="shared" ca="1" si="487"/>
        <v>0</v>
      </c>
      <c r="AI2222" s="196">
        <f>IFERROR($G2222/SUMIF($A:$A,$A2222,$G:$G)*SUMIF(Summary!$A$247:$A$283,$A2222,Summary!$P$247:$P$283),0)</f>
        <v>0</v>
      </c>
      <c r="AJ2222" s="196">
        <f>IFERROR($G2222/SUMIF($A:$A,$A2222,$G:$G)*(SUMIF(Summary!$A$247:$A$283,$A2222,Summary!$L$247:$L$283)+SUMIF(Summary!$A$297:$A$333,$A2222,Summary!$L$297:$L$333))-AI2222,0)</f>
        <v>0</v>
      </c>
      <c r="AK2222" s="196">
        <f>IFERROR($G2222/SUMIF($A:$A,$A2222,$G:$G)*SUMIF(Summary!$A$247:$A$283,$A2222,Summary!$Q$247:$Q$283),0)</f>
        <v>0</v>
      </c>
      <c r="AL2222" s="196">
        <f>IFERROR($G2222/SUMIF($A:$A,$A2222,$G:$G)*(SUMIF(Summary!$A$247:$A$283,$A2222,Summary!$L$247:$L$283)+SUMIF(Summary!$A$297:$A$333,$A2222,Summary!$L$297:$L$333))-AK2222,0)</f>
        <v>0</v>
      </c>
      <c r="AM2222" s="198"/>
      <c r="AN2222" s="196">
        <f t="shared" ca="1" si="488"/>
        <v>0</v>
      </c>
      <c r="AO2222" s="196">
        <f t="shared" ca="1" si="489"/>
        <v>0</v>
      </c>
    </row>
    <row r="2223" spans="1:41" s="201" customFormat="1">
      <c r="A2223" s="189">
        <v>3661</v>
      </c>
      <c r="B2223" s="190">
        <v>1</v>
      </c>
      <c r="C2223" s="191" t="s">
        <v>233</v>
      </c>
      <c r="D2223" s="192">
        <f t="shared" si="476"/>
        <v>109.5</v>
      </c>
      <c r="E2223" s="192">
        <f t="shared" si="477"/>
        <v>2418.5</v>
      </c>
      <c r="F2223" s="192">
        <f t="shared" si="478"/>
        <v>0</v>
      </c>
      <c r="G2223" s="193">
        <f t="shared" si="479"/>
        <v>2528</v>
      </c>
      <c r="H2223" s="194">
        <v>18</v>
      </c>
      <c r="I2223" s="194">
        <v>828</v>
      </c>
      <c r="J2223" s="194">
        <v>0</v>
      </c>
      <c r="K2223" s="193">
        <f t="shared" si="480"/>
        <v>846</v>
      </c>
      <c r="L2223" s="194">
        <v>49.5</v>
      </c>
      <c r="M2223" s="194">
        <v>1471.5</v>
      </c>
      <c r="N2223" s="194">
        <v>0</v>
      </c>
      <c r="O2223" s="193">
        <f t="shared" si="481"/>
        <v>1521</v>
      </c>
      <c r="P2223" s="194">
        <v>42</v>
      </c>
      <c r="Q2223" s="194">
        <v>119</v>
      </c>
      <c r="R2223" s="194">
        <v>0</v>
      </c>
      <c r="S2223" s="193">
        <f t="shared" si="482"/>
        <v>161</v>
      </c>
      <c r="T2223" s="193">
        <f t="shared" si="483"/>
        <v>84.266666666666666</v>
      </c>
      <c r="U2223" s="193">
        <f ca="1">OFFSET('Expenditure Study'!$B$7,'Operations Support'!$C2223,'Operations Support'!$B2223)*$G2223</f>
        <v>2426.88</v>
      </c>
      <c r="V2223" s="199">
        <f ca="1">U2223*'Expenditure Study'!$B$31</f>
        <v>143387.78981990402</v>
      </c>
      <c r="W2223" s="199">
        <f ca="1">IF(A2223=10298,1.51,1)*IF($B2223&lt;3,$D2223*'Expenditure Study'!$B$32*OFFSET('Expenditure Study'!$B$7,'Operations Support'!$C2223,'Operations Support'!$B2223),0)</f>
        <v>10.512</v>
      </c>
      <c r="X2223" s="200">
        <f ca="1">W2223*'Expenditure Study'!$B$31</f>
        <v>621.08239656960006</v>
      </c>
      <c r="Y2223" s="199">
        <f ca="1">U2223*'Expenditure Study'!$B$31</f>
        <v>143387.78981990402</v>
      </c>
      <c r="Z2223" s="200">
        <f ca="1">W2223*'Expenditure Study'!$B$31</f>
        <v>621.08239656960006</v>
      </c>
      <c r="AA2223" s="195">
        <f t="shared" ca="1" si="484"/>
        <v>144008.87221647362</v>
      </c>
      <c r="AB2223" s="195">
        <f t="shared" ca="1" si="485"/>
        <v>144008.87221647362</v>
      </c>
      <c r="AD2223" s="196">
        <f>IFERROR($G2223/SUMIF($A:$A,$A2223,$G:$G)*SUMIF(Summary!$A$166:$A$242,$A2223,Summary!$P$166:$P$242),0)</f>
        <v>66733.820490930972</v>
      </c>
      <c r="AE2223" s="197">
        <f t="shared" ca="1" si="486"/>
        <v>77275.051725542653</v>
      </c>
      <c r="AF2223" s="196">
        <f>IFERROR(G2223/SUMIF(A:A,A2223,G:G)*SUMIF(Summary!$A$166:$A$242,'Operations Support'!A2223,Summary!$Q$166:$Q$242),0)</f>
        <v>66868.146003045447</v>
      </c>
      <c r="AG2223" s="196">
        <f t="shared" ca="1" si="487"/>
        <v>77140.726213428177</v>
      </c>
      <c r="AH2223" s="180"/>
      <c r="AI2223" s="196">
        <f>IFERROR($G2223/SUMIF($A:$A,$A2223,$G:$G)*SUMIF(Summary!$A$247:$A$283,$A2223,Summary!$P$247:$P$283),0)</f>
        <v>12170.583533618776</v>
      </c>
      <c r="AJ2223" s="196">
        <f>IFERROR($G2223/SUMIF($A:$A,$A2223,$G:$G)*(SUMIF(Summary!$A$247:$A$283,$A2223,Summary!$L$247:$L$283)+SUMIF(Summary!$A$297:$A$333,$A2223,Summary!$L$297:$L$333))-AI2223,0)</f>
        <v>56735.370376414168</v>
      </c>
      <c r="AK2223" s="196">
        <f>IFERROR($G2223/SUMIF($A:$A,$A2223,$G:$G)*SUMIF(Summary!$A$247:$A$283,$A2223,Summary!$Q$247:$Q$283),0)</f>
        <v>12195.081154972666</v>
      </c>
      <c r="AL2223" s="196">
        <f>IFERROR($G2223/SUMIF($A:$A,$A2223,$G:$G)*(SUMIF(Summary!$A$247:$A$283,$A2223,Summary!$L$247:$L$283)+SUMIF(Summary!$A$297:$A$333,$A2223,Summary!$L$297:$L$333))-AK2223,0)</f>
        <v>56710.872755060278</v>
      </c>
      <c r="AM2223" s="198"/>
      <c r="AN2223" s="196">
        <f t="shared" ca="1" si="488"/>
        <v>134010.42210195682</v>
      </c>
      <c r="AO2223" s="196">
        <f t="shared" ca="1" si="489"/>
        <v>133851.59896848846</v>
      </c>
    </row>
    <row r="2224" spans="1:41" s="201" customFormat="1">
      <c r="A2224" s="189">
        <v>3661</v>
      </c>
      <c r="B2224" s="190">
        <v>1</v>
      </c>
      <c r="C2224" s="191" t="s">
        <v>234</v>
      </c>
      <c r="D2224" s="192">
        <f t="shared" si="476"/>
        <v>0</v>
      </c>
      <c r="E2224" s="192">
        <f t="shared" si="477"/>
        <v>0</v>
      </c>
      <c r="F2224" s="192">
        <f t="shared" si="478"/>
        <v>0</v>
      </c>
      <c r="G2224" s="193">
        <f t="shared" si="479"/>
        <v>0</v>
      </c>
      <c r="H2224" s="194">
        <v>0</v>
      </c>
      <c r="I2224" s="194">
        <v>0</v>
      </c>
      <c r="J2224" s="194">
        <v>0</v>
      </c>
      <c r="K2224" s="193">
        <f t="shared" si="480"/>
        <v>0</v>
      </c>
      <c r="L2224" s="194">
        <v>0</v>
      </c>
      <c r="M2224" s="194">
        <v>0</v>
      </c>
      <c r="N2224" s="194">
        <v>0</v>
      </c>
      <c r="O2224" s="193">
        <f t="shared" si="481"/>
        <v>0</v>
      </c>
      <c r="P2224" s="194">
        <v>0</v>
      </c>
      <c r="Q2224" s="194">
        <v>0</v>
      </c>
      <c r="R2224" s="194">
        <v>0</v>
      </c>
      <c r="S2224" s="193">
        <f t="shared" si="482"/>
        <v>0</v>
      </c>
      <c r="T2224" s="193">
        <f t="shared" si="483"/>
        <v>0</v>
      </c>
      <c r="U2224" s="193">
        <f ca="1">OFFSET('Expenditure Study'!$B$7,'Operations Support'!$C2224,'Operations Support'!$B2224)*$G2224</f>
        <v>0</v>
      </c>
      <c r="V2224" s="199">
        <f ca="1">U2224*'Expenditure Study'!$B$31</f>
        <v>0</v>
      </c>
      <c r="W2224" s="199">
        <f ca="1">IF(A2224=10298,1.51,1)*IF($B2224&lt;3,$D2224*'Expenditure Study'!$B$32*OFFSET('Expenditure Study'!$B$7,'Operations Support'!$C2224,'Operations Support'!$B2224),0)</f>
        <v>0</v>
      </c>
      <c r="X2224" s="200">
        <f ca="1">W2224*'Expenditure Study'!$B$31</f>
        <v>0</v>
      </c>
      <c r="Y2224" s="199">
        <f ca="1">U2224*'Expenditure Study'!$B$31</f>
        <v>0</v>
      </c>
      <c r="Z2224" s="200">
        <f ca="1">W2224*'Expenditure Study'!$B$31</f>
        <v>0</v>
      </c>
      <c r="AA2224" s="195">
        <f t="shared" ca="1" si="484"/>
        <v>0</v>
      </c>
      <c r="AB2224" s="195">
        <f t="shared" ca="1" si="485"/>
        <v>0</v>
      </c>
      <c r="AD2224" s="196">
        <f>IFERROR($G2224/SUMIF($A:$A,$A2224,$G:$G)*SUMIF(Summary!$A$166:$A$242,$A2224,Summary!$P$166:$P$242),0)</f>
        <v>0</v>
      </c>
      <c r="AE2224" s="197">
        <f t="shared" ca="1" si="486"/>
        <v>0</v>
      </c>
      <c r="AF2224" s="196">
        <f>IFERROR(G2224/SUMIF(A:A,A2224,G:G)*SUMIF(Summary!$A$166:$A$242,'Operations Support'!A2224,Summary!$Q$166:$Q$242),0)</f>
        <v>0</v>
      </c>
      <c r="AG2224" s="196">
        <f t="shared" ca="1" si="487"/>
        <v>0</v>
      </c>
      <c r="AH2224" s="180"/>
      <c r="AI2224" s="196">
        <f>IFERROR($G2224/SUMIF($A:$A,$A2224,$G:$G)*SUMIF(Summary!$A$247:$A$283,$A2224,Summary!$P$247:$P$283),0)</f>
        <v>0</v>
      </c>
      <c r="AJ2224" s="196">
        <f>IFERROR($G2224/SUMIF($A:$A,$A2224,$G:$G)*(SUMIF(Summary!$A$247:$A$283,$A2224,Summary!$L$247:$L$283)+SUMIF(Summary!$A$297:$A$333,$A2224,Summary!$L$297:$L$333))-AI2224,0)</f>
        <v>0</v>
      </c>
      <c r="AK2224" s="196">
        <f>IFERROR($G2224/SUMIF($A:$A,$A2224,$G:$G)*SUMIF(Summary!$A$247:$A$283,$A2224,Summary!$Q$247:$Q$283),0)</f>
        <v>0</v>
      </c>
      <c r="AL2224" s="196">
        <f>IFERROR($G2224/SUMIF($A:$A,$A2224,$G:$G)*(SUMIF(Summary!$A$247:$A$283,$A2224,Summary!$L$247:$L$283)+SUMIF(Summary!$A$297:$A$333,$A2224,Summary!$L$297:$L$333))-AK2224,0)</f>
        <v>0</v>
      </c>
      <c r="AM2224" s="198"/>
      <c r="AN2224" s="196">
        <f t="shared" ca="1" si="488"/>
        <v>0</v>
      </c>
      <c r="AO2224" s="196">
        <f t="shared" ca="1" si="489"/>
        <v>0</v>
      </c>
    </row>
    <row r="2225" spans="1:41">
      <c r="A2225" s="189">
        <v>3661</v>
      </c>
      <c r="B2225" s="190">
        <v>1</v>
      </c>
      <c r="C2225" s="191" t="s">
        <v>235</v>
      </c>
      <c r="D2225" s="192">
        <f t="shared" si="476"/>
        <v>3969</v>
      </c>
      <c r="E2225" s="192">
        <f t="shared" si="477"/>
        <v>5484</v>
      </c>
      <c r="F2225" s="192">
        <f t="shared" si="478"/>
        <v>0</v>
      </c>
      <c r="G2225" s="193">
        <f t="shared" si="479"/>
        <v>9453</v>
      </c>
      <c r="H2225" s="194">
        <v>1161</v>
      </c>
      <c r="I2225" s="194">
        <v>2613</v>
      </c>
      <c r="J2225" s="194">
        <v>0</v>
      </c>
      <c r="K2225" s="193">
        <f t="shared" si="480"/>
        <v>3774</v>
      </c>
      <c r="L2225" s="194">
        <v>2739</v>
      </c>
      <c r="M2225" s="194">
        <v>2373</v>
      </c>
      <c r="N2225" s="194">
        <v>0</v>
      </c>
      <c r="O2225" s="193">
        <f t="shared" si="481"/>
        <v>5112</v>
      </c>
      <c r="P2225" s="194">
        <v>69</v>
      </c>
      <c r="Q2225" s="194">
        <v>498</v>
      </c>
      <c r="R2225" s="194">
        <v>0</v>
      </c>
      <c r="S2225" s="193">
        <f t="shared" si="482"/>
        <v>567</v>
      </c>
      <c r="T2225" s="193">
        <f t="shared" si="483"/>
        <v>315.10000000000002</v>
      </c>
      <c r="U2225" s="193">
        <f ca="1">OFFSET('Expenditure Study'!$B$7,'Operations Support'!$C2225,'Operations Support'!$B2225)*$G2225</f>
        <v>10398.300000000001</v>
      </c>
      <c r="V2225" s="199">
        <f ca="1">U2225*'Expenditure Study'!$B$31</f>
        <v>614364.63891264005</v>
      </c>
      <c r="W2225" s="199">
        <f ca="1">IF(A2225=10298,1.51,1)*IF($B2225&lt;3,$D2225*'Expenditure Study'!$B$32*OFFSET('Expenditure Study'!$B$7,'Operations Support'!$C2225,'Operations Support'!$B2225),0)</f>
        <v>436.59000000000009</v>
      </c>
      <c r="X2225" s="200">
        <f ca="1">W2225*'Expenditure Study'!$B$31</f>
        <v>25795.125905472007</v>
      </c>
      <c r="Y2225" s="199">
        <f ca="1">U2225*'Expenditure Study'!$B$31</f>
        <v>614364.63891264005</v>
      </c>
      <c r="Z2225" s="200">
        <f ca="1">W2225*'Expenditure Study'!$B$31</f>
        <v>25795.125905472007</v>
      </c>
      <c r="AA2225" s="195">
        <f t="shared" ca="1" si="484"/>
        <v>640159.76481811202</v>
      </c>
      <c r="AB2225" s="195">
        <f t="shared" ca="1" si="485"/>
        <v>640159.76481811202</v>
      </c>
      <c r="AD2225" s="196">
        <f>IFERROR($G2225/SUMIF($A:$A,$A2225,$G:$G)*SUMIF(Summary!$A$166:$A$242,$A2225,Summary!$P$166:$P$242),0)</f>
        <v>249539.08429619085</v>
      </c>
      <c r="AE2225" s="197">
        <f t="shared" ca="1" si="486"/>
        <v>390620.68052192114</v>
      </c>
      <c r="AF2225" s="196">
        <f>IFERROR(G2225/SUMIF(A:A,A2225,G:G)*SUMIF(Summary!$A$166:$A$242,'Operations Support'!A2225,Summary!$Q$166:$Q$242),0)</f>
        <v>250041.37031914108</v>
      </c>
      <c r="AG2225" s="196">
        <f t="shared" ca="1" si="487"/>
        <v>390118.39449897094</v>
      </c>
      <c r="AI2225" s="196">
        <f>IFERROR($G2225/SUMIF($A:$A,$A2225,$G:$G)*SUMIF(Summary!$A$247:$A$283,$A2225,Summary!$P$247:$P$283),0)</f>
        <v>45509.701797190777</v>
      </c>
      <c r="AJ2225" s="196">
        <f>IFERROR($G2225/SUMIF($A:$A,$A2225,$G:$G)*(SUMIF(Summary!$A$247:$A$283,$A2225,Summary!$L$247:$L$283)+SUMIF(Summary!$A$297:$A$333,$A2225,Summary!$L$297:$L$333))-AI2225,0)</f>
        <v>212151.68361085566</v>
      </c>
      <c r="AK2225" s="196">
        <f>IFERROR($G2225/SUMIF($A:$A,$A2225,$G:$G)*SUMIF(Summary!$A$247:$A$283,$A2225,Summary!$Q$247:$Q$283),0)</f>
        <v>45601.306233368916</v>
      </c>
      <c r="AL2225" s="196">
        <f>IFERROR($G2225/SUMIF($A:$A,$A2225,$G:$G)*(SUMIF(Summary!$A$247:$A$283,$A2225,Summary!$L$247:$L$283)+SUMIF(Summary!$A$297:$A$333,$A2225,Summary!$L$297:$L$333))-AK2225,0)</f>
        <v>212060.07917467755</v>
      </c>
      <c r="AM2225" s="198"/>
      <c r="AN2225" s="196">
        <f t="shared" ca="1" si="488"/>
        <v>602772.36413277686</v>
      </c>
      <c r="AO2225" s="196">
        <f t="shared" ca="1" si="489"/>
        <v>602178.47367364843</v>
      </c>
    </row>
    <row r="2226" spans="1:41">
      <c r="A2226" s="189">
        <v>3661</v>
      </c>
      <c r="B2226" s="190">
        <v>1</v>
      </c>
      <c r="C2226" s="191" t="s">
        <v>236</v>
      </c>
      <c r="D2226" s="192">
        <f t="shared" si="476"/>
        <v>0</v>
      </c>
      <c r="E2226" s="192">
        <f t="shared" si="477"/>
        <v>0</v>
      </c>
      <c r="F2226" s="192">
        <f t="shared" si="478"/>
        <v>0</v>
      </c>
      <c r="G2226" s="193">
        <f t="shared" si="479"/>
        <v>0</v>
      </c>
      <c r="H2226" s="194">
        <v>0</v>
      </c>
      <c r="I2226" s="194">
        <v>0</v>
      </c>
      <c r="J2226" s="194">
        <v>0</v>
      </c>
      <c r="K2226" s="193">
        <f t="shared" si="480"/>
        <v>0</v>
      </c>
      <c r="L2226" s="194">
        <v>0</v>
      </c>
      <c r="M2226" s="194">
        <v>0</v>
      </c>
      <c r="N2226" s="194">
        <v>0</v>
      </c>
      <c r="O2226" s="193">
        <f t="shared" si="481"/>
        <v>0</v>
      </c>
      <c r="P2226" s="194">
        <v>0</v>
      </c>
      <c r="Q2226" s="194">
        <v>0</v>
      </c>
      <c r="R2226" s="194">
        <v>0</v>
      </c>
      <c r="S2226" s="193">
        <f t="shared" si="482"/>
        <v>0</v>
      </c>
      <c r="T2226" s="193">
        <f t="shared" si="483"/>
        <v>0</v>
      </c>
      <c r="U2226" s="193">
        <f ca="1">OFFSET('Expenditure Study'!$B$7,'Operations Support'!$C2226,'Operations Support'!$B2226)*$G2226</f>
        <v>0</v>
      </c>
      <c r="V2226" s="199">
        <f ca="1">U2226*'Expenditure Study'!$B$31</f>
        <v>0</v>
      </c>
      <c r="W2226" s="199">
        <f ca="1">IF(A2226=10298,1.51,1)*IF($B2226&lt;3,$D2226*'Expenditure Study'!$B$32*OFFSET('Expenditure Study'!$B$7,'Operations Support'!$C2226,'Operations Support'!$B2226),0)</f>
        <v>0</v>
      </c>
      <c r="X2226" s="200">
        <f ca="1">W2226*'Expenditure Study'!$B$31</f>
        <v>0</v>
      </c>
      <c r="Y2226" s="199">
        <f ca="1">U2226*'Expenditure Study'!$B$31</f>
        <v>0</v>
      </c>
      <c r="Z2226" s="200">
        <f ca="1">W2226*'Expenditure Study'!$B$31</f>
        <v>0</v>
      </c>
      <c r="AA2226" s="195">
        <f t="shared" ca="1" si="484"/>
        <v>0</v>
      </c>
      <c r="AB2226" s="195">
        <f t="shared" ca="1" si="485"/>
        <v>0</v>
      </c>
      <c r="AD2226" s="196">
        <f>IFERROR($G2226/SUMIF($A:$A,$A2226,$G:$G)*SUMIF(Summary!$A$166:$A$242,$A2226,Summary!$P$166:$P$242),0)</f>
        <v>0</v>
      </c>
      <c r="AE2226" s="197">
        <f t="shared" ca="1" si="486"/>
        <v>0</v>
      </c>
      <c r="AF2226" s="196">
        <f>IFERROR(G2226/SUMIF(A:A,A2226,G:G)*SUMIF(Summary!$A$166:$A$242,'Operations Support'!A2226,Summary!$Q$166:$Q$242),0)</f>
        <v>0</v>
      </c>
      <c r="AG2226" s="196">
        <f t="shared" ca="1" si="487"/>
        <v>0</v>
      </c>
      <c r="AI2226" s="196">
        <f>IFERROR($G2226/SUMIF($A:$A,$A2226,$G:$G)*SUMIF(Summary!$A$247:$A$283,$A2226,Summary!$P$247:$P$283),0)</f>
        <v>0</v>
      </c>
      <c r="AJ2226" s="196">
        <f>IFERROR($G2226/SUMIF($A:$A,$A2226,$G:$G)*(SUMIF(Summary!$A$247:$A$283,$A2226,Summary!$L$247:$L$283)+SUMIF(Summary!$A$297:$A$333,$A2226,Summary!$L$297:$L$333))-AI2226,0)</f>
        <v>0</v>
      </c>
      <c r="AK2226" s="196">
        <f>IFERROR($G2226/SUMIF($A:$A,$A2226,$G:$G)*SUMIF(Summary!$A$247:$A$283,$A2226,Summary!$Q$247:$Q$283),0)</f>
        <v>0</v>
      </c>
      <c r="AL2226" s="196">
        <f>IFERROR($G2226/SUMIF($A:$A,$A2226,$G:$G)*(SUMIF(Summary!$A$247:$A$283,$A2226,Summary!$L$247:$L$283)+SUMIF(Summary!$A$297:$A$333,$A2226,Summary!$L$297:$L$333))-AK2226,0)</f>
        <v>0</v>
      </c>
      <c r="AM2226" s="198"/>
      <c r="AN2226" s="196">
        <f t="shared" ca="1" si="488"/>
        <v>0</v>
      </c>
      <c r="AO2226" s="196">
        <f t="shared" ca="1" si="489"/>
        <v>0</v>
      </c>
    </row>
    <row r="2227" spans="1:41">
      <c r="A2227" s="189">
        <v>3661</v>
      </c>
      <c r="B2227" s="190">
        <v>1</v>
      </c>
      <c r="C2227" s="191" t="s">
        <v>237</v>
      </c>
      <c r="D2227" s="192">
        <f t="shared" si="476"/>
        <v>0</v>
      </c>
      <c r="E2227" s="192">
        <f t="shared" si="477"/>
        <v>3</v>
      </c>
      <c r="F2227" s="192">
        <f t="shared" si="478"/>
        <v>0</v>
      </c>
      <c r="G2227" s="193">
        <f t="shared" si="479"/>
        <v>3</v>
      </c>
      <c r="H2227" s="194">
        <v>0</v>
      </c>
      <c r="I2227" s="194">
        <v>0</v>
      </c>
      <c r="J2227" s="194">
        <v>0</v>
      </c>
      <c r="K2227" s="193">
        <f t="shared" si="480"/>
        <v>0</v>
      </c>
      <c r="L2227" s="194">
        <v>0</v>
      </c>
      <c r="M2227" s="194">
        <v>3</v>
      </c>
      <c r="N2227" s="194">
        <v>0</v>
      </c>
      <c r="O2227" s="193">
        <f t="shared" si="481"/>
        <v>3</v>
      </c>
      <c r="P2227" s="194">
        <v>0</v>
      </c>
      <c r="Q2227" s="194">
        <v>0</v>
      </c>
      <c r="R2227" s="194">
        <v>0</v>
      </c>
      <c r="S2227" s="193">
        <f t="shared" si="482"/>
        <v>0</v>
      </c>
      <c r="T2227" s="193">
        <f t="shared" si="483"/>
        <v>0.1</v>
      </c>
      <c r="U2227" s="193">
        <f ca="1">OFFSET('Expenditure Study'!$B$7,'Operations Support'!$C2227,'Operations Support'!$B2227)*$G2227</f>
        <v>5.91</v>
      </c>
      <c r="V2227" s="199">
        <f ca="1">U2227*'Expenditure Study'!$B$31</f>
        <v>349.18159852799999</v>
      </c>
      <c r="W2227" s="199">
        <f ca="1">IF(A2227=10298,1.51,1)*IF($B2227&lt;3,$D2227*'Expenditure Study'!$B$32*OFFSET('Expenditure Study'!$B$7,'Operations Support'!$C2227,'Operations Support'!$B2227),0)</f>
        <v>0</v>
      </c>
      <c r="X2227" s="200">
        <f ca="1">W2227*'Expenditure Study'!$B$31</f>
        <v>0</v>
      </c>
      <c r="Y2227" s="199">
        <f ca="1">U2227*'Expenditure Study'!$B$31</f>
        <v>349.18159852799999</v>
      </c>
      <c r="Z2227" s="200">
        <f ca="1">W2227*'Expenditure Study'!$B$31</f>
        <v>0</v>
      </c>
      <c r="AA2227" s="195">
        <f t="shared" ca="1" si="484"/>
        <v>349.18159852799999</v>
      </c>
      <c r="AB2227" s="195">
        <f t="shared" ca="1" si="485"/>
        <v>349.18159852799999</v>
      </c>
      <c r="AD2227" s="196">
        <f>IFERROR($G2227/SUMIF($A:$A,$A2227,$G:$G)*SUMIF(Summary!$A$166:$A$242,$A2227,Summary!$P$166:$P$242),0)</f>
        <v>79.193616088921246</v>
      </c>
      <c r="AE2227" s="197">
        <f t="shared" ca="1" si="486"/>
        <v>269.98798243907873</v>
      </c>
      <c r="AF2227" s="196">
        <f>IFERROR(G2227/SUMIF(A:A,A2227,G:G)*SUMIF(Summary!$A$166:$A$242,'Operations Support'!A2227,Summary!$Q$166:$Q$242),0)</f>
        <v>79.353021364373561</v>
      </c>
      <c r="AG2227" s="196">
        <f t="shared" ca="1" si="487"/>
        <v>269.82857716362645</v>
      </c>
      <c r="AI2227" s="196">
        <f>IFERROR($G2227/SUMIF($A:$A,$A2227,$G:$G)*SUMIF(Summary!$A$247:$A$283,$A2227,Summary!$P$247:$P$283),0)</f>
        <v>14.44293931995899</v>
      </c>
      <c r="AJ2227" s="196">
        <f>IFERROR($G2227/SUMIF($A:$A,$A2227,$G:$G)*(SUMIF(Summary!$A$247:$A$283,$A2227,Summary!$L$247:$L$283)+SUMIF(Summary!$A$297:$A$333,$A2227,Summary!$L$297:$L$333))-AI2227,0)</f>
        <v>67.328366744162381</v>
      </c>
      <c r="AK2227" s="196">
        <f>IFERROR($G2227/SUMIF($A:$A,$A2227,$G:$G)*SUMIF(Summary!$A$247:$A$283,$A2227,Summary!$Q$247:$Q$283),0)</f>
        <v>14.472010864287183</v>
      </c>
      <c r="AL2227" s="196">
        <f>IFERROR($G2227/SUMIF($A:$A,$A2227,$G:$G)*(SUMIF(Summary!$A$247:$A$283,$A2227,Summary!$L$247:$L$283)+SUMIF(Summary!$A$297:$A$333,$A2227,Summary!$L$297:$L$333))-AK2227,0)</f>
        <v>67.299295199834191</v>
      </c>
      <c r="AM2227" s="198"/>
      <c r="AN2227" s="196">
        <f t="shared" ca="1" si="488"/>
        <v>337.31634918324113</v>
      </c>
      <c r="AO2227" s="196">
        <f t="shared" ca="1" si="489"/>
        <v>337.12787236346065</v>
      </c>
    </row>
    <row r="2228" spans="1:41">
      <c r="A2228" s="189">
        <v>3661</v>
      </c>
      <c r="B2228" s="190">
        <v>1</v>
      </c>
      <c r="C2228" s="191" t="s">
        <v>238</v>
      </c>
      <c r="D2228" s="192">
        <f t="shared" si="476"/>
        <v>0</v>
      </c>
      <c r="E2228" s="192">
        <f t="shared" si="477"/>
        <v>57</v>
      </c>
      <c r="F2228" s="192">
        <f t="shared" si="478"/>
        <v>0</v>
      </c>
      <c r="G2228" s="193">
        <f t="shared" si="479"/>
        <v>57</v>
      </c>
      <c r="H2228" s="194">
        <v>0</v>
      </c>
      <c r="I2228" s="194">
        <v>18</v>
      </c>
      <c r="J2228" s="194">
        <v>0</v>
      </c>
      <c r="K2228" s="193">
        <f t="shared" si="480"/>
        <v>18</v>
      </c>
      <c r="L2228" s="194">
        <v>0</v>
      </c>
      <c r="M2228" s="194">
        <v>39</v>
      </c>
      <c r="N2228" s="194">
        <v>0</v>
      </c>
      <c r="O2228" s="193">
        <f t="shared" si="481"/>
        <v>39</v>
      </c>
      <c r="P2228" s="194">
        <v>0</v>
      </c>
      <c r="Q2228" s="194">
        <v>0</v>
      </c>
      <c r="R2228" s="194">
        <v>0</v>
      </c>
      <c r="S2228" s="193">
        <f t="shared" si="482"/>
        <v>0</v>
      </c>
      <c r="T2228" s="193">
        <f t="shared" si="483"/>
        <v>1.9</v>
      </c>
      <c r="U2228" s="193">
        <f ca="1">OFFSET('Expenditure Study'!$B$7,'Operations Support'!$C2228,'Operations Support'!$B2228)*$G2228</f>
        <v>101.46000000000001</v>
      </c>
      <c r="V2228" s="199">
        <f ca="1">U2228*'Expenditure Study'!$B$31</f>
        <v>5994.579523968001</v>
      </c>
      <c r="W2228" s="199">
        <f ca="1">IF(A2228=10298,1.51,1)*IF($B2228&lt;3,$D2228*'Expenditure Study'!$B$32*OFFSET('Expenditure Study'!$B$7,'Operations Support'!$C2228,'Operations Support'!$B2228),0)</f>
        <v>0</v>
      </c>
      <c r="X2228" s="200">
        <f ca="1">W2228*'Expenditure Study'!$B$31</f>
        <v>0</v>
      </c>
      <c r="Y2228" s="199">
        <f ca="1">U2228*'Expenditure Study'!$B$31</f>
        <v>5994.579523968001</v>
      </c>
      <c r="Z2228" s="200">
        <f ca="1">W2228*'Expenditure Study'!$B$31</f>
        <v>0</v>
      </c>
      <c r="AA2228" s="195">
        <f t="shared" ca="1" si="484"/>
        <v>5994.579523968001</v>
      </c>
      <c r="AB2228" s="195">
        <f t="shared" ca="1" si="485"/>
        <v>5994.579523968001</v>
      </c>
      <c r="AD2228" s="196">
        <f>IFERROR($G2228/SUMIF($A:$A,$A2228,$G:$G)*SUMIF(Summary!$A$166:$A$242,$A2228,Summary!$P$166:$P$242),0)</f>
        <v>1504.6787056895039</v>
      </c>
      <c r="AE2228" s="197">
        <f t="shared" ca="1" si="486"/>
        <v>4489.9008182784974</v>
      </c>
      <c r="AF2228" s="196">
        <f>IFERROR(G2228/SUMIF(A:A,A2228,G:G)*SUMIF(Summary!$A$166:$A$242,'Operations Support'!A2228,Summary!$Q$166:$Q$242),0)</f>
        <v>1507.7074059230977</v>
      </c>
      <c r="AG2228" s="196">
        <f t="shared" ca="1" si="487"/>
        <v>4486.8721180449029</v>
      </c>
      <c r="AI2228" s="196">
        <f>IFERROR($G2228/SUMIF($A:$A,$A2228,$G:$G)*SUMIF(Summary!$A$247:$A$283,$A2228,Summary!$P$247:$P$283),0)</f>
        <v>274.41584707922084</v>
      </c>
      <c r="AJ2228" s="196">
        <f>IFERROR($G2228/SUMIF($A:$A,$A2228,$G:$G)*(SUMIF(Summary!$A$247:$A$283,$A2228,Summary!$L$247:$L$283)+SUMIF(Summary!$A$297:$A$333,$A2228,Summary!$L$297:$L$333))-AI2228,0)</f>
        <v>1279.2389681390853</v>
      </c>
      <c r="AK2228" s="196">
        <f>IFERROR($G2228/SUMIF($A:$A,$A2228,$G:$G)*SUMIF(Summary!$A$247:$A$283,$A2228,Summary!$Q$247:$Q$283),0)</f>
        <v>274.9682064214565</v>
      </c>
      <c r="AL2228" s="196">
        <f>IFERROR($G2228/SUMIF($A:$A,$A2228,$G:$G)*(SUMIF(Summary!$A$247:$A$283,$A2228,Summary!$L$247:$L$283)+SUMIF(Summary!$A$297:$A$333,$A2228,Summary!$L$297:$L$333))-AK2228,0)</f>
        <v>1278.6866087968497</v>
      </c>
      <c r="AM2228" s="198"/>
      <c r="AN2228" s="196">
        <f t="shared" ca="1" si="488"/>
        <v>5769.1397864175824</v>
      </c>
      <c r="AO2228" s="196">
        <f t="shared" ca="1" si="489"/>
        <v>5765.558726841753</v>
      </c>
    </row>
    <row r="2229" spans="1:41">
      <c r="A2229" s="189">
        <v>3661</v>
      </c>
      <c r="B2229" s="190">
        <v>1</v>
      </c>
      <c r="C2229" s="191" t="s">
        <v>239</v>
      </c>
      <c r="D2229" s="192">
        <f t="shared" si="476"/>
        <v>1934.5</v>
      </c>
      <c r="E2229" s="192">
        <f t="shared" si="477"/>
        <v>4923.5</v>
      </c>
      <c r="F2229" s="192">
        <f t="shared" si="478"/>
        <v>0</v>
      </c>
      <c r="G2229" s="193">
        <f t="shared" si="479"/>
        <v>6858</v>
      </c>
      <c r="H2229" s="194">
        <v>567</v>
      </c>
      <c r="I2229" s="194">
        <v>1861</v>
      </c>
      <c r="J2229" s="194">
        <v>0</v>
      </c>
      <c r="K2229" s="193">
        <f t="shared" si="480"/>
        <v>2428</v>
      </c>
      <c r="L2229" s="194">
        <v>777.5</v>
      </c>
      <c r="M2229" s="194">
        <v>1576.5</v>
      </c>
      <c r="N2229" s="194">
        <v>0</v>
      </c>
      <c r="O2229" s="193">
        <f t="shared" si="481"/>
        <v>2354</v>
      </c>
      <c r="P2229" s="194">
        <v>590</v>
      </c>
      <c r="Q2229" s="194">
        <v>1486</v>
      </c>
      <c r="R2229" s="194">
        <v>0</v>
      </c>
      <c r="S2229" s="193">
        <f t="shared" si="482"/>
        <v>2076</v>
      </c>
      <c r="T2229" s="193">
        <f t="shared" si="483"/>
        <v>228.6</v>
      </c>
      <c r="U2229" s="193">
        <f ca="1">OFFSET('Expenditure Study'!$B$7,'Operations Support'!$C2229,'Operations Support'!$B2229)*$G2229</f>
        <v>10629.9</v>
      </c>
      <c r="V2229" s="199">
        <f ca="1">U2229*'Expenditure Study'!$B$31</f>
        <v>628048.30358592002</v>
      </c>
      <c r="W2229" s="199">
        <f ca="1">IF(A2229=10298,1.51,1)*IF($B2229&lt;3,$D2229*'Expenditure Study'!$B$32*OFFSET('Expenditure Study'!$B$7,'Operations Support'!$C2229,'Operations Support'!$B2229),0)</f>
        <v>299.84750000000003</v>
      </c>
      <c r="X2229" s="200">
        <f ca="1">W2229*'Expenditure Study'!$B$31</f>
        <v>17715.944054928001</v>
      </c>
      <c r="Y2229" s="199">
        <f ca="1">U2229*'Expenditure Study'!$B$31</f>
        <v>628048.30358592002</v>
      </c>
      <c r="Z2229" s="200">
        <f ca="1">W2229*'Expenditure Study'!$B$31</f>
        <v>17715.944054928001</v>
      </c>
      <c r="AA2229" s="195">
        <f t="shared" ca="1" si="484"/>
        <v>645764.24764084804</v>
      </c>
      <c r="AB2229" s="195">
        <f t="shared" ca="1" si="485"/>
        <v>645764.24764084804</v>
      </c>
      <c r="AD2229" s="196">
        <f>IFERROR($G2229/SUMIF($A:$A,$A2229,$G:$G)*SUMIF(Summary!$A$166:$A$242,$A2229,Summary!$P$166:$P$242),0)</f>
        <v>181036.60637927396</v>
      </c>
      <c r="AE2229" s="197">
        <f t="shared" ca="1" si="486"/>
        <v>464727.64126157411</v>
      </c>
      <c r="AF2229" s="196">
        <f>IFERROR(G2229/SUMIF(A:A,A2229,G:G)*SUMIF(Summary!$A$166:$A$242,'Operations Support'!A2229,Summary!$Q$166:$Q$242),0)</f>
        <v>181401.00683895795</v>
      </c>
      <c r="AG2229" s="196">
        <f t="shared" ca="1" si="487"/>
        <v>464363.24080189009</v>
      </c>
      <c r="AI2229" s="196">
        <f>IFERROR($G2229/SUMIF($A:$A,$A2229,$G:$G)*SUMIF(Summary!$A$247:$A$283,$A2229,Summary!$P$247:$P$283),0)</f>
        <v>33016.55928542625</v>
      </c>
      <c r="AJ2229" s="196">
        <f>IFERROR($G2229/SUMIF($A:$A,$A2229,$G:$G)*(SUMIF(Summary!$A$247:$A$283,$A2229,Summary!$L$247:$L$283)+SUMIF(Summary!$A$297:$A$333,$A2229,Summary!$L$297:$L$333))-AI2229,0)</f>
        <v>153912.64637715521</v>
      </c>
      <c r="AK2229" s="196">
        <f>IFERROR($G2229/SUMIF($A:$A,$A2229,$G:$G)*SUMIF(Summary!$A$247:$A$283,$A2229,Summary!$Q$247:$Q$283),0)</f>
        <v>33083.0168357605</v>
      </c>
      <c r="AL2229" s="196">
        <f>IFERROR($G2229/SUMIF($A:$A,$A2229,$G:$G)*(SUMIF(Summary!$A$247:$A$283,$A2229,Summary!$L$247:$L$283)+SUMIF(Summary!$A$297:$A$333,$A2229,Summary!$L$297:$L$333))-AK2229,0)</f>
        <v>153846.18882682096</v>
      </c>
      <c r="AM2229" s="198"/>
      <c r="AN2229" s="196">
        <f t="shared" ca="1" si="488"/>
        <v>618640.28763872932</v>
      </c>
      <c r="AO2229" s="196">
        <f t="shared" ca="1" si="489"/>
        <v>618209.42962871108</v>
      </c>
    </row>
    <row r="2230" spans="1:41">
      <c r="A2230" s="189">
        <v>3661</v>
      </c>
      <c r="B2230" s="190">
        <v>1</v>
      </c>
      <c r="C2230" s="191" t="s">
        <v>240</v>
      </c>
      <c r="D2230" s="192">
        <f t="shared" si="476"/>
        <v>0</v>
      </c>
      <c r="E2230" s="192">
        <f t="shared" si="477"/>
        <v>8816.5699999999415</v>
      </c>
      <c r="F2230" s="192">
        <f t="shared" si="478"/>
        <v>0</v>
      </c>
      <c r="G2230" s="193">
        <f t="shared" si="479"/>
        <v>8816.5699999999415</v>
      </c>
      <c r="H2230" s="194">
        <v>0</v>
      </c>
      <c r="I2230" s="194">
        <v>4468.3099999999804</v>
      </c>
      <c r="J2230" s="194">
        <v>0</v>
      </c>
      <c r="K2230" s="193">
        <f t="shared" si="480"/>
        <v>4468.3099999999804</v>
      </c>
      <c r="L2230" s="194">
        <v>0</v>
      </c>
      <c r="M2230" s="194">
        <v>4111.2599999999602</v>
      </c>
      <c r="N2230" s="194">
        <v>0</v>
      </c>
      <c r="O2230" s="193">
        <f t="shared" si="481"/>
        <v>4111.2599999999602</v>
      </c>
      <c r="P2230" s="194">
        <v>0</v>
      </c>
      <c r="Q2230" s="194">
        <v>237</v>
      </c>
      <c r="R2230" s="194">
        <v>0</v>
      </c>
      <c r="S2230" s="193">
        <f t="shared" si="482"/>
        <v>237</v>
      </c>
      <c r="T2230" s="193">
        <f t="shared" si="483"/>
        <v>293.88566666666469</v>
      </c>
      <c r="U2230" s="193">
        <f ca="1">OFFSET('Expenditure Study'!$B$7,'Operations Support'!$C2230,'Operations Support'!$B2230)*$G2230</f>
        <v>8816.5699999999415</v>
      </c>
      <c r="V2230" s="199">
        <f ca="1">U2230*'Expenditure Study'!$B$31</f>
        <v>520910.99934585253</v>
      </c>
      <c r="W2230" s="199">
        <f ca="1">IF(A2230=10298,1.51,1)*IF($B2230&lt;3,$D2230*'Expenditure Study'!$B$32*OFFSET('Expenditure Study'!$B$7,'Operations Support'!$C2230,'Operations Support'!$B2230),0)</f>
        <v>0</v>
      </c>
      <c r="X2230" s="200">
        <f ca="1">W2230*'Expenditure Study'!$B$31</f>
        <v>0</v>
      </c>
      <c r="Y2230" s="199">
        <f ca="1">U2230*'Expenditure Study'!$B$31</f>
        <v>520910.99934585253</v>
      </c>
      <c r="Z2230" s="200">
        <f ca="1">W2230*'Expenditure Study'!$B$31</f>
        <v>0</v>
      </c>
      <c r="AA2230" s="195">
        <f t="shared" ca="1" si="484"/>
        <v>520910.99934585253</v>
      </c>
      <c r="AB2230" s="195">
        <f t="shared" ca="1" si="485"/>
        <v>520910.99934585253</v>
      </c>
      <c r="AD2230" s="196">
        <f>IFERROR($G2230/SUMIF($A:$A,$A2230,$G:$G)*SUMIF(Summary!$A$166:$A$242,$A2230,Summary!$P$166:$P$242),0)</f>
        <v>232738.68660036527</v>
      </c>
      <c r="AE2230" s="197">
        <f t="shared" ca="1" si="486"/>
        <v>288172.31274548726</v>
      </c>
      <c r="AF2230" s="196">
        <f>IFERROR(G2230/SUMIF(A:A,A2230,G:G)*SUMIF(Summary!$A$166:$A$242,'Operations Support'!A2230,Summary!$Q$166:$Q$242),0)</f>
        <v>233207.15585683013</v>
      </c>
      <c r="AG2230" s="196">
        <f t="shared" ca="1" si="487"/>
        <v>287703.8434890224</v>
      </c>
      <c r="AI2230" s="196">
        <f>IFERROR($G2230/SUMIF($A:$A,$A2230,$G:$G)*SUMIF(Summary!$A$247:$A$283,$A2230,Summary!$P$247:$P$283),0)</f>
        <v>42445.728506723332</v>
      </c>
      <c r="AJ2230" s="196">
        <f>IFERROR($G2230/SUMIF($A:$A,$A2230,$G:$G)*(SUMIF(Summary!$A$247:$A$283,$A2230,Summary!$L$247:$L$283)+SUMIF(Summary!$A$297:$A$333,$A2230,Summary!$L$297:$L$333))-AI2230,0)</f>
        <v>197868.41946185863</v>
      </c>
      <c r="AK2230" s="196">
        <f>IFERROR($G2230/SUMIF($A:$A,$A2230,$G:$G)*SUMIF(Summary!$A$247:$A$283,$A2230,Summary!$Q$247:$Q$283),0)</f>
        <v>42531.165608582538</v>
      </c>
      <c r="AL2230" s="196">
        <f>IFERROR($G2230/SUMIF($A:$A,$A2230,$G:$G)*(SUMIF(Summary!$A$247:$A$283,$A2230,Summary!$L$247:$L$283)+SUMIF(Summary!$A$297:$A$333,$A2230,Summary!$L$297:$L$333))-AK2230,0)</f>
        <v>197782.98235999944</v>
      </c>
      <c r="AM2230" s="198"/>
      <c r="AN2230" s="196">
        <f t="shared" ca="1" si="488"/>
        <v>486040.73220734589</v>
      </c>
      <c r="AO2230" s="196">
        <f t="shared" ca="1" si="489"/>
        <v>485486.82584902184</v>
      </c>
    </row>
    <row r="2231" spans="1:41">
      <c r="A2231" s="189">
        <v>3661</v>
      </c>
      <c r="B2231" s="190">
        <v>2</v>
      </c>
      <c r="C2231" s="191" t="s">
        <v>220</v>
      </c>
      <c r="D2231" s="192">
        <f t="shared" si="476"/>
        <v>20632.5</v>
      </c>
      <c r="E2231" s="192">
        <f t="shared" si="477"/>
        <v>46931.5</v>
      </c>
      <c r="F2231" s="192">
        <f t="shared" si="478"/>
        <v>0</v>
      </c>
      <c r="G2231" s="193">
        <f t="shared" si="479"/>
        <v>67564</v>
      </c>
      <c r="H2231" s="194">
        <v>8361</v>
      </c>
      <c r="I2231" s="194">
        <v>21273</v>
      </c>
      <c r="J2231" s="194">
        <v>0</v>
      </c>
      <c r="K2231" s="193">
        <f t="shared" si="480"/>
        <v>29634</v>
      </c>
      <c r="L2231" s="194">
        <v>9625.5</v>
      </c>
      <c r="M2231" s="194">
        <v>18017.5</v>
      </c>
      <c r="N2231" s="194">
        <v>0</v>
      </c>
      <c r="O2231" s="193">
        <f t="shared" si="481"/>
        <v>27643</v>
      </c>
      <c r="P2231" s="194">
        <v>2646</v>
      </c>
      <c r="Q2231" s="194">
        <v>7641</v>
      </c>
      <c r="R2231" s="194">
        <v>0</v>
      </c>
      <c r="S2231" s="193">
        <f t="shared" si="482"/>
        <v>10287</v>
      </c>
      <c r="T2231" s="193">
        <f t="shared" si="483"/>
        <v>2252.1333333333332</v>
      </c>
      <c r="U2231" s="193">
        <f ca="1">OFFSET('Expenditure Study'!$B$7,'Operations Support'!$C2231,'Operations Support'!$B2231)*$G2231</f>
        <v>124317.76000000001</v>
      </c>
      <c r="V2231" s="199">
        <f ca="1">U2231*'Expenditure Study'!$B$31</f>
        <v>7345088.6907310085</v>
      </c>
      <c r="W2231" s="199">
        <f ca="1">IF(A2231=10298,1.51,1)*IF($B2231&lt;3,$D2231*'Expenditure Study'!$B$32*OFFSET('Expenditure Study'!$B$7,'Operations Support'!$C2231,'Operations Support'!$B2231),0)</f>
        <v>3796.38</v>
      </c>
      <c r="X2231" s="200">
        <f ca="1">W2231*'Expenditure Study'!$B$31</f>
        <v>224302.20592550401</v>
      </c>
      <c r="Y2231" s="199">
        <f ca="1">U2231*'Expenditure Study'!$B$31</f>
        <v>7345088.6907310085</v>
      </c>
      <c r="Z2231" s="200">
        <f ca="1">W2231*'Expenditure Study'!$B$31</f>
        <v>224302.20592550401</v>
      </c>
      <c r="AA2231" s="195">
        <f t="shared" ca="1" si="484"/>
        <v>7569390.8966565123</v>
      </c>
      <c r="AB2231" s="195">
        <f t="shared" ca="1" si="485"/>
        <v>7569390.8966565123</v>
      </c>
      <c r="AD2231" s="196">
        <f>IFERROR($G2231/SUMIF($A:$A,$A2231,$G:$G)*SUMIF(Summary!$A$166:$A$242,$A2231,Summary!$P$166:$P$242),0)</f>
        <v>1783545.825810625</v>
      </c>
      <c r="AE2231" s="197">
        <f t="shared" ca="1" si="486"/>
        <v>5785845.0708458871</v>
      </c>
      <c r="AF2231" s="196">
        <f>IFERROR(G2231/SUMIF(A:A,A2231,G:G)*SUMIF(Summary!$A$166:$A$242,'Operations Support'!A2231,Summary!$Q$166:$Q$242),0)</f>
        <v>1787135.8451541783</v>
      </c>
      <c r="AG2231" s="196">
        <f t="shared" ca="1" si="487"/>
        <v>5782255.051502334</v>
      </c>
      <c r="AI2231" s="196">
        <f>IFERROR($G2231/SUMIF($A:$A,$A2231,$G:$G)*SUMIF(Summary!$A$247:$A$283,$A2231,Summary!$P$247:$P$283),0)</f>
        <v>325274.25073790306</v>
      </c>
      <c r="AJ2231" s="196">
        <f>IFERROR($G2231/SUMIF($A:$A,$A2231,$G:$G)*(SUMIF(Summary!$A$247:$A$283,$A2231,Summary!$L$247:$L$283)+SUMIF(Summary!$A$297:$A$333,$A2231,Summary!$L$297:$L$333))-AI2231,0)</f>
        <v>1516324.5902341958</v>
      </c>
      <c r="AK2231" s="196">
        <f>IFERROR($G2231/SUMIF($A:$A,$A2231,$G:$G)*SUMIF(Summary!$A$247:$A$283,$A2231,Summary!$Q$247:$Q$283),0)</f>
        <v>325928.98067823309</v>
      </c>
      <c r="AL2231" s="196">
        <f>IFERROR($G2231/SUMIF($A:$A,$A2231,$G:$G)*(SUMIF(Summary!$A$247:$A$283,$A2231,Summary!$L$247:$L$283)+SUMIF(Summary!$A$297:$A$333,$A2231,Summary!$L$297:$L$333))-AK2231,0)</f>
        <v>1515669.8602938657</v>
      </c>
      <c r="AM2231" s="198"/>
      <c r="AN2231" s="196">
        <f t="shared" ca="1" si="488"/>
        <v>7302169.6610800829</v>
      </c>
      <c r="AO2231" s="196">
        <f t="shared" ca="1" si="489"/>
        <v>7297924.9117961992</v>
      </c>
    </row>
    <row r="2232" spans="1:41">
      <c r="A2232" s="189">
        <v>3661</v>
      </c>
      <c r="B2232" s="190">
        <v>2</v>
      </c>
      <c r="C2232" s="191" t="s">
        <v>221</v>
      </c>
      <c r="D2232" s="192">
        <f t="shared" si="476"/>
        <v>16528</v>
      </c>
      <c r="E2232" s="192">
        <f t="shared" si="477"/>
        <v>6403</v>
      </c>
      <c r="F2232" s="192">
        <f t="shared" si="478"/>
        <v>0</v>
      </c>
      <c r="G2232" s="193">
        <f t="shared" si="479"/>
        <v>22931</v>
      </c>
      <c r="H2232" s="194">
        <v>7347</v>
      </c>
      <c r="I2232" s="194">
        <v>3093</v>
      </c>
      <c r="J2232" s="194">
        <v>0</v>
      </c>
      <c r="K2232" s="193">
        <f t="shared" si="480"/>
        <v>10440</v>
      </c>
      <c r="L2232" s="194">
        <v>7916</v>
      </c>
      <c r="M2232" s="194">
        <v>2265</v>
      </c>
      <c r="N2232" s="194">
        <v>0</v>
      </c>
      <c r="O2232" s="193">
        <f t="shared" si="481"/>
        <v>10181</v>
      </c>
      <c r="P2232" s="194">
        <v>1265</v>
      </c>
      <c r="Q2232" s="194">
        <v>1045</v>
      </c>
      <c r="R2232" s="194">
        <v>0</v>
      </c>
      <c r="S2232" s="193">
        <f t="shared" si="482"/>
        <v>2310</v>
      </c>
      <c r="T2232" s="193">
        <f t="shared" si="483"/>
        <v>764.36666666666667</v>
      </c>
      <c r="U2232" s="193">
        <f ca="1">OFFSET('Expenditure Study'!$B$7,'Operations Support'!$C2232,'Operations Support'!$B2232)*$G2232</f>
        <v>60308.53</v>
      </c>
      <c r="V2232" s="199">
        <f ca="1">U2232*'Expenditure Study'!$B$31</f>
        <v>3563219.7817722238</v>
      </c>
      <c r="W2232" s="199">
        <f ca="1">IF(A2232=10298,1.51,1)*IF($B2232&lt;3,$D2232*'Expenditure Study'!$B$32*OFFSET('Expenditure Study'!$B$7,'Operations Support'!$C2232,'Operations Support'!$B2232),0)</f>
        <v>4346.8640000000005</v>
      </c>
      <c r="X2232" s="200">
        <f ca="1">W2232*'Expenditure Study'!$B$31</f>
        <v>256826.55162501123</v>
      </c>
      <c r="Y2232" s="199">
        <f ca="1">U2232*'Expenditure Study'!$B$31</f>
        <v>3563219.7817722238</v>
      </c>
      <c r="Z2232" s="200">
        <f ca="1">W2232*'Expenditure Study'!$B$31</f>
        <v>256826.55162501123</v>
      </c>
      <c r="AA2232" s="195">
        <f t="shared" ca="1" si="484"/>
        <v>3820046.3333972348</v>
      </c>
      <c r="AB2232" s="195">
        <f t="shared" ca="1" si="485"/>
        <v>3820046.3333972348</v>
      </c>
      <c r="AD2232" s="196">
        <f>IFERROR($G2232/SUMIF($A:$A,$A2232,$G:$G)*SUMIF(Summary!$A$166:$A$242,$A2232,Summary!$P$166:$P$242),0)</f>
        <v>605329.60351168434</v>
      </c>
      <c r="AE2232" s="197">
        <f t="shared" ca="1" si="486"/>
        <v>3214716.7298855502</v>
      </c>
      <c r="AF2232" s="196">
        <f>IFERROR(G2232/SUMIF(A:A,A2232,G:G)*SUMIF(Summary!$A$166:$A$242,'Operations Support'!A2232,Summary!$Q$166:$Q$242),0)</f>
        <v>606548.04430215003</v>
      </c>
      <c r="AG2232" s="196">
        <f t="shared" ca="1" si="487"/>
        <v>3213498.2890950846</v>
      </c>
      <c r="AI2232" s="196">
        <f>IFERROR($G2232/SUMIF($A:$A,$A2232,$G:$G)*SUMIF(Summary!$A$247:$A$283,$A2232,Summary!$P$247:$P$283),0)</f>
        <v>110397.01384865987</v>
      </c>
      <c r="AJ2232" s="196">
        <f>IFERROR($G2232/SUMIF($A:$A,$A2232,$G:$G)*(SUMIF(Summary!$A$247:$A$283,$A2232,Summary!$L$247:$L$283)+SUMIF(Summary!$A$297:$A$333,$A2232,Summary!$L$297:$L$333))-AI2232,0)</f>
        <v>514635.59260346257</v>
      </c>
      <c r="AK2232" s="196">
        <f>IFERROR($G2232/SUMIF($A:$A,$A2232,$G:$G)*SUMIF(Summary!$A$247:$A$283,$A2232,Summary!$Q$247:$Q$283),0)</f>
        <v>110619.22704298981</v>
      </c>
      <c r="AL2232" s="196">
        <f>IFERROR($G2232/SUMIF($A:$A,$A2232,$G:$G)*(SUMIF(Summary!$A$247:$A$283,$A2232,Summary!$L$247:$L$283)+SUMIF(Summary!$A$297:$A$333,$A2232,Summary!$L$297:$L$333))-AK2232,0)</f>
        <v>514413.37940913264</v>
      </c>
      <c r="AM2232" s="198"/>
      <c r="AN2232" s="196">
        <f t="shared" ca="1" si="488"/>
        <v>3729352.322489013</v>
      </c>
      <c r="AO2232" s="196">
        <f t="shared" ca="1" si="489"/>
        <v>3727911.6685042172</v>
      </c>
    </row>
    <row r="2233" spans="1:41">
      <c r="A2233" s="189">
        <v>3661</v>
      </c>
      <c r="B2233" s="190">
        <v>2</v>
      </c>
      <c r="C2233" s="191" t="s">
        <v>222</v>
      </c>
      <c r="D2233" s="192">
        <f t="shared" si="476"/>
        <v>3719</v>
      </c>
      <c r="E2233" s="192">
        <f t="shared" si="477"/>
        <v>5447</v>
      </c>
      <c r="F2233" s="192">
        <f t="shared" si="478"/>
        <v>0</v>
      </c>
      <c r="G2233" s="193">
        <f t="shared" si="479"/>
        <v>9166</v>
      </c>
      <c r="H2233" s="194">
        <v>1547</v>
      </c>
      <c r="I2233" s="194">
        <v>2503</v>
      </c>
      <c r="J2233" s="194">
        <v>0</v>
      </c>
      <c r="K2233" s="193">
        <f t="shared" si="480"/>
        <v>4050</v>
      </c>
      <c r="L2233" s="194">
        <v>1702</v>
      </c>
      <c r="M2233" s="194">
        <v>2278</v>
      </c>
      <c r="N2233" s="194">
        <v>0</v>
      </c>
      <c r="O2233" s="193">
        <f t="shared" si="481"/>
        <v>3980</v>
      </c>
      <c r="P2233" s="194">
        <v>470</v>
      </c>
      <c r="Q2233" s="194">
        <v>666</v>
      </c>
      <c r="R2233" s="194">
        <v>0</v>
      </c>
      <c r="S2233" s="193">
        <f t="shared" si="482"/>
        <v>1136</v>
      </c>
      <c r="T2233" s="193">
        <f t="shared" si="483"/>
        <v>305.53333333333336</v>
      </c>
      <c r="U2233" s="193">
        <f ca="1">OFFSET('Expenditure Study'!$B$7,'Operations Support'!$C2233,'Operations Support'!$B2233)*$G2233</f>
        <v>24381.56</v>
      </c>
      <c r="V2233" s="199">
        <f ca="1">U2233*'Expenditure Study'!$B$31</f>
        <v>1440540.117666048</v>
      </c>
      <c r="W2233" s="199">
        <f ca="1">IF(A2233=10298,1.51,1)*IF($B2233&lt;3,$D2233*'Expenditure Study'!$B$32*OFFSET('Expenditure Study'!$B$7,'Operations Support'!$C2233,'Operations Support'!$B2233),0)</f>
        <v>989.25400000000013</v>
      </c>
      <c r="X2233" s="200">
        <f ca="1">W2233*'Expenditure Study'!$B$31</f>
        <v>58448.272939123206</v>
      </c>
      <c r="Y2233" s="199">
        <f ca="1">U2233*'Expenditure Study'!$B$31</f>
        <v>1440540.117666048</v>
      </c>
      <c r="Z2233" s="200">
        <f ca="1">W2233*'Expenditure Study'!$B$31</f>
        <v>58448.272939123206</v>
      </c>
      <c r="AA2233" s="195">
        <f t="shared" ca="1" si="484"/>
        <v>1498988.3906051712</v>
      </c>
      <c r="AB2233" s="195">
        <f t="shared" ca="1" si="485"/>
        <v>1498988.3906051712</v>
      </c>
      <c r="AD2233" s="196">
        <f>IFERROR($G2233/SUMIF($A:$A,$A2233,$G:$G)*SUMIF(Summary!$A$166:$A$242,$A2233,Summary!$P$166:$P$242),0)</f>
        <v>241962.89502368405</v>
      </c>
      <c r="AE2233" s="197">
        <f t="shared" ca="1" si="486"/>
        <v>1257025.4955814872</v>
      </c>
      <c r="AF2233" s="196">
        <f>IFERROR(G2233/SUMIF(A:A,A2233,G:G)*SUMIF(Summary!$A$166:$A$242,'Operations Support'!A2233,Summary!$Q$166:$Q$242),0)</f>
        <v>242449.9312752827</v>
      </c>
      <c r="AG2233" s="196">
        <f t="shared" ca="1" si="487"/>
        <v>1256538.4593298885</v>
      </c>
      <c r="AI2233" s="196">
        <f>IFERROR($G2233/SUMIF($A:$A,$A2233,$G:$G)*SUMIF(Summary!$A$247:$A$283,$A2233,Summary!$P$247:$P$283),0)</f>
        <v>44127.993935581369</v>
      </c>
      <c r="AJ2233" s="196">
        <f>IFERROR($G2233/SUMIF($A:$A,$A2233,$G:$G)*(SUMIF(Summary!$A$247:$A$283,$A2233,Summary!$L$247:$L$283)+SUMIF(Summary!$A$297:$A$333,$A2233,Summary!$L$297:$L$333))-AI2233,0)</f>
        <v>205710.6031923308</v>
      </c>
      <c r="AK2233" s="196">
        <f>IFERROR($G2233/SUMIF($A:$A,$A2233,$G:$G)*SUMIF(Summary!$A$247:$A$283,$A2233,Summary!$Q$247:$Q$283),0)</f>
        <v>44216.817194018775</v>
      </c>
      <c r="AL2233" s="196">
        <f>IFERROR($G2233/SUMIF($A:$A,$A2233,$G:$G)*(SUMIF(Summary!$A$247:$A$283,$A2233,Summary!$L$247:$L$283)+SUMIF(Summary!$A$297:$A$333,$A2233,Summary!$L$297:$L$333))-AK2233,0)</f>
        <v>205621.77993389341</v>
      </c>
      <c r="AM2233" s="198"/>
      <c r="AN2233" s="196">
        <f t="shared" ca="1" si="488"/>
        <v>1462736.098773818</v>
      </c>
      <c r="AO2233" s="196">
        <f t="shared" ca="1" si="489"/>
        <v>1462160.2392637818</v>
      </c>
    </row>
    <row r="2234" spans="1:41">
      <c r="A2234" s="189">
        <v>3661</v>
      </c>
      <c r="B2234" s="190">
        <v>2</v>
      </c>
      <c r="C2234" s="191" t="s">
        <v>223</v>
      </c>
      <c r="D2234" s="192">
        <f t="shared" si="476"/>
        <v>3492</v>
      </c>
      <c r="E2234" s="192">
        <f t="shared" si="477"/>
        <v>5801</v>
      </c>
      <c r="F2234" s="192">
        <f t="shared" si="478"/>
        <v>0</v>
      </c>
      <c r="G2234" s="193">
        <f t="shared" si="479"/>
        <v>9293</v>
      </c>
      <c r="H2234" s="194">
        <v>1581</v>
      </c>
      <c r="I2234" s="194">
        <v>2200</v>
      </c>
      <c r="J2234" s="194">
        <v>0</v>
      </c>
      <c r="K2234" s="193">
        <f t="shared" si="480"/>
        <v>3781</v>
      </c>
      <c r="L2234" s="194">
        <v>1326</v>
      </c>
      <c r="M2234" s="194">
        <v>2620</v>
      </c>
      <c r="N2234" s="194">
        <v>0</v>
      </c>
      <c r="O2234" s="193">
        <f t="shared" si="481"/>
        <v>3946</v>
      </c>
      <c r="P2234" s="194">
        <v>585</v>
      </c>
      <c r="Q2234" s="194">
        <v>981</v>
      </c>
      <c r="R2234" s="194">
        <v>0</v>
      </c>
      <c r="S2234" s="193">
        <f t="shared" si="482"/>
        <v>1566</v>
      </c>
      <c r="T2234" s="193">
        <f t="shared" si="483"/>
        <v>309.76666666666665</v>
      </c>
      <c r="U2234" s="193">
        <f ca="1">OFFSET('Expenditure Study'!$B$7,'Operations Support'!$C2234,'Operations Support'!$B2234)*$G2234</f>
        <v>17656.7</v>
      </c>
      <c r="V2234" s="199">
        <f ca="1">U2234*'Expenditure Study'!$B$31</f>
        <v>1043213.9984313601</v>
      </c>
      <c r="W2234" s="199">
        <f ca="1">IF(A2234=10298,1.51,1)*IF($B2234&lt;3,$D2234*'Expenditure Study'!$B$32*OFFSET('Expenditure Study'!$B$7,'Operations Support'!$C2234,'Operations Support'!$B2234),0)</f>
        <v>663.48</v>
      </c>
      <c r="X2234" s="200">
        <f ca="1">W2234*'Expenditure Study'!$B$31</f>
        <v>39200.508797184004</v>
      </c>
      <c r="Y2234" s="199">
        <f ca="1">U2234*'Expenditure Study'!$B$31</f>
        <v>1043213.9984313601</v>
      </c>
      <c r="Z2234" s="200">
        <f ca="1">W2234*'Expenditure Study'!$B$31</f>
        <v>39200.508797184004</v>
      </c>
      <c r="AA2234" s="195">
        <f t="shared" ca="1" si="484"/>
        <v>1082414.5072285442</v>
      </c>
      <c r="AB2234" s="195">
        <f t="shared" ca="1" si="485"/>
        <v>1082414.5072285442</v>
      </c>
      <c r="AD2234" s="196">
        <f>IFERROR($G2234/SUMIF($A:$A,$A2234,$G:$G)*SUMIF(Summary!$A$166:$A$242,$A2234,Summary!$P$166:$P$242),0)</f>
        <v>245315.42477144836</v>
      </c>
      <c r="AE2234" s="197">
        <f t="shared" ca="1" si="486"/>
        <v>837099.08245709585</v>
      </c>
      <c r="AF2234" s="196">
        <f>IFERROR(G2234/SUMIF(A:A,A2234,G:G)*SUMIF(Summary!$A$166:$A$242,'Operations Support'!A2234,Summary!$Q$166:$Q$242),0)</f>
        <v>245809.20917970783</v>
      </c>
      <c r="AG2234" s="196">
        <f t="shared" ca="1" si="487"/>
        <v>836605.29804883641</v>
      </c>
      <c r="AI2234" s="196">
        <f>IFERROR($G2234/SUMIF($A:$A,$A2234,$G:$G)*SUMIF(Summary!$A$247:$A$283,$A2234,Summary!$P$247:$P$283),0)</f>
        <v>44739.4117001263</v>
      </c>
      <c r="AJ2234" s="196">
        <f>IFERROR($G2234/SUMIF($A:$A,$A2234,$G:$G)*(SUMIF(Summary!$A$247:$A$283,$A2234,Summary!$L$247:$L$283)+SUMIF(Summary!$A$297:$A$333,$A2234,Summary!$L$297:$L$333))-AI2234,0)</f>
        <v>208560.83738450034</v>
      </c>
      <c r="AK2234" s="196">
        <f>IFERROR($G2234/SUMIF($A:$A,$A2234,$G:$G)*SUMIF(Summary!$A$247:$A$283,$A2234,Summary!$Q$247:$Q$283),0)</f>
        <v>44829.465653940264</v>
      </c>
      <c r="AL2234" s="196">
        <f>IFERROR($G2234/SUMIF($A:$A,$A2234,$G:$G)*(SUMIF(Summary!$A$247:$A$283,$A2234,Summary!$L$247:$L$283)+SUMIF(Summary!$A$297:$A$333,$A2234,Summary!$L$297:$L$333))-AK2234,0)</f>
        <v>208470.7834306864</v>
      </c>
      <c r="AM2234" s="198"/>
      <c r="AN2234" s="196">
        <f t="shared" ca="1" si="488"/>
        <v>1045659.9198415962</v>
      </c>
      <c r="AO2234" s="196">
        <f t="shared" ca="1" si="489"/>
        <v>1045076.0814795229</v>
      </c>
    </row>
    <row r="2235" spans="1:41">
      <c r="A2235" s="189">
        <v>3661</v>
      </c>
      <c r="B2235" s="190">
        <v>2</v>
      </c>
      <c r="C2235" s="191" t="s">
        <v>224</v>
      </c>
      <c r="D2235" s="192">
        <f t="shared" si="476"/>
        <v>0</v>
      </c>
      <c r="E2235" s="192">
        <f t="shared" si="477"/>
        <v>0</v>
      </c>
      <c r="F2235" s="192">
        <f t="shared" si="478"/>
        <v>0</v>
      </c>
      <c r="G2235" s="193">
        <f t="shared" si="479"/>
        <v>0</v>
      </c>
      <c r="H2235" s="194">
        <v>0</v>
      </c>
      <c r="I2235" s="194">
        <v>0</v>
      </c>
      <c r="J2235" s="194">
        <v>0</v>
      </c>
      <c r="K2235" s="193">
        <f t="shared" si="480"/>
        <v>0</v>
      </c>
      <c r="L2235" s="194">
        <v>0</v>
      </c>
      <c r="M2235" s="194">
        <v>0</v>
      </c>
      <c r="N2235" s="194">
        <v>0</v>
      </c>
      <c r="O2235" s="193">
        <f t="shared" si="481"/>
        <v>0</v>
      </c>
      <c r="P2235" s="194">
        <v>0</v>
      </c>
      <c r="Q2235" s="194">
        <v>0</v>
      </c>
      <c r="R2235" s="194">
        <v>0</v>
      </c>
      <c r="S2235" s="193">
        <f t="shared" si="482"/>
        <v>0</v>
      </c>
      <c r="T2235" s="193">
        <f t="shared" si="483"/>
        <v>0</v>
      </c>
      <c r="U2235" s="193">
        <f ca="1">OFFSET('Expenditure Study'!$B$7,'Operations Support'!$C2235,'Operations Support'!$B2235)*$G2235</f>
        <v>0</v>
      </c>
      <c r="V2235" s="199">
        <f ca="1">U2235*'Expenditure Study'!$B$31</f>
        <v>0</v>
      </c>
      <c r="W2235" s="199">
        <f ca="1">IF(A2235=10298,1.51,1)*IF($B2235&lt;3,$D2235*'Expenditure Study'!$B$32*OFFSET('Expenditure Study'!$B$7,'Operations Support'!$C2235,'Operations Support'!$B2235),0)</f>
        <v>0</v>
      </c>
      <c r="X2235" s="200">
        <f ca="1">W2235*'Expenditure Study'!$B$31</f>
        <v>0</v>
      </c>
      <c r="Y2235" s="199">
        <f ca="1">U2235*'Expenditure Study'!$B$31</f>
        <v>0</v>
      </c>
      <c r="Z2235" s="200">
        <f ca="1">W2235*'Expenditure Study'!$B$31</f>
        <v>0</v>
      </c>
      <c r="AA2235" s="195">
        <f t="shared" ca="1" si="484"/>
        <v>0</v>
      </c>
      <c r="AB2235" s="195">
        <f t="shared" ca="1" si="485"/>
        <v>0</v>
      </c>
      <c r="AD2235" s="196">
        <f>IFERROR($G2235/SUMIF($A:$A,$A2235,$G:$G)*SUMIF(Summary!$A$166:$A$242,$A2235,Summary!$P$166:$P$242),0)</f>
        <v>0</v>
      </c>
      <c r="AE2235" s="197">
        <f t="shared" ca="1" si="486"/>
        <v>0</v>
      </c>
      <c r="AF2235" s="196">
        <f>IFERROR(G2235/SUMIF(A:A,A2235,G:G)*SUMIF(Summary!$A$166:$A$242,'Operations Support'!A2235,Summary!$Q$166:$Q$242),0)</f>
        <v>0</v>
      </c>
      <c r="AG2235" s="196">
        <f t="shared" ca="1" si="487"/>
        <v>0</v>
      </c>
      <c r="AI2235" s="196">
        <f>IFERROR($G2235/SUMIF($A:$A,$A2235,$G:$G)*SUMIF(Summary!$A$247:$A$283,$A2235,Summary!$P$247:$P$283),0)</f>
        <v>0</v>
      </c>
      <c r="AJ2235" s="196">
        <f>IFERROR($G2235/SUMIF($A:$A,$A2235,$G:$G)*(SUMIF(Summary!$A$247:$A$283,$A2235,Summary!$L$247:$L$283)+SUMIF(Summary!$A$297:$A$333,$A2235,Summary!$L$297:$L$333))-AI2235,0)</f>
        <v>0</v>
      </c>
      <c r="AK2235" s="196">
        <f>IFERROR($G2235/SUMIF($A:$A,$A2235,$G:$G)*SUMIF(Summary!$A$247:$A$283,$A2235,Summary!$Q$247:$Q$283),0)</f>
        <v>0</v>
      </c>
      <c r="AL2235" s="196">
        <f>IFERROR($G2235/SUMIF($A:$A,$A2235,$G:$G)*(SUMIF(Summary!$A$247:$A$283,$A2235,Summary!$L$247:$L$283)+SUMIF(Summary!$A$297:$A$333,$A2235,Summary!$L$297:$L$333))-AK2235,0)</f>
        <v>0</v>
      </c>
      <c r="AM2235" s="198"/>
      <c r="AN2235" s="196">
        <f t="shared" ca="1" si="488"/>
        <v>0</v>
      </c>
      <c r="AO2235" s="196">
        <f t="shared" ca="1" si="489"/>
        <v>0</v>
      </c>
    </row>
    <row r="2236" spans="1:41">
      <c r="A2236" s="189">
        <v>3661</v>
      </c>
      <c r="B2236" s="190">
        <v>2</v>
      </c>
      <c r="C2236" s="191" t="s">
        <v>225</v>
      </c>
      <c r="D2236" s="192">
        <f t="shared" si="476"/>
        <v>13349.5</v>
      </c>
      <c r="E2236" s="192">
        <f t="shared" si="477"/>
        <v>12367.5</v>
      </c>
      <c r="F2236" s="192">
        <f t="shared" si="478"/>
        <v>0</v>
      </c>
      <c r="G2236" s="193">
        <f t="shared" si="479"/>
        <v>25717</v>
      </c>
      <c r="H2236" s="194">
        <v>6546.5</v>
      </c>
      <c r="I2236" s="194">
        <v>5659.5</v>
      </c>
      <c r="J2236" s="194">
        <v>0</v>
      </c>
      <c r="K2236" s="193">
        <f t="shared" si="480"/>
        <v>12206</v>
      </c>
      <c r="L2236" s="194">
        <v>6049</v>
      </c>
      <c r="M2236" s="194">
        <v>5530</v>
      </c>
      <c r="N2236" s="194">
        <v>0</v>
      </c>
      <c r="O2236" s="193">
        <f t="shared" si="481"/>
        <v>11579</v>
      </c>
      <c r="P2236" s="194">
        <v>754</v>
      </c>
      <c r="Q2236" s="194">
        <v>1178</v>
      </c>
      <c r="R2236" s="194">
        <v>0</v>
      </c>
      <c r="S2236" s="193">
        <f t="shared" si="482"/>
        <v>1932</v>
      </c>
      <c r="T2236" s="193">
        <f t="shared" si="483"/>
        <v>857.23333333333335</v>
      </c>
      <c r="U2236" s="193">
        <f ca="1">OFFSET('Expenditure Study'!$B$7,'Operations Support'!$C2236,'Operations Support'!$B2236)*$G2236</f>
        <v>72007.599999999991</v>
      </c>
      <c r="V2236" s="199">
        <f ca="1">U2236*'Expenditure Study'!$B$31</f>
        <v>4254438.0497740796</v>
      </c>
      <c r="W2236" s="199">
        <f ca="1">IF(A2236=10298,1.51,1)*IF($B2236&lt;3,$D2236*'Expenditure Study'!$B$32*OFFSET('Expenditure Study'!$B$7,'Operations Support'!$C2236,'Operations Support'!$B2236),0)</f>
        <v>3737.8599999999997</v>
      </c>
      <c r="X2236" s="200">
        <f ca="1">W2236*'Expenditure Study'!$B$31</f>
        <v>220844.65818508799</v>
      </c>
      <c r="Y2236" s="199">
        <f ca="1">U2236*'Expenditure Study'!$B$31</f>
        <v>4254438.0497740796</v>
      </c>
      <c r="Z2236" s="200">
        <f ca="1">W2236*'Expenditure Study'!$B$31</f>
        <v>220844.65818508799</v>
      </c>
      <c r="AA2236" s="195">
        <f t="shared" ca="1" si="484"/>
        <v>4475282.7079591677</v>
      </c>
      <c r="AB2236" s="195">
        <f t="shared" ca="1" si="485"/>
        <v>4475282.7079591677</v>
      </c>
      <c r="AD2236" s="196">
        <f>IFERROR($G2236/SUMIF($A:$A,$A2236,$G:$G)*SUMIF(Summary!$A$166:$A$242,$A2236,Summary!$P$166:$P$242),0)</f>
        <v>678874.0749862626</v>
      </c>
      <c r="AE2236" s="197">
        <f t="shared" ca="1" si="486"/>
        <v>3796408.6329729049</v>
      </c>
      <c r="AF2236" s="196">
        <f>IFERROR(G2236/SUMIF(A:A,A2236,G:G)*SUMIF(Summary!$A$166:$A$242,'Operations Support'!A2236,Summary!$Q$166:$Q$242),0)</f>
        <v>680240.55014253163</v>
      </c>
      <c r="AG2236" s="196">
        <f t="shared" ca="1" si="487"/>
        <v>3795042.1578166359</v>
      </c>
      <c r="AI2236" s="196">
        <f>IFERROR($G2236/SUMIF($A:$A,$A2236,$G:$G)*SUMIF(Summary!$A$247:$A$283,$A2236,Summary!$P$247:$P$283),0)</f>
        <v>123809.69016379512</v>
      </c>
      <c r="AJ2236" s="196">
        <f>IFERROR($G2236/SUMIF($A:$A,$A2236,$G:$G)*(SUMIF(Summary!$A$247:$A$283,$A2236,Summary!$L$247:$L$283)+SUMIF(Summary!$A$297:$A$333,$A2236,Summary!$L$297:$L$333))-AI2236,0)</f>
        <v>577161.20251987467</v>
      </c>
      <c r="AK2236" s="196">
        <f>IFERROR($G2236/SUMIF($A:$A,$A2236,$G:$G)*SUMIF(Summary!$A$247:$A$283,$A2236,Summary!$Q$247:$Q$283),0)</f>
        <v>124058.90113229117</v>
      </c>
      <c r="AL2236" s="196">
        <f>IFERROR($G2236/SUMIF($A:$A,$A2236,$G:$G)*(SUMIF(Summary!$A$247:$A$283,$A2236,Summary!$L$247:$L$283)+SUMIF(Summary!$A$297:$A$333,$A2236,Summary!$L$297:$L$333))-AK2236,0)</f>
        <v>576911.99155137863</v>
      </c>
      <c r="AM2236" s="198"/>
      <c r="AN2236" s="196">
        <f t="shared" ca="1" si="488"/>
        <v>4373569.8354927795</v>
      </c>
      <c r="AO2236" s="196">
        <f t="shared" ca="1" si="489"/>
        <v>4371954.1493680142</v>
      </c>
    </row>
    <row r="2237" spans="1:41">
      <c r="A2237" s="189">
        <v>3661</v>
      </c>
      <c r="B2237" s="190">
        <v>2</v>
      </c>
      <c r="C2237" s="191" t="s">
        <v>226</v>
      </c>
      <c r="D2237" s="192">
        <f t="shared" si="476"/>
        <v>0</v>
      </c>
      <c r="E2237" s="192">
        <f t="shared" si="477"/>
        <v>0</v>
      </c>
      <c r="F2237" s="192">
        <f t="shared" si="478"/>
        <v>0</v>
      </c>
      <c r="G2237" s="193">
        <f t="shared" si="479"/>
        <v>0</v>
      </c>
      <c r="H2237" s="194">
        <v>0</v>
      </c>
      <c r="I2237" s="194">
        <v>0</v>
      </c>
      <c r="J2237" s="194">
        <v>0</v>
      </c>
      <c r="K2237" s="193">
        <f t="shared" si="480"/>
        <v>0</v>
      </c>
      <c r="L2237" s="194">
        <v>0</v>
      </c>
      <c r="M2237" s="194">
        <v>0</v>
      </c>
      <c r="N2237" s="194">
        <v>0</v>
      </c>
      <c r="O2237" s="193">
        <f t="shared" si="481"/>
        <v>0</v>
      </c>
      <c r="P2237" s="194">
        <v>0</v>
      </c>
      <c r="Q2237" s="194">
        <v>0</v>
      </c>
      <c r="R2237" s="194">
        <v>0</v>
      </c>
      <c r="S2237" s="193">
        <f t="shared" si="482"/>
        <v>0</v>
      </c>
      <c r="T2237" s="193">
        <f t="shared" si="483"/>
        <v>0</v>
      </c>
      <c r="U2237" s="193">
        <f ca="1">OFFSET('Expenditure Study'!$B$7,'Operations Support'!$C2237,'Operations Support'!$B2237)*$G2237</f>
        <v>0</v>
      </c>
      <c r="V2237" s="199">
        <f ca="1">U2237*'Expenditure Study'!$B$31</f>
        <v>0</v>
      </c>
      <c r="W2237" s="199">
        <f ca="1">IF(A2237=10298,1.51,1)*IF($B2237&lt;3,$D2237*'Expenditure Study'!$B$32*OFFSET('Expenditure Study'!$B$7,'Operations Support'!$C2237,'Operations Support'!$B2237),0)</f>
        <v>0</v>
      </c>
      <c r="X2237" s="200">
        <f ca="1">W2237*'Expenditure Study'!$B$31</f>
        <v>0</v>
      </c>
      <c r="Y2237" s="199">
        <f ca="1">U2237*'Expenditure Study'!$B$31</f>
        <v>0</v>
      </c>
      <c r="Z2237" s="200">
        <f ca="1">W2237*'Expenditure Study'!$B$31</f>
        <v>0</v>
      </c>
      <c r="AA2237" s="195">
        <f t="shared" ca="1" si="484"/>
        <v>0</v>
      </c>
      <c r="AB2237" s="195">
        <f t="shared" ca="1" si="485"/>
        <v>0</v>
      </c>
      <c r="AD2237" s="196">
        <f>IFERROR($G2237/SUMIF($A:$A,$A2237,$G:$G)*SUMIF(Summary!$A$166:$A$242,$A2237,Summary!$P$166:$P$242),0)</f>
        <v>0</v>
      </c>
      <c r="AE2237" s="197">
        <f t="shared" ca="1" si="486"/>
        <v>0</v>
      </c>
      <c r="AF2237" s="196">
        <f>IFERROR(G2237/SUMIF(A:A,A2237,G:G)*SUMIF(Summary!$A$166:$A$242,'Operations Support'!A2237,Summary!$Q$166:$Q$242),0)</f>
        <v>0</v>
      </c>
      <c r="AG2237" s="196">
        <f t="shared" ca="1" si="487"/>
        <v>0</v>
      </c>
      <c r="AI2237" s="196">
        <f>IFERROR($G2237/SUMIF($A:$A,$A2237,$G:$G)*SUMIF(Summary!$A$247:$A$283,$A2237,Summary!$P$247:$P$283),0)</f>
        <v>0</v>
      </c>
      <c r="AJ2237" s="196">
        <f>IFERROR($G2237/SUMIF($A:$A,$A2237,$G:$G)*(SUMIF(Summary!$A$247:$A$283,$A2237,Summary!$L$247:$L$283)+SUMIF(Summary!$A$297:$A$333,$A2237,Summary!$L$297:$L$333))-AI2237,0)</f>
        <v>0</v>
      </c>
      <c r="AK2237" s="196">
        <f>IFERROR($G2237/SUMIF($A:$A,$A2237,$G:$G)*SUMIF(Summary!$A$247:$A$283,$A2237,Summary!$Q$247:$Q$283),0)</f>
        <v>0</v>
      </c>
      <c r="AL2237" s="196">
        <f>IFERROR($G2237/SUMIF($A:$A,$A2237,$G:$G)*(SUMIF(Summary!$A$247:$A$283,$A2237,Summary!$L$247:$L$283)+SUMIF(Summary!$A$297:$A$333,$A2237,Summary!$L$297:$L$333))-AK2237,0)</f>
        <v>0</v>
      </c>
      <c r="AM2237" s="198"/>
      <c r="AN2237" s="196">
        <f t="shared" ca="1" si="488"/>
        <v>0</v>
      </c>
      <c r="AO2237" s="196">
        <f t="shared" ca="1" si="489"/>
        <v>0</v>
      </c>
    </row>
    <row r="2238" spans="1:41">
      <c r="A2238" s="189">
        <v>3661</v>
      </c>
      <c r="B2238" s="190">
        <v>2</v>
      </c>
      <c r="C2238" s="191" t="s">
        <v>227</v>
      </c>
      <c r="D2238" s="192">
        <f t="shared" si="476"/>
        <v>0</v>
      </c>
      <c r="E2238" s="192">
        <f t="shared" si="477"/>
        <v>0</v>
      </c>
      <c r="F2238" s="192">
        <f t="shared" si="478"/>
        <v>0</v>
      </c>
      <c r="G2238" s="193">
        <f t="shared" si="479"/>
        <v>0</v>
      </c>
      <c r="H2238" s="194">
        <v>0</v>
      </c>
      <c r="I2238" s="194">
        <v>0</v>
      </c>
      <c r="J2238" s="194">
        <v>0</v>
      </c>
      <c r="K2238" s="193">
        <f t="shared" si="480"/>
        <v>0</v>
      </c>
      <c r="L2238" s="194">
        <v>0</v>
      </c>
      <c r="M2238" s="194">
        <v>0</v>
      </c>
      <c r="N2238" s="194">
        <v>0</v>
      </c>
      <c r="O2238" s="193">
        <f t="shared" si="481"/>
        <v>0</v>
      </c>
      <c r="P2238" s="194">
        <v>0</v>
      </c>
      <c r="Q2238" s="194">
        <v>0</v>
      </c>
      <c r="R2238" s="194">
        <v>0</v>
      </c>
      <c r="S2238" s="193">
        <f t="shared" si="482"/>
        <v>0</v>
      </c>
      <c r="T2238" s="193">
        <f t="shared" si="483"/>
        <v>0</v>
      </c>
      <c r="U2238" s="193">
        <f ca="1">OFFSET('Expenditure Study'!$B$7,'Operations Support'!$C2238,'Operations Support'!$B2238)*$G2238</f>
        <v>0</v>
      </c>
      <c r="V2238" s="199">
        <f ca="1">U2238*'Expenditure Study'!$B$31</f>
        <v>0</v>
      </c>
      <c r="W2238" s="199">
        <f ca="1">IF(A2238=10298,1.51,1)*IF($B2238&lt;3,$D2238*'Expenditure Study'!$B$32*OFFSET('Expenditure Study'!$B$7,'Operations Support'!$C2238,'Operations Support'!$B2238),0)</f>
        <v>0</v>
      </c>
      <c r="X2238" s="200">
        <f ca="1">W2238*'Expenditure Study'!$B$31</f>
        <v>0</v>
      </c>
      <c r="Y2238" s="199">
        <f ca="1">U2238*'Expenditure Study'!$B$31</f>
        <v>0</v>
      </c>
      <c r="Z2238" s="200">
        <f ca="1">W2238*'Expenditure Study'!$B$31</f>
        <v>0</v>
      </c>
      <c r="AA2238" s="195">
        <f t="shared" ca="1" si="484"/>
        <v>0</v>
      </c>
      <c r="AB2238" s="195">
        <f t="shared" ca="1" si="485"/>
        <v>0</v>
      </c>
      <c r="AD2238" s="196">
        <f>IFERROR($G2238/SUMIF($A:$A,$A2238,$G:$G)*SUMIF(Summary!$A$166:$A$242,$A2238,Summary!$P$166:$P$242),0)</f>
        <v>0</v>
      </c>
      <c r="AE2238" s="197">
        <f t="shared" ca="1" si="486"/>
        <v>0</v>
      </c>
      <c r="AF2238" s="196">
        <f>IFERROR(G2238/SUMIF(A:A,A2238,G:G)*SUMIF(Summary!$A$166:$A$242,'Operations Support'!A2238,Summary!$Q$166:$Q$242),0)</f>
        <v>0</v>
      </c>
      <c r="AG2238" s="196">
        <f t="shared" ca="1" si="487"/>
        <v>0</v>
      </c>
      <c r="AI2238" s="196">
        <f>IFERROR($G2238/SUMIF($A:$A,$A2238,$G:$G)*SUMIF(Summary!$A$247:$A$283,$A2238,Summary!$P$247:$P$283),0)</f>
        <v>0</v>
      </c>
      <c r="AJ2238" s="196">
        <f>IFERROR($G2238/SUMIF($A:$A,$A2238,$G:$G)*(SUMIF(Summary!$A$247:$A$283,$A2238,Summary!$L$247:$L$283)+SUMIF(Summary!$A$297:$A$333,$A2238,Summary!$L$297:$L$333))-AI2238,0)</f>
        <v>0</v>
      </c>
      <c r="AK2238" s="196">
        <f>IFERROR($G2238/SUMIF($A:$A,$A2238,$G:$G)*SUMIF(Summary!$A$247:$A$283,$A2238,Summary!$Q$247:$Q$283),0)</f>
        <v>0</v>
      </c>
      <c r="AL2238" s="196">
        <f>IFERROR($G2238/SUMIF($A:$A,$A2238,$G:$G)*(SUMIF(Summary!$A$247:$A$283,$A2238,Summary!$L$247:$L$283)+SUMIF(Summary!$A$297:$A$333,$A2238,Summary!$L$297:$L$333))-AK2238,0)</f>
        <v>0</v>
      </c>
      <c r="AM2238" s="198"/>
      <c r="AN2238" s="196">
        <f t="shared" ca="1" si="488"/>
        <v>0</v>
      </c>
      <c r="AO2238" s="196">
        <f t="shared" ca="1" si="489"/>
        <v>0</v>
      </c>
    </row>
    <row r="2239" spans="1:41">
      <c r="A2239" s="189">
        <v>3661</v>
      </c>
      <c r="B2239" s="190">
        <v>2</v>
      </c>
      <c r="C2239" s="191" t="s">
        <v>228</v>
      </c>
      <c r="D2239" s="192">
        <f t="shared" si="476"/>
        <v>477</v>
      </c>
      <c r="E2239" s="192">
        <f t="shared" si="477"/>
        <v>1602</v>
      </c>
      <c r="F2239" s="192">
        <f t="shared" si="478"/>
        <v>0</v>
      </c>
      <c r="G2239" s="193">
        <f t="shared" si="479"/>
        <v>2079</v>
      </c>
      <c r="H2239" s="194">
        <v>171</v>
      </c>
      <c r="I2239" s="194">
        <v>945</v>
      </c>
      <c r="J2239" s="194">
        <v>0</v>
      </c>
      <c r="K2239" s="193">
        <f t="shared" si="480"/>
        <v>1116</v>
      </c>
      <c r="L2239" s="194">
        <v>306</v>
      </c>
      <c r="M2239" s="194">
        <v>603</v>
      </c>
      <c r="N2239" s="194">
        <v>0</v>
      </c>
      <c r="O2239" s="193">
        <f t="shared" si="481"/>
        <v>909</v>
      </c>
      <c r="P2239" s="194">
        <v>0</v>
      </c>
      <c r="Q2239" s="194">
        <v>54</v>
      </c>
      <c r="R2239" s="194">
        <v>0</v>
      </c>
      <c r="S2239" s="193">
        <f t="shared" si="482"/>
        <v>54</v>
      </c>
      <c r="T2239" s="193">
        <f t="shared" si="483"/>
        <v>69.3</v>
      </c>
      <c r="U2239" s="193">
        <f ca="1">OFFSET('Expenditure Study'!$B$7,'Operations Support'!$C2239,'Operations Support'!$B2239)*$G2239</f>
        <v>3970.89</v>
      </c>
      <c r="V2239" s="199">
        <f ca="1">U2239*'Expenditure Study'!$B$31</f>
        <v>234612.81180691201</v>
      </c>
      <c r="W2239" s="199">
        <f ca="1">IF(A2239=10298,1.51,1)*IF($B2239&lt;3,$D2239*'Expenditure Study'!$B$32*OFFSET('Expenditure Study'!$B$7,'Operations Support'!$C2239,'Operations Support'!$B2239),0)</f>
        <v>91.106999999999999</v>
      </c>
      <c r="X2239" s="200">
        <f ca="1">W2239*'Expenditure Study'!$B$31</f>
        <v>5382.8913531456001</v>
      </c>
      <c r="Y2239" s="199">
        <f ca="1">U2239*'Expenditure Study'!$B$31</f>
        <v>234612.81180691201</v>
      </c>
      <c r="Z2239" s="200">
        <f ca="1">W2239*'Expenditure Study'!$B$31</f>
        <v>5382.8913531456001</v>
      </c>
      <c r="AA2239" s="195">
        <f t="shared" ca="1" si="484"/>
        <v>239995.7031600576</v>
      </c>
      <c r="AB2239" s="195">
        <f t="shared" ca="1" si="485"/>
        <v>239995.7031600576</v>
      </c>
      <c r="AD2239" s="196">
        <f>IFERROR($G2239/SUMIF($A:$A,$A2239,$G:$G)*SUMIF(Summary!$A$166:$A$242,$A2239,Summary!$P$166:$P$242),0)</f>
        <v>54881.175949622426</v>
      </c>
      <c r="AE2239" s="197">
        <f t="shared" ca="1" si="486"/>
        <v>185114.52721043519</v>
      </c>
      <c r="AF2239" s="196">
        <f>IFERROR(G2239/SUMIF(A:A,A2239,G:G)*SUMIF(Summary!$A$166:$A$242,'Operations Support'!A2239,Summary!$Q$166:$Q$242),0)</f>
        <v>54991.643805510881</v>
      </c>
      <c r="AG2239" s="196">
        <f t="shared" ca="1" si="487"/>
        <v>185004.05935454671</v>
      </c>
      <c r="AI2239" s="196">
        <f>IFERROR($G2239/SUMIF($A:$A,$A2239,$G:$G)*SUMIF(Summary!$A$247:$A$283,$A2239,Summary!$P$247:$P$283),0)</f>
        <v>10008.95694873158</v>
      </c>
      <c r="AJ2239" s="196">
        <f>IFERROR($G2239/SUMIF($A:$A,$A2239,$G:$G)*(SUMIF(Summary!$A$247:$A$283,$A2239,Summary!$L$247:$L$283)+SUMIF(Summary!$A$297:$A$333,$A2239,Summary!$L$297:$L$333))-AI2239,0)</f>
        <v>46658.558153704536</v>
      </c>
      <c r="AK2239" s="196">
        <f>IFERROR($G2239/SUMIF($A:$A,$A2239,$G:$G)*SUMIF(Summary!$A$247:$A$283,$A2239,Summary!$Q$247:$Q$283),0)</f>
        <v>10029.103528951018</v>
      </c>
      <c r="AL2239" s="196">
        <f>IFERROR($G2239/SUMIF($A:$A,$A2239,$G:$G)*(SUMIF(Summary!$A$247:$A$283,$A2239,Summary!$L$247:$L$283)+SUMIF(Summary!$A$297:$A$333,$A2239,Summary!$L$297:$L$333))-AK2239,0)</f>
        <v>46638.4115734851</v>
      </c>
      <c r="AM2239" s="198"/>
      <c r="AN2239" s="196">
        <f t="shared" ca="1" si="488"/>
        <v>231773.08536413973</v>
      </c>
      <c r="AO2239" s="196">
        <f t="shared" ca="1" si="489"/>
        <v>231642.47092803181</v>
      </c>
    </row>
    <row r="2240" spans="1:41">
      <c r="A2240" s="189">
        <v>3661</v>
      </c>
      <c r="B2240" s="190">
        <v>2</v>
      </c>
      <c r="C2240" s="191" t="s">
        <v>229</v>
      </c>
      <c r="D2240" s="192">
        <f t="shared" si="476"/>
        <v>0</v>
      </c>
      <c r="E2240" s="192">
        <f t="shared" si="477"/>
        <v>0</v>
      </c>
      <c r="F2240" s="192">
        <f t="shared" si="478"/>
        <v>0</v>
      </c>
      <c r="G2240" s="193">
        <f t="shared" si="479"/>
        <v>0</v>
      </c>
      <c r="H2240" s="194">
        <v>0</v>
      </c>
      <c r="I2240" s="194">
        <v>0</v>
      </c>
      <c r="J2240" s="194">
        <v>0</v>
      </c>
      <c r="K2240" s="193">
        <f t="shared" si="480"/>
        <v>0</v>
      </c>
      <c r="L2240" s="194">
        <v>0</v>
      </c>
      <c r="M2240" s="194">
        <v>0</v>
      </c>
      <c r="N2240" s="194">
        <v>0</v>
      </c>
      <c r="O2240" s="193">
        <f t="shared" si="481"/>
        <v>0</v>
      </c>
      <c r="P2240" s="194">
        <v>0</v>
      </c>
      <c r="Q2240" s="194">
        <v>0</v>
      </c>
      <c r="R2240" s="194">
        <v>0</v>
      </c>
      <c r="S2240" s="193">
        <f t="shared" si="482"/>
        <v>0</v>
      </c>
      <c r="T2240" s="193">
        <f t="shared" si="483"/>
        <v>0</v>
      </c>
      <c r="U2240" s="193">
        <f ca="1">OFFSET('Expenditure Study'!$B$7,'Operations Support'!$C2240,'Operations Support'!$B2240)*$G2240</f>
        <v>0</v>
      </c>
      <c r="V2240" s="199">
        <f ca="1">U2240*'Expenditure Study'!$B$31</f>
        <v>0</v>
      </c>
      <c r="W2240" s="199">
        <f ca="1">IF(A2240=10298,1.51,1)*IF($B2240&lt;3,$D2240*'Expenditure Study'!$B$32*OFFSET('Expenditure Study'!$B$7,'Operations Support'!$C2240,'Operations Support'!$B2240),0)</f>
        <v>0</v>
      </c>
      <c r="X2240" s="200">
        <f ca="1">W2240*'Expenditure Study'!$B$31</f>
        <v>0</v>
      </c>
      <c r="Y2240" s="199">
        <f ca="1">U2240*'Expenditure Study'!$B$31</f>
        <v>0</v>
      </c>
      <c r="Z2240" s="200">
        <f ca="1">W2240*'Expenditure Study'!$B$31</f>
        <v>0</v>
      </c>
      <c r="AA2240" s="195">
        <f t="shared" ca="1" si="484"/>
        <v>0</v>
      </c>
      <c r="AB2240" s="195">
        <f t="shared" ca="1" si="485"/>
        <v>0</v>
      </c>
      <c r="AD2240" s="196">
        <f>IFERROR($G2240/SUMIF($A:$A,$A2240,$G:$G)*SUMIF(Summary!$A$166:$A$242,$A2240,Summary!$P$166:$P$242),0)</f>
        <v>0</v>
      </c>
      <c r="AE2240" s="197">
        <f t="shared" ca="1" si="486"/>
        <v>0</v>
      </c>
      <c r="AF2240" s="196">
        <f>IFERROR(G2240/SUMIF(A:A,A2240,G:G)*SUMIF(Summary!$A$166:$A$242,'Operations Support'!A2240,Summary!$Q$166:$Q$242),0)</f>
        <v>0</v>
      </c>
      <c r="AG2240" s="196">
        <f t="shared" ca="1" si="487"/>
        <v>0</v>
      </c>
      <c r="AI2240" s="196">
        <f>IFERROR($G2240/SUMIF($A:$A,$A2240,$G:$G)*SUMIF(Summary!$A$247:$A$283,$A2240,Summary!$P$247:$P$283),0)</f>
        <v>0</v>
      </c>
      <c r="AJ2240" s="196">
        <f>IFERROR($G2240/SUMIF($A:$A,$A2240,$G:$G)*(SUMIF(Summary!$A$247:$A$283,$A2240,Summary!$L$247:$L$283)+SUMIF(Summary!$A$297:$A$333,$A2240,Summary!$L$297:$L$333))-AI2240,0)</f>
        <v>0</v>
      </c>
      <c r="AK2240" s="196">
        <f>IFERROR($G2240/SUMIF($A:$A,$A2240,$G:$G)*SUMIF(Summary!$A$247:$A$283,$A2240,Summary!$Q$247:$Q$283),0)</f>
        <v>0</v>
      </c>
      <c r="AL2240" s="196">
        <f>IFERROR($G2240/SUMIF($A:$A,$A2240,$G:$G)*(SUMIF(Summary!$A$247:$A$283,$A2240,Summary!$L$247:$L$283)+SUMIF(Summary!$A$297:$A$333,$A2240,Summary!$L$297:$L$333))-AK2240,0)</f>
        <v>0</v>
      </c>
      <c r="AM2240" s="198"/>
      <c r="AN2240" s="196">
        <f t="shared" ca="1" si="488"/>
        <v>0</v>
      </c>
      <c r="AO2240" s="196">
        <f t="shared" ca="1" si="489"/>
        <v>0</v>
      </c>
    </row>
    <row r="2241" spans="1:41">
      <c r="A2241" s="189">
        <v>3661</v>
      </c>
      <c r="B2241" s="190">
        <v>2</v>
      </c>
      <c r="C2241" s="191" t="s">
        <v>230</v>
      </c>
      <c r="D2241" s="192">
        <f t="shared" si="476"/>
        <v>0</v>
      </c>
      <c r="E2241" s="192">
        <f t="shared" si="477"/>
        <v>0</v>
      </c>
      <c r="F2241" s="192">
        <f t="shared" si="478"/>
        <v>0</v>
      </c>
      <c r="G2241" s="193">
        <f t="shared" si="479"/>
        <v>0</v>
      </c>
      <c r="H2241" s="194">
        <v>0</v>
      </c>
      <c r="I2241" s="194">
        <v>0</v>
      </c>
      <c r="J2241" s="194">
        <v>0</v>
      </c>
      <c r="K2241" s="193">
        <f t="shared" si="480"/>
        <v>0</v>
      </c>
      <c r="L2241" s="194">
        <v>0</v>
      </c>
      <c r="M2241" s="194">
        <v>0</v>
      </c>
      <c r="N2241" s="194">
        <v>0</v>
      </c>
      <c r="O2241" s="193">
        <f t="shared" si="481"/>
        <v>0</v>
      </c>
      <c r="P2241" s="194">
        <v>0</v>
      </c>
      <c r="Q2241" s="194">
        <v>0</v>
      </c>
      <c r="R2241" s="194">
        <v>0</v>
      </c>
      <c r="S2241" s="193">
        <f t="shared" si="482"/>
        <v>0</v>
      </c>
      <c r="T2241" s="193">
        <f t="shared" si="483"/>
        <v>0</v>
      </c>
      <c r="U2241" s="193">
        <f ca="1">OFFSET('Expenditure Study'!$B$7,'Operations Support'!$C2241,'Operations Support'!$B2241)*$G2241</f>
        <v>0</v>
      </c>
      <c r="V2241" s="199">
        <f ca="1">U2241*'Expenditure Study'!$B$31</f>
        <v>0</v>
      </c>
      <c r="W2241" s="199">
        <f ca="1">IF(A2241=10298,1.51,1)*IF($B2241&lt;3,$D2241*'Expenditure Study'!$B$32*OFFSET('Expenditure Study'!$B$7,'Operations Support'!$C2241,'Operations Support'!$B2241),0)</f>
        <v>0</v>
      </c>
      <c r="X2241" s="200">
        <f ca="1">W2241*'Expenditure Study'!$B$31</f>
        <v>0</v>
      </c>
      <c r="Y2241" s="199">
        <f ca="1">U2241*'Expenditure Study'!$B$31</f>
        <v>0</v>
      </c>
      <c r="Z2241" s="200">
        <f ca="1">W2241*'Expenditure Study'!$B$31</f>
        <v>0</v>
      </c>
      <c r="AA2241" s="195">
        <f t="shared" ca="1" si="484"/>
        <v>0</v>
      </c>
      <c r="AB2241" s="195">
        <f t="shared" ca="1" si="485"/>
        <v>0</v>
      </c>
      <c r="AD2241" s="196">
        <f>IFERROR($G2241/SUMIF($A:$A,$A2241,$G:$G)*SUMIF(Summary!$A$166:$A$242,$A2241,Summary!$P$166:$P$242),0)</f>
        <v>0</v>
      </c>
      <c r="AE2241" s="197">
        <f t="shared" ca="1" si="486"/>
        <v>0</v>
      </c>
      <c r="AF2241" s="196">
        <f>IFERROR(G2241/SUMIF(A:A,A2241,G:G)*SUMIF(Summary!$A$166:$A$242,'Operations Support'!A2241,Summary!$Q$166:$Q$242),0)</f>
        <v>0</v>
      </c>
      <c r="AG2241" s="196">
        <f t="shared" ca="1" si="487"/>
        <v>0</v>
      </c>
      <c r="AI2241" s="196">
        <f>IFERROR($G2241/SUMIF($A:$A,$A2241,$G:$G)*SUMIF(Summary!$A$247:$A$283,$A2241,Summary!$P$247:$P$283),0)</f>
        <v>0</v>
      </c>
      <c r="AJ2241" s="196">
        <f>IFERROR($G2241/SUMIF($A:$A,$A2241,$G:$G)*(SUMIF(Summary!$A$247:$A$283,$A2241,Summary!$L$247:$L$283)+SUMIF(Summary!$A$297:$A$333,$A2241,Summary!$L$297:$L$333))-AI2241,0)</f>
        <v>0</v>
      </c>
      <c r="AK2241" s="196">
        <f>IFERROR($G2241/SUMIF($A:$A,$A2241,$G:$G)*SUMIF(Summary!$A$247:$A$283,$A2241,Summary!$Q$247:$Q$283),0)</f>
        <v>0</v>
      </c>
      <c r="AL2241" s="196">
        <f>IFERROR($G2241/SUMIF($A:$A,$A2241,$G:$G)*(SUMIF(Summary!$A$247:$A$283,$A2241,Summary!$L$247:$L$283)+SUMIF(Summary!$A$297:$A$333,$A2241,Summary!$L$297:$L$333))-AK2241,0)</f>
        <v>0</v>
      </c>
      <c r="AM2241" s="198"/>
      <c r="AN2241" s="196">
        <f t="shared" ca="1" si="488"/>
        <v>0</v>
      </c>
      <c r="AO2241" s="196">
        <f t="shared" ca="1" si="489"/>
        <v>0</v>
      </c>
    </row>
    <row r="2242" spans="1:41">
      <c r="A2242" s="189">
        <v>3661</v>
      </c>
      <c r="B2242" s="190">
        <v>2</v>
      </c>
      <c r="C2242" s="191" t="s">
        <v>231</v>
      </c>
      <c r="D2242" s="192">
        <f t="shared" si="476"/>
        <v>0</v>
      </c>
      <c r="E2242" s="192">
        <f t="shared" si="477"/>
        <v>0</v>
      </c>
      <c r="F2242" s="192">
        <f t="shared" si="478"/>
        <v>0</v>
      </c>
      <c r="G2242" s="193">
        <f t="shared" si="479"/>
        <v>0</v>
      </c>
      <c r="H2242" s="194">
        <v>0</v>
      </c>
      <c r="I2242" s="194">
        <v>0</v>
      </c>
      <c r="J2242" s="194">
        <v>0</v>
      </c>
      <c r="K2242" s="193">
        <f t="shared" si="480"/>
        <v>0</v>
      </c>
      <c r="L2242" s="194">
        <v>0</v>
      </c>
      <c r="M2242" s="194">
        <v>0</v>
      </c>
      <c r="N2242" s="194">
        <v>0</v>
      </c>
      <c r="O2242" s="193">
        <f t="shared" si="481"/>
        <v>0</v>
      </c>
      <c r="P2242" s="194">
        <v>0</v>
      </c>
      <c r="Q2242" s="194">
        <v>0</v>
      </c>
      <c r="R2242" s="194">
        <v>0</v>
      </c>
      <c r="S2242" s="193">
        <f t="shared" si="482"/>
        <v>0</v>
      </c>
      <c r="T2242" s="193">
        <f t="shared" si="483"/>
        <v>0</v>
      </c>
      <c r="U2242" s="193">
        <f ca="1">OFFSET('Expenditure Study'!$B$7,'Operations Support'!$C2242,'Operations Support'!$B2242)*$G2242</f>
        <v>0</v>
      </c>
      <c r="V2242" s="199">
        <f ca="1">U2242*'Expenditure Study'!$B$31</f>
        <v>0</v>
      </c>
      <c r="W2242" s="199">
        <f ca="1">IF(A2242=10298,1.51,1)*IF($B2242&lt;3,$D2242*'Expenditure Study'!$B$32*OFFSET('Expenditure Study'!$B$7,'Operations Support'!$C2242,'Operations Support'!$B2242),0)</f>
        <v>0</v>
      </c>
      <c r="X2242" s="200">
        <f ca="1">W2242*'Expenditure Study'!$B$31</f>
        <v>0</v>
      </c>
      <c r="Y2242" s="199">
        <f ca="1">U2242*'Expenditure Study'!$B$31</f>
        <v>0</v>
      </c>
      <c r="Z2242" s="200">
        <f ca="1">W2242*'Expenditure Study'!$B$31</f>
        <v>0</v>
      </c>
      <c r="AA2242" s="195">
        <f t="shared" ca="1" si="484"/>
        <v>0</v>
      </c>
      <c r="AB2242" s="195">
        <f t="shared" ca="1" si="485"/>
        <v>0</v>
      </c>
      <c r="AD2242" s="196">
        <f>IFERROR($G2242/SUMIF($A:$A,$A2242,$G:$G)*SUMIF(Summary!$A$166:$A$242,$A2242,Summary!$P$166:$P$242),0)</f>
        <v>0</v>
      </c>
      <c r="AE2242" s="197">
        <f t="shared" ca="1" si="486"/>
        <v>0</v>
      </c>
      <c r="AF2242" s="196">
        <f>IFERROR(G2242/SUMIF(A:A,A2242,G:G)*SUMIF(Summary!$A$166:$A$242,'Operations Support'!A2242,Summary!$Q$166:$Q$242),0)</f>
        <v>0</v>
      </c>
      <c r="AG2242" s="196">
        <f t="shared" ca="1" si="487"/>
        <v>0</v>
      </c>
      <c r="AI2242" s="196">
        <f>IFERROR($G2242/SUMIF($A:$A,$A2242,$G:$G)*SUMIF(Summary!$A$247:$A$283,$A2242,Summary!$P$247:$P$283),0)</f>
        <v>0</v>
      </c>
      <c r="AJ2242" s="196">
        <f>IFERROR($G2242/SUMIF($A:$A,$A2242,$G:$G)*(SUMIF(Summary!$A$247:$A$283,$A2242,Summary!$L$247:$L$283)+SUMIF(Summary!$A$297:$A$333,$A2242,Summary!$L$297:$L$333))-AI2242,0)</f>
        <v>0</v>
      </c>
      <c r="AK2242" s="196">
        <f>IFERROR($G2242/SUMIF($A:$A,$A2242,$G:$G)*SUMIF(Summary!$A$247:$A$283,$A2242,Summary!$Q$247:$Q$283),0)</f>
        <v>0</v>
      </c>
      <c r="AL2242" s="196">
        <f>IFERROR($G2242/SUMIF($A:$A,$A2242,$G:$G)*(SUMIF(Summary!$A$247:$A$283,$A2242,Summary!$L$247:$L$283)+SUMIF(Summary!$A$297:$A$333,$A2242,Summary!$L$297:$L$333))-AK2242,0)</f>
        <v>0</v>
      </c>
      <c r="AM2242" s="198"/>
      <c r="AN2242" s="196">
        <f t="shared" ca="1" si="488"/>
        <v>0</v>
      </c>
      <c r="AO2242" s="196">
        <f t="shared" ca="1" si="489"/>
        <v>0</v>
      </c>
    </row>
    <row r="2243" spans="1:41">
      <c r="A2243" s="189">
        <v>3661</v>
      </c>
      <c r="B2243" s="190">
        <v>2</v>
      </c>
      <c r="C2243" s="191" t="s">
        <v>232</v>
      </c>
      <c r="D2243" s="192">
        <f t="shared" si="476"/>
        <v>0</v>
      </c>
      <c r="E2243" s="192">
        <f t="shared" si="477"/>
        <v>0</v>
      </c>
      <c r="F2243" s="192">
        <f t="shared" si="478"/>
        <v>0</v>
      </c>
      <c r="G2243" s="193">
        <f t="shared" si="479"/>
        <v>0</v>
      </c>
      <c r="H2243" s="194">
        <v>0</v>
      </c>
      <c r="I2243" s="194">
        <v>0</v>
      </c>
      <c r="J2243" s="194">
        <v>0</v>
      </c>
      <c r="K2243" s="193">
        <f t="shared" si="480"/>
        <v>0</v>
      </c>
      <c r="L2243" s="194">
        <v>0</v>
      </c>
      <c r="M2243" s="194">
        <v>0</v>
      </c>
      <c r="N2243" s="194">
        <v>0</v>
      </c>
      <c r="O2243" s="193">
        <f t="shared" si="481"/>
        <v>0</v>
      </c>
      <c r="P2243" s="194">
        <v>0</v>
      </c>
      <c r="Q2243" s="194">
        <v>0</v>
      </c>
      <c r="R2243" s="194">
        <v>0</v>
      </c>
      <c r="S2243" s="193">
        <f t="shared" si="482"/>
        <v>0</v>
      </c>
      <c r="T2243" s="193">
        <f t="shared" si="483"/>
        <v>0</v>
      </c>
      <c r="U2243" s="193">
        <f ca="1">OFFSET('Expenditure Study'!$B$7,'Operations Support'!$C2243,'Operations Support'!$B2243)*$G2243</f>
        <v>0</v>
      </c>
      <c r="V2243" s="199">
        <f ca="1">U2243*'Expenditure Study'!$B$31</f>
        <v>0</v>
      </c>
      <c r="W2243" s="199">
        <f ca="1">IF(A2243=10298,1.51,1)*IF($B2243&lt;3,$D2243*'Expenditure Study'!$B$32*OFFSET('Expenditure Study'!$B$7,'Operations Support'!$C2243,'Operations Support'!$B2243),0)</f>
        <v>0</v>
      </c>
      <c r="X2243" s="200">
        <f ca="1">W2243*'Expenditure Study'!$B$31</f>
        <v>0</v>
      </c>
      <c r="Y2243" s="199">
        <f ca="1">U2243*'Expenditure Study'!$B$31</f>
        <v>0</v>
      </c>
      <c r="Z2243" s="200">
        <f ca="1">W2243*'Expenditure Study'!$B$31</f>
        <v>0</v>
      </c>
      <c r="AA2243" s="195">
        <f t="shared" ca="1" si="484"/>
        <v>0</v>
      </c>
      <c r="AB2243" s="195">
        <f t="shared" ca="1" si="485"/>
        <v>0</v>
      </c>
      <c r="AD2243" s="196">
        <f>IFERROR($G2243/SUMIF($A:$A,$A2243,$G:$G)*SUMIF(Summary!$A$166:$A$242,$A2243,Summary!$P$166:$P$242),0)</f>
        <v>0</v>
      </c>
      <c r="AE2243" s="197">
        <f t="shared" ca="1" si="486"/>
        <v>0</v>
      </c>
      <c r="AF2243" s="196">
        <f>IFERROR(G2243/SUMIF(A:A,A2243,G:G)*SUMIF(Summary!$A$166:$A$242,'Operations Support'!A2243,Summary!$Q$166:$Q$242),0)</f>
        <v>0</v>
      </c>
      <c r="AG2243" s="196">
        <f t="shared" ca="1" si="487"/>
        <v>0</v>
      </c>
      <c r="AI2243" s="196">
        <f>IFERROR($G2243/SUMIF($A:$A,$A2243,$G:$G)*SUMIF(Summary!$A$247:$A$283,$A2243,Summary!$P$247:$P$283),0)</f>
        <v>0</v>
      </c>
      <c r="AJ2243" s="196">
        <f>IFERROR($G2243/SUMIF($A:$A,$A2243,$G:$G)*(SUMIF(Summary!$A$247:$A$283,$A2243,Summary!$L$247:$L$283)+SUMIF(Summary!$A$297:$A$333,$A2243,Summary!$L$297:$L$333))-AI2243,0)</f>
        <v>0</v>
      </c>
      <c r="AK2243" s="196">
        <f>IFERROR($G2243/SUMIF($A:$A,$A2243,$G:$G)*SUMIF(Summary!$A$247:$A$283,$A2243,Summary!$Q$247:$Q$283),0)</f>
        <v>0</v>
      </c>
      <c r="AL2243" s="196">
        <f>IFERROR($G2243/SUMIF($A:$A,$A2243,$G:$G)*(SUMIF(Summary!$A$247:$A$283,$A2243,Summary!$L$247:$L$283)+SUMIF(Summary!$A$297:$A$333,$A2243,Summary!$L$297:$L$333))-AK2243,0)</f>
        <v>0</v>
      </c>
      <c r="AM2243" s="198"/>
      <c r="AN2243" s="196">
        <f t="shared" ca="1" si="488"/>
        <v>0</v>
      </c>
      <c r="AO2243" s="196">
        <f t="shared" ca="1" si="489"/>
        <v>0</v>
      </c>
    </row>
    <row r="2244" spans="1:41">
      <c r="A2244" s="189">
        <v>3661</v>
      </c>
      <c r="B2244" s="190">
        <v>2</v>
      </c>
      <c r="C2244" s="191" t="s">
        <v>233</v>
      </c>
      <c r="D2244" s="192">
        <f t="shared" si="476"/>
        <v>3439.5</v>
      </c>
      <c r="E2244" s="192">
        <f t="shared" si="477"/>
        <v>13635.5</v>
      </c>
      <c r="F2244" s="192">
        <f t="shared" si="478"/>
        <v>0</v>
      </c>
      <c r="G2244" s="193">
        <f t="shared" si="479"/>
        <v>17075</v>
      </c>
      <c r="H2244" s="194">
        <v>1089</v>
      </c>
      <c r="I2244" s="194">
        <v>6265</v>
      </c>
      <c r="J2244" s="194">
        <v>0</v>
      </c>
      <c r="K2244" s="193">
        <f t="shared" si="480"/>
        <v>7354</v>
      </c>
      <c r="L2244" s="194">
        <v>1486.5</v>
      </c>
      <c r="M2244" s="194">
        <v>5689.5</v>
      </c>
      <c r="N2244" s="194">
        <v>0</v>
      </c>
      <c r="O2244" s="193">
        <f t="shared" si="481"/>
        <v>7176</v>
      </c>
      <c r="P2244" s="194">
        <v>864</v>
      </c>
      <c r="Q2244" s="194">
        <v>1681</v>
      </c>
      <c r="R2244" s="194">
        <v>0</v>
      </c>
      <c r="S2244" s="193">
        <f t="shared" si="482"/>
        <v>2545</v>
      </c>
      <c r="T2244" s="193">
        <f t="shared" si="483"/>
        <v>569.16666666666663</v>
      </c>
      <c r="U2244" s="193">
        <f ca="1">OFFSET('Expenditure Study'!$B$7,'Operations Support'!$C2244,'Operations Support'!$B2244)*$G2244</f>
        <v>27490.75</v>
      </c>
      <c r="V2244" s="199">
        <f ca="1">U2244*'Expenditure Study'!$B$31</f>
        <v>1624240.9525776</v>
      </c>
      <c r="W2244" s="199">
        <f ca="1">IF(A2244=10298,1.51,1)*IF($B2244&lt;3,$D2244*'Expenditure Study'!$B$32*OFFSET('Expenditure Study'!$B$7,'Operations Support'!$C2244,'Operations Support'!$B2244),0)</f>
        <v>553.75950000000012</v>
      </c>
      <c r="X2244" s="200">
        <f ca="1">W2244*'Expenditure Study'!$B$31</f>
        <v>32717.872658217606</v>
      </c>
      <c r="Y2244" s="199">
        <f ca="1">U2244*'Expenditure Study'!$B$31</f>
        <v>1624240.9525776</v>
      </c>
      <c r="Z2244" s="200">
        <f ca="1">W2244*'Expenditure Study'!$B$31</f>
        <v>32717.872658217606</v>
      </c>
      <c r="AA2244" s="195">
        <f t="shared" ca="1" si="484"/>
        <v>1656958.8252358176</v>
      </c>
      <c r="AB2244" s="195">
        <f t="shared" ca="1" si="485"/>
        <v>1656958.8252358176</v>
      </c>
      <c r="AD2244" s="196">
        <f>IFERROR($G2244/SUMIF($A:$A,$A2244,$G:$G)*SUMIF(Summary!$A$166:$A$242,$A2244,Summary!$P$166:$P$242),0)</f>
        <v>450743.66490611009</v>
      </c>
      <c r="AE2244" s="197">
        <f t="shared" ca="1" si="486"/>
        <v>1206215.1603297074</v>
      </c>
      <c r="AF2244" s="196">
        <f>IFERROR(G2244/SUMIF(A:A,A2244,G:G)*SUMIF(Summary!$A$166:$A$242,'Operations Support'!A2244,Summary!$Q$166:$Q$242),0)</f>
        <v>451650.94659889286</v>
      </c>
      <c r="AG2244" s="196">
        <f t="shared" ca="1" si="487"/>
        <v>1205307.8786369248</v>
      </c>
      <c r="AI2244" s="196">
        <f>IFERROR($G2244/SUMIF($A:$A,$A2244,$G:$G)*SUMIF(Summary!$A$247:$A$283,$A2244,Summary!$P$247:$P$283),0)</f>
        <v>82204.39629609992</v>
      </c>
      <c r="AJ2244" s="196">
        <f>IFERROR($G2244/SUMIF($A:$A,$A2244,$G:$G)*(SUMIF(Summary!$A$247:$A$283,$A2244,Summary!$L$247:$L$283)+SUMIF(Summary!$A$297:$A$333,$A2244,Summary!$L$297:$L$333))-AI2244,0)</f>
        <v>383210.62071885756</v>
      </c>
      <c r="AK2244" s="196">
        <f>IFERROR($G2244/SUMIF($A:$A,$A2244,$G:$G)*SUMIF(Summary!$A$247:$A$283,$A2244,Summary!$Q$247:$Q$283),0)</f>
        <v>82369.861835901218</v>
      </c>
      <c r="AL2244" s="196">
        <f>IFERROR($G2244/SUMIF($A:$A,$A2244,$G:$G)*(SUMIF(Summary!$A$247:$A$283,$A2244,Summary!$L$247:$L$283)+SUMIF(Summary!$A$297:$A$333,$A2244,Summary!$L$297:$L$333))-AK2244,0)</f>
        <v>383045.15517905628</v>
      </c>
      <c r="AM2244" s="198"/>
      <c r="AN2244" s="196">
        <f t="shared" ca="1" si="488"/>
        <v>1589425.7810485649</v>
      </c>
      <c r="AO2244" s="196">
        <f t="shared" ca="1" si="489"/>
        <v>1588353.0338159811</v>
      </c>
    </row>
    <row r="2245" spans="1:41">
      <c r="A2245" s="189">
        <v>3661</v>
      </c>
      <c r="B2245" s="190">
        <v>2</v>
      </c>
      <c r="C2245" s="191" t="s">
        <v>234</v>
      </c>
      <c r="D2245" s="192">
        <f t="shared" ref="D2245:D2308" si="490">H2245+L2245+P2245</f>
        <v>0</v>
      </c>
      <c r="E2245" s="192">
        <f t="shared" ref="E2245:E2308" si="491">I2245+M2245+Q2245</f>
        <v>0</v>
      </c>
      <c r="F2245" s="192">
        <f t="shared" ref="F2245:F2308" si="492">J2245+N2245+R2245</f>
        <v>0</v>
      </c>
      <c r="G2245" s="193">
        <f t="shared" ref="G2245:G2308" si="493">(SUM(D2245:E2245)-F2245)*IF(A2245=10298,1.51,1)</f>
        <v>0</v>
      </c>
      <c r="H2245" s="194">
        <v>0</v>
      </c>
      <c r="I2245" s="194">
        <v>0</v>
      </c>
      <c r="J2245" s="194">
        <v>0</v>
      </c>
      <c r="K2245" s="193">
        <f t="shared" ref="K2245:K2308" si="494">SUM(H2245:I2245)-J2245</f>
        <v>0</v>
      </c>
      <c r="L2245" s="194">
        <v>0</v>
      </c>
      <c r="M2245" s="194">
        <v>0</v>
      </c>
      <c r="N2245" s="194">
        <v>0</v>
      </c>
      <c r="O2245" s="193">
        <f t="shared" ref="O2245:O2308" si="495">SUM(L2245:M2245)-N2245</f>
        <v>0</v>
      </c>
      <c r="P2245" s="194">
        <v>0</v>
      </c>
      <c r="Q2245" s="194">
        <v>0</v>
      </c>
      <c r="R2245" s="194">
        <v>0</v>
      </c>
      <c r="S2245" s="193">
        <f t="shared" ref="S2245:S2308" si="496">SUM(P2245:Q2245)-R2245</f>
        <v>0</v>
      </c>
      <c r="T2245" s="193">
        <f t="shared" ref="T2245:T2308" si="497">IF(OR(B2245=1,B2245=2),G2245/30,IF(OR(B2245=3,B2245=5),G2245/24,IF(B2245=4,G2245/18,0)))</f>
        <v>0</v>
      </c>
      <c r="U2245" s="193">
        <f ca="1">OFFSET('Expenditure Study'!$B$7,'Operations Support'!$C2245,'Operations Support'!$B2245)*$G2245</f>
        <v>0</v>
      </c>
      <c r="V2245" s="199">
        <f ca="1">U2245*'Expenditure Study'!$B$31</f>
        <v>0</v>
      </c>
      <c r="W2245" s="199">
        <f ca="1">IF(A2245=10298,1.51,1)*IF($B2245&lt;3,$D2245*'Expenditure Study'!$B$32*OFFSET('Expenditure Study'!$B$7,'Operations Support'!$C2245,'Operations Support'!$B2245),0)</f>
        <v>0</v>
      </c>
      <c r="X2245" s="200">
        <f ca="1">W2245*'Expenditure Study'!$B$31</f>
        <v>0</v>
      </c>
      <c r="Y2245" s="199">
        <f ca="1">U2245*'Expenditure Study'!$B$31</f>
        <v>0</v>
      </c>
      <c r="Z2245" s="200">
        <f ca="1">W2245*'Expenditure Study'!$B$31</f>
        <v>0</v>
      </c>
      <c r="AA2245" s="195">
        <f t="shared" ref="AA2245:AA2308" ca="1" si="498">V2245+X2245</f>
        <v>0</v>
      </c>
      <c r="AB2245" s="195">
        <f t="shared" ref="AB2245:AB2308" ca="1" si="499">Y2245+Z2245</f>
        <v>0</v>
      </c>
      <c r="AD2245" s="196">
        <f>IFERROR($G2245/SUMIF($A:$A,$A2245,$G:$G)*SUMIF(Summary!$A$166:$A$242,$A2245,Summary!$P$166:$P$242),0)</f>
        <v>0</v>
      </c>
      <c r="AE2245" s="197">
        <f t="shared" ca="1" si="486"/>
        <v>0</v>
      </c>
      <c r="AF2245" s="196">
        <f>IFERROR(G2245/SUMIF(A:A,A2245,G:G)*SUMIF(Summary!$A$166:$A$242,'Operations Support'!A2245,Summary!$Q$166:$Q$242),0)</f>
        <v>0</v>
      </c>
      <c r="AG2245" s="196">
        <f t="shared" ca="1" si="487"/>
        <v>0</v>
      </c>
      <c r="AI2245" s="196">
        <f>IFERROR($G2245/SUMIF($A:$A,$A2245,$G:$G)*SUMIF(Summary!$A$247:$A$283,$A2245,Summary!$P$247:$P$283),0)</f>
        <v>0</v>
      </c>
      <c r="AJ2245" s="196">
        <f>IFERROR($G2245/SUMIF($A:$A,$A2245,$G:$G)*(SUMIF(Summary!$A$247:$A$283,$A2245,Summary!$L$247:$L$283)+SUMIF(Summary!$A$297:$A$333,$A2245,Summary!$L$297:$L$333))-AI2245,0)</f>
        <v>0</v>
      </c>
      <c r="AK2245" s="196">
        <f>IFERROR($G2245/SUMIF($A:$A,$A2245,$G:$G)*SUMIF(Summary!$A$247:$A$283,$A2245,Summary!$Q$247:$Q$283),0)</f>
        <v>0</v>
      </c>
      <c r="AL2245" s="196">
        <f>IFERROR($G2245/SUMIF($A:$A,$A2245,$G:$G)*(SUMIF(Summary!$A$247:$A$283,$A2245,Summary!$L$247:$L$283)+SUMIF(Summary!$A$297:$A$333,$A2245,Summary!$L$297:$L$333))-AK2245,0)</f>
        <v>0</v>
      </c>
      <c r="AM2245" s="198"/>
      <c r="AN2245" s="196">
        <f t="shared" ca="1" si="488"/>
        <v>0</v>
      </c>
      <c r="AO2245" s="196">
        <f t="shared" ca="1" si="489"/>
        <v>0</v>
      </c>
    </row>
    <row r="2246" spans="1:41" s="201" customFormat="1">
      <c r="A2246" s="189">
        <v>3661</v>
      </c>
      <c r="B2246" s="190">
        <v>2</v>
      </c>
      <c r="C2246" s="191" t="s">
        <v>235</v>
      </c>
      <c r="D2246" s="192">
        <f t="shared" si="490"/>
        <v>18540</v>
      </c>
      <c r="E2246" s="192">
        <f t="shared" si="491"/>
        <v>13068</v>
      </c>
      <c r="F2246" s="192">
        <f t="shared" si="492"/>
        <v>0</v>
      </c>
      <c r="G2246" s="193">
        <f t="shared" si="493"/>
        <v>31608</v>
      </c>
      <c r="H2246" s="194">
        <v>8088</v>
      </c>
      <c r="I2246" s="194">
        <v>6132</v>
      </c>
      <c r="J2246" s="194">
        <v>0</v>
      </c>
      <c r="K2246" s="193">
        <f t="shared" si="494"/>
        <v>14220</v>
      </c>
      <c r="L2246" s="194">
        <v>9102</v>
      </c>
      <c r="M2246" s="194">
        <v>5445</v>
      </c>
      <c r="N2246" s="194">
        <v>0</v>
      </c>
      <c r="O2246" s="193">
        <f t="shared" si="495"/>
        <v>14547</v>
      </c>
      <c r="P2246" s="194">
        <v>1350</v>
      </c>
      <c r="Q2246" s="194">
        <v>1491</v>
      </c>
      <c r="R2246" s="194">
        <v>0</v>
      </c>
      <c r="S2246" s="193">
        <f t="shared" si="496"/>
        <v>2841</v>
      </c>
      <c r="T2246" s="193">
        <f t="shared" si="497"/>
        <v>1053.5999999999999</v>
      </c>
      <c r="U2246" s="193">
        <f ca="1">OFFSET('Expenditure Study'!$B$7,'Operations Support'!$C2246,'Operations Support'!$B2246)*$G2246</f>
        <v>59106.960000000006</v>
      </c>
      <c r="V2246" s="199">
        <f ca="1">U2246*'Expenditure Study'!$B$31</f>
        <v>3492227.2042183685</v>
      </c>
      <c r="W2246" s="199">
        <f ca="1">IF(A2246=10298,1.51,1)*IF($B2246&lt;3,$D2246*'Expenditure Study'!$B$32*OFFSET('Expenditure Study'!$B$7,'Operations Support'!$C2246,'Operations Support'!$B2246),0)</f>
        <v>3466.98</v>
      </c>
      <c r="X2246" s="200">
        <f ca="1">W2246*'Expenditure Study'!$B$31</f>
        <v>204840.20616998401</v>
      </c>
      <c r="Y2246" s="199">
        <f ca="1">U2246*'Expenditure Study'!$B$31</f>
        <v>3492227.2042183685</v>
      </c>
      <c r="Z2246" s="200">
        <f ca="1">W2246*'Expenditure Study'!$B$31</f>
        <v>204840.20616998401</v>
      </c>
      <c r="AA2246" s="195">
        <f t="shared" ca="1" si="498"/>
        <v>3697067.4103883523</v>
      </c>
      <c r="AB2246" s="195">
        <f t="shared" ca="1" si="499"/>
        <v>3697067.4103883523</v>
      </c>
      <c r="AD2246" s="196">
        <f>IFERROR($G2246/SUMIF($A:$A,$A2246,$G:$G)*SUMIF(Summary!$A$166:$A$242,$A2246,Summary!$P$166:$P$242),0)</f>
        <v>834383.93911287433</v>
      </c>
      <c r="AE2246" s="197">
        <f t="shared" ref="AE2246:AE2309" ca="1" si="500">V2246+X2246-AD2246</f>
        <v>2862683.4712754781</v>
      </c>
      <c r="AF2246" s="196">
        <f>IFERROR(G2246/SUMIF(A:A,A2246,G:G)*SUMIF(Summary!$A$166:$A$242,'Operations Support'!A2246,Summary!$Q$166:$Q$242),0)</f>
        <v>836063.4330950398</v>
      </c>
      <c r="AG2246" s="196">
        <f t="shared" ref="AG2246:AG2309" ca="1" si="501">Y2246+Z2246-AF2246</f>
        <v>2861003.9772933125</v>
      </c>
      <c r="AH2246" s="180"/>
      <c r="AI2246" s="196">
        <f>IFERROR($G2246/SUMIF($A:$A,$A2246,$G:$G)*SUMIF(Summary!$A$247:$A$283,$A2246,Summary!$P$247:$P$283),0)</f>
        <v>152170.80867508793</v>
      </c>
      <c r="AJ2246" s="196">
        <f>IFERROR($G2246/SUMIF($A:$A,$A2246,$G:$G)*(SUMIF(Summary!$A$247:$A$283,$A2246,Summary!$L$247:$L$283)+SUMIF(Summary!$A$297:$A$333,$A2246,Summary!$L$297:$L$333))-AI2246,0)</f>
        <v>709371.67201649491</v>
      </c>
      <c r="AK2246" s="196">
        <f>IFERROR($G2246/SUMIF($A:$A,$A2246,$G:$G)*SUMIF(Summary!$A$247:$A$283,$A2246,Summary!$Q$247:$Q$283),0)</f>
        <v>152477.10646612977</v>
      </c>
      <c r="AL2246" s="196">
        <f>IFERROR($G2246/SUMIF($A:$A,$A2246,$G:$G)*(SUMIF(Summary!$A$247:$A$283,$A2246,Summary!$L$247:$L$283)+SUMIF(Summary!$A$297:$A$333,$A2246,Summary!$L$297:$L$333))-AK2246,0)</f>
        <v>709065.37422545301</v>
      </c>
      <c r="AM2246" s="198"/>
      <c r="AN2246" s="196">
        <f t="shared" ref="AN2246:AN2309" ca="1" si="502">AE2246+AJ2246</f>
        <v>3572055.143291973</v>
      </c>
      <c r="AO2246" s="196">
        <f t="shared" ref="AO2246:AO2309" ca="1" si="503">AG2246+AL2246</f>
        <v>3570069.3515187656</v>
      </c>
    </row>
    <row r="2247" spans="1:41">
      <c r="A2247" s="189">
        <v>3661</v>
      </c>
      <c r="B2247" s="190">
        <v>2</v>
      </c>
      <c r="C2247" s="191" t="s">
        <v>236</v>
      </c>
      <c r="D2247" s="192">
        <f t="shared" si="490"/>
        <v>0</v>
      </c>
      <c r="E2247" s="192">
        <f t="shared" si="491"/>
        <v>0</v>
      </c>
      <c r="F2247" s="192">
        <f t="shared" si="492"/>
        <v>0</v>
      </c>
      <c r="G2247" s="193">
        <f t="shared" si="493"/>
        <v>0</v>
      </c>
      <c r="H2247" s="194">
        <v>0</v>
      </c>
      <c r="I2247" s="194">
        <v>0</v>
      </c>
      <c r="J2247" s="194">
        <v>0</v>
      </c>
      <c r="K2247" s="193">
        <f t="shared" si="494"/>
        <v>0</v>
      </c>
      <c r="L2247" s="194">
        <v>0</v>
      </c>
      <c r="M2247" s="194">
        <v>0</v>
      </c>
      <c r="N2247" s="194">
        <v>0</v>
      </c>
      <c r="O2247" s="193">
        <f t="shared" si="495"/>
        <v>0</v>
      </c>
      <c r="P2247" s="194">
        <v>0</v>
      </c>
      <c r="Q2247" s="194">
        <v>0</v>
      </c>
      <c r="R2247" s="194">
        <v>0</v>
      </c>
      <c r="S2247" s="193">
        <f t="shared" si="496"/>
        <v>0</v>
      </c>
      <c r="T2247" s="193">
        <f t="shared" si="497"/>
        <v>0</v>
      </c>
      <c r="U2247" s="193">
        <f ca="1">OFFSET('Expenditure Study'!$B$7,'Operations Support'!$C2247,'Operations Support'!$B2247)*$G2247</f>
        <v>0</v>
      </c>
      <c r="V2247" s="199">
        <f ca="1">U2247*'Expenditure Study'!$B$31</f>
        <v>0</v>
      </c>
      <c r="W2247" s="199">
        <f ca="1">IF(A2247=10298,1.51,1)*IF($B2247&lt;3,$D2247*'Expenditure Study'!$B$32*OFFSET('Expenditure Study'!$B$7,'Operations Support'!$C2247,'Operations Support'!$B2247),0)</f>
        <v>0</v>
      </c>
      <c r="X2247" s="200">
        <f ca="1">W2247*'Expenditure Study'!$B$31</f>
        <v>0</v>
      </c>
      <c r="Y2247" s="199">
        <f ca="1">U2247*'Expenditure Study'!$B$31</f>
        <v>0</v>
      </c>
      <c r="Z2247" s="200">
        <f ca="1">W2247*'Expenditure Study'!$B$31</f>
        <v>0</v>
      </c>
      <c r="AA2247" s="195">
        <f t="shared" ca="1" si="498"/>
        <v>0</v>
      </c>
      <c r="AB2247" s="195">
        <f t="shared" ca="1" si="499"/>
        <v>0</v>
      </c>
      <c r="AD2247" s="196">
        <f>IFERROR($G2247/SUMIF($A:$A,$A2247,$G:$G)*SUMIF(Summary!$A$166:$A$242,$A2247,Summary!$P$166:$P$242),0)</f>
        <v>0</v>
      </c>
      <c r="AE2247" s="197">
        <f t="shared" ca="1" si="500"/>
        <v>0</v>
      </c>
      <c r="AF2247" s="196">
        <f>IFERROR(G2247/SUMIF(A:A,A2247,G:G)*SUMIF(Summary!$A$166:$A$242,'Operations Support'!A2247,Summary!$Q$166:$Q$242),0)</f>
        <v>0</v>
      </c>
      <c r="AG2247" s="196">
        <f t="shared" ca="1" si="501"/>
        <v>0</v>
      </c>
      <c r="AI2247" s="196">
        <f>IFERROR($G2247/SUMIF($A:$A,$A2247,$G:$G)*SUMIF(Summary!$A$247:$A$283,$A2247,Summary!$P$247:$P$283),0)</f>
        <v>0</v>
      </c>
      <c r="AJ2247" s="196">
        <f>IFERROR($G2247/SUMIF($A:$A,$A2247,$G:$G)*(SUMIF(Summary!$A$247:$A$283,$A2247,Summary!$L$247:$L$283)+SUMIF(Summary!$A$297:$A$333,$A2247,Summary!$L$297:$L$333))-AI2247,0)</f>
        <v>0</v>
      </c>
      <c r="AK2247" s="196">
        <f>IFERROR($G2247/SUMIF($A:$A,$A2247,$G:$G)*SUMIF(Summary!$A$247:$A$283,$A2247,Summary!$Q$247:$Q$283),0)</f>
        <v>0</v>
      </c>
      <c r="AL2247" s="196">
        <f>IFERROR($G2247/SUMIF($A:$A,$A2247,$G:$G)*(SUMIF(Summary!$A$247:$A$283,$A2247,Summary!$L$247:$L$283)+SUMIF(Summary!$A$297:$A$333,$A2247,Summary!$L$297:$L$333))-AK2247,0)</f>
        <v>0</v>
      </c>
      <c r="AM2247" s="198"/>
      <c r="AN2247" s="196">
        <f t="shared" ca="1" si="502"/>
        <v>0</v>
      </c>
      <c r="AO2247" s="196">
        <f t="shared" ca="1" si="503"/>
        <v>0</v>
      </c>
    </row>
    <row r="2248" spans="1:41">
      <c r="A2248" s="189">
        <v>3661</v>
      </c>
      <c r="B2248" s="190">
        <v>2</v>
      </c>
      <c r="C2248" s="191" t="s">
        <v>237</v>
      </c>
      <c r="D2248" s="192">
        <f t="shared" si="490"/>
        <v>72</v>
      </c>
      <c r="E2248" s="192">
        <f t="shared" si="491"/>
        <v>579</v>
      </c>
      <c r="F2248" s="192">
        <f t="shared" si="492"/>
        <v>0</v>
      </c>
      <c r="G2248" s="193">
        <f t="shared" si="493"/>
        <v>651</v>
      </c>
      <c r="H2248" s="194">
        <v>48</v>
      </c>
      <c r="I2248" s="194">
        <v>282</v>
      </c>
      <c r="J2248" s="194">
        <v>0</v>
      </c>
      <c r="K2248" s="193">
        <f t="shared" si="494"/>
        <v>330</v>
      </c>
      <c r="L2248" s="194">
        <v>24</v>
      </c>
      <c r="M2248" s="194">
        <v>297</v>
      </c>
      <c r="N2248" s="194">
        <v>0</v>
      </c>
      <c r="O2248" s="193">
        <f t="shared" si="495"/>
        <v>321</v>
      </c>
      <c r="P2248" s="194">
        <v>0</v>
      </c>
      <c r="Q2248" s="194">
        <v>0</v>
      </c>
      <c r="R2248" s="194">
        <v>0</v>
      </c>
      <c r="S2248" s="193">
        <f t="shared" si="496"/>
        <v>0</v>
      </c>
      <c r="T2248" s="193">
        <f t="shared" si="497"/>
        <v>21.7</v>
      </c>
      <c r="U2248" s="193">
        <f ca="1">OFFSET('Expenditure Study'!$B$7,'Operations Support'!$C2248,'Operations Support'!$B2248)*$G2248</f>
        <v>1523.34</v>
      </c>
      <c r="V2248" s="199">
        <f ca="1">U2248*'Expenditure Study'!$B$31</f>
        <v>90003.772639871997</v>
      </c>
      <c r="W2248" s="199">
        <f ca="1">IF(A2248=10298,1.51,1)*IF($B2248&lt;3,$D2248*'Expenditure Study'!$B$32*OFFSET('Expenditure Study'!$B$7,'Operations Support'!$C2248,'Operations Support'!$B2248),0)</f>
        <v>16.847999999999999</v>
      </c>
      <c r="X2248" s="200">
        <f ca="1">W2248*'Expenditure Study'!$B$31</f>
        <v>995.4334301184</v>
      </c>
      <c r="Y2248" s="199">
        <f ca="1">U2248*'Expenditure Study'!$B$31</f>
        <v>90003.772639871997</v>
      </c>
      <c r="Z2248" s="200">
        <f ca="1">W2248*'Expenditure Study'!$B$31</f>
        <v>995.4334301184</v>
      </c>
      <c r="AA2248" s="195">
        <f t="shared" ca="1" si="498"/>
        <v>90999.206069990396</v>
      </c>
      <c r="AB2248" s="195">
        <f t="shared" ca="1" si="499"/>
        <v>90999.206069990396</v>
      </c>
      <c r="AD2248" s="196">
        <f>IFERROR($G2248/SUMIF($A:$A,$A2248,$G:$G)*SUMIF(Summary!$A$166:$A$242,$A2248,Summary!$P$166:$P$242),0)</f>
        <v>17185.014691295914</v>
      </c>
      <c r="AE2248" s="197">
        <f t="shared" ca="1" si="500"/>
        <v>73814.191378694479</v>
      </c>
      <c r="AF2248" s="196">
        <f>IFERROR(G2248/SUMIF(A:A,A2248,G:G)*SUMIF(Summary!$A$166:$A$242,'Operations Support'!A2248,Summary!$Q$166:$Q$242),0)</f>
        <v>17219.605636069064</v>
      </c>
      <c r="AG2248" s="196">
        <f t="shared" ca="1" si="501"/>
        <v>73779.600433921325</v>
      </c>
      <c r="AI2248" s="196">
        <f>IFERROR($G2248/SUMIF($A:$A,$A2248,$G:$G)*SUMIF(Summary!$A$247:$A$283,$A2248,Summary!$P$247:$P$283),0)</f>
        <v>3134.1178324311013</v>
      </c>
      <c r="AJ2248" s="196">
        <f>IFERROR($G2248/SUMIF($A:$A,$A2248,$G:$G)*(SUMIF(Summary!$A$247:$A$283,$A2248,Summary!$L$247:$L$283)+SUMIF(Summary!$A$297:$A$333,$A2248,Summary!$L$297:$L$333))-AI2248,0)</f>
        <v>14610.255583483238</v>
      </c>
      <c r="AK2248" s="196">
        <f>IFERROR($G2248/SUMIF($A:$A,$A2248,$G:$G)*SUMIF(Summary!$A$247:$A$283,$A2248,Summary!$Q$247:$Q$283),0)</f>
        <v>3140.4263575503192</v>
      </c>
      <c r="AL2248" s="196">
        <f>IFERROR($G2248/SUMIF($A:$A,$A2248,$G:$G)*(SUMIF(Summary!$A$247:$A$283,$A2248,Summary!$L$247:$L$283)+SUMIF(Summary!$A$297:$A$333,$A2248,Summary!$L$297:$L$333))-AK2248,0)</f>
        <v>14603.94705836402</v>
      </c>
      <c r="AM2248" s="198"/>
      <c r="AN2248" s="196">
        <f t="shared" ca="1" si="502"/>
        <v>88424.446962177724</v>
      </c>
      <c r="AO2248" s="196">
        <f t="shared" ca="1" si="503"/>
        <v>88383.547492285346</v>
      </c>
    </row>
    <row r="2249" spans="1:41">
      <c r="A2249" s="189">
        <v>3661</v>
      </c>
      <c r="B2249" s="190">
        <v>2</v>
      </c>
      <c r="C2249" s="191" t="s">
        <v>238</v>
      </c>
      <c r="D2249" s="192">
        <f t="shared" si="490"/>
        <v>147</v>
      </c>
      <c r="E2249" s="192">
        <f t="shared" si="491"/>
        <v>573</v>
      </c>
      <c r="F2249" s="192">
        <f t="shared" si="492"/>
        <v>0</v>
      </c>
      <c r="G2249" s="193">
        <f t="shared" si="493"/>
        <v>720</v>
      </c>
      <c r="H2249" s="194">
        <v>75</v>
      </c>
      <c r="I2249" s="194">
        <v>276</v>
      </c>
      <c r="J2249" s="194">
        <v>0</v>
      </c>
      <c r="K2249" s="193">
        <f t="shared" si="494"/>
        <v>351</v>
      </c>
      <c r="L2249" s="194">
        <v>72</v>
      </c>
      <c r="M2249" s="194">
        <v>273</v>
      </c>
      <c r="N2249" s="194">
        <v>0</v>
      </c>
      <c r="O2249" s="193">
        <f t="shared" si="495"/>
        <v>345</v>
      </c>
      <c r="P2249" s="194">
        <v>0</v>
      </c>
      <c r="Q2249" s="194">
        <v>24</v>
      </c>
      <c r="R2249" s="194">
        <v>0</v>
      </c>
      <c r="S2249" s="193">
        <f t="shared" si="496"/>
        <v>24</v>
      </c>
      <c r="T2249" s="193">
        <f t="shared" si="497"/>
        <v>24</v>
      </c>
      <c r="U2249" s="193">
        <f ca="1">OFFSET('Expenditure Study'!$B$7,'Operations Support'!$C2249,'Operations Support'!$B2249)*$G2249</f>
        <v>1728</v>
      </c>
      <c r="V2249" s="199">
        <f ca="1">U2249*'Expenditure Study'!$B$31</f>
        <v>102095.7364224</v>
      </c>
      <c r="W2249" s="199">
        <f ca="1">IF(A2249=10298,1.51,1)*IF($B2249&lt;3,$D2249*'Expenditure Study'!$B$32*OFFSET('Expenditure Study'!$B$7,'Operations Support'!$C2249,'Operations Support'!$B2249),0)</f>
        <v>35.28</v>
      </c>
      <c r="X2249" s="200">
        <f ca="1">W2249*'Expenditure Study'!$B$31</f>
        <v>2084.454618624</v>
      </c>
      <c r="Y2249" s="199">
        <f ca="1">U2249*'Expenditure Study'!$B$31</f>
        <v>102095.7364224</v>
      </c>
      <c r="Z2249" s="200">
        <f ca="1">W2249*'Expenditure Study'!$B$31</f>
        <v>2084.454618624</v>
      </c>
      <c r="AA2249" s="195">
        <f t="shared" ca="1" si="498"/>
        <v>104180.19104102401</v>
      </c>
      <c r="AB2249" s="195">
        <f t="shared" ca="1" si="499"/>
        <v>104180.19104102401</v>
      </c>
      <c r="AD2249" s="196">
        <f>IFERROR($G2249/SUMIF($A:$A,$A2249,$G:$G)*SUMIF(Summary!$A$166:$A$242,$A2249,Summary!$P$166:$P$242),0)</f>
        <v>19006.467861341098</v>
      </c>
      <c r="AE2249" s="197">
        <f t="shared" ca="1" si="500"/>
        <v>85173.723179682915</v>
      </c>
      <c r="AF2249" s="196">
        <f>IFERROR(G2249/SUMIF(A:A,A2249,G:G)*SUMIF(Summary!$A$166:$A$242,'Operations Support'!A2249,Summary!$Q$166:$Q$242),0)</f>
        <v>19044.725127449652</v>
      </c>
      <c r="AG2249" s="196">
        <f t="shared" ca="1" si="501"/>
        <v>85135.465913574357</v>
      </c>
      <c r="AI2249" s="196">
        <f>IFERROR($G2249/SUMIF($A:$A,$A2249,$G:$G)*SUMIF(Summary!$A$247:$A$283,$A2249,Summary!$P$247:$P$283),0)</f>
        <v>3466.3054367901577</v>
      </c>
      <c r="AJ2249" s="196">
        <f>IFERROR($G2249/SUMIF($A:$A,$A2249,$G:$G)*(SUMIF(Summary!$A$247:$A$283,$A2249,Summary!$L$247:$L$283)+SUMIF(Summary!$A$297:$A$333,$A2249,Summary!$L$297:$L$333))-AI2249,0)</f>
        <v>16158.808018598971</v>
      </c>
      <c r="AK2249" s="196">
        <f>IFERROR($G2249/SUMIF($A:$A,$A2249,$G:$G)*SUMIF(Summary!$A$247:$A$283,$A2249,Summary!$Q$247:$Q$283),0)</f>
        <v>3473.2826074289242</v>
      </c>
      <c r="AL2249" s="196">
        <f>IFERROR($G2249/SUMIF($A:$A,$A2249,$G:$G)*(SUMIF(Summary!$A$247:$A$283,$A2249,Summary!$L$247:$L$283)+SUMIF(Summary!$A$297:$A$333,$A2249,Summary!$L$297:$L$333))-AK2249,0)</f>
        <v>16151.830847960204</v>
      </c>
      <c r="AM2249" s="198"/>
      <c r="AN2249" s="196">
        <f t="shared" ca="1" si="502"/>
        <v>101332.53119828188</v>
      </c>
      <c r="AO2249" s="196">
        <f t="shared" ca="1" si="503"/>
        <v>101287.29676153456</v>
      </c>
    </row>
    <row r="2250" spans="1:41">
      <c r="A2250" s="189">
        <v>3661</v>
      </c>
      <c r="B2250" s="190">
        <v>2</v>
      </c>
      <c r="C2250" s="191" t="s">
        <v>239</v>
      </c>
      <c r="D2250" s="192">
        <f t="shared" si="490"/>
        <v>2106</v>
      </c>
      <c r="E2250" s="192">
        <f t="shared" si="491"/>
        <v>15250</v>
      </c>
      <c r="F2250" s="192">
        <f t="shared" si="492"/>
        <v>0</v>
      </c>
      <c r="G2250" s="193">
        <f t="shared" si="493"/>
        <v>17356</v>
      </c>
      <c r="H2250" s="194">
        <v>689</v>
      </c>
      <c r="I2250" s="194">
        <v>5413</v>
      </c>
      <c r="J2250" s="194">
        <v>0</v>
      </c>
      <c r="K2250" s="193">
        <f t="shared" si="494"/>
        <v>6102</v>
      </c>
      <c r="L2250" s="194">
        <v>753</v>
      </c>
      <c r="M2250" s="194">
        <v>5002</v>
      </c>
      <c r="N2250" s="194">
        <v>0</v>
      </c>
      <c r="O2250" s="193">
        <f t="shared" si="495"/>
        <v>5755</v>
      </c>
      <c r="P2250" s="194">
        <v>664</v>
      </c>
      <c r="Q2250" s="194">
        <v>4835</v>
      </c>
      <c r="R2250" s="194">
        <v>0</v>
      </c>
      <c r="S2250" s="193">
        <f t="shared" si="496"/>
        <v>5499</v>
      </c>
      <c r="T2250" s="193">
        <f t="shared" si="497"/>
        <v>578.5333333333333</v>
      </c>
      <c r="U2250" s="193">
        <f ca="1">OFFSET('Expenditure Study'!$B$7,'Operations Support'!$C2250,'Operations Support'!$B2250)*$G2250</f>
        <v>36100.480000000003</v>
      </c>
      <c r="V2250" s="199">
        <f ca="1">U2250*'Expenditure Study'!$B$31</f>
        <v>2132931.186806784</v>
      </c>
      <c r="W2250" s="199">
        <f ca="1">IF(A2250=10298,1.51,1)*IF($B2250&lt;3,$D2250*'Expenditure Study'!$B$32*OFFSET('Expenditure Study'!$B$7,'Operations Support'!$C2250,'Operations Support'!$B2250),0)</f>
        <v>438.04800000000006</v>
      </c>
      <c r="X2250" s="200">
        <f ca="1">W2250*'Expenditure Study'!$B$31</f>
        <v>25881.269183078402</v>
      </c>
      <c r="Y2250" s="199">
        <f ca="1">U2250*'Expenditure Study'!$B$31</f>
        <v>2132931.186806784</v>
      </c>
      <c r="Z2250" s="200">
        <f ca="1">W2250*'Expenditure Study'!$B$31</f>
        <v>25881.269183078402</v>
      </c>
      <c r="AA2250" s="195">
        <f t="shared" ca="1" si="498"/>
        <v>2158812.4559898623</v>
      </c>
      <c r="AB2250" s="195">
        <f t="shared" ca="1" si="499"/>
        <v>2158812.4559898623</v>
      </c>
      <c r="AD2250" s="196">
        <f>IFERROR($G2250/SUMIF($A:$A,$A2250,$G:$G)*SUMIF(Summary!$A$166:$A$242,$A2250,Summary!$P$166:$P$242),0)</f>
        <v>458161.46694643906</v>
      </c>
      <c r="AE2250" s="197">
        <f t="shared" ca="1" si="500"/>
        <v>1700650.9890434232</v>
      </c>
      <c r="AF2250" s="196">
        <f>IFERROR(G2250/SUMIF(A:A,A2250,G:G)*SUMIF(Summary!$A$166:$A$242,'Operations Support'!A2250,Summary!$Q$166:$Q$242),0)</f>
        <v>459083.6796000225</v>
      </c>
      <c r="AG2250" s="196">
        <f t="shared" ca="1" si="501"/>
        <v>1699728.7763898398</v>
      </c>
      <c r="AI2250" s="196">
        <f>IFERROR($G2250/SUMIF($A:$A,$A2250,$G:$G)*SUMIF(Summary!$A$247:$A$283,$A2250,Summary!$P$247:$P$283),0)</f>
        <v>83557.218279069421</v>
      </c>
      <c r="AJ2250" s="196">
        <f>IFERROR($G2250/SUMIF($A:$A,$A2250,$G:$G)*(SUMIF(Summary!$A$247:$A$283,$A2250,Summary!$L$247:$L$283)+SUMIF(Summary!$A$297:$A$333,$A2250,Summary!$L$297:$L$333))-AI2250,0)</f>
        <v>389517.04440389416</v>
      </c>
      <c r="AK2250" s="196">
        <f>IFERROR($G2250/SUMIF($A:$A,$A2250,$G:$G)*SUMIF(Summary!$A$247:$A$283,$A2250,Summary!$Q$247:$Q$283),0)</f>
        <v>83725.406853522785</v>
      </c>
      <c r="AL2250" s="196">
        <f>IFERROR($G2250/SUMIF($A:$A,$A2250,$G:$G)*(SUMIF(Summary!$A$247:$A$283,$A2250,Summary!$L$247:$L$283)+SUMIF(Summary!$A$297:$A$333,$A2250,Summary!$L$297:$L$333))-AK2250,0)</f>
        <v>389348.85582944076</v>
      </c>
      <c r="AM2250" s="198"/>
      <c r="AN2250" s="196">
        <f t="shared" ca="1" si="502"/>
        <v>2090168.0334473173</v>
      </c>
      <c r="AO2250" s="196">
        <f t="shared" ca="1" si="503"/>
        <v>2089077.6322192806</v>
      </c>
    </row>
    <row r="2251" spans="1:41">
      <c r="A2251" s="189">
        <v>3661</v>
      </c>
      <c r="B2251" s="190">
        <v>2</v>
      </c>
      <c r="C2251" s="191" t="s">
        <v>240</v>
      </c>
      <c r="D2251" s="192">
        <f t="shared" si="490"/>
        <v>0</v>
      </c>
      <c r="E2251" s="192">
        <f t="shared" si="491"/>
        <v>0</v>
      </c>
      <c r="F2251" s="192">
        <f t="shared" si="492"/>
        <v>0</v>
      </c>
      <c r="G2251" s="193">
        <f t="shared" si="493"/>
        <v>0</v>
      </c>
      <c r="H2251" s="194">
        <v>0</v>
      </c>
      <c r="I2251" s="194">
        <v>0</v>
      </c>
      <c r="J2251" s="194">
        <v>0</v>
      </c>
      <c r="K2251" s="193">
        <f t="shared" si="494"/>
        <v>0</v>
      </c>
      <c r="L2251" s="194">
        <v>0</v>
      </c>
      <c r="M2251" s="194">
        <v>0</v>
      </c>
      <c r="N2251" s="194">
        <v>0</v>
      </c>
      <c r="O2251" s="193">
        <f t="shared" si="495"/>
        <v>0</v>
      </c>
      <c r="P2251" s="194">
        <v>0</v>
      </c>
      <c r="Q2251" s="194">
        <v>0</v>
      </c>
      <c r="R2251" s="194">
        <v>0</v>
      </c>
      <c r="S2251" s="193">
        <f t="shared" si="496"/>
        <v>0</v>
      </c>
      <c r="T2251" s="193">
        <f t="shared" si="497"/>
        <v>0</v>
      </c>
      <c r="U2251" s="193">
        <f ca="1">OFFSET('Expenditure Study'!$B$7,'Operations Support'!$C2251,'Operations Support'!$B2251)*$G2251</f>
        <v>0</v>
      </c>
      <c r="V2251" s="199">
        <f ca="1">U2251*'Expenditure Study'!$B$31</f>
        <v>0</v>
      </c>
      <c r="W2251" s="199">
        <f ca="1">IF(A2251=10298,1.51,1)*IF($B2251&lt;3,$D2251*'Expenditure Study'!$B$32*OFFSET('Expenditure Study'!$B$7,'Operations Support'!$C2251,'Operations Support'!$B2251),0)</f>
        <v>0</v>
      </c>
      <c r="X2251" s="200">
        <f ca="1">W2251*'Expenditure Study'!$B$31</f>
        <v>0</v>
      </c>
      <c r="Y2251" s="199">
        <f ca="1">U2251*'Expenditure Study'!$B$31</f>
        <v>0</v>
      </c>
      <c r="Z2251" s="200">
        <f ca="1">W2251*'Expenditure Study'!$B$31</f>
        <v>0</v>
      </c>
      <c r="AA2251" s="195">
        <f t="shared" ca="1" si="498"/>
        <v>0</v>
      </c>
      <c r="AB2251" s="195">
        <f t="shared" ca="1" si="499"/>
        <v>0</v>
      </c>
      <c r="AD2251" s="196">
        <f>IFERROR($G2251/SUMIF($A:$A,$A2251,$G:$G)*SUMIF(Summary!$A$166:$A$242,$A2251,Summary!$P$166:$P$242),0)</f>
        <v>0</v>
      </c>
      <c r="AE2251" s="197">
        <f t="shared" ca="1" si="500"/>
        <v>0</v>
      </c>
      <c r="AF2251" s="196">
        <f>IFERROR(G2251/SUMIF(A:A,A2251,G:G)*SUMIF(Summary!$A$166:$A$242,'Operations Support'!A2251,Summary!$Q$166:$Q$242),0)</f>
        <v>0</v>
      </c>
      <c r="AG2251" s="196">
        <f t="shared" ca="1" si="501"/>
        <v>0</v>
      </c>
      <c r="AI2251" s="196">
        <f>IFERROR($G2251/SUMIF($A:$A,$A2251,$G:$G)*SUMIF(Summary!$A$247:$A$283,$A2251,Summary!$P$247:$P$283),0)</f>
        <v>0</v>
      </c>
      <c r="AJ2251" s="196">
        <f>IFERROR($G2251/SUMIF($A:$A,$A2251,$G:$G)*(SUMIF(Summary!$A$247:$A$283,$A2251,Summary!$L$247:$L$283)+SUMIF(Summary!$A$297:$A$333,$A2251,Summary!$L$297:$L$333))-AI2251,0)</f>
        <v>0</v>
      </c>
      <c r="AK2251" s="196">
        <f>IFERROR($G2251/SUMIF($A:$A,$A2251,$G:$G)*SUMIF(Summary!$A$247:$A$283,$A2251,Summary!$Q$247:$Q$283),0)</f>
        <v>0</v>
      </c>
      <c r="AL2251" s="196">
        <f>IFERROR($G2251/SUMIF($A:$A,$A2251,$G:$G)*(SUMIF(Summary!$A$247:$A$283,$A2251,Summary!$L$247:$L$283)+SUMIF(Summary!$A$297:$A$333,$A2251,Summary!$L$297:$L$333))-AK2251,0)</f>
        <v>0</v>
      </c>
      <c r="AM2251" s="198"/>
      <c r="AN2251" s="196">
        <f t="shared" ca="1" si="502"/>
        <v>0</v>
      </c>
      <c r="AO2251" s="196">
        <f t="shared" ca="1" si="503"/>
        <v>0</v>
      </c>
    </row>
    <row r="2252" spans="1:41">
      <c r="A2252" s="189">
        <v>3661</v>
      </c>
      <c r="B2252" s="190">
        <v>3</v>
      </c>
      <c r="C2252" s="191" t="s">
        <v>220</v>
      </c>
      <c r="D2252" s="192">
        <f t="shared" si="490"/>
        <v>5627</v>
      </c>
      <c r="E2252" s="192">
        <f t="shared" si="491"/>
        <v>3488</v>
      </c>
      <c r="F2252" s="192">
        <f t="shared" si="492"/>
        <v>0</v>
      </c>
      <c r="G2252" s="193">
        <f t="shared" si="493"/>
        <v>9115</v>
      </c>
      <c r="H2252" s="194">
        <v>2207.5</v>
      </c>
      <c r="I2252" s="194">
        <v>1489.5</v>
      </c>
      <c r="J2252" s="194">
        <v>0</v>
      </c>
      <c r="K2252" s="193">
        <f t="shared" si="494"/>
        <v>3697</v>
      </c>
      <c r="L2252" s="194">
        <v>2671.5</v>
      </c>
      <c r="M2252" s="194">
        <v>1278.5</v>
      </c>
      <c r="N2252" s="194">
        <v>0</v>
      </c>
      <c r="O2252" s="193">
        <f t="shared" si="495"/>
        <v>3950</v>
      </c>
      <c r="P2252" s="194">
        <v>748</v>
      </c>
      <c r="Q2252" s="194">
        <v>720</v>
      </c>
      <c r="R2252" s="194">
        <v>0</v>
      </c>
      <c r="S2252" s="193">
        <f t="shared" si="496"/>
        <v>1468</v>
      </c>
      <c r="T2252" s="193">
        <f t="shared" si="497"/>
        <v>379.79166666666669</v>
      </c>
      <c r="U2252" s="193">
        <f ca="1">OFFSET('Expenditure Study'!$B$7,'Operations Support'!$C2252,'Operations Support'!$B2252)*$G2252</f>
        <v>40652.9</v>
      </c>
      <c r="V2252" s="199">
        <f ca="1">U2252*'Expenditure Study'!$B$31</f>
        <v>2401902.6407443201</v>
      </c>
      <c r="W2252" s="199">
        <f ca="1">IF(A2252=10298,1.51,1)*IF($B2252&lt;3,$D2252*'Expenditure Study'!$B$32*OFFSET('Expenditure Study'!$B$7,'Operations Support'!$C2252,'Operations Support'!$B2252),0)</f>
        <v>0</v>
      </c>
      <c r="X2252" s="200">
        <f ca="1">W2252*'Expenditure Study'!$B$31</f>
        <v>0</v>
      </c>
      <c r="Y2252" s="199">
        <f ca="1">U2252*'Expenditure Study'!$B$31</f>
        <v>2401902.6407443201</v>
      </c>
      <c r="Z2252" s="200">
        <f ca="1">W2252*'Expenditure Study'!$B$31</f>
        <v>0</v>
      </c>
      <c r="AA2252" s="195">
        <f t="shared" ca="1" si="498"/>
        <v>2401902.6407443201</v>
      </c>
      <c r="AB2252" s="195">
        <f t="shared" ca="1" si="499"/>
        <v>2401902.6407443201</v>
      </c>
      <c r="AD2252" s="196">
        <f>IFERROR($G2252/SUMIF($A:$A,$A2252,$G:$G)*SUMIF(Summary!$A$166:$A$242,$A2252,Summary!$P$166:$P$242),0)</f>
        <v>240616.60355017241</v>
      </c>
      <c r="AE2252" s="197">
        <f t="shared" ca="1" si="500"/>
        <v>2161286.0371941477</v>
      </c>
      <c r="AF2252" s="196">
        <f>IFERROR(G2252/SUMIF(A:A,A2252,G:G)*SUMIF(Summary!$A$166:$A$242,'Operations Support'!A2252,Summary!$Q$166:$Q$242),0)</f>
        <v>241100.92991208835</v>
      </c>
      <c r="AG2252" s="196">
        <f t="shared" ca="1" si="501"/>
        <v>2160801.7108322317</v>
      </c>
      <c r="AI2252" s="196">
        <f>IFERROR($G2252/SUMIF($A:$A,$A2252,$G:$G)*SUMIF(Summary!$A$247:$A$283,$A2252,Summary!$P$247:$P$283),0)</f>
        <v>43882.463967142066</v>
      </c>
      <c r="AJ2252" s="196">
        <f>IFERROR($G2252/SUMIF($A:$A,$A2252,$G:$G)*(SUMIF(Summary!$A$247:$A$283,$A2252,Summary!$L$247:$L$283)+SUMIF(Summary!$A$297:$A$333,$A2252,Summary!$L$297:$L$333))-AI2252,0)</f>
        <v>204566.02095768004</v>
      </c>
      <c r="AK2252" s="196">
        <f>IFERROR($G2252/SUMIF($A:$A,$A2252,$G:$G)*SUMIF(Summary!$A$247:$A$283,$A2252,Summary!$Q$247:$Q$283),0)</f>
        <v>43970.793009325898</v>
      </c>
      <c r="AL2252" s="196">
        <f>IFERROR($G2252/SUMIF($A:$A,$A2252,$G:$G)*(SUMIF(Summary!$A$247:$A$283,$A2252,Summary!$L$247:$L$283)+SUMIF(Summary!$A$297:$A$333,$A2252,Summary!$L$297:$L$333))-AK2252,0)</f>
        <v>204477.69191549622</v>
      </c>
      <c r="AM2252" s="198"/>
      <c r="AN2252" s="196">
        <f t="shared" ca="1" si="502"/>
        <v>2365852.0581518277</v>
      </c>
      <c r="AO2252" s="196">
        <f t="shared" ca="1" si="503"/>
        <v>2365279.4027477279</v>
      </c>
    </row>
    <row r="2253" spans="1:41">
      <c r="A2253" s="189">
        <v>3661</v>
      </c>
      <c r="B2253" s="190">
        <v>3</v>
      </c>
      <c r="C2253" s="191" t="s">
        <v>221</v>
      </c>
      <c r="D2253" s="192">
        <f t="shared" si="490"/>
        <v>1740</v>
      </c>
      <c r="E2253" s="192">
        <f t="shared" si="491"/>
        <v>68</v>
      </c>
      <c r="F2253" s="192">
        <f t="shared" si="492"/>
        <v>0</v>
      </c>
      <c r="G2253" s="193">
        <f t="shared" si="493"/>
        <v>1808</v>
      </c>
      <c r="H2253" s="194">
        <v>690</v>
      </c>
      <c r="I2253" s="194">
        <v>15</v>
      </c>
      <c r="J2253" s="194">
        <v>0</v>
      </c>
      <c r="K2253" s="193">
        <f t="shared" si="494"/>
        <v>705</v>
      </c>
      <c r="L2253" s="194">
        <v>948</v>
      </c>
      <c r="M2253" s="194">
        <v>53</v>
      </c>
      <c r="N2253" s="194">
        <v>0</v>
      </c>
      <c r="O2253" s="193">
        <f t="shared" si="495"/>
        <v>1001</v>
      </c>
      <c r="P2253" s="194">
        <v>102</v>
      </c>
      <c r="Q2253" s="194">
        <v>0</v>
      </c>
      <c r="R2253" s="194">
        <v>0</v>
      </c>
      <c r="S2253" s="193">
        <f t="shared" si="496"/>
        <v>102</v>
      </c>
      <c r="T2253" s="193">
        <f t="shared" si="497"/>
        <v>75.333333333333329</v>
      </c>
      <c r="U2253" s="193">
        <f ca="1">OFFSET('Expenditure Study'!$B$7,'Operations Support'!$C2253,'Operations Support'!$B2253)*$G2253</f>
        <v>12656</v>
      </c>
      <c r="V2253" s="199">
        <f ca="1">U2253*'Expenditure Study'!$B$31</f>
        <v>747756.73620479996</v>
      </c>
      <c r="W2253" s="199">
        <f ca="1">IF(A2253=10298,1.51,1)*IF($B2253&lt;3,$D2253*'Expenditure Study'!$B$32*OFFSET('Expenditure Study'!$B$7,'Operations Support'!$C2253,'Operations Support'!$B2253),0)</f>
        <v>0</v>
      </c>
      <c r="X2253" s="200">
        <f ca="1">W2253*'Expenditure Study'!$B$31</f>
        <v>0</v>
      </c>
      <c r="Y2253" s="199">
        <f ca="1">U2253*'Expenditure Study'!$B$31</f>
        <v>747756.73620479996</v>
      </c>
      <c r="Z2253" s="200">
        <f ca="1">W2253*'Expenditure Study'!$B$31</f>
        <v>0</v>
      </c>
      <c r="AA2253" s="195">
        <f t="shared" ca="1" si="498"/>
        <v>747756.73620479996</v>
      </c>
      <c r="AB2253" s="195">
        <f t="shared" ca="1" si="499"/>
        <v>747756.73620479996</v>
      </c>
      <c r="AD2253" s="196">
        <f>IFERROR($G2253/SUMIF($A:$A,$A2253,$G:$G)*SUMIF(Summary!$A$166:$A$242,$A2253,Summary!$P$166:$P$242),0)</f>
        <v>47727.35262958987</v>
      </c>
      <c r="AE2253" s="197">
        <f t="shared" ca="1" si="500"/>
        <v>700029.38357521011</v>
      </c>
      <c r="AF2253" s="196">
        <f>IFERROR(G2253/SUMIF(A:A,A2253,G:G)*SUMIF(Summary!$A$166:$A$242,'Operations Support'!A2253,Summary!$Q$166:$Q$242),0)</f>
        <v>47823.420875595795</v>
      </c>
      <c r="AG2253" s="196">
        <f t="shared" ca="1" si="501"/>
        <v>699933.3153292042</v>
      </c>
      <c r="AI2253" s="196">
        <f>IFERROR($G2253/SUMIF($A:$A,$A2253,$G:$G)*SUMIF(Summary!$A$247:$A$283,$A2253,Summary!$P$247:$P$283),0)</f>
        <v>8704.2780968286188</v>
      </c>
      <c r="AJ2253" s="196">
        <f>IFERROR($G2253/SUMIF($A:$A,$A2253,$G:$G)*(SUMIF(Summary!$A$247:$A$283,$A2253,Summary!$L$247:$L$283)+SUMIF(Summary!$A$297:$A$333,$A2253,Summary!$L$297:$L$333))-AI2253,0)</f>
        <v>40576.562357815201</v>
      </c>
      <c r="AK2253" s="196">
        <f>IFERROR($G2253/SUMIF($A:$A,$A2253,$G:$G)*SUMIF(Summary!$A$247:$A$283,$A2253,Summary!$Q$247:$Q$283),0)</f>
        <v>8721.7985475437436</v>
      </c>
      <c r="AL2253" s="196">
        <f>IFERROR($G2253/SUMIF($A:$A,$A2253,$G:$G)*(SUMIF(Summary!$A$247:$A$283,$A2253,Summary!$L$247:$L$283)+SUMIF(Summary!$A$297:$A$333,$A2253,Summary!$L$297:$L$333))-AK2253,0)</f>
        <v>40559.041907100072</v>
      </c>
      <c r="AM2253" s="198"/>
      <c r="AN2253" s="196">
        <f t="shared" ca="1" si="502"/>
        <v>740605.94593302533</v>
      </c>
      <c r="AO2253" s="196">
        <f t="shared" ca="1" si="503"/>
        <v>740492.35723630432</v>
      </c>
    </row>
    <row r="2254" spans="1:41">
      <c r="A2254" s="189">
        <v>3661</v>
      </c>
      <c r="B2254" s="190">
        <v>3</v>
      </c>
      <c r="C2254" s="191" t="s">
        <v>222</v>
      </c>
      <c r="D2254" s="192">
        <f t="shared" si="490"/>
        <v>347</v>
      </c>
      <c r="E2254" s="192">
        <f t="shared" si="491"/>
        <v>257</v>
      </c>
      <c r="F2254" s="192">
        <f t="shared" si="492"/>
        <v>0</v>
      </c>
      <c r="G2254" s="193">
        <f t="shared" si="493"/>
        <v>604</v>
      </c>
      <c r="H2254" s="194">
        <v>121</v>
      </c>
      <c r="I2254" s="194">
        <v>106</v>
      </c>
      <c r="J2254" s="194">
        <v>0</v>
      </c>
      <c r="K2254" s="193">
        <f t="shared" si="494"/>
        <v>227</v>
      </c>
      <c r="L2254" s="194">
        <v>67</v>
      </c>
      <c r="M2254" s="194">
        <v>151</v>
      </c>
      <c r="N2254" s="194">
        <v>0</v>
      </c>
      <c r="O2254" s="193">
        <f t="shared" si="495"/>
        <v>218</v>
      </c>
      <c r="P2254" s="194">
        <v>159</v>
      </c>
      <c r="Q2254" s="194">
        <v>0</v>
      </c>
      <c r="R2254" s="194">
        <v>0</v>
      </c>
      <c r="S2254" s="193">
        <f t="shared" si="496"/>
        <v>159</v>
      </c>
      <c r="T2254" s="193">
        <f t="shared" si="497"/>
        <v>25.166666666666668</v>
      </c>
      <c r="U2254" s="193">
        <f ca="1">OFFSET('Expenditure Study'!$B$7,'Operations Support'!$C2254,'Operations Support'!$B2254)*$G2254</f>
        <v>4536.04</v>
      </c>
      <c r="V2254" s="199">
        <f ca="1">U2254*'Expenditure Study'!$B$31</f>
        <v>268003.67143603199</v>
      </c>
      <c r="W2254" s="199">
        <f ca="1">IF(A2254=10298,1.51,1)*IF($B2254&lt;3,$D2254*'Expenditure Study'!$B$32*OFFSET('Expenditure Study'!$B$7,'Operations Support'!$C2254,'Operations Support'!$B2254),0)</f>
        <v>0</v>
      </c>
      <c r="X2254" s="200">
        <f ca="1">W2254*'Expenditure Study'!$B$31</f>
        <v>0</v>
      </c>
      <c r="Y2254" s="199">
        <f ca="1">U2254*'Expenditure Study'!$B$31</f>
        <v>268003.67143603199</v>
      </c>
      <c r="Z2254" s="200">
        <f ca="1">W2254*'Expenditure Study'!$B$31</f>
        <v>0</v>
      </c>
      <c r="AA2254" s="195">
        <f t="shared" ca="1" si="498"/>
        <v>268003.67143603199</v>
      </c>
      <c r="AB2254" s="195">
        <f t="shared" ca="1" si="499"/>
        <v>268003.67143603199</v>
      </c>
      <c r="AD2254" s="196">
        <f>IFERROR($G2254/SUMIF($A:$A,$A2254,$G:$G)*SUMIF(Summary!$A$166:$A$242,$A2254,Summary!$P$166:$P$242),0)</f>
        <v>15944.314705902811</v>
      </c>
      <c r="AE2254" s="197">
        <f t="shared" ca="1" si="500"/>
        <v>252059.35673012919</v>
      </c>
      <c r="AF2254" s="196">
        <f>IFERROR(G2254/SUMIF(A:A,A2254,G:G)*SUMIF(Summary!$A$166:$A$242,'Operations Support'!A2254,Summary!$Q$166:$Q$242),0)</f>
        <v>15976.408301360543</v>
      </c>
      <c r="AG2254" s="196">
        <f t="shared" ca="1" si="501"/>
        <v>252027.26313467143</v>
      </c>
      <c r="AI2254" s="196">
        <f>IFERROR($G2254/SUMIF($A:$A,$A2254,$G:$G)*SUMIF(Summary!$A$247:$A$283,$A2254,Summary!$P$247:$P$283),0)</f>
        <v>2907.8451164184103</v>
      </c>
      <c r="AJ2254" s="196">
        <f>IFERROR($G2254/SUMIF($A:$A,$A2254,$G:$G)*(SUMIF(Summary!$A$247:$A$283,$A2254,Summary!$L$247:$L$283)+SUMIF(Summary!$A$297:$A$333,$A2254,Summary!$L$297:$L$333))-AI2254,0)</f>
        <v>13555.444504491361</v>
      </c>
      <c r="AK2254" s="196">
        <f>IFERROR($G2254/SUMIF($A:$A,$A2254,$G:$G)*SUMIF(Summary!$A$247:$A$283,$A2254,Summary!$Q$247:$Q$283),0)</f>
        <v>2913.6981873431532</v>
      </c>
      <c r="AL2254" s="196">
        <f>IFERROR($G2254/SUMIF($A:$A,$A2254,$G:$G)*(SUMIF(Summary!$A$247:$A$283,$A2254,Summary!$L$247:$L$283)+SUMIF(Summary!$A$297:$A$333,$A2254,Summary!$L$297:$L$333))-AK2254,0)</f>
        <v>13549.591433566617</v>
      </c>
      <c r="AM2254" s="198"/>
      <c r="AN2254" s="196">
        <f t="shared" ca="1" si="502"/>
        <v>265614.80123462057</v>
      </c>
      <c r="AO2254" s="196">
        <f t="shared" ca="1" si="503"/>
        <v>265576.85456823802</v>
      </c>
    </row>
    <row r="2255" spans="1:41">
      <c r="A2255" s="189">
        <v>3661</v>
      </c>
      <c r="B2255" s="190">
        <v>3</v>
      </c>
      <c r="C2255" s="191" t="s">
        <v>223</v>
      </c>
      <c r="D2255" s="192">
        <f t="shared" si="490"/>
        <v>3306</v>
      </c>
      <c r="E2255" s="192">
        <f t="shared" si="491"/>
        <v>3342</v>
      </c>
      <c r="F2255" s="192">
        <f t="shared" si="492"/>
        <v>0</v>
      </c>
      <c r="G2255" s="193">
        <f t="shared" si="493"/>
        <v>6648</v>
      </c>
      <c r="H2255" s="194">
        <v>1284</v>
      </c>
      <c r="I2255" s="194">
        <v>1195</v>
      </c>
      <c r="J2255" s="194">
        <v>0</v>
      </c>
      <c r="K2255" s="193">
        <f t="shared" si="494"/>
        <v>2479</v>
      </c>
      <c r="L2255" s="194">
        <v>1150</v>
      </c>
      <c r="M2255" s="194">
        <v>925</v>
      </c>
      <c r="N2255" s="194">
        <v>0</v>
      </c>
      <c r="O2255" s="193">
        <f t="shared" si="495"/>
        <v>2075</v>
      </c>
      <c r="P2255" s="194">
        <v>872</v>
      </c>
      <c r="Q2255" s="194">
        <v>1222</v>
      </c>
      <c r="R2255" s="194">
        <v>0</v>
      </c>
      <c r="S2255" s="193">
        <f t="shared" si="496"/>
        <v>2094</v>
      </c>
      <c r="T2255" s="193">
        <f t="shared" si="497"/>
        <v>277</v>
      </c>
      <c r="U2255" s="193">
        <f ca="1">OFFSET('Expenditure Study'!$B$7,'Operations Support'!$C2255,'Operations Support'!$B2255)*$G2255</f>
        <v>14891.520000000002</v>
      </c>
      <c r="V2255" s="199">
        <f ca="1">U2255*'Expenditure Study'!$B$31</f>
        <v>879838.36854681617</v>
      </c>
      <c r="W2255" s="199">
        <f ca="1">IF(A2255=10298,1.51,1)*IF($B2255&lt;3,$D2255*'Expenditure Study'!$B$32*OFFSET('Expenditure Study'!$B$7,'Operations Support'!$C2255,'Operations Support'!$B2255),0)</f>
        <v>0</v>
      </c>
      <c r="X2255" s="200">
        <f ca="1">W2255*'Expenditure Study'!$B$31</f>
        <v>0</v>
      </c>
      <c r="Y2255" s="199">
        <f ca="1">U2255*'Expenditure Study'!$B$31</f>
        <v>879838.36854681617</v>
      </c>
      <c r="Z2255" s="200">
        <f ca="1">W2255*'Expenditure Study'!$B$31</f>
        <v>0</v>
      </c>
      <c r="AA2255" s="195">
        <f t="shared" ca="1" si="498"/>
        <v>879838.36854681617</v>
      </c>
      <c r="AB2255" s="195">
        <f t="shared" ca="1" si="499"/>
        <v>879838.36854681617</v>
      </c>
      <c r="AD2255" s="196">
        <f>IFERROR($G2255/SUMIF($A:$A,$A2255,$G:$G)*SUMIF(Summary!$A$166:$A$242,$A2255,Summary!$P$166:$P$242),0)</f>
        <v>175493.0532530495</v>
      </c>
      <c r="AE2255" s="197">
        <f t="shared" ca="1" si="500"/>
        <v>704345.31529376667</v>
      </c>
      <c r="AF2255" s="196">
        <f>IFERROR(G2255/SUMIF(A:A,A2255,G:G)*SUMIF(Summary!$A$166:$A$242,'Operations Support'!A2255,Summary!$Q$166:$Q$242),0)</f>
        <v>175846.29534345181</v>
      </c>
      <c r="AG2255" s="196">
        <f t="shared" ca="1" si="501"/>
        <v>703992.07320336439</v>
      </c>
      <c r="AI2255" s="196">
        <f>IFERROR($G2255/SUMIF($A:$A,$A2255,$G:$G)*SUMIF(Summary!$A$247:$A$283,$A2255,Summary!$P$247:$P$283),0)</f>
        <v>32005.553533029124</v>
      </c>
      <c r="AJ2255" s="196">
        <f>IFERROR($G2255/SUMIF($A:$A,$A2255,$G:$G)*(SUMIF(Summary!$A$247:$A$283,$A2255,Summary!$L$247:$L$283)+SUMIF(Summary!$A$297:$A$333,$A2255,Summary!$L$297:$L$333))-AI2255,0)</f>
        <v>149199.66070506384</v>
      </c>
      <c r="AK2255" s="196">
        <f>IFERROR($G2255/SUMIF($A:$A,$A2255,$G:$G)*SUMIF(Summary!$A$247:$A$283,$A2255,Summary!$Q$247:$Q$283),0)</f>
        <v>32069.976075260402</v>
      </c>
      <c r="AL2255" s="196">
        <f>IFERROR($G2255/SUMIF($A:$A,$A2255,$G:$G)*(SUMIF(Summary!$A$247:$A$283,$A2255,Summary!$L$247:$L$283)+SUMIF(Summary!$A$297:$A$333,$A2255,Summary!$L$297:$L$333))-AK2255,0)</f>
        <v>149135.23816283257</v>
      </c>
      <c r="AM2255" s="198"/>
      <c r="AN2255" s="196">
        <f t="shared" ca="1" si="502"/>
        <v>853544.97599883052</v>
      </c>
      <c r="AO2255" s="196">
        <f t="shared" ca="1" si="503"/>
        <v>853127.31136619695</v>
      </c>
    </row>
    <row r="2256" spans="1:41">
      <c r="A2256" s="189">
        <v>3661</v>
      </c>
      <c r="B2256" s="190">
        <v>3</v>
      </c>
      <c r="C2256" s="191" t="s">
        <v>224</v>
      </c>
      <c r="D2256" s="192">
        <f t="shared" si="490"/>
        <v>0</v>
      </c>
      <c r="E2256" s="192">
        <f t="shared" si="491"/>
        <v>0</v>
      </c>
      <c r="F2256" s="192">
        <f t="shared" si="492"/>
        <v>0</v>
      </c>
      <c r="G2256" s="193">
        <f t="shared" si="493"/>
        <v>0</v>
      </c>
      <c r="H2256" s="194">
        <v>0</v>
      </c>
      <c r="I2256" s="194">
        <v>0</v>
      </c>
      <c r="J2256" s="194">
        <v>0</v>
      </c>
      <c r="K2256" s="193">
        <f t="shared" si="494"/>
        <v>0</v>
      </c>
      <c r="L2256" s="194">
        <v>0</v>
      </c>
      <c r="M2256" s="194">
        <v>0</v>
      </c>
      <c r="N2256" s="194">
        <v>0</v>
      </c>
      <c r="O2256" s="193">
        <f t="shared" si="495"/>
        <v>0</v>
      </c>
      <c r="P2256" s="194">
        <v>0</v>
      </c>
      <c r="Q2256" s="194">
        <v>0</v>
      </c>
      <c r="R2256" s="194">
        <v>0</v>
      </c>
      <c r="S2256" s="193">
        <f t="shared" si="496"/>
        <v>0</v>
      </c>
      <c r="T2256" s="193">
        <f t="shared" si="497"/>
        <v>0</v>
      </c>
      <c r="U2256" s="193">
        <f ca="1">OFFSET('Expenditure Study'!$B$7,'Operations Support'!$C2256,'Operations Support'!$B2256)*$G2256</f>
        <v>0</v>
      </c>
      <c r="V2256" s="199">
        <f ca="1">U2256*'Expenditure Study'!$B$31</f>
        <v>0</v>
      </c>
      <c r="W2256" s="199">
        <f ca="1">IF(A2256=10298,1.51,1)*IF($B2256&lt;3,$D2256*'Expenditure Study'!$B$32*OFFSET('Expenditure Study'!$B$7,'Operations Support'!$C2256,'Operations Support'!$B2256),0)</f>
        <v>0</v>
      </c>
      <c r="X2256" s="200">
        <f ca="1">W2256*'Expenditure Study'!$B$31</f>
        <v>0</v>
      </c>
      <c r="Y2256" s="199">
        <f ca="1">U2256*'Expenditure Study'!$B$31</f>
        <v>0</v>
      </c>
      <c r="Z2256" s="200">
        <f ca="1">W2256*'Expenditure Study'!$B$31</f>
        <v>0</v>
      </c>
      <c r="AA2256" s="195">
        <f t="shared" ca="1" si="498"/>
        <v>0</v>
      </c>
      <c r="AB2256" s="195">
        <f t="shared" ca="1" si="499"/>
        <v>0</v>
      </c>
      <c r="AD2256" s="196">
        <f>IFERROR($G2256/SUMIF($A:$A,$A2256,$G:$G)*SUMIF(Summary!$A$166:$A$242,$A2256,Summary!$P$166:$P$242),0)</f>
        <v>0</v>
      </c>
      <c r="AE2256" s="197">
        <f t="shared" ca="1" si="500"/>
        <v>0</v>
      </c>
      <c r="AF2256" s="196">
        <f>IFERROR(G2256/SUMIF(A:A,A2256,G:G)*SUMIF(Summary!$A$166:$A$242,'Operations Support'!A2256,Summary!$Q$166:$Q$242),0)</f>
        <v>0</v>
      </c>
      <c r="AG2256" s="196">
        <f t="shared" ca="1" si="501"/>
        <v>0</v>
      </c>
      <c r="AI2256" s="196">
        <f>IFERROR($G2256/SUMIF($A:$A,$A2256,$G:$G)*SUMIF(Summary!$A$247:$A$283,$A2256,Summary!$P$247:$P$283),0)</f>
        <v>0</v>
      </c>
      <c r="AJ2256" s="196">
        <f>IFERROR($G2256/SUMIF($A:$A,$A2256,$G:$G)*(SUMIF(Summary!$A$247:$A$283,$A2256,Summary!$L$247:$L$283)+SUMIF(Summary!$A$297:$A$333,$A2256,Summary!$L$297:$L$333))-AI2256,0)</f>
        <v>0</v>
      </c>
      <c r="AK2256" s="196">
        <f>IFERROR($G2256/SUMIF($A:$A,$A2256,$G:$G)*SUMIF(Summary!$A$247:$A$283,$A2256,Summary!$Q$247:$Q$283),0)</f>
        <v>0</v>
      </c>
      <c r="AL2256" s="196">
        <f>IFERROR($G2256/SUMIF($A:$A,$A2256,$G:$G)*(SUMIF(Summary!$A$247:$A$283,$A2256,Summary!$L$247:$L$283)+SUMIF(Summary!$A$297:$A$333,$A2256,Summary!$L$297:$L$333))-AK2256,0)</f>
        <v>0</v>
      </c>
      <c r="AM2256" s="198"/>
      <c r="AN2256" s="196">
        <f t="shared" ca="1" si="502"/>
        <v>0</v>
      </c>
      <c r="AO2256" s="196">
        <f t="shared" ca="1" si="503"/>
        <v>0</v>
      </c>
    </row>
    <row r="2257" spans="1:41">
      <c r="A2257" s="189">
        <v>3661</v>
      </c>
      <c r="B2257" s="190">
        <v>3</v>
      </c>
      <c r="C2257" s="191" t="s">
        <v>225</v>
      </c>
      <c r="D2257" s="192">
        <f t="shared" si="490"/>
        <v>4884.5</v>
      </c>
      <c r="E2257" s="192">
        <f t="shared" si="491"/>
        <v>2498.5</v>
      </c>
      <c r="F2257" s="192">
        <f t="shared" si="492"/>
        <v>0</v>
      </c>
      <c r="G2257" s="193">
        <f t="shared" si="493"/>
        <v>7383</v>
      </c>
      <c r="H2257" s="194">
        <v>2186.5</v>
      </c>
      <c r="I2257" s="194">
        <v>1072.5</v>
      </c>
      <c r="J2257" s="194">
        <v>0</v>
      </c>
      <c r="K2257" s="193">
        <f t="shared" si="494"/>
        <v>3259</v>
      </c>
      <c r="L2257" s="194">
        <v>2141</v>
      </c>
      <c r="M2257" s="194">
        <v>1066</v>
      </c>
      <c r="N2257" s="194">
        <v>0</v>
      </c>
      <c r="O2257" s="193">
        <f t="shared" si="495"/>
        <v>3207</v>
      </c>
      <c r="P2257" s="194">
        <v>557</v>
      </c>
      <c r="Q2257" s="194">
        <v>360</v>
      </c>
      <c r="R2257" s="194">
        <v>0</v>
      </c>
      <c r="S2257" s="193">
        <f t="shared" si="496"/>
        <v>917</v>
      </c>
      <c r="T2257" s="193">
        <f t="shared" si="497"/>
        <v>307.625</v>
      </c>
      <c r="U2257" s="193">
        <f ca="1">OFFSET('Expenditure Study'!$B$7,'Operations Support'!$C2257,'Operations Support'!$B2257)*$G2257</f>
        <v>51016.53</v>
      </c>
      <c r="V2257" s="199">
        <f ca="1">U2257*'Expenditure Study'!$B$31</f>
        <v>3014218.8657786241</v>
      </c>
      <c r="W2257" s="199">
        <f ca="1">IF(A2257=10298,1.51,1)*IF($B2257&lt;3,$D2257*'Expenditure Study'!$B$32*OFFSET('Expenditure Study'!$B$7,'Operations Support'!$C2257,'Operations Support'!$B2257),0)</f>
        <v>0</v>
      </c>
      <c r="X2257" s="200">
        <f ca="1">W2257*'Expenditure Study'!$B$31</f>
        <v>0</v>
      </c>
      <c r="Y2257" s="199">
        <f ca="1">U2257*'Expenditure Study'!$B$31</f>
        <v>3014218.8657786241</v>
      </c>
      <c r="Z2257" s="200">
        <f ca="1">W2257*'Expenditure Study'!$B$31</f>
        <v>0</v>
      </c>
      <c r="AA2257" s="195">
        <f t="shared" ca="1" si="498"/>
        <v>3014218.8657786241</v>
      </c>
      <c r="AB2257" s="195">
        <f t="shared" ca="1" si="499"/>
        <v>3014218.8657786241</v>
      </c>
      <c r="AD2257" s="196">
        <f>IFERROR($G2257/SUMIF($A:$A,$A2257,$G:$G)*SUMIF(Summary!$A$166:$A$242,$A2257,Summary!$P$166:$P$242),0)</f>
        <v>194895.48919483519</v>
      </c>
      <c r="AE2257" s="197">
        <f t="shared" ca="1" si="500"/>
        <v>2819323.376583789</v>
      </c>
      <c r="AF2257" s="196">
        <f>IFERROR(G2257/SUMIF(A:A,A2257,G:G)*SUMIF(Summary!$A$166:$A$242,'Operations Support'!A2257,Summary!$Q$166:$Q$242),0)</f>
        <v>195287.78557772332</v>
      </c>
      <c r="AG2257" s="196">
        <f t="shared" ca="1" si="501"/>
        <v>2818931.0802009008</v>
      </c>
      <c r="AI2257" s="196">
        <f>IFERROR($G2257/SUMIF($A:$A,$A2257,$G:$G)*SUMIF(Summary!$A$247:$A$283,$A2257,Summary!$P$247:$P$283),0)</f>
        <v>35544.073666419077</v>
      </c>
      <c r="AJ2257" s="196">
        <f>IFERROR($G2257/SUMIF($A:$A,$A2257,$G:$G)*(SUMIF(Summary!$A$247:$A$283,$A2257,Summary!$L$247:$L$283)+SUMIF(Summary!$A$297:$A$333,$A2257,Summary!$L$297:$L$333))-AI2257,0)</f>
        <v>165695.11055738362</v>
      </c>
      <c r="AK2257" s="196">
        <f>IFERROR($G2257/SUMIF($A:$A,$A2257,$G:$G)*SUMIF(Summary!$A$247:$A$283,$A2257,Summary!$Q$247:$Q$283),0)</f>
        <v>35615.618737010758</v>
      </c>
      <c r="AL2257" s="196">
        <f>IFERROR($G2257/SUMIF($A:$A,$A2257,$G:$G)*(SUMIF(Summary!$A$247:$A$283,$A2257,Summary!$L$247:$L$283)+SUMIF(Summary!$A$297:$A$333,$A2257,Summary!$L$297:$L$333))-AK2257,0)</f>
        <v>165623.56548679195</v>
      </c>
      <c r="AM2257" s="198"/>
      <c r="AN2257" s="196">
        <f t="shared" ca="1" si="502"/>
        <v>2985018.4871411724</v>
      </c>
      <c r="AO2257" s="196">
        <f t="shared" ca="1" si="503"/>
        <v>2984554.6456876928</v>
      </c>
    </row>
    <row r="2258" spans="1:41">
      <c r="A2258" s="189">
        <v>3661</v>
      </c>
      <c r="B2258" s="190">
        <v>3</v>
      </c>
      <c r="C2258" s="191" t="s">
        <v>226</v>
      </c>
      <c r="D2258" s="192">
        <f t="shared" si="490"/>
        <v>0</v>
      </c>
      <c r="E2258" s="192">
        <f t="shared" si="491"/>
        <v>0</v>
      </c>
      <c r="F2258" s="192">
        <f t="shared" si="492"/>
        <v>0</v>
      </c>
      <c r="G2258" s="193">
        <f t="shared" si="493"/>
        <v>0</v>
      </c>
      <c r="H2258" s="194">
        <v>0</v>
      </c>
      <c r="I2258" s="194">
        <v>0</v>
      </c>
      <c r="J2258" s="194">
        <v>0</v>
      </c>
      <c r="K2258" s="193">
        <f t="shared" si="494"/>
        <v>0</v>
      </c>
      <c r="L2258" s="194">
        <v>0</v>
      </c>
      <c r="M2258" s="194">
        <v>0</v>
      </c>
      <c r="N2258" s="194">
        <v>0</v>
      </c>
      <c r="O2258" s="193">
        <f t="shared" si="495"/>
        <v>0</v>
      </c>
      <c r="P2258" s="194">
        <v>0</v>
      </c>
      <c r="Q2258" s="194">
        <v>0</v>
      </c>
      <c r="R2258" s="194">
        <v>0</v>
      </c>
      <c r="S2258" s="193">
        <f t="shared" si="496"/>
        <v>0</v>
      </c>
      <c r="T2258" s="193">
        <f t="shared" si="497"/>
        <v>0</v>
      </c>
      <c r="U2258" s="193">
        <f ca="1">OFFSET('Expenditure Study'!$B$7,'Operations Support'!$C2258,'Operations Support'!$B2258)*$G2258</f>
        <v>0</v>
      </c>
      <c r="V2258" s="199">
        <f ca="1">U2258*'Expenditure Study'!$B$31</f>
        <v>0</v>
      </c>
      <c r="W2258" s="199">
        <f ca="1">IF(A2258=10298,1.51,1)*IF($B2258&lt;3,$D2258*'Expenditure Study'!$B$32*OFFSET('Expenditure Study'!$B$7,'Operations Support'!$C2258,'Operations Support'!$B2258),0)</f>
        <v>0</v>
      </c>
      <c r="X2258" s="200">
        <f ca="1">W2258*'Expenditure Study'!$B$31</f>
        <v>0</v>
      </c>
      <c r="Y2258" s="199">
        <f ca="1">U2258*'Expenditure Study'!$B$31</f>
        <v>0</v>
      </c>
      <c r="Z2258" s="200">
        <f ca="1">W2258*'Expenditure Study'!$B$31</f>
        <v>0</v>
      </c>
      <c r="AA2258" s="195">
        <f t="shared" ca="1" si="498"/>
        <v>0</v>
      </c>
      <c r="AB2258" s="195">
        <f t="shared" ca="1" si="499"/>
        <v>0</v>
      </c>
      <c r="AD2258" s="196">
        <f>IFERROR($G2258/SUMIF($A:$A,$A2258,$G:$G)*SUMIF(Summary!$A$166:$A$242,$A2258,Summary!$P$166:$P$242),0)</f>
        <v>0</v>
      </c>
      <c r="AE2258" s="197">
        <f t="shared" ca="1" si="500"/>
        <v>0</v>
      </c>
      <c r="AF2258" s="196">
        <f>IFERROR(G2258/SUMIF(A:A,A2258,G:G)*SUMIF(Summary!$A$166:$A$242,'Operations Support'!A2258,Summary!$Q$166:$Q$242),0)</f>
        <v>0</v>
      </c>
      <c r="AG2258" s="196">
        <f t="shared" ca="1" si="501"/>
        <v>0</v>
      </c>
      <c r="AI2258" s="196">
        <f>IFERROR($G2258/SUMIF($A:$A,$A2258,$G:$G)*SUMIF(Summary!$A$247:$A$283,$A2258,Summary!$P$247:$P$283),0)</f>
        <v>0</v>
      </c>
      <c r="AJ2258" s="196">
        <f>IFERROR($G2258/SUMIF($A:$A,$A2258,$G:$G)*(SUMIF(Summary!$A$247:$A$283,$A2258,Summary!$L$247:$L$283)+SUMIF(Summary!$A$297:$A$333,$A2258,Summary!$L$297:$L$333))-AI2258,0)</f>
        <v>0</v>
      </c>
      <c r="AK2258" s="196">
        <f>IFERROR($G2258/SUMIF($A:$A,$A2258,$G:$G)*SUMIF(Summary!$A$247:$A$283,$A2258,Summary!$Q$247:$Q$283),0)</f>
        <v>0</v>
      </c>
      <c r="AL2258" s="196">
        <f>IFERROR($G2258/SUMIF($A:$A,$A2258,$G:$G)*(SUMIF(Summary!$A$247:$A$283,$A2258,Summary!$L$247:$L$283)+SUMIF(Summary!$A$297:$A$333,$A2258,Summary!$L$297:$L$333))-AK2258,0)</f>
        <v>0</v>
      </c>
      <c r="AM2258" s="198"/>
      <c r="AN2258" s="196">
        <f t="shared" ca="1" si="502"/>
        <v>0</v>
      </c>
      <c r="AO2258" s="196">
        <f t="shared" ca="1" si="503"/>
        <v>0</v>
      </c>
    </row>
    <row r="2259" spans="1:41">
      <c r="A2259" s="189">
        <v>3661</v>
      </c>
      <c r="B2259" s="190">
        <v>3</v>
      </c>
      <c r="C2259" s="191" t="s">
        <v>227</v>
      </c>
      <c r="D2259" s="192">
        <f t="shared" si="490"/>
        <v>0</v>
      </c>
      <c r="E2259" s="192">
        <f t="shared" si="491"/>
        <v>0</v>
      </c>
      <c r="F2259" s="192">
        <f t="shared" si="492"/>
        <v>0</v>
      </c>
      <c r="G2259" s="193">
        <f t="shared" si="493"/>
        <v>0</v>
      </c>
      <c r="H2259" s="194">
        <v>0</v>
      </c>
      <c r="I2259" s="194">
        <v>0</v>
      </c>
      <c r="J2259" s="194">
        <v>0</v>
      </c>
      <c r="K2259" s="193">
        <f t="shared" si="494"/>
        <v>0</v>
      </c>
      <c r="L2259" s="194">
        <v>0</v>
      </c>
      <c r="M2259" s="194">
        <v>0</v>
      </c>
      <c r="N2259" s="194">
        <v>0</v>
      </c>
      <c r="O2259" s="193">
        <f t="shared" si="495"/>
        <v>0</v>
      </c>
      <c r="P2259" s="194">
        <v>0</v>
      </c>
      <c r="Q2259" s="194">
        <v>0</v>
      </c>
      <c r="R2259" s="194">
        <v>0</v>
      </c>
      <c r="S2259" s="193">
        <f t="shared" si="496"/>
        <v>0</v>
      </c>
      <c r="T2259" s="193">
        <f t="shared" si="497"/>
        <v>0</v>
      </c>
      <c r="U2259" s="193">
        <f ca="1">OFFSET('Expenditure Study'!$B$7,'Operations Support'!$C2259,'Operations Support'!$B2259)*$G2259</f>
        <v>0</v>
      </c>
      <c r="V2259" s="199">
        <f ca="1">U2259*'Expenditure Study'!$B$31</f>
        <v>0</v>
      </c>
      <c r="W2259" s="199">
        <f ca="1">IF(A2259=10298,1.51,1)*IF($B2259&lt;3,$D2259*'Expenditure Study'!$B$32*OFFSET('Expenditure Study'!$B$7,'Operations Support'!$C2259,'Operations Support'!$B2259),0)</f>
        <v>0</v>
      </c>
      <c r="X2259" s="200">
        <f ca="1">W2259*'Expenditure Study'!$B$31</f>
        <v>0</v>
      </c>
      <c r="Y2259" s="199">
        <f ca="1">U2259*'Expenditure Study'!$B$31</f>
        <v>0</v>
      </c>
      <c r="Z2259" s="200">
        <f ca="1">W2259*'Expenditure Study'!$B$31</f>
        <v>0</v>
      </c>
      <c r="AA2259" s="195">
        <f t="shared" ca="1" si="498"/>
        <v>0</v>
      </c>
      <c r="AB2259" s="195">
        <f t="shared" ca="1" si="499"/>
        <v>0</v>
      </c>
      <c r="AD2259" s="196">
        <f>IFERROR($G2259/SUMIF($A:$A,$A2259,$G:$G)*SUMIF(Summary!$A$166:$A$242,$A2259,Summary!$P$166:$P$242),0)</f>
        <v>0</v>
      </c>
      <c r="AE2259" s="197">
        <f t="shared" ca="1" si="500"/>
        <v>0</v>
      </c>
      <c r="AF2259" s="196">
        <f>IFERROR(G2259/SUMIF(A:A,A2259,G:G)*SUMIF(Summary!$A$166:$A$242,'Operations Support'!A2259,Summary!$Q$166:$Q$242),0)</f>
        <v>0</v>
      </c>
      <c r="AG2259" s="196">
        <f t="shared" ca="1" si="501"/>
        <v>0</v>
      </c>
      <c r="AI2259" s="196">
        <f>IFERROR($G2259/SUMIF($A:$A,$A2259,$G:$G)*SUMIF(Summary!$A$247:$A$283,$A2259,Summary!$P$247:$P$283),0)</f>
        <v>0</v>
      </c>
      <c r="AJ2259" s="196">
        <f>IFERROR($G2259/SUMIF($A:$A,$A2259,$G:$G)*(SUMIF(Summary!$A$247:$A$283,$A2259,Summary!$L$247:$L$283)+SUMIF(Summary!$A$297:$A$333,$A2259,Summary!$L$297:$L$333))-AI2259,0)</f>
        <v>0</v>
      </c>
      <c r="AK2259" s="196">
        <f>IFERROR($G2259/SUMIF($A:$A,$A2259,$G:$G)*SUMIF(Summary!$A$247:$A$283,$A2259,Summary!$Q$247:$Q$283),0)</f>
        <v>0</v>
      </c>
      <c r="AL2259" s="196">
        <f>IFERROR($G2259/SUMIF($A:$A,$A2259,$G:$G)*(SUMIF(Summary!$A$247:$A$283,$A2259,Summary!$L$247:$L$283)+SUMIF(Summary!$A$297:$A$333,$A2259,Summary!$L$297:$L$333))-AK2259,0)</f>
        <v>0</v>
      </c>
      <c r="AM2259" s="198"/>
      <c r="AN2259" s="196">
        <f t="shared" ca="1" si="502"/>
        <v>0</v>
      </c>
      <c r="AO2259" s="196">
        <f t="shared" ca="1" si="503"/>
        <v>0</v>
      </c>
    </row>
    <row r="2260" spans="1:41">
      <c r="A2260" s="189">
        <v>3661</v>
      </c>
      <c r="B2260" s="190">
        <v>3</v>
      </c>
      <c r="C2260" s="191" t="s">
        <v>228</v>
      </c>
      <c r="D2260" s="192">
        <f t="shared" si="490"/>
        <v>513</v>
      </c>
      <c r="E2260" s="192">
        <f t="shared" si="491"/>
        <v>1137</v>
      </c>
      <c r="F2260" s="192">
        <f t="shared" si="492"/>
        <v>0</v>
      </c>
      <c r="G2260" s="193">
        <f t="shared" si="493"/>
        <v>1650</v>
      </c>
      <c r="H2260" s="194">
        <v>294</v>
      </c>
      <c r="I2260" s="194">
        <v>420</v>
      </c>
      <c r="J2260" s="194">
        <v>0</v>
      </c>
      <c r="K2260" s="193">
        <f t="shared" si="494"/>
        <v>714</v>
      </c>
      <c r="L2260" s="194">
        <v>216</v>
      </c>
      <c r="M2260" s="194">
        <v>462</v>
      </c>
      <c r="N2260" s="194">
        <v>0</v>
      </c>
      <c r="O2260" s="193">
        <f t="shared" si="495"/>
        <v>678</v>
      </c>
      <c r="P2260" s="194">
        <v>3</v>
      </c>
      <c r="Q2260" s="194">
        <v>255</v>
      </c>
      <c r="R2260" s="194">
        <v>0</v>
      </c>
      <c r="S2260" s="193">
        <f t="shared" si="496"/>
        <v>258</v>
      </c>
      <c r="T2260" s="193">
        <f t="shared" si="497"/>
        <v>68.75</v>
      </c>
      <c r="U2260" s="193">
        <f ca="1">OFFSET('Expenditure Study'!$B$7,'Operations Support'!$C2260,'Operations Support'!$B2260)*$G2260</f>
        <v>4026</v>
      </c>
      <c r="V2260" s="199">
        <f ca="1">U2260*'Expenditure Study'!$B$31</f>
        <v>237868.8859008</v>
      </c>
      <c r="W2260" s="199">
        <f ca="1">IF(A2260=10298,1.51,1)*IF($B2260&lt;3,$D2260*'Expenditure Study'!$B$32*OFFSET('Expenditure Study'!$B$7,'Operations Support'!$C2260,'Operations Support'!$B2260),0)</f>
        <v>0</v>
      </c>
      <c r="X2260" s="200">
        <f ca="1">W2260*'Expenditure Study'!$B$31</f>
        <v>0</v>
      </c>
      <c r="Y2260" s="199">
        <f ca="1">U2260*'Expenditure Study'!$B$31</f>
        <v>237868.8859008</v>
      </c>
      <c r="Z2260" s="200">
        <f ca="1">W2260*'Expenditure Study'!$B$31</f>
        <v>0</v>
      </c>
      <c r="AA2260" s="195">
        <f t="shared" ca="1" si="498"/>
        <v>237868.8859008</v>
      </c>
      <c r="AB2260" s="195">
        <f t="shared" ca="1" si="499"/>
        <v>237868.8859008</v>
      </c>
      <c r="AD2260" s="196">
        <f>IFERROR($G2260/SUMIF($A:$A,$A2260,$G:$G)*SUMIF(Summary!$A$166:$A$242,$A2260,Summary!$P$166:$P$242),0)</f>
        <v>43556.488848906687</v>
      </c>
      <c r="AE2260" s="197">
        <f t="shared" ca="1" si="500"/>
        <v>194312.39705189332</v>
      </c>
      <c r="AF2260" s="196">
        <f>IFERROR(G2260/SUMIF(A:A,A2260,G:G)*SUMIF(Summary!$A$166:$A$242,'Operations Support'!A2260,Summary!$Q$166:$Q$242),0)</f>
        <v>43644.161750405459</v>
      </c>
      <c r="AG2260" s="196">
        <f t="shared" ca="1" si="501"/>
        <v>194224.72415039456</v>
      </c>
      <c r="AI2260" s="196">
        <f>IFERROR($G2260/SUMIF($A:$A,$A2260,$G:$G)*SUMIF(Summary!$A$247:$A$283,$A2260,Summary!$P$247:$P$283),0)</f>
        <v>7943.6166259774454</v>
      </c>
      <c r="AJ2260" s="196">
        <f>IFERROR($G2260/SUMIF($A:$A,$A2260,$G:$G)*(SUMIF(Summary!$A$247:$A$283,$A2260,Summary!$L$247:$L$283)+SUMIF(Summary!$A$297:$A$333,$A2260,Summary!$L$297:$L$333))-AI2260,0)</f>
        <v>37030.601709289309</v>
      </c>
      <c r="AK2260" s="196">
        <f>IFERROR($G2260/SUMIF($A:$A,$A2260,$G:$G)*SUMIF(Summary!$A$247:$A$283,$A2260,Summary!$Q$247:$Q$283),0)</f>
        <v>7959.605975357952</v>
      </c>
      <c r="AL2260" s="196">
        <f>IFERROR($G2260/SUMIF($A:$A,$A2260,$G:$G)*(SUMIF(Summary!$A$247:$A$283,$A2260,Summary!$L$247:$L$283)+SUMIF(Summary!$A$297:$A$333,$A2260,Summary!$L$297:$L$333))-AK2260,0)</f>
        <v>37014.612359908802</v>
      </c>
      <c r="AM2260" s="198"/>
      <c r="AN2260" s="196">
        <f t="shared" ca="1" si="502"/>
        <v>231342.99876118262</v>
      </c>
      <c r="AO2260" s="196">
        <f t="shared" ca="1" si="503"/>
        <v>231239.33651030337</v>
      </c>
    </row>
    <row r="2261" spans="1:41">
      <c r="A2261" s="189">
        <v>3661</v>
      </c>
      <c r="B2261" s="190">
        <v>3</v>
      </c>
      <c r="C2261" s="191" t="s">
        <v>229</v>
      </c>
      <c r="D2261" s="192">
        <f t="shared" si="490"/>
        <v>0</v>
      </c>
      <c r="E2261" s="192">
        <f t="shared" si="491"/>
        <v>0</v>
      </c>
      <c r="F2261" s="192">
        <f t="shared" si="492"/>
        <v>0</v>
      </c>
      <c r="G2261" s="193">
        <f t="shared" si="493"/>
        <v>0</v>
      </c>
      <c r="H2261" s="194">
        <v>0</v>
      </c>
      <c r="I2261" s="194">
        <v>0</v>
      </c>
      <c r="J2261" s="194">
        <v>0</v>
      </c>
      <c r="K2261" s="193">
        <f t="shared" si="494"/>
        <v>0</v>
      </c>
      <c r="L2261" s="194">
        <v>0</v>
      </c>
      <c r="M2261" s="194">
        <v>0</v>
      </c>
      <c r="N2261" s="194">
        <v>0</v>
      </c>
      <c r="O2261" s="193">
        <f t="shared" si="495"/>
        <v>0</v>
      </c>
      <c r="P2261" s="194">
        <v>0</v>
      </c>
      <c r="Q2261" s="194">
        <v>0</v>
      </c>
      <c r="R2261" s="194">
        <v>0</v>
      </c>
      <c r="S2261" s="193">
        <f t="shared" si="496"/>
        <v>0</v>
      </c>
      <c r="T2261" s="193">
        <f t="shared" si="497"/>
        <v>0</v>
      </c>
      <c r="U2261" s="193">
        <f ca="1">OFFSET('Expenditure Study'!$B$7,'Operations Support'!$C2261,'Operations Support'!$B2261)*$G2261</f>
        <v>0</v>
      </c>
      <c r="V2261" s="199">
        <f ca="1">U2261*'Expenditure Study'!$B$31</f>
        <v>0</v>
      </c>
      <c r="W2261" s="199">
        <f ca="1">IF(A2261=10298,1.51,1)*IF($B2261&lt;3,$D2261*'Expenditure Study'!$B$32*OFFSET('Expenditure Study'!$B$7,'Operations Support'!$C2261,'Operations Support'!$B2261),0)</f>
        <v>0</v>
      </c>
      <c r="X2261" s="200">
        <f ca="1">W2261*'Expenditure Study'!$B$31</f>
        <v>0</v>
      </c>
      <c r="Y2261" s="199">
        <f ca="1">U2261*'Expenditure Study'!$B$31</f>
        <v>0</v>
      </c>
      <c r="Z2261" s="200">
        <f ca="1">W2261*'Expenditure Study'!$B$31</f>
        <v>0</v>
      </c>
      <c r="AA2261" s="195">
        <f t="shared" ca="1" si="498"/>
        <v>0</v>
      </c>
      <c r="AB2261" s="195">
        <f t="shared" ca="1" si="499"/>
        <v>0</v>
      </c>
      <c r="AD2261" s="196">
        <f>IFERROR($G2261/SUMIF($A:$A,$A2261,$G:$G)*SUMIF(Summary!$A$166:$A$242,$A2261,Summary!$P$166:$P$242),0)</f>
        <v>0</v>
      </c>
      <c r="AE2261" s="197">
        <f t="shared" ca="1" si="500"/>
        <v>0</v>
      </c>
      <c r="AF2261" s="196">
        <f>IFERROR(G2261/SUMIF(A:A,A2261,G:G)*SUMIF(Summary!$A$166:$A$242,'Operations Support'!A2261,Summary!$Q$166:$Q$242),0)</f>
        <v>0</v>
      </c>
      <c r="AG2261" s="196">
        <f t="shared" ca="1" si="501"/>
        <v>0</v>
      </c>
      <c r="AI2261" s="196">
        <f>IFERROR($G2261/SUMIF($A:$A,$A2261,$G:$G)*SUMIF(Summary!$A$247:$A$283,$A2261,Summary!$P$247:$P$283),0)</f>
        <v>0</v>
      </c>
      <c r="AJ2261" s="196">
        <f>IFERROR($G2261/SUMIF($A:$A,$A2261,$G:$G)*(SUMIF(Summary!$A$247:$A$283,$A2261,Summary!$L$247:$L$283)+SUMIF(Summary!$A$297:$A$333,$A2261,Summary!$L$297:$L$333))-AI2261,0)</f>
        <v>0</v>
      </c>
      <c r="AK2261" s="196">
        <f>IFERROR($G2261/SUMIF($A:$A,$A2261,$G:$G)*SUMIF(Summary!$A$247:$A$283,$A2261,Summary!$Q$247:$Q$283),0)</f>
        <v>0</v>
      </c>
      <c r="AL2261" s="196">
        <f>IFERROR($G2261/SUMIF($A:$A,$A2261,$G:$G)*(SUMIF(Summary!$A$247:$A$283,$A2261,Summary!$L$247:$L$283)+SUMIF(Summary!$A$297:$A$333,$A2261,Summary!$L$297:$L$333))-AK2261,0)</f>
        <v>0</v>
      </c>
      <c r="AM2261" s="198"/>
      <c r="AN2261" s="196">
        <f t="shared" ca="1" si="502"/>
        <v>0</v>
      </c>
      <c r="AO2261" s="196">
        <f t="shared" ca="1" si="503"/>
        <v>0</v>
      </c>
    </row>
    <row r="2262" spans="1:41">
      <c r="A2262" s="189">
        <v>3661</v>
      </c>
      <c r="B2262" s="190">
        <v>3</v>
      </c>
      <c r="C2262" s="191" t="s">
        <v>230</v>
      </c>
      <c r="D2262" s="192">
        <f t="shared" si="490"/>
        <v>0</v>
      </c>
      <c r="E2262" s="192">
        <f t="shared" si="491"/>
        <v>0</v>
      </c>
      <c r="F2262" s="192">
        <f t="shared" si="492"/>
        <v>0</v>
      </c>
      <c r="G2262" s="193">
        <f t="shared" si="493"/>
        <v>0</v>
      </c>
      <c r="H2262" s="194">
        <v>0</v>
      </c>
      <c r="I2262" s="194">
        <v>0</v>
      </c>
      <c r="J2262" s="194">
        <v>0</v>
      </c>
      <c r="K2262" s="193">
        <f t="shared" si="494"/>
        <v>0</v>
      </c>
      <c r="L2262" s="194">
        <v>0</v>
      </c>
      <c r="M2262" s="194">
        <v>0</v>
      </c>
      <c r="N2262" s="194">
        <v>0</v>
      </c>
      <c r="O2262" s="193">
        <f t="shared" si="495"/>
        <v>0</v>
      </c>
      <c r="P2262" s="194">
        <v>0</v>
      </c>
      <c r="Q2262" s="194">
        <v>0</v>
      </c>
      <c r="R2262" s="194">
        <v>0</v>
      </c>
      <c r="S2262" s="193">
        <f t="shared" si="496"/>
        <v>0</v>
      </c>
      <c r="T2262" s="193">
        <f t="shared" si="497"/>
        <v>0</v>
      </c>
      <c r="U2262" s="193">
        <f ca="1">OFFSET('Expenditure Study'!$B$7,'Operations Support'!$C2262,'Operations Support'!$B2262)*$G2262</f>
        <v>0</v>
      </c>
      <c r="V2262" s="199">
        <f ca="1">U2262*'Expenditure Study'!$B$31</f>
        <v>0</v>
      </c>
      <c r="W2262" s="199">
        <f ca="1">IF(A2262=10298,1.51,1)*IF($B2262&lt;3,$D2262*'Expenditure Study'!$B$32*OFFSET('Expenditure Study'!$B$7,'Operations Support'!$C2262,'Operations Support'!$B2262),0)</f>
        <v>0</v>
      </c>
      <c r="X2262" s="200">
        <f ca="1">W2262*'Expenditure Study'!$B$31</f>
        <v>0</v>
      </c>
      <c r="Y2262" s="199">
        <f ca="1">U2262*'Expenditure Study'!$B$31</f>
        <v>0</v>
      </c>
      <c r="Z2262" s="200">
        <f ca="1">W2262*'Expenditure Study'!$B$31</f>
        <v>0</v>
      </c>
      <c r="AA2262" s="195">
        <f t="shared" ca="1" si="498"/>
        <v>0</v>
      </c>
      <c r="AB2262" s="195">
        <f t="shared" ca="1" si="499"/>
        <v>0</v>
      </c>
      <c r="AD2262" s="196">
        <f>IFERROR($G2262/SUMIF($A:$A,$A2262,$G:$G)*SUMIF(Summary!$A$166:$A$242,$A2262,Summary!$P$166:$P$242),0)</f>
        <v>0</v>
      </c>
      <c r="AE2262" s="197">
        <f t="shared" ca="1" si="500"/>
        <v>0</v>
      </c>
      <c r="AF2262" s="196">
        <f>IFERROR(G2262/SUMIF(A:A,A2262,G:G)*SUMIF(Summary!$A$166:$A$242,'Operations Support'!A2262,Summary!$Q$166:$Q$242),0)</f>
        <v>0</v>
      </c>
      <c r="AG2262" s="196">
        <f t="shared" ca="1" si="501"/>
        <v>0</v>
      </c>
      <c r="AI2262" s="196">
        <f>IFERROR($G2262/SUMIF($A:$A,$A2262,$G:$G)*SUMIF(Summary!$A$247:$A$283,$A2262,Summary!$P$247:$P$283),0)</f>
        <v>0</v>
      </c>
      <c r="AJ2262" s="196">
        <f>IFERROR($G2262/SUMIF($A:$A,$A2262,$G:$G)*(SUMIF(Summary!$A$247:$A$283,$A2262,Summary!$L$247:$L$283)+SUMIF(Summary!$A$297:$A$333,$A2262,Summary!$L$297:$L$333))-AI2262,0)</f>
        <v>0</v>
      </c>
      <c r="AK2262" s="196">
        <f>IFERROR($G2262/SUMIF($A:$A,$A2262,$G:$G)*SUMIF(Summary!$A$247:$A$283,$A2262,Summary!$Q$247:$Q$283),0)</f>
        <v>0</v>
      </c>
      <c r="AL2262" s="196">
        <f>IFERROR($G2262/SUMIF($A:$A,$A2262,$G:$G)*(SUMIF(Summary!$A$247:$A$283,$A2262,Summary!$L$247:$L$283)+SUMIF(Summary!$A$297:$A$333,$A2262,Summary!$L$297:$L$333))-AK2262,0)</f>
        <v>0</v>
      </c>
      <c r="AM2262" s="198"/>
      <c r="AN2262" s="196">
        <f t="shared" ca="1" si="502"/>
        <v>0</v>
      </c>
      <c r="AO2262" s="196">
        <f t="shared" ca="1" si="503"/>
        <v>0</v>
      </c>
    </row>
    <row r="2263" spans="1:41">
      <c r="A2263" s="189">
        <v>3661</v>
      </c>
      <c r="B2263" s="190">
        <v>3</v>
      </c>
      <c r="C2263" s="191" t="s">
        <v>231</v>
      </c>
      <c r="D2263" s="192">
        <f t="shared" si="490"/>
        <v>0</v>
      </c>
      <c r="E2263" s="192">
        <f t="shared" si="491"/>
        <v>0</v>
      </c>
      <c r="F2263" s="192">
        <f t="shared" si="492"/>
        <v>0</v>
      </c>
      <c r="G2263" s="193">
        <f t="shared" si="493"/>
        <v>0</v>
      </c>
      <c r="H2263" s="194">
        <v>0</v>
      </c>
      <c r="I2263" s="194">
        <v>0</v>
      </c>
      <c r="J2263" s="194">
        <v>0</v>
      </c>
      <c r="K2263" s="193">
        <f t="shared" si="494"/>
        <v>0</v>
      </c>
      <c r="L2263" s="194">
        <v>0</v>
      </c>
      <c r="M2263" s="194">
        <v>0</v>
      </c>
      <c r="N2263" s="194">
        <v>0</v>
      </c>
      <c r="O2263" s="193">
        <f t="shared" si="495"/>
        <v>0</v>
      </c>
      <c r="P2263" s="194">
        <v>0</v>
      </c>
      <c r="Q2263" s="194">
        <v>0</v>
      </c>
      <c r="R2263" s="194">
        <v>0</v>
      </c>
      <c r="S2263" s="193">
        <f t="shared" si="496"/>
        <v>0</v>
      </c>
      <c r="T2263" s="193">
        <f t="shared" si="497"/>
        <v>0</v>
      </c>
      <c r="U2263" s="193">
        <f ca="1">OFFSET('Expenditure Study'!$B$7,'Operations Support'!$C2263,'Operations Support'!$B2263)*$G2263</f>
        <v>0</v>
      </c>
      <c r="V2263" s="199">
        <f ca="1">U2263*'Expenditure Study'!$B$31</f>
        <v>0</v>
      </c>
      <c r="W2263" s="199">
        <f ca="1">IF(A2263=10298,1.51,1)*IF($B2263&lt;3,$D2263*'Expenditure Study'!$B$32*OFFSET('Expenditure Study'!$B$7,'Operations Support'!$C2263,'Operations Support'!$B2263),0)</f>
        <v>0</v>
      </c>
      <c r="X2263" s="200">
        <f ca="1">W2263*'Expenditure Study'!$B$31</f>
        <v>0</v>
      </c>
      <c r="Y2263" s="199">
        <f ca="1">U2263*'Expenditure Study'!$B$31</f>
        <v>0</v>
      </c>
      <c r="Z2263" s="200">
        <f ca="1">W2263*'Expenditure Study'!$B$31</f>
        <v>0</v>
      </c>
      <c r="AA2263" s="195">
        <f t="shared" ca="1" si="498"/>
        <v>0</v>
      </c>
      <c r="AB2263" s="195">
        <f t="shared" ca="1" si="499"/>
        <v>0</v>
      </c>
      <c r="AD2263" s="196">
        <f>IFERROR($G2263/SUMIF($A:$A,$A2263,$G:$G)*SUMIF(Summary!$A$166:$A$242,$A2263,Summary!$P$166:$P$242),0)</f>
        <v>0</v>
      </c>
      <c r="AE2263" s="197">
        <f t="shared" ca="1" si="500"/>
        <v>0</v>
      </c>
      <c r="AF2263" s="196">
        <f>IFERROR(G2263/SUMIF(A:A,A2263,G:G)*SUMIF(Summary!$A$166:$A$242,'Operations Support'!A2263,Summary!$Q$166:$Q$242),0)</f>
        <v>0</v>
      </c>
      <c r="AG2263" s="196">
        <f t="shared" ca="1" si="501"/>
        <v>0</v>
      </c>
      <c r="AI2263" s="196">
        <f>IFERROR($G2263/SUMIF($A:$A,$A2263,$G:$G)*SUMIF(Summary!$A$247:$A$283,$A2263,Summary!$P$247:$P$283),0)</f>
        <v>0</v>
      </c>
      <c r="AJ2263" s="196">
        <f>IFERROR($G2263/SUMIF($A:$A,$A2263,$G:$G)*(SUMIF(Summary!$A$247:$A$283,$A2263,Summary!$L$247:$L$283)+SUMIF(Summary!$A$297:$A$333,$A2263,Summary!$L$297:$L$333))-AI2263,0)</f>
        <v>0</v>
      </c>
      <c r="AK2263" s="196">
        <f>IFERROR($G2263/SUMIF($A:$A,$A2263,$G:$G)*SUMIF(Summary!$A$247:$A$283,$A2263,Summary!$Q$247:$Q$283),0)</f>
        <v>0</v>
      </c>
      <c r="AL2263" s="196">
        <f>IFERROR($G2263/SUMIF($A:$A,$A2263,$G:$G)*(SUMIF(Summary!$A$247:$A$283,$A2263,Summary!$L$247:$L$283)+SUMIF(Summary!$A$297:$A$333,$A2263,Summary!$L$297:$L$333))-AK2263,0)</f>
        <v>0</v>
      </c>
      <c r="AM2263" s="198"/>
      <c r="AN2263" s="196">
        <f t="shared" ca="1" si="502"/>
        <v>0</v>
      </c>
      <c r="AO2263" s="196">
        <f t="shared" ca="1" si="503"/>
        <v>0</v>
      </c>
    </row>
    <row r="2264" spans="1:41">
      <c r="A2264" s="189">
        <v>3661</v>
      </c>
      <c r="B2264" s="190">
        <v>3</v>
      </c>
      <c r="C2264" s="191" t="s">
        <v>232</v>
      </c>
      <c r="D2264" s="192">
        <f t="shared" si="490"/>
        <v>0</v>
      </c>
      <c r="E2264" s="192">
        <f t="shared" si="491"/>
        <v>0</v>
      </c>
      <c r="F2264" s="192">
        <f t="shared" si="492"/>
        <v>0</v>
      </c>
      <c r="G2264" s="193">
        <f t="shared" si="493"/>
        <v>0</v>
      </c>
      <c r="H2264" s="194">
        <v>0</v>
      </c>
      <c r="I2264" s="194">
        <v>0</v>
      </c>
      <c r="J2264" s="194">
        <v>0</v>
      </c>
      <c r="K2264" s="193">
        <f t="shared" si="494"/>
        <v>0</v>
      </c>
      <c r="L2264" s="194">
        <v>0</v>
      </c>
      <c r="M2264" s="194">
        <v>0</v>
      </c>
      <c r="N2264" s="194">
        <v>0</v>
      </c>
      <c r="O2264" s="193">
        <f t="shared" si="495"/>
        <v>0</v>
      </c>
      <c r="P2264" s="194">
        <v>0</v>
      </c>
      <c r="Q2264" s="194">
        <v>0</v>
      </c>
      <c r="R2264" s="194">
        <v>0</v>
      </c>
      <c r="S2264" s="193">
        <f t="shared" si="496"/>
        <v>0</v>
      </c>
      <c r="T2264" s="193">
        <f t="shared" si="497"/>
        <v>0</v>
      </c>
      <c r="U2264" s="193">
        <f ca="1">OFFSET('Expenditure Study'!$B$7,'Operations Support'!$C2264,'Operations Support'!$B2264)*$G2264</f>
        <v>0</v>
      </c>
      <c r="V2264" s="199">
        <f ca="1">U2264*'Expenditure Study'!$B$31</f>
        <v>0</v>
      </c>
      <c r="W2264" s="199">
        <f ca="1">IF(A2264=10298,1.51,1)*IF($B2264&lt;3,$D2264*'Expenditure Study'!$B$32*OFFSET('Expenditure Study'!$B$7,'Operations Support'!$C2264,'Operations Support'!$B2264),0)</f>
        <v>0</v>
      </c>
      <c r="X2264" s="200">
        <f ca="1">W2264*'Expenditure Study'!$B$31</f>
        <v>0</v>
      </c>
      <c r="Y2264" s="199">
        <f ca="1">U2264*'Expenditure Study'!$B$31</f>
        <v>0</v>
      </c>
      <c r="Z2264" s="200">
        <f ca="1">W2264*'Expenditure Study'!$B$31</f>
        <v>0</v>
      </c>
      <c r="AA2264" s="195">
        <f t="shared" ca="1" si="498"/>
        <v>0</v>
      </c>
      <c r="AB2264" s="195">
        <f t="shared" ca="1" si="499"/>
        <v>0</v>
      </c>
      <c r="AD2264" s="196">
        <f>IFERROR($G2264/SUMIF($A:$A,$A2264,$G:$G)*SUMIF(Summary!$A$166:$A$242,$A2264,Summary!$P$166:$P$242),0)</f>
        <v>0</v>
      </c>
      <c r="AE2264" s="197">
        <f t="shared" ca="1" si="500"/>
        <v>0</v>
      </c>
      <c r="AF2264" s="196">
        <f>IFERROR(G2264/SUMIF(A:A,A2264,G:G)*SUMIF(Summary!$A$166:$A$242,'Operations Support'!A2264,Summary!$Q$166:$Q$242),0)</f>
        <v>0</v>
      </c>
      <c r="AG2264" s="196">
        <f t="shared" ca="1" si="501"/>
        <v>0</v>
      </c>
      <c r="AI2264" s="196">
        <f>IFERROR($G2264/SUMIF($A:$A,$A2264,$G:$G)*SUMIF(Summary!$A$247:$A$283,$A2264,Summary!$P$247:$P$283),0)</f>
        <v>0</v>
      </c>
      <c r="AJ2264" s="196">
        <f>IFERROR($G2264/SUMIF($A:$A,$A2264,$G:$G)*(SUMIF(Summary!$A$247:$A$283,$A2264,Summary!$L$247:$L$283)+SUMIF(Summary!$A$297:$A$333,$A2264,Summary!$L$297:$L$333))-AI2264,0)</f>
        <v>0</v>
      </c>
      <c r="AK2264" s="196">
        <f>IFERROR($G2264/SUMIF($A:$A,$A2264,$G:$G)*SUMIF(Summary!$A$247:$A$283,$A2264,Summary!$Q$247:$Q$283),0)</f>
        <v>0</v>
      </c>
      <c r="AL2264" s="196">
        <f>IFERROR($G2264/SUMIF($A:$A,$A2264,$G:$G)*(SUMIF(Summary!$A$247:$A$283,$A2264,Summary!$L$247:$L$283)+SUMIF(Summary!$A$297:$A$333,$A2264,Summary!$L$297:$L$333))-AK2264,0)</f>
        <v>0</v>
      </c>
      <c r="AM2264" s="198"/>
      <c r="AN2264" s="196">
        <f t="shared" ca="1" si="502"/>
        <v>0</v>
      </c>
      <c r="AO2264" s="196">
        <f t="shared" ca="1" si="503"/>
        <v>0</v>
      </c>
    </row>
    <row r="2265" spans="1:41">
      <c r="A2265" s="189">
        <v>3661</v>
      </c>
      <c r="B2265" s="190">
        <v>3</v>
      </c>
      <c r="C2265" s="191" t="s">
        <v>233</v>
      </c>
      <c r="D2265" s="192">
        <f t="shared" si="490"/>
        <v>1128</v>
      </c>
      <c r="E2265" s="192">
        <f t="shared" si="491"/>
        <v>3607</v>
      </c>
      <c r="F2265" s="192">
        <f t="shared" si="492"/>
        <v>0</v>
      </c>
      <c r="G2265" s="193">
        <f t="shared" si="493"/>
        <v>4735</v>
      </c>
      <c r="H2265" s="194">
        <v>530.67999999999995</v>
      </c>
      <c r="I2265" s="194">
        <v>1424.32</v>
      </c>
      <c r="J2265" s="194">
        <v>0</v>
      </c>
      <c r="K2265" s="193">
        <f t="shared" si="494"/>
        <v>1955</v>
      </c>
      <c r="L2265" s="194">
        <v>576.32000000000005</v>
      </c>
      <c r="M2265" s="194">
        <v>1522.68</v>
      </c>
      <c r="N2265" s="194">
        <v>0</v>
      </c>
      <c r="O2265" s="193">
        <f t="shared" si="495"/>
        <v>2099</v>
      </c>
      <c r="P2265" s="194">
        <v>21</v>
      </c>
      <c r="Q2265" s="194">
        <v>660</v>
      </c>
      <c r="R2265" s="194">
        <v>0</v>
      </c>
      <c r="S2265" s="193">
        <f t="shared" si="496"/>
        <v>681</v>
      </c>
      <c r="T2265" s="193">
        <f t="shared" si="497"/>
        <v>197.29166666666666</v>
      </c>
      <c r="U2265" s="193">
        <f ca="1">OFFSET('Expenditure Study'!$B$7,'Operations Support'!$C2265,'Operations Support'!$B2265)*$G2265</f>
        <v>12405.7</v>
      </c>
      <c r="V2265" s="199">
        <f ca="1">U2265*'Expenditure Study'!$B$31</f>
        <v>732968.21605056</v>
      </c>
      <c r="W2265" s="199">
        <f ca="1">IF(A2265=10298,1.51,1)*IF($B2265&lt;3,$D2265*'Expenditure Study'!$B$32*OFFSET('Expenditure Study'!$B$7,'Operations Support'!$C2265,'Operations Support'!$B2265),0)</f>
        <v>0</v>
      </c>
      <c r="X2265" s="200">
        <f ca="1">W2265*'Expenditure Study'!$B$31</f>
        <v>0</v>
      </c>
      <c r="Y2265" s="199">
        <f ca="1">U2265*'Expenditure Study'!$B$31</f>
        <v>732968.21605056</v>
      </c>
      <c r="Z2265" s="200">
        <f ca="1">W2265*'Expenditure Study'!$B$31</f>
        <v>0</v>
      </c>
      <c r="AA2265" s="195">
        <f t="shared" ca="1" si="498"/>
        <v>732968.21605056</v>
      </c>
      <c r="AB2265" s="195">
        <f t="shared" ca="1" si="499"/>
        <v>732968.21605056</v>
      </c>
      <c r="AD2265" s="196">
        <f>IFERROR($G2265/SUMIF($A:$A,$A2265,$G:$G)*SUMIF(Summary!$A$166:$A$242,$A2265,Summary!$P$166:$P$242),0)</f>
        <v>124993.92406034736</v>
      </c>
      <c r="AE2265" s="197">
        <f t="shared" ca="1" si="500"/>
        <v>607974.29199021263</v>
      </c>
      <c r="AF2265" s="196">
        <f>IFERROR(G2265/SUMIF(A:A,A2265,G:G)*SUMIF(Summary!$A$166:$A$242,'Operations Support'!A2265,Summary!$Q$166:$Q$242),0)</f>
        <v>125245.51872010292</v>
      </c>
      <c r="AG2265" s="196">
        <f t="shared" ca="1" si="501"/>
        <v>607722.69733045704</v>
      </c>
      <c r="AI2265" s="196">
        <f>IFERROR($G2265/SUMIF($A:$A,$A2265,$G:$G)*SUMIF(Summary!$A$247:$A$283,$A2265,Summary!$P$247:$P$283),0)</f>
        <v>22795.77256000194</v>
      </c>
      <c r="AJ2265" s="196">
        <f>IFERROR($G2265/SUMIF($A:$A,$A2265,$G:$G)*(SUMIF(Summary!$A$247:$A$283,$A2265,Summary!$L$247:$L$283)+SUMIF(Summary!$A$297:$A$333,$A2265,Summary!$L$297:$L$333))-AI2265,0)</f>
        <v>106266.60551120294</v>
      </c>
      <c r="AK2265" s="196">
        <f>IFERROR($G2265/SUMIF($A:$A,$A2265,$G:$G)*SUMIF(Summary!$A$247:$A$283,$A2265,Summary!$Q$247:$Q$283),0)</f>
        <v>22841.657147466605</v>
      </c>
      <c r="AL2265" s="196">
        <f>IFERROR($G2265/SUMIF($A:$A,$A2265,$G:$G)*(SUMIF(Summary!$A$247:$A$283,$A2265,Summary!$L$247:$L$283)+SUMIF(Summary!$A$297:$A$333,$A2265,Summary!$L$297:$L$333))-AK2265,0)</f>
        <v>106220.72092373829</v>
      </c>
      <c r="AM2265" s="198"/>
      <c r="AN2265" s="196">
        <f t="shared" ca="1" si="502"/>
        <v>714240.89750141557</v>
      </c>
      <c r="AO2265" s="196">
        <f t="shared" ca="1" si="503"/>
        <v>713943.41825419536</v>
      </c>
    </row>
    <row r="2266" spans="1:41">
      <c r="A2266" s="189">
        <v>3661</v>
      </c>
      <c r="B2266" s="190">
        <v>3</v>
      </c>
      <c r="C2266" s="191" t="s">
        <v>234</v>
      </c>
      <c r="D2266" s="192">
        <f t="shared" si="490"/>
        <v>0</v>
      </c>
      <c r="E2266" s="192">
        <f t="shared" si="491"/>
        <v>104</v>
      </c>
      <c r="F2266" s="192">
        <f t="shared" si="492"/>
        <v>0</v>
      </c>
      <c r="G2266" s="193">
        <f t="shared" si="493"/>
        <v>104</v>
      </c>
      <c r="H2266" s="194">
        <v>0</v>
      </c>
      <c r="I2266" s="194">
        <v>53</v>
      </c>
      <c r="J2266" s="194">
        <v>0</v>
      </c>
      <c r="K2266" s="193">
        <f t="shared" si="494"/>
        <v>53</v>
      </c>
      <c r="L2266" s="194">
        <v>0</v>
      </c>
      <c r="M2266" s="194">
        <v>0</v>
      </c>
      <c r="N2266" s="194">
        <v>0</v>
      </c>
      <c r="O2266" s="193">
        <f t="shared" si="495"/>
        <v>0</v>
      </c>
      <c r="P2266" s="194">
        <v>0</v>
      </c>
      <c r="Q2266" s="194">
        <v>51</v>
      </c>
      <c r="R2266" s="194">
        <v>0</v>
      </c>
      <c r="S2266" s="193">
        <f t="shared" si="496"/>
        <v>51</v>
      </c>
      <c r="T2266" s="193">
        <f t="shared" si="497"/>
        <v>4.333333333333333</v>
      </c>
      <c r="U2266" s="193">
        <f ca="1">OFFSET('Expenditure Study'!$B$7,'Operations Support'!$C2266,'Operations Support'!$B2266)*$G2266</f>
        <v>4577.04</v>
      </c>
      <c r="V2266" s="199">
        <f ca="1">U2266*'Expenditure Study'!$B$31</f>
        <v>270426.08184883202</v>
      </c>
      <c r="W2266" s="199">
        <f ca="1">IF(A2266=10298,1.51,1)*IF($B2266&lt;3,$D2266*'Expenditure Study'!$B$32*OFFSET('Expenditure Study'!$B$7,'Operations Support'!$C2266,'Operations Support'!$B2266),0)</f>
        <v>0</v>
      </c>
      <c r="X2266" s="200">
        <f ca="1">W2266*'Expenditure Study'!$B$31</f>
        <v>0</v>
      </c>
      <c r="Y2266" s="199">
        <f ca="1">U2266*'Expenditure Study'!$B$31</f>
        <v>270426.08184883202</v>
      </c>
      <c r="Z2266" s="200">
        <f ca="1">W2266*'Expenditure Study'!$B$31</f>
        <v>0</v>
      </c>
      <c r="AA2266" s="195">
        <f t="shared" ca="1" si="498"/>
        <v>270426.08184883202</v>
      </c>
      <c r="AB2266" s="195">
        <f t="shared" ca="1" si="499"/>
        <v>270426.08184883202</v>
      </c>
      <c r="AD2266" s="196">
        <f>IFERROR($G2266/SUMIF($A:$A,$A2266,$G:$G)*SUMIF(Summary!$A$166:$A$242,$A2266,Summary!$P$166:$P$242),0)</f>
        <v>2745.3786910826034</v>
      </c>
      <c r="AE2266" s="197">
        <f t="shared" ca="1" si="500"/>
        <v>267680.70315774943</v>
      </c>
      <c r="AF2266" s="196">
        <f>IFERROR(G2266/SUMIF(A:A,A2266,G:G)*SUMIF(Summary!$A$166:$A$242,'Operations Support'!A2266,Summary!$Q$166:$Q$242),0)</f>
        <v>2750.9047406316167</v>
      </c>
      <c r="AG2266" s="196">
        <f t="shared" ca="1" si="501"/>
        <v>267675.17710820038</v>
      </c>
      <c r="AI2266" s="196">
        <f>IFERROR($G2266/SUMIF($A:$A,$A2266,$G:$G)*SUMIF(Summary!$A$247:$A$283,$A2266,Summary!$P$247:$P$283),0)</f>
        <v>500.6885630919117</v>
      </c>
      <c r="AJ2266" s="196">
        <f>IFERROR($G2266/SUMIF($A:$A,$A2266,$G:$G)*(SUMIF(Summary!$A$247:$A$283,$A2266,Summary!$L$247:$L$283)+SUMIF(Summary!$A$297:$A$333,$A2266,Summary!$L$297:$L$333))-AI2266,0)</f>
        <v>2334.0500471309624</v>
      </c>
      <c r="AK2266" s="196">
        <f>IFERROR($G2266/SUMIF($A:$A,$A2266,$G:$G)*SUMIF(Summary!$A$247:$A$283,$A2266,Summary!$Q$247:$Q$283),0)</f>
        <v>501.69637662862237</v>
      </c>
      <c r="AL2266" s="196">
        <f>IFERROR($G2266/SUMIF($A:$A,$A2266,$G:$G)*(SUMIF(Summary!$A$247:$A$283,$A2266,Summary!$L$247:$L$283)+SUMIF(Summary!$A$297:$A$333,$A2266,Summary!$L$297:$L$333))-AK2266,0)</f>
        <v>2333.0422335942521</v>
      </c>
      <c r="AM2266" s="198"/>
      <c r="AN2266" s="196">
        <f t="shared" ca="1" si="502"/>
        <v>270014.7532048804</v>
      </c>
      <c r="AO2266" s="196">
        <f t="shared" ca="1" si="503"/>
        <v>270008.21934179461</v>
      </c>
    </row>
    <row r="2267" spans="1:41">
      <c r="A2267" s="189">
        <v>3661</v>
      </c>
      <c r="B2267" s="190">
        <v>3</v>
      </c>
      <c r="C2267" s="191" t="s">
        <v>235</v>
      </c>
      <c r="D2267" s="192">
        <f t="shared" si="490"/>
        <v>3592.5</v>
      </c>
      <c r="E2267" s="192">
        <f t="shared" si="491"/>
        <v>2269.5</v>
      </c>
      <c r="F2267" s="192">
        <f t="shared" si="492"/>
        <v>0</v>
      </c>
      <c r="G2267" s="193">
        <f t="shared" si="493"/>
        <v>5862</v>
      </c>
      <c r="H2267" s="194">
        <v>1404</v>
      </c>
      <c r="I2267" s="194">
        <v>1044</v>
      </c>
      <c r="J2267" s="194">
        <v>0</v>
      </c>
      <c r="K2267" s="193">
        <f t="shared" si="494"/>
        <v>2448</v>
      </c>
      <c r="L2267" s="194">
        <v>357</v>
      </c>
      <c r="M2267" s="194">
        <v>396</v>
      </c>
      <c r="N2267" s="194">
        <v>0</v>
      </c>
      <c r="O2267" s="193">
        <f t="shared" si="495"/>
        <v>753</v>
      </c>
      <c r="P2267" s="194">
        <v>1831.5</v>
      </c>
      <c r="Q2267" s="194">
        <v>829.5</v>
      </c>
      <c r="R2267" s="194">
        <v>0</v>
      </c>
      <c r="S2267" s="193">
        <f t="shared" si="496"/>
        <v>2661</v>
      </c>
      <c r="T2267" s="193">
        <f t="shared" si="497"/>
        <v>244.25</v>
      </c>
      <c r="U2267" s="193">
        <f ca="1">OFFSET('Expenditure Study'!$B$7,'Operations Support'!$C2267,'Operations Support'!$B2267)*$G2267</f>
        <v>18523.920000000002</v>
      </c>
      <c r="V2267" s="199">
        <f ca="1">U2267*'Expenditure Study'!$B$31</f>
        <v>1094452.1144847362</v>
      </c>
      <c r="W2267" s="199">
        <f ca="1">IF(A2267=10298,1.51,1)*IF($B2267&lt;3,$D2267*'Expenditure Study'!$B$32*OFFSET('Expenditure Study'!$B$7,'Operations Support'!$C2267,'Operations Support'!$B2267),0)</f>
        <v>0</v>
      </c>
      <c r="X2267" s="200">
        <f ca="1">W2267*'Expenditure Study'!$B$31</f>
        <v>0</v>
      </c>
      <c r="Y2267" s="199">
        <f ca="1">U2267*'Expenditure Study'!$B$31</f>
        <v>1094452.1144847362</v>
      </c>
      <c r="Z2267" s="200">
        <f ca="1">W2267*'Expenditure Study'!$B$31</f>
        <v>0</v>
      </c>
      <c r="AA2267" s="195">
        <f t="shared" ca="1" si="498"/>
        <v>1094452.1144847362</v>
      </c>
      <c r="AB2267" s="195">
        <f t="shared" ca="1" si="499"/>
        <v>1094452.1144847362</v>
      </c>
      <c r="AD2267" s="196">
        <f>IFERROR($G2267/SUMIF($A:$A,$A2267,$G:$G)*SUMIF(Summary!$A$166:$A$242,$A2267,Summary!$P$166:$P$242),0)</f>
        <v>154744.32583775211</v>
      </c>
      <c r="AE2267" s="197">
        <f t="shared" ca="1" si="500"/>
        <v>939707.78864698415</v>
      </c>
      <c r="AF2267" s="196">
        <f>IFERROR(G2267/SUMIF(A:A,A2267,G:G)*SUMIF(Summary!$A$166:$A$242,'Operations Support'!A2267,Summary!$Q$166:$Q$242),0)</f>
        <v>155055.80374598593</v>
      </c>
      <c r="AG2267" s="196">
        <f t="shared" ca="1" si="501"/>
        <v>939396.31073875027</v>
      </c>
      <c r="AI2267" s="196">
        <f>IFERROR($G2267/SUMIF($A:$A,$A2267,$G:$G)*SUMIF(Summary!$A$247:$A$283,$A2267,Summary!$P$247:$P$283),0)</f>
        <v>28221.503431199868</v>
      </c>
      <c r="AJ2267" s="196">
        <f>IFERROR($G2267/SUMIF($A:$A,$A2267,$G:$G)*(SUMIF(Summary!$A$247:$A$283,$A2267,Summary!$L$247:$L$283)+SUMIF(Summary!$A$297:$A$333,$A2267,Summary!$L$297:$L$333))-AI2267,0)</f>
        <v>131559.62861809329</v>
      </c>
      <c r="AK2267" s="196">
        <f>IFERROR($G2267/SUMIF($A:$A,$A2267,$G:$G)*SUMIF(Summary!$A$247:$A$283,$A2267,Summary!$Q$247:$Q$283),0)</f>
        <v>28278.309228817157</v>
      </c>
      <c r="AL2267" s="196">
        <f>IFERROR($G2267/SUMIF($A:$A,$A2267,$G:$G)*(SUMIF(Summary!$A$247:$A$283,$A2267,Summary!$L$247:$L$283)+SUMIF(Summary!$A$297:$A$333,$A2267,Summary!$L$297:$L$333))-AK2267,0)</f>
        <v>131502.82282047602</v>
      </c>
      <c r="AM2267" s="198"/>
      <c r="AN2267" s="196">
        <f t="shared" ca="1" si="502"/>
        <v>1071267.4172650774</v>
      </c>
      <c r="AO2267" s="196">
        <f t="shared" ca="1" si="503"/>
        <v>1070899.1335592263</v>
      </c>
    </row>
    <row r="2268" spans="1:41" s="201" customFormat="1">
      <c r="A2268" s="189">
        <v>3661</v>
      </c>
      <c r="B2268" s="190">
        <v>3</v>
      </c>
      <c r="C2268" s="191" t="s">
        <v>236</v>
      </c>
      <c r="D2268" s="192">
        <f t="shared" si="490"/>
        <v>0</v>
      </c>
      <c r="E2268" s="192">
        <f t="shared" si="491"/>
        <v>0</v>
      </c>
      <c r="F2268" s="192">
        <f t="shared" si="492"/>
        <v>0</v>
      </c>
      <c r="G2268" s="193">
        <f t="shared" si="493"/>
        <v>0</v>
      </c>
      <c r="H2268" s="194">
        <v>0</v>
      </c>
      <c r="I2268" s="194">
        <v>0</v>
      </c>
      <c r="J2268" s="194">
        <v>0</v>
      </c>
      <c r="K2268" s="193">
        <f t="shared" si="494"/>
        <v>0</v>
      </c>
      <c r="L2268" s="194">
        <v>0</v>
      </c>
      <c r="M2268" s="194">
        <v>0</v>
      </c>
      <c r="N2268" s="194">
        <v>0</v>
      </c>
      <c r="O2268" s="193">
        <f t="shared" si="495"/>
        <v>0</v>
      </c>
      <c r="P2268" s="194">
        <v>0</v>
      </c>
      <c r="Q2268" s="194">
        <v>0</v>
      </c>
      <c r="R2268" s="194">
        <v>0</v>
      </c>
      <c r="S2268" s="193">
        <f t="shared" si="496"/>
        <v>0</v>
      </c>
      <c r="T2268" s="193">
        <f t="shared" si="497"/>
        <v>0</v>
      </c>
      <c r="U2268" s="193">
        <f ca="1">OFFSET('Expenditure Study'!$B$7,'Operations Support'!$C2268,'Operations Support'!$B2268)*$G2268</f>
        <v>0</v>
      </c>
      <c r="V2268" s="199">
        <f ca="1">U2268*'Expenditure Study'!$B$31</f>
        <v>0</v>
      </c>
      <c r="W2268" s="199">
        <f ca="1">IF(A2268=10298,1.51,1)*IF($B2268&lt;3,$D2268*'Expenditure Study'!$B$32*OFFSET('Expenditure Study'!$B$7,'Operations Support'!$C2268,'Operations Support'!$B2268),0)</f>
        <v>0</v>
      </c>
      <c r="X2268" s="200">
        <f ca="1">W2268*'Expenditure Study'!$B$31</f>
        <v>0</v>
      </c>
      <c r="Y2268" s="199">
        <f ca="1">U2268*'Expenditure Study'!$B$31</f>
        <v>0</v>
      </c>
      <c r="Z2268" s="200">
        <f ca="1">W2268*'Expenditure Study'!$B$31</f>
        <v>0</v>
      </c>
      <c r="AA2268" s="195">
        <f t="shared" ca="1" si="498"/>
        <v>0</v>
      </c>
      <c r="AB2268" s="195">
        <f t="shared" ca="1" si="499"/>
        <v>0</v>
      </c>
      <c r="AD2268" s="196">
        <f>IFERROR($G2268/SUMIF($A:$A,$A2268,$G:$G)*SUMIF(Summary!$A$166:$A$242,$A2268,Summary!$P$166:$P$242),0)</f>
        <v>0</v>
      </c>
      <c r="AE2268" s="197">
        <f t="shared" ca="1" si="500"/>
        <v>0</v>
      </c>
      <c r="AF2268" s="196">
        <f>IFERROR(G2268/SUMIF(A:A,A2268,G:G)*SUMIF(Summary!$A$166:$A$242,'Operations Support'!A2268,Summary!$Q$166:$Q$242),0)</f>
        <v>0</v>
      </c>
      <c r="AG2268" s="196">
        <f t="shared" ca="1" si="501"/>
        <v>0</v>
      </c>
      <c r="AH2268" s="180"/>
      <c r="AI2268" s="196">
        <f>IFERROR($G2268/SUMIF($A:$A,$A2268,$G:$G)*SUMIF(Summary!$A$247:$A$283,$A2268,Summary!$P$247:$P$283),0)</f>
        <v>0</v>
      </c>
      <c r="AJ2268" s="196">
        <f>IFERROR($G2268/SUMIF($A:$A,$A2268,$G:$G)*(SUMIF(Summary!$A$247:$A$283,$A2268,Summary!$L$247:$L$283)+SUMIF(Summary!$A$297:$A$333,$A2268,Summary!$L$297:$L$333))-AI2268,0)</f>
        <v>0</v>
      </c>
      <c r="AK2268" s="196">
        <f>IFERROR($G2268/SUMIF($A:$A,$A2268,$G:$G)*SUMIF(Summary!$A$247:$A$283,$A2268,Summary!$Q$247:$Q$283),0)</f>
        <v>0</v>
      </c>
      <c r="AL2268" s="196">
        <f>IFERROR($G2268/SUMIF($A:$A,$A2268,$G:$G)*(SUMIF(Summary!$A$247:$A$283,$A2268,Summary!$L$247:$L$283)+SUMIF(Summary!$A$297:$A$333,$A2268,Summary!$L$297:$L$333))-AK2268,0)</f>
        <v>0</v>
      </c>
      <c r="AM2268" s="198"/>
      <c r="AN2268" s="196">
        <f t="shared" ca="1" si="502"/>
        <v>0</v>
      </c>
      <c r="AO2268" s="196">
        <f t="shared" ca="1" si="503"/>
        <v>0</v>
      </c>
    </row>
    <row r="2269" spans="1:41">
      <c r="A2269" s="189">
        <v>3661</v>
      </c>
      <c r="B2269" s="190">
        <v>3</v>
      </c>
      <c r="C2269" s="191" t="s">
        <v>237</v>
      </c>
      <c r="D2269" s="192">
        <f t="shared" si="490"/>
        <v>0</v>
      </c>
      <c r="E2269" s="192">
        <f t="shared" si="491"/>
        <v>0</v>
      </c>
      <c r="F2269" s="192">
        <f t="shared" si="492"/>
        <v>0</v>
      </c>
      <c r="G2269" s="193">
        <f t="shared" si="493"/>
        <v>0</v>
      </c>
      <c r="H2269" s="194">
        <v>0</v>
      </c>
      <c r="I2269" s="194">
        <v>0</v>
      </c>
      <c r="J2269" s="194">
        <v>0</v>
      </c>
      <c r="K2269" s="193">
        <f t="shared" si="494"/>
        <v>0</v>
      </c>
      <c r="L2269" s="194">
        <v>0</v>
      </c>
      <c r="M2269" s="194">
        <v>0</v>
      </c>
      <c r="N2269" s="194">
        <v>0</v>
      </c>
      <c r="O2269" s="193">
        <f t="shared" si="495"/>
        <v>0</v>
      </c>
      <c r="P2269" s="194">
        <v>0</v>
      </c>
      <c r="Q2269" s="194">
        <v>0</v>
      </c>
      <c r="R2269" s="194">
        <v>0</v>
      </c>
      <c r="S2269" s="193">
        <f t="shared" si="496"/>
        <v>0</v>
      </c>
      <c r="T2269" s="193">
        <f t="shared" si="497"/>
        <v>0</v>
      </c>
      <c r="U2269" s="193">
        <f ca="1">OFFSET('Expenditure Study'!$B$7,'Operations Support'!$C2269,'Operations Support'!$B2269)*$G2269</f>
        <v>0</v>
      </c>
      <c r="V2269" s="199">
        <f ca="1">U2269*'Expenditure Study'!$B$31</f>
        <v>0</v>
      </c>
      <c r="W2269" s="199">
        <f ca="1">IF(A2269=10298,1.51,1)*IF($B2269&lt;3,$D2269*'Expenditure Study'!$B$32*OFFSET('Expenditure Study'!$B$7,'Operations Support'!$C2269,'Operations Support'!$B2269),0)</f>
        <v>0</v>
      </c>
      <c r="X2269" s="200">
        <f ca="1">W2269*'Expenditure Study'!$B$31</f>
        <v>0</v>
      </c>
      <c r="Y2269" s="199">
        <f ca="1">U2269*'Expenditure Study'!$B$31</f>
        <v>0</v>
      </c>
      <c r="Z2269" s="200">
        <f ca="1">W2269*'Expenditure Study'!$B$31</f>
        <v>0</v>
      </c>
      <c r="AA2269" s="195">
        <f t="shared" ca="1" si="498"/>
        <v>0</v>
      </c>
      <c r="AB2269" s="195">
        <f t="shared" ca="1" si="499"/>
        <v>0</v>
      </c>
      <c r="AD2269" s="196">
        <f>IFERROR($G2269/SUMIF($A:$A,$A2269,$G:$G)*SUMIF(Summary!$A$166:$A$242,$A2269,Summary!$P$166:$P$242),0)</f>
        <v>0</v>
      </c>
      <c r="AE2269" s="197">
        <f t="shared" ca="1" si="500"/>
        <v>0</v>
      </c>
      <c r="AF2269" s="196">
        <f>IFERROR(G2269/SUMIF(A:A,A2269,G:G)*SUMIF(Summary!$A$166:$A$242,'Operations Support'!A2269,Summary!$Q$166:$Q$242),0)</f>
        <v>0</v>
      </c>
      <c r="AG2269" s="196">
        <f t="shared" ca="1" si="501"/>
        <v>0</v>
      </c>
      <c r="AI2269" s="196">
        <f>IFERROR($G2269/SUMIF($A:$A,$A2269,$G:$G)*SUMIF(Summary!$A$247:$A$283,$A2269,Summary!$P$247:$P$283),0)</f>
        <v>0</v>
      </c>
      <c r="AJ2269" s="196">
        <f>IFERROR($G2269/SUMIF($A:$A,$A2269,$G:$G)*(SUMIF(Summary!$A$247:$A$283,$A2269,Summary!$L$247:$L$283)+SUMIF(Summary!$A$297:$A$333,$A2269,Summary!$L$297:$L$333))-AI2269,0)</f>
        <v>0</v>
      </c>
      <c r="AK2269" s="196">
        <f>IFERROR($G2269/SUMIF($A:$A,$A2269,$G:$G)*SUMIF(Summary!$A$247:$A$283,$A2269,Summary!$Q$247:$Q$283),0)</f>
        <v>0</v>
      </c>
      <c r="AL2269" s="196">
        <f>IFERROR($G2269/SUMIF($A:$A,$A2269,$G:$G)*(SUMIF(Summary!$A$247:$A$283,$A2269,Summary!$L$247:$L$283)+SUMIF(Summary!$A$297:$A$333,$A2269,Summary!$L$297:$L$333))-AK2269,0)</f>
        <v>0</v>
      </c>
      <c r="AM2269" s="198"/>
      <c r="AN2269" s="196">
        <f t="shared" ca="1" si="502"/>
        <v>0</v>
      </c>
      <c r="AO2269" s="196">
        <f t="shared" ca="1" si="503"/>
        <v>0</v>
      </c>
    </row>
    <row r="2270" spans="1:41">
      <c r="A2270" s="189">
        <v>3661</v>
      </c>
      <c r="B2270" s="190">
        <v>3</v>
      </c>
      <c r="C2270" s="191" t="s">
        <v>238</v>
      </c>
      <c r="D2270" s="192">
        <f t="shared" si="490"/>
        <v>81</v>
      </c>
      <c r="E2270" s="192">
        <f t="shared" si="491"/>
        <v>275</v>
      </c>
      <c r="F2270" s="192">
        <f t="shared" si="492"/>
        <v>0</v>
      </c>
      <c r="G2270" s="193">
        <f t="shared" si="493"/>
        <v>356</v>
      </c>
      <c r="H2270" s="194">
        <v>45</v>
      </c>
      <c r="I2270" s="194">
        <v>88</v>
      </c>
      <c r="J2270" s="194">
        <v>0</v>
      </c>
      <c r="K2270" s="193">
        <f t="shared" si="494"/>
        <v>133</v>
      </c>
      <c r="L2270" s="194">
        <v>36</v>
      </c>
      <c r="M2270" s="194">
        <v>124</v>
      </c>
      <c r="N2270" s="194">
        <v>0</v>
      </c>
      <c r="O2270" s="193">
        <f t="shared" si="495"/>
        <v>160</v>
      </c>
      <c r="P2270" s="194">
        <v>0</v>
      </c>
      <c r="Q2270" s="194">
        <v>63</v>
      </c>
      <c r="R2270" s="194">
        <v>0</v>
      </c>
      <c r="S2270" s="193">
        <f t="shared" si="496"/>
        <v>63</v>
      </c>
      <c r="T2270" s="193">
        <f t="shared" si="497"/>
        <v>14.833333333333334</v>
      </c>
      <c r="U2270" s="193">
        <f ca="1">OFFSET('Expenditure Study'!$B$7,'Operations Support'!$C2270,'Operations Support'!$B2270)*$G2270</f>
        <v>2079.04</v>
      </c>
      <c r="V2270" s="199">
        <f ca="1">U2270*'Expenditure Study'!$B$31</f>
        <v>122836.296210432</v>
      </c>
      <c r="W2270" s="199">
        <f ca="1">IF(A2270=10298,1.51,1)*IF($B2270&lt;3,$D2270*'Expenditure Study'!$B$32*OFFSET('Expenditure Study'!$B$7,'Operations Support'!$C2270,'Operations Support'!$B2270),0)</f>
        <v>0</v>
      </c>
      <c r="X2270" s="200">
        <f ca="1">W2270*'Expenditure Study'!$B$31</f>
        <v>0</v>
      </c>
      <c r="Y2270" s="199">
        <f ca="1">U2270*'Expenditure Study'!$B$31</f>
        <v>122836.296210432</v>
      </c>
      <c r="Z2270" s="200">
        <f ca="1">W2270*'Expenditure Study'!$B$31</f>
        <v>0</v>
      </c>
      <c r="AA2270" s="195">
        <f t="shared" ca="1" si="498"/>
        <v>122836.296210432</v>
      </c>
      <c r="AB2270" s="195">
        <f t="shared" ca="1" si="499"/>
        <v>122836.296210432</v>
      </c>
      <c r="AD2270" s="196">
        <f>IFERROR($G2270/SUMIF($A:$A,$A2270,$G:$G)*SUMIF(Summary!$A$166:$A$242,$A2270,Summary!$P$166:$P$242),0)</f>
        <v>9397.642442551989</v>
      </c>
      <c r="AE2270" s="197">
        <f t="shared" ca="1" si="500"/>
        <v>113438.65376788001</v>
      </c>
      <c r="AF2270" s="196">
        <f>IFERROR(G2270/SUMIF(A:A,A2270,G:G)*SUMIF(Summary!$A$166:$A$242,'Operations Support'!A2270,Summary!$Q$166:$Q$242),0)</f>
        <v>9416.5585352389953</v>
      </c>
      <c r="AG2270" s="196">
        <f t="shared" ca="1" si="501"/>
        <v>113419.73767519301</v>
      </c>
      <c r="AI2270" s="196">
        <f>IFERROR($G2270/SUMIF($A:$A,$A2270,$G:$G)*SUMIF(Summary!$A$247:$A$283,$A2270,Summary!$P$247:$P$283),0)</f>
        <v>1713.8954659684669</v>
      </c>
      <c r="AJ2270" s="196">
        <f>IFERROR($G2270/SUMIF($A:$A,$A2270,$G:$G)*(SUMIF(Summary!$A$247:$A$283,$A2270,Summary!$L$247:$L$283)+SUMIF(Summary!$A$297:$A$333,$A2270,Summary!$L$297:$L$333))-AI2270,0)</f>
        <v>7989.6328536406027</v>
      </c>
      <c r="AK2270" s="196">
        <f>IFERROR($G2270/SUMIF($A:$A,$A2270,$G:$G)*SUMIF(Summary!$A$247:$A$283,$A2270,Summary!$Q$247:$Q$283),0)</f>
        <v>1717.345289228746</v>
      </c>
      <c r="AL2270" s="196">
        <f>IFERROR($G2270/SUMIF($A:$A,$A2270,$G:$G)*(SUMIF(Summary!$A$247:$A$283,$A2270,Summary!$L$247:$L$283)+SUMIF(Summary!$A$297:$A$333,$A2270,Summary!$L$297:$L$333))-AK2270,0)</f>
        <v>7986.1830303803235</v>
      </c>
      <c r="AM2270" s="198"/>
      <c r="AN2270" s="196">
        <f t="shared" ca="1" si="502"/>
        <v>121428.28662152062</v>
      </c>
      <c r="AO2270" s="196">
        <f t="shared" ca="1" si="503"/>
        <v>121405.92070557334</v>
      </c>
    </row>
    <row r="2271" spans="1:41">
      <c r="A2271" s="189">
        <v>3661</v>
      </c>
      <c r="B2271" s="190">
        <v>3</v>
      </c>
      <c r="C2271" s="191" t="s">
        <v>239</v>
      </c>
      <c r="D2271" s="192">
        <f t="shared" si="490"/>
        <v>1058.540000000002</v>
      </c>
      <c r="E2271" s="192">
        <f t="shared" si="491"/>
        <v>5687.45999999999</v>
      </c>
      <c r="F2271" s="192">
        <f t="shared" si="492"/>
        <v>0</v>
      </c>
      <c r="G2271" s="193">
        <f t="shared" si="493"/>
        <v>6745.9999999999918</v>
      </c>
      <c r="H2271" s="194">
        <v>558.08000000000095</v>
      </c>
      <c r="I2271" s="194">
        <v>2012.92</v>
      </c>
      <c r="J2271" s="194">
        <v>0</v>
      </c>
      <c r="K2271" s="193">
        <f t="shared" si="494"/>
        <v>2571.0000000000009</v>
      </c>
      <c r="L2271" s="194">
        <v>212</v>
      </c>
      <c r="M2271" s="194">
        <v>944</v>
      </c>
      <c r="N2271" s="194">
        <v>0</v>
      </c>
      <c r="O2271" s="193">
        <f t="shared" si="495"/>
        <v>1156</v>
      </c>
      <c r="P2271" s="194">
        <v>288.460000000001</v>
      </c>
      <c r="Q2271" s="194">
        <v>2730.53999999999</v>
      </c>
      <c r="R2271" s="194">
        <v>0</v>
      </c>
      <c r="S2271" s="193">
        <f t="shared" si="496"/>
        <v>3018.9999999999909</v>
      </c>
      <c r="T2271" s="193">
        <f t="shared" si="497"/>
        <v>281.08333333333297</v>
      </c>
      <c r="U2271" s="193">
        <f ca="1">OFFSET('Expenditure Study'!$B$7,'Operations Support'!$C2271,'Operations Support'!$B2271)*$G2271</f>
        <v>18349.119999999981</v>
      </c>
      <c r="V2271" s="199">
        <f ca="1">U2271*'Expenditure Study'!$B$31</f>
        <v>1084124.3744808948</v>
      </c>
      <c r="W2271" s="199">
        <f ca="1">IF(A2271=10298,1.51,1)*IF($B2271&lt;3,$D2271*'Expenditure Study'!$B$32*OFFSET('Expenditure Study'!$B$7,'Operations Support'!$C2271,'Operations Support'!$B2271),0)</f>
        <v>0</v>
      </c>
      <c r="X2271" s="200">
        <f ca="1">W2271*'Expenditure Study'!$B$31</f>
        <v>0</v>
      </c>
      <c r="Y2271" s="199">
        <f ca="1">U2271*'Expenditure Study'!$B$31</f>
        <v>1084124.3744808948</v>
      </c>
      <c r="Z2271" s="200">
        <f ca="1">W2271*'Expenditure Study'!$B$31</f>
        <v>0</v>
      </c>
      <c r="AA2271" s="195">
        <f t="shared" ca="1" si="498"/>
        <v>1084124.3744808948</v>
      </c>
      <c r="AB2271" s="195">
        <f t="shared" ca="1" si="499"/>
        <v>1084124.3744808948</v>
      </c>
      <c r="AD2271" s="196">
        <f>IFERROR($G2271/SUMIF($A:$A,$A2271,$G:$G)*SUMIF(Summary!$A$166:$A$242,$A2271,Summary!$P$166:$P$242),0)</f>
        <v>178080.04471195402</v>
      </c>
      <c r="AE2271" s="197">
        <f t="shared" ca="1" si="500"/>
        <v>906044.32976894081</v>
      </c>
      <c r="AF2271" s="196">
        <f>IFERROR(G2271/SUMIF(A:A,A2271,G:G)*SUMIF(Summary!$A$166:$A$242,'Operations Support'!A2271,Summary!$Q$166:$Q$242),0)</f>
        <v>178438.49404135445</v>
      </c>
      <c r="AG2271" s="196">
        <f t="shared" ca="1" si="501"/>
        <v>905685.88043954037</v>
      </c>
      <c r="AI2271" s="196">
        <f>IFERROR($G2271/SUMIF($A:$A,$A2271,$G:$G)*SUMIF(Summary!$A$247:$A$283,$A2271,Summary!$P$247:$P$283),0)</f>
        <v>32477.356217481076</v>
      </c>
      <c r="AJ2271" s="196">
        <f>IFERROR($G2271/SUMIF($A:$A,$A2271,$G:$G)*(SUMIF(Summary!$A$247:$A$283,$A2271,Summary!$L$247:$L$283)+SUMIF(Summary!$A$297:$A$333,$A2271,Summary!$L$297:$L$333))-AI2271,0)</f>
        <v>151399.05401870629</v>
      </c>
      <c r="AK2271" s="196">
        <f>IFERROR($G2271/SUMIF($A:$A,$A2271,$G:$G)*SUMIF(Summary!$A$247:$A$283,$A2271,Summary!$Q$247:$Q$283),0)</f>
        <v>32542.728430160409</v>
      </c>
      <c r="AL2271" s="196">
        <f>IFERROR($G2271/SUMIF($A:$A,$A2271,$G:$G)*(SUMIF(Summary!$A$247:$A$283,$A2271,Summary!$L$247:$L$283)+SUMIF(Summary!$A$297:$A$333,$A2271,Summary!$L$297:$L$333))-AK2271,0)</f>
        <v>151333.68180602696</v>
      </c>
      <c r="AM2271" s="198"/>
      <c r="AN2271" s="196">
        <f t="shared" ca="1" si="502"/>
        <v>1057443.3837876471</v>
      </c>
      <c r="AO2271" s="196">
        <f t="shared" ca="1" si="503"/>
        <v>1057019.5622455673</v>
      </c>
    </row>
    <row r="2272" spans="1:41">
      <c r="A2272" s="189">
        <v>3661</v>
      </c>
      <c r="B2272" s="190">
        <v>3</v>
      </c>
      <c r="C2272" s="191" t="s">
        <v>240</v>
      </c>
      <c r="D2272" s="192">
        <f t="shared" si="490"/>
        <v>0</v>
      </c>
      <c r="E2272" s="192">
        <f t="shared" si="491"/>
        <v>0</v>
      </c>
      <c r="F2272" s="192">
        <f t="shared" si="492"/>
        <v>0</v>
      </c>
      <c r="G2272" s="193">
        <f t="shared" si="493"/>
        <v>0</v>
      </c>
      <c r="H2272" s="194">
        <v>0</v>
      </c>
      <c r="I2272" s="194">
        <v>0</v>
      </c>
      <c r="J2272" s="194">
        <v>0</v>
      </c>
      <c r="K2272" s="193">
        <f t="shared" si="494"/>
        <v>0</v>
      </c>
      <c r="L2272" s="194">
        <v>0</v>
      </c>
      <c r="M2272" s="194">
        <v>0</v>
      </c>
      <c r="N2272" s="194">
        <v>0</v>
      </c>
      <c r="O2272" s="193">
        <f t="shared" si="495"/>
        <v>0</v>
      </c>
      <c r="P2272" s="194">
        <v>0</v>
      </c>
      <c r="Q2272" s="194">
        <v>0</v>
      </c>
      <c r="R2272" s="194">
        <v>0</v>
      </c>
      <c r="S2272" s="193">
        <f t="shared" si="496"/>
        <v>0</v>
      </c>
      <c r="T2272" s="193">
        <f t="shared" si="497"/>
        <v>0</v>
      </c>
      <c r="U2272" s="193">
        <f ca="1">OFFSET('Expenditure Study'!$B$7,'Operations Support'!$C2272,'Operations Support'!$B2272)*$G2272</f>
        <v>0</v>
      </c>
      <c r="V2272" s="199">
        <f ca="1">U2272*'Expenditure Study'!$B$31</f>
        <v>0</v>
      </c>
      <c r="W2272" s="199">
        <f ca="1">IF(A2272=10298,1.51,1)*IF($B2272&lt;3,$D2272*'Expenditure Study'!$B$32*OFFSET('Expenditure Study'!$B$7,'Operations Support'!$C2272,'Operations Support'!$B2272),0)</f>
        <v>0</v>
      </c>
      <c r="X2272" s="200">
        <f ca="1">W2272*'Expenditure Study'!$B$31</f>
        <v>0</v>
      </c>
      <c r="Y2272" s="199">
        <f ca="1">U2272*'Expenditure Study'!$B$31</f>
        <v>0</v>
      </c>
      <c r="Z2272" s="200">
        <f ca="1">W2272*'Expenditure Study'!$B$31</f>
        <v>0</v>
      </c>
      <c r="AA2272" s="195">
        <f t="shared" ca="1" si="498"/>
        <v>0</v>
      </c>
      <c r="AB2272" s="195">
        <f t="shared" ca="1" si="499"/>
        <v>0</v>
      </c>
      <c r="AD2272" s="196">
        <f>IFERROR($G2272/SUMIF($A:$A,$A2272,$G:$G)*SUMIF(Summary!$A$166:$A$242,$A2272,Summary!$P$166:$P$242),0)</f>
        <v>0</v>
      </c>
      <c r="AE2272" s="197">
        <f t="shared" ca="1" si="500"/>
        <v>0</v>
      </c>
      <c r="AF2272" s="196">
        <f>IFERROR(G2272/SUMIF(A:A,A2272,G:G)*SUMIF(Summary!$A$166:$A$242,'Operations Support'!A2272,Summary!$Q$166:$Q$242),0)</f>
        <v>0</v>
      </c>
      <c r="AG2272" s="196">
        <f t="shared" ca="1" si="501"/>
        <v>0</v>
      </c>
      <c r="AI2272" s="196">
        <f>IFERROR($G2272/SUMIF($A:$A,$A2272,$G:$G)*SUMIF(Summary!$A$247:$A$283,$A2272,Summary!$P$247:$P$283),0)</f>
        <v>0</v>
      </c>
      <c r="AJ2272" s="196">
        <f>IFERROR($G2272/SUMIF($A:$A,$A2272,$G:$G)*(SUMIF(Summary!$A$247:$A$283,$A2272,Summary!$L$247:$L$283)+SUMIF(Summary!$A$297:$A$333,$A2272,Summary!$L$297:$L$333))-AI2272,0)</f>
        <v>0</v>
      </c>
      <c r="AK2272" s="196">
        <f>IFERROR($G2272/SUMIF($A:$A,$A2272,$G:$G)*SUMIF(Summary!$A$247:$A$283,$A2272,Summary!$Q$247:$Q$283),0)</f>
        <v>0</v>
      </c>
      <c r="AL2272" s="196">
        <f>IFERROR($G2272/SUMIF($A:$A,$A2272,$G:$G)*(SUMIF(Summary!$A$247:$A$283,$A2272,Summary!$L$247:$L$283)+SUMIF(Summary!$A$297:$A$333,$A2272,Summary!$L$297:$L$333))-AK2272,0)</f>
        <v>0</v>
      </c>
      <c r="AM2272" s="198"/>
      <c r="AN2272" s="196">
        <f t="shared" ca="1" si="502"/>
        <v>0</v>
      </c>
      <c r="AO2272" s="196">
        <f t="shared" ca="1" si="503"/>
        <v>0</v>
      </c>
    </row>
    <row r="2273" spans="1:41">
      <c r="A2273" s="189">
        <v>3661</v>
      </c>
      <c r="B2273" s="190">
        <v>4</v>
      </c>
      <c r="C2273" s="191" t="s">
        <v>220</v>
      </c>
      <c r="D2273" s="192">
        <f t="shared" si="490"/>
        <v>1565</v>
      </c>
      <c r="E2273" s="192">
        <f t="shared" si="491"/>
        <v>192</v>
      </c>
      <c r="F2273" s="192">
        <f t="shared" si="492"/>
        <v>3</v>
      </c>
      <c r="G2273" s="193">
        <f t="shared" si="493"/>
        <v>1754</v>
      </c>
      <c r="H2273" s="194">
        <v>767</v>
      </c>
      <c r="I2273" s="194">
        <v>61</v>
      </c>
      <c r="J2273" s="194">
        <v>3</v>
      </c>
      <c r="K2273" s="193">
        <f t="shared" si="494"/>
        <v>825</v>
      </c>
      <c r="L2273" s="194">
        <v>729</v>
      </c>
      <c r="M2273" s="194">
        <v>116</v>
      </c>
      <c r="N2273" s="194">
        <v>0</v>
      </c>
      <c r="O2273" s="193">
        <f t="shared" si="495"/>
        <v>845</v>
      </c>
      <c r="P2273" s="194">
        <v>69</v>
      </c>
      <c r="Q2273" s="194">
        <v>15</v>
      </c>
      <c r="R2273" s="194">
        <v>0</v>
      </c>
      <c r="S2273" s="193">
        <f t="shared" si="496"/>
        <v>84</v>
      </c>
      <c r="T2273" s="193">
        <f t="shared" si="497"/>
        <v>97.444444444444443</v>
      </c>
      <c r="U2273" s="193">
        <f ca="1">OFFSET('Expenditure Study'!$B$7,'Operations Support'!$C2273,'Operations Support'!$B2273)*$G2273</f>
        <v>25836.420000000002</v>
      </c>
      <c r="V2273" s="199">
        <f ca="1">U2273*'Expenditure Study'!$B$31</f>
        <v>1526497.8740847362</v>
      </c>
      <c r="W2273" s="199">
        <f ca="1">IF(A2273=10298,1.51,1)*IF($B2273&lt;3,$D2273*'Expenditure Study'!$B$32*OFFSET('Expenditure Study'!$B$7,'Operations Support'!$C2273,'Operations Support'!$B2273),0)</f>
        <v>0</v>
      </c>
      <c r="X2273" s="200">
        <f ca="1">W2273*'Expenditure Study'!$B$31</f>
        <v>0</v>
      </c>
      <c r="Y2273" s="199">
        <f ca="1">U2273*'Expenditure Study'!$B$31</f>
        <v>1526497.8740847362</v>
      </c>
      <c r="Z2273" s="200">
        <f ca="1">W2273*'Expenditure Study'!$B$31</f>
        <v>0</v>
      </c>
      <c r="AA2273" s="195">
        <f t="shared" ca="1" si="498"/>
        <v>1526497.8740847362</v>
      </c>
      <c r="AB2273" s="195">
        <f t="shared" ca="1" si="499"/>
        <v>1526497.8740847362</v>
      </c>
      <c r="AD2273" s="196">
        <f>IFERROR($G2273/SUMIF($A:$A,$A2273,$G:$G)*SUMIF(Summary!$A$166:$A$242,$A2273,Summary!$P$166:$P$242),0)</f>
        <v>46301.867539989289</v>
      </c>
      <c r="AE2273" s="197">
        <f t="shared" ca="1" si="500"/>
        <v>1480196.0065447469</v>
      </c>
      <c r="AF2273" s="196">
        <f>IFERROR(G2273/SUMIF(A:A,A2273,G:G)*SUMIF(Summary!$A$166:$A$242,'Operations Support'!A2273,Summary!$Q$166:$Q$242),0)</f>
        <v>46395.066491037076</v>
      </c>
      <c r="AG2273" s="196">
        <f t="shared" ca="1" si="501"/>
        <v>1480102.8075936991</v>
      </c>
      <c r="AI2273" s="196">
        <f>IFERROR($G2273/SUMIF($A:$A,$A2273,$G:$G)*SUMIF(Summary!$A$247:$A$283,$A2273,Summary!$P$247:$P$283),0)</f>
        <v>8444.3051890693569</v>
      </c>
      <c r="AJ2273" s="196">
        <f>IFERROR($G2273/SUMIF($A:$A,$A2273,$G:$G)*(SUMIF(Summary!$A$247:$A$283,$A2273,Summary!$L$247:$L$283)+SUMIF(Summary!$A$297:$A$333,$A2273,Summary!$L$297:$L$333))-AI2273,0)</f>
        <v>39364.651756420266</v>
      </c>
      <c r="AK2273" s="196">
        <f>IFERROR($G2273/SUMIF($A:$A,$A2273,$G:$G)*SUMIF(Summary!$A$247:$A$283,$A2273,Summary!$Q$247:$Q$283),0)</f>
        <v>8461.3023519865728</v>
      </c>
      <c r="AL2273" s="196">
        <f>IFERROR($G2273/SUMIF($A:$A,$A2273,$G:$G)*(SUMIF(Summary!$A$247:$A$283,$A2273,Summary!$L$247:$L$283)+SUMIF(Summary!$A$297:$A$333,$A2273,Summary!$L$297:$L$333))-AK2273,0)</f>
        <v>39347.654593503052</v>
      </c>
      <c r="AM2273" s="198"/>
      <c r="AN2273" s="196">
        <f t="shared" ca="1" si="502"/>
        <v>1519560.6583011672</v>
      </c>
      <c r="AO2273" s="196">
        <f t="shared" ca="1" si="503"/>
        <v>1519450.4621872022</v>
      </c>
    </row>
    <row r="2274" spans="1:41">
      <c r="A2274" s="189">
        <v>3661</v>
      </c>
      <c r="B2274" s="190">
        <v>4</v>
      </c>
      <c r="C2274" s="191" t="s">
        <v>221</v>
      </c>
      <c r="D2274" s="192">
        <f t="shared" si="490"/>
        <v>2587.5</v>
      </c>
      <c r="E2274" s="192">
        <f t="shared" si="491"/>
        <v>190.5</v>
      </c>
      <c r="F2274" s="192">
        <f t="shared" si="492"/>
        <v>2</v>
      </c>
      <c r="G2274" s="193">
        <f t="shared" si="493"/>
        <v>2776</v>
      </c>
      <c r="H2274" s="194">
        <v>1243</v>
      </c>
      <c r="I2274" s="194">
        <v>95</v>
      </c>
      <c r="J2274" s="194">
        <v>2</v>
      </c>
      <c r="K2274" s="193">
        <f t="shared" si="494"/>
        <v>1336</v>
      </c>
      <c r="L2274" s="194">
        <v>1266.5</v>
      </c>
      <c r="M2274" s="194">
        <v>83.5</v>
      </c>
      <c r="N2274" s="194">
        <v>0</v>
      </c>
      <c r="O2274" s="193">
        <f t="shared" si="495"/>
        <v>1350</v>
      </c>
      <c r="P2274" s="194">
        <v>78</v>
      </c>
      <c r="Q2274" s="194">
        <v>12</v>
      </c>
      <c r="R2274" s="194">
        <v>0</v>
      </c>
      <c r="S2274" s="193">
        <f t="shared" si="496"/>
        <v>90</v>
      </c>
      <c r="T2274" s="193">
        <f t="shared" si="497"/>
        <v>154.22222222222223</v>
      </c>
      <c r="U2274" s="193">
        <f ca="1">OFFSET('Expenditure Study'!$B$7,'Operations Support'!$C2274,'Operations Support'!$B2274)*$G2274</f>
        <v>60350.239999999998</v>
      </c>
      <c r="V2274" s="199">
        <f ca="1">U2274*'Expenditure Study'!$B$31</f>
        <v>3565684.1412433921</v>
      </c>
      <c r="W2274" s="199">
        <f ca="1">IF(A2274=10298,1.51,1)*IF($B2274&lt;3,$D2274*'Expenditure Study'!$B$32*OFFSET('Expenditure Study'!$B$7,'Operations Support'!$C2274,'Operations Support'!$B2274),0)</f>
        <v>0</v>
      </c>
      <c r="X2274" s="200">
        <f ca="1">W2274*'Expenditure Study'!$B$31</f>
        <v>0</v>
      </c>
      <c r="Y2274" s="199">
        <f ca="1">U2274*'Expenditure Study'!$B$31</f>
        <v>3565684.1412433921</v>
      </c>
      <c r="Z2274" s="200">
        <f ca="1">W2274*'Expenditure Study'!$B$31</f>
        <v>0</v>
      </c>
      <c r="AA2274" s="195">
        <f t="shared" ca="1" si="498"/>
        <v>3565684.1412433921</v>
      </c>
      <c r="AB2274" s="195">
        <f t="shared" ca="1" si="499"/>
        <v>3565684.1412433921</v>
      </c>
      <c r="AD2274" s="196">
        <f>IFERROR($G2274/SUMIF($A:$A,$A2274,$G:$G)*SUMIF(Summary!$A$166:$A$242,$A2274,Summary!$P$166:$P$242),0)</f>
        <v>73280.492754281804</v>
      </c>
      <c r="AE2274" s="197">
        <f t="shared" ca="1" si="500"/>
        <v>3492403.6484891102</v>
      </c>
      <c r="AF2274" s="196">
        <f>IFERROR(G2274/SUMIF(A:A,A2274,G:G)*SUMIF(Summary!$A$166:$A$242,'Operations Support'!A2274,Summary!$Q$166:$Q$242),0)</f>
        <v>73427.995769167013</v>
      </c>
      <c r="AG2274" s="196">
        <f t="shared" ca="1" si="501"/>
        <v>3492256.1454742253</v>
      </c>
      <c r="AI2274" s="196">
        <f>IFERROR($G2274/SUMIF($A:$A,$A2274,$G:$G)*SUMIF(Summary!$A$247:$A$283,$A2274,Summary!$P$247:$P$283),0)</f>
        <v>13364.533184068721</v>
      </c>
      <c r="AJ2274" s="196">
        <f>IFERROR($G2274/SUMIF($A:$A,$A2274,$G:$G)*(SUMIF(Summary!$A$247:$A$283,$A2274,Summary!$L$247:$L$283)+SUMIF(Summary!$A$297:$A$333,$A2274,Summary!$L$297:$L$333))-AI2274,0)</f>
        <v>62301.182027264927</v>
      </c>
      <c r="AK2274" s="196">
        <f>IFERROR($G2274/SUMIF($A:$A,$A2274,$G:$G)*SUMIF(Summary!$A$247:$A$283,$A2274,Summary!$Q$247:$Q$283),0)</f>
        <v>13391.434053087076</v>
      </c>
      <c r="AL2274" s="196">
        <f>IFERROR($G2274/SUMIF($A:$A,$A2274,$G:$G)*(SUMIF(Summary!$A$247:$A$283,$A2274,Summary!$L$247:$L$283)+SUMIF(Summary!$A$297:$A$333,$A2274,Summary!$L$297:$L$333))-AK2274,0)</f>
        <v>62274.281158246573</v>
      </c>
      <c r="AM2274" s="198"/>
      <c r="AN2274" s="196">
        <f t="shared" ca="1" si="502"/>
        <v>3554704.8305163751</v>
      </c>
      <c r="AO2274" s="196">
        <f t="shared" ca="1" si="503"/>
        <v>3554530.4266324718</v>
      </c>
    </row>
    <row r="2275" spans="1:41">
      <c r="A2275" s="189">
        <v>3661</v>
      </c>
      <c r="B2275" s="190">
        <v>4</v>
      </c>
      <c r="C2275" s="191" t="s">
        <v>222</v>
      </c>
      <c r="D2275" s="192">
        <f t="shared" si="490"/>
        <v>0</v>
      </c>
      <c r="E2275" s="192">
        <f t="shared" si="491"/>
        <v>0</v>
      </c>
      <c r="F2275" s="192">
        <f t="shared" si="492"/>
        <v>0</v>
      </c>
      <c r="G2275" s="193">
        <f t="shared" si="493"/>
        <v>0</v>
      </c>
      <c r="H2275" s="194">
        <v>0</v>
      </c>
      <c r="I2275" s="194">
        <v>0</v>
      </c>
      <c r="J2275" s="194">
        <v>0</v>
      </c>
      <c r="K2275" s="193">
        <f t="shared" si="494"/>
        <v>0</v>
      </c>
      <c r="L2275" s="194">
        <v>0</v>
      </c>
      <c r="M2275" s="194">
        <v>0</v>
      </c>
      <c r="N2275" s="194">
        <v>0</v>
      </c>
      <c r="O2275" s="193">
        <f t="shared" si="495"/>
        <v>0</v>
      </c>
      <c r="P2275" s="194">
        <v>0</v>
      </c>
      <c r="Q2275" s="194">
        <v>0</v>
      </c>
      <c r="R2275" s="194">
        <v>0</v>
      </c>
      <c r="S2275" s="193">
        <f t="shared" si="496"/>
        <v>0</v>
      </c>
      <c r="T2275" s="193">
        <f t="shared" si="497"/>
        <v>0</v>
      </c>
      <c r="U2275" s="193">
        <f ca="1">OFFSET('Expenditure Study'!$B$7,'Operations Support'!$C2275,'Operations Support'!$B2275)*$G2275</f>
        <v>0</v>
      </c>
      <c r="V2275" s="199">
        <f ca="1">U2275*'Expenditure Study'!$B$31</f>
        <v>0</v>
      </c>
      <c r="W2275" s="199">
        <f ca="1">IF(A2275=10298,1.51,1)*IF($B2275&lt;3,$D2275*'Expenditure Study'!$B$32*OFFSET('Expenditure Study'!$B$7,'Operations Support'!$C2275,'Operations Support'!$B2275),0)</f>
        <v>0</v>
      </c>
      <c r="X2275" s="200">
        <f ca="1">W2275*'Expenditure Study'!$B$31</f>
        <v>0</v>
      </c>
      <c r="Y2275" s="199">
        <f ca="1">U2275*'Expenditure Study'!$B$31</f>
        <v>0</v>
      </c>
      <c r="Z2275" s="200">
        <f ca="1">W2275*'Expenditure Study'!$B$31</f>
        <v>0</v>
      </c>
      <c r="AA2275" s="195">
        <f t="shared" ca="1" si="498"/>
        <v>0</v>
      </c>
      <c r="AB2275" s="195">
        <f t="shared" ca="1" si="499"/>
        <v>0</v>
      </c>
      <c r="AD2275" s="196">
        <f>IFERROR($G2275/SUMIF($A:$A,$A2275,$G:$G)*SUMIF(Summary!$A$166:$A$242,$A2275,Summary!$P$166:$P$242),0)</f>
        <v>0</v>
      </c>
      <c r="AE2275" s="197">
        <f t="shared" ca="1" si="500"/>
        <v>0</v>
      </c>
      <c r="AF2275" s="196">
        <f>IFERROR(G2275/SUMIF(A:A,A2275,G:G)*SUMIF(Summary!$A$166:$A$242,'Operations Support'!A2275,Summary!$Q$166:$Q$242),0)</f>
        <v>0</v>
      </c>
      <c r="AG2275" s="196">
        <f t="shared" ca="1" si="501"/>
        <v>0</v>
      </c>
      <c r="AI2275" s="196">
        <f>IFERROR($G2275/SUMIF($A:$A,$A2275,$G:$G)*SUMIF(Summary!$A$247:$A$283,$A2275,Summary!$P$247:$P$283),0)</f>
        <v>0</v>
      </c>
      <c r="AJ2275" s="196">
        <f>IFERROR($G2275/SUMIF($A:$A,$A2275,$G:$G)*(SUMIF(Summary!$A$247:$A$283,$A2275,Summary!$L$247:$L$283)+SUMIF(Summary!$A$297:$A$333,$A2275,Summary!$L$297:$L$333))-AI2275,0)</f>
        <v>0</v>
      </c>
      <c r="AK2275" s="196">
        <f>IFERROR($G2275/SUMIF($A:$A,$A2275,$G:$G)*SUMIF(Summary!$A$247:$A$283,$A2275,Summary!$Q$247:$Q$283),0)</f>
        <v>0</v>
      </c>
      <c r="AL2275" s="196">
        <f>IFERROR($G2275/SUMIF($A:$A,$A2275,$G:$G)*(SUMIF(Summary!$A$247:$A$283,$A2275,Summary!$L$247:$L$283)+SUMIF(Summary!$A$297:$A$333,$A2275,Summary!$L$297:$L$333))-AK2275,0)</f>
        <v>0</v>
      </c>
      <c r="AM2275" s="198"/>
      <c r="AN2275" s="196">
        <f t="shared" ca="1" si="502"/>
        <v>0</v>
      </c>
      <c r="AO2275" s="196">
        <f t="shared" ca="1" si="503"/>
        <v>0</v>
      </c>
    </row>
    <row r="2276" spans="1:41">
      <c r="A2276" s="189">
        <v>3661</v>
      </c>
      <c r="B2276" s="190">
        <v>4</v>
      </c>
      <c r="C2276" s="191" t="s">
        <v>223</v>
      </c>
      <c r="D2276" s="192">
        <f t="shared" si="490"/>
        <v>1427.5</v>
      </c>
      <c r="E2276" s="192">
        <f t="shared" si="491"/>
        <v>220.5</v>
      </c>
      <c r="F2276" s="192">
        <f t="shared" si="492"/>
        <v>0</v>
      </c>
      <c r="G2276" s="193">
        <f t="shared" si="493"/>
        <v>1648</v>
      </c>
      <c r="H2276" s="194">
        <v>571.5</v>
      </c>
      <c r="I2276" s="194">
        <v>70.5</v>
      </c>
      <c r="J2276" s="194">
        <v>0</v>
      </c>
      <c r="K2276" s="193">
        <f t="shared" si="494"/>
        <v>642</v>
      </c>
      <c r="L2276" s="194">
        <v>624</v>
      </c>
      <c r="M2276" s="194">
        <v>111</v>
      </c>
      <c r="N2276" s="194">
        <v>0</v>
      </c>
      <c r="O2276" s="193">
        <f t="shared" si="495"/>
        <v>735</v>
      </c>
      <c r="P2276" s="194">
        <v>232</v>
      </c>
      <c r="Q2276" s="194">
        <v>39</v>
      </c>
      <c r="R2276" s="194">
        <v>0</v>
      </c>
      <c r="S2276" s="193">
        <f t="shared" si="496"/>
        <v>271</v>
      </c>
      <c r="T2276" s="193">
        <f t="shared" si="497"/>
        <v>91.555555555555557</v>
      </c>
      <c r="U2276" s="193">
        <f ca="1">OFFSET('Expenditure Study'!$B$7,'Operations Support'!$C2276,'Operations Support'!$B2276)*$G2276</f>
        <v>12887.36</v>
      </c>
      <c r="V2276" s="199">
        <f ca="1">U2276*'Expenditure Study'!$B$31</f>
        <v>761426.22091468808</v>
      </c>
      <c r="W2276" s="199">
        <f ca="1">IF(A2276=10298,1.51,1)*IF($B2276&lt;3,$D2276*'Expenditure Study'!$B$32*OFFSET('Expenditure Study'!$B$7,'Operations Support'!$C2276,'Operations Support'!$B2276),0)</f>
        <v>0</v>
      </c>
      <c r="X2276" s="200">
        <f ca="1">W2276*'Expenditure Study'!$B$31</f>
        <v>0</v>
      </c>
      <c r="Y2276" s="199">
        <f ca="1">U2276*'Expenditure Study'!$B$31</f>
        <v>761426.22091468808</v>
      </c>
      <c r="Z2276" s="200">
        <f ca="1">W2276*'Expenditure Study'!$B$31</f>
        <v>0</v>
      </c>
      <c r="AA2276" s="195">
        <f t="shared" ca="1" si="498"/>
        <v>761426.22091468808</v>
      </c>
      <c r="AB2276" s="195">
        <f t="shared" ca="1" si="499"/>
        <v>761426.22091468808</v>
      </c>
      <c r="AD2276" s="196">
        <f>IFERROR($G2276/SUMIF($A:$A,$A2276,$G:$G)*SUMIF(Summary!$A$166:$A$242,$A2276,Summary!$P$166:$P$242),0)</f>
        <v>43503.6931048474</v>
      </c>
      <c r="AE2276" s="197">
        <f t="shared" ca="1" si="500"/>
        <v>717922.52780984063</v>
      </c>
      <c r="AF2276" s="196">
        <f>IFERROR(G2276/SUMIF(A:A,A2276,G:G)*SUMIF(Summary!$A$166:$A$242,'Operations Support'!A2276,Summary!$Q$166:$Q$242),0)</f>
        <v>43591.259736162538</v>
      </c>
      <c r="AG2276" s="196">
        <f t="shared" ca="1" si="501"/>
        <v>717834.96117852558</v>
      </c>
      <c r="AI2276" s="196">
        <f>IFERROR($G2276/SUMIF($A:$A,$A2276,$G:$G)*SUMIF(Summary!$A$247:$A$283,$A2276,Summary!$P$247:$P$283),0)</f>
        <v>7933.9879997641383</v>
      </c>
      <c r="AJ2276" s="196">
        <f>IFERROR($G2276/SUMIF($A:$A,$A2276,$G:$G)*(SUMIF(Summary!$A$247:$A$283,$A2276,Summary!$L$247:$L$283)+SUMIF(Summary!$A$297:$A$333,$A2276,Summary!$L$297:$L$333))-AI2276,0)</f>
        <v>36985.716131459863</v>
      </c>
      <c r="AK2276" s="196">
        <f>IFERROR($G2276/SUMIF($A:$A,$A2276,$G:$G)*SUMIF(Summary!$A$247:$A$283,$A2276,Summary!$Q$247:$Q$283),0)</f>
        <v>7949.9579681150926</v>
      </c>
      <c r="AL2276" s="196">
        <f>IFERROR($G2276/SUMIF($A:$A,$A2276,$G:$G)*(SUMIF(Summary!$A$247:$A$283,$A2276,Summary!$L$247:$L$283)+SUMIF(Summary!$A$297:$A$333,$A2276,Summary!$L$297:$L$333))-AK2276,0)</f>
        <v>36969.74616310891</v>
      </c>
      <c r="AM2276" s="198"/>
      <c r="AN2276" s="196">
        <f t="shared" ca="1" si="502"/>
        <v>754908.24394130055</v>
      </c>
      <c r="AO2276" s="196">
        <f t="shared" ca="1" si="503"/>
        <v>754804.70734163444</v>
      </c>
    </row>
    <row r="2277" spans="1:41">
      <c r="A2277" s="189">
        <v>3661</v>
      </c>
      <c r="B2277" s="190">
        <v>4</v>
      </c>
      <c r="C2277" s="191" t="s">
        <v>224</v>
      </c>
      <c r="D2277" s="192">
        <f t="shared" si="490"/>
        <v>0</v>
      </c>
      <c r="E2277" s="192">
        <f t="shared" si="491"/>
        <v>0</v>
      </c>
      <c r="F2277" s="192">
        <f t="shared" si="492"/>
        <v>0</v>
      </c>
      <c r="G2277" s="193">
        <f t="shared" si="493"/>
        <v>0</v>
      </c>
      <c r="H2277" s="194">
        <v>0</v>
      </c>
      <c r="I2277" s="194">
        <v>0</v>
      </c>
      <c r="J2277" s="194">
        <v>0</v>
      </c>
      <c r="K2277" s="193">
        <f t="shared" si="494"/>
        <v>0</v>
      </c>
      <c r="L2277" s="194">
        <v>0</v>
      </c>
      <c r="M2277" s="194">
        <v>0</v>
      </c>
      <c r="N2277" s="194">
        <v>0</v>
      </c>
      <c r="O2277" s="193">
        <f t="shared" si="495"/>
        <v>0</v>
      </c>
      <c r="P2277" s="194">
        <v>0</v>
      </c>
      <c r="Q2277" s="194">
        <v>0</v>
      </c>
      <c r="R2277" s="194">
        <v>0</v>
      </c>
      <c r="S2277" s="193">
        <f t="shared" si="496"/>
        <v>0</v>
      </c>
      <c r="T2277" s="193">
        <f t="shared" si="497"/>
        <v>0</v>
      </c>
      <c r="U2277" s="193">
        <f ca="1">OFFSET('Expenditure Study'!$B$7,'Operations Support'!$C2277,'Operations Support'!$B2277)*$G2277</f>
        <v>0</v>
      </c>
      <c r="V2277" s="199">
        <f ca="1">U2277*'Expenditure Study'!$B$31</f>
        <v>0</v>
      </c>
      <c r="W2277" s="199">
        <f ca="1">IF(A2277=10298,1.51,1)*IF($B2277&lt;3,$D2277*'Expenditure Study'!$B$32*OFFSET('Expenditure Study'!$B$7,'Operations Support'!$C2277,'Operations Support'!$B2277),0)</f>
        <v>0</v>
      </c>
      <c r="X2277" s="200">
        <f ca="1">W2277*'Expenditure Study'!$B$31</f>
        <v>0</v>
      </c>
      <c r="Y2277" s="199">
        <f ca="1">U2277*'Expenditure Study'!$B$31</f>
        <v>0</v>
      </c>
      <c r="Z2277" s="200">
        <f ca="1">W2277*'Expenditure Study'!$B$31</f>
        <v>0</v>
      </c>
      <c r="AA2277" s="195">
        <f t="shared" ca="1" si="498"/>
        <v>0</v>
      </c>
      <c r="AB2277" s="195">
        <f t="shared" ca="1" si="499"/>
        <v>0</v>
      </c>
      <c r="AD2277" s="196">
        <f>IFERROR($G2277/SUMIF($A:$A,$A2277,$G:$G)*SUMIF(Summary!$A$166:$A$242,$A2277,Summary!$P$166:$P$242),0)</f>
        <v>0</v>
      </c>
      <c r="AE2277" s="197">
        <f t="shared" ca="1" si="500"/>
        <v>0</v>
      </c>
      <c r="AF2277" s="196">
        <f>IFERROR(G2277/SUMIF(A:A,A2277,G:G)*SUMIF(Summary!$A$166:$A$242,'Operations Support'!A2277,Summary!$Q$166:$Q$242),0)</f>
        <v>0</v>
      </c>
      <c r="AG2277" s="196">
        <f t="shared" ca="1" si="501"/>
        <v>0</v>
      </c>
      <c r="AI2277" s="196">
        <f>IFERROR($G2277/SUMIF($A:$A,$A2277,$G:$G)*SUMIF(Summary!$A$247:$A$283,$A2277,Summary!$P$247:$P$283),0)</f>
        <v>0</v>
      </c>
      <c r="AJ2277" s="196">
        <f>IFERROR($G2277/SUMIF($A:$A,$A2277,$G:$G)*(SUMIF(Summary!$A$247:$A$283,$A2277,Summary!$L$247:$L$283)+SUMIF(Summary!$A$297:$A$333,$A2277,Summary!$L$297:$L$333))-AI2277,0)</f>
        <v>0</v>
      </c>
      <c r="AK2277" s="196">
        <f>IFERROR($G2277/SUMIF($A:$A,$A2277,$G:$G)*SUMIF(Summary!$A$247:$A$283,$A2277,Summary!$Q$247:$Q$283),0)</f>
        <v>0</v>
      </c>
      <c r="AL2277" s="196">
        <f>IFERROR($G2277/SUMIF($A:$A,$A2277,$G:$G)*(SUMIF(Summary!$A$247:$A$283,$A2277,Summary!$L$247:$L$283)+SUMIF(Summary!$A$297:$A$333,$A2277,Summary!$L$297:$L$333))-AK2277,0)</f>
        <v>0</v>
      </c>
      <c r="AM2277" s="198"/>
      <c r="AN2277" s="196">
        <f t="shared" ca="1" si="502"/>
        <v>0</v>
      </c>
      <c r="AO2277" s="196">
        <f t="shared" ca="1" si="503"/>
        <v>0</v>
      </c>
    </row>
    <row r="2278" spans="1:41">
      <c r="A2278" s="189">
        <v>3661</v>
      </c>
      <c r="B2278" s="190">
        <v>4</v>
      </c>
      <c r="C2278" s="191" t="s">
        <v>225</v>
      </c>
      <c r="D2278" s="192">
        <f t="shared" si="490"/>
        <v>3066.5</v>
      </c>
      <c r="E2278" s="192">
        <f t="shared" si="491"/>
        <v>190.5</v>
      </c>
      <c r="F2278" s="192">
        <f t="shared" si="492"/>
        <v>6</v>
      </c>
      <c r="G2278" s="193">
        <f t="shared" si="493"/>
        <v>3251</v>
      </c>
      <c r="H2278" s="194">
        <v>1372</v>
      </c>
      <c r="I2278" s="194">
        <v>96</v>
      </c>
      <c r="J2278" s="194">
        <v>1</v>
      </c>
      <c r="K2278" s="193">
        <f t="shared" si="494"/>
        <v>1467</v>
      </c>
      <c r="L2278" s="194">
        <v>1553.5</v>
      </c>
      <c r="M2278" s="194">
        <v>82.5</v>
      </c>
      <c r="N2278" s="194">
        <v>2</v>
      </c>
      <c r="O2278" s="193">
        <f t="shared" si="495"/>
        <v>1634</v>
      </c>
      <c r="P2278" s="194">
        <v>141</v>
      </c>
      <c r="Q2278" s="194">
        <v>12</v>
      </c>
      <c r="R2278" s="194">
        <v>3</v>
      </c>
      <c r="S2278" s="193">
        <f t="shared" si="496"/>
        <v>150</v>
      </c>
      <c r="T2278" s="193">
        <f t="shared" si="497"/>
        <v>180.61111111111111</v>
      </c>
      <c r="U2278" s="193">
        <f ca="1">OFFSET('Expenditure Study'!$B$7,'Operations Support'!$C2278,'Operations Support'!$B2278)*$G2278</f>
        <v>61086.289999999994</v>
      </c>
      <c r="V2278" s="199">
        <f ca="1">U2278*'Expenditure Study'!$B$31</f>
        <v>3609172.3164712316</v>
      </c>
      <c r="W2278" s="199">
        <f ca="1">IF(A2278=10298,1.51,1)*IF($B2278&lt;3,$D2278*'Expenditure Study'!$B$32*OFFSET('Expenditure Study'!$B$7,'Operations Support'!$C2278,'Operations Support'!$B2278),0)</f>
        <v>0</v>
      </c>
      <c r="X2278" s="200">
        <f ca="1">W2278*'Expenditure Study'!$B$31</f>
        <v>0</v>
      </c>
      <c r="Y2278" s="199">
        <f ca="1">U2278*'Expenditure Study'!$B$31</f>
        <v>3609172.3164712316</v>
      </c>
      <c r="Z2278" s="200">
        <f ca="1">W2278*'Expenditure Study'!$B$31</f>
        <v>0</v>
      </c>
      <c r="AA2278" s="195">
        <f t="shared" ca="1" si="498"/>
        <v>3609172.3164712316</v>
      </c>
      <c r="AB2278" s="195">
        <f t="shared" ca="1" si="499"/>
        <v>3609172.3164712316</v>
      </c>
      <c r="AD2278" s="196">
        <f>IFERROR($G2278/SUMIF($A:$A,$A2278,$G:$G)*SUMIF(Summary!$A$166:$A$242,$A2278,Summary!$P$166:$P$242),0)</f>
        <v>85819.481968360997</v>
      </c>
      <c r="AE2278" s="197">
        <f t="shared" ca="1" si="500"/>
        <v>3523352.8345028707</v>
      </c>
      <c r="AF2278" s="196">
        <f>IFERROR(G2278/SUMIF(A:A,A2278,G:G)*SUMIF(Summary!$A$166:$A$242,'Operations Support'!A2278,Summary!$Q$166:$Q$242),0)</f>
        <v>85992.224151859482</v>
      </c>
      <c r="AG2278" s="196">
        <f t="shared" ca="1" si="501"/>
        <v>3523180.0923193721</v>
      </c>
      <c r="AI2278" s="196">
        <f>IFERROR($G2278/SUMIF($A:$A,$A2278,$G:$G)*SUMIF(Summary!$A$247:$A$283,$A2278,Summary!$P$247:$P$283),0)</f>
        <v>15651.331909728893</v>
      </c>
      <c r="AJ2278" s="196">
        <f>IFERROR($G2278/SUMIF($A:$A,$A2278,$G:$G)*(SUMIF(Summary!$A$247:$A$283,$A2278,Summary!$L$247:$L$283)+SUMIF(Summary!$A$297:$A$333,$A2278,Summary!$L$297:$L$333))-AI2278,0)</f>
        <v>72961.506761757308</v>
      </c>
      <c r="AK2278" s="196">
        <f>IFERROR($G2278/SUMIF($A:$A,$A2278,$G:$G)*SUMIF(Summary!$A$247:$A$283,$A2278,Summary!$Q$247:$Q$283),0)</f>
        <v>15682.835773265879</v>
      </c>
      <c r="AL2278" s="196">
        <f>IFERROR($G2278/SUMIF($A:$A,$A2278,$G:$G)*(SUMIF(Summary!$A$247:$A$283,$A2278,Summary!$L$247:$L$283)+SUMIF(Summary!$A$297:$A$333,$A2278,Summary!$L$297:$L$333))-AK2278,0)</f>
        <v>72930.002898220322</v>
      </c>
      <c r="AM2278" s="198"/>
      <c r="AN2278" s="196">
        <f t="shared" ca="1" si="502"/>
        <v>3596314.3412646279</v>
      </c>
      <c r="AO2278" s="196">
        <f t="shared" ca="1" si="503"/>
        <v>3596110.0952175925</v>
      </c>
    </row>
    <row r="2279" spans="1:41">
      <c r="A2279" s="189">
        <v>3661</v>
      </c>
      <c r="B2279" s="190">
        <v>4</v>
      </c>
      <c r="C2279" s="191" t="s">
        <v>226</v>
      </c>
      <c r="D2279" s="192">
        <f t="shared" si="490"/>
        <v>0</v>
      </c>
      <c r="E2279" s="192">
        <f t="shared" si="491"/>
        <v>0</v>
      </c>
      <c r="F2279" s="192">
        <f t="shared" si="492"/>
        <v>0</v>
      </c>
      <c r="G2279" s="193">
        <f t="shared" si="493"/>
        <v>0</v>
      </c>
      <c r="H2279" s="194">
        <v>0</v>
      </c>
      <c r="I2279" s="194">
        <v>0</v>
      </c>
      <c r="J2279" s="194">
        <v>0</v>
      </c>
      <c r="K2279" s="193">
        <f t="shared" si="494"/>
        <v>0</v>
      </c>
      <c r="L2279" s="194">
        <v>0</v>
      </c>
      <c r="M2279" s="194">
        <v>0</v>
      </c>
      <c r="N2279" s="194">
        <v>0</v>
      </c>
      <c r="O2279" s="193">
        <f t="shared" si="495"/>
        <v>0</v>
      </c>
      <c r="P2279" s="194">
        <v>0</v>
      </c>
      <c r="Q2279" s="194">
        <v>0</v>
      </c>
      <c r="R2279" s="194">
        <v>0</v>
      </c>
      <c r="S2279" s="193">
        <f t="shared" si="496"/>
        <v>0</v>
      </c>
      <c r="T2279" s="193">
        <f t="shared" si="497"/>
        <v>0</v>
      </c>
      <c r="U2279" s="193">
        <f ca="1">OFFSET('Expenditure Study'!$B$7,'Operations Support'!$C2279,'Operations Support'!$B2279)*$G2279</f>
        <v>0</v>
      </c>
      <c r="V2279" s="199">
        <f ca="1">U2279*'Expenditure Study'!$B$31</f>
        <v>0</v>
      </c>
      <c r="W2279" s="199">
        <f ca="1">IF(A2279=10298,1.51,1)*IF($B2279&lt;3,$D2279*'Expenditure Study'!$B$32*OFFSET('Expenditure Study'!$B$7,'Operations Support'!$C2279,'Operations Support'!$B2279),0)</f>
        <v>0</v>
      </c>
      <c r="X2279" s="200">
        <f ca="1">W2279*'Expenditure Study'!$B$31</f>
        <v>0</v>
      </c>
      <c r="Y2279" s="199">
        <f ca="1">U2279*'Expenditure Study'!$B$31</f>
        <v>0</v>
      </c>
      <c r="Z2279" s="200">
        <f ca="1">W2279*'Expenditure Study'!$B$31</f>
        <v>0</v>
      </c>
      <c r="AA2279" s="195">
        <f t="shared" ca="1" si="498"/>
        <v>0</v>
      </c>
      <c r="AB2279" s="195">
        <f t="shared" ca="1" si="499"/>
        <v>0</v>
      </c>
      <c r="AD2279" s="196">
        <f>IFERROR($G2279/SUMIF($A:$A,$A2279,$G:$G)*SUMIF(Summary!$A$166:$A$242,$A2279,Summary!$P$166:$P$242),0)</f>
        <v>0</v>
      </c>
      <c r="AE2279" s="197">
        <f t="shared" ca="1" si="500"/>
        <v>0</v>
      </c>
      <c r="AF2279" s="196">
        <f>IFERROR(G2279/SUMIF(A:A,A2279,G:G)*SUMIF(Summary!$A$166:$A$242,'Operations Support'!A2279,Summary!$Q$166:$Q$242),0)</f>
        <v>0</v>
      </c>
      <c r="AG2279" s="196">
        <f t="shared" ca="1" si="501"/>
        <v>0</v>
      </c>
      <c r="AI2279" s="196">
        <f>IFERROR($G2279/SUMIF($A:$A,$A2279,$G:$G)*SUMIF(Summary!$A$247:$A$283,$A2279,Summary!$P$247:$P$283),0)</f>
        <v>0</v>
      </c>
      <c r="AJ2279" s="196">
        <f>IFERROR($G2279/SUMIF($A:$A,$A2279,$G:$G)*(SUMIF(Summary!$A$247:$A$283,$A2279,Summary!$L$247:$L$283)+SUMIF(Summary!$A$297:$A$333,$A2279,Summary!$L$297:$L$333))-AI2279,0)</f>
        <v>0</v>
      </c>
      <c r="AK2279" s="196">
        <f>IFERROR($G2279/SUMIF($A:$A,$A2279,$G:$G)*SUMIF(Summary!$A$247:$A$283,$A2279,Summary!$Q$247:$Q$283),0)</f>
        <v>0</v>
      </c>
      <c r="AL2279" s="196">
        <f>IFERROR($G2279/SUMIF($A:$A,$A2279,$G:$G)*(SUMIF(Summary!$A$247:$A$283,$A2279,Summary!$L$247:$L$283)+SUMIF(Summary!$A$297:$A$333,$A2279,Summary!$L$297:$L$333))-AK2279,0)</f>
        <v>0</v>
      </c>
      <c r="AM2279" s="198"/>
      <c r="AN2279" s="196">
        <f t="shared" ca="1" si="502"/>
        <v>0</v>
      </c>
      <c r="AO2279" s="196">
        <f t="shared" ca="1" si="503"/>
        <v>0</v>
      </c>
    </row>
    <row r="2280" spans="1:41">
      <c r="A2280" s="189">
        <v>3661</v>
      </c>
      <c r="B2280" s="190">
        <v>4</v>
      </c>
      <c r="C2280" s="191" t="s">
        <v>227</v>
      </c>
      <c r="D2280" s="192">
        <f t="shared" si="490"/>
        <v>0</v>
      </c>
      <c r="E2280" s="192">
        <f t="shared" si="491"/>
        <v>0</v>
      </c>
      <c r="F2280" s="192">
        <f t="shared" si="492"/>
        <v>0</v>
      </c>
      <c r="G2280" s="193">
        <f t="shared" si="493"/>
        <v>0</v>
      </c>
      <c r="H2280" s="194">
        <v>0</v>
      </c>
      <c r="I2280" s="194">
        <v>0</v>
      </c>
      <c r="J2280" s="194">
        <v>0</v>
      </c>
      <c r="K2280" s="193">
        <f t="shared" si="494"/>
        <v>0</v>
      </c>
      <c r="L2280" s="194">
        <v>0</v>
      </c>
      <c r="M2280" s="194">
        <v>0</v>
      </c>
      <c r="N2280" s="194">
        <v>0</v>
      </c>
      <c r="O2280" s="193">
        <f t="shared" si="495"/>
        <v>0</v>
      </c>
      <c r="P2280" s="194">
        <v>0</v>
      </c>
      <c r="Q2280" s="194">
        <v>0</v>
      </c>
      <c r="R2280" s="194">
        <v>0</v>
      </c>
      <c r="S2280" s="193">
        <f t="shared" si="496"/>
        <v>0</v>
      </c>
      <c r="T2280" s="193">
        <f t="shared" si="497"/>
        <v>0</v>
      </c>
      <c r="U2280" s="193">
        <f ca="1">OFFSET('Expenditure Study'!$B$7,'Operations Support'!$C2280,'Operations Support'!$B2280)*$G2280</f>
        <v>0</v>
      </c>
      <c r="V2280" s="199">
        <f ca="1">U2280*'Expenditure Study'!$B$31</f>
        <v>0</v>
      </c>
      <c r="W2280" s="199">
        <f ca="1">IF(A2280=10298,1.51,1)*IF($B2280&lt;3,$D2280*'Expenditure Study'!$B$32*OFFSET('Expenditure Study'!$B$7,'Operations Support'!$C2280,'Operations Support'!$B2280),0)</f>
        <v>0</v>
      </c>
      <c r="X2280" s="200">
        <f ca="1">W2280*'Expenditure Study'!$B$31</f>
        <v>0</v>
      </c>
      <c r="Y2280" s="199">
        <f ca="1">U2280*'Expenditure Study'!$B$31</f>
        <v>0</v>
      </c>
      <c r="Z2280" s="200">
        <f ca="1">W2280*'Expenditure Study'!$B$31</f>
        <v>0</v>
      </c>
      <c r="AA2280" s="195">
        <f t="shared" ca="1" si="498"/>
        <v>0</v>
      </c>
      <c r="AB2280" s="195">
        <f t="shared" ca="1" si="499"/>
        <v>0</v>
      </c>
      <c r="AD2280" s="196">
        <f>IFERROR($G2280/SUMIF($A:$A,$A2280,$G:$G)*SUMIF(Summary!$A$166:$A$242,$A2280,Summary!$P$166:$P$242),0)</f>
        <v>0</v>
      </c>
      <c r="AE2280" s="197">
        <f t="shared" ca="1" si="500"/>
        <v>0</v>
      </c>
      <c r="AF2280" s="196">
        <f>IFERROR(G2280/SUMIF(A:A,A2280,G:G)*SUMIF(Summary!$A$166:$A$242,'Operations Support'!A2280,Summary!$Q$166:$Q$242),0)</f>
        <v>0</v>
      </c>
      <c r="AG2280" s="196">
        <f t="shared" ca="1" si="501"/>
        <v>0</v>
      </c>
      <c r="AI2280" s="196">
        <f>IFERROR($G2280/SUMIF($A:$A,$A2280,$G:$G)*SUMIF(Summary!$A$247:$A$283,$A2280,Summary!$P$247:$P$283),0)</f>
        <v>0</v>
      </c>
      <c r="AJ2280" s="196">
        <f>IFERROR($G2280/SUMIF($A:$A,$A2280,$G:$G)*(SUMIF(Summary!$A$247:$A$283,$A2280,Summary!$L$247:$L$283)+SUMIF(Summary!$A$297:$A$333,$A2280,Summary!$L$297:$L$333))-AI2280,0)</f>
        <v>0</v>
      </c>
      <c r="AK2280" s="196">
        <f>IFERROR($G2280/SUMIF($A:$A,$A2280,$G:$G)*SUMIF(Summary!$A$247:$A$283,$A2280,Summary!$Q$247:$Q$283),0)</f>
        <v>0</v>
      </c>
      <c r="AL2280" s="196">
        <f>IFERROR($G2280/SUMIF($A:$A,$A2280,$G:$G)*(SUMIF(Summary!$A$247:$A$283,$A2280,Summary!$L$247:$L$283)+SUMIF(Summary!$A$297:$A$333,$A2280,Summary!$L$297:$L$333))-AK2280,0)</f>
        <v>0</v>
      </c>
      <c r="AM2280" s="198"/>
      <c r="AN2280" s="196">
        <f t="shared" ca="1" si="502"/>
        <v>0</v>
      </c>
      <c r="AO2280" s="196">
        <f t="shared" ca="1" si="503"/>
        <v>0</v>
      </c>
    </row>
    <row r="2281" spans="1:41">
      <c r="A2281" s="189">
        <v>3661</v>
      </c>
      <c r="B2281" s="190">
        <v>4</v>
      </c>
      <c r="C2281" s="191" t="s">
        <v>228</v>
      </c>
      <c r="D2281" s="192">
        <f t="shared" si="490"/>
        <v>0</v>
      </c>
      <c r="E2281" s="192">
        <f t="shared" si="491"/>
        <v>0</v>
      </c>
      <c r="F2281" s="192">
        <f t="shared" si="492"/>
        <v>0</v>
      </c>
      <c r="G2281" s="193">
        <f t="shared" si="493"/>
        <v>0</v>
      </c>
      <c r="H2281" s="194">
        <v>0</v>
      </c>
      <c r="I2281" s="194">
        <v>0</v>
      </c>
      <c r="J2281" s="194">
        <v>0</v>
      </c>
      <c r="K2281" s="193">
        <f t="shared" si="494"/>
        <v>0</v>
      </c>
      <c r="L2281" s="194">
        <v>0</v>
      </c>
      <c r="M2281" s="194">
        <v>0</v>
      </c>
      <c r="N2281" s="194">
        <v>0</v>
      </c>
      <c r="O2281" s="193">
        <f t="shared" si="495"/>
        <v>0</v>
      </c>
      <c r="P2281" s="194">
        <v>0</v>
      </c>
      <c r="Q2281" s="194">
        <v>0</v>
      </c>
      <c r="R2281" s="194">
        <v>0</v>
      </c>
      <c r="S2281" s="193">
        <f t="shared" si="496"/>
        <v>0</v>
      </c>
      <c r="T2281" s="193">
        <f t="shared" si="497"/>
        <v>0</v>
      </c>
      <c r="U2281" s="193">
        <f ca="1">OFFSET('Expenditure Study'!$B$7,'Operations Support'!$C2281,'Operations Support'!$B2281)*$G2281</f>
        <v>0</v>
      </c>
      <c r="V2281" s="199">
        <f ca="1">U2281*'Expenditure Study'!$B$31</f>
        <v>0</v>
      </c>
      <c r="W2281" s="199">
        <f ca="1">IF(A2281=10298,1.51,1)*IF($B2281&lt;3,$D2281*'Expenditure Study'!$B$32*OFFSET('Expenditure Study'!$B$7,'Operations Support'!$C2281,'Operations Support'!$B2281),0)</f>
        <v>0</v>
      </c>
      <c r="X2281" s="200">
        <f ca="1">W2281*'Expenditure Study'!$B$31</f>
        <v>0</v>
      </c>
      <c r="Y2281" s="199">
        <f ca="1">U2281*'Expenditure Study'!$B$31</f>
        <v>0</v>
      </c>
      <c r="Z2281" s="200">
        <f ca="1">W2281*'Expenditure Study'!$B$31</f>
        <v>0</v>
      </c>
      <c r="AA2281" s="195">
        <f t="shared" ca="1" si="498"/>
        <v>0</v>
      </c>
      <c r="AB2281" s="195">
        <f t="shared" ca="1" si="499"/>
        <v>0</v>
      </c>
      <c r="AD2281" s="196">
        <f>IFERROR($G2281/SUMIF($A:$A,$A2281,$G:$G)*SUMIF(Summary!$A$166:$A$242,$A2281,Summary!$P$166:$P$242),0)</f>
        <v>0</v>
      </c>
      <c r="AE2281" s="197">
        <f t="shared" ca="1" si="500"/>
        <v>0</v>
      </c>
      <c r="AF2281" s="196">
        <f>IFERROR(G2281/SUMIF(A:A,A2281,G:G)*SUMIF(Summary!$A$166:$A$242,'Operations Support'!A2281,Summary!$Q$166:$Q$242),0)</f>
        <v>0</v>
      </c>
      <c r="AG2281" s="196">
        <f t="shared" ca="1" si="501"/>
        <v>0</v>
      </c>
      <c r="AI2281" s="196">
        <f>IFERROR($G2281/SUMIF($A:$A,$A2281,$G:$G)*SUMIF(Summary!$A$247:$A$283,$A2281,Summary!$P$247:$P$283),0)</f>
        <v>0</v>
      </c>
      <c r="AJ2281" s="196">
        <f>IFERROR($G2281/SUMIF($A:$A,$A2281,$G:$G)*(SUMIF(Summary!$A$247:$A$283,$A2281,Summary!$L$247:$L$283)+SUMIF(Summary!$A$297:$A$333,$A2281,Summary!$L$297:$L$333))-AI2281,0)</f>
        <v>0</v>
      </c>
      <c r="AK2281" s="196">
        <f>IFERROR($G2281/SUMIF($A:$A,$A2281,$G:$G)*SUMIF(Summary!$A$247:$A$283,$A2281,Summary!$Q$247:$Q$283),0)</f>
        <v>0</v>
      </c>
      <c r="AL2281" s="196">
        <f>IFERROR($G2281/SUMIF($A:$A,$A2281,$G:$G)*(SUMIF(Summary!$A$247:$A$283,$A2281,Summary!$L$247:$L$283)+SUMIF(Summary!$A$297:$A$333,$A2281,Summary!$L$297:$L$333))-AK2281,0)</f>
        <v>0</v>
      </c>
      <c r="AM2281" s="198"/>
      <c r="AN2281" s="196">
        <f t="shared" ca="1" si="502"/>
        <v>0</v>
      </c>
      <c r="AO2281" s="196">
        <f t="shared" ca="1" si="503"/>
        <v>0</v>
      </c>
    </row>
    <row r="2282" spans="1:41">
      <c r="A2282" s="189">
        <v>3661</v>
      </c>
      <c r="B2282" s="190">
        <v>4</v>
      </c>
      <c r="C2282" s="191" t="s">
        <v>229</v>
      </c>
      <c r="D2282" s="192">
        <f t="shared" si="490"/>
        <v>0</v>
      </c>
      <c r="E2282" s="192">
        <f t="shared" si="491"/>
        <v>0</v>
      </c>
      <c r="F2282" s="192">
        <f t="shared" si="492"/>
        <v>0</v>
      </c>
      <c r="G2282" s="193">
        <f t="shared" si="493"/>
        <v>0</v>
      </c>
      <c r="H2282" s="194">
        <v>0</v>
      </c>
      <c r="I2282" s="194">
        <v>0</v>
      </c>
      <c r="J2282" s="194">
        <v>0</v>
      </c>
      <c r="K2282" s="193">
        <f t="shared" si="494"/>
        <v>0</v>
      </c>
      <c r="L2282" s="194">
        <v>0</v>
      </c>
      <c r="M2282" s="194">
        <v>0</v>
      </c>
      <c r="N2282" s="194">
        <v>0</v>
      </c>
      <c r="O2282" s="193">
        <f t="shared" si="495"/>
        <v>0</v>
      </c>
      <c r="P2282" s="194">
        <v>0</v>
      </c>
      <c r="Q2282" s="194">
        <v>0</v>
      </c>
      <c r="R2282" s="194">
        <v>0</v>
      </c>
      <c r="S2282" s="193">
        <f t="shared" si="496"/>
        <v>0</v>
      </c>
      <c r="T2282" s="193">
        <f t="shared" si="497"/>
        <v>0</v>
      </c>
      <c r="U2282" s="193">
        <f ca="1">OFFSET('Expenditure Study'!$B$7,'Operations Support'!$C2282,'Operations Support'!$B2282)*$G2282</f>
        <v>0</v>
      </c>
      <c r="V2282" s="199">
        <f ca="1">U2282*'Expenditure Study'!$B$31</f>
        <v>0</v>
      </c>
      <c r="W2282" s="199">
        <f ca="1">IF(A2282=10298,1.51,1)*IF($B2282&lt;3,$D2282*'Expenditure Study'!$B$32*OFFSET('Expenditure Study'!$B$7,'Operations Support'!$C2282,'Operations Support'!$B2282),0)</f>
        <v>0</v>
      </c>
      <c r="X2282" s="200">
        <f ca="1">W2282*'Expenditure Study'!$B$31</f>
        <v>0</v>
      </c>
      <c r="Y2282" s="199">
        <f ca="1">U2282*'Expenditure Study'!$B$31</f>
        <v>0</v>
      </c>
      <c r="Z2282" s="200">
        <f ca="1">W2282*'Expenditure Study'!$B$31</f>
        <v>0</v>
      </c>
      <c r="AA2282" s="195">
        <f t="shared" ca="1" si="498"/>
        <v>0</v>
      </c>
      <c r="AB2282" s="195">
        <f t="shared" ca="1" si="499"/>
        <v>0</v>
      </c>
      <c r="AD2282" s="196">
        <f>IFERROR($G2282/SUMIF($A:$A,$A2282,$G:$G)*SUMIF(Summary!$A$166:$A$242,$A2282,Summary!$P$166:$P$242),0)</f>
        <v>0</v>
      </c>
      <c r="AE2282" s="197">
        <f t="shared" ca="1" si="500"/>
        <v>0</v>
      </c>
      <c r="AF2282" s="196">
        <f>IFERROR(G2282/SUMIF(A:A,A2282,G:G)*SUMIF(Summary!$A$166:$A$242,'Operations Support'!A2282,Summary!$Q$166:$Q$242),0)</f>
        <v>0</v>
      </c>
      <c r="AG2282" s="196">
        <f t="shared" ca="1" si="501"/>
        <v>0</v>
      </c>
      <c r="AI2282" s="196">
        <f>IFERROR($G2282/SUMIF($A:$A,$A2282,$G:$G)*SUMIF(Summary!$A$247:$A$283,$A2282,Summary!$P$247:$P$283),0)</f>
        <v>0</v>
      </c>
      <c r="AJ2282" s="196">
        <f>IFERROR($G2282/SUMIF($A:$A,$A2282,$G:$G)*(SUMIF(Summary!$A$247:$A$283,$A2282,Summary!$L$247:$L$283)+SUMIF(Summary!$A$297:$A$333,$A2282,Summary!$L$297:$L$333))-AI2282,0)</f>
        <v>0</v>
      </c>
      <c r="AK2282" s="196">
        <f>IFERROR($G2282/SUMIF($A:$A,$A2282,$G:$G)*SUMIF(Summary!$A$247:$A$283,$A2282,Summary!$Q$247:$Q$283),0)</f>
        <v>0</v>
      </c>
      <c r="AL2282" s="196">
        <f>IFERROR($G2282/SUMIF($A:$A,$A2282,$G:$G)*(SUMIF(Summary!$A$247:$A$283,$A2282,Summary!$L$247:$L$283)+SUMIF(Summary!$A$297:$A$333,$A2282,Summary!$L$297:$L$333))-AK2282,0)</f>
        <v>0</v>
      </c>
      <c r="AM2282" s="198"/>
      <c r="AN2282" s="196">
        <f t="shared" ca="1" si="502"/>
        <v>0</v>
      </c>
      <c r="AO2282" s="196">
        <f t="shared" ca="1" si="503"/>
        <v>0</v>
      </c>
    </row>
    <row r="2283" spans="1:41">
      <c r="A2283" s="189">
        <v>3661</v>
      </c>
      <c r="B2283" s="190">
        <v>4</v>
      </c>
      <c r="C2283" s="191" t="s">
        <v>230</v>
      </c>
      <c r="D2283" s="192">
        <f t="shared" si="490"/>
        <v>0</v>
      </c>
      <c r="E2283" s="192">
        <f t="shared" si="491"/>
        <v>0</v>
      </c>
      <c r="F2283" s="192">
        <f t="shared" si="492"/>
        <v>0</v>
      </c>
      <c r="G2283" s="193">
        <f t="shared" si="493"/>
        <v>0</v>
      </c>
      <c r="H2283" s="194">
        <v>0</v>
      </c>
      <c r="I2283" s="194">
        <v>0</v>
      </c>
      <c r="J2283" s="194">
        <v>0</v>
      </c>
      <c r="K2283" s="193">
        <f t="shared" si="494"/>
        <v>0</v>
      </c>
      <c r="L2283" s="194">
        <v>0</v>
      </c>
      <c r="M2283" s="194">
        <v>0</v>
      </c>
      <c r="N2283" s="194">
        <v>0</v>
      </c>
      <c r="O2283" s="193">
        <f t="shared" si="495"/>
        <v>0</v>
      </c>
      <c r="P2283" s="194">
        <v>0</v>
      </c>
      <c r="Q2283" s="194">
        <v>0</v>
      </c>
      <c r="R2283" s="194">
        <v>0</v>
      </c>
      <c r="S2283" s="193">
        <f t="shared" si="496"/>
        <v>0</v>
      </c>
      <c r="T2283" s="193">
        <f t="shared" si="497"/>
        <v>0</v>
      </c>
      <c r="U2283" s="193">
        <f ca="1">OFFSET('Expenditure Study'!$B$7,'Operations Support'!$C2283,'Operations Support'!$B2283)*$G2283</f>
        <v>0</v>
      </c>
      <c r="V2283" s="199">
        <f ca="1">U2283*'Expenditure Study'!$B$31</f>
        <v>0</v>
      </c>
      <c r="W2283" s="199">
        <f ca="1">IF(A2283=10298,1.51,1)*IF($B2283&lt;3,$D2283*'Expenditure Study'!$B$32*OFFSET('Expenditure Study'!$B$7,'Operations Support'!$C2283,'Operations Support'!$B2283),0)</f>
        <v>0</v>
      </c>
      <c r="X2283" s="200">
        <f ca="1">W2283*'Expenditure Study'!$B$31</f>
        <v>0</v>
      </c>
      <c r="Y2283" s="199">
        <f ca="1">U2283*'Expenditure Study'!$B$31</f>
        <v>0</v>
      </c>
      <c r="Z2283" s="200">
        <f ca="1">W2283*'Expenditure Study'!$B$31</f>
        <v>0</v>
      </c>
      <c r="AA2283" s="195">
        <f t="shared" ca="1" si="498"/>
        <v>0</v>
      </c>
      <c r="AB2283" s="195">
        <f t="shared" ca="1" si="499"/>
        <v>0</v>
      </c>
      <c r="AD2283" s="196">
        <f>IFERROR($G2283/SUMIF($A:$A,$A2283,$G:$G)*SUMIF(Summary!$A$166:$A$242,$A2283,Summary!$P$166:$P$242),0)</f>
        <v>0</v>
      </c>
      <c r="AE2283" s="197">
        <f t="shared" ca="1" si="500"/>
        <v>0</v>
      </c>
      <c r="AF2283" s="196">
        <f>IFERROR(G2283/SUMIF(A:A,A2283,G:G)*SUMIF(Summary!$A$166:$A$242,'Operations Support'!A2283,Summary!$Q$166:$Q$242),0)</f>
        <v>0</v>
      </c>
      <c r="AG2283" s="196">
        <f t="shared" ca="1" si="501"/>
        <v>0</v>
      </c>
      <c r="AI2283" s="196">
        <f>IFERROR($G2283/SUMIF($A:$A,$A2283,$G:$G)*SUMIF(Summary!$A$247:$A$283,$A2283,Summary!$P$247:$P$283),0)</f>
        <v>0</v>
      </c>
      <c r="AJ2283" s="196">
        <f>IFERROR($G2283/SUMIF($A:$A,$A2283,$G:$G)*(SUMIF(Summary!$A$247:$A$283,$A2283,Summary!$L$247:$L$283)+SUMIF(Summary!$A$297:$A$333,$A2283,Summary!$L$297:$L$333))-AI2283,0)</f>
        <v>0</v>
      </c>
      <c r="AK2283" s="196">
        <f>IFERROR($G2283/SUMIF($A:$A,$A2283,$G:$G)*SUMIF(Summary!$A$247:$A$283,$A2283,Summary!$Q$247:$Q$283),0)</f>
        <v>0</v>
      </c>
      <c r="AL2283" s="196">
        <f>IFERROR($G2283/SUMIF($A:$A,$A2283,$G:$G)*(SUMIF(Summary!$A$247:$A$283,$A2283,Summary!$L$247:$L$283)+SUMIF(Summary!$A$297:$A$333,$A2283,Summary!$L$297:$L$333))-AK2283,0)</f>
        <v>0</v>
      </c>
      <c r="AM2283" s="198"/>
      <c r="AN2283" s="196">
        <f t="shared" ca="1" si="502"/>
        <v>0</v>
      </c>
      <c r="AO2283" s="196">
        <f t="shared" ca="1" si="503"/>
        <v>0</v>
      </c>
    </row>
    <row r="2284" spans="1:41">
      <c r="A2284" s="189">
        <v>3661</v>
      </c>
      <c r="B2284" s="190">
        <v>4</v>
      </c>
      <c r="C2284" s="191" t="s">
        <v>231</v>
      </c>
      <c r="D2284" s="192">
        <f t="shared" si="490"/>
        <v>0</v>
      </c>
      <c r="E2284" s="192">
        <f t="shared" si="491"/>
        <v>0</v>
      </c>
      <c r="F2284" s="192">
        <f t="shared" si="492"/>
        <v>0</v>
      </c>
      <c r="G2284" s="193">
        <f t="shared" si="493"/>
        <v>0</v>
      </c>
      <c r="H2284" s="194">
        <v>0</v>
      </c>
      <c r="I2284" s="194">
        <v>0</v>
      </c>
      <c r="J2284" s="194">
        <v>0</v>
      </c>
      <c r="K2284" s="193">
        <f t="shared" si="494"/>
        <v>0</v>
      </c>
      <c r="L2284" s="194">
        <v>0</v>
      </c>
      <c r="M2284" s="194">
        <v>0</v>
      </c>
      <c r="N2284" s="194">
        <v>0</v>
      </c>
      <c r="O2284" s="193">
        <f t="shared" si="495"/>
        <v>0</v>
      </c>
      <c r="P2284" s="194">
        <v>0</v>
      </c>
      <c r="Q2284" s="194">
        <v>0</v>
      </c>
      <c r="R2284" s="194">
        <v>0</v>
      </c>
      <c r="S2284" s="193">
        <f t="shared" si="496"/>
        <v>0</v>
      </c>
      <c r="T2284" s="193">
        <f t="shared" si="497"/>
        <v>0</v>
      </c>
      <c r="U2284" s="193">
        <f ca="1">OFFSET('Expenditure Study'!$B$7,'Operations Support'!$C2284,'Operations Support'!$B2284)*$G2284</f>
        <v>0</v>
      </c>
      <c r="V2284" s="199">
        <f ca="1">U2284*'Expenditure Study'!$B$31</f>
        <v>0</v>
      </c>
      <c r="W2284" s="199">
        <f ca="1">IF(A2284=10298,1.51,1)*IF($B2284&lt;3,$D2284*'Expenditure Study'!$B$32*OFFSET('Expenditure Study'!$B$7,'Operations Support'!$C2284,'Operations Support'!$B2284),0)</f>
        <v>0</v>
      </c>
      <c r="X2284" s="200">
        <f ca="1">W2284*'Expenditure Study'!$B$31</f>
        <v>0</v>
      </c>
      <c r="Y2284" s="199">
        <f ca="1">U2284*'Expenditure Study'!$B$31</f>
        <v>0</v>
      </c>
      <c r="Z2284" s="200">
        <f ca="1">W2284*'Expenditure Study'!$B$31</f>
        <v>0</v>
      </c>
      <c r="AA2284" s="195">
        <f t="shared" ca="1" si="498"/>
        <v>0</v>
      </c>
      <c r="AB2284" s="195">
        <f t="shared" ca="1" si="499"/>
        <v>0</v>
      </c>
      <c r="AD2284" s="196">
        <f>IFERROR($G2284/SUMIF($A:$A,$A2284,$G:$G)*SUMIF(Summary!$A$166:$A$242,$A2284,Summary!$P$166:$P$242),0)</f>
        <v>0</v>
      </c>
      <c r="AE2284" s="197">
        <f t="shared" ca="1" si="500"/>
        <v>0</v>
      </c>
      <c r="AF2284" s="196">
        <f>IFERROR(G2284/SUMIF(A:A,A2284,G:G)*SUMIF(Summary!$A$166:$A$242,'Operations Support'!A2284,Summary!$Q$166:$Q$242),0)</f>
        <v>0</v>
      </c>
      <c r="AG2284" s="196">
        <f t="shared" ca="1" si="501"/>
        <v>0</v>
      </c>
      <c r="AI2284" s="196">
        <f>IFERROR($G2284/SUMIF($A:$A,$A2284,$G:$G)*SUMIF(Summary!$A$247:$A$283,$A2284,Summary!$P$247:$P$283),0)</f>
        <v>0</v>
      </c>
      <c r="AJ2284" s="196">
        <f>IFERROR($G2284/SUMIF($A:$A,$A2284,$G:$G)*(SUMIF(Summary!$A$247:$A$283,$A2284,Summary!$L$247:$L$283)+SUMIF(Summary!$A$297:$A$333,$A2284,Summary!$L$297:$L$333))-AI2284,0)</f>
        <v>0</v>
      </c>
      <c r="AK2284" s="196">
        <f>IFERROR($G2284/SUMIF($A:$A,$A2284,$G:$G)*SUMIF(Summary!$A$247:$A$283,$A2284,Summary!$Q$247:$Q$283),0)</f>
        <v>0</v>
      </c>
      <c r="AL2284" s="196">
        <f>IFERROR($G2284/SUMIF($A:$A,$A2284,$G:$G)*(SUMIF(Summary!$A$247:$A$283,$A2284,Summary!$L$247:$L$283)+SUMIF(Summary!$A$297:$A$333,$A2284,Summary!$L$297:$L$333))-AK2284,0)</f>
        <v>0</v>
      </c>
      <c r="AM2284" s="198"/>
      <c r="AN2284" s="196">
        <f t="shared" ca="1" si="502"/>
        <v>0</v>
      </c>
      <c r="AO2284" s="196">
        <f t="shared" ca="1" si="503"/>
        <v>0</v>
      </c>
    </row>
    <row r="2285" spans="1:41">
      <c r="A2285" s="189">
        <v>3661</v>
      </c>
      <c r="B2285" s="190">
        <v>4</v>
      </c>
      <c r="C2285" s="191" t="s">
        <v>232</v>
      </c>
      <c r="D2285" s="192">
        <f t="shared" si="490"/>
        <v>0</v>
      </c>
      <c r="E2285" s="192">
        <f t="shared" si="491"/>
        <v>0</v>
      </c>
      <c r="F2285" s="192">
        <f t="shared" si="492"/>
        <v>0</v>
      </c>
      <c r="G2285" s="193">
        <f t="shared" si="493"/>
        <v>0</v>
      </c>
      <c r="H2285" s="194">
        <v>0</v>
      </c>
      <c r="I2285" s="194">
        <v>0</v>
      </c>
      <c r="J2285" s="194">
        <v>0</v>
      </c>
      <c r="K2285" s="193">
        <f t="shared" si="494"/>
        <v>0</v>
      </c>
      <c r="L2285" s="194">
        <v>0</v>
      </c>
      <c r="M2285" s="194">
        <v>0</v>
      </c>
      <c r="N2285" s="194">
        <v>0</v>
      </c>
      <c r="O2285" s="193">
        <f t="shared" si="495"/>
        <v>0</v>
      </c>
      <c r="P2285" s="194">
        <v>0</v>
      </c>
      <c r="Q2285" s="194">
        <v>0</v>
      </c>
      <c r="R2285" s="194">
        <v>0</v>
      </c>
      <c r="S2285" s="193">
        <f t="shared" si="496"/>
        <v>0</v>
      </c>
      <c r="T2285" s="193">
        <f t="shared" si="497"/>
        <v>0</v>
      </c>
      <c r="U2285" s="193">
        <f ca="1">OFFSET('Expenditure Study'!$B$7,'Operations Support'!$C2285,'Operations Support'!$B2285)*$G2285</f>
        <v>0</v>
      </c>
      <c r="V2285" s="199">
        <f ca="1">U2285*'Expenditure Study'!$B$31</f>
        <v>0</v>
      </c>
      <c r="W2285" s="199">
        <f ca="1">IF(A2285=10298,1.51,1)*IF($B2285&lt;3,$D2285*'Expenditure Study'!$B$32*OFFSET('Expenditure Study'!$B$7,'Operations Support'!$C2285,'Operations Support'!$B2285),0)</f>
        <v>0</v>
      </c>
      <c r="X2285" s="200">
        <f ca="1">W2285*'Expenditure Study'!$B$31</f>
        <v>0</v>
      </c>
      <c r="Y2285" s="199">
        <f ca="1">U2285*'Expenditure Study'!$B$31</f>
        <v>0</v>
      </c>
      <c r="Z2285" s="200">
        <f ca="1">W2285*'Expenditure Study'!$B$31</f>
        <v>0</v>
      </c>
      <c r="AA2285" s="195">
        <f t="shared" ca="1" si="498"/>
        <v>0</v>
      </c>
      <c r="AB2285" s="195">
        <f t="shared" ca="1" si="499"/>
        <v>0</v>
      </c>
      <c r="AD2285" s="196">
        <f>IFERROR($G2285/SUMIF($A:$A,$A2285,$G:$G)*SUMIF(Summary!$A$166:$A$242,$A2285,Summary!$P$166:$P$242),0)</f>
        <v>0</v>
      </c>
      <c r="AE2285" s="197">
        <f t="shared" ca="1" si="500"/>
        <v>0</v>
      </c>
      <c r="AF2285" s="196">
        <f>IFERROR(G2285/SUMIF(A:A,A2285,G:G)*SUMIF(Summary!$A$166:$A$242,'Operations Support'!A2285,Summary!$Q$166:$Q$242),0)</f>
        <v>0</v>
      </c>
      <c r="AG2285" s="196">
        <f t="shared" ca="1" si="501"/>
        <v>0</v>
      </c>
      <c r="AI2285" s="196">
        <f>IFERROR($G2285/SUMIF($A:$A,$A2285,$G:$G)*SUMIF(Summary!$A$247:$A$283,$A2285,Summary!$P$247:$P$283),0)</f>
        <v>0</v>
      </c>
      <c r="AJ2285" s="196">
        <f>IFERROR($G2285/SUMIF($A:$A,$A2285,$G:$G)*(SUMIF(Summary!$A$247:$A$283,$A2285,Summary!$L$247:$L$283)+SUMIF(Summary!$A$297:$A$333,$A2285,Summary!$L$297:$L$333))-AI2285,0)</f>
        <v>0</v>
      </c>
      <c r="AK2285" s="196">
        <f>IFERROR($G2285/SUMIF($A:$A,$A2285,$G:$G)*SUMIF(Summary!$A$247:$A$283,$A2285,Summary!$Q$247:$Q$283),0)</f>
        <v>0</v>
      </c>
      <c r="AL2285" s="196">
        <f>IFERROR($G2285/SUMIF($A:$A,$A2285,$G:$G)*(SUMIF(Summary!$A$247:$A$283,$A2285,Summary!$L$247:$L$283)+SUMIF(Summary!$A$297:$A$333,$A2285,Summary!$L$297:$L$333))-AK2285,0)</f>
        <v>0</v>
      </c>
      <c r="AM2285" s="198"/>
      <c r="AN2285" s="196">
        <f t="shared" ca="1" si="502"/>
        <v>0</v>
      </c>
      <c r="AO2285" s="196">
        <f t="shared" ca="1" si="503"/>
        <v>0</v>
      </c>
    </row>
    <row r="2286" spans="1:41">
      <c r="A2286" s="189">
        <v>3661</v>
      </c>
      <c r="B2286" s="190">
        <v>4</v>
      </c>
      <c r="C2286" s="191" t="s">
        <v>233</v>
      </c>
      <c r="D2286" s="192">
        <f t="shared" si="490"/>
        <v>423.81</v>
      </c>
      <c r="E2286" s="192">
        <f t="shared" si="491"/>
        <v>674.19</v>
      </c>
      <c r="F2286" s="192">
        <f t="shared" si="492"/>
        <v>0</v>
      </c>
      <c r="G2286" s="193">
        <f t="shared" si="493"/>
        <v>1098</v>
      </c>
      <c r="H2286" s="194">
        <v>189.3</v>
      </c>
      <c r="I2286" s="194">
        <v>385.7</v>
      </c>
      <c r="J2286" s="194">
        <v>0</v>
      </c>
      <c r="K2286" s="193">
        <f t="shared" si="494"/>
        <v>575</v>
      </c>
      <c r="L2286" s="194">
        <v>186.51</v>
      </c>
      <c r="M2286" s="194">
        <v>285.49</v>
      </c>
      <c r="N2286" s="194">
        <v>0</v>
      </c>
      <c r="O2286" s="193">
        <f t="shared" si="495"/>
        <v>472</v>
      </c>
      <c r="P2286" s="194">
        <v>48</v>
      </c>
      <c r="Q2286" s="194">
        <v>3</v>
      </c>
      <c r="R2286" s="194">
        <v>0</v>
      </c>
      <c r="S2286" s="193">
        <f t="shared" si="496"/>
        <v>51</v>
      </c>
      <c r="T2286" s="193">
        <f t="shared" si="497"/>
        <v>61</v>
      </c>
      <c r="U2286" s="193">
        <f ca="1">OFFSET('Expenditure Study'!$B$7,'Operations Support'!$C2286,'Operations Support'!$B2286)*$G2286</f>
        <v>10101.599999999999</v>
      </c>
      <c r="V2286" s="199">
        <f ca="1">U2286*'Expenditure Study'!$B$31</f>
        <v>596834.65916927997</v>
      </c>
      <c r="W2286" s="199">
        <f ca="1">IF(A2286=10298,1.51,1)*IF($B2286&lt;3,$D2286*'Expenditure Study'!$B$32*OFFSET('Expenditure Study'!$B$7,'Operations Support'!$C2286,'Operations Support'!$B2286),0)</f>
        <v>0</v>
      </c>
      <c r="X2286" s="200">
        <f ca="1">W2286*'Expenditure Study'!$B$31</f>
        <v>0</v>
      </c>
      <c r="Y2286" s="199">
        <f ca="1">U2286*'Expenditure Study'!$B$31</f>
        <v>596834.65916927997</v>
      </c>
      <c r="Z2286" s="200">
        <f ca="1">W2286*'Expenditure Study'!$B$31</f>
        <v>0</v>
      </c>
      <c r="AA2286" s="195">
        <f t="shared" ca="1" si="498"/>
        <v>596834.65916927997</v>
      </c>
      <c r="AB2286" s="195">
        <f t="shared" ca="1" si="499"/>
        <v>596834.65916927997</v>
      </c>
      <c r="AD2286" s="196">
        <f>IFERROR($G2286/SUMIF($A:$A,$A2286,$G:$G)*SUMIF(Summary!$A$166:$A$242,$A2286,Summary!$P$166:$P$242),0)</f>
        <v>28984.863488545176</v>
      </c>
      <c r="AE2286" s="197">
        <f t="shared" ca="1" si="500"/>
        <v>567849.79568073479</v>
      </c>
      <c r="AF2286" s="196">
        <f>IFERROR(G2286/SUMIF(A:A,A2286,G:G)*SUMIF(Summary!$A$166:$A$242,'Operations Support'!A2286,Summary!$Q$166:$Q$242),0)</f>
        <v>29043.205819360723</v>
      </c>
      <c r="AG2286" s="196">
        <f t="shared" ca="1" si="501"/>
        <v>567791.45334991929</v>
      </c>
      <c r="AI2286" s="196">
        <f>IFERROR($G2286/SUMIF($A:$A,$A2286,$G:$G)*SUMIF(Summary!$A$247:$A$283,$A2286,Summary!$P$247:$P$283),0)</f>
        <v>5286.1157911049904</v>
      </c>
      <c r="AJ2286" s="196">
        <f>IFERROR($G2286/SUMIF($A:$A,$A2286,$G:$G)*(SUMIF(Summary!$A$247:$A$283,$A2286,Summary!$L$247:$L$283)+SUMIF(Summary!$A$297:$A$333,$A2286,Summary!$L$297:$L$333))-AI2286,0)</f>
        <v>24642.182228363432</v>
      </c>
      <c r="AK2286" s="196">
        <f>IFERROR($G2286/SUMIF($A:$A,$A2286,$G:$G)*SUMIF(Summary!$A$247:$A$283,$A2286,Summary!$Q$247:$Q$283),0)</f>
        <v>5296.7559763291092</v>
      </c>
      <c r="AL2286" s="196">
        <f>IFERROR($G2286/SUMIF($A:$A,$A2286,$G:$G)*(SUMIF(Summary!$A$247:$A$283,$A2286,Summary!$L$247:$L$283)+SUMIF(Summary!$A$297:$A$333,$A2286,Summary!$L$297:$L$333))-AK2286,0)</f>
        <v>24631.542043139314</v>
      </c>
      <c r="AM2286" s="198"/>
      <c r="AN2286" s="196">
        <f t="shared" ca="1" si="502"/>
        <v>592491.97790909826</v>
      </c>
      <c r="AO2286" s="196">
        <f t="shared" ca="1" si="503"/>
        <v>592422.99539305863</v>
      </c>
    </row>
    <row r="2287" spans="1:41">
      <c r="A2287" s="189">
        <v>3661</v>
      </c>
      <c r="B2287" s="190">
        <v>4</v>
      </c>
      <c r="C2287" s="191" t="s">
        <v>234</v>
      </c>
      <c r="D2287" s="192">
        <f t="shared" si="490"/>
        <v>0</v>
      </c>
      <c r="E2287" s="192">
        <f t="shared" si="491"/>
        <v>0</v>
      </c>
      <c r="F2287" s="192">
        <f t="shared" si="492"/>
        <v>0</v>
      </c>
      <c r="G2287" s="193">
        <f t="shared" si="493"/>
        <v>0</v>
      </c>
      <c r="H2287" s="194">
        <v>0</v>
      </c>
      <c r="I2287" s="194">
        <v>0</v>
      </c>
      <c r="J2287" s="194">
        <v>0</v>
      </c>
      <c r="K2287" s="193">
        <f t="shared" si="494"/>
        <v>0</v>
      </c>
      <c r="L2287" s="194">
        <v>0</v>
      </c>
      <c r="M2287" s="194">
        <v>0</v>
      </c>
      <c r="N2287" s="194">
        <v>0</v>
      </c>
      <c r="O2287" s="193">
        <f t="shared" si="495"/>
        <v>0</v>
      </c>
      <c r="P2287" s="194">
        <v>0</v>
      </c>
      <c r="Q2287" s="194">
        <v>0</v>
      </c>
      <c r="R2287" s="194">
        <v>0</v>
      </c>
      <c r="S2287" s="193">
        <f t="shared" si="496"/>
        <v>0</v>
      </c>
      <c r="T2287" s="193">
        <f t="shared" si="497"/>
        <v>0</v>
      </c>
      <c r="U2287" s="193">
        <f ca="1">OFFSET('Expenditure Study'!$B$7,'Operations Support'!$C2287,'Operations Support'!$B2287)*$G2287</f>
        <v>0</v>
      </c>
      <c r="V2287" s="199">
        <f ca="1">U2287*'Expenditure Study'!$B$31</f>
        <v>0</v>
      </c>
      <c r="W2287" s="199">
        <f ca="1">IF(A2287=10298,1.51,1)*IF($B2287&lt;3,$D2287*'Expenditure Study'!$B$32*OFFSET('Expenditure Study'!$B$7,'Operations Support'!$C2287,'Operations Support'!$B2287),0)</f>
        <v>0</v>
      </c>
      <c r="X2287" s="200">
        <f ca="1">W2287*'Expenditure Study'!$B$31</f>
        <v>0</v>
      </c>
      <c r="Y2287" s="199">
        <f ca="1">U2287*'Expenditure Study'!$B$31</f>
        <v>0</v>
      </c>
      <c r="Z2287" s="200">
        <f ca="1">W2287*'Expenditure Study'!$B$31</f>
        <v>0</v>
      </c>
      <c r="AA2287" s="195">
        <f t="shared" ca="1" si="498"/>
        <v>0</v>
      </c>
      <c r="AB2287" s="195">
        <f t="shared" ca="1" si="499"/>
        <v>0</v>
      </c>
      <c r="AD2287" s="196">
        <f>IFERROR($G2287/SUMIF($A:$A,$A2287,$G:$G)*SUMIF(Summary!$A$166:$A$242,$A2287,Summary!$P$166:$P$242),0)</f>
        <v>0</v>
      </c>
      <c r="AE2287" s="197">
        <f t="shared" ca="1" si="500"/>
        <v>0</v>
      </c>
      <c r="AF2287" s="196">
        <f>IFERROR(G2287/SUMIF(A:A,A2287,G:G)*SUMIF(Summary!$A$166:$A$242,'Operations Support'!A2287,Summary!$Q$166:$Q$242),0)</f>
        <v>0</v>
      </c>
      <c r="AG2287" s="196">
        <f t="shared" ca="1" si="501"/>
        <v>0</v>
      </c>
      <c r="AI2287" s="196">
        <f>IFERROR($G2287/SUMIF($A:$A,$A2287,$G:$G)*SUMIF(Summary!$A$247:$A$283,$A2287,Summary!$P$247:$P$283),0)</f>
        <v>0</v>
      </c>
      <c r="AJ2287" s="196">
        <f>IFERROR($G2287/SUMIF($A:$A,$A2287,$G:$G)*(SUMIF(Summary!$A$247:$A$283,$A2287,Summary!$L$247:$L$283)+SUMIF(Summary!$A$297:$A$333,$A2287,Summary!$L$297:$L$333))-AI2287,0)</f>
        <v>0</v>
      </c>
      <c r="AK2287" s="196">
        <f>IFERROR($G2287/SUMIF($A:$A,$A2287,$G:$G)*SUMIF(Summary!$A$247:$A$283,$A2287,Summary!$Q$247:$Q$283),0)</f>
        <v>0</v>
      </c>
      <c r="AL2287" s="196">
        <f>IFERROR($G2287/SUMIF($A:$A,$A2287,$G:$G)*(SUMIF(Summary!$A$247:$A$283,$A2287,Summary!$L$247:$L$283)+SUMIF(Summary!$A$297:$A$333,$A2287,Summary!$L$297:$L$333))-AK2287,0)</f>
        <v>0</v>
      </c>
      <c r="AM2287" s="198"/>
      <c r="AN2287" s="196">
        <f t="shared" ca="1" si="502"/>
        <v>0</v>
      </c>
      <c r="AO2287" s="196">
        <f t="shared" ca="1" si="503"/>
        <v>0</v>
      </c>
    </row>
    <row r="2288" spans="1:41">
      <c r="A2288" s="189">
        <v>3661</v>
      </c>
      <c r="B2288" s="190">
        <v>4</v>
      </c>
      <c r="C2288" s="191" t="s">
        <v>235</v>
      </c>
      <c r="D2288" s="192">
        <f t="shared" si="490"/>
        <v>303</v>
      </c>
      <c r="E2288" s="192">
        <f t="shared" si="491"/>
        <v>0</v>
      </c>
      <c r="F2288" s="192">
        <f t="shared" si="492"/>
        <v>0</v>
      </c>
      <c r="G2288" s="193">
        <f t="shared" si="493"/>
        <v>303</v>
      </c>
      <c r="H2288" s="194">
        <v>180</v>
      </c>
      <c r="I2288" s="194">
        <v>0</v>
      </c>
      <c r="J2288" s="194">
        <v>0</v>
      </c>
      <c r="K2288" s="193">
        <f t="shared" si="494"/>
        <v>180</v>
      </c>
      <c r="L2288" s="194">
        <v>111</v>
      </c>
      <c r="M2288" s="194">
        <v>0</v>
      </c>
      <c r="N2288" s="194">
        <v>0</v>
      </c>
      <c r="O2288" s="193">
        <f t="shared" si="495"/>
        <v>111</v>
      </c>
      <c r="P2288" s="194">
        <v>12</v>
      </c>
      <c r="Q2288" s="194">
        <v>0</v>
      </c>
      <c r="R2288" s="194">
        <v>0</v>
      </c>
      <c r="S2288" s="193">
        <f t="shared" si="496"/>
        <v>12</v>
      </c>
      <c r="T2288" s="193">
        <f t="shared" si="497"/>
        <v>16.833333333333332</v>
      </c>
      <c r="U2288" s="193">
        <f ca="1">OFFSET('Expenditure Study'!$B$7,'Operations Support'!$C2288,'Operations Support'!$B2288)*$G2288</f>
        <v>11532.18</v>
      </c>
      <c r="V2288" s="199">
        <f ca="1">U2288*'Expenditure Study'!$B$31</f>
        <v>681357.87595814408</v>
      </c>
      <c r="W2288" s="199">
        <f ca="1">IF(A2288=10298,1.51,1)*IF($B2288&lt;3,$D2288*'Expenditure Study'!$B$32*OFFSET('Expenditure Study'!$B$7,'Operations Support'!$C2288,'Operations Support'!$B2288),0)</f>
        <v>0</v>
      </c>
      <c r="X2288" s="200">
        <f ca="1">W2288*'Expenditure Study'!$B$31</f>
        <v>0</v>
      </c>
      <c r="Y2288" s="199">
        <f ca="1">U2288*'Expenditure Study'!$B$31</f>
        <v>681357.87595814408</v>
      </c>
      <c r="Z2288" s="200">
        <f ca="1">W2288*'Expenditure Study'!$B$31</f>
        <v>0</v>
      </c>
      <c r="AA2288" s="195">
        <f t="shared" ca="1" si="498"/>
        <v>681357.87595814408</v>
      </c>
      <c r="AB2288" s="195">
        <f t="shared" ca="1" si="499"/>
        <v>681357.87595814408</v>
      </c>
      <c r="AD2288" s="196">
        <f>IFERROR($G2288/SUMIF($A:$A,$A2288,$G:$G)*SUMIF(Summary!$A$166:$A$242,$A2288,Summary!$P$166:$P$242),0)</f>
        <v>7998.5552249810453</v>
      </c>
      <c r="AE2288" s="197">
        <f t="shared" ca="1" si="500"/>
        <v>673359.32073316304</v>
      </c>
      <c r="AF2288" s="196">
        <f>IFERROR(G2288/SUMIF(A:A,A2288,G:G)*SUMIF(Summary!$A$166:$A$242,'Operations Support'!A2288,Summary!$Q$166:$Q$242),0)</f>
        <v>8014.6551578017288</v>
      </c>
      <c r="AG2288" s="196">
        <f t="shared" ca="1" si="501"/>
        <v>673343.22080034239</v>
      </c>
      <c r="AI2288" s="196">
        <f>IFERROR($G2288/SUMIF($A:$A,$A2288,$G:$G)*SUMIF(Summary!$A$247:$A$283,$A2288,Summary!$P$247:$P$283),0)</f>
        <v>1458.736871315858</v>
      </c>
      <c r="AJ2288" s="196">
        <f>IFERROR($G2288/SUMIF($A:$A,$A2288,$G:$G)*(SUMIF(Summary!$A$247:$A$283,$A2288,Summary!$L$247:$L$283)+SUMIF(Summary!$A$297:$A$333,$A2288,Summary!$L$297:$L$333))-AI2288,0)</f>
        <v>6800.1650411604005</v>
      </c>
      <c r="AK2288" s="196">
        <f>IFERROR($G2288/SUMIF($A:$A,$A2288,$G:$G)*SUMIF(Summary!$A$247:$A$283,$A2288,Summary!$Q$247:$Q$283),0)</f>
        <v>1461.6730972930054</v>
      </c>
      <c r="AL2288" s="196">
        <f>IFERROR($G2288/SUMIF($A:$A,$A2288,$G:$G)*(SUMIF(Summary!$A$247:$A$283,$A2288,Summary!$L$247:$L$283)+SUMIF(Summary!$A$297:$A$333,$A2288,Summary!$L$297:$L$333))-AK2288,0)</f>
        <v>6797.2288151832527</v>
      </c>
      <c r="AM2288" s="198"/>
      <c r="AN2288" s="196">
        <f t="shared" ca="1" si="502"/>
        <v>680159.48577432346</v>
      </c>
      <c r="AO2288" s="196">
        <f t="shared" ca="1" si="503"/>
        <v>680140.44961552566</v>
      </c>
    </row>
    <row r="2289" spans="1:41">
      <c r="A2289" s="189">
        <v>3661</v>
      </c>
      <c r="B2289" s="190">
        <v>4</v>
      </c>
      <c r="C2289" s="191" t="s">
        <v>236</v>
      </c>
      <c r="D2289" s="192">
        <f t="shared" si="490"/>
        <v>0</v>
      </c>
      <c r="E2289" s="192">
        <f t="shared" si="491"/>
        <v>0</v>
      </c>
      <c r="F2289" s="192">
        <f t="shared" si="492"/>
        <v>0</v>
      </c>
      <c r="G2289" s="193">
        <f t="shared" si="493"/>
        <v>0</v>
      </c>
      <c r="H2289" s="194">
        <v>0</v>
      </c>
      <c r="I2289" s="194">
        <v>0</v>
      </c>
      <c r="J2289" s="194">
        <v>0</v>
      </c>
      <c r="K2289" s="193">
        <f t="shared" si="494"/>
        <v>0</v>
      </c>
      <c r="L2289" s="194">
        <v>0</v>
      </c>
      <c r="M2289" s="194">
        <v>0</v>
      </c>
      <c r="N2289" s="194">
        <v>0</v>
      </c>
      <c r="O2289" s="193">
        <f t="shared" si="495"/>
        <v>0</v>
      </c>
      <c r="P2289" s="194">
        <v>0</v>
      </c>
      <c r="Q2289" s="194">
        <v>0</v>
      </c>
      <c r="R2289" s="194">
        <v>0</v>
      </c>
      <c r="S2289" s="193">
        <f t="shared" si="496"/>
        <v>0</v>
      </c>
      <c r="T2289" s="193">
        <f t="shared" si="497"/>
        <v>0</v>
      </c>
      <c r="U2289" s="193">
        <f ca="1">OFFSET('Expenditure Study'!$B$7,'Operations Support'!$C2289,'Operations Support'!$B2289)*$G2289</f>
        <v>0</v>
      </c>
      <c r="V2289" s="199">
        <f ca="1">U2289*'Expenditure Study'!$B$31</f>
        <v>0</v>
      </c>
      <c r="W2289" s="199">
        <f ca="1">IF(A2289=10298,1.51,1)*IF($B2289&lt;3,$D2289*'Expenditure Study'!$B$32*OFFSET('Expenditure Study'!$B$7,'Operations Support'!$C2289,'Operations Support'!$B2289),0)</f>
        <v>0</v>
      </c>
      <c r="X2289" s="200">
        <f ca="1">W2289*'Expenditure Study'!$B$31</f>
        <v>0</v>
      </c>
      <c r="Y2289" s="199">
        <f ca="1">U2289*'Expenditure Study'!$B$31</f>
        <v>0</v>
      </c>
      <c r="Z2289" s="200">
        <f ca="1">W2289*'Expenditure Study'!$B$31</f>
        <v>0</v>
      </c>
      <c r="AA2289" s="195">
        <f t="shared" ca="1" si="498"/>
        <v>0</v>
      </c>
      <c r="AB2289" s="195">
        <f t="shared" ca="1" si="499"/>
        <v>0</v>
      </c>
      <c r="AD2289" s="196">
        <f>IFERROR($G2289/SUMIF($A:$A,$A2289,$G:$G)*SUMIF(Summary!$A$166:$A$242,$A2289,Summary!$P$166:$P$242),0)</f>
        <v>0</v>
      </c>
      <c r="AE2289" s="197">
        <f t="shared" ca="1" si="500"/>
        <v>0</v>
      </c>
      <c r="AF2289" s="196">
        <f>IFERROR(G2289/SUMIF(A:A,A2289,G:G)*SUMIF(Summary!$A$166:$A$242,'Operations Support'!A2289,Summary!$Q$166:$Q$242),0)</f>
        <v>0</v>
      </c>
      <c r="AG2289" s="196">
        <f t="shared" ca="1" si="501"/>
        <v>0</v>
      </c>
      <c r="AI2289" s="196">
        <f>IFERROR($G2289/SUMIF($A:$A,$A2289,$G:$G)*SUMIF(Summary!$A$247:$A$283,$A2289,Summary!$P$247:$P$283),0)</f>
        <v>0</v>
      </c>
      <c r="AJ2289" s="196">
        <f>IFERROR($G2289/SUMIF($A:$A,$A2289,$G:$G)*(SUMIF(Summary!$A$247:$A$283,$A2289,Summary!$L$247:$L$283)+SUMIF(Summary!$A$297:$A$333,$A2289,Summary!$L$297:$L$333))-AI2289,0)</f>
        <v>0</v>
      </c>
      <c r="AK2289" s="196">
        <f>IFERROR($G2289/SUMIF($A:$A,$A2289,$G:$G)*SUMIF(Summary!$A$247:$A$283,$A2289,Summary!$Q$247:$Q$283),0)</f>
        <v>0</v>
      </c>
      <c r="AL2289" s="196">
        <f>IFERROR($G2289/SUMIF($A:$A,$A2289,$G:$G)*(SUMIF(Summary!$A$247:$A$283,$A2289,Summary!$L$247:$L$283)+SUMIF(Summary!$A$297:$A$333,$A2289,Summary!$L$297:$L$333))-AK2289,0)</f>
        <v>0</v>
      </c>
      <c r="AM2289" s="198"/>
      <c r="AN2289" s="196">
        <f t="shared" ca="1" si="502"/>
        <v>0</v>
      </c>
      <c r="AO2289" s="196">
        <f t="shared" ca="1" si="503"/>
        <v>0</v>
      </c>
    </row>
    <row r="2290" spans="1:41" s="201" customFormat="1">
      <c r="A2290" s="189">
        <v>3661</v>
      </c>
      <c r="B2290" s="190">
        <v>4</v>
      </c>
      <c r="C2290" s="191" t="s">
        <v>237</v>
      </c>
      <c r="D2290" s="192">
        <f t="shared" si="490"/>
        <v>0</v>
      </c>
      <c r="E2290" s="192">
        <f t="shared" si="491"/>
        <v>0</v>
      </c>
      <c r="F2290" s="192">
        <f t="shared" si="492"/>
        <v>0</v>
      </c>
      <c r="G2290" s="193">
        <f t="shared" si="493"/>
        <v>0</v>
      </c>
      <c r="H2290" s="194">
        <v>0</v>
      </c>
      <c r="I2290" s="194">
        <v>0</v>
      </c>
      <c r="J2290" s="194">
        <v>0</v>
      </c>
      <c r="K2290" s="193">
        <f t="shared" si="494"/>
        <v>0</v>
      </c>
      <c r="L2290" s="194">
        <v>0</v>
      </c>
      <c r="M2290" s="194">
        <v>0</v>
      </c>
      <c r="N2290" s="194">
        <v>0</v>
      </c>
      <c r="O2290" s="193">
        <f t="shared" si="495"/>
        <v>0</v>
      </c>
      <c r="P2290" s="194">
        <v>0</v>
      </c>
      <c r="Q2290" s="194">
        <v>0</v>
      </c>
      <c r="R2290" s="194">
        <v>0</v>
      </c>
      <c r="S2290" s="193">
        <f t="shared" si="496"/>
        <v>0</v>
      </c>
      <c r="T2290" s="193">
        <f t="shared" si="497"/>
        <v>0</v>
      </c>
      <c r="U2290" s="193">
        <f ca="1">OFFSET('Expenditure Study'!$B$7,'Operations Support'!$C2290,'Operations Support'!$B2290)*$G2290</f>
        <v>0</v>
      </c>
      <c r="V2290" s="199">
        <f ca="1">U2290*'Expenditure Study'!$B$31</f>
        <v>0</v>
      </c>
      <c r="W2290" s="199">
        <f ca="1">IF(A2290=10298,1.51,1)*IF($B2290&lt;3,$D2290*'Expenditure Study'!$B$32*OFFSET('Expenditure Study'!$B$7,'Operations Support'!$C2290,'Operations Support'!$B2290),0)</f>
        <v>0</v>
      </c>
      <c r="X2290" s="200">
        <f ca="1">W2290*'Expenditure Study'!$B$31</f>
        <v>0</v>
      </c>
      <c r="Y2290" s="199">
        <f ca="1">U2290*'Expenditure Study'!$B$31</f>
        <v>0</v>
      </c>
      <c r="Z2290" s="200">
        <f ca="1">W2290*'Expenditure Study'!$B$31</f>
        <v>0</v>
      </c>
      <c r="AA2290" s="195">
        <f t="shared" ca="1" si="498"/>
        <v>0</v>
      </c>
      <c r="AB2290" s="195">
        <f t="shared" ca="1" si="499"/>
        <v>0</v>
      </c>
      <c r="AD2290" s="196">
        <f>IFERROR($G2290/SUMIF($A:$A,$A2290,$G:$G)*SUMIF(Summary!$A$166:$A$242,$A2290,Summary!$P$166:$P$242),0)</f>
        <v>0</v>
      </c>
      <c r="AE2290" s="197">
        <f t="shared" ca="1" si="500"/>
        <v>0</v>
      </c>
      <c r="AF2290" s="196">
        <f>IFERROR(G2290/SUMIF(A:A,A2290,G:G)*SUMIF(Summary!$A$166:$A$242,'Operations Support'!A2290,Summary!$Q$166:$Q$242),0)</f>
        <v>0</v>
      </c>
      <c r="AG2290" s="196">
        <f t="shared" ca="1" si="501"/>
        <v>0</v>
      </c>
      <c r="AH2290" s="180"/>
      <c r="AI2290" s="196">
        <f>IFERROR($G2290/SUMIF($A:$A,$A2290,$G:$G)*SUMIF(Summary!$A$247:$A$283,$A2290,Summary!$P$247:$P$283),0)</f>
        <v>0</v>
      </c>
      <c r="AJ2290" s="196">
        <f>IFERROR($G2290/SUMIF($A:$A,$A2290,$G:$G)*(SUMIF(Summary!$A$247:$A$283,$A2290,Summary!$L$247:$L$283)+SUMIF(Summary!$A$297:$A$333,$A2290,Summary!$L$297:$L$333))-AI2290,0)</f>
        <v>0</v>
      </c>
      <c r="AK2290" s="196">
        <f>IFERROR($G2290/SUMIF($A:$A,$A2290,$G:$G)*SUMIF(Summary!$A$247:$A$283,$A2290,Summary!$Q$247:$Q$283),0)</f>
        <v>0</v>
      </c>
      <c r="AL2290" s="196">
        <f>IFERROR($G2290/SUMIF($A:$A,$A2290,$G:$G)*(SUMIF(Summary!$A$247:$A$283,$A2290,Summary!$L$247:$L$283)+SUMIF(Summary!$A$297:$A$333,$A2290,Summary!$L$297:$L$333))-AK2290,0)</f>
        <v>0</v>
      </c>
      <c r="AM2290" s="198"/>
      <c r="AN2290" s="196">
        <f t="shared" ca="1" si="502"/>
        <v>0</v>
      </c>
      <c r="AO2290" s="196">
        <f t="shared" ca="1" si="503"/>
        <v>0</v>
      </c>
    </row>
    <row r="2291" spans="1:41">
      <c r="A2291" s="189">
        <v>3661</v>
      </c>
      <c r="B2291" s="190">
        <v>4</v>
      </c>
      <c r="C2291" s="191" t="s">
        <v>238</v>
      </c>
      <c r="D2291" s="192">
        <f t="shared" si="490"/>
        <v>0</v>
      </c>
      <c r="E2291" s="192">
        <f t="shared" si="491"/>
        <v>0</v>
      </c>
      <c r="F2291" s="192">
        <f t="shared" si="492"/>
        <v>0</v>
      </c>
      <c r="G2291" s="193">
        <f t="shared" si="493"/>
        <v>0</v>
      </c>
      <c r="H2291" s="194">
        <v>0</v>
      </c>
      <c r="I2291" s="194">
        <v>0</v>
      </c>
      <c r="J2291" s="194">
        <v>0</v>
      </c>
      <c r="K2291" s="193">
        <f t="shared" si="494"/>
        <v>0</v>
      </c>
      <c r="L2291" s="194">
        <v>0</v>
      </c>
      <c r="M2291" s="194">
        <v>0</v>
      </c>
      <c r="N2291" s="194">
        <v>0</v>
      </c>
      <c r="O2291" s="193">
        <f t="shared" si="495"/>
        <v>0</v>
      </c>
      <c r="P2291" s="194">
        <v>0</v>
      </c>
      <c r="Q2291" s="194">
        <v>0</v>
      </c>
      <c r="R2291" s="194">
        <v>0</v>
      </c>
      <c r="S2291" s="193">
        <f t="shared" si="496"/>
        <v>0</v>
      </c>
      <c r="T2291" s="193">
        <f t="shared" si="497"/>
        <v>0</v>
      </c>
      <c r="U2291" s="193">
        <f ca="1">OFFSET('Expenditure Study'!$B$7,'Operations Support'!$C2291,'Operations Support'!$B2291)*$G2291</f>
        <v>0</v>
      </c>
      <c r="V2291" s="199">
        <f ca="1">U2291*'Expenditure Study'!$B$31</f>
        <v>0</v>
      </c>
      <c r="W2291" s="199">
        <f ca="1">IF(A2291=10298,1.51,1)*IF($B2291&lt;3,$D2291*'Expenditure Study'!$B$32*OFFSET('Expenditure Study'!$B$7,'Operations Support'!$C2291,'Operations Support'!$B2291),0)</f>
        <v>0</v>
      </c>
      <c r="X2291" s="200">
        <f ca="1">W2291*'Expenditure Study'!$B$31</f>
        <v>0</v>
      </c>
      <c r="Y2291" s="199">
        <f ca="1">U2291*'Expenditure Study'!$B$31</f>
        <v>0</v>
      </c>
      <c r="Z2291" s="200">
        <f ca="1">W2291*'Expenditure Study'!$B$31</f>
        <v>0</v>
      </c>
      <c r="AA2291" s="195">
        <f t="shared" ca="1" si="498"/>
        <v>0</v>
      </c>
      <c r="AB2291" s="195">
        <f t="shared" ca="1" si="499"/>
        <v>0</v>
      </c>
      <c r="AD2291" s="196">
        <f>IFERROR($G2291/SUMIF($A:$A,$A2291,$G:$G)*SUMIF(Summary!$A$166:$A$242,$A2291,Summary!$P$166:$P$242),0)</f>
        <v>0</v>
      </c>
      <c r="AE2291" s="197">
        <f t="shared" ca="1" si="500"/>
        <v>0</v>
      </c>
      <c r="AF2291" s="196">
        <f>IFERROR(G2291/SUMIF(A:A,A2291,G:G)*SUMIF(Summary!$A$166:$A$242,'Operations Support'!A2291,Summary!$Q$166:$Q$242),0)</f>
        <v>0</v>
      </c>
      <c r="AG2291" s="196">
        <f t="shared" ca="1" si="501"/>
        <v>0</v>
      </c>
      <c r="AI2291" s="196">
        <f>IFERROR($G2291/SUMIF($A:$A,$A2291,$G:$G)*SUMIF(Summary!$A$247:$A$283,$A2291,Summary!$P$247:$P$283),0)</f>
        <v>0</v>
      </c>
      <c r="AJ2291" s="196">
        <f>IFERROR($G2291/SUMIF($A:$A,$A2291,$G:$G)*(SUMIF(Summary!$A$247:$A$283,$A2291,Summary!$L$247:$L$283)+SUMIF(Summary!$A$297:$A$333,$A2291,Summary!$L$297:$L$333))-AI2291,0)</f>
        <v>0</v>
      </c>
      <c r="AK2291" s="196">
        <f>IFERROR($G2291/SUMIF($A:$A,$A2291,$G:$G)*SUMIF(Summary!$A$247:$A$283,$A2291,Summary!$Q$247:$Q$283),0)</f>
        <v>0</v>
      </c>
      <c r="AL2291" s="196">
        <f>IFERROR($G2291/SUMIF($A:$A,$A2291,$G:$G)*(SUMIF(Summary!$A$247:$A$283,$A2291,Summary!$L$247:$L$283)+SUMIF(Summary!$A$297:$A$333,$A2291,Summary!$L$297:$L$333))-AK2291,0)</f>
        <v>0</v>
      </c>
      <c r="AM2291" s="198"/>
      <c r="AN2291" s="196">
        <f t="shared" ca="1" si="502"/>
        <v>0</v>
      </c>
      <c r="AO2291" s="196">
        <f t="shared" ca="1" si="503"/>
        <v>0</v>
      </c>
    </row>
    <row r="2292" spans="1:41">
      <c r="A2292" s="189">
        <v>3661</v>
      </c>
      <c r="B2292" s="190">
        <v>4</v>
      </c>
      <c r="C2292" s="191" t="s">
        <v>239</v>
      </c>
      <c r="D2292" s="192">
        <f t="shared" si="490"/>
        <v>36</v>
      </c>
      <c r="E2292" s="192">
        <f t="shared" si="491"/>
        <v>460</v>
      </c>
      <c r="F2292" s="192">
        <f t="shared" si="492"/>
        <v>0</v>
      </c>
      <c r="G2292" s="193">
        <f t="shared" si="493"/>
        <v>496</v>
      </c>
      <c r="H2292" s="194">
        <v>36</v>
      </c>
      <c r="I2292" s="194">
        <v>172</v>
      </c>
      <c r="J2292" s="194">
        <v>0</v>
      </c>
      <c r="K2292" s="193">
        <f t="shared" si="494"/>
        <v>208</v>
      </c>
      <c r="L2292" s="194">
        <v>0</v>
      </c>
      <c r="M2292" s="194">
        <v>207</v>
      </c>
      <c r="N2292" s="194">
        <v>0</v>
      </c>
      <c r="O2292" s="193">
        <f t="shared" si="495"/>
        <v>207</v>
      </c>
      <c r="P2292" s="194">
        <v>0</v>
      </c>
      <c r="Q2292" s="194">
        <v>81</v>
      </c>
      <c r="R2292" s="194">
        <v>0</v>
      </c>
      <c r="S2292" s="193">
        <f t="shared" si="496"/>
        <v>81</v>
      </c>
      <c r="T2292" s="193">
        <f t="shared" si="497"/>
        <v>27.555555555555557</v>
      </c>
      <c r="U2292" s="193">
        <f ca="1">OFFSET('Expenditure Study'!$B$7,'Operations Support'!$C2292,'Operations Support'!$B2292)*$G2292</f>
        <v>4548.32</v>
      </c>
      <c r="V2292" s="199">
        <f ca="1">U2292*'Expenditure Study'!$B$31</f>
        <v>268729.21289625601</v>
      </c>
      <c r="W2292" s="199">
        <f ca="1">IF(A2292=10298,1.51,1)*IF($B2292&lt;3,$D2292*'Expenditure Study'!$B$32*OFFSET('Expenditure Study'!$B$7,'Operations Support'!$C2292,'Operations Support'!$B2292),0)</f>
        <v>0</v>
      </c>
      <c r="X2292" s="200">
        <f ca="1">W2292*'Expenditure Study'!$B$31</f>
        <v>0</v>
      </c>
      <c r="Y2292" s="199">
        <f ca="1">U2292*'Expenditure Study'!$B$31</f>
        <v>268729.21289625601</v>
      </c>
      <c r="Z2292" s="200">
        <f ca="1">W2292*'Expenditure Study'!$B$31</f>
        <v>0</v>
      </c>
      <c r="AA2292" s="195">
        <f t="shared" ca="1" si="498"/>
        <v>268729.21289625601</v>
      </c>
      <c r="AB2292" s="195">
        <f t="shared" ca="1" si="499"/>
        <v>268729.21289625601</v>
      </c>
      <c r="AD2292" s="196">
        <f>IFERROR($G2292/SUMIF($A:$A,$A2292,$G:$G)*SUMIF(Summary!$A$166:$A$242,$A2292,Summary!$P$166:$P$242),0)</f>
        <v>13093.344526701645</v>
      </c>
      <c r="AE2292" s="197">
        <f t="shared" ca="1" si="500"/>
        <v>255635.86836955437</v>
      </c>
      <c r="AF2292" s="196">
        <f>IFERROR(G2292/SUMIF(A:A,A2292,G:G)*SUMIF(Summary!$A$166:$A$242,'Operations Support'!A2292,Summary!$Q$166:$Q$242),0)</f>
        <v>13119.699532243094</v>
      </c>
      <c r="AG2292" s="196">
        <f t="shared" ca="1" si="501"/>
        <v>255609.51336401291</v>
      </c>
      <c r="AI2292" s="196">
        <f>IFERROR($G2292/SUMIF($A:$A,$A2292,$G:$G)*SUMIF(Summary!$A$247:$A$283,$A2292,Summary!$P$247:$P$283),0)</f>
        <v>2387.8993008998864</v>
      </c>
      <c r="AJ2292" s="196">
        <f>IFERROR($G2292/SUMIF($A:$A,$A2292,$G:$G)*(SUMIF(Summary!$A$247:$A$283,$A2292,Summary!$L$247:$L$283)+SUMIF(Summary!$A$297:$A$333,$A2292,Summary!$L$297:$L$333))-AI2292,0)</f>
        <v>11131.623301701515</v>
      </c>
      <c r="AK2292" s="196">
        <f>IFERROR($G2292/SUMIF($A:$A,$A2292,$G:$G)*SUMIF(Summary!$A$247:$A$283,$A2292,Summary!$Q$247:$Q$283),0)</f>
        <v>2392.7057962288145</v>
      </c>
      <c r="AL2292" s="196">
        <f>IFERROR($G2292/SUMIF($A:$A,$A2292,$G:$G)*(SUMIF(Summary!$A$247:$A$283,$A2292,Summary!$L$247:$L$283)+SUMIF(Summary!$A$297:$A$333,$A2292,Summary!$L$297:$L$333))-AK2292,0)</f>
        <v>11126.816806372586</v>
      </c>
      <c r="AM2292" s="198"/>
      <c r="AN2292" s="196">
        <f t="shared" ca="1" si="502"/>
        <v>266767.49167125591</v>
      </c>
      <c r="AO2292" s="196">
        <f t="shared" ca="1" si="503"/>
        <v>266736.33017038548</v>
      </c>
    </row>
    <row r="2293" spans="1:41">
      <c r="A2293" s="189">
        <v>3661</v>
      </c>
      <c r="B2293" s="190">
        <v>4</v>
      </c>
      <c r="C2293" s="191" t="s">
        <v>240</v>
      </c>
      <c r="D2293" s="192">
        <f t="shared" si="490"/>
        <v>0</v>
      </c>
      <c r="E2293" s="192">
        <f t="shared" si="491"/>
        <v>0</v>
      </c>
      <c r="F2293" s="192">
        <f t="shared" si="492"/>
        <v>0</v>
      </c>
      <c r="G2293" s="193">
        <f t="shared" si="493"/>
        <v>0</v>
      </c>
      <c r="H2293" s="194">
        <v>0</v>
      </c>
      <c r="I2293" s="194">
        <v>0</v>
      </c>
      <c r="J2293" s="194">
        <v>0</v>
      </c>
      <c r="K2293" s="193">
        <f t="shared" si="494"/>
        <v>0</v>
      </c>
      <c r="L2293" s="194">
        <v>0</v>
      </c>
      <c r="M2293" s="194">
        <v>0</v>
      </c>
      <c r="N2293" s="194">
        <v>0</v>
      </c>
      <c r="O2293" s="193">
        <f t="shared" si="495"/>
        <v>0</v>
      </c>
      <c r="P2293" s="194">
        <v>0</v>
      </c>
      <c r="Q2293" s="194">
        <v>0</v>
      </c>
      <c r="R2293" s="194">
        <v>0</v>
      </c>
      <c r="S2293" s="193">
        <f t="shared" si="496"/>
        <v>0</v>
      </c>
      <c r="T2293" s="193">
        <f t="shared" si="497"/>
        <v>0</v>
      </c>
      <c r="U2293" s="193">
        <f ca="1">OFFSET('Expenditure Study'!$B$7,'Operations Support'!$C2293,'Operations Support'!$B2293)*$G2293</f>
        <v>0</v>
      </c>
      <c r="V2293" s="199">
        <f ca="1">U2293*'Expenditure Study'!$B$31</f>
        <v>0</v>
      </c>
      <c r="W2293" s="199">
        <f ca="1">IF(A2293=10298,1.51,1)*IF($B2293&lt;3,$D2293*'Expenditure Study'!$B$32*OFFSET('Expenditure Study'!$B$7,'Operations Support'!$C2293,'Operations Support'!$B2293),0)</f>
        <v>0</v>
      </c>
      <c r="X2293" s="200">
        <f ca="1">W2293*'Expenditure Study'!$B$31</f>
        <v>0</v>
      </c>
      <c r="Y2293" s="199">
        <f ca="1">U2293*'Expenditure Study'!$B$31</f>
        <v>0</v>
      </c>
      <c r="Z2293" s="200">
        <f ca="1">W2293*'Expenditure Study'!$B$31</f>
        <v>0</v>
      </c>
      <c r="AA2293" s="195">
        <f t="shared" ca="1" si="498"/>
        <v>0</v>
      </c>
      <c r="AB2293" s="195">
        <f t="shared" ca="1" si="499"/>
        <v>0</v>
      </c>
      <c r="AD2293" s="196">
        <f>IFERROR($G2293/SUMIF($A:$A,$A2293,$G:$G)*SUMIF(Summary!$A$166:$A$242,$A2293,Summary!$P$166:$P$242),0)</f>
        <v>0</v>
      </c>
      <c r="AE2293" s="197">
        <f t="shared" ca="1" si="500"/>
        <v>0</v>
      </c>
      <c r="AF2293" s="196">
        <f>IFERROR(G2293/SUMIF(A:A,A2293,G:G)*SUMIF(Summary!$A$166:$A$242,'Operations Support'!A2293,Summary!$Q$166:$Q$242),0)</f>
        <v>0</v>
      </c>
      <c r="AG2293" s="196">
        <f t="shared" ca="1" si="501"/>
        <v>0</v>
      </c>
      <c r="AI2293" s="196">
        <f>IFERROR($G2293/SUMIF($A:$A,$A2293,$G:$G)*SUMIF(Summary!$A$247:$A$283,$A2293,Summary!$P$247:$P$283),0)</f>
        <v>0</v>
      </c>
      <c r="AJ2293" s="196">
        <f>IFERROR($G2293/SUMIF($A:$A,$A2293,$G:$G)*(SUMIF(Summary!$A$247:$A$283,$A2293,Summary!$L$247:$L$283)+SUMIF(Summary!$A$297:$A$333,$A2293,Summary!$L$297:$L$333))-AI2293,0)</f>
        <v>0</v>
      </c>
      <c r="AK2293" s="196">
        <f>IFERROR($G2293/SUMIF($A:$A,$A2293,$G:$G)*SUMIF(Summary!$A$247:$A$283,$A2293,Summary!$Q$247:$Q$283),0)</f>
        <v>0</v>
      </c>
      <c r="AL2293" s="196">
        <f>IFERROR($G2293/SUMIF($A:$A,$A2293,$G:$G)*(SUMIF(Summary!$A$247:$A$283,$A2293,Summary!$L$247:$L$283)+SUMIF(Summary!$A$297:$A$333,$A2293,Summary!$L$297:$L$333))-AK2293,0)</f>
        <v>0</v>
      </c>
      <c r="AM2293" s="198"/>
      <c r="AN2293" s="196">
        <f t="shared" ca="1" si="502"/>
        <v>0</v>
      </c>
      <c r="AO2293" s="196">
        <f t="shared" ca="1" si="503"/>
        <v>0</v>
      </c>
    </row>
    <row r="2294" spans="1:41">
      <c r="A2294" s="189">
        <v>3661</v>
      </c>
      <c r="B2294" s="190">
        <v>5</v>
      </c>
      <c r="C2294" s="191" t="s">
        <v>220</v>
      </c>
      <c r="D2294" s="192">
        <f t="shared" si="490"/>
        <v>0</v>
      </c>
      <c r="E2294" s="192">
        <f t="shared" si="491"/>
        <v>0</v>
      </c>
      <c r="F2294" s="192">
        <f t="shared" si="492"/>
        <v>0</v>
      </c>
      <c r="G2294" s="193">
        <f t="shared" si="493"/>
        <v>0</v>
      </c>
      <c r="H2294" s="194">
        <v>0</v>
      </c>
      <c r="I2294" s="194">
        <v>0</v>
      </c>
      <c r="J2294" s="194">
        <v>0</v>
      </c>
      <c r="K2294" s="193">
        <f t="shared" si="494"/>
        <v>0</v>
      </c>
      <c r="L2294" s="194">
        <v>0</v>
      </c>
      <c r="M2294" s="194">
        <v>0</v>
      </c>
      <c r="N2294" s="194">
        <v>0</v>
      </c>
      <c r="O2294" s="193">
        <f t="shared" si="495"/>
        <v>0</v>
      </c>
      <c r="P2294" s="194">
        <v>0</v>
      </c>
      <c r="Q2294" s="194">
        <v>0</v>
      </c>
      <c r="R2294" s="194">
        <v>0</v>
      </c>
      <c r="S2294" s="193">
        <f t="shared" si="496"/>
        <v>0</v>
      </c>
      <c r="T2294" s="193">
        <f t="shared" si="497"/>
        <v>0</v>
      </c>
      <c r="U2294" s="193">
        <f ca="1">OFFSET('Expenditure Study'!$B$7,'Operations Support'!$C2294,'Operations Support'!$B2294)*$G2294</f>
        <v>0</v>
      </c>
      <c r="V2294" s="199">
        <f ca="1">U2294*'Expenditure Study'!$B$31</f>
        <v>0</v>
      </c>
      <c r="W2294" s="199">
        <f ca="1">IF(A2294=10298,1.51,1)*IF($B2294&lt;3,$D2294*'Expenditure Study'!$B$32*OFFSET('Expenditure Study'!$B$7,'Operations Support'!$C2294,'Operations Support'!$B2294),0)</f>
        <v>0</v>
      </c>
      <c r="X2294" s="200">
        <f ca="1">W2294*'Expenditure Study'!$B$31</f>
        <v>0</v>
      </c>
      <c r="Y2294" s="199">
        <f ca="1">U2294*'Expenditure Study'!$B$31</f>
        <v>0</v>
      </c>
      <c r="Z2294" s="200">
        <f ca="1">W2294*'Expenditure Study'!$B$31</f>
        <v>0</v>
      </c>
      <c r="AA2294" s="195">
        <f t="shared" ca="1" si="498"/>
        <v>0</v>
      </c>
      <c r="AB2294" s="195">
        <f t="shared" ca="1" si="499"/>
        <v>0</v>
      </c>
      <c r="AD2294" s="196">
        <f>IFERROR($G2294/SUMIF($A:$A,$A2294,$G:$G)*SUMIF(Summary!$A$166:$A$242,$A2294,Summary!$P$166:$P$242),0)</f>
        <v>0</v>
      </c>
      <c r="AE2294" s="197">
        <f t="shared" ca="1" si="500"/>
        <v>0</v>
      </c>
      <c r="AF2294" s="196">
        <f>IFERROR(G2294/SUMIF(A:A,A2294,G:G)*SUMIF(Summary!$A$166:$A$242,'Operations Support'!A2294,Summary!$Q$166:$Q$242),0)</f>
        <v>0</v>
      </c>
      <c r="AG2294" s="196">
        <f t="shared" ca="1" si="501"/>
        <v>0</v>
      </c>
      <c r="AI2294" s="196">
        <f>IFERROR($G2294/SUMIF($A:$A,$A2294,$G:$G)*SUMIF(Summary!$A$247:$A$283,$A2294,Summary!$P$247:$P$283),0)</f>
        <v>0</v>
      </c>
      <c r="AJ2294" s="196">
        <f>IFERROR($G2294/SUMIF($A:$A,$A2294,$G:$G)*(SUMIF(Summary!$A$247:$A$283,$A2294,Summary!$L$247:$L$283)+SUMIF(Summary!$A$297:$A$333,$A2294,Summary!$L$297:$L$333))-AI2294,0)</f>
        <v>0</v>
      </c>
      <c r="AK2294" s="196">
        <f>IFERROR($G2294/SUMIF($A:$A,$A2294,$G:$G)*SUMIF(Summary!$A$247:$A$283,$A2294,Summary!$Q$247:$Q$283),0)</f>
        <v>0</v>
      </c>
      <c r="AL2294" s="196">
        <f>IFERROR($G2294/SUMIF($A:$A,$A2294,$G:$G)*(SUMIF(Summary!$A$247:$A$283,$A2294,Summary!$L$247:$L$283)+SUMIF(Summary!$A$297:$A$333,$A2294,Summary!$L$297:$L$333))-AK2294,0)</f>
        <v>0</v>
      </c>
      <c r="AM2294" s="198"/>
      <c r="AN2294" s="196">
        <f t="shared" ca="1" si="502"/>
        <v>0</v>
      </c>
      <c r="AO2294" s="196">
        <f t="shared" ca="1" si="503"/>
        <v>0</v>
      </c>
    </row>
    <row r="2295" spans="1:41">
      <c r="A2295" s="189">
        <v>3661</v>
      </c>
      <c r="B2295" s="190">
        <v>5</v>
      </c>
      <c r="C2295" s="191" t="s">
        <v>221</v>
      </c>
      <c r="D2295" s="192">
        <f t="shared" si="490"/>
        <v>0</v>
      </c>
      <c r="E2295" s="192">
        <f t="shared" si="491"/>
        <v>0</v>
      </c>
      <c r="F2295" s="192">
        <f t="shared" si="492"/>
        <v>0</v>
      </c>
      <c r="G2295" s="193">
        <f t="shared" si="493"/>
        <v>0</v>
      </c>
      <c r="H2295" s="194">
        <v>0</v>
      </c>
      <c r="I2295" s="194">
        <v>0</v>
      </c>
      <c r="J2295" s="194">
        <v>0</v>
      </c>
      <c r="K2295" s="193">
        <f t="shared" si="494"/>
        <v>0</v>
      </c>
      <c r="L2295" s="194">
        <v>0</v>
      </c>
      <c r="M2295" s="194">
        <v>0</v>
      </c>
      <c r="N2295" s="194">
        <v>0</v>
      </c>
      <c r="O2295" s="193">
        <f t="shared" si="495"/>
        <v>0</v>
      </c>
      <c r="P2295" s="194">
        <v>0</v>
      </c>
      <c r="Q2295" s="194">
        <v>0</v>
      </c>
      <c r="R2295" s="194">
        <v>0</v>
      </c>
      <c r="S2295" s="193">
        <f t="shared" si="496"/>
        <v>0</v>
      </c>
      <c r="T2295" s="193">
        <f t="shared" si="497"/>
        <v>0</v>
      </c>
      <c r="U2295" s="193">
        <f ca="1">OFFSET('Expenditure Study'!$B$7,'Operations Support'!$C2295,'Operations Support'!$B2295)*$G2295</f>
        <v>0</v>
      </c>
      <c r="V2295" s="199">
        <f ca="1">U2295*'Expenditure Study'!$B$31</f>
        <v>0</v>
      </c>
      <c r="W2295" s="199">
        <f ca="1">IF(A2295=10298,1.51,1)*IF($B2295&lt;3,$D2295*'Expenditure Study'!$B$32*OFFSET('Expenditure Study'!$B$7,'Operations Support'!$C2295,'Operations Support'!$B2295),0)</f>
        <v>0</v>
      </c>
      <c r="X2295" s="200">
        <f ca="1">W2295*'Expenditure Study'!$B$31</f>
        <v>0</v>
      </c>
      <c r="Y2295" s="199">
        <f ca="1">U2295*'Expenditure Study'!$B$31</f>
        <v>0</v>
      </c>
      <c r="Z2295" s="200">
        <f ca="1">W2295*'Expenditure Study'!$B$31</f>
        <v>0</v>
      </c>
      <c r="AA2295" s="195">
        <f t="shared" ca="1" si="498"/>
        <v>0</v>
      </c>
      <c r="AB2295" s="195">
        <f t="shared" ca="1" si="499"/>
        <v>0</v>
      </c>
      <c r="AD2295" s="196">
        <f>IFERROR($G2295/SUMIF($A:$A,$A2295,$G:$G)*SUMIF(Summary!$A$166:$A$242,$A2295,Summary!$P$166:$P$242),0)</f>
        <v>0</v>
      </c>
      <c r="AE2295" s="197">
        <f t="shared" ca="1" si="500"/>
        <v>0</v>
      </c>
      <c r="AF2295" s="196">
        <f>IFERROR(G2295/SUMIF(A:A,A2295,G:G)*SUMIF(Summary!$A$166:$A$242,'Operations Support'!A2295,Summary!$Q$166:$Q$242),0)</f>
        <v>0</v>
      </c>
      <c r="AG2295" s="196">
        <f t="shared" ca="1" si="501"/>
        <v>0</v>
      </c>
      <c r="AI2295" s="196">
        <f>IFERROR($G2295/SUMIF($A:$A,$A2295,$G:$G)*SUMIF(Summary!$A$247:$A$283,$A2295,Summary!$P$247:$P$283),0)</f>
        <v>0</v>
      </c>
      <c r="AJ2295" s="196">
        <f>IFERROR($G2295/SUMIF($A:$A,$A2295,$G:$G)*(SUMIF(Summary!$A$247:$A$283,$A2295,Summary!$L$247:$L$283)+SUMIF(Summary!$A$297:$A$333,$A2295,Summary!$L$297:$L$333))-AI2295,0)</f>
        <v>0</v>
      </c>
      <c r="AK2295" s="196">
        <f>IFERROR($G2295/SUMIF($A:$A,$A2295,$G:$G)*SUMIF(Summary!$A$247:$A$283,$A2295,Summary!$Q$247:$Q$283),0)</f>
        <v>0</v>
      </c>
      <c r="AL2295" s="196">
        <f>IFERROR($G2295/SUMIF($A:$A,$A2295,$G:$G)*(SUMIF(Summary!$A$247:$A$283,$A2295,Summary!$L$247:$L$283)+SUMIF(Summary!$A$297:$A$333,$A2295,Summary!$L$297:$L$333))-AK2295,0)</f>
        <v>0</v>
      </c>
      <c r="AM2295" s="198"/>
      <c r="AN2295" s="196">
        <f t="shared" ca="1" si="502"/>
        <v>0</v>
      </c>
      <c r="AO2295" s="196">
        <f t="shared" ca="1" si="503"/>
        <v>0</v>
      </c>
    </row>
    <row r="2296" spans="1:41">
      <c r="A2296" s="189">
        <v>3661</v>
      </c>
      <c r="B2296" s="190">
        <v>5</v>
      </c>
      <c r="C2296" s="191" t="s">
        <v>222</v>
      </c>
      <c r="D2296" s="192">
        <f t="shared" si="490"/>
        <v>0</v>
      </c>
      <c r="E2296" s="192">
        <f t="shared" si="491"/>
        <v>0</v>
      </c>
      <c r="F2296" s="192">
        <f t="shared" si="492"/>
        <v>0</v>
      </c>
      <c r="G2296" s="193">
        <f t="shared" si="493"/>
        <v>0</v>
      </c>
      <c r="H2296" s="194">
        <v>0</v>
      </c>
      <c r="I2296" s="194">
        <v>0</v>
      </c>
      <c r="J2296" s="194">
        <v>0</v>
      </c>
      <c r="K2296" s="193">
        <f t="shared" si="494"/>
        <v>0</v>
      </c>
      <c r="L2296" s="194">
        <v>0</v>
      </c>
      <c r="M2296" s="194">
        <v>0</v>
      </c>
      <c r="N2296" s="194">
        <v>0</v>
      </c>
      <c r="O2296" s="193">
        <f t="shared" si="495"/>
        <v>0</v>
      </c>
      <c r="P2296" s="194">
        <v>0</v>
      </c>
      <c r="Q2296" s="194">
        <v>0</v>
      </c>
      <c r="R2296" s="194">
        <v>0</v>
      </c>
      <c r="S2296" s="193">
        <f t="shared" si="496"/>
        <v>0</v>
      </c>
      <c r="T2296" s="193">
        <f t="shared" si="497"/>
        <v>0</v>
      </c>
      <c r="U2296" s="193">
        <f ca="1">OFFSET('Expenditure Study'!$B$7,'Operations Support'!$C2296,'Operations Support'!$B2296)*$G2296</f>
        <v>0</v>
      </c>
      <c r="V2296" s="199">
        <f ca="1">U2296*'Expenditure Study'!$B$31</f>
        <v>0</v>
      </c>
      <c r="W2296" s="199">
        <f ca="1">IF(A2296=10298,1.51,1)*IF($B2296&lt;3,$D2296*'Expenditure Study'!$B$32*OFFSET('Expenditure Study'!$B$7,'Operations Support'!$C2296,'Operations Support'!$B2296),0)</f>
        <v>0</v>
      </c>
      <c r="X2296" s="200">
        <f ca="1">W2296*'Expenditure Study'!$B$31</f>
        <v>0</v>
      </c>
      <c r="Y2296" s="199">
        <f ca="1">U2296*'Expenditure Study'!$B$31</f>
        <v>0</v>
      </c>
      <c r="Z2296" s="200">
        <f ca="1">W2296*'Expenditure Study'!$B$31</f>
        <v>0</v>
      </c>
      <c r="AA2296" s="195">
        <f t="shared" ca="1" si="498"/>
        <v>0</v>
      </c>
      <c r="AB2296" s="195">
        <f t="shared" ca="1" si="499"/>
        <v>0</v>
      </c>
      <c r="AD2296" s="196">
        <f>IFERROR($G2296/SUMIF($A:$A,$A2296,$G:$G)*SUMIF(Summary!$A$166:$A$242,$A2296,Summary!$P$166:$P$242),0)</f>
        <v>0</v>
      </c>
      <c r="AE2296" s="197">
        <f t="shared" ca="1" si="500"/>
        <v>0</v>
      </c>
      <c r="AF2296" s="196">
        <f>IFERROR(G2296/SUMIF(A:A,A2296,G:G)*SUMIF(Summary!$A$166:$A$242,'Operations Support'!A2296,Summary!$Q$166:$Q$242),0)</f>
        <v>0</v>
      </c>
      <c r="AG2296" s="196">
        <f t="shared" ca="1" si="501"/>
        <v>0</v>
      </c>
      <c r="AI2296" s="196">
        <f>IFERROR($G2296/SUMIF($A:$A,$A2296,$G:$G)*SUMIF(Summary!$A$247:$A$283,$A2296,Summary!$P$247:$P$283),0)</f>
        <v>0</v>
      </c>
      <c r="AJ2296" s="196">
        <f>IFERROR($G2296/SUMIF($A:$A,$A2296,$G:$G)*(SUMIF(Summary!$A$247:$A$283,$A2296,Summary!$L$247:$L$283)+SUMIF(Summary!$A$297:$A$333,$A2296,Summary!$L$297:$L$333))-AI2296,0)</f>
        <v>0</v>
      </c>
      <c r="AK2296" s="196">
        <f>IFERROR($G2296/SUMIF($A:$A,$A2296,$G:$G)*SUMIF(Summary!$A$247:$A$283,$A2296,Summary!$Q$247:$Q$283),0)</f>
        <v>0</v>
      </c>
      <c r="AL2296" s="196">
        <f>IFERROR($G2296/SUMIF($A:$A,$A2296,$G:$G)*(SUMIF(Summary!$A$247:$A$283,$A2296,Summary!$L$247:$L$283)+SUMIF(Summary!$A$297:$A$333,$A2296,Summary!$L$297:$L$333))-AK2296,0)</f>
        <v>0</v>
      </c>
      <c r="AM2296" s="198"/>
      <c r="AN2296" s="196">
        <f t="shared" ca="1" si="502"/>
        <v>0</v>
      </c>
      <c r="AO2296" s="196">
        <f t="shared" ca="1" si="503"/>
        <v>0</v>
      </c>
    </row>
    <row r="2297" spans="1:41">
      <c r="A2297" s="189">
        <v>3661</v>
      </c>
      <c r="B2297" s="190">
        <v>5</v>
      </c>
      <c r="C2297" s="191" t="s">
        <v>223</v>
      </c>
      <c r="D2297" s="192">
        <f t="shared" si="490"/>
        <v>0</v>
      </c>
      <c r="E2297" s="192">
        <f t="shared" si="491"/>
        <v>0</v>
      </c>
      <c r="F2297" s="192">
        <f t="shared" si="492"/>
        <v>0</v>
      </c>
      <c r="G2297" s="193">
        <f t="shared" si="493"/>
        <v>0</v>
      </c>
      <c r="H2297" s="194">
        <v>0</v>
      </c>
      <c r="I2297" s="194">
        <v>0</v>
      </c>
      <c r="J2297" s="194">
        <v>0</v>
      </c>
      <c r="K2297" s="193">
        <f t="shared" si="494"/>
        <v>0</v>
      </c>
      <c r="L2297" s="194">
        <v>0</v>
      </c>
      <c r="M2297" s="194">
        <v>0</v>
      </c>
      <c r="N2297" s="194">
        <v>0</v>
      </c>
      <c r="O2297" s="193">
        <f t="shared" si="495"/>
        <v>0</v>
      </c>
      <c r="P2297" s="194">
        <v>0</v>
      </c>
      <c r="Q2297" s="194">
        <v>0</v>
      </c>
      <c r="R2297" s="194">
        <v>0</v>
      </c>
      <c r="S2297" s="193">
        <f t="shared" si="496"/>
        <v>0</v>
      </c>
      <c r="T2297" s="193">
        <f t="shared" si="497"/>
        <v>0</v>
      </c>
      <c r="U2297" s="193">
        <f ca="1">OFFSET('Expenditure Study'!$B$7,'Operations Support'!$C2297,'Operations Support'!$B2297)*$G2297</f>
        <v>0</v>
      </c>
      <c r="V2297" s="199">
        <f ca="1">U2297*'Expenditure Study'!$B$31</f>
        <v>0</v>
      </c>
      <c r="W2297" s="199">
        <f ca="1">IF(A2297=10298,1.51,1)*IF($B2297&lt;3,$D2297*'Expenditure Study'!$B$32*OFFSET('Expenditure Study'!$B$7,'Operations Support'!$C2297,'Operations Support'!$B2297),0)</f>
        <v>0</v>
      </c>
      <c r="X2297" s="200">
        <f ca="1">W2297*'Expenditure Study'!$B$31</f>
        <v>0</v>
      </c>
      <c r="Y2297" s="199">
        <f ca="1">U2297*'Expenditure Study'!$B$31</f>
        <v>0</v>
      </c>
      <c r="Z2297" s="200">
        <f ca="1">W2297*'Expenditure Study'!$B$31</f>
        <v>0</v>
      </c>
      <c r="AA2297" s="195">
        <f t="shared" ca="1" si="498"/>
        <v>0</v>
      </c>
      <c r="AB2297" s="195">
        <f t="shared" ca="1" si="499"/>
        <v>0</v>
      </c>
      <c r="AD2297" s="196">
        <f>IFERROR($G2297/SUMIF($A:$A,$A2297,$G:$G)*SUMIF(Summary!$A$166:$A$242,$A2297,Summary!$P$166:$P$242),0)</f>
        <v>0</v>
      </c>
      <c r="AE2297" s="197">
        <f t="shared" ca="1" si="500"/>
        <v>0</v>
      </c>
      <c r="AF2297" s="196">
        <f>IFERROR(G2297/SUMIF(A:A,A2297,G:G)*SUMIF(Summary!$A$166:$A$242,'Operations Support'!A2297,Summary!$Q$166:$Q$242),0)</f>
        <v>0</v>
      </c>
      <c r="AG2297" s="196">
        <f t="shared" ca="1" si="501"/>
        <v>0</v>
      </c>
      <c r="AI2297" s="196">
        <f>IFERROR($G2297/SUMIF($A:$A,$A2297,$G:$G)*SUMIF(Summary!$A$247:$A$283,$A2297,Summary!$P$247:$P$283),0)</f>
        <v>0</v>
      </c>
      <c r="AJ2297" s="196">
        <f>IFERROR($G2297/SUMIF($A:$A,$A2297,$G:$G)*(SUMIF(Summary!$A$247:$A$283,$A2297,Summary!$L$247:$L$283)+SUMIF(Summary!$A$297:$A$333,$A2297,Summary!$L$297:$L$333))-AI2297,0)</f>
        <v>0</v>
      </c>
      <c r="AK2297" s="196">
        <f>IFERROR($G2297/SUMIF($A:$A,$A2297,$G:$G)*SUMIF(Summary!$A$247:$A$283,$A2297,Summary!$Q$247:$Q$283),0)</f>
        <v>0</v>
      </c>
      <c r="AL2297" s="196">
        <f>IFERROR($G2297/SUMIF($A:$A,$A2297,$G:$G)*(SUMIF(Summary!$A$247:$A$283,$A2297,Summary!$L$247:$L$283)+SUMIF(Summary!$A$297:$A$333,$A2297,Summary!$L$297:$L$333))-AK2297,0)</f>
        <v>0</v>
      </c>
      <c r="AM2297" s="198"/>
      <c r="AN2297" s="196">
        <f t="shared" ca="1" si="502"/>
        <v>0</v>
      </c>
      <c r="AO2297" s="196">
        <f t="shared" ca="1" si="503"/>
        <v>0</v>
      </c>
    </row>
    <row r="2298" spans="1:41">
      <c r="A2298" s="189">
        <v>3661</v>
      </c>
      <c r="B2298" s="190">
        <v>5</v>
      </c>
      <c r="C2298" s="191" t="s">
        <v>224</v>
      </c>
      <c r="D2298" s="192">
        <f t="shared" si="490"/>
        <v>0</v>
      </c>
      <c r="E2298" s="192">
        <f t="shared" si="491"/>
        <v>0</v>
      </c>
      <c r="F2298" s="192">
        <f t="shared" si="492"/>
        <v>0</v>
      </c>
      <c r="G2298" s="193">
        <f t="shared" si="493"/>
        <v>0</v>
      </c>
      <c r="H2298" s="194">
        <v>0</v>
      </c>
      <c r="I2298" s="194">
        <v>0</v>
      </c>
      <c r="J2298" s="194">
        <v>0</v>
      </c>
      <c r="K2298" s="193">
        <f t="shared" si="494"/>
        <v>0</v>
      </c>
      <c r="L2298" s="194">
        <v>0</v>
      </c>
      <c r="M2298" s="194">
        <v>0</v>
      </c>
      <c r="N2298" s="194">
        <v>0</v>
      </c>
      <c r="O2298" s="193">
        <f t="shared" si="495"/>
        <v>0</v>
      </c>
      <c r="P2298" s="194">
        <v>0</v>
      </c>
      <c r="Q2298" s="194">
        <v>0</v>
      </c>
      <c r="R2298" s="194">
        <v>0</v>
      </c>
      <c r="S2298" s="193">
        <f t="shared" si="496"/>
        <v>0</v>
      </c>
      <c r="T2298" s="193">
        <f t="shared" si="497"/>
        <v>0</v>
      </c>
      <c r="U2298" s="193">
        <f ca="1">OFFSET('Expenditure Study'!$B$7,'Operations Support'!$C2298,'Operations Support'!$B2298)*$G2298</f>
        <v>0</v>
      </c>
      <c r="V2298" s="199">
        <f ca="1">U2298*'Expenditure Study'!$B$31</f>
        <v>0</v>
      </c>
      <c r="W2298" s="199">
        <f ca="1">IF(A2298=10298,1.51,1)*IF($B2298&lt;3,$D2298*'Expenditure Study'!$B$32*OFFSET('Expenditure Study'!$B$7,'Operations Support'!$C2298,'Operations Support'!$B2298),0)</f>
        <v>0</v>
      </c>
      <c r="X2298" s="200">
        <f ca="1">W2298*'Expenditure Study'!$B$31</f>
        <v>0</v>
      </c>
      <c r="Y2298" s="199">
        <f ca="1">U2298*'Expenditure Study'!$B$31</f>
        <v>0</v>
      </c>
      <c r="Z2298" s="200">
        <f ca="1">W2298*'Expenditure Study'!$B$31</f>
        <v>0</v>
      </c>
      <c r="AA2298" s="195">
        <f t="shared" ca="1" si="498"/>
        <v>0</v>
      </c>
      <c r="AB2298" s="195">
        <f t="shared" ca="1" si="499"/>
        <v>0</v>
      </c>
      <c r="AD2298" s="196">
        <f>IFERROR($G2298/SUMIF($A:$A,$A2298,$G:$G)*SUMIF(Summary!$A$166:$A$242,$A2298,Summary!$P$166:$P$242),0)</f>
        <v>0</v>
      </c>
      <c r="AE2298" s="197">
        <f t="shared" ca="1" si="500"/>
        <v>0</v>
      </c>
      <c r="AF2298" s="196">
        <f>IFERROR(G2298/SUMIF(A:A,A2298,G:G)*SUMIF(Summary!$A$166:$A$242,'Operations Support'!A2298,Summary!$Q$166:$Q$242),0)</f>
        <v>0</v>
      </c>
      <c r="AG2298" s="196">
        <f t="shared" ca="1" si="501"/>
        <v>0</v>
      </c>
      <c r="AI2298" s="196">
        <f>IFERROR($G2298/SUMIF($A:$A,$A2298,$G:$G)*SUMIF(Summary!$A$247:$A$283,$A2298,Summary!$P$247:$P$283),0)</f>
        <v>0</v>
      </c>
      <c r="AJ2298" s="196">
        <f>IFERROR($G2298/SUMIF($A:$A,$A2298,$G:$G)*(SUMIF(Summary!$A$247:$A$283,$A2298,Summary!$L$247:$L$283)+SUMIF(Summary!$A$297:$A$333,$A2298,Summary!$L$297:$L$333))-AI2298,0)</f>
        <v>0</v>
      </c>
      <c r="AK2298" s="196">
        <f>IFERROR($G2298/SUMIF($A:$A,$A2298,$G:$G)*SUMIF(Summary!$A$247:$A$283,$A2298,Summary!$Q$247:$Q$283),0)</f>
        <v>0</v>
      </c>
      <c r="AL2298" s="196">
        <f>IFERROR($G2298/SUMIF($A:$A,$A2298,$G:$G)*(SUMIF(Summary!$A$247:$A$283,$A2298,Summary!$L$247:$L$283)+SUMIF(Summary!$A$297:$A$333,$A2298,Summary!$L$297:$L$333))-AK2298,0)</f>
        <v>0</v>
      </c>
      <c r="AM2298" s="198"/>
      <c r="AN2298" s="196">
        <f t="shared" ca="1" si="502"/>
        <v>0</v>
      </c>
      <c r="AO2298" s="196">
        <f t="shared" ca="1" si="503"/>
        <v>0</v>
      </c>
    </row>
    <row r="2299" spans="1:41">
      <c r="A2299" s="189">
        <v>3661</v>
      </c>
      <c r="B2299" s="190">
        <v>5</v>
      </c>
      <c r="C2299" s="191" t="s">
        <v>225</v>
      </c>
      <c r="D2299" s="192">
        <f t="shared" si="490"/>
        <v>0</v>
      </c>
      <c r="E2299" s="192">
        <f t="shared" si="491"/>
        <v>0</v>
      </c>
      <c r="F2299" s="192">
        <f t="shared" si="492"/>
        <v>0</v>
      </c>
      <c r="G2299" s="193">
        <f t="shared" si="493"/>
        <v>0</v>
      </c>
      <c r="H2299" s="194">
        <v>0</v>
      </c>
      <c r="I2299" s="194">
        <v>0</v>
      </c>
      <c r="J2299" s="194">
        <v>0</v>
      </c>
      <c r="K2299" s="193">
        <f t="shared" si="494"/>
        <v>0</v>
      </c>
      <c r="L2299" s="194">
        <v>0</v>
      </c>
      <c r="M2299" s="194">
        <v>0</v>
      </c>
      <c r="N2299" s="194">
        <v>0</v>
      </c>
      <c r="O2299" s="193">
        <f t="shared" si="495"/>
        <v>0</v>
      </c>
      <c r="P2299" s="194">
        <v>0</v>
      </c>
      <c r="Q2299" s="194">
        <v>0</v>
      </c>
      <c r="R2299" s="194">
        <v>0</v>
      </c>
      <c r="S2299" s="193">
        <f t="shared" si="496"/>
        <v>0</v>
      </c>
      <c r="T2299" s="193">
        <f t="shared" si="497"/>
        <v>0</v>
      </c>
      <c r="U2299" s="193">
        <f ca="1">OFFSET('Expenditure Study'!$B$7,'Operations Support'!$C2299,'Operations Support'!$B2299)*$G2299</f>
        <v>0</v>
      </c>
      <c r="V2299" s="199">
        <f ca="1">U2299*'Expenditure Study'!$B$31</f>
        <v>0</v>
      </c>
      <c r="W2299" s="199">
        <f ca="1">IF(A2299=10298,1.51,1)*IF($B2299&lt;3,$D2299*'Expenditure Study'!$B$32*OFFSET('Expenditure Study'!$B$7,'Operations Support'!$C2299,'Operations Support'!$B2299),0)</f>
        <v>0</v>
      </c>
      <c r="X2299" s="200">
        <f ca="1">W2299*'Expenditure Study'!$B$31</f>
        <v>0</v>
      </c>
      <c r="Y2299" s="199">
        <f ca="1">U2299*'Expenditure Study'!$B$31</f>
        <v>0</v>
      </c>
      <c r="Z2299" s="200">
        <f ca="1">W2299*'Expenditure Study'!$B$31</f>
        <v>0</v>
      </c>
      <c r="AA2299" s="195">
        <f t="shared" ca="1" si="498"/>
        <v>0</v>
      </c>
      <c r="AB2299" s="195">
        <f t="shared" ca="1" si="499"/>
        <v>0</v>
      </c>
      <c r="AD2299" s="196">
        <f>IFERROR($G2299/SUMIF($A:$A,$A2299,$G:$G)*SUMIF(Summary!$A$166:$A$242,$A2299,Summary!$P$166:$P$242),0)</f>
        <v>0</v>
      </c>
      <c r="AE2299" s="197">
        <f t="shared" ca="1" si="500"/>
        <v>0</v>
      </c>
      <c r="AF2299" s="196">
        <f>IFERROR(G2299/SUMIF(A:A,A2299,G:G)*SUMIF(Summary!$A$166:$A$242,'Operations Support'!A2299,Summary!$Q$166:$Q$242),0)</f>
        <v>0</v>
      </c>
      <c r="AG2299" s="196">
        <f t="shared" ca="1" si="501"/>
        <v>0</v>
      </c>
      <c r="AI2299" s="196">
        <f>IFERROR($G2299/SUMIF($A:$A,$A2299,$G:$G)*SUMIF(Summary!$A$247:$A$283,$A2299,Summary!$P$247:$P$283),0)</f>
        <v>0</v>
      </c>
      <c r="AJ2299" s="196">
        <f>IFERROR($G2299/SUMIF($A:$A,$A2299,$G:$G)*(SUMIF(Summary!$A$247:$A$283,$A2299,Summary!$L$247:$L$283)+SUMIF(Summary!$A$297:$A$333,$A2299,Summary!$L$297:$L$333))-AI2299,0)</f>
        <v>0</v>
      </c>
      <c r="AK2299" s="196">
        <f>IFERROR($G2299/SUMIF($A:$A,$A2299,$G:$G)*SUMIF(Summary!$A$247:$A$283,$A2299,Summary!$Q$247:$Q$283),0)</f>
        <v>0</v>
      </c>
      <c r="AL2299" s="196">
        <f>IFERROR($G2299/SUMIF($A:$A,$A2299,$G:$G)*(SUMIF(Summary!$A$247:$A$283,$A2299,Summary!$L$247:$L$283)+SUMIF(Summary!$A$297:$A$333,$A2299,Summary!$L$297:$L$333))-AK2299,0)</f>
        <v>0</v>
      </c>
      <c r="AM2299" s="198"/>
      <c r="AN2299" s="196">
        <f t="shared" ca="1" si="502"/>
        <v>0</v>
      </c>
      <c r="AO2299" s="196">
        <f t="shared" ca="1" si="503"/>
        <v>0</v>
      </c>
    </row>
    <row r="2300" spans="1:41">
      <c r="A2300" s="189">
        <v>3661</v>
      </c>
      <c r="B2300" s="190">
        <v>5</v>
      </c>
      <c r="C2300" s="191" t="s">
        <v>226</v>
      </c>
      <c r="D2300" s="192">
        <f t="shared" si="490"/>
        <v>0</v>
      </c>
      <c r="E2300" s="192">
        <f t="shared" si="491"/>
        <v>0</v>
      </c>
      <c r="F2300" s="192">
        <f t="shared" si="492"/>
        <v>0</v>
      </c>
      <c r="G2300" s="193">
        <f t="shared" si="493"/>
        <v>0</v>
      </c>
      <c r="H2300" s="194">
        <v>0</v>
      </c>
      <c r="I2300" s="194">
        <v>0</v>
      </c>
      <c r="J2300" s="194">
        <v>0</v>
      </c>
      <c r="K2300" s="193">
        <f t="shared" si="494"/>
        <v>0</v>
      </c>
      <c r="L2300" s="194">
        <v>0</v>
      </c>
      <c r="M2300" s="194">
        <v>0</v>
      </c>
      <c r="N2300" s="194">
        <v>0</v>
      </c>
      <c r="O2300" s="193">
        <f t="shared" si="495"/>
        <v>0</v>
      </c>
      <c r="P2300" s="194">
        <v>0</v>
      </c>
      <c r="Q2300" s="194">
        <v>0</v>
      </c>
      <c r="R2300" s="194">
        <v>0</v>
      </c>
      <c r="S2300" s="193">
        <f t="shared" si="496"/>
        <v>0</v>
      </c>
      <c r="T2300" s="193">
        <f t="shared" si="497"/>
        <v>0</v>
      </c>
      <c r="U2300" s="193">
        <f ca="1">OFFSET('Expenditure Study'!$B$7,'Operations Support'!$C2300,'Operations Support'!$B2300)*$G2300</f>
        <v>0</v>
      </c>
      <c r="V2300" s="199">
        <f ca="1">U2300*'Expenditure Study'!$B$31</f>
        <v>0</v>
      </c>
      <c r="W2300" s="199">
        <f ca="1">IF(A2300=10298,1.51,1)*IF($B2300&lt;3,$D2300*'Expenditure Study'!$B$32*OFFSET('Expenditure Study'!$B$7,'Operations Support'!$C2300,'Operations Support'!$B2300),0)</f>
        <v>0</v>
      </c>
      <c r="X2300" s="200">
        <f ca="1">W2300*'Expenditure Study'!$B$31</f>
        <v>0</v>
      </c>
      <c r="Y2300" s="199">
        <f ca="1">U2300*'Expenditure Study'!$B$31</f>
        <v>0</v>
      </c>
      <c r="Z2300" s="200">
        <f ca="1">W2300*'Expenditure Study'!$B$31</f>
        <v>0</v>
      </c>
      <c r="AA2300" s="195">
        <f t="shared" ca="1" si="498"/>
        <v>0</v>
      </c>
      <c r="AB2300" s="195">
        <f t="shared" ca="1" si="499"/>
        <v>0</v>
      </c>
      <c r="AD2300" s="196">
        <f>IFERROR($G2300/SUMIF($A:$A,$A2300,$G:$G)*SUMIF(Summary!$A$166:$A$242,$A2300,Summary!$P$166:$P$242),0)</f>
        <v>0</v>
      </c>
      <c r="AE2300" s="197">
        <f t="shared" ca="1" si="500"/>
        <v>0</v>
      </c>
      <c r="AF2300" s="196">
        <f>IFERROR(G2300/SUMIF(A:A,A2300,G:G)*SUMIF(Summary!$A$166:$A$242,'Operations Support'!A2300,Summary!$Q$166:$Q$242),0)</f>
        <v>0</v>
      </c>
      <c r="AG2300" s="196">
        <f t="shared" ca="1" si="501"/>
        <v>0</v>
      </c>
      <c r="AI2300" s="196">
        <f>IFERROR($G2300/SUMIF($A:$A,$A2300,$G:$G)*SUMIF(Summary!$A$247:$A$283,$A2300,Summary!$P$247:$P$283),0)</f>
        <v>0</v>
      </c>
      <c r="AJ2300" s="196">
        <f>IFERROR($G2300/SUMIF($A:$A,$A2300,$G:$G)*(SUMIF(Summary!$A$247:$A$283,$A2300,Summary!$L$247:$L$283)+SUMIF(Summary!$A$297:$A$333,$A2300,Summary!$L$297:$L$333))-AI2300,0)</f>
        <v>0</v>
      </c>
      <c r="AK2300" s="196">
        <f>IFERROR($G2300/SUMIF($A:$A,$A2300,$G:$G)*SUMIF(Summary!$A$247:$A$283,$A2300,Summary!$Q$247:$Q$283),0)</f>
        <v>0</v>
      </c>
      <c r="AL2300" s="196">
        <f>IFERROR($G2300/SUMIF($A:$A,$A2300,$G:$G)*(SUMIF(Summary!$A$247:$A$283,$A2300,Summary!$L$247:$L$283)+SUMIF(Summary!$A$297:$A$333,$A2300,Summary!$L$297:$L$333))-AK2300,0)</f>
        <v>0</v>
      </c>
      <c r="AM2300" s="198"/>
      <c r="AN2300" s="196">
        <f t="shared" ca="1" si="502"/>
        <v>0</v>
      </c>
      <c r="AO2300" s="196">
        <f t="shared" ca="1" si="503"/>
        <v>0</v>
      </c>
    </row>
    <row r="2301" spans="1:41">
      <c r="A2301" s="189">
        <v>3661</v>
      </c>
      <c r="B2301" s="190">
        <v>5</v>
      </c>
      <c r="C2301" s="191" t="s">
        <v>227</v>
      </c>
      <c r="D2301" s="192">
        <f t="shared" si="490"/>
        <v>0</v>
      </c>
      <c r="E2301" s="192">
        <f t="shared" si="491"/>
        <v>0</v>
      </c>
      <c r="F2301" s="192">
        <f t="shared" si="492"/>
        <v>0</v>
      </c>
      <c r="G2301" s="193">
        <f t="shared" si="493"/>
        <v>0</v>
      </c>
      <c r="H2301" s="194">
        <v>0</v>
      </c>
      <c r="I2301" s="194">
        <v>0</v>
      </c>
      <c r="J2301" s="194">
        <v>0</v>
      </c>
      <c r="K2301" s="193">
        <f t="shared" si="494"/>
        <v>0</v>
      </c>
      <c r="L2301" s="194">
        <v>0</v>
      </c>
      <c r="M2301" s="194">
        <v>0</v>
      </c>
      <c r="N2301" s="194">
        <v>0</v>
      </c>
      <c r="O2301" s="193">
        <f t="shared" si="495"/>
        <v>0</v>
      </c>
      <c r="P2301" s="194">
        <v>0</v>
      </c>
      <c r="Q2301" s="194">
        <v>0</v>
      </c>
      <c r="R2301" s="194">
        <v>0</v>
      </c>
      <c r="S2301" s="193">
        <f t="shared" si="496"/>
        <v>0</v>
      </c>
      <c r="T2301" s="193">
        <f t="shared" si="497"/>
        <v>0</v>
      </c>
      <c r="U2301" s="193">
        <f ca="1">OFFSET('Expenditure Study'!$B$7,'Operations Support'!$C2301,'Operations Support'!$B2301)*$G2301</f>
        <v>0</v>
      </c>
      <c r="V2301" s="199">
        <f ca="1">U2301*'Expenditure Study'!$B$31</f>
        <v>0</v>
      </c>
      <c r="W2301" s="199">
        <f ca="1">IF(A2301=10298,1.51,1)*IF($B2301&lt;3,$D2301*'Expenditure Study'!$B$32*OFFSET('Expenditure Study'!$B$7,'Operations Support'!$C2301,'Operations Support'!$B2301),0)</f>
        <v>0</v>
      </c>
      <c r="X2301" s="200">
        <f ca="1">W2301*'Expenditure Study'!$B$31</f>
        <v>0</v>
      </c>
      <c r="Y2301" s="199">
        <f ca="1">U2301*'Expenditure Study'!$B$31</f>
        <v>0</v>
      </c>
      <c r="Z2301" s="200">
        <f ca="1">W2301*'Expenditure Study'!$B$31</f>
        <v>0</v>
      </c>
      <c r="AA2301" s="195">
        <f t="shared" ca="1" si="498"/>
        <v>0</v>
      </c>
      <c r="AB2301" s="195">
        <f t="shared" ca="1" si="499"/>
        <v>0</v>
      </c>
      <c r="AD2301" s="196">
        <f>IFERROR($G2301/SUMIF($A:$A,$A2301,$G:$G)*SUMIF(Summary!$A$166:$A$242,$A2301,Summary!$P$166:$P$242),0)</f>
        <v>0</v>
      </c>
      <c r="AE2301" s="197">
        <f t="shared" ca="1" si="500"/>
        <v>0</v>
      </c>
      <c r="AF2301" s="196">
        <f>IFERROR(G2301/SUMIF(A:A,A2301,G:G)*SUMIF(Summary!$A$166:$A$242,'Operations Support'!A2301,Summary!$Q$166:$Q$242),0)</f>
        <v>0</v>
      </c>
      <c r="AG2301" s="196">
        <f t="shared" ca="1" si="501"/>
        <v>0</v>
      </c>
      <c r="AI2301" s="196">
        <f>IFERROR($G2301/SUMIF($A:$A,$A2301,$G:$G)*SUMIF(Summary!$A$247:$A$283,$A2301,Summary!$P$247:$P$283),0)</f>
        <v>0</v>
      </c>
      <c r="AJ2301" s="196">
        <f>IFERROR($G2301/SUMIF($A:$A,$A2301,$G:$G)*(SUMIF(Summary!$A$247:$A$283,$A2301,Summary!$L$247:$L$283)+SUMIF(Summary!$A$297:$A$333,$A2301,Summary!$L$297:$L$333))-AI2301,0)</f>
        <v>0</v>
      </c>
      <c r="AK2301" s="196">
        <f>IFERROR($G2301/SUMIF($A:$A,$A2301,$G:$G)*SUMIF(Summary!$A$247:$A$283,$A2301,Summary!$Q$247:$Q$283),0)</f>
        <v>0</v>
      </c>
      <c r="AL2301" s="196">
        <f>IFERROR($G2301/SUMIF($A:$A,$A2301,$G:$G)*(SUMIF(Summary!$A$247:$A$283,$A2301,Summary!$L$247:$L$283)+SUMIF(Summary!$A$297:$A$333,$A2301,Summary!$L$297:$L$333))-AK2301,0)</f>
        <v>0</v>
      </c>
      <c r="AM2301" s="198"/>
      <c r="AN2301" s="196">
        <f t="shared" ca="1" si="502"/>
        <v>0</v>
      </c>
      <c r="AO2301" s="196">
        <f t="shared" ca="1" si="503"/>
        <v>0</v>
      </c>
    </row>
    <row r="2302" spans="1:41">
      <c r="A2302" s="189">
        <v>3661</v>
      </c>
      <c r="B2302" s="190">
        <v>5</v>
      </c>
      <c r="C2302" s="191" t="s">
        <v>228</v>
      </c>
      <c r="D2302" s="192">
        <f t="shared" si="490"/>
        <v>0</v>
      </c>
      <c r="E2302" s="192">
        <f t="shared" si="491"/>
        <v>0</v>
      </c>
      <c r="F2302" s="192">
        <f t="shared" si="492"/>
        <v>0</v>
      </c>
      <c r="G2302" s="193">
        <f t="shared" si="493"/>
        <v>0</v>
      </c>
      <c r="H2302" s="194">
        <v>0</v>
      </c>
      <c r="I2302" s="194">
        <v>0</v>
      </c>
      <c r="J2302" s="194">
        <v>0</v>
      </c>
      <c r="K2302" s="193">
        <f t="shared" si="494"/>
        <v>0</v>
      </c>
      <c r="L2302" s="194">
        <v>0</v>
      </c>
      <c r="M2302" s="194">
        <v>0</v>
      </c>
      <c r="N2302" s="194">
        <v>0</v>
      </c>
      <c r="O2302" s="193">
        <f t="shared" si="495"/>
        <v>0</v>
      </c>
      <c r="P2302" s="194">
        <v>0</v>
      </c>
      <c r="Q2302" s="194">
        <v>0</v>
      </c>
      <c r="R2302" s="194">
        <v>0</v>
      </c>
      <c r="S2302" s="193">
        <f t="shared" si="496"/>
        <v>0</v>
      </c>
      <c r="T2302" s="193">
        <f t="shared" si="497"/>
        <v>0</v>
      </c>
      <c r="U2302" s="193">
        <f ca="1">OFFSET('Expenditure Study'!$B$7,'Operations Support'!$C2302,'Operations Support'!$B2302)*$G2302</f>
        <v>0</v>
      </c>
      <c r="V2302" s="199">
        <f ca="1">U2302*'Expenditure Study'!$B$31</f>
        <v>0</v>
      </c>
      <c r="W2302" s="199">
        <f ca="1">IF(A2302=10298,1.51,1)*IF($B2302&lt;3,$D2302*'Expenditure Study'!$B$32*OFFSET('Expenditure Study'!$B$7,'Operations Support'!$C2302,'Operations Support'!$B2302),0)</f>
        <v>0</v>
      </c>
      <c r="X2302" s="200">
        <f ca="1">W2302*'Expenditure Study'!$B$31</f>
        <v>0</v>
      </c>
      <c r="Y2302" s="199">
        <f ca="1">U2302*'Expenditure Study'!$B$31</f>
        <v>0</v>
      </c>
      <c r="Z2302" s="200">
        <f ca="1">W2302*'Expenditure Study'!$B$31</f>
        <v>0</v>
      </c>
      <c r="AA2302" s="195">
        <f t="shared" ca="1" si="498"/>
        <v>0</v>
      </c>
      <c r="AB2302" s="195">
        <f t="shared" ca="1" si="499"/>
        <v>0</v>
      </c>
      <c r="AD2302" s="196">
        <f>IFERROR($G2302/SUMIF($A:$A,$A2302,$G:$G)*SUMIF(Summary!$A$166:$A$242,$A2302,Summary!$P$166:$P$242),0)</f>
        <v>0</v>
      </c>
      <c r="AE2302" s="197">
        <f t="shared" ca="1" si="500"/>
        <v>0</v>
      </c>
      <c r="AF2302" s="196">
        <f>IFERROR(G2302/SUMIF(A:A,A2302,G:G)*SUMIF(Summary!$A$166:$A$242,'Operations Support'!A2302,Summary!$Q$166:$Q$242),0)</f>
        <v>0</v>
      </c>
      <c r="AG2302" s="196">
        <f t="shared" ca="1" si="501"/>
        <v>0</v>
      </c>
      <c r="AI2302" s="196">
        <f>IFERROR($G2302/SUMIF($A:$A,$A2302,$G:$G)*SUMIF(Summary!$A$247:$A$283,$A2302,Summary!$P$247:$P$283),0)</f>
        <v>0</v>
      </c>
      <c r="AJ2302" s="196">
        <f>IFERROR($G2302/SUMIF($A:$A,$A2302,$G:$G)*(SUMIF(Summary!$A$247:$A$283,$A2302,Summary!$L$247:$L$283)+SUMIF(Summary!$A$297:$A$333,$A2302,Summary!$L$297:$L$333))-AI2302,0)</f>
        <v>0</v>
      </c>
      <c r="AK2302" s="196">
        <f>IFERROR($G2302/SUMIF($A:$A,$A2302,$G:$G)*SUMIF(Summary!$A$247:$A$283,$A2302,Summary!$Q$247:$Q$283),0)</f>
        <v>0</v>
      </c>
      <c r="AL2302" s="196">
        <f>IFERROR($G2302/SUMIF($A:$A,$A2302,$G:$G)*(SUMIF(Summary!$A$247:$A$283,$A2302,Summary!$L$247:$L$283)+SUMIF(Summary!$A$297:$A$333,$A2302,Summary!$L$297:$L$333))-AK2302,0)</f>
        <v>0</v>
      </c>
      <c r="AM2302" s="198"/>
      <c r="AN2302" s="196">
        <f t="shared" ca="1" si="502"/>
        <v>0</v>
      </c>
      <c r="AO2302" s="196">
        <f t="shared" ca="1" si="503"/>
        <v>0</v>
      </c>
    </row>
    <row r="2303" spans="1:41">
      <c r="A2303" s="189">
        <v>3661</v>
      </c>
      <c r="B2303" s="190">
        <v>5</v>
      </c>
      <c r="C2303" s="191" t="s">
        <v>229</v>
      </c>
      <c r="D2303" s="192">
        <f t="shared" si="490"/>
        <v>0</v>
      </c>
      <c r="E2303" s="192">
        <f t="shared" si="491"/>
        <v>0</v>
      </c>
      <c r="F2303" s="192">
        <f t="shared" si="492"/>
        <v>0</v>
      </c>
      <c r="G2303" s="193">
        <f t="shared" si="493"/>
        <v>0</v>
      </c>
      <c r="H2303" s="194">
        <v>0</v>
      </c>
      <c r="I2303" s="194">
        <v>0</v>
      </c>
      <c r="J2303" s="194">
        <v>0</v>
      </c>
      <c r="K2303" s="193">
        <f t="shared" si="494"/>
        <v>0</v>
      </c>
      <c r="L2303" s="194">
        <v>0</v>
      </c>
      <c r="M2303" s="194">
        <v>0</v>
      </c>
      <c r="N2303" s="194">
        <v>0</v>
      </c>
      <c r="O2303" s="193">
        <f t="shared" si="495"/>
        <v>0</v>
      </c>
      <c r="P2303" s="194">
        <v>0</v>
      </c>
      <c r="Q2303" s="194">
        <v>0</v>
      </c>
      <c r="R2303" s="194">
        <v>0</v>
      </c>
      <c r="S2303" s="193">
        <f t="shared" si="496"/>
        <v>0</v>
      </c>
      <c r="T2303" s="193">
        <f t="shared" si="497"/>
        <v>0</v>
      </c>
      <c r="U2303" s="193">
        <f ca="1">OFFSET('Expenditure Study'!$B$7,'Operations Support'!$C2303,'Operations Support'!$B2303)*$G2303</f>
        <v>0</v>
      </c>
      <c r="V2303" s="199">
        <f ca="1">U2303*'Expenditure Study'!$B$31</f>
        <v>0</v>
      </c>
      <c r="W2303" s="199">
        <f ca="1">IF(A2303=10298,1.51,1)*IF($B2303&lt;3,$D2303*'Expenditure Study'!$B$32*OFFSET('Expenditure Study'!$B$7,'Operations Support'!$C2303,'Operations Support'!$B2303),0)</f>
        <v>0</v>
      </c>
      <c r="X2303" s="200">
        <f ca="1">W2303*'Expenditure Study'!$B$31</f>
        <v>0</v>
      </c>
      <c r="Y2303" s="199">
        <f ca="1">U2303*'Expenditure Study'!$B$31</f>
        <v>0</v>
      </c>
      <c r="Z2303" s="200">
        <f ca="1">W2303*'Expenditure Study'!$B$31</f>
        <v>0</v>
      </c>
      <c r="AA2303" s="195">
        <f t="shared" ca="1" si="498"/>
        <v>0</v>
      </c>
      <c r="AB2303" s="195">
        <f t="shared" ca="1" si="499"/>
        <v>0</v>
      </c>
      <c r="AD2303" s="196">
        <f>IFERROR($G2303/SUMIF($A:$A,$A2303,$G:$G)*SUMIF(Summary!$A$166:$A$242,$A2303,Summary!$P$166:$P$242),0)</f>
        <v>0</v>
      </c>
      <c r="AE2303" s="197">
        <f t="shared" ca="1" si="500"/>
        <v>0</v>
      </c>
      <c r="AF2303" s="196">
        <f>IFERROR(G2303/SUMIF(A:A,A2303,G:G)*SUMIF(Summary!$A$166:$A$242,'Operations Support'!A2303,Summary!$Q$166:$Q$242),0)</f>
        <v>0</v>
      </c>
      <c r="AG2303" s="196">
        <f t="shared" ca="1" si="501"/>
        <v>0</v>
      </c>
      <c r="AI2303" s="196">
        <f>IFERROR($G2303/SUMIF($A:$A,$A2303,$G:$G)*SUMIF(Summary!$A$247:$A$283,$A2303,Summary!$P$247:$P$283),0)</f>
        <v>0</v>
      </c>
      <c r="AJ2303" s="196">
        <f>IFERROR($G2303/SUMIF($A:$A,$A2303,$G:$G)*(SUMIF(Summary!$A$247:$A$283,$A2303,Summary!$L$247:$L$283)+SUMIF(Summary!$A$297:$A$333,$A2303,Summary!$L$297:$L$333))-AI2303,0)</f>
        <v>0</v>
      </c>
      <c r="AK2303" s="196">
        <f>IFERROR($G2303/SUMIF($A:$A,$A2303,$G:$G)*SUMIF(Summary!$A$247:$A$283,$A2303,Summary!$Q$247:$Q$283),0)</f>
        <v>0</v>
      </c>
      <c r="AL2303" s="196">
        <f>IFERROR($G2303/SUMIF($A:$A,$A2303,$G:$G)*(SUMIF(Summary!$A$247:$A$283,$A2303,Summary!$L$247:$L$283)+SUMIF(Summary!$A$297:$A$333,$A2303,Summary!$L$297:$L$333))-AK2303,0)</f>
        <v>0</v>
      </c>
      <c r="AM2303" s="198"/>
      <c r="AN2303" s="196">
        <f t="shared" ca="1" si="502"/>
        <v>0</v>
      </c>
      <c r="AO2303" s="196">
        <f t="shared" ca="1" si="503"/>
        <v>0</v>
      </c>
    </row>
    <row r="2304" spans="1:41">
      <c r="A2304" s="189">
        <v>3661</v>
      </c>
      <c r="B2304" s="190">
        <v>5</v>
      </c>
      <c r="C2304" s="191" t="s">
        <v>230</v>
      </c>
      <c r="D2304" s="192">
        <f t="shared" si="490"/>
        <v>0</v>
      </c>
      <c r="E2304" s="192">
        <f t="shared" si="491"/>
        <v>0</v>
      </c>
      <c r="F2304" s="192">
        <f t="shared" si="492"/>
        <v>0</v>
      </c>
      <c r="G2304" s="193">
        <f t="shared" si="493"/>
        <v>0</v>
      </c>
      <c r="H2304" s="194">
        <v>0</v>
      </c>
      <c r="I2304" s="194">
        <v>0</v>
      </c>
      <c r="J2304" s="194">
        <v>0</v>
      </c>
      <c r="K2304" s="193">
        <f t="shared" si="494"/>
        <v>0</v>
      </c>
      <c r="L2304" s="194">
        <v>0</v>
      </c>
      <c r="M2304" s="194">
        <v>0</v>
      </c>
      <c r="N2304" s="194">
        <v>0</v>
      </c>
      <c r="O2304" s="193">
        <f t="shared" si="495"/>
        <v>0</v>
      </c>
      <c r="P2304" s="194">
        <v>0</v>
      </c>
      <c r="Q2304" s="194">
        <v>0</v>
      </c>
      <c r="R2304" s="194">
        <v>0</v>
      </c>
      <c r="S2304" s="193">
        <f t="shared" si="496"/>
        <v>0</v>
      </c>
      <c r="T2304" s="193">
        <f t="shared" si="497"/>
        <v>0</v>
      </c>
      <c r="U2304" s="193">
        <f ca="1">OFFSET('Expenditure Study'!$B$7,'Operations Support'!$C2304,'Operations Support'!$B2304)*$G2304</f>
        <v>0</v>
      </c>
      <c r="V2304" s="199">
        <f ca="1">U2304*'Expenditure Study'!$B$31</f>
        <v>0</v>
      </c>
      <c r="W2304" s="199">
        <f ca="1">IF(A2304=10298,1.51,1)*IF($B2304&lt;3,$D2304*'Expenditure Study'!$B$32*OFFSET('Expenditure Study'!$B$7,'Operations Support'!$C2304,'Operations Support'!$B2304),0)</f>
        <v>0</v>
      </c>
      <c r="X2304" s="200">
        <f ca="1">W2304*'Expenditure Study'!$B$31</f>
        <v>0</v>
      </c>
      <c r="Y2304" s="199">
        <f ca="1">U2304*'Expenditure Study'!$B$31</f>
        <v>0</v>
      </c>
      <c r="Z2304" s="200">
        <f ca="1">W2304*'Expenditure Study'!$B$31</f>
        <v>0</v>
      </c>
      <c r="AA2304" s="195">
        <f t="shared" ca="1" si="498"/>
        <v>0</v>
      </c>
      <c r="AB2304" s="195">
        <f t="shared" ca="1" si="499"/>
        <v>0</v>
      </c>
      <c r="AD2304" s="196">
        <f>IFERROR($G2304/SUMIF($A:$A,$A2304,$G:$G)*SUMIF(Summary!$A$166:$A$242,$A2304,Summary!$P$166:$P$242),0)</f>
        <v>0</v>
      </c>
      <c r="AE2304" s="197">
        <f t="shared" ca="1" si="500"/>
        <v>0</v>
      </c>
      <c r="AF2304" s="196">
        <f>IFERROR(G2304/SUMIF(A:A,A2304,G:G)*SUMIF(Summary!$A$166:$A$242,'Operations Support'!A2304,Summary!$Q$166:$Q$242),0)</f>
        <v>0</v>
      </c>
      <c r="AG2304" s="196">
        <f t="shared" ca="1" si="501"/>
        <v>0</v>
      </c>
      <c r="AI2304" s="196">
        <f>IFERROR($G2304/SUMIF($A:$A,$A2304,$G:$G)*SUMIF(Summary!$A$247:$A$283,$A2304,Summary!$P$247:$P$283),0)</f>
        <v>0</v>
      </c>
      <c r="AJ2304" s="196">
        <f>IFERROR($G2304/SUMIF($A:$A,$A2304,$G:$G)*(SUMIF(Summary!$A$247:$A$283,$A2304,Summary!$L$247:$L$283)+SUMIF(Summary!$A$297:$A$333,$A2304,Summary!$L$297:$L$333))-AI2304,0)</f>
        <v>0</v>
      </c>
      <c r="AK2304" s="196">
        <f>IFERROR($G2304/SUMIF($A:$A,$A2304,$G:$G)*SUMIF(Summary!$A$247:$A$283,$A2304,Summary!$Q$247:$Q$283),0)</f>
        <v>0</v>
      </c>
      <c r="AL2304" s="196">
        <f>IFERROR($G2304/SUMIF($A:$A,$A2304,$G:$G)*(SUMIF(Summary!$A$247:$A$283,$A2304,Summary!$L$247:$L$283)+SUMIF(Summary!$A$297:$A$333,$A2304,Summary!$L$297:$L$333))-AK2304,0)</f>
        <v>0</v>
      </c>
      <c r="AM2304" s="198"/>
      <c r="AN2304" s="196">
        <f t="shared" ca="1" si="502"/>
        <v>0</v>
      </c>
      <c r="AO2304" s="196">
        <f t="shared" ca="1" si="503"/>
        <v>0</v>
      </c>
    </row>
    <row r="2305" spans="1:41">
      <c r="A2305" s="189">
        <v>3661</v>
      </c>
      <c r="B2305" s="190">
        <v>5</v>
      </c>
      <c r="C2305" s="191" t="s">
        <v>231</v>
      </c>
      <c r="D2305" s="192">
        <f t="shared" si="490"/>
        <v>0</v>
      </c>
      <c r="E2305" s="192">
        <f t="shared" si="491"/>
        <v>0</v>
      </c>
      <c r="F2305" s="192">
        <f t="shared" si="492"/>
        <v>0</v>
      </c>
      <c r="G2305" s="193">
        <f t="shared" si="493"/>
        <v>0</v>
      </c>
      <c r="H2305" s="194">
        <v>0</v>
      </c>
      <c r="I2305" s="194">
        <v>0</v>
      </c>
      <c r="J2305" s="194">
        <v>0</v>
      </c>
      <c r="K2305" s="193">
        <f t="shared" si="494"/>
        <v>0</v>
      </c>
      <c r="L2305" s="194">
        <v>0</v>
      </c>
      <c r="M2305" s="194">
        <v>0</v>
      </c>
      <c r="N2305" s="194">
        <v>0</v>
      </c>
      <c r="O2305" s="193">
        <f t="shared" si="495"/>
        <v>0</v>
      </c>
      <c r="P2305" s="194">
        <v>0</v>
      </c>
      <c r="Q2305" s="194">
        <v>0</v>
      </c>
      <c r="R2305" s="194">
        <v>0</v>
      </c>
      <c r="S2305" s="193">
        <f t="shared" si="496"/>
        <v>0</v>
      </c>
      <c r="T2305" s="193">
        <f t="shared" si="497"/>
        <v>0</v>
      </c>
      <c r="U2305" s="193">
        <f ca="1">OFFSET('Expenditure Study'!$B$7,'Operations Support'!$C2305,'Operations Support'!$B2305)*$G2305</f>
        <v>0</v>
      </c>
      <c r="V2305" s="199">
        <f ca="1">U2305*'Expenditure Study'!$B$31</f>
        <v>0</v>
      </c>
      <c r="W2305" s="199">
        <f ca="1">IF(A2305=10298,1.51,1)*IF($B2305&lt;3,$D2305*'Expenditure Study'!$B$32*OFFSET('Expenditure Study'!$B$7,'Operations Support'!$C2305,'Operations Support'!$B2305),0)</f>
        <v>0</v>
      </c>
      <c r="X2305" s="200">
        <f ca="1">W2305*'Expenditure Study'!$B$31</f>
        <v>0</v>
      </c>
      <c r="Y2305" s="199">
        <f ca="1">U2305*'Expenditure Study'!$B$31</f>
        <v>0</v>
      </c>
      <c r="Z2305" s="200">
        <f ca="1">W2305*'Expenditure Study'!$B$31</f>
        <v>0</v>
      </c>
      <c r="AA2305" s="195">
        <f t="shared" ca="1" si="498"/>
        <v>0</v>
      </c>
      <c r="AB2305" s="195">
        <f t="shared" ca="1" si="499"/>
        <v>0</v>
      </c>
      <c r="AD2305" s="196">
        <f>IFERROR($G2305/SUMIF($A:$A,$A2305,$G:$G)*SUMIF(Summary!$A$166:$A$242,$A2305,Summary!$P$166:$P$242),0)</f>
        <v>0</v>
      </c>
      <c r="AE2305" s="197">
        <f t="shared" ca="1" si="500"/>
        <v>0</v>
      </c>
      <c r="AF2305" s="196">
        <f>IFERROR(G2305/SUMIF(A:A,A2305,G:G)*SUMIF(Summary!$A$166:$A$242,'Operations Support'!A2305,Summary!$Q$166:$Q$242),0)</f>
        <v>0</v>
      </c>
      <c r="AG2305" s="196">
        <f t="shared" ca="1" si="501"/>
        <v>0</v>
      </c>
      <c r="AI2305" s="196">
        <f>IFERROR($G2305/SUMIF($A:$A,$A2305,$G:$G)*SUMIF(Summary!$A$247:$A$283,$A2305,Summary!$P$247:$P$283),0)</f>
        <v>0</v>
      </c>
      <c r="AJ2305" s="196">
        <f>IFERROR($G2305/SUMIF($A:$A,$A2305,$G:$G)*(SUMIF(Summary!$A$247:$A$283,$A2305,Summary!$L$247:$L$283)+SUMIF(Summary!$A$297:$A$333,$A2305,Summary!$L$297:$L$333))-AI2305,0)</f>
        <v>0</v>
      </c>
      <c r="AK2305" s="196">
        <f>IFERROR($G2305/SUMIF($A:$A,$A2305,$G:$G)*SUMIF(Summary!$A$247:$A$283,$A2305,Summary!$Q$247:$Q$283),0)</f>
        <v>0</v>
      </c>
      <c r="AL2305" s="196">
        <f>IFERROR($G2305/SUMIF($A:$A,$A2305,$G:$G)*(SUMIF(Summary!$A$247:$A$283,$A2305,Summary!$L$247:$L$283)+SUMIF(Summary!$A$297:$A$333,$A2305,Summary!$L$297:$L$333))-AK2305,0)</f>
        <v>0</v>
      </c>
      <c r="AM2305" s="198"/>
      <c r="AN2305" s="196">
        <f t="shared" ca="1" si="502"/>
        <v>0</v>
      </c>
      <c r="AO2305" s="196">
        <f t="shared" ca="1" si="503"/>
        <v>0</v>
      </c>
    </row>
    <row r="2306" spans="1:41">
      <c r="A2306" s="189">
        <v>3661</v>
      </c>
      <c r="B2306" s="190">
        <v>5</v>
      </c>
      <c r="C2306" s="191" t="s">
        <v>232</v>
      </c>
      <c r="D2306" s="192">
        <f t="shared" si="490"/>
        <v>0</v>
      </c>
      <c r="E2306" s="192">
        <f t="shared" si="491"/>
        <v>0</v>
      </c>
      <c r="F2306" s="192">
        <f t="shared" si="492"/>
        <v>0</v>
      </c>
      <c r="G2306" s="193">
        <f t="shared" si="493"/>
        <v>0</v>
      </c>
      <c r="H2306" s="194">
        <v>0</v>
      </c>
      <c r="I2306" s="194">
        <v>0</v>
      </c>
      <c r="J2306" s="194">
        <v>0</v>
      </c>
      <c r="K2306" s="193">
        <f t="shared" si="494"/>
        <v>0</v>
      </c>
      <c r="L2306" s="194">
        <v>0</v>
      </c>
      <c r="M2306" s="194">
        <v>0</v>
      </c>
      <c r="N2306" s="194">
        <v>0</v>
      </c>
      <c r="O2306" s="193">
        <f t="shared" si="495"/>
        <v>0</v>
      </c>
      <c r="P2306" s="194">
        <v>0</v>
      </c>
      <c r="Q2306" s="194">
        <v>0</v>
      </c>
      <c r="R2306" s="194">
        <v>0</v>
      </c>
      <c r="S2306" s="193">
        <f t="shared" si="496"/>
        <v>0</v>
      </c>
      <c r="T2306" s="193">
        <f t="shared" si="497"/>
        <v>0</v>
      </c>
      <c r="U2306" s="193">
        <f ca="1">OFFSET('Expenditure Study'!$B$7,'Operations Support'!$C2306,'Operations Support'!$B2306)*$G2306</f>
        <v>0</v>
      </c>
      <c r="V2306" s="199">
        <f ca="1">U2306*'Expenditure Study'!$B$31</f>
        <v>0</v>
      </c>
      <c r="W2306" s="199">
        <f ca="1">IF(A2306=10298,1.51,1)*IF($B2306&lt;3,$D2306*'Expenditure Study'!$B$32*OFFSET('Expenditure Study'!$B$7,'Operations Support'!$C2306,'Operations Support'!$B2306),0)</f>
        <v>0</v>
      </c>
      <c r="X2306" s="200">
        <f ca="1">W2306*'Expenditure Study'!$B$31</f>
        <v>0</v>
      </c>
      <c r="Y2306" s="199">
        <f ca="1">U2306*'Expenditure Study'!$B$31</f>
        <v>0</v>
      </c>
      <c r="Z2306" s="200">
        <f ca="1">W2306*'Expenditure Study'!$B$31</f>
        <v>0</v>
      </c>
      <c r="AA2306" s="195">
        <f t="shared" ca="1" si="498"/>
        <v>0</v>
      </c>
      <c r="AB2306" s="195">
        <f t="shared" ca="1" si="499"/>
        <v>0</v>
      </c>
      <c r="AD2306" s="196">
        <f>IFERROR($G2306/SUMIF($A:$A,$A2306,$G:$G)*SUMIF(Summary!$A$166:$A$242,$A2306,Summary!$P$166:$P$242),0)</f>
        <v>0</v>
      </c>
      <c r="AE2306" s="197">
        <f t="shared" ca="1" si="500"/>
        <v>0</v>
      </c>
      <c r="AF2306" s="196">
        <f>IFERROR(G2306/SUMIF(A:A,A2306,G:G)*SUMIF(Summary!$A$166:$A$242,'Operations Support'!A2306,Summary!$Q$166:$Q$242),0)</f>
        <v>0</v>
      </c>
      <c r="AG2306" s="196">
        <f t="shared" ca="1" si="501"/>
        <v>0</v>
      </c>
      <c r="AI2306" s="196">
        <f>IFERROR($G2306/SUMIF($A:$A,$A2306,$G:$G)*SUMIF(Summary!$A$247:$A$283,$A2306,Summary!$P$247:$P$283),0)</f>
        <v>0</v>
      </c>
      <c r="AJ2306" s="196">
        <f>IFERROR($G2306/SUMIF($A:$A,$A2306,$G:$G)*(SUMIF(Summary!$A$247:$A$283,$A2306,Summary!$L$247:$L$283)+SUMIF(Summary!$A$297:$A$333,$A2306,Summary!$L$297:$L$333))-AI2306,0)</f>
        <v>0</v>
      </c>
      <c r="AK2306" s="196">
        <f>IFERROR($G2306/SUMIF($A:$A,$A2306,$G:$G)*SUMIF(Summary!$A$247:$A$283,$A2306,Summary!$Q$247:$Q$283),0)</f>
        <v>0</v>
      </c>
      <c r="AL2306" s="196">
        <f>IFERROR($G2306/SUMIF($A:$A,$A2306,$G:$G)*(SUMIF(Summary!$A$247:$A$283,$A2306,Summary!$L$247:$L$283)+SUMIF(Summary!$A$297:$A$333,$A2306,Summary!$L$297:$L$333))-AK2306,0)</f>
        <v>0</v>
      </c>
      <c r="AM2306" s="198"/>
      <c r="AN2306" s="196">
        <f t="shared" ca="1" si="502"/>
        <v>0</v>
      </c>
      <c r="AO2306" s="196">
        <f t="shared" ca="1" si="503"/>
        <v>0</v>
      </c>
    </row>
    <row r="2307" spans="1:41">
      <c r="A2307" s="189">
        <v>3661</v>
      </c>
      <c r="B2307" s="190">
        <v>5</v>
      </c>
      <c r="C2307" s="191" t="s">
        <v>233</v>
      </c>
      <c r="D2307" s="192">
        <f t="shared" si="490"/>
        <v>322.53000000000009</v>
      </c>
      <c r="E2307" s="192">
        <f t="shared" si="491"/>
        <v>1988.47</v>
      </c>
      <c r="F2307" s="192">
        <f t="shared" si="492"/>
        <v>0</v>
      </c>
      <c r="G2307" s="193">
        <f t="shared" si="493"/>
        <v>2311</v>
      </c>
      <c r="H2307" s="194">
        <v>134.5</v>
      </c>
      <c r="I2307" s="194">
        <v>735.5</v>
      </c>
      <c r="J2307" s="194">
        <v>0</v>
      </c>
      <c r="K2307" s="193">
        <f t="shared" si="494"/>
        <v>870</v>
      </c>
      <c r="L2307" s="194">
        <v>40.030000000000101</v>
      </c>
      <c r="M2307" s="194">
        <v>613.97</v>
      </c>
      <c r="N2307" s="194">
        <v>0</v>
      </c>
      <c r="O2307" s="193">
        <f t="shared" si="495"/>
        <v>654.00000000000011</v>
      </c>
      <c r="P2307" s="194">
        <v>148</v>
      </c>
      <c r="Q2307" s="194">
        <v>639</v>
      </c>
      <c r="R2307" s="194">
        <v>0</v>
      </c>
      <c r="S2307" s="193">
        <f t="shared" si="496"/>
        <v>787</v>
      </c>
      <c r="T2307" s="193">
        <f t="shared" si="497"/>
        <v>96.291666666666671</v>
      </c>
      <c r="U2307" s="193">
        <f ca="1">OFFSET('Expenditure Study'!$B$7,'Operations Support'!$C2307,'Operations Support'!$B2307)*$G2307</f>
        <v>7580.08</v>
      </c>
      <c r="V2307" s="199">
        <f ca="1">U2307*'Expenditure Study'!$B$31</f>
        <v>447855.23711846402</v>
      </c>
      <c r="W2307" s="199">
        <f ca="1">IF(A2307=10298,1.51,1)*IF($B2307&lt;3,$D2307*'Expenditure Study'!$B$32*OFFSET('Expenditure Study'!$B$7,'Operations Support'!$C2307,'Operations Support'!$B2307),0)</f>
        <v>0</v>
      </c>
      <c r="X2307" s="200">
        <f ca="1">W2307*'Expenditure Study'!$B$31</f>
        <v>0</v>
      </c>
      <c r="Y2307" s="199">
        <f ca="1">U2307*'Expenditure Study'!$B$31</f>
        <v>447855.23711846402</v>
      </c>
      <c r="Z2307" s="200">
        <f ca="1">W2307*'Expenditure Study'!$B$31</f>
        <v>0</v>
      </c>
      <c r="AA2307" s="195">
        <f t="shared" ca="1" si="498"/>
        <v>447855.23711846402</v>
      </c>
      <c r="AB2307" s="195">
        <f t="shared" ca="1" si="499"/>
        <v>447855.23711846402</v>
      </c>
      <c r="AD2307" s="196">
        <f>IFERROR($G2307/SUMIF($A:$A,$A2307,$G:$G)*SUMIF(Summary!$A$166:$A$242,$A2307,Summary!$P$166:$P$242),0)</f>
        <v>61005.482260498997</v>
      </c>
      <c r="AE2307" s="197">
        <f t="shared" ca="1" si="500"/>
        <v>386849.75485796505</v>
      </c>
      <c r="AF2307" s="196">
        <f>IFERROR(G2307/SUMIF(A:A,A2307,G:G)*SUMIF(Summary!$A$166:$A$242,'Operations Support'!A2307,Summary!$Q$166:$Q$242),0)</f>
        <v>61128.277457689095</v>
      </c>
      <c r="AG2307" s="196">
        <f t="shared" ca="1" si="501"/>
        <v>386726.95966077491</v>
      </c>
      <c r="AI2307" s="196">
        <f>IFERROR($G2307/SUMIF($A:$A,$A2307,$G:$G)*SUMIF(Summary!$A$247:$A$283,$A2307,Summary!$P$247:$P$283),0)</f>
        <v>11125.877589475074</v>
      </c>
      <c r="AJ2307" s="196">
        <f>IFERROR($G2307/SUMIF($A:$A,$A2307,$G:$G)*(SUMIF(Summary!$A$247:$A$283,$A2307,Summary!$L$247:$L$283)+SUMIF(Summary!$A$297:$A$333,$A2307,Summary!$L$297:$L$333))-AI2307,0)</f>
        <v>51865.285181919753</v>
      </c>
      <c r="AK2307" s="196">
        <f>IFERROR($G2307/SUMIF($A:$A,$A2307,$G:$G)*SUMIF(Summary!$A$247:$A$283,$A2307,Summary!$Q$247:$Q$283),0)</f>
        <v>11148.27236912256</v>
      </c>
      <c r="AL2307" s="196">
        <f>IFERROR($G2307/SUMIF($A:$A,$A2307,$G:$G)*(SUMIF(Summary!$A$247:$A$283,$A2307,Summary!$L$247:$L$283)+SUMIF(Summary!$A$297:$A$333,$A2307,Summary!$L$297:$L$333))-AK2307,0)</f>
        <v>51842.890402272264</v>
      </c>
      <c r="AM2307" s="198"/>
      <c r="AN2307" s="196">
        <f t="shared" ca="1" si="502"/>
        <v>438715.0400398848</v>
      </c>
      <c r="AO2307" s="196">
        <f t="shared" ca="1" si="503"/>
        <v>438569.8500630472</v>
      </c>
    </row>
    <row r="2308" spans="1:41">
      <c r="A2308" s="189">
        <v>3661</v>
      </c>
      <c r="B2308" s="190">
        <v>5</v>
      </c>
      <c r="C2308" s="191" t="s">
        <v>234</v>
      </c>
      <c r="D2308" s="192">
        <f t="shared" si="490"/>
        <v>1716.8000000000079</v>
      </c>
      <c r="E2308" s="192">
        <f t="shared" si="491"/>
        <v>6805.1999999999798</v>
      </c>
      <c r="F2308" s="192">
        <f t="shared" si="492"/>
        <v>0</v>
      </c>
      <c r="G2308" s="193">
        <f t="shared" si="493"/>
        <v>8521.9999999999873</v>
      </c>
      <c r="H2308" s="194">
        <v>655.56000000000802</v>
      </c>
      <c r="I2308" s="194">
        <v>3035.4399999999901</v>
      </c>
      <c r="J2308" s="194">
        <v>0</v>
      </c>
      <c r="K2308" s="193">
        <f t="shared" si="494"/>
        <v>3690.9999999999982</v>
      </c>
      <c r="L2308" s="194">
        <v>635.10000000000105</v>
      </c>
      <c r="M2308" s="194">
        <v>1838.8999999999901</v>
      </c>
      <c r="N2308" s="194">
        <v>0</v>
      </c>
      <c r="O2308" s="193">
        <f t="shared" si="495"/>
        <v>2473.9999999999909</v>
      </c>
      <c r="P2308" s="194">
        <v>426.13999999999902</v>
      </c>
      <c r="Q2308" s="194">
        <v>1930.86</v>
      </c>
      <c r="R2308" s="194">
        <v>0</v>
      </c>
      <c r="S2308" s="193">
        <f t="shared" si="496"/>
        <v>2356.9999999999991</v>
      </c>
      <c r="T2308" s="193">
        <f t="shared" si="497"/>
        <v>355.0833333333328</v>
      </c>
      <c r="U2308" s="193">
        <f ca="1">OFFSET('Expenditure Study'!$B$7,'Operations Support'!$C2308,'Operations Support'!$B2308)*$G2308</f>
        <v>39797.73999999994</v>
      </c>
      <c r="V2308" s="199">
        <f ca="1">U2308*'Expenditure Study'!$B$31</f>
        <v>2351377.0678513884</v>
      </c>
      <c r="W2308" s="199">
        <f ca="1">IF(A2308=10298,1.51,1)*IF($B2308&lt;3,$D2308*'Expenditure Study'!$B$32*OFFSET('Expenditure Study'!$B$7,'Operations Support'!$C2308,'Operations Support'!$B2308),0)</f>
        <v>0</v>
      </c>
      <c r="X2308" s="200">
        <f ca="1">W2308*'Expenditure Study'!$B$31</f>
        <v>0</v>
      </c>
      <c r="Y2308" s="199">
        <f ca="1">U2308*'Expenditure Study'!$B$31</f>
        <v>2351377.0678513884</v>
      </c>
      <c r="Z2308" s="200">
        <f ca="1">W2308*'Expenditure Study'!$B$31</f>
        <v>0</v>
      </c>
      <c r="AA2308" s="195">
        <f t="shared" ca="1" si="498"/>
        <v>2351377.0678513884</v>
      </c>
      <c r="AB2308" s="195">
        <f t="shared" ca="1" si="499"/>
        <v>2351377.0678513884</v>
      </c>
      <c r="AD2308" s="196">
        <f>IFERROR($G2308/SUMIF($A:$A,$A2308,$G:$G)*SUMIF(Summary!$A$166:$A$242,$A2308,Summary!$P$166:$P$242),0)</f>
        <v>224962.66543659527</v>
      </c>
      <c r="AE2308" s="197">
        <f t="shared" ca="1" si="500"/>
        <v>2126414.4024147931</v>
      </c>
      <c r="AF2308" s="196">
        <f>IFERROR(G2308/SUMIF(A:A,A2308,G:G)*SUMIF(Summary!$A$166:$A$242,'Operations Support'!A2308,Summary!$Q$166:$Q$242),0)</f>
        <v>225415.48268906347</v>
      </c>
      <c r="AG2308" s="196">
        <f t="shared" ca="1" si="501"/>
        <v>2125961.5851623248</v>
      </c>
      <c r="AI2308" s="196">
        <f>IFERROR($G2308/SUMIF($A:$A,$A2308,$G:$G)*SUMIF(Summary!$A$247:$A$283,$A2308,Summary!$P$247:$P$283),0)</f>
        <v>41027.576294896775</v>
      </c>
      <c r="AJ2308" s="196">
        <f>IFERROR($G2308/SUMIF($A:$A,$A2308,$G:$G)*(SUMIF(Summary!$A$247:$A$283,$A2308,Summary!$L$247:$L$283)+SUMIF(Summary!$A$297:$A$333,$A2308,Summary!$L$297:$L$333))-AI2308,0)</f>
        <v>191257.44713125032</v>
      </c>
      <c r="AK2308" s="196">
        <f>IFERROR($G2308/SUMIF($A:$A,$A2308,$G:$G)*SUMIF(Summary!$A$247:$A$283,$A2308,Summary!$Q$247:$Q$283),0)</f>
        <v>41110.158861818396</v>
      </c>
      <c r="AL2308" s="196">
        <f>IFERROR($G2308/SUMIF($A:$A,$A2308,$G:$G)*(SUMIF(Summary!$A$247:$A$283,$A2308,Summary!$L$247:$L$283)+SUMIF(Summary!$A$297:$A$333,$A2308,Summary!$L$297:$L$333))-AK2308,0)</f>
        <v>191174.86456432869</v>
      </c>
      <c r="AM2308" s="198"/>
      <c r="AN2308" s="196">
        <f t="shared" ca="1" si="502"/>
        <v>2317671.8495460437</v>
      </c>
      <c r="AO2308" s="196">
        <f t="shared" ca="1" si="503"/>
        <v>2317136.4497266533</v>
      </c>
    </row>
    <row r="2309" spans="1:41">
      <c r="A2309" s="189">
        <v>3661</v>
      </c>
      <c r="B2309" s="190">
        <v>5</v>
      </c>
      <c r="C2309" s="191" t="s">
        <v>235</v>
      </c>
      <c r="D2309" s="192">
        <f t="shared" ref="D2309:D2372" si="504">H2309+L2309+P2309</f>
        <v>0</v>
      </c>
      <c r="E2309" s="192">
        <f t="shared" ref="E2309:E2372" si="505">I2309+M2309+Q2309</f>
        <v>0</v>
      </c>
      <c r="F2309" s="192">
        <f t="shared" ref="F2309:F2372" si="506">J2309+N2309+R2309</f>
        <v>0</v>
      </c>
      <c r="G2309" s="193">
        <f t="shared" ref="G2309:G2372" si="507">(SUM(D2309:E2309)-F2309)*IF(A2309=10298,1.51,1)</f>
        <v>0</v>
      </c>
      <c r="H2309" s="194">
        <v>0</v>
      </c>
      <c r="I2309" s="194">
        <v>0</v>
      </c>
      <c r="J2309" s="194">
        <v>0</v>
      </c>
      <c r="K2309" s="193">
        <f t="shared" ref="K2309:K2372" si="508">SUM(H2309:I2309)-J2309</f>
        <v>0</v>
      </c>
      <c r="L2309" s="194">
        <v>0</v>
      </c>
      <c r="M2309" s="194">
        <v>0</v>
      </c>
      <c r="N2309" s="194">
        <v>0</v>
      </c>
      <c r="O2309" s="193">
        <f t="shared" ref="O2309:O2372" si="509">SUM(L2309:M2309)-N2309</f>
        <v>0</v>
      </c>
      <c r="P2309" s="194">
        <v>0</v>
      </c>
      <c r="Q2309" s="194">
        <v>0</v>
      </c>
      <c r="R2309" s="194">
        <v>0</v>
      </c>
      <c r="S2309" s="193">
        <f t="shared" ref="S2309:S2372" si="510">SUM(P2309:Q2309)-R2309</f>
        <v>0</v>
      </c>
      <c r="T2309" s="193">
        <f t="shared" ref="T2309:T2372" si="511">IF(OR(B2309=1,B2309=2),G2309/30,IF(OR(B2309=3,B2309=5),G2309/24,IF(B2309=4,G2309/18,0)))</f>
        <v>0</v>
      </c>
      <c r="U2309" s="193">
        <f ca="1">OFFSET('Expenditure Study'!$B$7,'Operations Support'!$C2309,'Operations Support'!$B2309)*$G2309</f>
        <v>0</v>
      </c>
      <c r="V2309" s="199">
        <f ca="1">U2309*'Expenditure Study'!$B$31</f>
        <v>0</v>
      </c>
      <c r="W2309" s="199">
        <f ca="1">IF(A2309=10298,1.51,1)*IF($B2309&lt;3,$D2309*'Expenditure Study'!$B$32*OFFSET('Expenditure Study'!$B$7,'Operations Support'!$C2309,'Operations Support'!$B2309),0)</f>
        <v>0</v>
      </c>
      <c r="X2309" s="200">
        <f ca="1">W2309*'Expenditure Study'!$B$31</f>
        <v>0</v>
      </c>
      <c r="Y2309" s="199">
        <f ca="1">U2309*'Expenditure Study'!$B$31</f>
        <v>0</v>
      </c>
      <c r="Z2309" s="200">
        <f ca="1">W2309*'Expenditure Study'!$B$31</f>
        <v>0</v>
      </c>
      <c r="AA2309" s="195">
        <f t="shared" ref="AA2309:AA2372" ca="1" si="512">V2309+X2309</f>
        <v>0</v>
      </c>
      <c r="AB2309" s="195">
        <f t="shared" ref="AB2309:AB2372" ca="1" si="513">Y2309+Z2309</f>
        <v>0</v>
      </c>
      <c r="AD2309" s="196">
        <f>IFERROR($G2309/SUMIF($A:$A,$A2309,$G:$G)*SUMIF(Summary!$A$166:$A$242,$A2309,Summary!$P$166:$P$242),0)</f>
        <v>0</v>
      </c>
      <c r="AE2309" s="197">
        <f t="shared" ca="1" si="500"/>
        <v>0</v>
      </c>
      <c r="AF2309" s="196">
        <f>IFERROR(G2309/SUMIF(A:A,A2309,G:G)*SUMIF(Summary!$A$166:$A$242,'Operations Support'!A2309,Summary!$Q$166:$Q$242),0)</f>
        <v>0</v>
      </c>
      <c r="AG2309" s="196">
        <f t="shared" ca="1" si="501"/>
        <v>0</v>
      </c>
      <c r="AI2309" s="196">
        <f>IFERROR($G2309/SUMIF($A:$A,$A2309,$G:$G)*SUMIF(Summary!$A$247:$A$283,$A2309,Summary!$P$247:$P$283),0)</f>
        <v>0</v>
      </c>
      <c r="AJ2309" s="196">
        <f>IFERROR($G2309/SUMIF($A:$A,$A2309,$G:$G)*(SUMIF(Summary!$A$247:$A$283,$A2309,Summary!$L$247:$L$283)+SUMIF(Summary!$A$297:$A$333,$A2309,Summary!$L$297:$L$333))-AI2309,0)</f>
        <v>0</v>
      </c>
      <c r="AK2309" s="196">
        <f>IFERROR($G2309/SUMIF($A:$A,$A2309,$G:$G)*SUMIF(Summary!$A$247:$A$283,$A2309,Summary!$Q$247:$Q$283),0)</f>
        <v>0</v>
      </c>
      <c r="AL2309" s="196">
        <f>IFERROR($G2309/SUMIF($A:$A,$A2309,$G:$G)*(SUMIF(Summary!$A$247:$A$283,$A2309,Summary!$L$247:$L$283)+SUMIF(Summary!$A$297:$A$333,$A2309,Summary!$L$297:$L$333))-AK2309,0)</f>
        <v>0</v>
      </c>
      <c r="AM2309" s="198"/>
      <c r="AN2309" s="196">
        <f t="shared" ca="1" si="502"/>
        <v>0</v>
      </c>
      <c r="AO2309" s="196">
        <f t="shared" ca="1" si="503"/>
        <v>0</v>
      </c>
    </row>
    <row r="2310" spans="1:41">
      <c r="A2310" s="189">
        <v>3661</v>
      </c>
      <c r="B2310" s="190">
        <v>5</v>
      </c>
      <c r="C2310" s="191" t="s">
        <v>236</v>
      </c>
      <c r="D2310" s="192">
        <f t="shared" si="504"/>
        <v>0</v>
      </c>
      <c r="E2310" s="192">
        <f t="shared" si="505"/>
        <v>0</v>
      </c>
      <c r="F2310" s="192">
        <f t="shared" si="506"/>
        <v>0</v>
      </c>
      <c r="G2310" s="193">
        <f t="shared" si="507"/>
        <v>0</v>
      </c>
      <c r="H2310" s="194">
        <v>0</v>
      </c>
      <c r="I2310" s="194">
        <v>0</v>
      </c>
      <c r="J2310" s="194">
        <v>0</v>
      </c>
      <c r="K2310" s="193">
        <f t="shared" si="508"/>
        <v>0</v>
      </c>
      <c r="L2310" s="194">
        <v>0</v>
      </c>
      <c r="M2310" s="194">
        <v>0</v>
      </c>
      <c r="N2310" s="194">
        <v>0</v>
      </c>
      <c r="O2310" s="193">
        <f t="shared" si="509"/>
        <v>0</v>
      </c>
      <c r="P2310" s="194">
        <v>0</v>
      </c>
      <c r="Q2310" s="194">
        <v>0</v>
      </c>
      <c r="R2310" s="194">
        <v>0</v>
      </c>
      <c r="S2310" s="193">
        <f t="shared" si="510"/>
        <v>0</v>
      </c>
      <c r="T2310" s="193">
        <f t="shared" si="511"/>
        <v>0</v>
      </c>
      <c r="U2310" s="193">
        <f ca="1">OFFSET('Expenditure Study'!$B$7,'Operations Support'!$C2310,'Operations Support'!$B2310)*$G2310</f>
        <v>0</v>
      </c>
      <c r="V2310" s="199">
        <f ca="1">U2310*'Expenditure Study'!$B$31</f>
        <v>0</v>
      </c>
      <c r="W2310" s="199">
        <f ca="1">IF(A2310=10298,1.51,1)*IF($B2310&lt;3,$D2310*'Expenditure Study'!$B$32*OFFSET('Expenditure Study'!$B$7,'Operations Support'!$C2310,'Operations Support'!$B2310),0)</f>
        <v>0</v>
      </c>
      <c r="X2310" s="200">
        <f ca="1">W2310*'Expenditure Study'!$B$31</f>
        <v>0</v>
      </c>
      <c r="Y2310" s="199">
        <f ca="1">U2310*'Expenditure Study'!$B$31</f>
        <v>0</v>
      </c>
      <c r="Z2310" s="200">
        <f ca="1">W2310*'Expenditure Study'!$B$31</f>
        <v>0</v>
      </c>
      <c r="AA2310" s="195">
        <f t="shared" ca="1" si="512"/>
        <v>0</v>
      </c>
      <c r="AB2310" s="195">
        <f t="shared" ca="1" si="513"/>
        <v>0</v>
      </c>
      <c r="AD2310" s="196">
        <f>IFERROR($G2310/SUMIF($A:$A,$A2310,$G:$G)*SUMIF(Summary!$A$166:$A$242,$A2310,Summary!$P$166:$P$242),0)</f>
        <v>0</v>
      </c>
      <c r="AE2310" s="197">
        <f t="shared" ref="AE2310:AE2373" ca="1" si="514">V2310+X2310-AD2310</f>
        <v>0</v>
      </c>
      <c r="AF2310" s="196">
        <f>IFERROR(G2310/SUMIF(A:A,A2310,G:G)*SUMIF(Summary!$A$166:$A$242,'Operations Support'!A2310,Summary!$Q$166:$Q$242),0)</f>
        <v>0</v>
      </c>
      <c r="AG2310" s="196">
        <f t="shared" ref="AG2310:AG2373" ca="1" si="515">Y2310+Z2310-AF2310</f>
        <v>0</v>
      </c>
      <c r="AI2310" s="196">
        <f>IFERROR($G2310/SUMIF($A:$A,$A2310,$G:$G)*SUMIF(Summary!$A$247:$A$283,$A2310,Summary!$P$247:$P$283),0)</f>
        <v>0</v>
      </c>
      <c r="AJ2310" s="196">
        <f>IFERROR($G2310/SUMIF($A:$A,$A2310,$G:$G)*(SUMIF(Summary!$A$247:$A$283,$A2310,Summary!$L$247:$L$283)+SUMIF(Summary!$A$297:$A$333,$A2310,Summary!$L$297:$L$333))-AI2310,0)</f>
        <v>0</v>
      </c>
      <c r="AK2310" s="196">
        <f>IFERROR($G2310/SUMIF($A:$A,$A2310,$G:$G)*SUMIF(Summary!$A$247:$A$283,$A2310,Summary!$Q$247:$Q$283),0)</f>
        <v>0</v>
      </c>
      <c r="AL2310" s="196">
        <f>IFERROR($G2310/SUMIF($A:$A,$A2310,$G:$G)*(SUMIF(Summary!$A$247:$A$283,$A2310,Summary!$L$247:$L$283)+SUMIF(Summary!$A$297:$A$333,$A2310,Summary!$L$297:$L$333))-AK2310,0)</f>
        <v>0</v>
      </c>
      <c r="AM2310" s="198"/>
      <c r="AN2310" s="196">
        <f t="shared" ref="AN2310:AN2373" ca="1" si="516">AE2310+AJ2310</f>
        <v>0</v>
      </c>
      <c r="AO2310" s="196">
        <f t="shared" ref="AO2310:AO2373" ca="1" si="517">AG2310+AL2310</f>
        <v>0</v>
      </c>
    </row>
    <row r="2311" spans="1:41">
      <c r="A2311" s="189">
        <v>3661</v>
      </c>
      <c r="B2311" s="190">
        <v>5</v>
      </c>
      <c r="C2311" s="191" t="s">
        <v>237</v>
      </c>
      <c r="D2311" s="192">
        <f t="shared" si="504"/>
        <v>0</v>
      </c>
      <c r="E2311" s="192">
        <f t="shared" si="505"/>
        <v>0</v>
      </c>
      <c r="F2311" s="192">
        <f t="shared" si="506"/>
        <v>0</v>
      </c>
      <c r="G2311" s="193">
        <f t="shared" si="507"/>
        <v>0</v>
      </c>
      <c r="H2311" s="194">
        <v>0</v>
      </c>
      <c r="I2311" s="194">
        <v>0</v>
      </c>
      <c r="J2311" s="194">
        <v>0</v>
      </c>
      <c r="K2311" s="193">
        <f t="shared" si="508"/>
        <v>0</v>
      </c>
      <c r="L2311" s="194">
        <v>0</v>
      </c>
      <c r="M2311" s="194">
        <v>0</v>
      </c>
      <c r="N2311" s="194">
        <v>0</v>
      </c>
      <c r="O2311" s="193">
        <f t="shared" si="509"/>
        <v>0</v>
      </c>
      <c r="P2311" s="194">
        <v>0</v>
      </c>
      <c r="Q2311" s="194">
        <v>0</v>
      </c>
      <c r="R2311" s="194">
        <v>0</v>
      </c>
      <c r="S2311" s="193">
        <f t="shared" si="510"/>
        <v>0</v>
      </c>
      <c r="T2311" s="193">
        <f t="shared" si="511"/>
        <v>0</v>
      </c>
      <c r="U2311" s="193">
        <f ca="1">OFFSET('Expenditure Study'!$B$7,'Operations Support'!$C2311,'Operations Support'!$B2311)*$G2311</f>
        <v>0</v>
      </c>
      <c r="V2311" s="199">
        <f ca="1">U2311*'Expenditure Study'!$B$31</f>
        <v>0</v>
      </c>
      <c r="W2311" s="199">
        <f ca="1">IF(A2311=10298,1.51,1)*IF($B2311&lt;3,$D2311*'Expenditure Study'!$B$32*OFFSET('Expenditure Study'!$B$7,'Operations Support'!$C2311,'Operations Support'!$B2311),0)</f>
        <v>0</v>
      </c>
      <c r="X2311" s="200">
        <f ca="1">W2311*'Expenditure Study'!$B$31</f>
        <v>0</v>
      </c>
      <c r="Y2311" s="199">
        <f ca="1">U2311*'Expenditure Study'!$B$31</f>
        <v>0</v>
      </c>
      <c r="Z2311" s="200">
        <f ca="1">W2311*'Expenditure Study'!$B$31</f>
        <v>0</v>
      </c>
      <c r="AA2311" s="195">
        <f t="shared" ca="1" si="512"/>
        <v>0</v>
      </c>
      <c r="AB2311" s="195">
        <f t="shared" ca="1" si="513"/>
        <v>0</v>
      </c>
      <c r="AD2311" s="196">
        <f>IFERROR($G2311/SUMIF($A:$A,$A2311,$G:$G)*SUMIF(Summary!$A$166:$A$242,$A2311,Summary!$P$166:$P$242),0)</f>
        <v>0</v>
      </c>
      <c r="AE2311" s="197">
        <f t="shared" ca="1" si="514"/>
        <v>0</v>
      </c>
      <c r="AF2311" s="196">
        <f>IFERROR(G2311/SUMIF(A:A,A2311,G:G)*SUMIF(Summary!$A$166:$A$242,'Operations Support'!A2311,Summary!$Q$166:$Q$242),0)</f>
        <v>0</v>
      </c>
      <c r="AG2311" s="196">
        <f t="shared" ca="1" si="515"/>
        <v>0</v>
      </c>
      <c r="AI2311" s="196">
        <f>IFERROR($G2311/SUMIF($A:$A,$A2311,$G:$G)*SUMIF(Summary!$A$247:$A$283,$A2311,Summary!$P$247:$P$283),0)</f>
        <v>0</v>
      </c>
      <c r="AJ2311" s="196">
        <f>IFERROR($G2311/SUMIF($A:$A,$A2311,$G:$G)*(SUMIF(Summary!$A$247:$A$283,$A2311,Summary!$L$247:$L$283)+SUMIF(Summary!$A$297:$A$333,$A2311,Summary!$L$297:$L$333))-AI2311,0)</f>
        <v>0</v>
      </c>
      <c r="AK2311" s="196">
        <f>IFERROR($G2311/SUMIF($A:$A,$A2311,$G:$G)*SUMIF(Summary!$A$247:$A$283,$A2311,Summary!$Q$247:$Q$283),0)</f>
        <v>0</v>
      </c>
      <c r="AL2311" s="196">
        <f>IFERROR($G2311/SUMIF($A:$A,$A2311,$G:$G)*(SUMIF(Summary!$A$247:$A$283,$A2311,Summary!$L$247:$L$283)+SUMIF(Summary!$A$297:$A$333,$A2311,Summary!$L$297:$L$333))-AK2311,0)</f>
        <v>0</v>
      </c>
      <c r="AM2311" s="198"/>
      <c r="AN2311" s="196">
        <f t="shared" ca="1" si="516"/>
        <v>0</v>
      </c>
      <c r="AO2311" s="196">
        <f t="shared" ca="1" si="517"/>
        <v>0</v>
      </c>
    </row>
    <row r="2312" spans="1:41" s="201" customFormat="1">
      <c r="A2312" s="189">
        <v>3661</v>
      </c>
      <c r="B2312" s="190">
        <v>5</v>
      </c>
      <c r="C2312" s="191" t="s">
        <v>238</v>
      </c>
      <c r="D2312" s="192">
        <f t="shared" si="504"/>
        <v>0</v>
      </c>
      <c r="E2312" s="192">
        <f t="shared" si="505"/>
        <v>0</v>
      </c>
      <c r="F2312" s="192">
        <f t="shared" si="506"/>
        <v>0</v>
      </c>
      <c r="G2312" s="193">
        <f t="shared" si="507"/>
        <v>0</v>
      </c>
      <c r="H2312" s="194">
        <v>0</v>
      </c>
      <c r="I2312" s="194">
        <v>0</v>
      </c>
      <c r="J2312" s="194">
        <v>0</v>
      </c>
      <c r="K2312" s="193">
        <f t="shared" si="508"/>
        <v>0</v>
      </c>
      <c r="L2312" s="194">
        <v>0</v>
      </c>
      <c r="M2312" s="194">
        <v>0</v>
      </c>
      <c r="N2312" s="194">
        <v>0</v>
      </c>
      <c r="O2312" s="193">
        <f t="shared" si="509"/>
        <v>0</v>
      </c>
      <c r="P2312" s="194">
        <v>0</v>
      </c>
      <c r="Q2312" s="194">
        <v>0</v>
      </c>
      <c r="R2312" s="194">
        <v>0</v>
      </c>
      <c r="S2312" s="193">
        <f t="shared" si="510"/>
        <v>0</v>
      </c>
      <c r="T2312" s="193">
        <f t="shared" si="511"/>
        <v>0</v>
      </c>
      <c r="U2312" s="193">
        <f ca="1">OFFSET('Expenditure Study'!$B$7,'Operations Support'!$C2312,'Operations Support'!$B2312)*$G2312</f>
        <v>0</v>
      </c>
      <c r="V2312" s="199">
        <f ca="1">U2312*'Expenditure Study'!$B$31</f>
        <v>0</v>
      </c>
      <c r="W2312" s="199">
        <f ca="1">IF(A2312=10298,1.51,1)*IF($B2312&lt;3,$D2312*'Expenditure Study'!$B$32*OFFSET('Expenditure Study'!$B$7,'Operations Support'!$C2312,'Operations Support'!$B2312),0)</f>
        <v>0</v>
      </c>
      <c r="X2312" s="200">
        <f ca="1">W2312*'Expenditure Study'!$B$31</f>
        <v>0</v>
      </c>
      <c r="Y2312" s="199">
        <f ca="1">U2312*'Expenditure Study'!$B$31</f>
        <v>0</v>
      </c>
      <c r="Z2312" s="200">
        <f ca="1">W2312*'Expenditure Study'!$B$31</f>
        <v>0</v>
      </c>
      <c r="AA2312" s="195">
        <f t="shared" ca="1" si="512"/>
        <v>0</v>
      </c>
      <c r="AB2312" s="195">
        <f t="shared" ca="1" si="513"/>
        <v>0</v>
      </c>
      <c r="AD2312" s="196">
        <f>IFERROR($G2312/SUMIF($A:$A,$A2312,$G:$G)*SUMIF(Summary!$A$166:$A$242,$A2312,Summary!$P$166:$P$242),0)</f>
        <v>0</v>
      </c>
      <c r="AE2312" s="197">
        <f t="shared" ca="1" si="514"/>
        <v>0</v>
      </c>
      <c r="AF2312" s="196">
        <f>IFERROR(G2312/SUMIF(A:A,A2312,G:G)*SUMIF(Summary!$A$166:$A$242,'Operations Support'!A2312,Summary!$Q$166:$Q$242),0)</f>
        <v>0</v>
      </c>
      <c r="AG2312" s="196">
        <f t="shared" ca="1" si="515"/>
        <v>0</v>
      </c>
      <c r="AH2312" s="180"/>
      <c r="AI2312" s="196">
        <f>IFERROR($G2312/SUMIF($A:$A,$A2312,$G:$G)*SUMIF(Summary!$A$247:$A$283,$A2312,Summary!$P$247:$P$283),0)</f>
        <v>0</v>
      </c>
      <c r="AJ2312" s="196">
        <f>IFERROR($G2312/SUMIF($A:$A,$A2312,$G:$G)*(SUMIF(Summary!$A$247:$A$283,$A2312,Summary!$L$247:$L$283)+SUMIF(Summary!$A$297:$A$333,$A2312,Summary!$L$297:$L$333))-AI2312,0)</f>
        <v>0</v>
      </c>
      <c r="AK2312" s="196">
        <f>IFERROR($G2312/SUMIF($A:$A,$A2312,$G:$G)*SUMIF(Summary!$A$247:$A$283,$A2312,Summary!$Q$247:$Q$283),0)</f>
        <v>0</v>
      </c>
      <c r="AL2312" s="196">
        <f>IFERROR($G2312/SUMIF($A:$A,$A2312,$G:$G)*(SUMIF(Summary!$A$247:$A$283,$A2312,Summary!$L$247:$L$283)+SUMIF(Summary!$A$297:$A$333,$A2312,Summary!$L$297:$L$333))-AK2312,0)</f>
        <v>0</v>
      </c>
      <c r="AM2312" s="198"/>
      <c r="AN2312" s="196">
        <f t="shared" ca="1" si="516"/>
        <v>0</v>
      </c>
      <c r="AO2312" s="196">
        <f t="shared" ca="1" si="517"/>
        <v>0</v>
      </c>
    </row>
    <row r="2313" spans="1:41">
      <c r="A2313" s="189">
        <v>3661</v>
      </c>
      <c r="B2313" s="190">
        <v>5</v>
      </c>
      <c r="C2313" s="191" t="s">
        <v>239</v>
      </c>
      <c r="D2313" s="192">
        <f t="shared" si="504"/>
        <v>0</v>
      </c>
      <c r="E2313" s="192">
        <f t="shared" si="505"/>
        <v>0</v>
      </c>
      <c r="F2313" s="192">
        <f t="shared" si="506"/>
        <v>0</v>
      </c>
      <c r="G2313" s="193">
        <f t="shared" si="507"/>
        <v>0</v>
      </c>
      <c r="H2313" s="194">
        <v>0</v>
      </c>
      <c r="I2313" s="194">
        <v>0</v>
      </c>
      <c r="J2313" s="194">
        <v>0</v>
      </c>
      <c r="K2313" s="193">
        <f t="shared" si="508"/>
        <v>0</v>
      </c>
      <c r="L2313" s="194">
        <v>0</v>
      </c>
      <c r="M2313" s="194">
        <v>0</v>
      </c>
      <c r="N2313" s="194">
        <v>0</v>
      </c>
      <c r="O2313" s="193">
        <f t="shared" si="509"/>
        <v>0</v>
      </c>
      <c r="P2313" s="194">
        <v>0</v>
      </c>
      <c r="Q2313" s="194">
        <v>0</v>
      </c>
      <c r="R2313" s="194">
        <v>0</v>
      </c>
      <c r="S2313" s="193">
        <f t="shared" si="510"/>
        <v>0</v>
      </c>
      <c r="T2313" s="193">
        <f t="shared" si="511"/>
        <v>0</v>
      </c>
      <c r="U2313" s="193">
        <f ca="1">OFFSET('Expenditure Study'!$B$7,'Operations Support'!$C2313,'Operations Support'!$B2313)*$G2313</f>
        <v>0</v>
      </c>
      <c r="V2313" s="199">
        <f ca="1">U2313*'Expenditure Study'!$B$31</f>
        <v>0</v>
      </c>
      <c r="W2313" s="199">
        <f ca="1">IF(A2313=10298,1.51,1)*IF($B2313&lt;3,$D2313*'Expenditure Study'!$B$32*OFFSET('Expenditure Study'!$B$7,'Operations Support'!$C2313,'Operations Support'!$B2313),0)</f>
        <v>0</v>
      </c>
      <c r="X2313" s="200">
        <f ca="1">W2313*'Expenditure Study'!$B$31</f>
        <v>0</v>
      </c>
      <c r="Y2313" s="199">
        <f ca="1">U2313*'Expenditure Study'!$B$31</f>
        <v>0</v>
      </c>
      <c r="Z2313" s="200">
        <f ca="1">W2313*'Expenditure Study'!$B$31</f>
        <v>0</v>
      </c>
      <c r="AA2313" s="195">
        <f t="shared" ca="1" si="512"/>
        <v>0</v>
      </c>
      <c r="AB2313" s="195">
        <f t="shared" ca="1" si="513"/>
        <v>0</v>
      </c>
      <c r="AD2313" s="196">
        <f>IFERROR($G2313/SUMIF($A:$A,$A2313,$G:$G)*SUMIF(Summary!$A$166:$A$242,$A2313,Summary!$P$166:$P$242),0)</f>
        <v>0</v>
      </c>
      <c r="AE2313" s="197">
        <f t="shared" ca="1" si="514"/>
        <v>0</v>
      </c>
      <c r="AF2313" s="196">
        <f>IFERROR(G2313/SUMIF(A:A,A2313,G:G)*SUMIF(Summary!$A$166:$A$242,'Operations Support'!A2313,Summary!$Q$166:$Q$242),0)</f>
        <v>0</v>
      </c>
      <c r="AG2313" s="196">
        <f t="shared" ca="1" si="515"/>
        <v>0</v>
      </c>
      <c r="AI2313" s="196">
        <f>IFERROR($G2313/SUMIF($A:$A,$A2313,$G:$G)*SUMIF(Summary!$A$247:$A$283,$A2313,Summary!$P$247:$P$283),0)</f>
        <v>0</v>
      </c>
      <c r="AJ2313" s="196">
        <f>IFERROR($G2313/SUMIF($A:$A,$A2313,$G:$G)*(SUMIF(Summary!$A$247:$A$283,$A2313,Summary!$L$247:$L$283)+SUMIF(Summary!$A$297:$A$333,$A2313,Summary!$L$297:$L$333))-AI2313,0)</f>
        <v>0</v>
      </c>
      <c r="AK2313" s="196">
        <f>IFERROR($G2313/SUMIF($A:$A,$A2313,$G:$G)*SUMIF(Summary!$A$247:$A$283,$A2313,Summary!$Q$247:$Q$283),0)</f>
        <v>0</v>
      </c>
      <c r="AL2313" s="196">
        <f>IFERROR($G2313/SUMIF($A:$A,$A2313,$G:$G)*(SUMIF(Summary!$A$247:$A$283,$A2313,Summary!$L$247:$L$283)+SUMIF(Summary!$A$297:$A$333,$A2313,Summary!$L$297:$L$333))-AK2313,0)</f>
        <v>0</v>
      </c>
      <c r="AM2313" s="198"/>
      <c r="AN2313" s="196">
        <f t="shared" ca="1" si="516"/>
        <v>0</v>
      </c>
      <c r="AO2313" s="196">
        <f t="shared" ca="1" si="517"/>
        <v>0</v>
      </c>
    </row>
    <row r="2314" spans="1:41">
      <c r="A2314" s="189">
        <v>3661</v>
      </c>
      <c r="B2314" s="190">
        <v>5</v>
      </c>
      <c r="C2314" s="191" t="s">
        <v>240</v>
      </c>
      <c r="D2314" s="192">
        <f t="shared" si="504"/>
        <v>0</v>
      </c>
      <c r="E2314" s="192">
        <f t="shared" si="505"/>
        <v>0</v>
      </c>
      <c r="F2314" s="192">
        <f t="shared" si="506"/>
        <v>0</v>
      </c>
      <c r="G2314" s="193">
        <f t="shared" si="507"/>
        <v>0</v>
      </c>
      <c r="H2314" s="194">
        <v>0</v>
      </c>
      <c r="I2314" s="194">
        <v>0</v>
      </c>
      <c r="J2314" s="194">
        <v>0</v>
      </c>
      <c r="K2314" s="193">
        <f t="shared" si="508"/>
        <v>0</v>
      </c>
      <c r="L2314" s="194">
        <v>0</v>
      </c>
      <c r="M2314" s="194">
        <v>0</v>
      </c>
      <c r="N2314" s="194">
        <v>0</v>
      </c>
      <c r="O2314" s="193">
        <f t="shared" si="509"/>
        <v>0</v>
      </c>
      <c r="P2314" s="194">
        <v>0</v>
      </c>
      <c r="Q2314" s="194">
        <v>0</v>
      </c>
      <c r="R2314" s="194">
        <v>0</v>
      </c>
      <c r="S2314" s="193">
        <f t="shared" si="510"/>
        <v>0</v>
      </c>
      <c r="T2314" s="193">
        <f t="shared" si="511"/>
        <v>0</v>
      </c>
      <c r="U2314" s="193">
        <f ca="1">OFFSET('Expenditure Study'!$B$7,'Operations Support'!$C2314,'Operations Support'!$B2314)*$G2314</f>
        <v>0</v>
      </c>
      <c r="V2314" s="199">
        <f ca="1">U2314*'Expenditure Study'!$B$31</f>
        <v>0</v>
      </c>
      <c r="W2314" s="199">
        <f ca="1">IF(A2314=10298,1.51,1)*IF($B2314&lt;3,$D2314*'Expenditure Study'!$B$32*OFFSET('Expenditure Study'!$B$7,'Operations Support'!$C2314,'Operations Support'!$B2314),0)</f>
        <v>0</v>
      </c>
      <c r="X2314" s="200">
        <f ca="1">W2314*'Expenditure Study'!$B$31</f>
        <v>0</v>
      </c>
      <c r="Y2314" s="199">
        <f ca="1">U2314*'Expenditure Study'!$B$31</f>
        <v>0</v>
      </c>
      <c r="Z2314" s="200">
        <f ca="1">W2314*'Expenditure Study'!$B$31</f>
        <v>0</v>
      </c>
      <c r="AA2314" s="195">
        <f t="shared" ca="1" si="512"/>
        <v>0</v>
      </c>
      <c r="AB2314" s="195">
        <f t="shared" ca="1" si="513"/>
        <v>0</v>
      </c>
      <c r="AD2314" s="196">
        <f>IFERROR($G2314/SUMIF($A:$A,$A2314,$G:$G)*SUMIF(Summary!$A$166:$A$242,$A2314,Summary!$P$166:$P$242),0)</f>
        <v>0</v>
      </c>
      <c r="AE2314" s="197">
        <f t="shared" ca="1" si="514"/>
        <v>0</v>
      </c>
      <c r="AF2314" s="196">
        <f>IFERROR(G2314/SUMIF(A:A,A2314,G:G)*SUMIF(Summary!$A$166:$A$242,'Operations Support'!A2314,Summary!$Q$166:$Q$242),0)</f>
        <v>0</v>
      </c>
      <c r="AG2314" s="196">
        <f t="shared" ca="1" si="515"/>
        <v>0</v>
      </c>
      <c r="AI2314" s="196">
        <f>IFERROR($G2314/SUMIF($A:$A,$A2314,$G:$G)*SUMIF(Summary!$A$247:$A$283,$A2314,Summary!$P$247:$P$283),0)</f>
        <v>0</v>
      </c>
      <c r="AJ2314" s="196">
        <f>IFERROR($G2314/SUMIF($A:$A,$A2314,$G:$G)*(SUMIF(Summary!$A$247:$A$283,$A2314,Summary!$L$247:$L$283)+SUMIF(Summary!$A$297:$A$333,$A2314,Summary!$L$297:$L$333))-AI2314,0)</f>
        <v>0</v>
      </c>
      <c r="AK2314" s="196">
        <f>IFERROR($G2314/SUMIF($A:$A,$A2314,$G:$G)*SUMIF(Summary!$A$247:$A$283,$A2314,Summary!$Q$247:$Q$283),0)</f>
        <v>0</v>
      </c>
      <c r="AL2314" s="196">
        <f>IFERROR($G2314/SUMIF($A:$A,$A2314,$G:$G)*(SUMIF(Summary!$A$247:$A$283,$A2314,Summary!$L$247:$L$283)+SUMIF(Summary!$A$297:$A$333,$A2314,Summary!$L$297:$L$333))-AK2314,0)</f>
        <v>0</v>
      </c>
      <c r="AM2314" s="198"/>
      <c r="AN2314" s="196">
        <f t="shared" ca="1" si="516"/>
        <v>0</v>
      </c>
      <c r="AO2314" s="196">
        <f t="shared" ca="1" si="517"/>
        <v>0</v>
      </c>
    </row>
    <row r="2315" spans="1:41">
      <c r="A2315" s="189">
        <v>3665</v>
      </c>
      <c r="B2315" s="190">
        <v>1</v>
      </c>
      <c r="C2315" s="191" t="s">
        <v>220</v>
      </c>
      <c r="D2315" s="192">
        <f t="shared" si="504"/>
        <v>15270.5</v>
      </c>
      <c r="E2315" s="192">
        <f t="shared" si="505"/>
        <v>28567.5</v>
      </c>
      <c r="F2315" s="192">
        <f t="shared" si="506"/>
        <v>0</v>
      </c>
      <c r="G2315" s="193">
        <f t="shared" si="507"/>
        <v>43838</v>
      </c>
      <c r="H2315" s="194">
        <v>5900.5</v>
      </c>
      <c r="I2315" s="194">
        <v>12636.5</v>
      </c>
      <c r="J2315" s="194">
        <v>0</v>
      </c>
      <c r="K2315" s="193">
        <f t="shared" si="508"/>
        <v>18537</v>
      </c>
      <c r="L2315" s="194">
        <v>7710</v>
      </c>
      <c r="M2315" s="194">
        <v>14768</v>
      </c>
      <c r="N2315" s="194">
        <v>0</v>
      </c>
      <c r="O2315" s="193">
        <f t="shared" si="509"/>
        <v>22478</v>
      </c>
      <c r="P2315" s="194">
        <v>1660</v>
      </c>
      <c r="Q2315" s="194">
        <v>1163</v>
      </c>
      <c r="R2315" s="194">
        <v>0</v>
      </c>
      <c r="S2315" s="193">
        <f t="shared" si="510"/>
        <v>2823</v>
      </c>
      <c r="T2315" s="193">
        <f t="shared" si="511"/>
        <v>1461.2666666666667</v>
      </c>
      <c r="U2315" s="193">
        <f ca="1">OFFSET('Expenditure Study'!$B$7,'Operations Support'!$C2315,'Operations Support'!$B2315)*$G2315</f>
        <v>43838</v>
      </c>
      <c r="V2315" s="199">
        <f ca="1">U2315*'Expenditure Study'!$B$31</f>
        <v>2590088.4799104002</v>
      </c>
      <c r="W2315" s="199">
        <f ca="1">IF(A2315=10298,1.51,1)*IF($B2315&lt;3,$D2315*'Expenditure Study'!$B$32*OFFSET('Expenditure Study'!$B$7,'Operations Support'!$C2315,'Operations Support'!$B2315),0)</f>
        <v>1527.0500000000002</v>
      </c>
      <c r="X2315" s="200">
        <f ca="1">W2315*'Expenditure Study'!$B$31</f>
        <v>90222.971240640007</v>
      </c>
      <c r="Y2315" s="199">
        <f ca="1">U2315*'Expenditure Study'!$B$31</f>
        <v>2590088.4799104002</v>
      </c>
      <c r="Z2315" s="200">
        <f ca="1">W2315*'Expenditure Study'!$B$31</f>
        <v>90222.971240640007</v>
      </c>
      <c r="AA2315" s="195">
        <f t="shared" ca="1" si="512"/>
        <v>2680311.4511510404</v>
      </c>
      <c r="AB2315" s="195">
        <f t="shared" ca="1" si="513"/>
        <v>2680311.4511510404</v>
      </c>
      <c r="AD2315" s="196">
        <f>IFERROR($G2315/SUMIF($A:$A,$A2315,$G:$G)*SUMIF(Summary!$A$166:$A$242,$A2315,Summary!$P$166:$P$242),0)</f>
        <v>1220244.2025425951</v>
      </c>
      <c r="AE2315" s="197">
        <f t="shared" ca="1" si="514"/>
        <v>1460067.2486084453</v>
      </c>
      <c r="AF2315" s="196">
        <f>IFERROR(G2315/SUMIF(A:A,A2315,G:G)*SUMIF(Summary!$A$166:$A$242,'Operations Support'!A2315,Summary!$Q$166:$Q$242),0)</f>
        <v>1223670.1224701044</v>
      </c>
      <c r="AG2315" s="196">
        <f t="shared" ca="1" si="515"/>
        <v>1456641.328680936</v>
      </c>
      <c r="AI2315" s="196">
        <f>IFERROR($G2315/SUMIF($A:$A,$A2315,$G:$G)*SUMIF(Summary!$A$247:$A$283,$A2315,Summary!$P$247:$P$283),0)</f>
        <v>222542.09168912968</v>
      </c>
      <c r="AJ2315" s="196">
        <f>IFERROR($G2315/SUMIF($A:$A,$A2315,$G:$G)*(SUMIF(Summary!$A$247:$A$283,$A2315,Summary!$L$247:$L$283)+SUMIF(Summary!$A$297:$A$333,$A2315,Summary!$L$297:$L$333))-AI2315,0)</f>
        <v>771214.26491007581</v>
      </c>
      <c r="AK2315" s="196">
        <f>IFERROR($G2315/SUMIF($A:$A,$A2315,$G:$G)*SUMIF(Summary!$A$247:$A$283,$A2315,Summary!$Q$247:$Q$283),0)</f>
        <v>223166.8939910286</v>
      </c>
      <c r="AL2315" s="196">
        <f>IFERROR($G2315/SUMIF($A:$A,$A2315,$G:$G)*(SUMIF(Summary!$A$247:$A$283,$A2315,Summary!$L$247:$L$283)+SUMIF(Summary!$A$297:$A$333,$A2315,Summary!$L$297:$L$333))-AK2315,0)</f>
        <v>770589.46260817698</v>
      </c>
      <c r="AM2315" s="198"/>
      <c r="AN2315" s="196">
        <f t="shared" ca="1" si="516"/>
        <v>2231281.5135185211</v>
      </c>
      <c r="AO2315" s="196">
        <f t="shared" ca="1" si="517"/>
        <v>2227230.791289113</v>
      </c>
    </row>
    <row r="2316" spans="1:41">
      <c r="A2316" s="189">
        <v>3665</v>
      </c>
      <c r="B2316" s="190">
        <v>1</v>
      </c>
      <c r="C2316" s="191" t="s">
        <v>221</v>
      </c>
      <c r="D2316" s="192">
        <f t="shared" si="504"/>
        <v>8027.5</v>
      </c>
      <c r="E2316" s="192">
        <f t="shared" si="505"/>
        <v>10861.5</v>
      </c>
      <c r="F2316" s="192">
        <f t="shared" si="506"/>
        <v>0</v>
      </c>
      <c r="G2316" s="193">
        <f t="shared" si="507"/>
        <v>18889</v>
      </c>
      <c r="H2316" s="194">
        <v>3706</v>
      </c>
      <c r="I2316" s="194">
        <v>4819</v>
      </c>
      <c r="J2316" s="194">
        <v>0</v>
      </c>
      <c r="K2316" s="193">
        <f t="shared" si="508"/>
        <v>8525</v>
      </c>
      <c r="L2316" s="194">
        <v>4134.5</v>
      </c>
      <c r="M2316" s="194">
        <v>5477.5</v>
      </c>
      <c r="N2316" s="194">
        <v>0</v>
      </c>
      <c r="O2316" s="193">
        <f t="shared" si="509"/>
        <v>9612</v>
      </c>
      <c r="P2316" s="194">
        <v>187</v>
      </c>
      <c r="Q2316" s="194">
        <v>565</v>
      </c>
      <c r="R2316" s="194">
        <v>0</v>
      </c>
      <c r="S2316" s="193">
        <f t="shared" si="510"/>
        <v>752</v>
      </c>
      <c r="T2316" s="193">
        <f t="shared" si="511"/>
        <v>629.63333333333333</v>
      </c>
      <c r="U2316" s="193">
        <f ca="1">OFFSET('Expenditure Study'!$B$7,'Operations Support'!$C2316,'Operations Support'!$B2316)*$G2316</f>
        <v>25311.260000000002</v>
      </c>
      <c r="V2316" s="199">
        <f ca="1">U2316*'Expenditure Study'!$B$31</f>
        <v>1495469.7508558081</v>
      </c>
      <c r="W2316" s="199">
        <f ca="1">IF(A2316=10298,1.51,1)*IF($B2316&lt;3,$D2316*'Expenditure Study'!$B$32*OFFSET('Expenditure Study'!$B$7,'Operations Support'!$C2316,'Operations Support'!$B2316),0)</f>
        <v>1075.6850000000002</v>
      </c>
      <c r="X2316" s="200">
        <f ca="1">W2316*'Expenditure Study'!$B$31</f>
        <v>63554.891338848014</v>
      </c>
      <c r="Y2316" s="199">
        <f ca="1">U2316*'Expenditure Study'!$B$31</f>
        <v>1495469.7508558081</v>
      </c>
      <c r="Z2316" s="200">
        <f ca="1">W2316*'Expenditure Study'!$B$31</f>
        <v>63554.891338848014</v>
      </c>
      <c r="AA2316" s="195">
        <f t="shared" ca="1" si="512"/>
        <v>1559024.6421946562</v>
      </c>
      <c r="AB2316" s="195">
        <f t="shared" ca="1" si="513"/>
        <v>1559024.6421946562</v>
      </c>
      <c r="AD2316" s="196">
        <f>IFERROR($G2316/SUMIF($A:$A,$A2316,$G:$G)*SUMIF(Summary!$A$166:$A$242,$A2316,Summary!$P$166:$P$242),0)</f>
        <v>525781.12007452617</v>
      </c>
      <c r="AE2316" s="197">
        <f t="shared" ca="1" si="514"/>
        <v>1033243.52212013</v>
      </c>
      <c r="AF2316" s="196">
        <f>IFERROR(G2316/SUMIF(A:A,A2316,G:G)*SUMIF(Summary!$A$166:$A$242,'Operations Support'!A2316,Summary!$Q$166:$Q$242),0)</f>
        <v>527257.28690491815</v>
      </c>
      <c r="AG2316" s="196">
        <f t="shared" ca="1" si="515"/>
        <v>1031767.355289738</v>
      </c>
      <c r="AI2316" s="196">
        <f>IFERROR($G2316/SUMIF($A:$A,$A2316,$G:$G)*SUMIF(Summary!$A$247:$A$283,$A2316,Summary!$P$247:$P$283),0)</f>
        <v>95889.355579998417</v>
      </c>
      <c r="AJ2316" s="196">
        <f>IFERROR($G2316/SUMIF($A:$A,$A2316,$G:$G)*(SUMIF(Summary!$A$247:$A$283,$A2316,Summary!$L$247:$L$283)+SUMIF(Summary!$A$297:$A$333,$A2316,Summary!$L$297:$L$333))-AI2316,0)</f>
        <v>332302.25489042432</v>
      </c>
      <c r="AK2316" s="196">
        <f>IFERROR($G2316/SUMIF($A:$A,$A2316,$G:$G)*SUMIF(Summary!$A$247:$A$283,$A2316,Summary!$Q$247:$Q$283),0)</f>
        <v>96158.571572529298</v>
      </c>
      <c r="AL2316" s="196">
        <f>IFERROR($G2316/SUMIF($A:$A,$A2316,$G:$G)*(SUMIF(Summary!$A$247:$A$283,$A2316,Summary!$L$247:$L$283)+SUMIF(Summary!$A$297:$A$333,$A2316,Summary!$L$297:$L$333))-AK2316,0)</f>
        <v>332033.03889789339</v>
      </c>
      <c r="AM2316" s="198"/>
      <c r="AN2316" s="196">
        <f t="shared" ca="1" si="516"/>
        <v>1365545.7770105544</v>
      </c>
      <c r="AO2316" s="196">
        <f t="shared" ca="1" si="517"/>
        <v>1363800.3941876316</v>
      </c>
    </row>
    <row r="2317" spans="1:41">
      <c r="A2317" s="189">
        <v>3665</v>
      </c>
      <c r="B2317" s="190">
        <v>1</v>
      </c>
      <c r="C2317" s="191" t="s">
        <v>222</v>
      </c>
      <c r="D2317" s="192">
        <f t="shared" si="504"/>
        <v>4681.5</v>
      </c>
      <c r="E2317" s="192">
        <f t="shared" si="505"/>
        <v>4282.5</v>
      </c>
      <c r="F2317" s="192">
        <f t="shared" si="506"/>
        <v>0</v>
      </c>
      <c r="G2317" s="193">
        <f t="shared" si="507"/>
        <v>8964</v>
      </c>
      <c r="H2317" s="194">
        <v>2050</v>
      </c>
      <c r="I2317" s="194">
        <v>1749</v>
      </c>
      <c r="J2317" s="194">
        <v>0</v>
      </c>
      <c r="K2317" s="193">
        <f t="shared" si="508"/>
        <v>3799</v>
      </c>
      <c r="L2317" s="194">
        <v>2277.5</v>
      </c>
      <c r="M2317" s="194">
        <v>2326.5</v>
      </c>
      <c r="N2317" s="194">
        <v>0</v>
      </c>
      <c r="O2317" s="193">
        <f t="shared" si="509"/>
        <v>4604</v>
      </c>
      <c r="P2317" s="194">
        <v>354</v>
      </c>
      <c r="Q2317" s="194">
        <v>207</v>
      </c>
      <c r="R2317" s="194">
        <v>0</v>
      </c>
      <c r="S2317" s="193">
        <f t="shared" si="510"/>
        <v>561</v>
      </c>
      <c r="T2317" s="193">
        <f t="shared" si="511"/>
        <v>298.8</v>
      </c>
      <c r="U2317" s="193">
        <f ca="1">OFFSET('Expenditure Study'!$B$7,'Operations Support'!$C2317,'Operations Support'!$B2317)*$G2317</f>
        <v>12280.68</v>
      </c>
      <c r="V2317" s="199">
        <f ca="1">U2317*'Expenditure Study'!$B$31</f>
        <v>725581.636786944</v>
      </c>
      <c r="W2317" s="199">
        <f ca="1">IF(A2317=10298,1.51,1)*IF($B2317&lt;3,$D2317*'Expenditure Study'!$B$32*OFFSET('Expenditure Study'!$B$7,'Operations Support'!$C2317,'Operations Support'!$B2317),0)</f>
        <v>641.36550000000011</v>
      </c>
      <c r="X2317" s="200">
        <f ca="1">W2317*'Expenditure Study'!$B$31</f>
        <v>37893.91379538241</v>
      </c>
      <c r="Y2317" s="199">
        <f ca="1">U2317*'Expenditure Study'!$B$31</f>
        <v>725581.636786944</v>
      </c>
      <c r="Z2317" s="200">
        <f ca="1">W2317*'Expenditure Study'!$B$31</f>
        <v>37893.91379538241</v>
      </c>
      <c r="AA2317" s="195">
        <f t="shared" ca="1" si="512"/>
        <v>763475.55058232637</v>
      </c>
      <c r="AB2317" s="195">
        <f t="shared" ca="1" si="513"/>
        <v>763475.55058232637</v>
      </c>
      <c r="AD2317" s="196">
        <f>IFERROR($G2317/SUMIF($A:$A,$A2317,$G:$G)*SUMIF(Summary!$A$166:$A$242,$A2317,Summary!$P$166:$P$242),0)</f>
        <v>249515.69486728002</v>
      </c>
      <c r="AE2317" s="197">
        <f t="shared" ca="1" si="514"/>
        <v>513959.85571504635</v>
      </c>
      <c r="AF2317" s="196">
        <f>IFERROR(G2317/SUMIF(A:A,A2317,G:G)*SUMIF(Summary!$A$166:$A$242,'Operations Support'!A2317,Summary!$Q$166:$Q$242),0)</f>
        <v>250216.22742419853</v>
      </c>
      <c r="AG2317" s="196">
        <f t="shared" ca="1" si="515"/>
        <v>513259.32315812784</v>
      </c>
      <c r="AI2317" s="196">
        <f>IFERROR($G2317/SUMIF($A:$A,$A2317,$G:$G)*SUMIF(Summary!$A$247:$A$283,$A2317,Summary!$P$247:$P$283),0)</f>
        <v>45505.436149034133</v>
      </c>
      <c r="AJ2317" s="196">
        <f>IFERROR($G2317/SUMIF($A:$A,$A2317,$G:$G)*(SUMIF(Summary!$A$247:$A$283,$A2317,Summary!$L$247:$L$283)+SUMIF(Summary!$A$297:$A$333,$A2317,Summary!$L$297:$L$333))-AI2317,0)</f>
        <v>157697.99422085678</v>
      </c>
      <c r="AK2317" s="196">
        <f>IFERROR($G2317/SUMIF($A:$A,$A2317,$G:$G)*SUMIF(Summary!$A$247:$A$283,$A2317,Summary!$Q$247:$Q$283),0)</f>
        <v>45633.195805820986</v>
      </c>
      <c r="AL2317" s="196">
        <f>IFERROR($G2317/SUMIF($A:$A,$A2317,$G:$G)*(SUMIF(Summary!$A$247:$A$283,$A2317,Summary!$L$247:$L$283)+SUMIF(Summary!$A$297:$A$333,$A2317,Summary!$L$297:$L$333))-AK2317,0)</f>
        <v>157570.23456406992</v>
      </c>
      <c r="AM2317" s="198"/>
      <c r="AN2317" s="196">
        <f t="shared" ca="1" si="516"/>
        <v>671657.8499359031</v>
      </c>
      <c r="AO2317" s="196">
        <f t="shared" ca="1" si="517"/>
        <v>670829.55772219773</v>
      </c>
    </row>
    <row r="2318" spans="1:41">
      <c r="A2318" s="189">
        <v>3665</v>
      </c>
      <c r="B2318" s="190">
        <v>1</v>
      </c>
      <c r="C2318" s="191" t="s">
        <v>223</v>
      </c>
      <c r="D2318" s="192">
        <f t="shared" si="504"/>
        <v>201</v>
      </c>
      <c r="E2318" s="192">
        <f t="shared" si="505"/>
        <v>1413</v>
      </c>
      <c r="F2318" s="192">
        <f t="shared" si="506"/>
        <v>0</v>
      </c>
      <c r="G2318" s="193">
        <f t="shared" si="507"/>
        <v>1614</v>
      </c>
      <c r="H2318" s="194">
        <v>93</v>
      </c>
      <c r="I2318" s="194">
        <v>615</v>
      </c>
      <c r="J2318" s="194">
        <v>0</v>
      </c>
      <c r="K2318" s="193">
        <f t="shared" si="508"/>
        <v>708</v>
      </c>
      <c r="L2318" s="194">
        <v>87</v>
      </c>
      <c r="M2318" s="194">
        <v>744</v>
      </c>
      <c r="N2318" s="194">
        <v>0</v>
      </c>
      <c r="O2318" s="193">
        <f t="shared" si="509"/>
        <v>831</v>
      </c>
      <c r="P2318" s="194">
        <v>21</v>
      </c>
      <c r="Q2318" s="194">
        <v>54</v>
      </c>
      <c r="R2318" s="194">
        <v>0</v>
      </c>
      <c r="S2318" s="193">
        <f t="shared" si="510"/>
        <v>75</v>
      </c>
      <c r="T2318" s="193">
        <f t="shared" si="511"/>
        <v>53.8</v>
      </c>
      <c r="U2318" s="193">
        <f ca="1">OFFSET('Expenditure Study'!$B$7,'Operations Support'!$C2318,'Operations Support'!$B2318)*$G2318</f>
        <v>2033.64</v>
      </c>
      <c r="V2318" s="199">
        <f ca="1">U2318*'Expenditure Study'!$B$31</f>
        <v>120153.91980211201</v>
      </c>
      <c r="W2318" s="199">
        <f ca="1">IF(A2318=10298,1.51,1)*IF($B2318&lt;3,$D2318*'Expenditure Study'!$B$32*OFFSET('Expenditure Study'!$B$7,'Operations Support'!$C2318,'Operations Support'!$B2318),0)</f>
        <v>25.326000000000001</v>
      </c>
      <c r="X2318" s="200">
        <f ca="1">W2318*'Expenditure Study'!$B$31</f>
        <v>1496.3406369408001</v>
      </c>
      <c r="Y2318" s="199">
        <f ca="1">U2318*'Expenditure Study'!$B$31</f>
        <v>120153.91980211201</v>
      </c>
      <c r="Z2318" s="200">
        <f ca="1">W2318*'Expenditure Study'!$B$31</f>
        <v>1496.3406369408001</v>
      </c>
      <c r="AA2318" s="195">
        <f t="shared" ca="1" si="512"/>
        <v>121650.26043905281</v>
      </c>
      <c r="AB2318" s="195">
        <f t="shared" ca="1" si="513"/>
        <v>121650.26043905281</v>
      </c>
      <c r="AD2318" s="196">
        <f>IFERROR($G2318/SUMIF($A:$A,$A2318,$G:$G)*SUMIF(Summary!$A$166:$A$242,$A2318,Summary!$P$166:$P$242),0)</f>
        <v>44926.186023626724</v>
      </c>
      <c r="AE2318" s="197">
        <f t="shared" ca="1" si="514"/>
        <v>76724.07441542609</v>
      </c>
      <c r="AF2318" s="196">
        <f>IFERROR(G2318/SUMIF(A:A,A2318,G:G)*SUMIF(Summary!$A$166:$A$242,'Operations Support'!A2318,Summary!$Q$166:$Q$242),0)</f>
        <v>45052.319395655562</v>
      </c>
      <c r="AG2318" s="196">
        <f t="shared" ca="1" si="515"/>
        <v>76597.941043397252</v>
      </c>
      <c r="AI2318" s="196">
        <f>IFERROR($G2318/SUMIF($A:$A,$A2318,$G:$G)*SUMIF(Summary!$A$247:$A$283,$A2318,Summary!$P$247:$P$283),0)</f>
        <v>8193.4152102343924</v>
      </c>
      <c r="AJ2318" s="196">
        <f>IFERROR($G2318/SUMIF($A:$A,$A2318,$G:$G)*(SUMIF(Summary!$A$247:$A$283,$A2318,Summary!$L$247:$L$283)+SUMIF(Summary!$A$297:$A$333,$A2318,Summary!$L$297:$L$333))-AI2318,0)</f>
        <v>28394.083296794161</v>
      </c>
      <c r="AK2318" s="196">
        <f>IFERROR($G2318/SUMIF($A:$A,$A2318,$G:$G)*SUMIF(Summary!$A$247:$A$283,$A2318,Summary!$Q$247:$Q$283),0)</f>
        <v>8216.4187896692401</v>
      </c>
      <c r="AL2318" s="196">
        <f>IFERROR($G2318/SUMIF($A:$A,$A2318,$G:$G)*(SUMIF(Summary!$A$247:$A$283,$A2318,Summary!$L$247:$L$283)+SUMIF(Summary!$A$297:$A$333,$A2318,Summary!$L$297:$L$333))-AK2318,0)</f>
        <v>28371.079717359316</v>
      </c>
      <c r="AM2318" s="198"/>
      <c r="AN2318" s="196">
        <f t="shared" ca="1" si="516"/>
        <v>105118.15771222024</v>
      </c>
      <c r="AO2318" s="196">
        <f t="shared" ca="1" si="517"/>
        <v>104969.02076075657</v>
      </c>
    </row>
    <row r="2319" spans="1:41">
      <c r="A2319" s="189">
        <v>3665</v>
      </c>
      <c r="B2319" s="190">
        <v>1</v>
      </c>
      <c r="C2319" s="191" t="s">
        <v>224</v>
      </c>
      <c r="D2319" s="192">
        <f t="shared" si="504"/>
        <v>2970</v>
      </c>
      <c r="E2319" s="192">
        <f t="shared" si="505"/>
        <v>5192</v>
      </c>
      <c r="F2319" s="192">
        <f t="shared" si="506"/>
        <v>0</v>
      </c>
      <c r="G2319" s="193">
        <f t="shared" si="507"/>
        <v>8162</v>
      </c>
      <c r="H2319" s="194">
        <v>995</v>
      </c>
      <c r="I2319" s="194">
        <v>2278</v>
      </c>
      <c r="J2319" s="194">
        <v>0</v>
      </c>
      <c r="K2319" s="193">
        <f t="shared" si="508"/>
        <v>3273</v>
      </c>
      <c r="L2319" s="194">
        <v>1849</v>
      </c>
      <c r="M2319" s="194">
        <v>2893</v>
      </c>
      <c r="N2319" s="194">
        <v>0</v>
      </c>
      <c r="O2319" s="193">
        <f t="shared" si="509"/>
        <v>4742</v>
      </c>
      <c r="P2319" s="194">
        <v>126</v>
      </c>
      <c r="Q2319" s="194">
        <v>21</v>
      </c>
      <c r="R2319" s="194">
        <v>0</v>
      </c>
      <c r="S2319" s="193">
        <f t="shared" si="510"/>
        <v>147</v>
      </c>
      <c r="T2319" s="193">
        <f t="shared" si="511"/>
        <v>272.06666666666666</v>
      </c>
      <c r="U2319" s="193">
        <f ca="1">OFFSET('Expenditure Study'!$B$7,'Operations Support'!$C2319,'Operations Support'!$B2319)*$G2319</f>
        <v>12079.76</v>
      </c>
      <c r="V2319" s="199">
        <f ca="1">U2319*'Expenditure Study'!$B$31</f>
        <v>713710.64410060807</v>
      </c>
      <c r="W2319" s="199">
        <f ca="1">IF(A2319=10298,1.51,1)*IF($B2319&lt;3,$D2319*'Expenditure Study'!$B$32*OFFSET('Expenditure Study'!$B$7,'Operations Support'!$C2319,'Operations Support'!$B2319),0)</f>
        <v>439.56</v>
      </c>
      <c r="X2319" s="200">
        <f ca="1">W2319*'Expenditure Study'!$B$31</f>
        <v>25970.602952448</v>
      </c>
      <c r="Y2319" s="199">
        <f ca="1">U2319*'Expenditure Study'!$B$31</f>
        <v>713710.64410060807</v>
      </c>
      <c r="Z2319" s="200">
        <f ca="1">W2319*'Expenditure Study'!$B$31</f>
        <v>25970.602952448</v>
      </c>
      <c r="AA2319" s="195">
        <f t="shared" ca="1" si="512"/>
        <v>739681.24705305602</v>
      </c>
      <c r="AB2319" s="195">
        <f t="shared" ca="1" si="513"/>
        <v>739681.24705305602</v>
      </c>
      <c r="AD2319" s="196">
        <f>IFERROR($G2319/SUMIF($A:$A,$A2319,$G:$G)*SUMIF(Summary!$A$166:$A$242,$A2319,Summary!$P$166:$P$242),0)</f>
        <v>227191.77839209503</v>
      </c>
      <c r="AE2319" s="197">
        <f t="shared" ca="1" si="514"/>
        <v>512489.46866096102</v>
      </c>
      <c r="AF2319" s="196">
        <f>IFERROR(G2319/SUMIF(A:A,A2319,G:G)*SUMIF(Summary!$A$166:$A$242,'Operations Support'!A2319,Summary!$Q$166:$Q$242),0)</f>
        <v>227829.63501074392</v>
      </c>
      <c r="AG2319" s="196">
        <f t="shared" ca="1" si="515"/>
        <v>511851.6120423121</v>
      </c>
      <c r="AI2319" s="196">
        <f>IFERROR($G2319/SUMIF($A:$A,$A2319,$G:$G)*SUMIF(Summary!$A$247:$A$283,$A2319,Summary!$P$247:$P$283),0)</f>
        <v>41434.110871086195</v>
      </c>
      <c r="AJ2319" s="196">
        <f>IFERROR($G2319/SUMIF($A:$A,$A2319,$G:$G)*(SUMIF(Summary!$A$247:$A$283,$A2319,Summary!$L$247:$L$283)+SUMIF(Summary!$A$297:$A$333,$A2319,Summary!$L$297:$L$333))-AI2319,0)</f>
        <v>143588.91441662575</v>
      </c>
      <c r="AK2319" s="196">
        <f>IFERROR($G2319/SUMIF($A:$A,$A2319,$G:$G)*SUMIF(Summary!$A$247:$A$283,$A2319,Summary!$Q$247:$Q$283),0)</f>
        <v>41550.440000793278</v>
      </c>
      <c r="AL2319" s="196">
        <f>IFERROR($G2319/SUMIF($A:$A,$A2319,$G:$G)*(SUMIF(Summary!$A$247:$A$283,$A2319,Summary!$L$247:$L$283)+SUMIF(Summary!$A$297:$A$333,$A2319,Summary!$L$297:$L$333))-AK2319,0)</f>
        <v>143472.58528691865</v>
      </c>
      <c r="AM2319" s="198"/>
      <c r="AN2319" s="196">
        <f t="shared" ca="1" si="516"/>
        <v>656078.38307758677</v>
      </c>
      <c r="AO2319" s="196">
        <f t="shared" ca="1" si="517"/>
        <v>655324.19732923072</v>
      </c>
    </row>
    <row r="2320" spans="1:41">
      <c r="A2320" s="189">
        <v>3665</v>
      </c>
      <c r="B2320" s="190">
        <v>1</v>
      </c>
      <c r="C2320" s="191" t="s">
        <v>225</v>
      </c>
      <c r="D2320" s="192">
        <f t="shared" si="504"/>
        <v>585</v>
      </c>
      <c r="E2320" s="192">
        <f t="shared" si="505"/>
        <v>2084</v>
      </c>
      <c r="F2320" s="192">
        <f t="shared" si="506"/>
        <v>0</v>
      </c>
      <c r="G2320" s="193">
        <f t="shared" si="507"/>
        <v>2669</v>
      </c>
      <c r="H2320" s="194">
        <v>236</v>
      </c>
      <c r="I2320" s="194">
        <v>1059</v>
      </c>
      <c r="J2320" s="194">
        <v>0</v>
      </c>
      <c r="K2320" s="193">
        <f t="shared" si="508"/>
        <v>1295</v>
      </c>
      <c r="L2320" s="194">
        <v>309</v>
      </c>
      <c r="M2320" s="194">
        <v>985</v>
      </c>
      <c r="N2320" s="194">
        <v>0</v>
      </c>
      <c r="O2320" s="193">
        <f t="shared" si="509"/>
        <v>1294</v>
      </c>
      <c r="P2320" s="194">
        <v>40</v>
      </c>
      <c r="Q2320" s="194">
        <v>40</v>
      </c>
      <c r="R2320" s="194">
        <v>0</v>
      </c>
      <c r="S2320" s="193">
        <f t="shared" si="510"/>
        <v>80</v>
      </c>
      <c r="T2320" s="193">
        <f t="shared" si="511"/>
        <v>88.966666666666669</v>
      </c>
      <c r="U2320" s="193">
        <f ca="1">OFFSET('Expenditure Study'!$B$7,'Operations Support'!$C2320,'Operations Support'!$B2320)*$G2320</f>
        <v>4697.4399999999996</v>
      </c>
      <c r="V2320" s="199">
        <f ca="1">U2320*'Expenditure Study'!$B$31</f>
        <v>277539.69681715197</v>
      </c>
      <c r="W2320" s="199">
        <f ca="1">IF(A2320=10298,1.51,1)*IF($B2320&lt;3,$D2320*'Expenditure Study'!$B$32*OFFSET('Expenditure Study'!$B$7,'Operations Support'!$C2320,'Operations Support'!$B2320),0)</f>
        <v>102.96</v>
      </c>
      <c r="X2320" s="200">
        <f ca="1">W2320*'Expenditure Study'!$B$31</f>
        <v>6083.2042951679996</v>
      </c>
      <c r="Y2320" s="199">
        <f ca="1">U2320*'Expenditure Study'!$B$31</f>
        <v>277539.69681715197</v>
      </c>
      <c r="Z2320" s="200">
        <f ca="1">W2320*'Expenditure Study'!$B$31</f>
        <v>6083.2042951679996</v>
      </c>
      <c r="AA2320" s="195">
        <f t="shared" ca="1" si="512"/>
        <v>283622.90111231996</v>
      </c>
      <c r="AB2320" s="195">
        <f t="shared" ca="1" si="513"/>
        <v>283622.90111231996</v>
      </c>
      <c r="AD2320" s="196">
        <f>IFERROR($G2320/SUMIF($A:$A,$A2320,$G:$G)*SUMIF(Summary!$A$166:$A$242,$A2320,Summary!$P$166:$P$242),0)</f>
        <v>74292.435252205527</v>
      </c>
      <c r="AE2320" s="197">
        <f t="shared" ca="1" si="514"/>
        <v>209330.46586011443</v>
      </c>
      <c r="AF2320" s="196">
        <f>IFERROR(G2320/SUMIF(A:A,A2320,G:G)*SUMIF(Summary!$A$166:$A$242,'Operations Support'!A2320,Summary!$Q$166:$Q$242),0)</f>
        <v>74501.016398391992</v>
      </c>
      <c r="AG2320" s="196">
        <f t="shared" ca="1" si="515"/>
        <v>209121.88471392798</v>
      </c>
      <c r="AI2320" s="196">
        <f>IFERROR($G2320/SUMIF($A:$A,$A2320,$G:$G)*SUMIF(Summary!$A$247:$A$283,$A2320,Summary!$P$247:$P$283),0)</f>
        <v>13549.086242946465</v>
      </c>
      <c r="AJ2320" s="196">
        <f>IFERROR($G2320/SUMIF($A:$A,$A2320,$G:$G)*(SUMIF(Summary!$A$247:$A$283,$A2320,Summary!$L$247:$L$283)+SUMIF(Summary!$A$297:$A$333,$A2320,Summary!$L$297:$L$333))-AI2320,0)</f>
        <v>46954.032415826281</v>
      </c>
      <c r="AK2320" s="196">
        <f>IFERROR($G2320/SUMIF($A:$A,$A2320,$G:$G)*SUMIF(Summary!$A$247:$A$283,$A2320,Summary!$Q$247:$Q$283),0)</f>
        <v>13587.126238926396</v>
      </c>
      <c r="AL2320" s="196">
        <f>IFERROR($G2320/SUMIF($A:$A,$A2320,$G:$G)*(SUMIF(Summary!$A$247:$A$283,$A2320,Summary!$L$247:$L$283)+SUMIF(Summary!$A$297:$A$333,$A2320,Summary!$L$297:$L$333))-AK2320,0)</f>
        <v>46915.992419846349</v>
      </c>
      <c r="AM2320" s="198"/>
      <c r="AN2320" s="196">
        <f t="shared" ca="1" si="516"/>
        <v>256284.49827594071</v>
      </c>
      <c r="AO2320" s="196">
        <f t="shared" ca="1" si="517"/>
        <v>256037.87713377434</v>
      </c>
    </row>
    <row r="2321" spans="1:41">
      <c r="A2321" s="189">
        <v>3665</v>
      </c>
      <c r="B2321" s="190">
        <v>1</v>
      </c>
      <c r="C2321" s="191" t="s">
        <v>226</v>
      </c>
      <c r="D2321" s="192">
        <f t="shared" si="504"/>
        <v>0</v>
      </c>
      <c r="E2321" s="192">
        <f t="shared" si="505"/>
        <v>0</v>
      </c>
      <c r="F2321" s="192">
        <f t="shared" si="506"/>
        <v>0</v>
      </c>
      <c r="G2321" s="193">
        <f t="shared" si="507"/>
        <v>0</v>
      </c>
      <c r="H2321" s="194">
        <v>0</v>
      </c>
      <c r="I2321" s="194">
        <v>0</v>
      </c>
      <c r="J2321" s="194">
        <v>0</v>
      </c>
      <c r="K2321" s="193">
        <f t="shared" si="508"/>
        <v>0</v>
      </c>
      <c r="L2321" s="194">
        <v>0</v>
      </c>
      <c r="M2321" s="194">
        <v>0</v>
      </c>
      <c r="N2321" s="194">
        <v>0</v>
      </c>
      <c r="O2321" s="193">
        <f t="shared" si="509"/>
        <v>0</v>
      </c>
      <c r="P2321" s="194">
        <v>0</v>
      </c>
      <c r="Q2321" s="194">
        <v>0</v>
      </c>
      <c r="R2321" s="194">
        <v>0</v>
      </c>
      <c r="S2321" s="193">
        <f t="shared" si="510"/>
        <v>0</v>
      </c>
      <c r="T2321" s="193">
        <f t="shared" si="511"/>
        <v>0</v>
      </c>
      <c r="U2321" s="193">
        <f ca="1">OFFSET('Expenditure Study'!$B$7,'Operations Support'!$C2321,'Operations Support'!$B2321)*$G2321</f>
        <v>0</v>
      </c>
      <c r="V2321" s="199">
        <f ca="1">U2321*'Expenditure Study'!$B$31</f>
        <v>0</v>
      </c>
      <c r="W2321" s="199">
        <f ca="1">IF(A2321=10298,1.51,1)*IF($B2321&lt;3,$D2321*'Expenditure Study'!$B$32*OFFSET('Expenditure Study'!$B$7,'Operations Support'!$C2321,'Operations Support'!$B2321),0)</f>
        <v>0</v>
      </c>
      <c r="X2321" s="200">
        <f ca="1">W2321*'Expenditure Study'!$B$31</f>
        <v>0</v>
      </c>
      <c r="Y2321" s="199">
        <f ca="1">U2321*'Expenditure Study'!$B$31</f>
        <v>0</v>
      </c>
      <c r="Z2321" s="200">
        <f ca="1">W2321*'Expenditure Study'!$B$31</f>
        <v>0</v>
      </c>
      <c r="AA2321" s="195">
        <f t="shared" ca="1" si="512"/>
        <v>0</v>
      </c>
      <c r="AB2321" s="195">
        <f t="shared" ca="1" si="513"/>
        <v>0</v>
      </c>
      <c r="AD2321" s="196">
        <f>IFERROR($G2321/SUMIF($A:$A,$A2321,$G:$G)*SUMIF(Summary!$A$166:$A$242,$A2321,Summary!$P$166:$P$242),0)</f>
        <v>0</v>
      </c>
      <c r="AE2321" s="197">
        <f t="shared" ca="1" si="514"/>
        <v>0</v>
      </c>
      <c r="AF2321" s="196">
        <f>IFERROR(G2321/SUMIF(A:A,A2321,G:G)*SUMIF(Summary!$A$166:$A$242,'Operations Support'!A2321,Summary!$Q$166:$Q$242),0)</f>
        <v>0</v>
      </c>
      <c r="AG2321" s="196">
        <f t="shared" ca="1" si="515"/>
        <v>0</v>
      </c>
      <c r="AI2321" s="196">
        <f>IFERROR($G2321/SUMIF($A:$A,$A2321,$G:$G)*SUMIF(Summary!$A$247:$A$283,$A2321,Summary!$P$247:$P$283),0)</f>
        <v>0</v>
      </c>
      <c r="AJ2321" s="196">
        <f>IFERROR($G2321/SUMIF($A:$A,$A2321,$G:$G)*(SUMIF(Summary!$A$247:$A$283,$A2321,Summary!$L$247:$L$283)+SUMIF(Summary!$A$297:$A$333,$A2321,Summary!$L$297:$L$333))-AI2321,0)</f>
        <v>0</v>
      </c>
      <c r="AK2321" s="196">
        <f>IFERROR($G2321/SUMIF($A:$A,$A2321,$G:$G)*SUMIF(Summary!$A$247:$A$283,$A2321,Summary!$Q$247:$Q$283),0)</f>
        <v>0</v>
      </c>
      <c r="AL2321" s="196">
        <f>IFERROR($G2321/SUMIF($A:$A,$A2321,$G:$G)*(SUMIF(Summary!$A$247:$A$283,$A2321,Summary!$L$247:$L$283)+SUMIF(Summary!$A$297:$A$333,$A2321,Summary!$L$297:$L$333))-AK2321,0)</f>
        <v>0</v>
      </c>
      <c r="AM2321" s="198"/>
      <c r="AN2321" s="196">
        <f t="shared" ca="1" si="516"/>
        <v>0</v>
      </c>
      <c r="AO2321" s="196">
        <f t="shared" ca="1" si="517"/>
        <v>0</v>
      </c>
    </row>
    <row r="2322" spans="1:41">
      <c r="A2322" s="189">
        <v>3665</v>
      </c>
      <c r="B2322" s="190">
        <v>1</v>
      </c>
      <c r="C2322" s="191" t="s">
        <v>227</v>
      </c>
      <c r="D2322" s="192">
        <f t="shared" si="504"/>
        <v>0</v>
      </c>
      <c r="E2322" s="192">
        <f t="shared" si="505"/>
        <v>0</v>
      </c>
      <c r="F2322" s="192">
        <f t="shared" si="506"/>
        <v>0</v>
      </c>
      <c r="G2322" s="193">
        <f t="shared" si="507"/>
        <v>0</v>
      </c>
      <c r="H2322" s="194">
        <v>0</v>
      </c>
      <c r="I2322" s="194">
        <v>0</v>
      </c>
      <c r="J2322" s="194">
        <v>0</v>
      </c>
      <c r="K2322" s="193">
        <f t="shared" si="508"/>
        <v>0</v>
      </c>
      <c r="L2322" s="194">
        <v>0</v>
      </c>
      <c r="M2322" s="194">
        <v>0</v>
      </c>
      <c r="N2322" s="194">
        <v>0</v>
      </c>
      <c r="O2322" s="193">
        <f t="shared" si="509"/>
        <v>0</v>
      </c>
      <c r="P2322" s="194">
        <v>0</v>
      </c>
      <c r="Q2322" s="194">
        <v>0</v>
      </c>
      <c r="R2322" s="194">
        <v>0</v>
      </c>
      <c r="S2322" s="193">
        <f t="shared" si="510"/>
        <v>0</v>
      </c>
      <c r="T2322" s="193">
        <f t="shared" si="511"/>
        <v>0</v>
      </c>
      <c r="U2322" s="193">
        <f ca="1">OFFSET('Expenditure Study'!$B$7,'Operations Support'!$C2322,'Operations Support'!$B2322)*$G2322</f>
        <v>0</v>
      </c>
      <c r="V2322" s="199">
        <f ca="1">U2322*'Expenditure Study'!$B$31</f>
        <v>0</v>
      </c>
      <c r="W2322" s="199">
        <f ca="1">IF(A2322=10298,1.51,1)*IF($B2322&lt;3,$D2322*'Expenditure Study'!$B$32*OFFSET('Expenditure Study'!$B$7,'Operations Support'!$C2322,'Operations Support'!$B2322),0)</f>
        <v>0</v>
      </c>
      <c r="X2322" s="200">
        <f ca="1">W2322*'Expenditure Study'!$B$31</f>
        <v>0</v>
      </c>
      <c r="Y2322" s="199">
        <f ca="1">U2322*'Expenditure Study'!$B$31</f>
        <v>0</v>
      </c>
      <c r="Z2322" s="200">
        <f ca="1">W2322*'Expenditure Study'!$B$31</f>
        <v>0</v>
      </c>
      <c r="AA2322" s="195">
        <f t="shared" ca="1" si="512"/>
        <v>0</v>
      </c>
      <c r="AB2322" s="195">
        <f t="shared" ca="1" si="513"/>
        <v>0</v>
      </c>
      <c r="AD2322" s="196">
        <f>IFERROR($G2322/SUMIF($A:$A,$A2322,$G:$G)*SUMIF(Summary!$A$166:$A$242,$A2322,Summary!$P$166:$P$242),0)</f>
        <v>0</v>
      </c>
      <c r="AE2322" s="197">
        <f t="shared" ca="1" si="514"/>
        <v>0</v>
      </c>
      <c r="AF2322" s="196">
        <f>IFERROR(G2322/SUMIF(A:A,A2322,G:G)*SUMIF(Summary!$A$166:$A$242,'Operations Support'!A2322,Summary!$Q$166:$Q$242),0)</f>
        <v>0</v>
      </c>
      <c r="AG2322" s="196">
        <f t="shared" ca="1" si="515"/>
        <v>0</v>
      </c>
      <c r="AI2322" s="196">
        <f>IFERROR($G2322/SUMIF($A:$A,$A2322,$G:$G)*SUMIF(Summary!$A$247:$A$283,$A2322,Summary!$P$247:$P$283),0)</f>
        <v>0</v>
      </c>
      <c r="AJ2322" s="196">
        <f>IFERROR($G2322/SUMIF($A:$A,$A2322,$G:$G)*(SUMIF(Summary!$A$247:$A$283,$A2322,Summary!$L$247:$L$283)+SUMIF(Summary!$A$297:$A$333,$A2322,Summary!$L$297:$L$333))-AI2322,0)</f>
        <v>0</v>
      </c>
      <c r="AK2322" s="196">
        <f>IFERROR($G2322/SUMIF($A:$A,$A2322,$G:$G)*SUMIF(Summary!$A$247:$A$283,$A2322,Summary!$Q$247:$Q$283),0)</f>
        <v>0</v>
      </c>
      <c r="AL2322" s="196">
        <f>IFERROR($G2322/SUMIF($A:$A,$A2322,$G:$G)*(SUMIF(Summary!$A$247:$A$283,$A2322,Summary!$L$247:$L$283)+SUMIF(Summary!$A$297:$A$333,$A2322,Summary!$L$297:$L$333))-AK2322,0)</f>
        <v>0</v>
      </c>
      <c r="AM2322" s="198"/>
      <c r="AN2322" s="196">
        <f t="shared" ca="1" si="516"/>
        <v>0</v>
      </c>
      <c r="AO2322" s="196">
        <f t="shared" ca="1" si="517"/>
        <v>0</v>
      </c>
    </row>
    <row r="2323" spans="1:41">
      <c r="A2323" s="189">
        <v>3665</v>
      </c>
      <c r="B2323" s="190">
        <v>1</v>
      </c>
      <c r="C2323" s="191" t="s">
        <v>228</v>
      </c>
      <c r="D2323" s="192">
        <f t="shared" si="504"/>
        <v>21</v>
      </c>
      <c r="E2323" s="192">
        <f t="shared" si="505"/>
        <v>138</v>
      </c>
      <c r="F2323" s="192">
        <f t="shared" si="506"/>
        <v>0</v>
      </c>
      <c r="G2323" s="193">
        <f t="shared" si="507"/>
        <v>159</v>
      </c>
      <c r="H2323" s="194">
        <v>0</v>
      </c>
      <c r="I2323" s="194">
        <v>57</v>
      </c>
      <c r="J2323" s="194">
        <v>0</v>
      </c>
      <c r="K2323" s="193">
        <f t="shared" si="508"/>
        <v>57</v>
      </c>
      <c r="L2323" s="194">
        <v>15</v>
      </c>
      <c r="M2323" s="194">
        <v>72</v>
      </c>
      <c r="N2323" s="194">
        <v>0</v>
      </c>
      <c r="O2323" s="193">
        <f t="shared" si="509"/>
        <v>87</v>
      </c>
      <c r="P2323" s="194">
        <v>6</v>
      </c>
      <c r="Q2323" s="194">
        <v>9</v>
      </c>
      <c r="R2323" s="194">
        <v>0</v>
      </c>
      <c r="S2323" s="193">
        <f t="shared" si="510"/>
        <v>15</v>
      </c>
      <c r="T2323" s="193">
        <f t="shared" si="511"/>
        <v>5.3</v>
      </c>
      <c r="U2323" s="193">
        <f ca="1">OFFSET('Expenditure Study'!$B$7,'Operations Support'!$C2323,'Operations Support'!$B2323)*$G2323</f>
        <v>251.22</v>
      </c>
      <c r="V2323" s="199">
        <f ca="1">U2323*'Expenditure Study'!$B$31</f>
        <v>14842.876680576001</v>
      </c>
      <c r="W2323" s="199">
        <f ca="1">IF(A2323=10298,1.51,1)*IF($B2323&lt;3,$D2323*'Expenditure Study'!$B$32*OFFSET('Expenditure Study'!$B$7,'Operations Support'!$C2323,'Operations Support'!$B2323),0)</f>
        <v>3.3180000000000005</v>
      </c>
      <c r="X2323" s="200">
        <f ca="1">W2323*'Expenditure Study'!$B$31</f>
        <v>196.03799389440005</v>
      </c>
      <c r="Y2323" s="199">
        <f ca="1">U2323*'Expenditure Study'!$B$31</f>
        <v>14842.876680576001</v>
      </c>
      <c r="Z2323" s="200">
        <f ca="1">W2323*'Expenditure Study'!$B$31</f>
        <v>196.03799389440005</v>
      </c>
      <c r="AA2323" s="195">
        <f t="shared" ca="1" si="512"/>
        <v>15038.914674470401</v>
      </c>
      <c r="AB2323" s="195">
        <f t="shared" ca="1" si="513"/>
        <v>15038.914674470401</v>
      </c>
      <c r="AD2323" s="196">
        <f>IFERROR($G2323/SUMIF($A:$A,$A2323,$G:$G)*SUMIF(Summary!$A$166:$A$242,$A2323,Summary!$P$166:$P$242),0)</f>
        <v>4425.8138647810711</v>
      </c>
      <c r="AE2323" s="197">
        <f t="shared" ca="1" si="514"/>
        <v>10613.100809689331</v>
      </c>
      <c r="AF2323" s="196">
        <f>IFERROR(G2323/SUMIF(A:A,A2323,G:G)*SUMIF(Summary!$A$166:$A$242,'Operations Support'!A2323,Summary!$Q$166:$Q$242),0)</f>
        <v>4438.2396430664394</v>
      </c>
      <c r="AG2323" s="196">
        <f t="shared" ca="1" si="515"/>
        <v>10600.675031403962</v>
      </c>
      <c r="AI2323" s="196">
        <f>IFERROR($G2323/SUMIF($A:$A,$A2323,$G:$G)*SUMIF(Summary!$A$247:$A$283,$A2323,Summary!$P$247:$P$283),0)</f>
        <v>807.15800398219847</v>
      </c>
      <c r="AJ2323" s="196">
        <f>IFERROR($G2323/SUMIF($A:$A,$A2323,$G:$G)*(SUMIF(Summary!$A$247:$A$283,$A2323,Summary!$L$247:$L$283)+SUMIF(Summary!$A$297:$A$333,$A2323,Summary!$L$297:$L$333))-AI2323,0)</f>
        <v>2797.186644479722</v>
      </c>
      <c r="AK2323" s="196">
        <f>IFERROR($G2323/SUMIF($A:$A,$A2323,$G:$G)*SUMIF(Summary!$A$247:$A$283,$A2323,Summary!$Q$247:$Q$283),0)</f>
        <v>809.42415585960919</v>
      </c>
      <c r="AL2323" s="196">
        <f>IFERROR($G2323/SUMIF($A:$A,$A2323,$G:$G)*(SUMIF(Summary!$A$247:$A$283,$A2323,Summary!$L$247:$L$283)+SUMIF(Summary!$A$297:$A$333,$A2323,Summary!$L$297:$L$333))-AK2323,0)</f>
        <v>2794.9204926023112</v>
      </c>
      <c r="AM2323" s="198"/>
      <c r="AN2323" s="196">
        <f t="shared" ca="1" si="516"/>
        <v>13410.287454169053</v>
      </c>
      <c r="AO2323" s="196">
        <f t="shared" ca="1" si="517"/>
        <v>13395.595524006272</v>
      </c>
    </row>
    <row r="2324" spans="1:41">
      <c r="A2324" s="189">
        <v>3665</v>
      </c>
      <c r="B2324" s="190">
        <v>1</v>
      </c>
      <c r="C2324" s="191" t="s">
        <v>229</v>
      </c>
      <c r="D2324" s="192">
        <f t="shared" si="504"/>
        <v>0</v>
      </c>
      <c r="E2324" s="192">
        <f t="shared" si="505"/>
        <v>0</v>
      </c>
      <c r="F2324" s="192">
        <f t="shared" si="506"/>
        <v>0</v>
      </c>
      <c r="G2324" s="193">
        <f t="shared" si="507"/>
        <v>0</v>
      </c>
      <c r="H2324" s="194">
        <v>0</v>
      </c>
      <c r="I2324" s="194">
        <v>0</v>
      </c>
      <c r="J2324" s="194">
        <v>0</v>
      </c>
      <c r="K2324" s="193">
        <f t="shared" si="508"/>
        <v>0</v>
      </c>
      <c r="L2324" s="194">
        <v>0</v>
      </c>
      <c r="M2324" s="194">
        <v>0</v>
      </c>
      <c r="N2324" s="194">
        <v>0</v>
      </c>
      <c r="O2324" s="193">
        <f t="shared" si="509"/>
        <v>0</v>
      </c>
      <c r="P2324" s="194">
        <v>0</v>
      </c>
      <c r="Q2324" s="194">
        <v>0</v>
      </c>
      <c r="R2324" s="194">
        <v>0</v>
      </c>
      <c r="S2324" s="193">
        <f t="shared" si="510"/>
        <v>0</v>
      </c>
      <c r="T2324" s="193">
        <f t="shared" si="511"/>
        <v>0</v>
      </c>
      <c r="U2324" s="193">
        <f ca="1">OFFSET('Expenditure Study'!$B$7,'Operations Support'!$C2324,'Operations Support'!$B2324)*$G2324</f>
        <v>0</v>
      </c>
      <c r="V2324" s="199">
        <f ca="1">U2324*'Expenditure Study'!$B$31</f>
        <v>0</v>
      </c>
      <c r="W2324" s="199">
        <f ca="1">IF(A2324=10298,1.51,1)*IF($B2324&lt;3,$D2324*'Expenditure Study'!$B$32*OFFSET('Expenditure Study'!$B$7,'Operations Support'!$C2324,'Operations Support'!$B2324),0)</f>
        <v>0</v>
      </c>
      <c r="X2324" s="200">
        <f ca="1">W2324*'Expenditure Study'!$B$31</f>
        <v>0</v>
      </c>
      <c r="Y2324" s="199">
        <f ca="1">U2324*'Expenditure Study'!$B$31</f>
        <v>0</v>
      </c>
      <c r="Z2324" s="200">
        <f ca="1">W2324*'Expenditure Study'!$B$31</f>
        <v>0</v>
      </c>
      <c r="AA2324" s="195">
        <f t="shared" ca="1" si="512"/>
        <v>0</v>
      </c>
      <c r="AB2324" s="195">
        <f t="shared" ca="1" si="513"/>
        <v>0</v>
      </c>
      <c r="AD2324" s="196">
        <f>IFERROR($G2324/SUMIF($A:$A,$A2324,$G:$G)*SUMIF(Summary!$A$166:$A$242,$A2324,Summary!$P$166:$P$242),0)</f>
        <v>0</v>
      </c>
      <c r="AE2324" s="197">
        <f t="shared" ca="1" si="514"/>
        <v>0</v>
      </c>
      <c r="AF2324" s="196">
        <f>IFERROR(G2324/SUMIF(A:A,A2324,G:G)*SUMIF(Summary!$A$166:$A$242,'Operations Support'!A2324,Summary!$Q$166:$Q$242),0)</f>
        <v>0</v>
      </c>
      <c r="AG2324" s="196">
        <f t="shared" ca="1" si="515"/>
        <v>0</v>
      </c>
      <c r="AI2324" s="196">
        <f>IFERROR($G2324/SUMIF($A:$A,$A2324,$G:$G)*SUMIF(Summary!$A$247:$A$283,$A2324,Summary!$P$247:$P$283),0)</f>
        <v>0</v>
      </c>
      <c r="AJ2324" s="196">
        <f>IFERROR($G2324/SUMIF($A:$A,$A2324,$G:$G)*(SUMIF(Summary!$A$247:$A$283,$A2324,Summary!$L$247:$L$283)+SUMIF(Summary!$A$297:$A$333,$A2324,Summary!$L$297:$L$333))-AI2324,0)</f>
        <v>0</v>
      </c>
      <c r="AK2324" s="196">
        <f>IFERROR($G2324/SUMIF($A:$A,$A2324,$G:$G)*SUMIF(Summary!$A$247:$A$283,$A2324,Summary!$Q$247:$Q$283),0)</f>
        <v>0</v>
      </c>
      <c r="AL2324" s="196">
        <f>IFERROR($G2324/SUMIF($A:$A,$A2324,$G:$G)*(SUMIF(Summary!$A$247:$A$283,$A2324,Summary!$L$247:$L$283)+SUMIF(Summary!$A$297:$A$333,$A2324,Summary!$L$297:$L$333))-AK2324,0)</f>
        <v>0</v>
      </c>
      <c r="AM2324" s="198"/>
      <c r="AN2324" s="196">
        <f t="shared" ca="1" si="516"/>
        <v>0</v>
      </c>
      <c r="AO2324" s="196">
        <f t="shared" ca="1" si="517"/>
        <v>0</v>
      </c>
    </row>
    <row r="2325" spans="1:41">
      <c r="A2325" s="189">
        <v>3665</v>
      </c>
      <c r="B2325" s="190">
        <v>1</v>
      </c>
      <c r="C2325" s="191" t="s">
        <v>230</v>
      </c>
      <c r="D2325" s="192">
        <f t="shared" si="504"/>
        <v>0</v>
      </c>
      <c r="E2325" s="192">
        <f t="shared" si="505"/>
        <v>0</v>
      </c>
      <c r="F2325" s="192">
        <f t="shared" si="506"/>
        <v>0</v>
      </c>
      <c r="G2325" s="193">
        <f t="shared" si="507"/>
        <v>0</v>
      </c>
      <c r="H2325" s="194">
        <v>0</v>
      </c>
      <c r="I2325" s="194">
        <v>0</v>
      </c>
      <c r="J2325" s="194">
        <v>0</v>
      </c>
      <c r="K2325" s="193">
        <f t="shared" si="508"/>
        <v>0</v>
      </c>
      <c r="L2325" s="194">
        <v>0</v>
      </c>
      <c r="M2325" s="194">
        <v>0</v>
      </c>
      <c r="N2325" s="194">
        <v>0</v>
      </c>
      <c r="O2325" s="193">
        <f t="shared" si="509"/>
        <v>0</v>
      </c>
      <c r="P2325" s="194">
        <v>0</v>
      </c>
      <c r="Q2325" s="194">
        <v>0</v>
      </c>
      <c r="R2325" s="194">
        <v>0</v>
      </c>
      <c r="S2325" s="193">
        <f t="shared" si="510"/>
        <v>0</v>
      </c>
      <c r="T2325" s="193">
        <f t="shared" si="511"/>
        <v>0</v>
      </c>
      <c r="U2325" s="193">
        <f ca="1">OFFSET('Expenditure Study'!$B$7,'Operations Support'!$C2325,'Operations Support'!$B2325)*$G2325</f>
        <v>0</v>
      </c>
      <c r="V2325" s="199">
        <f ca="1">U2325*'Expenditure Study'!$B$31</f>
        <v>0</v>
      </c>
      <c r="W2325" s="199">
        <f ca="1">IF(A2325=10298,1.51,1)*IF($B2325&lt;3,$D2325*'Expenditure Study'!$B$32*OFFSET('Expenditure Study'!$B$7,'Operations Support'!$C2325,'Operations Support'!$B2325),0)</f>
        <v>0</v>
      </c>
      <c r="X2325" s="200">
        <f ca="1">W2325*'Expenditure Study'!$B$31</f>
        <v>0</v>
      </c>
      <c r="Y2325" s="199">
        <f ca="1">U2325*'Expenditure Study'!$B$31</f>
        <v>0</v>
      </c>
      <c r="Z2325" s="200">
        <f ca="1">W2325*'Expenditure Study'!$B$31</f>
        <v>0</v>
      </c>
      <c r="AA2325" s="195">
        <f t="shared" ca="1" si="512"/>
        <v>0</v>
      </c>
      <c r="AB2325" s="195">
        <f t="shared" ca="1" si="513"/>
        <v>0</v>
      </c>
      <c r="AD2325" s="196">
        <f>IFERROR($G2325/SUMIF($A:$A,$A2325,$G:$G)*SUMIF(Summary!$A$166:$A$242,$A2325,Summary!$P$166:$P$242),0)</f>
        <v>0</v>
      </c>
      <c r="AE2325" s="197">
        <f t="shared" ca="1" si="514"/>
        <v>0</v>
      </c>
      <c r="AF2325" s="196">
        <f>IFERROR(G2325/SUMIF(A:A,A2325,G:G)*SUMIF(Summary!$A$166:$A$242,'Operations Support'!A2325,Summary!$Q$166:$Q$242),0)</f>
        <v>0</v>
      </c>
      <c r="AG2325" s="196">
        <f t="shared" ca="1" si="515"/>
        <v>0</v>
      </c>
      <c r="AI2325" s="196">
        <f>IFERROR($G2325/SUMIF($A:$A,$A2325,$G:$G)*SUMIF(Summary!$A$247:$A$283,$A2325,Summary!$P$247:$P$283),0)</f>
        <v>0</v>
      </c>
      <c r="AJ2325" s="196">
        <f>IFERROR($G2325/SUMIF($A:$A,$A2325,$G:$G)*(SUMIF(Summary!$A$247:$A$283,$A2325,Summary!$L$247:$L$283)+SUMIF(Summary!$A$297:$A$333,$A2325,Summary!$L$297:$L$333))-AI2325,0)</f>
        <v>0</v>
      </c>
      <c r="AK2325" s="196">
        <f>IFERROR($G2325/SUMIF($A:$A,$A2325,$G:$G)*SUMIF(Summary!$A$247:$A$283,$A2325,Summary!$Q$247:$Q$283),0)</f>
        <v>0</v>
      </c>
      <c r="AL2325" s="196">
        <f>IFERROR($G2325/SUMIF($A:$A,$A2325,$G:$G)*(SUMIF(Summary!$A$247:$A$283,$A2325,Summary!$L$247:$L$283)+SUMIF(Summary!$A$297:$A$333,$A2325,Summary!$L$297:$L$333))-AK2325,0)</f>
        <v>0</v>
      </c>
      <c r="AM2325" s="198"/>
      <c r="AN2325" s="196">
        <f t="shared" ca="1" si="516"/>
        <v>0</v>
      </c>
      <c r="AO2325" s="196">
        <f t="shared" ca="1" si="517"/>
        <v>0</v>
      </c>
    </row>
    <row r="2326" spans="1:41">
      <c r="A2326" s="189">
        <v>3665</v>
      </c>
      <c r="B2326" s="190">
        <v>1</v>
      </c>
      <c r="C2326" s="191" t="s">
        <v>231</v>
      </c>
      <c r="D2326" s="192">
        <f t="shared" si="504"/>
        <v>0</v>
      </c>
      <c r="E2326" s="192">
        <f t="shared" si="505"/>
        <v>0</v>
      </c>
      <c r="F2326" s="192">
        <f t="shared" si="506"/>
        <v>0</v>
      </c>
      <c r="G2326" s="193">
        <f t="shared" si="507"/>
        <v>0</v>
      </c>
      <c r="H2326" s="194">
        <v>0</v>
      </c>
      <c r="I2326" s="194">
        <v>0</v>
      </c>
      <c r="J2326" s="194">
        <v>0</v>
      </c>
      <c r="K2326" s="193">
        <f t="shared" si="508"/>
        <v>0</v>
      </c>
      <c r="L2326" s="194">
        <v>0</v>
      </c>
      <c r="M2326" s="194">
        <v>0</v>
      </c>
      <c r="N2326" s="194">
        <v>0</v>
      </c>
      <c r="O2326" s="193">
        <f t="shared" si="509"/>
        <v>0</v>
      </c>
      <c r="P2326" s="194">
        <v>0</v>
      </c>
      <c r="Q2326" s="194">
        <v>0</v>
      </c>
      <c r="R2326" s="194">
        <v>0</v>
      </c>
      <c r="S2326" s="193">
        <f t="shared" si="510"/>
        <v>0</v>
      </c>
      <c r="T2326" s="193">
        <f t="shared" si="511"/>
        <v>0</v>
      </c>
      <c r="U2326" s="193">
        <f ca="1">OFFSET('Expenditure Study'!$B$7,'Operations Support'!$C2326,'Operations Support'!$B2326)*$G2326</f>
        <v>0</v>
      </c>
      <c r="V2326" s="199">
        <f ca="1">U2326*'Expenditure Study'!$B$31</f>
        <v>0</v>
      </c>
      <c r="W2326" s="199">
        <f ca="1">IF(A2326=10298,1.51,1)*IF($B2326&lt;3,$D2326*'Expenditure Study'!$B$32*OFFSET('Expenditure Study'!$B$7,'Operations Support'!$C2326,'Operations Support'!$B2326),0)</f>
        <v>0</v>
      </c>
      <c r="X2326" s="200">
        <f ca="1">W2326*'Expenditure Study'!$B$31</f>
        <v>0</v>
      </c>
      <c r="Y2326" s="199">
        <f ca="1">U2326*'Expenditure Study'!$B$31</f>
        <v>0</v>
      </c>
      <c r="Z2326" s="200">
        <f ca="1">W2326*'Expenditure Study'!$B$31</f>
        <v>0</v>
      </c>
      <c r="AA2326" s="195">
        <f t="shared" ca="1" si="512"/>
        <v>0</v>
      </c>
      <c r="AB2326" s="195">
        <f t="shared" ca="1" si="513"/>
        <v>0</v>
      </c>
      <c r="AD2326" s="196">
        <f>IFERROR($G2326/SUMIF($A:$A,$A2326,$G:$G)*SUMIF(Summary!$A$166:$A$242,$A2326,Summary!$P$166:$P$242),0)</f>
        <v>0</v>
      </c>
      <c r="AE2326" s="197">
        <f t="shared" ca="1" si="514"/>
        <v>0</v>
      </c>
      <c r="AF2326" s="196">
        <f>IFERROR(G2326/SUMIF(A:A,A2326,G:G)*SUMIF(Summary!$A$166:$A$242,'Operations Support'!A2326,Summary!$Q$166:$Q$242),0)</f>
        <v>0</v>
      </c>
      <c r="AG2326" s="196">
        <f t="shared" ca="1" si="515"/>
        <v>0</v>
      </c>
      <c r="AI2326" s="196">
        <f>IFERROR($G2326/SUMIF($A:$A,$A2326,$G:$G)*SUMIF(Summary!$A$247:$A$283,$A2326,Summary!$P$247:$P$283),0)</f>
        <v>0</v>
      </c>
      <c r="AJ2326" s="196">
        <f>IFERROR($G2326/SUMIF($A:$A,$A2326,$G:$G)*(SUMIF(Summary!$A$247:$A$283,$A2326,Summary!$L$247:$L$283)+SUMIF(Summary!$A$297:$A$333,$A2326,Summary!$L$297:$L$333))-AI2326,0)</f>
        <v>0</v>
      </c>
      <c r="AK2326" s="196">
        <f>IFERROR($G2326/SUMIF($A:$A,$A2326,$G:$G)*SUMIF(Summary!$A$247:$A$283,$A2326,Summary!$Q$247:$Q$283),0)</f>
        <v>0</v>
      </c>
      <c r="AL2326" s="196">
        <f>IFERROR($G2326/SUMIF($A:$A,$A2326,$G:$G)*(SUMIF(Summary!$A$247:$A$283,$A2326,Summary!$L$247:$L$283)+SUMIF(Summary!$A$297:$A$333,$A2326,Summary!$L$297:$L$333))-AK2326,0)</f>
        <v>0</v>
      </c>
      <c r="AM2326" s="198"/>
      <c r="AN2326" s="196">
        <f t="shared" ca="1" si="516"/>
        <v>0</v>
      </c>
      <c r="AO2326" s="196">
        <f t="shared" ca="1" si="517"/>
        <v>0</v>
      </c>
    </row>
    <row r="2327" spans="1:41">
      <c r="A2327" s="189">
        <v>3665</v>
      </c>
      <c r="B2327" s="190">
        <v>1</v>
      </c>
      <c r="C2327" s="191" t="s">
        <v>232</v>
      </c>
      <c r="D2327" s="192">
        <f t="shared" si="504"/>
        <v>0</v>
      </c>
      <c r="E2327" s="192">
        <f t="shared" si="505"/>
        <v>0</v>
      </c>
      <c r="F2327" s="192">
        <f t="shared" si="506"/>
        <v>0</v>
      </c>
      <c r="G2327" s="193">
        <f t="shared" si="507"/>
        <v>0</v>
      </c>
      <c r="H2327" s="194">
        <v>0</v>
      </c>
      <c r="I2327" s="194">
        <v>0</v>
      </c>
      <c r="J2327" s="194">
        <v>0</v>
      </c>
      <c r="K2327" s="193">
        <f t="shared" si="508"/>
        <v>0</v>
      </c>
      <c r="L2327" s="194">
        <v>0</v>
      </c>
      <c r="M2327" s="194">
        <v>0</v>
      </c>
      <c r="N2327" s="194">
        <v>0</v>
      </c>
      <c r="O2327" s="193">
        <f t="shared" si="509"/>
        <v>0</v>
      </c>
      <c r="P2327" s="194">
        <v>0</v>
      </c>
      <c r="Q2327" s="194">
        <v>0</v>
      </c>
      <c r="R2327" s="194">
        <v>0</v>
      </c>
      <c r="S2327" s="193">
        <f t="shared" si="510"/>
        <v>0</v>
      </c>
      <c r="T2327" s="193">
        <f t="shared" si="511"/>
        <v>0</v>
      </c>
      <c r="U2327" s="193">
        <f ca="1">OFFSET('Expenditure Study'!$B$7,'Operations Support'!$C2327,'Operations Support'!$B2327)*$G2327</f>
        <v>0</v>
      </c>
      <c r="V2327" s="199">
        <f ca="1">U2327*'Expenditure Study'!$B$31</f>
        <v>0</v>
      </c>
      <c r="W2327" s="199">
        <f ca="1">IF(A2327=10298,1.51,1)*IF($B2327&lt;3,$D2327*'Expenditure Study'!$B$32*OFFSET('Expenditure Study'!$B$7,'Operations Support'!$C2327,'Operations Support'!$B2327),0)</f>
        <v>0</v>
      </c>
      <c r="X2327" s="200">
        <f ca="1">W2327*'Expenditure Study'!$B$31</f>
        <v>0</v>
      </c>
      <c r="Y2327" s="199">
        <f ca="1">U2327*'Expenditure Study'!$B$31</f>
        <v>0</v>
      </c>
      <c r="Z2327" s="200">
        <f ca="1">W2327*'Expenditure Study'!$B$31</f>
        <v>0</v>
      </c>
      <c r="AA2327" s="195">
        <f t="shared" ca="1" si="512"/>
        <v>0</v>
      </c>
      <c r="AB2327" s="195">
        <f t="shared" ca="1" si="513"/>
        <v>0</v>
      </c>
      <c r="AD2327" s="196">
        <f>IFERROR($G2327/SUMIF($A:$A,$A2327,$G:$G)*SUMIF(Summary!$A$166:$A$242,$A2327,Summary!$P$166:$P$242),0)</f>
        <v>0</v>
      </c>
      <c r="AE2327" s="197">
        <f t="shared" ca="1" si="514"/>
        <v>0</v>
      </c>
      <c r="AF2327" s="196">
        <f>IFERROR(G2327/SUMIF(A:A,A2327,G:G)*SUMIF(Summary!$A$166:$A$242,'Operations Support'!A2327,Summary!$Q$166:$Q$242),0)</f>
        <v>0</v>
      </c>
      <c r="AG2327" s="196">
        <f t="shared" ca="1" si="515"/>
        <v>0</v>
      </c>
      <c r="AI2327" s="196">
        <f>IFERROR($G2327/SUMIF($A:$A,$A2327,$G:$G)*SUMIF(Summary!$A$247:$A$283,$A2327,Summary!$P$247:$P$283),0)</f>
        <v>0</v>
      </c>
      <c r="AJ2327" s="196">
        <f>IFERROR($G2327/SUMIF($A:$A,$A2327,$G:$G)*(SUMIF(Summary!$A$247:$A$283,$A2327,Summary!$L$247:$L$283)+SUMIF(Summary!$A$297:$A$333,$A2327,Summary!$L$297:$L$333))-AI2327,0)</f>
        <v>0</v>
      </c>
      <c r="AK2327" s="196">
        <f>IFERROR($G2327/SUMIF($A:$A,$A2327,$G:$G)*SUMIF(Summary!$A$247:$A$283,$A2327,Summary!$Q$247:$Q$283),0)</f>
        <v>0</v>
      </c>
      <c r="AL2327" s="196">
        <f>IFERROR($G2327/SUMIF($A:$A,$A2327,$G:$G)*(SUMIF(Summary!$A$247:$A$283,$A2327,Summary!$L$247:$L$283)+SUMIF(Summary!$A$297:$A$333,$A2327,Summary!$L$297:$L$333))-AK2327,0)</f>
        <v>0</v>
      </c>
      <c r="AM2327" s="198"/>
      <c r="AN2327" s="196">
        <f t="shared" ca="1" si="516"/>
        <v>0</v>
      </c>
      <c r="AO2327" s="196">
        <f t="shared" ca="1" si="517"/>
        <v>0</v>
      </c>
    </row>
    <row r="2328" spans="1:41">
      <c r="A2328" s="189">
        <v>3665</v>
      </c>
      <c r="B2328" s="190">
        <v>1</v>
      </c>
      <c r="C2328" s="191" t="s">
        <v>233</v>
      </c>
      <c r="D2328" s="192">
        <f t="shared" si="504"/>
        <v>376</v>
      </c>
      <c r="E2328" s="192">
        <f t="shared" si="505"/>
        <v>671</v>
      </c>
      <c r="F2328" s="192">
        <f t="shared" si="506"/>
        <v>0</v>
      </c>
      <c r="G2328" s="193">
        <f t="shared" si="507"/>
        <v>1047</v>
      </c>
      <c r="H2328" s="194">
        <v>188</v>
      </c>
      <c r="I2328" s="194">
        <v>189</v>
      </c>
      <c r="J2328" s="194">
        <v>0</v>
      </c>
      <c r="K2328" s="193">
        <f t="shared" si="508"/>
        <v>377</v>
      </c>
      <c r="L2328" s="194">
        <v>188</v>
      </c>
      <c r="M2328" s="194">
        <v>410</v>
      </c>
      <c r="N2328" s="194">
        <v>0</v>
      </c>
      <c r="O2328" s="193">
        <f t="shared" si="509"/>
        <v>598</v>
      </c>
      <c r="P2328" s="194">
        <v>0</v>
      </c>
      <c r="Q2328" s="194">
        <v>72</v>
      </c>
      <c r="R2328" s="194">
        <v>0</v>
      </c>
      <c r="S2328" s="193">
        <f t="shared" si="510"/>
        <v>72</v>
      </c>
      <c r="T2328" s="193">
        <f t="shared" si="511"/>
        <v>34.9</v>
      </c>
      <c r="U2328" s="193">
        <f ca="1">OFFSET('Expenditure Study'!$B$7,'Operations Support'!$C2328,'Operations Support'!$B2328)*$G2328</f>
        <v>1005.12</v>
      </c>
      <c r="V2328" s="199">
        <f ca="1">U2328*'Expenditure Study'!$B$31</f>
        <v>59385.686685696004</v>
      </c>
      <c r="W2328" s="199">
        <f ca="1">IF(A2328=10298,1.51,1)*IF($B2328&lt;3,$D2328*'Expenditure Study'!$B$32*OFFSET('Expenditure Study'!$B$7,'Operations Support'!$C2328,'Operations Support'!$B2328),0)</f>
        <v>36.095999999999997</v>
      </c>
      <c r="X2328" s="200">
        <f ca="1">W2328*'Expenditure Study'!$B$31</f>
        <v>2132.6664941567997</v>
      </c>
      <c r="Y2328" s="199">
        <f ca="1">U2328*'Expenditure Study'!$B$31</f>
        <v>59385.686685696004</v>
      </c>
      <c r="Z2328" s="200">
        <f ca="1">W2328*'Expenditure Study'!$B$31</f>
        <v>2132.6664941567997</v>
      </c>
      <c r="AA2328" s="195">
        <f t="shared" ca="1" si="512"/>
        <v>61518.353179852806</v>
      </c>
      <c r="AB2328" s="195">
        <f t="shared" ca="1" si="513"/>
        <v>61518.353179852806</v>
      </c>
      <c r="AD2328" s="196">
        <f>IFERROR($G2328/SUMIF($A:$A,$A2328,$G:$G)*SUMIF(Summary!$A$166:$A$242,$A2328,Summary!$P$166:$P$242),0)</f>
        <v>29143.566769973469</v>
      </c>
      <c r="AE2328" s="197">
        <f t="shared" ca="1" si="514"/>
        <v>32374.786409879336</v>
      </c>
      <c r="AF2328" s="196">
        <f>IFERROR(G2328/SUMIF(A:A,A2328,G:G)*SUMIF(Summary!$A$166:$A$242,'Operations Support'!A2328,Summary!$Q$166:$Q$242),0)</f>
        <v>29225.389347739387</v>
      </c>
      <c r="AG2328" s="196">
        <f t="shared" ca="1" si="515"/>
        <v>32292.963832113419</v>
      </c>
      <c r="AI2328" s="196">
        <f>IFERROR($G2328/SUMIF($A:$A,$A2328,$G:$G)*SUMIF(Summary!$A$247:$A$283,$A2328,Summary!$P$247:$P$283),0)</f>
        <v>5315.0593092412691</v>
      </c>
      <c r="AJ2328" s="196">
        <f>IFERROR($G2328/SUMIF($A:$A,$A2328,$G:$G)*(SUMIF(Summary!$A$247:$A$283,$A2328,Summary!$L$247:$L$283)+SUMIF(Summary!$A$297:$A$333,$A2328,Summary!$L$297:$L$333))-AI2328,0)</f>
        <v>18419.210168366473</v>
      </c>
      <c r="AK2328" s="196">
        <f>IFERROR($G2328/SUMIF($A:$A,$A2328,$G:$G)*SUMIF(Summary!$A$247:$A$283,$A2328,Summary!$Q$247:$Q$283),0)</f>
        <v>5329.9817055661051</v>
      </c>
      <c r="AL2328" s="196">
        <f>IFERROR($G2328/SUMIF($A:$A,$A2328,$G:$G)*(SUMIF(Summary!$A$247:$A$283,$A2328,Summary!$L$247:$L$283)+SUMIF(Summary!$A$297:$A$333,$A2328,Summary!$L$297:$L$333))-AK2328,0)</f>
        <v>18404.287772041636</v>
      </c>
      <c r="AM2328" s="198"/>
      <c r="AN2328" s="196">
        <f t="shared" ca="1" si="516"/>
        <v>50793.996578245809</v>
      </c>
      <c r="AO2328" s="196">
        <f t="shared" ca="1" si="517"/>
        <v>50697.251604155055</v>
      </c>
    </row>
    <row r="2329" spans="1:41">
      <c r="A2329" s="189">
        <v>3665</v>
      </c>
      <c r="B2329" s="190">
        <v>1</v>
      </c>
      <c r="C2329" s="191" t="s">
        <v>234</v>
      </c>
      <c r="D2329" s="192">
        <f t="shared" si="504"/>
        <v>0</v>
      </c>
      <c r="E2329" s="192">
        <f t="shared" si="505"/>
        <v>0</v>
      </c>
      <c r="F2329" s="192">
        <f t="shared" si="506"/>
        <v>0</v>
      </c>
      <c r="G2329" s="193">
        <f t="shared" si="507"/>
        <v>0</v>
      </c>
      <c r="H2329" s="194">
        <v>0</v>
      </c>
      <c r="I2329" s="194">
        <v>0</v>
      </c>
      <c r="J2329" s="194">
        <v>0</v>
      </c>
      <c r="K2329" s="193">
        <f t="shared" si="508"/>
        <v>0</v>
      </c>
      <c r="L2329" s="194">
        <v>0</v>
      </c>
      <c r="M2329" s="194">
        <v>0</v>
      </c>
      <c r="N2329" s="194">
        <v>0</v>
      </c>
      <c r="O2329" s="193">
        <f t="shared" si="509"/>
        <v>0</v>
      </c>
      <c r="P2329" s="194">
        <v>0</v>
      </c>
      <c r="Q2329" s="194">
        <v>0</v>
      </c>
      <c r="R2329" s="194">
        <v>0</v>
      </c>
      <c r="S2329" s="193">
        <f t="shared" si="510"/>
        <v>0</v>
      </c>
      <c r="T2329" s="193">
        <f t="shared" si="511"/>
        <v>0</v>
      </c>
      <c r="U2329" s="193">
        <f ca="1">OFFSET('Expenditure Study'!$B$7,'Operations Support'!$C2329,'Operations Support'!$B2329)*$G2329</f>
        <v>0</v>
      </c>
      <c r="V2329" s="199">
        <f ca="1">U2329*'Expenditure Study'!$B$31</f>
        <v>0</v>
      </c>
      <c r="W2329" s="199">
        <f ca="1">IF(A2329=10298,1.51,1)*IF($B2329&lt;3,$D2329*'Expenditure Study'!$B$32*OFFSET('Expenditure Study'!$B$7,'Operations Support'!$C2329,'Operations Support'!$B2329),0)</f>
        <v>0</v>
      </c>
      <c r="X2329" s="200">
        <f ca="1">W2329*'Expenditure Study'!$B$31</f>
        <v>0</v>
      </c>
      <c r="Y2329" s="199">
        <f ca="1">U2329*'Expenditure Study'!$B$31</f>
        <v>0</v>
      </c>
      <c r="Z2329" s="200">
        <f ca="1">W2329*'Expenditure Study'!$B$31</f>
        <v>0</v>
      </c>
      <c r="AA2329" s="195">
        <f t="shared" ca="1" si="512"/>
        <v>0</v>
      </c>
      <c r="AB2329" s="195">
        <f t="shared" ca="1" si="513"/>
        <v>0</v>
      </c>
      <c r="AD2329" s="196">
        <f>IFERROR($G2329/SUMIF($A:$A,$A2329,$G:$G)*SUMIF(Summary!$A$166:$A$242,$A2329,Summary!$P$166:$P$242),0)</f>
        <v>0</v>
      </c>
      <c r="AE2329" s="197">
        <f t="shared" ca="1" si="514"/>
        <v>0</v>
      </c>
      <c r="AF2329" s="196">
        <f>IFERROR(G2329/SUMIF(A:A,A2329,G:G)*SUMIF(Summary!$A$166:$A$242,'Operations Support'!A2329,Summary!$Q$166:$Q$242),0)</f>
        <v>0</v>
      </c>
      <c r="AG2329" s="196">
        <f t="shared" ca="1" si="515"/>
        <v>0</v>
      </c>
      <c r="AI2329" s="196">
        <f>IFERROR($G2329/SUMIF($A:$A,$A2329,$G:$G)*SUMIF(Summary!$A$247:$A$283,$A2329,Summary!$P$247:$P$283),0)</f>
        <v>0</v>
      </c>
      <c r="AJ2329" s="196">
        <f>IFERROR($G2329/SUMIF($A:$A,$A2329,$G:$G)*(SUMIF(Summary!$A$247:$A$283,$A2329,Summary!$L$247:$L$283)+SUMIF(Summary!$A$297:$A$333,$A2329,Summary!$L$297:$L$333))-AI2329,0)</f>
        <v>0</v>
      </c>
      <c r="AK2329" s="196">
        <f>IFERROR($G2329/SUMIF($A:$A,$A2329,$G:$G)*SUMIF(Summary!$A$247:$A$283,$A2329,Summary!$Q$247:$Q$283),0)</f>
        <v>0</v>
      </c>
      <c r="AL2329" s="196">
        <f>IFERROR($G2329/SUMIF($A:$A,$A2329,$G:$G)*(SUMIF(Summary!$A$247:$A$283,$A2329,Summary!$L$247:$L$283)+SUMIF(Summary!$A$297:$A$333,$A2329,Summary!$L$297:$L$333))-AK2329,0)</f>
        <v>0</v>
      </c>
      <c r="AM2329" s="198"/>
      <c r="AN2329" s="196">
        <f t="shared" ca="1" si="516"/>
        <v>0</v>
      </c>
      <c r="AO2329" s="196">
        <f t="shared" ca="1" si="517"/>
        <v>0</v>
      </c>
    </row>
    <row r="2330" spans="1:41">
      <c r="A2330" s="189">
        <v>3665</v>
      </c>
      <c r="B2330" s="190">
        <v>1</v>
      </c>
      <c r="C2330" s="191" t="s">
        <v>235</v>
      </c>
      <c r="D2330" s="192">
        <f t="shared" si="504"/>
        <v>2088</v>
      </c>
      <c r="E2330" s="192">
        <f t="shared" si="505"/>
        <v>4638</v>
      </c>
      <c r="F2330" s="192">
        <f t="shared" si="506"/>
        <v>0</v>
      </c>
      <c r="G2330" s="193">
        <f t="shared" si="507"/>
        <v>6726</v>
      </c>
      <c r="H2330" s="194">
        <v>843</v>
      </c>
      <c r="I2330" s="194">
        <v>2268</v>
      </c>
      <c r="J2330" s="194">
        <v>0</v>
      </c>
      <c r="K2330" s="193">
        <f t="shared" si="508"/>
        <v>3111</v>
      </c>
      <c r="L2330" s="194">
        <v>987</v>
      </c>
      <c r="M2330" s="194">
        <v>2046</v>
      </c>
      <c r="N2330" s="194">
        <v>0</v>
      </c>
      <c r="O2330" s="193">
        <f t="shared" si="509"/>
        <v>3033</v>
      </c>
      <c r="P2330" s="194">
        <v>258</v>
      </c>
      <c r="Q2330" s="194">
        <v>324</v>
      </c>
      <c r="R2330" s="194">
        <v>0</v>
      </c>
      <c r="S2330" s="193">
        <f t="shared" si="510"/>
        <v>582</v>
      </c>
      <c r="T2330" s="193">
        <f t="shared" si="511"/>
        <v>224.2</v>
      </c>
      <c r="U2330" s="193">
        <f ca="1">OFFSET('Expenditure Study'!$B$7,'Operations Support'!$C2330,'Operations Support'!$B2330)*$G2330</f>
        <v>7398.6</v>
      </c>
      <c r="V2330" s="199">
        <f ca="1">U2330*'Expenditure Study'!$B$31</f>
        <v>437132.82146688004</v>
      </c>
      <c r="W2330" s="199">
        <f ca="1">IF(A2330=10298,1.51,1)*IF($B2330&lt;3,$D2330*'Expenditure Study'!$B$32*OFFSET('Expenditure Study'!$B$7,'Operations Support'!$C2330,'Operations Support'!$B2330),0)</f>
        <v>229.68000000000004</v>
      </c>
      <c r="X2330" s="200">
        <f ca="1">W2330*'Expenditure Study'!$B$31</f>
        <v>13570.224966144002</v>
      </c>
      <c r="Y2330" s="199">
        <f ca="1">U2330*'Expenditure Study'!$B$31</f>
        <v>437132.82146688004</v>
      </c>
      <c r="Z2330" s="200">
        <f ca="1">W2330*'Expenditure Study'!$B$31</f>
        <v>13570.224966144002</v>
      </c>
      <c r="AA2330" s="195">
        <f t="shared" ca="1" si="512"/>
        <v>450703.04643302405</v>
      </c>
      <c r="AB2330" s="195">
        <f t="shared" ca="1" si="513"/>
        <v>450703.04643302405</v>
      </c>
      <c r="AD2330" s="196">
        <f>IFERROR($G2330/SUMIF($A:$A,$A2330,$G:$G)*SUMIF(Summary!$A$166:$A$242,$A2330,Summary!$P$166:$P$242),0)</f>
        <v>187220.27707243702</v>
      </c>
      <c r="AE2330" s="197">
        <f t="shared" ca="1" si="514"/>
        <v>263482.769360587</v>
      </c>
      <c r="AF2330" s="196">
        <f>IFERROR(G2330/SUMIF(A:A,A2330,G:G)*SUMIF(Summary!$A$166:$A$242,'Operations Support'!A2330,Summary!$Q$166:$Q$242),0)</f>
        <v>187745.91093877281</v>
      </c>
      <c r="AG2330" s="196">
        <f t="shared" ca="1" si="515"/>
        <v>262957.13549425127</v>
      </c>
      <c r="AI2330" s="196">
        <f>IFERROR($G2330/SUMIF($A:$A,$A2330,$G:$G)*SUMIF(Summary!$A$247:$A$283,$A2330,Summary!$P$247:$P$283),0)</f>
        <v>34144.306508077156</v>
      </c>
      <c r="AJ2330" s="196">
        <f>IFERROR($G2330/SUMIF($A:$A,$A2330,$G:$G)*(SUMIF(Summary!$A$247:$A$283,$A2330,Summary!$L$247:$L$283)+SUMIF(Summary!$A$297:$A$333,$A2330,Summary!$L$297:$L$333))-AI2330,0)</f>
        <v>118326.2727721422</v>
      </c>
      <c r="AK2330" s="196">
        <f>IFERROR($G2330/SUMIF($A:$A,$A2330,$G:$G)*SUMIF(Summary!$A$247:$A$283,$A2330,Summary!$Q$247:$Q$283),0)</f>
        <v>34240.169008249883</v>
      </c>
      <c r="AL2330" s="196">
        <f>IFERROR($G2330/SUMIF($A:$A,$A2330,$G:$G)*(SUMIF(Summary!$A$247:$A$283,$A2330,Summary!$L$247:$L$283)+SUMIF(Summary!$A$297:$A$333,$A2330,Summary!$L$297:$L$333))-AK2330,0)</f>
        <v>118230.41027196948</v>
      </c>
      <c r="AM2330" s="198"/>
      <c r="AN2330" s="196">
        <f t="shared" ca="1" si="516"/>
        <v>381809.0421327292</v>
      </c>
      <c r="AO2330" s="196">
        <f t="shared" ca="1" si="517"/>
        <v>381187.54576622078</v>
      </c>
    </row>
    <row r="2331" spans="1:41">
      <c r="A2331" s="189">
        <v>3665</v>
      </c>
      <c r="B2331" s="190">
        <v>1</v>
      </c>
      <c r="C2331" s="191" t="s">
        <v>236</v>
      </c>
      <c r="D2331" s="192">
        <f t="shared" si="504"/>
        <v>0</v>
      </c>
      <c r="E2331" s="192">
        <f t="shared" si="505"/>
        <v>0</v>
      </c>
      <c r="F2331" s="192">
        <f t="shared" si="506"/>
        <v>0</v>
      </c>
      <c r="G2331" s="193">
        <f t="shared" si="507"/>
        <v>0</v>
      </c>
      <c r="H2331" s="194">
        <v>0</v>
      </c>
      <c r="I2331" s="194">
        <v>0</v>
      </c>
      <c r="J2331" s="194">
        <v>0</v>
      </c>
      <c r="K2331" s="193">
        <f t="shared" si="508"/>
        <v>0</v>
      </c>
      <c r="L2331" s="194">
        <v>0</v>
      </c>
      <c r="M2331" s="194">
        <v>0</v>
      </c>
      <c r="N2331" s="194">
        <v>0</v>
      </c>
      <c r="O2331" s="193">
        <f t="shared" si="509"/>
        <v>0</v>
      </c>
      <c r="P2331" s="194">
        <v>0</v>
      </c>
      <c r="Q2331" s="194">
        <v>0</v>
      </c>
      <c r="R2331" s="194">
        <v>0</v>
      </c>
      <c r="S2331" s="193">
        <f t="shared" si="510"/>
        <v>0</v>
      </c>
      <c r="T2331" s="193">
        <f t="shared" si="511"/>
        <v>0</v>
      </c>
      <c r="U2331" s="193">
        <f ca="1">OFFSET('Expenditure Study'!$B$7,'Operations Support'!$C2331,'Operations Support'!$B2331)*$G2331</f>
        <v>0</v>
      </c>
      <c r="V2331" s="199">
        <f ca="1">U2331*'Expenditure Study'!$B$31</f>
        <v>0</v>
      </c>
      <c r="W2331" s="199">
        <f ca="1">IF(A2331=10298,1.51,1)*IF($B2331&lt;3,$D2331*'Expenditure Study'!$B$32*OFFSET('Expenditure Study'!$B$7,'Operations Support'!$C2331,'Operations Support'!$B2331),0)</f>
        <v>0</v>
      </c>
      <c r="X2331" s="200">
        <f ca="1">W2331*'Expenditure Study'!$B$31</f>
        <v>0</v>
      </c>
      <c r="Y2331" s="199">
        <f ca="1">U2331*'Expenditure Study'!$B$31</f>
        <v>0</v>
      </c>
      <c r="Z2331" s="200">
        <f ca="1">W2331*'Expenditure Study'!$B$31</f>
        <v>0</v>
      </c>
      <c r="AA2331" s="195">
        <f t="shared" ca="1" si="512"/>
        <v>0</v>
      </c>
      <c r="AB2331" s="195">
        <f t="shared" ca="1" si="513"/>
        <v>0</v>
      </c>
      <c r="AD2331" s="196">
        <f>IFERROR($G2331/SUMIF($A:$A,$A2331,$G:$G)*SUMIF(Summary!$A$166:$A$242,$A2331,Summary!$P$166:$P$242),0)</f>
        <v>0</v>
      </c>
      <c r="AE2331" s="197">
        <f t="shared" ca="1" si="514"/>
        <v>0</v>
      </c>
      <c r="AF2331" s="196">
        <f>IFERROR(G2331/SUMIF(A:A,A2331,G:G)*SUMIF(Summary!$A$166:$A$242,'Operations Support'!A2331,Summary!$Q$166:$Q$242),0)</f>
        <v>0</v>
      </c>
      <c r="AG2331" s="196">
        <f t="shared" ca="1" si="515"/>
        <v>0</v>
      </c>
      <c r="AI2331" s="196">
        <f>IFERROR($G2331/SUMIF($A:$A,$A2331,$G:$G)*SUMIF(Summary!$A$247:$A$283,$A2331,Summary!$P$247:$P$283),0)</f>
        <v>0</v>
      </c>
      <c r="AJ2331" s="196">
        <f>IFERROR($G2331/SUMIF($A:$A,$A2331,$G:$G)*(SUMIF(Summary!$A$247:$A$283,$A2331,Summary!$L$247:$L$283)+SUMIF(Summary!$A$297:$A$333,$A2331,Summary!$L$297:$L$333))-AI2331,0)</f>
        <v>0</v>
      </c>
      <c r="AK2331" s="196">
        <f>IFERROR($G2331/SUMIF($A:$A,$A2331,$G:$G)*SUMIF(Summary!$A$247:$A$283,$A2331,Summary!$Q$247:$Q$283),0)</f>
        <v>0</v>
      </c>
      <c r="AL2331" s="196">
        <f>IFERROR($G2331/SUMIF($A:$A,$A2331,$G:$G)*(SUMIF(Summary!$A$247:$A$283,$A2331,Summary!$L$247:$L$283)+SUMIF(Summary!$A$297:$A$333,$A2331,Summary!$L$297:$L$333))-AK2331,0)</f>
        <v>0</v>
      </c>
      <c r="AM2331" s="198"/>
      <c r="AN2331" s="196">
        <f t="shared" ca="1" si="516"/>
        <v>0</v>
      </c>
      <c r="AO2331" s="196">
        <f t="shared" ca="1" si="517"/>
        <v>0</v>
      </c>
    </row>
    <row r="2332" spans="1:41">
      <c r="A2332" s="189">
        <v>3665</v>
      </c>
      <c r="B2332" s="190">
        <v>1</v>
      </c>
      <c r="C2332" s="191" t="s">
        <v>237</v>
      </c>
      <c r="D2332" s="192">
        <f t="shared" si="504"/>
        <v>0</v>
      </c>
      <c r="E2332" s="192">
        <f t="shared" si="505"/>
        <v>0</v>
      </c>
      <c r="F2332" s="192">
        <f t="shared" si="506"/>
        <v>0</v>
      </c>
      <c r="G2332" s="193">
        <f t="shared" si="507"/>
        <v>0</v>
      </c>
      <c r="H2332" s="194">
        <v>0</v>
      </c>
      <c r="I2332" s="194">
        <v>0</v>
      </c>
      <c r="J2332" s="194">
        <v>0</v>
      </c>
      <c r="K2332" s="193">
        <f t="shared" si="508"/>
        <v>0</v>
      </c>
      <c r="L2332" s="194">
        <v>0</v>
      </c>
      <c r="M2332" s="194">
        <v>0</v>
      </c>
      <c r="N2332" s="194">
        <v>0</v>
      </c>
      <c r="O2332" s="193">
        <f t="shared" si="509"/>
        <v>0</v>
      </c>
      <c r="P2332" s="194">
        <v>0</v>
      </c>
      <c r="Q2332" s="194">
        <v>0</v>
      </c>
      <c r="R2332" s="194">
        <v>0</v>
      </c>
      <c r="S2332" s="193">
        <f t="shared" si="510"/>
        <v>0</v>
      </c>
      <c r="T2332" s="193">
        <f t="shared" si="511"/>
        <v>0</v>
      </c>
      <c r="U2332" s="193">
        <f ca="1">OFFSET('Expenditure Study'!$B$7,'Operations Support'!$C2332,'Operations Support'!$B2332)*$G2332</f>
        <v>0</v>
      </c>
      <c r="V2332" s="199">
        <f ca="1">U2332*'Expenditure Study'!$B$31</f>
        <v>0</v>
      </c>
      <c r="W2332" s="199">
        <f ca="1">IF(A2332=10298,1.51,1)*IF($B2332&lt;3,$D2332*'Expenditure Study'!$B$32*OFFSET('Expenditure Study'!$B$7,'Operations Support'!$C2332,'Operations Support'!$B2332),0)</f>
        <v>0</v>
      </c>
      <c r="X2332" s="200">
        <f ca="1">W2332*'Expenditure Study'!$B$31</f>
        <v>0</v>
      </c>
      <c r="Y2332" s="199">
        <f ca="1">U2332*'Expenditure Study'!$B$31</f>
        <v>0</v>
      </c>
      <c r="Z2332" s="200">
        <f ca="1">W2332*'Expenditure Study'!$B$31</f>
        <v>0</v>
      </c>
      <c r="AA2332" s="195">
        <f t="shared" ca="1" si="512"/>
        <v>0</v>
      </c>
      <c r="AB2332" s="195">
        <f t="shared" ca="1" si="513"/>
        <v>0</v>
      </c>
      <c r="AD2332" s="196">
        <f>IFERROR($G2332/SUMIF($A:$A,$A2332,$G:$G)*SUMIF(Summary!$A$166:$A$242,$A2332,Summary!$P$166:$P$242),0)</f>
        <v>0</v>
      </c>
      <c r="AE2332" s="197">
        <f t="shared" ca="1" si="514"/>
        <v>0</v>
      </c>
      <c r="AF2332" s="196">
        <f>IFERROR(G2332/SUMIF(A:A,A2332,G:G)*SUMIF(Summary!$A$166:$A$242,'Operations Support'!A2332,Summary!$Q$166:$Q$242),0)</f>
        <v>0</v>
      </c>
      <c r="AG2332" s="196">
        <f t="shared" ca="1" si="515"/>
        <v>0</v>
      </c>
      <c r="AI2332" s="196">
        <f>IFERROR($G2332/SUMIF($A:$A,$A2332,$G:$G)*SUMIF(Summary!$A$247:$A$283,$A2332,Summary!$P$247:$P$283),0)</f>
        <v>0</v>
      </c>
      <c r="AJ2332" s="196">
        <f>IFERROR($G2332/SUMIF($A:$A,$A2332,$G:$G)*(SUMIF(Summary!$A$247:$A$283,$A2332,Summary!$L$247:$L$283)+SUMIF(Summary!$A$297:$A$333,$A2332,Summary!$L$297:$L$333))-AI2332,0)</f>
        <v>0</v>
      </c>
      <c r="AK2332" s="196">
        <f>IFERROR($G2332/SUMIF($A:$A,$A2332,$G:$G)*SUMIF(Summary!$A$247:$A$283,$A2332,Summary!$Q$247:$Q$283),0)</f>
        <v>0</v>
      </c>
      <c r="AL2332" s="196">
        <f>IFERROR($G2332/SUMIF($A:$A,$A2332,$G:$G)*(SUMIF(Summary!$A$247:$A$283,$A2332,Summary!$L$247:$L$283)+SUMIF(Summary!$A$297:$A$333,$A2332,Summary!$L$297:$L$333))-AK2332,0)</f>
        <v>0</v>
      </c>
      <c r="AM2332" s="198"/>
      <c r="AN2332" s="196">
        <f t="shared" ca="1" si="516"/>
        <v>0</v>
      </c>
      <c r="AO2332" s="196">
        <f t="shared" ca="1" si="517"/>
        <v>0</v>
      </c>
    </row>
    <row r="2333" spans="1:41">
      <c r="A2333" s="189">
        <v>3665</v>
      </c>
      <c r="B2333" s="190">
        <v>1</v>
      </c>
      <c r="C2333" s="191" t="s">
        <v>238</v>
      </c>
      <c r="D2333" s="192">
        <f t="shared" si="504"/>
        <v>807</v>
      </c>
      <c r="E2333" s="192">
        <f t="shared" si="505"/>
        <v>1692</v>
      </c>
      <c r="F2333" s="192">
        <f t="shared" si="506"/>
        <v>0</v>
      </c>
      <c r="G2333" s="193">
        <f t="shared" si="507"/>
        <v>2499</v>
      </c>
      <c r="H2333" s="194">
        <v>336</v>
      </c>
      <c r="I2333" s="194">
        <v>801</v>
      </c>
      <c r="J2333" s="194">
        <v>0</v>
      </c>
      <c r="K2333" s="193">
        <f t="shared" si="508"/>
        <v>1137</v>
      </c>
      <c r="L2333" s="194">
        <v>471</v>
      </c>
      <c r="M2333" s="194">
        <v>846</v>
      </c>
      <c r="N2333" s="194">
        <v>0</v>
      </c>
      <c r="O2333" s="193">
        <f t="shared" si="509"/>
        <v>1317</v>
      </c>
      <c r="P2333" s="194">
        <v>0</v>
      </c>
      <c r="Q2333" s="194">
        <v>45</v>
      </c>
      <c r="R2333" s="194">
        <v>0</v>
      </c>
      <c r="S2333" s="193">
        <f t="shared" si="510"/>
        <v>45</v>
      </c>
      <c r="T2333" s="193">
        <f t="shared" si="511"/>
        <v>83.3</v>
      </c>
      <c r="U2333" s="193">
        <f ca="1">OFFSET('Expenditure Study'!$B$7,'Operations Support'!$C2333,'Operations Support'!$B2333)*$G2333</f>
        <v>4448.22</v>
      </c>
      <c r="V2333" s="199">
        <f ca="1">U2333*'Expenditure Study'!$B$31</f>
        <v>262814.986498176</v>
      </c>
      <c r="W2333" s="199">
        <f ca="1">IF(A2333=10298,1.51,1)*IF($B2333&lt;3,$D2333*'Expenditure Study'!$B$32*OFFSET('Expenditure Study'!$B$7,'Operations Support'!$C2333,'Operations Support'!$B2333),0)</f>
        <v>143.64600000000002</v>
      </c>
      <c r="X2333" s="200">
        <f ca="1">W2333*'Expenditure Study'!$B$31</f>
        <v>8487.0625891968011</v>
      </c>
      <c r="Y2333" s="199">
        <f ca="1">U2333*'Expenditure Study'!$B$31</f>
        <v>262814.986498176</v>
      </c>
      <c r="Z2333" s="200">
        <f ca="1">W2333*'Expenditure Study'!$B$31</f>
        <v>8487.0625891968011</v>
      </c>
      <c r="AA2333" s="195">
        <f t="shared" ca="1" si="512"/>
        <v>271302.04908737278</v>
      </c>
      <c r="AB2333" s="195">
        <f t="shared" ca="1" si="513"/>
        <v>271302.04908737278</v>
      </c>
      <c r="AD2333" s="196">
        <f>IFERROR($G2333/SUMIF($A:$A,$A2333,$G:$G)*SUMIF(Summary!$A$166:$A$242,$A2333,Summary!$P$166:$P$242),0)</f>
        <v>69560.433006842126</v>
      </c>
      <c r="AE2333" s="197">
        <f t="shared" ca="1" si="514"/>
        <v>201741.61608053066</v>
      </c>
      <c r="AF2333" s="196">
        <f>IFERROR(G2333/SUMIF(A:A,A2333,G:G)*SUMIF(Summary!$A$166:$A$242,'Operations Support'!A2333,Summary!$Q$166:$Q$242),0)</f>
        <v>69755.728729704613</v>
      </c>
      <c r="AG2333" s="196">
        <f t="shared" ca="1" si="515"/>
        <v>201546.32035766816</v>
      </c>
      <c r="AI2333" s="196">
        <f>IFERROR($G2333/SUMIF($A:$A,$A2333,$G:$G)*SUMIF(Summary!$A$247:$A$283,$A2333,Summary!$P$247:$P$283),0)</f>
        <v>12686.087119191914</v>
      </c>
      <c r="AJ2333" s="196">
        <f>IFERROR($G2333/SUMIF($A:$A,$A2333,$G:$G)*(SUMIF(Summary!$A$247:$A$283,$A2333,Summary!$L$247:$L$283)+SUMIF(Summary!$A$297:$A$333,$A2333,Summary!$L$297:$L$333))-AI2333,0)</f>
        <v>43963.329714181295</v>
      </c>
      <c r="AK2333" s="196">
        <f>IFERROR($G2333/SUMIF($A:$A,$A2333,$G:$G)*SUMIF(Summary!$A$247:$A$283,$A2333,Summary!$Q$247:$Q$283),0)</f>
        <v>12721.704185491593</v>
      </c>
      <c r="AL2333" s="196">
        <f>IFERROR($G2333/SUMIF($A:$A,$A2333,$G:$G)*(SUMIF(Summary!$A$247:$A$283,$A2333,Summary!$L$247:$L$283)+SUMIF(Summary!$A$297:$A$333,$A2333,Summary!$L$297:$L$333))-AK2333,0)</f>
        <v>43927.712647881614</v>
      </c>
      <c r="AM2333" s="198"/>
      <c r="AN2333" s="196">
        <f t="shared" ca="1" si="516"/>
        <v>245704.94579471194</v>
      </c>
      <c r="AO2333" s="196">
        <f t="shared" ca="1" si="517"/>
        <v>245474.03300554978</v>
      </c>
    </row>
    <row r="2334" spans="1:41" s="201" customFormat="1">
      <c r="A2334" s="189">
        <v>3665</v>
      </c>
      <c r="B2334" s="190">
        <v>1</v>
      </c>
      <c r="C2334" s="191" t="s">
        <v>239</v>
      </c>
      <c r="D2334" s="192">
        <f t="shared" si="504"/>
        <v>0</v>
      </c>
      <c r="E2334" s="192">
        <f t="shared" si="505"/>
        <v>546</v>
      </c>
      <c r="F2334" s="192">
        <f t="shared" si="506"/>
        <v>0</v>
      </c>
      <c r="G2334" s="193">
        <f t="shared" si="507"/>
        <v>546</v>
      </c>
      <c r="H2334" s="194">
        <v>0</v>
      </c>
      <c r="I2334" s="194">
        <v>222</v>
      </c>
      <c r="J2334" s="194">
        <v>0</v>
      </c>
      <c r="K2334" s="193">
        <f t="shared" si="508"/>
        <v>222</v>
      </c>
      <c r="L2334" s="194">
        <v>0</v>
      </c>
      <c r="M2334" s="194">
        <v>288</v>
      </c>
      <c r="N2334" s="194">
        <v>0</v>
      </c>
      <c r="O2334" s="193">
        <f t="shared" si="509"/>
        <v>288</v>
      </c>
      <c r="P2334" s="194">
        <v>0</v>
      </c>
      <c r="Q2334" s="194">
        <v>36</v>
      </c>
      <c r="R2334" s="194">
        <v>0</v>
      </c>
      <c r="S2334" s="193">
        <f t="shared" si="510"/>
        <v>36</v>
      </c>
      <c r="T2334" s="193">
        <f t="shared" si="511"/>
        <v>18.2</v>
      </c>
      <c r="U2334" s="193">
        <f ca="1">OFFSET('Expenditure Study'!$B$7,'Operations Support'!$C2334,'Operations Support'!$B2334)*$G2334</f>
        <v>846.30000000000007</v>
      </c>
      <c r="V2334" s="199">
        <f ca="1">U2334*'Expenditure Study'!$B$31</f>
        <v>50002.095911040007</v>
      </c>
      <c r="W2334" s="199">
        <f ca="1">IF(A2334=10298,1.51,1)*IF($B2334&lt;3,$D2334*'Expenditure Study'!$B$32*OFFSET('Expenditure Study'!$B$7,'Operations Support'!$C2334,'Operations Support'!$B2334),0)</f>
        <v>0</v>
      </c>
      <c r="X2334" s="200">
        <f ca="1">W2334*'Expenditure Study'!$B$31</f>
        <v>0</v>
      </c>
      <c r="Y2334" s="199">
        <f ca="1">U2334*'Expenditure Study'!$B$31</f>
        <v>50002.095911040007</v>
      </c>
      <c r="Z2334" s="200">
        <f ca="1">W2334*'Expenditure Study'!$B$31</f>
        <v>0</v>
      </c>
      <c r="AA2334" s="195">
        <f t="shared" ca="1" si="512"/>
        <v>50002.095911040007</v>
      </c>
      <c r="AB2334" s="195">
        <f t="shared" ca="1" si="513"/>
        <v>50002.095911040007</v>
      </c>
      <c r="AD2334" s="196">
        <f>IFERROR($G2334/SUMIF($A:$A,$A2334,$G:$G)*SUMIF(Summary!$A$166:$A$242,$A2334,Summary!$P$166:$P$242),0)</f>
        <v>15198.077799814246</v>
      </c>
      <c r="AE2334" s="197">
        <f t="shared" ca="1" si="514"/>
        <v>34804.018111225763</v>
      </c>
      <c r="AF2334" s="196">
        <f>IFERROR(G2334/SUMIF(A:A,A2334,G:G)*SUMIF(Summary!$A$166:$A$242,'Operations Support'!A2334,Summary!$Q$166:$Q$242),0)</f>
        <v>15240.747453548907</v>
      </c>
      <c r="AG2334" s="196">
        <f t="shared" ca="1" si="515"/>
        <v>34761.348457491098</v>
      </c>
      <c r="AH2334" s="180"/>
      <c r="AI2334" s="196">
        <f>IFERROR($G2334/SUMIF($A:$A,$A2334,$G:$G)*SUMIF(Summary!$A$247:$A$283,$A2334,Summary!$P$247:$P$283),0)</f>
        <v>2771.7501268822671</v>
      </c>
      <c r="AJ2334" s="196">
        <f>IFERROR($G2334/SUMIF($A:$A,$A2334,$G:$G)*(SUMIF(Summary!$A$247:$A$283,$A2334,Summary!$L$247:$L$283)+SUMIF(Summary!$A$297:$A$333,$A2334,Summary!$L$297:$L$333))-AI2334,0)</f>
        <v>9605.4333829303669</v>
      </c>
      <c r="AK2334" s="196">
        <f>IFERROR($G2334/SUMIF($A:$A,$A2334,$G:$G)*SUMIF(Summary!$A$247:$A$283,$A2334,Summary!$Q$247:$Q$283),0)</f>
        <v>2779.5320069141299</v>
      </c>
      <c r="AL2334" s="196">
        <f>IFERROR($G2334/SUMIF($A:$A,$A2334,$G:$G)*(SUMIF(Summary!$A$247:$A$283,$A2334,Summary!$L$247:$L$283)+SUMIF(Summary!$A$297:$A$333,$A2334,Summary!$L$297:$L$333))-AK2334,0)</f>
        <v>9597.651502898505</v>
      </c>
      <c r="AM2334" s="198"/>
      <c r="AN2334" s="196">
        <f t="shared" ca="1" si="516"/>
        <v>44409.451494156128</v>
      </c>
      <c r="AO2334" s="196">
        <f t="shared" ca="1" si="517"/>
        <v>44358.999960389599</v>
      </c>
    </row>
    <row r="2335" spans="1:41" s="201" customFormat="1">
      <c r="A2335" s="189">
        <v>3665</v>
      </c>
      <c r="B2335" s="190">
        <v>1</v>
      </c>
      <c r="C2335" s="191" t="s">
        <v>240</v>
      </c>
      <c r="D2335" s="192">
        <f t="shared" si="504"/>
        <v>0</v>
      </c>
      <c r="E2335" s="192">
        <f t="shared" si="505"/>
        <v>387</v>
      </c>
      <c r="F2335" s="192">
        <f t="shared" si="506"/>
        <v>0</v>
      </c>
      <c r="G2335" s="193">
        <f t="shared" si="507"/>
        <v>387</v>
      </c>
      <c r="H2335" s="194">
        <v>0</v>
      </c>
      <c r="I2335" s="194">
        <v>72</v>
      </c>
      <c r="J2335" s="194">
        <v>0</v>
      </c>
      <c r="K2335" s="193">
        <f t="shared" si="508"/>
        <v>72</v>
      </c>
      <c r="L2335" s="194">
        <v>0</v>
      </c>
      <c r="M2335" s="194">
        <v>315</v>
      </c>
      <c r="N2335" s="194">
        <v>0</v>
      </c>
      <c r="O2335" s="193">
        <f t="shared" si="509"/>
        <v>315</v>
      </c>
      <c r="P2335" s="194">
        <v>0</v>
      </c>
      <c r="Q2335" s="194">
        <v>0</v>
      </c>
      <c r="R2335" s="194">
        <v>0</v>
      </c>
      <c r="S2335" s="193">
        <f t="shared" si="510"/>
        <v>0</v>
      </c>
      <c r="T2335" s="193">
        <f t="shared" si="511"/>
        <v>12.9</v>
      </c>
      <c r="U2335" s="193">
        <f ca="1">OFFSET('Expenditure Study'!$B$7,'Operations Support'!$C2335,'Operations Support'!$B2335)*$G2335</f>
        <v>387</v>
      </c>
      <c r="V2335" s="199">
        <f ca="1">U2335*'Expenditure Study'!$B$31</f>
        <v>22865.1909696</v>
      </c>
      <c r="W2335" s="199">
        <f ca="1">IF(A2335=10298,1.51,1)*IF($B2335&lt;3,$D2335*'Expenditure Study'!$B$32*OFFSET('Expenditure Study'!$B$7,'Operations Support'!$C2335,'Operations Support'!$B2335),0)</f>
        <v>0</v>
      </c>
      <c r="X2335" s="200">
        <f ca="1">W2335*'Expenditure Study'!$B$31</f>
        <v>0</v>
      </c>
      <c r="Y2335" s="199">
        <f ca="1">U2335*'Expenditure Study'!$B$31</f>
        <v>22865.1909696</v>
      </c>
      <c r="Z2335" s="200">
        <f ca="1">W2335*'Expenditure Study'!$B$31</f>
        <v>0</v>
      </c>
      <c r="AA2335" s="195">
        <f t="shared" ca="1" si="512"/>
        <v>22865.1909696</v>
      </c>
      <c r="AB2335" s="195">
        <f t="shared" ca="1" si="513"/>
        <v>22865.1909696</v>
      </c>
      <c r="AD2335" s="196">
        <f>IFERROR($G2335/SUMIF($A:$A,$A2335,$G:$G)*SUMIF(Summary!$A$166:$A$242,$A2335,Summary!$P$166:$P$242),0)</f>
        <v>10772.263935033176</v>
      </c>
      <c r="AE2335" s="197">
        <f t="shared" ca="1" si="514"/>
        <v>12092.927034566825</v>
      </c>
      <c r="AF2335" s="196">
        <f>IFERROR(G2335/SUMIF(A:A,A2335,G:G)*SUMIF(Summary!$A$166:$A$242,'Operations Support'!A2335,Summary!$Q$166:$Q$242),0)</f>
        <v>10802.507810482468</v>
      </c>
      <c r="AG2335" s="196">
        <f t="shared" ca="1" si="515"/>
        <v>12062.683159117532</v>
      </c>
      <c r="AH2335" s="180"/>
      <c r="AI2335" s="196">
        <f>IFERROR($G2335/SUMIF($A:$A,$A2335,$G:$G)*SUMIF(Summary!$A$247:$A$283,$A2335,Summary!$P$247:$P$283),0)</f>
        <v>1964.5921229000683</v>
      </c>
      <c r="AJ2335" s="196">
        <f>IFERROR($G2335/SUMIF($A:$A,$A2335,$G:$G)*(SUMIF(Summary!$A$247:$A$283,$A2335,Summary!$L$247:$L$283)+SUMIF(Summary!$A$297:$A$333,$A2335,Summary!$L$297:$L$333))-AI2335,0)</f>
        <v>6808.2467384506435</v>
      </c>
      <c r="AK2335" s="196">
        <f>IFERROR($G2335/SUMIF($A:$A,$A2335,$G:$G)*SUMIF(Summary!$A$247:$A$283,$A2335,Summary!$Q$247:$Q$283),0)</f>
        <v>1970.1078510545206</v>
      </c>
      <c r="AL2335" s="196">
        <f>IFERROR($G2335/SUMIF($A:$A,$A2335,$G:$G)*(SUMIF(Summary!$A$247:$A$283,$A2335,Summary!$L$247:$L$283)+SUMIF(Summary!$A$297:$A$333,$A2335,Summary!$L$297:$L$333))-AK2335,0)</f>
        <v>6802.7310102961919</v>
      </c>
      <c r="AM2335" s="198"/>
      <c r="AN2335" s="196">
        <f t="shared" ca="1" si="516"/>
        <v>18901.173773017468</v>
      </c>
      <c r="AO2335" s="196">
        <f t="shared" ca="1" si="517"/>
        <v>18865.414169413725</v>
      </c>
    </row>
    <row r="2336" spans="1:41">
      <c r="A2336" s="189">
        <v>3665</v>
      </c>
      <c r="B2336" s="190">
        <v>2</v>
      </c>
      <c r="C2336" s="191" t="s">
        <v>220</v>
      </c>
      <c r="D2336" s="192">
        <f t="shared" si="504"/>
        <v>9124</v>
      </c>
      <c r="E2336" s="192">
        <f t="shared" si="505"/>
        <v>8128</v>
      </c>
      <c r="F2336" s="192">
        <f t="shared" si="506"/>
        <v>0</v>
      </c>
      <c r="G2336" s="193">
        <f t="shared" si="507"/>
        <v>17252</v>
      </c>
      <c r="H2336" s="194">
        <v>4175.5</v>
      </c>
      <c r="I2336" s="194">
        <v>3817.5</v>
      </c>
      <c r="J2336" s="194">
        <v>0</v>
      </c>
      <c r="K2336" s="193">
        <f t="shared" si="508"/>
        <v>7993</v>
      </c>
      <c r="L2336" s="194">
        <v>3520.5</v>
      </c>
      <c r="M2336" s="194">
        <v>3536.5</v>
      </c>
      <c r="N2336" s="194">
        <v>0</v>
      </c>
      <c r="O2336" s="193">
        <f t="shared" si="509"/>
        <v>7057</v>
      </c>
      <c r="P2336" s="194">
        <v>1428</v>
      </c>
      <c r="Q2336" s="194">
        <v>774</v>
      </c>
      <c r="R2336" s="194">
        <v>0</v>
      </c>
      <c r="S2336" s="193">
        <f t="shared" si="510"/>
        <v>2202</v>
      </c>
      <c r="T2336" s="193">
        <f t="shared" si="511"/>
        <v>575.06666666666672</v>
      </c>
      <c r="U2336" s="193">
        <f ca="1">OFFSET('Expenditure Study'!$B$7,'Operations Support'!$C2336,'Operations Support'!$B2336)*$G2336</f>
        <v>31743.68</v>
      </c>
      <c r="V2336" s="199">
        <f ca="1">U2336*'Expenditure Study'!$B$31</f>
        <v>1875517.5846973441</v>
      </c>
      <c r="W2336" s="199">
        <f ca="1">IF(A2336=10298,1.51,1)*IF($B2336&lt;3,$D2336*'Expenditure Study'!$B$32*OFFSET('Expenditure Study'!$B$7,'Operations Support'!$C2336,'Operations Support'!$B2336),0)</f>
        <v>1678.8160000000003</v>
      </c>
      <c r="X2336" s="200">
        <f ca="1">W2336*'Expenditure Study'!$B$31</f>
        <v>99189.789257932818</v>
      </c>
      <c r="Y2336" s="199">
        <f ca="1">U2336*'Expenditure Study'!$B$31</f>
        <v>1875517.5846973441</v>
      </c>
      <c r="Z2336" s="200">
        <f ca="1">W2336*'Expenditure Study'!$B$31</f>
        <v>99189.789257932818</v>
      </c>
      <c r="AA2336" s="195">
        <f t="shared" ca="1" si="512"/>
        <v>1974707.373955277</v>
      </c>
      <c r="AB2336" s="195">
        <f t="shared" ca="1" si="513"/>
        <v>1974707.373955277</v>
      </c>
      <c r="AD2336" s="196">
        <f>IFERROR($G2336/SUMIF($A:$A,$A2336,$G:$G)*SUMIF(Summary!$A$166:$A$242,$A2336,Summary!$P$166:$P$242),0)</f>
        <v>480214.72198240913</v>
      </c>
      <c r="AE2336" s="197">
        <f t="shared" ca="1" si="514"/>
        <v>1494492.651972868</v>
      </c>
      <c r="AF2336" s="196">
        <f>IFERROR(G2336/SUMIF(A:A,A2336,G:G)*SUMIF(Summary!$A$166:$A$242,'Operations Support'!A2336,Summary!$Q$166:$Q$242),0)</f>
        <v>481562.95800114603</v>
      </c>
      <c r="AG2336" s="196">
        <f t="shared" ca="1" si="515"/>
        <v>1493144.4159541309</v>
      </c>
      <c r="AI2336" s="196">
        <f>IFERROR($G2336/SUMIF($A:$A,$A2336,$G:$G)*SUMIF(Summary!$A$247:$A$283,$A2336,Summary!$P$247:$P$283),0)</f>
        <v>87579.181664785472</v>
      </c>
      <c r="AJ2336" s="196">
        <f>IFERROR($G2336/SUMIF($A:$A,$A2336,$G:$G)*(SUMIF(Summary!$A$247:$A$283,$A2336,Summary!$L$247:$L$283)+SUMIF(Summary!$A$297:$A$333,$A2336,Summary!$L$297:$L$333))-AI2336,0)</f>
        <v>303503.54711046646</v>
      </c>
      <c r="AK2336" s="196">
        <f>IFERROR($G2336/SUMIF($A:$A,$A2336,$G:$G)*SUMIF(Summary!$A$247:$A$283,$A2336,Summary!$Q$247:$Q$283),0)</f>
        <v>87825.066269748291</v>
      </c>
      <c r="AL2336" s="196">
        <f>IFERROR($G2336/SUMIF($A:$A,$A2336,$G:$G)*(SUMIF(Summary!$A$247:$A$283,$A2336,Summary!$L$247:$L$283)+SUMIF(Summary!$A$297:$A$333,$A2336,Summary!$L$297:$L$333))-AK2336,0)</f>
        <v>303257.66250550363</v>
      </c>
      <c r="AM2336" s="198"/>
      <c r="AN2336" s="196">
        <f t="shared" ca="1" si="516"/>
        <v>1797996.1990833345</v>
      </c>
      <c r="AO2336" s="196">
        <f t="shared" ca="1" si="517"/>
        <v>1796402.0784596344</v>
      </c>
    </row>
    <row r="2337" spans="1:41">
      <c r="A2337" s="189">
        <v>3665</v>
      </c>
      <c r="B2337" s="190">
        <v>2</v>
      </c>
      <c r="C2337" s="191" t="s">
        <v>221</v>
      </c>
      <c r="D2337" s="192">
        <f t="shared" si="504"/>
        <v>5349.5</v>
      </c>
      <c r="E2337" s="192">
        <f t="shared" si="505"/>
        <v>3160.5</v>
      </c>
      <c r="F2337" s="192">
        <f t="shared" si="506"/>
        <v>0</v>
      </c>
      <c r="G2337" s="193">
        <f t="shared" si="507"/>
        <v>8510</v>
      </c>
      <c r="H2337" s="194">
        <v>2321</v>
      </c>
      <c r="I2337" s="194">
        <v>1500</v>
      </c>
      <c r="J2337" s="194">
        <v>0</v>
      </c>
      <c r="K2337" s="193">
        <f t="shared" si="508"/>
        <v>3821</v>
      </c>
      <c r="L2337" s="194">
        <v>2603.5</v>
      </c>
      <c r="M2337" s="194">
        <v>1282.5</v>
      </c>
      <c r="N2337" s="194">
        <v>0</v>
      </c>
      <c r="O2337" s="193">
        <f t="shared" si="509"/>
        <v>3886</v>
      </c>
      <c r="P2337" s="194">
        <v>425</v>
      </c>
      <c r="Q2337" s="194">
        <v>378</v>
      </c>
      <c r="R2337" s="194">
        <v>0</v>
      </c>
      <c r="S2337" s="193">
        <f t="shared" si="510"/>
        <v>803</v>
      </c>
      <c r="T2337" s="193">
        <f t="shared" si="511"/>
        <v>283.66666666666669</v>
      </c>
      <c r="U2337" s="193">
        <f ca="1">OFFSET('Expenditure Study'!$B$7,'Operations Support'!$C2337,'Operations Support'!$B2337)*$G2337</f>
        <v>22381.3</v>
      </c>
      <c r="V2337" s="199">
        <f ca="1">U2337*'Expenditure Study'!$B$31</f>
        <v>1322358.39443904</v>
      </c>
      <c r="W2337" s="199">
        <f ca="1">IF(A2337=10298,1.51,1)*IF($B2337&lt;3,$D2337*'Expenditure Study'!$B$32*OFFSET('Expenditure Study'!$B$7,'Operations Support'!$C2337,'Operations Support'!$B2337),0)</f>
        <v>1406.9185</v>
      </c>
      <c r="X2337" s="200">
        <f ca="1">W2337*'Expenditure Study'!$B$31</f>
        <v>83125.220106364795</v>
      </c>
      <c r="Y2337" s="199">
        <f ca="1">U2337*'Expenditure Study'!$B$31</f>
        <v>1322358.39443904</v>
      </c>
      <c r="Z2337" s="200">
        <f ca="1">W2337*'Expenditure Study'!$B$31</f>
        <v>83125.220106364795</v>
      </c>
      <c r="AA2337" s="195">
        <f t="shared" ca="1" si="512"/>
        <v>1405483.6145454047</v>
      </c>
      <c r="AB2337" s="195">
        <f t="shared" ca="1" si="513"/>
        <v>1405483.6145454047</v>
      </c>
      <c r="AD2337" s="196">
        <f>IFERROR($G2337/SUMIF($A:$A,$A2337,$G:$G)*SUMIF(Summary!$A$166:$A$242,$A2337,Summary!$P$166:$P$242),0)</f>
        <v>236878.46534142719</v>
      </c>
      <c r="AE2337" s="197">
        <f t="shared" ca="1" si="514"/>
        <v>1168605.1492039775</v>
      </c>
      <c r="AF2337" s="196">
        <f>IFERROR(G2337/SUMIF(A:A,A2337,G:G)*SUMIF(Summary!$A$166:$A$242,'Operations Support'!A2337,Summary!$Q$166:$Q$242),0)</f>
        <v>237543.51800311578</v>
      </c>
      <c r="AG2337" s="196">
        <f t="shared" ca="1" si="515"/>
        <v>1167940.096542289</v>
      </c>
      <c r="AI2337" s="196">
        <f>IFERROR($G2337/SUMIF($A:$A,$A2337,$G:$G)*SUMIF(Summary!$A$247:$A$283,$A2337,Summary!$P$247:$P$283),0)</f>
        <v>43200.720842066105</v>
      </c>
      <c r="AJ2337" s="196">
        <f>IFERROR($G2337/SUMIF($A:$A,$A2337,$G:$G)*(SUMIF(Summary!$A$247:$A$283,$A2337,Summary!$L$247:$L$283)+SUMIF(Summary!$A$297:$A$333,$A2337,Summary!$L$297:$L$333))-AI2337,0)</f>
        <v>149711.05877058135</v>
      </c>
      <c r="AK2337" s="196">
        <f>IFERROR($G2337/SUMIF($A:$A,$A2337,$G:$G)*SUMIF(Summary!$A$247:$A$283,$A2337,Summary!$Q$247:$Q$283),0)</f>
        <v>43322.009851353927</v>
      </c>
      <c r="AL2337" s="196">
        <f>IFERROR($G2337/SUMIF($A:$A,$A2337,$G:$G)*(SUMIF(Summary!$A$247:$A$283,$A2337,Summary!$L$247:$L$283)+SUMIF(Summary!$A$297:$A$333,$A2337,Summary!$L$297:$L$333))-AK2337,0)</f>
        <v>149589.76976129354</v>
      </c>
      <c r="AM2337" s="198"/>
      <c r="AN2337" s="196">
        <f t="shared" ca="1" si="516"/>
        <v>1318316.2079745589</v>
      </c>
      <c r="AO2337" s="196">
        <f t="shared" ca="1" si="517"/>
        <v>1317529.8663035827</v>
      </c>
    </row>
    <row r="2338" spans="1:41">
      <c r="A2338" s="189">
        <v>3665</v>
      </c>
      <c r="B2338" s="190">
        <v>2</v>
      </c>
      <c r="C2338" s="191" t="s">
        <v>222</v>
      </c>
      <c r="D2338" s="192">
        <f t="shared" si="504"/>
        <v>2543.5</v>
      </c>
      <c r="E2338" s="192">
        <f t="shared" si="505"/>
        <v>1310.5</v>
      </c>
      <c r="F2338" s="192">
        <f t="shared" si="506"/>
        <v>0</v>
      </c>
      <c r="G2338" s="193">
        <f t="shared" si="507"/>
        <v>3854</v>
      </c>
      <c r="H2338" s="194">
        <v>1164.5</v>
      </c>
      <c r="I2338" s="194">
        <v>754.5</v>
      </c>
      <c r="J2338" s="194">
        <v>0</v>
      </c>
      <c r="K2338" s="193">
        <f t="shared" si="508"/>
        <v>1919</v>
      </c>
      <c r="L2338" s="194">
        <v>1292</v>
      </c>
      <c r="M2338" s="194">
        <v>556</v>
      </c>
      <c r="N2338" s="194">
        <v>0</v>
      </c>
      <c r="O2338" s="193">
        <f t="shared" si="509"/>
        <v>1848</v>
      </c>
      <c r="P2338" s="194">
        <v>87</v>
      </c>
      <c r="Q2338" s="194">
        <v>0</v>
      </c>
      <c r="R2338" s="194">
        <v>0</v>
      </c>
      <c r="S2338" s="193">
        <f t="shared" si="510"/>
        <v>87</v>
      </c>
      <c r="T2338" s="193">
        <f t="shared" si="511"/>
        <v>128.46666666666667</v>
      </c>
      <c r="U2338" s="193">
        <f ca="1">OFFSET('Expenditure Study'!$B$7,'Operations Support'!$C2338,'Operations Support'!$B2338)*$G2338</f>
        <v>10251.640000000001</v>
      </c>
      <c r="V2338" s="199">
        <f ca="1">U2338*'Expenditure Study'!$B$31</f>
        <v>605699.4996165121</v>
      </c>
      <c r="W2338" s="199">
        <f ca="1">IF(A2338=10298,1.51,1)*IF($B2338&lt;3,$D2338*'Expenditure Study'!$B$32*OFFSET('Expenditure Study'!$B$7,'Operations Support'!$C2338,'Operations Support'!$B2338),0)</f>
        <v>676.57100000000014</v>
      </c>
      <c r="X2338" s="200">
        <f ca="1">W2338*'Expenditure Study'!$B$31</f>
        <v>39973.966717036812</v>
      </c>
      <c r="Y2338" s="199">
        <f ca="1">U2338*'Expenditure Study'!$B$31</f>
        <v>605699.4996165121</v>
      </c>
      <c r="Z2338" s="200">
        <f ca="1">W2338*'Expenditure Study'!$B$31</f>
        <v>39973.966717036812</v>
      </c>
      <c r="AA2338" s="195">
        <f t="shared" ca="1" si="512"/>
        <v>645673.46633354889</v>
      </c>
      <c r="AB2338" s="195">
        <f t="shared" ca="1" si="513"/>
        <v>645673.46633354889</v>
      </c>
      <c r="AD2338" s="196">
        <f>IFERROR($G2338/SUMIF($A:$A,$A2338,$G:$G)*SUMIF(Summary!$A$166:$A$242,$A2338,Summary!$P$166:$P$242),0)</f>
        <v>107277.27443312107</v>
      </c>
      <c r="AE2338" s="197">
        <f t="shared" ca="1" si="514"/>
        <v>538396.1919004278</v>
      </c>
      <c r="AF2338" s="196">
        <f>IFERROR(G2338/SUMIF(A:A,A2338,G:G)*SUMIF(Summary!$A$166:$A$242,'Operations Support'!A2338,Summary!$Q$166:$Q$242),0)</f>
        <v>107578.46279483056</v>
      </c>
      <c r="AG2338" s="196">
        <f t="shared" ca="1" si="515"/>
        <v>538095.00353871833</v>
      </c>
      <c r="AI2338" s="196">
        <f>IFERROR($G2338/SUMIF($A:$A,$A2338,$G:$G)*SUMIF(Summary!$A$247:$A$283,$A2338,Summary!$P$247:$P$283),0)</f>
        <v>19564.697782059076</v>
      </c>
      <c r="AJ2338" s="196">
        <f>IFERROR($G2338/SUMIF($A:$A,$A2338,$G:$G)*(SUMIF(Summary!$A$247:$A$283,$A2338,Summary!$L$247:$L$283)+SUMIF(Summary!$A$297:$A$333,$A2338,Summary!$L$297:$L$333))-AI2338,0)</f>
        <v>67800.989483175159</v>
      </c>
      <c r="AK2338" s="196">
        <f>IFERROR($G2338/SUMIF($A:$A,$A2338,$G:$G)*SUMIF(Summary!$A$247:$A$283,$A2338,Summary!$Q$247:$Q$283),0)</f>
        <v>19619.627023163106</v>
      </c>
      <c r="AL2338" s="196">
        <f>IFERROR($G2338/SUMIF($A:$A,$A2338,$G:$G)*(SUMIF(Summary!$A$247:$A$283,$A2338,Summary!$L$247:$L$283)+SUMIF(Summary!$A$297:$A$333,$A2338,Summary!$L$297:$L$333))-AK2338,0)</f>
        <v>67746.060242071122</v>
      </c>
      <c r="AM2338" s="198"/>
      <c r="AN2338" s="196">
        <f t="shared" ca="1" si="516"/>
        <v>606197.18138360302</v>
      </c>
      <c r="AO2338" s="196">
        <f t="shared" ca="1" si="517"/>
        <v>605841.0637807895</v>
      </c>
    </row>
    <row r="2339" spans="1:41">
      <c r="A2339" s="189">
        <v>3665</v>
      </c>
      <c r="B2339" s="190">
        <v>2</v>
      </c>
      <c r="C2339" s="191" t="s">
        <v>223</v>
      </c>
      <c r="D2339" s="192">
        <f t="shared" si="504"/>
        <v>3450</v>
      </c>
      <c r="E2339" s="192">
        <f t="shared" si="505"/>
        <v>2956</v>
      </c>
      <c r="F2339" s="192">
        <f t="shared" si="506"/>
        <v>0</v>
      </c>
      <c r="G2339" s="193">
        <f t="shared" si="507"/>
        <v>6406</v>
      </c>
      <c r="H2339" s="194">
        <v>1392</v>
      </c>
      <c r="I2339" s="194">
        <v>1324</v>
      </c>
      <c r="J2339" s="194">
        <v>0</v>
      </c>
      <c r="K2339" s="193">
        <f t="shared" si="508"/>
        <v>2716</v>
      </c>
      <c r="L2339" s="194">
        <v>1278</v>
      </c>
      <c r="M2339" s="194">
        <v>1323</v>
      </c>
      <c r="N2339" s="194">
        <v>0</v>
      </c>
      <c r="O2339" s="193">
        <f t="shared" si="509"/>
        <v>2601</v>
      </c>
      <c r="P2339" s="194">
        <v>780</v>
      </c>
      <c r="Q2339" s="194">
        <v>309</v>
      </c>
      <c r="R2339" s="194">
        <v>0</v>
      </c>
      <c r="S2339" s="193">
        <f t="shared" si="510"/>
        <v>1089</v>
      </c>
      <c r="T2339" s="193">
        <f t="shared" si="511"/>
        <v>213.53333333333333</v>
      </c>
      <c r="U2339" s="193">
        <f ca="1">OFFSET('Expenditure Study'!$B$7,'Operations Support'!$C2339,'Operations Support'!$B2339)*$G2339</f>
        <v>12171.4</v>
      </c>
      <c r="V2339" s="199">
        <f ca="1">U2339*'Expenditure Study'!$B$31</f>
        <v>719125.02678911993</v>
      </c>
      <c r="W2339" s="199">
        <f ca="1">IF(A2339=10298,1.51,1)*IF($B2339&lt;3,$D2339*'Expenditure Study'!$B$32*OFFSET('Expenditure Study'!$B$7,'Operations Support'!$C2339,'Operations Support'!$B2339),0)</f>
        <v>655.5</v>
      </c>
      <c r="X2339" s="200">
        <f ca="1">W2339*'Expenditure Study'!$B$31</f>
        <v>38729.025014400002</v>
      </c>
      <c r="Y2339" s="199">
        <f ca="1">U2339*'Expenditure Study'!$B$31</f>
        <v>719125.02678911993</v>
      </c>
      <c r="Z2339" s="200">
        <f ca="1">W2339*'Expenditure Study'!$B$31</f>
        <v>38729.025014400002</v>
      </c>
      <c r="AA2339" s="195">
        <f t="shared" ca="1" si="512"/>
        <v>757854.05180351995</v>
      </c>
      <c r="AB2339" s="195">
        <f t="shared" ca="1" si="513"/>
        <v>757854.05180351995</v>
      </c>
      <c r="AD2339" s="196">
        <f>IFERROR($G2339/SUMIF($A:$A,$A2339,$G:$G)*SUMIF(Summary!$A$166:$A$242,$A2339,Summary!$P$166:$P$242),0)</f>
        <v>178312.97872822353</v>
      </c>
      <c r="AE2339" s="197">
        <f t="shared" ca="1" si="514"/>
        <v>579541.07307529636</v>
      </c>
      <c r="AF2339" s="196">
        <f>IFERROR(G2339/SUMIF(A:A,A2339,G:G)*SUMIF(Summary!$A$166:$A$242,'Operations Support'!A2339,Summary!$Q$166:$Q$242),0)</f>
        <v>178813.60473889066</v>
      </c>
      <c r="AG2339" s="196">
        <f t="shared" ca="1" si="515"/>
        <v>579040.44706462929</v>
      </c>
      <c r="AI2339" s="196">
        <f>IFERROR($G2339/SUMIF($A:$A,$A2339,$G:$G)*SUMIF(Summary!$A$247:$A$283,$A2339,Summary!$P$247:$P$283),0)</f>
        <v>32519.837569245057</v>
      </c>
      <c r="AJ2339" s="196">
        <f>IFERROR($G2339/SUMIF($A:$A,$A2339,$G:$G)*(SUMIF(Summary!$A$247:$A$283,$A2339,Summary!$L$247:$L$283)+SUMIF(Summary!$A$297:$A$333,$A2339,Summary!$L$297:$L$333))-AI2339,0)</f>
        <v>112696.71474551636</v>
      </c>
      <c r="AK2339" s="196">
        <f>IFERROR($G2339/SUMIF($A:$A,$A2339,$G:$G)*SUMIF(Summary!$A$247:$A$283,$A2339,Summary!$Q$247:$Q$283),0)</f>
        <v>32611.139260607903</v>
      </c>
      <c r="AL2339" s="196">
        <f>IFERROR($G2339/SUMIF($A:$A,$A2339,$G:$G)*(SUMIF(Summary!$A$247:$A$283,$A2339,Summary!$L$247:$L$283)+SUMIF(Summary!$A$297:$A$333,$A2339,Summary!$L$297:$L$333))-AK2339,0)</f>
        <v>112605.41305415351</v>
      </c>
      <c r="AM2339" s="198"/>
      <c r="AN2339" s="196">
        <f t="shared" ca="1" si="516"/>
        <v>692237.78782081278</v>
      </c>
      <c r="AO2339" s="196">
        <f t="shared" ca="1" si="517"/>
        <v>691645.86011878285</v>
      </c>
    </row>
    <row r="2340" spans="1:41">
      <c r="A2340" s="189">
        <v>3665</v>
      </c>
      <c r="B2340" s="190">
        <v>2</v>
      </c>
      <c r="C2340" s="191" t="s">
        <v>224</v>
      </c>
      <c r="D2340" s="192">
        <f t="shared" si="504"/>
        <v>4539</v>
      </c>
      <c r="E2340" s="192">
        <f t="shared" si="505"/>
        <v>2740</v>
      </c>
      <c r="F2340" s="192">
        <f t="shared" si="506"/>
        <v>0</v>
      </c>
      <c r="G2340" s="193">
        <f t="shared" si="507"/>
        <v>7279</v>
      </c>
      <c r="H2340" s="194">
        <v>1964</v>
      </c>
      <c r="I2340" s="194">
        <v>1533</v>
      </c>
      <c r="J2340" s="194">
        <v>0</v>
      </c>
      <c r="K2340" s="193">
        <f t="shared" si="508"/>
        <v>3497</v>
      </c>
      <c r="L2340" s="194">
        <v>2247</v>
      </c>
      <c r="M2340" s="194">
        <v>1054</v>
      </c>
      <c r="N2340" s="194">
        <v>0</v>
      </c>
      <c r="O2340" s="193">
        <f t="shared" si="509"/>
        <v>3301</v>
      </c>
      <c r="P2340" s="194">
        <v>328</v>
      </c>
      <c r="Q2340" s="194">
        <v>153</v>
      </c>
      <c r="R2340" s="194">
        <v>0</v>
      </c>
      <c r="S2340" s="193">
        <f t="shared" si="510"/>
        <v>481</v>
      </c>
      <c r="T2340" s="193">
        <f t="shared" si="511"/>
        <v>242.63333333333333</v>
      </c>
      <c r="U2340" s="193">
        <f ca="1">OFFSET('Expenditure Study'!$B$7,'Operations Support'!$C2340,'Operations Support'!$B2340)*$G2340</f>
        <v>16523.330000000002</v>
      </c>
      <c r="V2340" s="199">
        <f ca="1">U2340*'Expenditure Study'!$B$31</f>
        <v>976250.89380806417</v>
      </c>
      <c r="W2340" s="199">
        <f ca="1">IF(A2340=10298,1.51,1)*IF($B2340&lt;3,$D2340*'Expenditure Study'!$B$32*OFFSET('Expenditure Study'!$B$7,'Operations Support'!$C2340,'Operations Support'!$B2340),0)</f>
        <v>1030.3530000000001</v>
      </c>
      <c r="X2340" s="200">
        <f ca="1">W2340*'Expenditure Study'!$B$31</f>
        <v>60876.532586822403</v>
      </c>
      <c r="Y2340" s="199">
        <f ca="1">U2340*'Expenditure Study'!$B$31</f>
        <v>976250.89380806417</v>
      </c>
      <c r="Z2340" s="200">
        <f ca="1">W2340*'Expenditure Study'!$B$31</f>
        <v>60876.532586822403</v>
      </c>
      <c r="AA2340" s="195">
        <f t="shared" ca="1" si="512"/>
        <v>1037127.4263948866</v>
      </c>
      <c r="AB2340" s="195">
        <f t="shared" ca="1" si="513"/>
        <v>1037127.4263948866</v>
      </c>
      <c r="AD2340" s="196">
        <f>IFERROR($G2340/SUMIF($A:$A,$A2340,$G:$G)*SUMIF(Summary!$A$166:$A$242,$A2340,Summary!$P$166:$P$242),0)</f>
        <v>202613.20202353093</v>
      </c>
      <c r="AE2340" s="197">
        <f t="shared" ca="1" si="514"/>
        <v>834514.22437135561</v>
      </c>
      <c r="AF2340" s="196">
        <f>IFERROR(G2340/SUMIF(A:A,A2340,G:G)*SUMIF(Summary!$A$166:$A$242,'Operations Support'!A2340,Summary!$Q$166:$Q$242),0)</f>
        <v>203182.05259044413</v>
      </c>
      <c r="AG2340" s="196">
        <f t="shared" ca="1" si="515"/>
        <v>833945.37380444247</v>
      </c>
      <c r="AI2340" s="196">
        <f>IFERROR($G2340/SUMIF($A:$A,$A2340,$G:$G)*SUMIF(Summary!$A$247:$A$283,$A2340,Summary!$P$247:$P$283),0)</f>
        <v>36951.591892996374</v>
      </c>
      <c r="AJ2340" s="196">
        <f>IFERROR($G2340/SUMIF($A:$A,$A2340,$G:$G)*(SUMIF(Summary!$A$247:$A$283,$A2340,Summary!$L$247:$L$283)+SUMIF(Summary!$A$297:$A$333,$A2340,Summary!$L$297:$L$333))-AI2340,0)</f>
        <v>128054.85273690501</v>
      </c>
      <c r="AK2340" s="196">
        <f>IFERROR($G2340/SUMIF($A:$A,$A2340,$G:$G)*SUMIF(Summary!$A$247:$A$283,$A2340,Summary!$Q$247:$Q$283),0)</f>
        <v>37055.336040893679</v>
      </c>
      <c r="AL2340" s="196">
        <f>IFERROR($G2340/SUMIF($A:$A,$A2340,$G:$G)*(SUMIF(Summary!$A$247:$A$283,$A2340,Summary!$L$247:$L$283)+SUMIF(Summary!$A$297:$A$333,$A2340,Summary!$L$297:$L$333))-AK2340,0)</f>
        <v>127951.10858900769</v>
      </c>
      <c r="AM2340" s="198"/>
      <c r="AN2340" s="196">
        <f t="shared" ca="1" si="516"/>
        <v>962569.07710826059</v>
      </c>
      <c r="AO2340" s="196">
        <f t="shared" ca="1" si="517"/>
        <v>961896.4823934501</v>
      </c>
    </row>
    <row r="2341" spans="1:41">
      <c r="A2341" s="189">
        <v>3665</v>
      </c>
      <c r="B2341" s="190">
        <v>2</v>
      </c>
      <c r="C2341" s="191" t="s">
        <v>225</v>
      </c>
      <c r="D2341" s="192">
        <f t="shared" si="504"/>
        <v>1896</v>
      </c>
      <c r="E2341" s="192">
        <f t="shared" si="505"/>
        <v>1115</v>
      </c>
      <c r="F2341" s="192">
        <f t="shared" si="506"/>
        <v>0</v>
      </c>
      <c r="G2341" s="193">
        <f t="shared" si="507"/>
        <v>3011</v>
      </c>
      <c r="H2341" s="194">
        <v>1005</v>
      </c>
      <c r="I2341" s="194">
        <v>546</v>
      </c>
      <c r="J2341" s="194">
        <v>0</v>
      </c>
      <c r="K2341" s="193">
        <f t="shared" si="508"/>
        <v>1551</v>
      </c>
      <c r="L2341" s="194">
        <v>634</v>
      </c>
      <c r="M2341" s="194">
        <v>488</v>
      </c>
      <c r="N2341" s="194">
        <v>0</v>
      </c>
      <c r="O2341" s="193">
        <f t="shared" si="509"/>
        <v>1122</v>
      </c>
      <c r="P2341" s="194">
        <v>257</v>
      </c>
      <c r="Q2341" s="194">
        <v>81</v>
      </c>
      <c r="R2341" s="194">
        <v>0</v>
      </c>
      <c r="S2341" s="193">
        <f t="shared" si="510"/>
        <v>338</v>
      </c>
      <c r="T2341" s="193">
        <f t="shared" si="511"/>
        <v>100.36666666666666</v>
      </c>
      <c r="U2341" s="193">
        <f ca="1">OFFSET('Expenditure Study'!$B$7,'Operations Support'!$C2341,'Operations Support'!$B2341)*$G2341</f>
        <v>8430.7999999999993</v>
      </c>
      <c r="V2341" s="199">
        <f ca="1">U2341*'Expenditure Study'!$B$31</f>
        <v>498118.48068863997</v>
      </c>
      <c r="W2341" s="199">
        <f ca="1">IF(A2341=10298,1.51,1)*IF($B2341&lt;3,$D2341*'Expenditure Study'!$B$32*OFFSET('Expenditure Study'!$B$7,'Operations Support'!$C2341,'Operations Support'!$B2341),0)</f>
        <v>530.88</v>
      </c>
      <c r="X2341" s="200">
        <f ca="1">W2341*'Expenditure Study'!$B$31</f>
        <v>31366.079023104001</v>
      </c>
      <c r="Y2341" s="199">
        <f ca="1">U2341*'Expenditure Study'!$B$31</f>
        <v>498118.48068863997</v>
      </c>
      <c r="Z2341" s="200">
        <f ca="1">W2341*'Expenditure Study'!$B$31</f>
        <v>31366.079023104001</v>
      </c>
      <c r="AA2341" s="195">
        <f t="shared" ca="1" si="512"/>
        <v>529484.55971174396</v>
      </c>
      <c r="AB2341" s="195">
        <f t="shared" ca="1" si="513"/>
        <v>529484.55971174396</v>
      </c>
      <c r="AD2341" s="196">
        <f>IFERROR($G2341/SUMIF($A:$A,$A2341,$G:$G)*SUMIF(Summary!$A$166:$A$242,$A2341,Summary!$P$166:$P$242),0)</f>
        <v>83812.11035758369</v>
      </c>
      <c r="AE2341" s="197">
        <f t="shared" ca="1" si="514"/>
        <v>445672.44935416029</v>
      </c>
      <c r="AF2341" s="196">
        <f>IFERROR(G2341/SUMIF(A:A,A2341,G:G)*SUMIF(Summary!$A$166:$A$242,'Operations Support'!A2341,Summary!$Q$166:$Q$242),0)</f>
        <v>84047.418649516039</v>
      </c>
      <c r="AG2341" s="196">
        <f t="shared" ca="1" si="515"/>
        <v>445437.14106222789</v>
      </c>
      <c r="AI2341" s="196">
        <f>IFERROR($G2341/SUMIF($A:$A,$A2341,$G:$G)*SUMIF(Summary!$A$247:$A$283,$A2341,Summary!$P$247:$P$283),0)</f>
        <v>15285.237421323271</v>
      </c>
      <c r="AJ2341" s="196">
        <f>IFERROR($G2341/SUMIF($A:$A,$A2341,$G:$G)*(SUMIF(Summary!$A$247:$A$283,$A2341,Summary!$L$247:$L$283)+SUMIF(Summary!$A$297:$A$333,$A2341,Summary!$L$297:$L$333))-AI2341,0)</f>
        <v>52970.622556782662</v>
      </c>
      <c r="AK2341" s="196">
        <f>IFERROR($G2341/SUMIF($A:$A,$A2341,$G:$G)*SUMIF(Summary!$A$247:$A$283,$A2341,Summary!$Q$247:$Q$283),0)</f>
        <v>15328.151781718763</v>
      </c>
      <c r="AL2341" s="196">
        <f>IFERROR($G2341/SUMIF($A:$A,$A2341,$G:$G)*(SUMIF(Summary!$A$247:$A$283,$A2341,Summary!$L$247:$L$283)+SUMIF(Summary!$A$297:$A$333,$A2341,Summary!$L$297:$L$333))-AK2341,0)</f>
        <v>52927.708196387168</v>
      </c>
      <c r="AM2341" s="198"/>
      <c r="AN2341" s="196">
        <f t="shared" ca="1" si="516"/>
        <v>498643.07191094296</v>
      </c>
      <c r="AO2341" s="196">
        <f t="shared" ca="1" si="517"/>
        <v>498364.84925861505</v>
      </c>
    </row>
    <row r="2342" spans="1:41">
      <c r="A2342" s="189">
        <v>3665</v>
      </c>
      <c r="B2342" s="190">
        <v>2</v>
      </c>
      <c r="C2342" s="191" t="s">
        <v>226</v>
      </c>
      <c r="D2342" s="192">
        <f t="shared" si="504"/>
        <v>0</v>
      </c>
      <c r="E2342" s="192">
        <f t="shared" si="505"/>
        <v>0</v>
      </c>
      <c r="F2342" s="192">
        <f t="shared" si="506"/>
        <v>0</v>
      </c>
      <c r="G2342" s="193">
        <f t="shared" si="507"/>
        <v>0</v>
      </c>
      <c r="H2342" s="194">
        <v>0</v>
      </c>
      <c r="I2342" s="194">
        <v>0</v>
      </c>
      <c r="J2342" s="194">
        <v>0</v>
      </c>
      <c r="K2342" s="193">
        <f t="shared" si="508"/>
        <v>0</v>
      </c>
      <c r="L2342" s="194">
        <v>0</v>
      </c>
      <c r="M2342" s="194">
        <v>0</v>
      </c>
      <c r="N2342" s="194">
        <v>0</v>
      </c>
      <c r="O2342" s="193">
        <f t="shared" si="509"/>
        <v>0</v>
      </c>
      <c r="P2342" s="194">
        <v>0</v>
      </c>
      <c r="Q2342" s="194">
        <v>0</v>
      </c>
      <c r="R2342" s="194">
        <v>0</v>
      </c>
      <c r="S2342" s="193">
        <f t="shared" si="510"/>
        <v>0</v>
      </c>
      <c r="T2342" s="193">
        <f t="shared" si="511"/>
        <v>0</v>
      </c>
      <c r="U2342" s="193">
        <f ca="1">OFFSET('Expenditure Study'!$B$7,'Operations Support'!$C2342,'Operations Support'!$B2342)*$G2342</f>
        <v>0</v>
      </c>
      <c r="V2342" s="199">
        <f ca="1">U2342*'Expenditure Study'!$B$31</f>
        <v>0</v>
      </c>
      <c r="W2342" s="199">
        <f ca="1">IF(A2342=10298,1.51,1)*IF($B2342&lt;3,$D2342*'Expenditure Study'!$B$32*OFFSET('Expenditure Study'!$B$7,'Operations Support'!$C2342,'Operations Support'!$B2342),0)</f>
        <v>0</v>
      </c>
      <c r="X2342" s="200">
        <f ca="1">W2342*'Expenditure Study'!$B$31</f>
        <v>0</v>
      </c>
      <c r="Y2342" s="199">
        <f ca="1">U2342*'Expenditure Study'!$B$31</f>
        <v>0</v>
      </c>
      <c r="Z2342" s="200">
        <f ca="1">W2342*'Expenditure Study'!$B$31</f>
        <v>0</v>
      </c>
      <c r="AA2342" s="195">
        <f t="shared" ca="1" si="512"/>
        <v>0</v>
      </c>
      <c r="AB2342" s="195">
        <f t="shared" ca="1" si="513"/>
        <v>0</v>
      </c>
      <c r="AD2342" s="196">
        <f>IFERROR($G2342/SUMIF($A:$A,$A2342,$G:$G)*SUMIF(Summary!$A$166:$A$242,$A2342,Summary!$P$166:$P$242),0)</f>
        <v>0</v>
      </c>
      <c r="AE2342" s="197">
        <f t="shared" ca="1" si="514"/>
        <v>0</v>
      </c>
      <c r="AF2342" s="196">
        <f>IFERROR(G2342/SUMIF(A:A,A2342,G:G)*SUMIF(Summary!$A$166:$A$242,'Operations Support'!A2342,Summary!$Q$166:$Q$242),0)</f>
        <v>0</v>
      </c>
      <c r="AG2342" s="196">
        <f t="shared" ca="1" si="515"/>
        <v>0</v>
      </c>
      <c r="AI2342" s="196">
        <f>IFERROR($G2342/SUMIF($A:$A,$A2342,$G:$G)*SUMIF(Summary!$A$247:$A$283,$A2342,Summary!$P$247:$P$283),0)</f>
        <v>0</v>
      </c>
      <c r="AJ2342" s="196">
        <f>IFERROR($G2342/SUMIF($A:$A,$A2342,$G:$G)*(SUMIF(Summary!$A$247:$A$283,$A2342,Summary!$L$247:$L$283)+SUMIF(Summary!$A$297:$A$333,$A2342,Summary!$L$297:$L$333))-AI2342,0)</f>
        <v>0</v>
      </c>
      <c r="AK2342" s="196">
        <f>IFERROR($G2342/SUMIF($A:$A,$A2342,$G:$G)*SUMIF(Summary!$A$247:$A$283,$A2342,Summary!$Q$247:$Q$283),0)</f>
        <v>0</v>
      </c>
      <c r="AL2342" s="196">
        <f>IFERROR($G2342/SUMIF($A:$A,$A2342,$G:$G)*(SUMIF(Summary!$A$247:$A$283,$A2342,Summary!$L$247:$L$283)+SUMIF(Summary!$A$297:$A$333,$A2342,Summary!$L$297:$L$333))-AK2342,0)</f>
        <v>0</v>
      </c>
      <c r="AM2342" s="198"/>
      <c r="AN2342" s="196">
        <f t="shared" ca="1" si="516"/>
        <v>0</v>
      </c>
      <c r="AO2342" s="196">
        <f t="shared" ca="1" si="517"/>
        <v>0</v>
      </c>
    </row>
    <row r="2343" spans="1:41">
      <c r="A2343" s="189">
        <v>3665</v>
      </c>
      <c r="B2343" s="190">
        <v>2</v>
      </c>
      <c r="C2343" s="191" t="s">
        <v>227</v>
      </c>
      <c r="D2343" s="192">
        <f t="shared" si="504"/>
        <v>0</v>
      </c>
      <c r="E2343" s="192">
        <f t="shared" si="505"/>
        <v>0</v>
      </c>
      <c r="F2343" s="192">
        <f t="shared" si="506"/>
        <v>0</v>
      </c>
      <c r="G2343" s="193">
        <f t="shared" si="507"/>
        <v>0</v>
      </c>
      <c r="H2343" s="194">
        <v>0</v>
      </c>
      <c r="I2343" s="194">
        <v>0</v>
      </c>
      <c r="J2343" s="194">
        <v>0</v>
      </c>
      <c r="K2343" s="193">
        <f t="shared" si="508"/>
        <v>0</v>
      </c>
      <c r="L2343" s="194">
        <v>0</v>
      </c>
      <c r="M2343" s="194">
        <v>0</v>
      </c>
      <c r="N2343" s="194">
        <v>0</v>
      </c>
      <c r="O2343" s="193">
        <f t="shared" si="509"/>
        <v>0</v>
      </c>
      <c r="P2343" s="194">
        <v>0</v>
      </c>
      <c r="Q2343" s="194">
        <v>0</v>
      </c>
      <c r="R2343" s="194">
        <v>0</v>
      </c>
      <c r="S2343" s="193">
        <f t="shared" si="510"/>
        <v>0</v>
      </c>
      <c r="T2343" s="193">
        <f t="shared" si="511"/>
        <v>0</v>
      </c>
      <c r="U2343" s="193">
        <f ca="1">OFFSET('Expenditure Study'!$B$7,'Operations Support'!$C2343,'Operations Support'!$B2343)*$G2343</f>
        <v>0</v>
      </c>
      <c r="V2343" s="199">
        <f ca="1">U2343*'Expenditure Study'!$B$31</f>
        <v>0</v>
      </c>
      <c r="W2343" s="199">
        <f ca="1">IF(A2343=10298,1.51,1)*IF($B2343&lt;3,$D2343*'Expenditure Study'!$B$32*OFFSET('Expenditure Study'!$B$7,'Operations Support'!$C2343,'Operations Support'!$B2343),0)</f>
        <v>0</v>
      </c>
      <c r="X2343" s="200">
        <f ca="1">W2343*'Expenditure Study'!$B$31</f>
        <v>0</v>
      </c>
      <c r="Y2343" s="199">
        <f ca="1">U2343*'Expenditure Study'!$B$31</f>
        <v>0</v>
      </c>
      <c r="Z2343" s="200">
        <f ca="1">W2343*'Expenditure Study'!$B$31</f>
        <v>0</v>
      </c>
      <c r="AA2343" s="195">
        <f t="shared" ca="1" si="512"/>
        <v>0</v>
      </c>
      <c r="AB2343" s="195">
        <f t="shared" ca="1" si="513"/>
        <v>0</v>
      </c>
      <c r="AD2343" s="196">
        <f>IFERROR($G2343/SUMIF($A:$A,$A2343,$G:$G)*SUMIF(Summary!$A$166:$A$242,$A2343,Summary!$P$166:$P$242),0)</f>
        <v>0</v>
      </c>
      <c r="AE2343" s="197">
        <f t="shared" ca="1" si="514"/>
        <v>0</v>
      </c>
      <c r="AF2343" s="196">
        <f>IFERROR(G2343/SUMIF(A:A,A2343,G:G)*SUMIF(Summary!$A$166:$A$242,'Operations Support'!A2343,Summary!$Q$166:$Q$242),0)</f>
        <v>0</v>
      </c>
      <c r="AG2343" s="196">
        <f t="shared" ca="1" si="515"/>
        <v>0</v>
      </c>
      <c r="AI2343" s="196">
        <f>IFERROR($G2343/SUMIF($A:$A,$A2343,$G:$G)*SUMIF(Summary!$A$247:$A$283,$A2343,Summary!$P$247:$P$283),0)</f>
        <v>0</v>
      </c>
      <c r="AJ2343" s="196">
        <f>IFERROR($G2343/SUMIF($A:$A,$A2343,$G:$G)*(SUMIF(Summary!$A$247:$A$283,$A2343,Summary!$L$247:$L$283)+SUMIF(Summary!$A$297:$A$333,$A2343,Summary!$L$297:$L$333))-AI2343,0)</f>
        <v>0</v>
      </c>
      <c r="AK2343" s="196">
        <f>IFERROR($G2343/SUMIF($A:$A,$A2343,$G:$G)*SUMIF(Summary!$A$247:$A$283,$A2343,Summary!$Q$247:$Q$283),0)</f>
        <v>0</v>
      </c>
      <c r="AL2343" s="196">
        <f>IFERROR($G2343/SUMIF($A:$A,$A2343,$G:$G)*(SUMIF(Summary!$A$247:$A$283,$A2343,Summary!$L$247:$L$283)+SUMIF(Summary!$A$297:$A$333,$A2343,Summary!$L$297:$L$333))-AK2343,0)</f>
        <v>0</v>
      </c>
      <c r="AM2343" s="198"/>
      <c r="AN2343" s="196">
        <f t="shared" ca="1" si="516"/>
        <v>0</v>
      </c>
      <c r="AO2343" s="196">
        <f t="shared" ca="1" si="517"/>
        <v>0</v>
      </c>
    </row>
    <row r="2344" spans="1:41">
      <c r="A2344" s="189">
        <v>3665</v>
      </c>
      <c r="B2344" s="190">
        <v>2</v>
      </c>
      <c r="C2344" s="191" t="s">
        <v>228</v>
      </c>
      <c r="D2344" s="192">
        <f t="shared" si="504"/>
        <v>225</v>
      </c>
      <c r="E2344" s="192">
        <f t="shared" si="505"/>
        <v>1392</v>
      </c>
      <c r="F2344" s="192">
        <f t="shared" si="506"/>
        <v>0</v>
      </c>
      <c r="G2344" s="193">
        <f t="shared" si="507"/>
        <v>1617</v>
      </c>
      <c r="H2344" s="194">
        <v>0</v>
      </c>
      <c r="I2344" s="194">
        <v>723</v>
      </c>
      <c r="J2344" s="194">
        <v>0</v>
      </c>
      <c r="K2344" s="193">
        <f t="shared" si="508"/>
        <v>723</v>
      </c>
      <c r="L2344" s="194">
        <v>141</v>
      </c>
      <c r="M2344" s="194">
        <v>591</v>
      </c>
      <c r="N2344" s="194">
        <v>0</v>
      </c>
      <c r="O2344" s="193">
        <f t="shared" si="509"/>
        <v>732</v>
      </c>
      <c r="P2344" s="194">
        <v>84</v>
      </c>
      <c r="Q2344" s="194">
        <v>78</v>
      </c>
      <c r="R2344" s="194">
        <v>0</v>
      </c>
      <c r="S2344" s="193">
        <f t="shared" si="510"/>
        <v>162</v>
      </c>
      <c r="T2344" s="193">
        <f t="shared" si="511"/>
        <v>53.9</v>
      </c>
      <c r="U2344" s="193">
        <f ca="1">OFFSET('Expenditure Study'!$B$7,'Operations Support'!$C2344,'Operations Support'!$B2344)*$G2344</f>
        <v>3088.47</v>
      </c>
      <c r="V2344" s="199">
        <f ca="1">U2344*'Expenditure Study'!$B$31</f>
        <v>182476.63140537599</v>
      </c>
      <c r="W2344" s="199">
        <f ca="1">IF(A2344=10298,1.51,1)*IF($B2344&lt;3,$D2344*'Expenditure Study'!$B$32*OFFSET('Expenditure Study'!$B$7,'Operations Support'!$C2344,'Operations Support'!$B2344),0)</f>
        <v>42.975000000000001</v>
      </c>
      <c r="X2344" s="200">
        <f ca="1">W2344*'Expenditure Study'!$B$31</f>
        <v>2539.0996948800002</v>
      </c>
      <c r="Y2344" s="199">
        <f ca="1">U2344*'Expenditure Study'!$B$31</f>
        <v>182476.63140537599</v>
      </c>
      <c r="Z2344" s="200">
        <f ca="1">W2344*'Expenditure Study'!$B$31</f>
        <v>2539.0996948800002</v>
      </c>
      <c r="AA2344" s="195">
        <f t="shared" ca="1" si="512"/>
        <v>185015.73110025597</v>
      </c>
      <c r="AB2344" s="195">
        <f t="shared" ca="1" si="513"/>
        <v>185015.73110025597</v>
      </c>
      <c r="AD2344" s="196">
        <f>IFERROR($G2344/SUMIF($A:$A,$A2344,$G:$G)*SUMIF(Summary!$A$166:$A$242,$A2344,Summary!$P$166:$P$242),0)</f>
        <v>45009.691945603729</v>
      </c>
      <c r="AE2344" s="197">
        <f t="shared" ca="1" si="514"/>
        <v>140006.03915465224</v>
      </c>
      <c r="AF2344" s="196">
        <f>IFERROR(G2344/SUMIF(A:A,A2344,G:G)*SUMIF(Summary!$A$166:$A$242,'Operations Support'!A2344,Summary!$Q$166:$Q$242),0)</f>
        <v>45136.059766279461</v>
      </c>
      <c r="AG2344" s="196">
        <f t="shared" ca="1" si="515"/>
        <v>139879.6713339765</v>
      </c>
      <c r="AI2344" s="196">
        <f>IFERROR($G2344/SUMIF($A:$A,$A2344,$G:$G)*SUMIF(Summary!$A$247:$A$283,$A2344,Summary!$P$247:$P$283),0)</f>
        <v>8208.6446065359432</v>
      </c>
      <c r="AJ2344" s="196">
        <f>IFERROR($G2344/SUMIF($A:$A,$A2344,$G:$G)*(SUMIF(Summary!$A$247:$A$283,$A2344,Summary!$L$247:$L$283)+SUMIF(Summary!$A$297:$A$333,$A2344,Summary!$L$297:$L$333))-AI2344,0)</f>
        <v>28446.86040329378</v>
      </c>
      <c r="AK2344" s="196">
        <f>IFERROR($G2344/SUMIF($A:$A,$A2344,$G:$G)*SUMIF(Summary!$A$247:$A$283,$A2344,Summary!$Q$247:$Q$283),0)</f>
        <v>8231.6909435533853</v>
      </c>
      <c r="AL2344" s="196">
        <f>IFERROR($G2344/SUMIF($A:$A,$A2344,$G:$G)*(SUMIF(Summary!$A$247:$A$283,$A2344,Summary!$L$247:$L$283)+SUMIF(Summary!$A$297:$A$333,$A2344,Summary!$L$297:$L$333))-AK2344,0)</f>
        <v>28423.814066276336</v>
      </c>
      <c r="AM2344" s="198"/>
      <c r="AN2344" s="196">
        <f t="shared" ca="1" si="516"/>
        <v>168452.89955794602</v>
      </c>
      <c r="AO2344" s="196">
        <f t="shared" ca="1" si="517"/>
        <v>168303.48540025283</v>
      </c>
    </row>
    <row r="2345" spans="1:41">
      <c r="A2345" s="189">
        <v>3665</v>
      </c>
      <c r="B2345" s="190">
        <v>2</v>
      </c>
      <c r="C2345" s="191" t="s">
        <v>229</v>
      </c>
      <c r="D2345" s="192">
        <f t="shared" si="504"/>
        <v>6</v>
      </c>
      <c r="E2345" s="192">
        <f t="shared" si="505"/>
        <v>0</v>
      </c>
      <c r="F2345" s="192">
        <f t="shared" si="506"/>
        <v>0</v>
      </c>
      <c r="G2345" s="193">
        <f t="shared" si="507"/>
        <v>6</v>
      </c>
      <c r="H2345" s="194">
        <v>6</v>
      </c>
      <c r="I2345" s="194">
        <v>0</v>
      </c>
      <c r="J2345" s="194">
        <v>0</v>
      </c>
      <c r="K2345" s="193">
        <f t="shared" si="508"/>
        <v>6</v>
      </c>
      <c r="L2345" s="194">
        <v>0</v>
      </c>
      <c r="M2345" s="194">
        <v>0</v>
      </c>
      <c r="N2345" s="194">
        <v>0</v>
      </c>
      <c r="O2345" s="193">
        <f t="shared" si="509"/>
        <v>0</v>
      </c>
      <c r="P2345" s="194">
        <v>0</v>
      </c>
      <c r="Q2345" s="194">
        <v>0</v>
      </c>
      <c r="R2345" s="194">
        <v>0</v>
      </c>
      <c r="S2345" s="193">
        <f t="shared" si="510"/>
        <v>0</v>
      </c>
      <c r="T2345" s="193">
        <f t="shared" si="511"/>
        <v>0.2</v>
      </c>
      <c r="U2345" s="193">
        <f ca="1">OFFSET('Expenditure Study'!$B$7,'Operations Support'!$C2345,'Operations Support'!$B2345)*$G2345</f>
        <v>11.52</v>
      </c>
      <c r="V2345" s="199">
        <f ca="1">U2345*'Expenditure Study'!$B$31</f>
        <v>680.638242816</v>
      </c>
      <c r="W2345" s="199">
        <f ca="1">IF(A2345=10298,1.51,1)*IF($B2345&lt;3,$D2345*'Expenditure Study'!$B$32*OFFSET('Expenditure Study'!$B$7,'Operations Support'!$C2345,'Operations Support'!$B2345),0)</f>
        <v>1.1520000000000001</v>
      </c>
      <c r="X2345" s="200">
        <f ca="1">W2345*'Expenditure Study'!$B$31</f>
        <v>68.063824281600006</v>
      </c>
      <c r="Y2345" s="199">
        <f ca="1">U2345*'Expenditure Study'!$B$31</f>
        <v>680.638242816</v>
      </c>
      <c r="Z2345" s="200">
        <f ca="1">W2345*'Expenditure Study'!$B$31</f>
        <v>68.063824281600006</v>
      </c>
      <c r="AA2345" s="195">
        <f t="shared" ca="1" si="512"/>
        <v>748.70206709759998</v>
      </c>
      <c r="AB2345" s="195">
        <f t="shared" ca="1" si="513"/>
        <v>748.70206709759998</v>
      </c>
      <c r="AD2345" s="196">
        <f>IFERROR($G2345/SUMIF($A:$A,$A2345,$G:$G)*SUMIF(Summary!$A$166:$A$242,$A2345,Summary!$P$166:$P$242),0)</f>
        <v>167.0118439540027</v>
      </c>
      <c r="AE2345" s="197">
        <f t="shared" ca="1" si="514"/>
        <v>581.69022314359722</v>
      </c>
      <c r="AF2345" s="196">
        <f>IFERROR(G2345/SUMIF(A:A,A2345,G:G)*SUMIF(Summary!$A$166:$A$242,'Operations Support'!A2345,Summary!$Q$166:$Q$242),0)</f>
        <v>167.48074124779021</v>
      </c>
      <c r="AG2345" s="196">
        <f t="shared" ca="1" si="515"/>
        <v>581.22132584980977</v>
      </c>
      <c r="AI2345" s="196">
        <f>IFERROR($G2345/SUMIF($A:$A,$A2345,$G:$G)*SUMIF(Summary!$A$247:$A$283,$A2345,Summary!$P$247:$P$283),0)</f>
        <v>30.458792603101834</v>
      </c>
      <c r="AJ2345" s="196">
        <f>IFERROR($G2345/SUMIF($A:$A,$A2345,$G:$G)*(SUMIF(Summary!$A$247:$A$283,$A2345,Summary!$L$247:$L$283)+SUMIF(Summary!$A$297:$A$333,$A2345,Summary!$L$297:$L$333))-AI2345,0)</f>
        <v>105.55421299923481</v>
      </c>
      <c r="AK2345" s="196">
        <f>IFERROR($G2345/SUMIF($A:$A,$A2345,$G:$G)*SUMIF(Summary!$A$247:$A$283,$A2345,Summary!$Q$247:$Q$283),0)</f>
        <v>30.54430776828714</v>
      </c>
      <c r="AL2345" s="196">
        <f>IFERROR($G2345/SUMIF($A:$A,$A2345,$G:$G)*(SUMIF(Summary!$A$247:$A$283,$A2345,Summary!$L$247:$L$283)+SUMIF(Summary!$A$297:$A$333,$A2345,Summary!$L$297:$L$333))-AK2345,0)</f>
        <v>105.46869783404951</v>
      </c>
      <c r="AM2345" s="198"/>
      <c r="AN2345" s="196">
        <f t="shared" ca="1" si="516"/>
        <v>687.244436142832</v>
      </c>
      <c r="AO2345" s="196">
        <f t="shared" ca="1" si="517"/>
        <v>686.69002368385929</v>
      </c>
    </row>
    <row r="2346" spans="1:41">
      <c r="A2346" s="189">
        <v>3665</v>
      </c>
      <c r="B2346" s="190">
        <v>2</v>
      </c>
      <c r="C2346" s="191" t="s">
        <v>230</v>
      </c>
      <c r="D2346" s="192">
        <f t="shared" si="504"/>
        <v>0</v>
      </c>
      <c r="E2346" s="192">
        <f t="shared" si="505"/>
        <v>0</v>
      </c>
      <c r="F2346" s="192">
        <f t="shared" si="506"/>
        <v>0</v>
      </c>
      <c r="G2346" s="193">
        <f t="shared" si="507"/>
        <v>0</v>
      </c>
      <c r="H2346" s="194">
        <v>0</v>
      </c>
      <c r="I2346" s="194">
        <v>0</v>
      </c>
      <c r="J2346" s="194">
        <v>0</v>
      </c>
      <c r="K2346" s="193">
        <f t="shared" si="508"/>
        <v>0</v>
      </c>
      <c r="L2346" s="194">
        <v>0</v>
      </c>
      <c r="M2346" s="194">
        <v>0</v>
      </c>
      <c r="N2346" s="194">
        <v>0</v>
      </c>
      <c r="O2346" s="193">
        <f t="shared" si="509"/>
        <v>0</v>
      </c>
      <c r="P2346" s="194">
        <v>0</v>
      </c>
      <c r="Q2346" s="194">
        <v>0</v>
      </c>
      <c r="R2346" s="194">
        <v>0</v>
      </c>
      <c r="S2346" s="193">
        <f t="shared" si="510"/>
        <v>0</v>
      </c>
      <c r="T2346" s="193">
        <f t="shared" si="511"/>
        <v>0</v>
      </c>
      <c r="U2346" s="193">
        <f ca="1">OFFSET('Expenditure Study'!$B$7,'Operations Support'!$C2346,'Operations Support'!$B2346)*$G2346</f>
        <v>0</v>
      </c>
      <c r="V2346" s="199">
        <f ca="1">U2346*'Expenditure Study'!$B$31</f>
        <v>0</v>
      </c>
      <c r="W2346" s="199">
        <f ca="1">IF(A2346=10298,1.51,1)*IF($B2346&lt;3,$D2346*'Expenditure Study'!$B$32*OFFSET('Expenditure Study'!$B$7,'Operations Support'!$C2346,'Operations Support'!$B2346),0)</f>
        <v>0</v>
      </c>
      <c r="X2346" s="200">
        <f ca="1">W2346*'Expenditure Study'!$B$31</f>
        <v>0</v>
      </c>
      <c r="Y2346" s="199">
        <f ca="1">U2346*'Expenditure Study'!$B$31</f>
        <v>0</v>
      </c>
      <c r="Z2346" s="200">
        <f ca="1">W2346*'Expenditure Study'!$B$31</f>
        <v>0</v>
      </c>
      <c r="AA2346" s="195">
        <f t="shared" ca="1" si="512"/>
        <v>0</v>
      </c>
      <c r="AB2346" s="195">
        <f t="shared" ca="1" si="513"/>
        <v>0</v>
      </c>
      <c r="AD2346" s="196">
        <f>IFERROR($G2346/SUMIF($A:$A,$A2346,$G:$G)*SUMIF(Summary!$A$166:$A$242,$A2346,Summary!$P$166:$P$242),0)</f>
        <v>0</v>
      </c>
      <c r="AE2346" s="197">
        <f t="shared" ca="1" si="514"/>
        <v>0</v>
      </c>
      <c r="AF2346" s="196">
        <f>IFERROR(G2346/SUMIF(A:A,A2346,G:G)*SUMIF(Summary!$A$166:$A$242,'Operations Support'!A2346,Summary!$Q$166:$Q$242),0)</f>
        <v>0</v>
      </c>
      <c r="AG2346" s="196">
        <f t="shared" ca="1" si="515"/>
        <v>0</v>
      </c>
      <c r="AI2346" s="196">
        <f>IFERROR($G2346/SUMIF($A:$A,$A2346,$G:$G)*SUMIF(Summary!$A$247:$A$283,$A2346,Summary!$P$247:$P$283),0)</f>
        <v>0</v>
      </c>
      <c r="AJ2346" s="196">
        <f>IFERROR($G2346/SUMIF($A:$A,$A2346,$G:$G)*(SUMIF(Summary!$A$247:$A$283,$A2346,Summary!$L$247:$L$283)+SUMIF(Summary!$A$297:$A$333,$A2346,Summary!$L$297:$L$333))-AI2346,0)</f>
        <v>0</v>
      </c>
      <c r="AK2346" s="196">
        <f>IFERROR($G2346/SUMIF($A:$A,$A2346,$G:$G)*SUMIF(Summary!$A$247:$A$283,$A2346,Summary!$Q$247:$Q$283),0)</f>
        <v>0</v>
      </c>
      <c r="AL2346" s="196">
        <f>IFERROR($G2346/SUMIF($A:$A,$A2346,$G:$G)*(SUMIF(Summary!$A$247:$A$283,$A2346,Summary!$L$247:$L$283)+SUMIF(Summary!$A$297:$A$333,$A2346,Summary!$L$297:$L$333))-AK2346,0)</f>
        <v>0</v>
      </c>
      <c r="AM2346" s="198"/>
      <c r="AN2346" s="196">
        <f t="shared" ca="1" si="516"/>
        <v>0</v>
      </c>
      <c r="AO2346" s="196">
        <f t="shared" ca="1" si="517"/>
        <v>0</v>
      </c>
    </row>
    <row r="2347" spans="1:41">
      <c r="A2347" s="189">
        <v>3665</v>
      </c>
      <c r="B2347" s="190">
        <v>2</v>
      </c>
      <c r="C2347" s="191" t="s">
        <v>231</v>
      </c>
      <c r="D2347" s="192">
        <f t="shared" si="504"/>
        <v>81</v>
      </c>
      <c r="E2347" s="192">
        <f t="shared" si="505"/>
        <v>0</v>
      </c>
      <c r="F2347" s="192">
        <f t="shared" si="506"/>
        <v>0</v>
      </c>
      <c r="G2347" s="193">
        <f t="shared" si="507"/>
        <v>81</v>
      </c>
      <c r="H2347" s="194">
        <v>27</v>
      </c>
      <c r="I2347" s="194">
        <v>0</v>
      </c>
      <c r="J2347" s="194">
        <v>0</v>
      </c>
      <c r="K2347" s="193">
        <f t="shared" si="508"/>
        <v>27</v>
      </c>
      <c r="L2347" s="194">
        <v>54</v>
      </c>
      <c r="M2347" s="194">
        <v>0</v>
      </c>
      <c r="N2347" s="194">
        <v>0</v>
      </c>
      <c r="O2347" s="193">
        <f t="shared" si="509"/>
        <v>54</v>
      </c>
      <c r="P2347" s="194">
        <v>0</v>
      </c>
      <c r="Q2347" s="194">
        <v>0</v>
      </c>
      <c r="R2347" s="194">
        <v>0</v>
      </c>
      <c r="S2347" s="193">
        <f t="shared" si="510"/>
        <v>0</v>
      </c>
      <c r="T2347" s="193">
        <f t="shared" si="511"/>
        <v>2.7</v>
      </c>
      <c r="U2347" s="193">
        <f ca="1">OFFSET('Expenditure Study'!$B$7,'Operations Support'!$C2347,'Operations Support'!$B2347)*$G2347</f>
        <v>285.12</v>
      </c>
      <c r="V2347" s="199">
        <f ca="1">U2347*'Expenditure Study'!$B$31</f>
        <v>16845.796509696</v>
      </c>
      <c r="W2347" s="199">
        <f ca="1">IF(A2347=10298,1.51,1)*IF($B2347&lt;3,$D2347*'Expenditure Study'!$B$32*OFFSET('Expenditure Study'!$B$7,'Operations Support'!$C2347,'Operations Support'!$B2347),0)</f>
        <v>28.512</v>
      </c>
      <c r="X2347" s="200">
        <f ca="1">W2347*'Expenditure Study'!$B$31</f>
        <v>1684.5796509696002</v>
      </c>
      <c r="Y2347" s="199">
        <f ca="1">U2347*'Expenditure Study'!$B$31</f>
        <v>16845.796509696</v>
      </c>
      <c r="Z2347" s="200">
        <f ca="1">W2347*'Expenditure Study'!$B$31</f>
        <v>1684.5796509696002</v>
      </c>
      <c r="AA2347" s="195">
        <f t="shared" ca="1" si="512"/>
        <v>18530.376160665601</v>
      </c>
      <c r="AB2347" s="195">
        <f t="shared" ca="1" si="513"/>
        <v>18530.376160665601</v>
      </c>
      <c r="AD2347" s="196">
        <f>IFERROR($G2347/SUMIF($A:$A,$A2347,$G:$G)*SUMIF(Summary!$A$166:$A$242,$A2347,Summary!$P$166:$P$242),0)</f>
        <v>2254.6598933790365</v>
      </c>
      <c r="AE2347" s="197">
        <f t="shared" ca="1" si="514"/>
        <v>16275.716267286563</v>
      </c>
      <c r="AF2347" s="196">
        <f>IFERROR(G2347/SUMIF(A:A,A2347,G:G)*SUMIF(Summary!$A$166:$A$242,'Operations Support'!A2347,Summary!$Q$166:$Q$242),0)</f>
        <v>2260.9900068451675</v>
      </c>
      <c r="AG2347" s="196">
        <f t="shared" ca="1" si="515"/>
        <v>16269.386153820433</v>
      </c>
      <c r="AI2347" s="196">
        <f>IFERROR($G2347/SUMIF($A:$A,$A2347,$G:$G)*SUMIF(Summary!$A$247:$A$283,$A2347,Summary!$P$247:$P$283),0)</f>
        <v>411.19370014187473</v>
      </c>
      <c r="AJ2347" s="196">
        <f>IFERROR($G2347/SUMIF($A:$A,$A2347,$G:$G)*(SUMIF(Summary!$A$247:$A$283,$A2347,Summary!$L$247:$L$283)+SUMIF(Summary!$A$297:$A$333,$A2347,Summary!$L$297:$L$333))-AI2347,0)</f>
        <v>1424.9818754896696</v>
      </c>
      <c r="AK2347" s="196">
        <f>IFERROR($G2347/SUMIF($A:$A,$A2347,$G:$G)*SUMIF(Summary!$A$247:$A$283,$A2347,Summary!$Q$247:$Q$283),0)</f>
        <v>412.34815487187637</v>
      </c>
      <c r="AL2347" s="196">
        <f>IFERROR($G2347/SUMIF($A:$A,$A2347,$G:$G)*(SUMIF(Summary!$A$247:$A$283,$A2347,Summary!$L$247:$L$283)+SUMIF(Summary!$A$297:$A$333,$A2347,Summary!$L$297:$L$333))-AK2347,0)</f>
        <v>1423.827420759668</v>
      </c>
      <c r="AM2347" s="198"/>
      <c r="AN2347" s="196">
        <f t="shared" ca="1" si="516"/>
        <v>17700.698142776233</v>
      </c>
      <c r="AO2347" s="196">
        <f t="shared" ca="1" si="517"/>
        <v>17693.213574580102</v>
      </c>
    </row>
    <row r="2348" spans="1:41">
      <c r="A2348" s="189">
        <v>3665</v>
      </c>
      <c r="B2348" s="190">
        <v>2</v>
      </c>
      <c r="C2348" s="191" t="s">
        <v>232</v>
      </c>
      <c r="D2348" s="192">
        <f t="shared" si="504"/>
        <v>0</v>
      </c>
      <c r="E2348" s="192">
        <f t="shared" si="505"/>
        <v>0</v>
      </c>
      <c r="F2348" s="192">
        <f t="shared" si="506"/>
        <v>0</v>
      </c>
      <c r="G2348" s="193">
        <f t="shared" si="507"/>
        <v>0</v>
      </c>
      <c r="H2348" s="194">
        <v>0</v>
      </c>
      <c r="I2348" s="194">
        <v>0</v>
      </c>
      <c r="J2348" s="194">
        <v>0</v>
      </c>
      <c r="K2348" s="193">
        <f t="shared" si="508"/>
        <v>0</v>
      </c>
      <c r="L2348" s="194">
        <v>0</v>
      </c>
      <c r="M2348" s="194">
        <v>0</v>
      </c>
      <c r="N2348" s="194">
        <v>0</v>
      </c>
      <c r="O2348" s="193">
        <f t="shared" si="509"/>
        <v>0</v>
      </c>
      <c r="P2348" s="194">
        <v>0</v>
      </c>
      <c r="Q2348" s="194">
        <v>0</v>
      </c>
      <c r="R2348" s="194">
        <v>0</v>
      </c>
      <c r="S2348" s="193">
        <f t="shared" si="510"/>
        <v>0</v>
      </c>
      <c r="T2348" s="193">
        <f t="shared" si="511"/>
        <v>0</v>
      </c>
      <c r="U2348" s="193">
        <f ca="1">OFFSET('Expenditure Study'!$B$7,'Operations Support'!$C2348,'Operations Support'!$B2348)*$G2348</f>
        <v>0</v>
      </c>
      <c r="V2348" s="199">
        <f ca="1">U2348*'Expenditure Study'!$B$31</f>
        <v>0</v>
      </c>
      <c r="W2348" s="199">
        <f ca="1">IF(A2348=10298,1.51,1)*IF($B2348&lt;3,$D2348*'Expenditure Study'!$B$32*OFFSET('Expenditure Study'!$B$7,'Operations Support'!$C2348,'Operations Support'!$B2348),0)</f>
        <v>0</v>
      </c>
      <c r="X2348" s="200">
        <f ca="1">W2348*'Expenditure Study'!$B$31</f>
        <v>0</v>
      </c>
      <c r="Y2348" s="199">
        <f ca="1">U2348*'Expenditure Study'!$B$31</f>
        <v>0</v>
      </c>
      <c r="Z2348" s="200">
        <f ca="1">W2348*'Expenditure Study'!$B$31</f>
        <v>0</v>
      </c>
      <c r="AA2348" s="195">
        <f t="shared" ca="1" si="512"/>
        <v>0</v>
      </c>
      <c r="AB2348" s="195">
        <f t="shared" ca="1" si="513"/>
        <v>0</v>
      </c>
      <c r="AD2348" s="196">
        <f>IFERROR($G2348/SUMIF($A:$A,$A2348,$G:$G)*SUMIF(Summary!$A$166:$A$242,$A2348,Summary!$P$166:$P$242),0)</f>
        <v>0</v>
      </c>
      <c r="AE2348" s="197">
        <f t="shared" ca="1" si="514"/>
        <v>0</v>
      </c>
      <c r="AF2348" s="196">
        <f>IFERROR(G2348/SUMIF(A:A,A2348,G:G)*SUMIF(Summary!$A$166:$A$242,'Operations Support'!A2348,Summary!$Q$166:$Q$242),0)</f>
        <v>0</v>
      </c>
      <c r="AG2348" s="196">
        <f t="shared" ca="1" si="515"/>
        <v>0</v>
      </c>
      <c r="AI2348" s="196">
        <f>IFERROR($G2348/SUMIF($A:$A,$A2348,$G:$G)*SUMIF(Summary!$A$247:$A$283,$A2348,Summary!$P$247:$P$283),0)</f>
        <v>0</v>
      </c>
      <c r="AJ2348" s="196">
        <f>IFERROR($G2348/SUMIF($A:$A,$A2348,$G:$G)*(SUMIF(Summary!$A$247:$A$283,$A2348,Summary!$L$247:$L$283)+SUMIF(Summary!$A$297:$A$333,$A2348,Summary!$L$297:$L$333))-AI2348,0)</f>
        <v>0</v>
      </c>
      <c r="AK2348" s="196">
        <f>IFERROR($G2348/SUMIF($A:$A,$A2348,$G:$G)*SUMIF(Summary!$A$247:$A$283,$A2348,Summary!$Q$247:$Q$283),0)</f>
        <v>0</v>
      </c>
      <c r="AL2348" s="196">
        <f>IFERROR($G2348/SUMIF($A:$A,$A2348,$G:$G)*(SUMIF(Summary!$A$247:$A$283,$A2348,Summary!$L$247:$L$283)+SUMIF(Summary!$A$297:$A$333,$A2348,Summary!$L$297:$L$333))-AK2348,0)</f>
        <v>0</v>
      </c>
      <c r="AM2348" s="198"/>
      <c r="AN2348" s="196">
        <f t="shared" ca="1" si="516"/>
        <v>0</v>
      </c>
      <c r="AO2348" s="196">
        <f t="shared" ca="1" si="517"/>
        <v>0</v>
      </c>
    </row>
    <row r="2349" spans="1:41">
      <c r="A2349" s="189">
        <v>3665</v>
      </c>
      <c r="B2349" s="190">
        <v>2</v>
      </c>
      <c r="C2349" s="191" t="s">
        <v>233</v>
      </c>
      <c r="D2349" s="192">
        <f t="shared" si="504"/>
        <v>771</v>
      </c>
      <c r="E2349" s="192">
        <f t="shared" si="505"/>
        <v>1837</v>
      </c>
      <c r="F2349" s="192">
        <f t="shared" si="506"/>
        <v>0</v>
      </c>
      <c r="G2349" s="193">
        <f t="shared" si="507"/>
        <v>2608</v>
      </c>
      <c r="H2349" s="194">
        <v>361</v>
      </c>
      <c r="I2349" s="194">
        <v>845</v>
      </c>
      <c r="J2349" s="194">
        <v>0</v>
      </c>
      <c r="K2349" s="193">
        <f t="shared" si="508"/>
        <v>1206</v>
      </c>
      <c r="L2349" s="194">
        <v>222</v>
      </c>
      <c r="M2349" s="194">
        <v>665</v>
      </c>
      <c r="N2349" s="194">
        <v>0</v>
      </c>
      <c r="O2349" s="193">
        <f t="shared" si="509"/>
        <v>887</v>
      </c>
      <c r="P2349" s="194">
        <v>188</v>
      </c>
      <c r="Q2349" s="194">
        <v>327</v>
      </c>
      <c r="R2349" s="194">
        <v>0</v>
      </c>
      <c r="S2349" s="193">
        <f t="shared" si="510"/>
        <v>515</v>
      </c>
      <c r="T2349" s="193">
        <f t="shared" si="511"/>
        <v>86.933333333333337</v>
      </c>
      <c r="U2349" s="193">
        <f ca="1">OFFSET('Expenditure Study'!$B$7,'Operations Support'!$C2349,'Operations Support'!$B2349)*$G2349</f>
        <v>4198.88</v>
      </c>
      <c r="V2349" s="199">
        <f ca="1">U2349*'Expenditure Study'!$B$31</f>
        <v>248083.18619750402</v>
      </c>
      <c r="W2349" s="199">
        <f ca="1">IF(A2349=10298,1.51,1)*IF($B2349&lt;3,$D2349*'Expenditure Study'!$B$32*OFFSET('Expenditure Study'!$B$7,'Operations Support'!$C2349,'Operations Support'!$B2349),0)</f>
        <v>124.13100000000001</v>
      </c>
      <c r="X2349" s="200">
        <f ca="1">W2349*'Expenditure Study'!$B$31</f>
        <v>7334.0543158848013</v>
      </c>
      <c r="Y2349" s="199">
        <f ca="1">U2349*'Expenditure Study'!$B$31</f>
        <v>248083.18619750402</v>
      </c>
      <c r="Z2349" s="200">
        <f ca="1">W2349*'Expenditure Study'!$B$31</f>
        <v>7334.0543158848013</v>
      </c>
      <c r="AA2349" s="195">
        <f t="shared" ca="1" si="512"/>
        <v>255417.24051338882</v>
      </c>
      <c r="AB2349" s="195">
        <f t="shared" ca="1" si="513"/>
        <v>255417.24051338882</v>
      </c>
      <c r="AD2349" s="196">
        <f>IFERROR($G2349/SUMIF($A:$A,$A2349,$G:$G)*SUMIF(Summary!$A$166:$A$242,$A2349,Summary!$P$166:$P$242),0)</f>
        <v>72594.481505339849</v>
      </c>
      <c r="AE2349" s="197">
        <f t="shared" ca="1" si="514"/>
        <v>182822.75900804898</v>
      </c>
      <c r="AF2349" s="196">
        <f>IFERROR(G2349/SUMIF(A:A,A2349,G:G)*SUMIF(Summary!$A$166:$A$242,'Operations Support'!A2349,Summary!$Q$166:$Q$242),0)</f>
        <v>72798.295529039475</v>
      </c>
      <c r="AG2349" s="196">
        <f t="shared" ca="1" si="515"/>
        <v>182618.94498434936</v>
      </c>
      <c r="AI2349" s="196">
        <f>IFERROR($G2349/SUMIF($A:$A,$A2349,$G:$G)*SUMIF(Summary!$A$247:$A$283,$A2349,Summary!$P$247:$P$283),0)</f>
        <v>13239.421851481597</v>
      </c>
      <c r="AJ2349" s="196">
        <f>IFERROR($G2349/SUMIF($A:$A,$A2349,$G:$G)*(SUMIF(Summary!$A$247:$A$283,$A2349,Summary!$L$247:$L$283)+SUMIF(Summary!$A$297:$A$333,$A2349,Summary!$L$297:$L$333))-AI2349,0)</f>
        <v>45880.89791700073</v>
      </c>
      <c r="AK2349" s="196">
        <f>IFERROR($G2349/SUMIF($A:$A,$A2349,$G:$G)*SUMIF(Summary!$A$247:$A$283,$A2349,Summary!$Q$247:$Q$283),0)</f>
        <v>13276.592443282145</v>
      </c>
      <c r="AL2349" s="196">
        <f>IFERROR($G2349/SUMIF($A:$A,$A2349,$G:$G)*(SUMIF(Summary!$A$247:$A$283,$A2349,Summary!$L$247:$L$283)+SUMIF(Summary!$A$297:$A$333,$A2349,Summary!$L$297:$L$333))-AK2349,0)</f>
        <v>45843.727325200176</v>
      </c>
      <c r="AM2349" s="198"/>
      <c r="AN2349" s="196">
        <f t="shared" ca="1" si="516"/>
        <v>228703.6569250497</v>
      </c>
      <c r="AO2349" s="196">
        <f t="shared" ca="1" si="517"/>
        <v>228462.67230954953</v>
      </c>
    </row>
    <row r="2350" spans="1:41">
      <c r="A2350" s="189">
        <v>3665</v>
      </c>
      <c r="B2350" s="190">
        <v>2</v>
      </c>
      <c r="C2350" s="191" t="s">
        <v>234</v>
      </c>
      <c r="D2350" s="192">
        <f t="shared" si="504"/>
        <v>0</v>
      </c>
      <c r="E2350" s="192">
        <f t="shared" si="505"/>
        <v>0</v>
      </c>
      <c r="F2350" s="192">
        <f t="shared" si="506"/>
        <v>0</v>
      </c>
      <c r="G2350" s="193">
        <f t="shared" si="507"/>
        <v>0</v>
      </c>
      <c r="H2350" s="194">
        <v>0</v>
      </c>
      <c r="I2350" s="194">
        <v>0</v>
      </c>
      <c r="J2350" s="194">
        <v>0</v>
      </c>
      <c r="K2350" s="193">
        <f t="shared" si="508"/>
        <v>0</v>
      </c>
      <c r="L2350" s="194">
        <v>0</v>
      </c>
      <c r="M2350" s="194">
        <v>0</v>
      </c>
      <c r="N2350" s="194">
        <v>0</v>
      </c>
      <c r="O2350" s="193">
        <f t="shared" si="509"/>
        <v>0</v>
      </c>
      <c r="P2350" s="194">
        <v>0</v>
      </c>
      <c r="Q2350" s="194">
        <v>0</v>
      </c>
      <c r="R2350" s="194">
        <v>0</v>
      </c>
      <c r="S2350" s="193">
        <f t="shared" si="510"/>
        <v>0</v>
      </c>
      <c r="T2350" s="193">
        <f t="shared" si="511"/>
        <v>0</v>
      </c>
      <c r="U2350" s="193">
        <f ca="1">OFFSET('Expenditure Study'!$B$7,'Operations Support'!$C2350,'Operations Support'!$B2350)*$G2350</f>
        <v>0</v>
      </c>
      <c r="V2350" s="199">
        <f ca="1">U2350*'Expenditure Study'!$B$31</f>
        <v>0</v>
      </c>
      <c r="W2350" s="199">
        <f ca="1">IF(A2350=10298,1.51,1)*IF($B2350&lt;3,$D2350*'Expenditure Study'!$B$32*OFFSET('Expenditure Study'!$B$7,'Operations Support'!$C2350,'Operations Support'!$B2350),0)</f>
        <v>0</v>
      </c>
      <c r="X2350" s="200">
        <f ca="1">W2350*'Expenditure Study'!$B$31</f>
        <v>0</v>
      </c>
      <c r="Y2350" s="199">
        <f ca="1">U2350*'Expenditure Study'!$B$31</f>
        <v>0</v>
      </c>
      <c r="Z2350" s="200">
        <f ca="1">W2350*'Expenditure Study'!$B$31</f>
        <v>0</v>
      </c>
      <c r="AA2350" s="195">
        <f t="shared" ca="1" si="512"/>
        <v>0</v>
      </c>
      <c r="AB2350" s="195">
        <f t="shared" ca="1" si="513"/>
        <v>0</v>
      </c>
      <c r="AD2350" s="196">
        <f>IFERROR($G2350/SUMIF($A:$A,$A2350,$G:$G)*SUMIF(Summary!$A$166:$A$242,$A2350,Summary!$P$166:$P$242),0)</f>
        <v>0</v>
      </c>
      <c r="AE2350" s="197">
        <f t="shared" ca="1" si="514"/>
        <v>0</v>
      </c>
      <c r="AF2350" s="196">
        <f>IFERROR(G2350/SUMIF(A:A,A2350,G:G)*SUMIF(Summary!$A$166:$A$242,'Operations Support'!A2350,Summary!$Q$166:$Q$242),0)</f>
        <v>0</v>
      </c>
      <c r="AG2350" s="196">
        <f t="shared" ca="1" si="515"/>
        <v>0</v>
      </c>
      <c r="AI2350" s="196">
        <f>IFERROR($G2350/SUMIF($A:$A,$A2350,$G:$G)*SUMIF(Summary!$A$247:$A$283,$A2350,Summary!$P$247:$P$283),0)</f>
        <v>0</v>
      </c>
      <c r="AJ2350" s="196">
        <f>IFERROR($G2350/SUMIF($A:$A,$A2350,$G:$G)*(SUMIF(Summary!$A$247:$A$283,$A2350,Summary!$L$247:$L$283)+SUMIF(Summary!$A$297:$A$333,$A2350,Summary!$L$297:$L$333))-AI2350,0)</f>
        <v>0</v>
      </c>
      <c r="AK2350" s="196">
        <f>IFERROR($G2350/SUMIF($A:$A,$A2350,$G:$G)*SUMIF(Summary!$A$247:$A$283,$A2350,Summary!$Q$247:$Q$283),0)</f>
        <v>0</v>
      </c>
      <c r="AL2350" s="196">
        <f>IFERROR($G2350/SUMIF($A:$A,$A2350,$G:$G)*(SUMIF(Summary!$A$247:$A$283,$A2350,Summary!$L$247:$L$283)+SUMIF(Summary!$A$297:$A$333,$A2350,Summary!$L$297:$L$333))-AK2350,0)</f>
        <v>0</v>
      </c>
      <c r="AM2350" s="198"/>
      <c r="AN2350" s="196">
        <f t="shared" ca="1" si="516"/>
        <v>0</v>
      </c>
      <c r="AO2350" s="196">
        <f t="shared" ca="1" si="517"/>
        <v>0</v>
      </c>
    </row>
    <row r="2351" spans="1:41">
      <c r="A2351" s="189">
        <v>3665</v>
      </c>
      <c r="B2351" s="190">
        <v>2</v>
      </c>
      <c r="C2351" s="191" t="s">
        <v>235</v>
      </c>
      <c r="D2351" s="192">
        <f t="shared" si="504"/>
        <v>8824</v>
      </c>
      <c r="E2351" s="192">
        <f t="shared" si="505"/>
        <v>10860</v>
      </c>
      <c r="F2351" s="192">
        <f t="shared" si="506"/>
        <v>0</v>
      </c>
      <c r="G2351" s="193">
        <f t="shared" si="507"/>
        <v>19684</v>
      </c>
      <c r="H2351" s="194">
        <v>3628</v>
      </c>
      <c r="I2351" s="194">
        <v>4608</v>
      </c>
      <c r="J2351" s="194">
        <v>0</v>
      </c>
      <c r="K2351" s="193">
        <f t="shared" si="508"/>
        <v>8236</v>
      </c>
      <c r="L2351" s="194">
        <v>3765</v>
      </c>
      <c r="M2351" s="194">
        <v>5034</v>
      </c>
      <c r="N2351" s="194">
        <v>0</v>
      </c>
      <c r="O2351" s="193">
        <f t="shared" si="509"/>
        <v>8799</v>
      </c>
      <c r="P2351" s="194">
        <v>1431</v>
      </c>
      <c r="Q2351" s="194">
        <v>1218</v>
      </c>
      <c r="R2351" s="194">
        <v>0</v>
      </c>
      <c r="S2351" s="193">
        <f t="shared" si="510"/>
        <v>2649</v>
      </c>
      <c r="T2351" s="193">
        <f t="shared" si="511"/>
        <v>656.13333333333333</v>
      </c>
      <c r="U2351" s="193">
        <f ca="1">OFFSET('Expenditure Study'!$B$7,'Operations Support'!$C2351,'Operations Support'!$B2351)*$G2351</f>
        <v>36809.08</v>
      </c>
      <c r="V2351" s="199">
        <f ca="1">U2351*'Expenditure Study'!$B$31</f>
        <v>2174797.5287216641</v>
      </c>
      <c r="W2351" s="199">
        <f ca="1">IF(A2351=10298,1.51,1)*IF($B2351&lt;3,$D2351*'Expenditure Study'!$B$32*OFFSET('Expenditure Study'!$B$7,'Operations Support'!$C2351,'Operations Support'!$B2351),0)</f>
        <v>1650.0880000000002</v>
      </c>
      <c r="X2351" s="200">
        <f ca="1">W2351*'Expenditure Study'!$B$31</f>
        <v>97492.447639910417</v>
      </c>
      <c r="Y2351" s="199">
        <f ca="1">U2351*'Expenditure Study'!$B$31</f>
        <v>2174797.5287216641</v>
      </c>
      <c r="Z2351" s="200">
        <f ca="1">W2351*'Expenditure Study'!$B$31</f>
        <v>97492.447639910417</v>
      </c>
      <c r="AA2351" s="195">
        <f t="shared" ca="1" si="512"/>
        <v>2272289.9763615746</v>
      </c>
      <c r="AB2351" s="195">
        <f t="shared" ca="1" si="513"/>
        <v>2272289.9763615746</v>
      </c>
      <c r="AD2351" s="196">
        <f>IFERROR($G2351/SUMIF($A:$A,$A2351,$G:$G)*SUMIF(Summary!$A$166:$A$242,$A2351,Summary!$P$166:$P$242),0)</f>
        <v>547910.18939843145</v>
      </c>
      <c r="AE2351" s="197">
        <f t="shared" ca="1" si="514"/>
        <v>1724379.7869631432</v>
      </c>
      <c r="AF2351" s="196">
        <f>IFERROR(G2351/SUMIF(A:A,A2351,G:G)*SUMIF(Summary!$A$166:$A$242,'Operations Support'!A2351,Summary!$Q$166:$Q$242),0)</f>
        <v>549448.48512025038</v>
      </c>
      <c r="AG2351" s="196">
        <f t="shared" ca="1" si="515"/>
        <v>1722841.4912413242</v>
      </c>
      <c r="AI2351" s="196">
        <f>IFERROR($G2351/SUMIF($A:$A,$A2351,$G:$G)*SUMIF(Summary!$A$247:$A$283,$A2351,Summary!$P$247:$P$283),0)</f>
        <v>99925.145599909403</v>
      </c>
      <c r="AJ2351" s="196">
        <f>IFERROR($G2351/SUMIF($A:$A,$A2351,$G:$G)*(SUMIF(Summary!$A$247:$A$283,$A2351,Summary!$L$247:$L$283)+SUMIF(Summary!$A$297:$A$333,$A2351,Summary!$L$297:$L$333))-AI2351,0)</f>
        <v>346288.18811282294</v>
      </c>
      <c r="AK2351" s="196">
        <f>IFERROR($G2351/SUMIF($A:$A,$A2351,$G:$G)*SUMIF(Summary!$A$247:$A$283,$A2351,Summary!$Q$247:$Q$283),0)</f>
        <v>100205.69235182734</v>
      </c>
      <c r="AL2351" s="196">
        <f>IFERROR($G2351/SUMIF($A:$A,$A2351,$G:$G)*(SUMIF(Summary!$A$247:$A$283,$A2351,Summary!$L$247:$L$283)+SUMIF(Summary!$A$297:$A$333,$A2351,Summary!$L$297:$L$333))-AK2351,0)</f>
        <v>346007.64136090502</v>
      </c>
      <c r="AM2351" s="198"/>
      <c r="AN2351" s="196">
        <f t="shared" ca="1" si="516"/>
        <v>2070667.9750759662</v>
      </c>
      <c r="AO2351" s="196">
        <f t="shared" ca="1" si="517"/>
        <v>2068849.1326022292</v>
      </c>
    </row>
    <row r="2352" spans="1:41">
      <c r="A2352" s="189">
        <v>3665</v>
      </c>
      <c r="B2352" s="190">
        <v>2</v>
      </c>
      <c r="C2352" s="191" t="s">
        <v>236</v>
      </c>
      <c r="D2352" s="192">
        <f t="shared" si="504"/>
        <v>0</v>
      </c>
      <c r="E2352" s="192">
        <f t="shared" si="505"/>
        <v>0</v>
      </c>
      <c r="F2352" s="192">
        <f t="shared" si="506"/>
        <v>0</v>
      </c>
      <c r="G2352" s="193">
        <f t="shared" si="507"/>
        <v>0</v>
      </c>
      <c r="H2352" s="194">
        <v>0</v>
      </c>
      <c r="I2352" s="194">
        <v>0</v>
      </c>
      <c r="J2352" s="194">
        <v>0</v>
      </c>
      <c r="K2352" s="193">
        <f t="shared" si="508"/>
        <v>0</v>
      </c>
      <c r="L2352" s="194">
        <v>0</v>
      </c>
      <c r="M2352" s="194">
        <v>0</v>
      </c>
      <c r="N2352" s="194">
        <v>0</v>
      </c>
      <c r="O2352" s="193">
        <f t="shared" si="509"/>
        <v>0</v>
      </c>
      <c r="P2352" s="194">
        <v>0</v>
      </c>
      <c r="Q2352" s="194">
        <v>0</v>
      </c>
      <c r="R2352" s="194">
        <v>0</v>
      </c>
      <c r="S2352" s="193">
        <f t="shared" si="510"/>
        <v>0</v>
      </c>
      <c r="T2352" s="193">
        <f t="shared" si="511"/>
        <v>0</v>
      </c>
      <c r="U2352" s="193">
        <f ca="1">OFFSET('Expenditure Study'!$B$7,'Operations Support'!$C2352,'Operations Support'!$B2352)*$G2352</f>
        <v>0</v>
      </c>
      <c r="V2352" s="199">
        <f ca="1">U2352*'Expenditure Study'!$B$31</f>
        <v>0</v>
      </c>
      <c r="W2352" s="199">
        <f ca="1">IF(A2352=10298,1.51,1)*IF($B2352&lt;3,$D2352*'Expenditure Study'!$B$32*OFFSET('Expenditure Study'!$B$7,'Operations Support'!$C2352,'Operations Support'!$B2352),0)</f>
        <v>0</v>
      </c>
      <c r="X2352" s="200">
        <f ca="1">W2352*'Expenditure Study'!$B$31</f>
        <v>0</v>
      </c>
      <c r="Y2352" s="199">
        <f ca="1">U2352*'Expenditure Study'!$B$31</f>
        <v>0</v>
      </c>
      <c r="Z2352" s="200">
        <f ca="1">W2352*'Expenditure Study'!$B$31</f>
        <v>0</v>
      </c>
      <c r="AA2352" s="195">
        <f t="shared" ca="1" si="512"/>
        <v>0</v>
      </c>
      <c r="AB2352" s="195">
        <f t="shared" ca="1" si="513"/>
        <v>0</v>
      </c>
      <c r="AD2352" s="196">
        <f>IFERROR($G2352/SUMIF($A:$A,$A2352,$G:$G)*SUMIF(Summary!$A$166:$A$242,$A2352,Summary!$P$166:$P$242),0)</f>
        <v>0</v>
      </c>
      <c r="AE2352" s="197">
        <f t="shared" ca="1" si="514"/>
        <v>0</v>
      </c>
      <c r="AF2352" s="196">
        <f>IFERROR(G2352/SUMIF(A:A,A2352,G:G)*SUMIF(Summary!$A$166:$A$242,'Operations Support'!A2352,Summary!$Q$166:$Q$242),0)</f>
        <v>0</v>
      </c>
      <c r="AG2352" s="196">
        <f t="shared" ca="1" si="515"/>
        <v>0</v>
      </c>
      <c r="AI2352" s="196">
        <f>IFERROR($G2352/SUMIF($A:$A,$A2352,$G:$G)*SUMIF(Summary!$A$247:$A$283,$A2352,Summary!$P$247:$P$283),0)</f>
        <v>0</v>
      </c>
      <c r="AJ2352" s="196">
        <f>IFERROR($G2352/SUMIF($A:$A,$A2352,$G:$G)*(SUMIF(Summary!$A$247:$A$283,$A2352,Summary!$L$247:$L$283)+SUMIF(Summary!$A$297:$A$333,$A2352,Summary!$L$297:$L$333))-AI2352,0)</f>
        <v>0</v>
      </c>
      <c r="AK2352" s="196">
        <f>IFERROR($G2352/SUMIF($A:$A,$A2352,$G:$G)*SUMIF(Summary!$A$247:$A$283,$A2352,Summary!$Q$247:$Q$283),0)</f>
        <v>0</v>
      </c>
      <c r="AL2352" s="196">
        <f>IFERROR($G2352/SUMIF($A:$A,$A2352,$G:$G)*(SUMIF(Summary!$A$247:$A$283,$A2352,Summary!$L$247:$L$283)+SUMIF(Summary!$A$297:$A$333,$A2352,Summary!$L$297:$L$333))-AK2352,0)</f>
        <v>0</v>
      </c>
      <c r="AM2352" s="198"/>
      <c r="AN2352" s="196">
        <f t="shared" ca="1" si="516"/>
        <v>0</v>
      </c>
      <c r="AO2352" s="196">
        <f t="shared" ca="1" si="517"/>
        <v>0</v>
      </c>
    </row>
    <row r="2353" spans="1:41">
      <c r="A2353" s="189">
        <v>3665</v>
      </c>
      <c r="B2353" s="190">
        <v>2</v>
      </c>
      <c r="C2353" s="191" t="s">
        <v>237</v>
      </c>
      <c r="D2353" s="192">
        <f t="shared" si="504"/>
        <v>85.5</v>
      </c>
      <c r="E2353" s="192">
        <f t="shared" si="505"/>
        <v>733.5</v>
      </c>
      <c r="F2353" s="192">
        <f t="shared" si="506"/>
        <v>0</v>
      </c>
      <c r="G2353" s="193">
        <f t="shared" si="507"/>
        <v>819</v>
      </c>
      <c r="H2353" s="194">
        <v>30</v>
      </c>
      <c r="I2353" s="194">
        <v>459</v>
      </c>
      <c r="J2353" s="194">
        <v>0</v>
      </c>
      <c r="K2353" s="193">
        <f t="shared" si="508"/>
        <v>489</v>
      </c>
      <c r="L2353" s="194">
        <v>55.5</v>
      </c>
      <c r="M2353" s="194">
        <v>274.5</v>
      </c>
      <c r="N2353" s="194">
        <v>0</v>
      </c>
      <c r="O2353" s="193">
        <f t="shared" si="509"/>
        <v>330</v>
      </c>
      <c r="P2353" s="194">
        <v>0</v>
      </c>
      <c r="Q2353" s="194">
        <v>0</v>
      </c>
      <c r="R2353" s="194">
        <v>0</v>
      </c>
      <c r="S2353" s="193">
        <f t="shared" si="510"/>
        <v>0</v>
      </c>
      <c r="T2353" s="193">
        <f t="shared" si="511"/>
        <v>27.3</v>
      </c>
      <c r="U2353" s="193">
        <f ca="1">OFFSET('Expenditure Study'!$B$7,'Operations Support'!$C2353,'Operations Support'!$B2353)*$G2353</f>
        <v>1916.4599999999998</v>
      </c>
      <c r="V2353" s="199">
        <f ca="1">U2353*'Expenditure Study'!$B$31</f>
        <v>113230.55267596799</v>
      </c>
      <c r="W2353" s="199">
        <f ca="1">IF(A2353=10298,1.51,1)*IF($B2353&lt;3,$D2353*'Expenditure Study'!$B$32*OFFSET('Expenditure Study'!$B$7,'Operations Support'!$C2353,'Operations Support'!$B2353),0)</f>
        <v>20.007000000000001</v>
      </c>
      <c r="X2353" s="200">
        <f ca="1">W2353*'Expenditure Study'!$B$31</f>
        <v>1182.0771982656001</v>
      </c>
      <c r="Y2353" s="199">
        <f ca="1">U2353*'Expenditure Study'!$B$31</f>
        <v>113230.55267596799</v>
      </c>
      <c r="Z2353" s="200">
        <f ca="1">W2353*'Expenditure Study'!$B$31</f>
        <v>1182.0771982656001</v>
      </c>
      <c r="AA2353" s="195">
        <f t="shared" ca="1" si="512"/>
        <v>114412.62987423359</v>
      </c>
      <c r="AB2353" s="195">
        <f t="shared" ca="1" si="513"/>
        <v>114412.62987423359</v>
      </c>
      <c r="AD2353" s="196">
        <f>IFERROR($G2353/SUMIF($A:$A,$A2353,$G:$G)*SUMIF(Summary!$A$166:$A$242,$A2353,Summary!$P$166:$P$242),0)</f>
        <v>22797.11669972137</v>
      </c>
      <c r="AE2353" s="197">
        <f t="shared" ca="1" si="514"/>
        <v>91615.51317451222</v>
      </c>
      <c r="AF2353" s="196">
        <f>IFERROR(G2353/SUMIF(A:A,A2353,G:G)*SUMIF(Summary!$A$166:$A$242,'Operations Support'!A2353,Summary!$Q$166:$Q$242),0)</f>
        <v>22861.12118032336</v>
      </c>
      <c r="AG2353" s="196">
        <f t="shared" ca="1" si="515"/>
        <v>91551.508693910233</v>
      </c>
      <c r="AI2353" s="196">
        <f>IFERROR($G2353/SUMIF($A:$A,$A2353,$G:$G)*SUMIF(Summary!$A$247:$A$283,$A2353,Summary!$P$247:$P$283),0)</f>
        <v>4157.6251903233997</v>
      </c>
      <c r="AJ2353" s="196">
        <f>IFERROR($G2353/SUMIF($A:$A,$A2353,$G:$G)*(SUMIF(Summary!$A$247:$A$283,$A2353,Summary!$L$247:$L$283)+SUMIF(Summary!$A$297:$A$333,$A2353,Summary!$L$297:$L$333))-AI2353,0)</f>
        <v>14408.150074395551</v>
      </c>
      <c r="AK2353" s="196">
        <f>IFERROR($G2353/SUMIF($A:$A,$A2353,$G:$G)*SUMIF(Summary!$A$247:$A$283,$A2353,Summary!$Q$247:$Q$283),0)</f>
        <v>4169.2980103711943</v>
      </c>
      <c r="AL2353" s="196">
        <f>IFERROR($G2353/SUMIF($A:$A,$A2353,$G:$G)*(SUMIF(Summary!$A$247:$A$283,$A2353,Summary!$L$247:$L$283)+SUMIF(Summary!$A$297:$A$333,$A2353,Summary!$L$297:$L$333))-AK2353,0)</f>
        <v>14396.477254347757</v>
      </c>
      <c r="AM2353" s="198"/>
      <c r="AN2353" s="196">
        <f t="shared" ca="1" si="516"/>
        <v>106023.66324890777</v>
      </c>
      <c r="AO2353" s="196">
        <f t="shared" ca="1" si="517"/>
        <v>105947.98594825799</v>
      </c>
    </row>
    <row r="2354" spans="1:41">
      <c r="A2354" s="189">
        <v>3665</v>
      </c>
      <c r="B2354" s="190">
        <v>2</v>
      </c>
      <c r="C2354" s="191" t="s">
        <v>238</v>
      </c>
      <c r="D2354" s="192">
        <f t="shared" si="504"/>
        <v>1047</v>
      </c>
      <c r="E2354" s="192">
        <f t="shared" si="505"/>
        <v>1408</v>
      </c>
      <c r="F2354" s="192">
        <f t="shared" si="506"/>
        <v>0</v>
      </c>
      <c r="G2354" s="193">
        <f t="shared" si="507"/>
        <v>2455</v>
      </c>
      <c r="H2354" s="194">
        <v>378</v>
      </c>
      <c r="I2354" s="194">
        <v>667</v>
      </c>
      <c r="J2354" s="194">
        <v>0</v>
      </c>
      <c r="K2354" s="193">
        <f t="shared" si="508"/>
        <v>1045</v>
      </c>
      <c r="L2354" s="194">
        <v>627</v>
      </c>
      <c r="M2354" s="194">
        <v>681</v>
      </c>
      <c r="N2354" s="194">
        <v>0</v>
      </c>
      <c r="O2354" s="193">
        <f t="shared" si="509"/>
        <v>1308</v>
      </c>
      <c r="P2354" s="194">
        <v>42</v>
      </c>
      <c r="Q2354" s="194">
        <v>60</v>
      </c>
      <c r="R2354" s="194">
        <v>0</v>
      </c>
      <c r="S2354" s="193">
        <f t="shared" si="510"/>
        <v>102</v>
      </c>
      <c r="T2354" s="193">
        <f t="shared" si="511"/>
        <v>81.833333333333329</v>
      </c>
      <c r="U2354" s="193">
        <f ca="1">OFFSET('Expenditure Study'!$B$7,'Operations Support'!$C2354,'Operations Support'!$B2354)*$G2354</f>
        <v>5892</v>
      </c>
      <c r="V2354" s="199">
        <f ca="1">U2354*'Expenditure Study'!$B$31</f>
        <v>348118.10127360001</v>
      </c>
      <c r="W2354" s="199">
        <f ca="1">IF(A2354=10298,1.51,1)*IF($B2354&lt;3,$D2354*'Expenditure Study'!$B$32*OFFSET('Expenditure Study'!$B$7,'Operations Support'!$C2354,'Operations Support'!$B2354),0)</f>
        <v>251.28</v>
      </c>
      <c r="X2354" s="200">
        <f ca="1">W2354*'Expenditure Study'!$B$31</f>
        <v>14846.421671424001</v>
      </c>
      <c r="Y2354" s="199">
        <f ca="1">U2354*'Expenditure Study'!$B$31</f>
        <v>348118.10127360001</v>
      </c>
      <c r="Z2354" s="200">
        <f ca="1">W2354*'Expenditure Study'!$B$31</f>
        <v>14846.421671424001</v>
      </c>
      <c r="AA2354" s="195">
        <f t="shared" ca="1" si="512"/>
        <v>362964.52294502401</v>
      </c>
      <c r="AB2354" s="195">
        <f t="shared" ca="1" si="513"/>
        <v>362964.52294502401</v>
      </c>
      <c r="AD2354" s="196">
        <f>IFERROR($G2354/SUMIF($A:$A,$A2354,$G:$G)*SUMIF(Summary!$A$166:$A$242,$A2354,Summary!$P$166:$P$242),0)</f>
        <v>68335.679484512773</v>
      </c>
      <c r="AE2354" s="197">
        <f t="shared" ca="1" si="514"/>
        <v>294628.84346051124</v>
      </c>
      <c r="AF2354" s="196">
        <f>IFERROR(G2354/SUMIF(A:A,A2354,G:G)*SUMIF(Summary!$A$166:$A$242,'Operations Support'!A2354,Summary!$Q$166:$Q$242),0)</f>
        <v>68527.536627220819</v>
      </c>
      <c r="AG2354" s="196">
        <f t="shared" ca="1" si="515"/>
        <v>294436.98631780321</v>
      </c>
      <c r="AI2354" s="196">
        <f>IFERROR($G2354/SUMIF($A:$A,$A2354,$G:$G)*SUMIF(Summary!$A$247:$A$283,$A2354,Summary!$P$247:$P$283),0)</f>
        <v>12462.722640102498</v>
      </c>
      <c r="AJ2354" s="196">
        <f>IFERROR($G2354/SUMIF($A:$A,$A2354,$G:$G)*(SUMIF(Summary!$A$247:$A$283,$A2354,Summary!$L$247:$L$283)+SUMIF(Summary!$A$297:$A$333,$A2354,Summary!$L$297:$L$333))-AI2354,0)</f>
        <v>43189.265485520242</v>
      </c>
      <c r="AK2354" s="196">
        <f>IFERROR($G2354/SUMIF($A:$A,$A2354,$G:$G)*SUMIF(Summary!$A$247:$A$283,$A2354,Summary!$Q$247:$Q$283),0)</f>
        <v>12497.71259519082</v>
      </c>
      <c r="AL2354" s="196">
        <f>IFERROR($G2354/SUMIF($A:$A,$A2354,$G:$G)*(SUMIF(Summary!$A$247:$A$283,$A2354,Summary!$L$247:$L$283)+SUMIF(Summary!$A$297:$A$333,$A2354,Summary!$L$297:$L$333))-AK2354,0)</f>
        <v>43154.275530431914</v>
      </c>
      <c r="AM2354" s="198"/>
      <c r="AN2354" s="196">
        <f t="shared" ca="1" si="516"/>
        <v>337818.10894603148</v>
      </c>
      <c r="AO2354" s="196">
        <f t="shared" ca="1" si="517"/>
        <v>337591.26184823515</v>
      </c>
    </row>
    <row r="2355" spans="1:41">
      <c r="A2355" s="189">
        <v>3665</v>
      </c>
      <c r="B2355" s="190">
        <v>2</v>
      </c>
      <c r="C2355" s="191" t="s">
        <v>239</v>
      </c>
      <c r="D2355" s="192">
        <f t="shared" si="504"/>
        <v>823.5</v>
      </c>
      <c r="E2355" s="192">
        <f t="shared" si="505"/>
        <v>6346.5</v>
      </c>
      <c r="F2355" s="192">
        <f t="shared" si="506"/>
        <v>0</v>
      </c>
      <c r="G2355" s="193">
        <f t="shared" si="507"/>
        <v>7170</v>
      </c>
      <c r="H2355" s="194">
        <v>219</v>
      </c>
      <c r="I2355" s="194">
        <v>3243</v>
      </c>
      <c r="J2355" s="194">
        <v>0</v>
      </c>
      <c r="K2355" s="193">
        <f t="shared" si="508"/>
        <v>3462</v>
      </c>
      <c r="L2355" s="194">
        <v>600</v>
      </c>
      <c r="M2355" s="194">
        <v>2829</v>
      </c>
      <c r="N2355" s="194">
        <v>0</v>
      </c>
      <c r="O2355" s="193">
        <f t="shared" si="509"/>
        <v>3429</v>
      </c>
      <c r="P2355" s="194">
        <v>4.5</v>
      </c>
      <c r="Q2355" s="194">
        <v>274.5</v>
      </c>
      <c r="R2355" s="194">
        <v>0</v>
      </c>
      <c r="S2355" s="193">
        <f t="shared" si="510"/>
        <v>279</v>
      </c>
      <c r="T2355" s="193">
        <f t="shared" si="511"/>
        <v>239</v>
      </c>
      <c r="U2355" s="193">
        <f ca="1">OFFSET('Expenditure Study'!$B$7,'Operations Support'!$C2355,'Operations Support'!$B2355)*$G2355</f>
        <v>14913.6</v>
      </c>
      <c r="V2355" s="199">
        <f ca="1">U2355*'Expenditure Study'!$B$31</f>
        <v>881142.92517887999</v>
      </c>
      <c r="W2355" s="199">
        <f ca="1">IF(A2355=10298,1.51,1)*IF($B2355&lt;3,$D2355*'Expenditure Study'!$B$32*OFFSET('Expenditure Study'!$B$7,'Operations Support'!$C2355,'Operations Support'!$B2355),0)</f>
        <v>171.28800000000001</v>
      </c>
      <c r="X2355" s="200">
        <f ca="1">W2355*'Expenditure Study'!$B$31</f>
        <v>10120.239872870401</v>
      </c>
      <c r="Y2355" s="199">
        <f ca="1">U2355*'Expenditure Study'!$B$31</f>
        <v>881142.92517887999</v>
      </c>
      <c r="Z2355" s="200">
        <f ca="1">W2355*'Expenditure Study'!$B$31</f>
        <v>10120.239872870401</v>
      </c>
      <c r="AA2355" s="195">
        <f t="shared" ca="1" si="512"/>
        <v>891263.16505175037</v>
      </c>
      <c r="AB2355" s="195">
        <f t="shared" ca="1" si="513"/>
        <v>891263.16505175037</v>
      </c>
      <c r="AD2355" s="196">
        <f>IFERROR($G2355/SUMIF($A:$A,$A2355,$G:$G)*SUMIF(Summary!$A$166:$A$242,$A2355,Summary!$P$166:$P$242),0)</f>
        <v>199579.15352503324</v>
      </c>
      <c r="AE2355" s="197">
        <f t="shared" ca="1" si="514"/>
        <v>691684.01152671711</v>
      </c>
      <c r="AF2355" s="196">
        <f>IFERROR(G2355/SUMIF(A:A,A2355,G:G)*SUMIF(Summary!$A$166:$A$242,'Operations Support'!A2355,Summary!$Q$166:$Q$242),0)</f>
        <v>200139.48579110927</v>
      </c>
      <c r="AG2355" s="196">
        <f t="shared" ca="1" si="515"/>
        <v>691123.6792606411</v>
      </c>
      <c r="AI2355" s="196">
        <f>IFERROR($G2355/SUMIF($A:$A,$A2355,$G:$G)*SUMIF(Summary!$A$247:$A$283,$A2355,Summary!$P$247:$P$283),0)</f>
        <v>36398.257160706693</v>
      </c>
      <c r="AJ2355" s="196">
        <f>IFERROR($G2355/SUMIF($A:$A,$A2355,$G:$G)*(SUMIF(Summary!$A$247:$A$283,$A2355,Summary!$L$247:$L$283)+SUMIF(Summary!$A$297:$A$333,$A2355,Summary!$L$297:$L$333))-AI2355,0)</f>
        <v>126137.28453408559</v>
      </c>
      <c r="AK2355" s="196">
        <f>IFERROR($G2355/SUMIF($A:$A,$A2355,$G:$G)*SUMIF(Summary!$A$247:$A$283,$A2355,Summary!$Q$247:$Q$283),0)</f>
        <v>36500.447783103133</v>
      </c>
      <c r="AL2355" s="196">
        <f>IFERROR($G2355/SUMIF($A:$A,$A2355,$G:$G)*(SUMIF(Summary!$A$247:$A$283,$A2355,Summary!$L$247:$L$283)+SUMIF(Summary!$A$297:$A$333,$A2355,Summary!$L$297:$L$333))-AK2355,0)</f>
        <v>126035.09391168915</v>
      </c>
      <c r="AM2355" s="198"/>
      <c r="AN2355" s="196">
        <f t="shared" ca="1" si="516"/>
        <v>817821.29606080265</v>
      </c>
      <c r="AO2355" s="196">
        <f t="shared" ca="1" si="517"/>
        <v>817158.77317233023</v>
      </c>
    </row>
    <row r="2356" spans="1:41">
      <c r="A2356" s="189">
        <v>3665</v>
      </c>
      <c r="B2356" s="190">
        <v>2</v>
      </c>
      <c r="C2356" s="191" t="s">
        <v>240</v>
      </c>
      <c r="D2356" s="192">
        <f t="shared" si="504"/>
        <v>0</v>
      </c>
      <c r="E2356" s="192">
        <f t="shared" si="505"/>
        <v>0</v>
      </c>
      <c r="F2356" s="192">
        <f t="shared" si="506"/>
        <v>0</v>
      </c>
      <c r="G2356" s="193">
        <f t="shared" si="507"/>
        <v>0</v>
      </c>
      <c r="H2356" s="194">
        <v>0</v>
      </c>
      <c r="I2356" s="194">
        <v>0</v>
      </c>
      <c r="J2356" s="194">
        <v>0</v>
      </c>
      <c r="K2356" s="193">
        <f t="shared" si="508"/>
        <v>0</v>
      </c>
      <c r="L2356" s="194">
        <v>0</v>
      </c>
      <c r="M2356" s="194">
        <v>0</v>
      </c>
      <c r="N2356" s="194">
        <v>0</v>
      </c>
      <c r="O2356" s="193">
        <f t="shared" si="509"/>
        <v>0</v>
      </c>
      <c r="P2356" s="194">
        <v>0</v>
      </c>
      <c r="Q2356" s="194">
        <v>0</v>
      </c>
      <c r="R2356" s="194">
        <v>0</v>
      </c>
      <c r="S2356" s="193">
        <f t="shared" si="510"/>
        <v>0</v>
      </c>
      <c r="T2356" s="193">
        <f t="shared" si="511"/>
        <v>0</v>
      </c>
      <c r="U2356" s="193">
        <f ca="1">OFFSET('Expenditure Study'!$B$7,'Operations Support'!$C2356,'Operations Support'!$B2356)*$G2356</f>
        <v>0</v>
      </c>
      <c r="V2356" s="199">
        <f ca="1">U2356*'Expenditure Study'!$B$31</f>
        <v>0</v>
      </c>
      <c r="W2356" s="199">
        <f ca="1">IF(A2356=10298,1.51,1)*IF($B2356&lt;3,$D2356*'Expenditure Study'!$B$32*OFFSET('Expenditure Study'!$B$7,'Operations Support'!$C2356,'Operations Support'!$B2356),0)</f>
        <v>0</v>
      </c>
      <c r="X2356" s="200">
        <f ca="1">W2356*'Expenditure Study'!$B$31</f>
        <v>0</v>
      </c>
      <c r="Y2356" s="199">
        <f ca="1">U2356*'Expenditure Study'!$B$31</f>
        <v>0</v>
      </c>
      <c r="Z2356" s="200">
        <f ca="1">W2356*'Expenditure Study'!$B$31</f>
        <v>0</v>
      </c>
      <c r="AA2356" s="195">
        <f t="shared" ca="1" si="512"/>
        <v>0</v>
      </c>
      <c r="AB2356" s="195">
        <f t="shared" ca="1" si="513"/>
        <v>0</v>
      </c>
      <c r="AD2356" s="196">
        <f>IFERROR($G2356/SUMIF($A:$A,$A2356,$G:$G)*SUMIF(Summary!$A$166:$A$242,$A2356,Summary!$P$166:$P$242),0)</f>
        <v>0</v>
      </c>
      <c r="AE2356" s="197">
        <f t="shared" ca="1" si="514"/>
        <v>0</v>
      </c>
      <c r="AF2356" s="196">
        <f>IFERROR(G2356/SUMIF(A:A,A2356,G:G)*SUMIF(Summary!$A$166:$A$242,'Operations Support'!A2356,Summary!$Q$166:$Q$242),0)</f>
        <v>0</v>
      </c>
      <c r="AG2356" s="196">
        <f t="shared" ca="1" si="515"/>
        <v>0</v>
      </c>
      <c r="AI2356" s="196">
        <f>IFERROR($G2356/SUMIF($A:$A,$A2356,$G:$G)*SUMIF(Summary!$A$247:$A$283,$A2356,Summary!$P$247:$P$283),0)</f>
        <v>0</v>
      </c>
      <c r="AJ2356" s="196">
        <f>IFERROR($G2356/SUMIF($A:$A,$A2356,$G:$G)*(SUMIF(Summary!$A$247:$A$283,$A2356,Summary!$L$247:$L$283)+SUMIF(Summary!$A$297:$A$333,$A2356,Summary!$L$297:$L$333))-AI2356,0)</f>
        <v>0</v>
      </c>
      <c r="AK2356" s="196">
        <f>IFERROR($G2356/SUMIF($A:$A,$A2356,$G:$G)*SUMIF(Summary!$A$247:$A$283,$A2356,Summary!$Q$247:$Q$283),0)</f>
        <v>0</v>
      </c>
      <c r="AL2356" s="196">
        <f>IFERROR($G2356/SUMIF($A:$A,$A2356,$G:$G)*(SUMIF(Summary!$A$247:$A$283,$A2356,Summary!$L$247:$L$283)+SUMIF(Summary!$A$297:$A$333,$A2356,Summary!$L$297:$L$333))-AK2356,0)</f>
        <v>0</v>
      </c>
      <c r="AM2356" s="198"/>
      <c r="AN2356" s="196">
        <f t="shared" ca="1" si="516"/>
        <v>0</v>
      </c>
      <c r="AO2356" s="196">
        <f t="shared" ca="1" si="517"/>
        <v>0</v>
      </c>
    </row>
    <row r="2357" spans="1:41" s="201" customFormat="1">
      <c r="A2357" s="189">
        <v>3665</v>
      </c>
      <c r="B2357" s="190">
        <v>3</v>
      </c>
      <c r="C2357" s="191" t="s">
        <v>220</v>
      </c>
      <c r="D2357" s="192">
        <f t="shared" si="504"/>
        <v>5232</v>
      </c>
      <c r="E2357" s="192">
        <f t="shared" si="505"/>
        <v>1835</v>
      </c>
      <c r="F2357" s="192">
        <f t="shared" si="506"/>
        <v>0</v>
      </c>
      <c r="G2357" s="193">
        <f t="shared" si="507"/>
        <v>7067</v>
      </c>
      <c r="H2357" s="194">
        <v>1875</v>
      </c>
      <c r="I2357" s="194">
        <v>886</v>
      </c>
      <c r="J2357" s="194">
        <v>0</v>
      </c>
      <c r="K2357" s="193">
        <f t="shared" si="508"/>
        <v>2761</v>
      </c>
      <c r="L2357" s="194">
        <v>2184</v>
      </c>
      <c r="M2357" s="194">
        <v>859</v>
      </c>
      <c r="N2357" s="194">
        <v>0</v>
      </c>
      <c r="O2357" s="193">
        <f t="shared" si="509"/>
        <v>3043</v>
      </c>
      <c r="P2357" s="194">
        <v>1173</v>
      </c>
      <c r="Q2357" s="194">
        <v>90</v>
      </c>
      <c r="R2357" s="194">
        <v>0</v>
      </c>
      <c r="S2357" s="193">
        <f t="shared" si="510"/>
        <v>1263</v>
      </c>
      <c r="T2357" s="193">
        <f t="shared" si="511"/>
        <v>294.45833333333331</v>
      </c>
      <c r="U2357" s="193">
        <f ca="1">OFFSET('Expenditure Study'!$B$7,'Operations Support'!$C2357,'Operations Support'!$B2357)*$G2357</f>
        <v>31518.82</v>
      </c>
      <c r="V2357" s="199">
        <f ca="1">U2357*'Expenditure Study'!$B$31</f>
        <v>1862232.1406626559</v>
      </c>
      <c r="W2357" s="199">
        <f ca="1">IF(A2357=10298,1.51,1)*IF($B2357&lt;3,$D2357*'Expenditure Study'!$B$32*OFFSET('Expenditure Study'!$B$7,'Operations Support'!$C2357,'Operations Support'!$B2357),0)</f>
        <v>0</v>
      </c>
      <c r="X2357" s="200">
        <f ca="1">W2357*'Expenditure Study'!$B$31</f>
        <v>0</v>
      </c>
      <c r="Y2357" s="199">
        <f ca="1">U2357*'Expenditure Study'!$B$31</f>
        <v>1862232.1406626559</v>
      </c>
      <c r="Z2357" s="200">
        <f ca="1">W2357*'Expenditure Study'!$B$31</f>
        <v>0</v>
      </c>
      <c r="AA2357" s="195">
        <f t="shared" ca="1" si="512"/>
        <v>1862232.1406626559</v>
      </c>
      <c r="AB2357" s="195">
        <f t="shared" ca="1" si="513"/>
        <v>1862232.1406626559</v>
      </c>
      <c r="AD2357" s="196">
        <f>IFERROR($G2357/SUMIF($A:$A,$A2357,$G:$G)*SUMIF(Summary!$A$166:$A$242,$A2357,Summary!$P$166:$P$242),0)</f>
        <v>196712.11687048952</v>
      </c>
      <c r="AE2357" s="197">
        <f t="shared" ca="1" si="514"/>
        <v>1665520.0237921665</v>
      </c>
      <c r="AF2357" s="196">
        <f>IFERROR(G2357/SUMIF(A:A,A2357,G:G)*SUMIF(Summary!$A$166:$A$242,'Operations Support'!A2357,Summary!$Q$166:$Q$242),0)</f>
        <v>197264.3997330222</v>
      </c>
      <c r="AG2357" s="196">
        <f t="shared" ca="1" si="515"/>
        <v>1664967.7409296338</v>
      </c>
      <c r="AH2357" s="180"/>
      <c r="AI2357" s="196">
        <f>IFERROR($G2357/SUMIF($A:$A,$A2357,$G:$G)*SUMIF(Summary!$A$247:$A$283,$A2357,Summary!$P$247:$P$283),0)</f>
        <v>35875.381221020107</v>
      </c>
      <c r="AJ2357" s="196">
        <f>IFERROR($G2357/SUMIF($A:$A,$A2357,$G:$G)*(SUMIF(Summary!$A$247:$A$283,$A2357,Summary!$L$247:$L$283)+SUMIF(Summary!$A$297:$A$333,$A2357,Summary!$L$297:$L$333))-AI2357,0)</f>
        <v>124325.2705442654</v>
      </c>
      <c r="AK2357" s="196">
        <f>IFERROR($G2357/SUMIF($A:$A,$A2357,$G:$G)*SUMIF(Summary!$A$247:$A$283,$A2357,Summary!$Q$247:$Q$283),0)</f>
        <v>35976.103833080866</v>
      </c>
      <c r="AL2357" s="196">
        <f>IFERROR($G2357/SUMIF($A:$A,$A2357,$G:$G)*(SUMIF(Summary!$A$247:$A$283,$A2357,Summary!$L$247:$L$283)+SUMIF(Summary!$A$297:$A$333,$A2357,Summary!$L$297:$L$333))-AK2357,0)</f>
        <v>124224.54793220463</v>
      </c>
      <c r="AM2357" s="198"/>
      <c r="AN2357" s="196">
        <f t="shared" ca="1" si="516"/>
        <v>1789845.2943364319</v>
      </c>
      <c r="AO2357" s="196">
        <f t="shared" ca="1" si="517"/>
        <v>1789192.2888618384</v>
      </c>
    </row>
    <row r="2358" spans="1:41">
      <c r="A2358" s="189">
        <v>3665</v>
      </c>
      <c r="B2358" s="190">
        <v>3</v>
      </c>
      <c r="C2358" s="191" t="s">
        <v>221</v>
      </c>
      <c r="D2358" s="192">
        <f t="shared" si="504"/>
        <v>1095</v>
      </c>
      <c r="E2358" s="192">
        <f t="shared" si="505"/>
        <v>451</v>
      </c>
      <c r="F2358" s="192">
        <f t="shared" si="506"/>
        <v>0</v>
      </c>
      <c r="G2358" s="193">
        <f t="shared" si="507"/>
        <v>1546</v>
      </c>
      <c r="H2358" s="194">
        <v>372</v>
      </c>
      <c r="I2358" s="194">
        <v>337</v>
      </c>
      <c r="J2358" s="194">
        <v>0</v>
      </c>
      <c r="K2358" s="193">
        <f t="shared" si="508"/>
        <v>709</v>
      </c>
      <c r="L2358" s="194">
        <v>561</v>
      </c>
      <c r="M2358" s="194">
        <v>108</v>
      </c>
      <c r="N2358" s="194">
        <v>0</v>
      </c>
      <c r="O2358" s="193">
        <f t="shared" si="509"/>
        <v>669</v>
      </c>
      <c r="P2358" s="194">
        <v>162</v>
      </c>
      <c r="Q2358" s="194">
        <v>6</v>
      </c>
      <c r="R2358" s="194">
        <v>0</v>
      </c>
      <c r="S2358" s="193">
        <f t="shared" si="510"/>
        <v>168</v>
      </c>
      <c r="T2358" s="193">
        <f t="shared" si="511"/>
        <v>64.416666666666671</v>
      </c>
      <c r="U2358" s="193">
        <f ca="1">OFFSET('Expenditure Study'!$B$7,'Operations Support'!$C2358,'Operations Support'!$B2358)*$G2358</f>
        <v>10822</v>
      </c>
      <c r="V2358" s="199">
        <f ca="1">U2358*'Expenditure Study'!$B$31</f>
        <v>639398.18261759996</v>
      </c>
      <c r="W2358" s="199">
        <f ca="1">IF(A2358=10298,1.51,1)*IF($B2358&lt;3,$D2358*'Expenditure Study'!$B$32*OFFSET('Expenditure Study'!$B$7,'Operations Support'!$C2358,'Operations Support'!$B2358),0)</f>
        <v>0</v>
      </c>
      <c r="X2358" s="200">
        <f ca="1">W2358*'Expenditure Study'!$B$31</f>
        <v>0</v>
      </c>
      <c r="Y2358" s="199">
        <f ca="1">U2358*'Expenditure Study'!$B$31</f>
        <v>639398.18261759996</v>
      </c>
      <c r="Z2358" s="200">
        <f ca="1">W2358*'Expenditure Study'!$B$31</f>
        <v>0</v>
      </c>
      <c r="AA2358" s="195">
        <f t="shared" ca="1" si="512"/>
        <v>639398.18261759996</v>
      </c>
      <c r="AB2358" s="195">
        <f t="shared" ca="1" si="513"/>
        <v>639398.18261759996</v>
      </c>
      <c r="AD2358" s="196">
        <f>IFERROR($G2358/SUMIF($A:$A,$A2358,$G:$G)*SUMIF(Summary!$A$166:$A$242,$A2358,Summary!$P$166:$P$242),0)</f>
        <v>43033.385125481364</v>
      </c>
      <c r="AE2358" s="197">
        <f t="shared" ca="1" si="514"/>
        <v>596364.79749211855</v>
      </c>
      <c r="AF2358" s="196">
        <f>IFERROR(G2358/SUMIF(A:A,A2358,G:G)*SUMIF(Summary!$A$166:$A$242,'Operations Support'!A2358,Summary!$Q$166:$Q$242),0)</f>
        <v>43154.204328180604</v>
      </c>
      <c r="AG2358" s="196">
        <f t="shared" ca="1" si="515"/>
        <v>596243.97828941932</v>
      </c>
      <c r="AI2358" s="196">
        <f>IFERROR($G2358/SUMIF($A:$A,$A2358,$G:$G)*SUMIF(Summary!$A$247:$A$283,$A2358,Summary!$P$247:$P$283),0)</f>
        <v>7848.2155607325722</v>
      </c>
      <c r="AJ2358" s="196">
        <f>IFERROR($G2358/SUMIF($A:$A,$A2358,$G:$G)*(SUMIF(Summary!$A$247:$A$283,$A2358,Summary!$L$247:$L$283)+SUMIF(Summary!$A$297:$A$333,$A2358,Summary!$L$297:$L$333))-AI2358,0)</f>
        <v>27197.802216136162</v>
      </c>
      <c r="AK2358" s="196">
        <f>IFERROR($G2358/SUMIF($A:$A,$A2358,$G:$G)*SUMIF(Summary!$A$247:$A$283,$A2358,Summary!$Q$247:$Q$283),0)</f>
        <v>7870.2499682953194</v>
      </c>
      <c r="AL2358" s="196">
        <f>IFERROR($G2358/SUMIF($A:$A,$A2358,$G:$G)*(SUMIF(Summary!$A$247:$A$283,$A2358,Summary!$L$247:$L$283)+SUMIF(Summary!$A$297:$A$333,$A2358,Summary!$L$297:$L$333))-AK2358,0)</f>
        <v>27175.767808573415</v>
      </c>
      <c r="AM2358" s="198"/>
      <c r="AN2358" s="196">
        <f t="shared" ca="1" si="516"/>
        <v>623562.59970825468</v>
      </c>
      <c r="AO2358" s="196">
        <f t="shared" ca="1" si="517"/>
        <v>623419.74609799276</v>
      </c>
    </row>
    <row r="2359" spans="1:41">
      <c r="A2359" s="189">
        <v>3665</v>
      </c>
      <c r="B2359" s="190">
        <v>3</v>
      </c>
      <c r="C2359" s="191" t="s">
        <v>222</v>
      </c>
      <c r="D2359" s="192">
        <f t="shared" si="504"/>
        <v>417</v>
      </c>
      <c r="E2359" s="192">
        <f t="shared" si="505"/>
        <v>91</v>
      </c>
      <c r="F2359" s="192">
        <f t="shared" si="506"/>
        <v>0</v>
      </c>
      <c r="G2359" s="193">
        <f t="shared" si="507"/>
        <v>508</v>
      </c>
      <c r="H2359" s="194">
        <v>183</v>
      </c>
      <c r="I2359" s="194">
        <v>56</v>
      </c>
      <c r="J2359" s="194">
        <v>0</v>
      </c>
      <c r="K2359" s="193">
        <f t="shared" si="508"/>
        <v>239</v>
      </c>
      <c r="L2359" s="194">
        <v>195</v>
      </c>
      <c r="M2359" s="194">
        <v>35</v>
      </c>
      <c r="N2359" s="194">
        <v>0</v>
      </c>
      <c r="O2359" s="193">
        <f t="shared" si="509"/>
        <v>230</v>
      </c>
      <c r="P2359" s="194">
        <v>39</v>
      </c>
      <c r="Q2359" s="194">
        <v>0</v>
      </c>
      <c r="R2359" s="194">
        <v>0</v>
      </c>
      <c r="S2359" s="193">
        <f t="shared" si="510"/>
        <v>39</v>
      </c>
      <c r="T2359" s="193">
        <f t="shared" si="511"/>
        <v>21.166666666666668</v>
      </c>
      <c r="U2359" s="193">
        <f ca="1">OFFSET('Expenditure Study'!$B$7,'Operations Support'!$C2359,'Operations Support'!$B2359)*$G2359</f>
        <v>3815.08</v>
      </c>
      <c r="V2359" s="199">
        <f ca="1">U2359*'Expenditure Study'!$B$31</f>
        <v>225407.061406464</v>
      </c>
      <c r="W2359" s="199">
        <f ca="1">IF(A2359=10298,1.51,1)*IF($B2359&lt;3,$D2359*'Expenditure Study'!$B$32*OFFSET('Expenditure Study'!$B$7,'Operations Support'!$C2359,'Operations Support'!$B2359),0)</f>
        <v>0</v>
      </c>
      <c r="X2359" s="200">
        <f ca="1">W2359*'Expenditure Study'!$B$31</f>
        <v>0</v>
      </c>
      <c r="Y2359" s="199">
        <f ca="1">U2359*'Expenditure Study'!$B$31</f>
        <v>225407.061406464</v>
      </c>
      <c r="Z2359" s="200">
        <f ca="1">W2359*'Expenditure Study'!$B$31</f>
        <v>0</v>
      </c>
      <c r="AA2359" s="195">
        <f t="shared" ca="1" si="512"/>
        <v>225407.061406464</v>
      </c>
      <c r="AB2359" s="195">
        <f t="shared" ca="1" si="513"/>
        <v>225407.061406464</v>
      </c>
      <c r="AD2359" s="196">
        <f>IFERROR($G2359/SUMIF($A:$A,$A2359,$G:$G)*SUMIF(Summary!$A$166:$A$242,$A2359,Summary!$P$166:$P$242),0)</f>
        <v>14140.336121438893</v>
      </c>
      <c r="AE2359" s="197">
        <f t="shared" ca="1" si="514"/>
        <v>211266.72528502511</v>
      </c>
      <c r="AF2359" s="196">
        <f>IFERROR(G2359/SUMIF(A:A,A2359,G:G)*SUMIF(Summary!$A$166:$A$242,'Operations Support'!A2359,Summary!$Q$166:$Q$242),0)</f>
        <v>14180.036092312901</v>
      </c>
      <c r="AG2359" s="196">
        <f t="shared" ca="1" si="515"/>
        <v>211227.02531415111</v>
      </c>
      <c r="AI2359" s="196">
        <f>IFERROR($G2359/SUMIF($A:$A,$A2359,$G:$G)*SUMIF(Summary!$A$247:$A$283,$A2359,Summary!$P$247:$P$283),0)</f>
        <v>2578.8444403959547</v>
      </c>
      <c r="AJ2359" s="196">
        <f>IFERROR($G2359/SUMIF($A:$A,$A2359,$G:$G)*(SUMIF(Summary!$A$247:$A$283,$A2359,Summary!$L$247:$L$283)+SUMIF(Summary!$A$297:$A$333,$A2359,Summary!$L$297:$L$333))-AI2359,0)</f>
        <v>8936.9233672685459</v>
      </c>
      <c r="AK2359" s="196">
        <f>IFERROR($G2359/SUMIF($A:$A,$A2359,$G:$G)*SUMIF(Summary!$A$247:$A$283,$A2359,Summary!$Q$247:$Q$283),0)</f>
        <v>2586.0847243816443</v>
      </c>
      <c r="AL2359" s="196">
        <f>IFERROR($G2359/SUMIF($A:$A,$A2359,$G:$G)*(SUMIF(Summary!$A$247:$A$283,$A2359,Summary!$L$247:$L$283)+SUMIF(Summary!$A$297:$A$333,$A2359,Summary!$L$297:$L$333))-AK2359,0)</f>
        <v>8929.6830832828564</v>
      </c>
      <c r="AM2359" s="198"/>
      <c r="AN2359" s="196">
        <f t="shared" ca="1" si="516"/>
        <v>220203.64865229366</v>
      </c>
      <c r="AO2359" s="196">
        <f t="shared" ca="1" si="517"/>
        <v>220156.70839743398</v>
      </c>
    </row>
    <row r="2360" spans="1:41">
      <c r="A2360" s="189">
        <v>3665</v>
      </c>
      <c r="B2360" s="190">
        <v>3</v>
      </c>
      <c r="C2360" s="191" t="s">
        <v>223</v>
      </c>
      <c r="D2360" s="192">
        <f t="shared" si="504"/>
        <v>4018.25</v>
      </c>
      <c r="E2360" s="192">
        <f t="shared" si="505"/>
        <v>1644.75</v>
      </c>
      <c r="F2360" s="192">
        <f t="shared" si="506"/>
        <v>0</v>
      </c>
      <c r="G2360" s="193">
        <f t="shared" si="507"/>
        <v>5663</v>
      </c>
      <c r="H2360" s="194">
        <v>1290</v>
      </c>
      <c r="I2360" s="194">
        <v>741</v>
      </c>
      <c r="J2360" s="194">
        <v>0</v>
      </c>
      <c r="K2360" s="193">
        <f t="shared" si="508"/>
        <v>2031</v>
      </c>
      <c r="L2360" s="194">
        <v>1401.5</v>
      </c>
      <c r="M2360" s="194">
        <v>580.5</v>
      </c>
      <c r="N2360" s="194">
        <v>0</v>
      </c>
      <c r="O2360" s="193">
        <f t="shared" si="509"/>
        <v>1982</v>
      </c>
      <c r="P2360" s="194">
        <v>1326.75</v>
      </c>
      <c r="Q2360" s="194">
        <v>323.25</v>
      </c>
      <c r="R2360" s="194">
        <v>0</v>
      </c>
      <c r="S2360" s="193">
        <f t="shared" si="510"/>
        <v>1650</v>
      </c>
      <c r="T2360" s="193">
        <f t="shared" si="511"/>
        <v>235.95833333333334</v>
      </c>
      <c r="U2360" s="193">
        <f ca="1">OFFSET('Expenditure Study'!$B$7,'Operations Support'!$C2360,'Operations Support'!$B2360)*$G2360</f>
        <v>12685.12</v>
      </c>
      <c r="V2360" s="199">
        <f ca="1">U2360*'Expenditure Study'!$B$31</f>
        <v>749477.23842969607</v>
      </c>
      <c r="W2360" s="199">
        <f ca="1">IF(A2360=10298,1.51,1)*IF($B2360&lt;3,$D2360*'Expenditure Study'!$B$32*OFFSET('Expenditure Study'!$B$7,'Operations Support'!$C2360,'Operations Support'!$B2360),0)</f>
        <v>0</v>
      </c>
      <c r="X2360" s="200">
        <f ca="1">W2360*'Expenditure Study'!$B$31</f>
        <v>0</v>
      </c>
      <c r="Y2360" s="199">
        <f ca="1">U2360*'Expenditure Study'!$B$31</f>
        <v>749477.23842969607</v>
      </c>
      <c r="Z2360" s="200">
        <f ca="1">W2360*'Expenditure Study'!$B$31</f>
        <v>0</v>
      </c>
      <c r="AA2360" s="195">
        <f t="shared" ca="1" si="512"/>
        <v>749477.23842969607</v>
      </c>
      <c r="AB2360" s="195">
        <f t="shared" ca="1" si="513"/>
        <v>749477.23842969607</v>
      </c>
      <c r="AD2360" s="196">
        <f>IFERROR($G2360/SUMIF($A:$A,$A2360,$G:$G)*SUMIF(Summary!$A$166:$A$242,$A2360,Summary!$P$166:$P$242),0)</f>
        <v>157631.34538525288</v>
      </c>
      <c r="AE2360" s="197">
        <f t="shared" ca="1" si="514"/>
        <v>591845.89304444322</v>
      </c>
      <c r="AF2360" s="196">
        <f>IFERROR(G2360/SUMIF(A:A,A2360,G:G)*SUMIF(Summary!$A$166:$A$242,'Operations Support'!A2360,Summary!$Q$166:$Q$242),0)</f>
        <v>158073.90628103932</v>
      </c>
      <c r="AG2360" s="196">
        <f t="shared" ca="1" si="515"/>
        <v>591403.33214865671</v>
      </c>
      <c r="AI2360" s="196">
        <f>IFERROR($G2360/SUMIF($A:$A,$A2360,$G:$G)*SUMIF(Summary!$A$247:$A$283,$A2360,Summary!$P$247:$P$283),0)</f>
        <v>28748.023751894281</v>
      </c>
      <c r="AJ2360" s="196">
        <f>IFERROR($G2360/SUMIF($A:$A,$A2360,$G:$G)*(SUMIF(Summary!$A$247:$A$283,$A2360,Summary!$L$247:$L$283)+SUMIF(Summary!$A$297:$A$333,$A2360,Summary!$L$297:$L$333))-AI2360,0)</f>
        <v>99625.584702444437</v>
      </c>
      <c r="AK2360" s="196">
        <f>IFERROR($G2360/SUMIF($A:$A,$A2360,$G:$G)*SUMIF(Summary!$A$247:$A$283,$A2360,Summary!$Q$247:$Q$283),0)</f>
        <v>28828.735815301679</v>
      </c>
      <c r="AL2360" s="196">
        <f>IFERROR($G2360/SUMIF($A:$A,$A2360,$G:$G)*(SUMIF(Summary!$A$247:$A$283,$A2360,Summary!$L$247:$L$283)+SUMIF(Summary!$A$297:$A$333,$A2360,Summary!$L$297:$L$333))-AK2360,0)</f>
        <v>99544.872639037043</v>
      </c>
      <c r="AM2360" s="198"/>
      <c r="AN2360" s="196">
        <f t="shared" ca="1" si="516"/>
        <v>691471.4777468876</v>
      </c>
      <c r="AO2360" s="196">
        <f t="shared" ca="1" si="517"/>
        <v>690948.2047876938</v>
      </c>
    </row>
    <row r="2361" spans="1:41">
      <c r="A2361" s="189">
        <v>3665</v>
      </c>
      <c r="B2361" s="190">
        <v>3</v>
      </c>
      <c r="C2361" s="191" t="s">
        <v>224</v>
      </c>
      <c r="D2361" s="192">
        <f t="shared" si="504"/>
        <v>805</v>
      </c>
      <c r="E2361" s="192">
        <f t="shared" si="505"/>
        <v>185</v>
      </c>
      <c r="F2361" s="192">
        <f t="shared" si="506"/>
        <v>0</v>
      </c>
      <c r="G2361" s="193">
        <f t="shared" si="507"/>
        <v>990</v>
      </c>
      <c r="H2361" s="194">
        <v>333</v>
      </c>
      <c r="I2361" s="194">
        <v>104</v>
      </c>
      <c r="J2361" s="194">
        <v>0</v>
      </c>
      <c r="K2361" s="193">
        <f t="shared" si="508"/>
        <v>437</v>
      </c>
      <c r="L2361" s="194">
        <v>287</v>
      </c>
      <c r="M2361" s="194">
        <v>75</v>
      </c>
      <c r="N2361" s="194">
        <v>0</v>
      </c>
      <c r="O2361" s="193">
        <f t="shared" si="509"/>
        <v>362</v>
      </c>
      <c r="P2361" s="194">
        <v>185</v>
      </c>
      <c r="Q2361" s="194">
        <v>6</v>
      </c>
      <c r="R2361" s="194">
        <v>0</v>
      </c>
      <c r="S2361" s="193">
        <f t="shared" si="510"/>
        <v>191</v>
      </c>
      <c r="T2361" s="193">
        <f t="shared" si="511"/>
        <v>41.25</v>
      </c>
      <c r="U2361" s="193">
        <f ca="1">OFFSET('Expenditure Study'!$B$7,'Operations Support'!$C2361,'Operations Support'!$B2361)*$G2361</f>
        <v>9078.2999999999993</v>
      </c>
      <c r="V2361" s="199">
        <f ca="1">U2361*'Expenditure Study'!$B$31</f>
        <v>536374.84025663999</v>
      </c>
      <c r="W2361" s="199">
        <f ca="1">IF(A2361=10298,1.51,1)*IF($B2361&lt;3,$D2361*'Expenditure Study'!$B$32*OFFSET('Expenditure Study'!$B$7,'Operations Support'!$C2361,'Operations Support'!$B2361),0)</f>
        <v>0</v>
      </c>
      <c r="X2361" s="200">
        <f ca="1">W2361*'Expenditure Study'!$B$31</f>
        <v>0</v>
      </c>
      <c r="Y2361" s="199">
        <f ca="1">U2361*'Expenditure Study'!$B$31</f>
        <v>536374.84025663999</v>
      </c>
      <c r="Z2361" s="200">
        <f ca="1">W2361*'Expenditure Study'!$B$31</f>
        <v>0</v>
      </c>
      <c r="AA2361" s="195">
        <f t="shared" ca="1" si="512"/>
        <v>536374.84025663999</v>
      </c>
      <c r="AB2361" s="195">
        <f t="shared" ca="1" si="513"/>
        <v>536374.84025663999</v>
      </c>
      <c r="AD2361" s="196">
        <f>IFERROR($G2361/SUMIF($A:$A,$A2361,$G:$G)*SUMIF(Summary!$A$166:$A$242,$A2361,Summary!$P$166:$P$242),0)</f>
        <v>27556.954252410444</v>
      </c>
      <c r="AE2361" s="197">
        <f t="shared" ca="1" si="514"/>
        <v>508817.88600422954</v>
      </c>
      <c r="AF2361" s="196">
        <f>IFERROR(G2361/SUMIF(A:A,A2361,G:G)*SUMIF(Summary!$A$166:$A$242,'Operations Support'!A2361,Summary!$Q$166:$Q$242),0)</f>
        <v>27634.32230588538</v>
      </c>
      <c r="AG2361" s="196">
        <f t="shared" ca="1" si="515"/>
        <v>508740.51795075461</v>
      </c>
      <c r="AI2361" s="196">
        <f>IFERROR($G2361/SUMIF($A:$A,$A2361,$G:$G)*SUMIF(Summary!$A$247:$A$283,$A2361,Summary!$P$247:$P$283),0)</f>
        <v>5025.7007795118016</v>
      </c>
      <c r="AJ2361" s="196">
        <f>IFERROR($G2361/SUMIF($A:$A,$A2361,$G:$G)*(SUMIF(Summary!$A$247:$A$283,$A2361,Summary!$L$247:$L$283)+SUMIF(Summary!$A$297:$A$333,$A2361,Summary!$L$297:$L$333))-AI2361,0)</f>
        <v>17416.445144873742</v>
      </c>
      <c r="AK2361" s="196">
        <f>IFERROR($G2361/SUMIF($A:$A,$A2361,$G:$G)*SUMIF(Summary!$A$247:$A$283,$A2361,Summary!$Q$247:$Q$283),0)</f>
        <v>5039.8107817673781</v>
      </c>
      <c r="AL2361" s="196">
        <f>IFERROR($G2361/SUMIF($A:$A,$A2361,$G:$G)*(SUMIF(Summary!$A$247:$A$283,$A2361,Summary!$L$247:$L$283)+SUMIF(Summary!$A$297:$A$333,$A2361,Summary!$L$297:$L$333))-AK2361,0)</f>
        <v>17402.335142618165</v>
      </c>
      <c r="AM2361" s="198"/>
      <c r="AN2361" s="196">
        <f t="shared" ca="1" si="516"/>
        <v>526234.33114910324</v>
      </c>
      <c r="AO2361" s="196">
        <f t="shared" ca="1" si="517"/>
        <v>526142.85309337277</v>
      </c>
    </row>
    <row r="2362" spans="1:41">
      <c r="A2362" s="189">
        <v>3665</v>
      </c>
      <c r="B2362" s="190">
        <v>3</v>
      </c>
      <c r="C2362" s="191" t="s">
        <v>225</v>
      </c>
      <c r="D2362" s="192">
        <f t="shared" si="504"/>
        <v>690</v>
      </c>
      <c r="E2362" s="192">
        <f t="shared" si="505"/>
        <v>1035</v>
      </c>
      <c r="F2362" s="192">
        <f t="shared" si="506"/>
        <v>0</v>
      </c>
      <c r="G2362" s="193">
        <f t="shared" si="507"/>
        <v>1725</v>
      </c>
      <c r="H2362" s="194">
        <v>342</v>
      </c>
      <c r="I2362" s="194">
        <v>456</v>
      </c>
      <c r="J2362" s="194">
        <v>0</v>
      </c>
      <c r="K2362" s="193">
        <f t="shared" si="508"/>
        <v>798</v>
      </c>
      <c r="L2362" s="194">
        <v>153</v>
      </c>
      <c r="M2362" s="194">
        <v>366</v>
      </c>
      <c r="N2362" s="194">
        <v>0</v>
      </c>
      <c r="O2362" s="193">
        <f t="shared" si="509"/>
        <v>519</v>
      </c>
      <c r="P2362" s="194">
        <v>195</v>
      </c>
      <c r="Q2362" s="194">
        <v>213</v>
      </c>
      <c r="R2362" s="194">
        <v>0</v>
      </c>
      <c r="S2362" s="193">
        <f t="shared" si="510"/>
        <v>408</v>
      </c>
      <c r="T2362" s="193">
        <f t="shared" si="511"/>
        <v>71.875</v>
      </c>
      <c r="U2362" s="193">
        <f ca="1">OFFSET('Expenditure Study'!$B$7,'Operations Support'!$C2362,'Operations Support'!$B2362)*$G2362</f>
        <v>11919.75</v>
      </c>
      <c r="V2362" s="199">
        <f ca="1">U2362*'Expenditure Study'!$B$31</f>
        <v>704256.74434079998</v>
      </c>
      <c r="W2362" s="199">
        <f ca="1">IF(A2362=10298,1.51,1)*IF($B2362&lt;3,$D2362*'Expenditure Study'!$B$32*OFFSET('Expenditure Study'!$B$7,'Operations Support'!$C2362,'Operations Support'!$B2362),0)</f>
        <v>0</v>
      </c>
      <c r="X2362" s="200">
        <f ca="1">W2362*'Expenditure Study'!$B$31</f>
        <v>0</v>
      </c>
      <c r="Y2362" s="199">
        <f ca="1">U2362*'Expenditure Study'!$B$31</f>
        <v>704256.74434079998</v>
      </c>
      <c r="Z2362" s="200">
        <f ca="1">W2362*'Expenditure Study'!$B$31</f>
        <v>0</v>
      </c>
      <c r="AA2362" s="195">
        <f t="shared" ca="1" si="512"/>
        <v>704256.74434079998</v>
      </c>
      <c r="AB2362" s="195">
        <f t="shared" ca="1" si="513"/>
        <v>704256.74434079998</v>
      </c>
      <c r="AD2362" s="196">
        <f>IFERROR($G2362/SUMIF($A:$A,$A2362,$G:$G)*SUMIF(Summary!$A$166:$A$242,$A2362,Summary!$P$166:$P$242),0)</f>
        <v>48015.905136775778</v>
      </c>
      <c r="AE2362" s="197">
        <f t="shared" ca="1" si="514"/>
        <v>656240.83920402417</v>
      </c>
      <c r="AF2362" s="196">
        <f>IFERROR(G2362/SUMIF(A:A,A2362,G:G)*SUMIF(Summary!$A$166:$A$242,'Operations Support'!A2362,Summary!$Q$166:$Q$242),0)</f>
        <v>48150.713108739677</v>
      </c>
      <c r="AG2362" s="196">
        <f t="shared" ca="1" si="515"/>
        <v>656106.03123206028</v>
      </c>
      <c r="AI2362" s="196">
        <f>IFERROR($G2362/SUMIF($A:$A,$A2362,$G:$G)*SUMIF(Summary!$A$247:$A$283,$A2362,Summary!$P$247:$P$283),0)</f>
        <v>8756.9028733917767</v>
      </c>
      <c r="AJ2362" s="196">
        <f>IFERROR($G2362/SUMIF($A:$A,$A2362,$G:$G)*(SUMIF(Summary!$A$247:$A$283,$A2362,Summary!$L$247:$L$283)+SUMIF(Summary!$A$297:$A$333,$A2362,Summary!$L$297:$L$333))-AI2362,0)</f>
        <v>30346.836237280007</v>
      </c>
      <c r="AK2362" s="196">
        <f>IFERROR($G2362/SUMIF($A:$A,$A2362,$G:$G)*SUMIF(Summary!$A$247:$A$283,$A2362,Summary!$Q$247:$Q$283),0)</f>
        <v>8781.4884833825527</v>
      </c>
      <c r="AL2362" s="196">
        <f>IFERROR($G2362/SUMIF($A:$A,$A2362,$G:$G)*(SUMIF(Summary!$A$247:$A$283,$A2362,Summary!$L$247:$L$283)+SUMIF(Summary!$A$297:$A$333,$A2362,Summary!$L$297:$L$333))-AK2362,0)</f>
        <v>30322.250627289231</v>
      </c>
      <c r="AM2362" s="198"/>
      <c r="AN2362" s="196">
        <f t="shared" ca="1" si="516"/>
        <v>686587.67544130422</v>
      </c>
      <c r="AO2362" s="196">
        <f t="shared" ca="1" si="517"/>
        <v>686428.28185934946</v>
      </c>
    </row>
    <row r="2363" spans="1:41">
      <c r="A2363" s="189">
        <v>3665</v>
      </c>
      <c r="B2363" s="190">
        <v>3</v>
      </c>
      <c r="C2363" s="191" t="s">
        <v>226</v>
      </c>
      <c r="D2363" s="192">
        <f t="shared" si="504"/>
        <v>0</v>
      </c>
      <c r="E2363" s="192">
        <f t="shared" si="505"/>
        <v>0</v>
      </c>
      <c r="F2363" s="192">
        <f t="shared" si="506"/>
        <v>0</v>
      </c>
      <c r="G2363" s="193">
        <f t="shared" si="507"/>
        <v>0</v>
      </c>
      <c r="H2363" s="194">
        <v>0</v>
      </c>
      <c r="I2363" s="194">
        <v>0</v>
      </c>
      <c r="J2363" s="194">
        <v>0</v>
      </c>
      <c r="K2363" s="193">
        <f t="shared" si="508"/>
        <v>0</v>
      </c>
      <c r="L2363" s="194">
        <v>0</v>
      </c>
      <c r="M2363" s="194">
        <v>0</v>
      </c>
      <c r="N2363" s="194">
        <v>0</v>
      </c>
      <c r="O2363" s="193">
        <f t="shared" si="509"/>
        <v>0</v>
      </c>
      <c r="P2363" s="194">
        <v>0</v>
      </c>
      <c r="Q2363" s="194">
        <v>0</v>
      </c>
      <c r="R2363" s="194">
        <v>0</v>
      </c>
      <c r="S2363" s="193">
        <f t="shared" si="510"/>
        <v>0</v>
      </c>
      <c r="T2363" s="193">
        <f t="shared" si="511"/>
        <v>0</v>
      </c>
      <c r="U2363" s="193">
        <f ca="1">OFFSET('Expenditure Study'!$B$7,'Operations Support'!$C2363,'Operations Support'!$B2363)*$G2363</f>
        <v>0</v>
      </c>
      <c r="V2363" s="199">
        <f ca="1">U2363*'Expenditure Study'!$B$31</f>
        <v>0</v>
      </c>
      <c r="W2363" s="199">
        <f ca="1">IF(A2363=10298,1.51,1)*IF($B2363&lt;3,$D2363*'Expenditure Study'!$B$32*OFFSET('Expenditure Study'!$B$7,'Operations Support'!$C2363,'Operations Support'!$B2363),0)</f>
        <v>0</v>
      </c>
      <c r="X2363" s="200">
        <f ca="1">W2363*'Expenditure Study'!$B$31</f>
        <v>0</v>
      </c>
      <c r="Y2363" s="199">
        <f ca="1">U2363*'Expenditure Study'!$B$31</f>
        <v>0</v>
      </c>
      <c r="Z2363" s="200">
        <f ca="1">W2363*'Expenditure Study'!$B$31</f>
        <v>0</v>
      </c>
      <c r="AA2363" s="195">
        <f t="shared" ca="1" si="512"/>
        <v>0</v>
      </c>
      <c r="AB2363" s="195">
        <f t="shared" ca="1" si="513"/>
        <v>0</v>
      </c>
      <c r="AD2363" s="196">
        <f>IFERROR($G2363/SUMIF($A:$A,$A2363,$G:$G)*SUMIF(Summary!$A$166:$A$242,$A2363,Summary!$P$166:$P$242),0)</f>
        <v>0</v>
      </c>
      <c r="AE2363" s="197">
        <f t="shared" ca="1" si="514"/>
        <v>0</v>
      </c>
      <c r="AF2363" s="196">
        <f>IFERROR(G2363/SUMIF(A:A,A2363,G:G)*SUMIF(Summary!$A$166:$A$242,'Operations Support'!A2363,Summary!$Q$166:$Q$242),0)</f>
        <v>0</v>
      </c>
      <c r="AG2363" s="196">
        <f t="shared" ca="1" si="515"/>
        <v>0</v>
      </c>
      <c r="AI2363" s="196">
        <f>IFERROR($G2363/SUMIF($A:$A,$A2363,$G:$G)*SUMIF(Summary!$A$247:$A$283,$A2363,Summary!$P$247:$P$283),0)</f>
        <v>0</v>
      </c>
      <c r="AJ2363" s="196">
        <f>IFERROR($G2363/SUMIF($A:$A,$A2363,$G:$G)*(SUMIF(Summary!$A$247:$A$283,$A2363,Summary!$L$247:$L$283)+SUMIF(Summary!$A$297:$A$333,$A2363,Summary!$L$297:$L$333))-AI2363,0)</f>
        <v>0</v>
      </c>
      <c r="AK2363" s="196">
        <f>IFERROR($G2363/SUMIF($A:$A,$A2363,$G:$G)*SUMIF(Summary!$A$247:$A$283,$A2363,Summary!$Q$247:$Q$283),0)</f>
        <v>0</v>
      </c>
      <c r="AL2363" s="196">
        <f>IFERROR($G2363/SUMIF($A:$A,$A2363,$G:$G)*(SUMIF(Summary!$A$247:$A$283,$A2363,Summary!$L$247:$L$283)+SUMIF(Summary!$A$297:$A$333,$A2363,Summary!$L$297:$L$333))-AK2363,0)</f>
        <v>0</v>
      </c>
      <c r="AM2363" s="198"/>
      <c r="AN2363" s="196">
        <f t="shared" ca="1" si="516"/>
        <v>0</v>
      </c>
      <c r="AO2363" s="196">
        <f t="shared" ca="1" si="517"/>
        <v>0</v>
      </c>
    </row>
    <row r="2364" spans="1:41">
      <c r="A2364" s="189">
        <v>3665</v>
      </c>
      <c r="B2364" s="190">
        <v>3</v>
      </c>
      <c r="C2364" s="191" t="s">
        <v>227</v>
      </c>
      <c r="D2364" s="192">
        <f t="shared" si="504"/>
        <v>0</v>
      </c>
      <c r="E2364" s="192">
        <f t="shared" si="505"/>
        <v>0</v>
      </c>
      <c r="F2364" s="192">
        <f t="shared" si="506"/>
        <v>0</v>
      </c>
      <c r="G2364" s="193">
        <f t="shared" si="507"/>
        <v>0</v>
      </c>
      <c r="H2364" s="194">
        <v>0</v>
      </c>
      <c r="I2364" s="194">
        <v>0</v>
      </c>
      <c r="J2364" s="194">
        <v>0</v>
      </c>
      <c r="K2364" s="193">
        <f t="shared" si="508"/>
        <v>0</v>
      </c>
      <c r="L2364" s="194">
        <v>0</v>
      </c>
      <c r="M2364" s="194">
        <v>0</v>
      </c>
      <c r="N2364" s="194">
        <v>0</v>
      </c>
      <c r="O2364" s="193">
        <f t="shared" si="509"/>
        <v>0</v>
      </c>
      <c r="P2364" s="194">
        <v>0</v>
      </c>
      <c r="Q2364" s="194">
        <v>0</v>
      </c>
      <c r="R2364" s="194">
        <v>0</v>
      </c>
      <c r="S2364" s="193">
        <f t="shared" si="510"/>
        <v>0</v>
      </c>
      <c r="T2364" s="193">
        <f t="shared" si="511"/>
        <v>0</v>
      </c>
      <c r="U2364" s="193">
        <f ca="1">OFFSET('Expenditure Study'!$B$7,'Operations Support'!$C2364,'Operations Support'!$B2364)*$G2364</f>
        <v>0</v>
      </c>
      <c r="V2364" s="199">
        <f ca="1">U2364*'Expenditure Study'!$B$31</f>
        <v>0</v>
      </c>
      <c r="W2364" s="199">
        <f ca="1">IF(A2364=10298,1.51,1)*IF($B2364&lt;3,$D2364*'Expenditure Study'!$B$32*OFFSET('Expenditure Study'!$B$7,'Operations Support'!$C2364,'Operations Support'!$B2364),0)</f>
        <v>0</v>
      </c>
      <c r="X2364" s="200">
        <f ca="1">W2364*'Expenditure Study'!$B$31</f>
        <v>0</v>
      </c>
      <c r="Y2364" s="199">
        <f ca="1">U2364*'Expenditure Study'!$B$31</f>
        <v>0</v>
      </c>
      <c r="Z2364" s="200">
        <f ca="1">W2364*'Expenditure Study'!$B$31</f>
        <v>0</v>
      </c>
      <c r="AA2364" s="195">
        <f t="shared" ca="1" si="512"/>
        <v>0</v>
      </c>
      <c r="AB2364" s="195">
        <f t="shared" ca="1" si="513"/>
        <v>0</v>
      </c>
      <c r="AD2364" s="196">
        <f>IFERROR($G2364/SUMIF($A:$A,$A2364,$G:$G)*SUMIF(Summary!$A$166:$A$242,$A2364,Summary!$P$166:$P$242),0)</f>
        <v>0</v>
      </c>
      <c r="AE2364" s="197">
        <f t="shared" ca="1" si="514"/>
        <v>0</v>
      </c>
      <c r="AF2364" s="196">
        <f>IFERROR(G2364/SUMIF(A:A,A2364,G:G)*SUMIF(Summary!$A$166:$A$242,'Operations Support'!A2364,Summary!$Q$166:$Q$242),0)</f>
        <v>0</v>
      </c>
      <c r="AG2364" s="196">
        <f t="shared" ca="1" si="515"/>
        <v>0</v>
      </c>
      <c r="AI2364" s="196">
        <f>IFERROR($G2364/SUMIF($A:$A,$A2364,$G:$G)*SUMIF(Summary!$A$247:$A$283,$A2364,Summary!$P$247:$P$283),0)</f>
        <v>0</v>
      </c>
      <c r="AJ2364" s="196">
        <f>IFERROR($G2364/SUMIF($A:$A,$A2364,$G:$G)*(SUMIF(Summary!$A$247:$A$283,$A2364,Summary!$L$247:$L$283)+SUMIF(Summary!$A$297:$A$333,$A2364,Summary!$L$297:$L$333))-AI2364,0)</f>
        <v>0</v>
      </c>
      <c r="AK2364" s="196">
        <f>IFERROR($G2364/SUMIF($A:$A,$A2364,$G:$G)*SUMIF(Summary!$A$247:$A$283,$A2364,Summary!$Q$247:$Q$283),0)</f>
        <v>0</v>
      </c>
      <c r="AL2364" s="196">
        <f>IFERROR($G2364/SUMIF($A:$A,$A2364,$G:$G)*(SUMIF(Summary!$A$247:$A$283,$A2364,Summary!$L$247:$L$283)+SUMIF(Summary!$A$297:$A$333,$A2364,Summary!$L$297:$L$333))-AK2364,0)</f>
        <v>0</v>
      </c>
      <c r="AM2364" s="198"/>
      <c r="AN2364" s="196">
        <f t="shared" ca="1" si="516"/>
        <v>0</v>
      </c>
      <c r="AO2364" s="196">
        <f t="shared" ca="1" si="517"/>
        <v>0</v>
      </c>
    </row>
    <row r="2365" spans="1:41">
      <c r="A2365" s="189">
        <v>3665</v>
      </c>
      <c r="B2365" s="190">
        <v>3</v>
      </c>
      <c r="C2365" s="191" t="s">
        <v>228</v>
      </c>
      <c r="D2365" s="192">
        <f t="shared" si="504"/>
        <v>261</v>
      </c>
      <c r="E2365" s="192">
        <f t="shared" si="505"/>
        <v>379</v>
      </c>
      <c r="F2365" s="192">
        <f t="shared" si="506"/>
        <v>0</v>
      </c>
      <c r="G2365" s="193">
        <f t="shared" si="507"/>
        <v>640</v>
      </c>
      <c r="H2365" s="194">
        <v>102</v>
      </c>
      <c r="I2365" s="194">
        <v>193</v>
      </c>
      <c r="J2365" s="194">
        <v>0</v>
      </c>
      <c r="K2365" s="193">
        <f t="shared" si="508"/>
        <v>295</v>
      </c>
      <c r="L2365" s="194">
        <v>111</v>
      </c>
      <c r="M2365" s="194">
        <v>105</v>
      </c>
      <c r="N2365" s="194">
        <v>0</v>
      </c>
      <c r="O2365" s="193">
        <f t="shared" si="509"/>
        <v>216</v>
      </c>
      <c r="P2365" s="194">
        <v>48</v>
      </c>
      <c r="Q2365" s="194">
        <v>81</v>
      </c>
      <c r="R2365" s="194">
        <v>0</v>
      </c>
      <c r="S2365" s="193">
        <f t="shared" si="510"/>
        <v>129</v>
      </c>
      <c r="T2365" s="193">
        <f t="shared" si="511"/>
        <v>26.666666666666668</v>
      </c>
      <c r="U2365" s="193">
        <f ca="1">OFFSET('Expenditure Study'!$B$7,'Operations Support'!$C2365,'Operations Support'!$B2365)*$G2365</f>
        <v>1561.6</v>
      </c>
      <c r="V2365" s="199">
        <f ca="1">U2365*'Expenditure Study'!$B$31</f>
        <v>92264.295137280002</v>
      </c>
      <c r="W2365" s="199">
        <f ca="1">IF(A2365=10298,1.51,1)*IF($B2365&lt;3,$D2365*'Expenditure Study'!$B$32*OFFSET('Expenditure Study'!$B$7,'Operations Support'!$C2365,'Operations Support'!$B2365),0)</f>
        <v>0</v>
      </c>
      <c r="X2365" s="200">
        <f ca="1">W2365*'Expenditure Study'!$B$31</f>
        <v>0</v>
      </c>
      <c r="Y2365" s="199">
        <f ca="1">U2365*'Expenditure Study'!$B$31</f>
        <v>92264.295137280002</v>
      </c>
      <c r="Z2365" s="200">
        <f ca="1">W2365*'Expenditure Study'!$B$31</f>
        <v>0</v>
      </c>
      <c r="AA2365" s="195">
        <f t="shared" ca="1" si="512"/>
        <v>92264.295137280002</v>
      </c>
      <c r="AB2365" s="195">
        <f t="shared" ca="1" si="513"/>
        <v>92264.295137280002</v>
      </c>
      <c r="AD2365" s="196">
        <f>IFERROR($G2365/SUMIF($A:$A,$A2365,$G:$G)*SUMIF(Summary!$A$166:$A$242,$A2365,Summary!$P$166:$P$242),0)</f>
        <v>17814.596688426955</v>
      </c>
      <c r="AE2365" s="197">
        <f t="shared" ca="1" si="514"/>
        <v>74449.698448853043</v>
      </c>
      <c r="AF2365" s="196">
        <f>IFERROR(G2365/SUMIF(A:A,A2365,G:G)*SUMIF(Summary!$A$166:$A$242,'Operations Support'!A2365,Summary!$Q$166:$Q$242),0)</f>
        <v>17864.612399764286</v>
      </c>
      <c r="AG2365" s="196">
        <f t="shared" ca="1" si="515"/>
        <v>74399.682737515715</v>
      </c>
      <c r="AI2365" s="196">
        <f>IFERROR($G2365/SUMIF($A:$A,$A2365,$G:$G)*SUMIF(Summary!$A$247:$A$283,$A2365,Summary!$P$247:$P$283),0)</f>
        <v>3248.9378776641956</v>
      </c>
      <c r="AJ2365" s="196">
        <f>IFERROR($G2365/SUMIF($A:$A,$A2365,$G:$G)*(SUMIF(Summary!$A$247:$A$283,$A2365,Summary!$L$247:$L$283)+SUMIF(Summary!$A$297:$A$333,$A2365,Summary!$L$297:$L$333))-AI2365,0)</f>
        <v>11259.116053251713</v>
      </c>
      <c r="AK2365" s="196">
        <f>IFERROR($G2365/SUMIF($A:$A,$A2365,$G:$G)*SUMIF(Summary!$A$247:$A$283,$A2365,Summary!$Q$247:$Q$283),0)</f>
        <v>3258.059495283962</v>
      </c>
      <c r="AL2365" s="196">
        <f>IFERROR($G2365/SUMIF($A:$A,$A2365,$G:$G)*(SUMIF(Summary!$A$247:$A$283,$A2365,Summary!$L$247:$L$283)+SUMIF(Summary!$A$297:$A$333,$A2365,Summary!$L$297:$L$333))-AK2365,0)</f>
        <v>11249.994435631947</v>
      </c>
      <c r="AM2365" s="198"/>
      <c r="AN2365" s="196">
        <f t="shared" ca="1" si="516"/>
        <v>85708.814502104753</v>
      </c>
      <c r="AO2365" s="196">
        <f t="shared" ca="1" si="517"/>
        <v>85649.677173147662</v>
      </c>
    </row>
    <row r="2366" spans="1:41">
      <c r="A2366" s="189">
        <v>3665</v>
      </c>
      <c r="B2366" s="190">
        <v>3</v>
      </c>
      <c r="C2366" s="191" t="s">
        <v>229</v>
      </c>
      <c r="D2366" s="192">
        <f t="shared" si="504"/>
        <v>3</v>
      </c>
      <c r="E2366" s="192">
        <f t="shared" si="505"/>
        <v>0</v>
      </c>
      <c r="F2366" s="192">
        <f t="shared" si="506"/>
        <v>0</v>
      </c>
      <c r="G2366" s="193">
        <f t="shared" si="507"/>
        <v>3</v>
      </c>
      <c r="H2366" s="194">
        <v>3</v>
      </c>
      <c r="I2366" s="194">
        <v>0</v>
      </c>
      <c r="J2366" s="194">
        <v>0</v>
      </c>
      <c r="K2366" s="193">
        <f t="shared" si="508"/>
        <v>3</v>
      </c>
      <c r="L2366" s="194">
        <v>0</v>
      </c>
      <c r="M2366" s="194">
        <v>0</v>
      </c>
      <c r="N2366" s="194">
        <v>0</v>
      </c>
      <c r="O2366" s="193">
        <f t="shared" si="509"/>
        <v>0</v>
      </c>
      <c r="P2366" s="194">
        <v>0</v>
      </c>
      <c r="Q2366" s="194">
        <v>0</v>
      </c>
      <c r="R2366" s="194">
        <v>0</v>
      </c>
      <c r="S2366" s="193">
        <f t="shared" si="510"/>
        <v>0</v>
      </c>
      <c r="T2366" s="193">
        <f t="shared" si="511"/>
        <v>0.125</v>
      </c>
      <c r="U2366" s="193">
        <f ca="1">OFFSET('Expenditure Study'!$B$7,'Operations Support'!$C2366,'Operations Support'!$B2366)*$G2366</f>
        <v>11.07</v>
      </c>
      <c r="V2366" s="199">
        <f ca="1">U2366*'Expenditure Study'!$B$31</f>
        <v>654.05081145600002</v>
      </c>
      <c r="W2366" s="199">
        <f ca="1">IF(A2366=10298,1.51,1)*IF($B2366&lt;3,$D2366*'Expenditure Study'!$B$32*OFFSET('Expenditure Study'!$B$7,'Operations Support'!$C2366,'Operations Support'!$B2366),0)</f>
        <v>0</v>
      </c>
      <c r="X2366" s="200">
        <f ca="1">W2366*'Expenditure Study'!$B$31</f>
        <v>0</v>
      </c>
      <c r="Y2366" s="199">
        <f ca="1">U2366*'Expenditure Study'!$B$31</f>
        <v>654.05081145600002</v>
      </c>
      <c r="Z2366" s="200">
        <f ca="1">W2366*'Expenditure Study'!$B$31</f>
        <v>0</v>
      </c>
      <c r="AA2366" s="195">
        <f t="shared" ca="1" si="512"/>
        <v>654.05081145600002</v>
      </c>
      <c r="AB2366" s="195">
        <f t="shared" ca="1" si="513"/>
        <v>654.05081145600002</v>
      </c>
      <c r="AD2366" s="196">
        <f>IFERROR($G2366/SUMIF($A:$A,$A2366,$G:$G)*SUMIF(Summary!$A$166:$A$242,$A2366,Summary!$P$166:$P$242),0)</f>
        <v>83.50592197700135</v>
      </c>
      <c r="AE2366" s="197">
        <f t="shared" ca="1" si="514"/>
        <v>570.5448894789987</v>
      </c>
      <c r="AF2366" s="196">
        <f>IFERROR(G2366/SUMIF(A:A,A2366,G:G)*SUMIF(Summary!$A$166:$A$242,'Operations Support'!A2366,Summary!$Q$166:$Q$242),0)</f>
        <v>83.740370623895103</v>
      </c>
      <c r="AG2366" s="196">
        <f t="shared" ca="1" si="515"/>
        <v>570.31044083210486</v>
      </c>
      <c r="AI2366" s="196">
        <f>IFERROR($G2366/SUMIF($A:$A,$A2366,$G:$G)*SUMIF(Summary!$A$247:$A$283,$A2366,Summary!$P$247:$P$283),0)</f>
        <v>15.229396301550917</v>
      </c>
      <c r="AJ2366" s="196">
        <f>IFERROR($G2366/SUMIF($A:$A,$A2366,$G:$G)*(SUMIF(Summary!$A$247:$A$283,$A2366,Summary!$L$247:$L$283)+SUMIF(Summary!$A$297:$A$333,$A2366,Summary!$L$297:$L$333))-AI2366,0)</f>
        <v>52.777106499617403</v>
      </c>
      <c r="AK2366" s="196">
        <f>IFERROR($G2366/SUMIF($A:$A,$A2366,$G:$G)*SUMIF(Summary!$A$247:$A$283,$A2366,Summary!$Q$247:$Q$283),0)</f>
        <v>15.27215388414357</v>
      </c>
      <c r="AL2366" s="196">
        <f>IFERROR($G2366/SUMIF($A:$A,$A2366,$G:$G)*(SUMIF(Summary!$A$247:$A$283,$A2366,Summary!$L$247:$L$283)+SUMIF(Summary!$A$297:$A$333,$A2366,Summary!$L$297:$L$333))-AK2366,0)</f>
        <v>52.734348917024754</v>
      </c>
      <c r="AM2366" s="198"/>
      <c r="AN2366" s="196">
        <f t="shared" ca="1" si="516"/>
        <v>623.32199597861609</v>
      </c>
      <c r="AO2366" s="196">
        <f t="shared" ca="1" si="517"/>
        <v>623.04478974912956</v>
      </c>
    </row>
    <row r="2367" spans="1:41">
      <c r="A2367" s="189">
        <v>3665</v>
      </c>
      <c r="B2367" s="190">
        <v>3</v>
      </c>
      <c r="C2367" s="191" t="s">
        <v>230</v>
      </c>
      <c r="D2367" s="192">
        <f t="shared" si="504"/>
        <v>0</v>
      </c>
      <c r="E2367" s="192">
        <f t="shared" si="505"/>
        <v>0</v>
      </c>
      <c r="F2367" s="192">
        <f t="shared" si="506"/>
        <v>0</v>
      </c>
      <c r="G2367" s="193">
        <f t="shared" si="507"/>
        <v>0</v>
      </c>
      <c r="H2367" s="194">
        <v>0</v>
      </c>
      <c r="I2367" s="194">
        <v>0</v>
      </c>
      <c r="J2367" s="194">
        <v>0</v>
      </c>
      <c r="K2367" s="193">
        <f t="shared" si="508"/>
        <v>0</v>
      </c>
      <c r="L2367" s="194">
        <v>0</v>
      </c>
      <c r="M2367" s="194">
        <v>0</v>
      </c>
      <c r="N2367" s="194">
        <v>0</v>
      </c>
      <c r="O2367" s="193">
        <f t="shared" si="509"/>
        <v>0</v>
      </c>
      <c r="P2367" s="194">
        <v>0</v>
      </c>
      <c r="Q2367" s="194">
        <v>0</v>
      </c>
      <c r="R2367" s="194">
        <v>0</v>
      </c>
      <c r="S2367" s="193">
        <f t="shared" si="510"/>
        <v>0</v>
      </c>
      <c r="T2367" s="193">
        <f t="shared" si="511"/>
        <v>0</v>
      </c>
      <c r="U2367" s="193">
        <f ca="1">OFFSET('Expenditure Study'!$B$7,'Operations Support'!$C2367,'Operations Support'!$B2367)*$G2367</f>
        <v>0</v>
      </c>
      <c r="V2367" s="199">
        <f ca="1">U2367*'Expenditure Study'!$B$31</f>
        <v>0</v>
      </c>
      <c r="W2367" s="199">
        <f ca="1">IF(A2367=10298,1.51,1)*IF($B2367&lt;3,$D2367*'Expenditure Study'!$B$32*OFFSET('Expenditure Study'!$B$7,'Operations Support'!$C2367,'Operations Support'!$B2367),0)</f>
        <v>0</v>
      </c>
      <c r="X2367" s="200">
        <f ca="1">W2367*'Expenditure Study'!$B$31</f>
        <v>0</v>
      </c>
      <c r="Y2367" s="199">
        <f ca="1">U2367*'Expenditure Study'!$B$31</f>
        <v>0</v>
      </c>
      <c r="Z2367" s="200">
        <f ca="1">W2367*'Expenditure Study'!$B$31</f>
        <v>0</v>
      </c>
      <c r="AA2367" s="195">
        <f t="shared" ca="1" si="512"/>
        <v>0</v>
      </c>
      <c r="AB2367" s="195">
        <f t="shared" ca="1" si="513"/>
        <v>0</v>
      </c>
      <c r="AD2367" s="196">
        <f>IFERROR($G2367/SUMIF($A:$A,$A2367,$G:$G)*SUMIF(Summary!$A$166:$A$242,$A2367,Summary!$P$166:$P$242),0)</f>
        <v>0</v>
      </c>
      <c r="AE2367" s="197">
        <f t="shared" ca="1" si="514"/>
        <v>0</v>
      </c>
      <c r="AF2367" s="196">
        <f>IFERROR(G2367/SUMIF(A:A,A2367,G:G)*SUMIF(Summary!$A$166:$A$242,'Operations Support'!A2367,Summary!$Q$166:$Q$242),0)</f>
        <v>0</v>
      </c>
      <c r="AG2367" s="196">
        <f t="shared" ca="1" si="515"/>
        <v>0</v>
      </c>
      <c r="AI2367" s="196">
        <f>IFERROR($G2367/SUMIF($A:$A,$A2367,$G:$G)*SUMIF(Summary!$A$247:$A$283,$A2367,Summary!$P$247:$P$283),0)</f>
        <v>0</v>
      </c>
      <c r="AJ2367" s="196">
        <f>IFERROR($G2367/SUMIF($A:$A,$A2367,$G:$G)*(SUMIF(Summary!$A$247:$A$283,$A2367,Summary!$L$247:$L$283)+SUMIF(Summary!$A$297:$A$333,$A2367,Summary!$L$297:$L$333))-AI2367,0)</f>
        <v>0</v>
      </c>
      <c r="AK2367" s="196">
        <f>IFERROR($G2367/SUMIF($A:$A,$A2367,$G:$G)*SUMIF(Summary!$A$247:$A$283,$A2367,Summary!$Q$247:$Q$283),0)</f>
        <v>0</v>
      </c>
      <c r="AL2367" s="196">
        <f>IFERROR($G2367/SUMIF($A:$A,$A2367,$G:$G)*(SUMIF(Summary!$A$247:$A$283,$A2367,Summary!$L$247:$L$283)+SUMIF(Summary!$A$297:$A$333,$A2367,Summary!$L$297:$L$333))-AK2367,0)</f>
        <v>0</v>
      </c>
      <c r="AM2367" s="198"/>
      <c r="AN2367" s="196">
        <f t="shared" ca="1" si="516"/>
        <v>0</v>
      </c>
      <c r="AO2367" s="196">
        <f t="shared" ca="1" si="517"/>
        <v>0</v>
      </c>
    </row>
    <row r="2368" spans="1:41">
      <c r="A2368" s="189">
        <v>3665</v>
      </c>
      <c r="B2368" s="190">
        <v>3</v>
      </c>
      <c r="C2368" s="191" t="s">
        <v>231</v>
      </c>
      <c r="D2368" s="192">
        <f t="shared" si="504"/>
        <v>0</v>
      </c>
      <c r="E2368" s="192">
        <f t="shared" si="505"/>
        <v>0</v>
      </c>
      <c r="F2368" s="192">
        <f t="shared" si="506"/>
        <v>0</v>
      </c>
      <c r="G2368" s="193">
        <f t="shared" si="507"/>
        <v>0</v>
      </c>
      <c r="H2368" s="194">
        <v>0</v>
      </c>
      <c r="I2368" s="194">
        <v>0</v>
      </c>
      <c r="J2368" s="194">
        <v>0</v>
      </c>
      <c r="K2368" s="193">
        <f t="shared" si="508"/>
        <v>0</v>
      </c>
      <c r="L2368" s="194">
        <v>0</v>
      </c>
      <c r="M2368" s="194">
        <v>0</v>
      </c>
      <c r="N2368" s="194">
        <v>0</v>
      </c>
      <c r="O2368" s="193">
        <f t="shared" si="509"/>
        <v>0</v>
      </c>
      <c r="P2368" s="194">
        <v>0</v>
      </c>
      <c r="Q2368" s="194">
        <v>0</v>
      </c>
      <c r="R2368" s="194">
        <v>0</v>
      </c>
      <c r="S2368" s="193">
        <f t="shared" si="510"/>
        <v>0</v>
      </c>
      <c r="T2368" s="193">
        <f t="shared" si="511"/>
        <v>0</v>
      </c>
      <c r="U2368" s="193">
        <f ca="1">OFFSET('Expenditure Study'!$B$7,'Operations Support'!$C2368,'Operations Support'!$B2368)*$G2368</f>
        <v>0</v>
      </c>
      <c r="V2368" s="199">
        <f ca="1">U2368*'Expenditure Study'!$B$31</f>
        <v>0</v>
      </c>
      <c r="W2368" s="199">
        <f ca="1">IF(A2368=10298,1.51,1)*IF($B2368&lt;3,$D2368*'Expenditure Study'!$B$32*OFFSET('Expenditure Study'!$B$7,'Operations Support'!$C2368,'Operations Support'!$B2368),0)</f>
        <v>0</v>
      </c>
      <c r="X2368" s="200">
        <f ca="1">W2368*'Expenditure Study'!$B$31</f>
        <v>0</v>
      </c>
      <c r="Y2368" s="199">
        <f ca="1">U2368*'Expenditure Study'!$B$31</f>
        <v>0</v>
      </c>
      <c r="Z2368" s="200">
        <f ca="1">W2368*'Expenditure Study'!$B$31</f>
        <v>0</v>
      </c>
      <c r="AA2368" s="195">
        <f t="shared" ca="1" si="512"/>
        <v>0</v>
      </c>
      <c r="AB2368" s="195">
        <f t="shared" ca="1" si="513"/>
        <v>0</v>
      </c>
      <c r="AD2368" s="196">
        <f>IFERROR($G2368/SUMIF($A:$A,$A2368,$G:$G)*SUMIF(Summary!$A$166:$A$242,$A2368,Summary!$P$166:$P$242),0)</f>
        <v>0</v>
      </c>
      <c r="AE2368" s="197">
        <f t="shared" ca="1" si="514"/>
        <v>0</v>
      </c>
      <c r="AF2368" s="196">
        <f>IFERROR(G2368/SUMIF(A:A,A2368,G:G)*SUMIF(Summary!$A$166:$A$242,'Operations Support'!A2368,Summary!$Q$166:$Q$242),0)</f>
        <v>0</v>
      </c>
      <c r="AG2368" s="196">
        <f t="shared" ca="1" si="515"/>
        <v>0</v>
      </c>
      <c r="AI2368" s="196">
        <f>IFERROR($G2368/SUMIF($A:$A,$A2368,$G:$G)*SUMIF(Summary!$A$247:$A$283,$A2368,Summary!$P$247:$P$283),0)</f>
        <v>0</v>
      </c>
      <c r="AJ2368" s="196">
        <f>IFERROR($G2368/SUMIF($A:$A,$A2368,$G:$G)*(SUMIF(Summary!$A$247:$A$283,$A2368,Summary!$L$247:$L$283)+SUMIF(Summary!$A$297:$A$333,$A2368,Summary!$L$297:$L$333))-AI2368,0)</f>
        <v>0</v>
      </c>
      <c r="AK2368" s="196">
        <f>IFERROR($G2368/SUMIF($A:$A,$A2368,$G:$G)*SUMIF(Summary!$A$247:$A$283,$A2368,Summary!$Q$247:$Q$283),0)</f>
        <v>0</v>
      </c>
      <c r="AL2368" s="196">
        <f>IFERROR($G2368/SUMIF($A:$A,$A2368,$G:$G)*(SUMIF(Summary!$A$247:$A$283,$A2368,Summary!$L$247:$L$283)+SUMIF(Summary!$A$297:$A$333,$A2368,Summary!$L$297:$L$333))-AK2368,0)</f>
        <v>0</v>
      </c>
      <c r="AM2368" s="198"/>
      <c r="AN2368" s="196">
        <f t="shared" ca="1" si="516"/>
        <v>0</v>
      </c>
      <c r="AO2368" s="196">
        <f t="shared" ca="1" si="517"/>
        <v>0</v>
      </c>
    </row>
    <row r="2369" spans="1:41">
      <c r="A2369" s="189">
        <v>3665</v>
      </c>
      <c r="B2369" s="190">
        <v>3</v>
      </c>
      <c r="C2369" s="191" t="s">
        <v>232</v>
      </c>
      <c r="D2369" s="192">
        <f t="shared" si="504"/>
        <v>0</v>
      </c>
      <c r="E2369" s="192">
        <f t="shared" si="505"/>
        <v>0</v>
      </c>
      <c r="F2369" s="192">
        <f t="shared" si="506"/>
        <v>0</v>
      </c>
      <c r="G2369" s="193">
        <f t="shared" si="507"/>
        <v>0</v>
      </c>
      <c r="H2369" s="194">
        <v>0</v>
      </c>
      <c r="I2369" s="194">
        <v>0</v>
      </c>
      <c r="J2369" s="194">
        <v>0</v>
      </c>
      <c r="K2369" s="193">
        <f t="shared" si="508"/>
        <v>0</v>
      </c>
      <c r="L2369" s="194">
        <v>0</v>
      </c>
      <c r="M2369" s="194">
        <v>0</v>
      </c>
      <c r="N2369" s="194">
        <v>0</v>
      </c>
      <c r="O2369" s="193">
        <f t="shared" si="509"/>
        <v>0</v>
      </c>
      <c r="P2369" s="194">
        <v>0</v>
      </c>
      <c r="Q2369" s="194">
        <v>0</v>
      </c>
      <c r="R2369" s="194">
        <v>0</v>
      </c>
      <c r="S2369" s="193">
        <f t="shared" si="510"/>
        <v>0</v>
      </c>
      <c r="T2369" s="193">
        <f t="shared" si="511"/>
        <v>0</v>
      </c>
      <c r="U2369" s="193">
        <f ca="1">OFFSET('Expenditure Study'!$B$7,'Operations Support'!$C2369,'Operations Support'!$B2369)*$G2369</f>
        <v>0</v>
      </c>
      <c r="V2369" s="199">
        <f ca="1">U2369*'Expenditure Study'!$B$31</f>
        <v>0</v>
      </c>
      <c r="W2369" s="199">
        <f ca="1">IF(A2369=10298,1.51,1)*IF($B2369&lt;3,$D2369*'Expenditure Study'!$B$32*OFFSET('Expenditure Study'!$B$7,'Operations Support'!$C2369,'Operations Support'!$B2369),0)</f>
        <v>0</v>
      </c>
      <c r="X2369" s="200">
        <f ca="1">W2369*'Expenditure Study'!$B$31</f>
        <v>0</v>
      </c>
      <c r="Y2369" s="199">
        <f ca="1">U2369*'Expenditure Study'!$B$31</f>
        <v>0</v>
      </c>
      <c r="Z2369" s="200">
        <f ca="1">W2369*'Expenditure Study'!$B$31</f>
        <v>0</v>
      </c>
      <c r="AA2369" s="195">
        <f t="shared" ca="1" si="512"/>
        <v>0</v>
      </c>
      <c r="AB2369" s="195">
        <f t="shared" ca="1" si="513"/>
        <v>0</v>
      </c>
      <c r="AD2369" s="196">
        <f>IFERROR($G2369/SUMIF($A:$A,$A2369,$G:$G)*SUMIF(Summary!$A$166:$A$242,$A2369,Summary!$P$166:$P$242),0)</f>
        <v>0</v>
      </c>
      <c r="AE2369" s="197">
        <f t="shared" ca="1" si="514"/>
        <v>0</v>
      </c>
      <c r="AF2369" s="196">
        <f>IFERROR(G2369/SUMIF(A:A,A2369,G:G)*SUMIF(Summary!$A$166:$A$242,'Operations Support'!A2369,Summary!$Q$166:$Q$242),0)</f>
        <v>0</v>
      </c>
      <c r="AG2369" s="196">
        <f t="shared" ca="1" si="515"/>
        <v>0</v>
      </c>
      <c r="AI2369" s="196">
        <f>IFERROR($G2369/SUMIF($A:$A,$A2369,$G:$G)*SUMIF(Summary!$A$247:$A$283,$A2369,Summary!$P$247:$P$283),0)</f>
        <v>0</v>
      </c>
      <c r="AJ2369" s="196">
        <f>IFERROR($G2369/SUMIF($A:$A,$A2369,$G:$G)*(SUMIF(Summary!$A$247:$A$283,$A2369,Summary!$L$247:$L$283)+SUMIF(Summary!$A$297:$A$333,$A2369,Summary!$L$297:$L$333))-AI2369,0)</f>
        <v>0</v>
      </c>
      <c r="AK2369" s="196">
        <f>IFERROR($G2369/SUMIF($A:$A,$A2369,$G:$G)*SUMIF(Summary!$A$247:$A$283,$A2369,Summary!$Q$247:$Q$283),0)</f>
        <v>0</v>
      </c>
      <c r="AL2369" s="196">
        <f>IFERROR($G2369/SUMIF($A:$A,$A2369,$G:$G)*(SUMIF(Summary!$A$247:$A$283,$A2369,Summary!$L$247:$L$283)+SUMIF(Summary!$A$297:$A$333,$A2369,Summary!$L$297:$L$333))-AK2369,0)</f>
        <v>0</v>
      </c>
      <c r="AM2369" s="198"/>
      <c r="AN2369" s="196">
        <f t="shared" ca="1" si="516"/>
        <v>0</v>
      </c>
      <c r="AO2369" s="196">
        <f t="shared" ca="1" si="517"/>
        <v>0</v>
      </c>
    </row>
    <row r="2370" spans="1:41">
      <c r="A2370" s="189">
        <v>3665</v>
      </c>
      <c r="B2370" s="190">
        <v>3</v>
      </c>
      <c r="C2370" s="191" t="s">
        <v>233</v>
      </c>
      <c r="D2370" s="192">
        <f t="shared" si="504"/>
        <v>319</v>
      </c>
      <c r="E2370" s="192">
        <f t="shared" si="505"/>
        <v>1082</v>
      </c>
      <c r="F2370" s="192">
        <f t="shared" si="506"/>
        <v>0</v>
      </c>
      <c r="G2370" s="193">
        <f t="shared" si="507"/>
        <v>1401</v>
      </c>
      <c r="H2370" s="194">
        <v>30</v>
      </c>
      <c r="I2370" s="194">
        <v>494</v>
      </c>
      <c r="J2370" s="194">
        <v>0</v>
      </c>
      <c r="K2370" s="193">
        <f t="shared" si="508"/>
        <v>524</v>
      </c>
      <c r="L2370" s="194">
        <v>285</v>
      </c>
      <c r="M2370" s="194">
        <v>429</v>
      </c>
      <c r="N2370" s="194">
        <v>0</v>
      </c>
      <c r="O2370" s="193">
        <f t="shared" si="509"/>
        <v>714</v>
      </c>
      <c r="P2370" s="194">
        <v>4</v>
      </c>
      <c r="Q2370" s="194">
        <v>159</v>
      </c>
      <c r="R2370" s="194">
        <v>0</v>
      </c>
      <c r="S2370" s="193">
        <f t="shared" si="510"/>
        <v>163</v>
      </c>
      <c r="T2370" s="193">
        <f t="shared" si="511"/>
        <v>58.375</v>
      </c>
      <c r="U2370" s="193">
        <f ca="1">OFFSET('Expenditure Study'!$B$7,'Operations Support'!$C2370,'Operations Support'!$B2370)*$G2370</f>
        <v>3670.6200000000003</v>
      </c>
      <c r="V2370" s="199">
        <f ca="1">U2370*'Expenditure Study'!$B$31</f>
        <v>216871.90510809602</v>
      </c>
      <c r="W2370" s="199">
        <f ca="1">IF(A2370=10298,1.51,1)*IF($B2370&lt;3,$D2370*'Expenditure Study'!$B$32*OFFSET('Expenditure Study'!$B$7,'Operations Support'!$C2370,'Operations Support'!$B2370),0)</f>
        <v>0</v>
      </c>
      <c r="X2370" s="200">
        <f ca="1">W2370*'Expenditure Study'!$B$31</f>
        <v>0</v>
      </c>
      <c r="Y2370" s="199">
        <f ca="1">U2370*'Expenditure Study'!$B$31</f>
        <v>216871.90510809602</v>
      </c>
      <c r="Z2370" s="200">
        <f ca="1">W2370*'Expenditure Study'!$B$31</f>
        <v>0</v>
      </c>
      <c r="AA2370" s="195">
        <f t="shared" ca="1" si="512"/>
        <v>216871.90510809602</v>
      </c>
      <c r="AB2370" s="195">
        <f t="shared" ca="1" si="513"/>
        <v>216871.90510809602</v>
      </c>
      <c r="AD2370" s="196">
        <f>IFERROR($G2370/SUMIF($A:$A,$A2370,$G:$G)*SUMIF(Summary!$A$166:$A$242,$A2370,Summary!$P$166:$P$242),0)</f>
        <v>38997.265563259629</v>
      </c>
      <c r="AE2370" s="197">
        <f t="shared" ca="1" si="514"/>
        <v>177874.63954483639</v>
      </c>
      <c r="AF2370" s="196">
        <f>IFERROR(G2370/SUMIF(A:A,A2370,G:G)*SUMIF(Summary!$A$166:$A$242,'Operations Support'!A2370,Summary!$Q$166:$Q$242),0)</f>
        <v>39106.753081359006</v>
      </c>
      <c r="AG2370" s="196">
        <f t="shared" ca="1" si="515"/>
        <v>177765.15202673702</v>
      </c>
      <c r="AI2370" s="196">
        <f>IFERROR($G2370/SUMIF($A:$A,$A2370,$G:$G)*SUMIF(Summary!$A$247:$A$283,$A2370,Summary!$P$247:$P$283),0)</f>
        <v>7112.1280728242773</v>
      </c>
      <c r="AJ2370" s="196">
        <f>IFERROR($G2370/SUMIF($A:$A,$A2370,$G:$G)*(SUMIF(Summary!$A$247:$A$283,$A2370,Summary!$L$247:$L$283)+SUMIF(Summary!$A$297:$A$333,$A2370,Summary!$L$297:$L$333))-AI2370,0)</f>
        <v>24646.908735321325</v>
      </c>
      <c r="AK2370" s="196">
        <f>IFERROR($G2370/SUMIF($A:$A,$A2370,$G:$G)*SUMIF(Summary!$A$247:$A$283,$A2370,Summary!$Q$247:$Q$283),0)</f>
        <v>7132.0958638950469</v>
      </c>
      <c r="AL2370" s="196">
        <f>IFERROR($G2370/SUMIF($A:$A,$A2370,$G:$G)*(SUMIF(Summary!$A$247:$A$283,$A2370,Summary!$L$247:$L$283)+SUMIF(Summary!$A$297:$A$333,$A2370,Summary!$L$297:$L$333))-AK2370,0)</f>
        <v>24626.940944250557</v>
      </c>
      <c r="AM2370" s="198"/>
      <c r="AN2370" s="196">
        <f t="shared" ca="1" si="516"/>
        <v>202521.54828015773</v>
      </c>
      <c r="AO2370" s="196">
        <f t="shared" ca="1" si="517"/>
        <v>202392.09297098758</v>
      </c>
    </row>
    <row r="2371" spans="1:41">
      <c r="A2371" s="189">
        <v>3665</v>
      </c>
      <c r="B2371" s="190">
        <v>3</v>
      </c>
      <c r="C2371" s="191" t="s">
        <v>234</v>
      </c>
      <c r="D2371" s="192">
        <f t="shared" si="504"/>
        <v>0</v>
      </c>
      <c r="E2371" s="192">
        <f t="shared" si="505"/>
        <v>0</v>
      </c>
      <c r="F2371" s="192">
        <f t="shared" si="506"/>
        <v>0</v>
      </c>
      <c r="G2371" s="193">
        <f t="shared" si="507"/>
        <v>0</v>
      </c>
      <c r="H2371" s="194">
        <v>0</v>
      </c>
      <c r="I2371" s="194">
        <v>0</v>
      </c>
      <c r="J2371" s="194">
        <v>0</v>
      </c>
      <c r="K2371" s="193">
        <f t="shared" si="508"/>
        <v>0</v>
      </c>
      <c r="L2371" s="194">
        <v>0</v>
      </c>
      <c r="M2371" s="194">
        <v>0</v>
      </c>
      <c r="N2371" s="194">
        <v>0</v>
      </c>
      <c r="O2371" s="193">
        <f t="shared" si="509"/>
        <v>0</v>
      </c>
      <c r="P2371" s="194">
        <v>0</v>
      </c>
      <c r="Q2371" s="194">
        <v>0</v>
      </c>
      <c r="R2371" s="194">
        <v>0</v>
      </c>
      <c r="S2371" s="193">
        <f t="shared" si="510"/>
        <v>0</v>
      </c>
      <c r="T2371" s="193">
        <f t="shared" si="511"/>
        <v>0</v>
      </c>
      <c r="U2371" s="193">
        <f ca="1">OFFSET('Expenditure Study'!$B$7,'Operations Support'!$C2371,'Operations Support'!$B2371)*$G2371</f>
        <v>0</v>
      </c>
      <c r="V2371" s="199">
        <f ca="1">U2371*'Expenditure Study'!$B$31</f>
        <v>0</v>
      </c>
      <c r="W2371" s="199">
        <f ca="1">IF(A2371=10298,1.51,1)*IF($B2371&lt;3,$D2371*'Expenditure Study'!$B$32*OFFSET('Expenditure Study'!$B$7,'Operations Support'!$C2371,'Operations Support'!$B2371),0)</f>
        <v>0</v>
      </c>
      <c r="X2371" s="200">
        <f ca="1">W2371*'Expenditure Study'!$B$31</f>
        <v>0</v>
      </c>
      <c r="Y2371" s="199">
        <f ca="1">U2371*'Expenditure Study'!$B$31</f>
        <v>0</v>
      </c>
      <c r="Z2371" s="200">
        <f ca="1">W2371*'Expenditure Study'!$B$31</f>
        <v>0</v>
      </c>
      <c r="AA2371" s="195">
        <f t="shared" ca="1" si="512"/>
        <v>0</v>
      </c>
      <c r="AB2371" s="195">
        <f t="shared" ca="1" si="513"/>
        <v>0</v>
      </c>
      <c r="AD2371" s="196">
        <f>IFERROR($G2371/SUMIF($A:$A,$A2371,$G:$G)*SUMIF(Summary!$A$166:$A$242,$A2371,Summary!$P$166:$P$242),0)</f>
        <v>0</v>
      </c>
      <c r="AE2371" s="197">
        <f t="shared" ca="1" si="514"/>
        <v>0</v>
      </c>
      <c r="AF2371" s="196">
        <f>IFERROR(G2371/SUMIF(A:A,A2371,G:G)*SUMIF(Summary!$A$166:$A$242,'Operations Support'!A2371,Summary!$Q$166:$Q$242),0)</f>
        <v>0</v>
      </c>
      <c r="AG2371" s="196">
        <f t="shared" ca="1" si="515"/>
        <v>0</v>
      </c>
      <c r="AI2371" s="196">
        <f>IFERROR($G2371/SUMIF($A:$A,$A2371,$G:$G)*SUMIF(Summary!$A$247:$A$283,$A2371,Summary!$P$247:$P$283),0)</f>
        <v>0</v>
      </c>
      <c r="AJ2371" s="196">
        <f>IFERROR($G2371/SUMIF($A:$A,$A2371,$G:$G)*(SUMIF(Summary!$A$247:$A$283,$A2371,Summary!$L$247:$L$283)+SUMIF(Summary!$A$297:$A$333,$A2371,Summary!$L$297:$L$333))-AI2371,0)</f>
        <v>0</v>
      </c>
      <c r="AK2371" s="196">
        <f>IFERROR($G2371/SUMIF($A:$A,$A2371,$G:$G)*SUMIF(Summary!$A$247:$A$283,$A2371,Summary!$Q$247:$Q$283),0)</f>
        <v>0</v>
      </c>
      <c r="AL2371" s="196">
        <f>IFERROR($G2371/SUMIF($A:$A,$A2371,$G:$G)*(SUMIF(Summary!$A$247:$A$283,$A2371,Summary!$L$247:$L$283)+SUMIF(Summary!$A$297:$A$333,$A2371,Summary!$L$297:$L$333))-AK2371,0)</f>
        <v>0</v>
      </c>
      <c r="AM2371" s="198"/>
      <c r="AN2371" s="196">
        <f t="shared" ca="1" si="516"/>
        <v>0</v>
      </c>
      <c r="AO2371" s="196">
        <f t="shared" ca="1" si="517"/>
        <v>0</v>
      </c>
    </row>
    <row r="2372" spans="1:41">
      <c r="A2372" s="189">
        <v>3665</v>
      </c>
      <c r="B2372" s="190">
        <v>3</v>
      </c>
      <c r="C2372" s="191" t="s">
        <v>235</v>
      </c>
      <c r="D2372" s="192">
        <f t="shared" si="504"/>
        <v>6387</v>
      </c>
      <c r="E2372" s="192">
        <f t="shared" si="505"/>
        <v>5043</v>
      </c>
      <c r="F2372" s="192">
        <f t="shared" si="506"/>
        <v>0</v>
      </c>
      <c r="G2372" s="193">
        <f t="shared" si="507"/>
        <v>11430</v>
      </c>
      <c r="H2372" s="194">
        <v>2298</v>
      </c>
      <c r="I2372" s="194">
        <v>1771</v>
      </c>
      <c r="J2372" s="194">
        <v>0</v>
      </c>
      <c r="K2372" s="193">
        <f t="shared" si="508"/>
        <v>4069</v>
      </c>
      <c r="L2372" s="194">
        <v>2346</v>
      </c>
      <c r="M2372" s="194">
        <v>2315</v>
      </c>
      <c r="N2372" s="194">
        <v>0</v>
      </c>
      <c r="O2372" s="193">
        <f t="shared" si="509"/>
        <v>4661</v>
      </c>
      <c r="P2372" s="194">
        <v>1743</v>
      </c>
      <c r="Q2372" s="194">
        <v>957</v>
      </c>
      <c r="R2372" s="194">
        <v>0</v>
      </c>
      <c r="S2372" s="193">
        <f t="shared" si="510"/>
        <v>2700</v>
      </c>
      <c r="T2372" s="193">
        <f t="shared" si="511"/>
        <v>476.25</v>
      </c>
      <c r="U2372" s="193">
        <f ca="1">OFFSET('Expenditure Study'!$B$7,'Operations Support'!$C2372,'Operations Support'!$B2372)*$G2372</f>
        <v>36118.800000000003</v>
      </c>
      <c r="V2372" s="199">
        <f ca="1">U2372*'Expenditure Study'!$B$31</f>
        <v>2134013.5906790402</v>
      </c>
      <c r="W2372" s="199">
        <f ca="1">IF(A2372=10298,1.51,1)*IF($B2372&lt;3,$D2372*'Expenditure Study'!$B$32*OFFSET('Expenditure Study'!$B$7,'Operations Support'!$C2372,'Operations Support'!$B2372),0)</f>
        <v>0</v>
      </c>
      <c r="X2372" s="200">
        <f ca="1">W2372*'Expenditure Study'!$B$31</f>
        <v>0</v>
      </c>
      <c r="Y2372" s="199">
        <f ca="1">U2372*'Expenditure Study'!$B$31</f>
        <v>2134013.5906790402</v>
      </c>
      <c r="Z2372" s="200">
        <f ca="1">W2372*'Expenditure Study'!$B$31</f>
        <v>0</v>
      </c>
      <c r="AA2372" s="195">
        <f t="shared" ca="1" si="512"/>
        <v>2134013.5906790402</v>
      </c>
      <c r="AB2372" s="195">
        <f t="shared" ca="1" si="513"/>
        <v>2134013.5906790402</v>
      </c>
      <c r="AD2372" s="196">
        <f>IFERROR($G2372/SUMIF($A:$A,$A2372,$G:$G)*SUMIF(Summary!$A$166:$A$242,$A2372,Summary!$P$166:$P$242),0)</f>
        <v>318157.56273237517</v>
      </c>
      <c r="AE2372" s="197">
        <f t="shared" ca="1" si="514"/>
        <v>1815856.027946665</v>
      </c>
      <c r="AF2372" s="196">
        <f>IFERROR(G2372/SUMIF(A:A,A2372,G:G)*SUMIF(Summary!$A$166:$A$242,'Operations Support'!A2372,Summary!$Q$166:$Q$242),0)</f>
        <v>319050.81207704032</v>
      </c>
      <c r="AG2372" s="196">
        <f t="shared" ca="1" si="515"/>
        <v>1814962.7786019999</v>
      </c>
      <c r="AI2372" s="196">
        <f>IFERROR($G2372/SUMIF($A:$A,$A2372,$G:$G)*SUMIF(Summary!$A$247:$A$283,$A2372,Summary!$P$247:$P$283),0)</f>
        <v>58023.999908908991</v>
      </c>
      <c r="AJ2372" s="196">
        <f>IFERROR($G2372/SUMIF($A:$A,$A2372,$G:$G)*(SUMIF(Summary!$A$247:$A$283,$A2372,Summary!$L$247:$L$283)+SUMIF(Summary!$A$297:$A$333,$A2372,Summary!$L$297:$L$333))-AI2372,0)</f>
        <v>201080.77576354227</v>
      </c>
      <c r="AK2372" s="196">
        <f>IFERROR($G2372/SUMIF($A:$A,$A2372,$G:$G)*SUMIF(Summary!$A$247:$A$283,$A2372,Summary!$Q$247:$Q$283),0)</f>
        <v>58186.906298587004</v>
      </c>
      <c r="AL2372" s="196">
        <f>IFERROR($G2372/SUMIF($A:$A,$A2372,$G:$G)*(SUMIF(Summary!$A$247:$A$283,$A2372,Summary!$L$247:$L$283)+SUMIF(Summary!$A$297:$A$333,$A2372,Summary!$L$297:$L$333))-AK2372,0)</f>
        <v>200917.86937386426</v>
      </c>
      <c r="AM2372" s="198"/>
      <c r="AN2372" s="196">
        <f t="shared" ca="1" si="516"/>
        <v>2016936.8037102073</v>
      </c>
      <c r="AO2372" s="196">
        <f t="shared" ca="1" si="517"/>
        <v>2015880.6479758641</v>
      </c>
    </row>
    <row r="2373" spans="1:41">
      <c r="A2373" s="189">
        <v>3665</v>
      </c>
      <c r="B2373" s="190">
        <v>3</v>
      </c>
      <c r="C2373" s="191" t="s">
        <v>236</v>
      </c>
      <c r="D2373" s="192">
        <f t="shared" ref="D2373:D2436" si="518">H2373+L2373+P2373</f>
        <v>0</v>
      </c>
      <c r="E2373" s="192">
        <f t="shared" ref="E2373:E2436" si="519">I2373+M2373+Q2373</f>
        <v>0</v>
      </c>
      <c r="F2373" s="192">
        <f t="shared" ref="F2373:F2436" si="520">J2373+N2373+R2373</f>
        <v>0</v>
      </c>
      <c r="G2373" s="193">
        <f t="shared" ref="G2373:G2436" si="521">(SUM(D2373:E2373)-F2373)*IF(A2373=10298,1.51,1)</f>
        <v>0</v>
      </c>
      <c r="H2373" s="194">
        <v>0</v>
      </c>
      <c r="I2373" s="194">
        <v>0</v>
      </c>
      <c r="J2373" s="194">
        <v>0</v>
      </c>
      <c r="K2373" s="193">
        <f t="shared" ref="K2373:K2436" si="522">SUM(H2373:I2373)-J2373</f>
        <v>0</v>
      </c>
      <c r="L2373" s="194">
        <v>0</v>
      </c>
      <c r="M2373" s="194">
        <v>0</v>
      </c>
      <c r="N2373" s="194">
        <v>0</v>
      </c>
      <c r="O2373" s="193">
        <f t="shared" ref="O2373:O2436" si="523">SUM(L2373:M2373)-N2373</f>
        <v>0</v>
      </c>
      <c r="P2373" s="194">
        <v>0</v>
      </c>
      <c r="Q2373" s="194">
        <v>0</v>
      </c>
      <c r="R2373" s="194">
        <v>0</v>
      </c>
      <c r="S2373" s="193">
        <f t="shared" ref="S2373:S2436" si="524">SUM(P2373:Q2373)-R2373</f>
        <v>0</v>
      </c>
      <c r="T2373" s="193">
        <f t="shared" ref="T2373:T2436" si="525">IF(OR(B2373=1,B2373=2),G2373/30,IF(OR(B2373=3,B2373=5),G2373/24,IF(B2373=4,G2373/18,0)))</f>
        <v>0</v>
      </c>
      <c r="U2373" s="193">
        <f ca="1">OFFSET('Expenditure Study'!$B$7,'Operations Support'!$C2373,'Operations Support'!$B2373)*$G2373</f>
        <v>0</v>
      </c>
      <c r="V2373" s="199">
        <f ca="1">U2373*'Expenditure Study'!$B$31</f>
        <v>0</v>
      </c>
      <c r="W2373" s="199">
        <f ca="1">IF(A2373=10298,1.51,1)*IF($B2373&lt;3,$D2373*'Expenditure Study'!$B$32*OFFSET('Expenditure Study'!$B$7,'Operations Support'!$C2373,'Operations Support'!$B2373),0)</f>
        <v>0</v>
      </c>
      <c r="X2373" s="200">
        <f ca="1">W2373*'Expenditure Study'!$B$31</f>
        <v>0</v>
      </c>
      <c r="Y2373" s="199">
        <f ca="1">U2373*'Expenditure Study'!$B$31</f>
        <v>0</v>
      </c>
      <c r="Z2373" s="200">
        <f ca="1">W2373*'Expenditure Study'!$B$31</f>
        <v>0</v>
      </c>
      <c r="AA2373" s="195">
        <f t="shared" ref="AA2373:AA2436" ca="1" si="526">V2373+X2373</f>
        <v>0</v>
      </c>
      <c r="AB2373" s="195">
        <f t="shared" ref="AB2373:AB2436" ca="1" si="527">Y2373+Z2373</f>
        <v>0</v>
      </c>
      <c r="AD2373" s="196">
        <f>IFERROR($G2373/SUMIF($A:$A,$A2373,$G:$G)*SUMIF(Summary!$A$166:$A$242,$A2373,Summary!$P$166:$P$242),0)</f>
        <v>0</v>
      </c>
      <c r="AE2373" s="197">
        <f t="shared" ca="1" si="514"/>
        <v>0</v>
      </c>
      <c r="AF2373" s="196">
        <f>IFERROR(G2373/SUMIF(A:A,A2373,G:G)*SUMIF(Summary!$A$166:$A$242,'Operations Support'!A2373,Summary!$Q$166:$Q$242),0)</f>
        <v>0</v>
      </c>
      <c r="AG2373" s="196">
        <f t="shared" ca="1" si="515"/>
        <v>0</v>
      </c>
      <c r="AI2373" s="196">
        <f>IFERROR($G2373/SUMIF($A:$A,$A2373,$G:$G)*SUMIF(Summary!$A$247:$A$283,$A2373,Summary!$P$247:$P$283),0)</f>
        <v>0</v>
      </c>
      <c r="AJ2373" s="196">
        <f>IFERROR($G2373/SUMIF($A:$A,$A2373,$G:$G)*(SUMIF(Summary!$A$247:$A$283,$A2373,Summary!$L$247:$L$283)+SUMIF(Summary!$A$297:$A$333,$A2373,Summary!$L$297:$L$333))-AI2373,0)</f>
        <v>0</v>
      </c>
      <c r="AK2373" s="196">
        <f>IFERROR($G2373/SUMIF($A:$A,$A2373,$G:$G)*SUMIF(Summary!$A$247:$A$283,$A2373,Summary!$Q$247:$Q$283),0)</f>
        <v>0</v>
      </c>
      <c r="AL2373" s="196">
        <f>IFERROR($G2373/SUMIF($A:$A,$A2373,$G:$G)*(SUMIF(Summary!$A$247:$A$283,$A2373,Summary!$L$247:$L$283)+SUMIF(Summary!$A$297:$A$333,$A2373,Summary!$L$297:$L$333))-AK2373,0)</f>
        <v>0</v>
      </c>
      <c r="AM2373" s="198"/>
      <c r="AN2373" s="196">
        <f t="shared" ca="1" si="516"/>
        <v>0</v>
      </c>
      <c r="AO2373" s="196">
        <f t="shared" ca="1" si="517"/>
        <v>0</v>
      </c>
    </row>
    <row r="2374" spans="1:41">
      <c r="A2374" s="189">
        <v>3665</v>
      </c>
      <c r="B2374" s="190">
        <v>3</v>
      </c>
      <c r="C2374" s="191" t="s">
        <v>237</v>
      </c>
      <c r="D2374" s="192">
        <f t="shared" si="518"/>
        <v>0</v>
      </c>
      <c r="E2374" s="192">
        <f t="shared" si="519"/>
        <v>0</v>
      </c>
      <c r="F2374" s="192">
        <f t="shared" si="520"/>
        <v>0</v>
      </c>
      <c r="G2374" s="193">
        <f t="shared" si="521"/>
        <v>0</v>
      </c>
      <c r="H2374" s="194">
        <v>0</v>
      </c>
      <c r="I2374" s="194">
        <v>0</v>
      </c>
      <c r="J2374" s="194">
        <v>0</v>
      </c>
      <c r="K2374" s="193">
        <f t="shared" si="522"/>
        <v>0</v>
      </c>
      <c r="L2374" s="194">
        <v>0</v>
      </c>
      <c r="M2374" s="194">
        <v>0</v>
      </c>
      <c r="N2374" s="194">
        <v>0</v>
      </c>
      <c r="O2374" s="193">
        <f t="shared" si="523"/>
        <v>0</v>
      </c>
      <c r="P2374" s="194">
        <v>0</v>
      </c>
      <c r="Q2374" s="194">
        <v>0</v>
      </c>
      <c r="R2374" s="194">
        <v>0</v>
      </c>
      <c r="S2374" s="193">
        <f t="shared" si="524"/>
        <v>0</v>
      </c>
      <c r="T2374" s="193">
        <f t="shared" si="525"/>
        <v>0</v>
      </c>
      <c r="U2374" s="193">
        <f ca="1">OFFSET('Expenditure Study'!$B$7,'Operations Support'!$C2374,'Operations Support'!$B2374)*$G2374</f>
        <v>0</v>
      </c>
      <c r="V2374" s="199">
        <f ca="1">U2374*'Expenditure Study'!$B$31</f>
        <v>0</v>
      </c>
      <c r="W2374" s="199">
        <f ca="1">IF(A2374=10298,1.51,1)*IF($B2374&lt;3,$D2374*'Expenditure Study'!$B$32*OFFSET('Expenditure Study'!$B$7,'Operations Support'!$C2374,'Operations Support'!$B2374),0)</f>
        <v>0</v>
      </c>
      <c r="X2374" s="200">
        <f ca="1">W2374*'Expenditure Study'!$B$31</f>
        <v>0</v>
      </c>
      <c r="Y2374" s="199">
        <f ca="1">U2374*'Expenditure Study'!$B$31</f>
        <v>0</v>
      </c>
      <c r="Z2374" s="200">
        <f ca="1">W2374*'Expenditure Study'!$B$31</f>
        <v>0</v>
      </c>
      <c r="AA2374" s="195">
        <f t="shared" ca="1" si="526"/>
        <v>0</v>
      </c>
      <c r="AB2374" s="195">
        <f t="shared" ca="1" si="527"/>
        <v>0</v>
      </c>
      <c r="AD2374" s="196">
        <f>IFERROR($G2374/SUMIF($A:$A,$A2374,$G:$G)*SUMIF(Summary!$A$166:$A$242,$A2374,Summary!$P$166:$P$242),0)</f>
        <v>0</v>
      </c>
      <c r="AE2374" s="197">
        <f t="shared" ref="AE2374:AE2437" ca="1" si="528">V2374+X2374-AD2374</f>
        <v>0</v>
      </c>
      <c r="AF2374" s="196">
        <f>IFERROR(G2374/SUMIF(A:A,A2374,G:G)*SUMIF(Summary!$A$166:$A$242,'Operations Support'!A2374,Summary!$Q$166:$Q$242),0)</f>
        <v>0</v>
      </c>
      <c r="AG2374" s="196">
        <f t="shared" ref="AG2374:AG2437" ca="1" si="529">Y2374+Z2374-AF2374</f>
        <v>0</v>
      </c>
      <c r="AI2374" s="196">
        <f>IFERROR($G2374/SUMIF($A:$A,$A2374,$G:$G)*SUMIF(Summary!$A$247:$A$283,$A2374,Summary!$P$247:$P$283),0)</f>
        <v>0</v>
      </c>
      <c r="AJ2374" s="196">
        <f>IFERROR($G2374/SUMIF($A:$A,$A2374,$G:$G)*(SUMIF(Summary!$A$247:$A$283,$A2374,Summary!$L$247:$L$283)+SUMIF(Summary!$A$297:$A$333,$A2374,Summary!$L$297:$L$333))-AI2374,0)</f>
        <v>0</v>
      </c>
      <c r="AK2374" s="196">
        <f>IFERROR($G2374/SUMIF($A:$A,$A2374,$G:$G)*SUMIF(Summary!$A$247:$A$283,$A2374,Summary!$Q$247:$Q$283),0)</f>
        <v>0</v>
      </c>
      <c r="AL2374" s="196">
        <f>IFERROR($G2374/SUMIF($A:$A,$A2374,$G:$G)*(SUMIF(Summary!$A$247:$A$283,$A2374,Summary!$L$247:$L$283)+SUMIF(Summary!$A$297:$A$333,$A2374,Summary!$L$297:$L$333))-AK2374,0)</f>
        <v>0</v>
      </c>
      <c r="AM2374" s="198"/>
      <c r="AN2374" s="196">
        <f t="shared" ref="AN2374:AN2437" ca="1" si="530">AE2374+AJ2374</f>
        <v>0</v>
      </c>
      <c r="AO2374" s="196">
        <f t="shared" ref="AO2374:AO2437" ca="1" si="531">AG2374+AL2374</f>
        <v>0</v>
      </c>
    </row>
    <row r="2375" spans="1:41">
      <c r="A2375" s="189">
        <v>3665</v>
      </c>
      <c r="B2375" s="190">
        <v>3</v>
      </c>
      <c r="C2375" s="191" t="s">
        <v>238</v>
      </c>
      <c r="D2375" s="192">
        <f t="shared" si="518"/>
        <v>174</v>
      </c>
      <c r="E2375" s="192">
        <f t="shared" si="519"/>
        <v>45</v>
      </c>
      <c r="F2375" s="192">
        <f t="shared" si="520"/>
        <v>0</v>
      </c>
      <c r="G2375" s="193">
        <f t="shared" si="521"/>
        <v>219</v>
      </c>
      <c r="H2375" s="194">
        <v>0</v>
      </c>
      <c r="I2375" s="194">
        <v>27</v>
      </c>
      <c r="J2375" s="194">
        <v>0</v>
      </c>
      <c r="K2375" s="193">
        <f t="shared" si="522"/>
        <v>27</v>
      </c>
      <c r="L2375" s="194">
        <v>174</v>
      </c>
      <c r="M2375" s="194">
        <v>18</v>
      </c>
      <c r="N2375" s="194">
        <v>0</v>
      </c>
      <c r="O2375" s="193">
        <f t="shared" si="523"/>
        <v>192</v>
      </c>
      <c r="P2375" s="194">
        <v>0</v>
      </c>
      <c r="Q2375" s="194">
        <v>0</v>
      </c>
      <c r="R2375" s="194">
        <v>0</v>
      </c>
      <c r="S2375" s="193">
        <f t="shared" si="524"/>
        <v>0</v>
      </c>
      <c r="T2375" s="193">
        <f t="shared" si="525"/>
        <v>9.125</v>
      </c>
      <c r="U2375" s="193">
        <f ca="1">OFFSET('Expenditure Study'!$B$7,'Operations Support'!$C2375,'Operations Support'!$B2375)*$G2375</f>
        <v>1278.96</v>
      </c>
      <c r="V2375" s="199">
        <f ca="1">U2375*'Expenditure Study'!$B$31</f>
        <v>75565.02491596801</v>
      </c>
      <c r="W2375" s="199">
        <f ca="1">IF(A2375=10298,1.51,1)*IF($B2375&lt;3,$D2375*'Expenditure Study'!$B$32*OFFSET('Expenditure Study'!$B$7,'Operations Support'!$C2375,'Operations Support'!$B2375),0)</f>
        <v>0</v>
      </c>
      <c r="X2375" s="200">
        <f ca="1">W2375*'Expenditure Study'!$B$31</f>
        <v>0</v>
      </c>
      <c r="Y2375" s="199">
        <f ca="1">U2375*'Expenditure Study'!$B$31</f>
        <v>75565.02491596801</v>
      </c>
      <c r="Z2375" s="200">
        <f ca="1">W2375*'Expenditure Study'!$B$31</f>
        <v>0</v>
      </c>
      <c r="AA2375" s="195">
        <f t="shared" ca="1" si="526"/>
        <v>75565.02491596801</v>
      </c>
      <c r="AB2375" s="195">
        <f t="shared" ca="1" si="527"/>
        <v>75565.02491596801</v>
      </c>
      <c r="AD2375" s="196">
        <f>IFERROR($G2375/SUMIF($A:$A,$A2375,$G:$G)*SUMIF(Summary!$A$166:$A$242,$A2375,Summary!$P$166:$P$242),0)</f>
        <v>6095.9323043210989</v>
      </c>
      <c r="AE2375" s="197">
        <f t="shared" ca="1" si="528"/>
        <v>69469.092611646905</v>
      </c>
      <c r="AF2375" s="196">
        <f>IFERROR(G2375/SUMIF(A:A,A2375,G:G)*SUMIF(Summary!$A$166:$A$242,'Operations Support'!A2375,Summary!$Q$166:$Q$242),0)</f>
        <v>6113.0470555443417</v>
      </c>
      <c r="AG2375" s="196">
        <f t="shared" ca="1" si="529"/>
        <v>69451.977860423664</v>
      </c>
      <c r="AI2375" s="196">
        <f>IFERROR($G2375/SUMIF($A:$A,$A2375,$G:$G)*SUMIF(Summary!$A$247:$A$283,$A2375,Summary!$P$247:$P$283),0)</f>
        <v>1111.7459300132168</v>
      </c>
      <c r="AJ2375" s="196">
        <f>IFERROR($G2375/SUMIF($A:$A,$A2375,$G:$G)*(SUMIF(Summary!$A$247:$A$283,$A2375,Summary!$L$247:$L$283)+SUMIF(Summary!$A$297:$A$333,$A2375,Summary!$L$297:$L$333))-AI2375,0)</f>
        <v>3852.7287744720697</v>
      </c>
      <c r="AK2375" s="196">
        <f>IFERROR($G2375/SUMIF($A:$A,$A2375,$G:$G)*SUMIF(Summary!$A$247:$A$283,$A2375,Summary!$Q$247:$Q$283),0)</f>
        <v>1114.8672335424806</v>
      </c>
      <c r="AL2375" s="196">
        <f>IFERROR($G2375/SUMIF($A:$A,$A2375,$G:$G)*(SUMIF(Summary!$A$247:$A$283,$A2375,Summary!$L$247:$L$283)+SUMIF(Summary!$A$297:$A$333,$A2375,Summary!$L$297:$L$333))-AK2375,0)</f>
        <v>3849.6074709428058</v>
      </c>
      <c r="AM2375" s="198"/>
      <c r="AN2375" s="196">
        <f t="shared" ca="1" si="530"/>
        <v>73321.821386118972</v>
      </c>
      <c r="AO2375" s="196">
        <f t="shared" ca="1" si="531"/>
        <v>73301.58533136647</v>
      </c>
    </row>
    <row r="2376" spans="1:41">
      <c r="A2376" s="189">
        <v>3665</v>
      </c>
      <c r="B2376" s="190">
        <v>3</v>
      </c>
      <c r="C2376" s="191" t="s">
        <v>239</v>
      </c>
      <c r="D2376" s="192">
        <f t="shared" si="518"/>
        <v>566.75</v>
      </c>
      <c r="E2376" s="192">
        <f t="shared" si="519"/>
        <v>513.25</v>
      </c>
      <c r="F2376" s="192">
        <f t="shared" si="520"/>
        <v>0</v>
      </c>
      <c r="G2376" s="193">
        <f t="shared" si="521"/>
        <v>1080</v>
      </c>
      <c r="H2376" s="194">
        <v>208</v>
      </c>
      <c r="I2376" s="194">
        <v>190</v>
      </c>
      <c r="J2376" s="194">
        <v>0</v>
      </c>
      <c r="K2376" s="193">
        <f t="shared" si="522"/>
        <v>398</v>
      </c>
      <c r="L2376" s="194">
        <v>218.75</v>
      </c>
      <c r="M2376" s="194">
        <v>185.25</v>
      </c>
      <c r="N2376" s="194">
        <v>0</v>
      </c>
      <c r="O2376" s="193">
        <f t="shared" si="523"/>
        <v>404</v>
      </c>
      <c r="P2376" s="194">
        <v>140</v>
      </c>
      <c r="Q2376" s="194">
        <v>138</v>
      </c>
      <c r="R2376" s="194">
        <v>0</v>
      </c>
      <c r="S2376" s="193">
        <f t="shared" si="524"/>
        <v>278</v>
      </c>
      <c r="T2376" s="193">
        <f t="shared" si="525"/>
        <v>45</v>
      </c>
      <c r="U2376" s="193">
        <f ca="1">OFFSET('Expenditure Study'!$B$7,'Operations Support'!$C2376,'Operations Support'!$B2376)*$G2376</f>
        <v>2937.6000000000004</v>
      </c>
      <c r="V2376" s="199">
        <f ca="1">U2376*'Expenditure Study'!$B$31</f>
        <v>173562.75191808003</v>
      </c>
      <c r="W2376" s="199">
        <f ca="1">IF(A2376=10298,1.51,1)*IF($B2376&lt;3,$D2376*'Expenditure Study'!$B$32*OFFSET('Expenditure Study'!$B$7,'Operations Support'!$C2376,'Operations Support'!$B2376),0)</f>
        <v>0</v>
      </c>
      <c r="X2376" s="200">
        <f ca="1">W2376*'Expenditure Study'!$B$31</f>
        <v>0</v>
      </c>
      <c r="Y2376" s="199">
        <f ca="1">U2376*'Expenditure Study'!$B$31</f>
        <v>173562.75191808003</v>
      </c>
      <c r="Z2376" s="200">
        <f ca="1">W2376*'Expenditure Study'!$B$31</f>
        <v>0</v>
      </c>
      <c r="AA2376" s="195">
        <f t="shared" ca="1" si="526"/>
        <v>173562.75191808003</v>
      </c>
      <c r="AB2376" s="195">
        <f t="shared" ca="1" si="527"/>
        <v>173562.75191808003</v>
      </c>
      <c r="AD2376" s="196">
        <f>IFERROR($G2376/SUMIF($A:$A,$A2376,$G:$G)*SUMIF(Summary!$A$166:$A$242,$A2376,Summary!$P$166:$P$242),0)</f>
        <v>30062.131911720488</v>
      </c>
      <c r="AE2376" s="197">
        <f t="shared" ca="1" si="528"/>
        <v>143500.62000635953</v>
      </c>
      <c r="AF2376" s="196">
        <f>IFERROR(G2376/SUMIF(A:A,A2376,G:G)*SUMIF(Summary!$A$166:$A$242,'Operations Support'!A2376,Summary!$Q$166:$Q$242),0)</f>
        <v>30146.533424602236</v>
      </c>
      <c r="AG2376" s="196">
        <f t="shared" ca="1" si="529"/>
        <v>143416.21849347779</v>
      </c>
      <c r="AI2376" s="196">
        <f>IFERROR($G2376/SUMIF($A:$A,$A2376,$G:$G)*SUMIF(Summary!$A$247:$A$283,$A2376,Summary!$P$247:$P$283),0)</f>
        <v>5482.5826685583297</v>
      </c>
      <c r="AJ2376" s="196">
        <f>IFERROR($G2376/SUMIF($A:$A,$A2376,$G:$G)*(SUMIF(Summary!$A$247:$A$283,$A2376,Summary!$L$247:$L$283)+SUMIF(Summary!$A$297:$A$333,$A2376,Summary!$L$297:$L$333))-AI2376,0)</f>
        <v>18999.758339862263</v>
      </c>
      <c r="AK2376" s="196">
        <f>IFERROR($G2376/SUMIF($A:$A,$A2376,$G:$G)*SUMIF(Summary!$A$247:$A$283,$A2376,Summary!$Q$247:$Q$283),0)</f>
        <v>5497.9753982916855</v>
      </c>
      <c r="AL2376" s="196">
        <f>IFERROR($G2376/SUMIF($A:$A,$A2376,$G:$G)*(SUMIF(Summary!$A$247:$A$283,$A2376,Summary!$L$247:$L$283)+SUMIF(Summary!$A$297:$A$333,$A2376,Summary!$L$297:$L$333))-AK2376,0)</f>
        <v>18984.365610128909</v>
      </c>
      <c r="AM2376" s="198"/>
      <c r="AN2376" s="196">
        <f t="shared" ca="1" si="530"/>
        <v>162500.37834622178</v>
      </c>
      <c r="AO2376" s="196">
        <f t="shared" ca="1" si="531"/>
        <v>162400.5841036067</v>
      </c>
    </row>
    <row r="2377" spans="1:41">
      <c r="A2377" s="189">
        <v>3665</v>
      </c>
      <c r="B2377" s="190">
        <v>3</v>
      </c>
      <c r="C2377" s="191" t="s">
        <v>240</v>
      </c>
      <c r="D2377" s="192">
        <f t="shared" si="518"/>
        <v>0</v>
      </c>
      <c r="E2377" s="192">
        <f t="shared" si="519"/>
        <v>0</v>
      </c>
      <c r="F2377" s="192">
        <f t="shared" si="520"/>
        <v>0</v>
      </c>
      <c r="G2377" s="193">
        <f t="shared" si="521"/>
        <v>0</v>
      </c>
      <c r="H2377" s="194">
        <v>0</v>
      </c>
      <c r="I2377" s="194">
        <v>0</v>
      </c>
      <c r="J2377" s="194">
        <v>0</v>
      </c>
      <c r="K2377" s="193">
        <f t="shared" si="522"/>
        <v>0</v>
      </c>
      <c r="L2377" s="194">
        <v>0</v>
      </c>
      <c r="M2377" s="194">
        <v>0</v>
      </c>
      <c r="N2377" s="194">
        <v>0</v>
      </c>
      <c r="O2377" s="193">
        <f t="shared" si="523"/>
        <v>0</v>
      </c>
      <c r="P2377" s="194">
        <v>0</v>
      </c>
      <c r="Q2377" s="194">
        <v>0</v>
      </c>
      <c r="R2377" s="194">
        <v>0</v>
      </c>
      <c r="S2377" s="193">
        <f t="shared" si="524"/>
        <v>0</v>
      </c>
      <c r="T2377" s="193">
        <f t="shared" si="525"/>
        <v>0</v>
      </c>
      <c r="U2377" s="193">
        <f ca="1">OFFSET('Expenditure Study'!$B$7,'Operations Support'!$C2377,'Operations Support'!$B2377)*$G2377</f>
        <v>0</v>
      </c>
      <c r="V2377" s="199">
        <f ca="1">U2377*'Expenditure Study'!$B$31</f>
        <v>0</v>
      </c>
      <c r="W2377" s="199">
        <f ca="1">IF(A2377=10298,1.51,1)*IF($B2377&lt;3,$D2377*'Expenditure Study'!$B$32*OFFSET('Expenditure Study'!$B$7,'Operations Support'!$C2377,'Operations Support'!$B2377),0)</f>
        <v>0</v>
      </c>
      <c r="X2377" s="200">
        <f ca="1">W2377*'Expenditure Study'!$B$31</f>
        <v>0</v>
      </c>
      <c r="Y2377" s="199">
        <f ca="1">U2377*'Expenditure Study'!$B$31</f>
        <v>0</v>
      </c>
      <c r="Z2377" s="200">
        <f ca="1">W2377*'Expenditure Study'!$B$31</f>
        <v>0</v>
      </c>
      <c r="AA2377" s="195">
        <f t="shared" ca="1" si="526"/>
        <v>0</v>
      </c>
      <c r="AB2377" s="195">
        <f t="shared" ca="1" si="527"/>
        <v>0</v>
      </c>
      <c r="AD2377" s="196">
        <f>IFERROR($G2377/SUMIF($A:$A,$A2377,$G:$G)*SUMIF(Summary!$A$166:$A$242,$A2377,Summary!$P$166:$P$242),0)</f>
        <v>0</v>
      </c>
      <c r="AE2377" s="197">
        <f t="shared" ca="1" si="528"/>
        <v>0</v>
      </c>
      <c r="AF2377" s="196">
        <f>IFERROR(G2377/SUMIF(A:A,A2377,G:G)*SUMIF(Summary!$A$166:$A$242,'Operations Support'!A2377,Summary!$Q$166:$Q$242),0)</f>
        <v>0</v>
      </c>
      <c r="AG2377" s="196">
        <f t="shared" ca="1" si="529"/>
        <v>0</v>
      </c>
      <c r="AI2377" s="196">
        <f>IFERROR($G2377/SUMIF($A:$A,$A2377,$G:$G)*SUMIF(Summary!$A$247:$A$283,$A2377,Summary!$P$247:$P$283),0)</f>
        <v>0</v>
      </c>
      <c r="AJ2377" s="196">
        <f>IFERROR($G2377/SUMIF($A:$A,$A2377,$G:$G)*(SUMIF(Summary!$A$247:$A$283,$A2377,Summary!$L$247:$L$283)+SUMIF(Summary!$A$297:$A$333,$A2377,Summary!$L$297:$L$333))-AI2377,0)</f>
        <v>0</v>
      </c>
      <c r="AK2377" s="196">
        <f>IFERROR($G2377/SUMIF($A:$A,$A2377,$G:$G)*SUMIF(Summary!$A$247:$A$283,$A2377,Summary!$Q$247:$Q$283),0)</f>
        <v>0</v>
      </c>
      <c r="AL2377" s="196">
        <f>IFERROR($G2377/SUMIF($A:$A,$A2377,$G:$G)*(SUMIF(Summary!$A$247:$A$283,$A2377,Summary!$L$247:$L$283)+SUMIF(Summary!$A$297:$A$333,$A2377,Summary!$L$297:$L$333))-AK2377,0)</f>
        <v>0</v>
      </c>
      <c r="AM2377" s="198"/>
      <c r="AN2377" s="196">
        <f t="shared" ca="1" si="530"/>
        <v>0</v>
      </c>
      <c r="AO2377" s="196">
        <f t="shared" ca="1" si="531"/>
        <v>0</v>
      </c>
    </row>
    <row r="2378" spans="1:41">
      <c r="A2378" s="189">
        <v>3665</v>
      </c>
      <c r="B2378" s="190">
        <v>4</v>
      </c>
      <c r="C2378" s="191" t="s">
        <v>220</v>
      </c>
      <c r="D2378" s="192">
        <f t="shared" si="518"/>
        <v>0</v>
      </c>
      <c r="E2378" s="192">
        <f t="shared" si="519"/>
        <v>75</v>
      </c>
      <c r="F2378" s="192">
        <f t="shared" si="520"/>
        <v>0</v>
      </c>
      <c r="G2378" s="193">
        <f t="shared" si="521"/>
        <v>75</v>
      </c>
      <c r="H2378" s="194">
        <v>0</v>
      </c>
      <c r="I2378" s="194">
        <v>3</v>
      </c>
      <c r="J2378" s="194">
        <v>0</v>
      </c>
      <c r="K2378" s="193">
        <f t="shared" si="522"/>
        <v>3</v>
      </c>
      <c r="L2378" s="194">
        <v>0</v>
      </c>
      <c r="M2378" s="194">
        <v>0</v>
      </c>
      <c r="N2378" s="194">
        <v>0</v>
      </c>
      <c r="O2378" s="193">
        <f t="shared" si="523"/>
        <v>0</v>
      </c>
      <c r="P2378" s="194">
        <v>0</v>
      </c>
      <c r="Q2378" s="194">
        <v>72</v>
      </c>
      <c r="R2378" s="194">
        <v>0</v>
      </c>
      <c r="S2378" s="193">
        <f t="shared" si="524"/>
        <v>72</v>
      </c>
      <c r="T2378" s="193">
        <f t="shared" si="525"/>
        <v>4.166666666666667</v>
      </c>
      <c r="U2378" s="193">
        <f ca="1">OFFSET('Expenditure Study'!$B$7,'Operations Support'!$C2378,'Operations Support'!$B2378)*$G2378</f>
        <v>1104.75</v>
      </c>
      <c r="V2378" s="199">
        <f ca="1">U2378*'Expenditure Study'!$B$31</f>
        <v>65272.143988800002</v>
      </c>
      <c r="W2378" s="199">
        <f ca="1">IF(A2378=10298,1.51,1)*IF($B2378&lt;3,$D2378*'Expenditure Study'!$B$32*OFFSET('Expenditure Study'!$B$7,'Operations Support'!$C2378,'Operations Support'!$B2378),0)</f>
        <v>0</v>
      </c>
      <c r="X2378" s="200">
        <f ca="1">W2378*'Expenditure Study'!$B$31</f>
        <v>0</v>
      </c>
      <c r="Y2378" s="199">
        <f ca="1">U2378*'Expenditure Study'!$B$31</f>
        <v>65272.143988800002</v>
      </c>
      <c r="Z2378" s="200">
        <f ca="1">W2378*'Expenditure Study'!$B$31</f>
        <v>0</v>
      </c>
      <c r="AA2378" s="195">
        <f t="shared" ca="1" si="526"/>
        <v>65272.143988800002</v>
      </c>
      <c r="AB2378" s="195">
        <f t="shared" ca="1" si="527"/>
        <v>65272.143988800002</v>
      </c>
      <c r="AD2378" s="196">
        <f>IFERROR($G2378/SUMIF($A:$A,$A2378,$G:$G)*SUMIF(Summary!$A$166:$A$242,$A2378,Summary!$P$166:$P$242),0)</f>
        <v>2087.6480494250336</v>
      </c>
      <c r="AE2378" s="197">
        <f t="shared" ca="1" si="528"/>
        <v>63184.495939374967</v>
      </c>
      <c r="AF2378" s="196">
        <f>IFERROR(G2378/SUMIF(A:A,A2378,G:G)*SUMIF(Summary!$A$166:$A$242,'Operations Support'!A2378,Summary!$Q$166:$Q$242),0)</f>
        <v>2093.5092655973772</v>
      </c>
      <c r="AG2378" s="196">
        <f t="shared" ca="1" si="529"/>
        <v>63178.634723202624</v>
      </c>
      <c r="AI2378" s="196">
        <f>IFERROR($G2378/SUMIF($A:$A,$A2378,$G:$G)*SUMIF(Summary!$A$247:$A$283,$A2378,Summary!$P$247:$P$283),0)</f>
        <v>380.73490753877292</v>
      </c>
      <c r="AJ2378" s="196">
        <f>IFERROR($G2378/SUMIF($A:$A,$A2378,$G:$G)*(SUMIF(Summary!$A$247:$A$283,$A2378,Summary!$L$247:$L$283)+SUMIF(Summary!$A$297:$A$333,$A2378,Summary!$L$297:$L$333))-AI2378,0)</f>
        <v>1319.4276624904351</v>
      </c>
      <c r="AK2378" s="196">
        <f>IFERROR($G2378/SUMIF($A:$A,$A2378,$G:$G)*SUMIF(Summary!$A$247:$A$283,$A2378,Summary!$Q$247:$Q$283),0)</f>
        <v>381.80384710358925</v>
      </c>
      <c r="AL2378" s="196">
        <f>IFERROR($G2378/SUMIF($A:$A,$A2378,$G:$G)*(SUMIF(Summary!$A$247:$A$283,$A2378,Summary!$L$247:$L$283)+SUMIF(Summary!$A$297:$A$333,$A2378,Summary!$L$297:$L$333))-AK2378,0)</f>
        <v>1318.3587229256186</v>
      </c>
      <c r="AM2378" s="198"/>
      <c r="AN2378" s="196">
        <f t="shared" ca="1" si="530"/>
        <v>64503.923601865405</v>
      </c>
      <c r="AO2378" s="196">
        <f t="shared" ca="1" si="531"/>
        <v>64496.993446128239</v>
      </c>
    </row>
    <row r="2379" spans="1:41" s="201" customFormat="1">
      <c r="A2379" s="189">
        <v>3665</v>
      </c>
      <c r="B2379" s="190">
        <v>4</v>
      </c>
      <c r="C2379" s="191" t="s">
        <v>221</v>
      </c>
      <c r="D2379" s="192">
        <f t="shared" si="518"/>
        <v>3</v>
      </c>
      <c r="E2379" s="192">
        <f t="shared" si="519"/>
        <v>0</v>
      </c>
      <c r="F2379" s="192">
        <f t="shared" si="520"/>
        <v>0</v>
      </c>
      <c r="G2379" s="193">
        <f t="shared" si="521"/>
        <v>3</v>
      </c>
      <c r="H2379" s="194">
        <v>3</v>
      </c>
      <c r="I2379" s="194">
        <v>0</v>
      </c>
      <c r="J2379" s="194">
        <v>0</v>
      </c>
      <c r="K2379" s="193">
        <f t="shared" si="522"/>
        <v>3</v>
      </c>
      <c r="L2379" s="194">
        <v>0</v>
      </c>
      <c r="M2379" s="194">
        <v>0</v>
      </c>
      <c r="N2379" s="194">
        <v>0</v>
      </c>
      <c r="O2379" s="193">
        <f t="shared" si="523"/>
        <v>0</v>
      </c>
      <c r="P2379" s="194">
        <v>0</v>
      </c>
      <c r="Q2379" s="194">
        <v>0</v>
      </c>
      <c r="R2379" s="194">
        <v>0</v>
      </c>
      <c r="S2379" s="193">
        <f t="shared" si="524"/>
        <v>0</v>
      </c>
      <c r="T2379" s="193">
        <f t="shared" si="525"/>
        <v>0.16666666666666666</v>
      </c>
      <c r="U2379" s="193">
        <f ca="1">OFFSET('Expenditure Study'!$B$7,'Operations Support'!$C2379,'Operations Support'!$B2379)*$G2379</f>
        <v>65.22</v>
      </c>
      <c r="V2379" s="199">
        <f ca="1">U2379*'Expenditure Study'!$B$31</f>
        <v>3853.4050517760002</v>
      </c>
      <c r="W2379" s="199">
        <f ca="1">IF(A2379=10298,1.51,1)*IF($B2379&lt;3,$D2379*'Expenditure Study'!$B$32*OFFSET('Expenditure Study'!$B$7,'Operations Support'!$C2379,'Operations Support'!$B2379),0)</f>
        <v>0</v>
      </c>
      <c r="X2379" s="200">
        <f ca="1">W2379*'Expenditure Study'!$B$31</f>
        <v>0</v>
      </c>
      <c r="Y2379" s="199">
        <f ca="1">U2379*'Expenditure Study'!$B$31</f>
        <v>3853.4050517760002</v>
      </c>
      <c r="Z2379" s="200">
        <f ca="1">W2379*'Expenditure Study'!$B$31</f>
        <v>0</v>
      </c>
      <c r="AA2379" s="195">
        <f t="shared" ca="1" si="526"/>
        <v>3853.4050517760002</v>
      </c>
      <c r="AB2379" s="195">
        <f t="shared" ca="1" si="527"/>
        <v>3853.4050517760002</v>
      </c>
      <c r="AD2379" s="196">
        <f>IFERROR($G2379/SUMIF($A:$A,$A2379,$G:$G)*SUMIF(Summary!$A$166:$A$242,$A2379,Summary!$P$166:$P$242),0)</f>
        <v>83.50592197700135</v>
      </c>
      <c r="AE2379" s="197">
        <f t="shared" ca="1" si="528"/>
        <v>3769.8991297989987</v>
      </c>
      <c r="AF2379" s="196">
        <f>IFERROR(G2379/SUMIF(A:A,A2379,G:G)*SUMIF(Summary!$A$166:$A$242,'Operations Support'!A2379,Summary!$Q$166:$Q$242),0)</f>
        <v>83.740370623895103</v>
      </c>
      <c r="AG2379" s="196">
        <f t="shared" ca="1" si="529"/>
        <v>3769.664681152105</v>
      </c>
      <c r="AH2379" s="180"/>
      <c r="AI2379" s="196">
        <f>IFERROR($G2379/SUMIF($A:$A,$A2379,$G:$G)*SUMIF(Summary!$A$247:$A$283,$A2379,Summary!$P$247:$P$283),0)</f>
        <v>15.229396301550917</v>
      </c>
      <c r="AJ2379" s="196">
        <f>IFERROR($G2379/SUMIF($A:$A,$A2379,$G:$G)*(SUMIF(Summary!$A$247:$A$283,$A2379,Summary!$L$247:$L$283)+SUMIF(Summary!$A$297:$A$333,$A2379,Summary!$L$297:$L$333))-AI2379,0)</f>
        <v>52.777106499617403</v>
      </c>
      <c r="AK2379" s="196">
        <f>IFERROR($G2379/SUMIF($A:$A,$A2379,$G:$G)*SUMIF(Summary!$A$247:$A$283,$A2379,Summary!$Q$247:$Q$283),0)</f>
        <v>15.27215388414357</v>
      </c>
      <c r="AL2379" s="196">
        <f>IFERROR($G2379/SUMIF($A:$A,$A2379,$G:$G)*(SUMIF(Summary!$A$247:$A$283,$A2379,Summary!$L$247:$L$283)+SUMIF(Summary!$A$297:$A$333,$A2379,Summary!$L$297:$L$333))-AK2379,0)</f>
        <v>52.734348917024754</v>
      </c>
      <c r="AM2379" s="198"/>
      <c r="AN2379" s="196">
        <f t="shared" ca="1" si="530"/>
        <v>3822.676236298616</v>
      </c>
      <c r="AO2379" s="196">
        <f t="shared" ca="1" si="531"/>
        <v>3822.3990300691298</v>
      </c>
    </row>
    <row r="2380" spans="1:41">
      <c r="A2380" s="189">
        <v>3665</v>
      </c>
      <c r="B2380" s="190">
        <v>4</v>
      </c>
      <c r="C2380" s="191" t="s">
        <v>222</v>
      </c>
      <c r="D2380" s="192">
        <f t="shared" si="518"/>
        <v>0</v>
      </c>
      <c r="E2380" s="192">
        <f t="shared" si="519"/>
        <v>0</v>
      </c>
      <c r="F2380" s="192">
        <f t="shared" si="520"/>
        <v>0</v>
      </c>
      <c r="G2380" s="193">
        <f t="shared" si="521"/>
        <v>0</v>
      </c>
      <c r="H2380" s="194">
        <v>0</v>
      </c>
      <c r="I2380" s="194">
        <v>0</v>
      </c>
      <c r="J2380" s="194">
        <v>0</v>
      </c>
      <c r="K2380" s="193">
        <f t="shared" si="522"/>
        <v>0</v>
      </c>
      <c r="L2380" s="194">
        <v>0</v>
      </c>
      <c r="M2380" s="194">
        <v>0</v>
      </c>
      <c r="N2380" s="194">
        <v>0</v>
      </c>
      <c r="O2380" s="193">
        <f t="shared" si="523"/>
        <v>0</v>
      </c>
      <c r="P2380" s="194">
        <v>0</v>
      </c>
      <c r="Q2380" s="194">
        <v>0</v>
      </c>
      <c r="R2380" s="194">
        <v>0</v>
      </c>
      <c r="S2380" s="193">
        <f t="shared" si="524"/>
        <v>0</v>
      </c>
      <c r="T2380" s="193">
        <f t="shared" si="525"/>
        <v>0</v>
      </c>
      <c r="U2380" s="193">
        <f ca="1">OFFSET('Expenditure Study'!$B$7,'Operations Support'!$C2380,'Operations Support'!$B2380)*$G2380</f>
        <v>0</v>
      </c>
      <c r="V2380" s="199">
        <f ca="1">U2380*'Expenditure Study'!$B$31</f>
        <v>0</v>
      </c>
      <c r="W2380" s="199">
        <f ca="1">IF(A2380=10298,1.51,1)*IF($B2380&lt;3,$D2380*'Expenditure Study'!$B$32*OFFSET('Expenditure Study'!$B$7,'Operations Support'!$C2380,'Operations Support'!$B2380),0)</f>
        <v>0</v>
      </c>
      <c r="X2380" s="200">
        <f ca="1">W2380*'Expenditure Study'!$B$31</f>
        <v>0</v>
      </c>
      <c r="Y2380" s="199">
        <f ca="1">U2380*'Expenditure Study'!$B$31</f>
        <v>0</v>
      </c>
      <c r="Z2380" s="200">
        <f ca="1">W2380*'Expenditure Study'!$B$31</f>
        <v>0</v>
      </c>
      <c r="AA2380" s="195">
        <f t="shared" ca="1" si="526"/>
        <v>0</v>
      </c>
      <c r="AB2380" s="195">
        <f t="shared" ca="1" si="527"/>
        <v>0</v>
      </c>
      <c r="AD2380" s="196">
        <f>IFERROR($G2380/SUMIF($A:$A,$A2380,$G:$G)*SUMIF(Summary!$A$166:$A$242,$A2380,Summary!$P$166:$P$242),0)</f>
        <v>0</v>
      </c>
      <c r="AE2380" s="197">
        <f t="shared" ca="1" si="528"/>
        <v>0</v>
      </c>
      <c r="AF2380" s="196">
        <f>IFERROR(G2380/SUMIF(A:A,A2380,G:G)*SUMIF(Summary!$A$166:$A$242,'Operations Support'!A2380,Summary!$Q$166:$Q$242),0)</f>
        <v>0</v>
      </c>
      <c r="AG2380" s="196">
        <f t="shared" ca="1" si="529"/>
        <v>0</v>
      </c>
      <c r="AI2380" s="196">
        <f>IFERROR($G2380/SUMIF($A:$A,$A2380,$G:$G)*SUMIF(Summary!$A$247:$A$283,$A2380,Summary!$P$247:$P$283),0)</f>
        <v>0</v>
      </c>
      <c r="AJ2380" s="196">
        <f>IFERROR($G2380/SUMIF($A:$A,$A2380,$G:$G)*(SUMIF(Summary!$A$247:$A$283,$A2380,Summary!$L$247:$L$283)+SUMIF(Summary!$A$297:$A$333,$A2380,Summary!$L$297:$L$333))-AI2380,0)</f>
        <v>0</v>
      </c>
      <c r="AK2380" s="196">
        <f>IFERROR($G2380/SUMIF($A:$A,$A2380,$G:$G)*SUMIF(Summary!$A$247:$A$283,$A2380,Summary!$Q$247:$Q$283),0)</f>
        <v>0</v>
      </c>
      <c r="AL2380" s="196">
        <f>IFERROR($G2380/SUMIF($A:$A,$A2380,$G:$G)*(SUMIF(Summary!$A$247:$A$283,$A2380,Summary!$L$247:$L$283)+SUMIF(Summary!$A$297:$A$333,$A2380,Summary!$L$297:$L$333))-AK2380,0)</f>
        <v>0</v>
      </c>
      <c r="AM2380" s="198"/>
      <c r="AN2380" s="196">
        <f t="shared" ca="1" si="530"/>
        <v>0</v>
      </c>
      <c r="AO2380" s="196">
        <f t="shared" ca="1" si="531"/>
        <v>0</v>
      </c>
    </row>
    <row r="2381" spans="1:41">
      <c r="A2381" s="189">
        <v>3665</v>
      </c>
      <c r="B2381" s="190">
        <v>4</v>
      </c>
      <c r="C2381" s="191" t="s">
        <v>223</v>
      </c>
      <c r="D2381" s="192">
        <f t="shared" si="518"/>
        <v>258.5</v>
      </c>
      <c r="E2381" s="192">
        <f t="shared" si="519"/>
        <v>903.5</v>
      </c>
      <c r="F2381" s="192">
        <f t="shared" si="520"/>
        <v>0</v>
      </c>
      <c r="G2381" s="193">
        <f t="shared" si="521"/>
        <v>1162</v>
      </c>
      <c r="H2381" s="194">
        <v>29</v>
      </c>
      <c r="I2381" s="194">
        <v>441</v>
      </c>
      <c r="J2381" s="194">
        <v>0</v>
      </c>
      <c r="K2381" s="193">
        <f t="shared" si="522"/>
        <v>470</v>
      </c>
      <c r="L2381" s="194">
        <v>108.5</v>
      </c>
      <c r="M2381" s="194">
        <v>325.5</v>
      </c>
      <c r="N2381" s="194">
        <v>0</v>
      </c>
      <c r="O2381" s="193">
        <f t="shared" si="523"/>
        <v>434</v>
      </c>
      <c r="P2381" s="194">
        <v>121</v>
      </c>
      <c r="Q2381" s="194">
        <v>137</v>
      </c>
      <c r="R2381" s="194">
        <v>0</v>
      </c>
      <c r="S2381" s="193">
        <f t="shared" si="524"/>
        <v>258</v>
      </c>
      <c r="T2381" s="193">
        <f t="shared" si="525"/>
        <v>64.555555555555557</v>
      </c>
      <c r="U2381" s="193">
        <f ca="1">OFFSET('Expenditure Study'!$B$7,'Operations Support'!$C2381,'Operations Support'!$B2381)*$G2381</f>
        <v>9086.84</v>
      </c>
      <c r="V2381" s="199">
        <f ca="1">U2381*'Expenditure Study'!$B$31</f>
        <v>536879.41062067205</v>
      </c>
      <c r="W2381" s="199">
        <f ca="1">IF(A2381=10298,1.51,1)*IF($B2381&lt;3,$D2381*'Expenditure Study'!$B$32*OFFSET('Expenditure Study'!$B$7,'Operations Support'!$C2381,'Operations Support'!$B2381),0)</f>
        <v>0</v>
      </c>
      <c r="X2381" s="200">
        <f ca="1">W2381*'Expenditure Study'!$B$31</f>
        <v>0</v>
      </c>
      <c r="Y2381" s="199">
        <f ca="1">U2381*'Expenditure Study'!$B$31</f>
        <v>536879.41062067205</v>
      </c>
      <c r="Z2381" s="200">
        <f ca="1">W2381*'Expenditure Study'!$B$31</f>
        <v>0</v>
      </c>
      <c r="AA2381" s="195">
        <f t="shared" ca="1" si="526"/>
        <v>536879.41062067205</v>
      </c>
      <c r="AB2381" s="195">
        <f t="shared" ca="1" si="527"/>
        <v>536879.41062067205</v>
      </c>
      <c r="AD2381" s="196">
        <f>IFERROR($G2381/SUMIF($A:$A,$A2381,$G:$G)*SUMIF(Summary!$A$166:$A$242,$A2381,Summary!$P$166:$P$242),0)</f>
        <v>32344.627112425191</v>
      </c>
      <c r="AE2381" s="197">
        <f t="shared" ca="1" si="528"/>
        <v>504534.78350824688</v>
      </c>
      <c r="AF2381" s="196">
        <f>IFERROR(G2381/SUMIF(A:A,A2381,G:G)*SUMIF(Summary!$A$166:$A$242,'Operations Support'!A2381,Summary!$Q$166:$Q$242),0)</f>
        <v>32435.436888322034</v>
      </c>
      <c r="AG2381" s="196">
        <f t="shared" ca="1" si="529"/>
        <v>504443.97373234999</v>
      </c>
      <c r="AI2381" s="196">
        <f>IFERROR($G2381/SUMIF($A:$A,$A2381,$G:$G)*SUMIF(Summary!$A$247:$A$283,$A2381,Summary!$P$247:$P$283),0)</f>
        <v>5898.8528341340552</v>
      </c>
      <c r="AJ2381" s="196">
        <f>IFERROR($G2381/SUMIF($A:$A,$A2381,$G:$G)*(SUMIF(Summary!$A$247:$A$283,$A2381,Summary!$L$247:$L$283)+SUMIF(Summary!$A$297:$A$333,$A2381,Summary!$L$297:$L$333))-AI2381,0)</f>
        <v>20442.33258418514</v>
      </c>
      <c r="AK2381" s="196">
        <f>IFERROR($G2381/SUMIF($A:$A,$A2381,$G:$G)*SUMIF(Summary!$A$247:$A$283,$A2381,Summary!$Q$247:$Q$283),0)</f>
        <v>5915.4142711249433</v>
      </c>
      <c r="AL2381" s="196">
        <f>IFERROR($G2381/SUMIF($A:$A,$A2381,$G:$G)*(SUMIF(Summary!$A$247:$A$283,$A2381,Summary!$L$247:$L$283)+SUMIF(Summary!$A$297:$A$333,$A2381,Summary!$L$297:$L$333))-AK2381,0)</f>
        <v>20425.771147194249</v>
      </c>
      <c r="AM2381" s="198"/>
      <c r="AN2381" s="196">
        <f t="shared" ca="1" si="530"/>
        <v>524977.11609243206</v>
      </c>
      <c r="AO2381" s="196">
        <f t="shared" ca="1" si="531"/>
        <v>524869.74487954425</v>
      </c>
    </row>
    <row r="2382" spans="1:41">
      <c r="A2382" s="189">
        <v>3665</v>
      </c>
      <c r="B2382" s="190">
        <v>4</v>
      </c>
      <c r="C2382" s="191" t="s">
        <v>224</v>
      </c>
      <c r="D2382" s="192">
        <f t="shared" si="518"/>
        <v>187</v>
      </c>
      <c r="E2382" s="192">
        <f t="shared" si="519"/>
        <v>9</v>
      </c>
      <c r="F2382" s="192">
        <f t="shared" si="520"/>
        <v>0</v>
      </c>
      <c r="G2382" s="193">
        <f t="shared" si="521"/>
        <v>196</v>
      </c>
      <c r="H2382" s="194">
        <v>87</v>
      </c>
      <c r="I2382" s="194">
        <v>3</v>
      </c>
      <c r="J2382" s="194">
        <v>0</v>
      </c>
      <c r="K2382" s="193">
        <f t="shared" si="522"/>
        <v>90</v>
      </c>
      <c r="L2382" s="194">
        <v>84</v>
      </c>
      <c r="M2382" s="194">
        <v>6</v>
      </c>
      <c r="N2382" s="194">
        <v>0</v>
      </c>
      <c r="O2382" s="193">
        <f t="shared" si="523"/>
        <v>90</v>
      </c>
      <c r="P2382" s="194">
        <v>16</v>
      </c>
      <c r="Q2382" s="194">
        <v>0</v>
      </c>
      <c r="R2382" s="194">
        <v>0</v>
      </c>
      <c r="S2382" s="193">
        <f t="shared" si="524"/>
        <v>16</v>
      </c>
      <c r="T2382" s="193">
        <f t="shared" si="525"/>
        <v>10.888888888888889</v>
      </c>
      <c r="U2382" s="193">
        <f ca="1">OFFSET('Expenditure Study'!$B$7,'Operations Support'!$C2382,'Operations Support'!$B2382)*$G2382</f>
        <v>2836.1200000000003</v>
      </c>
      <c r="V2382" s="199">
        <f ca="1">U2382*'Expenditure Study'!$B$31</f>
        <v>167566.99073049604</v>
      </c>
      <c r="W2382" s="199">
        <f ca="1">IF(A2382=10298,1.51,1)*IF($B2382&lt;3,$D2382*'Expenditure Study'!$B$32*OFFSET('Expenditure Study'!$B$7,'Operations Support'!$C2382,'Operations Support'!$B2382),0)</f>
        <v>0</v>
      </c>
      <c r="X2382" s="200">
        <f ca="1">W2382*'Expenditure Study'!$B$31</f>
        <v>0</v>
      </c>
      <c r="Y2382" s="199">
        <f ca="1">U2382*'Expenditure Study'!$B$31</f>
        <v>167566.99073049604</v>
      </c>
      <c r="Z2382" s="200">
        <f ca="1">W2382*'Expenditure Study'!$B$31</f>
        <v>0</v>
      </c>
      <c r="AA2382" s="195">
        <f t="shared" ca="1" si="526"/>
        <v>167566.99073049604</v>
      </c>
      <c r="AB2382" s="195">
        <f t="shared" ca="1" si="527"/>
        <v>167566.99073049604</v>
      </c>
      <c r="AD2382" s="196">
        <f>IFERROR($G2382/SUMIF($A:$A,$A2382,$G:$G)*SUMIF(Summary!$A$166:$A$242,$A2382,Summary!$P$166:$P$242),0)</f>
        <v>5455.720235830755</v>
      </c>
      <c r="AE2382" s="197">
        <f t="shared" ca="1" si="528"/>
        <v>162111.27049466528</v>
      </c>
      <c r="AF2382" s="196">
        <f>IFERROR(G2382/SUMIF(A:A,A2382,G:G)*SUMIF(Summary!$A$166:$A$242,'Operations Support'!A2382,Summary!$Q$166:$Q$242),0)</f>
        <v>5471.0375474278126</v>
      </c>
      <c r="AG2382" s="196">
        <f t="shared" ca="1" si="529"/>
        <v>162095.95318306822</v>
      </c>
      <c r="AI2382" s="196">
        <f>IFERROR($G2382/SUMIF($A:$A,$A2382,$G:$G)*SUMIF(Summary!$A$247:$A$283,$A2382,Summary!$P$247:$P$283),0)</f>
        <v>994.9872250346599</v>
      </c>
      <c r="AJ2382" s="196">
        <f>IFERROR($G2382/SUMIF($A:$A,$A2382,$G:$G)*(SUMIF(Summary!$A$247:$A$283,$A2382,Summary!$L$247:$L$283)+SUMIF(Summary!$A$297:$A$333,$A2382,Summary!$L$297:$L$333))-AI2382,0)</f>
        <v>3448.1042913083365</v>
      </c>
      <c r="AK2382" s="196">
        <f>IFERROR($G2382/SUMIF($A:$A,$A2382,$G:$G)*SUMIF(Summary!$A$247:$A$283,$A2382,Summary!$Q$247:$Q$283),0)</f>
        <v>997.78072043071325</v>
      </c>
      <c r="AL2382" s="196">
        <f>IFERROR($G2382/SUMIF($A:$A,$A2382,$G:$G)*(SUMIF(Summary!$A$247:$A$283,$A2382,Summary!$L$247:$L$283)+SUMIF(Summary!$A$297:$A$333,$A2382,Summary!$L$297:$L$333))-AK2382,0)</f>
        <v>3445.3107959122831</v>
      </c>
      <c r="AM2382" s="198"/>
      <c r="AN2382" s="196">
        <f t="shared" ca="1" si="530"/>
        <v>165559.37478597363</v>
      </c>
      <c r="AO2382" s="196">
        <f t="shared" ca="1" si="531"/>
        <v>165541.26397898051</v>
      </c>
    </row>
    <row r="2383" spans="1:41">
      <c r="A2383" s="189">
        <v>3665</v>
      </c>
      <c r="B2383" s="190">
        <v>4</v>
      </c>
      <c r="C2383" s="191" t="s">
        <v>225</v>
      </c>
      <c r="D2383" s="192">
        <f t="shared" si="518"/>
        <v>0</v>
      </c>
      <c r="E2383" s="192">
        <f t="shared" si="519"/>
        <v>0</v>
      </c>
      <c r="F2383" s="192">
        <f t="shared" si="520"/>
        <v>0</v>
      </c>
      <c r="G2383" s="193">
        <f t="shared" si="521"/>
        <v>0</v>
      </c>
      <c r="H2383" s="194">
        <v>0</v>
      </c>
      <c r="I2383" s="194">
        <v>0</v>
      </c>
      <c r="J2383" s="194">
        <v>0</v>
      </c>
      <c r="K2383" s="193">
        <f t="shared" si="522"/>
        <v>0</v>
      </c>
      <c r="L2383" s="194">
        <v>0</v>
      </c>
      <c r="M2383" s="194">
        <v>0</v>
      </c>
      <c r="N2383" s="194">
        <v>0</v>
      </c>
      <c r="O2383" s="193">
        <f t="shared" si="523"/>
        <v>0</v>
      </c>
      <c r="P2383" s="194">
        <v>0</v>
      </c>
      <c r="Q2383" s="194">
        <v>0</v>
      </c>
      <c r="R2383" s="194">
        <v>0</v>
      </c>
      <c r="S2383" s="193">
        <f t="shared" si="524"/>
        <v>0</v>
      </c>
      <c r="T2383" s="193">
        <f t="shared" si="525"/>
        <v>0</v>
      </c>
      <c r="U2383" s="193">
        <f ca="1">OFFSET('Expenditure Study'!$B$7,'Operations Support'!$C2383,'Operations Support'!$B2383)*$G2383</f>
        <v>0</v>
      </c>
      <c r="V2383" s="199">
        <f ca="1">U2383*'Expenditure Study'!$B$31</f>
        <v>0</v>
      </c>
      <c r="W2383" s="199">
        <f ca="1">IF(A2383=10298,1.51,1)*IF($B2383&lt;3,$D2383*'Expenditure Study'!$B$32*OFFSET('Expenditure Study'!$B$7,'Operations Support'!$C2383,'Operations Support'!$B2383),0)</f>
        <v>0</v>
      </c>
      <c r="X2383" s="200">
        <f ca="1">W2383*'Expenditure Study'!$B$31</f>
        <v>0</v>
      </c>
      <c r="Y2383" s="199">
        <f ca="1">U2383*'Expenditure Study'!$B$31</f>
        <v>0</v>
      </c>
      <c r="Z2383" s="200">
        <f ca="1">W2383*'Expenditure Study'!$B$31</f>
        <v>0</v>
      </c>
      <c r="AA2383" s="195">
        <f t="shared" ca="1" si="526"/>
        <v>0</v>
      </c>
      <c r="AB2383" s="195">
        <f t="shared" ca="1" si="527"/>
        <v>0</v>
      </c>
      <c r="AD2383" s="196">
        <f>IFERROR($G2383/SUMIF($A:$A,$A2383,$G:$G)*SUMIF(Summary!$A$166:$A$242,$A2383,Summary!$P$166:$P$242),0)</f>
        <v>0</v>
      </c>
      <c r="AE2383" s="197">
        <f t="shared" ca="1" si="528"/>
        <v>0</v>
      </c>
      <c r="AF2383" s="196">
        <f>IFERROR(G2383/SUMIF(A:A,A2383,G:G)*SUMIF(Summary!$A$166:$A$242,'Operations Support'!A2383,Summary!$Q$166:$Q$242),0)</f>
        <v>0</v>
      </c>
      <c r="AG2383" s="196">
        <f t="shared" ca="1" si="529"/>
        <v>0</v>
      </c>
      <c r="AI2383" s="196">
        <f>IFERROR($G2383/SUMIF($A:$A,$A2383,$G:$G)*SUMIF(Summary!$A$247:$A$283,$A2383,Summary!$P$247:$P$283),0)</f>
        <v>0</v>
      </c>
      <c r="AJ2383" s="196">
        <f>IFERROR($G2383/SUMIF($A:$A,$A2383,$G:$G)*(SUMIF(Summary!$A$247:$A$283,$A2383,Summary!$L$247:$L$283)+SUMIF(Summary!$A$297:$A$333,$A2383,Summary!$L$297:$L$333))-AI2383,0)</f>
        <v>0</v>
      </c>
      <c r="AK2383" s="196">
        <f>IFERROR($G2383/SUMIF($A:$A,$A2383,$G:$G)*SUMIF(Summary!$A$247:$A$283,$A2383,Summary!$Q$247:$Q$283),0)</f>
        <v>0</v>
      </c>
      <c r="AL2383" s="196">
        <f>IFERROR($G2383/SUMIF($A:$A,$A2383,$G:$G)*(SUMIF(Summary!$A$247:$A$283,$A2383,Summary!$L$247:$L$283)+SUMIF(Summary!$A$297:$A$333,$A2383,Summary!$L$297:$L$333))-AK2383,0)</f>
        <v>0</v>
      </c>
      <c r="AM2383" s="198"/>
      <c r="AN2383" s="196">
        <f t="shared" ca="1" si="530"/>
        <v>0</v>
      </c>
      <c r="AO2383" s="196">
        <f t="shared" ca="1" si="531"/>
        <v>0</v>
      </c>
    </row>
    <row r="2384" spans="1:41">
      <c r="A2384" s="189">
        <v>3665</v>
      </c>
      <c r="B2384" s="190">
        <v>4</v>
      </c>
      <c r="C2384" s="191" t="s">
        <v>226</v>
      </c>
      <c r="D2384" s="192">
        <f t="shared" si="518"/>
        <v>0</v>
      </c>
      <c r="E2384" s="192">
        <f t="shared" si="519"/>
        <v>0</v>
      </c>
      <c r="F2384" s="192">
        <f t="shared" si="520"/>
        <v>0</v>
      </c>
      <c r="G2384" s="193">
        <f t="shared" si="521"/>
        <v>0</v>
      </c>
      <c r="H2384" s="194">
        <v>0</v>
      </c>
      <c r="I2384" s="194">
        <v>0</v>
      </c>
      <c r="J2384" s="194">
        <v>0</v>
      </c>
      <c r="K2384" s="193">
        <f t="shared" si="522"/>
        <v>0</v>
      </c>
      <c r="L2384" s="194">
        <v>0</v>
      </c>
      <c r="M2384" s="194">
        <v>0</v>
      </c>
      <c r="N2384" s="194">
        <v>0</v>
      </c>
      <c r="O2384" s="193">
        <f t="shared" si="523"/>
        <v>0</v>
      </c>
      <c r="P2384" s="194">
        <v>0</v>
      </c>
      <c r="Q2384" s="194">
        <v>0</v>
      </c>
      <c r="R2384" s="194">
        <v>0</v>
      </c>
      <c r="S2384" s="193">
        <f t="shared" si="524"/>
        <v>0</v>
      </c>
      <c r="T2384" s="193">
        <f t="shared" si="525"/>
        <v>0</v>
      </c>
      <c r="U2384" s="193">
        <f ca="1">OFFSET('Expenditure Study'!$B$7,'Operations Support'!$C2384,'Operations Support'!$B2384)*$G2384</f>
        <v>0</v>
      </c>
      <c r="V2384" s="199">
        <f ca="1">U2384*'Expenditure Study'!$B$31</f>
        <v>0</v>
      </c>
      <c r="W2384" s="199">
        <f ca="1">IF(A2384=10298,1.51,1)*IF($B2384&lt;3,$D2384*'Expenditure Study'!$B$32*OFFSET('Expenditure Study'!$B$7,'Operations Support'!$C2384,'Operations Support'!$B2384),0)</f>
        <v>0</v>
      </c>
      <c r="X2384" s="200">
        <f ca="1">W2384*'Expenditure Study'!$B$31</f>
        <v>0</v>
      </c>
      <c r="Y2384" s="199">
        <f ca="1">U2384*'Expenditure Study'!$B$31</f>
        <v>0</v>
      </c>
      <c r="Z2384" s="200">
        <f ca="1">W2384*'Expenditure Study'!$B$31</f>
        <v>0</v>
      </c>
      <c r="AA2384" s="195">
        <f t="shared" ca="1" si="526"/>
        <v>0</v>
      </c>
      <c r="AB2384" s="195">
        <f t="shared" ca="1" si="527"/>
        <v>0</v>
      </c>
      <c r="AD2384" s="196">
        <f>IFERROR($G2384/SUMIF($A:$A,$A2384,$G:$G)*SUMIF(Summary!$A$166:$A$242,$A2384,Summary!$P$166:$P$242),0)</f>
        <v>0</v>
      </c>
      <c r="AE2384" s="197">
        <f t="shared" ca="1" si="528"/>
        <v>0</v>
      </c>
      <c r="AF2384" s="196">
        <f>IFERROR(G2384/SUMIF(A:A,A2384,G:G)*SUMIF(Summary!$A$166:$A$242,'Operations Support'!A2384,Summary!$Q$166:$Q$242),0)</f>
        <v>0</v>
      </c>
      <c r="AG2384" s="196">
        <f t="shared" ca="1" si="529"/>
        <v>0</v>
      </c>
      <c r="AI2384" s="196">
        <f>IFERROR($G2384/SUMIF($A:$A,$A2384,$G:$G)*SUMIF(Summary!$A$247:$A$283,$A2384,Summary!$P$247:$P$283),0)</f>
        <v>0</v>
      </c>
      <c r="AJ2384" s="196">
        <f>IFERROR($G2384/SUMIF($A:$A,$A2384,$G:$G)*(SUMIF(Summary!$A$247:$A$283,$A2384,Summary!$L$247:$L$283)+SUMIF(Summary!$A$297:$A$333,$A2384,Summary!$L$297:$L$333))-AI2384,0)</f>
        <v>0</v>
      </c>
      <c r="AK2384" s="196">
        <f>IFERROR($G2384/SUMIF($A:$A,$A2384,$G:$G)*SUMIF(Summary!$A$247:$A$283,$A2384,Summary!$Q$247:$Q$283),0)</f>
        <v>0</v>
      </c>
      <c r="AL2384" s="196">
        <f>IFERROR($G2384/SUMIF($A:$A,$A2384,$G:$G)*(SUMIF(Summary!$A$247:$A$283,$A2384,Summary!$L$247:$L$283)+SUMIF(Summary!$A$297:$A$333,$A2384,Summary!$L$297:$L$333))-AK2384,0)</f>
        <v>0</v>
      </c>
      <c r="AM2384" s="198"/>
      <c r="AN2384" s="196">
        <f t="shared" ca="1" si="530"/>
        <v>0</v>
      </c>
      <c r="AO2384" s="196">
        <f t="shared" ca="1" si="531"/>
        <v>0</v>
      </c>
    </row>
    <row r="2385" spans="1:41">
      <c r="A2385" s="189">
        <v>3665</v>
      </c>
      <c r="B2385" s="190">
        <v>4</v>
      </c>
      <c r="C2385" s="191" t="s">
        <v>227</v>
      </c>
      <c r="D2385" s="192">
        <f t="shared" si="518"/>
        <v>0</v>
      </c>
      <c r="E2385" s="192">
        <f t="shared" si="519"/>
        <v>0</v>
      </c>
      <c r="F2385" s="192">
        <f t="shared" si="520"/>
        <v>0</v>
      </c>
      <c r="G2385" s="193">
        <f t="shared" si="521"/>
        <v>0</v>
      </c>
      <c r="H2385" s="194">
        <v>0</v>
      </c>
      <c r="I2385" s="194">
        <v>0</v>
      </c>
      <c r="J2385" s="194">
        <v>0</v>
      </c>
      <c r="K2385" s="193">
        <f t="shared" si="522"/>
        <v>0</v>
      </c>
      <c r="L2385" s="194">
        <v>0</v>
      </c>
      <c r="M2385" s="194">
        <v>0</v>
      </c>
      <c r="N2385" s="194">
        <v>0</v>
      </c>
      <c r="O2385" s="193">
        <f t="shared" si="523"/>
        <v>0</v>
      </c>
      <c r="P2385" s="194">
        <v>0</v>
      </c>
      <c r="Q2385" s="194">
        <v>0</v>
      </c>
      <c r="R2385" s="194">
        <v>0</v>
      </c>
      <c r="S2385" s="193">
        <f t="shared" si="524"/>
        <v>0</v>
      </c>
      <c r="T2385" s="193">
        <f t="shared" si="525"/>
        <v>0</v>
      </c>
      <c r="U2385" s="193">
        <f ca="1">OFFSET('Expenditure Study'!$B$7,'Operations Support'!$C2385,'Operations Support'!$B2385)*$G2385</f>
        <v>0</v>
      </c>
      <c r="V2385" s="199">
        <f ca="1">U2385*'Expenditure Study'!$B$31</f>
        <v>0</v>
      </c>
      <c r="W2385" s="199">
        <f ca="1">IF(A2385=10298,1.51,1)*IF($B2385&lt;3,$D2385*'Expenditure Study'!$B$32*OFFSET('Expenditure Study'!$B$7,'Operations Support'!$C2385,'Operations Support'!$B2385),0)</f>
        <v>0</v>
      </c>
      <c r="X2385" s="200">
        <f ca="1">W2385*'Expenditure Study'!$B$31</f>
        <v>0</v>
      </c>
      <c r="Y2385" s="199">
        <f ca="1">U2385*'Expenditure Study'!$B$31</f>
        <v>0</v>
      </c>
      <c r="Z2385" s="200">
        <f ca="1">W2385*'Expenditure Study'!$B$31</f>
        <v>0</v>
      </c>
      <c r="AA2385" s="195">
        <f t="shared" ca="1" si="526"/>
        <v>0</v>
      </c>
      <c r="AB2385" s="195">
        <f t="shared" ca="1" si="527"/>
        <v>0</v>
      </c>
      <c r="AD2385" s="196">
        <f>IFERROR($G2385/SUMIF($A:$A,$A2385,$G:$G)*SUMIF(Summary!$A$166:$A$242,$A2385,Summary!$P$166:$P$242),0)</f>
        <v>0</v>
      </c>
      <c r="AE2385" s="197">
        <f t="shared" ca="1" si="528"/>
        <v>0</v>
      </c>
      <c r="AF2385" s="196">
        <f>IFERROR(G2385/SUMIF(A:A,A2385,G:G)*SUMIF(Summary!$A$166:$A$242,'Operations Support'!A2385,Summary!$Q$166:$Q$242),0)</f>
        <v>0</v>
      </c>
      <c r="AG2385" s="196">
        <f t="shared" ca="1" si="529"/>
        <v>0</v>
      </c>
      <c r="AI2385" s="196">
        <f>IFERROR($G2385/SUMIF($A:$A,$A2385,$G:$G)*SUMIF(Summary!$A$247:$A$283,$A2385,Summary!$P$247:$P$283),0)</f>
        <v>0</v>
      </c>
      <c r="AJ2385" s="196">
        <f>IFERROR($G2385/SUMIF($A:$A,$A2385,$G:$G)*(SUMIF(Summary!$A$247:$A$283,$A2385,Summary!$L$247:$L$283)+SUMIF(Summary!$A$297:$A$333,$A2385,Summary!$L$297:$L$333))-AI2385,0)</f>
        <v>0</v>
      </c>
      <c r="AK2385" s="196">
        <f>IFERROR($G2385/SUMIF($A:$A,$A2385,$G:$G)*SUMIF(Summary!$A$247:$A$283,$A2385,Summary!$Q$247:$Q$283),0)</f>
        <v>0</v>
      </c>
      <c r="AL2385" s="196">
        <f>IFERROR($G2385/SUMIF($A:$A,$A2385,$G:$G)*(SUMIF(Summary!$A$247:$A$283,$A2385,Summary!$L$247:$L$283)+SUMIF(Summary!$A$297:$A$333,$A2385,Summary!$L$297:$L$333))-AK2385,0)</f>
        <v>0</v>
      </c>
      <c r="AM2385" s="198"/>
      <c r="AN2385" s="196">
        <f t="shared" ca="1" si="530"/>
        <v>0</v>
      </c>
      <c r="AO2385" s="196">
        <f t="shared" ca="1" si="531"/>
        <v>0</v>
      </c>
    </row>
    <row r="2386" spans="1:41">
      <c r="A2386" s="189">
        <v>3665</v>
      </c>
      <c r="B2386" s="190">
        <v>4</v>
      </c>
      <c r="C2386" s="191" t="s">
        <v>228</v>
      </c>
      <c r="D2386" s="192">
        <f t="shared" si="518"/>
        <v>0</v>
      </c>
      <c r="E2386" s="192">
        <f t="shared" si="519"/>
        <v>0</v>
      </c>
      <c r="F2386" s="192">
        <f t="shared" si="520"/>
        <v>0</v>
      </c>
      <c r="G2386" s="193">
        <f t="shared" si="521"/>
        <v>0</v>
      </c>
      <c r="H2386" s="194">
        <v>0</v>
      </c>
      <c r="I2386" s="194">
        <v>0</v>
      </c>
      <c r="J2386" s="194">
        <v>0</v>
      </c>
      <c r="K2386" s="193">
        <f t="shared" si="522"/>
        <v>0</v>
      </c>
      <c r="L2386" s="194">
        <v>0</v>
      </c>
      <c r="M2386" s="194">
        <v>0</v>
      </c>
      <c r="N2386" s="194">
        <v>0</v>
      </c>
      <c r="O2386" s="193">
        <f t="shared" si="523"/>
        <v>0</v>
      </c>
      <c r="P2386" s="194">
        <v>0</v>
      </c>
      <c r="Q2386" s="194">
        <v>0</v>
      </c>
      <c r="R2386" s="194">
        <v>0</v>
      </c>
      <c r="S2386" s="193">
        <f t="shared" si="524"/>
        <v>0</v>
      </c>
      <c r="T2386" s="193">
        <f t="shared" si="525"/>
        <v>0</v>
      </c>
      <c r="U2386" s="193">
        <f ca="1">OFFSET('Expenditure Study'!$B$7,'Operations Support'!$C2386,'Operations Support'!$B2386)*$G2386</f>
        <v>0</v>
      </c>
      <c r="V2386" s="199">
        <f ca="1">U2386*'Expenditure Study'!$B$31</f>
        <v>0</v>
      </c>
      <c r="W2386" s="199">
        <f ca="1">IF(A2386=10298,1.51,1)*IF($B2386&lt;3,$D2386*'Expenditure Study'!$B$32*OFFSET('Expenditure Study'!$B$7,'Operations Support'!$C2386,'Operations Support'!$B2386),0)</f>
        <v>0</v>
      </c>
      <c r="X2386" s="200">
        <f ca="1">W2386*'Expenditure Study'!$B$31</f>
        <v>0</v>
      </c>
      <c r="Y2386" s="199">
        <f ca="1">U2386*'Expenditure Study'!$B$31</f>
        <v>0</v>
      </c>
      <c r="Z2386" s="200">
        <f ca="1">W2386*'Expenditure Study'!$B$31</f>
        <v>0</v>
      </c>
      <c r="AA2386" s="195">
        <f t="shared" ca="1" si="526"/>
        <v>0</v>
      </c>
      <c r="AB2386" s="195">
        <f t="shared" ca="1" si="527"/>
        <v>0</v>
      </c>
      <c r="AD2386" s="196">
        <f>IFERROR($G2386/SUMIF($A:$A,$A2386,$G:$G)*SUMIF(Summary!$A$166:$A$242,$A2386,Summary!$P$166:$P$242),0)</f>
        <v>0</v>
      </c>
      <c r="AE2386" s="197">
        <f t="shared" ca="1" si="528"/>
        <v>0</v>
      </c>
      <c r="AF2386" s="196">
        <f>IFERROR(G2386/SUMIF(A:A,A2386,G:G)*SUMIF(Summary!$A$166:$A$242,'Operations Support'!A2386,Summary!$Q$166:$Q$242),0)</f>
        <v>0</v>
      </c>
      <c r="AG2386" s="196">
        <f t="shared" ca="1" si="529"/>
        <v>0</v>
      </c>
      <c r="AI2386" s="196">
        <f>IFERROR($G2386/SUMIF($A:$A,$A2386,$G:$G)*SUMIF(Summary!$A$247:$A$283,$A2386,Summary!$P$247:$P$283),0)</f>
        <v>0</v>
      </c>
      <c r="AJ2386" s="196">
        <f>IFERROR($G2386/SUMIF($A:$A,$A2386,$G:$G)*(SUMIF(Summary!$A$247:$A$283,$A2386,Summary!$L$247:$L$283)+SUMIF(Summary!$A$297:$A$333,$A2386,Summary!$L$297:$L$333))-AI2386,0)</f>
        <v>0</v>
      </c>
      <c r="AK2386" s="196">
        <f>IFERROR($G2386/SUMIF($A:$A,$A2386,$G:$G)*SUMIF(Summary!$A$247:$A$283,$A2386,Summary!$Q$247:$Q$283),0)</f>
        <v>0</v>
      </c>
      <c r="AL2386" s="196">
        <f>IFERROR($G2386/SUMIF($A:$A,$A2386,$G:$G)*(SUMIF(Summary!$A$247:$A$283,$A2386,Summary!$L$247:$L$283)+SUMIF(Summary!$A$297:$A$333,$A2386,Summary!$L$297:$L$333))-AK2386,0)</f>
        <v>0</v>
      </c>
      <c r="AM2386" s="198"/>
      <c r="AN2386" s="196">
        <f t="shared" ca="1" si="530"/>
        <v>0</v>
      </c>
      <c r="AO2386" s="196">
        <f t="shared" ca="1" si="531"/>
        <v>0</v>
      </c>
    </row>
    <row r="2387" spans="1:41">
      <c r="A2387" s="189">
        <v>3665</v>
      </c>
      <c r="B2387" s="190">
        <v>4</v>
      </c>
      <c r="C2387" s="191" t="s">
        <v>229</v>
      </c>
      <c r="D2387" s="192">
        <f t="shared" si="518"/>
        <v>0</v>
      </c>
      <c r="E2387" s="192">
        <f t="shared" si="519"/>
        <v>0</v>
      </c>
      <c r="F2387" s="192">
        <f t="shared" si="520"/>
        <v>0</v>
      </c>
      <c r="G2387" s="193">
        <f t="shared" si="521"/>
        <v>0</v>
      </c>
      <c r="H2387" s="194">
        <v>0</v>
      </c>
      <c r="I2387" s="194">
        <v>0</v>
      </c>
      <c r="J2387" s="194">
        <v>0</v>
      </c>
      <c r="K2387" s="193">
        <f t="shared" si="522"/>
        <v>0</v>
      </c>
      <c r="L2387" s="194">
        <v>0</v>
      </c>
      <c r="M2387" s="194">
        <v>0</v>
      </c>
      <c r="N2387" s="194">
        <v>0</v>
      </c>
      <c r="O2387" s="193">
        <f t="shared" si="523"/>
        <v>0</v>
      </c>
      <c r="P2387" s="194">
        <v>0</v>
      </c>
      <c r="Q2387" s="194">
        <v>0</v>
      </c>
      <c r="R2387" s="194">
        <v>0</v>
      </c>
      <c r="S2387" s="193">
        <f t="shared" si="524"/>
        <v>0</v>
      </c>
      <c r="T2387" s="193">
        <f t="shared" si="525"/>
        <v>0</v>
      </c>
      <c r="U2387" s="193">
        <f ca="1">OFFSET('Expenditure Study'!$B$7,'Operations Support'!$C2387,'Operations Support'!$B2387)*$G2387</f>
        <v>0</v>
      </c>
      <c r="V2387" s="199">
        <f ca="1">U2387*'Expenditure Study'!$B$31</f>
        <v>0</v>
      </c>
      <c r="W2387" s="199">
        <f ca="1">IF(A2387=10298,1.51,1)*IF($B2387&lt;3,$D2387*'Expenditure Study'!$B$32*OFFSET('Expenditure Study'!$B$7,'Operations Support'!$C2387,'Operations Support'!$B2387),0)</f>
        <v>0</v>
      </c>
      <c r="X2387" s="200">
        <f ca="1">W2387*'Expenditure Study'!$B$31</f>
        <v>0</v>
      </c>
      <c r="Y2387" s="199">
        <f ca="1">U2387*'Expenditure Study'!$B$31</f>
        <v>0</v>
      </c>
      <c r="Z2387" s="200">
        <f ca="1">W2387*'Expenditure Study'!$B$31</f>
        <v>0</v>
      </c>
      <c r="AA2387" s="195">
        <f t="shared" ca="1" si="526"/>
        <v>0</v>
      </c>
      <c r="AB2387" s="195">
        <f t="shared" ca="1" si="527"/>
        <v>0</v>
      </c>
      <c r="AD2387" s="196">
        <f>IFERROR($G2387/SUMIF($A:$A,$A2387,$G:$G)*SUMIF(Summary!$A$166:$A$242,$A2387,Summary!$P$166:$P$242),0)</f>
        <v>0</v>
      </c>
      <c r="AE2387" s="197">
        <f t="shared" ca="1" si="528"/>
        <v>0</v>
      </c>
      <c r="AF2387" s="196">
        <f>IFERROR(G2387/SUMIF(A:A,A2387,G:G)*SUMIF(Summary!$A$166:$A$242,'Operations Support'!A2387,Summary!$Q$166:$Q$242),0)</f>
        <v>0</v>
      </c>
      <c r="AG2387" s="196">
        <f t="shared" ca="1" si="529"/>
        <v>0</v>
      </c>
      <c r="AI2387" s="196">
        <f>IFERROR($G2387/SUMIF($A:$A,$A2387,$G:$G)*SUMIF(Summary!$A$247:$A$283,$A2387,Summary!$P$247:$P$283),0)</f>
        <v>0</v>
      </c>
      <c r="AJ2387" s="196">
        <f>IFERROR($G2387/SUMIF($A:$A,$A2387,$G:$G)*(SUMIF(Summary!$A$247:$A$283,$A2387,Summary!$L$247:$L$283)+SUMIF(Summary!$A$297:$A$333,$A2387,Summary!$L$297:$L$333))-AI2387,0)</f>
        <v>0</v>
      </c>
      <c r="AK2387" s="196">
        <f>IFERROR($G2387/SUMIF($A:$A,$A2387,$G:$G)*SUMIF(Summary!$A$247:$A$283,$A2387,Summary!$Q$247:$Q$283),0)</f>
        <v>0</v>
      </c>
      <c r="AL2387" s="196">
        <f>IFERROR($G2387/SUMIF($A:$A,$A2387,$G:$G)*(SUMIF(Summary!$A$247:$A$283,$A2387,Summary!$L$247:$L$283)+SUMIF(Summary!$A$297:$A$333,$A2387,Summary!$L$297:$L$333))-AK2387,0)</f>
        <v>0</v>
      </c>
      <c r="AM2387" s="198"/>
      <c r="AN2387" s="196">
        <f t="shared" ca="1" si="530"/>
        <v>0</v>
      </c>
      <c r="AO2387" s="196">
        <f t="shared" ca="1" si="531"/>
        <v>0</v>
      </c>
    </row>
    <row r="2388" spans="1:41">
      <c r="A2388" s="189">
        <v>3665</v>
      </c>
      <c r="B2388" s="190">
        <v>4</v>
      </c>
      <c r="C2388" s="191" t="s">
        <v>230</v>
      </c>
      <c r="D2388" s="192">
        <f t="shared" si="518"/>
        <v>0</v>
      </c>
      <c r="E2388" s="192">
        <f t="shared" si="519"/>
        <v>0</v>
      </c>
      <c r="F2388" s="192">
        <f t="shared" si="520"/>
        <v>0</v>
      </c>
      <c r="G2388" s="193">
        <f t="shared" si="521"/>
        <v>0</v>
      </c>
      <c r="H2388" s="194">
        <v>0</v>
      </c>
      <c r="I2388" s="194">
        <v>0</v>
      </c>
      <c r="J2388" s="194">
        <v>0</v>
      </c>
      <c r="K2388" s="193">
        <f t="shared" si="522"/>
        <v>0</v>
      </c>
      <c r="L2388" s="194">
        <v>0</v>
      </c>
      <c r="M2388" s="194">
        <v>0</v>
      </c>
      <c r="N2388" s="194">
        <v>0</v>
      </c>
      <c r="O2388" s="193">
        <f t="shared" si="523"/>
        <v>0</v>
      </c>
      <c r="P2388" s="194">
        <v>0</v>
      </c>
      <c r="Q2388" s="194">
        <v>0</v>
      </c>
      <c r="R2388" s="194">
        <v>0</v>
      </c>
      <c r="S2388" s="193">
        <f t="shared" si="524"/>
        <v>0</v>
      </c>
      <c r="T2388" s="193">
        <f t="shared" si="525"/>
        <v>0</v>
      </c>
      <c r="U2388" s="193">
        <f ca="1">OFFSET('Expenditure Study'!$B$7,'Operations Support'!$C2388,'Operations Support'!$B2388)*$G2388</f>
        <v>0</v>
      </c>
      <c r="V2388" s="199">
        <f ca="1">U2388*'Expenditure Study'!$B$31</f>
        <v>0</v>
      </c>
      <c r="W2388" s="199">
        <f ca="1">IF(A2388=10298,1.51,1)*IF($B2388&lt;3,$D2388*'Expenditure Study'!$B$32*OFFSET('Expenditure Study'!$B$7,'Operations Support'!$C2388,'Operations Support'!$B2388),0)</f>
        <v>0</v>
      </c>
      <c r="X2388" s="200">
        <f ca="1">W2388*'Expenditure Study'!$B$31</f>
        <v>0</v>
      </c>
      <c r="Y2388" s="199">
        <f ca="1">U2388*'Expenditure Study'!$B$31</f>
        <v>0</v>
      </c>
      <c r="Z2388" s="200">
        <f ca="1">W2388*'Expenditure Study'!$B$31</f>
        <v>0</v>
      </c>
      <c r="AA2388" s="195">
        <f t="shared" ca="1" si="526"/>
        <v>0</v>
      </c>
      <c r="AB2388" s="195">
        <f t="shared" ca="1" si="527"/>
        <v>0</v>
      </c>
      <c r="AD2388" s="196">
        <f>IFERROR($G2388/SUMIF($A:$A,$A2388,$G:$G)*SUMIF(Summary!$A$166:$A$242,$A2388,Summary!$P$166:$P$242),0)</f>
        <v>0</v>
      </c>
      <c r="AE2388" s="197">
        <f t="shared" ca="1" si="528"/>
        <v>0</v>
      </c>
      <c r="AF2388" s="196">
        <f>IFERROR(G2388/SUMIF(A:A,A2388,G:G)*SUMIF(Summary!$A$166:$A$242,'Operations Support'!A2388,Summary!$Q$166:$Q$242),0)</f>
        <v>0</v>
      </c>
      <c r="AG2388" s="196">
        <f t="shared" ca="1" si="529"/>
        <v>0</v>
      </c>
      <c r="AI2388" s="196">
        <f>IFERROR($G2388/SUMIF($A:$A,$A2388,$G:$G)*SUMIF(Summary!$A$247:$A$283,$A2388,Summary!$P$247:$P$283),0)</f>
        <v>0</v>
      </c>
      <c r="AJ2388" s="196">
        <f>IFERROR($G2388/SUMIF($A:$A,$A2388,$G:$G)*(SUMIF(Summary!$A$247:$A$283,$A2388,Summary!$L$247:$L$283)+SUMIF(Summary!$A$297:$A$333,$A2388,Summary!$L$297:$L$333))-AI2388,0)</f>
        <v>0</v>
      </c>
      <c r="AK2388" s="196">
        <f>IFERROR($G2388/SUMIF($A:$A,$A2388,$G:$G)*SUMIF(Summary!$A$247:$A$283,$A2388,Summary!$Q$247:$Q$283),0)</f>
        <v>0</v>
      </c>
      <c r="AL2388" s="196">
        <f>IFERROR($G2388/SUMIF($A:$A,$A2388,$G:$G)*(SUMIF(Summary!$A$247:$A$283,$A2388,Summary!$L$247:$L$283)+SUMIF(Summary!$A$297:$A$333,$A2388,Summary!$L$297:$L$333))-AK2388,0)</f>
        <v>0</v>
      </c>
      <c r="AM2388" s="198"/>
      <c r="AN2388" s="196">
        <f t="shared" ca="1" si="530"/>
        <v>0</v>
      </c>
      <c r="AO2388" s="196">
        <f t="shared" ca="1" si="531"/>
        <v>0</v>
      </c>
    </row>
    <row r="2389" spans="1:41">
      <c r="A2389" s="189">
        <v>3665</v>
      </c>
      <c r="B2389" s="190">
        <v>4</v>
      </c>
      <c r="C2389" s="191" t="s">
        <v>231</v>
      </c>
      <c r="D2389" s="192">
        <f t="shared" si="518"/>
        <v>0</v>
      </c>
      <c r="E2389" s="192">
        <f t="shared" si="519"/>
        <v>0</v>
      </c>
      <c r="F2389" s="192">
        <f t="shared" si="520"/>
        <v>0</v>
      </c>
      <c r="G2389" s="193">
        <f t="shared" si="521"/>
        <v>0</v>
      </c>
      <c r="H2389" s="194">
        <v>0</v>
      </c>
      <c r="I2389" s="194">
        <v>0</v>
      </c>
      <c r="J2389" s="194">
        <v>0</v>
      </c>
      <c r="K2389" s="193">
        <f t="shared" si="522"/>
        <v>0</v>
      </c>
      <c r="L2389" s="194">
        <v>0</v>
      </c>
      <c r="M2389" s="194">
        <v>0</v>
      </c>
      <c r="N2389" s="194">
        <v>0</v>
      </c>
      <c r="O2389" s="193">
        <f t="shared" si="523"/>
        <v>0</v>
      </c>
      <c r="P2389" s="194">
        <v>0</v>
      </c>
      <c r="Q2389" s="194">
        <v>0</v>
      </c>
      <c r="R2389" s="194">
        <v>0</v>
      </c>
      <c r="S2389" s="193">
        <f t="shared" si="524"/>
        <v>0</v>
      </c>
      <c r="T2389" s="193">
        <f t="shared" si="525"/>
        <v>0</v>
      </c>
      <c r="U2389" s="193">
        <f ca="1">OFFSET('Expenditure Study'!$B$7,'Operations Support'!$C2389,'Operations Support'!$B2389)*$G2389</f>
        <v>0</v>
      </c>
      <c r="V2389" s="199">
        <f ca="1">U2389*'Expenditure Study'!$B$31</f>
        <v>0</v>
      </c>
      <c r="W2389" s="199">
        <f ca="1">IF(A2389=10298,1.51,1)*IF($B2389&lt;3,$D2389*'Expenditure Study'!$B$32*OFFSET('Expenditure Study'!$B$7,'Operations Support'!$C2389,'Operations Support'!$B2389),0)</f>
        <v>0</v>
      </c>
      <c r="X2389" s="200">
        <f ca="1">W2389*'Expenditure Study'!$B$31</f>
        <v>0</v>
      </c>
      <c r="Y2389" s="199">
        <f ca="1">U2389*'Expenditure Study'!$B$31</f>
        <v>0</v>
      </c>
      <c r="Z2389" s="200">
        <f ca="1">W2389*'Expenditure Study'!$B$31</f>
        <v>0</v>
      </c>
      <c r="AA2389" s="195">
        <f t="shared" ca="1" si="526"/>
        <v>0</v>
      </c>
      <c r="AB2389" s="195">
        <f t="shared" ca="1" si="527"/>
        <v>0</v>
      </c>
      <c r="AD2389" s="196">
        <f>IFERROR($G2389/SUMIF($A:$A,$A2389,$G:$G)*SUMIF(Summary!$A$166:$A$242,$A2389,Summary!$P$166:$P$242),0)</f>
        <v>0</v>
      </c>
      <c r="AE2389" s="197">
        <f t="shared" ca="1" si="528"/>
        <v>0</v>
      </c>
      <c r="AF2389" s="196">
        <f>IFERROR(G2389/SUMIF(A:A,A2389,G:G)*SUMIF(Summary!$A$166:$A$242,'Operations Support'!A2389,Summary!$Q$166:$Q$242),0)</f>
        <v>0</v>
      </c>
      <c r="AG2389" s="196">
        <f t="shared" ca="1" si="529"/>
        <v>0</v>
      </c>
      <c r="AI2389" s="196">
        <f>IFERROR($G2389/SUMIF($A:$A,$A2389,$G:$G)*SUMIF(Summary!$A$247:$A$283,$A2389,Summary!$P$247:$P$283),0)</f>
        <v>0</v>
      </c>
      <c r="AJ2389" s="196">
        <f>IFERROR($G2389/SUMIF($A:$A,$A2389,$G:$G)*(SUMIF(Summary!$A$247:$A$283,$A2389,Summary!$L$247:$L$283)+SUMIF(Summary!$A$297:$A$333,$A2389,Summary!$L$297:$L$333))-AI2389,0)</f>
        <v>0</v>
      </c>
      <c r="AK2389" s="196">
        <f>IFERROR($G2389/SUMIF($A:$A,$A2389,$G:$G)*SUMIF(Summary!$A$247:$A$283,$A2389,Summary!$Q$247:$Q$283),0)</f>
        <v>0</v>
      </c>
      <c r="AL2389" s="196">
        <f>IFERROR($G2389/SUMIF($A:$A,$A2389,$G:$G)*(SUMIF(Summary!$A$247:$A$283,$A2389,Summary!$L$247:$L$283)+SUMIF(Summary!$A$297:$A$333,$A2389,Summary!$L$297:$L$333))-AK2389,0)</f>
        <v>0</v>
      </c>
      <c r="AM2389" s="198"/>
      <c r="AN2389" s="196">
        <f t="shared" ca="1" si="530"/>
        <v>0</v>
      </c>
      <c r="AO2389" s="196">
        <f t="shared" ca="1" si="531"/>
        <v>0</v>
      </c>
    </row>
    <row r="2390" spans="1:41">
      <c r="A2390" s="189">
        <v>3665</v>
      </c>
      <c r="B2390" s="190">
        <v>4</v>
      </c>
      <c r="C2390" s="191" t="s">
        <v>232</v>
      </c>
      <c r="D2390" s="192">
        <f t="shared" si="518"/>
        <v>0</v>
      </c>
      <c r="E2390" s="192">
        <f t="shared" si="519"/>
        <v>0</v>
      </c>
      <c r="F2390" s="192">
        <f t="shared" si="520"/>
        <v>0</v>
      </c>
      <c r="G2390" s="193">
        <f t="shared" si="521"/>
        <v>0</v>
      </c>
      <c r="H2390" s="194">
        <v>0</v>
      </c>
      <c r="I2390" s="194">
        <v>0</v>
      </c>
      <c r="J2390" s="194">
        <v>0</v>
      </c>
      <c r="K2390" s="193">
        <f t="shared" si="522"/>
        <v>0</v>
      </c>
      <c r="L2390" s="194">
        <v>0</v>
      </c>
      <c r="M2390" s="194">
        <v>0</v>
      </c>
      <c r="N2390" s="194">
        <v>0</v>
      </c>
      <c r="O2390" s="193">
        <f t="shared" si="523"/>
        <v>0</v>
      </c>
      <c r="P2390" s="194">
        <v>0</v>
      </c>
      <c r="Q2390" s="194">
        <v>0</v>
      </c>
      <c r="R2390" s="194">
        <v>0</v>
      </c>
      <c r="S2390" s="193">
        <f t="shared" si="524"/>
        <v>0</v>
      </c>
      <c r="T2390" s="193">
        <f t="shared" si="525"/>
        <v>0</v>
      </c>
      <c r="U2390" s="193">
        <f ca="1">OFFSET('Expenditure Study'!$B$7,'Operations Support'!$C2390,'Operations Support'!$B2390)*$G2390</f>
        <v>0</v>
      </c>
      <c r="V2390" s="199">
        <f ca="1">U2390*'Expenditure Study'!$B$31</f>
        <v>0</v>
      </c>
      <c r="W2390" s="199">
        <f ca="1">IF(A2390=10298,1.51,1)*IF($B2390&lt;3,$D2390*'Expenditure Study'!$B$32*OFFSET('Expenditure Study'!$B$7,'Operations Support'!$C2390,'Operations Support'!$B2390),0)</f>
        <v>0</v>
      </c>
      <c r="X2390" s="200">
        <f ca="1">W2390*'Expenditure Study'!$B$31</f>
        <v>0</v>
      </c>
      <c r="Y2390" s="199">
        <f ca="1">U2390*'Expenditure Study'!$B$31</f>
        <v>0</v>
      </c>
      <c r="Z2390" s="200">
        <f ca="1">W2390*'Expenditure Study'!$B$31</f>
        <v>0</v>
      </c>
      <c r="AA2390" s="195">
        <f t="shared" ca="1" si="526"/>
        <v>0</v>
      </c>
      <c r="AB2390" s="195">
        <f t="shared" ca="1" si="527"/>
        <v>0</v>
      </c>
      <c r="AD2390" s="196">
        <f>IFERROR($G2390/SUMIF($A:$A,$A2390,$G:$G)*SUMIF(Summary!$A$166:$A$242,$A2390,Summary!$P$166:$P$242),0)</f>
        <v>0</v>
      </c>
      <c r="AE2390" s="197">
        <f t="shared" ca="1" si="528"/>
        <v>0</v>
      </c>
      <c r="AF2390" s="196">
        <f>IFERROR(G2390/SUMIF(A:A,A2390,G:G)*SUMIF(Summary!$A$166:$A$242,'Operations Support'!A2390,Summary!$Q$166:$Q$242),0)</f>
        <v>0</v>
      </c>
      <c r="AG2390" s="196">
        <f t="shared" ca="1" si="529"/>
        <v>0</v>
      </c>
      <c r="AI2390" s="196">
        <f>IFERROR($G2390/SUMIF($A:$A,$A2390,$G:$G)*SUMIF(Summary!$A$247:$A$283,$A2390,Summary!$P$247:$P$283),0)</f>
        <v>0</v>
      </c>
      <c r="AJ2390" s="196">
        <f>IFERROR($G2390/SUMIF($A:$A,$A2390,$G:$G)*(SUMIF(Summary!$A$247:$A$283,$A2390,Summary!$L$247:$L$283)+SUMIF(Summary!$A$297:$A$333,$A2390,Summary!$L$297:$L$333))-AI2390,0)</f>
        <v>0</v>
      </c>
      <c r="AK2390" s="196">
        <f>IFERROR($G2390/SUMIF($A:$A,$A2390,$G:$G)*SUMIF(Summary!$A$247:$A$283,$A2390,Summary!$Q$247:$Q$283),0)</f>
        <v>0</v>
      </c>
      <c r="AL2390" s="196">
        <f>IFERROR($G2390/SUMIF($A:$A,$A2390,$G:$G)*(SUMIF(Summary!$A$247:$A$283,$A2390,Summary!$L$247:$L$283)+SUMIF(Summary!$A$297:$A$333,$A2390,Summary!$L$297:$L$333))-AK2390,0)</f>
        <v>0</v>
      </c>
      <c r="AM2390" s="198"/>
      <c r="AN2390" s="196">
        <f t="shared" ca="1" si="530"/>
        <v>0</v>
      </c>
      <c r="AO2390" s="196">
        <f t="shared" ca="1" si="531"/>
        <v>0</v>
      </c>
    </row>
    <row r="2391" spans="1:41">
      <c r="A2391" s="189">
        <v>3665</v>
      </c>
      <c r="B2391" s="190">
        <v>4</v>
      </c>
      <c r="C2391" s="191" t="s">
        <v>233</v>
      </c>
      <c r="D2391" s="192">
        <f t="shared" si="518"/>
        <v>0</v>
      </c>
      <c r="E2391" s="192">
        <f t="shared" si="519"/>
        <v>0</v>
      </c>
      <c r="F2391" s="192">
        <f t="shared" si="520"/>
        <v>0</v>
      </c>
      <c r="G2391" s="193">
        <f t="shared" si="521"/>
        <v>0</v>
      </c>
      <c r="H2391" s="194">
        <v>0</v>
      </c>
      <c r="I2391" s="194">
        <v>0</v>
      </c>
      <c r="J2391" s="194">
        <v>0</v>
      </c>
      <c r="K2391" s="193">
        <f t="shared" si="522"/>
        <v>0</v>
      </c>
      <c r="L2391" s="194">
        <v>0</v>
      </c>
      <c r="M2391" s="194">
        <v>0</v>
      </c>
      <c r="N2391" s="194">
        <v>0</v>
      </c>
      <c r="O2391" s="193">
        <f t="shared" si="523"/>
        <v>0</v>
      </c>
      <c r="P2391" s="194">
        <v>0</v>
      </c>
      <c r="Q2391" s="194">
        <v>0</v>
      </c>
      <c r="R2391" s="194">
        <v>0</v>
      </c>
      <c r="S2391" s="193">
        <f t="shared" si="524"/>
        <v>0</v>
      </c>
      <c r="T2391" s="193">
        <f t="shared" si="525"/>
        <v>0</v>
      </c>
      <c r="U2391" s="193">
        <f ca="1">OFFSET('Expenditure Study'!$B$7,'Operations Support'!$C2391,'Operations Support'!$B2391)*$G2391</f>
        <v>0</v>
      </c>
      <c r="V2391" s="199">
        <f ca="1">U2391*'Expenditure Study'!$B$31</f>
        <v>0</v>
      </c>
      <c r="W2391" s="199">
        <f ca="1">IF(A2391=10298,1.51,1)*IF($B2391&lt;3,$D2391*'Expenditure Study'!$B$32*OFFSET('Expenditure Study'!$B$7,'Operations Support'!$C2391,'Operations Support'!$B2391),0)</f>
        <v>0</v>
      </c>
      <c r="X2391" s="200">
        <f ca="1">W2391*'Expenditure Study'!$B$31</f>
        <v>0</v>
      </c>
      <c r="Y2391" s="199">
        <f ca="1">U2391*'Expenditure Study'!$B$31</f>
        <v>0</v>
      </c>
      <c r="Z2391" s="200">
        <f ca="1">W2391*'Expenditure Study'!$B$31</f>
        <v>0</v>
      </c>
      <c r="AA2391" s="195">
        <f t="shared" ca="1" si="526"/>
        <v>0</v>
      </c>
      <c r="AB2391" s="195">
        <f t="shared" ca="1" si="527"/>
        <v>0</v>
      </c>
      <c r="AD2391" s="196">
        <f>IFERROR($G2391/SUMIF($A:$A,$A2391,$G:$G)*SUMIF(Summary!$A$166:$A$242,$A2391,Summary!$P$166:$P$242),0)</f>
        <v>0</v>
      </c>
      <c r="AE2391" s="197">
        <f t="shared" ca="1" si="528"/>
        <v>0</v>
      </c>
      <c r="AF2391" s="196">
        <f>IFERROR(G2391/SUMIF(A:A,A2391,G:G)*SUMIF(Summary!$A$166:$A$242,'Operations Support'!A2391,Summary!$Q$166:$Q$242),0)</f>
        <v>0</v>
      </c>
      <c r="AG2391" s="196">
        <f t="shared" ca="1" si="529"/>
        <v>0</v>
      </c>
      <c r="AI2391" s="196">
        <f>IFERROR($G2391/SUMIF($A:$A,$A2391,$G:$G)*SUMIF(Summary!$A$247:$A$283,$A2391,Summary!$P$247:$P$283),0)</f>
        <v>0</v>
      </c>
      <c r="AJ2391" s="196">
        <f>IFERROR($G2391/SUMIF($A:$A,$A2391,$G:$G)*(SUMIF(Summary!$A$247:$A$283,$A2391,Summary!$L$247:$L$283)+SUMIF(Summary!$A$297:$A$333,$A2391,Summary!$L$297:$L$333))-AI2391,0)</f>
        <v>0</v>
      </c>
      <c r="AK2391" s="196">
        <f>IFERROR($G2391/SUMIF($A:$A,$A2391,$G:$G)*SUMIF(Summary!$A$247:$A$283,$A2391,Summary!$Q$247:$Q$283),0)</f>
        <v>0</v>
      </c>
      <c r="AL2391" s="196">
        <f>IFERROR($G2391/SUMIF($A:$A,$A2391,$G:$G)*(SUMIF(Summary!$A$247:$A$283,$A2391,Summary!$L$247:$L$283)+SUMIF(Summary!$A$297:$A$333,$A2391,Summary!$L$297:$L$333))-AK2391,0)</f>
        <v>0</v>
      </c>
      <c r="AM2391" s="198"/>
      <c r="AN2391" s="196">
        <f t="shared" ca="1" si="530"/>
        <v>0</v>
      </c>
      <c r="AO2391" s="196">
        <f t="shared" ca="1" si="531"/>
        <v>0</v>
      </c>
    </row>
    <row r="2392" spans="1:41">
      <c r="A2392" s="189">
        <v>3665</v>
      </c>
      <c r="B2392" s="190">
        <v>4</v>
      </c>
      <c r="C2392" s="191" t="s">
        <v>234</v>
      </c>
      <c r="D2392" s="192">
        <f t="shared" si="518"/>
        <v>0</v>
      </c>
      <c r="E2392" s="192">
        <f t="shared" si="519"/>
        <v>0</v>
      </c>
      <c r="F2392" s="192">
        <f t="shared" si="520"/>
        <v>0</v>
      </c>
      <c r="G2392" s="193">
        <f t="shared" si="521"/>
        <v>0</v>
      </c>
      <c r="H2392" s="194">
        <v>0</v>
      </c>
      <c r="I2392" s="194">
        <v>0</v>
      </c>
      <c r="J2392" s="194">
        <v>0</v>
      </c>
      <c r="K2392" s="193">
        <f t="shared" si="522"/>
        <v>0</v>
      </c>
      <c r="L2392" s="194">
        <v>0</v>
      </c>
      <c r="M2392" s="194">
        <v>0</v>
      </c>
      <c r="N2392" s="194">
        <v>0</v>
      </c>
      <c r="O2392" s="193">
        <f t="shared" si="523"/>
        <v>0</v>
      </c>
      <c r="P2392" s="194">
        <v>0</v>
      </c>
      <c r="Q2392" s="194">
        <v>0</v>
      </c>
      <c r="R2392" s="194">
        <v>0</v>
      </c>
      <c r="S2392" s="193">
        <f t="shared" si="524"/>
        <v>0</v>
      </c>
      <c r="T2392" s="193">
        <f t="shared" si="525"/>
        <v>0</v>
      </c>
      <c r="U2392" s="193">
        <f ca="1">OFFSET('Expenditure Study'!$B$7,'Operations Support'!$C2392,'Operations Support'!$B2392)*$G2392</f>
        <v>0</v>
      </c>
      <c r="V2392" s="199">
        <f ca="1">U2392*'Expenditure Study'!$B$31</f>
        <v>0</v>
      </c>
      <c r="W2392" s="199">
        <f ca="1">IF(A2392=10298,1.51,1)*IF($B2392&lt;3,$D2392*'Expenditure Study'!$B$32*OFFSET('Expenditure Study'!$B$7,'Operations Support'!$C2392,'Operations Support'!$B2392),0)</f>
        <v>0</v>
      </c>
      <c r="X2392" s="200">
        <f ca="1">W2392*'Expenditure Study'!$B$31</f>
        <v>0</v>
      </c>
      <c r="Y2392" s="199">
        <f ca="1">U2392*'Expenditure Study'!$B$31</f>
        <v>0</v>
      </c>
      <c r="Z2392" s="200">
        <f ca="1">W2392*'Expenditure Study'!$B$31</f>
        <v>0</v>
      </c>
      <c r="AA2392" s="195">
        <f t="shared" ca="1" si="526"/>
        <v>0</v>
      </c>
      <c r="AB2392" s="195">
        <f t="shared" ca="1" si="527"/>
        <v>0</v>
      </c>
      <c r="AD2392" s="196">
        <f>IFERROR($G2392/SUMIF($A:$A,$A2392,$G:$G)*SUMIF(Summary!$A$166:$A$242,$A2392,Summary!$P$166:$P$242),0)</f>
        <v>0</v>
      </c>
      <c r="AE2392" s="197">
        <f t="shared" ca="1" si="528"/>
        <v>0</v>
      </c>
      <c r="AF2392" s="196">
        <f>IFERROR(G2392/SUMIF(A:A,A2392,G:G)*SUMIF(Summary!$A$166:$A$242,'Operations Support'!A2392,Summary!$Q$166:$Q$242),0)</f>
        <v>0</v>
      </c>
      <c r="AG2392" s="196">
        <f t="shared" ca="1" si="529"/>
        <v>0</v>
      </c>
      <c r="AI2392" s="196">
        <f>IFERROR($G2392/SUMIF($A:$A,$A2392,$G:$G)*SUMIF(Summary!$A$247:$A$283,$A2392,Summary!$P$247:$P$283),0)</f>
        <v>0</v>
      </c>
      <c r="AJ2392" s="196">
        <f>IFERROR($G2392/SUMIF($A:$A,$A2392,$G:$G)*(SUMIF(Summary!$A$247:$A$283,$A2392,Summary!$L$247:$L$283)+SUMIF(Summary!$A$297:$A$333,$A2392,Summary!$L$297:$L$333))-AI2392,0)</f>
        <v>0</v>
      </c>
      <c r="AK2392" s="196">
        <f>IFERROR($G2392/SUMIF($A:$A,$A2392,$G:$G)*SUMIF(Summary!$A$247:$A$283,$A2392,Summary!$Q$247:$Q$283),0)</f>
        <v>0</v>
      </c>
      <c r="AL2392" s="196">
        <f>IFERROR($G2392/SUMIF($A:$A,$A2392,$G:$G)*(SUMIF(Summary!$A$247:$A$283,$A2392,Summary!$L$247:$L$283)+SUMIF(Summary!$A$297:$A$333,$A2392,Summary!$L$297:$L$333))-AK2392,0)</f>
        <v>0</v>
      </c>
      <c r="AM2392" s="198"/>
      <c r="AN2392" s="196">
        <f t="shared" ca="1" si="530"/>
        <v>0</v>
      </c>
      <c r="AO2392" s="196">
        <f t="shared" ca="1" si="531"/>
        <v>0</v>
      </c>
    </row>
    <row r="2393" spans="1:41">
      <c r="A2393" s="189">
        <v>3665</v>
      </c>
      <c r="B2393" s="190">
        <v>4</v>
      </c>
      <c r="C2393" s="191" t="s">
        <v>235</v>
      </c>
      <c r="D2393" s="192">
        <f t="shared" si="518"/>
        <v>0</v>
      </c>
      <c r="E2393" s="192">
        <f t="shared" si="519"/>
        <v>0</v>
      </c>
      <c r="F2393" s="192">
        <f t="shared" si="520"/>
        <v>0</v>
      </c>
      <c r="G2393" s="193">
        <f t="shared" si="521"/>
        <v>0</v>
      </c>
      <c r="H2393" s="194">
        <v>0</v>
      </c>
      <c r="I2393" s="194">
        <v>0</v>
      </c>
      <c r="J2393" s="194">
        <v>0</v>
      </c>
      <c r="K2393" s="193">
        <f t="shared" si="522"/>
        <v>0</v>
      </c>
      <c r="L2393" s="194">
        <v>0</v>
      </c>
      <c r="M2393" s="194">
        <v>0</v>
      </c>
      <c r="N2393" s="194">
        <v>0</v>
      </c>
      <c r="O2393" s="193">
        <f t="shared" si="523"/>
        <v>0</v>
      </c>
      <c r="P2393" s="194">
        <v>0</v>
      </c>
      <c r="Q2393" s="194">
        <v>0</v>
      </c>
      <c r="R2393" s="194">
        <v>0</v>
      </c>
      <c r="S2393" s="193">
        <f t="shared" si="524"/>
        <v>0</v>
      </c>
      <c r="T2393" s="193">
        <f t="shared" si="525"/>
        <v>0</v>
      </c>
      <c r="U2393" s="193">
        <f ca="1">OFFSET('Expenditure Study'!$B$7,'Operations Support'!$C2393,'Operations Support'!$B2393)*$G2393</f>
        <v>0</v>
      </c>
      <c r="V2393" s="199">
        <f ca="1">U2393*'Expenditure Study'!$B$31</f>
        <v>0</v>
      </c>
      <c r="W2393" s="199">
        <f ca="1">IF(A2393=10298,1.51,1)*IF($B2393&lt;3,$D2393*'Expenditure Study'!$B$32*OFFSET('Expenditure Study'!$B$7,'Operations Support'!$C2393,'Operations Support'!$B2393),0)</f>
        <v>0</v>
      </c>
      <c r="X2393" s="200">
        <f ca="1">W2393*'Expenditure Study'!$B$31</f>
        <v>0</v>
      </c>
      <c r="Y2393" s="199">
        <f ca="1">U2393*'Expenditure Study'!$B$31</f>
        <v>0</v>
      </c>
      <c r="Z2393" s="200">
        <f ca="1">W2393*'Expenditure Study'!$B$31</f>
        <v>0</v>
      </c>
      <c r="AA2393" s="195">
        <f t="shared" ca="1" si="526"/>
        <v>0</v>
      </c>
      <c r="AB2393" s="195">
        <f t="shared" ca="1" si="527"/>
        <v>0</v>
      </c>
      <c r="AD2393" s="196">
        <f>IFERROR($G2393/SUMIF($A:$A,$A2393,$G:$G)*SUMIF(Summary!$A$166:$A$242,$A2393,Summary!$P$166:$P$242),0)</f>
        <v>0</v>
      </c>
      <c r="AE2393" s="197">
        <f t="shared" ca="1" si="528"/>
        <v>0</v>
      </c>
      <c r="AF2393" s="196">
        <f>IFERROR(G2393/SUMIF(A:A,A2393,G:G)*SUMIF(Summary!$A$166:$A$242,'Operations Support'!A2393,Summary!$Q$166:$Q$242),0)</f>
        <v>0</v>
      </c>
      <c r="AG2393" s="196">
        <f t="shared" ca="1" si="529"/>
        <v>0</v>
      </c>
      <c r="AI2393" s="196">
        <f>IFERROR($G2393/SUMIF($A:$A,$A2393,$G:$G)*SUMIF(Summary!$A$247:$A$283,$A2393,Summary!$P$247:$P$283),0)</f>
        <v>0</v>
      </c>
      <c r="AJ2393" s="196">
        <f>IFERROR($G2393/SUMIF($A:$A,$A2393,$G:$G)*(SUMIF(Summary!$A$247:$A$283,$A2393,Summary!$L$247:$L$283)+SUMIF(Summary!$A$297:$A$333,$A2393,Summary!$L$297:$L$333))-AI2393,0)</f>
        <v>0</v>
      </c>
      <c r="AK2393" s="196">
        <f>IFERROR($G2393/SUMIF($A:$A,$A2393,$G:$G)*SUMIF(Summary!$A$247:$A$283,$A2393,Summary!$Q$247:$Q$283),0)</f>
        <v>0</v>
      </c>
      <c r="AL2393" s="196">
        <f>IFERROR($G2393/SUMIF($A:$A,$A2393,$G:$G)*(SUMIF(Summary!$A$247:$A$283,$A2393,Summary!$L$247:$L$283)+SUMIF(Summary!$A$297:$A$333,$A2393,Summary!$L$297:$L$333))-AK2393,0)</f>
        <v>0</v>
      </c>
      <c r="AM2393" s="198"/>
      <c r="AN2393" s="196">
        <f t="shared" ca="1" si="530"/>
        <v>0</v>
      </c>
      <c r="AO2393" s="196">
        <f t="shared" ca="1" si="531"/>
        <v>0</v>
      </c>
    </row>
    <row r="2394" spans="1:41">
      <c r="A2394" s="189">
        <v>3665</v>
      </c>
      <c r="B2394" s="190">
        <v>4</v>
      </c>
      <c r="C2394" s="191" t="s">
        <v>236</v>
      </c>
      <c r="D2394" s="192">
        <f t="shared" si="518"/>
        <v>0</v>
      </c>
      <c r="E2394" s="192">
        <f t="shared" si="519"/>
        <v>0</v>
      </c>
      <c r="F2394" s="192">
        <f t="shared" si="520"/>
        <v>0</v>
      </c>
      <c r="G2394" s="193">
        <f t="shared" si="521"/>
        <v>0</v>
      </c>
      <c r="H2394" s="194">
        <v>0</v>
      </c>
      <c r="I2394" s="194">
        <v>0</v>
      </c>
      <c r="J2394" s="194">
        <v>0</v>
      </c>
      <c r="K2394" s="193">
        <f t="shared" si="522"/>
        <v>0</v>
      </c>
      <c r="L2394" s="194">
        <v>0</v>
      </c>
      <c r="M2394" s="194">
        <v>0</v>
      </c>
      <c r="N2394" s="194">
        <v>0</v>
      </c>
      <c r="O2394" s="193">
        <f t="shared" si="523"/>
        <v>0</v>
      </c>
      <c r="P2394" s="194">
        <v>0</v>
      </c>
      <c r="Q2394" s="194">
        <v>0</v>
      </c>
      <c r="R2394" s="194">
        <v>0</v>
      </c>
      <c r="S2394" s="193">
        <f t="shared" si="524"/>
        <v>0</v>
      </c>
      <c r="T2394" s="193">
        <f t="shared" si="525"/>
        <v>0</v>
      </c>
      <c r="U2394" s="193">
        <f ca="1">OFFSET('Expenditure Study'!$B$7,'Operations Support'!$C2394,'Operations Support'!$B2394)*$G2394</f>
        <v>0</v>
      </c>
      <c r="V2394" s="199">
        <f ca="1">U2394*'Expenditure Study'!$B$31</f>
        <v>0</v>
      </c>
      <c r="W2394" s="199">
        <f ca="1">IF(A2394=10298,1.51,1)*IF($B2394&lt;3,$D2394*'Expenditure Study'!$B$32*OFFSET('Expenditure Study'!$B$7,'Operations Support'!$C2394,'Operations Support'!$B2394),0)</f>
        <v>0</v>
      </c>
      <c r="X2394" s="200">
        <f ca="1">W2394*'Expenditure Study'!$B$31</f>
        <v>0</v>
      </c>
      <c r="Y2394" s="199">
        <f ca="1">U2394*'Expenditure Study'!$B$31</f>
        <v>0</v>
      </c>
      <c r="Z2394" s="200">
        <f ca="1">W2394*'Expenditure Study'!$B$31</f>
        <v>0</v>
      </c>
      <c r="AA2394" s="195">
        <f t="shared" ca="1" si="526"/>
        <v>0</v>
      </c>
      <c r="AB2394" s="195">
        <f t="shared" ca="1" si="527"/>
        <v>0</v>
      </c>
      <c r="AD2394" s="196">
        <f>IFERROR($G2394/SUMIF($A:$A,$A2394,$G:$G)*SUMIF(Summary!$A$166:$A$242,$A2394,Summary!$P$166:$P$242),0)</f>
        <v>0</v>
      </c>
      <c r="AE2394" s="197">
        <f t="shared" ca="1" si="528"/>
        <v>0</v>
      </c>
      <c r="AF2394" s="196">
        <f>IFERROR(G2394/SUMIF(A:A,A2394,G:G)*SUMIF(Summary!$A$166:$A$242,'Operations Support'!A2394,Summary!$Q$166:$Q$242),0)</f>
        <v>0</v>
      </c>
      <c r="AG2394" s="196">
        <f t="shared" ca="1" si="529"/>
        <v>0</v>
      </c>
      <c r="AI2394" s="196">
        <f>IFERROR($G2394/SUMIF($A:$A,$A2394,$G:$G)*SUMIF(Summary!$A$247:$A$283,$A2394,Summary!$P$247:$P$283),0)</f>
        <v>0</v>
      </c>
      <c r="AJ2394" s="196">
        <f>IFERROR($G2394/SUMIF($A:$A,$A2394,$G:$G)*(SUMIF(Summary!$A$247:$A$283,$A2394,Summary!$L$247:$L$283)+SUMIF(Summary!$A$297:$A$333,$A2394,Summary!$L$297:$L$333))-AI2394,0)</f>
        <v>0</v>
      </c>
      <c r="AK2394" s="196">
        <f>IFERROR($G2394/SUMIF($A:$A,$A2394,$G:$G)*SUMIF(Summary!$A$247:$A$283,$A2394,Summary!$Q$247:$Q$283),0)</f>
        <v>0</v>
      </c>
      <c r="AL2394" s="196">
        <f>IFERROR($G2394/SUMIF($A:$A,$A2394,$G:$G)*(SUMIF(Summary!$A$247:$A$283,$A2394,Summary!$L$247:$L$283)+SUMIF(Summary!$A$297:$A$333,$A2394,Summary!$L$297:$L$333))-AK2394,0)</f>
        <v>0</v>
      </c>
      <c r="AM2394" s="198"/>
      <c r="AN2394" s="196">
        <f t="shared" ca="1" si="530"/>
        <v>0</v>
      </c>
      <c r="AO2394" s="196">
        <f t="shared" ca="1" si="531"/>
        <v>0</v>
      </c>
    </row>
    <row r="2395" spans="1:41">
      <c r="A2395" s="189">
        <v>3665</v>
      </c>
      <c r="B2395" s="190">
        <v>4</v>
      </c>
      <c r="C2395" s="191" t="s">
        <v>237</v>
      </c>
      <c r="D2395" s="192">
        <f t="shared" si="518"/>
        <v>0</v>
      </c>
      <c r="E2395" s="192">
        <f t="shared" si="519"/>
        <v>0</v>
      </c>
      <c r="F2395" s="192">
        <f t="shared" si="520"/>
        <v>0</v>
      </c>
      <c r="G2395" s="193">
        <f t="shared" si="521"/>
        <v>0</v>
      </c>
      <c r="H2395" s="194">
        <v>0</v>
      </c>
      <c r="I2395" s="194">
        <v>0</v>
      </c>
      <c r="J2395" s="194">
        <v>0</v>
      </c>
      <c r="K2395" s="193">
        <f t="shared" si="522"/>
        <v>0</v>
      </c>
      <c r="L2395" s="194">
        <v>0</v>
      </c>
      <c r="M2395" s="194">
        <v>0</v>
      </c>
      <c r="N2395" s="194">
        <v>0</v>
      </c>
      <c r="O2395" s="193">
        <f t="shared" si="523"/>
        <v>0</v>
      </c>
      <c r="P2395" s="194">
        <v>0</v>
      </c>
      <c r="Q2395" s="194">
        <v>0</v>
      </c>
      <c r="R2395" s="194">
        <v>0</v>
      </c>
      <c r="S2395" s="193">
        <f t="shared" si="524"/>
        <v>0</v>
      </c>
      <c r="T2395" s="193">
        <f t="shared" si="525"/>
        <v>0</v>
      </c>
      <c r="U2395" s="193">
        <f ca="1">OFFSET('Expenditure Study'!$B$7,'Operations Support'!$C2395,'Operations Support'!$B2395)*$G2395</f>
        <v>0</v>
      </c>
      <c r="V2395" s="199">
        <f ca="1">U2395*'Expenditure Study'!$B$31</f>
        <v>0</v>
      </c>
      <c r="W2395" s="199">
        <f ca="1">IF(A2395=10298,1.51,1)*IF($B2395&lt;3,$D2395*'Expenditure Study'!$B$32*OFFSET('Expenditure Study'!$B$7,'Operations Support'!$C2395,'Operations Support'!$B2395),0)</f>
        <v>0</v>
      </c>
      <c r="X2395" s="200">
        <f ca="1">W2395*'Expenditure Study'!$B$31</f>
        <v>0</v>
      </c>
      <c r="Y2395" s="199">
        <f ca="1">U2395*'Expenditure Study'!$B$31</f>
        <v>0</v>
      </c>
      <c r="Z2395" s="200">
        <f ca="1">W2395*'Expenditure Study'!$B$31</f>
        <v>0</v>
      </c>
      <c r="AA2395" s="195">
        <f t="shared" ca="1" si="526"/>
        <v>0</v>
      </c>
      <c r="AB2395" s="195">
        <f t="shared" ca="1" si="527"/>
        <v>0</v>
      </c>
      <c r="AD2395" s="196">
        <f>IFERROR($G2395/SUMIF($A:$A,$A2395,$G:$G)*SUMIF(Summary!$A$166:$A$242,$A2395,Summary!$P$166:$P$242),0)</f>
        <v>0</v>
      </c>
      <c r="AE2395" s="197">
        <f t="shared" ca="1" si="528"/>
        <v>0</v>
      </c>
      <c r="AF2395" s="196">
        <f>IFERROR(G2395/SUMIF(A:A,A2395,G:G)*SUMIF(Summary!$A$166:$A$242,'Operations Support'!A2395,Summary!$Q$166:$Q$242),0)</f>
        <v>0</v>
      </c>
      <c r="AG2395" s="196">
        <f t="shared" ca="1" si="529"/>
        <v>0</v>
      </c>
      <c r="AI2395" s="196">
        <f>IFERROR($G2395/SUMIF($A:$A,$A2395,$G:$G)*SUMIF(Summary!$A$247:$A$283,$A2395,Summary!$P$247:$P$283),0)</f>
        <v>0</v>
      </c>
      <c r="AJ2395" s="196">
        <f>IFERROR($G2395/SUMIF($A:$A,$A2395,$G:$G)*(SUMIF(Summary!$A$247:$A$283,$A2395,Summary!$L$247:$L$283)+SUMIF(Summary!$A$297:$A$333,$A2395,Summary!$L$297:$L$333))-AI2395,0)</f>
        <v>0</v>
      </c>
      <c r="AK2395" s="196">
        <f>IFERROR($G2395/SUMIF($A:$A,$A2395,$G:$G)*SUMIF(Summary!$A$247:$A$283,$A2395,Summary!$Q$247:$Q$283),0)</f>
        <v>0</v>
      </c>
      <c r="AL2395" s="196">
        <f>IFERROR($G2395/SUMIF($A:$A,$A2395,$G:$G)*(SUMIF(Summary!$A$247:$A$283,$A2395,Summary!$L$247:$L$283)+SUMIF(Summary!$A$297:$A$333,$A2395,Summary!$L$297:$L$333))-AK2395,0)</f>
        <v>0</v>
      </c>
      <c r="AM2395" s="198"/>
      <c r="AN2395" s="196">
        <f t="shared" ca="1" si="530"/>
        <v>0</v>
      </c>
      <c r="AO2395" s="196">
        <f t="shared" ca="1" si="531"/>
        <v>0</v>
      </c>
    </row>
    <row r="2396" spans="1:41">
      <c r="A2396" s="189">
        <v>3665</v>
      </c>
      <c r="B2396" s="190">
        <v>4</v>
      </c>
      <c r="C2396" s="191" t="s">
        <v>238</v>
      </c>
      <c r="D2396" s="192">
        <f t="shared" si="518"/>
        <v>0</v>
      </c>
      <c r="E2396" s="192">
        <f t="shared" si="519"/>
        <v>42</v>
      </c>
      <c r="F2396" s="192">
        <f t="shared" si="520"/>
        <v>0</v>
      </c>
      <c r="G2396" s="193">
        <f t="shared" si="521"/>
        <v>42</v>
      </c>
      <c r="H2396" s="194">
        <v>0</v>
      </c>
      <c r="I2396" s="194">
        <v>0</v>
      </c>
      <c r="J2396" s="194">
        <v>0</v>
      </c>
      <c r="K2396" s="193">
        <f t="shared" si="522"/>
        <v>0</v>
      </c>
      <c r="L2396" s="194">
        <v>0</v>
      </c>
      <c r="M2396" s="194">
        <v>0</v>
      </c>
      <c r="N2396" s="194">
        <v>0</v>
      </c>
      <c r="O2396" s="193">
        <f t="shared" si="523"/>
        <v>0</v>
      </c>
      <c r="P2396" s="194">
        <v>0</v>
      </c>
      <c r="Q2396" s="194">
        <v>42</v>
      </c>
      <c r="R2396" s="194">
        <v>0</v>
      </c>
      <c r="S2396" s="193">
        <f t="shared" si="524"/>
        <v>42</v>
      </c>
      <c r="T2396" s="193">
        <f t="shared" si="525"/>
        <v>2.3333333333333335</v>
      </c>
      <c r="U2396" s="193">
        <f ca="1">OFFSET('Expenditure Study'!$B$7,'Operations Support'!$C2396,'Operations Support'!$B2396)*$G2396</f>
        <v>662.34</v>
      </c>
      <c r="V2396" s="199">
        <f ca="1">U2396*'Expenditure Study'!$B$31</f>
        <v>39133.153971072003</v>
      </c>
      <c r="W2396" s="199">
        <f ca="1">IF(A2396=10298,1.51,1)*IF($B2396&lt;3,$D2396*'Expenditure Study'!$B$32*OFFSET('Expenditure Study'!$B$7,'Operations Support'!$C2396,'Operations Support'!$B2396),0)</f>
        <v>0</v>
      </c>
      <c r="X2396" s="200">
        <f ca="1">W2396*'Expenditure Study'!$B$31</f>
        <v>0</v>
      </c>
      <c r="Y2396" s="199">
        <f ca="1">U2396*'Expenditure Study'!$B$31</f>
        <v>39133.153971072003</v>
      </c>
      <c r="Z2396" s="200">
        <f ca="1">W2396*'Expenditure Study'!$B$31</f>
        <v>0</v>
      </c>
      <c r="AA2396" s="195">
        <f t="shared" ca="1" si="526"/>
        <v>39133.153971072003</v>
      </c>
      <c r="AB2396" s="195">
        <f t="shared" ca="1" si="527"/>
        <v>39133.153971072003</v>
      </c>
      <c r="AD2396" s="196">
        <f>IFERROR($G2396/SUMIF($A:$A,$A2396,$G:$G)*SUMIF(Summary!$A$166:$A$242,$A2396,Summary!$P$166:$P$242),0)</f>
        <v>1169.082907678019</v>
      </c>
      <c r="AE2396" s="197">
        <f t="shared" ca="1" si="528"/>
        <v>37964.071063393982</v>
      </c>
      <c r="AF2396" s="196">
        <f>IFERROR(G2396/SUMIF(A:A,A2396,G:G)*SUMIF(Summary!$A$166:$A$242,'Operations Support'!A2396,Summary!$Q$166:$Q$242),0)</f>
        <v>1172.3651887345313</v>
      </c>
      <c r="AG2396" s="196">
        <f t="shared" ca="1" si="529"/>
        <v>37960.788782337469</v>
      </c>
      <c r="AI2396" s="196">
        <f>IFERROR($G2396/SUMIF($A:$A,$A2396,$G:$G)*SUMIF(Summary!$A$247:$A$283,$A2396,Summary!$P$247:$P$283),0)</f>
        <v>213.21154822171283</v>
      </c>
      <c r="AJ2396" s="196">
        <f>IFERROR($G2396/SUMIF($A:$A,$A2396,$G:$G)*(SUMIF(Summary!$A$247:$A$283,$A2396,Summary!$L$247:$L$283)+SUMIF(Summary!$A$297:$A$333,$A2396,Summary!$L$297:$L$333))-AI2396,0)</f>
        <v>738.87949099464356</v>
      </c>
      <c r="AK2396" s="196">
        <f>IFERROR($G2396/SUMIF($A:$A,$A2396,$G:$G)*SUMIF(Summary!$A$247:$A$283,$A2396,Summary!$Q$247:$Q$283),0)</f>
        <v>213.81015437800997</v>
      </c>
      <c r="AL2396" s="196">
        <f>IFERROR($G2396/SUMIF($A:$A,$A2396,$G:$G)*(SUMIF(Summary!$A$247:$A$283,$A2396,Summary!$L$247:$L$283)+SUMIF(Summary!$A$297:$A$333,$A2396,Summary!$L$297:$L$333))-AK2396,0)</f>
        <v>738.28088483834642</v>
      </c>
      <c r="AM2396" s="198"/>
      <c r="AN2396" s="196">
        <f t="shared" ca="1" si="530"/>
        <v>38702.950554388626</v>
      </c>
      <c r="AO2396" s="196">
        <f t="shared" ca="1" si="531"/>
        <v>38699.069667175812</v>
      </c>
    </row>
    <row r="2397" spans="1:41">
      <c r="A2397" s="189">
        <v>3665</v>
      </c>
      <c r="B2397" s="190">
        <v>4</v>
      </c>
      <c r="C2397" s="191" t="s">
        <v>239</v>
      </c>
      <c r="D2397" s="192">
        <f t="shared" si="518"/>
        <v>0</v>
      </c>
      <c r="E2397" s="192">
        <f t="shared" si="519"/>
        <v>0</v>
      </c>
      <c r="F2397" s="192">
        <f t="shared" si="520"/>
        <v>0</v>
      </c>
      <c r="G2397" s="193">
        <f t="shared" si="521"/>
        <v>0</v>
      </c>
      <c r="H2397" s="194">
        <v>0</v>
      </c>
      <c r="I2397" s="194">
        <v>0</v>
      </c>
      <c r="J2397" s="194">
        <v>0</v>
      </c>
      <c r="K2397" s="193">
        <f t="shared" si="522"/>
        <v>0</v>
      </c>
      <c r="L2397" s="194">
        <v>0</v>
      </c>
      <c r="M2397" s="194">
        <v>0</v>
      </c>
      <c r="N2397" s="194">
        <v>0</v>
      </c>
      <c r="O2397" s="193">
        <f t="shared" si="523"/>
        <v>0</v>
      </c>
      <c r="P2397" s="194">
        <v>0</v>
      </c>
      <c r="Q2397" s="194">
        <v>0</v>
      </c>
      <c r="R2397" s="194">
        <v>0</v>
      </c>
      <c r="S2397" s="193">
        <f t="shared" si="524"/>
        <v>0</v>
      </c>
      <c r="T2397" s="193">
        <f t="shared" si="525"/>
        <v>0</v>
      </c>
      <c r="U2397" s="193">
        <f ca="1">OFFSET('Expenditure Study'!$B$7,'Operations Support'!$C2397,'Operations Support'!$B2397)*$G2397</f>
        <v>0</v>
      </c>
      <c r="V2397" s="199">
        <f ca="1">U2397*'Expenditure Study'!$B$31</f>
        <v>0</v>
      </c>
      <c r="W2397" s="199">
        <f ca="1">IF(A2397=10298,1.51,1)*IF($B2397&lt;3,$D2397*'Expenditure Study'!$B$32*OFFSET('Expenditure Study'!$B$7,'Operations Support'!$C2397,'Operations Support'!$B2397),0)</f>
        <v>0</v>
      </c>
      <c r="X2397" s="200">
        <f ca="1">W2397*'Expenditure Study'!$B$31</f>
        <v>0</v>
      </c>
      <c r="Y2397" s="199">
        <f ca="1">U2397*'Expenditure Study'!$B$31</f>
        <v>0</v>
      </c>
      <c r="Z2397" s="200">
        <f ca="1">W2397*'Expenditure Study'!$B$31</f>
        <v>0</v>
      </c>
      <c r="AA2397" s="195">
        <f t="shared" ca="1" si="526"/>
        <v>0</v>
      </c>
      <c r="AB2397" s="195">
        <f t="shared" ca="1" si="527"/>
        <v>0</v>
      </c>
      <c r="AD2397" s="196">
        <f>IFERROR($G2397/SUMIF($A:$A,$A2397,$G:$G)*SUMIF(Summary!$A$166:$A$242,$A2397,Summary!$P$166:$P$242),0)</f>
        <v>0</v>
      </c>
      <c r="AE2397" s="197">
        <f t="shared" ca="1" si="528"/>
        <v>0</v>
      </c>
      <c r="AF2397" s="196">
        <f>IFERROR(G2397/SUMIF(A:A,A2397,G:G)*SUMIF(Summary!$A$166:$A$242,'Operations Support'!A2397,Summary!$Q$166:$Q$242),0)</f>
        <v>0</v>
      </c>
      <c r="AG2397" s="196">
        <f t="shared" ca="1" si="529"/>
        <v>0</v>
      </c>
      <c r="AI2397" s="196">
        <f>IFERROR($G2397/SUMIF($A:$A,$A2397,$G:$G)*SUMIF(Summary!$A$247:$A$283,$A2397,Summary!$P$247:$P$283),0)</f>
        <v>0</v>
      </c>
      <c r="AJ2397" s="196">
        <f>IFERROR($G2397/SUMIF($A:$A,$A2397,$G:$G)*(SUMIF(Summary!$A$247:$A$283,$A2397,Summary!$L$247:$L$283)+SUMIF(Summary!$A$297:$A$333,$A2397,Summary!$L$297:$L$333))-AI2397,0)</f>
        <v>0</v>
      </c>
      <c r="AK2397" s="196">
        <f>IFERROR($G2397/SUMIF($A:$A,$A2397,$G:$G)*SUMIF(Summary!$A$247:$A$283,$A2397,Summary!$Q$247:$Q$283),0)</f>
        <v>0</v>
      </c>
      <c r="AL2397" s="196">
        <f>IFERROR($G2397/SUMIF($A:$A,$A2397,$G:$G)*(SUMIF(Summary!$A$247:$A$283,$A2397,Summary!$L$247:$L$283)+SUMIF(Summary!$A$297:$A$333,$A2397,Summary!$L$297:$L$333))-AK2397,0)</f>
        <v>0</v>
      </c>
      <c r="AM2397" s="198"/>
      <c r="AN2397" s="196">
        <f t="shared" ca="1" si="530"/>
        <v>0</v>
      </c>
      <c r="AO2397" s="196">
        <f t="shared" ca="1" si="531"/>
        <v>0</v>
      </c>
    </row>
    <row r="2398" spans="1:41">
      <c r="A2398" s="189">
        <v>3665</v>
      </c>
      <c r="B2398" s="190">
        <v>4</v>
      </c>
      <c r="C2398" s="191" t="s">
        <v>240</v>
      </c>
      <c r="D2398" s="192">
        <f t="shared" si="518"/>
        <v>0</v>
      </c>
      <c r="E2398" s="192">
        <f t="shared" si="519"/>
        <v>0</v>
      </c>
      <c r="F2398" s="192">
        <f t="shared" si="520"/>
        <v>0</v>
      </c>
      <c r="G2398" s="193">
        <f t="shared" si="521"/>
        <v>0</v>
      </c>
      <c r="H2398" s="194">
        <v>0</v>
      </c>
      <c r="I2398" s="194">
        <v>0</v>
      </c>
      <c r="J2398" s="194">
        <v>0</v>
      </c>
      <c r="K2398" s="193">
        <f t="shared" si="522"/>
        <v>0</v>
      </c>
      <c r="L2398" s="194">
        <v>0</v>
      </c>
      <c r="M2398" s="194">
        <v>0</v>
      </c>
      <c r="N2398" s="194">
        <v>0</v>
      </c>
      <c r="O2398" s="193">
        <f t="shared" si="523"/>
        <v>0</v>
      </c>
      <c r="P2398" s="194">
        <v>0</v>
      </c>
      <c r="Q2398" s="194">
        <v>0</v>
      </c>
      <c r="R2398" s="194">
        <v>0</v>
      </c>
      <c r="S2398" s="193">
        <f t="shared" si="524"/>
        <v>0</v>
      </c>
      <c r="T2398" s="193">
        <f t="shared" si="525"/>
        <v>0</v>
      </c>
      <c r="U2398" s="193">
        <f ca="1">OFFSET('Expenditure Study'!$B$7,'Operations Support'!$C2398,'Operations Support'!$B2398)*$G2398</f>
        <v>0</v>
      </c>
      <c r="V2398" s="199">
        <f ca="1">U2398*'Expenditure Study'!$B$31</f>
        <v>0</v>
      </c>
      <c r="W2398" s="199">
        <f ca="1">IF(A2398=10298,1.51,1)*IF($B2398&lt;3,$D2398*'Expenditure Study'!$B$32*OFFSET('Expenditure Study'!$B$7,'Operations Support'!$C2398,'Operations Support'!$B2398),0)</f>
        <v>0</v>
      </c>
      <c r="X2398" s="200">
        <f ca="1">W2398*'Expenditure Study'!$B$31</f>
        <v>0</v>
      </c>
      <c r="Y2398" s="199">
        <f ca="1">U2398*'Expenditure Study'!$B$31</f>
        <v>0</v>
      </c>
      <c r="Z2398" s="200">
        <f ca="1">W2398*'Expenditure Study'!$B$31</f>
        <v>0</v>
      </c>
      <c r="AA2398" s="195">
        <f t="shared" ca="1" si="526"/>
        <v>0</v>
      </c>
      <c r="AB2398" s="195">
        <f t="shared" ca="1" si="527"/>
        <v>0</v>
      </c>
      <c r="AD2398" s="196">
        <f>IFERROR($G2398/SUMIF($A:$A,$A2398,$G:$G)*SUMIF(Summary!$A$166:$A$242,$A2398,Summary!$P$166:$P$242),0)</f>
        <v>0</v>
      </c>
      <c r="AE2398" s="197">
        <f t="shared" ca="1" si="528"/>
        <v>0</v>
      </c>
      <c r="AF2398" s="196">
        <f>IFERROR(G2398/SUMIF(A:A,A2398,G:G)*SUMIF(Summary!$A$166:$A$242,'Operations Support'!A2398,Summary!$Q$166:$Q$242),0)</f>
        <v>0</v>
      </c>
      <c r="AG2398" s="196">
        <f t="shared" ca="1" si="529"/>
        <v>0</v>
      </c>
      <c r="AI2398" s="196">
        <f>IFERROR($G2398/SUMIF($A:$A,$A2398,$G:$G)*SUMIF(Summary!$A$247:$A$283,$A2398,Summary!$P$247:$P$283),0)</f>
        <v>0</v>
      </c>
      <c r="AJ2398" s="196">
        <f>IFERROR($G2398/SUMIF($A:$A,$A2398,$G:$G)*(SUMIF(Summary!$A$247:$A$283,$A2398,Summary!$L$247:$L$283)+SUMIF(Summary!$A$297:$A$333,$A2398,Summary!$L$297:$L$333))-AI2398,0)</f>
        <v>0</v>
      </c>
      <c r="AK2398" s="196">
        <f>IFERROR($G2398/SUMIF($A:$A,$A2398,$G:$G)*SUMIF(Summary!$A$247:$A$283,$A2398,Summary!$Q$247:$Q$283),0)</f>
        <v>0</v>
      </c>
      <c r="AL2398" s="196">
        <f>IFERROR($G2398/SUMIF($A:$A,$A2398,$G:$G)*(SUMIF(Summary!$A$247:$A$283,$A2398,Summary!$L$247:$L$283)+SUMIF(Summary!$A$297:$A$333,$A2398,Summary!$L$297:$L$333))-AK2398,0)</f>
        <v>0</v>
      </c>
      <c r="AM2398" s="198"/>
      <c r="AN2398" s="196">
        <f t="shared" ca="1" si="530"/>
        <v>0</v>
      </c>
      <c r="AO2398" s="196">
        <f t="shared" ca="1" si="531"/>
        <v>0</v>
      </c>
    </row>
    <row r="2399" spans="1:41">
      <c r="A2399" s="189">
        <v>3665</v>
      </c>
      <c r="B2399" s="190">
        <v>5</v>
      </c>
      <c r="C2399" s="191" t="s">
        <v>220</v>
      </c>
      <c r="D2399" s="192">
        <f t="shared" si="518"/>
        <v>0</v>
      </c>
      <c r="E2399" s="192">
        <f t="shared" si="519"/>
        <v>0</v>
      </c>
      <c r="F2399" s="192">
        <f t="shared" si="520"/>
        <v>0</v>
      </c>
      <c r="G2399" s="193">
        <f t="shared" si="521"/>
        <v>0</v>
      </c>
      <c r="H2399" s="194">
        <v>0</v>
      </c>
      <c r="I2399" s="194">
        <v>0</v>
      </c>
      <c r="J2399" s="194">
        <v>0</v>
      </c>
      <c r="K2399" s="193">
        <f t="shared" si="522"/>
        <v>0</v>
      </c>
      <c r="L2399" s="194">
        <v>0</v>
      </c>
      <c r="M2399" s="194">
        <v>0</v>
      </c>
      <c r="N2399" s="194">
        <v>0</v>
      </c>
      <c r="O2399" s="193">
        <f t="shared" si="523"/>
        <v>0</v>
      </c>
      <c r="P2399" s="194">
        <v>0</v>
      </c>
      <c r="Q2399" s="194">
        <v>0</v>
      </c>
      <c r="R2399" s="194">
        <v>0</v>
      </c>
      <c r="S2399" s="193">
        <f t="shared" si="524"/>
        <v>0</v>
      </c>
      <c r="T2399" s="193">
        <f t="shared" si="525"/>
        <v>0</v>
      </c>
      <c r="U2399" s="193">
        <f ca="1">OFFSET('Expenditure Study'!$B$7,'Operations Support'!$C2399,'Operations Support'!$B2399)*$G2399</f>
        <v>0</v>
      </c>
      <c r="V2399" s="199">
        <f ca="1">U2399*'Expenditure Study'!$B$31</f>
        <v>0</v>
      </c>
      <c r="W2399" s="199">
        <f ca="1">IF(A2399=10298,1.51,1)*IF($B2399&lt;3,$D2399*'Expenditure Study'!$B$32*OFFSET('Expenditure Study'!$B$7,'Operations Support'!$C2399,'Operations Support'!$B2399),0)</f>
        <v>0</v>
      </c>
      <c r="X2399" s="200">
        <f ca="1">W2399*'Expenditure Study'!$B$31</f>
        <v>0</v>
      </c>
      <c r="Y2399" s="199">
        <f ca="1">U2399*'Expenditure Study'!$B$31</f>
        <v>0</v>
      </c>
      <c r="Z2399" s="200">
        <f ca="1">W2399*'Expenditure Study'!$B$31</f>
        <v>0</v>
      </c>
      <c r="AA2399" s="195">
        <f t="shared" ca="1" si="526"/>
        <v>0</v>
      </c>
      <c r="AB2399" s="195">
        <f t="shared" ca="1" si="527"/>
        <v>0</v>
      </c>
      <c r="AD2399" s="196">
        <f>IFERROR($G2399/SUMIF($A:$A,$A2399,$G:$G)*SUMIF(Summary!$A$166:$A$242,$A2399,Summary!$P$166:$P$242),0)</f>
        <v>0</v>
      </c>
      <c r="AE2399" s="197">
        <f t="shared" ca="1" si="528"/>
        <v>0</v>
      </c>
      <c r="AF2399" s="196">
        <f>IFERROR(G2399/SUMIF(A:A,A2399,G:G)*SUMIF(Summary!$A$166:$A$242,'Operations Support'!A2399,Summary!$Q$166:$Q$242),0)</f>
        <v>0</v>
      </c>
      <c r="AG2399" s="196">
        <f t="shared" ca="1" si="529"/>
        <v>0</v>
      </c>
      <c r="AI2399" s="196">
        <f>IFERROR($G2399/SUMIF($A:$A,$A2399,$G:$G)*SUMIF(Summary!$A$247:$A$283,$A2399,Summary!$P$247:$P$283),0)</f>
        <v>0</v>
      </c>
      <c r="AJ2399" s="196">
        <f>IFERROR($G2399/SUMIF($A:$A,$A2399,$G:$G)*(SUMIF(Summary!$A$247:$A$283,$A2399,Summary!$L$247:$L$283)+SUMIF(Summary!$A$297:$A$333,$A2399,Summary!$L$297:$L$333))-AI2399,0)</f>
        <v>0</v>
      </c>
      <c r="AK2399" s="196">
        <f>IFERROR($G2399/SUMIF($A:$A,$A2399,$G:$G)*SUMIF(Summary!$A$247:$A$283,$A2399,Summary!$Q$247:$Q$283),0)</f>
        <v>0</v>
      </c>
      <c r="AL2399" s="196">
        <f>IFERROR($G2399/SUMIF($A:$A,$A2399,$G:$G)*(SUMIF(Summary!$A$247:$A$283,$A2399,Summary!$L$247:$L$283)+SUMIF(Summary!$A$297:$A$333,$A2399,Summary!$L$297:$L$333))-AK2399,0)</f>
        <v>0</v>
      </c>
      <c r="AM2399" s="198"/>
      <c r="AN2399" s="196">
        <f t="shared" ca="1" si="530"/>
        <v>0</v>
      </c>
      <c r="AO2399" s="196">
        <f t="shared" ca="1" si="531"/>
        <v>0</v>
      </c>
    </row>
    <row r="2400" spans="1:41">
      <c r="A2400" s="189">
        <v>3665</v>
      </c>
      <c r="B2400" s="190">
        <v>5</v>
      </c>
      <c r="C2400" s="191" t="s">
        <v>221</v>
      </c>
      <c r="D2400" s="192">
        <f t="shared" si="518"/>
        <v>0</v>
      </c>
      <c r="E2400" s="192">
        <f t="shared" si="519"/>
        <v>0</v>
      </c>
      <c r="F2400" s="192">
        <f t="shared" si="520"/>
        <v>0</v>
      </c>
      <c r="G2400" s="193">
        <f t="shared" si="521"/>
        <v>0</v>
      </c>
      <c r="H2400" s="194">
        <v>0</v>
      </c>
      <c r="I2400" s="194">
        <v>0</v>
      </c>
      <c r="J2400" s="194">
        <v>0</v>
      </c>
      <c r="K2400" s="193">
        <f t="shared" si="522"/>
        <v>0</v>
      </c>
      <c r="L2400" s="194">
        <v>0</v>
      </c>
      <c r="M2400" s="194">
        <v>0</v>
      </c>
      <c r="N2400" s="194">
        <v>0</v>
      </c>
      <c r="O2400" s="193">
        <f t="shared" si="523"/>
        <v>0</v>
      </c>
      <c r="P2400" s="194">
        <v>0</v>
      </c>
      <c r="Q2400" s="194">
        <v>0</v>
      </c>
      <c r="R2400" s="194">
        <v>0</v>
      </c>
      <c r="S2400" s="193">
        <f t="shared" si="524"/>
        <v>0</v>
      </c>
      <c r="T2400" s="193">
        <f t="shared" si="525"/>
        <v>0</v>
      </c>
      <c r="U2400" s="193">
        <f ca="1">OFFSET('Expenditure Study'!$B$7,'Operations Support'!$C2400,'Operations Support'!$B2400)*$G2400</f>
        <v>0</v>
      </c>
      <c r="V2400" s="199">
        <f ca="1">U2400*'Expenditure Study'!$B$31</f>
        <v>0</v>
      </c>
      <c r="W2400" s="199">
        <f ca="1">IF(A2400=10298,1.51,1)*IF($B2400&lt;3,$D2400*'Expenditure Study'!$B$32*OFFSET('Expenditure Study'!$B$7,'Operations Support'!$C2400,'Operations Support'!$B2400),0)</f>
        <v>0</v>
      </c>
      <c r="X2400" s="200">
        <f ca="1">W2400*'Expenditure Study'!$B$31</f>
        <v>0</v>
      </c>
      <c r="Y2400" s="199">
        <f ca="1">U2400*'Expenditure Study'!$B$31</f>
        <v>0</v>
      </c>
      <c r="Z2400" s="200">
        <f ca="1">W2400*'Expenditure Study'!$B$31</f>
        <v>0</v>
      </c>
      <c r="AA2400" s="195">
        <f t="shared" ca="1" si="526"/>
        <v>0</v>
      </c>
      <c r="AB2400" s="195">
        <f t="shared" ca="1" si="527"/>
        <v>0</v>
      </c>
      <c r="AD2400" s="196">
        <f>IFERROR($G2400/SUMIF($A:$A,$A2400,$G:$G)*SUMIF(Summary!$A$166:$A$242,$A2400,Summary!$P$166:$P$242),0)</f>
        <v>0</v>
      </c>
      <c r="AE2400" s="197">
        <f t="shared" ca="1" si="528"/>
        <v>0</v>
      </c>
      <c r="AF2400" s="196">
        <f>IFERROR(G2400/SUMIF(A:A,A2400,G:G)*SUMIF(Summary!$A$166:$A$242,'Operations Support'!A2400,Summary!$Q$166:$Q$242),0)</f>
        <v>0</v>
      </c>
      <c r="AG2400" s="196">
        <f t="shared" ca="1" si="529"/>
        <v>0</v>
      </c>
      <c r="AI2400" s="196">
        <f>IFERROR($G2400/SUMIF($A:$A,$A2400,$G:$G)*SUMIF(Summary!$A$247:$A$283,$A2400,Summary!$P$247:$P$283),0)</f>
        <v>0</v>
      </c>
      <c r="AJ2400" s="196">
        <f>IFERROR($G2400/SUMIF($A:$A,$A2400,$G:$G)*(SUMIF(Summary!$A$247:$A$283,$A2400,Summary!$L$247:$L$283)+SUMIF(Summary!$A$297:$A$333,$A2400,Summary!$L$297:$L$333))-AI2400,0)</f>
        <v>0</v>
      </c>
      <c r="AK2400" s="196">
        <f>IFERROR($G2400/SUMIF($A:$A,$A2400,$G:$G)*SUMIF(Summary!$A$247:$A$283,$A2400,Summary!$Q$247:$Q$283),0)</f>
        <v>0</v>
      </c>
      <c r="AL2400" s="196">
        <f>IFERROR($G2400/SUMIF($A:$A,$A2400,$G:$G)*(SUMIF(Summary!$A$247:$A$283,$A2400,Summary!$L$247:$L$283)+SUMIF(Summary!$A$297:$A$333,$A2400,Summary!$L$297:$L$333))-AK2400,0)</f>
        <v>0</v>
      </c>
      <c r="AM2400" s="198"/>
      <c r="AN2400" s="196">
        <f t="shared" ca="1" si="530"/>
        <v>0</v>
      </c>
      <c r="AO2400" s="196">
        <f t="shared" ca="1" si="531"/>
        <v>0</v>
      </c>
    </row>
    <row r="2401" spans="1:41" s="201" customFormat="1">
      <c r="A2401" s="189">
        <v>3665</v>
      </c>
      <c r="B2401" s="190">
        <v>5</v>
      </c>
      <c r="C2401" s="191" t="s">
        <v>222</v>
      </c>
      <c r="D2401" s="192">
        <f t="shared" si="518"/>
        <v>0</v>
      </c>
      <c r="E2401" s="192">
        <f t="shared" si="519"/>
        <v>0</v>
      </c>
      <c r="F2401" s="192">
        <f t="shared" si="520"/>
        <v>0</v>
      </c>
      <c r="G2401" s="193">
        <f t="shared" si="521"/>
        <v>0</v>
      </c>
      <c r="H2401" s="194">
        <v>0</v>
      </c>
      <c r="I2401" s="194">
        <v>0</v>
      </c>
      <c r="J2401" s="194">
        <v>0</v>
      </c>
      <c r="K2401" s="193">
        <f t="shared" si="522"/>
        <v>0</v>
      </c>
      <c r="L2401" s="194">
        <v>0</v>
      </c>
      <c r="M2401" s="194">
        <v>0</v>
      </c>
      <c r="N2401" s="194">
        <v>0</v>
      </c>
      <c r="O2401" s="193">
        <f t="shared" si="523"/>
        <v>0</v>
      </c>
      <c r="P2401" s="194">
        <v>0</v>
      </c>
      <c r="Q2401" s="194">
        <v>0</v>
      </c>
      <c r="R2401" s="194">
        <v>0</v>
      </c>
      <c r="S2401" s="193">
        <f t="shared" si="524"/>
        <v>0</v>
      </c>
      <c r="T2401" s="193">
        <f t="shared" si="525"/>
        <v>0</v>
      </c>
      <c r="U2401" s="193">
        <f ca="1">OFFSET('Expenditure Study'!$B$7,'Operations Support'!$C2401,'Operations Support'!$B2401)*$G2401</f>
        <v>0</v>
      </c>
      <c r="V2401" s="199">
        <f ca="1">U2401*'Expenditure Study'!$B$31</f>
        <v>0</v>
      </c>
      <c r="W2401" s="199">
        <f ca="1">IF(A2401=10298,1.51,1)*IF($B2401&lt;3,$D2401*'Expenditure Study'!$B$32*OFFSET('Expenditure Study'!$B$7,'Operations Support'!$C2401,'Operations Support'!$B2401),0)</f>
        <v>0</v>
      </c>
      <c r="X2401" s="200">
        <f ca="1">W2401*'Expenditure Study'!$B$31</f>
        <v>0</v>
      </c>
      <c r="Y2401" s="199">
        <f ca="1">U2401*'Expenditure Study'!$B$31</f>
        <v>0</v>
      </c>
      <c r="Z2401" s="200">
        <f ca="1">W2401*'Expenditure Study'!$B$31</f>
        <v>0</v>
      </c>
      <c r="AA2401" s="195">
        <f t="shared" ca="1" si="526"/>
        <v>0</v>
      </c>
      <c r="AB2401" s="195">
        <f t="shared" ca="1" si="527"/>
        <v>0</v>
      </c>
      <c r="AD2401" s="196">
        <f>IFERROR($G2401/SUMIF($A:$A,$A2401,$G:$G)*SUMIF(Summary!$A$166:$A$242,$A2401,Summary!$P$166:$P$242),0)</f>
        <v>0</v>
      </c>
      <c r="AE2401" s="197">
        <f t="shared" ca="1" si="528"/>
        <v>0</v>
      </c>
      <c r="AF2401" s="196">
        <f>IFERROR(G2401/SUMIF(A:A,A2401,G:G)*SUMIF(Summary!$A$166:$A$242,'Operations Support'!A2401,Summary!$Q$166:$Q$242),0)</f>
        <v>0</v>
      </c>
      <c r="AG2401" s="196">
        <f t="shared" ca="1" si="529"/>
        <v>0</v>
      </c>
      <c r="AH2401" s="180"/>
      <c r="AI2401" s="196">
        <f>IFERROR($G2401/SUMIF($A:$A,$A2401,$G:$G)*SUMIF(Summary!$A$247:$A$283,$A2401,Summary!$P$247:$P$283),0)</f>
        <v>0</v>
      </c>
      <c r="AJ2401" s="196">
        <f>IFERROR($G2401/SUMIF($A:$A,$A2401,$G:$G)*(SUMIF(Summary!$A$247:$A$283,$A2401,Summary!$L$247:$L$283)+SUMIF(Summary!$A$297:$A$333,$A2401,Summary!$L$297:$L$333))-AI2401,0)</f>
        <v>0</v>
      </c>
      <c r="AK2401" s="196">
        <f>IFERROR($G2401/SUMIF($A:$A,$A2401,$G:$G)*SUMIF(Summary!$A$247:$A$283,$A2401,Summary!$Q$247:$Q$283),0)</f>
        <v>0</v>
      </c>
      <c r="AL2401" s="196">
        <f>IFERROR($G2401/SUMIF($A:$A,$A2401,$G:$G)*(SUMIF(Summary!$A$247:$A$283,$A2401,Summary!$L$247:$L$283)+SUMIF(Summary!$A$297:$A$333,$A2401,Summary!$L$297:$L$333))-AK2401,0)</f>
        <v>0</v>
      </c>
      <c r="AM2401" s="198"/>
      <c r="AN2401" s="196">
        <f t="shared" ca="1" si="530"/>
        <v>0</v>
      </c>
      <c r="AO2401" s="196">
        <f t="shared" ca="1" si="531"/>
        <v>0</v>
      </c>
    </row>
    <row r="2402" spans="1:41">
      <c r="A2402" s="189">
        <v>3665</v>
      </c>
      <c r="B2402" s="190">
        <v>5</v>
      </c>
      <c r="C2402" s="191" t="s">
        <v>223</v>
      </c>
      <c r="D2402" s="192">
        <f t="shared" si="518"/>
        <v>0</v>
      </c>
      <c r="E2402" s="192">
        <f t="shared" si="519"/>
        <v>0</v>
      </c>
      <c r="F2402" s="192">
        <f t="shared" si="520"/>
        <v>0</v>
      </c>
      <c r="G2402" s="193">
        <f t="shared" si="521"/>
        <v>0</v>
      </c>
      <c r="H2402" s="194">
        <v>0</v>
      </c>
      <c r="I2402" s="194">
        <v>0</v>
      </c>
      <c r="J2402" s="194">
        <v>0</v>
      </c>
      <c r="K2402" s="193">
        <f t="shared" si="522"/>
        <v>0</v>
      </c>
      <c r="L2402" s="194">
        <v>0</v>
      </c>
      <c r="M2402" s="194">
        <v>0</v>
      </c>
      <c r="N2402" s="194">
        <v>0</v>
      </c>
      <c r="O2402" s="193">
        <f t="shared" si="523"/>
        <v>0</v>
      </c>
      <c r="P2402" s="194">
        <v>0</v>
      </c>
      <c r="Q2402" s="194">
        <v>0</v>
      </c>
      <c r="R2402" s="194">
        <v>0</v>
      </c>
      <c r="S2402" s="193">
        <f t="shared" si="524"/>
        <v>0</v>
      </c>
      <c r="T2402" s="193">
        <f t="shared" si="525"/>
        <v>0</v>
      </c>
      <c r="U2402" s="193">
        <f ca="1">OFFSET('Expenditure Study'!$B$7,'Operations Support'!$C2402,'Operations Support'!$B2402)*$G2402</f>
        <v>0</v>
      </c>
      <c r="V2402" s="199">
        <f ca="1">U2402*'Expenditure Study'!$B$31</f>
        <v>0</v>
      </c>
      <c r="W2402" s="199">
        <f ca="1">IF(A2402=10298,1.51,1)*IF($B2402&lt;3,$D2402*'Expenditure Study'!$B$32*OFFSET('Expenditure Study'!$B$7,'Operations Support'!$C2402,'Operations Support'!$B2402),0)</f>
        <v>0</v>
      </c>
      <c r="X2402" s="200">
        <f ca="1">W2402*'Expenditure Study'!$B$31</f>
        <v>0</v>
      </c>
      <c r="Y2402" s="199">
        <f ca="1">U2402*'Expenditure Study'!$B$31</f>
        <v>0</v>
      </c>
      <c r="Z2402" s="200">
        <f ca="1">W2402*'Expenditure Study'!$B$31</f>
        <v>0</v>
      </c>
      <c r="AA2402" s="195">
        <f t="shared" ca="1" si="526"/>
        <v>0</v>
      </c>
      <c r="AB2402" s="195">
        <f t="shared" ca="1" si="527"/>
        <v>0</v>
      </c>
      <c r="AD2402" s="196">
        <f>IFERROR($G2402/SUMIF($A:$A,$A2402,$G:$G)*SUMIF(Summary!$A$166:$A$242,$A2402,Summary!$P$166:$P$242),0)</f>
        <v>0</v>
      </c>
      <c r="AE2402" s="197">
        <f t="shared" ca="1" si="528"/>
        <v>0</v>
      </c>
      <c r="AF2402" s="196">
        <f>IFERROR(G2402/SUMIF(A:A,A2402,G:G)*SUMIF(Summary!$A$166:$A$242,'Operations Support'!A2402,Summary!$Q$166:$Q$242),0)</f>
        <v>0</v>
      </c>
      <c r="AG2402" s="196">
        <f t="shared" ca="1" si="529"/>
        <v>0</v>
      </c>
      <c r="AI2402" s="196">
        <f>IFERROR($G2402/SUMIF($A:$A,$A2402,$G:$G)*SUMIF(Summary!$A$247:$A$283,$A2402,Summary!$P$247:$P$283),0)</f>
        <v>0</v>
      </c>
      <c r="AJ2402" s="196">
        <f>IFERROR($G2402/SUMIF($A:$A,$A2402,$G:$G)*(SUMIF(Summary!$A$247:$A$283,$A2402,Summary!$L$247:$L$283)+SUMIF(Summary!$A$297:$A$333,$A2402,Summary!$L$297:$L$333))-AI2402,0)</f>
        <v>0</v>
      </c>
      <c r="AK2402" s="196">
        <f>IFERROR($G2402/SUMIF($A:$A,$A2402,$G:$G)*SUMIF(Summary!$A$247:$A$283,$A2402,Summary!$Q$247:$Q$283),0)</f>
        <v>0</v>
      </c>
      <c r="AL2402" s="196">
        <f>IFERROR($G2402/SUMIF($A:$A,$A2402,$G:$G)*(SUMIF(Summary!$A$247:$A$283,$A2402,Summary!$L$247:$L$283)+SUMIF(Summary!$A$297:$A$333,$A2402,Summary!$L$297:$L$333))-AK2402,0)</f>
        <v>0</v>
      </c>
      <c r="AM2402" s="198"/>
      <c r="AN2402" s="196">
        <f t="shared" ca="1" si="530"/>
        <v>0</v>
      </c>
      <c r="AO2402" s="196">
        <f t="shared" ca="1" si="531"/>
        <v>0</v>
      </c>
    </row>
    <row r="2403" spans="1:41">
      <c r="A2403" s="189">
        <v>3665</v>
      </c>
      <c r="B2403" s="190">
        <v>5</v>
      </c>
      <c r="C2403" s="191" t="s">
        <v>224</v>
      </c>
      <c r="D2403" s="192">
        <f t="shared" si="518"/>
        <v>0</v>
      </c>
      <c r="E2403" s="192">
        <f t="shared" si="519"/>
        <v>0</v>
      </c>
      <c r="F2403" s="192">
        <f t="shared" si="520"/>
        <v>0</v>
      </c>
      <c r="G2403" s="193">
        <f t="shared" si="521"/>
        <v>0</v>
      </c>
      <c r="H2403" s="194">
        <v>0</v>
      </c>
      <c r="I2403" s="194">
        <v>0</v>
      </c>
      <c r="J2403" s="194">
        <v>0</v>
      </c>
      <c r="K2403" s="193">
        <f t="shared" si="522"/>
        <v>0</v>
      </c>
      <c r="L2403" s="194">
        <v>0</v>
      </c>
      <c r="M2403" s="194">
        <v>0</v>
      </c>
      <c r="N2403" s="194">
        <v>0</v>
      </c>
      <c r="O2403" s="193">
        <f t="shared" si="523"/>
        <v>0</v>
      </c>
      <c r="P2403" s="194">
        <v>0</v>
      </c>
      <c r="Q2403" s="194">
        <v>0</v>
      </c>
      <c r="R2403" s="194">
        <v>0</v>
      </c>
      <c r="S2403" s="193">
        <f t="shared" si="524"/>
        <v>0</v>
      </c>
      <c r="T2403" s="193">
        <f t="shared" si="525"/>
        <v>0</v>
      </c>
      <c r="U2403" s="193">
        <f ca="1">OFFSET('Expenditure Study'!$B$7,'Operations Support'!$C2403,'Operations Support'!$B2403)*$G2403</f>
        <v>0</v>
      </c>
      <c r="V2403" s="199">
        <f ca="1">U2403*'Expenditure Study'!$B$31</f>
        <v>0</v>
      </c>
      <c r="W2403" s="199">
        <f ca="1">IF(A2403=10298,1.51,1)*IF($B2403&lt;3,$D2403*'Expenditure Study'!$B$32*OFFSET('Expenditure Study'!$B$7,'Operations Support'!$C2403,'Operations Support'!$B2403),0)</f>
        <v>0</v>
      </c>
      <c r="X2403" s="200">
        <f ca="1">W2403*'Expenditure Study'!$B$31</f>
        <v>0</v>
      </c>
      <c r="Y2403" s="199">
        <f ca="1">U2403*'Expenditure Study'!$B$31</f>
        <v>0</v>
      </c>
      <c r="Z2403" s="200">
        <f ca="1">W2403*'Expenditure Study'!$B$31</f>
        <v>0</v>
      </c>
      <c r="AA2403" s="195">
        <f t="shared" ca="1" si="526"/>
        <v>0</v>
      </c>
      <c r="AB2403" s="195">
        <f t="shared" ca="1" si="527"/>
        <v>0</v>
      </c>
      <c r="AD2403" s="196">
        <f>IFERROR($G2403/SUMIF($A:$A,$A2403,$G:$G)*SUMIF(Summary!$A$166:$A$242,$A2403,Summary!$P$166:$P$242),0)</f>
        <v>0</v>
      </c>
      <c r="AE2403" s="197">
        <f t="shared" ca="1" si="528"/>
        <v>0</v>
      </c>
      <c r="AF2403" s="196">
        <f>IFERROR(G2403/SUMIF(A:A,A2403,G:G)*SUMIF(Summary!$A$166:$A$242,'Operations Support'!A2403,Summary!$Q$166:$Q$242),0)</f>
        <v>0</v>
      </c>
      <c r="AG2403" s="196">
        <f t="shared" ca="1" si="529"/>
        <v>0</v>
      </c>
      <c r="AI2403" s="196">
        <f>IFERROR($G2403/SUMIF($A:$A,$A2403,$G:$G)*SUMIF(Summary!$A$247:$A$283,$A2403,Summary!$P$247:$P$283),0)</f>
        <v>0</v>
      </c>
      <c r="AJ2403" s="196">
        <f>IFERROR($G2403/SUMIF($A:$A,$A2403,$G:$G)*(SUMIF(Summary!$A$247:$A$283,$A2403,Summary!$L$247:$L$283)+SUMIF(Summary!$A$297:$A$333,$A2403,Summary!$L$297:$L$333))-AI2403,0)</f>
        <v>0</v>
      </c>
      <c r="AK2403" s="196">
        <f>IFERROR($G2403/SUMIF($A:$A,$A2403,$G:$G)*SUMIF(Summary!$A$247:$A$283,$A2403,Summary!$Q$247:$Q$283),0)</f>
        <v>0</v>
      </c>
      <c r="AL2403" s="196">
        <f>IFERROR($G2403/SUMIF($A:$A,$A2403,$G:$G)*(SUMIF(Summary!$A$247:$A$283,$A2403,Summary!$L$247:$L$283)+SUMIF(Summary!$A$297:$A$333,$A2403,Summary!$L$297:$L$333))-AK2403,0)</f>
        <v>0</v>
      </c>
      <c r="AM2403" s="198"/>
      <c r="AN2403" s="196">
        <f t="shared" ca="1" si="530"/>
        <v>0</v>
      </c>
      <c r="AO2403" s="196">
        <f t="shared" ca="1" si="531"/>
        <v>0</v>
      </c>
    </row>
    <row r="2404" spans="1:41">
      <c r="A2404" s="189">
        <v>3665</v>
      </c>
      <c r="B2404" s="190">
        <v>5</v>
      </c>
      <c r="C2404" s="191" t="s">
        <v>225</v>
      </c>
      <c r="D2404" s="192">
        <f t="shared" si="518"/>
        <v>0</v>
      </c>
      <c r="E2404" s="192">
        <f t="shared" si="519"/>
        <v>0</v>
      </c>
      <c r="F2404" s="192">
        <f t="shared" si="520"/>
        <v>0</v>
      </c>
      <c r="G2404" s="193">
        <f t="shared" si="521"/>
        <v>0</v>
      </c>
      <c r="H2404" s="194">
        <v>0</v>
      </c>
      <c r="I2404" s="194">
        <v>0</v>
      </c>
      <c r="J2404" s="194">
        <v>0</v>
      </c>
      <c r="K2404" s="193">
        <f t="shared" si="522"/>
        <v>0</v>
      </c>
      <c r="L2404" s="194">
        <v>0</v>
      </c>
      <c r="M2404" s="194">
        <v>0</v>
      </c>
      <c r="N2404" s="194">
        <v>0</v>
      </c>
      <c r="O2404" s="193">
        <f t="shared" si="523"/>
        <v>0</v>
      </c>
      <c r="P2404" s="194">
        <v>0</v>
      </c>
      <c r="Q2404" s="194">
        <v>0</v>
      </c>
      <c r="R2404" s="194">
        <v>0</v>
      </c>
      <c r="S2404" s="193">
        <f t="shared" si="524"/>
        <v>0</v>
      </c>
      <c r="T2404" s="193">
        <f t="shared" si="525"/>
        <v>0</v>
      </c>
      <c r="U2404" s="193">
        <f ca="1">OFFSET('Expenditure Study'!$B$7,'Operations Support'!$C2404,'Operations Support'!$B2404)*$G2404</f>
        <v>0</v>
      </c>
      <c r="V2404" s="199">
        <f ca="1">U2404*'Expenditure Study'!$B$31</f>
        <v>0</v>
      </c>
      <c r="W2404" s="199">
        <f ca="1">IF(A2404=10298,1.51,1)*IF($B2404&lt;3,$D2404*'Expenditure Study'!$B$32*OFFSET('Expenditure Study'!$B$7,'Operations Support'!$C2404,'Operations Support'!$B2404),0)</f>
        <v>0</v>
      </c>
      <c r="X2404" s="200">
        <f ca="1">W2404*'Expenditure Study'!$B$31</f>
        <v>0</v>
      </c>
      <c r="Y2404" s="199">
        <f ca="1">U2404*'Expenditure Study'!$B$31</f>
        <v>0</v>
      </c>
      <c r="Z2404" s="200">
        <f ca="1">W2404*'Expenditure Study'!$B$31</f>
        <v>0</v>
      </c>
      <c r="AA2404" s="195">
        <f t="shared" ca="1" si="526"/>
        <v>0</v>
      </c>
      <c r="AB2404" s="195">
        <f t="shared" ca="1" si="527"/>
        <v>0</v>
      </c>
      <c r="AD2404" s="196">
        <f>IFERROR($G2404/SUMIF($A:$A,$A2404,$G:$G)*SUMIF(Summary!$A$166:$A$242,$A2404,Summary!$P$166:$P$242),0)</f>
        <v>0</v>
      </c>
      <c r="AE2404" s="197">
        <f t="shared" ca="1" si="528"/>
        <v>0</v>
      </c>
      <c r="AF2404" s="196">
        <f>IFERROR(G2404/SUMIF(A:A,A2404,G:G)*SUMIF(Summary!$A$166:$A$242,'Operations Support'!A2404,Summary!$Q$166:$Q$242),0)</f>
        <v>0</v>
      </c>
      <c r="AG2404" s="196">
        <f t="shared" ca="1" si="529"/>
        <v>0</v>
      </c>
      <c r="AI2404" s="196">
        <f>IFERROR($G2404/SUMIF($A:$A,$A2404,$G:$G)*SUMIF(Summary!$A$247:$A$283,$A2404,Summary!$P$247:$P$283),0)</f>
        <v>0</v>
      </c>
      <c r="AJ2404" s="196">
        <f>IFERROR($G2404/SUMIF($A:$A,$A2404,$G:$G)*(SUMIF(Summary!$A$247:$A$283,$A2404,Summary!$L$247:$L$283)+SUMIF(Summary!$A$297:$A$333,$A2404,Summary!$L$297:$L$333))-AI2404,0)</f>
        <v>0</v>
      </c>
      <c r="AK2404" s="196">
        <f>IFERROR($G2404/SUMIF($A:$A,$A2404,$G:$G)*SUMIF(Summary!$A$247:$A$283,$A2404,Summary!$Q$247:$Q$283),0)</f>
        <v>0</v>
      </c>
      <c r="AL2404" s="196">
        <f>IFERROR($G2404/SUMIF($A:$A,$A2404,$G:$G)*(SUMIF(Summary!$A$247:$A$283,$A2404,Summary!$L$247:$L$283)+SUMIF(Summary!$A$297:$A$333,$A2404,Summary!$L$297:$L$333))-AK2404,0)</f>
        <v>0</v>
      </c>
      <c r="AM2404" s="198"/>
      <c r="AN2404" s="196">
        <f t="shared" ca="1" si="530"/>
        <v>0</v>
      </c>
      <c r="AO2404" s="196">
        <f t="shared" ca="1" si="531"/>
        <v>0</v>
      </c>
    </row>
    <row r="2405" spans="1:41">
      <c r="A2405" s="189">
        <v>3665</v>
      </c>
      <c r="B2405" s="190">
        <v>5</v>
      </c>
      <c r="C2405" s="191" t="s">
        <v>226</v>
      </c>
      <c r="D2405" s="192">
        <f t="shared" si="518"/>
        <v>0</v>
      </c>
      <c r="E2405" s="192">
        <f t="shared" si="519"/>
        <v>0</v>
      </c>
      <c r="F2405" s="192">
        <f t="shared" si="520"/>
        <v>0</v>
      </c>
      <c r="G2405" s="193">
        <f t="shared" si="521"/>
        <v>0</v>
      </c>
      <c r="H2405" s="194">
        <v>0</v>
      </c>
      <c r="I2405" s="194">
        <v>0</v>
      </c>
      <c r="J2405" s="194">
        <v>0</v>
      </c>
      <c r="K2405" s="193">
        <f t="shared" si="522"/>
        <v>0</v>
      </c>
      <c r="L2405" s="194">
        <v>0</v>
      </c>
      <c r="M2405" s="194">
        <v>0</v>
      </c>
      <c r="N2405" s="194">
        <v>0</v>
      </c>
      <c r="O2405" s="193">
        <f t="shared" si="523"/>
        <v>0</v>
      </c>
      <c r="P2405" s="194">
        <v>0</v>
      </c>
      <c r="Q2405" s="194">
        <v>0</v>
      </c>
      <c r="R2405" s="194">
        <v>0</v>
      </c>
      <c r="S2405" s="193">
        <f t="shared" si="524"/>
        <v>0</v>
      </c>
      <c r="T2405" s="193">
        <f t="shared" si="525"/>
        <v>0</v>
      </c>
      <c r="U2405" s="193">
        <f ca="1">OFFSET('Expenditure Study'!$B$7,'Operations Support'!$C2405,'Operations Support'!$B2405)*$G2405</f>
        <v>0</v>
      </c>
      <c r="V2405" s="199">
        <f ca="1">U2405*'Expenditure Study'!$B$31</f>
        <v>0</v>
      </c>
      <c r="W2405" s="199">
        <f ca="1">IF(A2405=10298,1.51,1)*IF($B2405&lt;3,$D2405*'Expenditure Study'!$B$32*OFFSET('Expenditure Study'!$B$7,'Operations Support'!$C2405,'Operations Support'!$B2405),0)</f>
        <v>0</v>
      </c>
      <c r="X2405" s="200">
        <f ca="1">W2405*'Expenditure Study'!$B$31</f>
        <v>0</v>
      </c>
      <c r="Y2405" s="199">
        <f ca="1">U2405*'Expenditure Study'!$B$31</f>
        <v>0</v>
      </c>
      <c r="Z2405" s="200">
        <f ca="1">W2405*'Expenditure Study'!$B$31</f>
        <v>0</v>
      </c>
      <c r="AA2405" s="195">
        <f t="shared" ca="1" si="526"/>
        <v>0</v>
      </c>
      <c r="AB2405" s="195">
        <f t="shared" ca="1" si="527"/>
        <v>0</v>
      </c>
      <c r="AD2405" s="196">
        <f>IFERROR($G2405/SUMIF($A:$A,$A2405,$G:$G)*SUMIF(Summary!$A$166:$A$242,$A2405,Summary!$P$166:$P$242),0)</f>
        <v>0</v>
      </c>
      <c r="AE2405" s="197">
        <f t="shared" ca="1" si="528"/>
        <v>0</v>
      </c>
      <c r="AF2405" s="196">
        <f>IFERROR(G2405/SUMIF(A:A,A2405,G:G)*SUMIF(Summary!$A$166:$A$242,'Operations Support'!A2405,Summary!$Q$166:$Q$242),0)</f>
        <v>0</v>
      </c>
      <c r="AG2405" s="196">
        <f t="shared" ca="1" si="529"/>
        <v>0</v>
      </c>
      <c r="AI2405" s="196">
        <f>IFERROR($G2405/SUMIF($A:$A,$A2405,$G:$G)*SUMIF(Summary!$A$247:$A$283,$A2405,Summary!$P$247:$P$283),0)</f>
        <v>0</v>
      </c>
      <c r="AJ2405" s="196">
        <f>IFERROR($G2405/SUMIF($A:$A,$A2405,$G:$G)*(SUMIF(Summary!$A$247:$A$283,$A2405,Summary!$L$247:$L$283)+SUMIF(Summary!$A$297:$A$333,$A2405,Summary!$L$297:$L$333))-AI2405,0)</f>
        <v>0</v>
      </c>
      <c r="AK2405" s="196">
        <f>IFERROR($G2405/SUMIF($A:$A,$A2405,$G:$G)*SUMIF(Summary!$A$247:$A$283,$A2405,Summary!$Q$247:$Q$283),0)</f>
        <v>0</v>
      </c>
      <c r="AL2405" s="196">
        <f>IFERROR($G2405/SUMIF($A:$A,$A2405,$G:$G)*(SUMIF(Summary!$A$247:$A$283,$A2405,Summary!$L$247:$L$283)+SUMIF(Summary!$A$297:$A$333,$A2405,Summary!$L$297:$L$333))-AK2405,0)</f>
        <v>0</v>
      </c>
      <c r="AM2405" s="198"/>
      <c r="AN2405" s="196">
        <f t="shared" ca="1" si="530"/>
        <v>0</v>
      </c>
      <c r="AO2405" s="196">
        <f t="shared" ca="1" si="531"/>
        <v>0</v>
      </c>
    </row>
    <row r="2406" spans="1:41">
      <c r="A2406" s="189">
        <v>3665</v>
      </c>
      <c r="B2406" s="190">
        <v>5</v>
      </c>
      <c r="C2406" s="191" t="s">
        <v>227</v>
      </c>
      <c r="D2406" s="192">
        <f t="shared" si="518"/>
        <v>0</v>
      </c>
      <c r="E2406" s="192">
        <f t="shared" si="519"/>
        <v>0</v>
      </c>
      <c r="F2406" s="192">
        <f t="shared" si="520"/>
        <v>0</v>
      </c>
      <c r="G2406" s="193">
        <f t="shared" si="521"/>
        <v>0</v>
      </c>
      <c r="H2406" s="194">
        <v>0</v>
      </c>
      <c r="I2406" s="194">
        <v>0</v>
      </c>
      <c r="J2406" s="194">
        <v>0</v>
      </c>
      <c r="K2406" s="193">
        <f t="shared" si="522"/>
        <v>0</v>
      </c>
      <c r="L2406" s="194">
        <v>0</v>
      </c>
      <c r="M2406" s="194">
        <v>0</v>
      </c>
      <c r="N2406" s="194">
        <v>0</v>
      </c>
      <c r="O2406" s="193">
        <f t="shared" si="523"/>
        <v>0</v>
      </c>
      <c r="P2406" s="194">
        <v>0</v>
      </c>
      <c r="Q2406" s="194">
        <v>0</v>
      </c>
      <c r="R2406" s="194">
        <v>0</v>
      </c>
      <c r="S2406" s="193">
        <f t="shared" si="524"/>
        <v>0</v>
      </c>
      <c r="T2406" s="193">
        <f t="shared" si="525"/>
        <v>0</v>
      </c>
      <c r="U2406" s="193">
        <f ca="1">OFFSET('Expenditure Study'!$B$7,'Operations Support'!$C2406,'Operations Support'!$B2406)*$G2406</f>
        <v>0</v>
      </c>
      <c r="V2406" s="199">
        <f ca="1">U2406*'Expenditure Study'!$B$31</f>
        <v>0</v>
      </c>
      <c r="W2406" s="199">
        <f ca="1">IF(A2406=10298,1.51,1)*IF($B2406&lt;3,$D2406*'Expenditure Study'!$B$32*OFFSET('Expenditure Study'!$B$7,'Operations Support'!$C2406,'Operations Support'!$B2406),0)</f>
        <v>0</v>
      </c>
      <c r="X2406" s="200">
        <f ca="1">W2406*'Expenditure Study'!$B$31</f>
        <v>0</v>
      </c>
      <c r="Y2406" s="199">
        <f ca="1">U2406*'Expenditure Study'!$B$31</f>
        <v>0</v>
      </c>
      <c r="Z2406" s="200">
        <f ca="1">W2406*'Expenditure Study'!$B$31</f>
        <v>0</v>
      </c>
      <c r="AA2406" s="195">
        <f t="shared" ca="1" si="526"/>
        <v>0</v>
      </c>
      <c r="AB2406" s="195">
        <f t="shared" ca="1" si="527"/>
        <v>0</v>
      </c>
      <c r="AD2406" s="196">
        <f>IFERROR($G2406/SUMIF($A:$A,$A2406,$G:$G)*SUMIF(Summary!$A$166:$A$242,$A2406,Summary!$P$166:$P$242),0)</f>
        <v>0</v>
      </c>
      <c r="AE2406" s="197">
        <f t="shared" ca="1" si="528"/>
        <v>0</v>
      </c>
      <c r="AF2406" s="196">
        <f>IFERROR(G2406/SUMIF(A:A,A2406,G:G)*SUMIF(Summary!$A$166:$A$242,'Operations Support'!A2406,Summary!$Q$166:$Q$242),0)</f>
        <v>0</v>
      </c>
      <c r="AG2406" s="196">
        <f t="shared" ca="1" si="529"/>
        <v>0</v>
      </c>
      <c r="AI2406" s="196">
        <f>IFERROR($G2406/SUMIF($A:$A,$A2406,$G:$G)*SUMIF(Summary!$A$247:$A$283,$A2406,Summary!$P$247:$P$283),0)</f>
        <v>0</v>
      </c>
      <c r="AJ2406" s="196">
        <f>IFERROR($G2406/SUMIF($A:$A,$A2406,$G:$G)*(SUMIF(Summary!$A$247:$A$283,$A2406,Summary!$L$247:$L$283)+SUMIF(Summary!$A$297:$A$333,$A2406,Summary!$L$297:$L$333))-AI2406,0)</f>
        <v>0</v>
      </c>
      <c r="AK2406" s="196">
        <f>IFERROR($G2406/SUMIF($A:$A,$A2406,$G:$G)*SUMIF(Summary!$A$247:$A$283,$A2406,Summary!$Q$247:$Q$283),0)</f>
        <v>0</v>
      </c>
      <c r="AL2406" s="196">
        <f>IFERROR($G2406/SUMIF($A:$A,$A2406,$G:$G)*(SUMIF(Summary!$A$247:$A$283,$A2406,Summary!$L$247:$L$283)+SUMIF(Summary!$A$297:$A$333,$A2406,Summary!$L$297:$L$333))-AK2406,0)</f>
        <v>0</v>
      </c>
      <c r="AM2406" s="198"/>
      <c r="AN2406" s="196">
        <f t="shared" ca="1" si="530"/>
        <v>0</v>
      </c>
      <c r="AO2406" s="196">
        <f t="shared" ca="1" si="531"/>
        <v>0</v>
      </c>
    </row>
    <row r="2407" spans="1:41">
      <c r="A2407" s="189">
        <v>3665</v>
      </c>
      <c r="B2407" s="190">
        <v>5</v>
      </c>
      <c r="C2407" s="191" t="s">
        <v>228</v>
      </c>
      <c r="D2407" s="192">
        <f t="shared" si="518"/>
        <v>0</v>
      </c>
      <c r="E2407" s="192">
        <f t="shared" si="519"/>
        <v>0</v>
      </c>
      <c r="F2407" s="192">
        <f t="shared" si="520"/>
        <v>0</v>
      </c>
      <c r="G2407" s="193">
        <f t="shared" si="521"/>
        <v>0</v>
      </c>
      <c r="H2407" s="194">
        <v>0</v>
      </c>
      <c r="I2407" s="194">
        <v>0</v>
      </c>
      <c r="J2407" s="194">
        <v>0</v>
      </c>
      <c r="K2407" s="193">
        <f t="shared" si="522"/>
        <v>0</v>
      </c>
      <c r="L2407" s="194">
        <v>0</v>
      </c>
      <c r="M2407" s="194">
        <v>0</v>
      </c>
      <c r="N2407" s="194">
        <v>0</v>
      </c>
      <c r="O2407" s="193">
        <f t="shared" si="523"/>
        <v>0</v>
      </c>
      <c r="P2407" s="194">
        <v>0</v>
      </c>
      <c r="Q2407" s="194">
        <v>0</v>
      </c>
      <c r="R2407" s="194">
        <v>0</v>
      </c>
      <c r="S2407" s="193">
        <f t="shared" si="524"/>
        <v>0</v>
      </c>
      <c r="T2407" s="193">
        <f t="shared" si="525"/>
        <v>0</v>
      </c>
      <c r="U2407" s="193">
        <f ca="1">OFFSET('Expenditure Study'!$B$7,'Operations Support'!$C2407,'Operations Support'!$B2407)*$G2407</f>
        <v>0</v>
      </c>
      <c r="V2407" s="199">
        <f ca="1">U2407*'Expenditure Study'!$B$31</f>
        <v>0</v>
      </c>
      <c r="W2407" s="199">
        <f ca="1">IF(A2407=10298,1.51,1)*IF($B2407&lt;3,$D2407*'Expenditure Study'!$B$32*OFFSET('Expenditure Study'!$B$7,'Operations Support'!$C2407,'Operations Support'!$B2407),0)</f>
        <v>0</v>
      </c>
      <c r="X2407" s="200">
        <f ca="1">W2407*'Expenditure Study'!$B$31</f>
        <v>0</v>
      </c>
      <c r="Y2407" s="199">
        <f ca="1">U2407*'Expenditure Study'!$B$31</f>
        <v>0</v>
      </c>
      <c r="Z2407" s="200">
        <f ca="1">W2407*'Expenditure Study'!$B$31</f>
        <v>0</v>
      </c>
      <c r="AA2407" s="195">
        <f t="shared" ca="1" si="526"/>
        <v>0</v>
      </c>
      <c r="AB2407" s="195">
        <f t="shared" ca="1" si="527"/>
        <v>0</v>
      </c>
      <c r="AD2407" s="196">
        <f>IFERROR($G2407/SUMIF($A:$A,$A2407,$G:$G)*SUMIF(Summary!$A$166:$A$242,$A2407,Summary!$P$166:$P$242),0)</f>
        <v>0</v>
      </c>
      <c r="AE2407" s="197">
        <f t="shared" ca="1" si="528"/>
        <v>0</v>
      </c>
      <c r="AF2407" s="196">
        <f>IFERROR(G2407/SUMIF(A:A,A2407,G:G)*SUMIF(Summary!$A$166:$A$242,'Operations Support'!A2407,Summary!$Q$166:$Q$242),0)</f>
        <v>0</v>
      </c>
      <c r="AG2407" s="196">
        <f t="shared" ca="1" si="529"/>
        <v>0</v>
      </c>
      <c r="AI2407" s="196">
        <f>IFERROR($G2407/SUMIF($A:$A,$A2407,$G:$G)*SUMIF(Summary!$A$247:$A$283,$A2407,Summary!$P$247:$P$283),0)</f>
        <v>0</v>
      </c>
      <c r="AJ2407" s="196">
        <f>IFERROR($G2407/SUMIF($A:$A,$A2407,$G:$G)*(SUMIF(Summary!$A$247:$A$283,$A2407,Summary!$L$247:$L$283)+SUMIF(Summary!$A$297:$A$333,$A2407,Summary!$L$297:$L$333))-AI2407,0)</f>
        <v>0</v>
      </c>
      <c r="AK2407" s="196">
        <f>IFERROR($G2407/SUMIF($A:$A,$A2407,$G:$G)*SUMIF(Summary!$A$247:$A$283,$A2407,Summary!$Q$247:$Q$283),0)</f>
        <v>0</v>
      </c>
      <c r="AL2407" s="196">
        <f>IFERROR($G2407/SUMIF($A:$A,$A2407,$G:$G)*(SUMIF(Summary!$A$247:$A$283,$A2407,Summary!$L$247:$L$283)+SUMIF(Summary!$A$297:$A$333,$A2407,Summary!$L$297:$L$333))-AK2407,0)</f>
        <v>0</v>
      </c>
      <c r="AM2407" s="198"/>
      <c r="AN2407" s="196">
        <f t="shared" ca="1" si="530"/>
        <v>0</v>
      </c>
      <c r="AO2407" s="196">
        <f t="shared" ca="1" si="531"/>
        <v>0</v>
      </c>
    </row>
    <row r="2408" spans="1:41">
      <c r="A2408" s="189">
        <v>3665</v>
      </c>
      <c r="B2408" s="190">
        <v>5</v>
      </c>
      <c r="C2408" s="191" t="s">
        <v>229</v>
      </c>
      <c r="D2408" s="192">
        <f t="shared" si="518"/>
        <v>0</v>
      </c>
      <c r="E2408" s="192">
        <f t="shared" si="519"/>
        <v>0</v>
      </c>
      <c r="F2408" s="192">
        <f t="shared" si="520"/>
        <v>0</v>
      </c>
      <c r="G2408" s="193">
        <f t="shared" si="521"/>
        <v>0</v>
      </c>
      <c r="H2408" s="194">
        <v>0</v>
      </c>
      <c r="I2408" s="194">
        <v>0</v>
      </c>
      <c r="J2408" s="194">
        <v>0</v>
      </c>
      <c r="K2408" s="193">
        <f t="shared" si="522"/>
        <v>0</v>
      </c>
      <c r="L2408" s="194">
        <v>0</v>
      </c>
      <c r="M2408" s="194">
        <v>0</v>
      </c>
      <c r="N2408" s="194">
        <v>0</v>
      </c>
      <c r="O2408" s="193">
        <f t="shared" si="523"/>
        <v>0</v>
      </c>
      <c r="P2408" s="194">
        <v>0</v>
      </c>
      <c r="Q2408" s="194">
        <v>0</v>
      </c>
      <c r="R2408" s="194">
        <v>0</v>
      </c>
      <c r="S2408" s="193">
        <f t="shared" si="524"/>
        <v>0</v>
      </c>
      <c r="T2408" s="193">
        <f t="shared" si="525"/>
        <v>0</v>
      </c>
      <c r="U2408" s="193">
        <f ca="1">OFFSET('Expenditure Study'!$B$7,'Operations Support'!$C2408,'Operations Support'!$B2408)*$G2408</f>
        <v>0</v>
      </c>
      <c r="V2408" s="199">
        <f ca="1">U2408*'Expenditure Study'!$B$31</f>
        <v>0</v>
      </c>
      <c r="W2408" s="199">
        <f ca="1">IF(A2408=10298,1.51,1)*IF($B2408&lt;3,$D2408*'Expenditure Study'!$B$32*OFFSET('Expenditure Study'!$B$7,'Operations Support'!$C2408,'Operations Support'!$B2408),0)</f>
        <v>0</v>
      </c>
      <c r="X2408" s="200">
        <f ca="1">W2408*'Expenditure Study'!$B$31</f>
        <v>0</v>
      </c>
      <c r="Y2408" s="199">
        <f ca="1">U2408*'Expenditure Study'!$B$31</f>
        <v>0</v>
      </c>
      <c r="Z2408" s="200">
        <f ca="1">W2408*'Expenditure Study'!$B$31</f>
        <v>0</v>
      </c>
      <c r="AA2408" s="195">
        <f t="shared" ca="1" si="526"/>
        <v>0</v>
      </c>
      <c r="AB2408" s="195">
        <f t="shared" ca="1" si="527"/>
        <v>0</v>
      </c>
      <c r="AD2408" s="196">
        <f>IFERROR($G2408/SUMIF($A:$A,$A2408,$G:$G)*SUMIF(Summary!$A$166:$A$242,$A2408,Summary!$P$166:$P$242),0)</f>
        <v>0</v>
      </c>
      <c r="AE2408" s="197">
        <f t="shared" ca="1" si="528"/>
        <v>0</v>
      </c>
      <c r="AF2408" s="196">
        <f>IFERROR(G2408/SUMIF(A:A,A2408,G:G)*SUMIF(Summary!$A$166:$A$242,'Operations Support'!A2408,Summary!$Q$166:$Q$242),0)</f>
        <v>0</v>
      </c>
      <c r="AG2408" s="196">
        <f t="shared" ca="1" si="529"/>
        <v>0</v>
      </c>
      <c r="AI2408" s="196">
        <f>IFERROR($G2408/SUMIF($A:$A,$A2408,$G:$G)*SUMIF(Summary!$A$247:$A$283,$A2408,Summary!$P$247:$P$283),0)</f>
        <v>0</v>
      </c>
      <c r="AJ2408" s="196">
        <f>IFERROR($G2408/SUMIF($A:$A,$A2408,$G:$G)*(SUMIF(Summary!$A$247:$A$283,$A2408,Summary!$L$247:$L$283)+SUMIF(Summary!$A$297:$A$333,$A2408,Summary!$L$297:$L$333))-AI2408,0)</f>
        <v>0</v>
      </c>
      <c r="AK2408" s="196">
        <f>IFERROR($G2408/SUMIF($A:$A,$A2408,$G:$G)*SUMIF(Summary!$A$247:$A$283,$A2408,Summary!$Q$247:$Q$283),0)</f>
        <v>0</v>
      </c>
      <c r="AL2408" s="196">
        <f>IFERROR($G2408/SUMIF($A:$A,$A2408,$G:$G)*(SUMIF(Summary!$A$247:$A$283,$A2408,Summary!$L$247:$L$283)+SUMIF(Summary!$A$297:$A$333,$A2408,Summary!$L$297:$L$333))-AK2408,0)</f>
        <v>0</v>
      </c>
      <c r="AM2408" s="198"/>
      <c r="AN2408" s="196">
        <f t="shared" ca="1" si="530"/>
        <v>0</v>
      </c>
      <c r="AO2408" s="196">
        <f t="shared" ca="1" si="531"/>
        <v>0</v>
      </c>
    </row>
    <row r="2409" spans="1:41">
      <c r="A2409" s="189">
        <v>3665</v>
      </c>
      <c r="B2409" s="190">
        <v>5</v>
      </c>
      <c r="C2409" s="191" t="s">
        <v>230</v>
      </c>
      <c r="D2409" s="192">
        <f t="shared" si="518"/>
        <v>0</v>
      </c>
      <c r="E2409" s="192">
        <f t="shared" si="519"/>
        <v>0</v>
      </c>
      <c r="F2409" s="192">
        <f t="shared" si="520"/>
        <v>0</v>
      </c>
      <c r="G2409" s="193">
        <f t="shared" si="521"/>
        <v>0</v>
      </c>
      <c r="H2409" s="194">
        <v>0</v>
      </c>
      <c r="I2409" s="194">
        <v>0</v>
      </c>
      <c r="J2409" s="194">
        <v>0</v>
      </c>
      <c r="K2409" s="193">
        <f t="shared" si="522"/>
        <v>0</v>
      </c>
      <c r="L2409" s="194">
        <v>0</v>
      </c>
      <c r="M2409" s="194">
        <v>0</v>
      </c>
      <c r="N2409" s="194">
        <v>0</v>
      </c>
      <c r="O2409" s="193">
        <f t="shared" si="523"/>
        <v>0</v>
      </c>
      <c r="P2409" s="194">
        <v>0</v>
      </c>
      <c r="Q2409" s="194">
        <v>0</v>
      </c>
      <c r="R2409" s="194">
        <v>0</v>
      </c>
      <c r="S2409" s="193">
        <f t="shared" si="524"/>
        <v>0</v>
      </c>
      <c r="T2409" s="193">
        <f t="shared" si="525"/>
        <v>0</v>
      </c>
      <c r="U2409" s="193">
        <f ca="1">OFFSET('Expenditure Study'!$B$7,'Operations Support'!$C2409,'Operations Support'!$B2409)*$G2409</f>
        <v>0</v>
      </c>
      <c r="V2409" s="199">
        <f ca="1">U2409*'Expenditure Study'!$B$31</f>
        <v>0</v>
      </c>
      <c r="W2409" s="199">
        <f ca="1">IF(A2409=10298,1.51,1)*IF($B2409&lt;3,$D2409*'Expenditure Study'!$B$32*OFFSET('Expenditure Study'!$B$7,'Operations Support'!$C2409,'Operations Support'!$B2409),0)</f>
        <v>0</v>
      </c>
      <c r="X2409" s="200">
        <f ca="1">W2409*'Expenditure Study'!$B$31</f>
        <v>0</v>
      </c>
      <c r="Y2409" s="199">
        <f ca="1">U2409*'Expenditure Study'!$B$31</f>
        <v>0</v>
      </c>
      <c r="Z2409" s="200">
        <f ca="1">W2409*'Expenditure Study'!$B$31</f>
        <v>0</v>
      </c>
      <c r="AA2409" s="195">
        <f t="shared" ca="1" si="526"/>
        <v>0</v>
      </c>
      <c r="AB2409" s="195">
        <f t="shared" ca="1" si="527"/>
        <v>0</v>
      </c>
      <c r="AD2409" s="196">
        <f>IFERROR($G2409/SUMIF($A:$A,$A2409,$G:$G)*SUMIF(Summary!$A$166:$A$242,$A2409,Summary!$P$166:$P$242),0)</f>
        <v>0</v>
      </c>
      <c r="AE2409" s="197">
        <f t="shared" ca="1" si="528"/>
        <v>0</v>
      </c>
      <c r="AF2409" s="196">
        <f>IFERROR(G2409/SUMIF(A:A,A2409,G:G)*SUMIF(Summary!$A$166:$A$242,'Operations Support'!A2409,Summary!$Q$166:$Q$242),0)</f>
        <v>0</v>
      </c>
      <c r="AG2409" s="196">
        <f t="shared" ca="1" si="529"/>
        <v>0</v>
      </c>
      <c r="AI2409" s="196">
        <f>IFERROR($G2409/SUMIF($A:$A,$A2409,$G:$G)*SUMIF(Summary!$A$247:$A$283,$A2409,Summary!$P$247:$P$283),0)</f>
        <v>0</v>
      </c>
      <c r="AJ2409" s="196">
        <f>IFERROR($G2409/SUMIF($A:$A,$A2409,$G:$G)*(SUMIF(Summary!$A$247:$A$283,$A2409,Summary!$L$247:$L$283)+SUMIF(Summary!$A$297:$A$333,$A2409,Summary!$L$297:$L$333))-AI2409,0)</f>
        <v>0</v>
      </c>
      <c r="AK2409" s="196">
        <f>IFERROR($G2409/SUMIF($A:$A,$A2409,$G:$G)*SUMIF(Summary!$A$247:$A$283,$A2409,Summary!$Q$247:$Q$283),0)</f>
        <v>0</v>
      </c>
      <c r="AL2409" s="196">
        <f>IFERROR($G2409/SUMIF($A:$A,$A2409,$G:$G)*(SUMIF(Summary!$A$247:$A$283,$A2409,Summary!$L$247:$L$283)+SUMIF(Summary!$A$297:$A$333,$A2409,Summary!$L$297:$L$333))-AK2409,0)</f>
        <v>0</v>
      </c>
      <c r="AM2409" s="198"/>
      <c r="AN2409" s="196">
        <f t="shared" ca="1" si="530"/>
        <v>0</v>
      </c>
      <c r="AO2409" s="196">
        <f t="shared" ca="1" si="531"/>
        <v>0</v>
      </c>
    </row>
    <row r="2410" spans="1:41">
      <c r="A2410" s="189">
        <v>3665</v>
      </c>
      <c r="B2410" s="190">
        <v>5</v>
      </c>
      <c r="C2410" s="191" t="s">
        <v>231</v>
      </c>
      <c r="D2410" s="192">
        <f t="shared" si="518"/>
        <v>0</v>
      </c>
      <c r="E2410" s="192">
        <f t="shared" si="519"/>
        <v>0</v>
      </c>
      <c r="F2410" s="192">
        <f t="shared" si="520"/>
        <v>0</v>
      </c>
      <c r="G2410" s="193">
        <f t="shared" si="521"/>
        <v>0</v>
      </c>
      <c r="H2410" s="194">
        <v>0</v>
      </c>
      <c r="I2410" s="194">
        <v>0</v>
      </c>
      <c r="J2410" s="194">
        <v>0</v>
      </c>
      <c r="K2410" s="193">
        <f t="shared" si="522"/>
        <v>0</v>
      </c>
      <c r="L2410" s="194">
        <v>0</v>
      </c>
      <c r="M2410" s="194">
        <v>0</v>
      </c>
      <c r="N2410" s="194">
        <v>0</v>
      </c>
      <c r="O2410" s="193">
        <f t="shared" si="523"/>
        <v>0</v>
      </c>
      <c r="P2410" s="194">
        <v>0</v>
      </c>
      <c r="Q2410" s="194">
        <v>0</v>
      </c>
      <c r="R2410" s="194">
        <v>0</v>
      </c>
      <c r="S2410" s="193">
        <f t="shared" si="524"/>
        <v>0</v>
      </c>
      <c r="T2410" s="193">
        <f t="shared" si="525"/>
        <v>0</v>
      </c>
      <c r="U2410" s="193">
        <f ca="1">OFFSET('Expenditure Study'!$B$7,'Operations Support'!$C2410,'Operations Support'!$B2410)*$G2410</f>
        <v>0</v>
      </c>
      <c r="V2410" s="199">
        <f ca="1">U2410*'Expenditure Study'!$B$31</f>
        <v>0</v>
      </c>
      <c r="W2410" s="199">
        <f ca="1">IF(A2410=10298,1.51,1)*IF($B2410&lt;3,$D2410*'Expenditure Study'!$B$32*OFFSET('Expenditure Study'!$B$7,'Operations Support'!$C2410,'Operations Support'!$B2410),0)</f>
        <v>0</v>
      </c>
      <c r="X2410" s="200">
        <f ca="1">W2410*'Expenditure Study'!$B$31</f>
        <v>0</v>
      </c>
      <c r="Y2410" s="199">
        <f ca="1">U2410*'Expenditure Study'!$B$31</f>
        <v>0</v>
      </c>
      <c r="Z2410" s="200">
        <f ca="1">W2410*'Expenditure Study'!$B$31</f>
        <v>0</v>
      </c>
      <c r="AA2410" s="195">
        <f t="shared" ca="1" si="526"/>
        <v>0</v>
      </c>
      <c r="AB2410" s="195">
        <f t="shared" ca="1" si="527"/>
        <v>0</v>
      </c>
      <c r="AD2410" s="196">
        <f>IFERROR($G2410/SUMIF($A:$A,$A2410,$G:$G)*SUMIF(Summary!$A$166:$A$242,$A2410,Summary!$P$166:$P$242),0)</f>
        <v>0</v>
      </c>
      <c r="AE2410" s="197">
        <f t="shared" ca="1" si="528"/>
        <v>0</v>
      </c>
      <c r="AF2410" s="196">
        <f>IFERROR(G2410/SUMIF(A:A,A2410,G:G)*SUMIF(Summary!$A$166:$A$242,'Operations Support'!A2410,Summary!$Q$166:$Q$242),0)</f>
        <v>0</v>
      </c>
      <c r="AG2410" s="196">
        <f t="shared" ca="1" si="529"/>
        <v>0</v>
      </c>
      <c r="AI2410" s="196">
        <f>IFERROR($G2410/SUMIF($A:$A,$A2410,$G:$G)*SUMIF(Summary!$A$247:$A$283,$A2410,Summary!$P$247:$P$283),0)</f>
        <v>0</v>
      </c>
      <c r="AJ2410" s="196">
        <f>IFERROR($G2410/SUMIF($A:$A,$A2410,$G:$G)*(SUMIF(Summary!$A$247:$A$283,$A2410,Summary!$L$247:$L$283)+SUMIF(Summary!$A$297:$A$333,$A2410,Summary!$L$297:$L$333))-AI2410,0)</f>
        <v>0</v>
      </c>
      <c r="AK2410" s="196">
        <f>IFERROR($G2410/SUMIF($A:$A,$A2410,$G:$G)*SUMIF(Summary!$A$247:$A$283,$A2410,Summary!$Q$247:$Q$283),0)</f>
        <v>0</v>
      </c>
      <c r="AL2410" s="196">
        <f>IFERROR($G2410/SUMIF($A:$A,$A2410,$G:$G)*(SUMIF(Summary!$A$247:$A$283,$A2410,Summary!$L$247:$L$283)+SUMIF(Summary!$A$297:$A$333,$A2410,Summary!$L$297:$L$333))-AK2410,0)</f>
        <v>0</v>
      </c>
      <c r="AM2410" s="198"/>
      <c r="AN2410" s="196">
        <f t="shared" ca="1" si="530"/>
        <v>0</v>
      </c>
      <c r="AO2410" s="196">
        <f t="shared" ca="1" si="531"/>
        <v>0</v>
      </c>
    </row>
    <row r="2411" spans="1:41">
      <c r="A2411" s="189">
        <v>3665</v>
      </c>
      <c r="B2411" s="190">
        <v>5</v>
      </c>
      <c r="C2411" s="191" t="s">
        <v>232</v>
      </c>
      <c r="D2411" s="192">
        <f t="shared" si="518"/>
        <v>0</v>
      </c>
      <c r="E2411" s="192">
        <f t="shared" si="519"/>
        <v>0</v>
      </c>
      <c r="F2411" s="192">
        <f t="shared" si="520"/>
        <v>0</v>
      </c>
      <c r="G2411" s="193">
        <f t="shared" si="521"/>
        <v>0</v>
      </c>
      <c r="H2411" s="194">
        <v>0</v>
      </c>
      <c r="I2411" s="194">
        <v>0</v>
      </c>
      <c r="J2411" s="194">
        <v>0</v>
      </c>
      <c r="K2411" s="193">
        <f t="shared" si="522"/>
        <v>0</v>
      </c>
      <c r="L2411" s="194">
        <v>0</v>
      </c>
      <c r="M2411" s="194">
        <v>0</v>
      </c>
      <c r="N2411" s="194">
        <v>0</v>
      </c>
      <c r="O2411" s="193">
        <f t="shared" si="523"/>
        <v>0</v>
      </c>
      <c r="P2411" s="194">
        <v>0</v>
      </c>
      <c r="Q2411" s="194">
        <v>0</v>
      </c>
      <c r="R2411" s="194">
        <v>0</v>
      </c>
      <c r="S2411" s="193">
        <f t="shared" si="524"/>
        <v>0</v>
      </c>
      <c r="T2411" s="193">
        <f t="shared" si="525"/>
        <v>0</v>
      </c>
      <c r="U2411" s="193">
        <f ca="1">OFFSET('Expenditure Study'!$B$7,'Operations Support'!$C2411,'Operations Support'!$B2411)*$G2411</f>
        <v>0</v>
      </c>
      <c r="V2411" s="199">
        <f ca="1">U2411*'Expenditure Study'!$B$31</f>
        <v>0</v>
      </c>
      <c r="W2411" s="199">
        <f ca="1">IF(A2411=10298,1.51,1)*IF($B2411&lt;3,$D2411*'Expenditure Study'!$B$32*OFFSET('Expenditure Study'!$B$7,'Operations Support'!$C2411,'Operations Support'!$B2411),0)</f>
        <v>0</v>
      </c>
      <c r="X2411" s="200">
        <f ca="1">W2411*'Expenditure Study'!$B$31</f>
        <v>0</v>
      </c>
      <c r="Y2411" s="199">
        <f ca="1">U2411*'Expenditure Study'!$B$31</f>
        <v>0</v>
      </c>
      <c r="Z2411" s="200">
        <f ca="1">W2411*'Expenditure Study'!$B$31</f>
        <v>0</v>
      </c>
      <c r="AA2411" s="195">
        <f t="shared" ca="1" si="526"/>
        <v>0</v>
      </c>
      <c r="AB2411" s="195">
        <f t="shared" ca="1" si="527"/>
        <v>0</v>
      </c>
      <c r="AD2411" s="196">
        <f>IFERROR($G2411/SUMIF($A:$A,$A2411,$G:$G)*SUMIF(Summary!$A$166:$A$242,$A2411,Summary!$P$166:$P$242),0)</f>
        <v>0</v>
      </c>
      <c r="AE2411" s="197">
        <f t="shared" ca="1" si="528"/>
        <v>0</v>
      </c>
      <c r="AF2411" s="196">
        <f>IFERROR(G2411/SUMIF(A:A,A2411,G:G)*SUMIF(Summary!$A$166:$A$242,'Operations Support'!A2411,Summary!$Q$166:$Q$242),0)</f>
        <v>0</v>
      </c>
      <c r="AG2411" s="196">
        <f t="shared" ca="1" si="529"/>
        <v>0</v>
      </c>
      <c r="AI2411" s="196">
        <f>IFERROR($G2411/SUMIF($A:$A,$A2411,$G:$G)*SUMIF(Summary!$A$247:$A$283,$A2411,Summary!$P$247:$P$283),0)</f>
        <v>0</v>
      </c>
      <c r="AJ2411" s="196">
        <f>IFERROR($G2411/SUMIF($A:$A,$A2411,$G:$G)*(SUMIF(Summary!$A$247:$A$283,$A2411,Summary!$L$247:$L$283)+SUMIF(Summary!$A$297:$A$333,$A2411,Summary!$L$297:$L$333))-AI2411,0)</f>
        <v>0</v>
      </c>
      <c r="AK2411" s="196">
        <f>IFERROR($G2411/SUMIF($A:$A,$A2411,$G:$G)*SUMIF(Summary!$A$247:$A$283,$A2411,Summary!$Q$247:$Q$283),0)</f>
        <v>0</v>
      </c>
      <c r="AL2411" s="196">
        <f>IFERROR($G2411/SUMIF($A:$A,$A2411,$G:$G)*(SUMIF(Summary!$A$247:$A$283,$A2411,Summary!$L$247:$L$283)+SUMIF(Summary!$A$297:$A$333,$A2411,Summary!$L$297:$L$333))-AK2411,0)</f>
        <v>0</v>
      </c>
      <c r="AM2411" s="198"/>
      <c r="AN2411" s="196">
        <f t="shared" ca="1" si="530"/>
        <v>0</v>
      </c>
      <c r="AO2411" s="196">
        <f t="shared" ca="1" si="531"/>
        <v>0</v>
      </c>
    </row>
    <row r="2412" spans="1:41">
      <c r="A2412" s="189">
        <v>3665</v>
      </c>
      <c r="B2412" s="190">
        <v>5</v>
      </c>
      <c r="C2412" s="191" t="s">
        <v>233</v>
      </c>
      <c r="D2412" s="192">
        <f t="shared" si="518"/>
        <v>0</v>
      </c>
      <c r="E2412" s="192">
        <f t="shared" si="519"/>
        <v>0</v>
      </c>
      <c r="F2412" s="192">
        <f t="shared" si="520"/>
        <v>0</v>
      </c>
      <c r="G2412" s="193">
        <f t="shared" si="521"/>
        <v>0</v>
      </c>
      <c r="H2412" s="194">
        <v>0</v>
      </c>
      <c r="I2412" s="194">
        <v>0</v>
      </c>
      <c r="J2412" s="194">
        <v>0</v>
      </c>
      <c r="K2412" s="193">
        <f t="shared" si="522"/>
        <v>0</v>
      </c>
      <c r="L2412" s="194">
        <v>0</v>
      </c>
      <c r="M2412" s="194">
        <v>0</v>
      </c>
      <c r="N2412" s="194">
        <v>0</v>
      </c>
      <c r="O2412" s="193">
        <f t="shared" si="523"/>
        <v>0</v>
      </c>
      <c r="P2412" s="194">
        <v>0</v>
      </c>
      <c r="Q2412" s="194">
        <v>0</v>
      </c>
      <c r="R2412" s="194">
        <v>0</v>
      </c>
      <c r="S2412" s="193">
        <f t="shared" si="524"/>
        <v>0</v>
      </c>
      <c r="T2412" s="193">
        <f t="shared" si="525"/>
        <v>0</v>
      </c>
      <c r="U2412" s="193">
        <f ca="1">OFFSET('Expenditure Study'!$B$7,'Operations Support'!$C2412,'Operations Support'!$B2412)*$G2412</f>
        <v>0</v>
      </c>
      <c r="V2412" s="199">
        <f ca="1">U2412*'Expenditure Study'!$B$31</f>
        <v>0</v>
      </c>
      <c r="W2412" s="199">
        <f ca="1">IF(A2412=10298,1.51,1)*IF($B2412&lt;3,$D2412*'Expenditure Study'!$B$32*OFFSET('Expenditure Study'!$B$7,'Operations Support'!$C2412,'Operations Support'!$B2412),0)</f>
        <v>0</v>
      </c>
      <c r="X2412" s="200">
        <f ca="1">W2412*'Expenditure Study'!$B$31</f>
        <v>0</v>
      </c>
      <c r="Y2412" s="199">
        <f ca="1">U2412*'Expenditure Study'!$B$31</f>
        <v>0</v>
      </c>
      <c r="Z2412" s="200">
        <f ca="1">W2412*'Expenditure Study'!$B$31</f>
        <v>0</v>
      </c>
      <c r="AA2412" s="195">
        <f t="shared" ca="1" si="526"/>
        <v>0</v>
      </c>
      <c r="AB2412" s="195">
        <f t="shared" ca="1" si="527"/>
        <v>0</v>
      </c>
      <c r="AD2412" s="196">
        <f>IFERROR($G2412/SUMIF($A:$A,$A2412,$G:$G)*SUMIF(Summary!$A$166:$A$242,$A2412,Summary!$P$166:$P$242),0)</f>
        <v>0</v>
      </c>
      <c r="AE2412" s="197">
        <f t="shared" ca="1" si="528"/>
        <v>0</v>
      </c>
      <c r="AF2412" s="196">
        <f>IFERROR(G2412/SUMIF(A:A,A2412,G:G)*SUMIF(Summary!$A$166:$A$242,'Operations Support'!A2412,Summary!$Q$166:$Q$242),0)</f>
        <v>0</v>
      </c>
      <c r="AG2412" s="196">
        <f t="shared" ca="1" si="529"/>
        <v>0</v>
      </c>
      <c r="AI2412" s="196">
        <f>IFERROR($G2412/SUMIF($A:$A,$A2412,$G:$G)*SUMIF(Summary!$A$247:$A$283,$A2412,Summary!$P$247:$P$283),0)</f>
        <v>0</v>
      </c>
      <c r="AJ2412" s="196">
        <f>IFERROR($G2412/SUMIF($A:$A,$A2412,$G:$G)*(SUMIF(Summary!$A$247:$A$283,$A2412,Summary!$L$247:$L$283)+SUMIF(Summary!$A$297:$A$333,$A2412,Summary!$L$297:$L$333))-AI2412,0)</f>
        <v>0</v>
      </c>
      <c r="AK2412" s="196">
        <f>IFERROR($G2412/SUMIF($A:$A,$A2412,$G:$G)*SUMIF(Summary!$A$247:$A$283,$A2412,Summary!$Q$247:$Q$283),0)</f>
        <v>0</v>
      </c>
      <c r="AL2412" s="196">
        <f>IFERROR($G2412/SUMIF($A:$A,$A2412,$G:$G)*(SUMIF(Summary!$A$247:$A$283,$A2412,Summary!$L$247:$L$283)+SUMIF(Summary!$A$297:$A$333,$A2412,Summary!$L$297:$L$333))-AK2412,0)</f>
        <v>0</v>
      </c>
      <c r="AM2412" s="198"/>
      <c r="AN2412" s="196">
        <f t="shared" ca="1" si="530"/>
        <v>0</v>
      </c>
      <c r="AO2412" s="196">
        <f t="shared" ca="1" si="531"/>
        <v>0</v>
      </c>
    </row>
    <row r="2413" spans="1:41">
      <c r="A2413" s="189">
        <v>3665</v>
      </c>
      <c r="B2413" s="190">
        <v>5</v>
      </c>
      <c r="C2413" s="191" t="s">
        <v>234</v>
      </c>
      <c r="D2413" s="192">
        <f t="shared" si="518"/>
        <v>0</v>
      </c>
      <c r="E2413" s="192">
        <f t="shared" si="519"/>
        <v>0</v>
      </c>
      <c r="F2413" s="192">
        <f t="shared" si="520"/>
        <v>0</v>
      </c>
      <c r="G2413" s="193">
        <f t="shared" si="521"/>
        <v>0</v>
      </c>
      <c r="H2413" s="194">
        <v>0</v>
      </c>
      <c r="I2413" s="194">
        <v>0</v>
      </c>
      <c r="J2413" s="194">
        <v>0</v>
      </c>
      <c r="K2413" s="193">
        <f t="shared" si="522"/>
        <v>0</v>
      </c>
      <c r="L2413" s="194">
        <v>0</v>
      </c>
      <c r="M2413" s="194">
        <v>0</v>
      </c>
      <c r="N2413" s="194">
        <v>0</v>
      </c>
      <c r="O2413" s="193">
        <f t="shared" si="523"/>
        <v>0</v>
      </c>
      <c r="P2413" s="194">
        <v>0</v>
      </c>
      <c r="Q2413" s="194">
        <v>0</v>
      </c>
      <c r="R2413" s="194">
        <v>0</v>
      </c>
      <c r="S2413" s="193">
        <f t="shared" si="524"/>
        <v>0</v>
      </c>
      <c r="T2413" s="193">
        <f t="shared" si="525"/>
        <v>0</v>
      </c>
      <c r="U2413" s="193">
        <f ca="1">OFFSET('Expenditure Study'!$B$7,'Operations Support'!$C2413,'Operations Support'!$B2413)*$G2413</f>
        <v>0</v>
      </c>
      <c r="V2413" s="199">
        <f ca="1">U2413*'Expenditure Study'!$B$31</f>
        <v>0</v>
      </c>
      <c r="W2413" s="199">
        <f ca="1">IF(A2413=10298,1.51,1)*IF($B2413&lt;3,$D2413*'Expenditure Study'!$B$32*OFFSET('Expenditure Study'!$B$7,'Operations Support'!$C2413,'Operations Support'!$B2413),0)</f>
        <v>0</v>
      </c>
      <c r="X2413" s="200">
        <f ca="1">W2413*'Expenditure Study'!$B$31</f>
        <v>0</v>
      </c>
      <c r="Y2413" s="199">
        <f ca="1">U2413*'Expenditure Study'!$B$31</f>
        <v>0</v>
      </c>
      <c r="Z2413" s="200">
        <f ca="1">W2413*'Expenditure Study'!$B$31</f>
        <v>0</v>
      </c>
      <c r="AA2413" s="195">
        <f t="shared" ca="1" si="526"/>
        <v>0</v>
      </c>
      <c r="AB2413" s="195">
        <f t="shared" ca="1" si="527"/>
        <v>0</v>
      </c>
      <c r="AD2413" s="196">
        <f>IFERROR($G2413/SUMIF($A:$A,$A2413,$G:$G)*SUMIF(Summary!$A$166:$A$242,$A2413,Summary!$P$166:$P$242),0)</f>
        <v>0</v>
      </c>
      <c r="AE2413" s="197">
        <f t="shared" ca="1" si="528"/>
        <v>0</v>
      </c>
      <c r="AF2413" s="196">
        <f>IFERROR(G2413/SUMIF(A:A,A2413,G:G)*SUMIF(Summary!$A$166:$A$242,'Operations Support'!A2413,Summary!$Q$166:$Q$242),0)</f>
        <v>0</v>
      </c>
      <c r="AG2413" s="196">
        <f t="shared" ca="1" si="529"/>
        <v>0</v>
      </c>
      <c r="AI2413" s="196">
        <f>IFERROR($G2413/SUMIF($A:$A,$A2413,$G:$G)*SUMIF(Summary!$A$247:$A$283,$A2413,Summary!$P$247:$P$283),0)</f>
        <v>0</v>
      </c>
      <c r="AJ2413" s="196">
        <f>IFERROR($G2413/SUMIF($A:$A,$A2413,$G:$G)*(SUMIF(Summary!$A$247:$A$283,$A2413,Summary!$L$247:$L$283)+SUMIF(Summary!$A$297:$A$333,$A2413,Summary!$L$297:$L$333))-AI2413,0)</f>
        <v>0</v>
      </c>
      <c r="AK2413" s="196">
        <f>IFERROR($G2413/SUMIF($A:$A,$A2413,$G:$G)*SUMIF(Summary!$A$247:$A$283,$A2413,Summary!$Q$247:$Q$283),0)</f>
        <v>0</v>
      </c>
      <c r="AL2413" s="196">
        <f>IFERROR($G2413/SUMIF($A:$A,$A2413,$G:$G)*(SUMIF(Summary!$A$247:$A$283,$A2413,Summary!$L$247:$L$283)+SUMIF(Summary!$A$297:$A$333,$A2413,Summary!$L$297:$L$333))-AK2413,0)</f>
        <v>0</v>
      </c>
      <c r="AM2413" s="198"/>
      <c r="AN2413" s="196">
        <f t="shared" ca="1" si="530"/>
        <v>0</v>
      </c>
      <c r="AO2413" s="196">
        <f t="shared" ca="1" si="531"/>
        <v>0</v>
      </c>
    </row>
    <row r="2414" spans="1:41">
      <c r="A2414" s="189">
        <v>3665</v>
      </c>
      <c r="B2414" s="190">
        <v>5</v>
      </c>
      <c r="C2414" s="191" t="s">
        <v>235</v>
      </c>
      <c r="D2414" s="192">
        <f t="shared" si="518"/>
        <v>0</v>
      </c>
      <c r="E2414" s="192">
        <f t="shared" si="519"/>
        <v>0</v>
      </c>
      <c r="F2414" s="192">
        <f t="shared" si="520"/>
        <v>0</v>
      </c>
      <c r="G2414" s="193">
        <f t="shared" si="521"/>
        <v>0</v>
      </c>
      <c r="H2414" s="194">
        <v>0</v>
      </c>
      <c r="I2414" s="194">
        <v>0</v>
      </c>
      <c r="J2414" s="194">
        <v>0</v>
      </c>
      <c r="K2414" s="193">
        <f t="shared" si="522"/>
        <v>0</v>
      </c>
      <c r="L2414" s="194">
        <v>0</v>
      </c>
      <c r="M2414" s="194">
        <v>0</v>
      </c>
      <c r="N2414" s="194">
        <v>0</v>
      </c>
      <c r="O2414" s="193">
        <f t="shared" si="523"/>
        <v>0</v>
      </c>
      <c r="P2414" s="194">
        <v>0</v>
      </c>
      <c r="Q2414" s="194">
        <v>0</v>
      </c>
      <c r="R2414" s="194">
        <v>0</v>
      </c>
      <c r="S2414" s="193">
        <f t="shared" si="524"/>
        <v>0</v>
      </c>
      <c r="T2414" s="193">
        <f t="shared" si="525"/>
        <v>0</v>
      </c>
      <c r="U2414" s="193">
        <f ca="1">OFFSET('Expenditure Study'!$B$7,'Operations Support'!$C2414,'Operations Support'!$B2414)*$G2414</f>
        <v>0</v>
      </c>
      <c r="V2414" s="199">
        <f ca="1">U2414*'Expenditure Study'!$B$31</f>
        <v>0</v>
      </c>
      <c r="W2414" s="199">
        <f ca="1">IF(A2414=10298,1.51,1)*IF($B2414&lt;3,$D2414*'Expenditure Study'!$B$32*OFFSET('Expenditure Study'!$B$7,'Operations Support'!$C2414,'Operations Support'!$B2414),0)</f>
        <v>0</v>
      </c>
      <c r="X2414" s="200">
        <f ca="1">W2414*'Expenditure Study'!$B$31</f>
        <v>0</v>
      </c>
      <c r="Y2414" s="199">
        <f ca="1">U2414*'Expenditure Study'!$B$31</f>
        <v>0</v>
      </c>
      <c r="Z2414" s="200">
        <f ca="1">W2414*'Expenditure Study'!$B$31</f>
        <v>0</v>
      </c>
      <c r="AA2414" s="195">
        <f t="shared" ca="1" si="526"/>
        <v>0</v>
      </c>
      <c r="AB2414" s="195">
        <f t="shared" ca="1" si="527"/>
        <v>0</v>
      </c>
      <c r="AD2414" s="196">
        <f>IFERROR($G2414/SUMIF($A:$A,$A2414,$G:$G)*SUMIF(Summary!$A$166:$A$242,$A2414,Summary!$P$166:$P$242),0)</f>
        <v>0</v>
      </c>
      <c r="AE2414" s="197">
        <f t="shared" ca="1" si="528"/>
        <v>0</v>
      </c>
      <c r="AF2414" s="196">
        <f>IFERROR(G2414/SUMIF(A:A,A2414,G:G)*SUMIF(Summary!$A$166:$A$242,'Operations Support'!A2414,Summary!$Q$166:$Q$242),0)</f>
        <v>0</v>
      </c>
      <c r="AG2414" s="196">
        <f t="shared" ca="1" si="529"/>
        <v>0</v>
      </c>
      <c r="AI2414" s="196">
        <f>IFERROR($G2414/SUMIF($A:$A,$A2414,$G:$G)*SUMIF(Summary!$A$247:$A$283,$A2414,Summary!$P$247:$P$283),0)</f>
        <v>0</v>
      </c>
      <c r="AJ2414" s="196">
        <f>IFERROR($G2414/SUMIF($A:$A,$A2414,$G:$G)*(SUMIF(Summary!$A$247:$A$283,$A2414,Summary!$L$247:$L$283)+SUMIF(Summary!$A$297:$A$333,$A2414,Summary!$L$297:$L$333))-AI2414,0)</f>
        <v>0</v>
      </c>
      <c r="AK2414" s="196">
        <f>IFERROR($G2414/SUMIF($A:$A,$A2414,$G:$G)*SUMIF(Summary!$A$247:$A$283,$A2414,Summary!$Q$247:$Q$283),0)</f>
        <v>0</v>
      </c>
      <c r="AL2414" s="196">
        <f>IFERROR($G2414/SUMIF($A:$A,$A2414,$G:$G)*(SUMIF(Summary!$A$247:$A$283,$A2414,Summary!$L$247:$L$283)+SUMIF(Summary!$A$297:$A$333,$A2414,Summary!$L$297:$L$333))-AK2414,0)</f>
        <v>0</v>
      </c>
      <c r="AM2414" s="198"/>
      <c r="AN2414" s="196">
        <f t="shared" ca="1" si="530"/>
        <v>0</v>
      </c>
      <c r="AO2414" s="196">
        <f t="shared" ca="1" si="531"/>
        <v>0</v>
      </c>
    </row>
    <row r="2415" spans="1:41">
      <c r="A2415" s="189">
        <v>3665</v>
      </c>
      <c r="B2415" s="190">
        <v>5</v>
      </c>
      <c r="C2415" s="191" t="s">
        <v>236</v>
      </c>
      <c r="D2415" s="192">
        <f t="shared" si="518"/>
        <v>0</v>
      </c>
      <c r="E2415" s="192">
        <f t="shared" si="519"/>
        <v>0</v>
      </c>
      <c r="F2415" s="192">
        <f t="shared" si="520"/>
        <v>0</v>
      </c>
      <c r="G2415" s="193">
        <f t="shared" si="521"/>
        <v>0</v>
      </c>
      <c r="H2415" s="194">
        <v>0</v>
      </c>
      <c r="I2415" s="194">
        <v>0</v>
      </c>
      <c r="J2415" s="194">
        <v>0</v>
      </c>
      <c r="K2415" s="193">
        <f t="shared" si="522"/>
        <v>0</v>
      </c>
      <c r="L2415" s="194">
        <v>0</v>
      </c>
      <c r="M2415" s="194">
        <v>0</v>
      </c>
      <c r="N2415" s="194">
        <v>0</v>
      </c>
      <c r="O2415" s="193">
        <f t="shared" si="523"/>
        <v>0</v>
      </c>
      <c r="P2415" s="194">
        <v>0</v>
      </c>
      <c r="Q2415" s="194">
        <v>0</v>
      </c>
      <c r="R2415" s="194">
        <v>0</v>
      </c>
      <c r="S2415" s="193">
        <f t="shared" si="524"/>
        <v>0</v>
      </c>
      <c r="T2415" s="193">
        <f t="shared" si="525"/>
        <v>0</v>
      </c>
      <c r="U2415" s="193">
        <f ca="1">OFFSET('Expenditure Study'!$B$7,'Operations Support'!$C2415,'Operations Support'!$B2415)*$G2415</f>
        <v>0</v>
      </c>
      <c r="V2415" s="199">
        <f ca="1">U2415*'Expenditure Study'!$B$31</f>
        <v>0</v>
      </c>
      <c r="W2415" s="199">
        <f ca="1">IF(A2415=10298,1.51,1)*IF($B2415&lt;3,$D2415*'Expenditure Study'!$B$32*OFFSET('Expenditure Study'!$B$7,'Operations Support'!$C2415,'Operations Support'!$B2415),0)</f>
        <v>0</v>
      </c>
      <c r="X2415" s="200">
        <f ca="1">W2415*'Expenditure Study'!$B$31</f>
        <v>0</v>
      </c>
      <c r="Y2415" s="199">
        <f ca="1">U2415*'Expenditure Study'!$B$31</f>
        <v>0</v>
      </c>
      <c r="Z2415" s="200">
        <f ca="1">W2415*'Expenditure Study'!$B$31</f>
        <v>0</v>
      </c>
      <c r="AA2415" s="195">
        <f t="shared" ca="1" si="526"/>
        <v>0</v>
      </c>
      <c r="AB2415" s="195">
        <f t="shared" ca="1" si="527"/>
        <v>0</v>
      </c>
      <c r="AD2415" s="196">
        <f>IFERROR($G2415/SUMIF($A:$A,$A2415,$G:$G)*SUMIF(Summary!$A$166:$A$242,$A2415,Summary!$P$166:$P$242),0)</f>
        <v>0</v>
      </c>
      <c r="AE2415" s="197">
        <f t="shared" ca="1" si="528"/>
        <v>0</v>
      </c>
      <c r="AF2415" s="196">
        <f>IFERROR(G2415/SUMIF(A:A,A2415,G:G)*SUMIF(Summary!$A$166:$A$242,'Operations Support'!A2415,Summary!$Q$166:$Q$242),0)</f>
        <v>0</v>
      </c>
      <c r="AG2415" s="196">
        <f t="shared" ca="1" si="529"/>
        <v>0</v>
      </c>
      <c r="AI2415" s="196">
        <f>IFERROR($G2415/SUMIF($A:$A,$A2415,$G:$G)*SUMIF(Summary!$A$247:$A$283,$A2415,Summary!$P$247:$P$283),0)</f>
        <v>0</v>
      </c>
      <c r="AJ2415" s="196">
        <f>IFERROR($G2415/SUMIF($A:$A,$A2415,$G:$G)*(SUMIF(Summary!$A$247:$A$283,$A2415,Summary!$L$247:$L$283)+SUMIF(Summary!$A$297:$A$333,$A2415,Summary!$L$297:$L$333))-AI2415,0)</f>
        <v>0</v>
      </c>
      <c r="AK2415" s="196">
        <f>IFERROR($G2415/SUMIF($A:$A,$A2415,$G:$G)*SUMIF(Summary!$A$247:$A$283,$A2415,Summary!$Q$247:$Q$283),0)</f>
        <v>0</v>
      </c>
      <c r="AL2415" s="196">
        <f>IFERROR($G2415/SUMIF($A:$A,$A2415,$G:$G)*(SUMIF(Summary!$A$247:$A$283,$A2415,Summary!$L$247:$L$283)+SUMIF(Summary!$A$297:$A$333,$A2415,Summary!$L$297:$L$333))-AK2415,0)</f>
        <v>0</v>
      </c>
      <c r="AM2415" s="198"/>
      <c r="AN2415" s="196">
        <f t="shared" ca="1" si="530"/>
        <v>0</v>
      </c>
      <c r="AO2415" s="196">
        <f t="shared" ca="1" si="531"/>
        <v>0</v>
      </c>
    </row>
    <row r="2416" spans="1:41">
      <c r="A2416" s="189">
        <v>3665</v>
      </c>
      <c r="B2416" s="190">
        <v>5</v>
      </c>
      <c r="C2416" s="191" t="s">
        <v>237</v>
      </c>
      <c r="D2416" s="192">
        <f t="shared" si="518"/>
        <v>0</v>
      </c>
      <c r="E2416" s="192">
        <f t="shared" si="519"/>
        <v>0</v>
      </c>
      <c r="F2416" s="192">
        <f t="shared" si="520"/>
        <v>0</v>
      </c>
      <c r="G2416" s="193">
        <f t="shared" si="521"/>
        <v>0</v>
      </c>
      <c r="H2416" s="194">
        <v>0</v>
      </c>
      <c r="I2416" s="194">
        <v>0</v>
      </c>
      <c r="J2416" s="194">
        <v>0</v>
      </c>
      <c r="K2416" s="193">
        <f t="shared" si="522"/>
        <v>0</v>
      </c>
      <c r="L2416" s="194">
        <v>0</v>
      </c>
      <c r="M2416" s="194">
        <v>0</v>
      </c>
      <c r="N2416" s="194">
        <v>0</v>
      </c>
      <c r="O2416" s="193">
        <f t="shared" si="523"/>
        <v>0</v>
      </c>
      <c r="P2416" s="194">
        <v>0</v>
      </c>
      <c r="Q2416" s="194">
        <v>0</v>
      </c>
      <c r="R2416" s="194">
        <v>0</v>
      </c>
      <c r="S2416" s="193">
        <f t="shared" si="524"/>
        <v>0</v>
      </c>
      <c r="T2416" s="193">
        <f t="shared" si="525"/>
        <v>0</v>
      </c>
      <c r="U2416" s="193">
        <f ca="1">OFFSET('Expenditure Study'!$B$7,'Operations Support'!$C2416,'Operations Support'!$B2416)*$G2416</f>
        <v>0</v>
      </c>
      <c r="V2416" s="199">
        <f ca="1">U2416*'Expenditure Study'!$B$31</f>
        <v>0</v>
      </c>
      <c r="W2416" s="199">
        <f ca="1">IF(A2416=10298,1.51,1)*IF($B2416&lt;3,$D2416*'Expenditure Study'!$B$32*OFFSET('Expenditure Study'!$B$7,'Operations Support'!$C2416,'Operations Support'!$B2416),0)</f>
        <v>0</v>
      </c>
      <c r="X2416" s="200">
        <f ca="1">W2416*'Expenditure Study'!$B$31</f>
        <v>0</v>
      </c>
      <c r="Y2416" s="199">
        <f ca="1">U2416*'Expenditure Study'!$B$31</f>
        <v>0</v>
      </c>
      <c r="Z2416" s="200">
        <f ca="1">W2416*'Expenditure Study'!$B$31</f>
        <v>0</v>
      </c>
      <c r="AA2416" s="195">
        <f t="shared" ca="1" si="526"/>
        <v>0</v>
      </c>
      <c r="AB2416" s="195">
        <f t="shared" ca="1" si="527"/>
        <v>0</v>
      </c>
      <c r="AD2416" s="196">
        <f>IFERROR($G2416/SUMIF($A:$A,$A2416,$G:$G)*SUMIF(Summary!$A$166:$A$242,$A2416,Summary!$P$166:$P$242),0)</f>
        <v>0</v>
      </c>
      <c r="AE2416" s="197">
        <f t="shared" ca="1" si="528"/>
        <v>0</v>
      </c>
      <c r="AF2416" s="196">
        <f>IFERROR(G2416/SUMIF(A:A,A2416,G:G)*SUMIF(Summary!$A$166:$A$242,'Operations Support'!A2416,Summary!$Q$166:$Q$242),0)</f>
        <v>0</v>
      </c>
      <c r="AG2416" s="196">
        <f t="shared" ca="1" si="529"/>
        <v>0</v>
      </c>
      <c r="AI2416" s="196">
        <f>IFERROR($G2416/SUMIF($A:$A,$A2416,$G:$G)*SUMIF(Summary!$A$247:$A$283,$A2416,Summary!$P$247:$P$283),0)</f>
        <v>0</v>
      </c>
      <c r="AJ2416" s="196">
        <f>IFERROR($G2416/SUMIF($A:$A,$A2416,$G:$G)*(SUMIF(Summary!$A$247:$A$283,$A2416,Summary!$L$247:$L$283)+SUMIF(Summary!$A$297:$A$333,$A2416,Summary!$L$297:$L$333))-AI2416,0)</f>
        <v>0</v>
      </c>
      <c r="AK2416" s="196">
        <f>IFERROR($G2416/SUMIF($A:$A,$A2416,$G:$G)*SUMIF(Summary!$A$247:$A$283,$A2416,Summary!$Q$247:$Q$283),0)</f>
        <v>0</v>
      </c>
      <c r="AL2416" s="196">
        <f>IFERROR($G2416/SUMIF($A:$A,$A2416,$G:$G)*(SUMIF(Summary!$A$247:$A$283,$A2416,Summary!$L$247:$L$283)+SUMIF(Summary!$A$297:$A$333,$A2416,Summary!$L$297:$L$333))-AK2416,0)</f>
        <v>0</v>
      </c>
      <c r="AM2416" s="198"/>
      <c r="AN2416" s="196">
        <f t="shared" ca="1" si="530"/>
        <v>0</v>
      </c>
      <c r="AO2416" s="196">
        <f t="shared" ca="1" si="531"/>
        <v>0</v>
      </c>
    </row>
    <row r="2417" spans="1:41">
      <c r="A2417" s="189">
        <v>3665</v>
      </c>
      <c r="B2417" s="190">
        <v>5</v>
      </c>
      <c r="C2417" s="191" t="s">
        <v>238</v>
      </c>
      <c r="D2417" s="192">
        <f t="shared" si="518"/>
        <v>0</v>
      </c>
      <c r="E2417" s="192">
        <f t="shared" si="519"/>
        <v>0</v>
      </c>
      <c r="F2417" s="192">
        <f t="shared" si="520"/>
        <v>0</v>
      </c>
      <c r="G2417" s="193">
        <f t="shared" si="521"/>
        <v>0</v>
      </c>
      <c r="H2417" s="194">
        <v>0</v>
      </c>
      <c r="I2417" s="194">
        <v>0</v>
      </c>
      <c r="J2417" s="194">
        <v>0</v>
      </c>
      <c r="K2417" s="193">
        <f t="shared" si="522"/>
        <v>0</v>
      </c>
      <c r="L2417" s="194">
        <v>0</v>
      </c>
      <c r="M2417" s="194">
        <v>0</v>
      </c>
      <c r="N2417" s="194">
        <v>0</v>
      </c>
      <c r="O2417" s="193">
        <f t="shared" si="523"/>
        <v>0</v>
      </c>
      <c r="P2417" s="194">
        <v>0</v>
      </c>
      <c r="Q2417" s="194">
        <v>0</v>
      </c>
      <c r="R2417" s="194">
        <v>0</v>
      </c>
      <c r="S2417" s="193">
        <f t="shared" si="524"/>
        <v>0</v>
      </c>
      <c r="T2417" s="193">
        <f t="shared" si="525"/>
        <v>0</v>
      </c>
      <c r="U2417" s="193">
        <f ca="1">OFFSET('Expenditure Study'!$B$7,'Operations Support'!$C2417,'Operations Support'!$B2417)*$G2417</f>
        <v>0</v>
      </c>
      <c r="V2417" s="199">
        <f ca="1">U2417*'Expenditure Study'!$B$31</f>
        <v>0</v>
      </c>
      <c r="W2417" s="199">
        <f ca="1">IF(A2417=10298,1.51,1)*IF($B2417&lt;3,$D2417*'Expenditure Study'!$B$32*OFFSET('Expenditure Study'!$B$7,'Operations Support'!$C2417,'Operations Support'!$B2417),0)</f>
        <v>0</v>
      </c>
      <c r="X2417" s="200">
        <f ca="1">W2417*'Expenditure Study'!$B$31</f>
        <v>0</v>
      </c>
      <c r="Y2417" s="199">
        <f ca="1">U2417*'Expenditure Study'!$B$31</f>
        <v>0</v>
      </c>
      <c r="Z2417" s="200">
        <f ca="1">W2417*'Expenditure Study'!$B$31</f>
        <v>0</v>
      </c>
      <c r="AA2417" s="195">
        <f t="shared" ca="1" si="526"/>
        <v>0</v>
      </c>
      <c r="AB2417" s="195">
        <f t="shared" ca="1" si="527"/>
        <v>0</v>
      </c>
      <c r="AD2417" s="196">
        <f>IFERROR($G2417/SUMIF($A:$A,$A2417,$G:$G)*SUMIF(Summary!$A$166:$A$242,$A2417,Summary!$P$166:$P$242),0)</f>
        <v>0</v>
      </c>
      <c r="AE2417" s="197">
        <f t="shared" ca="1" si="528"/>
        <v>0</v>
      </c>
      <c r="AF2417" s="196">
        <f>IFERROR(G2417/SUMIF(A:A,A2417,G:G)*SUMIF(Summary!$A$166:$A$242,'Operations Support'!A2417,Summary!$Q$166:$Q$242),0)</f>
        <v>0</v>
      </c>
      <c r="AG2417" s="196">
        <f t="shared" ca="1" si="529"/>
        <v>0</v>
      </c>
      <c r="AI2417" s="196">
        <f>IFERROR($G2417/SUMIF($A:$A,$A2417,$G:$G)*SUMIF(Summary!$A$247:$A$283,$A2417,Summary!$P$247:$P$283),0)</f>
        <v>0</v>
      </c>
      <c r="AJ2417" s="196">
        <f>IFERROR($G2417/SUMIF($A:$A,$A2417,$G:$G)*(SUMIF(Summary!$A$247:$A$283,$A2417,Summary!$L$247:$L$283)+SUMIF(Summary!$A$297:$A$333,$A2417,Summary!$L$297:$L$333))-AI2417,0)</f>
        <v>0</v>
      </c>
      <c r="AK2417" s="196">
        <f>IFERROR($G2417/SUMIF($A:$A,$A2417,$G:$G)*SUMIF(Summary!$A$247:$A$283,$A2417,Summary!$Q$247:$Q$283),0)</f>
        <v>0</v>
      </c>
      <c r="AL2417" s="196">
        <f>IFERROR($G2417/SUMIF($A:$A,$A2417,$G:$G)*(SUMIF(Summary!$A$247:$A$283,$A2417,Summary!$L$247:$L$283)+SUMIF(Summary!$A$297:$A$333,$A2417,Summary!$L$297:$L$333))-AK2417,0)</f>
        <v>0</v>
      </c>
      <c r="AM2417" s="198"/>
      <c r="AN2417" s="196">
        <f t="shared" ca="1" si="530"/>
        <v>0</v>
      </c>
      <c r="AO2417" s="196">
        <f t="shared" ca="1" si="531"/>
        <v>0</v>
      </c>
    </row>
    <row r="2418" spans="1:41">
      <c r="A2418" s="189">
        <v>3665</v>
      </c>
      <c r="B2418" s="190">
        <v>5</v>
      </c>
      <c r="C2418" s="191" t="s">
        <v>239</v>
      </c>
      <c r="D2418" s="192">
        <f t="shared" si="518"/>
        <v>0</v>
      </c>
      <c r="E2418" s="192">
        <f t="shared" si="519"/>
        <v>0</v>
      </c>
      <c r="F2418" s="192">
        <f t="shared" si="520"/>
        <v>0</v>
      </c>
      <c r="G2418" s="193">
        <f t="shared" si="521"/>
        <v>0</v>
      </c>
      <c r="H2418" s="194">
        <v>0</v>
      </c>
      <c r="I2418" s="194">
        <v>0</v>
      </c>
      <c r="J2418" s="194">
        <v>0</v>
      </c>
      <c r="K2418" s="193">
        <f t="shared" si="522"/>
        <v>0</v>
      </c>
      <c r="L2418" s="194">
        <v>0</v>
      </c>
      <c r="M2418" s="194">
        <v>0</v>
      </c>
      <c r="N2418" s="194">
        <v>0</v>
      </c>
      <c r="O2418" s="193">
        <f t="shared" si="523"/>
        <v>0</v>
      </c>
      <c r="P2418" s="194">
        <v>0</v>
      </c>
      <c r="Q2418" s="194">
        <v>0</v>
      </c>
      <c r="R2418" s="194">
        <v>0</v>
      </c>
      <c r="S2418" s="193">
        <f t="shared" si="524"/>
        <v>0</v>
      </c>
      <c r="T2418" s="193">
        <f t="shared" si="525"/>
        <v>0</v>
      </c>
      <c r="U2418" s="193">
        <f ca="1">OFFSET('Expenditure Study'!$B$7,'Operations Support'!$C2418,'Operations Support'!$B2418)*$G2418</f>
        <v>0</v>
      </c>
      <c r="V2418" s="199">
        <f ca="1">U2418*'Expenditure Study'!$B$31</f>
        <v>0</v>
      </c>
      <c r="W2418" s="199">
        <f ca="1">IF(A2418=10298,1.51,1)*IF($B2418&lt;3,$D2418*'Expenditure Study'!$B$32*OFFSET('Expenditure Study'!$B$7,'Operations Support'!$C2418,'Operations Support'!$B2418),0)</f>
        <v>0</v>
      </c>
      <c r="X2418" s="200">
        <f ca="1">W2418*'Expenditure Study'!$B$31</f>
        <v>0</v>
      </c>
      <c r="Y2418" s="199">
        <f ca="1">U2418*'Expenditure Study'!$B$31</f>
        <v>0</v>
      </c>
      <c r="Z2418" s="200">
        <f ca="1">W2418*'Expenditure Study'!$B$31</f>
        <v>0</v>
      </c>
      <c r="AA2418" s="195">
        <f t="shared" ca="1" si="526"/>
        <v>0</v>
      </c>
      <c r="AB2418" s="195">
        <f t="shared" ca="1" si="527"/>
        <v>0</v>
      </c>
      <c r="AD2418" s="196">
        <f>IFERROR($G2418/SUMIF($A:$A,$A2418,$G:$G)*SUMIF(Summary!$A$166:$A$242,$A2418,Summary!$P$166:$P$242),0)</f>
        <v>0</v>
      </c>
      <c r="AE2418" s="197">
        <f t="shared" ca="1" si="528"/>
        <v>0</v>
      </c>
      <c r="AF2418" s="196">
        <f>IFERROR(G2418/SUMIF(A:A,A2418,G:G)*SUMIF(Summary!$A$166:$A$242,'Operations Support'!A2418,Summary!$Q$166:$Q$242),0)</f>
        <v>0</v>
      </c>
      <c r="AG2418" s="196">
        <f t="shared" ca="1" si="529"/>
        <v>0</v>
      </c>
      <c r="AI2418" s="196">
        <f>IFERROR($G2418/SUMIF($A:$A,$A2418,$G:$G)*SUMIF(Summary!$A$247:$A$283,$A2418,Summary!$P$247:$P$283),0)</f>
        <v>0</v>
      </c>
      <c r="AJ2418" s="196">
        <f>IFERROR($G2418/SUMIF($A:$A,$A2418,$G:$G)*(SUMIF(Summary!$A$247:$A$283,$A2418,Summary!$L$247:$L$283)+SUMIF(Summary!$A$297:$A$333,$A2418,Summary!$L$297:$L$333))-AI2418,0)</f>
        <v>0</v>
      </c>
      <c r="AK2418" s="196">
        <f>IFERROR($G2418/SUMIF($A:$A,$A2418,$G:$G)*SUMIF(Summary!$A$247:$A$283,$A2418,Summary!$Q$247:$Q$283),0)</f>
        <v>0</v>
      </c>
      <c r="AL2418" s="196">
        <f>IFERROR($G2418/SUMIF($A:$A,$A2418,$G:$G)*(SUMIF(Summary!$A$247:$A$283,$A2418,Summary!$L$247:$L$283)+SUMIF(Summary!$A$297:$A$333,$A2418,Summary!$L$297:$L$333))-AK2418,0)</f>
        <v>0</v>
      </c>
      <c r="AM2418" s="198"/>
      <c r="AN2418" s="196">
        <f t="shared" ca="1" si="530"/>
        <v>0</v>
      </c>
      <c r="AO2418" s="196">
        <f t="shared" ca="1" si="531"/>
        <v>0</v>
      </c>
    </row>
    <row r="2419" spans="1:41">
      <c r="A2419" s="189">
        <v>3665</v>
      </c>
      <c r="B2419" s="190">
        <v>5</v>
      </c>
      <c r="C2419" s="191" t="s">
        <v>240</v>
      </c>
      <c r="D2419" s="192">
        <f t="shared" si="518"/>
        <v>0</v>
      </c>
      <c r="E2419" s="192">
        <f t="shared" si="519"/>
        <v>0</v>
      </c>
      <c r="F2419" s="192">
        <f t="shared" si="520"/>
        <v>0</v>
      </c>
      <c r="G2419" s="193">
        <f t="shared" si="521"/>
        <v>0</v>
      </c>
      <c r="H2419" s="194">
        <v>0</v>
      </c>
      <c r="I2419" s="194">
        <v>0</v>
      </c>
      <c r="J2419" s="194">
        <v>0</v>
      </c>
      <c r="K2419" s="193">
        <f t="shared" si="522"/>
        <v>0</v>
      </c>
      <c r="L2419" s="194">
        <v>0</v>
      </c>
      <c r="M2419" s="194">
        <v>0</v>
      </c>
      <c r="N2419" s="194">
        <v>0</v>
      </c>
      <c r="O2419" s="193">
        <f t="shared" si="523"/>
        <v>0</v>
      </c>
      <c r="P2419" s="194">
        <v>0</v>
      </c>
      <c r="Q2419" s="194">
        <v>0</v>
      </c>
      <c r="R2419" s="194">
        <v>0</v>
      </c>
      <c r="S2419" s="193">
        <f t="shared" si="524"/>
        <v>0</v>
      </c>
      <c r="T2419" s="193">
        <f t="shared" si="525"/>
        <v>0</v>
      </c>
      <c r="U2419" s="193">
        <f ca="1">OFFSET('Expenditure Study'!$B$7,'Operations Support'!$C2419,'Operations Support'!$B2419)*$G2419</f>
        <v>0</v>
      </c>
      <c r="V2419" s="199">
        <f ca="1">U2419*'Expenditure Study'!$B$31</f>
        <v>0</v>
      </c>
      <c r="W2419" s="199">
        <f ca="1">IF(A2419=10298,1.51,1)*IF($B2419&lt;3,$D2419*'Expenditure Study'!$B$32*OFFSET('Expenditure Study'!$B$7,'Operations Support'!$C2419,'Operations Support'!$B2419),0)</f>
        <v>0</v>
      </c>
      <c r="X2419" s="200">
        <f ca="1">W2419*'Expenditure Study'!$B$31</f>
        <v>0</v>
      </c>
      <c r="Y2419" s="199">
        <f ca="1">U2419*'Expenditure Study'!$B$31</f>
        <v>0</v>
      </c>
      <c r="Z2419" s="200">
        <f ca="1">W2419*'Expenditure Study'!$B$31</f>
        <v>0</v>
      </c>
      <c r="AA2419" s="195">
        <f t="shared" ca="1" si="526"/>
        <v>0</v>
      </c>
      <c r="AB2419" s="195">
        <f t="shared" ca="1" si="527"/>
        <v>0</v>
      </c>
      <c r="AD2419" s="196">
        <f>IFERROR($G2419/SUMIF($A:$A,$A2419,$G:$G)*SUMIF(Summary!$A$166:$A$242,$A2419,Summary!$P$166:$P$242),0)</f>
        <v>0</v>
      </c>
      <c r="AE2419" s="197">
        <f t="shared" ca="1" si="528"/>
        <v>0</v>
      </c>
      <c r="AF2419" s="196">
        <f>IFERROR(G2419/SUMIF(A:A,A2419,G:G)*SUMIF(Summary!$A$166:$A$242,'Operations Support'!A2419,Summary!$Q$166:$Q$242),0)</f>
        <v>0</v>
      </c>
      <c r="AG2419" s="196">
        <f t="shared" ca="1" si="529"/>
        <v>0</v>
      </c>
      <c r="AI2419" s="196">
        <f>IFERROR($G2419/SUMIF($A:$A,$A2419,$G:$G)*SUMIF(Summary!$A$247:$A$283,$A2419,Summary!$P$247:$P$283),0)</f>
        <v>0</v>
      </c>
      <c r="AJ2419" s="196">
        <f>IFERROR($G2419/SUMIF($A:$A,$A2419,$G:$G)*(SUMIF(Summary!$A$247:$A$283,$A2419,Summary!$L$247:$L$283)+SUMIF(Summary!$A$297:$A$333,$A2419,Summary!$L$297:$L$333))-AI2419,0)</f>
        <v>0</v>
      </c>
      <c r="AK2419" s="196">
        <f>IFERROR($G2419/SUMIF($A:$A,$A2419,$G:$G)*SUMIF(Summary!$A$247:$A$283,$A2419,Summary!$Q$247:$Q$283),0)</f>
        <v>0</v>
      </c>
      <c r="AL2419" s="196">
        <f>IFERROR($G2419/SUMIF($A:$A,$A2419,$G:$G)*(SUMIF(Summary!$A$247:$A$283,$A2419,Summary!$L$247:$L$283)+SUMIF(Summary!$A$297:$A$333,$A2419,Summary!$L$297:$L$333))-AK2419,0)</f>
        <v>0</v>
      </c>
      <c r="AM2419" s="198"/>
      <c r="AN2419" s="196">
        <f t="shared" ca="1" si="530"/>
        <v>0</v>
      </c>
      <c r="AO2419" s="196">
        <f t="shared" ca="1" si="531"/>
        <v>0</v>
      </c>
    </row>
    <row r="2420" spans="1:41">
      <c r="A2420" s="189">
        <v>9651</v>
      </c>
      <c r="B2420" s="190">
        <v>1</v>
      </c>
      <c r="C2420" s="191" t="s">
        <v>220</v>
      </c>
      <c r="D2420" s="192">
        <f t="shared" si="518"/>
        <v>11485</v>
      </c>
      <c r="E2420" s="192">
        <f t="shared" si="519"/>
        <v>48614</v>
      </c>
      <c r="F2420" s="192">
        <f t="shared" si="520"/>
        <v>0</v>
      </c>
      <c r="G2420" s="193">
        <f t="shared" si="521"/>
        <v>60099</v>
      </c>
      <c r="H2420" s="194">
        <v>4995</v>
      </c>
      <c r="I2420" s="194">
        <v>17871</v>
      </c>
      <c r="J2420" s="194">
        <v>0</v>
      </c>
      <c r="K2420" s="193">
        <f t="shared" si="522"/>
        <v>22866</v>
      </c>
      <c r="L2420" s="194">
        <v>4954</v>
      </c>
      <c r="M2420" s="194">
        <v>23336</v>
      </c>
      <c r="N2420" s="194">
        <v>0</v>
      </c>
      <c r="O2420" s="193">
        <f t="shared" si="523"/>
        <v>28290</v>
      </c>
      <c r="P2420" s="194">
        <v>1536</v>
      </c>
      <c r="Q2420" s="194">
        <v>7407</v>
      </c>
      <c r="R2420" s="194">
        <v>0</v>
      </c>
      <c r="S2420" s="193">
        <f t="shared" si="524"/>
        <v>8943</v>
      </c>
      <c r="T2420" s="193">
        <f t="shared" si="525"/>
        <v>2003.3</v>
      </c>
      <c r="U2420" s="193">
        <f ca="1">OFFSET('Expenditure Study'!$B$7,'Operations Support'!$C2420,'Operations Support'!$B2420)*$G2420</f>
        <v>60099</v>
      </c>
      <c r="V2420" s="199">
        <f ca="1">U2420*'Expenditure Study'!$B$31</f>
        <v>3550840.0828992003</v>
      </c>
      <c r="W2420" s="199">
        <f ca="1">IF(A2420=10298,1.51,1)*IF($B2420&lt;3,$D2420*'Expenditure Study'!$B$32*OFFSET('Expenditure Study'!$B$7,'Operations Support'!$C2420,'Operations Support'!$B2420),0)</f>
        <v>1148.5</v>
      </c>
      <c r="X2420" s="200">
        <f ca="1">W2420*'Expenditure Study'!$B$31</f>
        <v>67857.033148800008</v>
      </c>
      <c r="Y2420" s="199">
        <f ca="1">U2420*'Expenditure Study'!$B$31</f>
        <v>3550840.0828992003</v>
      </c>
      <c r="Z2420" s="200">
        <f ca="1">W2420*'Expenditure Study'!$B$31</f>
        <v>67857.033148800008</v>
      </c>
      <c r="AA2420" s="195">
        <f t="shared" ca="1" si="526"/>
        <v>3618697.1160480003</v>
      </c>
      <c r="AB2420" s="195">
        <f t="shared" ca="1" si="527"/>
        <v>3618697.1160480003</v>
      </c>
      <c r="AD2420" s="196">
        <f>IFERROR($G2420/SUMIF($A:$A,$A2420,$G:$G)*SUMIF(Summary!$A$166:$A$242,$A2420,Summary!$P$166:$P$242),0)</f>
        <v>1727895.7548628026</v>
      </c>
      <c r="AE2420" s="197">
        <f t="shared" ca="1" si="528"/>
        <v>1890801.3611851977</v>
      </c>
      <c r="AF2420" s="196">
        <f>IFERROR(G2420/SUMIF(A:A,A2420,G:G)*SUMIF(Summary!$A$166:$A$242,'Operations Support'!A2420,Summary!$Q$166:$Q$242),0)</f>
        <v>1728556.3844242436</v>
      </c>
      <c r="AG2420" s="196">
        <f t="shared" ca="1" si="529"/>
        <v>1890140.7316237567</v>
      </c>
      <c r="AI2420" s="196">
        <f>IFERROR($G2420/SUMIF($A:$A,$A2420,$G:$G)*SUMIF(Summary!$A$247:$A$283,$A2420,Summary!$P$247:$P$283),0)</f>
        <v>315125.06652906066</v>
      </c>
      <c r="AJ2420" s="196">
        <f>IFERROR($G2420/SUMIF($A:$A,$A2420,$G:$G)*(SUMIF(Summary!$A$247:$A$283,$A2420,Summary!$L$247:$L$283)+SUMIF(Summary!$A$297:$A$333,$A2420,Summary!$L$297:$L$333))-AI2420,0)</f>
        <v>1139205.4476212147</v>
      </c>
      <c r="AK2420" s="196">
        <f>IFERROR($G2420/SUMIF($A:$A,$A2420,$G:$G)*SUMIF(Summary!$A$247:$A$283,$A2420,Summary!$Q$247:$Q$283),0)</f>
        <v>315245.54887524055</v>
      </c>
      <c r="AL2420" s="196">
        <f>IFERROR($G2420/SUMIF($A:$A,$A2420,$G:$G)*(SUMIF(Summary!$A$247:$A$283,$A2420,Summary!$L$247:$L$283)+SUMIF(Summary!$A$297:$A$333,$A2420,Summary!$L$297:$L$333))-AK2420,0)</f>
        <v>1139084.9652750348</v>
      </c>
      <c r="AM2420" s="198"/>
      <c r="AN2420" s="196">
        <f t="shared" ca="1" si="530"/>
        <v>3030006.8088064124</v>
      </c>
      <c r="AO2420" s="196">
        <f t="shared" ca="1" si="531"/>
        <v>3029225.6968987915</v>
      </c>
    </row>
    <row r="2421" spans="1:41">
      <c r="A2421" s="189">
        <v>9651</v>
      </c>
      <c r="B2421" s="190">
        <v>1</v>
      </c>
      <c r="C2421" s="191" t="s">
        <v>221</v>
      </c>
      <c r="D2421" s="192">
        <f t="shared" si="518"/>
        <v>6922</v>
      </c>
      <c r="E2421" s="192">
        <f t="shared" si="519"/>
        <v>13115</v>
      </c>
      <c r="F2421" s="192">
        <f t="shared" si="520"/>
        <v>0</v>
      </c>
      <c r="G2421" s="193">
        <f t="shared" si="521"/>
        <v>20037</v>
      </c>
      <c r="H2421" s="194">
        <v>2762</v>
      </c>
      <c r="I2421" s="194">
        <v>5170</v>
      </c>
      <c r="J2421" s="194">
        <v>0</v>
      </c>
      <c r="K2421" s="193">
        <f t="shared" si="522"/>
        <v>7932</v>
      </c>
      <c r="L2421" s="194">
        <v>3989</v>
      </c>
      <c r="M2421" s="194">
        <v>6305</v>
      </c>
      <c r="N2421" s="194">
        <v>0</v>
      </c>
      <c r="O2421" s="193">
        <f t="shared" si="523"/>
        <v>10294</v>
      </c>
      <c r="P2421" s="194">
        <v>171</v>
      </c>
      <c r="Q2421" s="194">
        <v>1640</v>
      </c>
      <c r="R2421" s="194">
        <v>0</v>
      </c>
      <c r="S2421" s="193">
        <f t="shared" si="524"/>
        <v>1811</v>
      </c>
      <c r="T2421" s="193">
        <f t="shared" si="525"/>
        <v>667.9</v>
      </c>
      <c r="U2421" s="193">
        <f ca="1">OFFSET('Expenditure Study'!$B$7,'Operations Support'!$C2421,'Operations Support'!$B2421)*$G2421</f>
        <v>26849.58</v>
      </c>
      <c r="V2421" s="199">
        <f ca="1">U2421*'Expenditure Study'!$B$31</f>
        <v>1586358.5895440641</v>
      </c>
      <c r="W2421" s="199">
        <f ca="1">IF(A2421=10298,1.51,1)*IF($B2421&lt;3,$D2421*'Expenditure Study'!$B$32*OFFSET('Expenditure Study'!$B$7,'Operations Support'!$C2421,'Operations Support'!$B2421),0)</f>
        <v>927.54800000000012</v>
      </c>
      <c r="X2421" s="200">
        <f ca="1">W2421*'Expenditure Study'!$B$31</f>
        <v>54802.486184678404</v>
      </c>
      <c r="Y2421" s="199">
        <f ca="1">U2421*'Expenditure Study'!$B$31</f>
        <v>1586358.5895440641</v>
      </c>
      <c r="Z2421" s="200">
        <f ca="1">W2421*'Expenditure Study'!$B$31</f>
        <v>54802.486184678404</v>
      </c>
      <c r="AA2421" s="195">
        <f t="shared" ca="1" si="526"/>
        <v>1641161.0757287426</v>
      </c>
      <c r="AB2421" s="195">
        <f t="shared" ca="1" si="527"/>
        <v>1641161.0757287426</v>
      </c>
      <c r="AD2421" s="196">
        <f>IFERROR($G2421/SUMIF($A:$A,$A2421,$G:$G)*SUMIF(Summary!$A$166:$A$242,$A2421,Summary!$P$166:$P$242),0)</f>
        <v>576080.25491582183</v>
      </c>
      <c r="AE2421" s="197">
        <f t="shared" ca="1" si="528"/>
        <v>1065080.8208129208</v>
      </c>
      <c r="AF2421" s="196">
        <f>IFERROR(G2421/SUMIF(A:A,A2421,G:G)*SUMIF(Summary!$A$166:$A$242,'Operations Support'!A2421,Summary!$Q$166:$Q$242),0)</f>
        <v>576300.50873905676</v>
      </c>
      <c r="AG2421" s="196">
        <f t="shared" ca="1" si="529"/>
        <v>1064860.5669896859</v>
      </c>
      <c r="AI2421" s="196">
        <f>IFERROR($G2421/SUMIF($A:$A,$A2421,$G:$G)*SUMIF(Summary!$A$247:$A$283,$A2421,Summary!$P$247:$P$283),0)</f>
        <v>105062.66257413248</v>
      </c>
      <c r="AJ2421" s="196">
        <f>IFERROR($G2421/SUMIF($A:$A,$A2421,$G:$G)*(SUMIF(Summary!$A$247:$A$283,$A2421,Summary!$L$247:$L$283)+SUMIF(Summary!$A$297:$A$333,$A2421,Summary!$L$297:$L$333))-AI2421,0)</f>
        <v>379810.97113073897</v>
      </c>
      <c r="AK2421" s="196">
        <f>IFERROR($G2421/SUMIF($A:$A,$A2421,$G:$G)*SUMIF(Summary!$A$247:$A$283,$A2421,Summary!$Q$247:$Q$283),0)</f>
        <v>105102.83137511765</v>
      </c>
      <c r="AL2421" s="196">
        <f>IFERROR($G2421/SUMIF($A:$A,$A2421,$G:$G)*(SUMIF(Summary!$A$247:$A$283,$A2421,Summary!$L$247:$L$283)+SUMIF(Summary!$A$297:$A$333,$A2421,Summary!$L$297:$L$333))-AK2421,0)</f>
        <v>379770.80232975382</v>
      </c>
      <c r="AM2421" s="198"/>
      <c r="AN2421" s="196">
        <f t="shared" ca="1" si="530"/>
        <v>1444891.7919436598</v>
      </c>
      <c r="AO2421" s="196">
        <f t="shared" ca="1" si="531"/>
        <v>1444631.3693194396</v>
      </c>
    </row>
    <row r="2422" spans="1:41">
      <c r="A2422" s="189">
        <v>9651</v>
      </c>
      <c r="B2422" s="190">
        <v>1</v>
      </c>
      <c r="C2422" s="191" t="s">
        <v>222</v>
      </c>
      <c r="D2422" s="192">
        <f t="shared" si="518"/>
        <v>1059</v>
      </c>
      <c r="E2422" s="192">
        <f t="shared" si="519"/>
        <v>4270</v>
      </c>
      <c r="F2422" s="192">
        <f t="shared" si="520"/>
        <v>0</v>
      </c>
      <c r="G2422" s="193">
        <f t="shared" si="521"/>
        <v>5329</v>
      </c>
      <c r="H2422" s="194">
        <v>625</v>
      </c>
      <c r="I2422" s="194">
        <v>1636</v>
      </c>
      <c r="J2422" s="194">
        <v>0</v>
      </c>
      <c r="K2422" s="193">
        <f t="shared" si="522"/>
        <v>2261</v>
      </c>
      <c r="L2422" s="194">
        <v>434</v>
      </c>
      <c r="M2422" s="194">
        <v>2028</v>
      </c>
      <c r="N2422" s="194">
        <v>0</v>
      </c>
      <c r="O2422" s="193">
        <f t="shared" si="523"/>
        <v>2462</v>
      </c>
      <c r="P2422" s="194">
        <v>0</v>
      </c>
      <c r="Q2422" s="194">
        <v>606</v>
      </c>
      <c r="R2422" s="194">
        <v>0</v>
      </c>
      <c r="S2422" s="193">
        <f t="shared" si="524"/>
        <v>606</v>
      </c>
      <c r="T2422" s="193">
        <f t="shared" si="525"/>
        <v>177.63333333333333</v>
      </c>
      <c r="U2422" s="193">
        <f ca="1">OFFSET('Expenditure Study'!$B$7,'Operations Support'!$C2422,'Operations Support'!$B2422)*$G2422</f>
        <v>7300.7300000000005</v>
      </c>
      <c r="V2422" s="199">
        <f ca="1">U2422*'Expenditure Study'!$B$31</f>
        <v>431350.35056198406</v>
      </c>
      <c r="W2422" s="199">
        <f ca="1">IF(A2422=10298,1.51,1)*IF($B2422&lt;3,$D2422*'Expenditure Study'!$B$32*OFFSET('Expenditure Study'!$B$7,'Operations Support'!$C2422,'Operations Support'!$B2422),0)</f>
        <v>145.08300000000003</v>
      </c>
      <c r="X2422" s="200">
        <f ca="1">W2422*'Expenditure Study'!$B$31</f>
        <v>8571.9651200064018</v>
      </c>
      <c r="Y2422" s="199">
        <f ca="1">U2422*'Expenditure Study'!$B$31</f>
        <v>431350.35056198406</v>
      </c>
      <c r="Z2422" s="200">
        <f ca="1">W2422*'Expenditure Study'!$B$31</f>
        <v>8571.9651200064018</v>
      </c>
      <c r="AA2422" s="195">
        <f t="shared" ca="1" si="526"/>
        <v>439922.31568199047</v>
      </c>
      <c r="AB2422" s="195">
        <f t="shared" ca="1" si="527"/>
        <v>439922.31568199047</v>
      </c>
      <c r="AD2422" s="196">
        <f>IFERROR($G2422/SUMIF($A:$A,$A2422,$G:$G)*SUMIF(Summary!$A$166:$A$242,$A2422,Summary!$P$166:$P$242),0)</f>
        <v>153213.13961403476</v>
      </c>
      <c r="AE2422" s="197">
        <f t="shared" ca="1" si="528"/>
        <v>286709.17606795568</v>
      </c>
      <c r="AF2422" s="196">
        <f>IFERROR(G2422/SUMIF(A:A,A2422,G:G)*SUMIF(Summary!$A$166:$A$242,'Operations Support'!A2422,Summary!$Q$166:$Q$242),0)</f>
        <v>153271.71787545207</v>
      </c>
      <c r="AG2422" s="196">
        <f t="shared" ca="1" si="529"/>
        <v>286650.5978065384</v>
      </c>
      <c r="AI2422" s="196">
        <f>IFERROR($G2422/SUMIF($A:$A,$A2422,$G:$G)*SUMIF(Summary!$A$247:$A$283,$A2422,Summary!$P$247:$P$283),0)</f>
        <v>27942.253274320108</v>
      </c>
      <c r="AJ2422" s="196">
        <f>IFERROR($G2422/SUMIF($A:$A,$A2422,$G:$G)*(SUMIF(Summary!$A$247:$A$283,$A2422,Summary!$L$247:$L$283)+SUMIF(Summary!$A$297:$A$333,$A2422,Summary!$L$297:$L$333))-AI2422,0)</f>
        <v>101013.75780584459</v>
      </c>
      <c r="AK2422" s="196">
        <f>IFERROR($G2422/SUMIF($A:$A,$A2422,$G:$G)*SUMIF(Summary!$A$247:$A$283,$A2422,Summary!$Q$247:$Q$283),0)</f>
        <v>27952.936487398412</v>
      </c>
      <c r="AL2422" s="196">
        <f>IFERROR($G2422/SUMIF($A:$A,$A2422,$G:$G)*(SUMIF(Summary!$A$247:$A$283,$A2422,Summary!$L$247:$L$283)+SUMIF(Summary!$A$297:$A$333,$A2422,Summary!$L$297:$L$333))-AK2422,0)</f>
        <v>101003.07459276628</v>
      </c>
      <c r="AM2422" s="198"/>
      <c r="AN2422" s="196">
        <f t="shared" ca="1" si="530"/>
        <v>387722.93387380027</v>
      </c>
      <c r="AO2422" s="196">
        <f t="shared" ca="1" si="531"/>
        <v>387653.67239930469</v>
      </c>
    </row>
    <row r="2423" spans="1:41" s="201" customFormat="1">
      <c r="A2423" s="189">
        <v>9651</v>
      </c>
      <c r="B2423" s="190">
        <v>1</v>
      </c>
      <c r="C2423" s="191" t="s">
        <v>223</v>
      </c>
      <c r="D2423" s="192">
        <f t="shared" si="518"/>
        <v>297</v>
      </c>
      <c r="E2423" s="192">
        <f t="shared" si="519"/>
        <v>533</v>
      </c>
      <c r="F2423" s="192">
        <f t="shared" si="520"/>
        <v>0</v>
      </c>
      <c r="G2423" s="193">
        <f t="shared" si="521"/>
        <v>830</v>
      </c>
      <c r="H2423" s="194">
        <v>78</v>
      </c>
      <c r="I2423" s="194">
        <v>278</v>
      </c>
      <c r="J2423" s="194">
        <v>0</v>
      </c>
      <c r="K2423" s="193">
        <f t="shared" si="522"/>
        <v>356</v>
      </c>
      <c r="L2423" s="194">
        <v>170</v>
      </c>
      <c r="M2423" s="194">
        <v>250</v>
      </c>
      <c r="N2423" s="194">
        <v>0</v>
      </c>
      <c r="O2423" s="193">
        <f t="shared" si="523"/>
        <v>420</v>
      </c>
      <c r="P2423" s="194">
        <v>49</v>
      </c>
      <c r="Q2423" s="194">
        <v>5</v>
      </c>
      <c r="R2423" s="194">
        <v>0</v>
      </c>
      <c r="S2423" s="193">
        <f t="shared" si="524"/>
        <v>54</v>
      </c>
      <c r="T2423" s="193">
        <f t="shared" si="525"/>
        <v>27.666666666666668</v>
      </c>
      <c r="U2423" s="193">
        <f ca="1">OFFSET('Expenditure Study'!$B$7,'Operations Support'!$C2423,'Operations Support'!$B2423)*$G2423</f>
        <v>1045.8</v>
      </c>
      <c r="V2423" s="199">
        <f ca="1">U2423*'Expenditure Study'!$B$31</f>
        <v>61789.190480639998</v>
      </c>
      <c r="W2423" s="199">
        <f ca="1">IF(A2423=10298,1.51,1)*IF($B2423&lt;3,$D2423*'Expenditure Study'!$B$32*OFFSET('Expenditure Study'!$B$7,'Operations Support'!$C2423,'Operations Support'!$B2423),0)</f>
        <v>37.422000000000004</v>
      </c>
      <c r="X2423" s="200">
        <f ca="1">W2423*'Expenditure Study'!$B$31</f>
        <v>2211.0107918976005</v>
      </c>
      <c r="Y2423" s="199">
        <f ca="1">U2423*'Expenditure Study'!$B$31</f>
        <v>61789.190480639998</v>
      </c>
      <c r="Z2423" s="200">
        <f ca="1">W2423*'Expenditure Study'!$B$31</f>
        <v>2211.0107918976005</v>
      </c>
      <c r="AA2423" s="195">
        <f t="shared" ca="1" si="526"/>
        <v>64000.201272537597</v>
      </c>
      <c r="AB2423" s="195">
        <f t="shared" ca="1" si="527"/>
        <v>64000.201272537597</v>
      </c>
      <c r="AD2423" s="196">
        <f>IFERROR($G2423/SUMIF($A:$A,$A2423,$G:$G)*SUMIF(Summary!$A$166:$A$242,$A2423,Summary!$P$166:$P$242),0)</f>
        <v>23863.183689181617</v>
      </c>
      <c r="AE2423" s="197">
        <f t="shared" ca="1" si="528"/>
        <v>40137.017583355977</v>
      </c>
      <c r="AF2423" s="196">
        <f>IFERROR(G2423/SUMIF(A:A,A2423,G:G)*SUMIF(Summary!$A$166:$A$242,'Operations Support'!A2423,Summary!$Q$166:$Q$242),0)</f>
        <v>23872.307344084296</v>
      </c>
      <c r="AG2423" s="196">
        <f t="shared" ca="1" si="529"/>
        <v>40127.893928453297</v>
      </c>
      <c r="AH2423" s="180"/>
      <c r="AI2423" s="196">
        <f>IFERROR($G2423/SUMIF($A:$A,$A2423,$G:$G)*SUMIF(Summary!$A$247:$A$283,$A2423,Summary!$P$247:$P$283),0)</f>
        <v>4352.0492057957754</v>
      </c>
      <c r="AJ2423" s="196">
        <f>IFERROR($G2423/SUMIF($A:$A,$A2423,$G:$G)*(SUMIF(Summary!$A$247:$A$283,$A2423,Summary!$L$247:$L$283)+SUMIF(Summary!$A$297:$A$333,$A2423,Summary!$L$297:$L$333))-AI2423,0)</f>
        <v>15733.049160977858</v>
      </c>
      <c r="AK2423" s="196">
        <f>IFERROR($G2423/SUMIF($A:$A,$A2423,$G:$G)*SUMIF(Summary!$A$247:$A$283,$A2423,Summary!$Q$247:$Q$283),0)</f>
        <v>4353.7131327717543</v>
      </c>
      <c r="AL2423" s="196">
        <f>IFERROR($G2423/SUMIF($A:$A,$A2423,$G:$G)*(SUMIF(Summary!$A$247:$A$283,$A2423,Summary!$L$247:$L$283)+SUMIF(Summary!$A$297:$A$333,$A2423,Summary!$L$297:$L$333))-AK2423,0)</f>
        <v>15731.385234001878</v>
      </c>
      <c r="AM2423" s="198"/>
      <c r="AN2423" s="196">
        <f t="shared" ca="1" si="530"/>
        <v>55870.066744333832</v>
      </c>
      <c r="AO2423" s="196">
        <f t="shared" ca="1" si="531"/>
        <v>55859.279162455176</v>
      </c>
    </row>
    <row r="2424" spans="1:41">
      <c r="A2424" s="189">
        <v>9651</v>
      </c>
      <c r="B2424" s="190">
        <v>1</v>
      </c>
      <c r="C2424" s="191" t="s">
        <v>224</v>
      </c>
      <c r="D2424" s="192">
        <f t="shared" si="518"/>
        <v>0</v>
      </c>
      <c r="E2424" s="192">
        <f t="shared" si="519"/>
        <v>0</v>
      </c>
      <c r="F2424" s="192">
        <f t="shared" si="520"/>
        <v>0</v>
      </c>
      <c r="G2424" s="193">
        <f t="shared" si="521"/>
        <v>0</v>
      </c>
      <c r="H2424" s="194">
        <v>0</v>
      </c>
      <c r="I2424" s="194">
        <v>0</v>
      </c>
      <c r="J2424" s="194">
        <v>0</v>
      </c>
      <c r="K2424" s="193">
        <f t="shared" si="522"/>
        <v>0</v>
      </c>
      <c r="L2424" s="194">
        <v>0</v>
      </c>
      <c r="M2424" s="194">
        <v>0</v>
      </c>
      <c r="N2424" s="194">
        <v>0</v>
      </c>
      <c r="O2424" s="193">
        <f t="shared" si="523"/>
        <v>0</v>
      </c>
      <c r="P2424" s="194">
        <v>0</v>
      </c>
      <c r="Q2424" s="194">
        <v>0</v>
      </c>
      <c r="R2424" s="194">
        <v>0</v>
      </c>
      <c r="S2424" s="193">
        <f t="shared" si="524"/>
        <v>0</v>
      </c>
      <c r="T2424" s="193">
        <f t="shared" si="525"/>
        <v>0</v>
      </c>
      <c r="U2424" s="193">
        <f ca="1">OFFSET('Expenditure Study'!$B$7,'Operations Support'!$C2424,'Operations Support'!$B2424)*$G2424</f>
        <v>0</v>
      </c>
      <c r="V2424" s="199">
        <f ca="1">U2424*'Expenditure Study'!$B$31</f>
        <v>0</v>
      </c>
      <c r="W2424" s="199">
        <f ca="1">IF(A2424=10298,1.51,1)*IF($B2424&lt;3,$D2424*'Expenditure Study'!$B$32*OFFSET('Expenditure Study'!$B$7,'Operations Support'!$C2424,'Operations Support'!$B2424),0)</f>
        <v>0</v>
      </c>
      <c r="X2424" s="200">
        <f ca="1">W2424*'Expenditure Study'!$B$31</f>
        <v>0</v>
      </c>
      <c r="Y2424" s="199">
        <f ca="1">U2424*'Expenditure Study'!$B$31</f>
        <v>0</v>
      </c>
      <c r="Z2424" s="200">
        <f ca="1">W2424*'Expenditure Study'!$B$31</f>
        <v>0</v>
      </c>
      <c r="AA2424" s="195">
        <f t="shared" ca="1" si="526"/>
        <v>0</v>
      </c>
      <c r="AB2424" s="195">
        <f t="shared" ca="1" si="527"/>
        <v>0</v>
      </c>
      <c r="AD2424" s="196">
        <f>IFERROR($G2424/SUMIF($A:$A,$A2424,$G:$G)*SUMIF(Summary!$A$166:$A$242,$A2424,Summary!$P$166:$P$242),0)</f>
        <v>0</v>
      </c>
      <c r="AE2424" s="197">
        <f t="shared" ca="1" si="528"/>
        <v>0</v>
      </c>
      <c r="AF2424" s="196">
        <f>IFERROR(G2424/SUMIF(A:A,A2424,G:G)*SUMIF(Summary!$A$166:$A$242,'Operations Support'!A2424,Summary!$Q$166:$Q$242),0)</f>
        <v>0</v>
      </c>
      <c r="AG2424" s="196">
        <f t="shared" ca="1" si="529"/>
        <v>0</v>
      </c>
      <c r="AI2424" s="196">
        <f>IFERROR($G2424/SUMIF($A:$A,$A2424,$G:$G)*SUMIF(Summary!$A$247:$A$283,$A2424,Summary!$P$247:$P$283),0)</f>
        <v>0</v>
      </c>
      <c r="AJ2424" s="196">
        <f>IFERROR($G2424/SUMIF($A:$A,$A2424,$G:$G)*(SUMIF(Summary!$A$247:$A$283,$A2424,Summary!$L$247:$L$283)+SUMIF(Summary!$A$297:$A$333,$A2424,Summary!$L$297:$L$333))-AI2424,0)</f>
        <v>0</v>
      </c>
      <c r="AK2424" s="196">
        <f>IFERROR($G2424/SUMIF($A:$A,$A2424,$G:$G)*SUMIF(Summary!$A$247:$A$283,$A2424,Summary!$Q$247:$Q$283),0)</f>
        <v>0</v>
      </c>
      <c r="AL2424" s="196">
        <f>IFERROR($G2424/SUMIF($A:$A,$A2424,$G:$G)*(SUMIF(Summary!$A$247:$A$283,$A2424,Summary!$L$247:$L$283)+SUMIF(Summary!$A$297:$A$333,$A2424,Summary!$L$297:$L$333))-AK2424,0)</f>
        <v>0</v>
      </c>
      <c r="AM2424" s="198"/>
      <c r="AN2424" s="196">
        <f t="shared" ca="1" si="530"/>
        <v>0</v>
      </c>
      <c r="AO2424" s="196">
        <f t="shared" ca="1" si="531"/>
        <v>0</v>
      </c>
    </row>
    <row r="2425" spans="1:41">
      <c r="A2425" s="189">
        <v>9651</v>
      </c>
      <c r="B2425" s="190">
        <v>1</v>
      </c>
      <c r="C2425" s="191" t="s">
        <v>225</v>
      </c>
      <c r="D2425" s="192">
        <f t="shared" si="518"/>
        <v>375</v>
      </c>
      <c r="E2425" s="192">
        <f t="shared" si="519"/>
        <v>2019</v>
      </c>
      <c r="F2425" s="192">
        <f t="shared" si="520"/>
        <v>0</v>
      </c>
      <c r="G2425" s="193">
        <f t="shared" si="521"/>
        <v>2394</v>
      </c>
      <c r="H2425" s="194">
        <v>179</v>
      </c>
      <c r="I2425" s="194">
        <v>1012</v>
      </c>
      <c r="J2425" s="194">
        <v>0</v>
      </c>
      <c r="K2425" s="193">
        <f t="shared" si="522"/>
        <v>1191</v>
      </c>
      <c r="L2425" s="194">
        <v>145</v>
      </c>
      <c r="M2425" s="194">
        <v>995</v>
      </c>
      <c r="N2425" s="194">
        <v>0</v>
      </c>
      <c r="O2425" s="193">
        <f t="shared" si="523"/>
        <v>1140</v>
      </c>
      <c r="P2425" s="194">
        <v>51</v>
      </c>
      <c r="Q2425" s="194">
        <v>12</v>
      </c>
      <c r="R2425" s="194">
        <v>0</v>
      </c>
      <c r="S2425" s="193">
        <f t="shared" si="524"/>
        <v>63</v>
      </c>
      <c r="T2425" s="193">
        <f t="shared" si="525"/>
        <v>79.8</v>
      </c>
      <c r="U2425" s="193">
        <f ca="1">OFFSET('Expenditure Study'!$B$7,'Operations Support'!$C2425,'Operations Support'!$B2425)*$G2425</f>
        <v>4213.4399999999996</v>
      </c>
      <c r="V2425" s="199">
        <f ca="1">U2425*'Expenditure Study'!$B$31</f>
        <v>248943.43730995199</v>
      </c>
      <c r="W2425" s="199">
        <f ca="1">IF(A2425=10298,1.51,1)*IF($B2425&lt;3,$D2425*'Expenditure Study'!$B$32*OFFSET('Expenditure Study'!$B$7,'Operations Support'!$C2425,'Operations Support'!$B2425),0)</f>
        <v>66</v>
      </c>
      <c r="X2425" s="200">
        <f ca="1">W2425*'Expenditure Study'!$B$31</f>
        <v>3899.4899328000001</v>
      </c>
      <c r="Y2425" s="199">
        <f ca="1">U2425*'Expenditure Study'!$B$31</f>
        <v>248943.43730995199</v>
      </c>
      <c r="Z2425" s="200">
        <f ca="1">W2425*'Expenditure Study'!$B$31</f>
        <v>3899.4899328000001</v>
      </c>
      <c r="AA2425" s="195">
        <f t="shared" ca="1" si="526"/>
        <v>252842.92724275199</v>
      </c>
      <c r="AB2425" s="195">
        <f t="shared" ca="1" si="527"/>
        <v>252842.92724275199</v>
      </c>
      <c r="AD2425" s="196">
        <f>IFERROR($G2425/SUMIF($A:$A,$A2425,$G:$G)*SUMIF(Summary!$A$166:$A$242,$A2425,Summary!$P$166:$P$242),0)</f>
        <v>68829.471990241917</v>
      </c>
      <c r="AE2425" s="197">
        <f t="shared" ca="1" si="528"/>
        <v>184013.45525251009</v>
      </c>
      <c r="AF2425" s="196">
        <f>IFERROR(G2425/SUMIF(A:A,A2425,G:G)*SUMIF(Summary!$A$166:$A$242,'Operations Support'!A2425,Summary!$Q$166:$Q$242),0)</f>
        <v>68855.787688840734</v>
      </c>
      <c r="AG2425" s="196">
        <f t="shared" ca="1" si="529"/>
        <v>183987.13955391126</v>
      </c>
      <c r="AI2425" s="196">
        <f>IFERROR($G2425/SUMIF($A:$A,$A2425,$G:$G)*SUMIF(Summary!$A$247:$A$283,$A2425,Summary!$P$247:$P$283),0)</f>
        <v>12552.778070692877</v>
      </c>
      <c r="AJ2425" s="196">
        <f>IFERROR($G2425/SUMIF($A:$A,$A2425,$G:$G)*(SUMIF(Summary!$A$247:$A$283,$A2425,Summary!$L$247:$L$283)+SUMIF(Summary!$A$297:$A$333,$A2425,Summary!$L$297:$L$333))-AI2425,0)</f>
        <v>45379.421314916865</v>
      </c>
      <c r="AK2425" s="196">
        <f>IFERROR($G2425/SUMIF($A:$A,$A2425,$G:$G)*SUMIF(Summary!$A$247:$A$283,$A2425,Summary!$Q$247:$Q$283),0)</f>
        <v>12557.577397416362</v>
      </c>
      <c r="AL2425" s="196">
        <f>IFERROR($G2425/SUMIF($A:$A,$A2425,$G:$G)*(SUMIF(Summary!$A$247:$A$283,$A2425,Summary!$L$247:$L$283)+SUMIF(Summary!$A$297:$A$333,$A2425,Summary!$L$297:$L$333))-AK2425,0)</f>
        <v>45374.621988193379</v>
      </c>
      <c r="AM2425" s="198"/>
      <c r="AN2425" s="196">
        <f t="shared" ca="1" si="530"/>
        <v>229392.87656742695</v>
      </c>
      <c r="AO2425" s="196">
        <f t="shared" ca="1" si="531"/>
        <v>229361.76154210465</v>
      </c>
    </row>
    <row r="2426" spans="1:41">
      <c r="A2426" s="189">
        <v>9651</v>
      </c>
      <c r="B2426" s="190">
        <v>1</v>
      </c>
      <c r="C2426" s="191" t="s">
        <v>226</v>
      </c>
      <c r="D2426" s="192">
        <f t="shared" si="518"/>
        <v>0</v>
      </c>
      <c r="E2426" s="192">
        <f t="shared" si="519"/>
        <v>15</v>
      </c>
      <c r="F2426" s="192">
        <f t="shared" si="520"/>
        <v>0</v>
      </c>
      <c r="G2426" s="193">
        <f t="shared" si="521"/>
        <v>15</v>
      </c>
      <c r="H2426" s="194">
        <v>0</v>
      </c>
      <c r="I2426" s="194">
        <v>0</v>
      </c>
      <c r="J2426" s="194">
        <v>0</v>
      </c>
      <c r="K2426" s="193">
        <f t="shared" si="522"/>
        <v>0</v>
      </c>
      <c r="L2426" s="194">
        <v>0</v>
      </c>
      <c r="M2426" s="194">
        <v>6</v>
      </c>
      <c r="N2426" s="194">
        <v>0</v>
      </c>
      <c r="O2426" s="193">
        <f t="shared" si="523"/>
        <v>6</v>
      </c>
      <c r="P2426" s="194">
        <v>0</v>
      </c>
      <c r="Q2426" s="194">
        <v>9</v>
      </c>
      <c r="R2426" s="194">
        <v>0</v>
      </c>
      <c r="S2426" s="193">
        <f t="shared" si="524"/>
        <v>9</v>
      </c>
      <c r="T2426" s="193">
        <f t="shared" si="525"/>
        <v>0.5</v>
      </c>
      <c r="U2426" s="193">
        <f ca="1">OFFSET('Expenditure Study'!$B$7,'Operations Support'!$C2426,'Operations Support'!$B2426)*$G2426</f>
        <v>14.25</v>
      </c>
      <c r="V2426" s="199">
        <f ca="1">U2426*'Expenditure Study'!$B$31</f>
        <v>841.93532640000001</v>
      </c>
      <c r="W2426" s="199">
        <f ca="1">IF(A2426=10298,1.51,1)*IF($B2426&lt;3,$D2426*'Expenditure Study'!$B$32*OFFSET('Expenditure Study'!$B$7,'Operations Support'!$C2426,'Operations Support'!$B2426),0)</f>
        <v>0</v>
      </c>
      <c r="X2426" s="200">
        <f ca="1">W2426*'Expenditure Study'!$B$31</f>
        <v>0</v>
      </c>
      <c r="Y2426" s="199">
        <f ca="1">U2426*'Expenditure Study'!$B$31</f>
        <v>841.93532640000001</v>
      </c>
      <c r="Z2426" s="200">
        <f ca="1">W2426*'Expenditure Study'!$B$31</f>
        <v>0</v>
      </c>
      <c r="AA2426" s="195">
        <f t="shared" ca="1" si="526"/>
        <v>841.93532640000001</v>
      </c>
      <c r="AB2426" s="195">
        <f t="shared" ca="1" si="527"/>
        <v>841.93532640000001</v>
      </c>
      <c r="AD2426" s="196">
        <f>IFERROR($G2426/SUMIF($A:$A,$A2426,$G:$G)*SUMIF(Summary!$A$166:$A$242,$A2426,Summary!$P$166:$P$242),0)</f>
        <v>431.2623558285834</v>
      </c>
      <c r="AE2426" s="197">
        <f t="shared" ca="1" si="528"/>
        <v>410.67297057141661</v>
      </c>
      <c r="AF2426" s="196">
        <f>IFERROR(G2426/SUMIF(A:A,A2426,G:G)*SUMIF(Summary!$A$166:$A$242,'Operations Support'!A2426,Summary!$Q$166:$Q$242),0)</f>
        <v>431.42724115814991</v>
      </c>
      <c r="AG2426" s="196">
        <f t="shared" ca="1" si="529"/>
        <v>410.5080852418501</v>
      </c>
      <c r="AI2426" s="196">
        <f>IFERROR($G2426/SUMIF($A:$A,$A2426,$G:$G)*SUMIF(Summary!$A$247:$A$283,$A2426,Summary!$P$247:$P$283),0)</f>
        <v>78.651491671007989</v>
      </c>
      <c r="AJ2426" s="196">
        <f>IFERROR($G2426/SUMIF($A:$A,$A2426,$G:$G)*(SUMIF(Summary!$A$247:$A$283,$A2426,Summary!$L$247:$L$283)+SUMIF(Summary!$A$297:$A$333,$A2426,Summary!$L$297:$L$333))-AI2426,0)</f>
        <v>284.33221375261189</v>
      </c>
      <c r="AK2426" s="196">
        <f>IFERROR($G2426/SUMIF($A:$A,$A2426,$G:$G)*SUMIF(Summary!$A$247:$A$283,$A2426,Summary!$Q$247:$Q$283),0)</f>
        <v>78.681562640453393</v>
      </c>
      <c r="AL2426" s="196">
        <f>IFERROR($G2426/SUMIF($A:$A,$A2426,$G:$G)*(SUMIF(Summary!$A$247:$A$283,$A2426,Summary!$L$247:$L$283)+SUMIF(Summary!$A$297:$A$333,$A2426,Summary!$L$297:$L$333))-AK2426,0)</f>
        <v>284.30214278316646</v>
      </c>
      <c r="AM2426" s="198"/>
      <c r="AN2426" s="196">
        <f t="shared" ca="1" si="530"/>
        <v>695.00518432402851</v>
      </c>
      <c r="AO2426" s="196">
        <f t="shared" ca="1" si="531"/>
        <v>694.81022802501661</v>
      </c>
    </row>
    <row r="2427" spans="1:41">
      <c r="A2427" s="189">
        <v>9651</v>
      </c>
      <c r="B2427" s="190">
        <v>1</v>
      </c>
      <c r="C2427" s="191" t="s">
        <v>227</v>
      </c>
      <c r="D2427" s="192">
        <f t="shared" si="518"/>
        <v>0</v>
      </c>
      <c r="E2427" s="192">
        <f t="shared" si="519"/>
        <v>0</v>
      </c>
      <c r="F2427" s="192">
        <f t="shared" si="520"/>
        <v>0</v>
      </c>
      <c r="G2427" s="193">
        <f t="shared" si="521"/>
        <v>0</v>
      </c>
      <c r="H2427" s="194">
        <v>0</v>
      </c>
      <c r="I2427" s="194">
        <v>0</v>
      </c>
      <c r="J2427" s="194">
        <v>0</v>
      </c>
      <c r="K2427" s="193">
        <f t="shared" si="522"/>
        <v>0</v>
      </c>
      <c r="L2427" s="194">
        <v>0</v>
      </c>
      <c r="M2427" s="194">
        <v>0</v>
      </c>
      <c r="N2427" s="194">
        <v>0</v>
      </c>
      <c r="O2427" s="193">
        <f t="shared" si="523"/>
        <v>0</v>
      </c>
      <c r="P2427" s="194">
        <v>0</v>
      </c>
      <c r="Q2427" s="194">
        <v>0</v>
      </c>
      <c r="R2427" s="194">
        <v>0</v>
      </c>
      <c r="S2427" s="193">
        <f t="shared" si="524"/>
        <v>0</v>
      </c>
      <c r="T2427" s="193">
        <f t="shared" si="525"/>
        <v>0</v>
      </c>
      <c r="U2427" s="193">
        <f ca="1">OFFSET('Expenditure Study'!$B$7,'Operations Support'!$C2427,'Operations Support'!$B2427)*$G2427</f>
        <v>0</v>
      </c>
      <c r="V2427" s="199">
        <f ca="1">U2427*'Expenditure Study'!$B$31</f>
        <v>0</v>
      </c>
      <c r="W2427" s="199">
        <f ca="1">IF(A2427=10298,1.51,1)*IF($B2427&lt;3,$D2427*'Expenditure Study'!$B$32*OFFSET('Expenditure Study'!$B$7,'Operations Support'!$C2427,'Operations Support'!$B2427),0)</f>
        <v>0</v>
      </c>
      <c r="X2427" s="200">
        <f ca="1">W2427*'Expenditure Study'!$B$31</f>
        <v>0</v>
      </c>
      <c r="Y2427" s="199">
        <f ca="1">U2427*'Expenditure Study'!$B$31</f>
        <v>0</v>
      </c>
      <c r="Z2427" s="200">
        <f ca="1">W2427*'Expenditure Study'!$B$31</f>
        <v>0</v>
      </c>
      <c r="AA2427" s="195">
        <f t="shared" ca="1" si="526"/>
        <v>0</v>
      </c>
      <c r="AB2427" s="195">
        <f t="shared" ca="1" si="527"/>
        <v>0</v>
      </c>
      <c r="AD2427" s="196">
        <f>IFERROR($G2427/SUMIF($A:$A,$A2427,$G:$G)*SUMIF(Summary!$A$166:$A$242,$A2427,Summary!$P$166:$P$242),0)</f>
        <v>0</v>
      </c>
      <c r="AE2427" s="197">
        <f t="shared" ca="1" si="528"/>
        <v>0</v>
      </c>
      <c r="AF2427" s="196">
        <f>IFERROR(G2427/SUMIF(A:A,A2427,G:G)*SUMIF(Summary!$A$166:$A$242,'Operations Support'!A2427,Summary!$Q$166:$Q$242),0)</f>
        <v>0</v>
      </c>
      <c r="AG2427" s="196">
        <f t="shared" ca="1" si="529"/>
        <v>0</v>
      </c>
      <c r="AI2427" s="196">
        <f>IFERROR($G2427/SUMIF($A:$A,$A2427,$G:$G)*SUMIF(Summary!$A$247:$A$283,$A2427,Summary!$P$247:$P$283),0)</f>
        <v>0</v>
      </c>
      <c r="AJ2427" s="196">
        <f>IFERROR($G2427/SUMIF($A:$A,$A2427,$G:$G)*(SUMIF(Summary!$A$247:$A$283,$A2427,Summary!$L$247:$L$283)+SUMIF(Summary!$A$297:$A$333,$A2427,Summary!$L$297:$L$333))-AI2427,0)</f>
        <v>0</v>
      </c>
      <c r="AK2427" s="196">
        <f>IFERROR($G2427/SUMIF($A:$A,$A2427,$G:$G)*SUMIF(Summary!$A$247:$A$283,$A2427,Summary!$Q$247:$Q$283),0)</f>
        <v>0</v>
      </c>
      <c r="AL2427" s="196">
        <f>IFERROR($G2427/SUMIF($A:$A,$A2427,$G:$G)*(SUMIF(Summary!$A$247:$A$283,$A2427,Summary!$L$247:$L$283)+SUMIF(Summary!$A$297:$A$333,$A2427,Summary!$L$297:$L$333))-AK2427,0)</f>
        <v>0</v>
      </c>
      <c r="AM2427" s="198"/>
      <c r="AN2427" s="196">
        <f t="shared" ca="1" si="530"/>
        <v>0</v>
      </c>
      <c r="AO2427" s="196">
        <f t="shared" ca="1" si="531"/>
        <v>0</v>
      </c>
    </row>
    <row r="2428" spans="1:41">
      <c r="A2428" s="189">
        <v>9651</v>
      </c>
      <c r="B2428" s="190">
        <v>1</v>
      </c>
      <c r="C2428" s="191" t="s">
        <v>228</v>
      </c>
      <c r="D2428" s="192">
        <f t="shared" si="518"/>
        <v>12</v>
      </c>
      <c r="E2428" s="192">
        <f t="shared" si="519"/>
        <v>0</v>
      </c>
      <c r="F2428" s="192">
        <f t="shared" si="520"/>
        <v>0</v>
      </c>
      <c r="G2428" s="193">
        <f t="shared" si="521"/>
        <v>12</v>
      </c>
      <c r="H2428" s="194">
        <v>12</v>
      </c>
      <c r="I2428" s="194">
        <v>0</v>
      </c>
      <c r="J2428" s="194">
        <v>0</v>
      </c>
      <c r="K2428" s="193">
        <f t="shared" si="522"/>
        <v>12</v>
      </c>
      <c r="L2428" s="194">
        <v>0</v>
      </c>
      <c r="M2428" s="194">
        <v>0</v>
      </c>
      <c r="N2428" s="194">
        <v>0</v>
      </c>
      <c r="O2428" s="193">
        <f t="shared" si="523"/>
        <v>0</v>
      </c>
      <c r="P2428" s="194">
        <v>0</v>
      </c>
      <c r="Q2428" s="194">
        <v>0</v>
      </c>
      <c r="R2428" s="194">
        <v>0</v>
      </c>
      <c r="S2428" s="193">
        <f t="shared" si="524"/>
        <v>0</v>
      </c>
      <c r="T2428" s="193">
        <f t="shared" si="525"/>
        <v>0.4</v>
      </c>
      <c r="U2428" s="193">
        <f ca="1">OFFSET('Expenditure Study'!$B$7,'Operations Support'!$C2428,'Operations Support'!$B2428)*$G2428</f>
        <v>18.96</v>
      </c>
      <c r="V2428" s="199">
        <f ca="1">U2428*'Expenditure Study'!$B$31</f>
        <v>1120.2171079680002</v>
      </c>
      <c r="W2428" s="199">
        <f ca="1">IF(A2428=10298,1.51,1)*IF($B2428&lt;3,$D2428*'Expenditure Study'!$B$32*OFFSET('Expenditure Study'!$B$7,'Operations Support'!$C2428,'Operations Support'!$B2428),0)</f>
        <v>1.8960000000000004</v>
      </c>
      <c r="X2428" s="200">
        <f ca="1">W2428*'Expenditure Study'!$B$31</f>
        <v>112.02171079680002</v>
      </c>
      <c r="Y2428" s="199">
        <f ca="1">U2428*'Expenditure Study'!$B$31</f>
        <v>1120.2171079680002</v>
      </c>
      <c r="Z2428" s="200">
        <f ca="1">W2428*'Expenditure Study'!$B$31</f>
        <v>112.02171079680002</v>
      </c>
      <c r="AA2428" s="195">
        <f t="shared" ca="1" si="526"/>
        <v>1232.2388187648003</v>
      </c>
      <c r="AB2428" s="195">
        <f t="shared" ca="1" si="527"/>
        <v>1232.2388187648003</v>
      </c>
      <c r="AD2428" s="196">
        <f>IFERROR($G2428/SUMIF($A:$A,$A2428,$G:$G)*SUMIF(Summary!$A$166:$A$242,$A2428,Summary!$P$166:$P$242),0)</f>
        <v>345.0098846628668</v>
      </c>
      <c r="AE2428" s="197">
        <f t="shared" ca="1" si="528"/>
        <v>887.22893410193342</v>
      </c>
      <c r="AF2428" s="196">
        <f>IFERROR(G2428/SUMIF(A:A,A2428,G:G)*SUMIF(Summary!$A$166:$A$242,'Operations Support'!A2428,Summary!$Q$166:$Q$242),0)</f>
        <v>345.14179292652</v>
      </c>
      <c r="AG2428" s="196">
        <f t="shared" ca="1" si="529"/>
        <v>887.09702583828027</v>
      </c>
      <c r="AI2428" s="196">
        <f>IFERROR($G2428/SUMIF($A:$A,$A2428,$G:$G)*SUMIF(Summary!$A$247:$A$283,$A2428,Summary!$P$247:$P$283),0)</f>
        <v>62.921193336806397</v>
      </c>
      <c r="AJ2428" s="196">
        <f>IFERROR($G2428/SUMIF($A:$A,$A2428,$G:$G)*(SUMIF(Summary!$A$247:$A$283,$A2428,Summary!$L$247:$L$283)+SUMIF(Summary!$A$297:$A$333,$A2428,Summary!$L$297:$L$333))-AI2428,0)</f>
        <v>227.46577100208955</v>
      </c>
      <c r="AK2428" s="196">
        <f>IFERROR($G2428/SUMIF($A:$A,$A2428,$G:$G)*SUMIF(Summary!$A$247:$A$283,$A2428,Summary!$Q$247:$Q$283),0)</f>
        <v>62.945250112362721</v>
      </c>
      <c r="AL2428" s="196">
        <f>IFERROR($G2428/SUMIF($A:$A,$A2428,$G:$G)*(SUMIF(Summary!$A$247:$A$283,$A2428,Summary!$L$247:$L$283)+SUMIF(Summary!$A$297:$A$333,$A2428,Summary!$L$297:$L$333))-AK2428,0)</f>
        <v>227.44171422653324</v>
      </c>
      <c r="AM2428" s="198"/>
      <c r="AN2428" s="196">
        <f t="shared" ca="1" si="530"/>
        <v>1114.6947051040229</v>
      </c>
      <c r="AO2428" s="196">
        <f t="shared" ca="1" si="531"/>
        <v>1114.5387400648135</v>
      </c>
    </row>
    <row r="2429" spans="1:41">
      <c r="A2429" s="189">
        <v>9651</v>
      </c>
      <c r="B2429" s="190">
        <v>1</v>
      </c>
      <c r="C2429" s="191" t="s">
        <v>229</v>
      </c>
      <c r="D2429" s="192">
        <f t="shared" si="518"/>
        <v>0</v>
      </c>
      <c r="E2429" s="192">
        <f t="shared" si="519"/>
        <v>0</v>
      </c>
      <c r="F2429" s="192">
        <f t="shared" si="520"/>
        <v>0</v>
      </c>
      <c r="G2429" s="193">
        <f t="shared" si="521"/>
        <v>0</v>
      </c>
      <c r="H2429" s="194">
        <v>0</v>
      </c>
      <c r="I2429" s="194">
        <v>0</v>
      </c>
      <c r="J2429" s="194">
        <v>0</v>
      </c>
      <c r="K2429" s="193">
        <f t="shared" si="522"/>
        <v>0</v>
      </c>
      <c r="L2429" s="194">
        <v>0</v>
      </c>
      <c r="M2429" s="194">
        <v>0</v>
      </c>
      <c r="N2429" s="194">
        <v>0</v>
      </c>
      <c r="O2429" s="193">
        <f t="shared" si="523"/>
        <v>0</v>
      </c>
      <c r="P2429" s="194">
        <v>0</v>
      </c>
      <c r="Q2429" s="194">
        <v>0</v>
      </c>
      <c r="R2429" s="194">
        <v>0</v>
      </c>
      <c r="S2429" s="193">
        <f t="shared" si="524"/>
        <v>0</v>
      </c>
      <c r="T2429" s="193">
        <f t="shared" si="525"/>
        <v>0</v>
      </c>
      <c r="U2429" s="193">
        <f ca="1">OFFSET('Expenditure Study'!$B$7,'Operations Support'!$C2429,'Operations Support'!$B2429)*$G2429</f>
        <v>0</v>
      </c>
      <c r="V2429" s="199">
        <f ca="1">U2429*'Expenditure Study'!$B$31</f>
        <v>0</v>
      </c>
      <c r="W2429" s="199">
        <f ca="1">IF(A2429=10298,1.51,1)*IF($B2429&lt;3,$D2429*'Expenditure Study'!$B$32*OFFSET('Expenditure Study'!$B$7,'Operations Support'!$C2429,'Operations Support'!$B2429),0)</f>
        <v>0</v>
      </c>
      <c r="X2429" s="200">
        <f ca="1">W2429*'Expenditure Study'!$B$31</f>
        <v>0</v>
      </c>
      <c r="Y2429" s="199">
        <f ca="1">U2429*'Expenditure Study'!$B$31</f>
        <v>0</v>
      </c>
      <c r="Z2429" s="200">
        <f ca="1">W2429*'Expenditure Study'!$B$31</f>
        <v>0</v>
      </c>
      <c r="AA2429" s="195">
        <f t="shared" ca="1" si="526"/>
        <v>0</v>
      </c>
      <c r="AB2429" s="195">
        <f t="shared" ca="1" si="527"/>
        <v>0</v>
      </c>
      <c r="AD2429" s="196">
        <f>IFERROR($G2429/SUMIF($A:$A,$A2429,$G:$G)*SUMIF(Summary!$A$166:$A$242,$A2429,Summary!$P$166:$P$242),0)</f>
        <v>0</v>
      </c>
      <c r="AE2429" s="197">
        <f t="shared" ca="1" si="528"/>
        <v>0</v>
      </c>
      <c r="AF2429" s="196">
        <f>IFERROR(G2429/SUMIF(A:A,A2429,G:G)*SUMIF(Summary!$A$166:$A$242,'Operations Support'!A2429,Summary!$Q$166:$Q$242),0)</f>
        <v>0</v>
      </c>
      <c r="AG2429" s="196">
        <f t="shared" ca="1" si="529"/>
        <v>0</v>
      </c>
      <c r="AI2429" s="196">
        <f>IFERROR($G2429/SUMIF($A:$A,$A2429,$G:$G)*SUMIF(Summary!$A$247:$A$283,$A2429,Summary!$P$247:$P$283),0)</f>
        <v>0</v>
      </c>
      <c r="AJ2429" s="196">
        <f>IFERROR($G2429/SUMIF($A:$A,$A2429,$G:$G)*(SUMIF(Summary!$A$247:$A$283,$A2429,Summary!$L$247:$L$283)+SUMIF(Summary!$A$297:$A$333,$A2429,Summary!$L$297:$L$333))-AI2429,0)</f>
        <v>0</v>
      </c>
      <c r="AK2429" s="196">
        <f>IFERROR($G2429/SUMIF($A:$A,$A2429,$G:$G)*SUMIF(Summary!$A$247:$A$283,$A2429,Summary!$Q$247:$Q$283),0)</f>
        <v>0</v>
      </c>
      <c r="AL2429" s="196">
        <f>IFERROR($G2429/SUMIF($A:$A,$A2429,$G:$G)*(SUMIF(Summary!$A$247:$A$283,$A2429,Summary!$L$247:$L$283)+SUMIF(Summary!$A$297:$A$333,$A2429,Summary!$L$297:$L$333))-AK2429,0)</f>
        <v>0</v>
      </c>
      <c r="AM2429" s="198"/>
      <c r="AN2429" s="196">
        <f t="shared" ca="1" si="530"/>
        <v>0</v>
      </c>
      <c r="AO2429" s="196">
        <f t="shared" ca="1" si="531"/>
        <v>0</v>
      </c>
    </row>
    <row r="2430" spans="1:41">
      <c r="A2430" s="189">
        <v>9651</v>
      </c>
      <c r="B2430" s="190">
        <v>1</v>
      </c>
      <c r="C2430" s="191" t="s">
        <v>230</v>
      </c>
      <c r="D2430" s="192">
        <f t="shared" si="518"/>
        <v>0</v>
      </c>
      <c r="E2430" s="192">
        <f t="shared" si="519"/>
        <v>0</v>
      </c>
      <c r="F2430" s="192">
        <f t="shared" si="520"/>
        <v>0</v>
      </c>
      <c r="G2430" s="193">
        <f t="shared" si="521"/>
        <v>0</v>
      </c>
      <c r="H2430" s="194">
        <v>0</v>
      </c>
      <c r="I2430" s="194">
        <v>0</v>
      </c>
      <c r="J2430" s="194">
        <v>0</v>
      </c>
      <c r="K2430" s="193">
        <f t="shared" si="522"/>
        <v>0</v>
      </c>
      <c r="L2430" s="194">
        <v>0</v>
      </c>
      <c r="M2430" s="194">
        <v>0</v>
      </c>
      <c r="N2430" s="194">
        <v>0</v>
      </c>
      <c r="O2430" s="193">
        <f t="shared" si="523"/>
        <v>0</v>
      </c>
      <c r="P2430" s="194">
        <v>0</v>
      </c>
      <c r="Q2430" s="194">
        <v>0</v>
      </c>
      <c r="R2430" s="194">
        <v>0</v>
      </c>
      <c r="S2430" s="193">
        <f t="shared" si="524"/>
        <v>0</v>
      </c>
      <c r="T2430" s="193">
        <f t="shared" si="525"/>
        <v>0</v>
      </c>
      <c r="U2430" s="193">
        <f ca="1">OFFSET('Expenditure Study'!$B$7,'Operations Support'!$C2430,'Operations Support'!$B2430)*$G2430</f>
        <v>0</v>
      </c>
      <c r="V2430" s="199">
        <f ca="1">U2430*'Expenditure Study'!$B$31</f>
        <v>0</v>
      </c>
      <c r="W2430" s="199">
        <f ca="1">IF(A2430=10298,1.51,1)*IF($B2430&lt;3,$D2430*'Expenditure Study'!$B$32*OFFSET('Expenditure Study'!$B$7,'Operations Support'!$C2430,'Operations Support'!$B2430),0)</f>
        <v>0</v>
      </c>
      <c r="X2430" s="200">
        <f ca="1">W2430*'Expenditure Study'!$B$31</f>
        <v>0</v>
      </c>
      <c r="Y2430" s="199">
        <f ca="1">U2430*'Expenditure Study'!$B$31</f>
        <v>0</v>
      </c>
      <c r="Z2430" s="200">
        <f ca="1">W2430*'Expenditure Study'!$B$31</f>
        <v>0</v>
      </c>
      <c r="AA2430" s="195">
        <f t="shared" ca="1" si="526"/>
        <v>0</v>
      </c>
      <c r="AB2430" s="195">
        <f t="shared" ca="1" si="527"/>
        <v>0</v>
      </c>
      <c r="AD2430" s="196">
        <f>IFERROR($G2430/SUMIF($A:$A,$A2430,$G:$G)*SUMIF(Summary!$A$166:$A$242,$A2430,Summary!$P$166:$P$242),0)</f>
        <v>0</v>
      </c>
      <c r="AE2430" s="197">
        <f t="shared" ca="1" si="528"/>
        <v>0</v>
      </c>
      <c r="AF2430" s="196">
        <f>IFERROR(G2430/SUMIF(A:A,A2430,G:G)*SUMIF(Summary!$A$166:$A$242,'Operations Support'!A2430,Summary!$Q$166:$Q$242),0)</f>
        <v>0</v>
      </c>
      <c r="AG2430" s="196">
        <f t="shared" ca="1" si="529"/>
        <v>0</v>
      </c>
      <c r="AI2430" s="196">
        <f>IFERROR($G2430/SUMIF($A:$A,$A2430,$G:$G)*SUMIF(Summary!$A$247:$A$283,$A2430,Summary!$P$247:$P$283),0)</f>
        <v>0</v>
      </c>
      <c r="AJ2430" s="196">
        <f>IFERROR($G2430/SUMIF($A:$A,$A2430,$G:$G)*(SUMIF(Summary!$A$247:$A$283,$A2430,Summary!$L$247:$L$283)+SUMIF(Summary!$A$297:$A$333,$A2430,Summary!$L$297:$L$333))-AI2430,0)</f>
        <v>0</v>
      </c>
      <c r="AK2430" s="196">
        <f>IFERROR($G2430/SUMIF($A:$A,$A2430,$G:$G)*SUMIF(Summary!$A$247:$A$283,$A2430,Summary!$Q$247:$Q$283),0)</f>
        <v>0</v>
      </c>
      <c r="AL2430" s="196">
        <f>IFERROR($G2430/SUMIF($A:$A,$A2430,$G:$G)*(SUMIF(Summary!$A$247:$A$283,$A2430,Summary!$L$247:$L$283)+SUMIF(Summary!$A$297:$A$333,$A2430,Summary!$L$297:$L$333))-AK2430,0)</f>
        <v>0</v>
      </c>
      <c r="AM2430" s="198"/>
      <c r="AN2430" s="196">
        <f t="shared" ca="1" si="530"/>
        <v>0</v>
      </c>
      <c r="AO2430" s="196">
        <f t="shared" ca="1" si="531"/>
        <v>0</v>
      </c>
    </row>
    <row r="2431" spans="1:41">
      <c r="A2431" s="189">
        <v>9651</v>
      </c>
      <c r="B2431" s="190">
        <v>1</v>
      </c>
      <c r="C2431" s="191" t="s">
        <v>231</v>
      </c>
      <c r="D2431" s="192">
        <f t="shared" si="518"/>
        <v>0</v>
      </c>
      <c r="E2431" s="192">
        <f t="shared" si="519"/>
        <v>0</v>
      </c>
      <c r="F2431" s="192">
        <f t="shared" si="520"/>
        <v>0</v>
      </c>
      <c r="G2431" s="193">
        <f t="shared" si="521"/>
        <v>0</v>
      </c>
      <c r="H2431" s="194">
        <v>0</v>
      </c>
      <c r="I2431" s="194">
        <v>0</v>
      </c>
      <c r="J2431" s="194">
        <v>0</v>
      </c>
      <c r="K2431" s="193">
        <f t="shared" si="522"/>
        <v>0</v>
      </c>
      <c r="L2431" s="194">
        <v>0</v>
      </c>
      <c r="M2431" s="194">
        <v>0</v>
      </c>
      <c r="N2431" s="194">
        <v>0</v>
      </c>
      <c r="O2431" s="193">
        <f t="shared" si="523"/>
        <v>0</v>
      </c>
      <c r="P2431" s="194">
        <v>0</v>
      </c>
      <c r="Q2431" s="194">
        <v>0</v>
      </c>
      <c r="R2431" s="194">
        <v>0</v>
      </c>
      <c r="S2431" s="193">
        <f t="shared" si="524"/>
        <v>0</v>
      </c>
      <c r="T2431" s="193">
        <f t="shared" si="525"/>
        <v>0</v>
      </c>
      <c r="U2431" s="193">
        <f ca="1">OFFSET('Expenditure Study'!$B$7,'Operations Support'!$C2431,'Operations Support'!$B2431)*$G2431</f>
        <v>0</v>
      </c>
      <c r="V2431" s="199">
        <f ca="1">U2431*'Expenditure Study'!$B$31</f>
        <v>0</v>
      </c>
      <c r="W2431" s="199">
        <f ca="1">IF(A2431=10298,1.51,1)*IF($B2431&lt;3,$D2431*'Expenditure Study'!$B$32*OFFSET('Expenditure Study'!$B$7,'Operations Support'!$C2431,'Operations Support'!$B2431),0)</f>
        <v>0</v>
      </c>
      <c r="X2431" s="200">
        <f ca="1">W2431*'Expenditure Study'!$B$31</f>
        <v>0</v>
      </c>
      <c r="Y2431" s="199">
        <f ca="1">U2431*'Expenditure Study'!$B$31</f>
        <v>0</v>
      </c>
      <c r="Z2431" s="200">
        <f ca="1">W2431*'Expenditure Study'!$B$31</f>
        <v>0</v>
      </c>
      <c r="AA2431" s="195">
        <f t="shared" ca="1" si="526"/>
        <v>0</v>
      </c>
      <c r="AB2431" s="195">
        <f t="shared" ca="1" si="527"/>
        <v>0</v>
      </c>
      <c r="AD2431" s="196">
        <f>IFERROR($G2431/SUMIF($A:$A,$A2431,$G:$G)*SUMIF(Summary!$A$166:$A$242,$A2431,Summary!$P$166:$P$242),0)</f>
        <v>0</v>
      </c>
      <c r="AE2431" s="197">
        <f t="shared" ca="1" si="528"/>
        <v>0</v>
      </c>
      <c r="AF2431" s="196">
        <f>IFERROR(G2431/SUMIF(A:A,A2431,G:G)*SUMIF(Summary!$A$166:$A$242,'Operations Support'!A2431,Summary!$Q$166:$Q$242),0)</f>
        <v>0</v>
      </c>
      <c r="AG2431" s="196">
        <f t="shared" ca="1" si="529"/>
        <v>0</v>
      </c>
      <c r="AI2431" s="196">
        <f>IFERROR($G2431/SUMIF($A:$A,$A2431,$G:$G)*SUMIF(Summary!$A$247:$A$283,$A2431,Summary!$P$247:$P$283),0)</f>
        <v>0</v>
      </c>
      <c r="AJ2431" s="196">
        <f>IFERROR($G2431/SUMIF($A:$A,$A2431,$G:$G)*(SUMIF(Summary!$A$247:$A$283,$A2431,Summary!$L$247:$L$283)+SUMIF(Summary!$A$297:$A$333,$A2431,Summary!$L$297:$L$333))-AI2431,0)</f>
        <v>0</v>
      </c>
      <c r="AK2431" s="196">
        <f>IFERROR($G2431/SUMIF($A:$A,$A2431,$G:$G)*SUMIF(Summary!$A$247:$A$283,$A2431,Summary!$Q$247:$Q$283),0)</f>
        <v>0</v>
      </c>
      <c r="AL2431" s="196">
        <f>IFERROR($G2431/SUMIF($A:$A,$A2431,$G:$G)*(SUMIF(Summary!$A$247:$A$283,$A2431,Summary!$L$247:$L$283)+SUMIF(Summary!$A$297:$A$333,$A2431,Summary!$L$297:$L$333))-AK2431,0)</f>
        <v>0</v>
      </c>
      <c r="AM2431" s="198"/>
      <c r="AN2431" s="196">
        <f t="shared" ca="1" si="530"/>
        <v>0</v>
      </c>
      <c r="AO2431" s="196">
        <f t="shared" ca="1" si="531"/>
        <v>0</v>
      </c>
    </row>
    <row r="2432" spans="1:41">
      <c r="A2432" s="189">
        <v>9651</v>
      </c>
      <c r="B2432" s="190">
        <v>1</v>
      </c>
      <c r="C2432" s="191" t="s">
        <v>232</v>
      </c>
      <c r="D2432" s="192">
        <f t="shared" si="518"/>
        <v>0</v>
      </c>
      <c r="E2432" s="192">
        <f t="shared" si="519"/>
        <v>0</v>
      </c>
      <c r="F2432" s="192">
        <f t="shared" si="520"/>
        <v>0</v>
      </c>
      <c r="G2432" s="193">
        <f t="shared" si="521"/>
        <v>0</v>
      </c>
      <c r="H2432" s="194">
        <v>0</v>
      </c>
      <c r="I2432" s="194">
        <v>0</v>
      </c>
      <c r="J2432" s="194">
        <v>0</v>
      </c>
      <c r="K2432" s="193">
        <f t="shared" si="522"/>
        <v>0</v>
      </c>
      <c r="L2432" s="194">
        <v>0</v>
      </c>
      <c r="M2432" s="194">
        <v>0</v>
      </c>
      <c r="N2432" s="194">
        <v>0</v>
      </c>
      <c r="O2432" s="193">
        <f t="shared" si="523"/>
        <v>0</v>
      </c>
      <c r="P2432" s="194">
        <v>0</v>
      </c>
      <c r="Q2432" s="194">
        <v>0</v>
      </c>
      <c r="R2432" s="194">
        <v>0</v>
      </c>
      <c r="S2432" s="193">
        <f t="shared" si="524"/>
        <v>0</v>
      </c>
      <c r="T2432" s="193">
        <f t="shared" si="525"/>
        <v>0</v>
      </c>
      <c r="U2432" s="193">
        <f ca="1">OFFSET('Expenditure Study'!$B$7,'Operations Support'!$C2432,'Operations Support'!$B2432)*$G2432</f>
        <v>0</v>
      </c>
      <c r="V2432" s="199">
        <f ca="1">U2432*'Expenditure Study'!$B$31</f>
        <v>0</v>
      </c>
      <c r="W2432" s="199">
        <f ca="1">IF(A2432=10298,1.51,1)*IF($B2432&lt;3,$D2432*'Expenditure Study'!$B$32*OFFSET('Expenditure Study'!$B$7,'Operations Support'!$C2432,'Operations Support'!$B2432),0)</f>
        <v>0</v>
      </c>
      <c r="X2432" s="200">
        <f ca="1">W2432*'Expenditure Study'!$B$31</f>
        <v>0</v>
      </c>
      <c r="Y2432" s="199">
        <f ca="1">U2432*'Expenditure Study'!$B$31</f>
        <v>0</v>
      </c>
      <c r="Z2432" s="200">
        <f ca="1">W2432*'Expenditure Study'!$B$31</f>
        <v>0</v>
      </c>
      <c r="AA2432" s="195">
        <f t="shared" ca="1" si="526"/>
        <v>0</v>
      </c>
      <c r="AB2432" s="195">
        <f t="shared" ca="1" si="527"/>
        <v>0</v>
      </c>
      <c r="AD2432" s="196">
        <f>IFERROR($G2432/SUMIF($A:$A,$A2432,$G:$G)*SUMIF(Summary!$A$166:$A$242,$A2432,Summary!$P$166:$P$242),0)</f>
        <v>0</v>
      </c>
      <c r="AE2432" s="197">
        <f t="shared" ca="1" si="528"/>
        <v>0</v>
      </c>
      <c r="AF2432" s="196">
        <f>IFERROR(G2432/SUMIF(A:A,A2432,G:G)*SUMIF(Summary!$A$166:$A$242,'Operations Support'!A2432,Summary!$Q$166:$Q$242),0)</f>
        <v>0</v>
      </c>
      <c r="AG2432" s="196">
        <f t="shared" ca="1" si="529"/>
        <v>0</v>
      </c>
      <c r="AI2432" s="196">
        <f>IFERROR($G2432/SUMIF($A:$A,$A2432,$G:$G)*SUMIF(Summary!$A$247:$A$283,$A2432,Summary!$P$247:$P$283),0)</f>
        <v>0</v>
      </c>
      <c r="AJ2432" s="196">
        <f>IFERROR($G2432/SUMIF($A:$A,$A2432,$G:$G)*(SUMIF(Summary!$A$247:$A$283,$A2432,Summary!$L$247:$L$283)+SUMIF(Summary!$A$297:$A$333,$A2432,Summary!$L$297:$L$333))-AI2432,0)</f>
        <v>0</v>
      </c>
      <c r="AK2432" s="196">
        <f>IFERROR($G2432/SUMIF($A:$A,$A2432,$G:$G)*SUMIF(Summary!$A$247:$A$283,$A2432,Summary!$Q$247:$Q$283),0)</f>
        <v>0</v>
      </c>
      <c r="AL2432" s="196">
        <f>IFERROR($G2432/SUMIF($A:$A,$A2432,$G:$G)*(SUMIF(Summary!$A$247:$A$283,$A2432,Summary!$L$247:$L$283)+SUMIF(Summary!$A$297:$A$333,$A2432,Summary!$L$297:$L$333))-AK2432,0)</f>
        <v>0</v>
      </c>
      <c r="AM2432" s="198"/>
      <c r="AN2432" s="196">
        <f t="shared" ca="1" si="530"/>
        <v>0</v>
      </c>
      <c r="AO2432" s="196">
        <f t="shared" ca="1" si="531"/>
        <v>0</v>
      </c>
    </row>
    <row r="2433" spans="1:41">
      <c r="A2433" s="189">
        <v>9651</v>
      </c>
      <c r="B2433" s="190">
        <v>1</v>
      </c>
      <c r="C2433" s="191" t="s">
        <v>233</v>
      </c>
      <c r="D2433" s="192">
        <f t="shared" si="518"/>
        <v>192</v>
      </c>
      <c r="E2433" s="192">
        <f t="shared" si="519"/>
        <v>1333</v>
      </c>
      <c r="F2433" s="192">
        <f t="shared" si="520"/>
        <v>0</v>
      </c>
      <c r="G2433" s="193">
        <f t="shared" si="521"/>
        <v>1525</v>
      </c>
      <c r="H2433" s="194">
        <v>159</v>
      </c>
      <c r="I2433" s="194">
        <v>583</v>
      </c>
      <c r="J2433" s="194">
        <v>0</v>
      </c>
      <c r="K2433" s="193">
        <f t="shared" si="522"/>
        <v>742</v>
      </c>
      <c r="L2433" s="194">
        <v>27</v>
      </c>
      <c r="M2433" s="194">
        <v>750</v>
      </c>
      <c r="N2433" s="194">
        <v>0</v>
      </c>
      <c r="O2433" s="193">
        <f t="shared" si="523"/>
        <v>777</v>
      </c>
      <c r="P2433" s="194">
        <v>6</v>
      </c>
      <c r="Q2433" s="194">
        <v>0</v>
      </c>
      <c r="R2433" s="194">
        <v>0</v>
      </c>
      <c r="S2433" s="193">
        <f t="shared" si="524"/>
        <v>6</v>
      </c>
      <c r="T2433" s="193">
        <f t="shared" si="525"/>
        <v>50.833333333333336</v>
      </c>
      <c r="U2433" s="193">
        <f ca="1">OFFSET('Expenditure Study'!$B$7,'Operations Support'!$C2433,'Operations Support'!$B2433)*$G2433</f>
        <v>1464</v>
      </c>
      <c r="V2433" s="199">
        <f ca="1">U2433*'Expenditure Study'!$B$31</f>
        <v>86497.776691200008</v>
      </c>
      <c r="W2433" s="199">
        <f ca="1">IF(A2433=10298,1.51,1)*IF($B2433&lt;3,$D2433*'Expenditure Study'!$B$32*OFFSET('Expenditure Study'!$B$7,'Operations Support'!$C2433,'Operations Support'!$B2433),0)</f>
        <v>18.432000000000002</v>
      </c>
      <c r="X2433" s="200">
        <f ca="1">W2433*'Expenditure Study'!$B$31</f>
        <v>1089.0211885056001</v>
      </c>
      <c r="Y2433" s="199">
        <f ca="1">U2433*'Expenditure Study'!$B$31</f>
        <v>86497.776691200008</v>
      </c>
      <c r="Z2433" s="200">
        <f ca="1">W2433*'Expenditure Study'!$B$31</f>
        <v>1089.0211885056001</v>
      </c>
      <c r="AA2433" s="195">
        <f t="shared" ca="1" si="526"/>
        <v>87586.797879705613</v>
      </c>
      <c r="AB2433" s="195">
        <f t="shared" ca="1" si="527"/>
        <v>87586.797879705613</v>
      </c>
      <c r="AD2433" s="196">
        <f>IFERROR($G2433/SUMIF($A:$A,$A2433,$G:$G)*SUMIF(Summary!$A$166:$A$242,$A2433,Summary!$P$166:$P$242),0)</f>
        <v>43845.006175905983</v>
      </c>
      <c r="AE2433" s="197">
        <f t="shared" ca="1" si="528"/>
        <v>43741.79170379963</v>
      </c>
      <c r="AF2433" s="196">
        <f>IFERROR(G2433/SUMIF(A:A,A2433,G:G)*SUMIF(Summary!$A$166:$A$242,'Operations Support'!A2433,Summary!$Q$166:$Q$242),0)</f>
        <v>43861.769517745248</v>
      </c>
      <c r="AG2433" s="196">
        <f t="shared" ca="1" si="529"/>
        <v>43725.028361960365</v>
      </c>
      <c r="AI2433" s="196">
        <f>IFERROR($G2433/SUMIF($A:$A,$A2433,$G:$G)*SUMIF(Summary!$A$247:$A$283,$A2433,Summary!$P$247:$P$283),0)</f>
        <v>7996.2349865524793</v>
      </c>
      <c r="AJ2433" s="196">
        <f>IFERROR($G2433/SUMIF($A:$A,$A2433,$G:$G)*(SUMIF(Summary!$A$247:$A$283,$A2433,Summary!$L$247:$L$283)+SUMIF(Summary!$A$297:$A$333,$A2433,Summary!$L$297:$L$333))-AI2433,0)</f>
        <v>28907.108398182208</v>
      </c>
      <c r="AK2433" s="196">
        <f>IFERROR($G2433/SUMIF($A:$A,$A2433,$G:$G)*SUMIF(Summary!$A$247:$A$283,$A2433,Summary!$Q$247:$Q$283),0)</f>
        <v>7999.2922017794281</v>
      </c>
      <c r="AL2433" s="196">
        <f>IFERROR($G2433/SUMIF($A:$A,$A2433,$G:$G)*(SUMIF(Summary!$A$247:$A$283,$A2433,Summary!$L$247:$L$283)+SUMIF(Summary!$A$297:$A$333,$A2433,Summary!$L$297:$L$333))-AK2433,0)</f>
        <v>28904.051182955263</v>
      </c>
      <c r="AM2433" s="198"/>
      <c r="AN2433" s="196">
        <f t="shared" ca="1" si="530"/>
        <v>72648.900101981839</v>
      </c>
      <c r="AO2433" s="196">
        <f t="shared" ca="1" si="531"/>
        <v>72629.079544915629</v>
      </c>
    </row>
    <row r="2434" spans="1:41">
      <c r="A2434" s="189">
        <v>9651</v>
      </c>
      <c r="B2434" s="190">
        <v>1</v>
      </c>
      <c r="C2434" s="191" t="s">
        <v>234</v>
      </c>
      <c r="D2434" s="192">
        <f t="shared" si="518"/>
        <v>0</v>
      </c>
      <c r="E2434" s="192">
        <f t="shared" si="519"/>
        <v>0</v>
      </c>
      <c r="F2434" s="192">
        <f t="shared" si="520"/>
        <v>0</v>
      </c>
      <c r="G2434" s="193">
        <f t="shared" si="521"/>
        <v>0</v>
      </c>
      <c r="H2434" s="194">
        <v>0</v>
      </c>
      <c r="I2434" s="194">
        <v>0</v>
      </c>
      <c r="J2434" s="194">
        <v>0</v>
      </c>
      <c r="K2434" s="193">
        <f t="shared" si="522"/>
        <v>0</v>
      </c>
      <c r="L2434" s="194">
        <v>0</v>
      </c>
      <c r="M2434" s="194">
        <v>0</v>
      </c>
      <c r="N2434" s="194">
        <v>0</v>
      </c>
      <c r="O2434" s="193">
        <f t="shared" si="523"/>
        <v>0</v>
      </c>
      <c r="P2434" s="194">
        <v>0</v>
      </c>
      <c r="Q2434" s="194">
        <v>0</v>
      </c>
      <c r="R2434" s="194">
        <v>0</v>
      </c>
      <c r="S2434" s="193">
        <f t="shared" si="524"/>
        <v>0</v>
      </c>
      <c r="T2434" s="193">
        <f t="shared" si="525"/>
        <v>0</v>
      </c>
      <c r="U2434" s="193">
        <f ca="1">OFFSET('Expenditure Study'!$B$7,'Operations Support'!$C2434,'Operations Support'!$B2434)*$G2434</f>
        <v>0</v>
      </c>
      <c r="V2434" s="199">
        <f ca="1">U2434*'Expenditure Study'!$B$31</f>
        <v>0</v>
      </c>
      <c r="W2434" s="199">
        <f ca="1">IF(A2434=10298,1.51,1)*IF($B2434&lt;3,$D2434*'Expenditure Study'!$B$32*OFFSET('Expenditure Study'!$B$7,'Operations Support'!$C2434,'Operations Support'!$B2434),0)</f>
        <v>0</v>
      </c>
      <c r="X2434" s="200">
        <f ca="1">W2434*'Expenditure Study'!$B$31</f>
        <v>0</v>
      </c>
      <c r="Y2434" s="199">
        <f ca="1">U2434*'Expenditure Study'!$B$31</f>
        <v>0</v>
      </c>
      <c r="Z2434" s="200">
        <f ca="1">W2434*'Expenditure Study'!$B$31</f>
        <v>0</v>
      </c>
      <c r="AA2434" s="195">
        <f t="shared" ca="1" si="526"/>
        <v>0</v>
      </c>
      <c r="AB2434" s="195">
        <f t="shared" ca="1" si="527"/>
        <v>0</v>
      </c>
      <c r="AD2434" s="196">
        <f>IFERROR($G2434/SUMIF($A:$A,$A2434,$G:$G)*SUMIF(Summary!$A$166:$A$242,$A2434,Summary!$P$166:$P$242),0)</f>
        <v>0</v>
      </c>
      <c r="AE2434" s="197">
        <f t="shared" ca="1" si="528"/>
        <v>0</v>
      </c>
      <c r="AF2434" s="196">
        <f>IFERROR(G2434/SUMIF(A:A,A2434,G:G)*SUMIF(Summary!$A$166:$A$242,'Operations Support'!A2434,Summary!$Q$166:$Q$242),0)</f>
        <v>0</v>
      </c>
      <c r="AG2434" s="196">
        <f t="shared" ca="1" si="529"/>
        <v>0</v>
      </c>
      <c r="AI2434" s="196">
        <f>IFERROR($G2434/SUMIF($A:$A,$A2434,$G:$G)*SUMIF(Summary!$A$247:$A$283,$A2434,Summary!$P$247:$P$283),0)</f>
        <v>0</v>
      </c>
      <c r="AJ2434" s="196">
        <f>IFERROR($G2434/SUMIF($A:$A,$A2434,$G:$G)*(SUMIF(Summary!$A$247:$A$283,$A2434,Summary!$L$247:$L$283)+SUMIF(Summary!$A$297:$A$333,$A2434,Summary!$L$297:$L$333))-AI2434,0)</f>
        <v>0</v>
      </c>
      <c r="AK2434" s="196">
        <f>IFERROR($G2434/SUMIF($A:$A,$A2434,$G:$G)*SUMIF(Summary!$A$247:$A$283,$A2434,Summary!$Q$247:$Q$283),0)</f>
        <v>0</v>
      </c>
      <c r="AL2434" s="196">
        <f>IFERROR($G2434/SUMIF($A:$A,$A2434,$G:$G)*(SUMIF(Summary!$A$247:$A$283,$A2434,Summary!$L$247:$L$283)+SUMIF(Summary!$A$297:$A$333,$A2434,Summary!$L$297:$L$333))-AK2434,0)</f>
        <v>0</v>
      </c>
      <c r="AM2434" s="198"/>
      <c r="AN2434" s="196">
        <f t="shared" ca="1" si="530"/>
        <v>0</v>
      </c>
      <c r="AO2434" s="196">
        <f t="shared" ca="1" si="531"/>
        <v>0</v>
      </c>
    </row>
    <row r="2435" spans="1:41">
      <c r="A2435" s="189">
        <v>9651</v>
      </c>
      <c r="B2435" s="190">
        <v>1</v>
      </c>
      <c r="C2435" s="191" t="s">
        <v>235</v>
      </c>
      <c r="D2435" s="192">
        <f t="shared" si="518"/>
        <v>1986</v>
      </c>
      <c r="E2435" s="192">
        <f t="shared" si="519"/>
        <v>2217</v>
      </c>
      <c r="F2435" s="192">
        <f t="shared" si="520"/>
        <v>0</v>
      </c>
      <c r="G2435" s="193">
        <f t="shared" si="521"/>
        <v>4203</v>
      </c>
      <c r="H2435" s="194">
        <v>834</v>
      </c>
      <c r="I2435" s="194">
        <v>672</v>
      </c>
      <c r="J2435" s="194">
        <v>0</v>
      </c>
      <c r="K2435" s="193">
        <f t="shared" si="522"/>
        <v>1506</v>
      </c>
      <c r="L2435" s="194">
        <v>1005</v>
      </c>
      <c r="M2435" s="194">
        <v>717</v>
      </c>
      <c r="N2435" s="194">
        <v>0</v>
      </c>
      <c r="O2435" s="193">
        <f t="shared" si="523"/>
        <v>1722</v>
      </c>
      <c r="P2435" s="194">
        <v>147</v>
      </c>
      <c r="Q2435" s="194">
        <v>828</v>
      </c>
      <c r="R2435" s="194">
        <v>0</v>
      </c>
      <c r="S2435" s="193">
        <f t="shared" si="524"/>
        <v>975</v>
      </c>
      <c r="T2435" s="193">
        <f t="shared" si="525"/>
        <v>140.1</v>
      </c>
      <c r="U2435" s="193">
        <f ca="1">OFFSET('Expenditure Study'!$B$7,'Operations Support'!$C2435,'Operations Support'!$B2435)*$G2435</f>
        <v>4623.3</v>
      </c>
      <c r="V2435" s="199">
        <f ca="1">U2435*'Expenditure Study'!$B$31</f>
        <v>273159.26979264</v>
      </c>
      <c r="W2435" s="199">
        <f ca="1">IF(A2435=10298,1.51,1)*IF($B2435&lt;3,$D2435*'Expenditure Study'!$B$32*OFFSET('Expenditure Study'!$B$7,'Operations Support'!$C2435,'Operations Support'!$B2435),0)</f>
        <v>218.46000000000004</v>
      </c>
      <c r="X2435" s="200">
        <f ca="1">W2435*'Expenditure Study'!$B$31</f>
        <v>12907.311677568003</v>
      </c>
      <c r="Y2435" s="199">
        <f ca="1">U2435*'Expenditure Study'!$B$31</f>
        <v>273159.26979264</v>
      </c>
      <c r="Z2435" s="200">
        <f ca="1">W2435*'Expenditure Study'!$B$31</f>
        <v>12907.311677568003</v>
      </c>
      <c r="AA2435" s="195">
        <f t="shared" ca="1" si="526"/>
        <v>286066.58147020801</v>
      </c>
      <c r="AB2435" s="195">
        <f t="shared" ca="1" si="527"/>
        <v>286066.58147020801</v>
      </c>
      <c r="AD2435" s="196">
        <f>IFERROR($G2435/SUMIF($A:$A,$A2435,$G:$G)*SUMIF(Summary!$A$166:$A$242,$A2435,Summary!$P$166:$P$242),0)</f>
        <v>120839.71210316908</v>
      </c>
      <c r="AE2435" s="197">
        <f t="shared" ca="1" si="528"/>
        <v>165226.86936703895</v>
      </c>
      <c r="AF2435" s="196">
        <f>IFERROR(G2435/SUMIF(A:A,A2435,G:G)*SUMIF(Summary!$A$166:$A$242,'Operations Support'!A2435,Summary!$Q$166:$Q$242),0)</f>
        <v>120885.91297251362</v>
      </c>
      <c r="AG2435" s="196">
        <f t="shared" ca="1" si="529"/>
        <v>165180.66849769439</v>
      </c>
      <c r="AI2435" s="196">
        <f>IFERROR($G2435/SUMIF($A:$A,$A2435,$G:$G)*SUMIF(Summary!$A$247:$A$283,$A2435,Summary!$P$247:$P$283),0)</f>
        <v>22038.147966216438</v>
      </c>
      <c r="AJ2435" s="196">
        <f>IFERROR($G2435/SUMIF($A:$A,$A2435,$G:$G)*(SUMIF(Summary!$A$247:$A$283,$A2435,Summary!$L$247:$L$283)+SUMIF(Summary!$A$297:$A$333,$A2435,Summary!$L$297:$L$333))-AI2435,0)</f>
        <v>79669.886293481846</v>
      </c>
      <c r="AK2435" s="196">
        <f>IFERROR($G2435/SUMIF($A:$A,$A2435,$G:$G)*SUMIF(Summary!$A$247:$A$283,$A2435,Summary!$Q$247:$Q$283),0)</f>
        <v>22046.573851855039</v>
      </c>
      <c r="AL2435" s="196">
        <f>IFERROR($G2435/SUMIF($A:$A,$A2435,$G:$G)*(SUMIF(Summary!$A$247:$A$283,$A2435,Summary!$L$247:$L$283)+SUMIF(Summary!$A$297:$A$333,$A2435,Summary!$L$297:$L$333))-AK2435,0)</f>
        <v>79661.460407843246</v>
      </c>
      <c r="AM2435" s="198"/>
      <c r="AN2435" s="196">
        <f t="shared" ca="1" si="530"/>
        <v>244896.75566052081</v>
      </c>
      <c r="AO2435" s="196">
        <f t="shared" ca="1" si="531"/>
        <v>244842.12890553765</v>
      </c>
    </row>
    <row r="2436" spans="1:41">
      <c r="A2436" s="189">
        <v>9651</v>
      </c>
      <c r="B2436" s="190">
        <v>1</v>
      </c>
      <c r="C2436" s="191" t="s">
        <v>236</v>
      </c>
      <c r="D2436" s="192">
        <f t="shared" si="518"/>
        <v>0</v>
      </c>
      <c r="E2436" s="192">
        <f t="shared" si="519"/>
        <v>0</v>
      </c>
      <c r="F2436" s="192">
        <f t="shared" si="520"/>
        <v>0</v>
      </c>
      <c r="G2436" s="193">
        <f t="shared" si="521"/>
        <v>0</v>
      </c>
      <c r="H2436" s="194">
        <v>0</v>
      </c>
      <c r="I2436" s="194">
        <v>0</v>
      </c>
      <c r="J2436" s="194">
        <v>0</v>
      </c>
      <c r="K2436" s="193">
        <f t="shared" si="522"/>
        <v>0</v>
      </c>
      <c r="L2436" s="194">
        <v>0</v>
      </c>
      <c r="M2436" s="194">
        <v>0</v>
      </c>
      <c r="N2436" s="194">
        <v>0</v>
      </c>
      <c r="O2436" s="193">
        <f t="shared" si="523"/>
        <v>0</v>
      </c>
      <c r="P2436" s="194">
        <v>0</v>
      </c>
      <c r="Q2436" s="194">
        <v>0</v>
      </c>
      <c r="R2436" s="194">
        <v>0</v>
      </c>
      <c r="S2436" s="193">
        <f t="shared" si="524"/>
        <v>0</v>
      </c>
      <c r="T2436" s="193">
        <f t="shared" si="525"/>
        <v>0</v>
      </c>
      <c r="U2436" s="193">
        <f ca="1">OFFSET('Expenditure Study'!$B$7,'Operations Support'!$C2436,'Operations Support'!$B2436)*$G2436</f>
        <v>0</v>
      </c>
      <c r="V2436" s="199">
        <f ca="1">U2436*'Expenditure Study'!$B$31</f>
        <v>0</v>
      </c>
      <c r="W2436" s="199">
        <f ca="1">IF(A2436=10298,1.51,1)*IF($B2436&lt;3,$D2436*'Expenditure Study'!$B$32*OFFSET('Expenditure Study'!$B$7,'Operations Support'!$C2436,'Operations Support'!$B2436),0)</f>
        <v>0</v>
      </c>
      <c r="X2436" s="200">
        <f ca="1">W2436*'Expenditure Study'!$B$31</f>
        <v>0</v>
      </c>
      <c r="Y2436" s="199">
        <f ca="1">U2436*'Expenditure Study'!$B$31</f>
        <v>0</v>
      </c>
      <c r="Z2436" s="200">
        <f ca="1">W2436*'Expenditure Study'!$B$31</f>
        <v>0</v>
      </c>
      <c r="AA2436" s="195">
        <f t="shared" ca="1" si="526"/>
        <v>0</v>
      </c>
      <c r="AB2436" s="195">
        <f t="shared" ca="1" si="527"/>
        <v>0</v>
      </c>
      <c r="AD2436" s="196">
        <f>IFERROR($G2436/SUMIF($A:$A,$A2436,$G:$G)*SUMIF(Summary!$A$166:$A$242,$A2436,Summary!$P$166:$P$242),0)</f>
        <v>0</v>
      </c>
      <c r="AE2436" s="197">
        <f t="shared" ca="1" si="528"/>
        <v>0</v>
      </c>
      <c r="AF2436" s="196">
        <f>IFERROR(G2436/SUMIF(A:A,A2436,G:G)*SUMIF(Summary!$A$166:$A$242,'Operations Support'!A2436,Summary!$Q$166:$Q$242),0)</f>
        <v>0</v>
      </c>
      <c r="AG2436" s="196">
        <f t="shared" ca="1" si="529"/>
        <v>0</v>
      </c>
      <c r="AI2436" s="196">
        <f>IFERROR($G2436/SUMIF($A:$A,$A2436,$G:$G)*SUMIF(Summary!$A$247:$A$283,$A2436,Summary!$P$247:$P$283),0)</f>
        <v>0</v>
      </c>
      <c r="AJ2436" s="196">
        <f>IFERROR($G2436/SUMIF($A:$A,$A2436,$G:$G)*(SUMIF(Summary!$A$247:$A$283,$A2436,Summary!$L$247:$L$283)+SUMIF(Summary!$A$297:$A$333,$A2436,Summary!$L$297:$L$333))-AI2436,0)</f>
        <v>0</v>
      </c>
      <c r="AK2436" s="196">
        <f>IFERROR($G2436/SUMIF($A:$A,$A2436,$G:$G)*SUMIF(Summary!$A$247:$A$283,$A2436,Summary!$Q$247:$Q$283),0)</f>
        <v>0</v>
      </c>
      <c r="AL2436" s="196">
        <f>IFERROR($G2436/SUMIF($A:$A,$A2436,$G:$G)*(SUMIF(Summary!$A$247:$A$283,$A2436,Summary!$L$247:$L$283)+SUMIF(Summary!$A$297:$A$333,$A2436,Summary!$L$297:$L$333))-AK2436,0)</f>
        <v>0</v>
      </c>
      <c r="AM2436" s="198"/>
      <c r="AN2436" s="196">
        <f t="shared" ca="1" si="530"/>
        <v>0</v>
      </c>
      <c r="AO2436" s="196">
        <f t="shared" ca="1" si="531"/>
        <v>0</v>
      </c>
    </row>
    <row r="2437" spans="1:41">
      <c r="A2437" s="189">
        <v>9651</v>
      </c>
      <c r="B2437" s="190">
        <v>1</v>
      </c>
      <c r="C2437" s="191" t="s">
        <v>237</v>
      </c>
      <c r="D2437" s="192">
        <f t="shared" ref="D2437:D2500" si="532">H2437+L2437+P2437</f>
        <v>0</v>
      </c>
      <c r="E2437" s="192">
        <f t="shared" ref="E2437:E2500" si="533">I2437+M2437+Q2437</f>
        <v>0</v>
      </c>
      <c r="F2437" s="192">
        <f t="shared" ref="F2437:F2500" si="534">J2437+N2437+R2437</f>
        <v>0</v>
      </c>
      <c r="G2437" s="193">
        <f t="shared" ref="G2437:G2500" si="535">(SUM(D2437:E2437)-F2437)*IF(A2437=10298,1.51,1)</f>
        <v>0</v>
      </c>
      <c r="H2437" s="194">
        <v>0</v>
      </c>
      <c r="I2437" s="194">
        <v>0</v>
      </c>
      <c r="J2437" s="194">
        <v>0</v>
      </c>
      <c r="K2437" s="193">
        <f t="shared" ref="K2437:K2500" si="536">SUM(H2437:I2437)-J2437</f>
        <v>0</v>
      </c>
      <c r="L2437" s="194">
        <v>0</v>
      </c>
      <c r="M2437" s="194">
        <v>0</v>
      </c>
      <c r="N2437" s="194">
        <v>0</v>
      </c>
      <c r="O2437" s="193">
        <f t="shared" ref="O2437:O2500" si="537">SUM(L2437:M2437)-N2437</f>
        <v>0</v>
      </c>
      <c r="P2437" s="194">
        <v>0</v>
      </c>
      <c r="Q2437" s="194">
        <v>0</v>
      </c>
      <c r="R2437" s="194">
        <v>0</v>
      </c>
      <c r="S2437" s="193">
        <f t="shared" ref="S2437:S2500" si="538">SUM(P2437:Q2437)-R2437</f>
        <v>0</v>
      </c>
      <c r="T2437" s="193">
        <f t="shared" ref="T2437:T2500" si="539">IF(OR(B2437=1,B2437=2),G2437/30,IF(OR(B2437=3,B2437=5),G2437/24,IF(B2437=4,G2437/18,0)))</f>
        <v>0</v>
      </c>
      <c r="U2437" s="193">
        <f ca="1">OFFSET('Expenditure Study'!$B$7,'Operations Support'!$C2437,'Operations Support'!$B2437)*$G2437</f>
        <v>0</v>
      </c>
      <c r="V2437" s="199">
        <f ca="1">U2437*'Expenditure Study'!$B$31</f>
        <v>0</v>
      </c>
      <c r="W2437" s="199">
        <f ca="1">IF(A2437=10298,1.51,1)*IF($B2437&lt;3,$D2437*'Expenditure Study'!$B$32*OFFSET('Expenditure Study'!$B$7,'Operations Support'!$C2437,'Operations Support'!$B2437),0)</f>
        <v>0</v>
      </c>
      <c r="X2437" s="200">
        <f ca="1">W2437*'Expenditure Study'!$B$31</f>
        <v>0</v>
      </c>
      <c r="Y2437" s="199">
        <f ca="1">U2437*'Expenditure Study'!$B$31</f>
        <v>0</v>
      </c>
      <c r="Z2437" s="200">
        <f ca="1">W2437*'Expenditure Study'!$B$31</f>
        <v>0</v>
      </c>
      <c r="AA2437" s="195">
        <f t="shared" ref="AA2437:AA2500" ca="1" si="540">V2437+X2437</f>
        <v>0</v>
      </c>
      <c r="AB2437" s="195">
        <f t="shared" ref="AB2437:AB2500" ca="1" si="541">Y2437+Z2437</f>
        <v>0</v>
      </c>
      <c r="AD2437" s="196">
        <f>IFERROR($G2437/SUMIF($A:$A,$A2437,$G:$G)*SUMIF(Summary!$A$166:$A$242,$A2437,Summary!$P$166:$P$242),0)</f>
        <v>0</v>
      </c>
      <c r="AE2437" s="197">
        <f t="shared" ca="1" si="528"/>
        <v>0</v>
      </c>
      <c r="AF2437" s="196">
        <f>IFERROR(G2437/SUMIF(A:A,A2437,G:G)*SUMIF(Summary!$A$166:$A$242,'Operations Support'!A2437,Summary!$Q$166:$Q$242),0)</f>
        <v>0</v>
      </c>
      <c r="AG2437" s="196">
        <f t="shared" ca="1" si="529"/>
        <v>0</v>
      </c>
      <c r="AI2437" s="196">
        <f>IFERROR($G2437/SUMIF($A:$A,$A2437,$G:$G)*SUMIF(Summary!$A$247:$A$283,$A2437,Summary!$P$247:$P$283),0)</f>
        <v>0</v>
      </c>
      <c r="AJ2437" s="196">
        <f>IFERROR($G2437/SUMIF($A:$A,$A2437,$G:$G)*(SUMIF(Summary!$A$247:$A$283,$A2437,Summary!$L$247:$L$283)+SUMIF(Summary!$A$297:$A$333,$A2437,Summary!$L$297:$L$333))-AI2437,0)</f>
        <v>0</v>
      </c>
      <c r="AK2437" s="196">
        <f>IFERROR($G2437/SUMIF($A:$A,$A2437,$G:$G)*SUMIF(Summary!$A$247:$A$283,$A2437,Summary!$Q$247:$Q$283),0)</f>
        <v>0</v>
      </c>
      <c r="AL2437" s="196">
        <f>IFERROR($G2437/SUMIF($A:$A,$A2437,$G:$G)*(SUMIF(Summary!$A$247:$A$283,$A2437,Summary!$L$247:$L$283)+SUMIF(Summary!$A$297:$A$333,$A2437,Summary!$L$297:$L$333))-AK2437,0)</f>
        <v>0</v>
      </c>
      <c r="AM2437" s="198"/>
      <c r="AN2437" s="196">
        <f t="shared" ca="1" si="530"/>
        <v>0</v>
      </c>
      <c r="AO2437" s="196">
        <f t="shared" ca="1" si="531"/>
        <v>0</v>
      </c>
    </row>
    <row r="2438" spans="1:41">
      <c r="A2438" s="189">
        <v>9651</v>
      </c>
      <c r="B2438" s="190">
        <v>1</v>
      </c>
      <c r="C2438" s="191" t="s">
        <v>238</v>
      </c>
      <c r="D2438" s="192">
        <f t="shared" si="532"/>
        <v>0</v>
      </c>
      <c r="E2438" s="192">
        <f t="shared" si="533"/>
        <v>74</v>
      </c>
      <c r="F2438" s="192">
        <f t="shared" si="534"/>
        <v>0</v>
      </c>
      <c r="G2438" s="193">
        <f t="shared" si="535"/>
        <v>74</v>
      </c>
      <c r="H2438" s="194">
        <v>0</v>
      </c>
      <c r="I2438" s="194">
        <v>48</v>
      </c>
      <c r="J2438" s="194">
        <v>0</v>
      </c>
      <c r="K2438" s="193">
        <f t="shared" si="536"/>
        <v>48</v>
      </c>
      <c r="L2438" s="194">
        <v>0</v>
      </c>
      <c r="M2438" s="194">
        <v>26</v>
      </c>
      <c r="N2438" s="194">
        <v>0</v>
      </c>
      <c r="O2438" s="193">
        <f t="shared" si="537"/>
        <v>26</v>
      </c>
      <c r="P2438" s="194">
        <v>0</v>
      </c>
      <c r="Q2438" s="194">
        <v>0</v>
      </c>
      <c r="R2438" s="194">
        <v>0</v>
      </c>
      <c r="S2438" s="193">
        <f t="shared" si="538"/>
        <v>0</v>
      </c>
      <c r="T2438" s="193">
        <f t="shared" si="539"/>
        <v>2.4666666666666668</v>
      </c>
      <c r="U2438" s="193">
        <f ca="1">OFFSET('Expenditure Study'!$B$7,'Operations Support'!$C2438,'Operations Support'!$B2438)*$G2438</f>
        <v>131.72</v>
      </c>
      <c r="V2438" s="199">
        <f ca="1">U2438*'Expenditure Study'!$B$31</f>
        <v>7782.436574976</v>
      </c>
      <c r="W2438" s="199">
        <f ca="1">IF(A2438=10298,1.51,1)*IF($B2438&lt;3,$D2438*'Expenditure Study'!$B$32*OFFSET('Expenditure Study'!$B$7,'Operations Support'!$C2438,'Operations Support'!$B2438),0)</f>
        <v>0</v>
      </c>
      <c r="X2438" s="200">
        <f ca="1">W2438*'Expenditure Study'!$B$31</f>
        <v>0</v>
      </c>
      <c r="Y2438" s="199">
        <f ca="1">U2438*'Expenditure Study'!$B$31</f>
        <v>7782.436574976</v>
      </c>
      <c r="Z2438" s="200">
        <f ca="1">W2438*'Expenditure Study'!$B$31</f>
        <v>0</v>
      </c>
      <c r="AA2438" s="195">
        <f t="shared" ca="1" si="540"/>
        <v>7782.436574976</v>
      </c>
      <c r="AB2438" s="195">
        <f t="shared" ca="1" si="541"/>
        <v>7782.436574976</v>
      </c>
      <c r="AD2438" s="196">
        <f>IFERROR($G2438/SUMIF($A:$A,$A2438,$G:$G)*SUMIF(Summary!$A$166:$A$242,$A2438,Summary!$P$166:$P$242),0)</f>
        <v>2127.5609554210118</v>
      </c>
      <c r="AE2438" s="197">
        <f t="shared" ref="AE2438:AE2501" ca="1" si="542">V2438+X2438-AD2438</f>
        <v>5654.8756195549886</v>
      </c>
      <c r="AF2438" s="196">
        <f>IFERROR(G2438/SUMIF(A:A,A2438,G:G)*SUMIF(Summary!$A$166:$A$242,'Operations Support'!A2438,Summary!$Q$166:$Q$242),0)</f>
        <v>2128.37438971354</v>
      </c>
      <c r="AG2438" s="196">
        <f t="shared" ref="AG2438:AG2501" ca="1" si="543">Y2438+Z2438-AF2438</f>
        <v>5654.0621852624599</v>
      </c>
      <c r="AI2438" s="196">
        <f>IFERROR($G2438/SUMIF($A:$A,$A2438,$G:$G)*SUMIF(Summary!$A$247:$A$283,$A2438,Summary!$P$247:$P$283),0)</f>
        <v>388.01402557697276</v>
      </c>
      <c r="AJ2438" s="196">
        <f>IFERROR($G2438/SUMIF($A:$A,$A2438,$G:$G)*(SUMIF(Summary!$A$247:$A$283,$A2438,Summary!$L$247:$L$283)+SUMIF(Summary!$A$297:$A$333,$A2438,Summary!$L$297:$L$333))-AI2438,0)</f>
        <v>1402.7055878462188</v>
      </c>
      <c r="AK2438" s="196">
        <f>IFERROR($G2438/SUMIF($A:$A,$A2438,$G:$G)*SUMIF(Summary!$A$247:$A$283,$A2438,Summary!$Q$247:$Q$283),0)</f>
        <v>388.16237569290342</v>
      </c>
      <c r="AL2438" s="196">
        <f>IFERROR($G2438/SUMIF($A:$A,$A2438,$G:$G)*(SUMIF(Summary!$A$247:$A$283,$A2438,Summary!$L$247:$L$283)+SUMIF(Summary!$A$297:$A$333,$A2438,Summary!$L$297:$L$333))-AK2438,0)</f>
        <v>1402.5572377302881</v>
      </c>
      <c r="AM2438" s="198"/>
      <c r="AN2438" s="196">
        <f t="shared" ref="AN2438:AN2501" ca="1" si="544">AE2438+AJ2438</f>
        <v>7057.5812074012074</v>
      </c>
      <c r="AO2438" s="196">
        <f t="shared" ref="AO2438:AO2501" ca="1" si="545">AG2438+AL2438</f>
        <v>7056.6194229927478</v>
      </c>
    </row>
    <row r="2439" spans="1:41">
      <c r="A2439" s="189">
        <v>9651</v>
      </c>
      <c r="B2439" s="190">
        <v>1</v>
      </c>
      <c r="C2439" s="191" t="s">
        <v>239</v>
      </c>
      <c r="D2439" s="192">
        <f t="shared" si="532"/>
        <v>195</v>
      </c>
      <c r="E2439" s="192">
        <f t="shared" si="533"/>
        <v>1950</v>
      </c>
      <c r="F2439" s="192">
        <f t="shared" si="534"/>
        <v>0</v>
      </c>
      <c r="G2439" s="193">
        <f t="shared" si="535"/>
        <v>2145</v>
      </c>
      <c r="H2439" s="194">
        <v>54</v>
      </c>
      <c r="I2439" s="194">
        <v>858</v>
      </c>
      <c r="J2439" s="194">
        <v>0</v>
      </c>
      <c r="K2439" s="193">
        <f t="shared" si="536"/>
        <v>912</v>
      </c>
      <c r="L2439" s="194">
        <v>141</v>
      </c>
      <c r="M2439" s="194">
        <v>864</v>
      </c>
      <c r="N2439" s="194">
        <v>0</v>
      </c>
      <c r="O2439" s="193">
        <f t="shared" si="537"/>
        <v>1005</v>
      </c>
      <c r="P2439" s="194">
        <v>0</v>
      </c>
      <c r="Q2439" s="194">
        <v>228</v>
      </c>
      <c r="R2439" s="194">
        <v>0</v>
      </c>
      <c r="S2439" s="193">
        <f t="shared" si="538"/>
        <v>228</v>
      </c>
      <c r="T2439" s="193">
        <f t="shared" si="539"/>
        <v>71.5</v>
      </c>
      <c r="U2439" s="193">
        <f ca="1">OFFSET('Expenditure Study'!$B$7,'Operations Support'!$C2439,'Operations Support'!$B2439)*$G2439</f>
        <v>3324.75</v>
      </c>
      <c r="V2439" s="199">
        <f ca="1">U2439*'Expenditure Study'!$B$31</f>
        <v>196436.80536480001</v>
      </c>
      <c r="W2439" s="199">
        <f ca="1">IF(A2439=10298,1.51,1)*IF($B2439&lt;3,$D2439*'Expenditure Study'!$B$32*OFFSET('Expenditure Study'!$B$7,'Operations Support'!$C2439,'Operations Support'!$B2439),0)</f>
        <v>30.225000000000001</v>
      </c>
      <c r="X2439" s="200">
        <f ca="1">W2439*'Expenditure Study'!$B$31</f>
        <v>1785.7891396800001</v>
      </c>
      <c r="Y2439" s="199">
        <f ca="1">U2439*'Expenditure Study'!$B$31</f>
        <v>196436.80536480001</v>
      </c>
      <c r="Z2439" s="200">
        <f ca="1">W2439*'Expenditure Study'!$B$31</f>
        <v>1785.7891396800001</v>
      </c>
      <c r="AA2439" s="195">
        <f t="shared" ca="1" si="540"/>
        <v>198222.59450448002</v>
      </c>
      <c r="AB2439" s="195">
        <f t="shared" ca="1" si="541"/>
        <v>198222.59450448002</v>
      </c>
      <c r="AD2439" s="196">
        <f>IFERROR($G2439/SUMIF($A:$A,$A2439,$G:$G)*SUMIF(Summary!$A$166:$A$242,$A2439,Summary!$P$166:$P$242),0)</f>
        <v>61670.516883487435</v>
      </c>
      <c r="AE2439" s="197">
        <f t="shared" ca="1" si="542"/>
        <v>136552.07762099258</v>
      </c>
      <c r="AF2439" s="196">
        <f>IFERROR(G2439/SUMIF(A:A,A2439,G:G)*SUMIF(Summary!$A$166:$A$242,'Operations Support'!A2439,Summary!$Q$166:$Q$242),0)</f>
        <v>61694.095485615442</v>
      </c>
      <c r="AG2439" s="196">
        <f t="shared" ca="1" si="543"/>
        <v>136528.49901886459</v>
      </c>
      <c r="AI2439" s="196">
        <f>IFERROR($G2439/SUMIF($A:$A,$A2439,$G:$G)*SUMIF(Summary!$A$247:$A$283,$A2439,Summary!$P$247:$P$283),0)</f>
        <v>11247.163308954143</v>
      </c>
      <c r="AJ2439" s="196">
        <f>IFERROR($G2439/SUMIF($A:$A,$A2439,$G:$G)*(SUMIF(Summary!$A$247:$A$283,$A2439,Summary!$L$247:$L$283)+SUMIF(Summary!$A$297:$A$333,$A2439,Summary!$L$297:$L$333))-AI2439,0)</f>
        <v>40659.506566623502</v>
      </c>
      <c r="AK2439" s="196">
        <f>IFERROR($G2439/SUMIF($A:$A,$A2439,$G:$G)*SUMIF(Summary!$A$247:$A$283,$A2439,Summary!$Q$247:$Q$283),0)</f>
        <v>11251.463457584836</v>
      </c>
      <c r="AL2439" s="196">
        <f>IFERROR($G2439/SUMIF($A:$A,$A2439,$G:$G)*(SUMIF(Summary!$A$247:$A$283,$A2439,Summary!$L$247:$L$283)+SUMIF(Summary!$A$297:$A$333,$A2439,Summary!$L$297:$L$333))-AK2439,0)</f>
        <v>40655.206417992813</v>
      </c>
      <c r="AM2439" s="198"/>
      <c r="AN2439" s="196">
        <f t="shared" ca="1" si="544"/>
        <v>177211.58418761607</v>
      </c>
      <c r="AO2439" s="196">
        <f t="shared" ca="1" si="545"/>
        <v>177183.70543685742</v>
      </c>
    </row>
    <row r="2440" spans="1:41">
      <c r="A2440" s="189">
        <v>9651</v>
      </c>
      <c r="B2440" s="190">
        <v>1</v>
      </c>
      <c r="C2440" s="191" t="s">
        <v>240</v>
      </c>
      <c r="D2440" s="192">
        <f t="shared" si="532"/>
        <v>0</v>
      </c>
      <c r="E2440" s="192">
        <f t="shared" si="533"/>
        <v>911</v>
      </c>
      <c r="F2440" s="192">
        <f t="shared" si="534"/>
        <v>0</v>
      </c>
      <c r="G2440" s="193">
        <f t="shared" si="535"/>
        <v>911</v>
      </c>
      <c r="H2440" s="194">
        <v>0</v>
      </c>
      <c r="I2440" s="194">
        <v>213</v>
      </c>
      <c r="J2440" s="194">
        <v>0</v>
      </c>
      <c r="K2440" s="193">
        <f t="shared" si="536"/>
        <v>213</v>
      </c>
      <c r="L2440" s="194">
        <v>0</v>
      </c>
      <c r="M2440" s="194">
        <v>698</v>
      </c>
      <c r="N2440" s="194">
        <v>0</v>
      </c>
      <c r="O2440" s="193">
        <f t="shared" si="537"/>
        <v>698</v>
      </c>
      <c r="P2440" s="194">
        <v>0</v>
      </c>
      <c r="Q2440" s="194">
        <v>0</v>
      </c>
      <c r="R2440" s="194">
        <v>0</v>
      </c>
      <c r="S2440" s="193">
        <f t="shared" si="538"/>
        <v>0</v>
      </c>
      <c r="T2440" s="193">
        <f t="shared" si="539"/>
        <v>30.366666666666667</v>
      </c>
      <c r="U2440" s="193">
        <f ca="1">OFFSET('Expenditure Study'!$B$7,'Operations Support'!$C2440,'Operations Support'!$B2440)*$G2440</f>
        <v>911</v>
      </c>
      <c r="V2440" s="199">
        <f ca="1">U2440*'Expenditure Study'!$B$31</f>
        <v>53824.7777088</v>
      </c>
      <c r="W2440" s="199">
        <f ca="1">IF(A2440=10298,1.51,1)*IF($B2440&lt;3,$D2440*'Expenditure Study'!$B$32*OFFSET('Expenditure Study'!$B$7,'Operations Support'!$C2440,'Operations Support'!$B2440),0)</f>
        <v>0</v>
      </c>
      <c r="X2440" s="200">
        <f ca="1">W2440*'Expenditure Study'!$B$31</f>
        <v>0</v>
      </c>
      <c r="Y2440" s="199">
        <f ca="1">U2440*'Expenditure Study'!$B$31</f>
        <v>53824.7777088</v>
      </c>
      <c r="Z2440" s="200">
        <f ca="1">W2440*'Expenditure Study'!$B$31</f>
        <v>0</v>
      </c>
      <c r="AA2440" s="195">
        <f t="shared" ca="1" si="540"/>
        <v>53824.7777088</v>
      </c>
      <c r="AB2440" s="195">
        <f t="shared" ca="1" si="541"/>
        <v>53824.7777088</v>
      </c>
      <c r="AD2440" s="196">
        <f>IFERROR($G2440/SUMIF($A:$A,$A2440,$G:$G)*SUMIF(Summary!$A$166:$A$242,$A2440,Summary!$P$166:$P$242),0)</f>
        <v>26192.000410655968</v>
      </c>
      <c r="AE2440" s="197">
        <f t="shared" ca="1" si="542"/>
        <v>27632.777298144032</v>
      </c>
      <c r="AF2440" s="196">
        <f>IFERROR(G2440/SUMIF(A:A,A2440,G:G)*SUMIF(Summary!$A$166:$A$242,'Operations Support'!A2440,Summary!$Q$166:$Q$242),0)</f>
        <v>26202.014446338308</v>
      </c>
      <c r="AG2440" s="196">
        <f t="shared" ca="1" si="543"/>
        <v>27622.763262461693</v>
      </c>
      <c r="AI2440" s="196">
        <f>IFERROR($G2440/SUMIF($A:$A,$A2440,$G:$G)*SUMIF(Summary!$A$247:$A$283,$A2440,Summary!$P$247:$P$283),0)</f>
        <v>4776.7672608192188</v>
      </c>
      <c r="AJ2440" s="196">
        <f>IFERROR($G2440/SUMIF($A:$A,$A2440,$G:$G)*(SUMIF(Summary!$A$247:$A$283,$A2440,Summary!$L$247:$L$283)+SUMIF(Summary!$A$297:$A$333,$A2440,Summary!$L$297:$L$333))-AI2440,0)</f>
        <v>17268.44311524196</v>
      </c>
      <c r="AK2440" s="196">
        <f>IFERROR($G2440/SUMIF($A:$A,$A2440,$G:$G)*SUMIF(Summary!$A$247:$A$283,$A2440,Summary!$Q$247:$Q$283),0)</f>
        <v>4778.5935710302028</v>
      </c>
      <c r="AL2440" s="196">
        <f>IFERROR($G2440/SUMIF($A:$A,$A2440,$G:$G)*(SUMIF(Summary!$A$247:$A$283,$A2440,Summary!$L$247:$L$283)+SUMIF(Summary!$A$297:$A$333,$A2440,Summary!$L$297:$L$333))-AK2440,0)</f>
        <v>17266.616805030975</v>
      </c>
      <c r="AM2440" s="198"/>
      <c r="AN2440" s="196">
        <f t="shared" ca="1" si="544"/>
        <v>44901.220413385992</v>
      </c>
      <c r="AO2440" s="196">
        <f t="shared" ca="1" si="545"/>
        <v>44889.380067492668</v>
      </c>
    </row>
    <row r="2441" spans="1:41">
      <c r="A2441" s="189">
        <v>9651</v>
      </c>
      <c r="B2441" s="190">
        <v>2</v>
      </c>
      <c r="C2441" s="191" t="s">
        <v>220</v>
      </c>
      <c r="D2441" s="192">
        <f t="shared" si="532"/>
        <v>16569</v>
      </c>
      <c r="E2441" s="192">
        <f t="shared" si="533"/>
        <v>22553</v>
      </c>
      <c r="F2441" s="192">
        <f t="shared" si="534"/>
        <v>0</v>
      </c>
      <c r="G2441" s="193">
        <f t="shared" si="535"/>
        <v>39122</v>
      </c>
      <c r="H2441" s="194">
        <v>7023</v>
      </c>
      <c r="I2441" s="194">
        <v>7902</v>
      </c>
      <c r="J2441" s="194">
        <v>0</v>
      </c>
      <c r="K2441" s="193">
        <f t="shared" si="536"/>
        <v>14925</v>
      </c>
      <c r="L2441" s="194">
        <v>5940</v>
      </c>
      <c r="M2441" s="194">
        <v>8399</v>
      </c>
      <c r="N2441" s="194">
        <v>0</v>
      </c>
      <c r="O2441" s="193">
        <f t="shared" si="537"/>
        <v>14339</v>
      </c>
      <c r="P2441" s="194">
        <v>3606</v>
      </c>
      <c r="Q2441" s="194">
        <v>6252</v>
      </c>
      <c r="R2441" s="194">
        <v>0</v>
      </c>
      <c r="S2441" s="193">
        <f t="shared" si="538"/>
        <v>9858</v>
      </c>
      <c r="T2441" s="193">
        <f t="shared" si="539"/>
        <v>1304.0666666666666</v>
      </c>
      <c r="U2441" s="193">
        <f ca="1">OFFSET('Expenditure Study'!$B$7,'Operations Support'!$C2441,'Operations Support'!$B2441)*$G2441</f>
        <v>71984.479999999996</v>
      </c>
      <c r="V2441" s="199">
        <f ca="1">U2441*'Expenditure Study'!$B$31</f>
        <v>4253072.046633984</v>
      </c>
      <c r="W2441" s="199">
        <f ca="1">IF(A2441=10298,1.51,1)*IF($B2441&lt;3,$D2441*'Expenditure Study'!$B$32*OFFSET('Expenditure Study'!$B$7,'Operations Support'!$C2441,'Operations Support'!$B2441),0)</f>
        <v>3048.6960000000004</v>
      </c>
      <c r="X2441" s="200">
        <f ca="1">W2441*'Expenditure Study'!$B$31</f>
        <v>180126.65697223681</v>
      </c>
      <c r="Y2441" s="199">
        <f ca="1">U2441*'Expenditure Study'!$B$31</f>
        <v>4253072.046633984</v>
      </c>
      <c r="Z2441" s="200">
        <f ca="1">W2441*'Expenditure Study'!$B$31</f>
        <v>180126.65697223681</v>
      </c>
      <c r="AA2441" s="195">
        <f t="shared" ca="1" si="540"/>
        <v>4433198.7036062209</v>
      </c>
      <c r="AB2441" s="195">
        <f t="shared" ca="1" si="541"/>
        <v>4433198.7036062209</v>
      </c>
      <c r="AD2441" s="196">
        <f>IFERROR($G2441/SUMIF($A:$A,$A2441,$G:$G)*SUMIF(Summary!$A$166:$A$242,$A2441,Summary!$P$166:$P$242),0)</f>
        <v>1124789.7256483894</v>
      </c>
      <c r="AE2441" s="197">
        <f t="shared" ca="1" si="542"/>
        <v>3308408.9779578317</v>
      </c>
      <c r="AF2441" s="196">
        <f>IFERROR(G2441/SUMIF(A:A,A2441,G:G)*SUMIF(Summary!$A$166:$A$242,'Operations Support'!A2441,Summary!$Q$166:$Q$242),0)</f>
        <v>1125219.7685726094</v>
      </c>
      <c r="AG2441" s="196">
        <f t="shared" ca="1" si="543"/>
        <v>3307978.9350336115</v>
      </c>
      <c r="AI2441" s="196">
        <f>IFERROR($G2441/SUMIF($A:$A,$A2441,$G:$G)*SUMIF(Summary!$A$247:$A$283,$A2441,Summary!$P$247:$P$283),0)</f>
        <v>205133.57714354497</v>
      </c>
      <c r="AJ2441" s="196">
        <f>IFERROR($G2441/SUMIF($A:$A,$A2441,$G:$G)*(SUMIF(Summary!$A$247:$A$283,$A2441,Summary!$L$247:$L$283)+SUMIF(Summary!$A$297:$A$333,$A2441,Summary!$L$297:$L$333))-AI2441,0)</f>
        <v>741576.32442864543</v>
      </c>
      <c r="AK2441" s="196">
        <f>IFERROR($G2441/SUMIF($A:$A,$A2441,$G:$G)*SUMIF(Summary!$A$247:$A$283,$A2441,Summary!$Q$247:$Q$283),0)</f>
        <v>205212.00624132119</v>
      </c>
      <c r="AL2441" s="196">
        <f>IFERROR($G2441/SUMIF($A:$A,$A2441,$G:$G)*(SUMIF(Summary!$A$247:$A$283,$A2441,Summary!$L$247:$L$283)+SUMIF(Summary!$A$297:$A$333,$A2441,Summary!$L$297:$L$333))-AK2441,0)</f>
        <v>741497.89533086924</v>
      </c>
      <c r="AM2441" s="198"/>
      <c r="AN2441" s="196">
        <f t="shared" ca="1" si="544"/>
        <v>4049985.3023864771</v>
      </c>
      <c r="AO2441" s="196">
        <f t="shared" ca="1" si="545"/>
        <v>4049476.8303644806</v>
      </c>
    </row>
    <row r="2442" spans="1:41">
      <c r="A2442" s="189">
        <v>9651</v>
      </c>
      <c r="B2442" s="190">
        <v>2</v>
      </c>
      <c r="C2442" s="191" t="s">
        <v>221</v>
      </c>
      <c r="D2442" s="192">
        <f t="shared" si="532"/>
        <v>5936</v>
      </c>
      <c r="E2442" s="192">
        <f t="shared" si="533"/>
        <v>2652</v>
      </c>
      <c r="F2442" s="192">
        <f t="shared" si="534"/>
        <v>0</v>
      </c>
      <c r="G2442" s="193">
        <f t="shared" si="535"/>
        <v>8588</v>
      </c>
      <c r="H2442" s="194">
        <v>2556</v>
      </c>
      <c r="I2442" s="194">
        <v>865</v>
      </c>
      <c r="J2442" s="194">
        <v>0</v>
      </c>
      <c r="K2442" s="193">
        <f t="shared" si="536"/>
        <v>3421</v>
      </c>
      <c r="L2442" s="194">
        <v>3055</v>
      </c>
      <c r="M2442" s="194">
        <v>1334</v>
      </c>
      <c r="N2442" s="194">
        <v>0</v>
      </c>
      <c r="O2442" s="193">
        <f t="shared" si="537"/>
        <v>4389</v>
      </c>
      <c r="P2442" s="194">
        <v>325</v>
      </c>
      <c r="Q2442" s="194">
        <v>453</v>
      </c>
      <c r="R2442" s="194">
        <v>0</v>
      </c>
      <c r="S2442" s="193">
        <f t="shared" si="538"/>
        <v>778</v>
      </c>
      <c r="T2442" s="193">
        <f t="shared" si="539"/>
        <v>286.26666666666665</v>
      </c>
      <c r="U2442" s="193">
        <f ca="1">OFFSET('Expenditure Study'!$B$7,'Operations Support'!$C2442,'Operations Support'!$B2442)*$G2442</f>
        <v>22586.44</v>
      </c>
      <c r="V2442" s="199">
        <f ca="1">U2442*'Expenditure Study'!$B$31</f>
        <v>1334478.7181483519</v>
      </c>
      <c r="W2442" s="199">
        <f ca="1">IF(A2442=10298,1.51,1)*IF($B2442&lt;3,$D2442*'Expenditure Study'!$B$32*OFFSET('Expenditure Study'!$B$7,'Operations Support'!$C2442,'Operations Support'!$B2442),0)</f>
        <v>1561.1679999999999</v>
      </c>
      <c r="X2442" s="200">
        <f ca="1">W2442*'Expenditure Study'!$B$31</f>
        <v>92238.771203174401</v>
      </c>
      <c r="Y2442" s="199">
        <f ca="1">U2442*'Expenditure Study'!$B$31</f>
        <v>1334478.7181483519</v>
      </c>
      <c r="Z2442" s="200">
        <f ca="1">W2442*'Expenditure Study'!$B$31</f>
        <v>92238.771203174401</v>
      </c>
      <c r="AA2442" s="195">
        <f t="shared" ca="1" si="540"/>
        <v>1426717.4893515264</v>
      </c>
      <c r="AB2442" s="195">
        <f t="shared" ca="1" si="541"/>
        <v>1426717.4893515264</v>
      </c>
      <c r="AD2442" s="196">
        <f>IFERROR($G2442/SUMIF($A:$A,$A2442,$G:$G)*SUMIF(Summary!$A$166:$A$242,$A2442,Summary!$P$166:$P$242),0)</f>
        <v>246912.074123725</v>
      </c>
      <c r="AE2442" s="197">
        <f t="shared" ca="1" si="542"/>
        <v>1179805.4152278013</v>
      </c>
      <c r="AF2442" s="196">
        <f>IFERROR(G2442/SUMIF(A:A,A2442,G:G)*SUMIF(Summary!$A$166:$A$242,'Operations Support'!A2442,Summary!$Q$166:$Q$242),0)</f>
        <v>247006.47647107946</v>
      </c>
      <c r="AG2442" s="196">
        <f t="shared" ca="1" si="543"/>
        <v>1179711.0128804469</v>
      </c>
      <c r="AI2442" s="196">
        <f>IFERROR($G2442/SUMIF($A:$A,$A2442,$G:$G)*SUMIF(Summary!$A$247:$A$283,$A2442,Summary!$P$247:$P$283),0)</f>
        <v>45030.600698041111</v>
      </c>
      <c r="AJ2442" s="196">
        <f>IFERROR($G2442/SUMIF($A:$A,$A2442,$G:$G)*(SUMIF(Summary!$A$247:$A$283,$A2442,Summary!$L$247:$L$283)+SUMIF(Summary!$A$297:$A$333,$A2442,Summary!$L$297:$L$333))-AI2442,0)</f>
        <v>162789.67011382873</v>
      </c>
      <c r="AK2442" s="196">
        <f>IFERROR($G2442/SUMIF($A:$A,$A2442,$G:$G)*SUMIF(Summary!$A$247:$A$283,$A2442,Summary!$Q$247:$Q$283),0)</f>
        <v>45047.817330414255</v>
      </c>
      <c r="AL2442" s="196">
        <f>IFERROR($G2442/SUMIF($A:$A,$A2442,$G:$G)*(SUMIF(Summary!$A$247:$A$283,$A2442,Summary!$L$247:$L$283)+SUMIF(Summary!$A$297:$A$333,$A2442,Summary!$L$297:$L$333))-AK2442,0)</f>
        <v>162772.4534814556</v>
      </c>
      <c r="AM2442" s="198"/>
      <c r="AN2442" s="196">
        <f t="shared" ca="1" si="544"/>
        <v>1342595.08534163</v>
      </c>
      <c r="AO2442" s="196">
        <f t="shared" ca="1" si="545"/>
        <v>1342483.4663619024</v>
      </c>
    </row>
    <row r="2443" spans="1:41">
      <c r="A2443" s="189">
        <v>9651</v>
      </c>
      <c r="B2443" s="190">
        <v>2</v>
      </c>
      <c r="C2443" s="191" t="s">
        <v>222</v>
      </c>
      <c r="D2443" s="192">
        <f t="shared" si="532"/>
        <v>1064</v>
      </c>
      <c r="E2443" s="192">
        <f t="shared" si="533"/>
        <v>964</v>
      </c>
      <c r="F2443" s="192">
        <f t="shared" si="534"/>
        <v>0</v>
      </c>
      <c r="G2443" s="193">
        <f t="shared" si="535"/>
        <v>2028</v>
      </c>
      <c r="H2443" s="194">
        <v>445</v>
      </c>
      <c r="I2443" s="194">
        <v>400</v>
      </c>
      <c r="J2443" s="194">
        <v>0</v>
      </c>
      <c r="K2443" s="193">
        <f t="shared" si="536"/>
        <v>845</v>
      </c>
      <c r="L2443" s="194">
        <v>614</v>
      </c>
      <c r="M2443" s="194">
        <v>464</v>
      </c>
      <c r="N2443" s="194">
        <v>0</v>
      </c>
      <c r="O2443" s="193">
        <f t="shared" si="537"/>
        <v>1078</v>
      </c>
      <c r="P2443" s="194">
        <v>5</v>
      </c>
      <c r="Q2443" s="194">
        <v>100</v>
      </c>
      <c r="R2443" s="194">
        <v>0</v>
      </c>
      <c r="S2443" s="193">
        <f t="shared" si="538"/>
        <v>105</v>
      </c>
      <c r="T2443" s="193">
        <f t="shared" si="539"/>
        <v>67.599999999999994</v>
      </c>
      <c r="U2443" s="193">
        <f ca="1">OFFSET('Expenditure Study'!$B$7,'Operations Support'!$C2443,'Operations Support'!$B2443)*$G2443</f>
        <v>5394.4800000000005</v>
      </c>
      <c r="V2443" s="199">
        <f ca="1">U2443*'Expenditure Study'!$B$31</f>
        <v>318723.03716198402</v>
      </c>
      <c r="W2443" s="199">
        <f ca="1">IF(A2443=10298,1.51,1)*IF($B2443&lt;3,$D2443*'Expenditure Study'!$B$32*OFFSET('Expenditure Study'!$B$7,'Operations Support'!$C2443,'Operations Support'!$B2443),0)</f>
        <v>283.02400000000006</v>
      </c>
      <c r="X2443" s="200">
        <f ca="1">W2443*'Expenditure Study'!$B$31</f>
        <v>16721.958162739204</v>
      </c>
      <c r="Y2443" s="199">
        <f ca="1">U2443*'Expenditure Study'!$B$31</f>
        <v>318723.03716198402</v>
      </c>
      <c r="Z2443" s="200">
        <f ca="1">W2443*'Expenditure Study'!$B$31</f>
        <v>16721.958162739204</v>
      </c>
      <c r="AA2443" s="195">
        <f t="shared" ca="1" si="540"/>
        <v>335444.99532472319</v>
      </c>
      <c r="AB2443" s="195">
        <f t="shared" ca="1" si="541"/>
        <v>335444.99532472319</v>
      </c>
      <c r="AD2443" s="196">
        <f>IFERROR($G2443/SUMIF($A:$A,$A2443,$G:$G)*SUMIF(Summary!$A$166:$A$242,$A2443,Summary!$P$166:$P$242),0)</f>
        <v>58306.670508024479</v>
      </c>
      <c r="AE2443" s="197">
        <f t="shared" ca="1" si="542"/>
        <v>277138.32481669873</v>
      </c>
      <c r="AF2443" s="196">
        <f>IFERROR(G2443/SUMIF(A:A,A2443,G:G)*SUMIF(Summary!$A$166:$A$242,'Operations Support'!A2443,Summary!$Q$166:$Q$242),0)</f>
        <v>58328.96300458187</v>
      </c>
      <c r="AG2443" s="196">
        <f t="shared" ca="1" si="543"/>
        <v>277116.03232014133</v>
      </c>
      <c r="AI2443" s="196">
        <f>IFERROR($G2443/SUMIF($A:$A,$A2443,$G:$G)*SUMIF(Summary!$A$247:$A$283,$A2443,Summary!$P$247:$P$283),0)</f>
        <v>10633.68167392028</v>
      </c>
      <c r="AJ2443" s="196">
        <f>IFERROR($G2443/SUMIF($A:$A,$A2443,$G:$G)*(SUMIF(Summary!$A$247:$A$283,$A2443,Summary!$L$247:$L$283)+SUMIF(Summary!$A$297:$A$333,$A2443,Summary!$L$297:$L$333))-AI2443,0)</f>
        <v>38441.71529935312</v>
      </c>
      <c r="AK2443" s="196">
        <f>IFERROR($G2443/SUMIF($A:$A,$A2443,$G:$G)*SUMIF(Summary!$A$247:$A$283,$A2443,Summary!$Q$247:$Q$283),0)</f>
        <v>10637.747268989298</v>
      </c>
      <c r="AL2443" s="196">
        <f>IFERROR($G2443/SUMIF($A:$A,$A2443,$G:$G)*(SUMIF(Summary!$A$247:$A$283,$A2443,Summary!$L$247:$L$283)+SUMIF(Summary!$A$297:$A$333,$A2443,Summary!$L$297:$L$333))-AK2443,0)</f>
        <v>38437.649704284107</v>
      </c>
      <c r="AM2443" s="198"/>
      <c r="AN2443" s="196">
        <f t="shared" ca="1" si="544"/>
        <v>315580.04011605185</v>
      </c>
      <c r="AO2443" s="196">
        <f t="shared" ca="1" si="545"/>
        <v>315553.68202442542</v>
      </c>
    </row>
    <row r="2444" spans="1:41">
      <c r="A2444" s="189">
        <v>9651</v>
      </c>
      <c r="B2444" s="190">
        <v>2</v>
      </c>
      <c r="C2444" s="191" t="s">
        <v>223</v>
      </c>
      <c r="D2444" s="192">
        <f t="shared" si="532"/>
        <v>2689</v>
      </c>
      <c r="E2444" s="192">
        <f t="shared" si="533"/>
        <v>2498</v>
      </c>
      <c r="F2444" s="192">
        <f t="shared" si="534"/>
        <v>0</v>
      </c>
      <c r="G2444" s="193">
        <f t="shared" si="535"/>
        <v>5187</v>
      </c>
      <c r="H2444" s="194">
        <v>1335</v>
      </c>
      <c r="I2444" s="194">
        <v>1101</v>
      </c>
      <c r="J2444" s="194">
        <v>0</v>
      </c>
      <c r="K2444" s="193">
        <f t="shared" si="536"/>
        <v>2436</v>
      </c>
      <c r="L2444" s="194">
        <v>819</v>
      </c>
      <c r="M2444" s="194">
        <v>1236</v>
      </c>
      <c r="N2444" s="194">
        <v>0</v>
      </c>
      <c r="O2444" s="193">
        <f t="shared" si="537"/>
        <v>2055</v>
      </c>
      <c r="P2444" s="194">
        <v>535</v>
      </c>
      <c r="Q2444" s="194">
        <v>161</v>
      </c>
      <c r="R2444" s="194">
        <v>0</v>
      </c>
      <c r="S2444" s="193">
        <f t="shared" si="538"/>
        <v>696</v>
      </c>
      <c r="T2444" s="193">
        <f t="shared" si="539"/>
        <v>172.9</v>
      </c>
      <c r="U2444" s="193">
        <f ca="1">OFFSET('Expenditure Study'!$B$7,'Operations Support'!$C2444,'Operations Support'!$B2444)*$G2444</f>
        <v>9855.2999999999993</v>
      </c>
      <c r="V2444" s="199">
        <f ca="1">U2444*'Expenditure Study'!$B$31</f>
        <v>582282.47173823998</v>
      </c>
      <c r="W2444" s="199">
        <f ca="1">IF(A2444=10298,1.51,1)*IF($B2444&lt;3,$D2444*'Expenditure Study'!$B$32*OFFSET('Expenditure Study'!$B$7,'Operations Support'!$C2444,'Operations Support'!$B2444),0)</f>
        <v>510.91</v>
      </c>
      <c r="X2444" s="200">
        <f ca="1">W2444*'Expenditure Study'!$B$31</f>
        <v>30186.187902528003</v>
      </c>
      <c r="Y2444" s="199">
        <f ca="1">U2444*'Expenditure Study'!$B$31</f>
        <v>582282.47173823998</v>
      </c>
      <c r="Z2444" s="200">
        <f ca="1">W2444*'Expenditure Study'!$B$31</f>
        <v>30186.187902528003</v>
      </c>
      <c r="AA2444" s="195">
        <f t="shared" ca="1" si="540"/>
        <v>612468.65964076796</v>
      </c>
      <c r="AB2444" s="195">
        <f t="shared" ca="1" si="541"/>
        <v>612468.65964076796</v>
      </c>
      <c r="AD2444" s="196">
        <f>IFERROR($G2444/SUMIF($A:$A,$A2444,$G:$G)*SUMIF(Summary!$A$166:$A$242,$A2444,Summary!$P$166:$P$242),0)</f>
        <v>149130.52264552418</v>
      </c>
      <c r="AE2444" s="197">
        <f t="shared" ca="1" si="542"/>
        <v>463338.13699524378</v>
      </c>
      <c r="AF2444" s="196">
        <f>IFERROR(G2444/SUMIF(A:A,A2444,G:G)*SUMIF(Summary!$A$166:$A$242,'Operations Support'!A2444,Summary!$Q$166:$Q$242),0)</f>
        <v>149187.53999248825</v>
      </c>
      <c r="AG2444" s="196">
        <f t="shared" ca="1" si="543"/>
        <v>463281.11964827974</v>
      </c>
      <c r="AI2444" s="196">
        <f>IFERROR($G2444/SUMIF($A:$A,$A2444,$G:$G)*SUMIF(Summary!$A$247:$A$283,$A2444,Summary!$P$247:$P$283),0)</f>
        <v>27197.685819834565</v>
      </c>
      <c r="AJ2444" s="196">
        <f>IFERROR($G2444/SUMIF($A:$A,$A2444,$G:$G)*(SUMIF(Summary!$A$247:$A$283,$A2444,Summary!$L$247:$L$283)+SUMIF(Summary!$A$297:$A$333,$A2444,Summary!$L$297:$L$333))-AI2444,0)</f>
        <v>98322.079515653197</v>
      </c>
      <c r="AK2444" s="196">
        <f>IFERROR($G2444/SUMIF($A:$A,$A2444,$G:$G)*SUMIF(Summary!$A$247:$A$283,$A2444,Summary!$Q$247:$Q$283),0)</f>
        <v>27208.084361068784</v>
      </c>
      <c r="AL2444" s="196">
        <f>IFERROR($G2444/SUMIF($A:$A,$A2444,$G:$G)*(SUMIF(Summary!$A$247:$A$283,$A2444,Summary!$L$247:$L$283)+SUMIF(Summary!$A$297:$A$333,$A2444,Summary!$L$297:$L$333))-AK2444,0)</f>
        <v>98311.680974418981</v>
      </c>
      <c r="AM2444" s="198"/>
      <c r="AN2444" s="196">
        <f t="shared" ca="1" si="544"/>
        <v>561660.21651089704</v>
      </c>
      <c r="AO2444" s="196">
        <f t="shared" ca="1" si="545"/>
        <v>561592.80062269873</v>
      </c>
    </row>
    <row r="2445" spans="1:41" s="201" customFormat="1">
      <c r="A2445" s="189">
        <v>9651</v>
      </c>
      <c r="B2445" s="190">
        <v>2</v>
      </c>
      <c r="C2445" s="191" t="s">
        <v>224</v>
      </c>
      <c r="D2445" s="192">
        <f t="shared" si="532"/>
        <v>0</v>
      </c>
      <c r="E2445" s="192">
        <f t="shared" si="533"/>
        <v>0</v>
      </c>
      <c r="F2445" s="192">
        <f t="shared" si="534"/>
        <v>0</v>
      </c>
      <c r="G2445" s="193">
        <f t="shared" si="535"/>
        <v>0</v>
      </c>
      <c r="H2445" s="194">
        <v>0</v>
      </c>
      <c r="I2445" s="194">
        <v>0</v>
      </c>
      <c r="J2445" s="194">
        <v>0</v>
      </c>
      <c r="K2445" s="193">
        <f t="shared" si="536"/>
        <v>0</v>
      </c>
      <c r="L2445" s="194">
        <v>0</v>
      </c>
      <c r="M2445" s="194">
        <v>0</v>
      </c>
      <c r="N2445" s="194">
        <v>0</v>
      </c>
      <c r="O2445" s="193">
        <f t="shared" si="537"/>
        <v>0</v>
      </c>
      <c r="P2445" s="194">
        <v>0</v>
      </c>
      <c r="Q2445" s="194">
        <v>0</v>
      </c>
      <c r="R2445" s="194">
        <v>0</v>
      </c>
      <c r="S2445" s="193">
        <f t="shared" si="538"/>
        <v>0</v>
      </c>
      <c r="T2445" s="193">
        <f t="shared" si="539"/>
        <v>0</v>
      </c>
      <c r="U2445" s="193">
        <f ca="1">OFFSET('Expenditure Study'!$B$7,'Operations Support'!$C2445,'Operations Support'!$B2445)*$G2445</f>
        <v>0</v>
      </c>
      <c r="V2445" s="199">
        <f ca="1">U2445*'Expenditure Study'!$B$31</f>
        <v>0</v>
      </c>
      <c r="W2445" s="199">
        <f ca="1">IF(A2445=10298,1.51,1)*IF($B2445&lt;3,$D2445*'Expenditure Study'!$B$32*OFFSET('Expenditure Study'!$B$7,'Operations Support'!$C2445,'Operations Support'!$B2445),0)</f>
        <v>0</v>
      </c>
      <c r="X2445" s="200">
        <f ca="1">W2445*'Expenditure Study'!$B$31</f>
        <v>0</v>
      </c>
      <c r="Y2445" s="199">
        <f ca="1">U2445*'Expenditure Study'!$B$31</f>
        <v>0</v>
      </c>
      <c r="Z2445" s="200">
        <f ca="1">W2445*'Expenditure Study'!$B$31</f>
        <v>0</v>
      </c>
      <c r="AA2445" s="195">
        <f t="shared" ca="1" si="540"/>
        <v>0</v>
      </c>
      <c r="AB2445" s="195">
        <f t="shared" ca="1" si="541"/>
        <v>0</v>
      </c>
      <c r="AD2445" s="196">
        <f>IFERROR($G2445/SUMIF($A:$A,$A2445,$G:$G)*SUMIF(Summary!$A$166:$A$242,$A2445,Summary!$P$166:$P$242),0)</f>
        <v>0</v>
      </c>
      <c r="AE2445" s="197">
        <f t="shared" ca="1" si="542"/>
        <v>0</v>
      </c>
      <c r="AF2445" s="196">
        <f>IFERROR(G2445/SUMIF(A:A,A2445,G:G)*SUMIF(Summary!$A$166:$A$242,'Operations Support'!A2445,Summary!$Q$166:$Q$242),0)</f>
        <v>0</v>
      </c>
      <c r="AG2445" s="196">
        <f t="shared" ca="1" si="543"/>
        <v>0</v>
      </c>
      <c r="AH2445" s="180"/>
      <c r="AI2445" s="196">
        <f>IFERROR($G2445/SUMIF($A:$A,$A2445,$G:$G)*SUMIF(Summary!$A$247:$A$283,$A2445,Summary!$P$247:$P$283),0)</f>
        <v>0</v>
      </c>
      <c r="AJ2445" s="196">
        <f>IFERROR($G2445/SUMIF($A:$A,$A2445,$G:$G)*(SUMIF(Summary!$A$247:$A$283,$A2445,Summary!$L$247:$L$283)+SUMIF(Summary!$A$297:$A$333,$A2445,Summary!$L$297:$L$333))-AI2445,0)</f>
        <v>0</v>
      </c>
      <c r="AK2445" s="196">
        <f>IFERROR($G2445/SUMIF($A:$A,$A2445,$G:$G)*SUMIF(Summary!$A$247:$A$283,$A2445,Summary!$Q$247:$Q$283),0)</f>
        <v>0</v>
      </c>
      <c r="AL2445" s="196">
        <f>IFERROR($G2445/SUMIF($A:$A,$A2445,$G:$G)*(SUMIF(Summary!$A$247:$A$283,$A2445,Summary!$L$247:$L$283)+SUMIF(Summary!$A$297:$A$333,$A2445,Summary!$L$297:$L$333))-AK2445,0)</f>
        <v>0</v>
      </c>
      <c r="AM2445" s="198"/>
      <c r="AN2445" s="196">
        <f t="shared" ca="1" si="544"/>
        <v>0</v>
      </c>
      <c r="AO2445" s="196">
        <f t="shared" ca="1" si="545"/>
        <v>0</v>
      </c>
    </row>
    <row r="2446" spans="1:41" s="201" customFormat="1">
      <c r="A2446" s="189">
        <v>9651</v>
      </c>
      <c r="B2446" s="190">
        <v>2</v>
      </c>
      <c r="C2446" s="191" t="s">
        <v>225</v>
      </c>
      <c r="D2446" s="192">
        <f t="shared" si="532"/>
        <v>1724</v>
      </c>
      <c r="E2446" s="192">
        <f t="shared" si="533"/>
        <v>905</v>
      </c>
      <c r="F2446" s="192">
        <f t="shared" si="534"/>
        <v>0</v>
      </c>
      <c r="G2446" s="193">
        <f t="shared" si="535"/>
        <v>2629</v>
      </c>
      <c r="H2446" s="194">
        <v>758</v>
      </c>
      <c r="I2446" s="194">
        <v>450</v>
      </c>
      <c r="J2446" s="194">
        <v>0</v>
      </c>
      <c r="K2446" s="193">
        <f t="shared" si="536"/>
        <v>1208</v>
      </c>
      <c r="L2446" s="194">
        <v>793</v>
      </c>
      <c r="M2446" s="194">
        <v>455</v>
      </c>
      <c r="N2446" s="194">
        <v>0</v>
      </c>
      <c r="O2446" s="193">
        <f t="shared" si="537"/>
        <v>1248</v>
      </c>
      <c r="P2446" s="194">
        <v>173</v>
      </c>
      <c r="Q2446" s="194">
        <v>0</v>
      </c>
      <c r="R2446" s="194">
        <v>0</v>
      </c>
      <c r="S2446" s="193">
        <f t="shared" si="538"/>
        <v>173</v>
      </c>
      <c r="T2446" s="193">
        <f t="shared" si="539"/>
        <v>87.63333333333334</v>
      </c>
      <c r="U2446" s="193">
        <f ca="1">OFFSET('Expenditure Study'!$B$7,'Operations Support'!$C2446,'Operations Support'!$B2446)*$G2446</f>
        <v>7361.2</v>
      </c>
      <c r="V2446" s="199">
        <f ca="1">U2446*'Expenditure Study'!$B$31</f>
        <v>434923.11050496</v>
      </c>
      <c r="W2446" s="199">
        <f ca="1">IF(A2446=10298,1.51,1)*IF($B2446&lt;3,$D2446*'Expenditure Study'!$B$32*OFFSET('Expenditure Study'!$B$7,'Operations Support'!$C2446,'Operations Support'!$B2446),0)</f>
        <v>482.71999999999997</v>
      </c>
      <c r="X2446" s="200">
        <f ca="1">W2446*'Expenditure Study'!$B$31</f>
        <v>28520.633035775998</v>
      </c>
      <c r="Y2446" s="199">
        <f ca="1">U2446*'Expenditure Study'!$B$31</f>
        <v>434923.11050496</v>
      </c>
      <c r="Z2446" s="200">
        <f ca="1">W2446*'Expenditure Study'!$B$31</f>
        <v>28520.633035775998</v>
      </c>
      <c r="AA2446" s="195">
        <f t="shared" ca="1" si="540"/>
        <v>463443.74354073597</v>
      </c>
      <c r="AB2446" s="195">
        <f t="shared" ca="1" si="541"/>
        <v>463443.74354073597</v>
      </c>
      <c r="AD2446" s="196">
        <f>IFERROR($G2446/SUMIF($A:$A,$A2446,$G:$G)*SUMIF(Summary!$A$166:$A$242,$A2446,Summary!$P$166:$P$242),0)</f>
        <v>75585.915564889729</v>
      </c>
      <c r="AE2446" s="197">
        <f t="shared" ca="1" si="542"/>
        <v>387857.82797584624</v>
      </c>
      <c r="AF2446" s="196">
        <f>IFERROR(G2446/SUMIF(A:A,A2446,G:G)*SUMIF(Summary!$A$166:$A$242,'Operations Support'!A2446,Summary!$Q$166:$Q$242),0)</f>
        <v>75614.814466985088</v>
      </c>
      <c r="AG2446" s="196">
        <f t="shared" ca="1" si="543"/>
        <v>387828.92907375086</v>
      </c>
      <c r="AH2446" s="180"/>
      <c r="AI2446" s="196">
        <f>IFERROR($G2446/SUMIF($A:$A,$A2446,$G:$G)*SUMIF(Summary!$A$247:$A$283,$A2446,Summary!$P$247:$P$283),0)</f>
        <v>13784.984773538668</v>
      </c>
      <c r="AJ2446" s="196">
        <f>IFERROR($G2446/SUMIF($A:$A,$A2446,$G:$G)*(SUMIF(Summary!$A$247:$A$283,$A2446,Summary!$L$247:$L$283)+SUMIF(Summary!$A$297:$A$333,$A2446,Summary!$L$297:$L$333))-AI2446,0)</f>
        <v>49833.959330374448</v>
      </c>
      <c r="AK2446" s="196">
        <f>IFERROR($G2446/SUMIF($A:$A,$A2446,$G:$G)*SUMIF(Summary!$A$247:$A$283,$A2446,Summary!$Q$247:$Q$283),0)</f>
        <v>13790.255212116797</v>
      </c>
      <c r="AL2446" s="196">
        <f>IFERROR($G2446/SUMIF($A:$A,$A2446,$G:$G)*(SUMIF(Summary!$A$247:$A$283,$A2446,Summary!$L$247:$L$283)+SUMIF(Summary!$A$297:$A$333,$A2446,Summary!$L$297:$L$333))-AK2446,0)</f>
        <v>49828.688891796315</v>
      </c>
      <c r="AM2446" s="198"/>
      <c r="AN2446" s="196">
        <f t="shared" ca="1" si="544"/>
        <v>437691.78730622068</v>
      </c>
      <c r="AO2446" s="196">
        <f t="shared" ca="1" si="545"/>
        <v>437657.61796554719</v>
      </c>
    </row>
    <row r="2447" spans="1:41">
      <c r="A2447" s="189">
        <v>9651</v>
      </c>
      <c r="B2447" s="190">
        <v>2</v>
      </c>
      <c r="C2447" s="191" t="s">
        <v>226</v>
      </c>
      <c r="D2447" s="192">
        <f t="shared" si="532"/>
        <v>84</v>
      </c>
      <c r="E2447" s="192">
        <f t="shared" si="533"/>
        <v>615</v>
      </c>
      <c r="F2447" s="192">
        <f t="shared" si="534"/>
        <v>0</v>
      </c>
      <c r="G2447" s="193">
        <f t="shared" si="535"/>
        <v>699</v>
      </c>
      <c r="H2447" s="194">
        <v>84</v>
      </c>
      <c r="I2447" s="194">
        <v>177</v>
      </c>
      <c r="J2447" s="194">
        <v>0</v>
      </c>
      <c r="K2447" s="193">
        <f t="shared" si="536"/>
        <v>261</v>
      </c>
      <c r="L2447" s="194">
        <v>0</v>
      </c>
      <c r="M2447" s="194">
        <v>171</v>
      </c>
      <c r="N2447" s="194">
        <v>0</v>
      </c>
      <c r="O2447" s="193">
        <f t="shared" si="537"/>
        <v>171</v>
      </c>
      <c r="P2447" s="194">
        <v>0</v>
      </c>
      <c r="Q2447" s="194">
        <v>267</v>
      </c>
      <c r="R2447" s="194">
        <v>0</v>
      </c>
      <c r="S2447" s="193">
        <f t="shared" si="538"/>
        <v>267</v>
      </c>
      <c r="T2447" s="193">
        <f t="shared" si="539"/>
        <v>23.3</v>
      </c>
      <c r="U2447" s="193">
        <f ca="1">OFFSET('Expenditure Study'!$B$7,'Operations Support'!$C2447,'Operations Support'!$B2447)*$G2447</f>
        <v>1258.2</v>
      </c>
      <c r="V2447" s="199">
        <f ca="1">U2447*'Expenditure Study'!$B$31</f>
        <v>74338.458082559999</v>
      </c>
      <c r="W2447" s="199">
        <f ca="1">IF(A2447=10298,1.51,1)*IF($B2447&lt;3,$D2447*'Expenditure Study'!$B$32*OFFSET('Expenditure Study'!$B$7,'Operations Support'!$C2447,'Operations Support'!$B2447),0)</f>
        <v>15.120000000000001</v>
      </c>
      <c r="X2447" s="200">
        <f ca="1">W2447*'Expenditure Study'!$B$31</f>
        <v>893.33769369600009</v>
      </c>
      <c r="Y2447" s="199">
        <f ca="1">U2447*'Expenditure Study'!$B$31</f>
        <v>74338.458082559999</v>
      </c>
      <c r="Z2447" s="200">
        <f ca="1">W2447*'Expenditure Study'!$B$31</f>
        <v>893.33769369600009</v>
      </c>
      <c r="AA2447" s="195">
        <f t="shared" ca="1" si="540"/>
        <v>75231.795776255996</v>
      </c>
      <c r="AB2447" s="195">
        <f t="shared" ca="1" si="541"/>
        <v>75231.795776255996</v>
      </c>
      <c r="AD2447" s="196">
        <f>IFERROR($G2447/SUMIF($A:$A,$A2447,$G:$G)*SUMIF(Summary!$A$166:$A$242,$A2447,Summary!$P$166:$P$242),0)</f>
        <v>20096.825781611991</v>
      </c>
      <c r="AE2447" s="197">
        <f t="shared" ca="1" si="542"/>
        <v>55134.969994644009</v>
      </c>
      <c r="AF2447" s="196">
        <f>IFERROR(G2447/SUMIF(A:A,A2447,G:G)*SUMIF(Summary!$A$166:$A$242,'Operations Support'!A2447,Summary!$Q$166:$Q$242),0)</f>
        <v>20104.509437969788</v>
      </c>
      <c r="AG2447" s="196">
        <f t="shared" ca="1" si="543"/>
        <v>55127.286338286212</v>
      </c>
      <c r="AI2447" s="196">
        <f>IFERROR($G2447/SUMIF($A:$A,$A2447,$G:$G)*SUMIF(Summary!$A$247:$A$283,$A2447,Summary!$P$247:$P$283),0)</f>
        <v>3665.1595118689729</v>
      </c>
      <c r="AJ2447" s="196">
        <f>IFERROR($G2447/SUMIF($A:$A,$A2447,$G:$G)*(SUMIF(Summary!$A$247:$A$283,$A2447,Summary!$L$247:$L$283)+SUMIF(Summary!$A$297:$A$333,$A2447,Summary!$L$297:$L$333))-AI2447,0)</f>
        <v>13249.881160871715</v>
      </c>
      <c r="AK2447" s="196">
        <f>IFERROR($G2447/SUMIF($A:$A,$A2447,$G:$G)*SUMIF(Summary!$A$247:$A$283,$A2447,Summary!$Q$247:$Q$283),0)</f>
        <v>3666.5608190451285</v>
      </c>
      <c r="AL2447" s="196">
        <f>IFERROR($G2447/SUMIF($A:$A,$A2447,$G:$G)*(SUMIF(Summary!$A$247:$A$283,$A2447,Summary!$L$247:$L$283)+SUMIF(Summary!$A$297:$A$333,$A2447,Summary!$L$297:$L$333))-AK2447,0)</f>
        <v>13248.47985369556</v>
      </c>
      <c r="AM2447" s="198"/>
      <c r="AN2447" s="196">
        <f t="shared" ca="1" si="544"/>
        <v>68384.851155515731</v>
      </c>
      <c r="AO2447" s="196">
        <f t="shared" ca="1" si="545"/>
        <v>68375.766191981777</v>
      </c>
    </row>
    <row r="2448" spans="1:41">
      <c r="A2448" s="189">
        <v>9651</v>
      </c>
      <c r="B2448" s="190">
        <v>2</v>
      </c>
      <c r="C2448" s="191" t="s">
        <v>227</v>
      </c>
      <c r="D2448" s="192">
        <f t="shared" si="532"/>
        <v>0</v>
      </c>
      <c r="E2448" s="192">
        <f t="shared" si="533"/>
        <v>0</v>
      </c>
      <c r="F2448" s="192">
        <f t="shared" si="534"/>
        <v>0</v>
      </c>
      <c r="G2448" s="193">
        <f t="shared" si="535"/>
        <v>0</v>
      </c>
      <c r="H2448" s="194">
        <v>0</v>
      </c>
      <c r="I2448" s="194">
        <v>0</v>
      </c>
      <c r="J2448" s="194">
        <v>0</v>
      </c>
      <c r="K2448" s="193">
        <f t="shared" si="536"/>
        <v>0</v>
      </c>
      <c r="L2448" s="194">
        <v>0</v>
      </c>
      <c r="M2448" s="194">
        <v>0</v>
      </c>
      <c r="N2448" s="194">
        <v>0</v>
      </c>
      <c r="O2448" s="193">
        <f t="shared" si="537"/>
        <v>0</v>
      </c>
      <c r="P2448" s="194">
        <v>0</v>
      </c>
      <c r="Q2448" s="194">
        <v>0</v>
      </c>
      <c r="R2448" s="194">
        <v>0</v>
      </c>
      <c r="S2448" s="193">
        <f t="shared" si="538"/>
        <v>0</v>
      </c>
      <c r="T2448" s="193">
        <f t="shared" si="539"/>
        <v>0</v>
      </c>
      <c r="U2448" s="193">
        <f ca="1">OFFSET('Expenditure Study'!$B$7,'Operations Support'!$C2448,'Operations Support'!$B2448)*$G2448</f>
        <v>0</v>
      </c>
      <c r="V2448" s="199">
        <f ca="1">U2448*'Expenditure Study'!$B$31</f>
        <v>0</v>
      </c>
      <c r="W2448" s="199">
        <f ca="1">IF(A2448=10298,1.51,1)*IF($B2448&lt;3,$D2448*'Expenditure Study'!$B$32*OFFSET('Expenditure Study'!$B$7,'Operations Support'!$C2448,'Operations Support'!$B2448),0)</f>
        <v>0</v>
      </c>
      <c r="X2448" s="200">
        <f ca="1">W2448*'Expenditure Study'!$B$31</f>
        <v>0</v>
      </c>
      <c r="Y2448" s="199">
        <f ca="1">U2448*'Expenditure Study'!$B$31</f>
        <v>0</v>
      </c>
      <c r="Z2448" s="200">
        <f ca="1">W2448*'Expenditure Study'!$B$31</f>
        <v>0</v>
      </c>
      <c r="AA2448" s="195">
        <f t="shared" ca="1" si="540"/>
        <v>0</v>
      </c>
      <c r="AB2448" s="195">
        <f t="shared" ca="1" si="541"/>
        <v>0</v>
      </c>
      <c r="AD2448" s="196">
        <f>IFERROR($G2448/SUMIF($A:$A,$A2448,$G:$G)*SUMIF(Summary!$A$166:$A$242,$A2448,Summary!$P$166:$P$242),0)</f>
        <v>0</v>
      </c>
      <c r="AE2448" s="197">
        <f t="shared" ca="1" si="542"/>
        <v>0</v>
      </c>
      <c r="AF2448" s="196">
        <f>IFERROR(G2448/SUMIF(A:A,A2448,G:G)*SUMIF(Summary!$A$166:$A$242,'Operations Support'!A2448,Summary!$Q$166:$Q$242),0)</f>
        <v>0</v>
      </c>
      <c r="AG2448" s="196">
        <f t="shared" ca="1" si="543"/>
        <v>0</v>
      </c>
      <c r="AI2448" s="196">
        <f>IFERROR($G2448/SUMIF($A:$A,$A2448,$G:$G)*SUMIF(Summary!$A$247:$A$283,$A2448,Summary!$P$247:$P$283),0)</f>
        <v>0</v>
      </c>
      <c r="AJ2448" s="196">
        <f>IFERROR($G2448/SUMIF($A:$A,$A2448,$G:$G)*(SUMIF(Summary!$A$247:$A$283,$A2448,Summary!$L$247:$L$283)+SUMIF(Summary!$A$297:$A$333,$A2448,Summary!$L$297:$L$333))-AI2448,0)</f>
        <v>0</v>
      </c>
      <c r="AK2448" s="196">
        <f>IFERROR($G2448/SUMIF($A:$A,$A2448,$G:$G)*SUMIF(Summary!$A$247:$A$283,$A2448,Summary!$Q$247:$Q$283),0)</f>
        <v>0</v>
      </c>
      <c r="AL2448" s="196">
        <f>IFERROR($G2448/SUMIF($A:$A,$A2448,$G:$G)*(SUMIF(Summary!$A$247:$A$283,$A2448,Summary!$L$247:$L$283)+SUMIF(Summary!$A$297:$A$333,$A2448,Summary!$L$297:$L$333))-AK2448,0)</f>
        <v>0</v>
      </c>
      <c r="AM2448" s="198"/>
      <c r="AN2448" s="196">
        <f t="shared" ca="1" si="544"/>
        <v>0</v>
      </c>
      <c r="AO2448" s="196">
        <f t="shared" ca="1" si="545"/>
        <v>0</v>
      </c>
    </row>
    <row r="2449" spans="1:41">
      <c r="A2449" s="189">
        <v>9651</v>
      </c>
      <c r="B2449" s="190">
        <v>2</v>
      </c>
      <c r="C2449" s="191" t="s">
        <v>228</v>
      </c>
      <c r="D2449" s="192">
        <f t="shared" si="532"/>
        <v>33</v>
      </c>
      <c r="E2449" s="192">
        <f t="shared" si="533"/>
        <v>30</v>
      </c>
      <c r="F2449" s="192">
        <f t="shared" si="534"/>
        <v>0</v>
      </c>
      <c r="G2449" s="193">
        <f t="shared" si="535"/>
        <v>63</v>
      </c>
      <c r="H2449" s="194">
        <v>33</v>
      </c>
      <c r="I2449" s="194">
        <v>0</v>
      </c>
      <c r="J2449" s="194">
        <v>0</v>
      </c>
      <c r="K2449" s="193">
        <f t="shared" si="536"/>
        <v>33</v>
      </c>
      <c r="L2449" s="194">
        <v>0</v>
      </c>
      <c r="M2449" s="194">
        <v>30</v>
      </c>
      <c r="N2449" s="194">
        <v>0</v>
      </c>
      <c r="O2449" s="193">
        <f t="shared" si="537"/>
        <v>30</v>
      </c>
      <c r="P2449" s="194">
        <v>0</v>
      </c>
      <c r="Q2449" s="194">
        <v>0</v>
      </c>
      <c r="R2449" s="194">
        <v>0</v>
      </c>
      <c r="S2449" s="193">
        <f t="shared" si="538"/>
        <v>0</v>
      </c>
      <c r="T2449" s="193">
        <f t="shared" si="539"/>
        <v>2.1</v>
      </c>
      <c r="U2449" s="193">
        <f ca="1">OFFSET('Expenditure Study'!$B$7,'Operations Support'!$C2449,'Operations Support'!$B2449)*$G2449</f>
        <v>120.33</v>
      </c>
      <c r="V2449" s="199">
        <f ca="1">U2449*'Expenditure Study'!$B$31</f>
        <v>7109.4791456639996</v>
      </c>
      <c r="W2449" s="199">
        <f ca="1">IF(A2449=10298,1.51,1)*IF($B2449&lt;3,$D2449*'Expenditure Study'!$B$32*OFFSET('Expenditure Study'!$B$7,'Operations Support'!$C2449,'Operations Support'!$B2449),0)</f>
        <v>6.3029999999999999</v>
      </c>
      <c r="X2449" s="200">
        <f ca="1">W2449*'Expenditure Study'!$B$31</f>
        <v>372.40128858240001</v>
      </c>
      <c r="Y2449" s="199">
        <f ca="1">U2449*'Expenditure Study'!$B$31</f>
        <v>7109.4791456639996</v>
      </c>
      <c r="Z2449" s="200">
        <f ca="1">W2449*'Expenditure Study'!$B$31</f>
        <v>372.40128858240001</v>
      </c>
      <c r="AA2449" s="195">
        <f t="shared" ca="1" si="540"/>
        <v>7481.8804342464</v>
      </c>
      <c r="AB2449" s="195">
        <f t="shared" ca="1" si="541"/>
        <v>7481.8804342464</v>
      </c>
      <c r="AD2449" s="196">
        <f>IFERROR($G2449/SUMIF($A:$A,$A2449,$G:$G)*SUMIF(Summary!$A$166:$A$242,$A2449,Summary!$P$166:$P$242),0)</f>
        <v>1811.3018944800506</v>
      </c>
      <c r="AE2449" s="197">
        <f t="shared" ca="1" si="542"/>
        <v>5670.5785397663494</v>
      </c>
      <c r="AF2449" s="196">
        <f>IFERROR(G2449/SUMIF(A:A,A2449,G:G)*SUMIF(Summary!$A$166:$A$242,'Operations Support'!A2449,Summary!$Q$166:$Q$242),0)</f>
        <v>1811.9944128642298</v>
      </c>
      <c r="AG2449" s="196">
        <f t="shared" ca="1" si="543"/>
        <v>5669.8860213821699</v>
      </c>
      <c r="AI2449" s="196">
        <f>IFERROR($G2449/SUMIF($A:$A,$A2449,$G:$G)*SUMIF(Summary!$A$247:$A$283,$A2449,Summary!$P$247:$P$283),0)</f>
        <v>330.33626501823358</v>
      </c>
      <c r="AJ2449" s="196">
        <f>IFERROR($G2449/SUMIF($A:$A,$A2449,$G:$G)*(SUMIF(Summary!$A$247:$A$283,$A2449,Summary!$L$247:$L$283)+SUMIF(Summary!$A$297:$A$333,$A2449,Summary!$L$297:$L$333))-AI2449,0)</f>
        <v>1194.1952977609699</v>
      </c>
      <c r="AK2449" s="196">
        <f>IFERROR($G2449/SUMIF($A:$A,$A2449,$G:$G)*SUMIF(Summary!$A$247:$A$283,$A2449,Summary!$Q$247:$Q$283),0)</f>
        <v>330.46256308990428</v>
      </c>
      <c r="AL2449" s="196">
        <f>IFERROR($G2449/SUMIF($A:$A,$A2449,$G:$G)*(SUMIF(Summary!$A$247:$A$283,$A2449,Summary!$L$247:$L$283)+SUMIF(Summary!$A$297:$A$333,$A2449,Summary!$L$297:$L$333))-AK2449,0)</f>
        <v>1194.0689996892993</v>
      </c>
      <c r="AM2449" s="198"/>
      <c r="AN2449" s="196">
        <f t="shared" ca="1" si="544"/>
        <v>6864.7738375273193</v>
      </c>
      <c r="AO2449" s="196">
        <f t="shared" ca="1" si="545"/>
        <v>6863.9550210714697</v>
      </c>
    </row>
    <row r="2450" spans="1:41">
      <c r="A2450" s="189">
        <v>9651</v>
      </c>
      <c r="B2450" s="190">
        <v>2</v>
      </c>
      <c r="C2450" s="191" t="s">
        <v>229</v>
      </c>
      <c r="D2450" s="192">
        <f t="shared" si="532"/>
        <v>0</v>
      </c>
      <c r="E2450" s="192">
        <f t="shared" si="533"/>
        <v>0</v>
      </c>
      <c r="F2450" s="192">
        <f t="shared" si="534"/>
        <v>0</v>
      </c>
      <c r="G2450" s="193">
        <f t="shared" si="535"/>
        <v>0</v>
      </c>
      <c r="H2450" s="194">
        <v>0</v>
      </c>
      <c r="I2450" s="194">
        <v>0</v>
      </c>
      <c r="J2450" s="194">
        <v>0</v>
      </c>
      <c r="K2450" s="193">
        <f t="shared" si="536"/>
        <v>0</v>
      </c>
      <c r="L2450" s="194">
        <v>0</v>
      </c>
      <c r="M2450" s="194">
        <v>0</v>
      </c>
      <c r="N2450" s="194">
        <v>0</v>
      </c>
      <c r="O2450" s="193">
        <f t="shared" si="537"/>
        <v>0</v>
      </c>
      <c r="P2450" s="194">
        <v>0</v>
      </c>
      <c r="Q2450" s="194">
        <v>0</v>
      </c>
      <c r="R2450" s="194">
        <v>0</v>
      </c>
      <c r="S2450" s="193">
        <f t="shared" si="538"/>
        <v>0</v>
      </c>
      <c r="T2450" s="193">
        <f t="shared" si="539"/>
        <v>0</v>
      </c>
      <c r="U2450" s="193">
        <f ca="1">OFFSET('Expenditure Study'!$B$7,'Operations Support'!$C2450,'Operations Support'!$B2450)*$G2450</f>
        <v>0</v>
      </c>
      <c r="V2450" s="199">
        <f ca="1">U2450*'Expenditure Study'!$B$31</f>
        <v>0</v>
      </c>
      <c r="W2450" s="199">
        <f ca="1">IF(A2450=10298,1.51,1)*IF($B2450&lt;3,$D2450*'Expenditure Study'!$B$32*OFFSET('Expenditure Study'!$B$7,'Operations Support'!$C2450,'Operations Support'!$B2450),0)</f>
        <v>0</v>
      </c>
      <c r="X2450" s="200">
        <f ca="1">W2450*'Expenditure Study'!$B$31</f>
        <v>0</v>
      </c>
      <c r="Y2450" s="199">
        <f ca="1">U2450*'Expenditure Study'!$B$31</f>
        <v>0</v>
      </c>
      <c r="Z2450" s="200">
        <f ca="1">W2450*'Expenditure Study'!$B$31</f>
        <v>0</v>
      </c>
      <c r="AA2450" s="195">
        <f t="shared" ca="1" si="540"/>
        <v>0</v>
      </c>
      <c r="AB2450" s="195">
        <f t="shared" ca="1" si="541"/>
        <v>0</v>
      </c>
      <c r="AD2450" s="196">
        <f>IFERROR($G2450/SUMIF($A:$A,$A2450,$G:$G)*SUMIF(Summary!$A$166:$A$242,$A2450,Summary!$P$166:$P$242),0)</f>
        <v>0</v>
      </c>
      <c r="AE2450" s="197">
        <f t="shared" ca="1" si="542"/>
        <v>0</v>
      </c>
      <c r="AF2450" s="196">
        <f>IFERROR(G2450/SUMIF(A:A,A2450,G:G)*SUMIF(Summary!$A$166:$A$242,'Operations Support'!A2450,Summary!$Q$166:$Q$242),0)</f>
        <v>0</v>
      </c>
      <c r="AG2450" s="196">
        <f t="shared" ca="1" si="543"/>
        <v>0</v>
      </c>
      <c r="AI2450" s="196">
        <f>IFERROR($G2450/SUMIF($A:$A,$A2450,$G:$G)*SUMIF(Summary!$A$247:$A$283,$A2450,Summary!$P$247:$P$283),0)</f>
        <v>0</v>
      </c>
      <c r="AJ2450" s="196">
        <f>IFERROR($G2450/SUMIF($A:$A,$A2450,$G:$G)*(SUMIF(Summary!$A$247:$A$283,$A2450,Summary!$L$247:$L$283)+SUMIF(Summary!$A$297:$A$333,$A2450,Summary!$L$297:$L$333))-AI2450,0)</f>
        <v>0</v>
      </c>
      <c r="AK2450" s="196">
        <f>IFERROR($G2450/SUMIF($A:$A,$A2450,$G:$G)*SUMIF(Summary!$A$247:$A$283,$A2450,Summary!$Q$247:$Q$283),0)</f>
        <v>0</v>
      </c>
      <c r="AL2450" s="196">
        <f>IFERROR($G2450/SUMIF($A:$A,$A2450,$G:$G)*(SUMIF(Summary!$A$247:$A$283,$A2450,Summary!$L$247:$L$283)+SUMIF(Summary!$A$297:$A$333,$A2450,Summary!$L$297:$L$333))-AK2450,0)</f>
        <v>0</v>
      </c>
      <c r="AM2450" s="198"/>
      <c r="AN2450" s="196">
        <f t="shared" ca="1" si="544"/>
        <v>0</v>
      </c>
      <c r="AO2450" s="196">
        <f t="shared" ca="1" si="545"/>
        <v>0</v>
      </c>
    </row>
    <row r="2451" spans="1:41">
      <c r="A2451" s="189">
        <v>9651</v>
      </c>
      <c r="B2451" s="190">
        <v>2</v>
      </c>
      <c r="C2451" s="191" t="s">
        <v>230</v>
      </c>
      <c r="D2451" s="192">
        <f t="shared" si="532"/>
        <v>0</v>
      </c>
      <c r="E2451" s="192">
        <f t="shared" si="533"/>
        <v>0</v>
      </c>
      <c r="F2451" s="192">
        <f t="shared" si="534"/>
        <v>0</v>
      </c>
      <c r="G2451" s="193">
        <f t="shared" si="535"/>
        <v>0</v>
      </c>
      <c r="H2451" s="194">
        <v>0</v>
      </c>
      <c r="I2451" s="194">
        <v>0</v>
      </c>
      <c r="J2451" s="194">
        <v>0</v>
      </c>
      <c r="K2451" s="193">
        <f t="shared" si="536"/>
        <v>0</v>
      </c>
      <c r="L2451" s="194">
        <v>0</v>
      </c>
      <c r="M2451" s="194">
        <v>0</v>
      </c>
      <c r="N2451" s="194">
        <v>0</v>
      </c>
      <c r="O2451" s="193">
        <f t="shared" si="537"/>
        <v>0</v>
      </c>
      <c r="P2451" s="194">
        <v>0</v>
      </c>
      <c r="Q2451" s="194">
        <v>0</v>
      </c>
      <c r="R2451" s="194">
        <v>0</v>
      </c>
      <c r="S2451" s="193">
        <f t="shared" si="538"/>
        <v>0</v>
      </c>
      <c r="T2451" s="193">
        <f t="shared" si="539"/>
        <v>0</v>
      </c>
      <c r="U2451" s="193">
        <f ca="1">OFFSET('Expenditure Study'!$B$7,'Operations Support'!$C2451,'Operations Support'!$B2451)*$G2451</f>
        <v>0</v>
      </c>
      <c r="V2451" s="199">
        <f ca="1">U2451*'Expenditure Study'!$B$31</f>
        <v>0</v>
      </c>
      <c r="W2451" s="199">
        <f ca="1">IF(A2451=10298,1.51,1)*IF($B2451&lt;3,$D2451*'Expenditure Study'!$B$32*OFFSET('Expenditure Study'!$B$7,'Operations Support'!$C2451,'Operations Support'!$B2451),0)</f>
        <v>0</v>
      </c>
      <c r="X2451" s="200">
        <f ca="1">W2451*'Expenditure Study'!$B$31</f>
        <v>0</v>
      </c>
      <c r="Y2451" s="199">
        <f ca="1">U2451*'Expenditure Study'!$B$31</f>
        <v>0</v>
      </c>
      <c r="Z2451" s="200">
        <f ca="1">W2451*'Expenditure Study'!$B$31</f>
        <v>0</v>
      </c>
      <c r="AA2451" s="195">
        <f t="shared" ca="1" si="540"/>
        <v>0</v>
      </c>
      <c r="AB2451" s="195">
        <f t="shared" ca="1" si="541"/>
        <v>0</v>
      </c>
      <c r="AD2451" s="196">
        <f>IFERROR($G2451/SUMIF($A:$A,$A2451,$G:$G)*SUMIF(Summary!$A$166:$A$242,$A2451,Summary!$P$166:$P$242),0)</f>
        <v>0</v>
      </c>
      <c r="AE2451" s="197">
        <f t="shared" ca="1" si="542"/>
        <v>0</v>
      </c>
      <c r="AF2451" s="196">
        <f>IFERROR(G2451/SUMIF(A:A,A2451,G:G)*SUMIF(Summary!$A$166:$A$242,'Operations Support'!A2451,Summary!$Q$166:$Q$242),0)</f>
        <v>0</v>
      </c>
      <c r="AG2451" s="196">
        <f t="shared" ca="1" si="543"/>
        <v>0</v>
      </c>
      <c r="AI2451" s="196">
        <f>IFERROR($G2451/SUMIF($A:$A,$A2451,$G:$G)*SUMIF(Summary!$A$247:$A$283,$A2451,Summary!$P$247:$P$283),0)</f>
        <v>0</v>
      </c>
      <c r="AJ2451" s="196">
        <f>IFERROR($G2451/SUMIF($A:$A,$A2451,$G:$G)*(SUMIF(Summary!$A$247:$A$283,$A2451,Summary!$L$247:$L$283)+SUMIF(Summary!$A$297:$A$333,$A2451,Summary!$L$297:$L$333))-AI2451,0)</f>
        <v>0</v>
      </c>
      <c r="AK2451" s="196">
        <f>IFERROR($G2451/SUMIF($A:$A,$A2451,$G:$G)*SUMIF(Summary!$A$247:$A$283,$A2451,Summary!$Q$247:$Q$283),0)</f>
        <v>0</v>
      </c>
      <c r="AL2451" s="196">
        <f>IFERROR($G2451/SUMIF($A:$A,$A2451,$G:$G)*(SUMIF(Summary!$A$247:$A$283,$A2451,Summary!$L$247:$L$283)+SUMIF(Summary!$A$297:$A$333,$A2451,Summary!$L$297:$L$333))-AK2451,0)</f>
        <v>0</v>
      </c>
      <c r="AM2451" s="198"/>
      <c r="AN2451" s="196">
        <f t="shared" ca="1" si="544"/>
        <v>0</v>
      </c>
      <c r="AO2451" s="196">
        <f t="shared" ca="1" si="545"/>
        <v>0</v>
      </c>
    </row>
    <row r="2452" spans="1:41">
      <c r="A2452" s="189">
        <v>9651</v>
      </c>
      <c r="B2452" s="190">
        <v>2</v>
      </c>
      <c r="C2452" s="191" t="s">
        <v>231</v>
      </c>
      <c r="D2452" s="192">
        <f t="shared" si="532"/>
        <v>0</v>
      </c>
      <c r="E2452" s="192">
        <f t="shared" si="533"/>
        <v>0</v>
      </c>
      <c r="F2452" s="192">
        <f t="shared" si="534"/>
        <v>0</v>
      </c>
      <c r="G2452" s="193">
        <f t="shared" si="535"/>
        <v>0</v>
      </c>
      <c r="H2452" s="194">
        <v>0</v>
      </c>
      <c r="I2452" s="194">
        <v>0</v>
      </c>
      <c r="J2452" s="194">
        <v>0</v>
      </c>
      <c r="K2452" s="193">
        <f t="shared" si="536"/>
        <v>0</v>
      </c>
      <c r="L2452" s="194">
        <v>0</v>
      </c>
      <c r="M2452" s="194">
        <v>0</v>
      </c>
      <c r="N2452" s="194">
        <v>0</v>
      </c>
      <c r="O2452" s="193">
        <f t="shared" si="537"/>
        <v>0</v>
      </c>
      <c r="P2452" s="194">
        <v>0</v>
      </c>
      <c r="Q2452" s="194">
        <v>0</v>
      </c>
      <c r="R2452" s="194">
        <v>0</v>
      </c>
      <c r="S2452" s="193">
        <f t="shared" si="538"/>
        <v>0</v>
      </c>
      <c r="T2452" s="193">
        <f t="shared" si="539"/>
        <v>0</v>
      </c>
      <c r="U2452" s="193">
        <f ca="1">OFFSET('Expenditure Study'!$B$7,'Operations Support'!$C2452,'Operations Support'!$B2452)*$G2452</f>
        <v>0</v>
      </c>
      <c r="V2452" s="199">
        <f ca="1">U2452*'Expenditure Study'!$B$31</f>
        <v>0</v>
      </c>
      <c r="W2452" s="199">
        <f ca="1">IF(A2452=10298,1.51,1)*IF($B2452&lt;3,$D2452*'Expenditure Study'!$B$32*OFFSET('Expenditure Study'!$B$7,'Operations Support'!$C2452,'Operations Support'!$B2452),0)</f>
        <v>0</v>
      </c>
      <c r="X2452" s="200">
        <f ca="1">W2452*'Expenditure Study'!$B$31</f>
        <v>0</v>
      </c>
      <c r="Y2452" s="199">
        <f ca="1">U2452*'Expenditure Study'!$B$31</f>
        <v>0</v>
      </c>
      <c r="Z2452" s="200">
        <f ca="1">W2452*'Expenditure Study'!$B$31</f>
        <v>0</v>
      </c>
      <c r="AA2452" s="195">
        <f t="shared" ca="1" si="540"/>
        <v>0</v>
      </c>
      <c r="AB2452" s="195">
        <f t="shared" ca="1" si="541"/>
        <v>0</v>
      </c>
      <c r="AD2452" s="196">
        <f>IFERROR($G2452/SUMIF($A:$A,$A2452,$G:$G)*SUMIF(Summary!$A$166:$A$242,$A2452,Summary!$P$166:$P$242),0)</f>
        <v>0</v>
      </c>
      <c r="AE2452" s="197">
        <f t="shared" ca="1" si="542"/>
        <v>0</v>
      </c>
      <c r="AF2452" s="196">
        <f>IFERROR(G2452/SUMIF(A:A,A2452,G:G)*SUMIF(Summary!$A$166:$A$242,'Operations Support'!A2452,Summary!$Q$166:$Q$242),0)</f>
        <v>0</v>
      </c>
      <c r="AG2452" s="196">
        <f t="shared" ca="1" si="543"/>
        <v>0</v>
      </c>
      <c r="AI2452" s="196">
        <f>IFERROR($G2452/SUMIF($A:$A,$A2452,$G:$G)*SUMIF(Summary!$A$247:$A$283,$A2452,Summary!$P$247:$P$283),0)</f>
        <v>0</v>
      </c>
      <c r="AJ2452" s="196">
        <f>IFERROR($G2452/SUMIF($A:$A,$A2452,$G:$G)*(SUMIF(Summary!$A$247:$A$283,$A2452,Summary!$L$247:$L$283)+SUMIF(Summary!$A$297:$A$333,$A2452,Summary!$L$297:$L$333))-AI2452,0)</f>
        <v>0</v>
      </c>
      <c r="AK2452" s="196">
        <f>IFERROR($G2452/SUMIF($A:$A,$A2452,$G:$G)*SUMIF(Summary!$A$247:$A$283,$A2452,Summary!$Q$247:$Q$283),0)</f>
        <v>0</v>
      </c>
      <c r="AL2452" s="196">
        <f>IFERROR($G2452/SUMIF($A:$A,$A2452,$G:$G)*(SUMIF(Summary!$A$247:$A$283,$A2452,Summary!$L$247:$L$283)+SUMIF(Summary!$A$297:$A$333,$A2452,Summary!$L$297:$L$333))-AK2452,0)</f>
        <v>0</v>
      </c>
      <c r="AM2452" s="198"/>
      <c r="AN2452" s="196">
        <f t="shared" ca="1" si="544"/>
        <v>0</v>
      </c>
      <c r="AO2452" s="196">
        <f t="shared" ca="1" si="545"/>
        <v>0</v>
      </c>
    </row>
    <row r="2453" spans="1:41">
      <c r="A2453" s="189">
        <v>9651</v>
      </c>
      <c r="B2453" s="190">
        <v>2</v>
      </c>
      <c r="C2453" s="191" t="s">
        <v>232</v>
      </c>
      <c r="D2453" s="192">
        <f t="shared" si="532"/>
        <v>0</v>
      </c>
      <c r="E2453" s="192">
        <f t="shared" si="533"/>
        <v>0</v>
      </c>
      <c r="F2453" s="192">
        <f t="shared" si="534"/>
        <v>0</v>
      </c>
      <c r="G2453" s="193">
        <f t="shared" si="535"/>
        <v>0</v>
      </c>
      <c r="H2453" s="194">
        <v>0</v>
      </c>
      <c r="I2453" s="194">
        <v>0</v>
      </c>
      <c r="J2453" s="194">
        <v>0</v>
      </c>
      <c r="K2453" s="193">
        <f t="shared" si="536"/>
        <v>0</v>
      </c>
      <c r="L2453" s="194">
        <v>0</v>
      </c>
      <c r="M2453" s="194">
        <v>0</v>
      </c>
      <c r="N2453" s="194">
        <v>0</v>
      </c>
      <c r="O2453" s="193">
        <f t="shared" si="537"/>
        <v>0</v>
      </c>
      <c r="P2453" s="194">
        <v>0</v>
      </c>
      <c r="Q2453" s="194">
        <v>0</v>
      </c>
      <c r="R2453" s="194">
        <v>0</v>
      </c>
      <c r="S2453" s="193">
        <f t="shared" si="538"/>
        <v>0</v>
      </c>
      <c r="T2453" s="193">
        <f t="shared" si="539"/>
        <v>0</v>
      </c>
      <c r="U2453" s="193">
        <f ca="1">OFFSET('Expenditure Study'!$B$7,'Operations Support'!$C2453,'Operations Support'!$B2453)*$G2453</f>
        <v>0</v>
      </c>
      <c r="V2453" s="199">
        <f ca="1">U2453*'Expenditure Study'!$B$31</f>
        <v>0</v>
      </c>
      <c r="W2453" s="199">
        <f ca="1">IF(A2453=10298,1.51,1)*IF($B2453&lt;3,$D2453*'Expenditure Study'!$B$32*OFFSET('Expenditure Study'!$B$7,'Operations Support'!$C2453,'Operations Support'!$B2453),0)</f>
        <v>0</v>
      </c>
      <c r="X2453" s="200">
        <f ca="1">W2453*'Expenditure Study'!$B$31</f>
        <v>0</v>
      </c>
      <c r="Y2453" s="199">
        <f ca="1">U2453*'Expenditure Study'!$B$31</f>
        <v>0</v>
      </c>
      <c r="Z2453" s="200">
        <f ca="1">W2453*'Expenditure Study'!$B$31</f>
        <v>0</v>
      </c>
      <c r="AA2453" s="195">
        <f t="shared" ca="1" si="540"/>
        <v>0</v>
      </c>
      <c r="AB2453" s="195">
        <f t="shared" ca="1" si="541"/>
        <v>0</v>
      </c>
      <c r="AD2453" s="196">
        <f>IFERROR($G2453/SUMIF($A:$A,$A2453,$G:$G)*SUMIF(Summary!$A$166:$A$242,$A2453,Summary!$P$166:$P$242),0)</f>
        <v>0</v>
      </c>
      <c r="AE2453" s="197">
        <f t="shared" ca="1" si="542"/>
        <v>0</v>
      </c>
      <c r="AF2453" s="196">
        <f>IFERROR(G2453/SUMIF(A:A,A2453,G:G)*SUMIF(Summary!$A$166:$A$242,'Operations Support'!A2453,Summary!$Q$166:$Q$242),0)</f>
        <v>0</v>
      </c>
      <c r="AG2453" s="196">
        <f t="shared" ca="1" si="543"/>
        <v>0</v>
      </c>
      <c r="AI2453" s="196">
        <f>IFERROR($G2453/SUMIF($A:$A,$A2453,$G:$G)*SUMIF(Summary!$A$247:$A$283,$A2453,Summary!$P$247:$P$283),0)</f>
        <v>0</v>
      </c>
      <c r="AJ2453" s="196">
        <f>IFERROR($G2453/SUMIF($A:$A,$A2453,$G:$G)*(SUMIF(Summary!$A$247:$A$283,$A2453,Summary!$L$247:$L$283)+SUMIF(Summary!$A$297:$A$333,$A2453,Summary!$L$297:$L$333))-AI2453,0)</f>
        <v>0</v>
      </c>
      <c r="AK2453" s="196">
        <f>IFERROR($G2453/SUMIF($A:$A,$A2453,$G:$G)*SUMIF(Summary!$A$247:$A$283,$A2453,Summary!$Q$247:$Q$283),0)</f>
        <v>0</v>
      </c>
      <c r="AL2453" s="196">
        <f>IFERROR($G2453/SUMIF($A:$A,$A2453,$G:$G)*(SUMIF(Summary!$A$247:$A$283,$A2453,Summary!$L$247:$L$283)+SUMIF(Summary!$A$297:$A$333,$A2453,Summary!$L$297:$L$333))-AK2453,0)</f>
        <v>0</v>
      </c>
      <c r="AM2453" s="198"/>
      <c r="AN2453" s="196">
        <f t="shared" ca="1" si="544"/>
        <v>0</v>
      </c>
      <c r="AO2453" s="196">
        <f t="shared" ca="1" si="545"/>
        <v>0</v>
      </c>
    </row>
    <row r="2454" spans="1:41">
      <c r="A2454" s="189">
        <v>9651</v>
      </c>
      <c r="B2454" s="190">
        <v>2</v>
      </c>
      <c r="C2454" s="191" t="s">
        <v>233</v>
      </c>
      <c r="D2454" s="192">
        <f t="shared" si="532"/>
        <v>1780</v>
      </c>
      <c r="E2454" s="192">
        <f t="shared" si="533"/>
        <v>3242</v>
      </c>
      <c r="F2454" s="192">
        <f t="shared" si="534"/>
        <v>0</v>
      </c>
      <c r="G2454" s="193">
        <f t="shared" si="535"/>
        <v>5022</v>
      </c>
      <c r="H2454" s="194">
        <v>711</v>
      </c>
      <c r="I2454" s="194">
        <v>1851</v>
      </c>
      <c r="J2454" s="194">
        <v>0</v>
      </c>
      <c r="K2454" s="193">
        <f t="shared" si="536"/>
        <v>2562</v>
      </c>
      <c r="L2454" s="194">
        <v>889</v>
      </c>
      <c r="M2454" s="194">
        <v>1391</v>
      </c>
      <c r="N2454" s="194">
        <v>0</v>
      </c>
      <c r="O2454" s="193">
        <f t="shared" si="537"/>
        <v>2280</v>
      </c>
      <c r="P2454" s="194">
        <v>180</v>
      </c>
      <c r="Q2454" s="194">
        <v>0</v>
      </c>
      <c r="R2454" s="194">
        <v>0</v>
      </c>
      <c r="S2454" s="193">
        <f t="shared" si="538"/>
        <v>180</v>
      </c>
      <c r="T2454" s="193">
        <f t="shared" si="539"/>
        <v>167.4</v>
      </c>
      <c r="U2454" s="193">
        <f ca="1">OFFSET('Expenditure Study'!$B$7,'Operations Support'!$C2454,'Operations Support'!$B2454)*$G2454</f>
        <v>8085.42</v>
      </c>
      <c r="V2454" s="199">
        <f ca="1">U2454*'Expenditure Study'!$B$31</f>
        <v>477712.33170393604</v>
      </c>
      <c r="W2454" s="199">
        <f ca="1">IF(A2454=10298,1.51,1)*IF($B2454&lt;3,$D2454*'Expenditure Study'!$B$32*OFFSET('Expenditure Study'!$B$7,'Operations Support'!$C2454,'Operations Support'!$B2454),0)</f>
        <v>286.58000000000004</v>
      </c>
      <c r="X2454" s="200">
        <f ca="1">W2454*'Expenditure Study'!$B$31</f>
        <v>16932.057953664003</v>
      </c>
      <c r="Y2454" s="199">
        <f ca="1">U2454*'Expenditure Study'!$B$31</f>
        <v>477712.33170393604</v>
      </c>
      <c r="Z2454" s="200">
        <f ca="1">W2454*'Expenditure Study'!$B$31</f>
        <v>16932.057953664003</v>
      </c>
      <c r="AA2454" s="195">
        <f t="shared" ca="1" si="540"/>
        <v>494644.38965760003</v>
      </c>
      <c r="AB2454" s="195">
        <f t="shared" ca="1" si="541"/>
        <v>494644.38965760003</v>
      </c>
      <c r="AD2454" s="196">
        <f>IFERROR($G2454/SUMIF($A:$A,$A2454,$G:$G)*SUMIF(Summary!$A$166:$A$242,$A2454,Summary!$P$166:$P$242),0)</f>
        <v>144386.63673140973</v>
      </c>
      <c r="AE2454" s="197">
        <f t="shared" ca="1" si="542"/>
        <v>350257.75292619027</v>
      </c>
      <c r="AF2454" s="196">
        <f>IFERROR(G2454/SUMIF(A:A,A2454,G:G)*SUMIF(Summary!$A$166:$A$242,'Operations Support'!A2454,Summary!$Q$166:$Q$242),0)</f>
        <v>144441.8403397486</v>
      </c>
      <c r="AG2454" s="196">
        <f t="shared" ca="1" si="543"/>
        <v>350202.54931785143</v>
      </c>
      <c r="AI2454" s="196">
        <f>IFERROR($G2454/SUMIF($A:$A,$A2454,$G:$G)*SUMIF(Summary!$A$247:$A$283,$A2454,Summary!$P$247:$P$283),0)</f>
        <v>26332.519411453475</v>
      </c>
      <c r="AJ2454" s="196">
        <f>IFERROR($G2454/SUMIF($A:$A,$A2454,$G:$G)*(SUMIF(Summary!$A$247:$A$283,$A2454,Summary!$L$247:$L$283)+SUMIF(Summary!$A$297:$A$333,$A2454,Summary!$L$297:$L$333))-AI2454,0)</f>
        <v>95194.425164374465</v>
      </c>
      <c r="AK2454" s="196">
        <f>IFERROR($G2454/SUMIF($A:$A,$A2454,$G:$G)*SUMIF(Summary!$A$247:$A$283,$A2454,Summary!$Q$247:$Q$283),0)</f>
        <v>26342.587172023796</v>
      </c>
      <c r="AL2454" s="196">
        <f>IFERROR($G2454/SUMIF($A:$A,$A2454,$G:$G)*(SUMIF(Summary!$A$247:$A$283,$A2454,Summary!$L$247:$L$283)+SUMIF(Summary!$A$297:$A$333,$A2454,Summary!$L$297:$L$333))-AK2454,0)</f>
        <v>95184.357403804141</v>
      </c>
      <c r="AM2454" s="198"/>
      <c r="AN2454" s="196">
        <f t="shared" ca="1" si="544"/>
        <v>445452.17809056473</v>
      </c>
      <c r="AO2454" s="196">
        <f t="shared" ca="1" si="545"/>
        <v>445386.90672165557</v>
      </c>
    </row>
    <row r="2455" spans="1:41">
      <c r="A2455" s="189">
        <v>9651</v>
      </c>
      <c r="B2455" s="190">
        <v>2</v>
      </c>
      <c r="C2455" s="191" t="s">
        <v>234</v>
      </c>
      <c r="D2455" s="192">
        <f t="shared" si="532"/>
        <v>0</v>
      </c>
      <c r="E2455" s="192">
        <f t="shared" si="533"/>
        <v>0</v>
      </c>
      <c r="F2455" s="192">
        <f t="shared" si="534"/>
        <v>0</v>
      </c>
      <c r="G2455" s="193">
        <f t="shared" si="535"/>
        <v>0</v>
      </c>
      <c r="H2455" s="194">
        <v>0</v>
      </c>
      <c r="I2455" s="194">
        <v>0</v>
      </c>
      <c r="J2455" s="194">
        <v>0</v>
      </c>
      <c r="K2455" s="193">
        <f t="shared" si="536"/>
        <v>0</v>
      </c>
      <c r="L2455" s="194">
        <v>0</v>
      </c>
      <c r="M2455" s="194">
        <v>0</v>
      </c>
      <c r="N2455" s="194">
        <v>0</v>
      </c>
      <c r="O2455" s="193">
        <f t="shared" si="537"/>
        <v>0</v>
      </c>
      <c r="P2455" s="194">
        <v>0</v>
      </c>
      <c r="Q2455" s="194">
        <v>0</v>
      </c>
      <c r="R2455" s="194">
        <v>0</v>
      </c>
      <c r="S2455" s="193">
        <f t="shared" si="538"/>
        <v>0</v>
      </c>
      <c r="T2455" s="193">
        <f t="shared" si="539"/>
        <v>0</v>
      </c>
      <c r="U2455" s="193">
        <f ca="1">OFFSET('Expenditure Study'!$B$7,'Operations Support'!$C2455,'Operations Support'!$B2455)*$G2455</f>
        <v>0</v>
      </c>
      <c r="V2455" s="199">
        <f ca="1">U2455*'Expenditure Study'!$B$31</f>
        <v>0</v>
      </c>
      <c r="W2455" s="199">
        <f ca="1">IF(A2455=10298,1.51,1)*IF($B2455&lt;3,$D2455*'Expenditure Study'!$B$32*OFFSET('Expenditure Study'!$B$7,'Operations Support'!$C2455,'Operations Support'!$B2455),0)</f>
        <v>0</v>
      </c>
      <c r="X2455" s="200">
        <f ca="1">W2455*'Expenditure Study'!$B$31</f>
        <v>0</v>
      </c>
      <c r="Y2455" s="199">
        <f ca="1">U2455*'Expenditure Study'!$B$31</f>
        <v>0</v>
      </c>
      <c r="Z2455" s="200">
        <f ca="1">W2455*'Expenditure Study'!$B$31</f>
        <v>0</v>
      </c>
      <c r="AA2455" s="195">
        <f t="shared" ca="1" si="540"/>
        <v>0</v>
      </c>
      <c r="AB2455" s="195">
        <f t="shared" ca="1" si="541"/>
        <v>0</v>
      </c>
      <c r="AD2455" s="196">
        <f>IFERROR($G2455/SUMIF($A:$A,$A2455,$G:$G)*SUMIF(Summary!$A$166:$A$242,$A2455,Summary!$P$166:$P$242),0)</f>
        <v>0</v>
      </c>
      <c r="AE2455" s="197">
        <f t="shared" ca="1" si="542"/>
        <v>0</v>
      </c>
      <c r="AF2455" s="196">
        <f>IFERROR(G2455/SUMIF(A:A,A2455,G:G)*SUMIF(Summary!$A$166:$A$242,'Operations Support'!A2455,Summary!$Q$166:$Q$242),0)</f>
        <v>0</v>
      </c>
      <c r="AG2455" s="196">
        <f t="shared" ca="1" si="543"/>
        <v>0</v>
      </c>
      <c r="AI2455" s="196">
        <f>IFERROR($G2455/SUMIF($A:$A,$A2455,$G:$G)*SUMIF(Summary!$A$247:$A$283,$A2455,Summary!$P$247:$P$283),0)</f>
        <v>0</v>
      </c>
      <c r="AJ2455" s="196">
        <f>IFERROR($G2455/SUMIF($A:$A,$A2455,$G:$G)*(SUMIF(Summary!$A$247:$A$283,$A2455,Summary!$L$247:$L$283)+SUMIF(Summary!$A$297:$A$333,$A2455,Summary!$L$297:$L$333))-AI2455,0)</f>
        <v>0</v>
      </c>
      <c r="AK2455" s="196">
        <f>IFERROR($G2455/SUMIF($A:$A,$A2455,$G:$G)*SUMIF(Summary!$A$247:$A$283,$A2455,Summary!$Q$247:$Q$283),0)</f>
        <v>0</v>
      </c>
      <c r="AL2455" s="196">
        <f>IFERROR($G2455/SUMIF($A:$A,$A2455,$G:$G)*(SUMIF(Summary!$A$247:$A$283,$A2455,Summary!$L$247:$L$283)+SUMIF(Summary!$A$297:$A$333,$A2455,Summary!$L$297:$L$333))-AK2455,0)</f>
        <v>0</v>
      </c>
      <c r="AM2455" s="198"/>
      <c r="AN2455" s="196">
        <f t="shared" ca="1" si="544"/>
        <v>0</v>
      </c>
      <c r="AO2455" s="196">
        <f t="shared" ca="1" si="545"/>
        <v>0</v>
      </c>
    </row>
    <row r="2456" spans="1:41">
      <c r="A2456" s="189">
        <v>9651</v>
      </c>
      <c r="B2456" s="190">
        <v>2</v>
      </c>
      <c r="C2456" s="191" t="s">
        <v>235</v>
      </c>
      <c r="D2456" s="192">
        <f t="shared" si="532"/>
        <v>9126</v>
      </c>
      <c r="E2456" s="192">
        <f t="shared" si="533"/>
        <v>8964</v>
      </c>
      <c r="F2456" s="192">
        <f t="shared" si="534"/>
        <v>0</v>
      </c>
      <c r="G2456" s="193">
        <f t="shared" si="535"/>
        <v>18090</v>
      </c>
      <c r="H2456" s="194">
        <v>3933</v>
      </c>
      <c r="I2456" s="194">
        <v>2865</v>
      </c>
      <c r="J2456" s="194">
        <v>0</v>
      </c>
      <c r="K2456" s="193">
        <f t="shared" si="536"/>
        <v>6798</v>
      </c>
      <c r="L2456" s="194">
        <v>3126</v>
      </c>
      <c r="M2456" s="194">
        <v>3438</v>
      </c>
      <c r="N2456" s="194">
        <v>0</v>
      </c>
      <c r="O2456" s="193">
        <f t="shared" si="537"/>
        <v>6564</v>
      </c>
      <c r="P2456" s="194">
        <v>2067</v>
      </c>
      <c r="Q2456" s="194">
        <v>2661</v>
      </c>
      <c r="R2456" s="194">
        <v>0</v>
      </c>
      <c r="S2456" s="193">
        <f t="shared" si="538"/>
        <v>4728</v>
      </c>
      <c r="T2456" s="193">
        <f t="shared" si="539"/>
        <v>603</v>
      </c>
      <c r="U2456" s="193">
        <f ca="1">OFFSET('Expenditure Study'!$B$7,'Operations Support'!$C2456,'Operations Support'!$B2456)*$G2456</f>
        <v>33828.300000000003</v>
      </c>
      <c r="V2456" s="199">
        <f ca="1">U2456*'Expenditure Study'!$B$31</f>
        <v>1998683.5650566402</v>
      </c>
      <c r="W2456" s="199">
        <f ca="1">IF(A2456=10298,1.51,1)*IF($B2456&lt;3,$D2456*'Expenditure Study'!$B$32*OFFSET('Expenditure Study'!$B$7,'Operations Support'!$C2456,'Operations Support'!$B2456),0)</f>
        <v>1706.5620000000001</v>
      </c>
      <c r="X2456" s="200">
        <f ca="1">W2456*'Expenditure Study'!$B$31</f>
        <v>100829.1111924096</v>
      </c>
      <c r="Y2456" s="199">
        <f ca="1">U2456*'Expenditure Study'!$B$31</f>
        <v>1998683.5650566402</v>
      </c>
      <c r="Z2456" s="200">
        <f ca="1">W2456*'Expenditure Study'!$B$31</f>
        <v>100829.1111924096</v>
      </c>
      <c r="AA2456" s="195">
        <f t="shared" ca="1" si="540"/>
        <v>2099512.6762490496</v>
      </c>
      <c r="AB2456" s="195">
        <f t="shared" ca="1" si="541"/>
        <v>2099512.6762490496</v>
      </c>
      <c r="AD2456" s="196">
        <f>IFERROR($G2456/SUMIF($A:$A,$A2456,$G:$G)*SUMIF(Summary!$A$166:$A$242,$A2456,Summary!$P$166:$P$242),0)</f>
        <v>520102.4011292716</v>
      </c>
      <c r="AE2456" s="197">
        <f t="shared" ca="1" si="542"/>
        <v>1579410.275119778</v>
      </c>
      <c r="AF2456" s="196">
        <f>IFERROR(G2456/SUMIF(A:A,A2456,G:G)*SUMIF(Summary!$A$166:$A$242,'Operations Support'!A2456,Summary!$Q$166:$Q$242),0)</f>
        <v>520301.25283672882</v>
      </c>
      <c r="AG2456" s="196">
        <f t="shared" ca="1" si="543"/>
        <v>1579211.4234123207</v>
      </c>
      <c r="AI2456" s="196">
        <f>IFERROR($G2456/SUMIF($A:$A,$A2456,$G:$G)*SUMIF(Summary!$A$247:$A$283,$A2456,Summary!$P$247:$P$283),0)</f>
        <v>94853.698955235639</v>
      </c>
      <c r="AJ2456" s="196">
        <f>IFERROR($G2456/SUMIF($A:$A,$A2456,$G:$G)*(SUMIF(Summary!$A$247:$A$283,$A2456,Summary!$L$247:$L$283)+SUMIF(Summary!$A$297:$A$333,$A2456,Summary!$L$297:$L$333))-AI2456,0)</f>
        <v>342904.6497856499</v>
      </c>
      <c r="AK2456" s="196">
        <f>IFERROR($G2456/SUMIF($A:$A,$A2456,$G:$G)*SUMIF(Summary!$A$247:$A$283,$A2456,Summary!$Q$247:$Q$283),0)</f>
        <v>94889.964544386792</v>
      </c>
      <c r="AL2456" s="196">
        <f>IFERROR($G2456/SUMIF($A:$A,$A2456,$G:$G)*(SUMIF(Summary!$A$247:$A$283,$A2456,Summary!$L$247:$L$283)+SUMIF(Summary!$A$297:$A$333,$A2456,Summary!$L$297:$L$333))-AK2456,0)</f>
        <v>342868.38419649878</v>
      </c>
      <c r="AM2456" s="198"/>
      <c r="AN2456" s="196">
        <f t="shared" ca="1" si="544"/>
        <v>1922314.924905428</v>
      </c>
      <c r="AO2456" s="196">
        <f t="shared" ca="1" si="545"/>
        <v>1922079.8076088196</v>
      </c>
    </row>
    <row r="2457" spans="1:41">
      <c r="A2457" s="189">
        <v>9651</v>
      </c>
      <c r="B2457" s="190">
        <v>2</v>
      </c>
      <c r="C2457" s="191" t="s">
        <v>236</v>
      </c>
      <c r="D2457" s="192">
        <f t="shared" si="532"/>
        <v>0</v>
      </c>
      <c r="E2457" s="192">
        <f t="shared" si="533"/>
        <v>0</v>
      </c>
      <c r="F2457" s="192">
        <f t="shared" si="534"/>
        <v>0</v>
      </c>
      <c r="G2457" s="193">
        <f t="shared" si="535"/>
        <v>0</v>
      </c>
      <c r="H2457" s="194">
        <v>0</v>
      </c>
      <c r="I2457" s="194">
        <v>0</v>
      </c>
      <c r="J2457" s="194">
        <v>0</v>
      </c>
      <c r="K2457" s="193">
        <f t="shared" si="536"/>
        <v>0</v>
      </c>
      <c r="L2457" s="194">
        <v>0</v>
      </c>
      <c r="M2457" s="194">
        <v>0</v>
      </c>
      <c r="N2457" s="194">
        <v>0</v>
      </c>
      <c r="O2457" s="193">
        <f t="shared" si="537"/>
        <v>0</v>
      </c>
      <c r="P2457" s="194">
        <v>0</v>
      </c>
      <c r="Q2457" s="194">
        <v>0</v>
      </c>
      <c r="R2457" s="194">
        <v>0</v>
      </c>
      <c r="S2457" s="193">
        <f t="shared" si="538"/>
        <v>0</v>
      </c>
      <c r="T2457" s="193">
        <f t="shared" si="539"/>
        <v>0</v>
      </c>
      <c r="U2457" s="193">
        <f ca="1">OFFSET('Expenditure Study'!$B$7,'Operations Support'!$C2457,'Operations Support'!$B2457)*$G2457</f>
        <v>0</v>
      </c>
      <c r="V2457" s="199">
        <f ca="1">U2457*'Expenditure Study'!$B$31</f>
        <v>0</v>
      </c>
      <c r="W2457" s="199">
        <f ca="1">IF(A2457=10298,1.51,1)*IF($B2457&lt;3,$D2457*'Expenditure Study'!$B$32*OFFSET('Expenditure Study'!$B$7,'Operations Support'!$C2457,'Operations Support'!$B2457),0)</f>
        <v>0</v>
      </c>
      <c r="X2457" s="200">
        <f ca="1">W2457*'Expenditure Study'!$B$31</f>
        <v>0</v>
      </c>
      <c r="Y2457" s="199">
        <f ca="1">U2457*'Expenditure Study'!$B$31</f>
        <v>0</v>
      </c>
      <c r="Z2457" s="200">
        <f ca="1">W2457*'Expenditure Study'!$B$31</f>
        <v>0</v>
      </c>
      <c r="AA2457" s="195">
        <f t="shared" ca="1" si="540"/>
        <v>0</v>
      </c>
      <c r="AB2457" s="195">
        <f t="shared" ca="1" si="541"/>
        <v>0</v>
      </c>
      <c r="AD2457" s="196">
        <f>IFERROR($G2457/SUMIF($A:$A,$A2457,$G:$G)*SUMIF(Summary!$A$166:$A$242,$A2457,Summary!$P$166:$P$242),0)</f>
        <v>0</v>
      </c>
      <c r="AE2457" s="197">
        <f t="shared" ca="1" si="542"/>
        <v>0</v>
      </c>
      <c r="AF2457" s="196">
        <f>IFERROR(G2457/SUMIF(A:A,A2457,G:G)*SUMIF(Summary!$A$166:$A$242,'Operations Support'!A2457,Summary!$Q$166:$Q$242),0)</f>
        <v>0</v>
      </c>
      <c r="AG2457" s="196">
        <f t="shared" ca="1" si="543"/>
        <v>0</v>
      </c>
      <c r="AI2457" s="196">
        <f>IFERROR($G2457/SUMIF($A:$A,$A2457,$G:$G)*SUMIF(Summary!$A$247:$A$283,$A2457,Summary!$P$247:$P$283),0)</f>
        <v>0</v>
      </c>
      <c r="AJ2457" s="196">
        <f>IFERROR($G2457/SUMIF($A:$A,$A2457,$G:$G)*(SUMIF(Summary!$A$247:$A$283,$A2457,Summary!$L$247:$L$283)+SUMIF(Summary!$A$297:$A$333,$A2457,Summary!$L$297:$L$333))-AI2457,0)</f>
        <v>0</v>
      </c>
      <c r="AK2457" s="196">
        <f>IFERROR($G2457/SUMIF($A:$A,$A2457,$G:$G)*SUMIF(Summary!$A$247:$A$283,$A2457,Summary!$Q$247:$Q$283),0)</f>
        <v>0</v>
      </c>
      <c r="AL2457" s="196">
        <f>IFERROR($G2457/SUMIF($A:$A,$A2457,$G:$G)*(SUMIF(Summary!$A$247:$A$283,$A2457,Summary!$L$247:$L$283)+SUMIF(Summary!$A$297:$A$333,$A2457,Summary!$L$297:$L$333))-AK2457,0)</f>
        <v>0</v>
      </c>
      <c r="AM2457" s="198"/>
      <c r="AN2457" s="196">
        <f t="shared" ca="1" si="544"/>
        <v>0</v>
      </c>
      <c r="AO2457" s="196">
        <f t="shared" ca="1" si="545"/>
        <v>0</v>
      </c>
    </row>
    <row r="2458" spans="1:41">
      <c r="A2458" s="189">
        <v>9651</v>
      </c>
      <c r="B2458" s="190">
        <v>2</v>
      </c>
      <c r="C2458" s="191" t="s">
        <v>237</v>
      </c>
      <c r="D2458" s="192">
        <f t="shared" si="532"/>
        <v>0</v>
      </c>
      <c r="E2458" s="192">
        <f t="shared" si="533"/>
        <v>570</v>
      </c>
      <c r="F2458" s="192">
        <f t="shared" si="534"/>
        <v>0</v>
      </c>
      <c r="G2458" s="193">
        <f t="shared" si="535"/>
        <v>570</v>
      </c>
      <c r="H2458" s="194">
        <v>0</v>
      </c>
      <c r="I2458" s="194">
        <v>264</v>
      </c>
      <c r="J2458" s="194">
        <v>0</v>
      </c>
      <c r="K2458" s="193">
        <f t="shared" si="536"/>
        <v>264</v>
      </c>
      <c r="L2458" s="194">
        <v>0</v>
      </c>
      <c r="M2458" s="194">
        <v>306</v>
      </c>
      <c r="N2458" s="194">
        <v>0</v>
      </c>
      <c r="O2458" s="193">
        <f t="shared" si="537"/>
        <v>306</v>
      </c>
      <c r="P2458" s="194">
        <v>0</v>
      </c>
      <c r="Q2458" s="194">
        <v>0</v>
      </c>
      <c r="R2458" s="194">
        <v>0</v>
      </c>
      <c r="S2458" s="193">
        <f t="shared" si="538"/>
        <v>0</v>
      </c>
      <c r="T2458" s="193">
        <f t="shared" si="539"/>
        <v>19</v>
      </c>
      <c r="U2458" s="193">
        <f ca="1">OFFSET('Expenditure Study'!$B$7,'Operations Support'!$C2458,'Operations Support'!$B2458)*$G2458</f>
        <v>1333.8</v>
      </c>
      <c r="V2458" s="199">
        <f ca="1">U2458*'Expenditure Study'!$B$31</f>
        <v>78805.146551040001</v>
      </c>
      <c r="W2458" s="199">
        <f ca="1">IF(A2458=10298,1.51,1)*IF($B2458&lt;3,$D2458*'Expenditure Study'!$B$32*OFFSET('Expenditure Study'!$B$7,'Operations Support'!$C2458,'Operations Support'!$B2458),0)</f>
        <v>0</v>
      </c>
      <c r="X2458" s="200">
        <f ca="1">W2458*'Expenditure Study'!$B$31</f>
        <v>0</v>
      </c>
      <c r="Y2458" s="199">
        <f ca="1">U2458*'Expenditure Study'!$B$31</f>
        <v>78805.146551040001</v>
      </c>
      <c r="Z2458" s="200">
        <f ca="1">W2458*'Expenditure Study'!$B$31</f>
        <v>0</v>
      </c>
      <c r="AA2458" s="195">
        <f t="shared" ca="1" si="540"/>
        <v>78805.146551040001</v>
      </c>
      <c r="AB2458" s="195">
        <f t="shared" ca="1" si="541"/>
        <v>78805.146551040001</v>
      </c>
      <c r="AD2458" s="196">
        <f>IFERROR($G2458/SUMIF($A:$A,$A2458,$G:$G)*SUMIF(Summary!$A$166:$A$242,$A2458,Summary!$P$166:$P$242),0)</f>
        <v>16387.969521486171</v>
      </c>
      <c r="AE2458" s="197">
        <f t="shared" ca="1" si="542"/>
        <v>62417.17702955383</v>
      </c>
      <c r="AF2458" s="196">
        <f>IFERROR(G2458/SUMIF(A:A,A2458,G:G)*SUMIF(Summary!$A$166:$A$242,'Operations Support'!A2458,Summary!$Q$166:$Q$242),0)</f>
        <v>16394.235164009697</v>
      </c>
      <c r="AG2458" s="196">
        <f t="shared" ca="1" si="543"/>
        <v>62410.911387030304</v>
      </c>
      <c r="AI2458" s="196">
        <f>IFERROR($G2458/SUMIF($A:$A,$A2458,$G:$G)*SUMIF(Summary!$A$247:$A$283,$A2458,Summary!$P$247:$P$283),0)</f>
        <v>2988.7566834983036</v>
      </c>
      <c r="AJ2458" s="196">
        <f>IFERROR($G2458/SUMIF($A:$A,$A2458,$G:$G)*(SUMIF(Summary!$A$247:$A$283,$A2458,Summary!$L$247:$L$283)+SUMIF(Summary!$A$297:$A$333,$A2458,Summary!$L$297:$L$333))-AI2458,0)</f>
        <v>10804.624122599253</v>
      </c>
      <c r="AK2458" s="196">
        <f>IFERROR($G2458/SUMIF($A:$A,$A2458,$G:$G)*SUMIF(Summary!$A$247:$A$283,$A2458,Summary!$Q$247:$Q$283),0)</f>
        <v>2989.8993803372286</v>
      </c>
      <c r="AL2458" s="196">
        <f>IFERROR($G2458/SUMIF($A:$A,$A2458,$G:$G)*(SUMIF(Summary!$A$247:$A$283,$A2458,Summary!$L$247:$L$283)+SUMIF(Summary!$A$297:$A$333,$A2458,Summary!$L$297:$L$333))-AK2458,0)</f>
        <v>10803.481425760327</v>
      </c>
      <c r="AM2458" s="198"/>
      <c r="AN2458" s="196">
        <f t="shared" ca="1" si="544"/>
        <v>73221.801152153086</v>
      </c>
      <c r="AO2458" s="196">
        <f t="shared" ca="1" si="545"/>
        <v>73214.392812790626</v>
      </c>
    </row>
    <row r="2459" spans="1:41">
      <c r="A2459" s="189">
        <v>9651</v>
      </c>
      <c r="B2459" s="190">
        <v>2</v>
      </c>
      <c r="C2459" s="191" t="s">
        <v>238</v>
      </c>
      <c r="D2459" s="192">
        <f t="shared" si="532"/>
        <v>0</v>
      </c>
      <c r="E2459" s="192">
        <f t="shared" si="533"/>
        <v>0</v>
      </c>
      <c r="F2459" s="192">
        <f t="shared" si="534"/>
        <v>0</v>
      </c>
      <c r="G2459" s="193">
        <f t="shared" si="535"/>
        <v>0</v>
      </c>
      <c r="H2459" s="194">
        <v>0</v>
      </c>
      <c r="I2459" s="194">
        <v>0</v>
      </c>
      <c r="J2459" s="194">
        <v>0</v>
      </c>
      <c r="K2459" s="193">
        <f t="shared" si="536"/>
        <v>0</v>
      </c>
      <c r="L2459" s="194">
        <v>0</v>
      </c>
      <c r="M2459" s="194">
        <v>0</v>
      </c>
      <c r="N2459" s="194">
        <v>0</v>
      </c>
      <c r="O2459" s="193">
        <f t="shared" si="537"/>
        <v>0</v>
      </c>
      <c r="P2459" s="194">
        <v>0</v>
      </c>
      <c r="Q2459" s="194">
        <v>0</v>
      </c>
      <c r="R2459" s="194">
        <v>0</v>
      </c>
      <c r="S2459" s="193">
        <f t="shared" si="538"/>
        <v>0</v>
      </c>
      <c r="T2459" s="193">
        <f t="shared" si="539"/>
        <v>0</v>
      </c>
      <c r="U2459" s="193">
        <f ca="1">OFFSET('Expenditure Study'!$B$7,'Operations Support'!$C2459,'Operations Support'!$B2459)*$G2459</f>
        <v>0</v>
      </c>
      <c r="V2459" s="199">
        <f ca="1">U2459*'Expenditure Study'!$B$31</f>
        <v>0</v>
      </c>
      <c r="W2459" s="199">
        <f ca="1">IF(A2459=10298,1.51,1)*IF($B2459&lt;3,$D2459*'Expenditure Study'!$B$32*OFFSET('Expenditure Study'!$B$7,'Operations Support'!$C2459,'Operations Support'!$B2459),0)</f>
        <v>0</v>
      </c>
      <c r="X2459" s="200">
        <f ca="1">W2459*'Expenditure Study'!$B$31</f>
        <v>0</v>
      </c>
      <c r="Y2459" s="199">
        <f ca="1">U2459*'Expenditure Study'!$B$31</f>
        <v>0</v>
      </c>
      <c r="Z2459" s="200">
        <f ca="1">W2459*'Expenditure Study'!$B$31</f>
        <v>0</v>
      </c>
      <c r="AA2459" s="195">
        <f t="shared" ca="1" si="540"/>
        <v>0</v>
      </c>
      <c r="AB2459" s="195">
        <f t="shared" ca="1" si="541"/>
        <v>0</v>
      </c>
      <c r="AD2459" s="196">
        <f>IFERROR($G2459/SUMIF($A:$A,$A2459,$G:$G)*SUMIF(Summary!$A$166:$A$242,$A2459,Summary!$P$166:$P$242),0)</f>
        <v>0</v>
      </c>
      <c r="AE2459" s="197">
        <f t="shared" ca="1" si="542"/>
        <v>0</v>
      </c>
      <c r="AF2459" s="196">
        <f>IFERROR(G2459/SUMIF(A:A,A2459,G:G)*SUMIF(Summary!$A$166:$A$242,'Operations Support'!A2459,Summary!$Q$166:$Q$242),0)</f>
        <v>0</v>
      </c>
      <c r="AG2459" s="196">
        <f t="shared" ca="1" si="543"/>
        <v>0</v>
      </c>
      <c r="AI2459" s="196">
        <f>IFERROR($G2459/SUMIF($A:$A,$A2459,$G:$G)*SUMIF(Summary!$A$247:$A$283,$A2459,Summary!$P$247:$P$283),0)</f>
        <v>0</v>
      </c>
      <c r="AJ2459" s="196">
        <f>IFERROR($G2459/SUMIF($A:$A,$A2459,$G:$G)*(SUMIF(Summary!$A$247:$A$283,$A2459,Summary!$L$247:$L$283)+SUMIF(Summary!$A$297:$A$333,$A2459,Summary!$L$297:$L$333))-AI2459,0)</f>
        <v>0</v>
      </c>
      <c r="AK2459" s="196">
        <f>IFERROR($G2459/SUMIF($A:$A,$A2459,$G:$G)*SUMIF(Summary!$A$247:$A$283,$A2459,Summary!$Q$247:$Q$283),0)</f>
        <v>0</v>
      </c>
      <c r="AL2459" s="196">
        <f>IFERROR($G2459/SUMIF($A:$A,$A2459,$G:$G)*(SUMIF(Summary!$A$247:$A$283,$A2459,Summary!$L$247:$L$283)+SUMIF(Summary!$A$297:$A$333,$A2459,Summary!$L$297:$L$333))-AK2459,0)</f>
        <v>0</v>
      </c>
      <c r="AM2459" s="198"/>
      <c r="AN2459" s="196">
        <f t="shared" ca="1" si="544"/>
        <v>0</v>
      </c>
      <c r="AO2459" s="196">
        <f t="shared" ca="1" si="545"/>
        <v>0</v>
      </c>
    </row>
    <row r="2460" spans="1:41">
      <c r="A2460" s="189">
        <v>9651</v>
      </c>
      <c r="B2460" s="190">
        <v>2</v>
      </c>
      <c r="C2460" s="191" t="s">
        <v>239</v>
      </c>
      <c r="D2460" s="192">
        <f t="shared" si="532"/>
        <v>0</v>
      </c>
      <c r="E2460" s="192">
        <f t="shared" si="533"/>
        <v>7409</v>
      </c>
      <c r="F2460" s="192">
        <f t="shared" si="534"/>
        <v>0</v>
      </c>
      <c r="G2460" s="193">
        <f t="shared" si="535"/>
        <v>7409</v>
      </c>
      <c r="H2460" s="194">
        <v>0</v>
      </c>
      <c r="I2460" s="194">
        <v>3558</v>
      </c>
      <c r="J2460" s="194">
        <v>0</v>
      </c>
      <c r="K2460" s="193">
        <f t="shared" si="536"/>
        <v>3558</v>
      </c>
      <c r="L2460" s="194">
        <v>0</v>
      </c>
      <c r="M2460" s="194">
        <v>3439</v>
      </c>
      <c r="N2460" s="194">
        <v>0</v>
      </c>
      <c r="O2460" s="193">
        <f t="shared" si="537"/>
        <v>3439</v>
      </c>
      <c r="P2460" s="194">
        <v>0</v>
      </c>
      <c r="Q2460" s="194">
        <v>412</v>
      </c>
      <c r="R2460" s="194">
        <v>0</v>
      </c>
      <c r="S2460" s="193">
        <f t="shared" si="538"/>
        <v>412</v>
      </c>
      <c r="T2460" s="193">
        <f t="shared" si="539"/>
        <v>246.96666666666667</v>
      </c>
      <c r="U2460" s="193">
        <f ca="1">OFFSET('Expenditure Study'!$B$7,'Operations Support'!$C2460,'Operations Support'!$B2460)*$G2460</f>
        <v>15410.720000000001</v>
      </c>
      <c r="V2460" s="199">
        <f ca="1">U2460*'Expenditure Study'!$B$31</f>
        <v>910514.35601817607</v>
      </c>
      <c r="W2460" s="199">
        <f ca="1">IF(A2460=10298,1.51,1)*IF($B2460&lt;3,$D2460*'Expenditure Study'!$B$32*OFFSET('Expenditure Study'!$B$7,'Operations Support'!$C2460,'Operations Support'!$B2460),0)</f>
        <v>0</v>
      </c>
      <c r="X2460" s="200">
        <f ca="1">W2460*'Expenditure Study'!$B$31</f>
        <v>0</v>
      </c>
      <c r="Y2460" s="199">
        <f ca="1">U2460*'Expenditure Study'!$B$31</f>
        <v>910514.35601817607</v>
      </c>
      <c r="Z2460" s="200">
        <f ca="1">W2460*'Expenditure Study'!$B$31</f>
        <v>0</v>
      </c>
      <c r="AA2460" s="195">
        <f t="shared" ca="1" si="540"/>
        <v>910514.35601817607</v>
      </c>
      <c r="AB2460" s="195">
        <f t="shared" ca="1" si="541"/>
        <v>910514.35601817607</v>
      </c>
      <c r="AD2460" s="196">
        <f>IFERROR($G2460/SUMIF($A:$A,$A2460,$G:$G)*SUMIF(Summary!$A$166:$A$242,$A2460,Summary!$P$166:$P$242),0)</f>
        <v>213014.85295559833</v>
      </c>
      <c r="AE2460" s="197">
        <f t="shared" ca="1" si="542"/>
        <v>697499.50306257769</v>
      </c>
      <c r="AF2460" s="196">
        <f>IFERROR(G2460/SUMIF(A:A,A2460,G:G)*SUMIF(Summary!$A$166:$A$242,'Operations Support'!A2460,Summary!$Q$166:$Q$242),0)</f>
        <v>213096.2953160489</v>
      </c>
      <c r="AG2460" s="196">
        <f t="shared" ca="1" si="543"/>
        <v>697418.06070212717</v>
      </c>
      <c r="AI2460" s="196">
        <f>IFERROR($G2460/SUMIF($A:$A,$A2460,$G:$G)*SUMIF(Summary!$A$247:$A$283,$A2460,Summary!$P$247:$P$283),0)</f>
        <v>38848.593452699883</v>
      </c>
      <c r="AJ2460" s="196">
        <f>IFERROR($G2460/SUMIF($A:$A,$A2460,$G:$G)*(SUMIF(Summary!$A$247:$A$283,$A2460,Summary!$L$247:$L$283)+SUMIF(Summary!$A$297:$A$333,$A2460,Summary!$L$297:$L$333))-AI2460,0)</f>
        <v>140441.15811287344</v>
      </c>
      <c r="AK2460" s="196">
        <f>IFERROR($G2460/SUMIF($A:$A,$A2460,$G:$G)*SUMIF(Summary!$A$247:$A$283,$A2460,Summary!$Q$247:$Q$283),0)</f>
        <v>38863.446506874614</v>
      </c>
      <c r="AL2460" s="196">
        <f>IFERROR($G2460/SUMIF($A:$A,$A2460,$G:$G)*(SUMIF(Summary!$A$247:$A$283,$A2460,Summary!$L$247:$L$283)+SUMIF(Summary!$A$297:$A$333,$A2460,Summary!$L$297:$L$333))-AK2460,0)</f>
        <v>140426.30505869872</v>
      </c>
      <c r="AM2460" s="198"/>
      <c r="AN2460" s="196">
        <f t="shared" ca="1" si="544"/>
        <v>837940.66117545113</v>
      </c>
      <c r="AO2460" s="196">
        <f t="shared" ca="1" si="545"/>
        <v>837844.36576082592</v>
      </c>
    </row>
    <row r="2461" spans="1:41">
      <c r="A2461" s="189">
        <v>9651</v>
      </c>
      <c r="B2461" s="190">
        <v>2</v>
      </c>
      <c r="C2461" s="191" t="s">
        <v>240</v>
      </c>
      <c r="D2461" s="192">
        <f t="shared" si="532"/>
        <v>0</v>
      </c>
      <c r="E2461" s="192">
        <f t="shared" si="533"/>
        <v>0</v>
      </c>
      <c r="F2461" s="192">
        <f t="shared" si="534"/>
        <v>0</v>
      </c>
      <c r="G2461" s="193">
        <f t="shared" si="535"/>
        <v>0</v>
      </c>
      <c r="H2461" s="194">
        <v>0</v>
      </c>
      <c r="I2461" s="194">
        <v>0</v>
      </c>
      <c r="J2461" s="194">
        <v>0</v>
      </c>
      <c r="K2461" s="193">
        <f t="shared" si="536"/>
        <v>0</v>
      </c>
      <c r="L2461" s="194">
        <v>0</v>
      </c>
      <c r="M2461" s="194">
        <v>0</v>
      </c>
      <c r="N2461" s="194">
        <v>0</v>
      </c>
      <c r="O2461" s="193">
        <f t="shared" si="537"/>
        <v>0</v>
      </c>
      <c r="P2461" s="194">
        <v>0</v>
      </c>
      <c r="Q2461" s="194">
        <v>0</v>
      </c>
      <c r="R2461" s="194">
        <v>0</v>
      </c>
      <c r="S2461" s="193">
        <f t="shared" si="538"/>
        <v>0</v>
      </c>
      <c r="T2461" s="193">
        <f t="shared" si="539"/>
        <v>0</v>
      </c>
      <c r="U2461" s="193">
        <f ca="1">OFFSET('Expenditure Study'!$B$7,'Operations Support'!$C2461,'Operations Support'!$B2461)*$G2461</f>
        <v>0</v>
      </c>
      <c r="V2461" s="199">
        <f ca="1">U2461*'Expenditure Study'!$B$31</f>
        <v>0</v>
      </c>
      <c r="W2461" s="199">
        <f ca="1">IF(A2461=10298,1.51,1)*IF($B2461&lt;3,$D2461*'Expenditure Study'!$B$32*OFFSET('Expenditure Study'!$B$7,'Operations Support'!$C2461,'Operations Support'!$B2461),0)</f>
        <v>0</v>
      </c>
      <c r="X2461" s="200">
        <f ca="1">W2461*'Expenditure Study'!$B$31</f>
        <v>0</v>
      </c>
      <c r="Y2461" s="199">
        <f ca="1">U2461*'Expenditure Study'!$B$31</f>
        <v>0</v>
      </c>
      <c r="Z2461" s="200">
        <f ca="1">W2461*'Expenditure Study'!$B$31</f>
        <v>0</v>
      </c>
      <c r="AA2461" s="195">
        <f t="shared" ca="1" si="540"/>
        <v>0</v>
      </c>
      <c r="AB2461" s="195">
        <f t="shared" ca="1" si="541"/>
        <v>0</v>
      </c>
      <c r="AD2461" s="196">
        <f>IFERROR($G2461/SUMIF($A:$A,$A2461,$G:$G)*SUMIF(Summary!$A$166:$A$242,$A2461,Summary!$P$166:$P$242),0)</f>
        <v>0</v>
      </c>
      <c r="AE2461" s="197">
        <f t="shared" ca="1" si="542"/>
        <v>0</v>
      </c>
      <c r="AF2461" s="196">
        <f>IFERROR(G2461/SUMIF(A:A,A2461,G:G)*SUMIF(Summary!$A$166:$A$242,'Operations Support'!A2461,Summary!$Q$166:$Q$242),0)</f>
        <v>0</v>
      </c>
      <c r="AG2461" s="196">
        <f t="shared" ca="1" si="543"/>
        <v>0</v>
      </c>
      <c r="AI2461" s="196">
        <f>IFERROR($G2461/SUMIF($A:$A,$A2461,$G:$G)*SUMIF(Summary!$A$247:$A$283,$A2461,Summary!$P$247:$P$283),0)</f>
        <v>0</v>
      </c>
      <c r="AJ2461" s="196">
        <f>IFERROR($G2461/SUMIF($A:$A,$A2461,$G:$G)*(SUMIF(Summary!$A$247:$A$283,$A2461,Summary!$L$247:$L$283)+SUMIF(Summary!$A$297:$A$333,$A2461,Summary!$L$297:$L$333))-AI2461,0)</f>
        <v>0</v>
      </c>
      <c r="AK2461" s="196">
        <f>IFERROR($G2461/SUMIF($A:$A,$A2461,$G:$G)*SUMIF(Summary!$A$247:$A$283,$A2461,Summary!$Q$247:$Q$283),0)</f>
        <v>0</v>
      </c>
      <c r="AL2461" s="196">
        <f>IFERROR($G2461/SUMIF($A:$A,$A2461,$G:$G)*(SUMIF(Summary!$A$247:$A$283,$A2461,Summary!$L$247:$L$283)+SUMIF(Summary!$A$297:$A$333,$A2461,Summary!$L$297:$L$333))-AK2461,0)</f>
        <v>0</v>
      </c>
      <c r="AM2461" s="198"/>
      <c r="AN2461" s="196">
        <f t="shared" ca="1" si="544"/>
        <v>0</v>
      </c>
      <c r="AO2461" s="196">
        <f t="shared" ca="1" si="545"/>
        <v>0</v>
      </c>
    </row>
    <row r="2462" spans="1:41">
      <c r="A2462" s="189">
        <v>9651</v>
      </c>
      <c r="B2462" s="190">
        <v>3</v>
      </c>
      <c r="C2462" s="191" t="s">
        <v>220</v>
      </c>
      <c r="D2462" s="192">
        <f t="shared" si="532"/>
        <v>3790</v>
      </c>
      <c r="E2462" s="192">
        <f t="shared" si="533"/>
        <v>2808</v>
      </c>
      <c r="F2462" s="192">
        <f t="shared" si="534"/>
        <v>0</v>
      </c>
      <c r="G2462" s="193">
        <f t="shared" si="535"/>
        <v>6598</v>
      </c>
      <c r="H2462" s="194">
        <v>1008</v>
      </c>
      <c r="I2462" s="194">
        <v>1260</v>
      </c>
      <c r="J2462" s="194">
        <v>0</v>
      </c>
      <c r="K2462" s="193">
        <f t="shared" si="536"/>
        <v>2268</v>
      </c>
      <c r="L2462" s="194">
        <v>1087</v>
      </c>
      <c r="M2462" s="194">
        <v>471</v>
      </c>
      <c r="N2462" s="194">
        <v>0</v>
      </c>
      <c r="O2462" s="193">
        <f t="shared" si="537"/>
        <v>1558</v>
      </c>
      <c r="P2462" s="194">
        <v>1695</v>
      </c>
      <c r="Q2462" s="194">
        <v>1077</v>
      </c>
      <c r="R2462" s="194">
        <v>0</v>
      </c>
      <c r="S2462" s="193">
        <f t="shared" si="538"/>
        <v>2772</v>
      </c>
      <c r="T2462" s="193">
        <f t="shared" si="539"/>
        <v>274.91666666666669</v>
      </c>
      <c r="U2462" s="193">
        <f ca="1">OFFSET('Expenditure Study'!$B$7,'Operations Support'!$C2462,'Operations Support'!$B2462)*$G2462</f>
        <v>29427.079999999998</v>
      </c>
      <c r="V2462" s="199">
        <f ca="1">U2462*'Expenditure Study'!$B$31</f>
        <v>1738645.4880560639</v>
      </c>
      <c r="W2462" s="199">
        <f ca="1">IF(A2462=10298,1.51,1)*IF($B2462&lt;3,$D2462*'Expenditure Study'!$B$32*OFFSET('Expenditure Study'!$B$7,'Operations Support'!$C2462,'Operations Support'!$B2462),0)</f>
        <v>0</v>
      </c>
      <c r="X2462" s="200">
        <f ca="1">W2462*'Expenditure Study'!$B$31</f>
        <v>0</v>
      </c>
      <c r="Y2462" s="199">
        <f ca="1">U2462*'Expenditure Study'!$B$31</f>
        <v>1738645.4880560639</v>
      </c>
      <c r="Z2462" s="200">
        <f ca="1">W2462*'Expenditure Study'!$B$31</f>
        <v>0</v>
      </c>
      <c r="AA2462" s="195">
        <f t="shared" ca="1" si="540"/>
        <v>1738645.4880560639</v>
      </c>
      <c r="AB2462" s="195">
        <f t="shared" ca="1" si="541"/>
        <v>1738645.4880560639</v>
      </c>
      <c r="AD2462" s="196">
        <f>IFERROR($G2462/SUMIF($A:$A,$A2462,$G:$G)*SUMIF(Summary!$A$166:$A$242,$A2462,Summary!$P$166:$P$242),0)</f>
        <v>189697.93491713289</v>
      </c>
      <c r="AE2462" s="197">
        <f t="shared" ca="1" si="542"/>
        <v>1548947.553138931</v>
      </c>
      <c r="AF2462" s="196">
        <f>IFERROR(G2462/SUMIF(A:A,A2462,G:G)*SUMIF(Summary!$A$166:$A$242,'Operations Support'!A2462,Summary!$Q$166:$Q$242),0)</f>
        <v>189770.46247743157</v>
      </c>
      <c r="AG2462" s="196">
        <f t="shared" ca="1" si="543"/>
        <v>1548875.0255786323</v>
      </c>
      <c r="AI2462" s="196">
        <f>IFERROR($G2462/SUMIF($A:$A,$A2462,$G:$G)*SUMIF(Summary!$A$247:$A$283,$A2462,Summary!$P$247:$P$283),0)</f>
        <v>34596.169469687382</v>
      </c>
      <c r="AJ2462" s="196">
        <f>IFERROR($G2462/SUMIF($A:$A,$A2462,$G:$G)*(SUMIF(Summary!$A$247:$A$283,$A2462,Summary!$L$247:$L$283)+SUMIF(Summary!$A$297:$A$333,$A2462,Summary!$L$297:$L$333))-AI2462,0)</f>
        <v>125068.26308931556</v>
      </c>
      <c r="AK2462" s="196">
        <f>IFERROR($G2462/SUMIF($A:$A,$A2462,$G:$G)*SUMIF(Summary!$A$247:$A$283,$A2462,Summary!$Q$247:$Q$283),0)</f>
        <v>34609.396686780769</v>
      </c>
      <c r="AL2462" s="196">
        <f>IFERROR($G2462/SUMIF($A:$A,$A2462,$G:$G)*(SUMIF(Summary!$A$247:$A$283,$A2462,Summary!$L$247:$L$283)+SUMIF(Summary!$A$297:$A$333,$A2462,Summary!$L$297:$L$333))-AK2462,0)</f>
        <v>125055.03587222219</v>
      </c>
      <c r="AM2462" s="198"/>
      <c r="AN2462" s="196">
        <f t="shared" ca="1" si="544"/>
        <v>1674015.8162282465</v>
      </c>
      <c r="AO2462" s="196">
        <f t="shared" ca="1" si="545"/>
        <v>1673930.0614508544</v>
      </c>
    </row>
    <row r="2463" spans="1:41">
      <c r="A2463" s="189">
        <v>9651</v>
      </c>
      <c r="B2463" s="190">
        <v>3</v>
      </c>
      <c r="C2463" s="191" t="s">
        <v>221</v>
      </c>
      <c r="D2463" s="192">
        <f t="shared" si="532"/>
        <v>307</v>
      </c>
      <c r="E2463" s="192">
        <f t="shared" si="533"/>
        <v>307</v>
      </c>
      <c r="F2463" s="192">
        <f t="shared" si="534"/>
        <v>0</v>
      </c>
      <c r="G2463" s="193">
        <f t="shared" si="535"/>
        <v>614</v>
      </c>
      <c r="H2463" s="194">
        <v>111</v>
      </c>
      <c r="I2463" s="194">
        <v>122</v>
      </c>
      <c r="J2463" s="194">
        <v>0</v>
      </c>
      <c r="K2463" s="193">
        <f t="shared" si="536"/>
        <v>233</v>
      </c>
      <c r="L2463" s="194">
        <v>179</v>
      </c>
      <c r="M2463" s="194">
        <v>45</v>
      </c>
      <c r="N2463" s="194">
        <v>0</v>
      </c>
      <c r="O2463" s="193">
        <f t="shared" si="537"/>
        <v>224</v>
      </c>
      <c r="P2463" s="194">
        <v>17</v>
      </c>
      <c r="Q2463" s="194">
        <v>140</v>
      </c>
      <c r="R2463" s="194">
        <v>0</v>
      </c>
      <c r="S2463" s="193">
        <f t="shared" si="538"/>
        <v>157</v>
      </c>
      <c r="T2463" s="193">
        <f t="shared" si="539"/>
        <v>25.583333333333332</v>
      </c>
      <c r="U2463" s="193">
        <f ca="1">OFFSET('Expenditure Study'!$B$7,'Operations Support'!$C2463,'Operations Support'!$B2463)*$G2463</f>
        <v>4298</v>
      </c>
      <c r="V2463" s="199">
        <f ca="1">U2463*'Expenditure Study'!$B$31</f>
        <v>253939.51107840001</v>
      </c>
      <c r="W2463" s="199">
        <f ca="1">IF(A2463=10298,1.51,1)*IF($B2463&lt;3,$D2463*'Expenditure Study'!$B$32*OFFSET('Expenditure Study'!$B$7,'Operations Support'!$C2463,'Operations Support'!$B2463),0)</f>
        <v>0</v>
      </c>
      <c r="X2463" s="200">
        <f ca="1">W2463*'Expenditure Study'!$B$31</f>
        <v>0</v>
      </c>
      <c r="Y2463" s="199">
        <f ca="1">U2463*'Expenditure Study'!$B$31</f>
        <v>253939.51107840001</v>
      </c>
      <c r="Z2463" s="200">
        <f ca="1">W2463*'Expenditure Study'!$B$31</f>
        <v>0</v>
      </c>
      <c r="AA2463" s="195">
        <f t="shared" ca="1" si="540"/>
        <v>253939.51107840001</v>
      </c>
      <c r="AB2463" s="195">
        <f t="shared" ca="1" si="541"/>
        <v>253939.51107840001</v>
      </c>
      <c r="AD2463" s="196">
        <f>IFERROR($G2463/SUMIF($A:$A,$A2463,$G:$G)*SUMIF(Summary!$A$166:$A$242,$A2463,Summary!$P$166:$P$242),0)</f>
        <v>17653.005765250015</v>
      </c>
      <c r="AE2463" s="197">
        <f t="shared" ca="1" si="542"/>
        <v>236286.50531315</v>
      </c>
      <c r="AF2463" s="196">
        <f>IFERROR(G2463/SUMIF(A:A,A2463,G:G)*SUMIF(Summary!$A$166:$A$242,'Operations Support'!A2463,Summary!$Q$166:$Q$242),0)</f>
        <v>17659.755071406937</v>
      </c>
      <c r="AG2463" s="196">
        <f t="shared" ca="1" si="543"/>
        <v>236279.75600699306</v>
      </c>
      <c r="AI2463" s="196">
        <f>IFERROR($G2463/SUMIF($A:$A,$A2463,$G:$G)*SUMIF(Summary!$A$247:$A$283,$A2463,Summary!$P$247:$P$283),0)</f>
        <v>3219.4677257332605</v>
      </c>
      <c r="AJ2463" s="196">
        <f>IFERROR($G2463/SUMIF($A:$A,$A2463,$G:$G)*(SUMIF(Summary!$A$247:$A$283,$A2463,Summary!$L$247:$L$283)+SUMIF(Summary!$A$297:$A$333,$A2463,Summary!$L$297:$L$333))-AI2463,0)</f>
        <v>11638.665282940246</v>
      </c>
      <c r="AK2463" s="196">
        <f>IFERROR($G2463/SUMIF($A:$A,$A2463,$G:$G)*SUMIF(Summary!$A$247:$A$283,$A2463,Summary!$Q$247:$Q$283),0)</f>
        <v>3220.6986307492257</v>
      </c>
      <c r="AL2463" s="196">
        <f>IFERROR($G2463/SUMIF($A:$A,$A2463,$G:$G)*(SUMIF(Summary!$A$247:$A$283,$A2463,Summary!$L$247:$L$283)+SUMIF(Summary!$A$297:$A$333,$A2463,Summary!$L$297:$L$333))-AK2463,0)</f>
        <v>11637.434377924281</v>
      </c>
      <c r="AM2463" s="198"/>
      <c r="AN2463" s="196">
        <f t="shared" ca="1" si="544"/>
        <v>247925.17059609026</v>
      </c>
      <c r="AO2463" s="196">
        <f t="shared" ca="1" si="545"/>
        <v>247917.19038491734</v>
      </c>
    </row>
    <row r="2464" spans="1:41">
      <c r="A2464" s="189">
        <v>9651</v>
      </c>
      <c r="B2464" s="190">
        <v>3</v>
      </c>
      <c r="C2464" s="191" t="s">
        <v>222</v>
      </c>
      <c r="D2464" s="192">
        <f t="shared" si="532"/>
        <v>0</v>
      </c>
      <c r="E2464" s="192">
        <f t="shared" si="533"/>
        <v>0</v>
      </c>
      <c r="F2464" s="192">
        <f t="shared" si="534"/>
        <v>0</v>
      </c>
      <c r="G2464" s="193">
        <f t="shared" si="535"/>
        <v>0</v>
      </c>
      <c r="H2464" s="194">
        <v>0</v>
      </c>
      <c r="I2464" s="194">
        <v>0</v>
      </c>
      <c r="J2464" s="194">
        <v>0</v>
      </c>
      <c r="K2464" s="193">
        <f t="shared" si="536"/>
        <v>0</v>
      </c>
      <c r="L2464" s="194">
        <v>0</v>
      </c>
      <c r="M2464" s="194">
        <v>0</v>
      </c>
      <c r="N2464" s="194">
        <v>0</v>
      </c>
      <c r="O2464" s="193">
        <f t="shared" si="537"/>
        <v>0</v>
      </c>
      <c r="P2464" s="194">
        <v>0</v>
      </c>
      <c r="Q2464" s="194">
        <v>0</v>
      </c>
      <c r="R2464" s="194">
        <v>0</v>
      </c>
      <c r="S2464" s="193">
        <f t="shared" si="538"/>
        <v>0</v>
      </c>
      <c r="T2464" s="193">
        <f t="shared" si="539"/>
        <v>0</v>
      </c>
      <c r="U2464" s="193">
        <f ca="1">OFFSET('Expenditure Study'!$B$7,'Operations Support'!$C2464,'Operations Support'!$B2464)*$G2464</f>
        <v>0</v>
      </c>
      <c r="V2464" s="199">
        <f ca="1">U2464*'Expenditure Study'!$B$31</f>
        <v>0</v>
      </c>
      <c r="W2464" s="199">
        <f ca="1">IF(A2464=10298,1.51,1)*IF($B2464&lt;3,$D2464*'Expenditure Study'!$B$32*OFFSET('Expenditure Study'!$B$7,'Operations Support'!$C2464,'Operations Support'!$B2464),0)</f>
        <v>0</v>
      </c>
      <c r="X2464" s="200">
        <f ca="1">W2464*'Expenditure Study'!$B$31</f>
        <v>0</v>
      </c>
      <c r="Y2464" s="199">
        <f ca="1">U2464*'Expenditure Study'!$B$31</f>
        <v>0</v>
      </c>
      <c r="Z2464" s="200">
        <f ca="1">W2464*'Expenditure Study'!$B$31</f>
        <v>0</v>
      </c>
      <c r="AA2464" s="195">
        <f t="shared" ca="1" si="540"/>
        <v>0</v>
      </c>
      <c r="AB2464" s="195">
        <f t="shared" ca="1" si="541"/>
        <v>0</v>
      </c>
      <c r="AD2464" s="196">
        <f>IFERROR($G2464/SUMIF($A:$A,$A2464,$G:$G)*SUMIF(Summary!$A$166:$A$242,$A2464,Summary!$P$166:$P$242),0)</f>
        <v>0</v>
      </c>
      <c r="AE2464" s="197">
        <f t="shared" ca="1" si="542"/>
        <v>0</v>
      </c>
      <c r="AF2464" s="196">
        <f>IFERROR(G2464/SUMIF(A:A,A2464,G:G)*SUMIF(Summary!$A$166:$A$242,'Operations Support'!A2464,Summary!$Q$166:$Q$242),0)</f>
        <v>0</v>
      </c>
      <c r="AG2464" s="196">
        <f t="shared" ca="1" si="543"/>
        <v>0</v>
      </c>
      <c r="AI2464" s="196">
        <f>IFERROR($G2464/SUMIF($A:$A,$A2464,$G:$G)*SUMIF(Summary!$A$247:$A$283,$A2464,Summary!$P$247:$P$283),0)</f>
        <v>0</v>
      </c>
      <c r="AJ2464" s="196">
        <f>IFERROR($G2464/SUMIF($A:$A,$A2464,$G:$G)*(SUMIF(Summary!$A$247:$A$283,$A2464,Summary!$L$247:$L$283)+SUMIF(Summary!$A$297:$A$333,$A2464,Summary!$L$297:$L$333))-AI2464,0)</f>
        <v>0</v>
      </c>
      <c r="AK2464" s="196">
        <f>IFERROR($G2464/SUMIF($A:$A,$A2464,$G:$G)*SUMIF(Summary!$A$247:$A$283,$A2464,Summary!$Q$247:$Q$283),0)</f>
        <v>0</v>
      </c>
      <c r="AL2464" s="196">
        <f>IFERROR($G2464/SUMIF($A:$A,$A2464,$G:$G)*(SUMIF(Summary!$A$247:$A$283,$A2464,Summary!$L$247:$L$283)+SUMIF(Summary!$A$297:$A$333,$A2464,Summary!$L$297:$L$333))-AK2464,0)</f>
        <v>0</v>
      </c>
      <c r="AM2464" s="198"/>
      <c r="AN2464" s="196">
        <f t="shared" ca="1" si="544"/>
        <v>0</v>
      </c>
      <c r="AO2464" s="196">
        <f t="shared" ca="1" si="545"/>
        <v>0</v>
      </c>
    </row>
    <row r="2465" spans="1:41">
      <c r="A2465" s="189">
        <v>9651</v>
      </c>
      <c r="B2465" s="190">
        <v>3</v>
      </c>
      <c r="C2465" s="191" t="s">
        <v>223</v>
      </c>
      <c r="D2465" s="192">
        <f t="shared" si="532"/>
        <v>3486</v>
      </c>
      <c r="E2465" s="192">
        <f t="shared" si="533"/>
        <v>4629</v>
      </c>
      <c r="F2465" s="192">
        <f t="shared" si="534"/>
        <v>0</v>
      </c>
      <c r="G2465" s="193">
        <f t="shared" si="535"/>
        <v>8115</v>
      </c>
      <c r="H2465" s="194">
        <v>843</v>
      </c>
      <c r="I2465" s="194">
        <v>1548</v>
      </c>
      <c r="J2465" s="194">
        <v>0</v>
      </c>
      <c r="K2465" s="193">
        <f t="shared" si="536"/>
        <v>2391</v>
      </c>
      <c r="L2465" s="194">
        <v>855</v>
      </c>
      <c r="M2465" s="194">
        <v>693</v>
      </c>
      <c r="N2465" s="194">
        <v>0</v>
      </c>
      <c r="O2465" s="193">
        <f t="shared" si="537"/>
        <v>1548</v>
      </c>
      <c r="P2465" s="194">
        <v>1788</v>
      </c>
      <c r="Q2465" s="194">
        <v>2388</v>
      </c>
      <c r="R2465" s="194">
        <v>0</v>
      </c>
      <c r="S2465" s="193">
        <f t="shared" si="538"/>
        <v>4176</v>
      </c>
      <c r="T2465" s="193">
        <f t="shared" si="539"/>
        <v>338.125</v>
      </c>
      <c r="U2465" s="193">
        <f ca="1">OFFSET('Expenditure Study'!$B$7,'Operations Support'!$C2465,'Operations Support'!$B2465)*$G2465</f>
        <v>18177.600000000002</v>
      </c>
      <c r="V2465" s="199">
        <f ca="1">U2465*'Expenditure Study'!$B$31</f>
        <v>1073990.42731008</v>
      </c>
      <c r="W2465" s="199">
        <f ca="1">IF(A2465=10298,1.51,1)*IF($B2465&lt;3,$D2465*'Expenditure Study'!$B$32*OFFSET('Expenditure Study'!$B$7,'Operations Support'!$C2465,'Operations Support'!$B2465),0)</f>
        <v>0</v>
      </c>
      <c r="X2465" s="200">
        <f ca="1">W2465*'Expenditure Study'!$B$31</f>
        <v>0</v>
      </c>
      <c r="Y2465" s="199">
        <f ca="1">U2465*'Expenditure Study'!$B$31</f>
        <v>1073990.42731008</v>
      </c>
      <c r="Z2465" s="200">
        <f ca="1">W2465*'Expenditure Study'!$B$31</f>
        <v>0</v>
      </c>
      <c r="AA2465" s="195">
        <f t="shared" ca="1" si="540"/>
        <v>1073990.42731008</v>
      </c>
      <c r="AB2465" s="195">
        <f t="shared" ca="1" si="541"/>
        <v>1073990.42731008</v>
      </c>
      <c r="AD2465" s="196">
        <f>IFERROR($G2465/SUMIF($A:$A,$A2465,$G:$G)*SUMIF(Summary!$A$166:$A$242,$A2465,Summary!$P$166:$P$242),0)</f>
        <v>233312.93450326365</v>
      </c>
      <c r="AE2465" s="197">
        <f t="shared" ca="1" si="542"/>
        <v>840677.49280681636</v>
      </c>
      <c r="AF2465" s="196">
        <f>IFERROR(G2465/SUMIF(A:A,A2465,G:G)*SUMIF(Summary!$A$166:$A$242,'Operations Support'!A2465,Summary!$Q$166:$Q$242),0)</f>
        <v>233402.13746655913</v>
      </c>
      <c r="AG2465" s="196">
        <f t="shared" ca="1" si="543"/>
        <v>840588.28984352085</v>
      </c>
      <c r="AI2465" s="196">
        <f>IFERROR($G2465/SUMIF($A:$A,$A2465,$G:$G)*SUMIF(Summary!$A$247:$A$283,$A2465,Summary!$P$247:$P$283),0)</f>
        <v>42550.456994015323</v>
      </c>
      <c r="AJ2465" s="196">
        <f>IFERROR($G2465/SUMIF($A:$A,$A2465,$G:$G)*(SUMIF(Summary!$A$247:$A$283,$A2465,Summary!$L$247:$L$283)+SUMIF(Summary!$A$297:$A$333,$A2465,Summary!$L$297:$L$333))-AI2465,0)</f>
        <v>153823.72764016304</v>
      </c>
      <c r="AK2465" s="196">
        <f>IFERROR($G2465/SUMIF($A:$A,$A2465,$G:$G)*SUMIF(Summary!$A$247:$A$283,$A2465,Summary!$Q$247:$Q$283),0)</f>
        <v>42566.725388485291</v>
      </c>
      <c r="AL2465" s="196">
        <f>IFERROR($G2465/SUMIF($A:$A,$A2465,$G:$G)*(SUMIF(Summary!$A$247:$A$283,$A2465,Summary!$L$247:$L$283)+SUMIF(Summary!$A$297:$A$333,$A2465,Summary!$L$297:$L$333))-AK2465,0)</f>
        <v>153807.45924569305</v>
      </c>
      <c r="AM2465" s="198"/>
      <c r="AN2465" s="196">
        <f t="shared" ca="1" si="544"/>
        <v>994501.22044697939</v>
      </c>
      <c r="AO2465" s="196">
        <f t="shared" ca="1" si="545"/>
        <v>994395.7490892139</v>
      </c>
    </row>
    <row r="2466" spans="1:41">
      <c r="A2466" s="189">
        <v>9651</v>
      </c>
      <c r="B2466" s="190">
        <v>3</v>
      </c>
      <c r="C2466" s="191" t="s">
        <v>224</v>
      </c>
      <c r="D2466" s="192">
        <f t="shared" si="532"/>
        <v>0</v>
      </c>
      <c r="E2466" s="192">
        <f t="shared" si="533"/>
        <v>0</v>
      </c>
      <c r="F2466" s="192">
        <f t="shared" si="534"/>
        <v>0</v>
      </c>
      <c r="G2466" s="193">
        <f t="shared" si="535"/>
        <v>0</v>
      </c>
      <c r="H2466" s="194">
        <v>0</v>
      </c>
      <c r="I2466" s="194">
        <v>0</v>
      </c>
      <c r="J2466" s="194">
        <v>0</v>
      </c>
      <c r="K2466" s="193">
        <f t="shared" si="536"/>
        <v>0</v>
      </c>
      <c r="L2466" s="194">
        <v>0</v>
      </c>
      <c r="M2466" s="194">
        <v>0</v>
      </c>
      <c r="N2466" s="194">
        <v>0</v>
      </c>
      <c r="O2466" s="193">
        <f t="shared" si="537"/>
        <v>0</v>
      </c>
      <c r="P2466" s="194">
        <v>0</v>
      </c>
      <c r="Q2466" s="194">
        <v>0</v>
      </c>
      <c r="R2466" s="194">
        <v>0</v>
      </c>
      <c r="S2466" s="193">
        <f t="shared" si="538"/>
        <v>0</v>
      </c>
      <c r="T2466" s="193">
        <f t="shared" si="539"/>
        <v>0</v>
      </c>
      <c r="U2466" s="193">
        <f ca="1">OFFSET('Expenditure Study'!$B$7,'Operations Support'!$C2466,'Operations Support'!$B2466)*$G2466</f>
        <v>0</v>
      </c>
      <c r="V2466" s="199">
        <f ca="1">U2466*'Expenditure Study'!$B$31</f>
        <v>0</v>
      </c>
      <c r="W2466" s="199">
        <f ca="1">IF(A2466=10298,1.51,1)*IF($B2466&lt;3,$D2466*'Expenditure Study'!$B$32*OFFSET('Expenditure Study'!$B$7,'Operations Support'!$C2466,'Operations Support'!$B2466),0)</f>
        <v>0</v>
      </c>
      <c r="X2466" s="200">
        <f ca="1">W2466*'Expenditure Study'!$B$31</f>
        <v>0</v>
      </c>
      <c r="Y2466" s="199">
        <f ca="1">U2466*'Expenditure Study'!$B$31</f>
        <v>0</v>
      </c>
      <c r="Z2466" s="200">
        <f ca="1">W2466*'Expenditure Study'!$B$31</f>
        <v>0</v>
      </c>
      <c r="AA2466" s="195">
        <f t="shared" ca="1" si="540"/>
        <v>0</v>
      </c>
      <c r="AB2466" s="195">
        <f t="shared" ca="1" si="541"/>
        <v>0</v>
      </c>
      <c r="AD2466" s="196">
        <f>IFERROR($G2466/SUMIF($A:$A,$A2466,$G:$G)*SUMIF(Summary!$A$166:$A$242,$A2466,Summary!$P$166:$P$242),0)</f>
        <v>0</v>
      </c>
      <c r="AE2466" s="197">
        <f t="shared" ca="1" si="542"/>
        <v>0</v>
      </c>
      <c r="AF2466" s="196">
        <f>IFERROR(G2466/SUMIF(A:A,A2466,G:G)*SUMIF(Summary!$A$166:$A$242,'Operations Support'!A2466,Summary!$Q$166:$Q$242),0)</f>
        <v>0</v>
      </c>
      <c r="AG2466" s="196">
        <f t="shared" ca="1" si="543"/>
        <v>0</v>
      </c>
      <c r="AI2466" s="196">
        <f>IFERROR($G2466/SUMIF($A:$A,$A2466,$G:$G)*SUMIF(Summary!$A$247:$A$283,$A2466,Summary!$P$247:$P$283),0)</f>
        <v>0</v>
      </c>
      <c r="AJ2466" s="196">
        <f>IFERROR($G2466/SUMIF($A:$A,$A2466,$G:$G)*(SUMIF(Summary!$A$247:$A$283,$A2466,Summary!$L$247:$L$283)+SUMIF(Summary!$A$297:$A$333,$A2466,Summary!$L$297:$L$333))-AI2466,0)</f>
        <v>0</v>
      </c>
      <c r="AK2466" s="196">
        <f>IFERROR($G2466/SUMIF($A:$A,$A2466,$G:$G)*SUMIF(Summary!$A$247:$A$283,$A2466,Summary!$Q$247:$Q$283),0)</f>
        <v>0</v>
      </c>
      <c r="AL2466" s="196">
        <f>IFERROR($G2466/SUMIF($A:$A,$A2466,$G:$G)*(SUMIF(Summary!$A$247:$A$283,$A2466,Summary!$L$247:$L$283)+SUMIF(Summary!$A$297:$A$333,$A2466,Summary!$L$297:$L$333))-AK2466,0)</f>
        <v>0</v>
      </c>
      <c r="AM2466" s="198"/>
      <c r="AN2466" s="196">
        <f t="shared" ca="1" si="544"/>
        <v>0</v>
      </c>
      <c r="AO2466" s="196">
        <f t="shared" ca="1" si="545"/>
        <v>0</v>
      </c>
    </row>
    <row r="2467" spans="1:41">
      <c r="A2467" s="189">
        <v>9651</v>
      </c>
      <c r="B2467" s="190">
        <v>3</v>
      </c>
      <c r="C2467" s="191" t="s">
        <v>225</v>
      </c>
      <c r="D2467" s="192">
        <f t="shared" si="532"/>
        <v>81</v>
      </c>
      <c r="E2467" s="192">
        <f t="shared" si="533"/>
        <v>108</v>
      </c>
      <c r="F2467" s="192">
        <f t="shared" si="534"/>
        <v>0</v>
      </c>
      <c r="G2467" s="193">
        <f t="shared" si="535"/>
        <v>189</v>
      </c>
      <c r="H2467" s="194">
        <v>54</v>
      </c>
      <c r="I2467" s="194">
        <v>45</v>
      </c>
      <c r="J2467" s="194">
        <v>0</v>
      </c>
      <c r="K2467" s="193">
        <f t="shared" si="536"/>
        <v>99</v>
      </c>
      <c r="L2467" s="194">
        <v>0</v>
      </c>
      <c r="M2467" s="194">
        <v>0</v>
      </c>
      <c r="N2467" s="194">
        <v>0</v>
      </c>
      <c r="O2467" s="193">
        <f t="shared" si="537"/>
        <v>0</v>
      </c>
      <c r="P2467" s="194">
        <v>27</v>
      </c>
      <c r="Q2467" s="194">
        <v>63</v>
      </c>
      <c r="R2467" s="194">
        <v>0</v>
      </c>
      <c r="S2467" s="193">
        <f t="shared" si="538"/>
        <v>90</v>
      </c>
      <c r="T2467" s="193">
        <f t="shared" si="539"/>
        <v>7.875</v>
      </c>
      <c r="U2467" s="193">
        <f ca="1">OFFSET('Expenditure Study'!$B$7,'Operations Support'!$C2467,'Operations Support'!$B2467)*$G2467</f>
        <v>1305.99</v>
      </c>
      <c r="V2467" s="199">
        <f ca="1">U2467*'Expenditure Study'!$B$31</f>
        <v>77162.043292992006</v>
      </c>
      <c r="W2467" s="199">
        <f ca="1">IF(A2467=10298,1.51,1)*IF($B2467&lt;3,$D2467*'Expenditure Study'!$B$32*OFFSET('Expenditure Study'!$B$7,'Operations Support'!$C2467,'Operations Support'!$B2467),0)</f>
        <v>0</v>
      </c>
      <c r="X2467" s="200">
        <f ca="1">W2467*'Expenditure Study'!$B$31</f>
        <v>0</v>
      </c>
      <c r="Y2467" s="199">
        <f ca="1">U2467*'Expenditure Study'!$B$31</f>
        <v>77162.043292992006</v>
      </c>
      <c r="Z2467" s="200">
        <f ca="1">W2467*'Expenditure Study'!$B$31</f>
        <v>0</v>
      </c>
      <c r="AA2467" s="195">
        <f t="shared" ca="1" si="540"/>
        <v>77162.043292992006</v>
      </c>
      <c r="AB2467" s="195">
        <f t="shared" ca="1" si="541"/>
        <v>77162.043292992006</v>
      </c>
      <c r="AD2467" s="196">
        <f>IFERROR($G2467/SUMIF($A:$A,$A2467,$G:$G)*SUMIF(Summary!$A$166:$A$242,$A2467,Summary!$P$166:$P$242),0)</f>
        <v>5433.9056834401508</v>
      </c>
      <c r="AE2467" s="197">
        <f t="shared" ca="1" si="542"/>
        <v>71728.13760955185</v>
      </c>
      <c r="AF2467" s="196">
        <f>IFERROR(G2467/SUMIF(A:A,A2467,G:G)*SUMIF(Summary!$A$166:$A$242,'Operations Support'!A2467,Summary!$Q$166:$Q$242),0)</f>
        <v>5435.9832385926893</v>
      </c>
      <c r="AG2467" s="196">
        <f t="shared" ca="1" si="543"/>
        <v>71726.060054399321</v>
      </c>
      <c r="AI2467" s="196">
        <f>IFERROR($G2467/SUMIF($A:$A,$A2467,$G:$G)*SUMIF(Summary!$A$247:$A$283,$A2467,Summary!$P$247:$P$283),0)</f>
        <v>991.00879505470073</v>
      </c>
      <c r="AJ2467" s="196">
        <f>IFERROR($G2467/SUMIF($A:$A,$A2467,$G:$G)*(SUMIF(Summary!$A$247:$A$283,$A2467,Summary!$L$247:$L$283)+SUMIF(Summary!$A$297:$A$333,$A2467,Summary!$L$297:$L$333))-AI2467,0)</f>
        <v>3582.5858932829092</v>
      </c>
      <c r="AK2467" s="196">
        <f>IFERROR($G2467/SUMIF($A:$A,$A2467,$G:$G)*SUMIF(Summary!$A$247:$A$283,$A2467,Summary!$Q$247:$Q$283),0)</f>
        <v>991.38768926971272</v>
      </c>
      <c r="AL2467" s="196">
        <f>IFERROR($G2467/SUMIF($A:$A,$A2467,$G:$G)*(SUMIF(Summary!$A$247:$A$283,$A2467,Summary!$L$247:$L$283)+SUMIF(Summary!$A$297:$A$333,$A2467,Summary!$L$297:$L$333))-AK2467,0)</f>
        <v>3582.2069990678974</v>
      </c>
      <c r="AM2467" s="198"/>
      <c r="AN2467" s="196">
        <f t="shared" ca="1" si="544"/>
        <v>75310.723502834764</v>
      </c>
      <c r="AO2467" s="196">
        <f t="shared" ca="1" si="545"/>
        <v>75308.267053467222</v>
      </c>
    </row>
    <row r="2468" spans="1:41" s="201" customFormat="1">
      <c r="A2468" s="189">
        <v>9651</v>
      </c>
      <c r="B2468" s="190">
        <v>3</v>
      </c>
      <c r="C2468" s="191" t="s">
        <v>226</v>
      </c>
      <c r="D2468" s="192">
        <f t="shared" si="532"/>
        <v>0</v>
      </c>
      <c r="E2468" s="192">
        <f t="shared" si="533"/>
        <v>0</v>
      </c>
      <c r="F2468" s="192">
        <f t="shared" si="534"/>
        <v>0</v>
      </c>
      <c r="G2468" s="193">
        <f t="shared" si="535"/>
        <v>0</v>
      </c>
      <c r="H2468" s="194">
        <v>0</v>
      </c>
      <c r="I2468" s="194">
        <v>0</v>
      </c>
      <c r="J2468" s="194">
        <v>0</v>
      </c>
      <c r="K2468" s="193">
        <f t="shared" si="536"/>
        <v>0</v>
      </c>
      <c r="L2468" s="194">
        <v>0</v>
      </c>
      <c r="M2468" s="194">
        <v>0</v>
      </c>
      <c r="N2468" s="194">
        <v>0</v>
      </c>
      <c r="O2468" s="193">
        <f t="shared" si="537"/>
        <v>0</v>
      </c>
      <c r="P2468" s="194">
        <v>0</v>
      </c>
      <c r="Q2468" s="194">
        <v>0</v>
      </c>
      <c r="R2468" s="194">
        <v>0</v>
      </c>
      <c r="S2468" s="193">
        <f t="shared" si="538"/>
        <v>0</v>
      </c>
      <c r="T2468" s="193">
        <f t="shared" si="539"/>
        <v>0</v>
      </c>
      <c r="U2468" s="193">
        <f ca="1">OFFSET('Expenditure Study'!$B$7,'Operations Support'!$C2468,'Operations Support'!$B2468)*$G2468</f>
        <v>0</v>
      </c>
      <c r="V2468" s="199">
        <f ca="1">U2468*'Expenditure Study'!$B$31</f>
        <v>0</v>
      </c>
      <c r="W2468" s="199">
        <f ca="1">IF(A2468=10298,1.51,1)*IF($B2468&lt;3,$D2468*'Expenditure Study'!$B$32*OFFSET('Expenditure Study'!$B$7,'Operations Support'!$C2468,'Operations Support'!$B2468),0)</f>
        <v>0</v>
      </c>
      <c r="X2468" s="200">
        <f ca="1">W2468*'Expenditure Study'!$B$31</f>
        <v>0</v>
      </c>
      <c r="Y2468" s="199">
        <f ca="1">U2468*'Expenditure Study'!$B$31</f>
        <v>0</v>
      </c>
      <c r="Z2468" s="200">
        <f ca="1">W2468*'Expenditure Study'!$B$31</f>
        <v>0</v>
      </c>
      <c r="AA2468" s="195">
        <f t="shared" ca="1" si="540"/>
        <v>0</v>
      </c>
      <c r="AB2468" s="195">
        <f t="shared" ca="1" si="541"/>
        <v>0</v>
      </c>
      <c r="AD2468" s="196">
        <f>IFERROR($G2468/SUMIF($A:$A,$A2468,$G:$G)*SUMIF(Summary!$A$166:$A$242,$A2468,Summary!$P$166:$P$242),0)</f>
        <v>0</v>
      </c>
      <c r="AE2468" s="197">
        <f t="shared" ca="1" si="542"/>
        <v>0</v>
      </c>
      <c r="AF2468" s="196">
        <f>IFERROR(G2468/SUMIF(A:A,A2468,G:G)*SUMIF(Summary!$A$166:$A$242,'Operations Support'!A2468,Summary!$Q$166:$Q$242),0)</f>
        <v>0</v>
      </c>
      <c r="AG2468" s="196">
        <f t="shared" ca="1" si="543"/>
        <v>0</v>
      </c>
      <c r="AH2468" s="180"/>
      <c r="AI2468" s="196">
        <f>IFERROR($G2468/SUMIF($A:$A,$A2468,$G:$G)*SUMIF(Summary!$A$247:$A$283,$A2468,Summary!$P$247:$P$283),0)</f>
        <v>0</v>
      </c>
      <c r="AJ2468" s="196">
        <f>IFERROR($G2468/SUMIF($A:$A,$A2468,$G:$G)*(SUMIF(Summary!$A$247:$A$283,$A2468,Summary!$L$247:$L$283)+SUMIF(Summary!$A$297:$A$333,$A2468,Summary!$L$297:$L$333))-AI2468,0)</f>
        <v>0</v>
      </c>
      <c r="AK2468" s="196">
        <f>IFERROR($G2468/SUMIF($A:$A,$A2468,$G:$G)*SUMIF(Summary!$A$247:$A$283,$A2468,Summary!$Q$247:$Q$283),0)</f>
        <v>0</v>
      </c>
      <c r="AL2468" s="196">
        <f>IFERROR($G2468/SUMIF($A:$A,$A2468,$G:$G)*(SUMIF(Summary!$A$247:$A$283,$A2468,Summary!$L$247:$L$283)+SUMIF(Summary!$A$297:$A$333,$A2468,Summary!$L$297:$L$333))-AK2468,0)</f>
        <v>0</v>
      </c>
      <c r="AM2468" s="198"/>
      <c r="AN2468" s="196">
        <f t="shared" ca="1" si="544"/>
        <v>0</v>
      </c>
      <c r="AO2468" s="196">
        <f t="shared" ca="1" si="545"/>
        <v>0</v>
      </c>
    </row>
    <row r="2469" spans="1:41">
      <c r="A2469" s="189">
        <v>9651</v>
      </c>
      <c r="B2469" s="190">
        <v>3</v>
      </c>
      <c r="C2469" s="191" t="s">
        <v>227</v>
      </c>
      <c r="D2469" s="192">
        <f t="shared" si="532"/>
        <v>0</v>
      </c>
      <c r="E2469" s="192">
        <f t="shared" si="533"/>
        <v>0</v>
      </c>
      <c r="F2469" s="192">
        <f t="shared" si="534"/>
        <v>0</v>
      </c>
      <c r="G2469" s="193">
        <f t="shared" si="535"/>
        <v>0</v>
      </c>
      <c r="H2469" s="194">
        <v>0</v>
      </c>
      <c r="I2469" s="194">
        <v>0</v>
      </c>
      <c r="J2469" s="194">
        <v>0</v>
      </c>
      <c r="K2469" s="193">
        <f t="shared" si="536"/>
        <v>0</v>
      </c>
      <c r="L2469" s="194">
        <v>0</v>
      </c>
      <c r="M2469" s="194">
        <v>0</v>
      </c>
      <c r="N2469" s="194">
        <v>0</v>
      </c>
      <c r="O2469" s="193">
        <f t="shared" si="537"/>
        <v>0</v>
      </c>
      <c r="P2469" s="194">
        <v>0</v>
      </c>
      <c r="Q2469" s="194">
        <v>0</v>
      </c>
      <c r="R2469" s="194">
        <v>0</v>
      </c>
      <c r="S2469" s="193">
        <f t="shared" si="538"/>
        <v>0</v>
      </c>
      <c r="T2469" s="193">
        <f t="shared" si="539"/>
        <v>0</v>
      </c>
      <c r="U2469" s="193">
        <f ca="1">OFFSET('Expenditure Study'!$B$7,'Operations Support'!$C2469,'Operations Support'!$B2469)*$G2469</f>
        <v>0</v>
      </c>
      <c r="V2469" s="199">
        <f ca="1">U2469*'Expenditure Study'!$B$31</f>
        <v>0</v>
      </c>
      <c r="W2469" s="199">
        <f ca="1">IF(A2469=10298,1.51,1)*IF($B2469&lt;3,$D2469*'Expenditure Study'!$B$32*OFFSET('Expenditure Study'!$B$7,'Operations Support'!$C2469,'Operations Support'!$B2469),0)</f>
        <v>0</v>
      </c>
      <c r="X2469" s="200">
        <f ca="1">W2469*'Expenditure Study'!$B$31</f>
        <v>0</v>
      </c>
      <c r="Y2469" s="199">
        <f ca="1">U2469*'Expenditure Study'!$B$31</f>
        <v>0</v>
      </c>
      <c r="Z2469" s="200">
        <f ca="1">W2469*'Expenditure Study'!$B$31</f>
        <v>0</v>
      </c>
      <c r="AA2469" s="195">
        <f t="shared" ca="1" si="540"/>
        <v>0</v>
      </c>
      <c r="AB2469" s="195">
        <f t="shared" ca="1" si="541"/>
        <v>0</v>
      </c>
      <c r="AD2469" s="196">
        <f>IFERROR($G2469/SUMIF($A:$A,$A2469,$G:$G)*SUMIF(Summary!$A$166:$A$242,$A2469,Summary!$P$166:$P$242),0)</f>
        <v>0</v>
      </c>
      <c r="AE2469" s="197">
        <f t="shared" ca="1" si="542"/>
        <v>0</v>
      </c>
      <c r="AF2469" s="196">
        <f>IFERROR(G2469/SUMIF(A:A,A2469,G:G)*SUMIF(Summary!$A$166:$A$242,'Operations Support'!A2469,Summary!$Q$166:$Q$242),0)</f>
        <v>0</v>
      </c>
      <c r="AG2469" s="196">
        <f t="shared" ca="1" si="543"/>
        <v>0</v>
      </c>
      <c r="AI2469" s="196">
        <f>IFERROR($G2469/SUMIF($A:$A,$A2469,$G:$G)*SUMIF(Summary!$A$247:$A$283,$A2469,Summary!$P$247:$P$283),0)</f>
        <v>0</v>
      </c>
      <c r="AJ2469" s="196">
        <f>IFERROR($G2469/SUMIF($A:$A,$A2469,$G:$G)*(SUMIF(Summary!$A$247:$A$283,$A2469,Summary!$L$247:$L$283)+SUMIF(Summary!$A$297:$A$333,$A2469,Summary!$L$297:$L$333))-AI2469,0)</f>
        <v>0</v>
      </c>
      <c r="AK2469" s="196">
        <f>IFERROR($G2469/SUMIF($A:$A,$A2469,$G:$G)*SUMIF(Summary!$A$247:$A$283,$A2469,Summary!$Q$247:$Q$283),0)</f>
        <v>0</v>
      </c>
      <c r="AL2469" s="196">
        <f>IFERROR($G2469/SUMIF($A:$A,$A2469,$G:$G)*(SUMIF(Summary!$A$247:$A$283,$A2469,Summary!$L$247:$L$283)+SUMIF(Summary!$A$297:$A$333,$A2469,Summary!$L$297:$L$333))-AK2469,0)</f>
        <v>0</v>
      </c>
      <c r="AM2469" s="198"/>
      <c r="AN2469" s="196">
        <f t="shared" ca="1" si="544"/>
        <v>0</v>
      </c>
      <c r="AO2469" s="196">
        <f t="shared" ca="1" si="545"/>
        <v>0</v>
      </c>
    </row>
    <row r="2470" spans="1:41">
      <c r="A2470" s="189">
        <v>9651</v>
      </c>
      <c r="B2470" s="190">
        <v>3</v>
      </c>
      <c r="C2470" s="191" t="s">
        <v>228</v>
      </c>
      <c r="D2470" s="192">
        <f t="shared" si="532"/>
        <v>0</v>
      </c>
      <c r="E2470" s="192">
        <f t="shared" si="533"/>
        <v>0</v>
      </c>
      <c r="F2470" s="192">
        <f t="shared" si="534"/>
        <v>0</v>
      </c>
      <c r="G2470" s="193">
        <f t="shared" si="535"/>
        <v>0</v>
      </c>
      <c r="H2470" s="194">
        <v>0</v>
      </c>
      <c r="I2470" s="194">
        <v>0</v>
      </c>
      <c r="J2470" s="194">
        <v>0</v>
      </c>
      <c r="K2470" s="193">
        <f t="shared" si="536"/>
        <v>0</v>
      </c>
      <c r="L2470" s="194">
        <v>0</v>
      </c>
      <c r="M2470" s="194">
        <v>0</v>
      </c>
      <c r="N2470" s="194">
        <v>0</v>
      </c>
      <c r="O2470" s="193">
        <f t="shared" si="537"/>
        <v>0</v>
      </c>
      <c r="P2470" s="194">
        <v>0</v>
      </c>
      <c r="Q2470" s="194">
        <v>0</v>
      </c>
      <c r="R2470" s="194">
        <v>0</v>
      </c>
      <c r="S2470" s="193">
        <f t="shared" si="538"/>
        <v>0</v>
      </c>
      <c r="T2470" s="193">
        <f t="shared" si="539"/>
        <v>0</v>
      </c>
      <c r="U2470" s="193">
        <f ca="1">OFFSET('Expenditure Study'!$B$7,'Operations Support'!$C2470,'Operations Support'!$B2470)*$G2470</f>
        <v>0</v>
      </c>
      <c r="V2470" s="199">
        <f ca="1">U2470*'Expenditure Study'!$B$31</f>
        <v>0</v>
      </c>
      <c r="W2470" s="199">
        <f ca="1">IF(A2470=10298,1.51,1)*IF($B2470&lt;3,$D2470*'Expenditure Study'!$B$32*OFFSET('Expenditure Study'!$B$7,'Operations Support'!$C2470,'Operations Support'!$B2470),0)</f>
        <v>0</v>
      </c>
      <c r="X2470" s="200">
        <f ca="1">W2470*'Expenditure Study'!$B$31</f>
        <v>0</v>
      </c>
      <c r="Y2470" s="199">
        <f ca="1">U2470*'Expenditure Study'!$B$31</f>
        <v>0</v>
      </c>
      <c r="Z2470" s="200">
        <f ca="1">W2470*'Expenditure Study'!$B$31</f>
        <v>0</v>
      </c>
      <c r="AA2470" s="195">
        <f t="shared" ca="1" si="540"/>
        <v>0</v>
      </c>
      <c r="AB2470" s="195">
        <f t="shared" ca="1" si="541"/>
        <v>0</v>
      </c>
      <c r="AD2470" s="196">
        <f>IFERROR($G2470/SUMIF($A:$A,$A2470,$G:$G)*SUMIF(Summary!$A$166:$A$242,$A2470,Summary!$P$166:$P$242),0)</f>
        <v>0</v>
      </c>
      <c r="AE2470" s="197">
        <f t="shared" ca="1" si="542"/>
        <v>0</v>
      </c>
      <c r="AF2470" s="196">
        <f>IFERROR(G2470/SUMIF(A:A,A2470,G:G)*SUMIF(Summary!$A$166:$A$242,'Operations Support'!A2470,Summary!$Q$166:$Q$242),0)</f>
        <v>0</v>
      </c>
      <c r="AG2470" s="196">
        <f t="shared" ca="1" si="543"/>
        <v>0</v>
      </c>
      <c r="AI2470" s="196">
        <f>IFERROR($G2470/SUMIF($A:$A,$A2470,$G:$G)*SUMIF(Summary!$A$247:$A$283,$A2470,Summary!$P$247:$P$283),0)</f>
        <v>0</v>
      </c>
      <c r="AJ2470" s="196">
        <f>IFERROR($G2470/SUMIF($A:$A,$A2470,$G:$G)*(SUMIF(Summary!$A$247:$A$283,$A2470,Summary!$L$247:$L$283)+SUMIF(Summary!$A$297:$A$333,$A2470,Summary!$L$297:$L$333))-AI2470,0)</f>
        <v>0</v>
      </c>
      <c r="AK2470" s="196">
        <f>IFERROR($G2470/SUMIF($A:$A,$A2470,$G:$G)*SUMIF(Summary!$A$247:$A$283,$A2470,Summary!$Q$247:$Q$283),0)</f>
        <v>0</v>
      </c>
      <c r="AL2470" s="196">
        <f>IFERROR($G2470/SUMIF($A:$A,$A2470,$G:$G)*(SUMIF(Summary!$A$247:$A$283,$A2470,Summary!$L$247:$L$283)+SUMIF(Summary!$A$297:$A$333,$A2470,Summary!$L$297:$L$333))-AK2470,0)</f>
        <v>0</v>
      </c>
      <c r="AM2470" s="198"/>
      <c r="AN2470" s="196">
        <f t="shared" ca="1" si="544"/>
        <v>0</v>
      </c>
      <c r="AO2470" s="196">
        <f t="shared" ca="1" si="545"/>
        <v>0</v>
      </c>
    </row>
    <row r="2471" spans="1:41">
      <c r="A2471" s="189">
        <v>9651</v>
      </c>
      <c r="B2471" s="190">
        <v>3</v>
      </c>
      <c r="C2471" s="191" t="s">
        <v>229</v>
      </c>
      <c r="D2471" s="192">
        <f t="shared" si="532"/>
        <v>0</v>
      </c>
      <c r="E2471" s="192">
        <f t="shared" si="533"/>
        <v>0</v>
      </c>
      <c r="F2471" s="192">
        <f t="shared" si="534"/>
        <v>0</v>
      </c>
      <c r="G2471" s="193">
        <f t="shared" si="535"/>
        <v>0</v>
      </c>
      <c r="H2471" s="194">
        <v>0</v>
      </c>
      <c r="I2471" s="194">
        <v>0</v>
      </c>
      <c r="J2471" s="194">
        <v>0</v>
      </c>
      <c r="K2471" s="193">
        <f t="shared" si="536"/>
        <v>0</v>
      </c>
      <c r="L2471" s="194">
        <v>0</v>
      </c>
      <c r="M2471" s="194">
        <v>0</v>
      </c>
      <c r="N2471" s="194">
        <v>0</v>
      </c>
      <c r="O2471" s="193">
        <f t="shared" si="537"/>
        <v>0</v>
      </c>
      <c r="P2471" s="194">
        <v>0</v>
      </c>
      <c r="Q2471" s="194">
        <v>0</v>
      </c>
      <c r="R2471" s="194">
        <v>0</v>
      </c>
      <c r="S2471" s="193">
        <f t="shared" si="538"/>
        <v>0</v>
      </c>
      <c r="T2471" s="193">
        <f t="shared" si="539"/>
        <v>0</v>
      </c>
      <c r="U2471" s="193">
        <f ca="1">OFFSET('Expenditure Study'!$B$7,'Operations Support'!$C2471,'Operations Support'!$B2471)*$G2471</f>
        <v>0</v>
      </c>
      <c r="V2471" s="199">
        <f ca="1">U2471*'Expenditure Study'!$B$31</f>
        <v>0</v>
      </c>
      <c r="W2471" s="199">
        <f ca="1">IF(A2471=10298,1.51,1)*IF($B2471&lt;3,$D2471*'Expenditure Study'!$B$32*OFFSET('Expenditure Study'!$B$7,'Operations Support'!$C2471,'Operations Support'!$B2471),0)</f>
        <v>0</v>
      </c>
      <c r="X2471" s="200">
        <f ca="1">W2471*'Expenditure Study'!$B$31</f>
        <v>0</v>
      </c>
      <c r="Y2471" s="199">
        <f ca="1">U2471*'Expenditure Study'!$B$31</f>
        <v>0</v>
      </c>
      <c r="Z2471" s="200">
        <f ca="1">W2471*'Expenditure Study'!$B$31</f>
        <v>0</v>
      </c>
      <c r="AA2471" s="195">
        <f t="shared" ca="1" si="540"/>
        <v>0</v>
      </c>
      <c r="AB2471" s="195">
        <f t="shared" ca="1" si="541"/>
        <v>0</v>
      </c>
      <c r="AD2471" s="196">
        <f>IFERROR($G2471/SUMIF($A:$A,$A2471,$G:$G)*SUMIF(Summary!$A$166:$A$242,$A2471,Summary!$P$166:$P$242),0)</f>
        <v>0</v>
      </c>
      <c r="AE2471" s="197">
        <f t="shared" ca="1" si="542"/>
        <v>0</v>
      </c>
      <c r="AF2471" s="196">
        <f>IFERROR(G2471/SUMIF(A:A,A2471,G:G)*SUMIF(Summary!$A$166:$A$242,'Operations Support'!A2471,Summary!$Q$166:$Q$242),0)</f>
        <v>0</v>
      </c>
      <c r="AG2471" s="196">
        <f t="shared" ca="1" si="543"/>
        <v>0</v>
      </c>
      <c r="AI2471" s="196">
        <f>IFERROR($G2471/SUMIF($A:$A,$A2471,$G:$G)*SUMIF(Summary!$A$247:$A$283,$A2471,Summary!$P$247:$P$283),0)</f>
        <v>0</v>
      </c>
      <c r="AJ2471" s="196">
        <f>IFERROR($G2471/SUMIF($A:$A,$A2471,$G:$G)*(SUMIF(Summary!$A$247:$A$283,$A2471,Summary!$L$247:$L$283)+SUMIF(Summary!$A$297:$A$333,$A2471,Summary!$L$297:$L$333))-AI2471,0)</f>
        <v>0</v>
      </c>
      <c r="AK2471" s="196">
        <f>IFERROR($G2471/SUMIF($A:$A,$A2471,$G:$G)*SUMIF(Summary!$A$247:$A$283,$A2471,Summary!$Q$247:$Q$283),0)</f>
        <v>0</v>
      </c>
      <c r="AL2471" s="196">
        <f>IFERROR($G2471/SUMIF($A:$A,$A2471,$G:$G)*(SUMIF(Summary!$A$247:$A$283,$A2471,Summary!$L$247:$L$283)+SUMIF(Summary!$A$297:$A$333,$A2471,Summary!$L$297:$L$333))-AK2471,0)</f>
        <v>0</v>
      </c>
      <c r="AM2471" s="198"/>
      <c r="AN2471" s="196">
        <f t="shared" ca="1" si="544"/>
        <v>0</v>
      </c>
      <c r="AO2471" s="196">
        <f t="shared" ca="1" si="545"/>
        <v>0</v>
      </c>
    </row>
    <row r="2472" spans="1:41">
      <c r="A2472" s="189">
        <v>9651</v>
      </c>
      <c r="B2472" s="190">
        <v>3</v>
      </c>
      <c r="C2472" s="191" t="s">
        <v>230</v>
      </c>
      <c r="D2472" s="192">
        <f t="shared" si="532"/>
        <v>0</v>
      </c>
      <c r="E2472" s="192">
        <f t="shared" si="533"/>
        <v>0</v>
      </c>
      <c r="F2472" s="192">
        <f t="shared" si="534"/>
        <v>0</v>
      </c>
      <c r="G2472" s="193">
        <f t="shared" si="535"/>
        <v>0</v>
      </c>
      <c r="H2472" s="194">
        <v>0</v>
      </c>
      <c r="I2472" s="194">
        <v>0</v>
      </c>
      <c r="J2472" s="194">
        <v>0</v>
      </c>
      <c r="K2472" s="193">
        <f t="shared" si="536"/>
        <v>0</v>
      </c>
      <c r="L2472" s="194">
        <v>0</v>
      </c>
      <c r="M2472" s="194">
        <v>0</v>
      </c>
      <c r="N2472" s="194">
        <v>0</v>
      </c>
      <c r="O2472" s="193">
        <f t="shared" si="537"/>
        <v>0</v>
      </c>
      <c r="P2472" s="194">
        <v>0</v>
      </c>
      <c r="Q2472" s="194">
        <v>0</v>
      </c>
      <c r="R2472" s="194">
        <v>0</v>
      </c>
      <c r="S2472" s="193">
        <f t="shared" si="538"/>
        <v>0</v>
      </c>
      <c r="T2472" s="193">
        <f t="shared" si="539"/>
        <v>0</v>
      </c>
      <c r="U2472" s="193">
        <f ca="1">OFFSET('Expenditure Study'!$B$7,'Operations Support'!$C2472,'Operations Support'!$B2472)*$G2472</f>
        <v>0</v>
      </c>
      <c r="V2472" s="199">
        <f ca="1">U2472*'Expenditure Study'!$B$31</f>
        <v>0</v>
      </c>
      <c r="W2472" s="199">
        <f ca="1">IF(A2472=10298,1.51,1)*IF($B2472&lt;3,$D2472*'Expenditure Study'!$B$32*OFFSET('Expenditure Study'!$B$7,'Operations Support'!$C2472,'Operations Support'!$B2472),0)</f>
        <v>0</v>
      </c>
      <c r="X2472" s="200">
        <f ca="1">W2472*'Expenditure Study'!$B$31</f>
        <v>0</v>
      </c>
      <c r="Y2472" s="199">
        <f ca="1">U2472*'Expenditure Study'!$B$31</f>
        <v>0</v>
      </c>
      <c r="Z2472" s="200">
        <f ca="1">W2472*'Expenditure Study'!$B$31</f>
        <v>0</v>
      </c>
      <c r="AA2472" s="195">
        <f t="shared" ca="1" si="540"/>
        <v>0</v>
      </c>
      <c r="AB2472" s="195">
        <f t="shared" ca="1" si="541"/>
        <v>0</v>
      </c>
      <c r="AD2472" s="196">
        <f>IFERROR($G2472/SUMIF($A:$A,$A2472,$G:$G)*SUMIF(Summary!$A$166:$A$242,$A2472,Summary!$P$166:$P$242),0)</f>
        <v>0</v>
      </c>
      <c r="AE2472" s="197">
        <f t="shared" ca="1" si="542"/>
        <v>0</v>
      </c>
      <c r="AF2472" s="196">
        <f>IFERROR(G2472/SUMIF(A:A,A2472,G:G)*SUMIF(Summary!$A$166:$A$242,'Operations Support'!A2472,Summary!$Q$166:$Q$242),0)</f>
        <v>0</v>
      </c>
      <c r="AG2472" s="196">
        <f t="shared" ca="1" si="543"/>
        <v>0</v>
      </c>
      <c r="AI2472" s="196">
        <f>IFERROR($G2472/SUMIF($A:$A,$A2472,$G:$G)*SUMIF(Summary!$A$247:$A$283,$A2472,Summary!$P$247:$P$283),0)</f>
        <v>0</v>
      </c>
      <c r="AJ2472" s="196">
        <f>IFERROR($G2472/SUMIF($A:$A,$A2472,$G:$G)*(SUMIF(Summary!$A$247:$A$283,$A2472,Summary!$L$247:$L$283)+SUMIF(Summary!$A$297:$A$333,$A2472,Summary!$L$297:$L$333))-AI2472,0)</f>
        <v>0</v>
      </c>
      <c r="AK2472" s="196">
        <f>IFERROR($G2472/SUMIF($A:$A,$A2472,$G:$G)*SUMIF(Summary!$A$247:$A$283,$A2472,Summary!$Q$247:$Q$283),0)</f>
        <v>0</v>
      </c>
      <c r="AL2472" s="196">
        <f>IFERROR($G2472/SUMIF($A:$A,$A2472,$G:$G)*(SUMIF(Summary!$A$247:$A$283,$A2472,Summary!$L$247:$L$283)+SUMIF(Summary!$A$297:$A$333,$A2472,Summary!$L$297:$L$333))-AK2472,0)</f>
        <v>0</v>
      </c>
      <c r="AM2472" s="198"/>
      <c r="AN2472" s="196">
        <f t="shared" ca="1" si="544"/>
        <v>0</v>
      </c>
      <c r="AO2472" s="196">
        <f t="shared" ca="1" si="545"/>
        <v>0</v>
      </c>
    </row>
    <row r="2473" spans="1:41">
      <c r="A2473" s="189">
        <v>9651</v>
      </c>
      <c r="B2473" s="190">
        <v>3</v>
      </c>
      <c r="C2473" s="191" t="s">
        <v>231</v>
      </c>
      <c r="D2473" s="192">
        <f t="shared" si="532"/>
        <v>0</v>
      </c>
      <c r="E2473" s="192">
        <f t="shared" si="533"/>
        <v>0</v>
      </c>
      <c r="F2473" s="192">
        <f t="shared" si="534"/>
        <v>0</v>
      </c>
      <c r="G2473" s="193">
        <f t="shared" si="535"/>
        <v>0</v>
      </c>
      <c r="H2473" s="194">
        <v>0</v>
      </c>
      <c r="I2473" s="194">
        <v>0</v>
      </c>
      <c r="J2473" s="194">
        <v>0</v>
      </c>
      <c r="K2473" s="193">
        <f t="shared" si="536"/>
        <v>0</v>
      </c>
      <c r="L2473" s="194">
        <v>0</v>
      </c>
      <c r="M2473" s="194">
        <v>0</v>
      </c>
      <c r="N2473" s="194">
        <v>0</v>
      </c>
      <c r="O2473" s="193">
        <f t="shared" si="537"/>
        <v>0</v>
      </c>
      <c r="P2473" s="194">
        <v>0</v>
      </c>
      <c r="Q2473" s="194">
        <v>0</v>
      </c>
      <c r="R2473" s="194">
        <v>0</v>
      </c>
      <c r="S2473" s="193">
        <f t="shared" si="538"/>
        <v>0</v>
      </c>
      <c r="T2473" s="193">
        <f t="shared" si="539"/>
        <v>0</v>
      </c>
      <c r="U2473" s="193">
        <f ca="1">OFFSET('Expenditure Study'!$B$7,'Operations Support'!$C2473,'Operations Support'!$B2473)*$G2473</f>
        <v>0</v>
      </c>
      <c r="V2473" s="199">
        <f ca="1">U2473*'Expenditure Study'!$B$31</f>
        <v>0</v>
      </c>
      <c r="W2473" s="199">
        <f ca="1">IF(A2473=10298,1.51,1)*IF($B2473&lt;3,$D2473*'Expenditure Study'!$B$32*OFFSET('Expenditure Study'!$B$7,'Operations Support'!$C2473,'Operations Support'!$B2473),0)</f>
        <v>0</v>
      </c>
      <c r="X2473" s="200">
        <f ca="1">W2473*'Expenditure Study'!$B$31</f>
        <v>0</v>
      </c>
      <c r="Y2473" s="199">
        <f ca="1">U2473*'Expenditure Study'!$B$31</f>
        <v>0</v>
      </c>
      <c r="Z2473" s="200">
        <f ca="1">W2473*'Expenditure Study'!$B$31</f>
        <v>0</v>
      </c>
      <c r="AA2473" s="195">
        <f t="shared" ca="1" si="540"/>
        <v>0</v>
      </c>
      <c r="AB2473" s="195">
        <f t="shared" ca="1" si="541"/>
        <v>0</v>
      </c>
      <c r="AD2473" s="196">
        <f>IFERROR($G2473/SUMIF($A:$A,$A2473,$G:$G)*SUMIF(Summary!$A$166:$A$242,$A2473,Summary!$P$166:$P$242),0)</f>
        <v>0</v>
      </c>
      <c r="AE2473" s="197">
        <f t="shared" ca="1" si="542"/>
        <v>0</v>
      </c>
      <c r="AF2473" s="196">
        <f>IFERROR(G2473/SUMIF(A:A,A2473,G:G)*SUMIF(Summary!$A$166:$A$242,'Operations Support'!A2473,Summary!$Q$166:$Q$242),0)</f>
        <v>0</v>
      </c>
      <c r="AG2473" s="196">
        <f t="shared" ca="1" si="543"/>
        <v>0</v>
      </c>
      <c r="AI2473" s="196">
        <f>IFERROR($G2473/SUMIF($A:$A,$A2473,$G:$G)*SUMIF(Summary!$A$247:$A$283,$A2473,Summary!$P$247:$P$283),0)</f>
        <v>0</v>
      </c>
      <c r="AJ2473" s="196">
        <f>IFERROR($G2473/SUMIF($A:$A,$A2473,$G:$G)*(SUMIF(Summary!$A$247:$A$283,$A2473,Summary!$L$247:$L$283)+SUMIF(Summary!$A$297:$A$333,$A2473,Summary!$L$297:$L$333))-AI2473,0)</f>
        <v>0</v>
      </c>
      <c r="AK2473" s="196">
        <f>IFERROR($G2473/SUMIF($A:$A,$A2473,$G:$G)*SUMIF(Summary!$A$247:$A$283,$A2473,Summary!$Q$247:$Q$283),0)</f>
        <v>0</v>
      </c>
      <c r="AL2473" s="196">
        <f>IFERROR($G2473/SUMIF($A:$A,$A2473,$G:$G)*(SUMIF(Summary!$A$247:$A$283,$A2473,Summary!$L$247:$L$283)+SUMIF(Summary!$A$297:$A$333,$A2473,Summary!$L$297:$L$333))-AK2473,0)</f>
        <v>0</v>
      </c>
      <c r="AM2473" s="198"/>
      <c r="AN2473" s="196">
        <f t="shared" ca="1" si="544"/>
        <v>0</v>
      </c>
      <c r="AO2473" s="196">
        <f t="shared" ca="1" si="545"/>
        <v>0</v>
      </c>
    </row>
    <row r="2474" spans="1:41">
      <c r="A2474" s="189">
        <v>9651</v>
      </c>
      <c r="B2474" s="190">
        <v>3</v>
      </c>
      <c r="C2474" s="191" t="s">
        <v>232</v>
      </c>
      <c r="D2474" s="192">
        <f t="shared" si="532"/>
        <v>0</v>
      </c>
      <c r="E2474" s="192">
        <f t="shared" si="533"/>
        <v>0</v>
      </c>
      <c r="F2474" s="192">
        <f t="shared" si="534"/>
        <v>0</v>
      </c>
      <c r="G2474" s="193">
        <f t="shared" si="535"/>
        <v>0</v>
      </c>
      <c r="H2474" s="194">
        <v>0</v>
      </c>
      <c r="I2474" s="194">
        <v>0</v>
      </c>
      <c r="J2474" s="194">
        <v>0</v>
      </c>
      <c r="K2474" s="193">
        <f t="shared" si="536"/>
        <v>0</v>
      </c>
      <c r="L2474" s="194">
        <v>0</v>
      </c>
      <c r="M2474" s="194">
        <v>0</v>
      </c>
      <c r="N2474" s="194">
        <v>0</v>
      </c>
      <c r="O2474" s="193">
        <f t="shared" si="537"/>
        <v>0</v>
      </c>
      <c r="P2474" s="194">
        <v>0</v>
      </c>
      <c r="Q2474" s="194">
        <v>0</v>
      </c>
      <c r="R2474" s="194">
        <v>0</v>
      </c>
      <c r="S2474" s="193">
        <f t="shared" si="538"/>
        <v>0</v>
      </c>
      <c r="T2474" s="193">
        <f t="shared" si="539"/>
        <v>0</v>
      </c>
      <c r="U2474" s="193">
        <f ca="1">OFFSET('Expenditure Study'!$B$7,'Operations Support'!$C2474,'Operations Support'!$B2474)*$G2474</f>
        <v>0</v>
      </c>
      <c r="V2474" s="199">
        <f ca="1">U2474*'Expenditure Study'!$B$31</f>
        <v>0</v>
      </c>
      <c r="W2474" s="199">
        <f ca="1">IF(A2474=10298,1.51,1)*IF($B2474&lt;3,$D2474*'Expenditure Study'!$B$32*OFFSET('Expenditure Study'!$B$7,'Operations Support'!$C2474,'Operations Support'!$B2474),0)</f>
        <v>0</v>
      </c>
      <c r="X2474" s="200">
        <f ca="1">W2474*'Expenditure Study'!$B$31</f>
        <v>0</v>
      </c>
      <c r="Y2474" s="199">
        <f ca="1">U2474*'Expenditure Study'!$B$31</f>
        <v>0</v>
      </c>
      <c r="Z2474" s="200">
        <f ca="1">W2474*'Expenditure Study'!$B$31</f>
        <v>0</v>
      </c>
      <c r="AA2474" s="195">
        <f t="shared" ca="1" si="540"/>
        <v>0</v>
      </c>
      <c r="AB2474" s="195">
        <f t="shared" ca="1" si="541"/>
        <v>0</v>
      </c>
      <c r="AD2474" s="196">
        <f>IFERROR($G2474/SUMIF($A:$A,$A2474,$G:$G)*SUMIF(Summary!$A$166:$A$242,$A2474,Summary!$P$166:$P$242),0)</f>
        <v>0</v>
      </c>
      <c r="AE2474" s="197">
        <f t="shared" ca="1" si="542"/>
        <v>0</v>
      </c>
      <c r="AF2474" s="196">
        <f>IFERROR(G2474/SUMIF(A:A,A2474,G:G)*SUMIF(Summary!$A$166:$A$242,'Operations Support'!A2474,Summary!$Q$166:$Q$242),0)</f>
        <v>0</v>
      </c>
      <c r="AG2474" s="196">
        <f t="shared" ca="1" si="543"/>
        <v>0</v>
      </c>
      <c r="AI2474" s="196">
        <f>IFERROR($G2474/SUMIF($A:$A,$A2474,$G:$G)*SUMIF(Summary!$A$247:$A$283,$A2474,Summary!$P$247:$P$283),0)</f>
        <v>0</v>
      </c>
      <c r="AJ2474" s="196">
        <f>IFERROR($G2474/SUMIF($A:$A,$A2474,$G:$G)*(SUMIF(Summary!$A$247:$A$283,$A2474,Summary!$L$247:$L$283)+SUMIF(Summary!$A$297:$A$333,$A2474,Summary!$L$297:$L$333))-AI2474,0)</f>
        <v>0</v>
      </c>
      <c r="AK2474" s="196">
        <f>IFERROR($G2474/SUMIF($A:$A,$A2474,$G:$G)*SUMIF(Summary!$A$247:$A$283,$A2474,Summary!$Q$247:$Q$283),0)</f>
        <v>0</v>
      </c>
      <c r="AL2474" s="196">
        <f>IFERROR($G2474/SUMIF($A:$A,$A2474,$G:$G)*(SUMIF(Summary!$A$247:$A$283,$A2474,Summary!$L$247:$L$283)+SUMIF(Summary!$A$297:$A$333,$A2474,Summary!$L$297:$L$333))-AK2474,0)</f>
        <v>0</v>
      </c>
      <c r="AM2474" s="198"/>
      <c r="AN2474" s="196">
        <f t="shared" ca="1" si="544"/>
        <v>0</v>
      </c>
      <c r="AO2474" s="196">
        <f t="shared" ca="1" si="545"/>
        <v>0</v>
      </c>
    </row>
    <row r="2475" spans="1:41">
      <c r="A2475" s="189">
        <v>9651</v>
      </c>
      <c r="B2475" s="190">
        <v>3</v>
      </c>
      <c r="C2475" s="191" t="s">
        <v>233</v>
      </c>
      <c r="D2475" s="192">
        <f t="shared" si="532"/>
        <v>0</v>
      </c>
      <c r="E2475" s="192">
        <f t="shared" si="533"/>
        <v>33</v>
      </c>
      <c r="F2475" s="192">
        <f t="shared" si="534"/>
        <v>0</v>
      </c>
      <c r="G2475" s="193">
        <f t="shared" si="535"/>
        <v>33</v>
      </c>
      <c r="H2475" s="194">
        <v>0</v>
      </c>
      <c r="I2475" s="194">
        <v>33</v>
      </c>
      <c r="J2475" s="194">
        <v>0</v>
      </c>
      <c r="K2475" s="193">
        <f t="shared" si="536"/>
        <v>33</v>
      </c>
      <c r="L2475" s="194">
        <v>0</v>
      </c>
      <c r="M2475" s="194">
        <v>0</v>
      </c>
      <c r="N2475" s="194">
        <v>0</v>
      </c>
      <c r="O2475" s="193">
        <f t="shared" si="537"/>
        <v>0</v>
      </c>
      <c r="P2475" s="194">
        <v>0</v>
      </c>
      <c r="Q2475" s="194">
        <v>0</v>
      </c>
      <c r="R2475" s="194">
        <v>0</v>
      </c>
      <c r="S2475" s="193">
        <f t="shared" si="538"/>
        <v>0</v>
      </c>
      <c r="T2475" s="193">
        <f t="shared" si="539"/>
        <v>1.375</v>
      </c>
      <c r="U2475" s="193">
        <f ca="1">OFFSET('Expenditure Study'!$B$7,'Operations Support'!$C2475,'Operations Support'!$B2475)*$G2475</f>
        <v>86.460000000000008</v>
      </c>
      <c r="V2475" s="199">
        <f ca="1">U2475*'Expenditure Study'!$B$31</f>
        <v>5108.3318119680007</v>
      </c>
      <c r="W2475" s="199">
        <f ca="1">IF(A2475=10298,1.51,1)*IF($B2475&lt;3,$D2475*'Expenditure Study'!$B$32*OFFSET('Expenditure Study'!$B$7,'Operations Support'!$C2475,'Operations Support'!$B2475),0)</f>
        <v>0</v>
      </c>
      <c r="X2475" s="200">
        <f ca="1">W2475*'Expenditure Study'!$B$31</f>
        <v>0</v>
      </c>
      <c r="Y2475" s="199">
        <f ca="1">U2475*'Expenditure Study'!$B$31</f>
        <v>5108.3318119680007</v>
      </c>
      <c r="Z2475" s="200">
        <f ca="1">W2475*'Expenditure Study'!$B$31</f>
        <v>0</v>
      </c>
      <c r="AA2475" s="195">
        <f t="shared" ca="1" si="540"/>
        <v>5108.3318119680007</v>
      </c>
      <c r="AB2475" s="195">
        <f t="shared" ca="1" si="541"/>
        <v>5108.3318119680007</v>
      </c>
      <c r="AD2475" s="196">
        <f>IFERROR($G2475/SUMIF($A:$A,$A2475,$G:$G)*SUMIF(Summary!$A$166:$A$242,$A2475,Summary!$P$166:$P$242),0)</f>
        <v>948.77718282288356</v>
      </c>
      <c r="AE2475" s="197">
        <f t="shared" ca="1" si="542"/>
        <v>4159.5546291451174</v>
      </c>
      <c r="AF2475" s="196">
        <f>IFERROR(G2475/SUMIF(A:A,A2475,G:G)*SUMIF(Summary!$A$166:$A$242,'Operations Support'!A2475,Summary!$Q$166:$Q$242),0)</f>
        <v>949.13993054792979</v>
      </c>
      <c r="AG2475" s="196">
        <f t="shared" ca="1" si="543"/>
        <v>4159.1918814200708</v>
      </c>
      <c r="AI2475" s="196">
        <f>IFERROR($G2475/SUMIF($A:$A,$A2475,$G:$G)*SUMIF(Summary!$A$247:$A$283,$A2475,Summary!$P$247:$P$283),0)</f>
        <v>173.03328167621757</v>
      </c>
      <c r="AJ2475" s="196">
        <f>IFERROR($G2475/SUMIF($A:$A,$A2475,$G:$G)*(SUMIF(Summary!$A$247:$A$283,$A2475,Summary!$L$247:$L$283)+SUMIF(Summary!$A$297:$A$333,$A2475,Summary!$L$297:$L$333))-AI2475,0)</f>
        <v>625.53087025574609</v>
      </c>
      <c r="AK2475" s="196">
        <f>IFERROR($G2475/SUMIF($A:$A,$A2475,$G:$G)*SUMIF(Summary!$A$247:$A$283,$A2475,Summary!$Q$247:$Q$283),0)</f>
        <v>173.09943780899746</v>
      </c>
      <c r="AL2475" s="196">
        <f>IFERROR($G2475/SUMIF($A:$A,$A2475,$G:$G)*(SUMIF(Summary!$A$247:$A$283,$A2475,Summary!$L$247:$L$283)+SUMIF(Summary!$A$297:$A$333,$A2475,Summary!$L$297:$L$333))-AK2475,0)</f>
        <v>625.46471412296626</v>
      </c>
      <c r="AM2475" s="198"/>
      <c r="AN2475" s="196">
        <f t="shared" ca="1" si="544"/>
        <v>4785.0854994008632</v>
      </c>
      <c r="AO2475" s="196">
        <f t="shared" ca="1" si="545"/>
        <v>4784.6565955430369</v>
      </c>
    </row>
    <row r="2476" spans="1:41">
      <c r="A2476" s="189">
        <v>9651</v>
      </c>
      <c r="B2476" s="190">
        <v>3</v>
      </c>
      <c r="C2476" s="191" t="s">
        <v>234</v>
      </c>
      <c r="D2476" s="192">
        <f t="shared" si="532"/>
        <v>0</v>
      </c>
      <c r="E2476" s="192">
        <f t="shared" si="533"/>
        <v>0</v>
      </c>
      <c r="F2476" s="192">
        <f t="shared" si="534"/>
        <v>0</v>
      </c>
      <c r="G2476" s="193">
        <f t="shared" si="535"/>
        <v>0</v>
      </c>
      <c r="H2476" s="194">
        <v>0</v>
      </c>
      <c r="I2476" s="194">
        <v>0</v>
      </c>
      <c r="J2476" s="194">
        <v>0</v>
      </c>
      <c r="K2476" s="193">
        <f t="shared" si="536"/>
        <v>0</v>
      </c>
      <c r="L2476" s="194">
        <v>0</v>
      </c>
      <c r="M2476" s="194">
        <v>0</v>
      </c>
      <c r="N2476" s="194">
        <v>0</v>
      </c>
      <c r="O2476" s="193">
        <f t="shared" si="537"/>
        <v>0</v>
      </c>
      <c r="P2476" s="194">
        <v>0</v>
      </c>
      <c r="Q2476" s="194">
        <v>0</v>
      </c>
      <c r="R2476" s="194">
        <v>0</v>
      </c>
      <c r="S2476" s="193">
        <f t="shared" si="538"/>
        <v>0</v>
      </c>
      <c r="T2476" s="193">
        <f t="shared" si="539"/>
        <v>0</v>
      </c>
      <c r="U2476" s="193">
        <f ca="1">OFFSET('Expenditure Study'!$B$7,'Operations Support'!$C2476,'Operations Support'!$B2476)*$G2476</f>
        <v>0</v>
      </c>
      <c r="V2476" s="199">
        <f ca="1">U2476*'Expenditure Study'!$B$31</f>
        <v>0</v>
      </c>
      <c r="W2476" s="199">
        <f ca="1">IF(A2476=10298,1.51,1)*IF($B2476&lt;3,$D2476*'Expenditure Study'!$B$32*OFFSET('Expenditure Study'!$B$7,'Operations Support'!$C2476,'Operations Support'!$B2476),0)</f>
        <v>0</v>
      </c>
      <c r="X2476" s="200">
        <f ca="1">W2476*'Expenditure Study'!$B$31</f>
        <v>0</v>
      </c>
      <c r="Y2476" s="199">
        <f ca="1">U2476*'Expenditure Study'!$B$31</f>
        <v>0</v>
      </c>
      <c r="Z2476" s="200">
        <f ca="1">W2476*'Expenditure Study'!$B$31</f>
        <v>0</v>
      </c>
      <c r="AA2476" s="195">
        <f t="shared" ca="1" si="540"/>
        <v>0</v>
      </c>
      <c r="AB2476" s="195">
        <f t="shared" ca="1" si="541"/>
        <v>0</v>
      </c>
      <c r="AD2476" s="196">
        <f>IFERROR($G2476/SUMIF($A:$A,$A2476,$G:$G)*SUMIF(Summary!$A$166:$A$242,$A2476,Summary!$P$166:$P$242),0)</f>
        <v>0</v>
      </c>
      <c r="AE2476" s="197">
        <f t="shared" ca="1" si="542"/>
        <v>0</v>
      </c>
      <c r="AF2476" s="196">
        <f>IFERROR(G2476/SUMIF(A:A,A2476,G:G)*SUMIF(Summary!$A$166:$A$242,'Operations Support'!A2476,Summary!$Q$166:$Q$242),0)</f>
        <v>0</v>
      </c>
      <c r="AG2476" s="196">
        <f t="shared" ca="1" si="543"/>
        <v>0</v>
      </c>
      <c r="AI2476" s="196">
        <f>IFERROR($G2476/SUMIF($A:$A,$A2476,$G:$G)*SUMIF(Summary!$A$247:$A$283,$A2476,Summary!$P$247:$P$283),0)</f>
        <v>0</v>
      </c>
      <c r="AJ2476" s="196">
        <f>IFERROR($G2476/SUMIF($A:$A,$A2476,$G:$G)*(SUMIF(Summary!$A$247:$A$283,$A2476,Summary!$L$247:$L$283)+SUMIF(Summary!$A$297:$A$333,$A2476,Summary!$L$297:$L$333))-AI2476,0)</f>
        <v>0</v>
      </c>
      <c r="AK2476" s="196">
        <f>IFERROR($G2476/SUMIF($A:$A,$A2476,$G:$G)*SUMIF(Summary!$A$247:$A$283,$A2476,Summary!$Q$247:$Q$283),0)</f>
        <v>0</v>
      </c>
      <c r="AL2476" s="196">
        <f>IFERROR($G2476/SUMIF($A:$A,$A2476,$G:$G)*(SUMIF(Summary!$A$247:$A$283,$A2476,Summary!$L$247:$L$283)+SUMIF(Summary!$A$297:$A$333,$A2476,Summary!$L$297:$L$333))-AK2476,0)</f>
        <v>0</v>
      </c>
      <c r="AM2476" s="198"/>
      <c r="AN2476" s="196">
        <f t="shared" ca="1" si="544"/>
        <v>0</v>
      </c>
      <c r="AO2476" s="196">
        <f t="shared" ca="1" si="545"/>
        <v>0</v>
      </c>
    </row>
    <row r="2477" spans="1:41">
      <c r="A2477" s="189">
        <v>9651</v>
      </c>
      <c r="B2477" s="190">
        <v>3</v>
      </c>
      <c r="C2477" s="191" t="s">
        <v>235</v>
      </c>
      <c r="D2477" s="192">
        <f t="shared" si="532"/>
        <v>3396</v>
      </c>
      <c r="E2477" s="192">
        <f t="shared" si="533"/>
        <v>4945</v>
      </c>
      <c r="F2477" s="192">
        <f t="shared" si="534"/>
        <v>0</v>
      </c>
      <c r="G2477" s="193">
        <f t="shared" si="535"/>
        <v>8341</v>
      </c>
      <c r="H2477" s="194">
        <v>1191</v>
      </c>
      <c r="I2477" s="194">
        <v>1390</v>
      </c>
      <c r="J2477" s="194">
        <v>0</v>
      </c>
      <c r="K2477" s="193">
        <f t="shared" si="536"/>
        <v>2581</v>
      </c>
      <c r="L2477" s="194">
        <v>660</v>
      </c>
      <c r="M2477" s="194">
        <v>750</v>
      </c>
      <c r="N2477" s="194">
        <v>0</v>
      </c>
      <c r="O2477" s="193">
        <f t="shared" si="537"/>
        <v>1410</v>
      </c>
      <c r="P2477" s="194">
        <v>1545</v>
      </c>
      <c r="Q2477" s="194">
        <v>2805</v>
      </c>
      <c r="R2477" s="194">
        <v>0</v>
      </c>
      <c r="S2477" s="193">
        <f t="shared" si="538"/>
        <v>4350</v>
      </c>
      <c r="T2477" s="193">
        <f t="shared" si="539"/>
        <v>347.54166666666669</v>
      </c>
      <c r="U2477" s="193">
        <f ca="1">OFFSET('Expenditure Study'!$B$7,'Operations Support'!$C2477,'Operations Support'!$B2477)*$G2477</f>
        <v>26357.56</v>
      </c>
      <c r="V2477" s="199">
        <f ca="1">U2477*'Expenditure Study'!$B$31</f>
        <v>1557288.4829268481</v>
      </c>
      <c r="W2477" s="199">
        <f ca="1">IF(A2477=10298,1.51,1)*IF($B2477&lt;3,$D2477*'Expenditure Study'!$B$32*OFFSET('Expenditure Study'!$B$7,'Operations Support'!$C2477,'Operations Support'!$B2477),0)</f>
        <v>0</v>
      </c>
      <c r="X2477" s="200">
        <f ca="1">W2477*'Expenditure Study'!$B$31</f>
        <v>0</v>
      </c>
      <c r="Y2477" s="199">
        <f ca="1">U2477*'Expenditure Study'!$B$31</f>
        <v>1557288.4829268481</v>
      </c>
      <c r="Z2477" s="200">
        <f ca="1">W2477*'Expenditure Study'!$B$31</f>
        <v>0</v>
      </c>
      <c r="AA2477" s="195">
        <f t="shared" ca="1" si="540"/>
        <v>1557288.4829268481</v>
      </c>
      <c r="AB2477" s="195">
        <f t="shared" ca="1" si="541"/>
        <v>1557288.4829268481</v>
      </c>
      <c r="AD2477" s="196">
        <f>IFERROR($G2477/SUMIF($A:$A,$A2477,$G:$G)*SUMIF(Summary!$A$166:$A$242,$A2477,Summary!$P$166:$P$242),0)</f>
        <v>239810.62066441428</v>
      </c>
      <c r="AE2477" s="197">
        <f t="shared" ca="1" si="542"/>
        <v>1317477.8622624339</v>
      </c>
      <c r="AF2477" s="196">
        <f>IFERROR(G2477/SUMIF(A:A,A2477,G:G)*SUMIF(Summary!$A$166:$A$242,'Operations Support'!A2477,Summary!$Q$166:$Q$242),0)</f>
        <v>239902.30790000857</v>
      </c>
      <c r="AG2477" s="196">
        <f t="shared" ca="1" si="543"/>
        <v>1317386.1750268396</v>
      </c>
      <c r="AI2477" s="196">
        <f>IFERROR($G2477/SUMIF($A:$A,$A2477,$G:$G)*SUMIF(Summary!$A$247:$A$283,$A2477,Summary!$P$247:$P$283),0)</f>
        <v>43735.472801858508</v>
      </c>
      <c r="AJ2477" s="196">
        <f>IFERROR($G2477/SUMIF($A:$A,$A2477,$G:$G)*(SUMIF(Summary!$A$247:$A$283,$A2477,Summary!$L$247:$L$283)+SUMIF(Summary!$A$297:$A$333,$A2477,Summary!$L$297:$L$333))-AI2477,0)</f>
        <v>158107.66632736905</v>
      </c>
      <c r="AK2477" s="196">
        <f>IFERROR($G2477/SUMIF($A:$A,$A2477,$G:$G)*SUMIF(Summary!$A$247:$A$283,$A2477,Summary!$Q$247:$Q$283),0)</f>
        <v>43752.194265601451</v>
      </c>
      <c r="AL2477" s="196">
        <f>IFERROR($G2477/SUMIF($A:$A,$A2477,$G:$G)*(SUMIF(Summary!$A$247:$A$283,$A2477,Summary!$L$247:$L$283)+SUMIF(Summary!$A$297:$A$333,$A2477,Summary!$L$297:$L$333))-AK2477,0)</f>
        <v>158090.94486362609</v>
      </c>
      <c r="AM2477" s="198"/>
      <c r="AN2477" s="196">
        <f t="shared" ca="1" si="544"/>
        <v>1475585.5285898028</v>
      </c>
      <c r="AO2477" s="196">
        <f t="shared" ca="1" si="545"/>
        <v>1475477.1198904656</v>
      </c>
    </row>
    <row r="2478" spans="1:41">
      <c r="A2478" s="189">
        <v>9651</v>
      </c>
      <c r="B2478" s="190">
        <v>3</v>
      </c>
      <c r="C2478" s="191" t="s">
        <v>236</v>
      </c>
      <c r="D2478" s="192">
        <f t="shared" si="532"/>
        <v>0</v>
      </c>
      <c r="E2478" s="192">
        <f t="shared" si="533"/>
        <v>0</v>
      </c>
      <c r="F2478" s="192">
        <f t="shared" si="534"/>
        <v>0</v>
      </c>
      <c r="G2478" s="193">
        <f t="shared" si="535"/>
        <v>0</v>
      </c>
      <c r="H2478" s="194">
        <v>0</v>
      </c>
      <c r="I2478" s="194">
        <v>0</v>
      </c>
      <c r="J2478" s="194">
        <v>0</v>
      </c>
      <c r="K2478" s="193">
        <f t="shared" si="536"/>
        <v>0</v>
      </c>
      <c r="L2478" s="194">
        <v>0</v>
      </c>
      <c r="M2478" s="194">
        <v>0</v>
      </c>
      <c r="N2478" s="194">
        <v>0</v>
      </c>
      <c r="O2478" s="193">
        <f t="shared" si="537"/>
        <v>0</v>
      </c>
      <c r="P2478" s="194">
        <v>0</v>
      </c>
      <c r="Q2478" s="194">
        <v>0</v>
      </c>
      <c r="R2478" s="194">
        <v>0</v>
      </c>
      <c r="S2478" s="193">
        <f t="shared" si="538"/>
        <v>0</v>
      </c>
      <c r="T2478" s="193">
        <f t="shared" si="539"/>
        <v>0</v>
      </c>
      <c r="U2478" s="193">
        <f ca="1">OFFSET('Expenditure Study'!$B$7,'Operations Support'!$C2478,'Operations Support'!$B2478)*$G2478</f>
        <v>0</v>
      </c>
      <c r="V2478" s="199">
        <f ca="1">U2478*'Expenditure Study'!$B$31</f>
        <v>0</v>
      </c>
      <c r="W2478" s="199">
        <f ca="1">IF(A2478=10298,1.51,1)*IF($B2478&lt;3,$D2478*'Expenditure Study'!$B$32*OFFSET('Expenditure Study'!$B$7,'Operations Support'!$C2478,'Operations Support'!$B2478),0)</f>
        <v>0</v>
      </c>
      <c r="X2478" s="200">
        <f ca="1">W2478*'Expenditure Study'!$B$31</f>
        <v>0</v>
      </c>
      <c r="Y2478" s="199">
        <f ca="1">U2478*'Expenditure Study'!$B$31</f>
        <v>0</v>
      </c>
      <c r="Z2478" s="200">
        <f ca="1">W2478*'Expenditure Study'!$B$31</f>
        <v>0</v>
      </c>
      <c r="AA2478" s="195">
        <f t="shared" ca="1" si="540"/>
        <v>0</v>
      </c>
      <c r="AB2478" s="195">
        <f t="shared" ca="1" si="541"/>
        <v>0</v>
      </c>
      <c r="AD2478" s="196">
        <f>IFERROR($G2478/SUMIF($A:$A,$A2478,$G:$G)*SUMIF(Summary!$A$166:$A$242,$A2478,Summary!$P$166:$P$242),0)</f>
        <v>0</v>
      </c>
      <c r="AE2478" s="197">
        <f t="shared" ca="1" si="542"/>
        <v>0</v>
      </c>
      <c r="AF2478" s="196">
        <f>IFERROR(G2478/SUMIF(A:A,A2478,G:G)*SUMIF(Summary!$A$166:$A$242,'Operations Support'!A2478,Summary!$Q$166:$Q$242),0)</f>
        <v>0</v>
      </c>
      <c r="AG2478" s="196">
        <f t="shared" ca="1" si="543"/>
        <v>0</v>
      </c>
      <c r="AI2478" s="196">
        <f>IFERROR($G2478/SUMIF($A:$A,$A2478,$G:$G)*SUMIF(Summary!$A$247:$A$283,$A2478,Summary!$P$247:$P$283),0)</f>
        <v>0</v>
      </c>
      <c r="AJ2478" s="196">
        <f>IFERROR($G2478/SUMIF($A:$A,$A2478,$G:$G)*(SUMIF(Summary!$A$247:$A$283,$A2478,Summary!$L$247:$L$283)+SUMIF(Summary!$A$297:$A$333,$A2478,Summary!$L$297:$L$333))-AI2478,0)</f>
        <v>0</v>
      </c>
      <c r="AK2478" s="196">
        <f>IFERROR($G2478/SUMIF($A:$A,$A2478,$G:$G)*SUMIF(Summary!$A$247:$A$283,$A2478,Summary!$Q$247:$Q$283),0)</f>
        <v>0</v>
      </c>
      <c r="AL2478" s="196">
        <f>IFERROR($G2478/SUMIF($A:$A,$A2478,$G:$G)*(SUMIF(Summary!$A$247:$A$283,$A2478,Summary!$L$247:$L$283)+SUMIF(Summary!$A$297:$A$333,$A2478,Summary!$L$297:$L$333))-AK2478,0)</f>
        <v>0</v>
      </c>
      <c r="AM2478" s="198"/>
      <c r="AN2478" s="196">
        <f t="shared" ca="1" si="544"/>
        <v>0</v>
      </c>
      <c r="AO2478" s="196">
        <f t="shared" ca="1" si="545"/>
        <v>0</v>
      </c>
    </row>
    <row r="2479" spans="1:41">
      <c r="A2479" s="189">
        <v>9651</v>
      </c>
      <c r="B2479" s="190">
        <v>3</v>
      </c>
      <c r="C2479" s="191" t="s">
        <v>237</v>
      </c>
      <c r="D2479" s="192">
        <f t="shared" si="532"/>
        <v>0</v>
      </c>
      <c r="E2479" s="192">
        <f t="shared" si="533"/>
        <v>0</v>
      </c>
      <c r="F2479" s="192">
        <f t="shared" si="534"/>
        <v>0</v>
      </c>
      <c r="G2479" s="193">
        <f t="shared" si="535"/>
        <v>0</v>
      </c>
      <c r="H2479" s="194">
        <v>0</v>
      </c>
      <c r="I2479" s="194">
        <v>0</v>
      </c>
      <c r="J2479" s="194">
        <v>0</v>
      </c>
      <c r="K2479" s="193">
        <f t="shared" si="536"/>
        <v>0</v>
      </c>
      <c r="L2479" s="194">
        <v>0</v>
      </c>
      <c r="M2479" s="194">
        <v>0</v>
      </c>
      <c r="N2479" s="194">
        <v>0</v>
      </c>
      <c r="O2479" s="193">
        <f t="shared" si="537"/>
        <v>0</v>
      </c>
      <c r="P2479" s="194">
        <v>0</v>
      </c>
      <c r="Q2479" s="194">
        <v>0</v>
      </c>
      <c r="R2479" s="194">
        <v>0</v>
      </c>
      <c r="S2479" s="193">
        <f t="shared" si="538"/>
        <v>0</v>
      </c>
      <c r="T2479" s="193">
        <f t="shared" si="539"/>
        <v>0</v>
      </c>
      <c r="U2479" s="193">
        <f ca="1">OFFSET('Expenditure Study'!$B$7,'Operations Support'!$C2479,'Operations Support'!$B2479)*$G2479</f>
        <v>0</v>
      </c>
      <c r="V2479" s="199">
        <f ca="1">U2479*'Expenditure Study'!$B$31</f>
        <v>0</v>
      </c>
      <c r="W2479" s="199">
        <f ca="1">IF(A2479=10298,1.51,1)*IF($B2479&lt;3,$D2479*'Expenditure Study'!$B$32*OFFSET('Expenditure Study'!$B$7,'Operations Support'!$C2479,'Operations Support'!$B2479),0)</f>
        <v>0</v>
      </c>
      <c r="X2479" s="200">
        <f ca="1">W2479*'Expenditure Study'!$B$31</f>
        <v>0</v>
      </c>
      <c r="Y2479" s="199">
        <f ca="1">U2479*'Expenditure Study'!$B$31</f>
        <v>0</v>
      </c>
      <c r="Z2479" s="200">
        <f ca="1">W2479*'Expenditure Study'!$B$31</f>
        <v>0</v>
      </c>
      <c r="AA2479" s="195">
        <f t="shared" ca="1" si="540"/>
        <v>0</v>
      </c>
      <c r="AB2479" s="195">
        <f t="shared" ca="1" si="541"/>
        <v>0</v>
      </c>
      <c r="AD2479" s="196">
        <f>IFERROR($G2479/SUMIF($A:$A,$A2479,$G:$G)*SUMIF(Summary!$A$166:$A$242,$A2479,Summary!$P$166:$P$242),0)</f>
        <v>0</v>
      </c>
      <c r="AE2479" s="197">
        <f t="shared" ca="1" si="542"/>
        <v>0</v>
      </c>
      <c r="AF2479" s="196">
        <f>IFERROR(G2479/SUMIF(A:A,A2479,G:G)*SUMIF(Summary!$A$166:$A$242,'Operations Support'!A2479,Summary!$Q$166:$Q$242),0)</f>
        <v>0</v>
      </c>
      <c r="AG2479" s="196">
        <f t="shared" ca="1" si="543"/>
        <v>0</v>
      </c>
      <c r="AI2479" s="196">
        <f>IFERROR($G2479/SUMIF($A:$A,$A2479,$G:$G)*SUMIF(Summary!$A$247:$A$283,$A2479,Summary!$P$247:$P$283),0)</f>
        <v>0</v>
      </c>
      <c r="AJ2479" s="196">
        <f>IFERROR($G2479/SUMIF($A:$A,$A2479,$G:$G)*(SUMIF(Summary!$A$247:$A$283,$A2479,Summary!$L$247:$L$283)+SUMIF(Summary!$A$297:$A$333,$A2479,Summary!$L$297:$L$333))-AI2479,0)</f>
        <v>0</v>
      </c>
      <c r="AK2479" s="196">
        <f>IFERROR($G2479/SUMIF($A:$A,$A2479,$G:$G)*SUMIF(Summary!$A$247:$A$283,$A2479,Summary!$Q$247:$Q$283),0)</f>
        <v>0</v>
      </c>
      <c r="AL2479" s="196">
        <f>IFERROR($G2479/SUMIF($A:$A,$A2479,$G:$G)*(SUMIF(Summary!$A$247:$A$283,$A2479,Summary!$L$247:$L$283)+SUMIF(Summary!$A$297:$A$333,$A2479,Summary!$L$297:$L$333))-AK2479,0)</f>
        <v>0</v>
      </c>
      <c r="AM2479" s="198"/>
      <c r="AN2479" s="196">
        <f t="shared" ca="1" si="544"/>
        <v>0</v>
      </c>
      <c r="AO2479" s="196">
        <f t="shared" ca="1" si="545"/>
        <v>0</v>
      </c>
    </row>
    <row r="2480" spans="1:41">
      <c r="A2480" s="189">
        <v>9651</v>
      </c>
      <c r="B2480" s="190">
        <v>3</v>
      </c>
      <c r="C2480" s="191" t="s">
        <v>238</v>
      </c>
      <c r="D2480" s="192">
        <f t="shared" si="532"/>
        <v>96</v>
      </c>
      <c r="E2480" s="192">
        <f t="shared" si="533"/>
        <v>171</v>
      </c>
      <c r="F2480" s="192">
        <f t="shared" si="534"/>
        <v>0</v>
      </c>
      <c r="G2480" s="193">
        <f t="shared" si="535"/>
        <v>267</v>
      </c>
      <c r="H2480" s="194">
        <v>96</v>
      </c>
      <c r="I2480" s="194">
        <v>0</v>
      </c>
      <c r="J2480" s="194">
        <v>0</v>
      </c>
      <c r="K2480" s="193">
        <f t="shared" si="536"/>
        <v>96</v>
      </c>
      <c r="L2480" s="194">
        <v>0</v>
      </c>
      <c r="M2480" s="194">
        <v>0</v>
      </c>
      <c r="N2480" s="194">
        <v>0</v>
      </c>
      <c r="O2480" s="193">
        <f t="shared" si="537"/>
        <v>0</v>
      </c>
      <c r="P2480" s="194">
        <v>0</v>
      </c>
      <c r="Q2480" s="194">
        <v>171</v>
      </c>
      <c r="R2480" s="194">
        <v>0</v>
      </c>
      <c r="S2480" s="193">
        <f t="shared" si="538"/>
        <v>171</v>
      </c>
      <c r="T2480" s="193">
        <f t="shared" si="539"/>
        <v>11.125</v>
      </c>
      <c r="U2480" s="193">
        <f ca="1">OFFSET('Expenditure Study'!$B$7,'Operations Support'!$C2480,'Operations Support'!$B2480)*$G2480</f>
        <v>1559.28</v>
      </c>
      <c r="V2480" s="199">
        <f ca="1">U2480*'Expenditure Study'!$B$31</f>
        <v>92127.222157823999</v>
      </c>
      <c r="W2480" s="199">
        <f ca="1">IF(A2480=10298,1.51,1)*IF($B2480&lt;3,$D2480*'Expenditure Study'!$B$32*OFFSET('Expenditure Study'!$B$7,'Operations Support'!$C2480,'Operations Support'!$B2480),0)</f>
        <v>0</v>
      </c>
      <c r="X2480" s="200">
        <f ca="1">W2480*'Expenditure Study'!$B$31</f>
        <v>0</v>
      </c>
      <c r="Y2480" s="199">
        <f ca="1">U2480*'Expenditure Study'!$B$31</f>
        <v>92127.222157823999</v>
      </c>
      <c r="Z2480" s="200">
        <f ca="1">W2480*'Expenditure Study'!$B$31</f>
        <v>0</v>
      </c>
      <c r="AA2480" s="195">
        <f t="shared" ca="1" si="540"/>
        <v>92127.222157823999</v>
      </c>
      <c r="AB2480" s="195">
        <f t="shared" ca="1" si="541"/>
        <v>92127.222157823999</v>
      </c>
      <c r="AD2480" s="196">
        <f>IFERROR($G2480/SUMIF($A:$A,$A2480,$G:$G)*SUMIF(Summary!$A$166:$A$242,$A2480,Summary!$P$166:$P$242),0)</f>
        <v>7676.4699337487864</v>
      </c>
      <c r="AE2480" s="197">
        <f t="shared" ca="1" si="542"/>
        <v>84450.752224075215</v>
      </c>
      <c r="AF2480" s="196">
        <f>IFERROR(G2480/SUMIF(A:A,A2480,G:G)*SUMIF(Summary!$A$166:$A$242,'Operations Support'!A2480,Summary!$Q$166:$Q$242),0)</f>
        <v>7679.4048926150699</v>
      </c>
      <c r="AG2480" s="196">
        <f t="shared" ca="1" si="543"/>
        <v>84447.817265208927</v>
      </c>
      <c r="AI2480" s="196">
        <f>IFERROR($G2480/SUMIF($A:$A,$A2480,$G:$G)*SUMIF(Summary!$A$247:$A$283,$A2480,Summary!$P$247:$P$283),0)</f>
        <v>1399.9965517439423</v>
      </c>
      <c r="AJ2480" s="196">
        <f>IFERROR($G2480/SUMIF($A:$A,$A2480,$G:$G)*(SUMIF(Summary!$A$247:$A$283,$A2480,Summary!$L$247:$L$283)+SUMIF(Summary!$A$297:$A$333,$A2480,Summary!$L$297:$L$333))-AI2480,0)</f>
        <v>5061.1134047964924</v>
      </c>
      <c r="AK2480" s="196">
        <f>IFERROR($G2480/SUMIF($A:$A,$A2480,$G:$G)*SUMIF(Summary!$A$247:$A$283,$A2480,Summary!$Q$247:$Q$283),0)</f>
        <v>1400.5318150000705</v>
      </c>
      <c r="AL2480" s="196">
        <f>IFERROR($G2480/SUMIF($A:$A,$A2480,$G:$G)*(SUMIF(Summary!$A$247:$A$283,$A2480,Summary!$L$247:$L$283)+SUMIF(Summary!$A$297:$A$333,$A2480,Summary!$L$297:$L$333))-AK2480,0)</f>
        <v>5060.5781415403644</v>
      </c>
      <c r="AM2480" s="198"/>
      <c r="AN2480" s="196">
        <f t="shared" ca="1" si="544"/>
        <v>89511.865628871703</v>
      </c>
      <c r="AO2480" s="196">
        <f t="shared" ca="1" si="545"/>
        <v>89508.395406749289</v>
      </c>
    </row>
    <row r="2481" spans="1:41">
      <c r="A2481" s="189">
        <v>9651</v>
      </c>
      <c r="B2481" s="190">
        <v>3</v>
      </c>
      <c r="C2481" s="191" t="s">
        <v>239</v>
      </c>
      <c r="D2481" s="192">
        <f t="shared" si="532"/>
        <v>138</v>
      </c>
      <c r="E2481" s="192">
        <f t="shared" si="533"/>
        <v>2082</v>
      </c>
      <c r="F2481" s="192">
        <f t="shared" si="534"/>
        <v>0</v>
      </c>
      <c r="G2481" s="193">
        <f t="shared" si="535"/>
        <v>2220</v>
      </c>
      <c r="H2481" s="194">
        <v>0</v>
      </c>
      <c r="I2481" s="194">
        <v>956</v>
      </c>
      <c r="J2481" s="194">
        <v>0</v>
      </c>
      <c r="K2481" s="193">
        <f t="shared" si="536"/>
        <v>956</v>
      </c>
      <c r="L2481" s="194">
        <v>0</v>
      </c>
      <c r="M2481" s="194">
        <v>511</v>
      </c>
      <c r="N2481" s="194">
        <v>0</v>
      </c>
      <c r="O2481" s="193">
        <f t="shared" si="537"/>
        <v>511</v>
      </c>
      <c r="P2481" s="194">
        <v>138</v>
      </c>
      <c r="Q2481" s="194">
        <v>615</v>
      </c>
      <c r="R2481" s="194">
        <v>0</v>
      </c>
      <c r="S2481" s="193">
        <f t="shared" si="538"/>
        <v>753</v>
      </c>
      <c r="T2481" s="193">
        <f t="shared" si="539"/>
        <v>92.5</v>
      </c>
      <c r="U2481" s="193">
        <f ca="1">OFFSET('Expenditure Study'!$B$7,'Operations Support'!$C2481,'Operations Support'!$B2481)*$G2481</f>
        <v>6038.4000000000005</v>
      </c>
      <c r="V2481" s="199">
        <f ca="1">U2481*'Expenditure Study'!$B$31</f>
        <v>356767.87894272001</v>
      </c>
      <c r="W2481" s="199">
        <f ca="1">IF(A2481=10298,1.51,1)*IF($B2481&lt;3,$D2481*'Expenditure Study'!$B$32*OFFSET('Expenditure Study'!$B$7,'Operations Support'!$C2481,'Operations Support'!$B2481),0)</f>
        <v>0</v>
      </c>
      <c r="X2481" s="200">
        <f ca="1">W2481*'Expenditure Study'!$B$31</f>
        <v>0</v>
      </c>
      <c r="Y2481" s="199">
        <f ca="1">U2481*'Expenditure Study'!$B$31</f>
        <v>356767.87894272001</v>
      </c>
      <c r="Z2481" s="200">
        <f ca="1">W2481*'Expenditure Study'!$B$31</f>
        <v>0</v>
      </c>
      <c r="AA2481" s="195">
        <f t="shared" ca="1" si="540"/>
        <v>356767.87894272001</v>
      </c>
      <c r="AB2481" s="195">
        <f t="shared" ca="1" si="541"/>
        <v>356767.87894272001</v>
      </c>
      <c r="AD2481" s="196">
        <f>IFERROR($G2481/SUMIF($A:$A,$A2481,$G:$G)*SUMIF(Summary!$A$166:$A$242,$A2481,Summary!$P$166:$P$242),0)</f>
        <v>63826.828662630352</v>
      </c>
      <c r="AE2481" s="197">
        <f t="shared" ca="1" si="542"/>
        <v>292941.05028008966</v>
      </c>
      <c r="AF2481" s="196">
        <f>IFERROR(G2481/SUMIF(A:A,A2481,G:G)*SUMIF(Summary!$A$166:$A$242,'Operations Support'!A2481,Summary!$Q$166:$Q$242),0)</f>
        <v>63851.231691406196</v>
      </c>
      <c r="AG2481" s="196">
        <f t="shared" ca="1" si="543"/>
        <v>292916.64725131379</v>
      </c>
      <c r="AI2481" s="196">
        <f>IFERROR($G2481/SUMIF($A:$A,$A2481,$G:$G)*SUMIF(Summary!$A$247:$A$283,$A2481,Summary!$P$247:$P$283),0)</f>
        <v>11640.420767309184</v>
      </c>
      <c r="AJ2481" s="196">
        <f>IFERROR($G2481/SUMIF($A:$A,$A2481,$G:$G)*(SUMIF(Summary!$A$247:$A$283,$A2481,Summary!$L$247:$L$283)+SUMIF(Summary!$A$297:$A$333,$A2481,Summary!$L$297:$L$333))-AI2481,0)</f>
        <v>42081.167635386562</v>
      </c>
      <c r="AK2481" s="196">
        <f>IFERROR($G2481/SUMIF($A:$A,$A2481,$G:$G)*SUMIF(Summary!$A$247:$A$283,$A2481,Summary!$Q$247:$Q$283),0)</f>
        <v>11644.871270787104</v>
      </c>
      <c r="AL2481" s="196">
        <f>IFERROR($G2481/SUMIF($A:$A,$A2481,$G:$G)*(SUMIF(Summary!$A$247:$A$283,$A2481,Summary!$L$247:$L$283)+SUMIF(Summary!$A$297:$A$333,$A2481,Summary!$L$297:$L$333))-AK2481,0)</f>
        <v>42076.717131908648</v>
      </c>
      <c r="AM2481" s="198"/>
      <c r="AN2481" s="196">
        <f t="shared" ca="1" si="544"/>
        <v>335022.21791547624</v>
      </c>
      <c r="AO2481" s="196">
        <f t="shared" ca="1" si="545"/>
        <v>334993.36438322242</v>
      </c>
    </row>
    <row r="2482" spans="1:41">
      <c r="A2482" s="189">
        <v>9651</v>
      </c>
      <c r="B2482" s="190">
        <v>3</v>
      </c>
      <c r="C2482" s="191" t="s">
        <v>240</v>
      </c>
      <c r="D2482" s="192">
        <f t="shared" si="532"/>
        <v>0</v>
      </c>
      <c r="E2482" s="192">
        <f t="shared" si="533"/>
        <v>0</v>
      </c>
      <c r="F2482" s="192">
        <f t="shared" si="534"/>
        <v>0</v>
      </c>
      <c r="G2482" s="193">
        <f t="shared" si="535"/>
        <v>0</v>
      </c>
      <c r="H2482" s="194">
        <v>0</v>
      </c>
      <c r="I2482" s="194">
        <v>0</v>
      </c>
      <c r="J2482" s="194">
        <v>0</v>
      </c>
      <c r="K2482" s="193">
        <f t="shared" si="536"/>
        <v>0</v>
      </c>
      <c r="L2482" s="194">
        <v>0</v>
      </c>
      <c r="M2482" s="194">
        <v>0</v>
      </c>
      <c r="N2482" s="194">
        <v>0</v>
      </c>
      <c r="O2482" s="193">
        <f t="shared" si="537"/>
        <v>0</v>
      </c>
      <c r="P2482" s="194">
        <v>0</v>
      </c>
      <c r="Q2482" s="194">
        <v>0</v>
      </c>
      <c r="R2482" s="194">
        <v>0</v>
      </c>
      <c r="S2482" s="193">
        <f t="shared" si="538"/>
        <v>0</v>
      </c>
      <c r="T2482" s="193">
        <f t="shared" si="539"/>
        <v>0</v>
      </c>
      <c r="U2482" s="193">
        <f ca="1">OFFSET('Expenditure Study'!$B$7,'Operations Support'!$C2482,'Operations Support'!$B2482)*$G2482</f>
        <v>0</v>
      </c>
      <c r="V2482" s="199">
        <f ca="1">U2482*'Expenditure Study'!$B$31</f>
        <v>0</v>
      </c>
      <c r="W2482" s="199">
        <f ca="1">IF(A2482=10298,1.51,1)*IF($B2482&lt;3,$D2482*'Expenditure Study'!$B$32*OFFSET('Expenditure Study'!$B$7,'Operations Support'!$C2482,'Operations Support'!$B2482),0)</f>
        <v>0</v>
      </c>
      <c r="X2482" s="200">
        <f ca="1">W2482*'Expenditure Study'!$B$31</f>
        <v>0</v>
      </c>
      <c r="Y2482" s="199">
        <f ca="1">U2482*'Expenditure Study'!$B$31</f>
        <v>0</v>
      </c>
      <c r="Z2482" s="200">
        <f ca="1">W2482*'Expenditure Study'!$B$31</f>
        <v>0</v>
      </c>
      <c r="AA2482" s="195">
        <f t="shared" ca="1" si="540"/>
        <v>0</v>
      </c>
      <c r="AB2482" s="195">
        <f t="shared" ca="1" si="541"/>
        <v>0</v>
      </c>
      <c r="AD2482" s="196">
        <f>IFERROR($G2482/SUMIF($A:$A,$A2482,$G:$G)*SUMIF(Summary!$A$166:$A$242,$A2482,Summary!$P$166:$P$242),0)</f>
        <v>0</v>
      </c>
      <c r="AE2482" s="197">
        <f t="shared" ca="1" si="542"/>
        <v>0</v>
      </c>
      <c r="AF2482" s="196">
        <f>IFERROR(G2482/SUMIF(A:A,A2482,G:G)*SUMIF(Summary!$A$166:$A$242,'Operations Support'!A2482,Summary!$Q$166:$Q$242),0)</f>
        <v>0</v>
      </c>
      <c r="AG2482" s="196">
        <f t="shared" ca="1" si="543"/>
        <v>0</v>
      </c>
      <c r="AI2482" s="196">
        <f>IFERROR($G2482/SUMIF($A:$A,$A2482,$G:$G)*SUMIF(Summary!$A$247:$A$283,$A2482,Summary!$P$247:$P$283),0)</f>
        <v>0</v>
      </c>
      <c r="AJ2482" s="196">
        <f>IFERROR($G2482/SUMIF($A:$A,$A2482,$G:$G)*(SUMIF(Summary!$A$247:$A$283,$A2482,Summary!$L$247:$L$283)+SUMIF(Summary!$A$297:$A$333,$A2482,Summary!$L$297:$L$333))-AI2482,0)</f>
        <v>0</v>
      </c>
      <c r="AK2482" s="196">
        <f>IFERROR($G2482/SUMIF($A:$A,$A2482,$G:$G)*SUMIF(Summary!$A$247:$A$283,$A2482,Summary!$Q$247:$Q$283),0)</f>
        <v>0</v>
      </c>
      <c r="AL2482" s="196">
        <f>IFERROR($G2482/SUMIF($A:$A,$A2482,$G:$G)*(SUMIF(Summary!$A$247:$A$283,$A2482,Summary!$L$247:$L$283)+SUMIF(Summary!$A$297:$A$333,$A2482,Summary!$L$297:$L$333))-AK2482,0)</f>
        <v>0</v>
      </c>
      <c r="AM2482" s="198"/>
      <c r="AN2482" s="196">
        <f t="shared" ca="1" si="544"/>
        <v>0</v>
      </c>
      <c r="AO2482" s="196">
        <f t="shared" ca="1" si="545"/>
        <v>0</v>
      </c>
    </row>
    <row r="2483" spans="1:41">
      <c r="A2483" s="189">
        <v>9651</v>
      </c>
      <c r="B2483" s="190">
        <v>4</v>
      </c>
      <c r="C2483" s="191" t="s">
        <v>220</v>
      </c>
      <c r="D2483" s="192">
        <f t="shared" si="532"/>
        <v>175</v>
      </c>
      <c r="E2483" s="192">
        <f t="shared" si="533"/>
        <v>0</v>
      </c>
      <c r="F2483" s="192">
        <f t="shared" si="534"/>
        <v>0</v>
      </c>
      <c r="G2483" s="193">
        <f t="shared" si="535"/>
        <v>175</v>
      </c>
      <c r="H2483" s="194">
        <v>72</v>
      </c>
      <c r="I2483" s="194">
        <v>0</v>
      </c>
      <c r="J2483" s="194">
        <v>0</v>
      </c>
      <c r="K2483" s="193">
        <f t="shared" si="536"/>
        <v>72</v>
      </c>
      <c r="L2483" s="194">
        <v>94</v>
      </c>
      <c r="M2483" s="194">
        <v>0</v>
      </c>
      <c r="N2483" s="194">
        <v>0</v>
      </c>
      <c r="O2483" s="193">
        <f t="shared" si="537"/>
        <v>94</v>
      </c>
      <c r="P2483" s="194">
        <v>9</v>
      </c>
      <c r="Q2483" s="194">
        <v>0</v>
      </c>
      <c r="R2483" s="194">
        <v>0</v>
      </c>
      <c r="S2483" s="193">
        <f t="shared" si="538"/>
        <v>9</v>
      </c>
      <c r="T2483" s="193">
        <f t="shared" si="539"/>
        <v>9.7222222222222214</v>
      </c>
      <c r="U2483" s="193">
        <f ca="1">OFFSET('Expenditure Study'!$B$7,'Operations Support'!$C2483,'Operations Support'!$B2483)*$G2483</f>
        <v>2577.75</v>
      </c>
      <c r="V2483" s="199">
        <f ca="1">U2483*'Expenditure Study'!$B$31</f>
        <v>152301.66930720001</v>
      </c>
      <c r="W2483" s="199">
        <f ca="1">IF(A2483=10298,1.51,1)*IF($B2483&lt;3,$D2483*'Expenditure Study'!$B$32*OFFSET('Expenditure Study'!$B$7,'Operations Support'!$C2483,'Operations Support'!$B2483),0)</f>
        <v>0</v>
      </c>
      <c r="X2483" s="200">
        <f ca="1">W2483*'Expenditure Study'!$B$31</f>
        <v>0</v>
      </c>
      <c r="Y2483" s="199">
        <f ca="1">U2483*'Expenditure Study'!$B$31</f>
        <v>152301.66930720001</v>
      </c>
      <c r="Z2483" s="200">
        <f ca="1">W2483*'Expenditure Study'!$B$31</f>
        <v>0</v>
      </c>
      <c r="AA2483" s="195">
        <f t="shared" ca="1" si="540"/>
        <v>152301.66930720001</v>
      </c>
      <c r="AB2483" s="195">
        <f t="shared" ca="1" si="541"/>
        <v>152301.66930720001</v>
      </c>
      <c r="AD2483" s="196">
        <f>IFERROR($G2483/SUMIF($A:$A,$A2483,$G:$G)*SUMIF(Summary!$A$166:$A$242,$A2483,Summary!$P$166:$P$242),0)</f>
        <v>5031.3941513334739</v>
      </c>
      <c r="AE2483" s="197">
        <f t="shared" ca="1" si="542"/>
        <v>147270.27515586652</v>
      </c>
      <c r="AF2483" s="196">
        <f>IFERROR(G2483/SUMIF(A:A,A2483,G:G)*SUMIF(Summary!$A$166:$A$242,'Operations Support'!A2483,Summary!$Q$166:$Q$242),0)</f>
        <v>5033.3178135117496</v>
      </c>
      <c r="AG2483" s="196">
        <f t="shared" ca="1" si="543"/>
        <v>147268.35149368824</v>
      </c>
      <c r="AI2483" s="196">
        <f>IFERROR($G2483/SUMIF($A:$A,$A2483,$G:$G)*SUMIF(Summary!$A$247:$A$283,$A2483,Summary!$P$247:$P$283),0)</f>
        <v>917.60073616175987</v>
      </c>
      <c r="AJ2483" s="196">
        <f>IFERROR($G2483/SUMIF($A:$A,$A2483,$G:$G)*(SUMIF(Summary!$A$247:$A$283,$A2483,Summary!$L$247:$L$283)+SUMIF(Summary!$A$297:$A$333,$A2483,Summary!$L$297:$L$333))-AI2483,0)</f>
        <v>3317.2091604471384</v>
      </c>
      <c r="AK2483" s="196">
        <f>IFERROR($G2483/SUMIF($A:$A,$A2483,$G:$G)*SUMIF(Summary!$A$247:$A$283,$A2483,Summary!$Q$247:$Q$283),0)</f>
        <v>917.95156413862298</v>
      </c>
      <c r="AL2483" s="196">
        <f>IFERROR($G2483/SUMIF($A:$A,$A2483,$G:$G)*(SUMIF(Summary!$A$247:$A$283,$A2483,Summary!$L$247:$L$283)+SUMIF(Summary!$A$297:$A$333,$A2483,Summary!$L$297:$L$333))-AK2483,0)</f>
        <v>3316.8583324702754</v>
      </c>
      <c r="AM2483" s="198"/>
      <c r="AN2483" s="196">
        <f t="shared" ca="1" si="544"/>
        <v>150587.48431631367</v>
      </c>
      <c r="AO2483" s="196">
        <f t="shared" ca="1" si="545"/>
        <v>150585.20982615851</v>
      </c>
    </row>
    <row r="2484" spans="1:41">
      <c r="A2484" s="189">
        <v>9651</v>
      </c>
      <c r="B2484" s="190">
        <v>4</v>
      </c>
      <c r="C2484" s="191" t="s">
        <v>221</v>
      </c>
      <c r="D2484" s="192">
        <f t="shared" si="532"/>
        <v>0</v>
      </c>
      <c r="E2484" s="192">
        <f t="shared" si="533"/>
        <v>0</v>
      </c>
      <c r="F2484" s="192">
        <f t="shared" si="534"/>
        <v>0</v>
      </c>
      <c r="G2484" s="193">
        <f t="shared" si="535"/>
        <v>0</v>
      </c>
      <c r="H2484" s="194">
        <v>0</v>
      </c>
      <c r="I2484" s="194">
        <v>0</v>
      </c>
      <c r="J2484" s="194">
        <v>0</v>
      </c>
      <c r="K2484" s="193">
        <f t="shared" si="536"/>
        <v>0</v>
      </c>
      <c r="L2484" s="194">
        <v>0</v>
      </c>
      <c r="M2484" s="194">
        <v>0</v>
      </c>
      <c r="N2484" s="194">
        <v>0</v>
      </c>
      <c r="O2484" s="193">
        <f t="shared" si="537"/>
        <v>0</v>
      </c>
      <c r="P2484" s="194">
        <v>0</v>
      </c>
      <c r="Q2484" s="194">
        <v>0</v>
      </c>
      <c r="R2484" s="194">
        <v>0</v>
      </c>
      <c r="S2484" s="193">
        <f t="shared" si="538"/>
        <v>0</v>
      </c>
      <c r="T2484" s="193">
        <f t="shared" si="539"/>
        <v>0</v>
      </c>
      <c r="U2484" s="193">
        <f ca="1">OFFSET('Expenditure Study'!$B$7,'Operations Support'!$C2484,'Operations Support'!$B2484)*$G2484</f>
        <v>0</v>
      </c>
      <c r="V2484" s="199">
        <f ca="1">U2484*'Expenditure Study'!$B$31</f>
        <v>0</v>
      </c>
      <c r="W2484" s="199">
        <f ca="1">IF(A2484=10298,1.51,1)*IF($B2484&lt;3,$D2484*'Expenditure Study'!$B$32*OFFSET('Expenditure Study'!$B$7,'Operations Support'!$C2484,'Operations Support'!$B2484),0)</f>
        <v>0</v>
      </c>
      <c r="X2484" s="200">
        <f ca="1">W2484*'Expenditure Study'!$B$31</f>
        <v>0</v>
      </c>
      <c r="Y2484" s="199">
        <f ca="1">U2484*'Expenditure Study'!$B$31</f>
        <v>0</v>
      </c>
      <c r="Z2484" s="200">
        <f ca="1">W2484*'Expenditure Study'!$B$31</f>
        <v>0</v>
      </c>
      <c r="AA2484" s="195">
        <f t="shared" ca="1" si="540"/>
        <v>0</v>
      </c>
      <c r="AB2484" s="195">
        <f t="shared" ca="1" si="541"/>
        <v>0</v>
      </c>
      <c r="AD2484" s="196">
        <f>IFERROR($G2484/SUMIF($A:$A,$A2484,$G:$G)*SUMIF(Summary!$A$166:$A$242,$A2484,Summary!$P$166:$P$242),0)</f>
        <v>0</v>
      </c>
      <c r="AE2484" s="197">
        <f t="shared" ca="1" si="542"/>
        <v>0</v>
      </c>
      <c r="AF2484" s="196">
        <f>IFERROR(G2484/SUMIF(A:A,A2484,G:G)*SUMIF(Summary!$A$166:$A$242,'Operations Support'!A2484,Summary!$Q$166:$Q$242),0)</f>
        <v>0</v>
      </c>
      <c r="AG2484" s="196">
        <f t="shared" ca="1" si="543"/>
        <v>0</v>
      </c>
      <c r="AI2484" s="196">
        <f>IFERROR($G2484/SUMIF($A:$A,$A2484,$G:$G)*SUMIF(Summary!$A$247:$A$283,$A2484,Summary!$P$247:$P$283),0)</f>
        <v>0</v>
      </c>
      <c r="AJ2484" s="196">
        <f>IFERROR($G2484/SUMIF($A:$A,$A2484,$G:$G)*(SUMIF(Summary!$A$247:$A$283,$A2484,Summary!$L$247:$L$283)+SUMIF(Summary!$A$297:$A$333,$A2484,Summary!$L$297:$L$333))-AI2484,0)</f>
        <v>0</v>
      </c>
      <c r="AK2484" s="196">
        <f>IFERROR($G2484/SUMIF($A:$A,$A2484,$G:$G)*SUMIF(Summary!$A$247:$A$283,$A2484,Summary!$Q$247:$Q$283),0)</f>
        <v>0</v>
      </c>
      <c r="AL2484" s="196">
        <f>IFERROR($G2484/SUMIF($A:$A,$A2484,$G:$G)*(SUMIF(Summary!$A$247:$A$283,$A2484,Summary!$L$247:$L$283)+SUMIF(Summary!$A$297:$A$333,$A2484,Summary!$L$297:$L$333))-AK2484,0)</f>
        <v>0</v>
      </c>
      <c r="AM2484" s="198"/>
      <c r="AN2484" s="196">
        <f t="shared" ca="1" si="544"/>
        <v>0</v>
      </c>
      <c r="AO2484" s="196">
        <f t="shared" ca="1" si="545"/>
        <v>0</v>
      </c>
    </row>
    <row r="2485" spans="1:41">
      <c r="A2485" s="189">
        <v>9651</v>
      </c>
      <c r="B2485" s="190">
        <v>4</v>
      </c>
      <c r="C2485" s="191" t="s">
        <v>222</v>
      </c>
      <c r="D2485" s="192">
        <f t="shared" si="532"/>
        <v>0</v>
      </c>
      <c r="E2485" s="192">
        <f t="shared" si="533"/>
        <v>0</v>
      </c>
      <c r="F2485" s="192">
        <f t="shared" si="534"/>
        <v>0</v>
      </c>
      <c r="G2485" s="193">
        <f t="shared" si="535"/>
        <v>0</v>
      </c>
      <c r="H2485" s="194">
        <v>0</v>
      </c>
      <c r="I2485" s="194">
        <v>0</v>
      </c>
      <c r="J2485" s="194">
        <v>0</v>
      </c>
      <c r="K2485" s="193">
        <f t="shared" si="536"/>
        <v>0</v>
      </c>
      <c r="L2485" s="194">
        <v>0</v>
      </c>
      <c r="M2485" s="194">
        <v>0</v>
      </c>
      <c r="N2485" s="194">
        <v>0</v>
      </c>
      <c r="O2485" s="193">
        <f t="shared" si="537"/>
        <v>0</v>
      </c>
      <c r="P2485" s="194">
        <v>0</v>
      </c>
      <c r="Q2485" s="194">
        <v>0</v>
      </c>
      <c r="R2485" s="194">
        <v>0</v>
      </c>
      <c r="S2485" s="193">
        <f t="shared" si="538"/>
        <v>0</v>
      </c>
      <c r="T2485" s="193">
        <f t="shared" si="539"/>
        <v>0</v>
      </c>
      <c r="U2485" s="193">
        <f ca="1">OFFSET('Expenditure Study'!$B$7,'Operations Support'!$C2485,'Operations Support'!$B2485)*$G2485</f>
        <v>0</v>
      </c>
      <c r="V2485" s="199">
        <f ca="1">U2485*'Expenditure Study'!$B$31</f>
        <v>0</v>
      </c>
      <c r="W2485" s="199">
        <f ca="1">IF(A2485=10298,1.51,1)*IF($B2485&lt;3,$D2485*'Expenditure Study'!$B$32*OFFSET('Expenditure Study'!$B$7,'Operations Support'!$C2485,'Operations Support'!$B2485),0)</f>
        <v>0</v>
      </c>
      <c r="X2485" s="200">
        <f ca="1">W2485*'Expenditure Study'!$B$31</f>
        <v>0</v>
      </c>
      <c r="Y2485" s="199">
        <f ca="1">U2485*'Expenditure Study'!$B$31</f>
        <v>0</v>
      </c>
      <c r="Z2485" s="200">
        <f ca="1">W2485*'Expenditure Study'!$B$31</f>
        <v>0</v>
      </c>
      <c r="AA2485" s="195">
        <f t="shared" ca="1" si="540"/>
        <v>0</v>
      </c>
      <c r="AB2485" s="195">
        <f t="shared" ca="1" si="541"/>
        <v>0</v>
      </c>
      <c r="AD2485" s="196">
        <f>IFERROR($G2485/SUMIF($A:$A,$A2485,$G:$G)*SUMIF(Summary!$A$166:$A$242,$A2485,Summary!$P$166:$P$242),0)</f>
        <v>0</v>
      </c>
      <c r="AE2485" s="197">
        <f t="shared" ca="1" si="542"/>
        <v>0</v>
      </c>
      <c r="AF2485" s="196">
        <f>IFERROR(G2485/SUMIF(A:A,A2485,G:G)*SUMIF(Summary!$A$166:$A$242,'Operations Support'!A2485,Summary!$Q$166:$Q$242),0)</f>
        <v>0</v>
      </c>
      <c r="AG2485" s="196">
        <f t="shared" ca="1" si="543"/>
        <v>0</v>
      </c>
      <c r="AI2485" s="196">
        <f>IFERROR($G2485/SUMIF($A:$A,$A2485,$G:$G)*SUMIF(Summary!$A$247:$A$283,$A2485,Summary!$P$247:$P$283),0)</f>
        <v>0</v>
      </c>
      <c r="AJ2485" s="196">
        <f>IFERROR($G2485/SUMIF($A:$A,$A2485,$G:$G)*(SUMIF(Summary!$A$247:$A$283,$A2485,Summary!$L$247:$L$283)+SUMIF(Summary!$A$297:$A$333,$A2485,Summary!$L$297:$L$333))-AI2485,0)</f>
        <v>0</v>
      </c>
      <c r="AK2485" s="196">
        <f>IFERROR($G2485/SUMIF($A:$A,$A2485,$G:$G)*SUMIF(Summary!$A$247:$A$283,$A2485,Summary!$Q$247:$Q$283),0)</f>
        <v>0</v>
      </c>
      <c r="AL2485" s="196">
        <f>IFERROR($G2485/SUMIF($A:$A,$A2485,$G:$G)*(SUMIF(Summary!$A$247:$A$283,$A2485,Summary!$L$247:$L$283)+SUMIF(Summary!$A$297:$A$333,$A2485,Summary!$L$297:$L$333))-AK2485,0)</f>
        <v>0</v>
      </c>
      <c r="AM2485" s="198"/>
      <c r="AN2485" s="196">
        <f t="shared" ca="1" si="544"/>
        <v>0</v>
      </c>
      <c r="AO2485" s="196">
        <f t="shared" ca="1" si="545"/>
        <v>0</v>
      </c>
    </row>
    <row r="2486" spans="1:41">
      <c r="A2486" s="189">
        <v>9651</v>
      </c>
      <c r="B2486" s="190">
        <v>4</v>
      </c>
      <c r="C2486" s="191" t="s">
        <v>223</v>
      </c>
      <c r="D2486" s="192">
        <f t="shared" si="532"/>
        <v>0</v>
      </c>
      <c r="E2486" s="192">
        <f t="shared" si="533"/>
        <v>0</v>
      </c>
      <c r="F2486" s="192">
        <f t="shared" si="534"/>
        <v>0</v>
      </c>
      <c r="G2486" s="193">
        <f t="shared" si="535"/>
        <v>0</v>
      </c>
      <c r="H2486" s="194">
        <v>0</v>
      </c>
      <c r="I2486" s="194">
        <v>0</v>
      </c>
      <c r="J2486" s="194">
        <v>0</v>
      </c>
      <c r="K2486" s="193">
        <f t="shared" si="536"/>
        <v>0</v>
      </c>
      <c r="L2486" s="194">
        <v>0</v>
      </c>
      <c r="M2486" s="194">
        <v>0</v>
      </c>
      <c r="N2486" s="194">
        <v>0</v>
      </c>
      <c r="O2486" s="193">
        <f t="shared" si="537"/>
        <v>0</v>
      </c>
      <c r="P2486" s="194">
        <v>0</v>
      </c>
      <c r="Q2486" s="194">
        <v>0</v>
      </c>
      <c r="R2486" s="194">
        <v>0</v>
      </c>
      <c r="S2486" s="193">
        <f t="shared" si="538"/>
        <v>0</v>
      </c>
      <c r="T2486" s="193">
        <f t="shared" si="539"/>
        <v>0</v>
      </c>
      <c r="U2486" s="193">
        <f ca="1">OFFSET('Expenditure Study'!$B$7,'Operations Support'!$C2486,'Operations Support'!$B2486)*$G2486</f>
        <v>0</v>
      </c>
      <c r="V2486" s="199">
        <f ca="1">U2486*'Expenditure Study'!$B$31</f>
        <v>0</v>
      </c>
      <c r="W2486" s="199">
        <f ca="1">IF(A2486=10298,1.51,1)*IF($B2486&lt;3,$D2486*'Expenditure Study'!$B$32*OFFSET('Expenditure Study'!$B$7,'Operations Support'!$C2486,'Operations Support'!$B2486),0)</f>
        <v>0</v>
      </c>
      <c r="X2486" s="200">
        <f ca="1">W2486*'Expenditure Study'!$B$31</f>
        <v>0</v>
      </c>
      <c r="Y2486" s="199">
        <f ca="1">U2486*'Expenditure Study'!$B$31</f>
        <v>0</v>
      </c>
      <c r="Z2486" s="200">
        <f ca="1">W2486*'Expenditure Study'!$B$31</f>
        <v>0</v>
      </c>
      <c r="AA2486" s="195">
        <f t="shared" ca="1" si="540"/>
        <v>0</v>
      </c>
      <c r="AB2486" s="195">
        <f t="shared" ca="1" si="541"/>
        <v>0</v>
      </c>
      <c r="AD2486" s="196">
        <f>IFERROR($G2486/SUMIF($A:$A,$A2486,$G:$G)*SUMIF(Summary!$A$166:$A$242,$A2486,Summary!$P$166:$P$242),0)</f>
        <v>0</v>
      </c>
      <c r="AE2486" s="197">
        <f t="shared" ca="1" si="542"/>
        <v>0</v>
      </c>
      <c r="AF2486" s="196">
        <f>IFERROR(G2486/SUMIF(A:A,A2486,G:G)*SUMIF(Summary!$A$166:$A$242,'Operations Support'!A2486,Summary!$Q$166:$Q$242),0)</f>
        <v>0</v>
      </c>
      <c r="AG2486" s="196">
        <f t="shared" ca="1" si="543"/>
        <v>0</v>
      </c>
      <c r="AI2486" s="196">
        <f>IFERROR($G2486/SUMIF($A:$A,$A2486,$G:$G)*SUMIF(Summary!$A$247:$A$283,$A2486,Summary!$P$247:$P$283),0)</f>
        <v>0</v>
      </c>
      <c r="AJ2486" s="196">
        <f>IFERROR($G2486/SUMIF($A:$A,$A2486,$G:$G)*(SUMIF(Summary!$A$247:$A$283,$A2486,Summary!$L$247:$L$283)+SUMIF(Summary!$A$297:$A$333,$A2486,Summary!$L$297:$L$333))-AI2486,0)</f>
        <v>0</v>
      </c>
      <c r="AK2486" s="196">
        <f>IFERROR($G2486/SUMIF($A:$A,$A2486,$G:$G)*SUMIF(Summary!$A$247:$A$283,$A2486,Summary!$Q$247:$Q$283),0)</f>
        <v>0</v>
      </c>
      <c r="AL2486" s="196">
        <f>IFERROR($G2486/SUMIF($A:$A,$A2486,$G:$G)*(SUMIF(Summary!$A$247:$A$283,$A2486,Summary!$L$247:$L$283)+SUMIF(Summary!$A$297:$A$333,$A2486,Summary!$L$297:$L$333))-AK2486,0)</f>
        <v>0</v>
      </c>
      <c r="AM2486" s="198"/>
      <c r="AN2486" s="196">
        <f t="shared" ca="1" si="544"/>
        <v>0</v>
      </c>
      <c r="AO2486" s="196">
        <f t="shared" ca="1" si="545"/>
        <v>0</v>
      </c>
    </row>
    <row r="2487" spans="1:41">
      <c r="A2487" s="189">
        <v>9651</v>
      </c>
      <c r="B2487" s="190">
        <v>4</v>
      </c>
      <c r="C2487" s="191" t="s">
        <v>224</v>
      </c>
      <c r="D2487" s="192">
        <f t="shared" si="532"/>
        <v>0</v>
      </c>
      <c r="E2487" s="192">
        <f t="shared" si="533"/>
        <v>0</v>
      </c>
      <c r="F2487" s="192">
        <f t="shared" si="534"/>
        <v>0</v>
      </c>
      <c r="G2487" s="193">
        <f t="shared" si="535"/>
        <v>0</v>
      </c>
      <c r="H2487" s="194">
        <v>0</v>
      </c>
      <c r="I2487" s="194">
        <v>0</v>
      </c>
      <c r="J2487" s="194">
        <v>0</v>
      </c>
      <c r="K2487" s="193">
        <f t="shared" si="536"/>
        <v>0</v>
      </c>
      <c r="L2487" s="194">
        <v>0</v>
      </c>
      <c r="M2487" s="194">
        <v>0</v>
      </c>
      <c r="N2487" s="194">
        <v>0</v>
      </c>
      <c r="O2487" s="193">
        <f t="shared" si="537"/>
        <v>0</v>
      </c>
      <c r="P2487" s="194">
        <v>0</v>
      </c>
      <c r="Q2487" s="194">
        <v>0</v>
      </c>
      <c r="R2487" s="194">
        <v>0</v>
      </c>
      <c r="S2487" s="193">
        <f t="shared" si="538"/>
        <v>0</v>
      </c>
      <c r="T2487" s="193">
        <f t="shared" si="539"/>
        <v>0</v>
      </c>
      <c r="U2487" s="193">
        <f ca="1">OFFSET('Expenditure Study'!$B$7,'Operations Support'!$C2487,'Operations Support'!$B2487)*$G2487</f>
        <v>0</v>
      </c>
      <c r="V2487" s="199">
        <f ca="1">U2487*'Expenditure Study'!$B$31</f>
        <v>0</v>
      </c>
      <c r="W2487" s="199">
        <f ca="1">IF(A2487=10298,1.51,1)*IF($B2487&lt;3,$D2487*'Expenditure Study'!$B$32*OFFSET('Expenditure Study'!$B$7,'Operations Support'!$C2487,'Operations Support'!$B2487),0)</f>
        <v>0</v>
      </c>
      <c r="X2487" s="200">
        <f ca="1">W2487*'Expenditure Study'!$B$31</f>
        <v>0</v>
      </c>
      <c r="Y2487" s="199">
        <f ca="1">U2487*'Expenditure Study'!$B$31</f>
        <v>0</v>
      </c>
      <c r="Z2487" s="200">
        <f ca="1">W2487*'Expenditure Study'!$B$31</f>
        <v>0</v>
      </c>
      <c r="AA2487" s="195">
        <f t="shared" ca="1" si="540"/>
        <v>0</v>
      </c>
      <c r="AB2487" s="195">
        <f t="shared" ca="1" si="541"/>
        <v>0</v>
      </c>
      <c r="AD2487" s="196">
        <f>IFERROR($G2487/SUMIF($A:$A,$A2487,$G:$G)*SUMIF(Summary!$A$166:$A$242,$A2487,Summary!$P$166:$P$242),0)</f>
        <v>0</v>
      </c>
      <c r="AE2487" s="197">
        <f t="shared" ca="1" si="542"/>
        <v>0</v>
      </c>
      <c r="AF2487" s="196">
        <f>IFERROR(G2487/SUMIF(A:A,A2487,G:G)*SUMIF(Summary!$A$166:$A$242,'Operations Support'!A2487,Summary!$Q$166:$Q$242),0)</f>
        <v>0</v>
      </c>
      <c r="AG2487" s="196">
        <f t="shared" ca="1" si="543"/>
        <v>0</v>
      </c>
      <c r="AI2487" s="196">
        <f>IFERROR($G2487/SUMIF($A:$A,$A2487,$G:$G)*SUMIF(Summary!$A$247:$A$283,$A2487,Summary!$P$247:$P$283),0)</f>
        <v>0</v>
      </c>
      <c r="AJ2487" s="196">
        <f>IFERROR($G2487/SUMIF($A:$A,$A2487,$G:$G)*(SUMIF(Summary!$A$247:$A$283,$A2487,Summary!$L$247:$L$283)+SUMIF(Summary!$A$297:$A$333,$A2487,Summary!$L$297:$L$333))-AI2487,0)</f>
        <v>0</v>
      </c>
      <c r="AK2487" s="196">
        <f>IFERROR($G2487/SUMIF($A:$A,$A2487,$G:$G)*SUMIF(Summary!$A$247:$A$283,$A2487,Summary!$Q$247:$Q$283),0)</f>
        <v>0</v>
      </c>
      <c r="AL2487" s="196">
        <f>IFERROR($G2487/SUMIF($A:$A,$A2487,$G:$G)*(SUMIF(Summary!$A$247:$A$283,$A2487,Summary!$L$247:$L$283)+SUMIF(Summary!$A$297:$A$333,$A2487,Summary!$L$297:$L$333))-AK2487,0)</f>
        <v>0</v>
      </c>
      <c r="AM2487" s="198"/>
      <c r="AN2487" s="196">
        <f t="shared" ca="1" si="544"/>
        <v>0</v>
      </c>
      <c r="AO2487" s="196">
        <f t="shared" ca="1" si="545"/>
        <v>0</v>
      </c>
    </row>
    <row r="2488" spans="1:41">
      <c r="A2488" s="189">
        <v>9651</v>
      </c>
      <c r="B2488" s="190">
        <v>4</v>
      </c>
      <c r="C2488" s="191" t="s">
        <v>225</v>
      </c>
      <c r="D2488" s="192">
        <f t="shared" si="532"/>
        <v>0</v>
      </c>
      <c r="E2488" s="192">
        <f t="shared" si="533"/>
        <v>0</v>
      </c>
      <c r="F2488" s="192">
        <f t="shared" si="534"/>
        <v>0</v>
      </c>
      <c r="G2488" s="193">
        <f t="shared" si="535"/>
        <v>0</v>
      </c>
      <c r="H2488" s="194">
        <v>0</v>
      </c>
      <c r="I2488" s="194">
        <v>0</v>
      </c>
      <c r="J2488" s="194">
        <v>0</v>
      </c>
      <c r="K2488" s="193">
        <f t="shared" si="536"/>
        <v>0</v>
      </c>
      <c r="L2488" s="194">
        <v>0</v>
      </c>
      <c r="M2488" s="194">
        <v>0</v>
      </c>
      <c r="N2488" s="194">
        <v>0</v>
      </c>
      <c r="O2488" s="193">
        <f t="shared" si="537"/>
        <v>0</v>
      </c>
      <c r="P2488" s="194">
        <v>0</v>
      </c>
      <c r="Q2488" s="194">
        <v>0</v>
      </c>
      <c r="R2488" s="194">
        <v>0</v>
      </c>
      <c r="S2488" s="193">
        <f t="shared" si="538"/>
        <v>0</v>
      </c>
      <c r="T2488" s="193">
        <f t="shared" si="539"/>
        <v>0</v>
      </c>
      <c r="U2488" s="193">
        <f ca="1">OFFSET('Expenditure Study'!$B$7,'Operations Support'!$C2488,'Operations Support'!$B2488)*$G2488</f>
        <v>0</v>
      </c>
      <c r="V2488" s="199">
        <f ca="1">U2488*'Expenditure Study'!$B$31</f>
        <v>0</v>
      </c>
      <c r="W2488" s="199">
        <f ca="1">IF(A2488=10298,1.51,1)*IF($B2488&lt;3,$D2488*'Expenditure Study'!$B$32*OFFSET('Expenditure Study'!$B$7,'Operations Support'!$C2488,'Operations Support'!$B2488),0)</f>
        <v>0</v>
      </c>
      <c r="X2488" s="200">
        <f ca="1">W2488*'Expenditure Study'!$B$31</f>
        <v>0</v>
      </c>
      <c r="Y2488" s="199">
        <f ca="1">U2488*'Expenditure Study'!$B$31</f>
        <v>0</v>
      </c>
      <c r="Z2488" s="200">
        <f ca="1">W2488*'Expenditure Study'!$B$31</f>
        <v>0</v>
      </c>
      <c r="AA2488" s="195">
        <f t="shared" ca="1" si="540"/>
        <v>0</v>
      </c>
      <c r="AB2488" s="195">
        <f t="shared" ca="1" si="541"/>
        <v>0</v>
      </c>
      <c r="AD2488" s="196">
        <f>IFERROR($G2488/SUMIF($A:$A,$A2488,$G:$G)*SUMIF(Summary!$A$166:$A$242,$A2488,Summary!$P$166:$P$242),0)</f>
        <v>0</v>
      </c>
      <c r="AE2488" s="197">
        <f t="shared" ca="1" si="542"/>
        <v>0</v>
      </c>
      <c r="AF2488" s="196">
        <f>IFERROR(G2488/SUMIF(A:A,A2488,G:G)*SUMIF(Summary!$A$166:$A$242,'Operations Support'!A2488,Summary!$Q$166:$Q$242),0)</f>
        <v>0</v>
      </c>
      <c r="AG2488" s="196">
        <f t="shared" ca="1" si="543"/>
        <v>0</v>
      </c>
      <c r="AI2488" s="196">
        <f>IFERROR($G2488/SUMIF($A:$A,$A2488,$G:$G)*SUMIF(Summary!$A$247:$A$283,$A2488,Summary!$P$247:$P$283),0)</f>
        <v>0</v>
      </c>
      <c r="AJ2488" s="196">
        <f>IFERROR($G2488/SUMIF($A:$A,$A2488,$G:$G)*(SUMIF(Summary!$A$247:$A$283,$A2488,Summary!$L$247:$L$283)+SUMIF(Summary!$A$297:$A$333,$A2488,Summary!$L$297:$L$333))-AI2488,0)</f>
        <v>0</v>
      </c>
      <c r="AK2488" s="196">
        <f>IFERROR($G2488/SUMIF($A:$A,$A2488,$G:$G)*SUMIF(Summary!$A$247:$A$283,$A2488,Summary!$Q$247:$Q$283),0)</f>
        <v>0</v>
      </c>
      <c r="AL2488" s="196">
        <f>IFERROR($G2488/SUMIF($A:$A,$A2488,$G:$G)*(SUMIF(Summary!$A$247:$A$283,$A2488,Summary!$L$247:$L$283)+SUMIF(Summary!$A$297:$A$333,$A2488,Summary!$L$297:$L$333))-AK2488,0)</f>
        <v>0</v>
      </c>
      <c r="AM2488" s="198"/>
      <c r="AN2488" s="196">
        <f t="shared" ca="1" si="544"/>
        <v>0</v>
      </c>
      <c r="AO2488" s="196">
        <f t="shared" ca="1" si="545"/>
        <v>0</v>
      </c>
    </row>
    <row r="2489" spans="1:41">
      <c r="A2489" s="189">
        <v>9651</v>
      </c>
      <c r="B2489" s="190">
        <v>4</v>
      </c>
      <c r="C2489" s="191" t="s">
        <v>226</v>
      </c>
      <c r="D2489" s="192">
        <f t="shared" si="532"/>
        <v>0</v>
      </c>
      <c r="E2489" s="192">
        <f t="shared" si="533"/>
        <v>0</v>
      </c>
      <c r="F2489" s="192">
        <f t="shared" si="534"/>
        <v>0</v>
      </c>
      <c r="G2489" s="193">
        <f t="shared" si="535"/>
        <v>0</v>
      </c>
      <c r="H2489" s="194">
        <v>0</v>
      </c>
      <c r="I2489" s="194">
        <v>0</v>
      </c>
      <c r="J2489" s="194">
        <v>0</v>
      </c>
      <c r="K2489" s="193">
        <f t="shared" si="536"/>
        <v>0</v>
      </c>
      <c r="L2489" s="194">
        <v>0</v>
      </c>
      <c r="M2489" s="194">
        <v>0</v>
      </c>
      <c r="N2489" s="194">
        <v>0</v>
      </c>
      <c r="O2489" s="193">
        <f t="shared" si="537"/>
        <v>0</v>
      </c>
      <c r="P2489" s="194">
        <v>0</v>
      </c>
      <c r="Q2489" s="194">
        <v>0</v>
      </c>
      <c r="R2489" s="194">
        <v>0</v>
      </c>
      <c r="S2489" s="193">
        <f t="shared" si="538"/>
        <v>0</v>
      </c>
      <c r="T2489" s="193">
        <f t="shared" si="539"/>
        <v>0</v>
      </c>
      <c r="U2489" s="193">
        <f ca="1">OFFSET('Expenditure Study'!$B$7,'Operations Support'!$C2489,'Operations Support'!$B2489)*$G2489</f>
        <v>0</v>
      </c>
      <c r="V2489" s="199">
        <f ca="1">U2489*'Expenditure Study'!$B$31</f>
        <v>0</v>
      </c>
      <c r="W2489" s="199">
        <f ca="1">IF(A2489=10298,1.51,1)*IF($B2489&lt;3,$D2489*'Expenditure Study'!$B$32*OFFSET('Expenditure Study'!$B$7,'Operations Support'!$C2489,'Operations Support'!$B2489),0)</f>
        <v>0</v>
      </c>
      <c r="X2489" s="200">
        <f ca="1">W2489*'Expenditure Study'!$B$31</f>
        <v>0</v>
      </c>
      <c r="Y2489" s="199">
        <f ca="1">U2489*'Expenditure Study'!$B$31</f>
        <v>0</v>
      </c>
      <c r="Z2489" s="200">
        <f ca="1">W2489*'Expenditure Study'!$B$31</f>
        <v>0</v>
      </c>
      <c r="AA2489" s="195">
        <f t="shared" ca="1" si="540"/>
        <v>0</v>
      </c>
      <c r="AB2489" s="195">
        <f t="shared" ca="1" si="541"/>
        <v>0</v>
      </c>
      <c r="AD2489" s="196">
        <f>IFERROR($G2489/SUMIF($A:$A,$A2489,$G:$G)*SUMIF(Summary!$A$166:$A$242,$A2489,Summary!$P$166:$P$242),0)</f>
        <v>0</v>
      </c>
      <c r="AE2489" s="197">
        <f t="shared" ca="1" si="542"/>
        <v>0</v>
      </c>
      <c r="AF2489" s="196">
        <f>IFERROR(G2489/SUMIF(A:A,A2489,G:G)*SUMIF(Summary!$A$166:$A$242,'Operations Support'!A2489,Summary!$Q$166:$Q$242),0)</f>
        <v>0</v>
      </c>
      <c r="AG2489" s="196">
        <f t="shared" ca="1" si="543"/>
        <v>0</v>
      </c>
      <c r="AI2489" s="196">
        <f>IFERROR($G2489/SUMIF($A:$A,$A2489,$G:$G)*SUMIF(Summary!$A$247:$A$283,$A2489,Summary!$P$247:$P$283),0)</f>
        <v>0</v>
      </c>
      <c r="AJ2489" s="196">
        <f>IFERROR($G2489/SUMIF($A:$A,$A2489,$G:$G)*(SUMIF(Summary!$A$247:$A$283,$A2489,Summary!$L$247:$L$283)+SUMIF(Summary!$A$297:$A$333,$A2489,Summary!$L$297:$L$333))-AI2489,0)</f>
        <v>0</v>
      </c>
      <c r="AK2489" s="196">
        <f>IFERROR($G2489/SUMIF($A:$A,$A2489,$G:$G)*SUMIF(Summary!$A$247:$A$283,$A2489,Summary!$Q$247:$Q$283),0)</f>
        <v>0</v>
      </c>
      <c r="AL2489" s="196">
        <f>IFERROR($G2489/SUMIF($A:$A,$A2489,$G:$G)*(SUMIF(Summary!$A$247:$A$283,$A2489,Summary!$L$247:$L$283)+SUMIF(Summary!$A$297:$A$333,$A2489,Summary!$L$297:$L$333))-AK2489,0)</f>
        <v>0</v>
      </c>
      <c r="AM2489" s="198"/>
      <c r="AN2489" s="196">
        <f t="shared" ca="1" si="544"/>
        <v>0</v>
      </c>
      <c r="AO2489" s="196">
        <f t="shared" ca="1" si="545"/>
        <v>0</v>
      </c>
    </row>
    <row r="2490" spans="1:41" s="201" customFormat="1">
      <c r="A2490" s="189">
        <v>9651</v>
      </c>
      <c r="B2490" s="190">
        <v>4</v>
      </c>
      <c r="C2490" s="191" t="s">
        <v>227</v>
      </c>
      <c r="D2490" s="192">
        <f t="shared" si="532"/>
        <v>0</v>
      </c>
      <c r="E2490" s="192">
        <f t="shared" si="533"/>
        <v>0</v>
      </c>
      <c r="F2490" s="192">
        <f t="shared" si="534"/>
        <v>0</v>
      </c>
      <c r="G2490" s="193">
        <f t="shared" si="535"/>
        <v>0</v>
      </c>
      <c r="H2490" s="194">
        <v>0</v>
      </c>
      <c r="I2490" s="194">
        <v>0</v>
      </c>
      <c r="J2490" s="194">
        <v>0</v>
      </c>
      <c r="K2490" s="193">
        <f t="shared" si="536"/>
        <v>0</v>
      </c>
      <c r="L2490" s="194">
        <v>0</v>
      </c>
      <c r="M2490" s="194">
        <v>0</v>
      </c>
      <c r="N2490" s="194">
        <v>0</v>
      </c>
      <c r="O2490" s="193">
        <f t="shared" si="537"/>
        <v>0</v>
      </c>
      <c r="P2490" s="194">
        <v>0</v>
      </c>
      <c r="Q2490" s="194">
        <v>0</v>
      </c>
      <c r="R2490" s="194">
        <v>0</v>
      </c>
      <c r="S2490" s="193">
        <f t="shared" si="538"/>
        <v>0</v>
      </c>
      <c r="T2490" s="193">
        <f t="shared" si="539"/>
        <v>0</v>
      </c>
      <c r="U2490" s="193">
        <f ca="1">OFFSET('Expenditure Study'!$B$7,'Operations Support'!$C2490,'Operations Support'!$B2490)*$G2490</f>
        <v>0</v>
      </c>
      <c r="V2490" s="199">
        <f ca="1">U2490*'Expenditure Study'!$B$31</f>
        <v>0</v>
      </c>
      <c r="W2490" s="199">
        <f ca="1">IF(A2490=10298,1.51,1)*IF($B2490&lt;3,$D2490*'Expenditure Study'!$B$32*OFFSET('Expenditure Study'!$B$7,'Operations Support'!$C2490,'Operations Support'!$B2490),0)</f>
        <v>0</v>
      </c>
      <c r="X2490" s="200">
        <f ca="1">W2490*'Expenditure Study'!$B$31</f>
        <v>0</v>
      </c>
      <c r="Y2490" s="199">
        <f ca="1">U2490*'Expenditure Study'!$B$31</f>
        <v>0</v>
      </c>
      <c r="Z2490" s="200">
        <f ca="1">W2490*'Expenditure Study'!$B$31</f>
        <v>0</v>
      </c>
      <c r="AA2490" s="195">
        <f t="shared" ca="1" si="540"/>
        <v>0</v>
      </c>
      <c r="AB2490" s="195">
        <f t="shared" ca="1" si="541"/>
        <v>0</v>
      </c>
      <c r="AD2490" s="196">
        <f>IFERROR($G2490/SUMIF($A:$A,$A2490,$G:$G)*SUMIF(Summary!$A$166:$A$242,$A2490,Summary!$P$166:$P$242),0)</f>
        <v>0</v>
      </c>
      <c r="AE2490" s="197">
        <f t="shared" ca="1" si="542"/>
        <v>0</v>
      </c>
      <c r="AF2490" s="196">
        <f>IFERROR(G2490/SUMIF(A:A,A2490,G:G)*SUMIF(Summary!$A$166:$A$242,'Operations Support'!A2490,Summary!$Q$166:$Q$242),0)</f>
        <v>0</v>
      </c>
      <c r="AG2490" s="196">
        <f t="shared" ca="1" si="543"/>
        <v>0</v>
      </c>
      <c r="AH2490" s="180"/>
      <c r="AI2490" s="196">
        <f>IFERROR($G2490/SUMIF($A:$A,$A2490,$G:$G)*SUMIF(Summary!$A$247:$A$283,$A2490,Summary!$P$247:$P$283),0)</f>
        <v>0</v>
      </c>
      <c r="AJ2490" s="196">
        <f>IFERROR($G2490/SUMIF($A:$A,$A2490,$G:$G)*(SUMIF(Summary!$A$247:$A$283,$A2490,Summary!$L$247:$L$283)+SUMIF(Summary!$A$297:$A$333,$A2490,Summary!$L$297:$L$333))-AI2490,0)</f>
        <v>0</v>
      </c>
      <c r="AK2490" s="196">
        <f>IFERROR($G2490/SUMIF($A:$A,$A2490,$G:$G)*SUMIF(Summary!$A$247:$A$283,$A2490,Summary!$Q$247:$Q$283),0)</f>
        <v>0</v>
      </c>
      <c r="AL2490" s="196">
        <f>IFERROR($G2490/SUMIF($A:$A,$A2490,$G:$G)*(SUMIF(Summary!$A$247:$A$283,$A2490,Summary!$L$247:$L$283)+SUMIF(Summary!$A$297:$A$333,$A2490,Summary!$L$297:$L$333))-AK2490,0)</f>
        <v>0</v>
      </c>
      <c r="AM2490" s="198"/>
      <c r="AN2490" s="196">
        <f t="shared" ca="1" si="544"/>
        <v>0</v>
      </c>
      <c r="AO2490" s="196">
        <f t="shared" ca="1" si="545"/>
        <v>0</v>
      </c>
    </row>
    <row r="2491" spans="1:41">
      <c r="A2491" s="189">
        <v>9651</v>
      </c>
      <c r="B2491" s="190">
        <v>4</v>
      </c>
      <c r="C2491" s="191" t="s">
        <v>228</v>
      </c>
      <c r="D2491" s="192">
        <f t="shared" si="532"/>
        <v>0</v>
      </c>
      <c r="E2491" s="192">
        <f t="shared" si="533"/>
        <v>0</v>
      </c>
      <c r="F2491" s="192">
        <f t="shared" si="534"/>
        <v>0</v>
      </c>
      <c r="G2491" s="193">
        <f t="shared" si="535"/>
        <v>0</v>
      </c>
      <c r="H2491" s="194">
        <v>0</v>
      </c>
      <c r="I2491" s="194">
        <v>0</v>
      </c>
      <c r="J2491" s="194">
        <v>0</v>
      </c>
      <c r="K2491" s="193">
        <f t="shared" si="536"/>
        <v>0</v>
      </c>
      <c r="L2491" s="194">
        <v>0</v>
      </c>
      <c r="M2491" s="194">
        <v>0</v>
      </c>
      <c r="N2491" s="194">
        <v>0</v>
      </c>
      <c r="O2491" s="193">
        <f t="shared" si="537"/>
        <v>0</v>
      </c>
      <c r="P2491" s="194">
        <v>0</v>
      </c>
      <c r="Q2491" s="194">
        <v>0</v>
      </c>
      <c r="R2491" s="194">
        <v>0</v>
      </c>
      <c r="S2491" s="193">
        <f t="shared" si="538"/>
        <v>0</v>
      </c>
      <c r="T2491" s="193">
        <f t="shared" si="539"/>
        <v>0</v>
      </c>
      <c r="U2491" s="193">
        <f ca="1">OFFSET('Expenditure Study'!$B$7,'Operations Support'!$C2491,'Operations Support'!$B2491)*$G2491</f>
        <v>0</v>
      </c>
      <c r="V2491" s="199">
        <f ca="1">U2491*'Expenditure Study'!$B$31</f>
        <v>0</v>
      </c>
      <c r="W2491" s="199">
        <f ca="1">IF(A2491=10298,1.51,1)*IF($B2491&lt;3,$D2491*'Expenditure Study'!$B$32*OFFSET('Expenditure Study'!$B$7,'Operations Support'!$C2491,'Operations Support'!$B2491),0)</f>
        <v>0</v>
      </c>
      <c r="X2491" s="200">
        <f ca="1">W2491*'Expenditure Study'!$B$31</f>
        <v>0</v>
      </c>
      <c r="Y2491" s="199">
        <f ca="1">U2491*'Expenditure Study'!$B$31</f>
        <v>0</v>
      </c>
      <c r="Z2491" s="200">
        <f ca="1">W2491*'Expenditure Study'!$B$31</f>
        <v>0</v>
      </c>
      <c r="AA2491" s="195">
        <f t="shared" ca="1" si="540"/>
        <v>0</v>
      </c>
      <c r="AB2491" s="195">
        <f t="shared" ca="1" si="541"/>
        <v>0</v>
      </c>
      <c r="AD2491" s="196">
        <f>IFERROR($G2491/SUMIF($A:$A,$A2491,$G:$G)*SUMIF(Summary!$A$166:$A$242,$A2491,Summary!$P$166:$P$242),0)</f>
        <v>0</v>
      </c>
      <c r="AE2491" s="197">
        <f t="shared" ca="1" si="542"/>
        <v>0</v>
      </c>
      <c r="AF2491" s="196">
        <f>IFERROR(G2491/SUMIF(A:A,A2491,G:G)*SUMIF(Summary!$A$166:$A$242,'Operations Support'!A2491,Summary!$Q$166:$Q$242),0)</f>
        <v>0</v>
      </c>
      <c r="AG2491" s="196">
        <f t="shared" ca="1" si="543"/>
        <v>0</v>
      </c>
      <c r="AI2491" s="196">
        <f>IFERROR($G2491/SUMIF($A:$A,$A2491,$G:$G)*SUMIF(Summary!$A$247:$A$283,$A2491,Summary!$P$247:$P$283),0)</f>
        <v>0</v>
      </c>
      <c r="AJ2491" s="196">
        <f>IFERROR($G2491/SUMIF($A:$A,$A2491,$G:$G)*(SUMIF(Summary!$A$247:$A$283,$A2491,Summary!$L$247:$L$283)+SUMIF(Summary!$A$297:$A$333,$A2491,Summary!$L$297:$L$333))-AI2491,0)</f>
        <v>0</v>
      </c>
      <c r="AK2491" s="196">
        <f>IFERROR($G2491/SUMIF($A:$A,$A2491,$G:$G)*SUMIF(Summary!$A$247:$A$283,$A2491,Summary!$Q$247:$Q$283),0)</f>
        <v>0</v>
      </c>
      <c r="AL2491" s="196">
        <f>IFERROR($G2491/SUMIF($A:$A,$A2491,$G:$G)*(SUMIF(Summary!$A$247:$A$283,$A2491,Summary!$L$247:$L$283)+SUMIF(Summary!$A$297:$A$333,$A2491,Summary!$L$297:$L$333))-AK2491,0)</f>
        <v>0</v>
      </c>
      <c r="AM2491" s="198"/>
      <c r="AN2491" s="196">
        <f t="shared" ca="1" si="544"/>
        <v>0</v>
      </c>
      <c r="AO2491" s="196">
        <f t="shared" ca="1" si="545"/>
        <v>0</v>
      </c>
    </row>
    <row r="2492" spans="1:41">
      <c r="A2492" s="189">
        <v>9651</v>
      </c>
      <c r="B2492" s="190">
        <v>4</v>
      </c>
      <c r="C2492" s="191" t="s">
        <v>229</v>
      </c>
      <c r="D2492" s="192">
        <f t="shared" si="532"/>
        <v>0</v>
      </c>
      <c r="E2492" s="192">
        <f t="shared" si="533"/>
        <v>0</v>
      </c>
      <c r="F2492" s="192">
        <f t="shared" si="534"/>
        <v>0</v>
      </c>
      <c r="G2492" s="193">
        <f t="shared" si="535"/>
        <v>0</v>
      </c>
      <c r="H2492" s="194">
        <v>0</v>
      </c>
      <c r="I2492" s="194">
        <v>0</v>
      </c>
      <c r="J2492" s="194">
        <v>0</v>
      </c>
      <c r="K2492" s="193">
        <f t="shared" si="536"/>
        <v>0</v>
      </c>
      <c r="L2492" s="194">
        <v>0</v>
      </c>
      <c r="M2492" s="194">
        <v>0</v>
      </c>
      <c r="N2492" s="194">
        <v>0</v>
      </c>
      <c r="O2492" s="193">
        <f t="shared" si="537"/>
        <v>0</v>
      </c>
      <c r="P2492" s="194">
        <v>0</v>
      </c>
      <c r="Q2492" s="194">
        <v>0</v>
      </c>
      <c r="R2492" s="194">
        <v>0</v>
      </c>
      <c r="S2492" s="193">
        <f t="shared" si="538"/>
        <v>0</v>
      </c>
      <c r="T2492" s="193">
        <f t="shared" si="539"/>
        <v>0</v>
      </c>
      <c r="U2492" s="193">
        <f ca="1">OFFSET('Expenditure Study'!$B$7,'Operations Support'!$C2492,'Operations Support'!$B2492)*$G2492</f>
        <v>0</v>
      </c>
      <c r="V2492" s="199">
        <f ca="1">U2492*'Expenditure Study'!$B$31</f>
        <v>0</v>
      </c>
      <c r="W2492" s="199">
        <f ca="1">IF(A2492=10298,1.51,1)*IF($B2492&lt;3,$D2492*'Expenditure Study'!$B$32*OFFSET('Expenditure Study'!$B$7,'Operations Support'!$C2492,'Operations Support'!$B2492),0)</f>
        <v>0</v>
      </c>
      <c r="X2492" s="200">
        <f ca="1">W2492*'Expenditure Study'!$B$31</f>
        <v>0</v>
      </c>
      <c r="Y2492" s="199">
        <f ca="1">U2492*'Expenditure Study'!$B$31</f>
        <v>0</v>
      </c>
      <c r="Z2492" s="200">
        <f ca="1">W2492*'Expenditure Study'!$B$31</f>
        <v>0</v>
      </c>
      <c r="AA2492" s="195">
        <f t="shared" ca="1" si="540"/>
        <v>0</v>
      </c>
      <c r="AB2492" s="195">
        <f t="shared" ca="1" si="541"/>
        <v>0</v>
      </c>
      <c r="AD2492" s="196">
        <f>IFERROR($G2492/SUMIF($A:$A,$A2492,$G:$G)*SUMIF(Summary!$A$166:$A$242,$A2492,Summary!$P$166:$P$242),0)</f>
        <v>0</v>
      </c>
      <c r="AE2492" s="197">
        <f t="shared" ca="1" si="542"/>
        <v>0</v>
      </c>
      <c r="AF2492" s="196">
        <f>IFERROR(G2492/SUMIF(A:A,A2492,G:G)*SUMIF(Summary!$A$166:$A$242,'Operations Support'!A2492,Summary!$Q$166:$Q$242),0)</f>
        <v>0</v>
      </c>
      <c r="AG2492" s="196">
        <f t="shared" ca="1" si="543"/>
        <v>0</v>
      </c>
      <c r="AI2492" s="196">
        <f>IFERROR($G2492/SUMIF($A:$A,$A2492,$G:$G)*SUMIF(Summary!$A$247:$A$283,$A2492,Summary!$P$247:$P$283),0)</f>
        <v>0</v>
      </c>
      <c r="AJ2492" s="196">
        <f>IFERROR($G2492/SUMIF($A:$A,$A2492,$G:$G)*(SUMIF(Summary!$A$247:$A$283,$A2492,Summary!$L$247:$L$283)+SUMIF(Summary!$A$297:$A$333,$A2492,Summary!$L$297:$L$333))-AI2492,0)</f>
        <v>0</v>
      </c>
      <c r="AK2492" s="196">
        <f>IFERROR($G2492/SUMIF($A:$A,$A2492,$G:$G)*SUMIF(Summary!$A$247:$A$283,$A2492,Summary!$Q$247:$Q$283),0)</f>
        <v>0</v>
      </c>
      <c r="AL2492" s="196">
        <f>IFERROR($G2492/SUMIF($A:$A,$A2492,$G:$G)*(SUMIF(Summary!$A$247:$A$283,$A2492,Summary!$L$247:$L$283)+SUMIF(Summary!$A$297:$A$333,$A2492,Summary!$L$297:$L$333))-AK2492,0)</f>
        <v>0</v>
      </c>
      <c r="AM2492" s="198"/>
      <c r="AN2492" s="196">
        <f t="shared" ca="1" si="544"/>
        <v>0</v>
      </c>
      <c r="AO2492" s="196">
        <f t="shared" ca="1" si="545"/>
        <v>0</v>
      </c>
    </row>
    <row r="2493" spans="1:41">
      <c r="A2493" s="189">
        <v>9651</v>
      </c>
      <c r="B2493" s="190">
        <v>4</v>
      </c>
      <c r="C2493" s="191" t="s">
        <v>230</v>
      </c>
      <c r="D2493" s="192">
        <f t="shared" si="532"/>
        <v>0</v>
      </c>
      <c r="E2493" s="192">
        <f t="shared" si="533"/>
        <v>0</v>
      </c>
      <c r="F2493" s="192">
        <f t="shared" si="534"/>
        <v>0</v>
      </c>
      <c r="G2493" s="193">
        <f t="shared" si="535"/>
        <v>0</v>
      </c>
      <c r="H2493" s="194">
        <v>0</v>
      </c>
      <c r="I2493" s="194">
        <v>0</v>
      </c>
      <c r="J2493" s="194">
        <v>0</v>
      </c>
      <c r="K2493" s="193">
        <f t="shared" si="536"/>
        <v>0</v>
      </c>
      <c r="L2493" s="194">
        <v>0</v>
      </c>
      <c r="M2493" s="194">
        <v>0</v>
      </c>
      <c r="N2493" s="194">
        <v>0</v>
      </c>
      <c r="O2493" s="193">
        <f t="shared" si="537"/>
        <v>0</v>
      </c>
      <c r="P2493" s="194">
        <v>0</v>
      </c>
      <c r="Q2493" s="194">
        <v>0</v>
      </c>
      <c r="R2493" s="194">
        <v>0</v>
      </c>
      <c r="S2493" s="193">
        <f t="shared" si="538"/>
        <v>0</v>
      </c>
      <c r="T2493" s="193">
        <f t="shared" si="539"/>
        <v>0</v>
      </c>
      <c r="U2493" s="193">
        <f ca="1">OFFSET('Expenditure Study'!$B$7,'Operations Support'!$C2493,'Operations Support'!$B2493)*$G2493</f>
        <v>0</v>
      </c>
      <c r="V2493" s="199">
        <f ca="1">U2493*'Expenditure Study'!$B$31</f>
        <v>0</v>
      </c>
      <c r="W2493" s="199">
        <f ca="1">IF(A2493=10298,1.51,1)*IF($B2493&lt;3,$D2493*'Expenditure Study'!$B$32*OFFSET('Expenditure Study'!$B$7,'Operations Support'!$C2493,'Operations Support'!$B2493),0)</f>
        <v>0</v>
      </c>
      <c r="X2493" s="200">
        <f ca="1">W2493*'Expenditure Study'!$B$31</f>
        <v>0</v>
      </c>
      <c r="Y2493" s="199">
        <f ca="1">U2493*'Expenditure Study'!$B$31</f>
        <v>0</v>
      </c>
      <c r="Z2493" s="200">
        <f ca="1">W2493*'Expenditure Study'!$B$31</f>
        <v>0</v>
      </c>
      <c r="AA2493" s="195">
        <f t="shared" ca="1" si="540"/>
        <v>0</v>
      </c>
      <c r="AB2493" s="195">
        <f t="shared" ca="1" si="541"/>
        <v>0</v>
      </c>
      <c r="AD2493" s="196">
        <f>IFERROR($G2493/SUMIF($A:$A,$A2493,$G:$G)*SUMIF(Summary!$A$166:$A$242,$A2493,Summary!$P$166:$P$242),0)</f>
        <v>0</v>
      </c>
      <c r="AE2493" s="197">
        <f t="shared" ca="1" si="542"/>
        <v>0</v>
      </c>
      <c r="AF2493" s="196">
        <f>IFERROR(G2493/SUMIF(A:A,A2493,G:G)*SUMIF(Summary!$A$166:$A$242,'Operations Support'!A2493,Summary!$Q$166:$Q$242),0)</f>
        <v>0</v>
      </c>
      <c r="AG2493" s="196">
        <f t="shared" ca="1" si="543"/>
        <v>0</v>
      </c>
      <c r="AI2493" s="196">
        <f>IFERROR($G2493/SUMIF($A:$A,$A2493,$G:$G)*SUMIF(Summary!$A$247:$A$283,$A2493,Summary!$P$247:$P$283),0)</f>
        <v>0</v>
      </c>
      <c r="AJ2493" s="196">
        <f>IFERROR($G2493/SUMIF($A:$A,$A2493,$G:$G)*(SUMIF(Summary!$A$247:$A$283,$A2493,Summary!$L$247:$L$283)+SUMIF(Summary!$A$297:$A$333,$A2493,Summary!$L$297:$L$333))-AI2493,0)</f>
        <v>0</v>
      </c>
      <c r="AK2493" s="196">
        <f>IFERROR($G2493/SUMIF($A:$A,$A2493,$G:$G)*SUMIF(Summary!$A$247:$A$283,$A2493,Summary!$Q$247:$Q$283),0)</f>
        <v>0</v>
      </c>
      <c r="AL2493" s="196">
        <f>IFERROR($G2493/SUMIF($A:$A,$A2493,$G:$G)*(SUMIF(Summary!$A$247:$A$283,$A2493,Summary!$L$247:$L$283)+SUMIF(Summary!$A$297:$A$333,$A2493,Summary!$L$297:$L$333))-AK2493,0)</f>
        <v>0</v>
      </c>
      <c r="AM2493" s="198"/>
      <c r="AN2493" s="196">
        <f t="shared" ca="1" si="544"/>
        <v>0</v>
      </c>
      <c r="AO2493" s="196">
        <f t="shared" ca="1" si="545"/>
        <v>0</v>
      </c>
    </row>
    <row r="2494" spans="1:41">
      <c r="A2494" s="189">
        <v>9651</v>
      </c>
      <c r="B2494" s="190">
        <v>4</v>
      </c>
      <c r="C2494" s="191" t="s">
        <v>231</v>
      </c>
      <c r="D2494" s="192">
        <f t="shared" si="532"/>
        <v>0</v>
      </c>
      <c r="E2494" s="192">
        <f t="shared" si="533"/>
        <v>0</v>
      </c>
      <c r="F2494" s="192">
        <f t="shared" si="534"/>
        <v>0</v>
      </c>
      <c r="G2494" s="193">
        <f t="shared" si="535"/>
        <v>0</v>
      </c>
      <c r="H2494" s="194">
        <v>0</v>
      </c>
      <c r="I2494" s="194">
        <v>0</v>
      </c>
      <c r="J2494" s="194">
        <v>0</v>
      </c>
      <c r="K2494" s="193">
        <f t="shared" si="536"/>
        <v>0</v>
      </c>
      <c r="L2494" s="194">
        <v>0</v>
      </c>
      <c r="M2494" s="194">
        <v>0</v>
      </c>
      <c r="N2494" s="194">
        <v>0</v>
      </c>
      <c r="O2494" s="193">
        <f t="shared" si="537"/>
        <v>0</v>
      </c>
      <c r="P2494" s="194">
        <v>0</v>
      </c>
      <c r="Q2494" s="194">
        <v>0</v>
      </c>
      <c r="R2494" s="194">
        <v>0</v>
      </c>
      <c r="S2494" s="193">
        <f t="shared" si="538"/>
        <v>0</v>
      </c>
      <c r="T2494" s="193">
        <f t="shared" si="539"/>
        <v>0</v>
      </c>
      <c r="U2494" s="193">
        <f ca="1">OFFSET('Expenditure Study'!$B$7,'Operations Support'!$C2494,'Operations Support'!$B2494)*$G2494</f>
        <v>0</v>
      </c>
      <c r="V2494" s="199">
        <f ca="1">U2494*'Expenditure Study'!$B$31</f>
        <v>0</v>
      </c>
      <c r="W2494" s="199">
        <f ca="1">IF(A2494=10298,1.51,1)*IF($B2494&lt;3,$D2494*'Expenditure Study'!$B$32*OFFSET('Expenditure Study'!$B$7,'Operations Support'!$C2494,'Operations Support'!$B2494),0)</f>
        <v>0</v>
      </c>
      <c r="X2494" s="200">
        <f ca="1">W2494*'Expenditure Study'!$B$31</f>
        <v>0</v>
      </c>
      <c r="Y2494" s="199">
        <f ca="1">U2494*'Expenditure Study'!$B$31</f>
        <v>0</v>
      </c>
      <c r="Z2494" s="200">
        <f ca="1">W2494*'Expenditure Study'!$B$31</f>
        <v>0</v>
      </c>
      <c r="AA2494" s="195">
        <f t="shared" ca="1" si="540"/>
        <v>0</v>
      </c>
      <c r="AB2494" s="195">
        <f t="shared" ca="1" si="541"/>
        <v>0</v>
      </c>
      <c r="AD2494" s="196">
        <f>IFERROR($G2494/SUMIF($A:$A,$A2494,$G:$G)*SUMIF(Summary!$A$166:$A$242,$A2494,Summary!$P$166:$P$242),0)</f>
        <v>0</v>
      </c>
      <c r="AE2494" s="197">
        <f t="shared" ca="1" si="542"/>
        <v>0</v>
      </c>
      <c r="AF2494" s="196">
        <f>IFERROR(G2494/SUMIF(A:A,A2494,G:G)*SUMIF(Summary!$A$166:$A$242,'Operations Support'!A2494,Summary!$Q$166:$Q$242),0)</f>
        <v>0</v>
      </c>
      <c r="AG2494" s="196">
        <f t="shared" ca="1" si="543"/>
        <v>0</v>
      </c>
      <c r="AI2494" s="196">
        <f>IFERROR($G2494/SUMIF($A:$A,$A2494,$G:$G)*SUMIF(Summary!$A$247:$A$283,$A2494,Summary!$P$247:$P$283),0)</f>
        <v>0</v>
      </c>
      <c r="AJ2494" s="196">
        <f>IFERROR($G2494/SUMIF($A:$A,$A2494,$G:$G)*(SUMIF(Summary!$A$247:$A$283,$A2494,Summary!$L$247:$L$283)+SUMIF(Summary!$A$297:$A$333,$A2494,Summary!$L$297:$L$333))-AI2494,0)</f>
        <v>0</v>
      </c>
      <c r="AK2494" s="196">
        <f>IFERROR($G2494/SUMIF($A:$A,$A2494,$G:$G)*SUMIF(Summary!$A$247:$A$283,$A2494,Summary!$Q$247:$Q$283),0)</f>
        <v>0</v>
      </c>
      <c r="AL2494" s="196">
        <f>IFERROR($G2494/SUMIF($A:$A,$A2494,$G:$G)*(SUMIF(Summary!$A$247:$A$283,$A2494,Summary!$L$247:$L$283)+SUMIF(Summary!$A$297:$A$333,$A2494,Summary!$L$297:$L$333))-AK2494,0)</f>
        <v>0</v>
      </c>
      <c r="AM2494" s="198"/>
      <c r="AN2494" s="196">
        <f t="shared" ca="1" si="544"/>
        <v>0</v>
      </c>
      <c r="AO2494" s="196">
        <f t="shared" ca="1" si="545"/>
        <v>0</v>
      </c>
    </row>
    <row r="2495" spans="1:41">
      <c r="A2495" s="189">
        <v>9651</v>
      </c>
      <c r="B2495" s="190">
        <v>4</v>
      </c>
      <c r="C2495" s="191" t="s">
        <v>232</v>
      </c>
      <c r="D2495" s="192">
        <f t="shared" si="532"/>
        <v>0</v>
      </c>
      <c r="E2495" s="192">
        <f t="shared" si="533"/>
        <v>0</v>
      </c>
      <c r="F2495" s="192">
        <f t="shared" si="534"/>
        <v>0</v>
      </c>
      <c r="G2495" s="193">
        <f t="shared" si="535"/>
        <v>0</v>
      </c>
      <c r="H2495" s="194">
        <v>0</v>
      </c>
      <c r="I2495" s="194">
        <v>0</v>
      </c>
      <c r="J2495" s="194">
        <v>0</v>
      </c>
      <c r="K2495" s="193">
        <f t="shared" si="536"/>
        <v>0</v>
      </c>
      <c r="L2495" s="194">
        <v>0</v>
      </c>
      <c r="M2495" s="194">
        <v>0</v>
      </c>
      <c r="N2495" s="194">
        <v>0</v>
      </c>
      <c r="O2495" s="193">
        <f t="shared" si="537"/>
        <v>0</v>
      </c>
      <c r="P2495" s="194">
        <v>0</v>
      </c>
      <c r="Q2495" s="194">
        <v>0</v>
      </c>
      <c r="R2495" s="194">
        <v>0</v>
      </c>
      <c r="S2495" s="193">
        <f t="shared" si="538"/>
        <v>0</v>
      </c>
      <c r="T2495" s="193">
        <f t="shared" si="539"/>
        <v>0</v>
      </c>
      <c r="U2495" s="193">
        <f ca="1">OFFSET('Expenditure Study'!$B$7,'Operations Support'!$C2495,'Operations Support'!$B2495)*$G2495</f>
        <v>0</v>
      </c>
      <c r="V2495" s="199">
        <f ca="1">U2495*'Expenditure Study'!$B$31</f>
        <v>0</v>
      </c>
      <c r="W2495" s="199">
        <f ca="1">IF(A2495=10298,1.51,1)*IF($B2495&lt;3,$D2495*'Expenditure Study'!$B$32*OFFSET('Expenditure Study'!$B$7,'Operations Support'!$C2495,'Operations Support'!$B2495),0)</f>
        <v>0</v>
      </c>
      <c r="X2495" s="200">
        <f ca="1">W2495*'Expenditure Study'!$B$31</f>
        <v>0</v>
      </c>
      <c r="Y2495" s="199">
        <f ca="1">U2495*'Expenditure Study'!$B$31</f>
        <v>0</v>
      </c>
      <c r="Z2495" s="200">
        <f ca="1">W2495*'Expenditure Study'!$B$31</f>
        <v>0</v>
      </c>
      <c r="AA2495" s="195">
        <f t="shared" ca="1" si="540"/>
        <v>0</v>
      </c>
      <c r="AB2495" s="195">
        <f t="shared" ca="1" si="541"/>
        <v>0</v>
      </c>
      <c r="AD2495" s="196">
        <f>IFERROR($G2495/SUMIF($A:$A,$A2495,$G:$G)*SUMIF(Summary!$A$166:$A$242,$A2495,Summary!$P$166:$P$242),0)</f>
        <v>0</v>
      </c>
      <c r="AE2495" s="197">
        <f t="shared" ca="1" si="542"/>
        <v>0</v>
      </c>
      <c r="AF2495" s="196">
        <f>IFERROR(G2495/SUMIF(A:A,A2495,G:G)*SUMIF(Summary!$A$166:$A$242,'Operations Support'!A2495,Summary!$Q$166:$Q$242),0)</f>
        <v>0</v>
      </c>
      <c r="AG2495" s="196">
        <f t="shared" ca="1" si="543"/>
        <v>0</v>
      </c>
      <c r="AI2495" s="196">
        <f>IFERROR($G2495/SUMIF($A:$A,$A2495,$G:$G)*SUMIF(Summary!$A$247:$A$283,$A2495,Summary!$P$247:$P$283),0)</f>
        <v>0</v>
      </c>
      <c r="AJ2495" s="196">
        <f>IFERROR($G2495/SUMIF($A:$A,$A2495,$G:$G)*(SUMIF(Summary!$A$247:$A$283,$A2495,Summary!$L$247:$L$283)+SUMIF(Summary!$A$297:$A$333,$A2495,Summary!$L$297:$L$333))-AI2495,0)</f>
        <v>0</v>
      </c>
      <c r="AK2495" s="196">
        <f>IFERROR($G2495/SUMIF($A:$A,$A2495,$G:$G)*SUMIF(Summary!$A$247:$A$283,$A2495,Summary!$Q$247:$Q$283),0)</f>
        <v>0</v>
      </c>
      <c r="AL2495" s="196">
        <f>IFERROR($G2495/SUMIF($A:$A,$A2495,$G:$G)*(SUMIF(Summary!$A$247:$A$283,$A2495,Summary!$L$247:$L$283)+SUMIF(Summary!$A$297:$A$333,$A2495,Summary!$L$297:$L$333))-AK2495,0)</f>
        <v>0</v>
      </c>
      <c r="AM2495" s="198"/>
      <c r="AN2495" s="196">
        <f t="shared" ca="1" si="544"/>
        <v>0</v>
      </c>
      <c r="AO2495" s="196">
        <f t="shared" ca="1" si="545"/>
        <v>0</v>
      </c>
    </row>
    <row r="2496" spans="1:41">
      <c r="A2496" s="189">
        <v>9651</v>
      </c>
      <c r="B2496" s="190">
        <v>4</v>
      </c>
      <c r="C2496" s="191" t="s">
        <v>233</v>
      </c>
      <c r="D2496" s="192">
        <f t="shared" si="532"/>
        <v>0</v>
      </c>
      <c r="E2496" s="192">
        <f t="shared" si="533"/>
        <v>0</v>
      </c>
      <c r="F2496" s="192">
        <f t="shared" si="534"/>
        <v>0</v>
      </c>
      <c r="G2496" s="193">
        <f t="shared" si="535"/>
        <v>0</v>
      </c>
      <c r="H2496" s="194">
        <v>0</v>
      </c>
      <c r="I2496" s="194">
        <v>0</v>
      </c>
      <c r="J2496" s="194">
        <v>0</v>
      </c>
      <c r="K2496" s="193">
        <f t="shared" si="536"/>
        <v>0</v>
      </c>
      <c r="L2496" s="194">
        <v>0</v>
      </c>
      <c r="M2496" s="194">
        <v>0</v>
      </c>
      <c r="N2496" s="194">
        <v>0</v>
      </c>
      <c r="O2496" s="193">
        <f t="shared" si="537"/>
        <v>0</v>
      </c>
      <c r="P2496" s="194">
        <v>0</v>
      </c>
      <c r="Q2496" s="194">
        <v>0</v>
      </c>
      <c r="R2496" s="194">
        <v>0</v>
      </c>
      <c r="S2496" s="193">
        <f t="shared" si="538"/>
        <v>0</v>
      </c>
      <c r="T2496" s="193">
        <f t="shared" si="539"/>
        <v>0</v>
      </c>
      <c r="U2496" s="193">
        <f ca="1">OFFSET('Expenditure Study'!$B$7,'Operations Support'!$C2496,'Operations Support'!$B2496)*$G2496</f>
        <v>0</v>
      </c>
      <c r="V2496" s="199">
        <f ca="1">U2496*'Expenditure Study'!$B$31</f>
        <v>0</v>
      </c>
      <c r="W2496" s="199">
        <f ca="1">IF(A2496=10298,1.51,1)*IF($B2496&lt;3,$D2496*'Expenditure Study'!$B$32*OFFSET('Expenditure Study'!$B$7,'Operations Support'!$C2496,'Operations Support'!$B2496),0)</f>
        <v>0</v>
      </c>
      <c r="X2496" s="200">
        <f ca="1">W2496*'Expenditure Study'!$B$31</f>
        <v>0</v>
      </c>
      <c r="Y2496" s="199">
        <f ca="1">U2496*'Expenditure Study'!$B$31</f>
        <v>0</v>
      </c>
      <c r="Z2496" s="200">
        <f ca="1">W2496*'Expenditure Study'!$B$31</f>
        <v>0</v>
      </c>
      <c r="AA2496" s="195">
        <f t="shared" ca="1" si="540"/>
        <v>0</v>
      </c>
      <c r="AB2496" s="195">
        <f t="shared" ca="1" si="541"/>
        <v>0</v>
      </c>
      <c r="AD2496" s="196">
        <f>IFERROR($G2496/SUMIF($A:$A,$A2496,$G:$G)*SUMIF(Summary!$A$166:$A$242,$A2496,Summary!$P$166:$P$242),0)</f>
        <v>0</v>
      </c>
      <c r="AE2496" s="197">
        <f t="shared" ca="1" si="542"/>
        <v>0</v>
      </c>
      <c r="AF2496" s="196">
        <f>IFERROR(G2496/SUMIF(A:A,A2496,G:G)*SUMIF(Summary!$A$166:$A$242,'Operations Support'!A2496,Summary!$Q$166:$Q$242),0)</f>
        <v>0</v>
      </c>
      <c r="AG2496" s="196">
        <f t="shared" ca="1" si="543"/>
        <v>0</v>
      </c>
      <c r="AI2496" s="196">
        <f>IFERROR($G2496/SUMIF($A:$A,$A2496,$G:$G)*SUMIF(Summary!$A$247:$A$283,$A2496,Summary!$P$247:$P$283),0)</f>
        <v>0</v>
      </c>
      <c r="AJ2496" s="196">
        <f>IFERROR($G2496/SUMIF($A:$A,$A2496,$G:$G)*(SUMIF(Summary!$A$247:$A$283,$A2496,Summary!$L$247:$L$283)+SUMIF(Summary!$A$297:$A$333,$A2496,Summary!$L$297:$L$333))-AI2496,0)</f>
        <v>0</v>
      </c>
      <c r="AK2496" s="196">
        <f>IFERROR($G2496/SUMIF($A:$A,$A2496,$G:$G)*SUMIF(Summary!$A$247:$A$283,$A2496,Summary!$Q$247:$Q$283),0)</f>
        <v>0</v>
      </c>
      <c r="AL2496" s="196">
        <f>IFERROR($G2496/SUMIF($A:$A,$A2496,$G:$G)*(SUMIF(Summary!$A$247:$A$283,$A2496,Summary!$L$247:$L$283)+SUMIF(Summary!$A$297:$A$333,$A2496,Summary!$L$297:$L$333))-AK2496,0)</f>
        <v>0</v>
      </c>
      <c r="AM2496" s="198"/>
      <c r="AN2496" s="196">
        <f t="shared" ca="1" si="544"/>
        <v>0</v>
      </c>
      <c r="AO2496" s="196">
        <f t="shared" ca="1" si="545"/>
        <v>0</v>
      </c>
    </row>
    <row r="2497" spans="1:41">
      <c r="A2497" s="189">
        <v>9651</v>
      </c>
      <c r="B2497" s="190">
        <v>4</v>
      </c>
      <c r="C2497" s="191" t="s">
        <v>234</v>
      </c>
      <c r="D2497" s="192">
        <f t="shared" si="532"/>
        <v>0</v>
      </c>
      <c r="E2497" s="192">
        <f t="shared" si="533"/>
        <v>0</v>
      </c>
      <c r="F2497" s="192">
        <f t="shared" si="534"/>
        <v>0</v>
      </c>
      <c r="G2497" s="193">
        <f t="shared" si="535"/>
        <v>0</v>
      </c>
      <c r="H2497" s="194">
        <v>0</v>
      </c>
      <c r="I2497" s="194">
        <v>0</v>
      </c>
      <c r="J2497" s="194">
        <v>0</v>
      </c>
      <c r="K2497" s="193">
        <f t="shared" si="536"/>
        <v>0</v>
      </c>
      <c r="L2497" s="194">
        <v>0</v>
      </c>
      <c r="M2497" s="194">
        <v>0</v>
      </c>
      <c r="N2497" s="194">
        <v>0</v>
      </c>
      <c r="O2497" s="193">
        <f t="shared" si="537"/>
        <v>0</v>
      </c>
      <c r="P2497" s="194">
        <v>0</v>
      </c>
      <c r="Q2497" s="194">
        <v>0</v>
      </c>
      <c r="R2497" s="194">
        <v>0</v>
      </c>
      <c r="S2497" s="193">
        <f t="shared" si="538"/>
        <v>0</v>
      </c>
      <c r="T2497" s="193">
        <f t="shared" si="539"/>
        <v>0</v>
      </c>
      <c r="U2497" s="193">
        <f ca="1">OFFSET('Expenditure Study'!$B$7,'Operations Support'!$C2497,'Operations Support'!$B2497)*$G2497</f>
        <v>0</v>
      </c>
      <c r="V2497" s="199">
        <f ca="1">U2497*'Expenditure Study'!$B$31</f>
        <v>0</v>
      </c>
      <c r="W2497" s="199">
        <f ca="1">IF(A2497=10298,1.51,1)*IF($B2497&lt;3,$D2497*'Expenditure Study'!$B$32*OFFSET('Expenditure Study'!$B$7,'Operations Support'!$C2497,'Operations Support'!$B2497),0)</f>
        <v>0</v>
      </c>
      <c r="X2497" s="200">
        <f ca="1">W2497*'Expenditure Study'!$B$31</f>
        <v>0</v>
      </c>
      <c r="Y2497" s="199">
        <f ca="1">U2497*'Expenditure Study'!$B$31</f>
        <v>0</v>
      </c>
      <c r="Z2497" s="200">
        <f ca="1">W2497*'Expenditure Study'!$B$31</f>
        <v>0</v>
      </c>
      <c r="AA2497" s="195">
        <f t="shared" ca="1" si="540"/>
        <v>0</v>
      </c>
      <c r="AB2497" s="195">
        <f t="shared" ca="1" si="541"/>
        <v>0</v>
      </c>
      <c r="AD2497" s="196">
        <f>IFERROR($G2497/SUMIF($A:$A,$A2497,$G:$G)*SUMIF(Summary!$A$166:$A$242,$A2497,Summary!$P$166:$P$242),0)</f>
        <v>0</v>
      </c>
      <c r="AE2497" s="197">
        <f t="shared" ca="1" si="542"/>
        <v>0</v>
      </c>
      <c r="AF2497" s="196">
        <f>IFERROR(G2497/SUMIF(A:A,A2497,G:G)*SUMIF(Summary!$A$166:$A$242,'Operations Support'!A2497,Summary!$Q$166:$Q$242),0)</f>
        <v>0</v>
      </c>
      <c r="AG2497" s="196">
        <f t="shared" ca="1" si="543"/>
        <v>0</v>
      </c>
      <c r="AI2497" s="196">
        <f>IFERROR($G2497/SUMIF($A:$A,$A2497,$G:$G)*SUMIF(Summary!$A$247:$A$283,$A2497,Summary!$P$247:$P$283),0)</f>
        <v>0</v>
      </c>
      <c r="AJ2497" s="196">
        <f>IFERROR($G2497/SUMIF($A:$A,$A2497,$G:$G)*(SUMIF(Summary!$A$247:$A$283,$A2497,Summary!$L$247:$L$283)+SUMIF(Summary!$A$297:$A$333,$A2497,Summary!$L$297:$L$333))-AI2497,0)</f>
        <v>0</v>
      </c>
      <c r="AK2497" s="196">
        <f>IFERROR($G2497/SUMIF($A:$A,$A2497,$G:$G)*SUMIF(Summary!$A$247:$A$283,$A2497,Summary!$Q$247:$Q$283),0)</f>
        <v>0</v>
      </c>
      <c r="AL2497" s="196">
        <f>IFERROR($G2497/SUMIF($A:$A,$A2497,$G:$G)*(SUMIF(Summary!$A$247:$A$283,$A2497,Summary!$L$247:$L$283)+SUMIF(Summary!$A$297:$A$333,$A2497,Summary!$L$297:$L$333))-AK2497,0)</f>
        <v>0</v>
      </c>
      <c r="AM2497" s="198"/>
      <c r="AN2497" s="196">
        <f t="shared" ca="1" si="544"/>
        <v>0</v>
      </c>
      <c r="AO2497" s="196">
        <f t="shared" ca="1" si="545"/>
        <v>0</v>
      </c>
    </row>
    <row r="2498" spans="1:41">
      <c r="A2498" s="189">
        <v>9651</v>
      </c>
      <c r="B2498" s="190">
        <v>4</v>
      </c>
      <c r="C2498" s="191" t="s">
        <v>235</v>
      </c>
      <c r="D2498" s="192">
        <f t="shared" si="532"/>
        <v>519</v>
      </c>
      <c r="E2498" s="192">
        <f t="shared" si="533"/>
        <v>0</v>
      </c>
      <c r="F2498" s="192">
        <f t="shared" si="534"/>
        <v>9</v>
      </c>
      <c r="G2498" s="193">
        <f t="shared" si="535"/>
        <v>510</v>
      </c>
      <c r="H2498" s="194">
        <v>177</v>
      </c>
      <c r="I2498" s="194">
        <v>0</v>
      </c>
      <c r="J2498" s="194">
        <v>0</v>
      </c>
      <c r="K2498" s="193">
        <f t="shared" si="536"/>
        <v>177</v>
      </c>
      <c r="L2498" s="194">
        <v>189</v>
      </c>
      <c r="M2498" s="194">
        <v>0</v>
      </c>
      <c r="N2498" s="194">
        <v>0</v>
      </c>
      <c r="O2498" s="193">
        <f t="shared" si="537"/>
        <v>189</v>
      </c>
      <c r="P2498" s="194">
        <v>153</v>
      </c>
      <c r="Q2498" s="194">
        <v>0</v>
      </c>
      <c r="R2498" s="194">
        <v>9</v>
      </c>
      <c r="S2498" s="193">
        <f t="shared" si="538"/>
        <v>144</v>
      </c>
      <c r="T2498" s="193">
        <f t="shared" si="539"/>
        <v>28.333333333333332</v>
      </c>
      <c r="U2498" s="193">
        <f ca="1">OFFSET('Expenditure Study'!$B$7,'Operations Support'!$C2498,'Operations Support'!$B2498)*$G2498</f>
        <v>19410.600000000002</v>
      </c>
      <c r="V2498" s="199">
        <f ca="1">U2498*'Expenditure Study'!$B$31</f>
        <v>1146839.9892364801</v>
      </c>
      <c r="W2498" s="199">
        <f ca="1">IF(A2498=10298,1.51,1)*IF($B2498&lt;3,$D2498*'Expenditure Study'!$B$32*OFFSET('Expenditure Study'!$B$7,'Operations Support'!$C2498,'Operations Support'!$B2498),0)</f>
        <v>0</v>
      </c>
      <c r="X2498" s="200">
        <f ca="1">W2498*'Expenditure Study'!$B$31</f>
        <v>0</v>
      </c>
      <c r="Y2498" s="199">
        <f ca="1">U2498*'Expenditure Study'!$B$31</f>
        <v>1146839.9892364801</v>
      </c>
      <c r="Z2498" s="200">
        <f ca="1">W2498*'Expenditure Study'!$B$31</f>
        <v>0</v>
      </c>
      <c r="AA2498" s="195">
        <f t="shared" ca="1" si="540"/>
        <v>1146839.9892364801</v>
      </c>
      <c r="AB2498" s="195">
        <f t="shared" ca="1" si="541"/>
        <v>1146839.9892364801</v>
      </c>
      <c r="AD2498" s="196">
        <f>IFERROR($G2498/SUMIF($A:$A,$A2498,$G:$G)*SUMIF(Summary!$A$166:$A$242,$A2498,Summary!$P$166:$P$242),0)</f>
        <v>14662.920098171837</v>
      </c>
      <c r="AE2498" s="197">
        <f t="shared" ca="1" si="542"/>
        <v>1132177.0691383083</v>
      </c>
      <c r="AF2498" s="196">
        <f>IFERROR(G2498/SUMIF(A:A,A2498,G:G)*SUMIF(Summary!$A$166:$A$242,'Operations Support'!A2498,Summary!$Q$166:$Q$242),0)</f>
        <v>14668.526199377098</v>
      </c>
      <c r="AG2498" s="196">
        <f t="shared" ca="1" si="543"/>
        <v>1132171.4630371029</v>
      </c>
      <c r="AI2498" s="196">
        <f>IFERROR($G2498/SUMIF($A:$A,$A2498,$G:$G)*SUMIF(Summary!$A$247:$A$283,$A2498,Summary!$P$247:$P$283),0)</f>
        <v>2674.1507168142716</v>
      </c>
      <c r="AJ2498" s="196">
        <f>IFERROR($G2498/SUMIF($A:$A,$A2498,$G:$G)*(SUMIF(Summary!$A$247:$A$283,$A2498,Summary!$L$247:$L$283)+SUMIF(Summary!$A$297:$A$333,$A2498,Summary!$L$297:$L$333))-AI2498,0)</f>
        <v>9667.2952675888046</v>
      </c>
      <c r="AK2498" s="196">
        <f>IFERROR($G2498/SUMIF($A:$A,$A2498,$G:$G)*SUMIF(Summary!$A$247:$A$283,$A2498,Summary!$Q$247:$Q$283),0)</f>
        <v>2675.1731297754154</v>
      </c>
      <c r="AL2498" s="196">
        <f>IFERROR($G2498/SUMIF($A:$A,$A2498,$G:$G)*(SUMIF(Summary!$A$247:$A$283,$A2498,Summary!$L$247:$L$283)+SUMIF(Summary!$A$297:$A$333,$A2498,Summary!$L$297:$L$333))-AK2498,0)</f>
        <v>9666.2728546276594</v>
      </c>
      <c r="AM2498" s="198"/>
      <c r="AN2498" s="196">
        <f t="shared" ca="1" si="544"/>
        <v>1141844.364405897</v>
      </c>
      <c r="AO2498" s="196">
        <f t="shared" ca="1" si="545"/>
        <v>1141837.7358917305</v>
      </c>
    </row>
    <row r="2499" spans="1:41">
      <c r="A2499" s="189">
        <v>9651</v>
      </c>
      <c r="B2499" s="190">
        <v>4</v>
      </c>
      <c r="C2499" s="191" t="s">
        <v>236</v>
      </c>
      <c r="D2499" s="192">
        <f t="shared" si="532"/>
        <v>0</v>
      </c>
      <c r="E2499" s="192">
        <f t="shared" si="533"/>
        <v>0</v>
      </c>
      <c r="F2499" s="192">
        <f t="shared" si="534"/>
        <v>0</v>
      </c>
      <c r="G2499" s="193">
        <f t="shared" si="535"/>
        <v>0</v>
      </c>
      <c r="H2499" s="194">
        <v>0</v>
      </c>
      <c r="I2499" s="194">
        <v>0</v>
      </c>
      <c r="J2499" s="194">
        <v>0</v>
      </c>
      <c r="K2499" s="193">
        <f t="shared" si="536"/>
        <v>0</v>
      </c>
      <c r="L2499" s="194">
        <v>0</v>
      </c>
      <c r="M2499" s="194">
        <v>0</v>
      </c>
      <c r="N2499" s="194">
        <v>0</v>
      </c>
      <c r="O2499" s="193">
        <f t="shared" si="537"/>
        <v>0</v>
      </c>
      <c r="P2499" s="194">
        <v>0</v>
      </c>
      <c r="Q2499" s="194">
        <v>0</v>
      </c>
      <c r="R2499" s="194">
        <v>0</v>
      </c>
      <c r="S2499" s="193">
        <f t="shared" si="538"/>
        <v>0</v>
      </c>
      <c r="T2499" s="193">
        <f t="shared" si="539"/>
        <v>0</v>
      </c>
      <c r="U2499" s="193">
        <f ca="1">OFFSET('Expenditure Study'!$B$7,'Operations Support'!$C2499,'Operations Support'!$B2499)*$G2499</f>
        <v>0</v>
      </c>
      <c r="V2499" s="199">
        <f ca="1">U2499*'Expenditure Study'!$B$31</f>
        <v>0</v>
      </c>
      <c r="W2499" s="199">
        <f ca="1">IF(A2499=10298,1.51,1)*IF($B2499&lt;3,$D2499*'Expenditure Study'!$B$32*OFFSET('Expenditure Study'!$B$7,'Operations Support'!$C2499,'Operations Support'!$B2499),0)</f>
        <v>0</v>
      </c>
      <c r="X2499" s="200">
        <f ca="1">W2499*'Expenditure Study'!$B$31</f>
        <v>0</v>
      </c>
      <c r="Y2499" s="199">
        <f ca="1">U2499*'Expenditure Study'!$B$31</f>
        <v>0</v>
      </c>
      <c r="Z2499" s="200">
        <f ca="1">W2499*'Expenditure Study'!$B$31</f>
        <v>0</v>
      </c>
      <c r="AA2499" s="195">
        <f t="shared" ca="1" si="540"/>
        <v>0</v>
      </c>
      <c r="AB2499" s="195">
        <f t="shared" ca="1" si="541"/>
        <v>0</v>
      </c>
      <c r="AD2499" s="196">
        <f>IFERROR($G2499/SUMIF($A:$A,$A2499,$G:$G)*SUMIF(Summary!$A$166:$A$242,$A2499,Summary!$P$166:$P$242),0)</f>
        <v>0</v>
      </c>
      <c r="AE2499" s="197">
        <f t="shared" ca="1" si="542"/>
        <v>0</v>
      </c>
      <c r="AF2499" s="196">
        <f>IFERROR(G2499/SUMIF(A:A,A2499,G:G)*SUMIF(Summary!$A$166:$A$242,'Operations Support'!A2499,Summary!$Q$166:$Q$242),0)</f>
        <v>0</v>
      </c>
      <c r="AG2499" s="196">
        <f t="shared" ca="1" si="543"/>
        <v>0</v>
      </c>
      <c r="AI2499" s="196">
        <f>IFERROR($G2499/SUMIF($A:$A,$A2499,$G:$G)*SUMIF(Summary!$A$247:$A$283,$A2499,Summary!$P$247:$P$283),0)</f>
        <v>0</v>
      </c>
      <c r="AJ2499" s="196">
        <f>IFERROR($G2499/SUMIF($A:$A,$A2499,$G:$G)*(SUMIF(Summary!$A$247:$A$283,$A2499,Summary!$L$247:$L$283)+SUMIF(Summary!$A$297:$A$333,$A2499,Summary!$L$297:$L$333))-AI2499,0)</f>
        <v>0</v>
      </c>
      <c r="AK2499" s="196">
        <f>IFERROR($G2499/SUMIF($A:$A,$A2499,$G:$G)*SUMIF(Summary!$A$247:$A$283,$A2499,Summary!$Q$247:$Q$283),0)</f>
        <v>0</v>
      </c>
      <c r="AL2499" s="196">
        <f>IFERROR($G2499/SUMIF($A:$A,$A2499,$G:$G)*(SUMIF(Summary!$A$247:$A$283,$A2499,Summary!$L$247:$L$283)+SUMIF(Summary!$A$297:$A$333,$A2499,Summary!$L$297:$L$333))-AK2499,0)</f>
        <v>0</v>
      </c>
      <c r="AM2499" s="198"/>
      <c r="AN2499" s="196">
        <f t="shared" ca="1" si="544"/>
        <v>0</v>
      </c>
      <c r="AO2499" s="196">
        <f t="shared" ca="1" si="545"/>
        <v>0</v>
      </c>
    </row>
    <row r="2500" spans="1:41">
      <c r="A2500" s="189">
        <v>9651</v>
      </c>
      <c r="B2500" s="190">
        <v>4</v>
      </c>
      <c r="C2500" s="191" t="s">
        <v>237</v>
      </c>
      <c r="D2500" s="192">
        <f t="shared" si="532"/>
        <v>0</v>
      </c>
      <c r="E2500" s="192">
        <f t="shared" si="533"/>
        <v>0</v>
      </c>
      <c r="F2500" s="192">
        <f t="shared" si="534"/>
        <v>0</v>
      </c>
      <c r="G2500" s="193">
        <f t="shared" si="535"/>
        <v>0</v>
      </c>
      <c r="H2500" s="194">
        <v>0</v>
      </c>
      <c r="I2500" s="194">
        <v>0</v>
      </c>
      <c r="J2500" s="194">
        <v>0</v>
      </c>
      <c r="K2500" s="193">
        <f t="shared" si="536"/>
        <v>0</v>
      </c>
      <c r="L2500" s="194">
        <v>0</v>
      </c>
      <c r="M2500" s="194">
        <v>0</v>
      </c>
      <c r="N2500" s="194">
        <v>0</v>
      </c>
      <c r="O2500" s="193">
        <f t="shared" si="537"/>
        <v>0</v>
      </c>
      <c r="P2500" s="194">
        <v>0</v>
      </c>
      <c r="Q2500" s="194">
        <v>0</v>
      </c>
      <c r="R2500" s="194">
        <v>0</v>
      </c>
      <c r="S2500" s="193">
        <f t="shared" si="538"/>
        <v>0</v>
      </c>
      <c r="T2500" s="193">
        <f t="shared" si="539"/>
        <v>0</v>
      </c>
      <c r="U2500" s="193">
        <f ca="1">OFFSET('Expenditure Study'!$B$7,'Operations Support'!$C2500,'Operations Support'!$B2500)*$G2500</f>
        <v>0</v>
      </c>
      <c r="V2500" s="199">
        <f ca="1">U2500*'Expenditure Study'!$B$31</f>
        <v>0</v>
      </c>
      <c r="W2500" s="199">
        <f ca="1">IF(A2500=10298,1.51,1)*IF($B2500&lt;3,$D2500*'Expenditure Study'!$B$32*OFFSET('Expenditure Study'!$B$7,'Operations Support'!$C2500,'Operations Support'!$B2500),0)</f>
        <v>0</v>
      </c>
      <c r="X2500" s="200">
        <f ca="1">W2500*'Expenditure Study'!$B$31</f>
        <v>0</v>
      </c>
      <c r="Y2500" s="199">
        <f ca="1">U2500*'Expenditure Study'!$B$31</f>
        <v>0</v>
      </c>
      <c r="Z2500" s="200">
        <f ca="1">W2500*'Expenditure Study'!$B$31</f>
        <v>0</v>
      </c>
      <c r="AA2500" s="195">
        <f t="shared" ca="1" si="540"/>
        <v>0</v>
      </c>
      <c r="AB2500" s="195">
        <f t="shared" ca="1" si="541"/>
        <v>0</v>
      </c>
      <c r="AD2500" s="196">
        <f>IFERROR($G2500/SUMIF($A:$A,$A2500,$G:$G)*SUMIF(Summary!$A$166:$A$242,$A2500,Summary!$P$166:$P$242),0)</f>
        <v>0</v>
      </c>
      <c r="AE2500" s="197">
        <f t="shared" ca="1" si="542"/>
        <v>0</v>
      </c>
      <c r="AF2500" s="196">
        <f>IFERROR(G2500/SUMIF(A:A,A2500,G:G)*SUMIF(Summary!$A$166:$A$242,'Operations Support'!A2500,Summary!$Q$166:$Q$242),0)</f>
        <v>0</v>
      </c>
      <c r="AG2500" s="196">
        <f t="shared" ca="1" si="543"/>
        <v>0</v>
      </c>
      <c r="AI2500" s="196">
        <f>IFERROR($G2500/SUMIF($A:$A,$A2500,$G:$G)*SUMIF(Summary!$A$247:$A$283,$A2500,Summary!$P$247:$P$283),0)</f>
        <v>0</v>
      </c>
      <c r="AJ2500" s="196">
        <f>IFERROR($G2500/SUMIF($A:$A,$A2500,$G:$G)*(SUMIF(Summary!$A$247:$A$283,$A2500,Summary!$L$247:$L$283)+SUMIF(Summary!$A$297:$A$333,$A2500,Summary!$L$297:$L$333))-AI2500,0)</f>
        <v>0</v>
      </c>
      <c r="AK2500" s="196">
        <f>IFERROR($G2500/SUMIF($A:$A,$A2500,$G:$G)*SUMIF(Summary!$A$247:$A$283,$A2500,Summary!$Q$247:$Q$283),0)</f>
        <v>0</v>
      </c>
      <c r="AL2500" s="196">
        <f>IFERROR($G2500/SUMIF($A:$A,$A2500,$G:$G)*(SUMIF(Summary!$A$247:$A$283,$A2500,Summary!$L$247:$L$283)+SUMIF(Summary!$A$297:$A$333,$A2500,Summary!$L$297:$L$333))-AK2500,0)</f>
        <v>0</v>
      </c>
      <c r="AM2500" s="198"/>
      <c r="AN2500" s="196">
        <f t="shared" ca="1" si="544"/>
        <v>0</v>
      </c>
      <c r="AO2500" s="196">
        <f t="shared" ca="1" si="545"/>
        <v>0</v>
      </c>
    </row>
    <row r="2501" spans="1:41">
      <c r="A2501" s="189">
        <v>9651</v>
      </c>
      <c r="B2501" s="190">
        <v>4</v>
      </c>
      <c r="C2501" s="191" t="s">
        <v>238</v>
      </c>
      <c r="D2501" s="192">
        <f t="shared" ref="D2501:D2564" si="546">H2501+L2501+P2501</f>
        <v>0</v>
      </c>
      <c r="E2501" s="192">
        <f t="shared" ref="E2501:E2564" si="547">I2501+M2501+Q2501</f>
        <v>0</v>
      </c>
      <c r="F2501" s="192">
        <f t="shared" ref="F2501:F2564" si="548">J2501+N2501+R2501</f>
        <v>0</v>
      </c>
      <c r="G2501" s="193">
        <f t="shared" ref="G2501:G2564" si="549">(SUM(D2501:E2501)-F2501)*IF(A2501=10298,1.51,1)</f>
        <v>0</v>
      </c>
      <c r="H2501" s="194">
        <v>0</v>
      </c>
      <c r="I2501" s="194">
        <v>0</v>
      </c>
      <c r="J2501" s="194">
        <v>0</v>
      </c>
      <c r="K2501" s="193">
        <f t="shared" ref="K2501:K2564" si="550">SUM(H2501:I2501)-J2501</f>
        <v>0</v>
      </c>
      <c r="L2501" s="194">
        <v>0</v>
      </c>
      <c r="M2501" s="194">
        <v>0</v>
      </c>
      <c r="N2501" s="194">
        <v>0</v>
      </c>
      <c r="O2501" s="193">
        <f t="shared" ref="O2501:O2564" si="551">SUM(L2501:M2501)-N2501</f>
        <v>0</v>
      </c>
      <c r="P2501" s="194">
        <v>0</v>
      </c>
      <c r="Q2501" s="194">
        <v>0</v>
      </c>
      <c r="R2501" s="194">
        <v>0</v>
      </c>
      <c r="S2501" s="193">
        <f t="shared" ref="S2501:S2564" si="552">SUM(P2501:Q2501)-R2501</f>
        <v>0</v>
      </c>
      <c r="T2501" s="193">
        <f t="shared" ref="T2501:T2564" si="553">IF(OR(B2501=1,B2501=2),G2501/30,IF(OR(B2501=3,B2501=5),G2501/24,IF(B2501=4,G2501/18,0)))</f>
        <v>0</v>
      </c>
      <c r="U2501" s="193">
        <f ca="1">OFFSET('Expenditure Study'!$B$7,'Operations Support'!$C2501,'Operations Support'!$B2501)*$G2501</f>
        <v>0</v>
      </c>
      <c r="V2501" s="199">
        <f ca="1">U2501*'Expenditure Study'!$B$31</f>
        <v>0</v>
      </c>
      <c r="W2501" s="199">
        <f ca="1">IF(A2501=10298,1.51,1)*IF($B2501&lt;3,$D2501*'Expenditure Study'!$B$32*OFFSET('Expenditure Study'!$B$7,'Operations Support'!$C2501,'Operations Support'!$B2501),0)</f>
        <v>0</v>
      </c>
      <c r="X2501" s="200">
        <f ca="1">W2501*'Expenditure Study'!$B$31</f>
        <v>0</v>
      </c>
      <c r="Y2501" s="199">
        <f ca="1">U2501*'Expenditure Study'!$B$31</f>
        <v>0</v>
      </c>
      <c r="Z2501" s="200">
        <f ca="1">W2501*'Expenditure Study'!$B$31</f>
        <v>0</v>
      </c>
      <c r="AA2501" s="195">
        <f t="shared" ref="AA2501:AA2564" ca="1" si="554">V2501+X2501</f>
        <v>0</v>
      </c>
      <c r="AB2501" s="195">
        <f t="shared" ref="AB2501:AB2564" ca="1" si="555">Y2501+Z2501</f>
        <v>0</v>
      </c>
      <c r="AD2501" s="196">
        <f>IFERROR($G2501/SUMIF($A:$A,$A2501,$G:$G)*SUMIF(Summary!$A$166:$A$242,$A2501,Summary!$P$166:$P$242),0)</f>
        <v>0</v>
      </c>
      <c r="AE2501" s="197">
        <f t="shared" ca="1" si="542"/>
        <v>0</v>
      </c>
      <c r="AF2501" s="196">
        <f>IFERROR(G2501/SUMIF(A:A,A2501,G:G)*SUMIF(Summary!$A$166:$A$242,'Operations Support'!A2501,Summary!$Q$166:$Q$242),0)</f>
        <v>0</v>
      </c>
      <c r="AG2501" s="196">
        <f t="shared" ca="1" si="543"/>
        <v>0</v>
      </c>
      <c r="AI2501" s="196">
        <f>IFERROR($G2501/SUMIF($A:$A,$A2501,$G:$G)*SUMIF(Summary!$A$247:$A$283,$A2501,Summary!$P$247:$P$283),0)</f>
        <v>0</v>
      </c>
      <c r="AJ2501" s="196">
        <f>IFERROR($G2501/SUMIF($A:$A,$A2501,$G:$G)*(SUMIF(Summary!$A$247:$A$283,$A2501,Summary!$L$247:$L$283)+SUMIF(Summary!$A$297:$A$333,$A2501,Summary!$L$297:$L$333))-AI2501,0)</f>
        <v>0</v>
      </c>
      <c r="AK2501" s="196">
        <f>IFERROR($G2501/SUMIF($A:$A,$A2501,$G:$G)*SUMIF(Summary!$A$247:$A$283,$A2501,Summary!$Q$247:$Q$283),0)</f>
        <v>0</v>
      </c>
      <c r="AL2501" s="196">
        <f>IFERROR($G2501/SUMIF($A:$A,$A2501,$G:$G)*(SUMIF(Summary!$A$247:$A$283,$A2501,Summary!$L$247:$L$283)+SUMIF(Summary!$A$297:$A$333,$A2501,Summary!$L$297:$L$333))-AK2501,0)</f>
        <v>0</v>
      </c>
      <c r="AM2501" s="198"/>
      <c r="AN2501" s="196">
        <f t="shared" ca="1" si="544"/>
        <v>0</v>
      </c>
      <c r="AO2501" s="196">
        <f t="shared" ca="1" si="545"/>
        <v>0</v>
      </c>
    </row>
    <row r="2502" spans="1:41">
      <c r="A2502" s="189">
        <v>9651</v>
      </c>
      <c r="B2502" s="190">
        <v>4</v>
      </c>
      <c r="C2502" s="191" t="s">
        <v>239</v>
      </c>
      <c r="D2502" s="192">
        <f t="shared" si="546"/>
        <v>0</v>
      </c>
      <c r="E2502" s="192">
        <f t="shared" si="547"/>
        <v>0</v>
      </c>
      <c r="F2502" s="192">
        <f t="shared" si="548"/>
        <v>0</v>
      </c>
      <c r="G2502" s="193">
        <f t="shared" si="549"/>
        <v>0</v>
      </c>
      <c r="H2502" s="194">
        <v>0</v>
      </c>
      <c r="I2502" s="194">
        <v>0</v>
      </c>
      <c r="J2502" s="194">
        <v>0</v>
      </c>
      <c r="K2502" s="193">
        <f t="shared" si="550"/>
        <v>0</v>
      </c>
      <c r="L2502" s="194">
        <v>0</v>
      </c>
      <c r="M2502" s="194">
        <v>0</v>
      </c>
      <c r="N2502" s="194">
        <v>0</v>
      </c>
      <c r="O2502" s="193">
        <f t="shared" si="551"/>
        <v>0</v>
      </c>
      <c r="P2502" s="194">
        <v>0</v>
      </c>
      <c r="Q2502" s="194">
        <v>0</v>
      </c>
      <c r="R2502" s="194">
        <v>0</v>
      </c>
      <c r="S2502" s="193">
        <f t="shared" si="552"/>
        <v>0</v>
      </c>
      <c r="T2502" s="193">
        <f t="shared" si="553"/>
        <v>0</v>
      </c>
      <c r="U2502" s="193">
        <f ca="1">OFFSET('Expenditure Study'!$B$7,'Operations Support'!$C2502,'Operations Support'!$B2502)*$G2502</f>
        <v>0</v>
      </c>
      <c r="V2502" s="199">
        <f ca="1">U2502*'Expenditure Study'!$B$31</f>
        <v>0</v>
      </c>
      <c r="W2502" s="199">
        <f ca="1">IF(A2502=10298,1.51,1)*IF($B2502&lt;3,$D2502*'Expenditure Study'!$B$32*OFFSET('Expenditure Study'!$B$7,'Operations Support'!$C2502,'Operations Support'!$B2502),0)</f>
        <v>0</v>
      </c>
      <c r="X2502" s="200">
        <f ca="1">W2502*'Expenditure Study'!$B$31</f>
        <v>0</v>
      </c>
      <c r="Y2502" s="199">
        <f ca="1">U2502*'Expenditure Study'!$B$31</f>
        <v>0</v>
      </c>
      <c r="Z2502" s="200">
        <f ca="1">W2502*'Expenditure Study'!$B$31</f>
        <v>0</v>
      </c>
      <c r="AA2502" s="195">
        <f t="shared" ca="1" si="554"/>
        <v>0</v>
      </c>
      <c r="AB2502" s="195">
        <f t="shared" ca="1" si="555"/>
        <v>0</v>
      </c>
      <c r="AD2502" s="196">
        <f>IFERROR($G2502/SUMIF($A:$A,$A2502,$G:$G)*SUMIF(Summary!$A$166:$A$242,$A2502,Summary!$P$166:$P$242),0)</f>
        <v>0</v>
      </c>
      <c r="AE2502" s="197">
        <f t="shared" ref="AE2502:AE2565" ca="1" si="556">V2502+X2502-AD2502</f>
        <v>0</v>
      </c>
      <c r="AF2502" s="196">
        <f>IFERROR(G2502/SUMIF(A:A,A2502,G:G)*SUMIF(Summary!$A$166:$A$242,'Operations Support'!A2502,Summary!$Q$166:$Q$242),0)</f>
        <v>0</v>
      </c>
      <c r="AG2502" s="196">
        <f t="shared" ref="AG2502:AG2565" ca="1" si="557">Y2502+Z2502-AF2502</f>
        <v>0</v>
      </c>
      <c r="AI2502" s="196">
        <f>IFERROR($G2502/SUMIF($A:$A,$A2502,$G:$G)*SUMIF(Summary!$A$247:$A$283,$A2502,Summary!$P$247:$P$283),0)</f>
        <v>0</v>
      </c>
      <c r="AJ2502" s="196">
        <f>IFERROR($G2502/SUMIF($A:$A,$A2502,$G:$G)*(SUMIF(Summary!$A$247:$A$283,$A2502,Summary!$L$247:$L$283)+SUMIF(Summary!$A$297:$A$333,$A2502,Summary!$L$297:$L$333))-AI2502,0)</f>
        <v>0</v>
      </c>
      <c r="AK2502" s="196">
        <f>IFERROR($G2502/SUMIF($A:$A,$A2502,$G:$G)*SUMIF(Summary!$A$247:$A$283,$A2502,Summary!$Q$247:$Q$283),0)</f>
        <v>0</v>
      </c>
      <c r="AL2502" s="196">
        <f>IFERROR($G2502/SUMIF($A:$A,$A2502,$G:$G)*(SUMIF(Summary!$A$247:$A$283,$A2502,Summary!$L$247:$L$283)+SUMIF(Summary!$A$297:$A$333,$A2502,Summary!$L$297:$L$333))-AK2502,0)</f>
        <v>0</v>
      </c>
      <c r="AM2502" s="198"/>
      <c r="AN2502" s="196">
        <f t="shared" ref="AN2502:AN2565" ca="1" si="558">AE2502+AJ2502</f>
        <v>0</v>
      </c>
      <c r="AO2502" s="196">
        <f t="shared" ref="AO2502:AO2565" ca="1" si="559">AG2502+AL2502</f>
        <v>0</v>
      </c>
    </row>
    <row r="2503" spans="1:41">
      <c r="A2503" s="189">
        <v>9651</v>
      </c>
      <c r="B2503" s="190">
        <v>4</v>
      </c>
      <c r="C2503" s="191" t="s">
        <v>240</v>
      </c>
      <c r="D2503" s="192">
        <f t="shared" si="546"/>
        <v>0</v>
      </c>
      <c r="E2503" s="192">
        <f t="shared" si="547"/>
        <v>0</v>
      </c>
      <c r="F2503" s="192">
        <f t="shared" si="548"/>
        <v>0</v>
      </c>
      <c r="G2503" s="193">
        <f t="shared" si="549"/>
        <v>0</v>
      </c>
      <c r="H2503" s="194">
        <v>0</v>
      </c>
      <c r="I2503" s="194">
        <v>0</v>
      </c>
      <c r="J2503" s="194">
        <v>0</v>
      </c>
      <c r="K2503" s="193">
        <f t="shared" si="550"/>
        <v>0</v>
      </c>
      <c r="L2503" s="194">
        <v>0</v>
      </c>
      <c r="M2503" s="194">
        <v>0</v>
      </c>
      <c r="N2503" s="194">
        <v>0</v>
      </c>
      <c r="O2503" s="193">
        <f t="shared" si="551"/>
        <v>0</v>
      </c>
      <c r="P2503" s="194">
        <v>0</v>
      </c>
      <c r="Q2503" s="194">
        <v>0</v>
      </c>
      <c r="R2503" s="194">
        <v>0</v>
      </c>
      <c r="S2503" s="193">
        <f t="shared" si="552"/>
        <v>0</v>
      </c>
      <c r="T2503" s="193">
        <f t="shared" si="553"/>
        <v>0</v>
      </c>
      <c r="U2503" s="193">
        <f ca="1">OFFSET('Expenditure Study'!$B$7,'Operations Support'!$C2503,'Operations Support'!$B2503)*$G2503</f>
        <v>0</v>
      </c>
      <c r="V2503" s="199">
        <f ca="1">U2503*'Expenditure Study'!$B$31</f>
        <v>0</v>
      </c>
      <c r="W2503" s="199">
        <f ca="1">IF(A2503=10298,1.51,1)*IF($B2503&lt;3,$D2503*'Expenditure Study'!$B$32*OFFSET('Expenditure Study'!$B$7,'Operations Support'!$C2503,'Operations Support'!$B2503),0)</f>
        <v>0</v>
      </c>
      <c r="X2503" s="200">
        <f ca="1">W2503*'Expenditure Study'!$B$31</f>
        <v>0</v>
      </c>
      <c r="Y2503" s="199">
        <f ca="1">U2503*'Expenditure Study'!$B$31</f>
        <v>0</v>
      </c>
      <c r="Z2503" s="200">
        <f ca="1">W2503*'Expenditure Study'!$B$31</f>
        <v>0</v>
      </c>
      <c r="AA2503" s="195">
        <f t="shared" ca="1" si="554"/>
        <v>0</v>
      </c>
      <c r="AB2503" s="195">
        <f t="shared" ca="1" si="555"/>
        <v>0</v>
      </c>
      <c r="AD2503" s="196">
        <f>IFERROR($G2503/SUMIF($A:$A,$A2503,$G:$G)*SUMIF(Summary!$A$166:$A$242,$A2503,Summary!$P$166:$P$242),0)</f>
        <v>0</v>
      </c>
      <c r="AE2503" s="197">
        <f t="shared" ca="1" si="556"/>
        <v>0</v>
      </c>
      <c r="AF2503" s="196">
        <f>IFERROR(G2503/SUMIF(A:A,A2503,G:G)*SUMIF(Summary!$A$166:$A$242,'Operations Support'!A2503,Summary!$Q$166:$Q$242),0)</f>
        <v>0</v>
      </c>
      <c r="AG2503" s="196">
        <f t="shared" ca="1" si="557"/>
        <v>0</v>
      </c>
      <c r="AI2503" s="196">
        <f>IFERROR($G2503/SUMIF($A:$A,$A2503,$G:$G)*SUMIF(Summary!$A$247:$A$283,$A2503,Summary!$P$247:$P$283),0)</f>
        <v>0</v>
      </c>
      <c r="AJ2503" s="196">
        <f>IFERROR($G2503/SUMIF($A:$A,$A2503,$G:$G)*(SUMIF(Summary!$A$247:$A$283,$A2503,Summary!$L$247:$L$283)+SUMIF(Summary!$A$297:$A$333,$A2503,Summary!$L$297:$L$333))-AI2503,0)</f>
        <v>0</v>
      </c>
      <c r="AK2503" s="196">
        <f>IFERROR($G2503/SUMIF($A:$A,$A2503,$G:$G)*SUMIF(Summary!$A$247:$A$283,$A2503,Summary!$Q$247:$Q$283),0)</f>
        <v>0</v>
      </c>
      <c r="AL2503" s="196">
        <f>IFERROR($G2503/SUMIF($A:$A,$A2503,$G:$G)*(SUMIF(Summary!$A$247:$A$283,$A2503,Summary!$L$247:$L$283)+SUMIF(Summary!$A$297:$A$333,$A2503,Summary!$L$297:$L$333))-AK2503,0)</f>
        <v>0</v>
      </c>
      <c r="AM2503" s="198"/>
      <c r="AN2503" s="196">
        <f t="shared" ca="1" si="558"/>
        <v>0</v>
      </c>
      <c r="AO2503" s="196">
        <f t="shared" ca="1" si="559"/>
        <v>0</v>
      </c>
    </row>
    <row r="2504" spans="1:41">
      <c r="A2504" s="189">
        <v>9651</v>
      </c>
      <c r="B2504" s="190">
        <v>5</v>
      </c>
      <c r="C2504" s="191" t="s">
        <v>220</v>
      </c>
      <c r="D2504" s="192">
        <f t="shared" si="546"/>
        <v>0</v>
      </c>
      <c r="E2504" s="192">
        <f t="shared" si="547"/>
        <v>0</v>
      </c>
      <c r="F2504" s="192">
        <f t="shared" si="548"/>
        <v>0</v>
      </c>
      <c r="G2504" s="193">
        <f t="shared" si="549"/>
        <v>0</v>
      </c>
      <c r="H2504" s="194">
        <v>0</v>
      </c>
      <c r="I2504" s="194">
        <v>0</v>
      </c>
      <c r="J2504" s="194">
        <v>0</v>
      </c>
      <c r="K2504" s="193">
        <f t="shared" si="550"/>
        <v>0</v>
      </c>
      <c r="L2504" s="194">
        <v>0</v>
      </c>
      <c r="M2504" s="194">
        <v>0</v>
      </c>
      <c r="N2504" s="194">
        <v>0</v>
      </c>
      <c r="O2504" s="193">
        <f t="shared" si="551"/>
        <v>0</v>
      </c>
      <c r="P2504" s="194">
        <v>0</v>
      </c>
      <c r="Q2504" s="194">
        <v>0</v>
      </c>
      <c r="R2504" s="194">
        <v>0</v>
      </c>
      <c r="S2504" s="193">
        <f t="shared" si="552"/>
        <v>0</v>
      </c>
      <c r="T2504" s="193">
        <f t="shared" si="553"/>
        <v>0</v>
      </c>
      <c r="U2504" s="193">
        <f ca="1">OFFSET('Expenditure Study'!$B$7,'Operations Support'!$C2504,'Operations Support'!$B2504)*$G2504</f>
        <v>0</v>
      </c>
      <c r="V2504" s="199">
        <f ca="1">U2504*'Expenditure Study'!$B$31</f>
        <v>0</v>
      </c>
      <c r="W2504" s="199">
        <f ca="1">IF(A2504=10298,1.51,1)*IF($B2504&lt;3,$D2504*'Expenditure Study'!$B$32*OFFSET('Expenditure Study'!$B$7,'Operations Support'!$C2504,'Operations Support'!$B2504),0)</f>
        <v>0</v>
      </c>
      <c r="X2504" s="200">
        <f ca="1">W2504*'Expenditure Study'!$B$31</f>
        <v>0</v>
      </c>
      <c r="Y2504" s="199">
        <f ca="1">U2504*'Expenditure Study'!$B$31</f>
        <v>0</v>
      </c>
      <c r="Z2504" s="200">
        <f ca="1">W2504*'Expenditure Study'!$B$31</f>
        <v>0</v>
      </c>
      <c r="AA2504" s="195">
        <f t="shared" ca="1" si="554"/>
        <v>0</v>
      </c>
      <c r="AB2504" s="195">
        <f t="shared" ca="1" si="555"/>
        <v>0</v>
      </c>
      <c r="AD2504" s="196">
        <f>IFERROR($G2504/SUMIF($A:$A,$A2504,$G:$G)*SUMIF(Summary!$A$166:$A$242,$A2504,Summary!$P$166:$P$242),0)</f>
        <v>0</v>
      </c>
      <c r="AE2504" s="197">
        <f t="shared" ca="1" si="556"/>
        <v>0</v>
      </c>
      <c r="AF2504" s="196">
        <f>IFERROR(G2504/SUMIF(A:A,A2504,G:G)*SUMIF(Summary!$A$166:$A$242,'Operations Support'!A2504,Summary!$Q$166:$Q$242),0)</f>
        <v>0</v>
      </c>
      <c r="AG2504" s="196">
        <f t="shared" ca="1" si="557"/>
        <v>0</v>
      </c>
      <c r="AI2504" s="196">
        <f>IFERROR($G2504/SUMIF($A:$A,$A2504,$G:$G)*SUMIF(Summary!$A$247:$A$283,$A2504,Summary!$P$247:$P$283),0)</f>
        <v>0</v>
      </c>
      <c r="AJ2504" s="196">
        <f>IFERROR($G2504/SUMIF($A:$A,$A2504,$G:$G)*(SUMIF(Summary!$A$247:$A$283,$A2504,Summary!$L$247:$L$283)+SUMIF(Summary!$A$297:$A$333,$A2504,Summary!$L$297:$L$333))-AI2504,0)</f>
        <v>0</v>
      </c>
      <c r="AK2504" s="196">
        <f>IFERROR($G2504/SUMIF($A:$A,$A2504,$G:$G)*SUMIF(Summary!$A$247:$A$283,$A2504,Summary!$Q$247:$Q$283),0)</f>
        <v>0</v>
      </c>
      <c r="AL2504" s="196">
        <f>IFERROR($G2504/SUMIF($A:$A,$A2504,$G:$G)*(SUMIF(Summary!$A$247:$A$283,$A2504,Summary!$L$247:$L$283)+SUMIF(Summary!$A$297:$A$333,$A2504,Summary!$L$297:$L$333))-AK2504,0)</f>
        <v>0</v>
      </c>
      <c r="AM2504" s="198"/>
      <c r="AN2504" s="196">
        <f t="shared" ca="1" si="558"/>
        <v>0</v>
      </c>
      <c r="AO2504" s="196">
        <f t="shared" ca="1" si="559"/>
        <v>0</v>
      </c>
    </row>
    <row r="2505" spans="1:41">
      <c r="A2505" s="189">
        <v>9651</v>
      </c>
      <c r="B2505" s="190">
        <v>5</v>
      </c>
      <c r="C2505" s="191" t="s">
        <v>221</v>
      </c>
      <c r="D2505" s="192">
        <f t="shared" si="546"/>
        <v>0</v>
      </c>
      <c r="E2505" s="192">
        <f t="shared" si="547"/>
        <v>0</v>
      </c>
      <c r="F2505" s="192">
        <f t="shared" si="548"/>
        <v>0</v>
      </c>
      <c r="G2505" s="193">
        <f t="shared" si="549"/>
        <v>0</v>
      </c>
      <c r="H2505" s="194">
        <v>0</v>
      </c>
      <c r="I2505" s="194">
        <v>0</v>
      </c>
      <c r="J2505" s="194">
        <v>0</v>
      </c>
      <c r="K2505" s="193">
        <f t="shared" si="550"/>
        <v>0</v>
      </c>
      <c r="L2505" s="194">
        <v>0</v>
      </c>
      <c r="M2505" s="194">
        <v>0</v>
      </c>
      <c r="N2505" s="194">
        <v>0</v>
      </c>
      <c r="O2505" s="193">
        <f t="shared" si="551"/>
        <v>0</v>
      </c>
      <c r="P2505" s="194">
        <v>0</v>
      </c>
      <c r="Q2505" s="194">
        <v>0</v>
      </c>
      <c r="R2505" s="194">
        <v>0</v>
      </c>
      <c r="S2505" s="193">
        <f t="shared" si="552"/>
        <v>0</v>
      </c>
      <c r="T2505" s="193">
        <f t="shared" si="553"/>
        <v>0</v>
      </c>
      <c r="U2505" s="193">
        <f ca="1">OFFSET('Expenditure Study'!$B$7,'Operations Support'!$C2505,'Operations Support'!$B2505)*$G2505</f>
        <v>0</v>
      </c>
      <c r="V2505" s="199">
        <f ca="1">U2505*'Expenditure Study'!$B$31</f>
        <v>0</v>
      </c>
      <c r="W2505" s="199">
        <f ca="1">IF(A2505=10298,1.51,1)*IF($B2505&lt;3,$D2505*'Expenditure Study'!$B$32*OFFSET('Expenditure Study'!$B$7,'Operations Support'!$C2505,'Operations Support'!$B2505),0)</f>
        <v>0</v>
      </c>
      <c r="X2505" s="200">
        <f ca="1">W2505*'Expenditure Study'!$B$31</f>
        <v>0</v>
      </c>
      <c r="Y2505" s="199">
        <f ca="1">U2505*'Expenditure Study'!$B$31</f>
        <v>0</v>
      </c>
      <c r="Z2505" s="200">
        <f ca="1">W2505*'Expenditure Study'!$B$31</f>
        <v>0</v>
      </c>
      <c r="AA2505" s="195">
        <f t="shared" ca="1" si="554"/>
        <v>0</v>
      </c>
      <c r="AB2505" s="195">
        <f t="shared" ca="1" si="555"/>
        <v>0</v>
      </c>
      <c r="AD2505" s="196">
        <f>IFERROR($G2505/SUMIF($A:$A,$A2505,$G:$G)*SUMIF(Summary!$A$166:$A$242,$A2505,Summary!$P$166:$P$242),0)</f>
        <v>0</v>
      </c>
      <c r="AE2505" s="197">
        <f t="shared" ca="1" si="556"/>
        <v>0</v>
      </c>
      <c r="AF2505" s="196">
        <f>IFERROR(G2505/SUMIF(A:A,A2505,G:G)*SUMIF(Summary!$A$166:$A$242,'Operations Support'!A2505,Summary!$Q$166:$Q$242),0)</f>
        <v>0</v>
      </c>
      <c r="AG2505" s="196">
        <f t="shared" ca="1" si="557"/>
        <v>0</v>
      </c>
      <c r="AI2505" s="196">
        <f>IFERROR($G2505/SUMIF($A:$A,$A2505,$G:$G)*SUMIF(Summary!$A$247:$A$283,$A2505,Summary!$P$247:$P$283),0)</f>
        <v>0</v>
      </c>
      <c r="AJ2505" s="196">
        <f>IFERROR($G2505/SUMIF($A:$A,$A2505,$G:$G)*(SUMIF(Summary!$A$247:$A$283,$A2505,Summary!$L$247:$L$283)+SUMIF(Summary!$A$297:$A$333,$A2505,Summary!$L$297:$L$333))-AI2505,0)</f>
        <v>0</v>
      </c>
      <c r="AK2505" s="196">
        <f>IFERROR($G2505/SUMIF($A:$A,$A2505,$G:$G)*SUMIF(Summary!$A$247:$A$283,$A2505,Summary!$Q$247:$Q$283),0)</f>
        <v>0</v>
      </c>
      <c r="AL2505" s="196">
        <f>IFERROR($G2505/SUMIF($A:$A,$A2505,$G:$G)*(SUMIF(Summary!$A$247:$A$283,$A2505,Summary!$L$247:$L$283)+SUMIF(Summary!$A$297:$A$333,$A2505,Summary!$L$297:$L$333))-AK2505,0)</f>
        <v>0</v>
      </c>
      <c r="AM2505" s="198"/>
      <c r="AN2505" s="196">
        <f t="shared" ca="1" si="558"/>
        <v>0</v>
      </c>
      <c r="AO2505" s="196">
        <f t="shared" ca="1" si="559"/>
        <v>0</v>
      </c>
    </row>
    <row r="2506" spans="1:41">
      <c r="A2506" s="189">
        <v>9651</v>
      </c>
      <c r="B2506" s="190">
        <v>5</v>
      </c>
      <c r="C2506" s="191" t="s">
        <v>222</v>
      </c>
      <c r="D2506" s="192">
        <f t="shared" si="546"/>
        <v>0</v>
      </c>
      <c r="E2506" s="192">
        <f t="shared" si="547"/>
        <v>0</v>
      </c>
      <c r="F2506" s="192">
        <f t="shared" si="548"/>
        <v>0</v>
      </c>
      <c r="G2506" s="193">
        <f t="shared" si="549"/>
        <v>0</v>
      </c>
      <c r="H2506" s="194">
        <v>0</v>
      </c>
      <c r="I2506" s="194">
        <v>0</v>
      </c>
      <c r="J2506" s="194">
        <v>0</v>
      </c>
      <c r="K2506" s="193">
        <f t="shared" si="550"/>
        <v>0</v>
      </c>
      <c r="L2506" s="194">
        <v>0</v>
      </c>
      <c r="M2506" s="194">
        <v>0</v>
      </c>
      <c r="N2506" s="194">
        <v>0</v>
      </c>
      <c r="O2506" s="193">
        <f t="shared" si="551"/>
        <v>0</v>
      </c>
      <c r="P2506" s="194">
        <v>0</v>
      </c>
      <c r="Q2506" s="194">
        <v>0</v>
      </c>
      <c r="R2506" s="194">
        <v>0</v>
      </c>
      <c r="S2506" s="193">
        <f t="shared" si="552"/>
        <v>0</v>
      </c>
      <c r="T2506" s="193">
        <f t="shared" si="553"/>
        <v>0</v>
      </c>
      <c r="U2506" s="193">
        <f ca="1">OFFSET('Expenditure Study'!$B$7,'Operations Support'!$C2506,'Operations Support'!$B2506)*$G2506</f>
        <v>0</v>
      </c>
      <c r="V2506" s="199">
        <f ca="1">U2506*'Expenditure Study'!$B$31</f>
        <v>0</v>
      </c>
      <c r="W2506" s="199">
        <f ca="1">IF(A2506=10298,1.51,1)*IF($B2506&lt;3,$D2506*'Expenditure Study'!$B$32*OFFSET('Expenditure Study'!$B$7,'Operations Support'!$C2506,'Operations Support'!$B2506),0)</f>
        <v>0</v>
      </c>
      <c r="X2506" s="200">
        <f ca="1">W2506*'Expenditure Study'!$B$31</f>
        <v>0</v>
      </c>
      <c r="Y2506" s="199">
        <f ca="1">U2506*'Expenditure Study'!$B$31</f>
        <v>0</v>
      </c>
      <c r="Z2506" s="200">
        <f ca="1">W2506*'Expenditure Study'!$B$31</f>
        <v>0</v>
      </c>
      <c r="AA2506" s="195">
        <f t="shared" ca="1" si="554"/>
        <v>0</v>
      </c>
      <c r="AB2506" s="195">
        <f t="shared" ca="1" si="555"/>
        <v>0</v>
      </c>
      <c r="AD2506" s="196">
        <f>IFERROR($G2506/SUMIF($A:$A,$A2506,$G:$G)*SUMIF(Summary!$A$166:$A$242,$A2506,Summary!$P$166:$P$242),0)</f>
        <v>0</v>
      </c>
      <c r="AE2506" s="197">
        <f t="shared" ca="1" si="556"/>
        <v>0</v>
      </c>
      <c r="AF2506" s="196">
        <f>IFERROR(G2506/SUMIF(A:A,A2506,G:G)*SUMIF(Summary!$A$166:$A$242,'Operations Support'!A2506,Summary!$Q$166:$Q$242),0)</f>
        <v>0</v>
      </c>
      <c r="AG2506" s="196">
        <f t="shared" ca="1" si="557"/>
        <v>0</v>
      </c>
      <c r="AI2506" s="196">
        <f>IFERROR($G2506/SUMIF($A:$A,$A2506,$G:$G)*SUMIF(Summary!$A$247:$A$283,$A2506,Summary!$P$247:$P$283),0)</f>
        <v>0</v>
      </c>
      <c r="AJ2506" s="196">
        <f>IFERROR($G2506/SUMIF($A:$A,$A2506,$G:$G)*(SUMIF(Summary!$A$247:$A$283,$A2506,Summary!$L$247:$L$283)+SUMIF(Summary!$A$297:$A$333,$A2506,Summary!$L$297:$L$333))-AI2506,0)</f>
        <v>0</v>
      </c>
      <c r="AK2506" s="196">
        <f>IFERROR($G2506/SUMIF($A:$A,$A2506,$G:$G)*SUMIF(Summary!$A$247:$A$283,$A2506,Summary!$Q$247:$Q$283),0)</f>
        <v>0</v>
      </c>
      <c r="AL2506" s="196">
        <f>IFERROR($G2506/SUMIF($A:$A,$A2506,$G:$G)*(SUMIF(Summary!$A$247:$A$283,$A2506,Summary!$L$247:$L$283)+SUMIF(Summary!$A$297:$A$333,$A2506,Summary!$L$297:$L$333))-AK2506,0)</f>
        <v>0</v>
      </c>
      <c r="AM2506" s="198"/>
      <c r="AN2506" s="196">
        <f t="shared" ca="1" si="558"/>
        <v>0</v>
      </c>
      <c r="AO2506" s="196">
        <f t="shared" ca="1" si="559"/>
        <v>0</v>
      </c>
    </row>
    <row r="2507" spans="1:41">
      <c r="A2507" s="189">
        <v>9651</v>
      </c>
      <c r="B2507" s="190">
        <v>5</v>
      </c>
      <c r="C2507" s="191" t="s">
        <v>223</v>
      </c>
      <c r="D2507" s="192">
        <f t="shared" si="546"/>
        <v>0</v>
      </c>
      <c r="E2507" s="192">
        <f t="shared" si="547"/>
        <v>0</v>
      </c>
      <c r="F2507" s="192">
        <f t="shared" si="548"/>
        <v>0</v>
      </c>
      <c r="G2507" s="193">
        <f t="shared" si="549"/>
        <v>0</v>
      </c>
      <c r="H2507" s="194">
        <v>0</v>
      </c>
      <c r="I2507" s="194">
        <v>0</v>
      </c>
      <c r="J2507" s="194">
        <v>0</v>
      </c>
      <c r="K2507" s="193">
        <f t="shared" si="550"/>
        <v>0</v>
      </c>
      <c r="L2507" s="194">
        <v>0</v>
      </c>
      <c r="M2507" s="194">
        <v>0</v>
      </c>
      <c r="N2507" s="194">
        <v>0</v>
      </c>
      <c r="O2507" s="193">
        <f t="shared" si="551"/>
        <v>0</v>
      </c>
      <c r="P2507" s="194">
        <v>0</v>
      </c>
      <c r="Q2507" s="194">
        <v>0</v>
      </c>
      <c r="R2507" s="194">
        <v>0</v>
      </c>
      <c r="S2507" s="193">
        <f t="shared" si="552"/>
        <v>0</v>
      </c>
      <c r="T2507" s="193">
        <f t="shared" si="553"/>
        <v>0</v>
      </c>
      <c r="U2507" s="193">
        <f ca="1">OFFSET('Expenditure Study'!$B$7,'Operations Support'!$C2507,'Operations Support'!$B2507)*$G2507</f>
        <v>0</v>
      </c>
      <c r="V2507" s="199">
        <f ca="1">U2507*'Expenditure Study'!$B$31</f>
        <v>0</v>
      </c>
      <c r="W2507" s="199">
        <f ca="1">IF(A2507=10298,1.51,1)*IF($B2507&lt;3,$D2507*'Expenditure Study'!$B$32*OFFSET('Expenditure Study'!$B$7,'Operations Support'!$C2507,'Operations Support'!$B2507),0)</f>
        <v>0</v>
      </c>
      <c r="X2507" s="200">
        <f ca="1">W2507*'Expenditure Study'!$B$31</f>
        <v>0</v>
      </c>
      <c r="Y2507" s="199">
        <f ca="1">U2507*'Expenditure Study'!$B$31</f>
        <v>0</v>
      </c>
      <c r="Z2507" s="200">
        <f ca="1">W2507*'Expenditure Study'!$B$31</f>
        <v>0</v>
      </c>
      <c r="AA2507" s="195">
        <f t="shared" ca="1" si="554"/>
        <v>0</v>
      </c>
      <c r="AB2507" s="195">
        <f t="shared" ca="1" si="555"/>
        <v>0</v>
      </c>
      <c r="AD2507" s="196">
        <f>IFERROR($G2507/SUMIF($A:$A,$A2507,$G:$G)*SUMIF(Summary!$A$166:$A$242,$A2507,Summary!$P$166:$P$242),0)</f>
        <v>0</v>
      </c>
      <c r="AE2507" s="197">
        <f t="shared" ca="1" si="556"/>
        <v>0</v>
      </c>
      <c r="AF2507" s="196">
        <f>IFERROR(G2507/SUMIF(A:A,A2507,G:G)*SUMIF(Summary!$A$166:$A$242,'Operations Support'!A2507,Summary!$Q$166:$Q$242),0)</f>
        <v>0</v>
      </c>
      <c r="AG2507" s="196">
        <f t="shared" ca="1" si="557"/>
        <v>0</v>
      </c>
      <c r="AI2507" s="196">
        <f>IFERROR($G2507/SUMIF($A:$A,$A2507,$G:$G)*SUMIF(Summary!$A$247:$A$283,$A2507,Summary!$P$247:$P$283),0)</f>
        <v>0</v>
      </c>
      <c r="AJ2507" s="196">
        <f>IFERROR($G2507/SUMIF($A:$A,$A2507,$G:$G)*(SUMIF(Summary!$A$247:$A$283,$A2507,Summary!$L$247:$L$283)+SUMIF(Summary!$A$297:$A$333,$A2507,Summary!$L$297:$L$333))-AI2507,0)</f>
        <v>0</v>
      </c>
      <c r="AK2507" s="196">
        <f>IFERROR($G2507/SUMIF($A:$A,$A2507,$G:$G)*SUMIF(Summary!$A$247:$A$283,$A2507,Summary!$Q$247:$Q$283),0)</f>
        <v>0</v>
      </c>
      <c r="AL2507" s="196">
        <f>IFERROR($G2507/SUMIF($A:$A,$A2507,$G:$G)*(SUMIF(Summary!$A$247:$A$283,$A2507,Summary!$L$247:$L$283)+SUMIF(Summary!$A$297:$A$333,$A2507,Summary!$L$297:$L$333))-AK2507,0)</f>
        <v>0</v>
      </c>
      <c r="AM2507" s="198"/>
      <c r="AN2507" s="196">
        <f t="shared" ca="1" si="558"/>
        <v>0</v>
      </c>
      <c r="AO2507" s="196">
        <f t="shared" ca="1" si="559"/>
        <v>0</v>
      </c>
    </row>
    <row r="2508" spans="1:41">
      <c r="A2508" s="189">
        <v>9651</v>
      </c>
      <c r="B2508" s="190">
        <v>5</v>
      </c>
      <c r="C2508" s="191" t="s">
        <v>224</v>
      </c>
      <c r="D2508" s="192">
        <f t="shared" si="546"/>
        <v>0</v>
      </c>
      <c r="E2508" s="192">
        <f t="shared" si="547"/>
        <v>0</v>
      </c>
      <c r="F2508" s="192">
        <f t="shared" si="548"/>
        <v>0</v>
      </c>
      <c r="G2508" s="193">
        <f t="shared" si="549"/>
        <v>0</v>
      </c>
      <c r="H2508" s="194">
        <v>0</v>
      </c>
      <c r="I2508" s="194">
        <v>0</v>
      </c>
      <c r="J2508" s="194">
        <v>0</v>
      </c>
      <c r="K2508" s="193">
        <f t="shared" si="550"/>
        <v>0</v>
      </c>
      <c r="L2508" s="194">
        <v>0</v>
      </c>
      <c r="M2508" s="194">
        <v>0</v>
      </c>
      <c r="N2508" s="194">
        <v>0</v>
      </c>
      <c r="O2508" s="193">
        <f t="shared" si="551"/>
        <v>0</v>
      </c>
      <c r="P2508" s="194">
        <v>0</v>
      </c>
      <c r="Q2508" s="194">
        <v>0</v>
      </c>
      <c r="R2508" s="194">
        <v>0</v>
      </c>
      <c r="S2508" s="193">
        <f t="shared" si="552"/>
        <v>0</v>
      </c>
      <c r="T2508" s="193">
        <f t="shared" si="553"/>
        <v>0</v>
      </c>
      <c r="U2508" s="193">
        <f ca="1">OFFSET('Expenditure Study'!$B$7,'Operations Support'!$C2508,'Operations Support'!$B2508)*$G2508</f>
        <v>0</v>
      </c>
      <c r="V2508" s="199">
        <f ca="1">U2508*'Expenditure Study'!$B$31</f>
        <v>0</v>
      </c>
      <c r="W2508" s="199">
        <f ca="1">IF(A2508=10298,1.51,1)*IF($B2508&lt;3,$D2508*'Expenditure Study'!$B$32*OFFSET('Expenditure Study'!$B$7,'Operations Support'!$C2508,'Operations Support'!$B2508),0)</f>
        <v>0</v>
      </c>
      <c r="X2508" s="200">
        <f ca="1">W2508*'Expenditure Study'!$B$31</f>
        <v>0</v>
      </c>
      <c r="Y2508" s="199">
        <f ca="1">U2508*'Expenditure Study'!$B$31</f>
        <v>0</v>
      </c>
      <c r="Z2508" s="200">
        <f ca="1">W2508*'Expenditure Study'!$B$31</f>
        <v>0</v>
      </c>
      <c r="AA2508" s="195">
        <f t="shared" ca="1" si="554"/>
        <v>0</v>
      </c>
      <c r="AB2508" s="195">
        <f t="shared" ca="1" si="555"/>
        <v>0</v>
      </c>
      <c r="AD2508" s="196">
        <f>IFERROR($G2508/SUMIF($A:$A,$A2508,$G:$G)*SUMIF(Summary!$A$166:$A$242,$A2508,Summary!$P$166:$P$242),0)</f>
        <v>0</v>
      </c>
      <c r="AE2508" s="197">
        <f t="shared" ca="1" si="556"/>
        <v>0</v>
      </c>
      <c r="AF2508" s="196">
        <f>IFERROR(G2508/SUMIF(A:A,A2508,G:G)*SUMIF(Summary!$A$166:$A$242,'Operations Support'!A2508,Summary!$Q$166:$Q$242),0)</f>
        <v>0</v>
      </c>
      <c r="AG2508" s="196">
        <f t="shared" ca="1" si="557"/>
        <v>0</v>
      </c>
      <c r="AI2508" s="196">
        <f>IFERROR($G2508/SUMIF($A:$A,$A2508,$G:$G)*SUMIF(Summary!$A$247:$A$283,$A2508,Summary!$P$247:$P$283),0)</f>
        <v>0</v>
      </c>
      <c r="AJ2508" s="196">
        <f>IFERROR($G2508/SUMIF($A:$A,$A2508,$G:$G)*(SUMIF(Summary!$A$247:$A$283,$A2508,Summary!$L$247:$L$283)+SUMIF(Summary!$A$297:$A$333,$A2508,Summary!$L$297:$L$333))-AI2508,0)</f>
        <v>0</v>
      </c>
      <c r="AK2508" s="196">
        <f>IFERROR($G2508/SUMIF($A:$A,$A2508,$G:$G)*SUMIF(Summary!$A$247:$A$283,$A2508,Summary!$Q$247:$Q$283),0)</f>
        <v>0</v>
      </c>
      <c r="AL2508" s="196">
        <f>IFERROR($G2508/SUMIF($A:$A,$A2508,$G:$G)*(SUMIF(Summary!$A$247:$A$283,$A2508,Summary!$L$247:$L$283)+SUMIF(Summary!$A$297:$A$333,$A2508,Summary!$L$297:$L$333))-AK2508,0)</f>
        <v>0</v>
      </c>
      <c r="AM2508" s="198"/>
      <c r="AN2508" s="196">
        <f t="shared" ca="1" si="558"/>
        <v>0</v>
      </c>
      <c r="AO2508" s="196">
        <f t="shared" ca="1" si="559"/>
        <v>0</v>
      </c>
    </row>
    <row r="2509" spans="1:41">
      <c r="A2509" s="189">
        <v>9651</v>
      </c>
      <c r="B2509" s="190">
        <v>5</v>
      </c>
      <c r="C2509" s="191" t="s">
        <v>225</v>
      </c>
      <c r="D2509" s="192">
        <f t="shared" si="546"/>
        <v>0</v>
      </c>
      <c r="E2509" s="192">
        <f t="shared" si="547"/>
        <v>0</v>
      </c>
      <c r="F2509" s="192">
        <f t="shared" si="548"/>
        <v>0</v>
      </c>
      <c r="G2509" s="193">
        <f t="shared" si="549"/>
        <v>0</v>
      </c>
      <c r="H2509" s="194">
        <v>0</v>
      </c>
      <c r="I2509" s="194">
        <v>0</v>
      </c>
      <c r="J2509" s="194">
        <v>0</v>
      </c>
      <c r="K2509" s="193">
        <f t="shared" si="550"/>
        <v>0</v>
      </c>
      <c r="L2509" s="194">
        <v>0</v>
      </c>
      <c r="M2509" s="194">
        <v>0</v>
      </c>
      <c r="N2509" s="194">
        <v>0</v>
      </c>
      <c r="O2509" s="193">
        <f t="shared" si="551"/>
        <v>0</v>
      </c>
      <c r="P2509" s="194">
        <v>0</v>
      </c>
      <c r="Q2509" s="194">
        <v>0</v>
      </c>
      <c r="R2509" s="194">
        <v>0</v>
      </c>
      <c r="S2509" s="193">
        <f t="shared" si="552"/>
        <v>0</v>
      </c>
      <c r="T2509" s="193">
        <f t="shared" si="553"/>
        <v>0</v>
      </c>
      <c r="U2509" s="193">
        <f ca="1">OFFSET('Expenditure Study'!$B$7,'Operations Support'!$C2509,'Operations Support'!$B2509)*$G2509</f>
        <v>0</v>
      </c>
      <c r="V2509" s="199">
        <f ca="1">U2509*'Expenditure Study'!$B$31</f>
        <v>0</v>
      </c>
      <c r="W2509" s="199">
        <f ca="1">IF(A2509=10298,1.51,1)*IF($B2509&lt;3,$D2509*'Expenditure Study'!$B$32*OFFSET('Expenditure Study'!$B$7,'Operations Support'!$C2509,'Operations Support'!$B2509),0)</f>
        <v>0</v>
      </c>
      <c r="X2509" s="200">
        <f ca="1">W2509*'Expenditure Study'!$B$31</f>
        <v>0</v>
      </c>
      <c r="Y2509" s="199">
        <f ca="1">U2509*'Expenditure Study'!$B$31</f>
        <v>0</v>
      </c>
      <c r="Z2509" s="200">
        <f ca="1">W2509*'Expenditure Study'!$B$31</f>
        <v>0</v>
      </c>
      <c r="AA2509" s="195">
        <f t="shared" ca="1" si="554"/>
        <v>0</v>
      </c>
      <c r="AB2509" s="195">
        <f t="shared" ca="1" si="555"/>
        <v>0</v>
      </c>
      <c r="AD2509" s="196">
        <f>IFERROR($G2509/SUMIF($A:$A,$A2509,$G:$G)*SUMIF(Summary!$A$166:$A$242,$A2509,Summary!$P$166:$P$242),0)</f>
        <v>0</v>
      </c>
      <c r="AE2509" s="197">
        <f t="shared" ca="1" si="556"/>
        <v>0</v>
      </c>
      <c r="AF2509" s="196">
        <f>IFERROR(G2509/SUMIF(A:A,A2509,G:G)*SUMIF(Summary!$A$166:$A$242,'Operations Support'!A2509,Summary!$Q$166:$Q$242),0)</f>
        <v>0</v>
      </c>
      <c r="AG2509" s="196">
        <f t="shared" ca="1" si="557"/>
        <v>0</v>
      </c>
      <c r="AI2509" s="196">
        <f>IFERROR($G2509/SUMIF($A:$A,$A2509,$G:$G)*SUMIF(Summary!$A$247:$A$283,$A2509,Summary!$P$247:$P$283),0)</f>
        <v>0</v>
      </c>
      <c r="AJ2509" s="196">
        <f>IFERROR($G2509/SUMIF($A:$A,$A2509,$G:$G)*(SUMIF(Summary!$A$247:$A$283,$A2509,Summary!$L$247:$L$283)+SUMIF(Summary!$A$297:$A$333,$A2509,Summary!$L$297:$L$333))-AI2509,0)</f>
        <v>0</v>
      </c>
      <c r="AK2509" s="196">
        <f>IFERROR($G2509/SUMIF($A:$A,$A2509,$G:$G)*SUMIF(Summary!$A$247:$A$283,$A2509,Summary!$Q$247:$Q$283),0)</f>
        <v>0</v>
      </c>
      <c r="AL2509" s="196">
        <f>IFERROR($G2509/SUMIF($A:$A,$A2509,$G:$G)*(SUMIF(Summary!$A$247:$A$283,$A2509,Summary!$L$247:$L$283)+SUMIF(Summary!$A$297:$A$333,$A2509,Summary!$L$297:$L$333))-AK2509,0)</f>
        <v>0</v>
      </c>
      <c r="AM2509" s="198"/>
      <c r="AN2509" s="196">
        <f t="shared" ca="1" si="558"/>
        <v>0</v>
      </c>
      <c r="AO2509" s="196">
        <f t="shared" ca="1" si="559"/>
        <v>0</v>
      </c>
    </row>
    <row r="2510" spans="1:41">
      <c r="A2510" s="189">
        <v>9651</v>
      </c>
      <c r="B2510" s="190">
        <v>5</v>
      </c>
      <c r="C2510" s="191" t="s">
        <v>226</v>
      </c>
      <c r="D2510" s="192">
        <f t="shared" si="546"/>
        <v>0</v>
      </c>
      <c r="E2510" s="192">
        <f t="shared" si="547"/>
        <v>0</v>
      </c>
      <c r="F2510" s="192">
        <f t="shared" si="548"/>
        <v>0</v>
      </c>
      <c r="G2510" s="193">
        <f t="shared" si="549"/>
        <v>0</v>
      </c>
      <c r="H2510" s="194">
        <v>0</v>
      </c>
      <c r="I2510" s="194">
        <v>0</v>
      </c>
      <c r="J2510" s="194">
        <v>0</v>
      </c>
      <c r="K2510" s="193">
        <f t="shared" si="550"/>
        <v>0</v>
      </c>
      <c r="L2510" s="194">
        <v>0</v>
      </c>
      <c r="M2510" s="194">
        <v>0</v>
      </c>
      <c r="N2510" s="194">
        <v>0</v>
      </c>
      <c r="O2510" s="193">
        <f t="shared" si="551"/>
        <v>0</v>
      </c>
      <c r="P2510" s="194">
        <v>0</v>
      </c>
      <c r="Q2510" s="194">
        <v>0</v>
      </c>
      <c r="R2510" s="194">
        <v>0</v>
      </c>
      <c r="S2510" s="193">
        <f t="shared" si="552"/>
        <v>0</v>
      </c>
      <c r="T2510" s="193">
        <f t="shared" si="553"/>
        <v>0</v>
      </c>
      <c r="U2510" s="193">
        <f ca="1">OFFSET('Expenditure Study'!$B$7,'Operations Support'!$C2510,'Operations Support'!$B2510)*$G2510</f>
        <v>0</v>
      </c>
      <c r="V2510" s="199">
        <f ca="1">U2510*'Expenditure Study'!$B$31</f>
        <v>0</v>
      </c>
      <c r="W2510" s="199">
        <f ca="1">IF(A2510=10298,1.51,1)*IF($B2510&lt;3,$D2510*'Expenditure Study'!$B$32*OFFSET('Expenditure Study'!$B$7,'Operations Support'!$C2510,'Operations Support'!$B2510),0)</f>
        <v>0</v>
      </c>
      <c r="X2510" s="200">
        <f ca="1">W2510*'Expenditure Study'!$B$31</f>
        <v>0</v>
      </c>
      <c r="Y2510" s="199">
        <f ca="1">U2510*'Expenditure Study'!$B$31</f>
        <v>0</v>
      </c>
      <c r="Z2510" s="200">
        <f ca="1">W2510*'Expenditure Study'!$B$31</f>
        <v>0</v>
      </c>
      <c r="AA2510" s="195">
        <f t="shared" ca="1" si="554"/>
        <v>0</v>
      </c>
      <c r="AB2510" s="195">
        <f t="shared" ca="1" si="555"/>
        <v>0</v>
      </c>
      <c r="AD2510" s="196">
        <f>IFERROR($G2510/SUMIF($A:$A,$A2510,$G:$G)*SUMIF(Summary!$A$166:$A$242,$A2510,Summary!$P$166:$P$242),0)</f>
        <v>0</v>
      </c>
      <c r="AE2510" s="197">
        <f t="shared" ca="1" si="556"/>
        <v>0</v>
      </c>
      <c r="AF2510" s="196">
        <f>IFERROR(G2510/SUMIF(A:A,A2510,G:G)*SUMIF(Summary!$A$166:$A$242,'Operations Support'!A2510,Summary!$Q$166:$Q$242),0)</f>
        <v>0</v>
      </c>
      <c r="AG2510" s="196">
        <f t="shared" ca="1" si="557"/>
        <v>0</v>
      </c>
      <c r="AI2510" s="196">
        <f>IFERROR($G2510/SUMIF($A:$A,$A2510,$G:$G)*SUMIF(Summary!$A$247:$A$283,$A2510,Summary!$P$247:$P$283),0)</f>
        <v>0</v>
      </c>
      <c r="AJ2510" s="196">
        <f>IFERROR($G2510/SUMIF($A:$A,$A2510,$G:$G)*(SUMIF(Summary!$A$247:$A$283,$A2510,Summary!$L$247:$L$283)+SUMIF(Summary!$A$297:$A$333,$A2510,Summary!$L$297:$L$333))-AI2510,0)</f>
        <v>0</v>
      </c>
      <c r="AK2510" s="196">
        <f>IFERROR($G2510/SUMIF($A:$A,$A2510,$G:$G)*SUMIF(Summary!$A$247:$A$283,$A2510,Summary!$Q$247:$Q$283),0)</f>
        <v>0</v>
      </c>
      <c r="AL2510" s="196">
        <f>IFERROR($G2510/SUMIF($A:$A,$A2510,$G:$G)*(SUMIF(Summary!$A$247:$A$283,$A2510,Summary!$L$247:$L$283)+SUMIF(Summary!$A$297:$A$333,$A2510,Summary!$L$297:$L$333))-AK2510,0)</f>
        <v>0</v>
      </c>
      <c r="AM2510" s="198"/>
      <c r="AN2510" s="196">
        <f t="shared" ca="1" si="558"/>
        <v>0</v>
      </c>
      <c r="AO2510" s="196">
        <f t="shared" ca="1" si="559"/>
        <v>0</v>
      </c>
    </row>
    <row r="2511" spans="1:41">
      <c r="A2511" s="189">
        <v>9651</v>
      </c>
      <c r="B2511" s="190">
        <v>5</v>
      </c>
      <c r="C2511" s="191" t="s">
        <v>227</v>
      </c>
      <c r="D2511" s="192">
        <f t="shared" si="546"/>
        <v>0</v>
      </c>
      <c r="E2511" s="192">
        <f t="shared" si="547"/>
        <v>0</v>
      </c>
      <c r="F2511" s="192">
        <f t="shared" si="548"/>
        <v>0</v>
      </c>
      <c r="G2511" s="193">
        <f t="shared" si="549"/>
        <v>0</v>
      </c>
      <c r="H2511" s="194">
        <v>0</v>
      </c>
      <c r="I2511" s="194">
        <v>0</v>
      </c>
      <c r="J2511" s="194">
        <v>0</v>
      </c>
      <c r="K2511" s="193">
        <f t="shared" si="550"/>
        <v>0</v>
      </c>
      <c r="L2511" s="194">
        <v>0</v>
      </c>
      <c r="M2511" s="194">
        <v>0</v>
      </c>
      <c r="N2511" s="194">
        <v>0</v>
      </c>
      <c r="O2511" s="193">
        <f t="shared" si="551"/>
        <v>0</v>
      </c>
      <c r="P2511" s="194">
        <v>0</v>
      </c>
      <c r="Q2511" s="194">
        <v>0</v>
      </c>
      <c r="R2511" s="194">
        <v>0</v>
      </c>
      <c r="S2511" s="193">
        <f t="shared" si="552"/>
        <v>0</v>
      </c>
      <c r="T2511" s="193">
        <f t="shared" si="553"/>
        <v>0</v>
      </c>
      <c r="U2511" s="193">
        <f ca="1">OFFSET('Expenditure Study'!$B$7,'Operations Support'!$C2511,'Operations Support'!$B2511)*$G2511</f>
        <v>0</v>
      </c>
      <c r="V2511" s="199">
        <f ca="1">U2511*'Expenditure Study'!$B$31</f>
        <v>0</v>
      </c>
      <c r="W2511" s="199">
        <f ca="1">IF(A2511=10298,1.51,1)*IF($B2511&lt;3,$D2511*'Expenditure Study'!$B$32*OFFSET('Expenditure Study'!$B$7,'Operations Support'!$C2511,'Operations Support'!$B2511),0)</f>
        <v>0</v>
      </c>
      <c r="X2511" s="200">
        <f ca="1">W2511*'Expenditure Study'!$B$31</f>
        <v>0</v>
      </c>
      <c r="Y2511" s="199">
        <f ca="1">U2511*'Expenditure Study'!$B$31</f>
        <v>0</v>
      </c>
      <c r="Z2511" s="200">
        <f ca="1">W2511*'Expenditure Study'!$B$31</f>
        <v>0</v>
      </c>
      <c r="AA2511" s="195">
        <f t="shared" ca="1" si="554"/>
        <v>0</v>
      </c>
      <c r="AB2511" s="195">
        <f t="shared" ca="1" si="555"/>
        <v>0</v>
      </c>
      <c r="AD2511" s="196">
        <f>IFERROR($G2511/SUMIF($A:$A,$A2511,$G:$G)*SUMIF(Summary!$A$166:$A$242,$A2511,Summary!$P$166:$P$242),0)</f>
        <v>0</v>
      </c>
      <c r="AE2511" s="197">
        <f t="shared" ca="1" si="556"/>
        <v>0</v>
      </c>
      <c r="AF2511" s="196">
        <f>IFERROR(G2511/SUMIF(A:A,A2511,G:G)*SUMIF(Summary!$A$166:$A$242,'Operations Support'!A2511,Summary!$Q$166:$Q$242),0)</f>
        <v>0</v>
      </c>
      <c r="AG2511" s="196">
        <f t="shared" ca="1" si="557"/>
        <v>0</v>
      </c>
      <c r="AI2511" s="196">
        <f>IFERROR($G2511/SUMIF($A:$A,$A2511,$G:$G)*SUMIF(Summary!$A$247:$A$283,$A2511,Summary!$P$247:$P$283),0)</f>
        <v>0</v>
      </c>
      <c r="AJ2511" s="196">
        <f>IFERROR($G2511/SUMIF($A:$A,$A2511,$G:$G)*(SUMIF(Summary!$A$247:$A$283,$A2511,Summary!$L$247:$L$283)+SUMIF(Summary!$A$297:$A$333,$A2511,Summary!$L$297:$L$333))-AI2511,0)</f>
        <v>0</v>
      </c>
      <c r="AK2511" s="196">
        <f>IFERROR($G2511/SUMIF($A:$A,$A2511,$G:$G)*SUMIF(Summary!$A$247:$A$283,$A2511,Summary!$Q$247:$Q$283),0)</f>
        <v>0</v>
      </c>
      <c r="AL2511" s="196">
        <f>IFERROR($G2511/SUMIF($A:$A,$A2511,$G:$G)*(SUMIF(Summary!$A$247:$A$283,$A2511,Summary!$L$247:$L$283)+SUMIF(Summary!$A$297:$A$333,$A2511,Summary!$L$297:$L$333))-AK2511,0)</f>
        <v>0</v>
      </c>
      <c r="AM2511" s="198"/>
      <c r="AN2511" s="196">
        <f t="shared" ca="1" si="558"/>
        <v>0</v>
      </c>
      <c r="AO2511" s="196">
        <f t="shared" ca="1" si="559"/>
        <v>0</v>
      </c>
    </row>
    <row r="2512" spans="1:41" s="201" customFormat="1">
      <c r="A2512" s="189">
        <v>9651</v>
      </c>
      <c r="B2512" s="190">
        <v>5</v>
      </c>
      <c r="C2512" s="191" t="s">
        <v>228</v>
      </c>
      <c r="D2512" s="192">
        <f t="shared" si="546"/>
        <v>0</v>
      </c>
      <c r="E2512" s="192">
        <f t="shared" si="547"/>
        <v>0</v>
      </c>
      <c r="F2512" s="192">
        <f t="shared" si="548"/>
        <v>0</v>
      </c>
      <c r="G2512" s="193">
        <f t="shared" si="549"/>
        <v>0</v>
      </c>
      <c r="H2512" s="194">
        <v>0</v>
      </c>
      <c r="I2512" s="194">
        <v>0</v>
      </c>
      <c r="J2512" s="194">
        <v>0</v>
      </c>
      <c r="K2512" s="193">
        <f t="shared" si="550"/>
        <v>0</v>
      </c>
      <c r="L2512" s="194">
        <v>0</v>
      </c>
      <c r="M2512" s="194">
        <v>0</v>
      </c>
      <c r="N2512" s="194">
        <v>0</v>
      </c>
      <c r="O2512" s="193">
        <f t="shared" si="551"/>
        <v>0</v>
      </c>
      <c r="P2512" s="194">
        <v>0</v>
      </c>
      <c r="Q2512" s="194">
        <v>0</v>
      </c>
      <c r="R2512" s="194">
        <v>0</v>
      </c>
      <c r="S2512" s="193">
        <f t="shared" si="552"/>
        <v>0</v>
      </c>
      <c r="T2512" s="193">
        <f t="shared" si="553"/>
        <v>0</v>
      </c>
      <c r="U2512" s="193">
        <f ca="1">OFFSET('Expenditure Study'!$B$7,'Operations Support'!$C2512,'Operations Support'!$B2512)*$G2512</f>
        <v>0</v>
      </c>
      <c r="V2512" s="199">
        <f ca="1">U2512*'Expenditure Study'!$B$31</f>
        <v>0</v>
      </c>
      <c r="W2512" s="199">
        <f ca="1">IF(A2512=10298,1.51,1)*IF($B2512&lt;3,$D2512*'Expenditure Study'!$B$32*OFFSET('Expenditure Study'!$B$7,'Operations Support'!$C2512,'Operations Support'!$B2512),0)</f>
        <v>0</v>
      </c>
      <c r="X2512" s="200">
        <f ca="1">W2512*'Expenditure Study'!$B$31</f>
        <v>0</v>
      </c>
      <c r="Y2512" s="199">
        <f ca="1">U2512*'Expenditure Study'!$B$31</f>
        <v>0</v>
      </c>
      <c r="Z2512" s="200">
        <f ca="1">W2512*'Expenditure Study'!$B$31</f>
        <v>0</v>
      </c>
      <c r="AA2512" s="195">
        <f t="shared" ca="1" si="554"/>
        <v>0</v>
      </c>
      <c r="AB2512" s="195">
        <f t="shared" ca="1" si="555"/>
        <v>0</v>
      </c>
      <c r="AD2512" s="196">
        <f>IFERROR($G2512/SUMIF($A:$A,$A2512,$G:$G)*SUMIF(Summary!$A$166:$A$242,$A2512,Summary!$P$166:$P$242),0)</f>
        <v>0</v>
      </c>
      <c r="AE2512" s="197">
        <f t="shared" ca="1" si="556"/>
        <v>0</v>
      </c>
      <c r="AF2512" s="196">
        <f>IFERROR(G2512/SUMIF(A:A,A2512,G:G)*SUMIF(Summary!$A$166:$A$242,'Operations Support'!A2512,Summary!$Q$166:$Q$242),0)</f>
        <v>0</v>
      </c>
      <c r="AG2512" s="196">
        <f t="shared" ca="1" si="557"/>
        <v>0</v>
      </c>
      <c r="AH2512" s="180"/>
      <c r="AI2512" s="196">
        <f>IFERROR($G2512/SUMIF($A:$A,$A2512,$G:$G)*SUMIF(Summary!$A$247:$A$283,$A2512,Summary!$P$247:$P$283),0)</f>
        <v>0</v>
      </c>
      <c r="AJ2512" s="196">
        <f>IFERROR($G2512/SUMIF($A:$A,$A2512,$G:$G)*(SUMIF(Summary!$A$247:$A$283,$A2512,Summary!$L$247:$L$283)+SUMIF(Summary!$A$297:$A$333,$A2512,Summary!$L$297:$L$333))-AI2512,0)</f>
        <v>0</v>
      </c>
      <c r="AK2512" s="196">
        <f>IFERROR($G2512/SUMIF($A:$A,$A2512,$G:$G)*SUMIF(Summary!$A$247:$A$283,$A2512,Summary!$Q$247:$Q$283),0)</f>
        <v>0</v>
      </c>
      <c r="AL2512" s="196">
        <f>IFERROR($G2512/SUMIF($A:$A,$A2512,$G:$G)*(SUMIF(Summary!$A$247:$A$283,$A2512,Summary!$L$247:$L$283)+SUMIF(Summary!$A$297:$A$333,$A2512,Summary!$L$297:$L$333))-AK2512,0)</f>
        <v>0</v>
      </c>
      <c r="AM2512" s="198"/>
      <c r="AN2512" s="196">
        <f t="shared" ca="1" si="558"/>
        <v>0</v>
      </c>
      <c r="AO2512" s="196">
        <f t="shared" ca="1" si="559"/>
        <v>0</v>
      </c>
    </row>
    <row r="2513" spans="1:41">
      <c r="A2513" s="189">
        <v>9651</v>
      </c>
      <c r="B2513" s="190">
        <v>5</v>
      </c>
      <c r="C2513" s="191" t="s">
        <v>229</v>
      </c>
      <c r="D2513" s="192">
        <f t="shared" si="546"/>
        <v>0</v>
      </c>
      <c r="E2513" s="192">
        <f t="shared" si="547"/>
        <v>0</v>
      </c>
      <c r="F2513" s="192">
        <f t="shared" si="548"/>
        <v>0</v>
      </c>
      <c r="G2513" s="193">
        <f t="shared" si="549"/>
        <v>0</v>
      </c>
      <c r="H2513" s="194">
        <v>0</v>
      </c>
      <c r="I2513" s="194">
        <v>0</v>
      </c>
      <c r="J2513" s="194">
        <v>0</v>
      </c>
      <c r="K2513" s="193">
        <f t="shared" si="550"/>
        <v>0</v>
      </c>
      <c r="L2513" s="194">
        <v>0</v>
      </c>
      <c r="M2513" s="194">
        <v>0</v>
      </c>
      <c r="N2513" s="194">
        <v>0</v>
      </c>
      <c r="O2513" s="193">
        <f t="shared" si="551"/>
        <v>0</v>
      </c>
      <c r="P2513" s="194">
        <v>0</v>
      </c>
      <c r="Q2513" s="194">
        <v>0</v>
      </c>
      <c r="R2513" s="194">
        <v>0</v>
      </c>
      <c r="S2513" s="193">
        <f t="shared" si="552"/>
        <v>0</v>
      </c>
      <c r="T2513" s="193">
        <f t="shared" si="553"/>
        <v>0</v>
      </c>
      <c r="U2513" s="193">
        <f ca="1">OFFSET('Expenditure Study'!$B$7,'Operations Support'!$C2513,'Operations Support'!$B2513)*$G2513</f>
        <v>0</v>
      </c>
      <c r="V2513" s="199">
        <f ca="1">U2513*'Expenditure Study'!$B$31</f>
        <v>0</v>
      </c>
      <c r="W2513" s="199">
        <f ca="1">IF(A2513=10298,1.51,1)*IF($B2513&lt;3,$D2513*'Expenditure Study'!$B$32*OFFSET('Expenditure Study'!$B$7,'Operations Support'!$C2513,'Operations Support'!$B2513),0)</f>
        <v>0</v>
      </c>
      <c r="X2513" s="200">
        <f ca="1">W2513*'Expenditure Study'!$B$31</f>
        <v>0</v>
      </c>
      <c r="Y2513" s="199">
        <f ca="1">U2513*'Expenditure Study'!$B$31</f>
        <v>0</v>
      </c>
      <c r="Z2513" s="200">
        <f ca="1">W2513*'Expenditure Study'!$B$31</f>
        <v>0</v>
      </c>
      <c r="AA2513" s="195">
        <f t="shared" ca="1" si="554"/>
        <v>0</v>
      </c>
      <c r="AB2513" s="195">
        <f t="shared" ca="1" si="555"/>
        <v>0</v>
      </c>
      <c r="AD2513" s="196">
        <f>IFERROR($G2513/SUMIF($A:$A,$A2513,$G:$G)*SUMIF(Summary!$A$166:$A$242,$A2513,Summary!$P$166:$P$242),0)</f>
        <v>0</v>
      </c>
      <c r="AE2513" s="197">
        <f t="shared" ca="1" si="556"/>
        <v>0</v>
      </c>
      <c r="AF2513" s="196">
        <f>IFERROR(G2513/SUMIF(A:A,A2513,G:G)*SUMIF(Summary!$A$166:$A$242,'Operations Support'!A2513,Summary!$Q$166:$Q$242),0)</f>
        <v>0</v>
      </c>
      <c r="AG2513" s="196">
        <f t="shared" ca="1" si="557"/>
        <v>0</v>
      </c>
      <c r="AI2513" s="196">
        <f>IFERROR($G2513/SUMIF($A:$A,$A2513,$G:$G)*SUMIF(Summary!$A$247:$A$283,$A2513,Summary!$P$247:$P$283),0)</f>
        <v>0</v>
      </c>
      <c r="AJ2513" s="196">
        <f>IFERROR($G2513/SUMIF($A:$A,$A2513,$G:$G)*(SUMIF(Summary!$A$247:$A$283,$A2513,Summary!$L$247:$L$283)+SUMIF(Summary!$A$297:$A$333,$A2513,Summary!$L$297:$L$333))-AI2513,0)</f>
        <v>0</v>
      </c>
      <c r="AK2513" s="196">
        <f>IFERROR($G2513/SUMIF($A:$A,$A2513,$G:$G)*SUMIF(Summary!$A$247:$A$283,$A2513,Summary!$Q$247:$Q$283),0)</f>
        <v>0</v>
      </c>
      <c r="AL2513" s="196">
        <f>IFERROR($G2513/SUMIF($A:$A,$A2513,$G:$G)*(SUMIF(Summary!$A$247:$A$283,$A2513,Summary!$L$247:$L$283)+SUMIF(Summary!$A$297:$A$333,$A2513,Summary!$L$297:$L$333))-AK2513,0)</f>
        <v>0</v>
      </c>
      <c r="AM2513" s="198"/>
      <c r="AN2513" s="196">
        <f t="shared" ca="1" si="558"/>
        <v>0</v>
      </c>
      <c r="AO2513" s="196">
        <f t="shared" ca="1" si="559"/>
        <v>0</v>
      </c>
    </row>
    <row r="2514" spans="1:41">
      <c r="A2514" s="189">
        <v>9651</v>
      </c>
      <c r="B2514" s="190">
        <v>5</v>
      </c>
      <c r="C2514" s="191" t="s">
        <v>230</v>
      </c>
      <c r="D2514" s="192">
        <f t="shared" si="546"/>
        <v>0</v>
      </c>
      <c r="E2514" s="192">
        <f t="shared" si="547"/>
        <v>0</v>
      </c>
      <c r="F2514" s="192">
        <f t="shared" si="548"/>
        <v>0</v>
      </c>
      <c r="G2514" s="193">
        <f t="shared" si="549"/>
        <v>0</v>
      </c>
      <c r="H2514" s="194">
        <v>0</v>
      </c>
      <c r="I2514" s="194">
        <v>0</v>
      </c>
      <c r="J2514" s="194">
        <v>0</v>
      </c>
      <c r="K2514" s="193">
        <f t="shared" si="550"/>
        <v>0</v>
      </c>
      <c r="L2514" s="194">
        <v>0</v>
      </c>
      <c r="M2514" s="194">
        <v>0</v>
      </c>
      <c r="N2514" s="194">
        <v>0</v>
      </c>
      <c r="O2514" s="193">
        <f t="shared" si="551"/>
        <v>0</v>
      </c>
      <c r="P2514" s="194">
        <v>0</v>
      </c>
      <c r="Q2514" s="194">
        <v>0</v>
      </c>
      <c r="R2514" s="194">
        <v>0</v>
      </c>
      <c r="S2514" s="193">
        <f t="shared" si="552"/>
        <v>0</v>
      </c>
      <c r="T2514" s="193">
        <f t="shared" si="553"/>
        <v>0</v>
      </c>
      <c r="U2514" s="193">
        <f ca="1">OFFSET('Expenditure Study'!$B$7,'Operations Support'!$C2514,'Operations Support'!$B2514)*$G2514</f>
        <v>0</v>
      </c>
      <c r="V2514" s="199">
        <f ca="1">U2514*'Expenditure Study'!$B$31</f>
        <v>0</v>
      </c>
      <c r="W2514" s="199">
        <f ca="1">IF(A2514=10298,1.51,1)*IF($B2514&lt;3,$D2514*'Expenditure Study'!$B$32*OFFSET('Expenditure Study'!$B$7,'Operations Support'!$C2514,'Operations Support'!$B2514),0)</f>
        <v>0</v>
      </c>
      <c r="X2514" s="200">
        <f ca="1">W2514*'Expenditure Study'!$B$31</f>
        <v>0</v>
      </c>
      <c r="Y2514" s="199">
        <f ca="1">U2514*'Expenditure Study'!$B$31</f>
        <v>0</v>
      </c>
      <c r="Z2514" s="200">
        <f ca="1">W2514*'Expenditure Study'!$B$31</f>
        <v>0</v>
      </c>
      <c r="AA2514" s="195">
        <f t="shared" ca="1" si="554"/>
        <v>0</v>
      </c>
      <c r="AB2514" s="195">
        <f t="shared" ca="1" si="555"/>
        <v>0</v>
      </c>
      <c r="AD2514" s="196">
        <f>IFERROR($G2514/SUMIF($A:$A,$A2514,$G:$G)*SUMIF(Summary!$A$166:$A$242,$A2514,Summary!$P$166:$P$242),0)</f>
        <v>0</v>
      </c>
      <c r="AE2514" s="197">
        <f t="shared" ca="1" si="556"/>
        <v>0</v>
      </c>
      <c r="AF2514" s="196">
        <f>IFERROR(G2514/SUMIF(A:A,A2514,G:G)*SUMIF(Summary!$A$166:$A$242,'Operations Support'!A2514,Summary!$Q$166:$Q$242),0)</f>
        <v>0</v>
      </c>
      <c r="AG2514" s="196">
        <f t="shared" ca="1" si="557"/>
        <v>0</v>
      </c>
      <c r="AI2514" s="196">
        <f>IFERROR($G2514/SUMIF($A:$A,$A2514,$G:$G)*SUMIF(Summary!$A$247:$A$283,$A2514,Summary!$P$247:$P$283),0)</f>
        <v>0</v>
      </c>
      <c r="AJ2514" s="196">
        <f>IFERROR($G2514/SUMIF($A:$A,$A2514,$G:$G)*(SUMIF(Summary!$A$247:$A$283,$A2514,Summary!$L$247:$L$283)+SUMIF(Summary!$A$297:$A$333,$A2514,Summary!$L$297:$L$333))-AI2514,0)</f>
        <v>0</v>
      </c>
      <c r="AK2514" s="196">
        <f>IFERROR($G2514/SUMIF($A:$A,$A2514,$G:$G)*SUMIF(Summary!$A$247:$A$283,$A2514,Summary!$Q$247:$Q$283),0)</f>
        <v>0</v>
      </c>
      <c r="AL2514" s="196">
        <f>IFERROR($G2514/SUMIF($A:$A,$A2514,$G:$G)*(SUMIF(Summary!$A$247:$A$283,$A2514,Summary!$L$247:$L$283)+SUMIF(Summary!$A$297:$A$333,$A2514,Summary!$L$297:$L$333))-AK2514,0)</f>
        <v>0</v>
      </c>
      <c r="AM2514" s="198"/>
      <c r="AN2514" s="196">
        <f t="shared" ca="1" si="558"/>
        <v>0</v>
      </c>
      <c r="AO2514" s="196">
        <f t="shared" ca="1" si="559"/>
        <v>0</v>
      </c>
    </row>
    <row r="2515" spans="1:41">
      <c r="A2515" s="189">
        <v>9651</v>
      </c>
      <c r="B2515" s="190">
        <v>5</v>
      </c>
      <c r="C2515" s="191" t="s">
        <v>231</v>
      </c>
      <c r="D2515" s="192">
        <f t="shared" si="546"/>
        <v>0</v>
      </c>
      <c r="E2515" s="192">
        <f t="shared" si="547"/>
        <v>0</v>
      </c>
      <c r="F2515" s="192">
        <f t="shared" si="548"/>
        <v>0</v>
      </c>
      <c r="G2515" s="193">
        <f t="shared" si="549"/>
        <v>0</v>
      </c>
      <c r="H2515" s="194">
        <v>0</v>
      </c>
      <c r="I2515" s="194">
        <v>0</v>
      </c>
      <c r="J2515" s="194">
        <v>0</v>
      </c>
      <c r="K2515" s="193">
        <f t="shared" si="550"/>
        <v>0</v>
      </c>
      <c r="L2515" s="194">
        <v>0</v>
      </c>
      <c r="M2515" s="194">
        <v>0</v>
      </c>
      <c r="N2515" s="194">
        <v>0</v>
      </c>
      <c r="O2515" s="193">
        <f t="shared" si="551"/>
        <v>0</v>
      </c>
      <c r="P2515" s="194">
        <v>0</v>
      </c>
      <c r="Q2515" s="194">
        <v>0</v>
      </c>
      <c r="R2515" s="194">
        <v>0</v>
      </c>
      <c r="S2515" s="193">
        <f t="shared" si="552"/>
        <v>0</v>
      </c>
      <c r="T2515" s="193">
        <f t="shared" si="553"/>
        <v>0</v>
      </c>
      <c r="U2515" s="193">
        <f ca="1">OFFSET('Expenditure Study'!$B$7,'Operations Support'!$C2515,'Operations Support'!$B2515)*$G2515</f>
        <v>0</v>
      </c>
      <c r="V2515" s="199">
        <f ca="1">U2515*'Expenditure Study'!$B$31</f>
        <v>0</v>
      </c>
      <c r="W2515" s="199">
        <f ca="1">IF(A2515=10298,1.51,1)*IF($B2515&lt;3,$D2515*'Expenditure Study'!$B$32*OFFSET('Expenditure Study'!$B$7,'Operations Support'!$C2515,'Operations Support'!$B2515),0)</f>
        <v>0</v>
      </c>
      <c r="X2515" s="200">
        <f ca="1">W2515*'Expenditure Study'!$B$31</f>
        <v>0</v>
      </c>
      <c r="Y2515" s="199">
        <f ca="1">U2515*'Expenditure Study'!$B$31</f>
        <v>0</v>
      </c>
      <c r="Z2515" s="200">
        <f ca="1">W2515*'Expenditure Study'!$B$31</f>
        <v>0</v>
      </c>
      <c r="AA2515" s="195">
        <f t="shared" ca="1" si="554"/>
        <v>0</v>
      </c>
      <c r="AB2515" s="195">
        <f t="shared" ca="1" si="555"/>
        <v>0</v>
      </c>
      <c r="AD2515" s="196">
        <f>IFERROR($G2515/SUMIF($A:$A,$A2515,$G:$G)*SUMIF(Summary!$A$166:$A$242,$A2515,Summary!$P$166:$P$242),0)</f>
        <v>0</v>
      </c>
      <c r="AE2515" s="197">
        <f t="shared" ca="1" si="556"/>
        <v>0</v>
      </c>
      <c r="AF2515" s="196">
        <f>IFERROR(G2515/SUMIF(A:A,A2515,G:G)*SUMIF(Summary!$A$166:$A$242,'Operations Support'!A2515,Summary!$Q$166:$Q$242),0)</f>
        <v>0</v>
      </c>
      <c r="AG2515" s="196">
        <f t="shared" ca="1" si="557"/>
        <v>0</v>
      </c>
      <c r="AI2515" s="196">
        <f>IFERROR($G2515/SUMIF($A:$A,$A2515,$G:$G)*SUMIF(Summary!$A$247:$A$283,$A2515,Summary!$P$247:$P$283),0)</f>
        <v>0</v>
      </c>
      <c r="AJ2515" s="196">
        <f>IFERROR($G2515/SUMIF($A:$A,$A2515,$G:$G)*(SUMIF(Summary!$A$247:$A$283,$A2515,Summary!$L$247:$L$283)+SUMIF(Summary!$A$297:$A$333,$A2515,Summary!$L$297:$L$333))-AI2515,0)</f>
        <v>0</v>
      </c>
      <c r="AK2515" s="196">
        <f>IFERROR($G2515/SUMIF($A:$A,$A2515,$G:$G)*SUMIF(Summary!$A$247:$A$283,$A2515,Summary!$Q$247:$Q$283),0)</f>
        <v>0</v>
      </c>
      <c r="AL2515" s="196">
        <f>IFERROR($G2515/SUMIF($A:$A,$A2515,$G:$G)*(SUMIF(Summary!$A$247:$A$283,$A2515,Summary!$L$247:$L$283)+SUMIF(Summary!$A$297:$A$333,$A2515,Summary!$L$297:$L$333))-AK2515,0)</f>
        <v>0</v>
      </c>
      <c r="AM2515" s="198"/>
      <c r="AN2515" s="196">
        <f t="shared" ca="1" si="558"/>
        <v>0</v>
      </c>
      <c r="AO2515" s="196">
        <f t="shared" ca="1" si="559"/>
        <v>0</v>
      </c>
    </row>
    <row r="2516" spans="1:41">
      <c r="A2516" s="189">
        <v>9651</v>
      </c>
      <c r="B2516" s="190">
        <v>5</v>
      </c>
      <c r="C2516" s="191" t="s">
        <v>232</v>
      </c>
      <c r="D2516" s="192">
        <f t="shared" si="546"/>
        <v>0</v>
      </c>
      <c r="E2516" s="192">
        <f t="shared" si="547"/>
        <v>0</v>
      </c>
      <c r="F2516" s="192">
        <f t="shared" si="548"/>
        <v>0</v>
      </c>
      <c r="G2516" s="193">
        <f t="shared" si="549"/>
        <v>0</v>
      </c>
      <c r="H2516" s="194">
        <v>0</v>
      </c>
      <c r="I2516" s="194">
        <v>0</v>
      </c>
      <c r="J2516" s="194">
        <v>0</v>
      </c>
      <c r="K2516" s="193">
        <f t="shared" si="550"/>
        <v>0</v>
      </c>
      <c r="L2516" s="194">
        <v>0</v>
      </c>
      <c r="M2516" s="194">
        <v>0</v>
      </c>
      <c r="N2516" s="194">
        <v>0</v>
      </c>
      <c r="O2516" s="193">
        <f t="shared" si="551"/>
        <v>0</v>
      </c>
      <c r="P2516" s="194">
        <v>0</v>
      </c>
      <c r="Q2516" s="194">
        <v>0</v>
      </c>
      <c r="R2516" s="194">
        <v>0</v>
      </c>
      <c r="S2516" s="193">
        <f t="shared" si="552"/>
        <v>0</v>
      </c>
      <c r="T2516" s="193">
        <f t="shared" si="553"/>
        <v>0</v>
      </c>
      <c r="U2516" s="193">
        <f ca="1">OFFSET('Expenditure Study'!$B$7,'Operations Support'!$C2516,'Operations Support'!$B2516)*$G2516</f>
        <v>0</v>
      </c>
      <c r="V2516" s="199">
        <f ca="1">U2516*'Expenditure Study'!$B$31</f>
        <v>0</v>
      </c>
      <c r="W2516" s="199">
        <f ca="1">IF(A2516=10298,1.51,1)*IF($B2516&lt;3,$D2516*'Expenditure Study'!$B$32*OFFSET('Expenditure Study'!$B$7,'Operations Support'!$C2516,'Operations Support'!$B2516),0)</f>
        <v>0</v>
      </c>
      <c r="X2516" s="200">
        <f ca="1">W2516*'Expenditure Study'!$B$31</f>
        <v>0</v>
      </c>
      <c r="Y2516" s="199">
        <f ca="1">U2516*'Expenditure Study'!$B$31</f>
        <v>0</v>
      </c>
      <c r="Z2516" s="200">
        <f ca="1">W2516*'Expenditure Study'!$B$31</f>
        <v>0</v>
      </c>
      <c r="AA2516" s="195">
        <f t="shared" ca="1" si="554"/>
        <v>0</v>
      </c>
      <c r="AB2516" s="195">
        <f t="shared" ca="1" si="555"/>
        <v>0</v>
      </c>
      <c r="AD2516" s="196">
        <f>IFERROR($G2516/SUMIF($A:$A,$A2516,$G:$G)*SUMIF(Summary!$A$166:$A$242,$A2516,Summary!$P$166:$P$242),0)</f>
        <v>0</v>
      </c>
      <c r="AE2516" s="197">
        <f t="shared" ca="1" si="556"/>
        <v>0</v>
      </c>
      <c r="AF2516" s="196">
        <f>IFERROR(G2516/SUMIF(A:A,A2516,G:G)*SUMIF(Summary!$A$166:$A$242,'Operations Support'!A2516,Summary!$Q$166:$Q$242),0)</f>
        <v>0</v>
      </c>
      <c r="AG2516" s="196">
        <f t="shared" ca="1" si="557"/>
        <v>0</v>
      </c>
      <c r="AI2516" s="196">
        <f>IFERROR($G2516/SUMIF($A:$A,$A2516,$G:$G)*SUMIF(Summary!$A$247:$A$283,$A2516,Summary!$P$247:$P$283),0)</f>
        <v>0</v>
      </c>
      <c r="AJ2516" s="196">
        <f>IFERROR($G2516/SUMIF($A:$A,$A2516,$G:$G)*(SUMIF(Summary!$A$247:$A$283,$A2516,Summary!$L$247:$L$283)+SUMIF(Summary!$A$297:$A$333,$A2516,Summary!$L$297:$L$333))-AI2516,0)</f>
        <v>0</v>
      </c>
      <c r="AK2516" s="196">
        <f>IFERROR($G2516/SUMIF($A:$A,$A2516,$G:$G)*SUMIF(Summary!$A$247:$A$283,$A2516,Summary!$Q$247:$Q$283),0)</f>
        <v>0</v>
      </c>
      <c r="AL2516" s="196">
        <f>IFERROR($G2516/SUMIF($A:$A,$A2516,$G:$G)*(SUMIF(Summary!$A$247:$A$283,$A2516,Summary!$L$247:$L$283)+SUMIF(Summary!$A$297:$A$333,$A2516,Summary!$L$297:$L$333))-AK2516,0)</f>
        <v>0</v>
      </c>
      <c r="AM2516" s="198"/>
      <c r="AN2516" s="196">
        <f t="shared" ca="1" si="558"/>
        <v>0</v>
      </c>
      <c r="AO2516" s="196">
        <f t="shared" ca="1" si="559"/>
        <v>0</v>
      </c>
    </row>
    <row r="2517" spans="1:41">
      <c r="A2517" s="189">
        <v>9651</v>
      </c>
      <c r="B2517" s="190">
        <v>5</v>
      </c>
      <c r="C2517" s="191" t="s">
        <v>233</v>
      </c>
      <c r="D2517" s="192">
        <f t="shared" si="546"/>
        <v>0</v>
      </c>
      <c r="E2517" s="192">
        <f t="shared" si="547"/>
        <v>0</v>
      </c>
      <c r="F2517" s="192">
        <f t="shared" si="548"/>
        <v>0</v>
      </c>
      <c r="G2517" s="193">
        <f t="shared" si="549"/>
        <v>0</v>
      </c>
      <c r="H2517" s="194">
        <v>0</v>
      </c>
      <c r="I2517" s="194">
        <v>0</v>
      </c>
      <c r="J2517" s="194">
        <v>0</v>
      </c>
      <c r="K2517" s="193">
        <f t="shared" si="550"/>
        <v>0</v>
      </c>
      <c r="L2517" s="194">
        <v>0</v>
      </c>
      <c r="M2517" s="194">
        <v>0</v>
      </c>
      <c r="N2517" s="194">
        <v>0</v>
      </c>
      <c r="O2517" s="193">
        <f t="shared" si="551"/>
        <v>0</v>
      </c>
      <c r="P2517" s="194">
        <v>0</v>
      </c>
      <c r="Q2517" s="194">
        <v>0</v>
      </c>
      <c r="R2517" s="194">
        <v>0</v>
      </c>
      <c r="S2517" s="193">
        <f t="shared" si="552"/>
        <v>0</v>
      </c>
      <c r="T2517" s="193">
        <f t="shared" si="553"/>
        <v>0</v>
      </c>
      <c r="U2517" s="193">
        <f ca="1">OFFSET('Expenditure Study'!$B$7,'Operations Support'!$C2517,'Operations Support'!$B2517)*$G2517</f>
        <v>0</v>
      </c>
      <c r="V2517" s="199">
        <f ca="1">U2517*'Expenditure Study'!$B$31</f>
        <v>0</v>
      </c>
      <c r="W2517" s="199">
        <f ca="1">IF(A2517=10298,1.51,1)*IF($B2517&lt;3,$D2517*'Expenditure Study'!$B$32*OFFSET('Expenditure Study'!$B$7,'Operations Support'!$C2517,'Operations Support'!$B2517),0)</f>
        <v>0</v>
      </c>
      <c r="X2517" s="200">
        <f ca="1">W2517*'Expenditure Study'!$B$31</f>
        <v>0</v>
      </c>
      <c r="Y2517" s="199">
        <f ca="1">U2517*'Expenditure Study'!$B$31</f>
        <v>0</v>
      </c>
      <c r="Z2517" s="200">
        <f ca="1">W2517*'Expenditure Study'!$B$31</f>
        <v>0</v>
      </c>
      <c r="AA2517" s="195">
        <f t="shared" ca="1" si="554"/>
        <v>0</v>
      </c>
      <c r="AB2517" s="195">
        <f t="shared" ca="1" si="555"/>
        <v>0</v>
      </c>
      <c r="AD2517" s="196">
        <f>IFERROR($G2517/SUMIF($A:$A,$A2517,$G:$G)*SUMIF(Summary!$A$166:$A$242,$A2517,Summary!$P$166:$P$242),0)</f>
        <v>0</v>
      </c>
      <c r="AE2517" s="197">
        <f t="shared" ca="1" si="556"/>
        <v>0</v>
      </c>
      <c r="AF2517" s="196">
        <f>IFERROR(G2517/SUMIF(A:A,A2517,G:G)*SUMIF(Summary!$A$166:$A$242,'Operations Support'!A2517,Summary!$Q$166:$Q$242),0)</f>
        <v>0</v>
      </c>
      <c r="AG2517" s="196">
        <f t="shared" ca="1" si="557"/>
        <v>0</v>
      </c>
      <c r="AI2517" s="196">
        <f>IFERROR($G2517/SUMIF($A:$A,$A2517,$G:$G)*SUMIF(Summary!$A$247:$A$283,$A2517,Summary!$P$247:$P$283),0)</f>
        <v>0</v>
      </c>
      <c r="AJ2517" s="196">
        <f>IFERROR($G2517/SUMIF($A:$A,$A2517,$G:$G)*(SUMIF(Summary!$A$247:$A$283,$A2517,Summary!$L$247:$L$283)+SUMIF(Summary!$A$297:$A$333,$A2517,Summary!$L$297:$L$333))-AI2517,0)</f>
        <v>0</v>
      </c>
      <c r="AK2517" s="196">
        <f>IFERROR($G2517/SUMIF($A:$A,$A2517,$G:$G)*SUMIF(Summary!$A$247:$A$283,$A2517,Summary!$Q$247:$Q$283),0)</f>
        <v>0</v>
      </c>
      <c r="AL2517" s="196">
        <f>IFERROR($G2517/SUMIF($A:$A,$A2517,$G:$G)*(SUMIF(Summary!$A$247:$A$283,$A2517,Summary!$L$247:$L$283)+SUMIF(Summary!$A$297:$A$333,$A2517,Summary!$L$297:$L$333))-AK2517,0)</f>
        <v>0</v>
      </c>
      <c r="AM2517" s="198"/>
      <c r="AN2517" s="196">
        <f t="shared" ca="1" si="558"/>
        <v>0</v>
      </c>
      <c r="AO2517" s="196">
        <f t="shared" ca="1" si="559"/>
        <v>0</v>
      </c>
    </row>
    <row r="2518" spans="1:41">
      <c r="A2518" s="189">
        <v>9651</v>
      </c>
      <c r="B2518" s="190">
        <v>5</v>
      </c>
      <c r="C2518" s="191" t="s">
        <v>234</v>
      </c>
      <c r="D2518" s="192">
        <f t="shared" si="546"/>
        <v>0</v>
      </c>
      <c r="E2518" s="192">
        <f t="shared" si="547"/>
        <v>0</v>
      </c>
      <c r="F2518" s="192">
        <f t="shared" si="548"/>
        <v>0</v>
      </c>
      <c r="G2518" s="193">
        <f t="shared" si="549"/>
        <v>0</v>
      </c>
      <c r="H2518" s="194">
        <v>0</v>
      </c>
      <c r="I2518" s="194">
        <v>0</v>
      </c>
      <c r="J2518" s="194">
        <v>0</v>
      </c>
      <c r="K2518" s="193">
        <f t="shared" si="550"/>
        <v>0</v>
      </c>
      <c r="L2518" s="194">
        <v>0</v>
      </c>
      <c r="M2518" s="194">
        <v>0</v>
      </c>
      <c r="N2518" s="194">
        <v>0</v>
      </c>
      <c r="O2518" s="193">
        <f t="shared" si="551"/>
        <v>0</v>
      </c>
      <c r="P2518" s="194">
        <v>0</v>
      </c>
      <c r="Q2518" s="194">
        <v>0</v>
      </c>
      <c r="R2518" s="194">
        <v>0</v>
      </c>
      <c r="S2518" s="193">
        <f t="shared" si="552"/>
        <v>0</v>
      </c>
      <c r="T2518" s="193">
        <f t="shared" si="553"/>
        <v>0</v>
      </c>
      <c r="U2518" s="193">
        <f ca="1">OFFSET('Expenditure Study'!$B$7,'Operations Support'!$C2518,'Operations Support'!$B2518)*$G2518</f>
        <v>0</v>
      </c>
      <c r="V2518" s="199">
        <f ca="1">U2518*'Expenditure Study'!$B$31</f>
        <v>0</v>
      </c>
      <c r="W2518" s="199">
        <f ca="1">IF(A2518=10298,1.51,1)*IF($B2518&lt;3,$D2518*'Expenditure Study'!$B$32*OFFSET('Expenditure Study'!$B$7,'Operations Support'!$C2518,'Operations Support'!$B2518),0)</f>
        <v>0</v>
      </c>
      <c r="X2518" s="200">
        <f ca="1">W2518*'Expenditure Study'!$B$31</f>
        <v>0</v>
      </c>
      <c r="Y2518" s="199">
        <f ca="1">U2518*'Expenditure Study'!$B$31</f>
        <v>0</v>
      </c>
      <c r="Z2518" s="200">
        <f ca="1">W2518*'Expenditure Study'!$B$31</f>
        <v>0</v>
      </c>
      <c r="AA2518" s="195">
        <f t="shared" ca="1" si="554"/>
        <v>0</v>
      </c>
      <c r="AB2518" s="195">
        <f t="shared" ca="1" si="555"/>
        <v>0</v>
      </c>
      <c r="AD2518" s="196">
        <f>IFERROR($G2518/SUMIF($A:$A,$A2518,$G:$G)*SUMIF(Summary!$A$166:$A$242,$A2518,Summary!$P$166:$P$242),0)</f>
        <v>0</v>
      </c>
      <c r="AE2518" s="197">
        <f t="shared" ca="1" si="556"/>
        <v>0</v>
      </c>
      <c r="AF2518" s="196">
        <f>IFERROR(G2518/SUMIF(A:A,A2518,G:G)*SUMIF(Summary!$A$166:$A$242,'Operations Support'!A2518,Summary!$Q$166:$Q$242),0)</f>
        <v>0</v>
      </c>
      <c r="AG2518" s="196">
        <f t="shared" ca="1" si="557"/>
        <v>0</v>
      </c>
      <c r="AI2518" s="196">
        <f>IFERROR($G2518/SUMIF($A:$A,$A2518,$G:$G)*SUMIF(Summary!$A$247:$A$283,$A2518,Summary!$P$247:$P$283),0)</f>
        <v>0</v>
      </c>
      <c r="AJ2518" s="196">
        <f>IFERROR($G2518/SUMIF($A:$A,$A2518,$G:$G)*(SUMIF(Summary!$A$247:$A$283,$A2518,Summary!$L$247:$L$283)+SUMIF(Summary!$A$297:$A$333,$A2518,Summary!$L$297:$L$333))-AI2518,0)</f>
        <v>0</v>
      </c>
      <c r="AK2518" s="196">
        <f>IFERROR($G2518/SUMIF($A:$A,$A2518,$G:$G)*SUMIF(Summary!$A$247:$A$283,$A2518,Summary!$Q$247:$Q$283),0)</f>
        <v>0</v>
      </c>
      <c r="AL2518" s="196">
        <f>IFERROR($G2518/SUMIF($A:$A,$A2518,$G:$G)*(SUMIF(Summary!$A$247:$A$283,$A2518,Summary!$L$247:$L$283)+SUMIF(Summary!$A$297:$A$333,$A2518,Summary!$L$297:$L$333))-AK2518,0)</f>
        <v>0</v>
      </c>
      <c r="AM2518" s="198"/>
      <c r="AN2518" s="196">
        <f t="shared" ca="1" si="558"/>
        <v>0</v>
      </c>
      <c r="AO2518" s="196">
        <f t="shared" ca="1" si="559"/>
        <v>0</v>
      </c>
    </row>
    <row r="2519" spans="1:41">
      <c r="A2519" s="189">
        <v>9651</v>
      </c>
      <c r="B2519" s="190">
        <v>5</v>
      </c>
      <c r="C2519" s="191" t="s">
        <v>235</v>
      </c>
      <c r="D2519" s="192">
        <f t="shared" si="546"/>
        <v>0</v>
      </c>
      <c r="E2519" s="192">
        <f t="shared" si="547"/>
        <v>0</v>
      </c>
      <c r="F2519" s="192">
        <f t="shared" si="548"/>
        <v>0</v>
      </c>
      <c r="G2519" s="193">
        <f t="shared" si="549"/>
        <v>0</v>
      </c>
      <c r="H2519" s="194">
        <v>0</v>
      </c>
      <c r="I2519" s="194">
        <v>0</v>
      </c>
      <c r="J2519" s="194">
        <v>0</v>
      </c>
      <c r="K2519" s="193">
        <f t="shared" si="550"/>
        <v>0</v>
      </c>
      <c r="L2519" s="194">
        <v>0</v>
      </c>
      <c r="M2519" s="194">
        <v>0</v>
      </c>
      <c r="N2519" s="194">
        <v>0</v>
      </c>
      <c r="O2519" s="193">
        <f t="shared" si="551"/>
        <v>0</v>
      </c>
      <c r="P2519" s="194">
        <v>0</v>
      </c>
      <c r="Q2519" s="194">
        <v>0</v>
      </c>
      <c r="R2519" s="194">
        <v>0</v>
      </c>
      <c r="S2519" s="193">
        <f t="shared" si="552"/>
        <v>0</v>
      </c>
      <c r="T2519" s="193">
        <f t="shared" si="553"/>
        <v>0</v>
      </c>
      <c r="U2519" s="193">
        <f ca="1">OFFSET('Expenditure Study'!$B$7,'Operations Support'!$C2519,'Operations Support'!$B2519)*$G2519</f>
        <v>0</v>
      </c>
      <c r="V2519" s="199">
        <f ca="1">U2519*'Expenditure Study'!$B$31</f>
        <v>0</v>
      </c>
      <c r="W2519" s="199">
        <f ca="1">IF(A2519=10298,1.51,1)*IF($B2519&lt;3,$D2519*'Expenditure Study'!$B$32*OFFSET('Expenditure Study'!$B$7,'Operations Support'!$C2519,'Operations Support'!$B2519),0)</f>
        <v>0</v>
      </c>
      <c r="X2519" s="200">
        <f ca="1">W2519*'Expenditure Study'!$B$31</f>
        <v>0</v>
      </c>
      <c r="Y2519" s="199">
        <f ca="1">U2519*'Expenditure Study'!$B$31</f>
        <v>0</v>
      </c>
      <c r="Z2519" s="200">
        <f ca="1">W2519*'Expenditure Study'!$B$31</f>
        <v>0</v>
      </c>
      <c r="AA2519" s="195">
        <f t="shared" ca="1" si="554"/>
        <v>0</v>
      </c>
      <c r="AB2519" s="195">
        <f t="shared" ca="1" si="555"/>
        <v>0</v>
      </c>
      <c r="AD2519" s="196">
        <f>IFERROR($G2519/SUMIF($A:$A,$A2519,$G:$G)*SUMIF(Summary!$A$166:$A$242,$A2519,Summary!$P$166:$P$242),0)</f>
        <v>0</v>
      </c>
      <c r="AE2519" s="197">
        <f t="shared" ca="1" si="556"/>
        <v>0</v>
      </c>
      <c r="AF2519" s="196">
        <f>IFERROR(G2519/SUMIF(A:A,A2519,G:G)*SUMIF(Summary!$A$166:$A$242,'Operations Support'!A2519,Summary!$Q$166:$Q$242),0)</f>
        <v>0</v>
      </c>
      <c r="AG2519" s="196">
        <f t="shared" ca="1" si="557"/>
        <v>0</v>
      </c>
      <c r="AI2519" s="196">
        <f>IFERROR($G2519/SUMIF($A:$A,$A2519,$G:$G)*SUMIF(Summary!$A$247:$A$283,$A2519,Summary!$P$247:$P$283),0)</f>
        <v>0</v>
      </c>
      <c r="AJ2519" s="196">
        <f>IFERROR($G2519/SUMIF($A:$A,$A2519,$G:$G)*(SUMIF(Summary!$A$247:$A$283,$A2519,Summary!$L$247:$L$283)+SUMIF(Summary!$A$297:$A$333,$A2519,Summary!$L$297:$L$333))-AI2519,0)</f>
        <v>0</v>
      </c>
      <c r="AK2519" s="196">
        <f>IFERROR($G2519/SUMIF($A:$A,$A2519,$G:$G)*SUMIF(Summary!$A$247:$A$283,$A2519,Summary!$Q$247:$Q$283),0)</f>
        <v>0</v>
      </c>
      <c r="AL2519" s="196">
        <f>IFERROR($G2519/SUMIF($A:$A,$A2519,$G:$G)*(SUMIF(Summary!$A$247:$A$283,$A2519,Summary!$L$247:$L$283)+SUMIF(Summary!$A$297:$A$333,$A2519,Summary!$L$297:$L$333))-AK2519,0)</f>
        <v>0</v>
      </c>
      <c r="AM2519" s="198"/>
      <c r="AN2519" s="196">
        <f t="shared" ca="1" si="558"/>
        <v>0</v>
      </c>
      <c r="AO2519" s="196">
        <f t="shared" ca="1" si="559"/>
        <v>0</v>
      </c>
    </row>
    <row r="2520" spans="1:41">
      <c r="A2520" s="189">
        <v>9651</v>
      </c>
      <c r="B2520" s="190">
        <v>5</v>
      </c>
      <c r="C2520" s="191" t="s">
        <v>236</v>
      </c>
      <c r="D2520" s="192">
        <f t="shared" si="546"/>
        <v>0</v>
      </c>
      <c r="E2520" s="192">
        <f t="shared" si="547"/>
        <v>0</v>
      </c>
      <c r="F2520" s="192">
        <f t="shared" si="548"/>
        <v>0</v>
      </c>
      <c r="G2520" s="193">
        <f t="shared" si="549"/>
        <v>0</v>
      </c>
      <c r="H2520" s="194">
        <v>0</v>
      </c>
      <c r="I2520" s="194">
        <v>0</v>
      </c>
      <c r="J2520" s="194">
        <v>0</v>
      </c>
      <c r="K2520" s="193">
        <f t="shared" si="550"/>
        <v>0</v>
      </c>
      <c r="L2520" s="194">
        <v>0</v>
      </c>
      <c r="M2520" s="194">
        <v>0</v>
      </c>
      <c r="N2520" s="194">
        <v>0</v>
      </c>
      <c r="O2520" s="193">
        <f t="shared" si="551"/>
        <v>0</v>
      </c>
      <c r="P2520" s="194">
        <v>0</v>
      </c>
      <c r="Q2520" s="194">
        <v>0</v>
      </c>
      <c r="R2520" s="194">
        <v>0</v>
      </c>
      <c r="S2520" s="193">
        <f t="shared" si="552"/>
        <v>0</v>
      </c>
      <c r="T2520" s="193">
        <f t="shared" si="553"/>
        <v>0</v>
      </c>
      <c r="U2520" s="193">
        <f ca="1">OFFSET('Expenditure Study'!$B$7,'Operations Support'!$C2520,'Operations Support'!$B2520)*$G2520</f>
        <v>0</v>
      </c>
      <c r="V2520" s="199">
        <f ca="1">U2520*'Expenditure Study'!$B$31</f>
        <v>0</v>
      </c>
      <c r="W2520" s="199">
        <f ca="1">IF(A2520=10298,1.51,1)*IF($B2520&lt;3,$D2520*'Expenditure Study'!$B$32*OFFSET('Expenditure Study'!$B$7,'Operations Support'!$C2520,'Operations Support'!$B2520),0)</f>
        <v>0</v>
      </c>
      <c r="X2520" s="200">
        <f ca="1">W2520*'Expenditure Study'!$B$31</f>
        <v>0</v>
      </c>
      <c r="Y2520" s="199">
        <f ca="1">U2520*'Expenditure Study'!$B$31</f>
        <v>0</v>
      </c>
      <c r="Z2520" s="200">
        <f ca="1">W2520*'Expenditure Study'!$B$31</f>
        <v>0</v>
      </c>
      <c r="AA2520" s="195">
        <f t="shared" ca="1" si="554"/>
        <v>0</v>
      </c>
      <c r="AB2520" s="195">
        <f t="shared" ca="1" si="555"/>
        <v>0</v>
      </c>
      <c r="AD2520" s="196">
        <f>IFERROR($G2520/SUMIF($A:$A,$A2520,$G:$G)*SUMIF(Summary!$A$166:$A$242,$A2520,Summary!$P$166:$P$242),0)</f>
        <v>0</v>
      </c>
      <c r="AE2520" s="197">
        <f t="shared" ca="1" si="556"/>
        <v>0</v>
      </c>
      <c r="AF2520" s="196">
        <f>IFERROR(G2520/SUMIF(A:A,A2520,G:G)*SUMIF(Summary!$A$166:$A$242,'Operations Support'!A2520,Summary!$Q$166:$Q$242),0)</f>
        <v>0</v>
      </c>
      <c r="AG2520" s="196">
        <f t="shared" ca="1" si="557"/>
        <v>0</v>
      </c>
      <c r="AI2520" s="196">
        <f>IFERROR($G2520/SUMIF($A:$A,$A2520,$G:$G)*SUMIF(Summary!$A$247:$A$283,$A2520,Summary!$P$247:$P$283),0)</f>
        <v>0</v>
      </c>
      <c r="AJ2520" s="196">
        <f>IFERROR($G2520/SUMIF($A:$A,$A2520,$G:$G)*(SUMIF(Summary!$A$247:$A$283,$A2520,Summary!$L$247:$L$283)+SUMIF(Summary!$A$297:$A$333,$A2520,Summary!$L$297:$L$333))-AI2520,0)</f>
        <v>0</v>
      </c>
      <c r="AK2520" s="196">
        <f>IFERROR($G2520/SUMIF($A:$A,$A2520,$G:$G)*SUMIF(Summary!$A$247:$A$283,$A2520,Summary!$Q$247:$Q$283),0)</f>
        <v>0</v>
      </c>
      <c r="AL2520" s="196">
        <f>IFERROR($G2520/SUMIF($A:$A,$A2520,$G:$G)*(SUMIF(Summary!$A$247:$A$283,$A2520,Summary!$L$247:$L$283)+SUMIF(Summary!$A$297:$A$333,$A2520,Summary!$L$297:$L$333))-AK2520,0)</f>
        <v>0</v>
      </c>
      <c r="AM2520" s="198"/>
      <c r="AN2520" s="196">
        <f t="shared" ca="1" si="558"/>
        <v>0</v>
      </c>
      <c r="AO2520" s="196">
        <f t="shared" ca="1" si="559"/>
        <v>0</v>
      </c>
    </row>
    <row r="2521" spans="1:41">
      <c r="A2521" s="189">
        <v>9651</v>
      </c>
      <c r="B2521" s="190">
        <v>5</v>
      </c>
      <c r="C2521" s="191" t="s">
        <v>237</v>
      </c>
      <c r="D2521" s="192">
        <f t="shared" si="546"/>
        <v>0</v>
      </c>
      <c r="E2521" s="192">
        <f t="shared" si="547"/>
        <v>0</v>
      </c>
      <c r="F2521" s="192">
        <f t="shared" si="548"/>
        <v>0</v>
      </c>
      <c r="G2521" s="193">
        <f t="shared" si="549"/>
        <v>0</v>
      </c>
      <c r="H2521" s="194">
        <v>0</v>
      </c>
      <c r="I2521" s="194">
        <v>0</v>
      </c>
      <c r="J2521" s="194">
        <v>0</v>
      </c>
      <c r="K2521" s="193">
        <f t="shared" si="550"/>
        <v>0</v>
      </c>
      <c r="L2521" s="194">
        <v>0</v>
      </c>
      <c r="M2521" s="194">
        <v>0</v>
      </c>
      <c r="N2521" s="194">
        <v>0</v>
      </c>
      <c r="O2521" s="193">
        <f t="shared" si="551"/>
        <v>0</v>
      </c>
      <c r="P2521" s="194">
        <v>0</v>
      </c>
      <c r="Q2521" s="194">
        <v>0</v>
      </c>
      <c r="R2521" s="194">
        <v>0</v>
      </c>
      <c r="S2521" s="193">
        <f t="shared" si="552"/>
        <v>0</v>
      </c>
      <c r="T2521" s="193">
        <f t="shared" si="553"/>
        <v>0</v>
      </c>
      <c r="U2521" s="193">
        <f ca="1">OFFSET('Expenditure Study'!$B$7,'Operations Support'!$C2521,'Operations Support'!$B2521)*$G2521</f>
        <v>0</v>
      </c>
      <c r="V2521" s="199">
        <f ca="1">U2521*'Expenditure Study'!$B$31</f>
        <v>0</v>
      </c>
      <c r="W2521" s="199">
        <f ca="1">IF(A2521=10298,1.51,1)*IF($B2521&lt;3,$D2521*'Expenditure Study'!$B$32*OFFSET('Expenditure Study'!$B$7,'Operations Support'!$C2521,'Operations Support'!$B2521),0)</f>
        <v>0</v>
      </c>
      <c r="X2521" s="200">
        <f ca="1">W2521*'Expenditure Study'!$B$31</f>
        <v>0</v>
      </c>
      <c r="Y2521" s="199">
        <f ca="1">U2521*'Expenditure Study'!$B$31</f>
        <v>0</v>
      </c>
      <c r="Z2521" s="200">
        <f ca="1">W2521*'Expenditure Study'!$B$31</f>
        <v>0</v>
      </c>
      <c r="AA2521" s="195">
        <f t="shared" ca="1" si="554"/>
        <v>0</v>
      </c>
      <c r="AB2521" s="195">
        <f t="shared" ca="1" si="555"/>
        <v>0</v>
      </c>
      <c r="AD2521" s="196">
        <f>IFERROR($G2521/SUMIF($A:$A,$A2521,$G:$G)*SUMIF(Summary!$A$166:$A$242,$A2521,Summary!$P$166:$P$242),0)</f>
        <v>0</v>
      </c>
      <c r="AE2521" s="197">
        <f t="shared" ca="1" si="556"/>
        <v>0</v>
      </c>
      <c r="AF2521" s="196">
        <f>IFERROR(G2521/SUMIF(A:A,A2521,G:G)*SUMIF(Summary!$A$166:$A$242,'Operations Support'!A2521,Summary!$Q$166:$Q$242),0)</f>
        <v>0</v>
      </c>
      <c r="AG2521" s="196">
        <f t="shared" ca="1" si="557"/>
        <v>0</v>
      </c>
      <c r="AI2521" s="196">
        <f>IFERROR($G2521/SUMIF($A:$A,$A2521,$G:$G)*SUMIF(Summary!$A$247:$A$283,$A2521,Summary!$P$247:$P$283),0)</f>
        <v>0</v>
      </c>
      <c r="AJ2521" s="196">
        <f>IFERROR($G2521/SUMIF($A:$A,$A2521,$G:$G)*(SUMIF(Summary!$A$247:$A$283,$A2521,Summary!$L$247:$L$283)+SUMIF(Summary!$A$297:$A$333,$A2521,Summary!$L$297:$L$333))-AI2521,0)</f>
        <v>0</v>
      </c>
      <c r="AK2521" s="196">
        <f>IFERROR($G2521/SUMIF($A:$A,$A2521,$G:$G)*SUMIF(Summary!$A$247:$A$283,$A2521,Summary!$Q$247:$Q$283),0)</f>
        <v>0</v>
      </c>
      <c r="AL2521" s="196">
        <f>IFERROR($G2521/SUMIF($A:$A,$A2521,$G:$G)*(SUMIF(Summary!$A$247:$A$283,$A2521,Summary!$L$247:$L$283)+SUMIF(Summary!$A$297:$A$333,$A2521,Summary!$L$297:$L$333))-AK2521,0)</f>
        <v>0</v>
      </c>
      <c r="AM2521" s="198"/>
      <c r="AN2521" s="196">
        <f t="shared" ca="1" si="558"/>
        <v>0</v>
      </c>
      <c r="AO2521" s="196">
        <f t="shared" ca="1" si="559"/>
        <v>0</v>
      </c>
    </row>
    <row r="2522" spans="1:41">
      <c r="A2522" s="189">
        <v>9651</v>
      </c>
      <c r="B2522" s="190">
        <v>5</v>
      </c>
      <c r="C2522" s="191" t="s">
        <v>238</v>
      </c>
      <c r="D2522" s="192">
        <f t="shared" si="546"/>
        <v>0</v>
      </c>
      <c r="E2522" s="192">
        <f t="shared" si="547"/>
        <v>0</v>
      </c>
      <c r="F2522" s="192">
        <f t="shared" si="548"/>
        <v>0</v>
      </c>
      <c r="G2522" s="193">
        <f t="shared" si="549"/>
        <v>0</v>
      </c>
      <c r="H2522" s="194">
        <v>0</v>
      </c>
      <c r="I2522" s="194">
        <v>0</v>
      </c>
      <c r="J2522" s="194">
        <v>0</v>
      </c>
      <c r="K2522" s="193">
        <f t="shared" si="550"/>
        <v>0</v>
      </c>
      <c r="L2522" s="194">
        <v>0</v>
      </c>
      <c r="M2522" s="194">
        <v>0</v>
      </c>
      <c r="N2522" s="194">
        <v>0</v>
      </c>
      <c r="O2522" s="193">
        <f t="shared" si="551"/>
        <v>0</v>
      </c>
      <c r="P2522" s="194">
        <v>0</v>
      </c>
      <c r="Q2522" s="194">
        <v>0</v>
      </c>
      <c r="R2522" s="194">
        <v>0</v>
      </c>
      <c r="S2522" s="193">
        <f t="shared" si="552"/>
        <v>0</v>
      </c>
      <c r="T2522" s="193">
        <f t="shared" si="553"/>
        <v>0</v>
      </c>
      <c r="U2522" s="193">
        <f ca="1">OFFSET('Expenditure Study'!$B$7,'Operations Support'!$C2522,'Operations Support'!$B2522)*$G2522</f>
        <v>0</v>
      </c>
      <c r="V2522" s="199">
        <f ca="1">U2522*'Expenditure Study'!$B$31</f>
        <v>0</v>
      </c>
      <c r="W2522" s="199">
        <f ca="1">IF(A2522=10298,1.51,1)*IF($B2522&lt;3,$D2522*'Expenditure Study'!$B$32*OFFSET('Expenditure Study'!$B$7,'Operations Support'!$C2522,'Operations Support'!$B2522),0)</f>
        <v>0</v>
      </c>
      <c r="X2522" s="200">
        <f ca="1">W2522*'Expenditure Study'!$B$31</f>
        <v>0</v>
      </c>
      <c r="Y2522" s="199">
        <f ca="1">U2522*'Expenditure Study'!$B$31</f>
        <v>0</v>
      </c>
      <c r="Z2522" s="200">
        <f ca="1">W2522*'Expenditure Study'!$B$31</f>
        <v>0</v>
      </c>
      <c r="AA2522" s="195">
        <f t="shared" ca="1" si="554"/>
        <v>0</v>
      </c>
      <c r="AB2522" s="195">
        <f t="shared" ca="1" si="555"/>
        <v>0</v>
      </c>
      <c r="AD2522" s="196">
        <f>IFERROR($G2522/SUMIF($A:$A,$A2522,$G:$G)*SUMIF(Summary!$A$166:$A$242,$A2522,Summary!$P$166:$P$242),0)</f>
        <v>0</v>
      </c>
      <c r="AE2522" s="197">
        <f t="shared" ca="1" si="556"/>
        <v>0</v>
      </c>
      <c r="AF2522" s="196">
        <f>IFERROR(G2522/SUMIF(A:A,A2522,G:G)*SUMIF(Summary!$A$166:$A$242,'Operations Support'!A2522,Summary!$Q$166:$Q$242),0)</f>
        <v>0</v>
      </c>
      <c r="AG2522" s="196">
        <f t="shared" ca="1" si="557"/>
        <v>0</v>
      </c>
      <c r="AI2522" s="196">
        <f>IFERROR($G2522/SUMIF($A:$A,$A2522,$G:$G)*SUMIF(Summary!$A$247:$A$283,$A2522,Summary!$P$247:$P$283),0)</f>
        <v>0</v>
      </c>
      <c r="AJ2522" s="196">
        <f>IFERROR($G2522/SUMIF($A:$A,$A2522,$G:$G)*(SUMIF(Summary!$A$247:$A$283,$A2522,Summary!$L$247:$L$283)+SUMIF(Summary!$A$297:$A$333,$A2522,Summary!$L$297:$L$333))-AI2522,0)</f>
        <v>0</v>
      </c>
      <c r="AK2522" s="196">
        <f>IFERROR($G2522/SUMIF($A:$A,$A2522,$G:$G)*SUMIF(Summary!$A$247:$A$283,$A2522,Summary!$Q$247:$Q$283),0)</f>
        <v>0</v>
      </c>
      <c r="AL2522" s="196">
        <f>IFERROR($G2522/SUMIF($A:$A,$A2522,$G:$G)*(SUMIF(Summary!$A$247:$A$283,$A2522,Summary!$L$247:$L$283)+SUMIF(Summary!$A$297:$A$333,$A2522,Summary!$L$297:$L$333))-AK2522,0)</f>
        <v>0</v>
      </c>
      <c r="AM2522" s="198"/>
      <c r="AN2522" s="196">
        <f t="shared" ca="1" si="558"/>
        <v>0</v>
      </c>
      <c r="AO2522" s="196">
        <f t="shared" ca="1" si="559"/>
        <v>0</v>
      </c>
    </row>
    <row r="2523" spans="1:41">
      <c r="A2523" s="189">
        <v>9651</v>
      </c>
      <c r="B2523" s="190">
        <v>5</v>
      </c>
      <c r="C2523" s="191" t="s">
        <v>239</v>
      </c>
      <c r="D2523" s="192">
        <f t="shared" si="546"/>
        <v>0</v>
      </c>
      <c r="E2523" s="192">
        <f t="shared" si="547"/>
        <v>0</v>
      </c>
      <c r="F2523" s="192">
        <f t="shared" si="548"/>
        <v>0</v>
      </c>
      <c r="G2523" s="193">
        <f t="shared" si="549"/>
        <v>0</v>
      </c>
      <c r="H2523" s="194">
        <v>0</v>
      </c>
      <c r="I2523" s="194">
        <v>0</v>
      </c>
      <c r="J2523" s="194">
        <v>0</v>
      </c>
      <c r="K2523" s="193">
        <f t="shared" si="550"/>
        <v>0</v>
      </c>
      <c r="L2523" s="194">
        <v>0</v>
      </c>
      <c r="M2523" s="194">
        <v>0</v>
      </c>
      <c r="N2523" s="194">
        <v>0</v>
      </c>
      <c r="O2523" s="193">
        <f t="shared" si="551"/>
        <v>0</v>
      </c>
      <c r="P2523" s="194">
        <v>0</v>
      </c>
      <c r="Q2523" s="194">
        <v>0</v>
      </c>
      <c r="R2523" s="194">
        <v>0</v>
      </c>
      <c r="S2523" s="193">
        <f t="shared" si="552"/>
        <v>0</v>
      </c>
      <c r="T2523" s="193">
        <f t="shared" si="553"/>
        <v>0</v>
      </c>
      <c r="U2523" s="193">
        <f ca="1">OFFSET('Expenditure Study'!$B$7,'Operations Support'!$C2523,'Operations Support'!$B2523)*$G2523</f>
        <v>0</v>
      </c>
      <c r="V2523" s="199">
        <f ca="1">U2523*'Expenditure Study'!$B$31</f>
        <v>0</v>
      </c>
      <c r="W2523" s="199">
        <f ca="1">IF(A2523=10298,1.51,1)*IF($B2523&lt;3,$D2523*'Expenditure Study'!$B$32*OFFSET('Expenditure Study'!$B$7,'Operations Support'!$C2523,'Operations Support'!$B2523),0)</f>
        <v>0</v>
      </c>
      <c r="X2523" s="200">
        <f ca="1">W2523*'Expenditure Study'!$B$31</f>
        <v>0</v>
      </c>
      <c r="Y2523" s="199">
        <f ca="1">U2523*'Expenditure Study'!$B$31</f>
        <v>0</v>
      </c>
      <c r="Z2523" s="200">
        <f ca="1">W2523*'Expenditure Study'!$B$31</f>
        <v>0</v>
      </c>
      <c r="AA2523" s="195">
        <f t="shared" ca="1" si="554"/>
        <v>0</v>
      </c>
      <c r="AB2523" s="195">
        <f t="shared" ca="1" si="555"/>
        <v>0</v>
      </c>
      <c r="AD2523" s="196">
        <f>IFERROR($G2523/SUMIF($A:$A,$A2523,$G:$G)*SUMIF(Summary!$A$166:$A$242,$A2523,Summary!$P$166:$P$242),0)</f>
        <v>0</v>
      </c>
      <c r="AE2523" s="197">
        <f t="shared" ca="1" si="556"/>
        <v>0</v>
      </c>
      <c r="AF2523" s="196">
        <f>IFERROR(G2523/SUMIF(A:A,A2523,G:G)*SUMIF(Summary!$A$166:$A$242,'Operations Support'!A2523,Summary!$Q$166:$Q$242),0)</f>
        <v>0</v>
      </c>
      <c r="AG2523" s="196">
        <f t="shared" ca="1" si="557"/>
        <v>0</v>
      </c>
      <c r="AI2523" s="196">
        <f>IFERROR($G2523/SUMIF($A:$A,$A2523,$G:$G)*SUMIF(Summary!$A$247:$A$283,$A2523,Summary!$P$247:$P$283),0)</f>
        <v>0</v>
      </c>
      <c r="AJ2523" s="196">
        <f>IFERROR($G2523/SUMIF($A:$A,$A2523,$G:$G)*(SUMIF(Summary!$A$247:$A$283,$A2523,Summary!$L$247:$L$283)+SUMIF(Summary!$A$297:$A$333,$A2523,Summary!$L$297:$L$333))-AI2523,0)</f>
        <v>0</v>
      </c>
      <c r="AK2523" s="196">
        <f>IFERROR($G2523/SUMIF($A:$A,$A2523,$G:$G)*SUMIF(Summary!$A$247:$A$283,$A2523,Summary!$Q$247:$Q$283),0)</f>
        <v>0</v>
      </c>
      <c r="AL2523" s="196">
        <f>IFERROR($G2523/SUMIF($A:$A,$A2523,$G:$G)*(SUMIF(Summary!$A$247:$A$283,$A2523,Summary!$L$247:$L$283)+SUMIF(Summary!$A$297:$A$333,$A2523,Summary!$L$297:$L$333))-AK2523,0)</f>
        <v>0</v>
      </c>
      <c r="AM2523" s="198"/>
      <c r="AN2523" s="196">
        <f t="shared" ca="1" si="558"/>
        <v>0</v>
      </c>
      <c r="AO2523" s="196">
        <f t="shared" ca="1" si="559"/>
        <v>0</v>
      </c>
    </row>
    <row r="2524" spans="1:41">
      <c r="A2524" s="189">
        <v>9651</v>
      </c>
      <c r="B2524" s="190">
        <v>5</v>
      </c>
      <c r="C2524" s="191" t="s">
        <v>240</v>
      </c>
      <c r="D2524" s="192">
        <f t="shared" si="546"/>
        <v>0</v>
      </c>
      <c r="E2524" s="192">
        <f t="shared" si="547"/>
        <v>0</v>
      </c>
      <c r="F2524" s="192">
        <f t="shared" si="548"/>
        <v>0</v>
      </c>
      <c r="G2524" s="193">
        <f t="shared" si="549"/>
        <v>0</v>
      </c>
      <c r="H2524" s="194">
        <v>0</v>
      </c>
      <c r="I2524" s="194">
        <v>0</v>
      </c>
      <c r="J2524" s="194">
        <v>0</v>
      </c>
      <c r="K2524" s="193">
        <f t="shared" si="550"/>
        <v>0</v>
      </c>
      <c r="L2524" s="194">
        <v>0</v>
      </c>
      <c r="M2524" s="194">
        <v>0</v>
      </c>
      <c r="N2524" s="194">
        <v>0</v>
      </c>
      <c r="O2524" s="193">
        <f t="shared" si="551"/>
        <v>0</v>
      </c>
      <c r="P2524" s="194">
        <v>0</v>
      </c>
      <c r="Q2524" s="194">
        <v>0</v>
      </c>
      <c r="R2524" s="194">
        <v>0</v>
      </c>
      <c r="S2524" s="193">
        <f t="shared" si="552"/>
        <v>0</v>
      </c>
      <c r="T2524" s="193">
        <f t="shared" si="553"/>
        <v>0</v>
      </c>
      <c r="U2524" s="193">
        <f ca="1">OFFSET('Expenditure Study'!$B$7,'Operations Support'!$C2524,'Operations Support'!$B2524)*$G2524</f>
        <v>0</v>
      </c>
      <c r="V2524" s="199">
        <f ca="1">U2524*'Expenditure Study'!$B$31</f>
        <v>0</v>
      </c>
      <c r="W2524" s="199">
        <f ca="1">IF(A2524=10298,1.51,1)*IF($B2524&lt;3,$D2524*'Expenditure Study'!$B$32*OFFSET('Expenditure Study'!$B$7,'Operations Support'!$C2524,'Operations Support'!$B2524),0)</f>
        <v>0</v>
      </c>
      <c r="X2524" s="200">
        <f ca="1">W2524*'Expenditure Study'!$B$31</f>
        <v>0</v>
      </c>
      <c r="Y2524" s="199">
        <f ca="1">U2524*'Expenditure Study'!$B$31</f>
        <v>0</v>
      </c>
      <c r="Z2524" s="200">
        <f ca="1">W2524*'Expenditure Study'!$B$31</f>
        <v>0</v>
      </c>
      <c r="AA2524" s="195">
        <f t="shared" ca="1" si="554"/>
        <v>0</v>
      </c>
      <c r="AB2524" s="195">
        <f t="shared" ca="1" si="555"/>
        <v>0</v>
      </c>
      <c r="AD2524" s="196">
        <f>IFERROR($G2524/SUMIF($A:$A,$A2524,$G:$G)*SUMIF(Summary!$A$166:$A$242,$A2524,Summary!$P$166:$P$242),0)</f>
        <v>0</v>
      </c>
      <c r="AE2524" s="197">
        <f t="shared" ca="1" si="556"/>
        <v>0</v>
      </c>
      <c r="AF2524" s="196">
        <f>IFERROR(G2524/SUMIF(A:A,A2524,G:G)*SUMIF(Summary!$A$166:$A$242,'Operations Support'!A2524,Summary!$Q$166:$Q$242),0)</f>
        <v>0</v>
      </c>
      <c r="AG2524" s="196">
        <f t="shared" ca="1" si="557"/>
        <v>0</v>
      </c>
      <c r="AI2524" s="196">
        <f>IFERROR($G2524/SUMIF($A:$A,$A2524,$G:$G)*SUMIF(Summary!$A$247:$A$283,$A2524,Summary!$P$247:$P$283),0)</f>
        <v>0</v>
      </c>
      <c r="AJ2524" s="196">
        <f>IFERROR($G2524/SUMIF($A:$A,$A2524,$G:$G)*(SUMIF(Summary!$A$247:$A$283,$A2524,Summary!$L$247:$L$283)+SUMIF(Summary!$A$297:$A$333,$A2524,Summary!$L$297:$L$333))-AI2524,0)</f>
        <v>0</v>
      </c>
      <c r="AK2524" s="196">
        <f>IFERROR($G2524/SUMIF($A:$A,$A2524,$G:$G)*SUMIF(Summary!$A$247:$A$283,$A2524,Summary!$Q$247:$Q$283),0)</f>
        <v>0</v>
      </c>
      <c r="AL2524" s="196">
        <f>IFERROR($G2524/SUMIF($A:$A,$A2524,$G:$G)*(SUMIF(Summary!$A$247:$A$283,$A2524,Summary!$L$247:$L$283)+SUMIF(Summary!$A$297:$A$333,$A2524,Summary!$L$297:$L$333))-AK2524,0)</f>
        <v>0</v>
      </c>
      <c r="AM2524" s="198"/>
      <c r="AN2524" s="196">
        <f t="shared" ca="1" si="558"/>
        <v>0</v>
      </c>
      <c r="AO2524" s="196">
        <f t="shared" ca="1" si="559"/>
        <v>0</v>
      </c>
    </row>
    <row r="2525" spans="1:41">
      <c r="A2525" s="189">
        <v>9741</v>
      </c>
      <c r="B2525" s="190">
        <v>1</v>
      </c>
      <c r="C2525" s="191" t="s">
        <v>220</v>
      </c>
      <c r="D2525" s="192">
        <f t="shared" si="546"/>
        <v>26408.5</v>
      </c>
      <c r="E2525" s="192">
        <f t="shared" si="547"/>
        <v>84251.5</v>
      </c>
      <c r="F2525" s="192">
        <f t="shared" si="548"/>
        <v>0</v>
      </c>
      <c r="G2525" s="193">
        <f t="shared" si="549"/>
        <v>110660</v>
      </c>
      <c r="H2525" s="194">
        <v>12218</v>
      </c>
      <c r="I2525" s="194">
        <v>35642</v>
      </c>
      <c r="J2525" s="194">
        <v>0</v>
      </c>
      <c r="K2525" s="193">
        <f t="shared" si="550"/>
        <v>47860</v>
      </c>
      <c r="L2525" s="194">
        <v>14081.5</v>
      </c>
      <c r="M2525" s="194">
        <v>44555.5</v>
      </c>
      <c r="N2525" s="194">
        <v>0</v>
      </c>
      <c r="O2525" s="193">
        <f t="shared" si="551"/>
        <v>58637</v>
      </c>
      <c r="P2525" s="194">
        <v>109</v>
      </c>
      <c r="Q2525" s="194">
        <v>4054</v>
      </c>
      <c r="R2525" s="194">
        <v>0</v>
      </c>
      <c r="S2525" s="193">
        <f t="shared" si="552"/>
        <v>4163</v>
      </c>
      <c r="T2525" s="193">
        <f t="shared" si="553"/>
        <v>3688.6666666666665</v>
      </c>
      <c r="U2525" s="193">
        <f ca="1">OFFSET('Expenditure Study'!$B$7,'Operations Support'!$C2525,'Operations Support'!$B2525)*$G2525</f>
        <v>110660</v>
      </c>
      <c r="V2525" s="199">
        <f ca="1">U2525*'Expenditure Study'!$B$31</f>
        <v>6538144.7873280002</v>
      </c>
      <c r="W2525" s="199">
        <f ca="1">IF(A2525=10298,1.51,1)*IF($B2525&lt;3,$D2525*'Expenditure Study'!$B$32*OFFSET('Expenditure Study'!$B$7,'Operations Support'!$C2525,'Operations Support'!$B2525),0)</f>
        <v>2640.8500000000004</v>
      </c>
      <c r="X2525" s="200">
        <f ca="1">W2525*'Expenditure Study'!$B$31</f>
        <v>156029.81801568004</v>
      </c>
      <c r="Y2525" s="199">
        <f ca="1">U2525*'Expenditure Study'!$B$31</f>
        <v>6538144.7873280002</v>
      </c>
      <c r="Z2525" s="200">
        <f ca="1">W2525*'Expenditure Study'!$B$31</f>
        <v>156029.81801568004</v>
      </c>
      <c r="AA2525" s="195">
        <f t="shared" ca="1" si="554"/>
        <v>6694174.6053436799</v>
      </c>
      <c r="AB2525" s="195">
        <f t="shared" ca="1" si="555"/>
        <v>6694174.6053436799</v>
      </c>
      <c r="AD2525" s="196">
        <f>IFERROR($G2525/SUMIF($A:$A,$A2525,$G:$G)*SUMIF(Summary!$A$166:$A$242,$A2525,Summary!$P$166:$P$242),0)</f>
        <v>5616749.3370336378</v>
      </c>
      <c r="AE2525" s="197">
        <f t="shared" ca="1" si="556"/>
        <v>1077425.2683100421</v>
      </c>
      <c r="AF2525" s="196">
        <f>IFERROR(G2525/SUMIF(A:A,A2525,G:G)*SUMIF(Summary!$A$166:$A$242,'Operations Support'!A2525,Summary!$Q$166:$Q$242),0)</f>
        <v>5655810.0324845705</v>
      </c>
      <c r="AG2525" s="196">
        <f t="shared" ca="1" si="557"/>
        <v>1038364.5728591094</v>
      </c>
      <c r="AI2525" s="196">
        <f>IFERROR($G2525/SUMIF($A:$A,$A2525,$G:$G)*SUMIF(Summary!$A$247:$A$283,$A2525,Summary!$P$247:$P$283),0)</f>
        <v>1024354.9146576386</v>
      </c>
      <c r="AJ2525" s="196">
        <f>IFERROR($G2525/SUMIF($A:$A,$A2525,$G:$G)*(SUMIF(Summary!$A$247:$A$283,$A2525,Summary!$L$247:$L$283)+SUMIF(Summary!$A$297:$A$333,$A2525,Summary!$L$297:$L$333))-AI2525,0)</f>
        <v>1906196.5812607051</v>
      </c>
      <c r="AK2525" s="196">
        <f>IFERROR($G2525/SUMIF($A:$A,$A2525,$G:$G)*SUMIF(Summary!$A$247:$A$283,$A2525,Summary!$Q$247:$Q$283),0)</f>
        <v>1031478.6107590995</v>
      </c>
      <c r="AL2525" s="196">
        <f>IFERROR($G2525/SUMIF($A:$A,$A2525,$G:$G)*(SUMIF(Summary!$A$247:$A$283,$A2525,Summary!$L$247:$L$283)+SUMIF(Summary!$A$297:$A$333,$A2525,Summary!$L$297:$L$333))-AK2525,0)</f>
        <v>1899072.8851592443</v>
      </c>
      <c r="AM2525" s="198"/>
      <c r="AN2525" s="196">
        <f t="shared" ca="1" si="558"/>
        <v>2983621.8495707475</v>
      </c>
      <c r="AO2525" s="196">
        <f t="shared" ca="1" si="559"/>
        <v>2937437.4580183537</v>
      </c>
    </row>
    <row r="2526" spans="1:41">
      <c r="A2526" s="189">
        <v>9741</v>
      </c>
      <c r="B2526" s="190">
        <v>1</v>
      </c>
      <c r="C2526" s="191" t="s">
        <v>221</v>
      </c>
      <c r="D2526" s="192">
        <f t="shared" si="546"/>
        <v>14085.92</v>
      </c>
      <c r="E2526" s="192">
        <f t="shared" si="547"/>
        <v>49402.080000000002</v>
      </c>
      <c r="F2526" s="192">
        <f t="shared" si="548"/>
        <v>0</v>
      </c>
      <c r="G2526" s="193">
        <f t="shared" si="549"/>
        <v>63488</v>
      </c>
      <c r="H2526" s="194">
        <v>5860.1</v>
      </c>
      <c r="I2526" s="194">
        <v>23584.9</v>
      </c>
      <c r="J2526" s="194">
        <v>0</v>
      </c>
      <c r="K2526" s="193">
        <f t="shared" si="550"/>
        <v>29445</v>
      </c>
      <c r="L2526" s="194">
        <v>7817.82</v>
      </c>
      <c r="M2526" s="194">
        <v>23917.18</v>
      </c>
      <c r="N2526" s="194">
        <v>0</v>
      </c>
      <c r="O2526" s="193">
        <f t="shared" si="551"/>
        <v>31735</v>
      </c>
      <c r="P2526" s="194">
        <v>408</v>
      </c>
      <c r="Q2526" s="194">
        <v>1900</v>
      </c>
      <c r="R2526" s="194">
        <v>0</v>
      </c>
      <c r="S2526" s="193">
        <f t="shared" si="552"/>
        <v>2308</v>
      </c>
      <c r="T2526" s="193">
        <f t="shared" si="553"/>
        <v>2116.2666666666669</v>
      </c>
      <c r="U2526" s="193">
        <f ca="1">OFFSET('Expenditure Study'!$B$7,'Operations Support'!$C2526,'Operations Support'!$B2526)*$G2526</f>
        <v>85073.919999999998</v>
      </c>
      <c r="V2526" s="199">
        <f ca="1">U2526*'Expenditure Study'!$B$31</f>
        <v>5026437.7967247358</v>
      </c>
      <c r="W2526" s="199">
        <f ca="1">IF(A2526=10298,1.51,1)*IF($B2526&lt;3,$D2526*'Expenditure Study'!$B$32*OFFSET('Expenditure Study'!$B$7,'Operations Support'!$C2526,'Operations Support'!$B2526),0)</f>
        <v>1887.5132800000003</v>
      </c>
      <c r="X2526" s="200">
        <f ca="1">W2526*'Expenditure Study'!$B$31</f>
        <v>111520.28838464104</v>
      </c>
      <c r="Y2526" s="199">
        <f ca="1">U2526*'Expenditure Study'!$B$31</f>
        <v>5026437.7967247358</v>
      </c>
      <c r="Z2526" s="200">
        <f ca="1">W2526*'Expenditure Study'!$B$31</f>
        <v>111520.28838464104</v>
      </c>
      <c r="AA2526" s="195">
        <f t="shared" ca="1" si="554"/>
        <v>5137958.0851093763</v>
      </c>
      <c r="AB2526" s="195">
        <f t="shared" ca="1" si="555"/>
        <v>5137958.0851093763</v>
      </c>
      <c r="AD2526" s="196">
        <f>IFERROR($G2526/SUMIF($A:$A,$A2526,$G:$G)*SUMIF(Summary!$A$166:$A$242,$A2526,Summary!$P$166:$P$242),0)</f>
        <v>3222448.7792299986</v>
      </c>
      <c r="AE2526" s="197">
        <f t="shared" ca="1" si="556"/>
        <v>1915509.3058793778</v>
      </c>
      <c r="AF2526" s="196">
        <f>IFERROR(G2526/SUMIF(A:A,A2526,G:G)*SUMIF(Summary!$A$166:$A$242,'Operations Support'!A2526,Summary!$Q$166:$Q$242),0)</f>
        <v>3244858.7325355182</v>
      </c>
      <c r="AG2526" s="196">
        <f t="shared" ca="1" si="557"/>
        <v>1893099.3525738581</v>
      </c>
      <c r="AI2526" s="196">
        <f>IFERROR($G2526/SUMIF($A:$A,$A2526,$G:$G)*SUMIF(Summary!$A$247:$A$283,$A2526,Summary!$P$247:$P$283),0)</f>
        <v>587694.2420186532</v>
      </c>
      <c r="AJ2526" s="196">
        <f>IFERROR($G2526/SUMIF($A:$A,$A2526,$G:$G)*(SUMIF(Summary!$A$247:$A$283,$A2526,Summary!$L$247:$L$283)+SUMIF(Summary!$A$297:$A$333,$A2526,Summary!$L$297:$L$333))-AI2526,0)</f>
        <v>1093625.5968830623</v>
      </c>
      <c r="AK2526" s="196">
        <f>IFERROR($G2526/SUMIF($A:$A,$A2526,$G:$G)*SUMIF(Summary!$A$247:$A$283,$A2526,Summary!$Q$247:$Q$283),0)</f>
        <v>591781.25826742919</v>
      </c>
      <c r="AL2526" s="196">
        <f>IFERROR($G2526/SUMIF($A:$A,$A2526,$G:$G)*(SUMIF(Summary!$A$247:$A$283,$A2526,Summary!$L$247:$L$283)+SUMIF(Summary!$A$297:$A$333,$A2526,Summary!$L$297:$L$333))-AK2526,0)</f>
        <v>1089538.5806342862</v>
      </c>
      <c r="AM2526" s="198"/>
      <c r="AN2526" s="196">
        <f t="shared" ca="1" si="558"/>
        <v>3009134.90276244</v>
      </c>
      <c r="AO2526" s="196">
        <f t="shared" ca="1" si="559"/>
        <v>2982637.9332081443</v>
      </c>
    </row>
    <row r="2527" spans="1:41">
      <c r="A2527" s="189">
        <v>9741</v>
      </c>
      <c r="B2527" s="190">
        <v>1</v>
      </c>
      <c r="C2527" s="191" t="s">
        <v>222</v>
      </c>
      <c r="D2527" s="192">
        <f t="shared" si="546"/>
        <v>1318</v>
      </c>
      <c r="E2527" s="192">
        <f t="shared" si="547"/>
        <v>23988</v>
      </c>
      <c r="F2527" s="192">
        <f t="shared" si="548"/>
        <v>0</v>
      </c>
      <c r="G2527" s="193">
        <f t="shared" si="549"/>
        <v>25306</v>
      </c>
      <c r="H2527" s="194">
        <v>924</v>
      </c>
      <c r="I2527" s="194">
        <v>10313</v>
      </c>
      <c r="J2527" s="194">
        <v>0</v>
      </c>
      <c r="K2527" s="193">
        <f t="shared" si="550"/>
        <v>11237</v>
      </c>
      <c r="L2527" s="194">
        <v>388</v>
      </c>
      <c r="M2527" s="194">
        <v>13021</v>
      </c>
      <c r="N2527" s="194">
        <v>0</v>
      </c>
      <c r="O2527" s="193">
        <f t="shared" si="551"/>
        <v>13409</v>
      </c>
      <c r="P2527" s="194">
        <v>6</v>
      </c>
      <c r="Q2527" s="194">
        <v>654</v>
      </c>
      <c r="R2527" s="194">
        <v>0</v>
      </c>
      <c r="S2527" s="193">
        <f t="shared" si="552"/>
        <v>660</v>
      </c>
      <c r="T2527" s="193">
        <f t="shared" si="553"/>
        <v>843.5333333333333</v>
      </c>
      <c r="U2527" s="193">
        <f ca="1">OFFSET('Expenditure Study'!$B$7,'Operations Support'!$C2527,'Operations Support'!$B2527)*$G2527</f>
        <v>34669.22</v>
      </c>
      <c r="V2527" s="199">
        <f ca="1">U2527*'Expenditure Study'!$B$31</f>
        <v>2048367.7934549761</v>
      </c>
      <c r="W2527" s="199">
        <f ca="1">IF(A2527=10298,1.51,1)*IF($B2527&lt;3,$D2527*'Expenditure Study'!$B$32*OFFSET('Expenditure Study'!$B$7,'Operations Support'!$C2527,'Operations Support'!$B2527),0)</f>
        <v>180.56600000000003</v>
      </c>
      <c r="X2527" s="200">
        <f ca="1">W2527*'Expenditure Study'!$B$31</f>
        <v>10668.413624332801</v>
      </c>
      <c r="Y2527" s="199">
        <f ca="1">U2527*'Expenditure Study'!$B$31</f>
        <v>2048367.7934549761</v>
      </c>
      <c r="Z2527" s="200">
        <f ca="1">W2527*'Expenditure Study'!$B$31</f>
        <v>10668.413624332801</v>
      </c>
      <c r="AA2527" s="195">
        <f t="shared" ca="1" si="554"/>
        <v>2059036.2070793088</v>
      </c>
      <c r="AB2527" s="195">
        <f t="shared" ca="1" si="555"/>
        <v>2059036.2070793088</v>
      </c>
      <c r="AD2527" s="196">
        <f>IFERROR($G2527/SUMIF($A:$A,$A2527,$G:$G)*SUMIF(Summary!$A$166:$A$242,$A2527,Summary!$P$166:$P$242),0)</f>
        <v>1284452.0036415439</v>
      </c>
      <c r="AE2527" s="197">
        <f t="shared" ca="1" si="556"/>
        <v>774584.2034377649</v>
      </c>
      <c r="AF2527" s="196">
        <f>IFERROR(G2527/SUMIF(A:A,A2527,G:G)*SUMIF(Summary!$A$166:$A$242,'Operations Support'!A2527,Summary!$Q$166:$Q$242),0)</f>
        <v>1293384.4992052645</v>
      </c>
      <c r="AG2527" s="196">
        <f t="shared" ca="1" si="557"/>
        <v>765651.70787404431</v>
      </c>
      <c r="AI2527" s="196">
        <f>IFERROR($G2527/SUMIF($A:$A,$A2527,$G:$G)*SUMIF(Summary!$A$247:$A$283,$A2527,Summary!$P$247:$P$283),0)</f>
        <v>234251.9923217622</v>
      </c>
      <c r="AJ2527" s="196">
        <f>IFERROR($G2527/SUMIF($A:$A,$A2527,$G:$G)*(SUMIF(Summary!$A$247:$A$283,$A2527,Summary!$L$247:$L$283)+SUMIF(Summary!$A$297:$A$333,$A2527,Summary!$L$297:$L$333))-AI2527,0)</f>
        <v>435913.70581405569</v>
      </c>
      <c r="AK2527" s="196">
        <f>IFERROR($G2527/SUMIF($A:$A,$A2527,$G:$G)*SUMIF(Summary!$A$247:$A$283,$A2527,Summary!$Q$247:$Q$283),0)</f>
        <v>235881.05660464283</v>
      </c>
      <c r="AL2527" s="196">
        <f>IFERROR($G2527/SUMIF($A:$A,$A2527,$G:$G)*(SUMIF(Summary!$A$247:$A$283,$A2527,Summary!$L$247:$L$283)+SUMIF(Summary!$A$297:$A$333,$A2527,Summary!$L$297:$L$333))-AK2527,0)</f>
        <v>434284.64153117506</v>
      </c>
      <c r="AM2527" s="198"/>
      <c r="AN2527" s="196">
        <f t="shared" ca="1" si="558"/>
        <v>1210497.9092518205</v>
      </c>
      <c r="AO2527" s="196">
        <f t="shared" ca="1" si="559"/>
        <v>1199936.3494052193</v>
      </c>
    </row>
    <row r="2528" spans="1:41">
      <c r="A2528" s="189">
        <v>9741</v>
      </c>
      <c r="B2528" s="190">
        <v>1</v>
      </c>
      <c r="C2528" s="191" t="s">
        <v>223</v>
      </c>
      <c r="D2528" s="192">
        <f t="shared" si="546"/>
        <v>0</v>
      </c>
      <c r="E2528" s="192">
        <f t="shared" si="547"/>
        <v>367</v>
      </c>
      <c r="F2528" s="192">
        <f t="shared" si="548"/>
        <v>0</v>
      </c>
      <c r="G2528" s="193">
        <f t="shared" si="549"/>
        <v>367</v>
      </c>
      <c r="H2528" s="194">
        <v>0</v>
      </c>
      <c r="I2528" s="194">
        <v>63</v>
      </c>
      <c r="J2528" s="194">
        <v>0</v>
      </c>
      <c r="K2528" s="193">
        <f t="shared" si="550"/>
        <v>63</v>
      </c>
      <c r="L2528" s="194">
        <v>0</v>
      </c>
      <c r="M2528" s="194">
        <v>286</v>
      </c>
      <c r="N2528" s="194">
        <v>0</v>
      </c>
      <c r="O2528" s="193">
        <f t="shared" si="551"/>
        <v>286</v>
      </c>
      <c r="P2528" s="194">
        <v>0</v>
      </c>
      <c r="Q2528" s="194">
        <v>18</v>
      </c>
      <c r="R2528" s="194">
        <v>0</v>
      </c>
      <c r="S2528" s="193">
        <f t="shared" si="552"/>
        <v>18</v>
      </c>
      <c r="T2528" s="193">
        <f t="shared" si="553"/>
        <v>12.233333333333333</v>
      </c>
      <c r="U2528" s="193">
        <f ca="1">OFFSET('Expenditure Study'!$B$7,'Operations Support'!$C2528,'Operations Support'!$B2528)*$G2528</f>
        <v>462.42</v>
      </c>
      <c r="V2528" s="199">
        <f ca="1">U2528*'Expenditure Study'!$B$31</f>
        <v>27321.244465536001</v>
      </c>
      <c r="W2528" s="199">
        <f ca="1">IF(A2528=10298,1.51,1)*IF($B2528&lt;3,$D2528*'Expenditure Study'!$B$32*OFFSET('Expenditure Study'!$B$7,'Operations Support'!$C2528,'Operations Support'!$B2528),0)</f>
        <v>0</v>
      </c>
      <c r="X2528" s="200">
        <f ca="1">W2528*'Expenditure Study'!$B$31</f>
        <v>0</v>
      </c>
      <c r="Y2528" s="199">
        <f ca="1">U2528*'Expenditure Study'!$B$31</f>
        <v>27321.244465536001</v>
      </c>
      <c r="Z2528" s="200">
        <f ca="1">W2528*'Expenditure Study'!$B$31</f>
        <v>0</v>
      </c>
      <c r="AA2528" s="195">
        <f t="shared" ca="1" si="554"/>
        <v>27321.244465536001</v>
      </c>
      <c r="AB2528" s="195">
        <f t="shared" ca="1" si="555"/>
        <v>27321.244465536001</v>
      </c>
      <c r="AD2528" s="196">
        <f>IFERROR($G2528/SUMIF($A:$A,$A2528,$G:$G)*SUMIF(Summary!$A$166:$A$242,$A2528,Summary!$P$166:$P$242),0)</f>
        <v>18627.751732255063</v>
      </c>
      <c r="AE2528" s="197">
        <f t="shared" ca="1" si="556"/>
        <v>8693.4927332809384</v>
      </c>
      <c r="AF2528" s="196">
        <f>IFERROR(G2528/SUMIF(A:A,A2528,G:G)*SUMIF(Summary!$A$166:$A$242,'Operations Support'!A2528,Summary!$Q$166:$Q$242),0)</f>
        <v>18757.295155628392</v>
      </c>
      <c r="AG2528" s="196">
        <f t="shared" ca="1" si="557"/>
        <v>8563.9493099076099</v>
      </c>
      <c r="AI2528" s="196">
        <f>IFERROR($G2528/SUMIF($A:$A,$A2528,$G:$G)*SUMIF(Summary!$A$247:$A$283,$A2528,Summary!$P$247:$P$283),0)</f>
        <v>3397.2370656005187</v>
      </c>
      <c r="AJ2528" s="196">
        <f>IFERROR($G2528/SUMIF($A:$A,$A2528,$G:$G)*(SUMIF(Summary!$A$247:$A$283,$A2528,Summary!$L$247:$L$283)+SUMIF(Summary!$A$297:$A$333,$A2528,Summary!$L$297:$L$333))-AI2528,0)</f>
        <v>6321.8339537563606</v>
      </c>
      <c r="AK2528" s="196">
        <f>IFERROR($G2528/SUMIF($A:$A,$A2528,$G:$G)*SUMIF(Summary!$A$247:$A$283,$A2528,Summary!$Q$247:$Q$283),0)</f>
        <v>3420.8625533037189</v>
      </c>
      <c r="AL2528" s="196">
        <f>IFERROR($G2528/SUMIF($A:$A,$A2528,$G:$G)*(SUMIF(Summary!$A$247:$A$283,$A2528,Summary!$L$247:$L$283)+SUMIF(Summary!$A$297:$A$333,$A2528,Summary!$L$297:$L$333))-AK2528,0)</f>
        <v>6298.20846605316</v>
      </c>
      <c r="AM2528" s="198"/>
      <c r="AN2528" s="196">
        <f t="shared" ca="1" si="558"/>
        <v>15015.326687037299</v>
      </c>
      <c r="AO2528" s="196">
        <f t="shared" ca="1" si="559"/>
        <v>14862.15777596077</v>
      </c>
    </row>
    <row r="2529" spans="1:41">
      <c r="A2529" s="189">
        <v>9741</v>
      </c>
      <c r="B2529" s="190">
        <v>1</v>
      </c>
      <c r="C2529" s="191" t="s">
        <v>224</v>
      </c>
      <c r="D2529" s="192">
        <f t="shared" si="546"/>
        <v>0</v>
      </c>
      <c r="E2529" s="192">
        <f t="shared" si="547"/>
        <v>0</v>
      </c>
      <c r="F2529" s="192">
        <f t="shared" si="548"/>
        <v>0</v>
      </c>
      <c r="G2529" s="193">
        <f t="shared" si="549"/>
        <v>0</v>
      </c>
      <c r="H2529" s="194">
        <v>0</v>
      </c>
      <c r="I2529" s="194">
        <v>0</v>
      </c>
      <c r="J2529" s="194">
        <v>0</v>
      </c>
      <c r="K2529" s="193">
        <f t="shared" si="550"/>
        <v>0</v>
      </c>
      <c r="L2529" s="194">
        <v>0</v>
      </c>
      <c r="M2529" s="194">
        <v>0</v>
      </c>
      <c r="N2529" s="194">
        <v>0</v>
      </c>
      <c r="O2529" s="193">
        <f t="shared" si="551"/>
        <v>0</v>
      </c>
      <c r="P2529" s="194">
        <v>0</v>
      </c>
      <c r="Q2529" s="194">
        <v>0</v>
      </c>
      <c r="R2529" s="194">
        <v>0</v>
      </c>
      <c r="S2529" s="193">
        <f t="shared" si="552"/>
        <v>0</v>
      </c>
      <c r="T2529" s="193">
        <f t="shared" si="553"/>
        <v>0</v>
      </c>
      <c r="U2529" s="193">
        <f ca="1">OFFSET('Expenditure Study'!$B$7,'Operations Support'!$C2529,'Operations Support'!$B2529)*$G2529</f>
        <v>0</v>
      </c>
      <c r="V2529" s="199">
        <f ca="1">U2529*'Expenditure Study'!$B$31</f>
        <v>0</v>
      </c>
      <c r="W2529" s="199">
        <f ca="1">IF(A2529=10298,1.51,1)*IF($B2529&lt;3,$D2529*'Expenditure Study'!$B$32*OFFSET('Expenditure Study'!$B$7,'Operations Support'!$C2529,'Operations Support'!$B2529),0)</f>
        <v>0</v>
      </c>
      <c r="X2529" s="200">
        <f ca="1">W2529*'Expenditure Study'!$B$31</f>
        <v>0</v>
      </c>
      <c r="Y2529" s="199">
        <f ca="1">U2529*'Expenditure Study'!$B$31</f>
        <v>0</v>
      </c>
      <c r="Z2529" s="200">
        <f ca="1">W2529*'Expenditure Study'!$B$31</f>
        <v>0</v>
      </c>
      <c r="AA2529" s="195">
        <f t="shared" ca="1" si="554"/>
        <v>0</v>
      </c>
      <c r="AB2529" s="195">
        <f t="shared" ca="1" si="555"/>
        <v>0</v>
      </c>
      <c r="AD2529" s="196">
        <f>IFERROR($G2529/SUMIF($A:$A,$A2529,$G:$G)*SUMIF(Summary!$A$166:$A$242,$A2529,Summary!$P$166:$P$242),0)</f>
        <v>0</v>
      </c>
      <c r="AE2529" s="197">
        <f t="shared" ca="1" si="556"/>
        <v>0</v>
      </c>
      <c r="AF2529" s="196">
        <f>IFERROR(G2529/SUMIF(A:A,A2529,G:G)*SUMIF(Summary!$A$166:$A$242,'Operations Support'!A2529,Summary!$Q$166:$Q$242),0)</f>
        <v>0</v>
      </c>
      <c r="AG2529" s="196">
        <f t="shared" ca="1" si="557"/>
        <v>0</v>
      </c>
      <c r="AI2529" s="196">
        <f>IFERROR($G2529/SUMIF($A:$A,$A2529,$G:$G)*SUMIF(Summary!$A$247:$A$283,$A2529,Summary!$P$247:$P$283),0)</f>
        <v>0</v>
      </c>
      <c r="AJ2529" s="196">
        <f>IFERROR($G2529/SUMIF($A:$A,$A2529,$G:$G)*(SUMIF(Summary!$A$247:$A$283,$A2529,Summary!$L$247:$L$283)+SUMIF(Summary!$A$297:$A$333,$A2529,Summary!$L$297:$L$333))-AI2529,0)</f>
        <v>0</v>
      </c>
      <c r="AK2529" s="196">
        <f>IFERROR($G2529/SUMIF($A:$A,$A2529,$G:$G)*SUMIF(Summary!$A$247:$A$283,$A2529,Summary!$Q$247:$Q$283),0)</f>
        <v>0</v>
      </c>
      <c r="AL2529" s="196">
        <f>IFERROR($G2529/SUMIF($A:$A,$A2529,$G:$G)*(SUMIF(Summary!$A$247:$A$283,$A2529,Summary!$L$247:$L$283)+SUMIF(Summary!$A$297:$A$333,$A2529,Summary!$L$297:$L$333))-AK2529,0)</f>
        <v>0</v>
      </c>
      <c r="AM2529" s="198"/>
      <c r="AN2529" s="196">
        <f t="shared" ca="1" si="558"/>
        <v>0</v>
      </c>
      <c r="AO2529" s="196">
        <f t="shared" ca="1" si="559"/>
        <v>0</v>
      </c>
    </row>
    <row r="2530" spans="1:41">
      <c r="A2530" s="189">
        <v>9741</v>
      </c>
      <c r="B2530" s="190">
        <v>1</v>
      </c>
      <c r="C2530" s="191" t="s">
        <v>225</v>
      </c>
      <c r="D2530" s="192">
        <f t="shared" si="546"/>
        <v>2919</v>
      </c>
      <c r="E2530" s="192">
        <f t="shared" si="547"/>
        <v>39889</v>
      </c>
      <c r="F2530" s="192">
        <f t="shared" si="548"/>
        <v>0</v>
      </c>
      <c r="G2530" s="193">
        <f t="shared" si="549"/>
        <v>42808</v>
      </c>
      <c r="H2530" s="194">
        <v>1261</v>
      </c>
      <c r="I2530" s="194">
        <v>16061</v>
      </c>
      <c r="J2530" s="194">
        <v>0</v>
      </c>
      <c r="K2530" s="193">
        <f t="shared" si="550"/>
        <v>17322</v>
      </c>
      <c r="L2530" s="194">
        <v>1550</v>
      </c>
      <c r="M2530" s="194">
        <v>22729</v>
      </c>
      <c r="N2530" s="194">
        <v>0</v>
      </c>
      <c r="O2530" s="193">
        <f t="shared" si="551"/>
        <v>24279</v>
      </c>
      <c r="P2530" s="194">
        <v>108</v>
      </c>
      <c r="Q2530" s="194">
        <v>1099</v>
      </c>
      <c r="R2530" s="194">
        <v>0</v>
      </c>
      <c r="S2530" s="193">
        <f t="shared" si="552"/>
        <v>1207</v>
      </c>
      <c r="T2530" s="193">
        <f t="shared" si="553"/>
        <v>1426.9333333333334</v>
      </c>
      <c r="U2530" s="193">
        <f ca="1">OFFSET('Expenditure Study'!$B$7,'Operations Support'!$C2530,'Operations Support'!$B2530)*$G2530</f>
        <v>75342.080000000002</v>
      </c>
      <c r="V2530" s="199">
        <f ca="1">U2530*'Expenditure Study'!$B$31</f>
        <v>4451449.7344880644</v>
      </c>
      <c r="W2530" s="199">
        <f ca="1">IF(A2530=10298,1.51,1)*IF($B2530&lt;3,$D2530*'Expenditure Study'!$B$32*OFFSET('Expenditure Study'!$B$7,'Operations Support'!$C2530,'Operations Support'!$B2530),0)</f>
        <v>513.74400000000003</v>
      </c>
      <c r="X2530" s="200">
        <f ca="1">W2530*'Expenditure Study'!$B$31</f>
        <v>30353.629636915201</v>
      </c>
      <c r="Y2530" s="199">
        <f ca="1">U2530*'Expenditure Study'!$B$31</f>
        <v>4451449.7344880644</v>
      </c>
      <c r="Z2530" s="200">
        <f ca="1">W2530*'Expenditure Study'!$B$31</f>
        <v>30353.629636915201</v>
      </c>
      <c r="AA2530" s="195">
        <f t="shared" ca="1" si="554"/>
        <v>4481803.3641249798</v>
      </c>
      <c r="AB2530" s="195">
        <f t="shared" ca="1" si="555"/>
        <v>4481803.3641249798</v>
      </c>
      <c r="AD2530" s="196">
        <f>IFERROR($G2530/SUMIF($A:$A,$A2530,$G:$G)*SUMIF(Summary!$A$166:$A$242,$A2530,Summary!$P$166:$P$242),0)</f>
        <v>2172797.8096849448</v>
      </c>
      <c r="AE2530" s="197">
        <f t="shared" ca="1" si="556"/>
        <v>2309005.554440035</v>
      </c>
      <c r="AF2530" s="196">
        <f>IFERROR(G2530/SUMIF(A:A,A2530,G:G)*SUMIF(Summary!$A$166:$A$242,'Operations Support'!A2530,Summary!$Q$166:$Q$242),0)</f>
        <v>2187908.1499240873</v>
      </c>
      <c r="AG2530" s="196">
        <f t="shared" ca="1" si="557"/>
        <v>2293895.2142008925</v>
      </c>
      <c r="AI2530" s="196">
        <f>IFERROR($G2530/SUMIF($A:$A,$A2530,$G:$G)*SUMIF(Summary!$A$247:$A$283,$A2530,Summary!$P$247:$P$283),0)</f>
        <v>396264.09892159945</v>
      </c>
      <c r="AJ2530" s="196">
        <f>IFERROR($G2530/SUMIF($A:$A,$A2530,$G:$G)*(SUMIF(Summary!$A$247:$A$283,$A2530,Summary!$L$247:$L$283)+SUMIF(Summary!$A$297:$A$333,$A2530,Summary!$L$297:$L$333))-AI2530,0)</f>
        <v>737398.00515640934</v>
      </c>
      <c r="AK2530" s="196">
        <f>IFERROR($G2530/SUMIF($A:$A,$A2530,$G:$G)*SUMIF(Summary!$A$247:$A$283,$A2530,Summary!$Q$247:$Q$283),0)</f>
        <v>399019.84790688171</v>
      </c>
      <c r="AL2530" s="196">
        <f>IFERROR($G2530/SUMIF($A:$A,$A2530,$G:$G)*(SUMIF(Summary!$A$247:$A$283,$A2530,Summary!$L$247:$L$283)+SUMIF(Summary!$A$297:$A$333,$A2530,Summary!$L$297:$L$333))-AK2530,0)</f>
        <v>734642.25617112708</v>
      </c>
      <c r="AM2530" s="198"/>
      <c r="AN2530" s="196">
        <f t="shared" ca="1" si="558"/>
        <v>3046403.5595964445</v>
      </c>
      <c r="AO2530" s="196">
        <f t="shared" ca="1" si="559"/>
        <v>3028537.4703720193</v>
      </c>
    </row>
    <row r="2531" spans="1:41">
      <c r="A2531" s="189">
        <v>9741</v>
      </c>
      <c r="B2531" s="190">
        <v>1</v>
      </c>
      <c r="C2531" s="191" t="s">
        <v>226</v>
      </c>
      <c r="D2531" s="192">
        <f t="shared" si="546"/>
        <v>0</v>
      </c>
      <c r="E2531" s="192">
        <f t="shared" si="547"/>
        <v>0</v>
      </c>
      <c r="F2531" s="192">
        <f t="shared" si="548"/>
        <v>0</v>
      </c>
      <c r="G2531" s="193">
        <f t="shared" si="549"/>
        <v>0</v>
      </c>
      <c r="H2531" s="194">
        <v>0</v>
      </c>
      <c r="I2531" s="194">
        <v>0</v>
      </c>
      <c r="J2531" s="194">
        <v>0</v>
      </c>
      <c r="K2531" s="193">
        <f t="shared" si="550"/>
        <v>0</v>
      </c>
      <c r="L2531" s="194">
        <v>0</v>
      </c>
      <c r="M2531" s="194">
        <v>0</v>
      </c>
      <c r="N2531" s="194">
        <v>0</v>
      </c>
      <c r="O2531" s="193">
        <f t="shared" si="551"/>
        <v>0</v>
      </c>
      <c r="P2531" s="194">
        <v>0</v>
      </c>
      <c r="Q2531" s="194">
        <v>0</v>
      </c>
      <c r="R2531" s="194">
        <v>0</v>
      </c>
      <c r="S2531" s="193">
        <f t="shared" si="552"/>
        <v>0</v>
      </c>
      <c r="T2531" s="193">
        <f t="shared" si="553"/>
        <v>0</v>
      </c>
      <c r="U2531" s="193">
        <f ca="1">OFFSET('Expenditure Study'!$B$7,'Operations Support'!$C2531,'Operations Support'!$B2531)*$G2531</f>
        <v>0</v>
      </c>
      <c r="V2531" s="199">
        <f ca="1">U2531*'Expenditure Study'!$B$31</f>
        <v>0</v>
      </c>
      <c r="W2531" s="199">
        <f ca="1">IF(A2531=10298,1.51,1)*IF($B2531&lt;3,$D2531*'Expenditure Study'!$B$32*OFFSET('Expenditure Study'!$B$7,'Operations Support'!$C2531,'Operations Support'!$B2531),0)</f>
        <v>0</v>
      </c>
      <c r="X2531" s="200">
        <f ca="1">W2531*'Expenditure Study'!$B$31</f>
        <v>0</v>
      </c>
      <c r="Y2531" s="199">
        <f ca="1">U2531*'Expenditure Study'!$B$31</f>
        <v>0</v>
      </c>
      <c r="Z2531" s="200">
        <f ca="1">W2531*'Expenditure Study'!$B$31</f>
        <v>0</v>
      </c>
      <c r="AA2531" s="195">
        <f t="shared" ca="1" si="554"/>
        <v>0</v>
      </c>
      <c r="AB2531" s="195">
        <f t="shared" ca="1" si="555"/>
        <v>0</v>
      </c>
      <c r="AD2531" s="196">
        <f>IFERROR($G2531/SUMIF($A:$A,$A2531,$G:$G)*SUMIF(Summary!$A$166:$A$242,$A2531,Summary!$P$166:$P$242),0)</f>
        <v>0</v>
      </c>
      <c r="AE2531" s="197">
        <f t="shared" ca="1" si="556"/>
        <v>0</v>
      </c>
      <c r="AF2531" s="196">
        <f>IFERROR(G2531/SUMIF(A:A,A2531,G:G)*SUMIF(Summary!$A$166:$A$242,'Operations Support'!A2531,Summary!$Q$166:$Q$242),0)</f>
        <v>0</v>
      </c>
      <c r="AG2531" s="196">
        <f t="shared" ca="1" si="557"/>
        <v>0</v>
      </c>
      <c r="AI2531" s="196">
        <f>IFERROR($G2531/SUMIF($A:$A,$A2531,$G:$G)*SUMIF(Summary!$A$247:$A$283,$A2531,Summary!$P$247:$P$283),0)</f>
        <v>0</v>
      </c>
      <c r="AJ2531" s="196">
        <f>IFERROR($G2531/SUMIF($A:$A,$A2531,$G:$G)*(SUMIF(Summary!$A$247:$A$283,$A2531,Summary!$L$247:$L$283)+SUMIF(Summary!$A$297:$A$333,$A2531,Summary!$L$297:$L$333))-AI2531,0)</f>
        <v>0</v>
      </c>
      <c r="AK2531" s="196">
        <f>IFERROR($G2531/SUMIF($A:$A,$A2531,$G:$G)*SUMIF(Summary!$A$247:$A$283,$A2531,Summary!$Q$247:$Q$283),0)</f>
        <v>0</v>
      </c>
      <c r="AL2531" s="196">
        <f>IFERROR($G2531/SUMIF($A:$A,$A2531,$G:$G)*(SUMIF(Summary!$A$247:$A$283,$A2531,Summary!$L$247:$L$283)+SUMIF(Summary!$A$297:$A$333,$A2531,Summary!$L$297:$L$333))-AK2531,0)</f>
        <v>0</v>
      </c>
      <c r="AM2531" s="198"/>
      <c r="AN2531" s="196">
        <f t="shared" ca="1" si="558"/>
        <v>0</v>
      </c>
      <c r="AO2531" s="196">
        <f t="shared" ca="1" si="559"/>
        <v>0</v>
      </c>
    </row>
    <row r="2532" spans="1:41">
      <c r="A2532" s="189">
        <v>9741</v>
      </c>
      <c r="B2532" s="190">
        <v>1</v>
      </c>
      <c r="C2532" s="191" t="s">
        <v>227</v>
      </c>
      <c r="D2532" s="192">
        <f t="shared" si="546"/>
        <v>0</v>
      </c>
      <c r="E2532" s="192">
        <f t="shared" si="547"/>
        <v>0</v>
      </c>
      <c r="F2532" s="192">
        <f t="shared" si="548"/>
        <v>0</v>
      </c>
      <c r="G2532" s="193">
        <f t="shared" si="549"/>
        <v>0</v>
      </c>
      <c r="H2532" s="194">
        <v>0</v>
      </c>
      <c r="I2532" s="194">
        <v>0</v>
      </c>
      <c r="J2532" s="194">
        <v>0</v>
      </c>
      <c r="K2532" s="193">
        <f t="shared" si="550"/>
        <v>0</v>
      </c>
      <c r="L2532" s="194">
        <v>0</v>
      </c>
      <c r="M2532" s="194">
        <v>0</v>
      </c>
      <c r="N2532" s="194">
        <v>0</v>
      </c>
      <c r="O2532" s="193">
        <f t="shared" si="551"/>
        <v>0</v>
      </c>
      <c r="P2532" s="194">
        <v>0</v>
      </c>
      <c r="Q2532" s="194">
        <v>0</v>
      </c>
      <c r="R2532" s="194">
        <v>0</v>
      </c>
      <c r="S2532" s="193">
        <f t="shared" si="552"/>
        <v>0</v>
      </c>
      <c r="T2532" s="193">
        <f t="shared" si="553"/>
        <v>0</v>
      </c>
      <c r="U2532" s="193">
        <f ca="1">OFFSET('Expenditure Study'!$B$7,'Operations Support'!$C2532,'Operations Support'!$B2532)*$G2532</f>
        <v>0</v>
      </c>
      <c r="V2532" s="199">
        <f ca="1">U2532*'Expenditure Study'!$B$31</f>
        <v>0</v>
      </c>
      <c r="W2532" s="199">
        <f ca="1">IF(A2532=10298,1.51,1)*IF($B2532&lt;3,$D2532*'Expenditure Study'!$B$32*OFFSET('Expenditure Study'!$B$7,'Operations Support'!$C2532,'Operations Support'!$B2532),0)</f>
        <v>0</v>
      </c>
      <c r="X2532" s="200">
        <f ca="1">W2532*'Expenditure Study'!$B$31</f>
        <v>0</v>
      </c>
      <c r="Y2532" s="199">
        <f ca="1">U2532*'Expenditure Study'!$B$31</f>
        <v>0</v>
      </c>
      <c r="Z2532" s="200">
        <f ca="1">W2532*'Expenditure Study'!$B$31</f>
        <v>0</v>
      </c>
      <c r="AA2532" s="195">
        <f t="shared" ca="1" si="554"/>
        <v>0</v>
      </c>
      <c r="AB2532" s="195">
        <f t="shared" ca="1" si="555"/>
        <v>0</v>
      </c>
      <c r="AD2532" s="196">
        <f>IFERROR($G2532/SUMIF($A:$A,$A2532,$G:$G)*SUMIF(Summary!$A$166:$A$242,$A2532,Summary!$P$166:$P$242),0)</f>
        <v>0</v>
      </c>
      <c r="AE2532" s="197">
        <f t="shared" ca="1" si="556"/>
        <v>0</v>
      </c>
      <c r="AF2532" s="196">
        <f>IFERROR(G2532/SUMIF(A:A,A2532,G:G)*SUMIF(Summary!$A$166:$A$242,'Operations Support'!A2532,Summary!$Q$166:$Q$242),0)</f>
        <v>0</v>
      </c>
      <c r="AG2532" s="196">
        <f t="shared" ca="1" si="557"/>
        <v>0</v>
      </c>
      <c r="AI2532" s="196">
        <f>IFERROR($G2532/SUMIF($A:$A,$A2532,$G:$G)*SUMIF(Summary!$A$247:$A$283,$A2532,Summary!$P$247:$P$283),0)</f>
        <v>0</v>
      </c>
      <c r="AJ2532" s="196">
        <f>IFERROR($G2532/SUMIF($A:$A,$A2532,$G:$G)*(SUMIF(Summary!$A$247:$A$283,$A2532,Summary!$L$247:$L$283)+SUMIF(Summary!$A$297:$A$333,$A2532,Summary!$L$297:$L$333))-AI2532,0)</f>
        <v>0</v>
      </c>
      <c r="AK2532" s="196">
        <f>IFERROR($G2532/SUMIF($A:$A,$A2532,$G:$G)*SUMIF(Summary!$A$247:$A$283,$A2532,Summary!$Q$247:$Q$283),0)</f>
        <v>0</v>
      </c>
      <c r="AL2532" s="196">
        <f>IFERROR($G2532/SUMIF($A:$A,$A2532,$G:$G)*(SUMIF(Summary!$A$247:$A$283,$A2532,Summary!$L$247:$L$283)+SUMIF(Summary!$A$297:$A$333,$A2532,Summary!$L$297:$L$333))-AK2532,0)</f>
        <v>0</v>
      </c>
      <c r="AM2532" s="198"/>
      <c r="AN2532" s="196">
        <f t="shared" ca="1" si="558"/>
        <v>0</v>
      </c>
      <c r="AO2532" s="196">
        <f t="shared" ca="1" si="559"/>
        <v>0</v>
      </c>
    </row>
    <row r="2533" spans="1:41">
      <c r="A2533" s="189">
        <v>9741</v>
      </c>
      <c r="B2533" s="190">
        <v>1</v>
      </c>
      <c r="C2533" s="191" t="s">
        <v>228</v>
      </c>
      <c r="D2533" s="192">
        <f t="shared" si="546"/>
        <v>0</v>
      </c>
      <c r="E2533" s="192">
        <f t="shared" si="547"/>
        <v>0</v>
      </c>
      <c r="F2533" s="192">
        <f t="shared" si="548"/>
        <v>0</v>
      </c>
      <c r="G2533" s="193">
        <f t="shared" si="549"/>
        <v>0</v>
      </c>
      <c r="H2533" s="194">
        <v>0</v>
      </c>
      <c r="I2533" s="194">
        <v>0</v>
      </c>
      <c r="J2533" s="194">
        <v>0</v>
      </c>
      <c r="K2533" s="193">
        <f t="shared" si="550"/>
        <v>0</v>
      </c>
      <c r="L2533" s="194">
        <v>0</v>
      </c>
      <c r="M2533" s="194">
        <v>0</v>
      </c>
      <c r="N2533" s="194">
        <v>0</v>
      </c>
      <c r="O2533" s="193">
        <f t="shared" si="551"/>
        <v>0</v>
      </c>
      <c r="P2533" s="194">
        <v>0</v>
      </c>
      <c r="Q2533" s="194">
        <v>0</v>
      </c>
      <c r="R2533" s="194">
        <v>0</v>
      </c>
      <c r="S2533" s="193">
        <f t="shared" si="552"/>
        <v>0</v>
      </c>
      <c r="T2533" s="193">
        <f t="shared" si="553"/>
        <v>0</v>
      </c>
      <c r="U2533" s="193">
        <f ca="1">OFFSET('Expenditure Study'!$B$7,'Operations Support'!$C2533,'Operations Support'!$B2533)*$G2533</f>
        <v>0</v>
      </c>
      <c r="V2533" s="199">
        <f ca="1">U2533*'Expenditure Study'!$B$31</f>
        <v>0</v>
      </c>
      <c r="W2533" s="199">
        <f ca="1">IF(A2533=10298,1.51,1)*IF($B2533&lt;3,$D2533*'Expenditure Study'!$B$32*OFFSET('Expenditure Study'!$B$7,'Operations Support'!$C2533,'Operations Support'!$B2533),0)</f>
        <v>0</v>
      </c>
      <c r="X2533" s="200">
        <f ca="1">W2533*'Expenditure Study'!$B$31</f>
        <v>0</v>
      </c>
      <c r="Y2533" s="199">
        <f ca="1">U2533*'Expenditure Study'!$B$31</f>
        <v>0</v>
      </c>
      <c r="Z2533" s="200">
        <f ca="1">W2533*'Expenditure Study'!$B$31</f>
        <v>0</v>
      </c>
      <c r="AA2533" s="195">
        <f t="shared" ca="1" si="554"/>
        <v>0</v>
      </c>
      <c r="AB2533" s="195">
        <f t="shared" ca="1" si="555"/>
        <v>0</v>
      </c>
      <c r="AD2533" s="196">
        <f>IFERROR($G2533/SUMIF($A:$A,$A2533,$G:$G)*SUMIF(Summary!$A$166:$A$242,$A2533,Summary!$P$166:$P$242),0)</f>
        <v>0</v>
      </c>
      <c r="AE2533" s="197">
        <f t="shared" ca="1" si="556"/>
        <v>0</v>
      </c>
      <c r="AF2533" s="196">
        <f>IFERROR(G2533/SUMIF(A:A,A2533,G:G)*SUMIF(Summary!$A$166:$A$242,'Operations Support'!A2533,Summary!$Q$166:$Q$242),0)</f>
        <v>0</v>
      </c>
      <c r="AG2533" s="196">
        <f t="shared" ca="1" si="557"/>
        <v>0</v>
      </c>
      <c r="AI2533" s="196">
        <f>IFERROR($G2533/SUMIF($A:$A,$A2533,$G:$G)*SUMIF(Summary!$A$247:$A$283,$A2533,Summary!$P$247:$P$283),0)</f>
        <v>0</v>
      </c>
      <c r="AJ2533" s="196">
        <f>IFERROR($G2533/SUMIF($A:$A,$A2533,$G:$G)*(SUMIF(Summary!$A$247:$A$283,$A2533,Summary!$L$247:$L$283)+SUMIF(Summary!$A$297:$A$333,$A2533,Summary!$L$297:$L$333))-AI2533,0)</f>
        <v>0</v>
      </c>
      <c r="AK2533" s="196">
        <f>IFERROR($G2533/SUMIF($A:$A,$A2533,$G:$G)*SUMIF(Summary!$A$247:$A$283,$A2533,Summary!$Q$247:$Q$283),0)</f>
        <v>0</v>
      </c>
      <c r="AL2533" s="196">
        <f>IFERROR($G2533/SUMIF($A:$A,$A2533,$G:$G)*(SUMIF(Summary!$A$247:$A$283,$A2533,Summary!$L$247:$L$283)+SUMIF(Summary!$A$297:$A$333,$A2533,Summary!$L$297:$L$333))-AK2533,0)</f>
        <v>0</v>
      </c>
      <c r="AM2533" s="198"/>
      <c r="AN2533" s="196">
        <f t="shared" ca="1" si="558"/>
        <v>0</v>
      </c>
      <c r="AO2533" s="196">
        <f t="shared" ca="1" si="559"/>
        <v>0</v>
      </c>
    </row>
    <row r="2534" spans="1:41" s="201" customFormat="1">
      <c r="A2534" s="189">
        <v>9741</v>
      </c>
      <c r="B2534" s="190">
        <v>1</v>
      </c>
      <c r="C2534" s="191" t="s">
        <v>229</v>
      </c>
      <c r="D2534" s="192">
        <f t="shared" si="546"/>
        <v>0</v>
      </c>
      <c r="E2534" s="192">
        <f t="shared" si="547"/>
        <v>164</v>
      </c>
      <c r="F2534" s="192">
        <f t="shared" si="548"/>
        <v>0</v>
      </c>
      <c r="G2534" s="193">
        <f t="shared" si="549"/>
        <v>164</v>
      </c>
      <c r="H2534" s="194">
        <v>0</v>
      </c>
      <c r="I2534" s="194">
        <v>84</v>
      </c>
      <c r="J2534" s="194">
        <v>0</v>
      </c>
      <c r="K2534" s="193">
        <f t="shared" si="550"/>
        <v>84</v>
      </c>
      <c r="L2534" s="194">
        <v>0</v>
      </c>
      <c r="M2534" s="194">
        <v>67</v>
      </c>
      <c r="N2534" s="194">
        <v>0</v>
      </c>
      <c r="O2534" s="193">
        <f t="shared" si="551"/>
        <v>67</v>
      </c>
      <c r="P2534" s="194">
        <v>0</v>
      </c>
      <c r="Q2534" s="194">
        <v>13</v>
      </c>
      <c r="R2534" s="194">
        <v>0</v>
      </c>
      <c r="S2534" s="193">
        <f t="shared" si="552"/>
        <v>13</v>
      </c>
      <c r="T2534" s="193">
        <f t="shared" si="553"/>
        <v>5.4666666666666668</v>
      </c>
      <c r="U2534" s="193">
        <f ca="1">OFFSET('Expenditure Study'!$B$7,'Operations Support'!$C2534,'Operations Support'!$B2534)*$G2534</f>
        <v>546.12</v>
      </c>
      <c r="V2534" s="199">
        <f ca="1">U2534*'Expenditure Study'!$B$31</f>
        <v>32266.506698495999</v>
      </c>
      <c r="W2534" s="199">
        <f ca="1">IF(A2534=10298,1.51,1)*IF($B2534&lt;3,$D2534*'Expenditure Study'!$B$32*OFFSET('Expenditure Study'!$B$7,'Operations Support'!$C2534,'Operations Support'!$B2534),0)</f>
        <v>0</v>
      </c>
      <c r="X2534" s="200">
        <f ca="1">W2534*'Expenditure Study'!$B$31</f>
        <v>0</v>
      </c>
      <c r="Y2534" s="199">
        <f ca="1">U2534*'Expenditure Study'!$B$31</f>
        <v>32266.506698495999</v>
      </c>
      <c r="Z2534" s="200">
        <f ca="1">W2534*'Expenditure Study'!$B$31</f>
        <v>0</v>
      </c>
      <c r="AA2534" s="195">
        <f t="shared" ca="1" si="554"/>
        <v>32266.506698495999</v>
      </c>
      <c r="AB2534" s="195">
        <f t="shared" ca="1" si="555"/>
        <v>32266.506698495999</v>
      </c>
      <c r="AD2534" s="196">
        <f>IFERROR($G2534/SUMIF($A:$A,$A2534,$G:$G)*SUMIF(Summary!$A$166:$A$242,$A2534,Summary!$P$166:$P$242),0)</f>
        <v>8324.1179402992657</v>
      </c>
      <c r="AE2534" s="197">
        <f t="shared" ca="1" si="556"/>
        <v>23942.388758196736</v>
      </c>
      <c r="AF2534" s="196">
        <f>IFERROR(G2534/SUMIF(A:A,A2534,G:G)*SUMIF(Summary!$A$166:$A$242,'Operations Support'!A2534,Summary!$Q$166:$Q$242),0)</f>
        <v>8382.0065545587349</v>
      </c>
      <c r="AG2534" s="196">
        <f t="shared" ca="1" si="557"/>
        <v>23884.500143937265</v>
      </c>
      <c r="AH2534" s="180"/>
      <c r="AI2534" s="196">
        <f>IFERROR($G2534/SUMIF($A:$A,$A2534,$G:$G)*SUMIF(Summary!$A$247:$A$283,$A2534,Summary!$P$247:$P$283),0)</f>
        <v>1518.1113862629022</v>
      </c>
      <c r="AJ2534" s="196">
        <f>IFERROR($G2534/SUMIF($A:$A,$A2534,$G:$G)*(SUMIF(Summary!$A$247:$A$283,$A2534,Summary!$L$247:$L$283)+SUMIF(Summary!$A$297:$A$333,$A2534,Summary!$L$297:$L$333))-AI2534,0)</f>
        <v>2825.0157177548858</v>
      </c>
      <c r="AK2534" s="196">
        <f>IFERROR($G2534/SUMIF($A:$A,$A2534,$G:$G)*SUMIF(Summary!$A$247:$A$283,$A2534,Summary!$Q$247:$Q$283),0)</f>
        <v>1528.6688249095639</v>
      </c>
      <c r="AL2534" s="196">
        <f>IFERROR($G2534/SUMIF($A:$A,$A2534,$G:$G)*(SUMIF(Summary!$A$247:$A$283,$A2534,Summary!$L$247:$L$283)+SUMIF(Summary!$A$297:$A$333,$A2534,Summary!$L$297:$L$333))-AK2534,0)</f>
        <v>2814.4582791082239</v>
      </c>
      <c r="AM2534" s="198"/>
      <c r="AN2534" s="196">
        <f t="shared" ca="1" si="558"/>
        <v>26767.404475951622</v>
      </c>
      <c r="AO2534" s="196">
        <f t="shared" ca="1" si="559"/>
        <v>26698.958423045489</v>
      </c>
    </row>
    <row r="2535" spans="1:41">
      <c r="A2535" s="189">
        <v>9741</v>
      </c>
      <c r="B2535" s="190">
        <v>1</v>
      </c>
      <c r="C2535" s="191" t="s">
        <v>230</v>
      </c>
      <c r="D2535" s="192">
        <f t="shared" si="546"/>
        <v>0</v>
      </c>
      <c r="E2535" s="192">
        <f t="shared" si="547"/>
        <v>0</v>
      </c>
      <c r="F2535" s="192">
        <f t="shared" si="548"/>
        <v>0</v>
      </c>
      <c r="G2535" s="193">
        <f t="shared" si="549"/>
        <v>0</v>
      </c>
      <c r="H2535" s="194">
        <v>0</v>
      </c>
      <c r="I2535" s="194">
        <v>0</v>
      </c>
      <c r="J2535" s="194">
        <v>0</v>
      </c>
      <c r="K2535" s="193">
        <f t="shared" si="550"/>
        <v>0</v>
      </c>
      <c r="L2535" s="194">
        <v>0</v>
      </c>
      <c r="M2535" s="194">
        <v>0</v>
      </c>
      <c r="N2535" s="194">
        <v>0</v>
      </c>
      <c r="O2535" s="193">
        <f t="shared" si="551"/>
        <v>0</v>
      </c>
      <c r="P2535" s="194">
        <v>0</v>
      </c>
      <c r="Q2535" s="194">
        <v>0</v>
      </c>
      <c r="R2535" s="194">
        <v>0</v>
      </c>
      <c r="S2535" s="193">
        <f t="shared" si="552"/>
        <v>0</v>
      </c>
      <c r="T2535" s="193">
        <f t="shared" si="553"/>
        <v>0</v>
      </c>
      <c r="U2535" s="193">
        <f ca="1">OFFSET('Expenditure Study'!$B$7,'Operations Support'!$C2535,'Operations Support'!$B2535)*$G2535</f>
        <v>0</v>
      </c>
      <c r="V2535" s="199">
        <f ca="1">U2535*'Expenditure Study'!$B$31</f>
        <v>0</v>
      </c>
      <c r="W2535" s="199">
        <f ca="1">IF(A2535=10298,1.51,1)*IF($B2535&lt;3,$D2535*'Expenditure Study'!$B$32*OFFSET('Expenditure Study'!$B$7,'Operations Support'!$C2535,'Operations Support'!$B2535),0)</f>
        <v>0</v>
      </c>
      <c r="X2535" s="200">
        <f ca="1">W2535*'Expenditure Study'!$B$31</f>
        <v>0</v>
      </c>
      <c r="Y2535" s="199">
        <f ca="1">U2535*'Expenditure Study'!$B$31</f>
        <v>0</v>
      </c>
      <c r="Z2535" s="200">
        <f ca="1">W2535*'Expenditure Study'!$B$31</f>
        <v>0</v>
      </c>
      <c r="AA2535" s="195">
        <f t="shared" ca="1" si="554"/>
        <v>0</v>
      </c>
      <c r="AB2535" s="195">
        <f t="shared" ca="1" si="555"/>
        <v>0</v>
      </c>
      <c r="AD2535" s="196">
        <f>IFERROR($G2535/SUMIF($A:$A,$A2535,$G:$G)*SUMIF(Summary!$A$166:$A$242,$A2535,Summary!$P$166:$P$242),0)</f>
        <v>0</v>
      </c>
      <c r="AE2535" s="197">
        <f t="shared" ca="1" si="556"/>
        <v>0</v>
      </c>
      <c r="AF2535" s="196">
        <f>IFERROR(G2535/SUMIF(A:A,A2535,G:G)*SUMIF(Summary!$A$166:$A$242,'Operations Support'!A2535,Summary!$Q$166:$Q$242),0)</f>
        <v>0</v>
      </c>
      <c r="AG2535" s="196">
        <f t="shared" ca="1" si="557"/>
        <v>0</v>
      </c>
      <c r="AI2535" s="196">
        <f>IFERROR($G2535/SUMIF($A:$A,$A2535,$G:$G)*SUMIF(Summary!$A$247:$A$283,$A2535,Summary!$P$247:$P$283),0)</f>
        <v>0</v>
      </c>
      <c r="AJ2535" s="196">
        <f>IFERROR($G2535/SUMIF($A:$A,$A2535,$G:$G)*(SUMIF(Summary!$A$247:$A$283,$A2535,Summary!$L$247:$L$283)+SUMIF(Summary!$A$297:$A$333,$A2535,Summary!$L$297:$L$333))-AI2535,0)</f>
        <v>0</v>
      </c>
      <c r="AK2535" s="196">
        <f>IFERROR($G2535/SUMIF($A:$A,$A2535,$G:$G)*SUMIF(Summary!$A$247:$A$283,$A2535,Summary!$Q$247:$Q$283),0)</f>
        <v>0</v>
      </c>
      <c r="AL2535" s="196">
        <f>IFERROR($G2535/SUMIF($A:$A,$A2535,$G:$G)*(SUMIF(Summary!$A$247:$A$283,$A2535,Summary!$L$247:$L$283)+SUMIF(Summary!$A$297:$A$333,$A2535,Summary!$L$297:$L$333))-AK2535,0)</f>
        <v>0</v>
      </c>
      <c r="AM2535" s="198"/>
      <c r="AN2535" s="196">
        <f t="shared" ca="1" si="558"/>
        <v>0</v>
      </c>
      <c r="AO2535" s="196">
        <f t="shared" ca="1" si="559"/>
        <v>0</v>
      </c>
    </row>
    <row r="2536" spans="1:41">
      <c r="A2536" s="189">
        <v>9741</v>
      </c>
      <c r="B2536" s="190">
        <v>1</v>
      </c>
      <c r="C2536" s="191" t="s">
        <v>231</v>
      </c>
      <c r="D2536" s="192">
        <f t="shared" si="546"/>
        <v>0</v>
      </c>
      <c r="E2536" s="192">
        <f t="shared" si="547"/>
        <v>0</v>
      </c>
      <c r="F2536" s="192">
        <f t="shared" si="548"/>
        <v>0</v>
      </c>
      <c r="G2536" s="193">
        <f t="shared" si="549"/>
        <v>0</v>
      </c>
      <c r="H2536" s="194">
        <v>0</v>
      </c>
      <c r="I2536" s="194">
        <v>0</v>
      </c>
      <c r="J2536" s="194">
        <v>0</v>
      </c>
      <c r="K2536" s="193">
        <f t="shared" si="550"/>
        <v>0</v>
      </c>
      <c r="L2536" s="194">
        <v>0</v>
      </c>
      <c r="M2536" s="194">
        <v>0</v>
      </c>
      <c r="N2536" s="194">
        <v>0</v>
      </c>
      <c r="O2536" s="193">
        <f t="shared" si="551"/>
        <v>0</v>
      </c>
      <c r="P2536" s="194">
        <v>0</v>
      </c>
      <c r="Q2536" s="194">
        <v>0</v>
      </c>
      <c r="R2536" s="194">
        <v>0</v>
      </c>
      <c r="S2536" s="193">
        <f t="shared" si="552"/>
        <v>0</v>
      </c>
      <c r="T2536" s="193">
        <f t="shared" si="553"/>
        <v>0</v>
      </c>
      <c r="U2536" s="193">
        <f ca="1">OFFSET('Expenditure Study'!$B$7,'Operations Support'!$C2536,'Operations Support'!$B2536)*$G2536</f>
        <v>0</v>
      </c>
      <c r="V2536" s="199">
        <f ca="1">U2536*'Expenditure Study'!$B$31</f>
        <v>0</v>
      </c>
      <c r="W2536" s="199">
        <f ca="1">IF(A2536=10298,1.51,1)*IF($B2536&lt;3,$D2536*'Expenditure Study'!$B$32*OFFSET('Expenditure Study'!$B$7,'Operations Support'!$C2536,'Operations Support'!$B2536),0)</f>
        <v>0</v>
      </c>
      <c r="X2536" s="200">
        <f ca="1">W2536*'Expenditure Study'!$B$31</f>
        <v>0</v>
      </c>
      <c r="Y2536" s="199">
        <f ca="1">U2536*'Expenditure Study'!$B$31</f>
        <v>0</v>
      </c>
      <c r="Z2536" s="200">
        <f ca="1">W2536*'Expenditure Study'!$B$31</f>
        <v>0</v>
      </c>
      <c r="AA2536" s="195">
        <f t="shared" ca="1" si="554"/>
        <v>0</v>
      </c>
      <c r="AB2536" s="195">
        <f t="shared" ca="1" si="555"/>
        <v>0</v>
      </c>
      <c r="AD2536" s="196">
        <f>IFERROR($G2536/SUMIF($A:$A,$A2536,$G:$G)*SUMIF(Summary!$A$166:$A$242,$A2536,Summary!$P$166:$P$242),0)</f>
        <v>0</v>
      </c>
      <c r="AE2536" s="197">
        <f t="shared" ca="1" si="556"/>
        <v>0</v>
      </c>
      <c r="AF2536" s="196">
        <f>IFERROR(G2536/SUMIF(A:A,A2536,G:G)*SUMIF(Summary!$A$166:$A$242,'Operations Support'!A2536,Summary!$Q$166:$Q$242),0)</f>
        <v>0</v>
      </c>
      <c r="AG2536" s="196">
        <f t="shared" ca="1" si="557"/>
        <v>0</v>
      </c>
      <c r="AI2536" s="196">
        <f>IFERROR($G2536/SUMIF($A:$A,$A2536,$G:$G)*SUMIF(Summary!$A$247:$A$283,$A2536,Summary!$P$247:$P$283),0)</f>
        <v>0</v>
      </c>
      <c r="AJ2536" s="196">
        <f>IFERROR($G2536/SUMIF($A:$A,$A2536,$G:$G)*(SUMIF(Summary!$A$247:$A$283,$A2536,Summary!$L$247:$L$283)+SUMIF(Summary!$A$297:$A$333,$A2536,Summary!$L$297:$L$333))-AI2536,0)</f>
        <v>0</v>
      </c>
      <c r="AK2536" s="196">
        <f>IFERROR($G2536/SUMIF($A:$A,$A2536,$G:$G)*SUMIF(Summary!$A$247:$A$283,$A2536,Summary!$Q$247:$Q$283),0)</f>
        <v>0</v>
      </c>
      <c r="AL2536" s="196">
        <f>IFERROR($G2536/SUMIF($A:$A,$A2536,$G:$G)*(SUMIF(Summary!$A$247:$A$283,$A2536,Summary!$L$247:$L$283)+SUMIF(Summary!$A$297:$A$333,$A2536,Summary!$L$297:$L$333))-AK2536,0)</f>
        <v>0</v>
      </c>
      <c r="AM2536" s="198"/>
      <c r="AN2536" s="196">
        <f t="shared" ca="1" si="558"/>
        <v>0</v>
      </c>
      <c r="AO2536" s="196">
        <f t="shared" ca="1" si="559"/>
        <v>0</v>
      </c>
    </row>
    <row r="2537" spans="1:41">
      <c r="A2537" s="189">
        <v>9741</v>
      </c>
      <c r="B2537" s="190">
        <v>1</v>
      </c>
      <c r="C2537" s="191" t="s">
        <v>232</v>
      </c>
      <c r="D2537" s="192">
        <f t="shared" si="546"/>
        <v>0</v>
      </c>
      <c r="E2537" s="192">
        <f t="shared" si="547"/>
        <v>0</v>
      </c>
      <c r="F2537" s="192">
        <f t="shared" si="548"/>
        <v>0</v>
      </c>
      <c r="G2537" s="193">
        <f t="shared" si="549"/>
        <v>0</v>
      </c>
      <c r="H2537" s="194">
        <v>0</v>
      </c>
      <c r="I2537" s="194">
        <v>0</v>
      </c>
      <c r="J2537" s="194">
        <v>0</v>
      </c>
      <c r="K2537" s="193">
        <f t="shared" si="550"/>
        <v>0</v>
      </c>
      <c r="L2537" s="194">
        <v>0</v>
      </c>
      <c r="M2537" s="194">
        <v>0</v>
      </c>
      <c r="N2537" s="194">
        <v>0</v>
      </c>
      <c r="O2537" s="193">
        <f t="shared" si="551"/>
        <v>0</v>
      </c>
      <c r="P2537" s="194">
        <v>0</v>
      </c>
      <c r="Q2537" s="194">
        <v>0</v>
      </c>
      <c r="R2537" s="194">
        <v>0</v>
      </c>
      <c r="S2537" s="193">
        <f t="shared" si="552"/>
        <v>0</v>
      </c>
      <c r="T2537" s="193">
        <f t="shared" si="553"/>
        <v>0</v>
      </c>
      <c r="U2537" s="193">
        <f ca="1">OFFSET('Expenditure Study'!$B$7,'Operations Support'!$C2537,'Operations Support'!$B2537)*$G2537</f>
        <v>0</v>
      </c>
      <c r="V2537" s="199">
        <f ca="1">U2537*'Expenditure Study'!$B$31</f>
        <v>0</v>
      </c>
      <c r="W2537" s="199">
        <f ca="1">IF(A2537=10298,1.51,1)*IF($B2537&lt;3,$D2537*'Expenditure Study'!$B$32*OFFSET('Expenditure Study'!$B$7,'Operations Support'!$C2537,'Operations Support'!$B2537),0)</f>
        <v>0</v>
      </c>
      <c r="X2537" s="200">
        <f ca="1">W2537*'Expenditure Study'!$B$31</f>
        <v>0</v>
      </c>
      <c r="Y2537" s="199">
        <f ca="1">U2537*'Expenditure Study'!$B$31</f>
        <v>0</v>
      </c>
      <c r="Z2537" s="200">
        <f ca="1">W2537*'Expenditure Study'!$B$31</f>
        <v>0</v>
      </c>
      <c r="AA2537" s="195">
        <f t="shared" ca="1" si="554"/>
        <v>0</v>
      </c>
      <c r="AB2537" s="195">
        <f t="shared" ca="1" si="555"/>
        <v>0</v>
      </c>
      <c r="AD2537" s="196">
        <f>IFERROR($G2537/SUMIF($A:$A,$A2537,$G:$G)*SUMIF(Summary!$A$166:$A$242,$A2537,Summary!$P$166:$P$242),0)</f>
        <v>0</v>
      </c>
      <c r="AE2537" s="197">
        <f t="shared" ca="1" si="556"/>
        <v>0</v>
      </c>
      <c r="AF2537" s="196">
        <f>IFERROR(G2537/SUMIF(A:A,A2537,G:G)*SUMIF(Summary!$A$166:$A$242,'Operations Support'!A2537,Summary!$Q$166:$Q$242),0)</f>
        <v>0</v>
      </c>
      <c r="AG2537" s="196">
        <f t="shared" ca="1" si="557"/>
        <v>0</v>
      </c>
      <c r="AI2537" s="196">
        <f>IFERROR($G2537/SUMIF($A:$A,$A2537,$G:$G)*SUMIF(Summary!$A$247:$A$283,$A2537,Summary!$P$247:$P$283),0)</f>
        <v>0</v>
      </c>
      <c r="AJ2537" s="196">
        <f>IFERROR($G2537/SUMIF($A:$A,$A2537,$G:$G)*(SUMIF(Summary!$A$247:$A$283,$A2537,Summary!$L$247:$L$283)+SUMIF(Summary!$A$297:$A$333,$A2537,Summary!$L$297:$L$333))-AI2537,0)</f>
        <v>0</v>
      </c>
      <c r="AK2537" s="196">
        <f>IFERROR($G2537/SUMIF($A:$A,$A2537,$G:$G)*SUMIF(Summary!$A$247:$A$283,$A2537,Summary!$Q$247:$Q$283),0)</f>
        <v>0</v>
      </c>
      <c r="AL2537" s="196">
        <f>IFERROR($G2537/SUMIF($A:$A,$A2537,$G:$G)*(SUMIF(Summary!$A$247:$A$283,$A2537,Summary!$L$247:$L$283)+SUMIF(Summary!$A$297:$A$333,$A2537,Summary!$L$297:$L$333))-AK2537,0)</f>
        <v>0</v>
      </c>
      <c r="AM2537" s="198"/>
      <c r="AN2537" s="196">
        <f t="shared" ca="1" si="558"/>
        <v>0</v>
      </c>
      <c r="AO2537" s="196">
        <f t="shared" ca="1" si="559"/>
        <v>0</v>
      </c>
    </row>
    <row r="2538" spans="1:41">
      <c r="A2538" s="189">
        <v>9741</v>
      </c>
      <c r="B2538" s="190">
        <v>1</v>
      </c>
      <c r="C2538" s="191" t="s">
        <v>233</v>
      </c>
      <c r="D2538" s="192">
        <f t="shared" si="546"/>
        <v>48.5</v>
      </c>
      <c r="E2538" s="192">
        <f t="shared" si="547"/>
        <v>2224.5</v>
      </c>
      <c r="F2538" s="192">
        <f t="shared" si="548"/>
        <v>0</v>
      </c>
      <c r="G2538" s="193">
        <f t="shared" si="549"/>
        <v>2273</v>
      </c>
      <c r="H2538" s="194">
        <v>13</v>
      </c>
      <c r="I2538" s="194">
        <v>1121</v>
      </c>
      <c r="J2538" s="194">
        <v>0</v>
      </c>
      <c r="K2538" s="193">
        <f t="shared" si="550"/>
        <v>1134</v>
      </c>
      <c r="L2538" s="194">
        <v>35.5</v>
      </c>
      <c r="M2538" s="194">
        <v>1028.5</v>
      </c>
      <c r="N2538" s="194">
        <v>0</v>
      </c>
      <c r="O2538" s="193">
        <f t="shared" si="551"/>
        <v>1064</v>
      </c>
      <c r="P2538" s="194">
        <v>0</v>
      </c>
      <c r="Q2538" s="194">
        <v>75</v>
      </c>
      <c r="R2538" s="194">
        <v>0</v>
      </c>
      <c r="S2538" s="193">
        <f t="shared" si="552"/>
        <v>75</v>
      </c>
      <c r="T2538" s="193">
        <f t="shared" si="553"/>
        <v>75.766666666666666</v>
      </c>
      <c r="U2538" s="193">
        <f ca="1">OFFSET('Expenditure Study'!$B$7,'Operations Support'!$C2538,'Operations Support'!$B2538)*$G2538</f>
        <v>2182.08</v>
      </c>
      <c r="V2538" s="199">
        <f ca="1">U2538*'Expenditure Study'!$B$31</f>
        <v>128924.22716006399</v>
      </c>
      <c r="W2538" s="199">
        <f ca="1">IF(A2538=10298,1.51,1)*IF($B2538&lt;3,$D2538*'Expenditure Study'!$B$32*OFFSET('Expenditure Study'!$B$7,'Operations Support'!$C2538,'Operations Support'!$B2538),0)</f>
        <v>4.6560000000000006</v>
      </c>
      <c r="X2538" s="200">
        <f ca="1">W2538*'Expenditure Study'!$B$31</f>
        <v>275.09128980480006</v>
      </c>
      <c r="Y2538" s="199">
        <f ca="1">U2538*'Expenditure Study'!$B$31</f>
        <v>128924.22716006399</v>
      </c>
      <c r="Z2538" s="200">
        <f ca="1">W2538*'Expenditure Study'!$B$31</f>
        <v>275.09128980480006</v>
      </c>
      <c r="AA2538" s="195">
        <f t="shared" ca="1" si="554"/>
        <v>129199.31844986879</v>
      </c>
      <c r="AB2538" s="195">
        <f t="shared" ca="1" si="555"/>
        <v>129199.31844986879</v>
      </c>
      <c r="AD2538" s="196">
        <f>IFERROR($G2538/SUMIF($A:$A,$A2538,$G:$G)*SUMIF(Summary!$A$166:$A$242,$A2538,Summary!$P$166:$P$242),0)</f>
        <v>115370.24437987944</v>
      </c>
      <c r="AE2538" s="197">
        <f t="shared" ca="1" si="556"/>
        <v>13829.07406998935</v>
      </c>
      <c r="AF2538" s="196">
        <f>IFERROR(G2538/SUMIF(A:A,A2538,G:G)*SUMIF(Summary!$A$166:$A$242,'Operations Support'!A2538,Summary!$Q$166:$Q$242),0)</f>
        <v>116172.56645434149</v>
      </c>
      <c r="AG2538" s="196">
        <f t="shared" ca="1" si="557"/>
        <v>13026.751995527302</v>
      </c>
      <c r="AI2538" s="196">
        <f>IFERROR($G2538/SUMIF($A:$A,$A2538,$G:$G)*SUMIF(Summary!$A$247:$A$283,$A2538,Summary!$P$247:$P$283),0)</f>
        <v>21040.653542534001</v>
      </c>
      <c r="AJ2538" s="196">
        <f>IFERROR($G2538/SUMIF($A:$A,$A2538,$G:$G)*(SUMIF(Summary!$A$247:$A$283,$A2538,Summary!$L$247:$L$283)+SUMIF(Summary!$A$297:$A$333,$A2538,Summary!$L$297:$L$333))-AI2538,0)</f>
        <v>39154.028819858868</v>
      </c>
      <c r="AK2538" s="196">
        <f>IFERROR($G2538/SUMIF($A:$A,$A2538,$G:$G)*SUMIF(Summary!$A$247:$A$283,$A2538,Summary!$Q$247:$Q$283),0)</f>
        <v>21186.977067191696</v>
      </c>
      <c r="AL2538" s="196">
        <f>IFERROR($G2538/SUMIF($A:$A,$A2538,$G:$G)*(SUMIF(Summary!$A$247:$A$283,$A2538,Summary!$L$247:$L$283)+SUMIF(Summary!$A$297:$A$333,$A2538,Summary!$L$297:$L$333))-AK2538,0)</f>
        <v>39007.705295201173</v>
      </c>
      <c r="AM2538" s="198"/>
      <c r="AN2538" s="196">
        <f t="shared" ca="1" si="558"/>
        <v>52983.102889848218</v>
      </c>
      <c r="AO2538" s="196">
        <f t="shared" ca="1" si="559"/>
        <v>52034.457290728475</v>
      </c>
    </row>
    <row r="2539" spans="1:41">
      <c r="A2539" s="189">
        <v>9741</v>
      </c>
      <c r="B2539" s="190">
        <v>1</v>
      </c>
      <c r="C2539" s="191" t="s">
        <v>234</v>
      </c>
      <c r="D2539" s="192">
        <f t="shared" si="546"/>
        <v>0</v>
      </c>
      <c r="E2539" s="192">
        <f t="shared" si="547"/>
        <v>0</v>
      </c>
      <c r="F2539" s="192">
        <f t="shared" si="548"/>
        <v>0</v>
      </c>
      <c r="G2539" s="193">
        <f t="shared" si="549"/>
        <v>0</v>
      </c>
      <c r="H2539" s="194">
        <v>0</v>
      </c>
      <c r="I2539" s="194">
        <v>0</v>
      </c>
      <c r="J2539" s="194">
        <v>0</v>
      </c>
      <c r="K2539" s="193">
        <f t="shared" si="550"/>
        <v>0</v>
      </c>
      <c r="L2539" s="194">
        <v>0</v>
      </c>
      <c r="M2539" s="194">
        <v>0</v>
      </c>
      <c r="N2539" s="194">
        <v>0</v>
      </c>
      <c r="O2539" s="193">
        <f t="shared" si="551"/>
        <v>0</v>
      </c>
      <c r="P2539" s="194">
        <v>0</v>
      </c>
      <c r="Q2539" s="194">
        <v>0</v>
      </c>
      <c r="R2539" s="194">
        <v>0</v>
      </c>
      <c r="S2539" s="193">
        <f t="shared" si="552"/>
        <v>0</v>
      </c>
      <c r="T2539" s="193">
        <f t="shared" si="553"/>
        <v>0</v>
      </c>
      <c r="U2539" s="193">
        <f ca="1">OFFSET('Expenditure Study'!$B$7,'Operations Support'!$C2539,'Operations Support'!$B2539)*$G2539</f>
        <v>0</v>
      </c>
      <c r="V2539" s="199">
        <f ca="1">U2539*'Expenditure Study'!$B$31</f>
        <v>0</v>
      </c>
      <c r="W2539" s="199">
        <f ca="1">IF(A2539=10298,1.51,1)*IF($B2539&lt;3,$D2539*'Expenditure Study'!$B$32*OFFSET('Expenditure Study'!$B$7,'Operations Support'!$C2539,'Operations Support'!$B2539),0)</f>
        <v>0</v>
      </c>
      <c r="X2539" s="200">
        <f ca="1">W2539*'Expenditure Study'!$B$31</f>
        <v>0</v>
      </c>
      <c r="Y2539" s="199">
        <f ca="1">U2539*'Expenditure Study'!$B$31</f>
        <v>0</v>
      </c>
      <c r="Z2539" s="200">
        <f ca="1">W2539*'Expenditure Study'!$B$31</f>
        <v>0</v>
      </c>
      <c r="AA2539" s="195">
        <f t="shared" ca="1" si="554"/>
        <v>0</v>
      </c>
      <c r="AB2539" s="195">
        <f t="shared" ca="1" si="555"/>
        <v>0</v>
      </c>
      <c r="AD2539" s="196">
        <f>IFERROR($G2539/SUMIF($A:$A,$A2539,$G:$G)*SUMIF(Summary!$A$166:$A$242,$A2539,Summary!$P$166:$P$242),0)</f>
        <v>0</v>
      </c>
      <c r="AE2539" s="197">
        <f t="shared" ca="1" si="556"/>
        <v>0</v>
      </c>
      <c r="AF2539" s="196">
        <f>IFERROR(G2539/SUMIF(A:A,A2539,G:G)*SUMIF(Summary!$A$166:$A$242,'Operations Support'!A2539,Summary!$Q$166:$Q$242),0)</f>
        <v>0</v>
      </c>
      <c r="AG2539" s="196">
        <f t="shared" ca="1" si="557"/>
        <v>0</v>
      </c>
      <c r="AI2539" s="196">
        <f>IFERROR($G2539/SUMIF($A:$A,$A2539,$G:$G)*SUMIF(Summary!$A$247:$A$283,$A2539,Summary!$P$247:$P$283),0)</f>
        <v>0</v>
      </c>
      <c r="AJ2539" s="196">
        <f>IFERROR($G2539/SUMIF($A:$A,$A2539,$G:$G)*(SUMIF(Summary!$A$247:$A$283,$A2539,Summary!$L$247:$L$283)+SUMIF(Summary!$A$297:$A$333,$A2539,Summary!$L$297:$L$333))-AI2539,0)</f>
        <v>0</v>
      </c>
      <c r="AK2539" s="196">
        <f>IFERROR($G2539/SUMIF($A:$A,$A2539,$G:$G)*SUMIF(Summary!$A$247:$A$283,$A2539,Summary!$Q$247:$Q$283),0)</f>
        <v>0</v>
      </c>
      <c r="AL2539" s="196">
        <f>IFERROR($G2539/SUMIF($A:$A,$A2539,$G:$G)*(SUMIF(Summary!$A$247:$A$283,$A2539,Summary!$L$247:$L$283)+SUMIF(Summary!$A$297:$A$333,$A2539,Summary!$L$297:$L$333))-AK2539,0)</f>
        <v>0</v>
      </c>
      <c r="AM2539" s="198"/>
      <c r="AN2539" s="196">
        <f t="shared" ca="1" si="558"/>
        <v>0</v>
      </c>
      <c r="AO2539" s="196">
        <f t="shared" ca="1" si="559"/>
        <v>0</v>
      </c>
    </row>
    <row r="2540" spans="1:41">
      <c r="A2540" s="189">
        <v>9741</v>
      </c>
      <c r="B2540" s="190">
        <v>1</v>
      </c>
      <c r="C2540" s="191" t="s">
        <v>235</v>
      </c>
      <c r="D2540" s="192">
        <f t="shared" si="546"/>
        <v>6255</v>
      </c>
      <c r="E2540" s="192">
        <f t="shared" si="547"/>
        <v>20433</v>
      </c>
      <c r="F2540" s="192">
        <f t="shared" si="548"/>
        <v>0</v>
      </c>
      <c r="G2540" s="193">
        <f t="shared" si="549"/>
        <v>26688</v>
      </c>
      <c r="H2540" s="194">
        <v>3693</v>
      </c>
      <c r="I2540" s="194">
        <v>8157</v>
      </c>
      <c r="J2540" s="194">
        <v>0</v>
      </c>
      <c r="K2540" s="193">
        <f t="shared" si="550"/>
        <v>11850</v>
      </c>
      <c r="L2540" s="194">
        <v>2514</v>
      </c>
      <c r="M2540" s="194">
        <v>11874</v>
      </c>
      <c r="N2540" s="194">
        <v>0</v>
      </c>
      <c r="O2540" s="193">
        <f t="shared" si="551"/>
        <v>14388</v>
      </c>
      <c r="P2540" s="194">
        <v>48</v>
      </c>
      <c r="Q2540" s="194">
        <v>402</v>
      </c>
      <c r="R2540" s="194">
        <v>0</v>
      </c>
      <c r="S2540" s="193">
        <f t="shared" si="552"/>
        <v>450</v>
      </c>
      <c r="T2540" s="193">
        <f t="shared" si="553"/>
        <v>889.6</v>
      </c>
      <c r="U2540" s="193">
        <f ca="1">OFFSET('Expenditure Study'!$B$7,'Operations Support'!$C2540,'Operations Support'!$B2540)*$G2540</f>
        <v>29356.800000000003</v>
      </c>
      <c r="V2540" s="199">
        <f ca="1">U2540*'Expenditure Study'!$B$31</f>
        <v>1734493.1221094402</v>
      </c>
      <c r="W2540" s="199">
        <f ca="1">IF(A2540=10298,1.51,1)*IF($B2540&lt;3,$D2540*'Expenditure Study'!$B$32*OFFSET('Expenditure Study'!$B$7,'Operations Support'!$C2540,'Operations Support'!$B2540),0)</f>
        <v>688.05000000000007</v>
      </c>
      <c r="X2540" s="200">
        <f ca="1">W2540*'Expenditure Study'!$B$31</f>
        <v>40652.182549440004</v>
      </c>
      <c r="Y2540" s="199">
        <f ca="1">U2540*'Expenditure Study'!$B$31</f>
        <v>1734493.1221094402</v>
      </c>
      <c r="Z2540" s="200">
        <f ca="1">W2540*'Expenditure Study'!$B$31</f>
        <v>40652.182549440004</v>
      </c>
      <c r="AA2540" s="195">
        <f t="shared" ca="1" si="554"/>
        <v>1775145.3046588802</v>
      </c>
      <c r="AB2540" s="195">
        <f t="shared" ca="1" si="555"/>
        <v>1775145.3046588802</v>
      </c>
      <c r="AD2540" s="196">
        <f>IFERROR($G2540/SUMIF($A:$A,$A2540,$G:$G)*SUMIF(Summary!$A$166:$A$242,$A2540,Summary!$P$166:$P$242),0)</f>
        <v>1354597.924333578</v>
      </c>
      <c r="AE2540" s="197">
        <f t="shared" ca="1" si="556"/>
        <v>420547.38032530225</v>
      </c>
      <c r="AF2540" s="196">
        <f>IFERROR(G2540/SUMIF(A:A,A2540,G:G)*SUMIF(Summary!$A$166:$A$242,'Operations Support'!A2540,Summary!$Q$166:$Q$242),0)</f>
        <v>1364018.2373662412</v>
      </c>
      <c r="AG2540" s="196">
        <f t="shared" ca="1" si="557"/>
        <v>411127.06729263905</v>
      </c>
      <c r="AI2540" s="196">
        <f>IFERROR($G2540/SUMIF($A:$A,$A2540,$G:$G)*SUMIF(Summary!$A$247:$A$283,$A2540,Summary!$P$247:$P$283),0)</f>
        <v>247044.85778405081</v>
      </c>
      <c r="AJ2540" s="196">
        <f>IFERROR($G2540/SUMIF($A:$A,$A2540,$G:$G)*(SUMIF(Summary!$A$247:$A$283,$A2540,Summary!$L$247:$L$283)+SUMIF(Summary!$A$297:$A$333,$A2540,Summary!$L$297:$L$333))-AI2540,0)</f>
        <v>459719.6309478195</v>
      </c>
      <c r="AK2540" s="196">
        <f>IFERROR($G2540/SUMIF($A:$A,$A2540,$G:$G)*SUMIF(Summary!$A$247:$A$283,$A2540,Summary!$Q$247:$Q$283),0)</f>
        <v>248762.88779991731</v>
      </c>
      <c r="AL2540" s="196">
        <f>IFERROR($G2540/SUMIF($A:$A,$A2540,$G:$G)*(SUMIF(Summary!$A$247:$A$283,$A2540,Summary!$L$247:$L$283)+SUMIF(Summary!$A$297:$A$333,$A2540,Summary!$L$297:$L$333))-AK2540,0)</f>
        <v>458001.600931953</v>
      </c>
      <c r="AM2540" s="198"/>
      <c r="AN2540" s="196">
        <f t="shared" ca="1" si="558"/>
        <v>880267.01127312169</v>
      </c>
      <c r="AO2540" s="196">
        <f t="shared" ca="1" si="559"/>
        <v>869128.66822459199</v>
      </c>
    </row>
    <row r="2541" spans="1:41">
      <c r="A2541" s="189">
        <v>9741</v>
      </c>
      <c r="B2541" s="190">
        <v>1</v>
      </c>
      <c r="C2541" s="191" t="s">
        <v>236</v>
      </c>
      <c r="D2541" s="192">
        <f t="shared" si="546"/>
        <v>0</v>
      </c>
      <c r="E2541" s="192">
        <f t="shared" si="547"/>
        <v>0</v>
      </c>
      <c r="F2541" s="192">
        <f t="shared" si="548"/>
        <v>0</v>
      </c>
      <c r="G2541" s="193">
        <f t="shared" si="549"/>
        <v>0</v>
      </c>
      <c r="H2541" s="194">
        <v>0</v>
      </c>
      <c r="I2541" s="194">
        <v>0</v>
      </c>
      <c r="J2541" s="194">
        <v>0</v>
      </c>
      <c r="K2541" s="193">
        <f t="shared" si="550"/>
        <v>0</v>
      </c>
      <c r="L2541" s="194">
        <v>0</v>
      </c>
      <c r="M2541" s="194">
        <v>0</v>
      </c>
      <c r="N2541" s="194">
        <v>0</v>
      </c>
      <c r="O2541" s="193">
        <f t="shared" si="551"/>
        <v>0</v>
      </c>
      <c r="P2541" s="194">
        <v>0</v>
      </c>
      <c r="Q2541" s="194">
        <v>0</v>
      </c>
      <c r="R2541" s="194">
        <v>0</v>
      </c>
      <c r="S2541" s="193">
        <f t="shared" si="552"/>
        <v>0</v>
      </c>
      <c r="T2541" s="193">
        <f t="shared" si="553"/>
        <v>0</v>
      </c>
      <c r="U2541" s="193">
        <f ca="1">OFFSET('Expenditure Study'!$B$7,'Operations Support'!$C2541,'Operations Support'!$B2541)*$G2541</f>
        <v>0</v>
      </c>
      <c r="V2541" s="199">
        <f ca="1">U2541*'Expenditure Study'!$B$31</f>
        <v>0</v>
      </c>
      <c r="W2541" s="199">
        <f ca="1">IF(A2541=10298,1.51,1)*IF($B2541&lt;3,$D2541*'Expenditure Study'!$B$32*OFFSET('Expenditure Study'!$B$7,'Operations Support'!$C2541,'Operations Support'!$B2541),0)</f>
        <v>0</v>
      </c>
      <c r="X2541" s="200">
        <f ca="1">W2541*'Expenditure Study'!$B$31</f>
        <v>0</v>
      </c>
      <c r="Y2541" s="199">
        <f ca="1">U2541*'Expenditure Study'!$B$31</f>
        <v>0</v>
      </c>
      <c r="Z2541" s="200">
        <f ca="1">W2541*'Expenditure Study'!$B$31</f>
        <v>0</v>
      </c>
      <c r="AA2541" s="195">
        <f t="shared" ca="1" si="554"/>
        <v>0</v>
      </c>
      <c r="AB2541" s="195">
        <f t="shared" ca="1" si="555"/>
        <v>0</v>
      </c>
      <c r="AD2541" s="196">
        <f>IFERROR($G2541/SUMIF($A:$A,$A2541,$G:$G)*SUMIF(Summary!$A$166:$A$242,$A2541,Summary!$P$166:$P$242),0)</f>
        <v>0</v>
      </c>
      <c r="AE2541" s="197">
        <f t="shared" ca="1" si="556"/>
        <v>0</v>
      </c>
      <c r="AF2541" s="196">
        <f>IFERROR(G2541/SUMIF(A:A,A2541,G:G)*SUMIF(Summary!$A$166:$A$242,'Operations Support'!A2541,Summary!$Q$166:$Q$242),0)</f>
        <v>0</v>
      </c>
      <c r="AG2541" s="196">
        <f t="shared" ca="1" si="557"/>
        <v>0</v>
      </c>
      <c r="AI2541" s="196">
        <f>IFERROR($G2541/SUMIF($A:$A,$A2541,$G:$G)*SUMIF(Summary!$A$247:$A$283,$A2541,Summary!$P$247:$P$283),0)</f>
        <v>0</v>
      </c>
      <c r="AJ2541" s="196">
        <f>IFERROR($G2541/SUMIF($A:$A,$A2541,$G:$G)*(SUMIF(Summary!$A$247:$A$283,$A2541,Summary!$L$247:$L$283)+SUMIF(Summary!$A$297:$A$333,$A2541,Summary!$L$297:$L$333))-AI2541,0)</f>
        <v>0</v>
      </c>
      <c r="AK2541" s="196">
        <f>IFERROR($G2541/SUMIF($A:$A,$A2541,$G:$G)*SUMIF(Summary!$A$247:$A$283,$A2541,Summary!$Q$247:$Q$283),0)</f>
        <v>0</v>
      </c>
      <c r="AL2541" s="196">
        <f>IFERROR($G2541/SUMIF($A:$A,$A2541,$G:$G)*(SUMIF(Summary!$A$247:$A$283,$A2541,Summary!$L$247:$L$283)+SUMIF(Summary!$A$297:$A$333,$A2541,Summary!$L$297:$L$333))-AK2541,0)</f>
        <v>0</v>
      </c>
      <c r="AM2541" s="198"/>
      <c r="AN2541" s="196">
        <f t="shared" ca="1" si="558"/>
        <v>0</v>
      </c>
      <c r="AO2541" s="196">
        <f t="shared" ca="1" si="559"/>
        <v>0</v>
      </c>
    </row>
    <row r="2542" spans="1:41">
      <c r="A2542" s="189">
        <v>9741</v>
      </c>
      <c r="B2542" s="190">
        <v>1</v>
      </c>
      <c r="C2542" s="191" t="s">
        <v>237</v>
      </c>
      <c r="D2542" s="192">
        <f t="shared" si="546"/>
        <v>0</v>
      </c>
      <c r="E2542" s="192">
        <f t="shared" si="547"/>
        <v>0</v>
      </c>
      <c r="F2542" s="192">
        <f t="shared" si="548"/>
        <v>0</v>
      </c>
      <c r="G2542" s="193">
        <f t="shared" si="549"/>
        <v>0</v>
      </c>
      <c r="H2542" s="194">
        <v>0</v>
      </c>
      <c r="I2542" s="194">
        <v>0</v>
      </c>
      <c r="J2542" s="194">
        <v>0</v>
      </c>
      <c r="K2542" s="193">
        <f t="shared" si="550"/>
        <v>0</v>
      </c>
      <c r="L2542" s="194">
        <v>0</v>
      </c>
      <c r="M2542" s="194">
        <v>0</v>
      </c>
      <c r="N2542" s="194">
        <v>0</v>
      </c>
      <c r="O2542" s="193">
        <f t="shared" si="551"/>
        <v>0</v>
      </c>
      <c r="P2542" s="194">
        <v>0</v>
      </c>
      <c r="Q2542" s="194">
        <v>0</v>
      </c>
      <c r="R2542" s="194">
        <v>0</v>
      </c>
      <c r="S2542" s="193">
        <f t="shared" si="552"/>
        <v>0</v>
      </c>
      <c r="T2542" s="193">
        <f t="shared" si="553"/>
        <v>0</v>
      </c>
      <c r="U2542" s="193">
        <f ca="1">OFFSET('Expenditure Study'!$B$7,'Operations Support'!$C2542,'Operations Support'!$B2542)*$G2542</f>
        <v>0</v>
      </c>
      <c r="V2542" s="199">
        <f ca="1">U2542*'Expenditure Study'!$B$31</f>
        <v>0</v>
      </c>
      <c r="W2542" s="199">
        <f ca="1">IF(A2542=10298,1.51,1)*IF($B2542&lt;3,$D2542*'Expenditure Study'!$B$32*OFFSET('Expenditure Study'!$B$7,'Operations Support'!$C2542,'Operations Support'!$B2542),0)</f>
        <v>0</v>
      </c>
      <c r="X2542" s="200">
        <f ca="1">W2542*'Expenditure Study'!$B$31</f>
        <v>0</v>
      </c>
      <c r="Y2542" s="199">
        <f ca="1">U2542*'Expenditure Study'!$B$31</f>
        <v>0</v>
      </c>
      <c r="Z2542" s="200">
        <f ca="1">W2542*'Expenditure Study'!$B$31</f>
        <v>0</v>
      </c>
      <c r="AA2542" s="195">
        <f t="shared" ca="1" si="554"/>
        <v>0</v>
      </c>
      <c r="AB2542" s="195">
        <f t="shared" ca="1" si="555"/>
        <v>0</v>
      </c>
      <c r="AD2542" s="196">
        <f>IFERROR($G2542/SUMIF($A:$A,$A2542,$G:$G)*SUMIF(Summary!$A$166:$A$242,$A2542,Summary!$P$166:$P$242),0)</f>
        <v>0</v>
      </c>
      <c r="AE2542" s="197">
        <f t="shared" ca="1" si="556"/>
        <v>0</v>
      </c>
      <c r="AF2542" s="196">
        <f>IFERROR(G2542/SUMIF(A:A,A2542,G:G)*SUMIF(Summary!$A$166:$A$242,'Operations Support'!A2542,Summary!$Q$166:$Q$242),0)</f>
        <v>0</v>
      </c>
      <c r="AG2542" s="196">
        <f t="shared" ca="1" si="557"/>
        <v>0</v>
      </c>
      <c r="AI2542" s="196">
        <f>IFERROR($G2542/SUMIF($A:$A,$A2542,$G:$G)*SUMIF(Summary!$A$247:$A$283,$A2542,Summary!$P$247:$P$283),0)</f>
        <v>0</v>
      </c>
      <c r="AJ2542" s="196">
        <f>IFERROR($G2542/SUMIF($A:$A,$A2542,$G:$G)*(SUMIF(Summary!$A$247:$A$283,$A2542,Summary!$L$247:$L$283)+SUMIF(Summary!$A$297:$A$333,$A2542,Summary!$L$297:$L$333))-AI2542,0)</f>
        <v>0</v>
      </c>
      <c r="AK2542" s="196">
        <f>IFERROR($G2542/SUMIF($A:$A,$A2542,$G:$G)*SUMIF(Summary!$A$247:$A$283,$A2542,Summary!$Q$247:$Q$283),0)</f>
        <v>0</v>
      </c>
      <c r="AL2542" s="196">
        <f>IFERROR($G2542/SUMIF($A:$A,$A2542,$G:$G)*(SUMIF(Summary!$A$247:$A$283,$A2542,Summary!$L$247:$L$283)+SUMIF(Summary!$A$297:$A$333,$A2542,Summary!$L$297:$L$333))-AK2542,0)</f>
        <v>0</v>
      </c>
      <c r="AM2542" s="198"/>
      <c r="AN2542" s="196">
        <f t="shared" ca="1" si="558"/>
        <v>0</v>
      </c>
      <c r="AO2542" s="196">
        <f t="shared" ca="1" si="559"/>
        <v>0</v>
      </c>
    </row>
    <row r="2543" spans="1:41">
      <c r="A2543" s="189">
        <v>9741</v>
      </c>
      <c r="B2543" s="190">
        <v>1</v>
      </c>
      <c r="C2543" s="191" t="s">
        <v>238</v>
      </c>
      <c r="D2543" s="192">
        <f t="shared" si="546"/>
        <v>0</v>
      </c>
      <c r="E2543" s="192">
        <f t="shared" si="547"/>
        <v>9</v>
      </c>
      <c r="F2543" s="192">
        <f t="shared" si="548"/>
        <v>0</v>
      </c>
      <c r="G2543" s="193">
        <f t="shared" si="549"/>
        <v>9</v>
      </c>
      <c r="H2543" s="194">
        <v>0</v>
      </c>
      <c r="I2543" s="194">
        <v>9</v>
      </c>
      <c r="J2543" s="194">
        <v>0</v>
      </c>
      <c r="K2543" s="193">
        <f t="shared" si="550"/>
        <v>9</v>
      </c>
      <c r="L2543" s="194">
        <v>0</v>
      </c>
      <c r="M2543" s="194">
        <v>0</v>
      </c>
      <c r="N2543" s="194">
        <v>0</v>
      </c>
      <c r="O2543" s="193">
        <f t="shared" si="551"/>
        <v>0</v>
      </c>
      <c r="P2543" s="194">
        <v>0</v>
      </c>
      <c r="Q2543" s="194">
        <v>0</v>
      </c>
      <c r="R2543" s="194">
        <v>0</v>
      </c>
      <c r="S2543" s="193">
        <f t="shared" si="552"/>
        <v>0</v>
      </c>
      <c r="T2543" s="193">
        <f t="shared" si="553"/>
        <v>0.3</v>
      </c>
      <c r="U2543" s="193">
        <f ca="1">OFFSET('Expenditure Study'!$B$7,'Operations Support'!$C2543,'Operations Support'!$B2543)*$G2543</f>
        <v>16.02</v>
      </c>
      <c r="V2543" s="199">
        <f ca="1">U2543*'Expenditure Study'!$B$31</f>
        <v>946.51255641599994</v>
      </c>
      <c r="W2543" s="199">
        <f ca="1">IF(A2543=10298,1.51,1)*IF($B2543&lt;3,$D2543*'Expenditure Study'!$B$32*OFFSET('Expenditure Study'!$B$7,'Operations Support'!$C2543,'Operations Support'!$B2543),0)</f>
        <v>0</v>
      </c>
      <c r="X2543" s="200">
        <f ca="1">W2543*'Expenditure Study'!$B$31</f>
        <v>0</v>
      </c>
      <c r="Y2543" s="199">
        <f ca="1">U2543*'Expenditure Study'!$B$31</f>
        <v>946.51255641599994</v>
      </c>
      <c r="Z2543" s="200">
        <f ca="1">W2543*'Expenditure Study'!$B$31</f>
        <v>0</v>
      </c>
      <c r="AA2543" s="195">
        <f t="shared" ca="1" si="554"/>
        <v>946.51255641599994</v>
      </c>
      <c r="AB2543" s="195">
        <f t="shared" ca="1" si="555"/>
        <v>946.51255641599994</v>
      </c>
      <c r="AD2543" s="196">
        <f>IFERROR($G2543/SUMIF($A:$A,$A2543,$G:$G)*SUMIF(Summary!$A$166:$A$242,$A2543,Summary!$P$166:$P$242),0)</f>
        <v>456.81135038227671</v>
      </c>
      <c r="AE2543" s="197">
        <f t="shared" ca="1" si="556"/>
        <v>489.70120603372322</v>
      </c>
      <c r="AF2543" s="196">
        <f>IFERROR(G2543/SUMIF(A:A,A2543,G:G)*SUMIF(Summary!$A$166:$A$242,'Operations Support'!A2543,Summary!$Q$166:$Q$242),0)</f>
        <v>459.98816457944281</v>
      </c>
      <c r="AG2543" s="196">
        <f t="shared" ca="1" si="557"/>
        <v>486.52439183655713</v>
      </c>
      <c r="AI2543" s="196">
        <f>IFERROR($G2543/SUMIF($A:$A,$A2543,$G:$G)*SUMIF(Summary!$A$247:$A$283,$A2543,Summary!$P$247:$P$283),0)</f>
        <v>83.3109907095495</v>
      </c>
      <c r="AJ2543" s="196">
        <f>IFERROR($G2543/SUMIF($A:$A,$A2543,$G:$G)*(SUMIF(Summary!$A$247:$A$283,$A2543,Summary!$L$247:$L$283)+SUMIF(Summary!$A$297:$A$333,$A2543,Summary!$L$297:$L$333))-AI2543,0)</f>
        <v>155.03135036459736</v>
      </c>
      <c r="AK2543" s="196">
        <f>IFERROR($G2543/SUMIF($A:$A,$A2543,$G:$G)*SUMIF(Summary!$A$247:$A$283,$A2543,Summary!$Q$247:$Q$283),0)</f>
        <v>83.89036234259801</v>
      </c>
      <c r="AL2543" s="196">
        <f>IFERROR($G2543/SUMIF($A:$A,$A2543,$G:$G)*(SUMIF(Summary!$A$247:$A$283,$A2543,Summary!$L$247:$L$283)+SUMIF(Summary!$A$297:$A$333,$A2543,Summary!$L$297:$L$333))-AK2543,0)</f>
        <v>154.45197873154888</v>
      </c>
      <c r="AM2543" s="198"/>
      <c r="AN2543" s="196">
        <f t="shared" ca="1" si="558"/>
        <v>644.73255639832064</v>
      </c>
      <c r="AO2543" s="196">
        <f t="shared" ca="1" si="559"/>
        <v>640.97637056810595</v>
      </c>
    </row>
    <row r="2544" spans="1:41">
      <c r="A2544" s="189">
        <v>9741</v>
      </c>
      <c r="B2544" s="190">
        <v>1</v>
      </c>
      <c r="C2544" s="191" t="s">
        <v>239</v>
      </c>
      <c r="D2544" s="192">
        <f t="shared" si="546"/>
        <v>0</v>
      </c>
      <c r="E2544" s="192">
        <f t="shared" si="547"/>
        <v>0</v>
      </c>
      <c r="F2544" s="192">
        <f t="shared" si="548"/>
        <v>0</v>
      </c>
      <c r="G2544" s="193">
        <f t="shared" si="549"/>
        <v>0</v>
      </c>
      <c r="H2544" s="194">
        <v>0</v>
      </c>
      <c r="I2544" s="194">
        <v>0</v>
      </c>
      <c r="J2544" s="194">
        <v>0</v>
      </c>
      <c r="K2544" s="193">
        <f t="shared" si="550"/>
        <v>0</v>
      </c>
      <c r="L2544" s="194">
        <v>0</v>
      </c>
      <c r="M2544" s="194">
        <v>0</v>
      </c>
      <c r="N2544" s="194">
        <v>0</v>
      </c>
      <c r="O2544" s="193">
        <f t="shared" si="551"/>
        <v>0</v>
      </c>
      <c r="P2544" s="194">
        <v>0</v>
      </c>
      <c r="Q2544" s="194">
        <v>0</v>
      </c>
      <c r="R2544" s="194">
        <v>0</v>
      </c>
      <c r="S2544" s="193">
        <f t="shared" si="552"/>
        <v>0</v>
      </c>
      <c r="T2544" s="193">
        <f t="shared" si="553"/>
        <v>0</v>
      </c>
      <c r="U2544" s="193">
        <f ca="1">OFFSET('Expenditure Study'!$B$7,'Operations Support'!$C2544,'Operations Support'!$B2544)*$G2544</f>
        <v>0</v>
      </c>
      <c r="V2544" s="199">
        <f ca="1">U2544*'Expenditure Study'!$B$31</f>
        <v>0</v>
      </c>
      <c r="W2544" s="199">
        <f ca="1">IF(A2544=10298,1.51,1)*IF($B2544&lt;3,$D2544*'Expenditure Study'!$B$32*OFFSET('Expenditure Study'!$B$7,'Operations Support'!$C2544,'Operations Support'!$B2544),0)</f>
        <v>0</v>
      </c>
      <c r="X2544" s="200">
        <f ca="1">W2544*'Expenditure Study'!$B$31</f>
        <v>0</v>
      </c>
      <c r="Y2544" s="199">
        <f ca="1">U2544*'Expenditure Study'!$B$31</f>
        <v>0</v>
      </c>
      <c r="Z2544" s="200">
        <f ca="1">W2544*'Expenditure Study'!$B$31</f>
        <v>0</v>
      </c>
      <c r="AA2544" s="195">
        <f t="shared" ca="1" si="554"/>
        <v>0</v>
      </c>
      <c r="AB2544" s="195">
        <f t="shared" ca="1" si="555"/>
        <v>0</v>
      </c>
      <c r="AD2544" s="196">
        <f>IFERROR($G2544/SUMIF($A:$A,$A2544,$G:$G)*SUMIF(Summary!$A$166:$A$242,$A2544,Summary!$P$166:$P$242),0)</f>
        <v>0</v>
      </c>
      <c r="AE2544" s="197">
        <f t="shared" ca="1" si="556"/>
        <v>0</v>
      </c>
      <c r="AF2544" s="196">
        <f>IFERROR(G2544/SUMIF(A:A,A2544,G:G)*SUMIF(Summary!$A$166:$A$242,'Operations Support'!A2544,Summary!$Q$166:$Q$242),0)</f>
        <v>0</v>
      </c>
      <c r="AG2544" s="196">
        <f t="shared" ca="1" si="557"/>
        <v>0</v>
      </c>
      <c r="AI2544" s="196">
        <f>IFERROR($G2544/SUMIF($A:$A,$A2544,$G:$G)*SUMIF(Summary!$A$247:$A$283,$A2544,Summary!$P$247:$P$283),0)</f>
        <v>0</v>
      </c>
      <c r="AJ2544" s="196">
        <f>IFERROR($G2544/SUMIF($A:$A,$A2544,$G:$G)*(SUMIF(Summary!$A$247:$A$283,$A2544,Summary!$L$247:$L$283)+SUMIF(Summary!$A$297:$A$333,$A2544,Summary!$L$297:$L$333))-AI2544,0)</f>
        <v>0</v>
      </c>
      <c r="AK2544" s="196">
        <f>IFERROR($G2544/SUMIF($A:$A,$A2544,$G:$G)*SUMIF(Summary!$A$247:$A$283,$A2544,Summary!$Q$247:$Q$283),0)</f>
        <v>0</v>
      </c>
      <c r="AL2544" s="196">
        <f>IFERROR($G2544/SUMIF($A:$A,$A2544,$G:$G)*(SUMIF(Summary!$A$247:$A$283,$A2544,Summary!$L$247:$L$283)+SUMIF(Summary!$A$297:$A$333,$A2544,Summary!$L$297:$L$333))-AK2544,0)</f>
        <v>0</v>
      </c>
      <c r="AM2544" s="198"/>
      <c r="AN2544" s="196">
        <f t="shared" ca="1" si="558"/>
        <v>0</v>
      </c>
      <c r="AO2544" s="196">
        <f t="shared" ca="1" si="559"/>
        <v>0</v>
      </c>
    </row>
    <row r="2545" spans="1:41">
      <c r="A2545" s="189">
        <v>9741</v>
      </c>
      <c r="B2545" s="190">
        <v>1</v>
      </c>
      <c r="C2545" s="191" t="s">
        <v>240</v>
      </c>
      <c r="D2545" s="192">
        <f t="shared" si="546"/>
        <v>0</v>
      </c>
      <c r="E2545" s="192">
        <f t="shared" si="547"/>
        <v>0</v>
      </c>
      <c r="F2545" s="192">
        <f t="shared" si="548"/>
        <v>0</v>
      </c>
      <c r="G2545" s="193">
        <f t="shared" si="549"/>
        <v>0</v>
      </c>
      <c r="H2545" s="194">
        <v>0</v>
      </c>
      <c r="I2545" s="194">
        <v>0</v>
      </c>
      <c r="J2545" s="194">
        <v>0</v>
      </c>
      <c r="K2545" s="193">
        <f t="shared" si="550"/>
        <v>0</v>
      </c>
      <c r="L2545" s="194">
        <v>0</v>
      </c>
      <c r="M2545" s="194">
        <v>0</v>
      </c>
      <c r="N2545" s="194">
        <v>0</v>
      </c>
      <c r="O2545" s="193">
        <f t="shared" si="551"/>
        <v>0</v>
      </c>
      <c r="P2545" s="194">
        <v>0</v>
      </c>
      <c r="Q2545" s="194">
        <v>0</v>
      </c>
      <c r="R2545" s="194">
        <v>0</v>
      </c>
      <c r="S2545" s="193">
        <f t="shared" si="552"/>
        <v>0</v>
      </c>
      <c r="T2545" s="193">
        <f t="shared" si="553"/>
        <v>0</v>
      </c>
      <c r="U2545" s="193">
        <f ca="1">OFFSET('Expenditure Study'!$B$7,'Operations Support'!$C2545,'Operations Support'!$B2545)*$G2545</f>
        <v>0</v>
      </c>
      <c r="V2545" s="199">
        <f ca="1">U2545*'Expenditure Study'!$B$31</f>
        <v>0</v>
      </c>
      <c r="W2545" s="199">
        <f ca="1">IF(A2545=10298,1.51,1)*IF($B2545&lt;3,$D2545*'Expenditure Study'!$B$32*OFFSET('Expenditure Study'!$B$7,'Operations Support'!$C2545,'Operations Support'!$B2545),0)</f>
        <v>0</v>
      </c>
      <c r="X2545" s="200">
        <f ca="1">W2545*'Expenditure Study'!$B$31</f>
        <v>0</v>
      </c>
      <c r="Y2545" s="199">
        <f ca="1">U2545*'Expenditure Study'!$B$31</f>
        <v>0</v>
      </c>
      <c r="Z2545" s="200">
        <f ca="1">W2545*'Expenditure Study'!$B$31</f>
        <v>0</v>
      </c>
      <c r="AA2545" s="195">
        <f t="shared" ca="1" si="554"/>
        <v>0</v>
      </c>
      <c r="AB2545" s="195">
        <f t="shared" ca="1" si="555"/>
        <v>0</v>
      </c>
      <c r="AD2545" s="196">
        <f>IFERROR($G2545/SUMIF($A:$A,$A2545,$G:$G)*SUMIF(Summary!$A$166:$A$242,$A2545,Summary!$P$166:$P$242),0)</f>
        <v>0</v>
      </c>
      <c r="AE2545" s="197">
        <f t="shared" ca="1" si="556"/>
        <v>0</v>
      </c>
      <c r="AF2545" s="196">
        <f>IFERROR(G2545/SUMIF(A:A,A2545,G:G)*SUMIF(Summary!$A$166:$A$242,'Operations Support'!A2545,Summary!$Q$166:$Q$242),0)</f>
        <v>0</v>
      </c>
      <c r="AG2545" s="196">
        <f t="shared" ca="1" si="557"/>
        <v>0</v>
      </c>
      <c r="AI2545" s="196">
        <f>IFERROR($G2545/SUMIF($A:$A,$A2545,$G:$G)*SUMIF(Summary!$A$247:$A$283,$A2545,Summary!$P$247:$P$283),0)</f>
        <v>0</v>
      </c>
      <c r="AJ2545" s="196">
        <f>IFERROR($G2545/SUMIF($A:$A,$A2545,$G:$G)*(SUMIF(Summary!$A$247:$A$283,$A2545,Summary!$L$247:$L$283)+SUMIF(Summary!$A$297:$A$333,$A2545,Summary!$L$297:$L$333))-AI2545,0)</f>
        <v>0</v>
      </c>
      <c r="AK2545" s="196">
        <f>IFERROR($G2545/SUMIF($A:$A,$A2545,$G:$G)*SUMIF(Summary!$A$247:$A$283,$A2545,Summary!$Q$247:$Q$283),0)</f>
        <v>0</v>
      </c>
      <c r="AL2545" s="196">
        <f>IFERROR($G2545/SUMIF($A:$A,$A2545,$G:$G)*(SUMIF(Summary!$A$247:$A$283,$A2545,Summary!$L$247:$L$283)+SUMIF(Summary!$A$297:$A$333,$A2545,Summary!$L$297:$L$333))-AK2545,0)</f>
        <v>0</v>
      </c>
      <c r="AM2545" s="198"/>
      <c r="AN2545" s="196">
        <f t="shared" ca="1" si="558"/>
        <v>0</v>
      </c>
      <c r="AO2545" s="196">
        <f t="shared" ca="1" si="559"/>
        <v>0</v>
      </c>
    </row>
    <row r="2546" spans="1:41">
      <c r="A2546" s="189">
        <v>9741</v>
      </c>
      <c r="B2546" s="190">
        <v>2</v>
      </c>
      <c r="C2546" s="191" t="s">
        <v>220</v>
      </c>
      <c r="D2546" s="192">
        <f t="shared" si="546"/>
        <v>17855.5</v>
      </c>
      <c r="E2546" s="192">
        <f t="shared" si="547"/>
        <v>32016.5</v>
      </c>
      <c r="F2546" s="192">
        <f t="shared" si="548"/>
        <v>0</v>
      </c>
      <c r="G2546" s="193">
        <f t="shared" si="549"/>
        <v>49872</v>
      </c>
      <c r="H2546" s="194">
        <v>8807.5</v>
      </c>
      <c r="I2546" s="194">
        <v>14318.5</v>
      </c>
      <c r="J2546" s="194">
        <v>0</v>
      </c>
      <c r="K2546" s="193">
        <f t="shared" si="550"/>
        <v>23126</v>
      </c>
      <c r="L2546" s="194">
        <v>8584</v>
      </c>
      <c r="M2546" s="194">
        <v>14536</v>
      </c>
      <c r="N2546" s="194">
        <v>0</v>
      </c>
      <c r="O2546" s="193">
        <f t="shared" si="551"/>
        <v>23120</v>
      </c>
      <c r="P2546" s="194">
        <v>464</v>
      </c>
      <c r="Q2546" s="194">
        <v>3162</v>
      </c>
      <c r="R2546" s="194">
        <v>0</v>
      </c>
      <c r="S2546" s="193">
        <f t="shared" si="552"/>
        <v>3626</v>
      </c>
      <c r="T2546" s="193">
        <f t="shared" si="553"/>
        <v>1662.4</v>
      </c>
      <c r="U2546" s="193">
        <f ca="1">OFFSET('Expenditure Study'!$B$7,'Operations Support'!$C2546,'Operations Support'!$B2546)*$G2546</f>
        <v>91764.48000000001</v>
      </c>
      <c r="V2546" s="199">
        <f ca="1">U2546*'Expenditure Study'!$B$31</f>
        <v>5421737.3628579844</v>
      </c>
      <c r="W2546" s="199">
        <f ca="1">IF(A2546=10298,1.51,1)*IF($B2546&lt;3,$D2546*'Expenditure Study'!$B$32*OFFSET('Expenditure Study'!$B$7,'Operations Support'!$C2546,'Operations Support'!$B2546),0)</f>
        <v>3285.4120000000003</v>
      </c>
      <c r="X2546" s="200">
        <f ca="1">W2546*'Expenditure Study'!$B$31</f>
        <v>194112.59119848962</v>
      </c>
      <c r="Y2546" s="199">
        <f ca="1">U2546*'Expenditure Study'!$B$31</f>
        <v>5421737.3628579844</v>
      </c>
      <c r="Z2546" s="200">
        <f ca="1">W2546*'Expenditure Study'!$B$31</f>
        <v>194112.59119848962</v>
      </c>
      <c r="AA2546" s="195">
        <f t="shared" ca="1" si="554"/>
        <v>5615849.9540564744</v>
      </c>
      <c r="AB2546" s="195">
        <f t="shared" ca="1" si="555"/>
        <v>5615849.9540564744</v>
      </c>
      <c r="AD2546" s="196">
        <f>IFERROR($G2546/SUMIF($A:$A,$A2546,$G:$G)*SUMIF(Summary!$A$166:$A$242,$A2546,Summary!$P$166:$P$242),0)</f>
        <v>2531343.962918323</v>
      </c>
      <c r="AE2546" s="197">
        <f t="shared" ca="1" si="556"/>
        <v>3084505.9911381514</v>
      </c>
      <c r="AF2546" s="196">
        <f>IFERROR(G2546/SUMIF(A:A,A2546,G:G)*SUMIF(Summary!$A$166:$A$242,'Operations Support'!A2546,Summary!$Q$166:$Q$242),0)</f>
        <v>2548947.7493228856</v>
      </c>
      <c r="AG2546" s="196">
        <f t="shared" ca="1" si="557"/>
        <v>3066902.2047335887</v>
      </c>
      <c r="AI2546" s="196">
        <f>IFERROR($G2546/SUMIF($A:$A,$A2546,$G:$G)*SUMIF(Summary!$A$247:$A$283,$A2546,Summary!$P$247:$P$283),0)</f>
        <v>461653.96985185036</v>
      </c>
      <c r="AJ2546" s="196">
        <f>IFERROR($G2546/SUMIF($A:$A,$A2546,$G:$G)*(SUMIF(Summary!$A$247:$A$283,$A2546,Summary!$L$247:$L$283)+SUMIF(Summary!$A$297:$A$333,$A2546,Summary!$L$297:$L$333))-AI2546,0)</f>
        <v>859080.3894870223</v>
      </c>
      <c r="AK2546" s="196">
        <f>IFERROR($G2546/SUMIF($A:$A,$A2546,$G:$G)*SUMIF(Summary!$A$247:$A$283,$A2546,Summary!$Q$247:$Q$283),0)</f>
        <v>464864.4611944498</v>
      </c>
      <c r="AL2546" s="196">
        <f>IFERROR($G2546/SUMIF($A:$A,$A2546,$G:$G)*(SUMIF(Summary!$A$247:$A$283,$A2546,Summary!$L$247:$L$283)+SUMIF(Summary!$A$297:$A$333,$A2546,Summary!$L$297:$L$333))-AK2546,0)</f>
        <v>855869.8981444228</v>
      </c>
      <c r="AM2546" s="198"/>
      <c r="AN2546" s="196">
        <f t="shared" ca="1" si="558"/>
        <v>3943586.3806251734</v>
      </c>
      <c r="AO2546" s="196">
        <f t="shared" ca="1" si="559"/>
        <v>3922772.1028780118</v>
      </c>
    </row>
    <row r="2547" spans="1:41">
      <c r="A2547" s="189">
        <v>9741</v>
      </c>
      <c r="B2547" s="190">
        <v>2</v>
      </c>
      <c r="C2547" s="191" t="s">
        <v>221</v>
      </c>
      <c r="D2547" s="192">
        <f t="shared" si="546"/>
        <v>14996.91000000002</v>
      </c>
      <c r="E2547" s="192">
        <f t="shared" si="547"/>
        <v>37672.089999999997</v>
      </c>
      <c r="F2547" s="192">
        <f t="shared" si="548"/>
        <v>0</v>
      </c>
      <c r="G2547" s="193">
        <f t="shared" si="549"/>
        <v>52669.000000000015</v>
      </c>
      <c r="H2547" s="194">
        <v>7468.2000000000098</v>
      </c>
      <c r="I2547" s="194">
        <v>16110.8</v>
      </c>
      <c r="J2547" s="194">
        <v>0</v>
      </c>
      <c r="K2547" s="193">
        <f t="shared" si="550"/>
        <v>23579.000000000007</v>
      </c>
      <c r="L2547" s="194">
        <v>7380.71000000001</v>
      </c>
      <c r="M2547" s="194">
        <v>18219.29</v>
      </c>
      <c r="N2547" s="194">
        <v>0</v>
      </c>
      <c r="O2547" s="193">
        <f t="shared" si="551"/>
        <v>25600.000000000011</v>
      </c>
      <c r="P2547" s="194">
        <v>148</v>
      </c>
      <c r="Q2547" s="194">
        <v>3342</v>
      </c>
      <c r="R2547" s="194">
        <v>0</v>
      </c>
      <c r="S2547" s="193">
        <f t="shared" si="552"/>
        <v>3490</v>
      </c>
      <c r="T2547" s="193">
        <f t="shared" si="553"/>
        <v>1755.6333333333339</v>
      </c>
      <c r="U2547" s="193">
        <f ca="1">OFFSET('Expenditure Study'!$B$7,'Operations Support'!$C2547,'Operations Support'!$B2547)*$G2547</f>
        <v>138519.47000000003</v>
      </c>
      <c r="V2547" s="199">
        <f ca="1">U2547*'Expenditure Study'!$B$31</f>
        <v>8184170.8903301777</v>
      </c>
      <c r="W2547" s="199">
        <f ca="1">IF(A2547=10298,1.51,1)*IF($B2547&lt;3,$D2547*'Expenditure Study'!$B$32*OFFSET('Expenditure Study'!$B$7,'Operations Support'!$C2547,'Operations Support'!$B2547),0)</f>
        <v>3944.1873300000052</v>
      </c>
      <c r="X2547" s="200">
        <f ca="1">W2547*'Expenditure Study'!$B$31</f>
        <v>233035.13312745959</v>
      </c>
      <c r="Y2547" s="199">
        <f ca="1">U2547*'Expenditure Study'!$B$31</f>
        <v>8184170.8903301777</v>
      </c>
      <c r="Z2547" s="200">
        <f ca="1">W2547*'Expenditure Study'!$B$31</f>
        <v>233035.13312745959</v>
      </c>
      <c r="AA2547" s="195">
        <f t="shared" ca="1" si="554"/>
        <v>8417206.0234576371</v>
      </c>
      <c r="AB2547" s="195">
        <f t="shared" ca="1" si="555"/>
        <v>8417206.0234576371</v>
      </c>
      <c r="AD2547" s="196">
        <f>IFERROR($G2547/SUMIF($A:$A,$A2547,$G:$G)*SUMIF(Summary!$A$166:$A$242,$A2547,Summary!$P$166:$P$242),0)</f>
        <v>2673310.7792537934</v>
      </c>
      <c r="AE2547" s="197">
        <f t="shared" ca="1" si="556"/>
        <v>5743895.2442038432</v>
      </c>
      <c r="AF2547" s="196">
        <f>IFERROR(G2547/SUMIF(A:A,A2547,G:G)*SUMIF(Summary!$A$166:$A$242,'Operations Support'!A2547,Summary!$Q$166:$Q$242),0)</f>
        <v>2691901.8489149641</v>
      </c>
      <c r="AG2547" s="196">
        <f t="shared" ca="1" si="557"/>
        <v>5725304.1745426729</v>
      </c>
      <c r="AI2547" s="196">
        <f>IFERROR($G2547/SUMIF($A:$A,$A2547,$G:$G)*SUMIF(Summary!$A$247:$A$283,$A2547,Summary!$P$247:$P$283),0)</f>
        <v>487545.17440902931</v>
      </c>
      <c r="AJ2547" s="196">
        <f>IFERROR($G2547/SUMIF($A:$A,$A2547,$G:$G)*(SUMIF(Summary!$A$247:$A$283,$A2547,Summary!$L$247:$L$283)+SUMIF(Summary!$A$297:$A$333,$A2547,Summary!$L$297:$L$333))-AI2547,0)</f>
        <v>907260.68803922017</v>
      </c>
      <c r="AK2547" s="196">
        <f>IFERROR($G2547/SUMIF($A:$A,$A2547,$G:$G)*SUMIF(Summary!$A$247:$A$283,$A2547,Summary!$Q$247:$Q$283),0)</f>
        <v>490935.72158025508</v>
      </c>
      <c r="AL2547" s="196">
        <f>IFERROR($G2547/SUMIF($A:$A,$A2547,$G:$G)*(SUMIF(Summary!$A$247:$A$283,$A2547,Summary!$L$247:$L$283)+SUMIF(Summary!$A$297:$A$333,$A2547,Summary!$L$297:$L$333))-AK2547,0)</f>
        <v>903870.1408679944</v>
      </c>
      <c r="AM2547" s="198"/>
      <c r="AN2547" s="196">
        <f t="shared" ca="1" si="558"/>
        <v>6651155.9322430631</v>
      </c>
      <c r="AO2547" s="196">
        <f t="shared" ca="1" si="559"/>
        <v>6629174.3154106671</v>
      </c>
    </row>
    <row r="2548" spans="1:41">
      <c r="A2548" s="189">
        <v>9741</v>
      </c>
      <c r="B2548" s="190">
        <v>2</v>
      </c>
      <c r="C2548" s="191" t="s">
        <v>222</v>
      </c>
      <c r="D2548" s="192">
        <f t="shared" si="546"/>
        <v>2494</v>
      </c>
      <c r="E2548" s="192">
        <f t="shared" si="547"/>
        <v>13971</v>
      </c>
      <c r="F2548" s="192">
        <f t="shared" si="548"/>
        <v>0</v>
      </c>
      <c r="G2548" s="193">
        <f t="shared" si="549"/>
        <v>16465</v>
      </c>
      <c r="H2548" s="194">
        <v>1204</v>
      </c>
      <c r="I2548" s="194">
        <v>6823</v>
      </c>
      <c r="J2548" s="194">
        <v>0</v>
      </c>
      <c r="K2548" s="193">
        <f t="shared" si="550"/>
        <v>8027</v>
      </c>
      <c r="L2548" s="194">
        <v>1207</v>
      </c>
      <c r="M2548" s="194">
        <v>6167</v>
      </c>
      <c r="N2548" s="194">
        <v>0</v>
      </c>
      <c r="O2548" s="193">
        <f t="shared" si="551"/>
        <v>7374</v>
      </c>
      <c r="P2548" s="194">
        <v>83</v>
      </c>
      <c r="Q2548" s="194">
        <v>981</v>
      </c>
      <c r="R2548" s="194">
        <v>0</v>
      </c>
      <c r="S2548" s="193">
        <f t="shared" si="552"/>
        <v>1064</v>
      </c>
      <c r="T2548" s="193">
        <f t="shared" si="553"/>
        <v>548.83333333333337</v>
      </c>
      <c r="U2548" s="193">
        <f ca="1">OFFSET('Expenditure Study'!$B$7,'Operations Support'!$C2548,'Operations Support'!$B2548)*$G2548</f>
        <v>43796.9</v>
      </c>
      <c r="V2548" s="199">
        <f ca="1">U2548*'Expenditure Study'!$B$31</f>
        <v>2587660.1611795202</v>
      </c>
      <c r="W2548" s="199">
        <f ca="1">IF(A2548=10298,1.51,1)*IF($B2548&lt;3,$D2548*'Expenditure Study'!$B$32*OFFSET('Expenditure Study'!$B$7,'Operations Support'!$C2548,'Operations Support'!$B2548),0)</f>
        <v>663.404</v>
      </c>
      <c r="X2548" s="200">
        <f ca="1">W2548*'Expenditure Study'!$B$31</f>
        <v>39196.018475443198</v>
      </c>
      <c r="Y2548" s="199">
        <f ca="1">U2548*'Expenditure Study'!$B$31</f>
        <v>2587660.1611795202</v>
      </c>
      <c r="Z2548" s="200">
        <f ca="1">W2548*'Expenditure Study'!$B$31</f>
        <v>39196.018475443198</v>
      </c>
      <c r="AA2548" s="195">
        <f t="shared" ca="1" si="554"/>
        <v>2626856.1796549633</v>
      </c>
      <c r="AB2548" s="195">
        <f t="shared" ca="1" si="555"/>
        <v>2626856.1796549633</v>
      </c>
      <c r="AD2548" s="196">
        <f>IFERROR($G2548/SUMIF($A:$A,$A2548,$G:$G)*SUMIF(Summary!$A$166:$A$242,$A2548,Summary!$P$166:$P$242),0)</f>
        <v>835710.98711602075</v>
      </c>
      <c r="AE2548" s="197">
        <f t="shared" ca="1" si="556"/>
        <v>1791145.1925389427</v>
      </c>
      <c r="AF2548" s="196">
        <f>IFERROR(G2548/SUMIF(A:A,A2548,G:G)*SUMIF(Summary!$A$166:$A$242,'Operations Support'!A2548,Summary!$Q$166:$Q$242),0)</f>
        <v>841522.79220005847</v>
      </c>
      <c r="AG2548" s="196">
        <f t="shared" ca="1" si="557"/>
        <v>1785333.3874549048</v>
      </c>
      <c r="AI2548" s="196">
        <f>IFERROR($G2548/SUMIF($A:$A,$A2548,$G:$G)*SUMIF(Summary!$A$247:$A$283,$A2548,Summary!$P$247:$P$283),0)</f>
        <v>152412.82911474808</v>
      </c>
      <c r="AJ2548" s="196">
        <f>IFERROR($G2548/SUMIF($A:$A,$A2548,$G:$G)*(SUMIF(Summary!$A$247:$A$283,$A2548,Summary!$L$247:$L$283)+SUMIF(Summary!$A$297:$A$333,$A2548,Summary!$L$297:$L$333))-AI2548,0)</f>
        <v>283621.24263923289</v>
      </c>
      <c r="AK2548" s="196">
        <f>IFERROR($G2548/SUMIF($A:$A,$A2548,$G:$G)*SUMIF(Summary!$A$247:$A$283,$A2548,Summary!$Q$247:$Q$283),0)</f>
        <v>153472.75733009737</v>
      </c>
      <c r="AL2548" s="196">
        <f>IFERROR($G2548/SUMIF($A:$A,$A2548,$G:$G)*(SUMIF(Summary!$A$247:$A$283,$A2548,Summary!$L$247:$L$283)+SUMIF(Summary!$A$297:$A$333,$A2548,Summary!$L$297:$L$333))-AK2548,0)</f>
        <v>282561.31442388357</v>
      </c>
      <c r="AM2548" s="198"/>
      <c r="AN2548" s="196">
        <f t="shared" ca="1" si="558"/>
        <v>2074766.4351781756</v>
      </c>
      <c r="AO2548" s="196">
        <f t="shared" ca="1" si="559"/>
        <v>2067894.7018787884</v>
      </c>
    </row>
    <row r="2549" spans="1:41">
      <c r="A2549" s="189">
        <v>9741</v>
      </c>
      <c r="B2549" s="190">
        <v>2</v>
      </c>
      <c r="C2549" s="191" t="s">
        <v>223</v>
      </c>
      <c r="D2549" s="192">
        <f t="shared" si="546"/>
        <v>0</v>
      </c>
      <c r="E2549" s="192">
        <f t="shared" si="547"/>
        <v>1893</v>
      </c>
      <c r="F2549" s="192">
        <f t="shared" si="548"/>
        <v>0</v>
      </c>
      <c r="G2549" s="193">
        <f t="shared" si="549"/>
        <v>1893</v>
      </c>
      <c r="H2549" s="194">
        <v>0</v>
      </c>
      <c r="I2549" s="194">
        <v>915</v>
      </c>
      <c r="J2549" s="194">
        <v>0</v>
      </c>
      <c r="K2549" s="193">
        <f t="shared" si="550"/>
        <v>915</v>
      </c>
      <c r="L2549" s="194">
        <v>0</v>
      </c>
      <c r="M2549" s="194">
        <v>900</v>
      </c>
      <c r="N2549" s="194">
        <v>0</v>
      </c>
      <c r="O2549" s="193">
        <f t="shared" si="551"/>
        <v>900</v>
      </c>
      <c r="P2549" s="194">
        <v>0</v>
      </c>
      <c r="Q2549" s="194">
        <v>78</v>
      </c>
      <c r="R2549" s="194">
        <v>0</v>
      </c>
      <c r="S2549" s="193">
        <f t="shared" si="552"/>
        <v>78</v>
      </c>
      <c r="T2549" s="193">
        <f t="shared" si="553"/>
        <v>63.1</v>
      </c>
      <c r="U2549" s="193">
        <f ca="1">OFFSET('Expenditure Study'!$B$7,'Operations Support'!$C2549,'Operations Support'!$B2549)*$G2549</f>
        <v>3596.7</v>
      </c>
      <c r="V2549" s="199">
        <f ca="1">U2549*'Expenditure Study'!$B$31</f>
        <v>212504.47638335999</v>
      </c>
      <c r="W2549" s="199">
        <f ca="1">IF(A2549=10298,1.51,1)*IF($B2549&lt;3,$D2549*'Expenditure Study'!$B$32*OFFSET('Expenditure Study'!$B$7,'Operations Support'!$C2549,'Operations Support'!$B2549),0)</f>
        <v>0</v>
      </c>
      <c r="X2549" s="200">
        <f ca="1">W2549*'Expenditure Study'!$B$31</f>
        <v>0</v>
      </c>
      <c r="Y2549" s="199">
        <f ca="1">U2549*'Expenditure Study'!$B$31</f>
        <v>212504.47638335999</v>
      </c>
      <c r="Z2549" s="200">
        <f ca="1">W2549*'Expenditure Study'!$B$31</f>
        <v>0</v>
      </c>
      <c r="AA2549" s="195">
        <f t="shared" ca="1" si="554"/>
        <v>212504.47638335999</v>
      </c>
      <c r="AB2549" s="195">
        <f t="shared" ca="1" si="555"/>
        <v>212504.47638335999</v>
      </c>
      <c r="AD2549" s="196">
        <f>IFERROR($G2549/SUMIF($A:$A,$A2549,$G:$G)*SUMIF(Summary!$A$166:$A$242,$A2549,Summary!$P$166:$P$242),0)</f>
        <v>96082.654030405538</v>
      </c>
      <c r="AE2549" s="197">
        <f t="shared" ca="1" si="556"/>
        <v>116421.82235295445</v>
      </c>
      <c r="AF2549" s="196">
        <f>IFERROR(G2549/SUMIF(A:A,A2549,G:G)*SUMIF(Summary!$A$166:$A$242,'Operations Support'!A2549,Summary!$Q$166:$Q$242),0)</f>
        <v>96750.843949876129</v>
      </c>
      <c r="AG2549" s="196">
        <f t="shared" ca="1" si="557"/>
        <v>115753.63243348386</v>
      </c>
      <c r="AI2549" s="196">
        <f>IFERROR($G2549/SUMIF($A:$A,$A2549,$G:$G)*SUMIF(Summary!$A$247:$A$283,$A2549,Summary!$P$247:$P$283),0)</f>
        <v>17523.07837924191</v>
      </c>
      <c r="AJ2549" s="196">
        <f>IFERROR($G2549/SUMIF($A:$A,$A2549,$G:$G)*(SUMIF(Summary!$A$247:$A$283,$A2549,Summary!$L$247:$L$283)+SUMIF(Summary!$A$297:$A$333,$A2549,Summary!$L$297:$L$333))-AI2549,0)</f>
        <v>32608.260693353652</v>
      </c>
      <c r="AK2549" s="196">
        <f>IFERROR($G2549/SUMIF($A:$A,$A2549,$G:$G)*SUMIF(Summary!$A$247:$A$283,$A2549,Summary!$Q$247:$Q$283),0)</f>
        <v>17644.939546059781</v>
      </c>
      <c r="AL2549" s="196">
        <f>IFERROR($G2549/SUMIF($A:$A,$A2549,$G:$G)*(SUMIF(Summary!$A$247:$A$283,$A2549,Summary!$L$247:$L$283)+SUMIF(Summary!$A$297:$A$333,$A2549,Summary!$L$297:$L$333))-AK2549,0)</f>
        <v>32486.399526535781</v>
      </c>
      <c r="AM2549" s="198"/>
      <c r="AN2549" s="196">
        <f t="shared" ca="1" si="558"/>
        <v>149030.08304630811</v>
      </c>
      <c r="AO2549" s="196">
        <f t="shared" ca="1" si="559"/>
        <v>148240.03196001964</v>
      </c>
    </row>
    <row r="2550" spans="1:41">
      <c r="A2550" s="189">
        <v>9741</v>
      </c>
      <c r="B2550" s="190">
        <v>2</v>
      </c>
      <c r="C2550" s="191" t="s">
        <v>224</v>
      </c>
      <c r="D2550" s="192">
        <f t="shared" si="546"/>
        <v>0</v>
      </c>
      <c r="E2550" s="192">
        <f t="shared" si="547"/>
        <v>0</v>
      </c>
      <c r="F2550" s="192">
        <f t="shared" si="548"/>
        <v>0</v>
      </c>
      <c r="G2550" s="193">
        <f t="shared" si="549"/>
        <v>0</v>
      </c>
      <c r="H2550" s="194">
        <v>0</v>
      </c>
      <c r="I2550" s="194">
        <v>0</v>
      </c>
      <c r="J2550" s="194">
        <v>0</v>
      </c>
      <c r="K2550" s="193">
        <f t="shared" si="550"/>
        <v>0</v>
      </c>
      <c r="L2550" s="194">
        <v>0</v>
      </c>
      <c r="M2550" s="194">
        <v>0</v>
      </c>
      <c r="N2550" s="194">
        <v>0</v>
      </c>
      <c r="O2550" s="193">
        <f t="shared" si="551"/>
        <v>0</v>
      </c>
      <c r="P2550" s="194">
        <v>0</v>
      </c>
      <c r="Q2550" s="194">
        <v>0</v>
      </c>
      <c r="R2550" s="194">
        <v>0</v>
      </c>
      <c r="S2550" s="193">
        <f t="shared" si="552"/>
        <v>0</v>
      </c>
      <c r="T2550" s="193">
        <f t="shared" si="553"/>
        <v>0</v>
      </c>
      <c r="U2550" s="193">
        <f ca="1">OFFSET('Expenditure Study'!$B$7,'Operations Support'!$C2550,'Operations Support'!$B2550)*$G2550</f>
        <v>0</v>
      </c>
      <c r="V2550" s="199">
        <f ca="1">U2550*'Expenditure Study'!$B$31</f>
        <v>0</v>
      </c>
      <c r="W2550" s="199">
        <f ca="1">IF(A2550=10298,1.51,1)*IF($B2550&lt;3,$D2550*'Expenditure Study'!$B$32*OFFSET('Expenditure Study'!$B$7,'Operations Support'!$C2550,'Operations Support'!$B2550),0)</f>
        <v>0</v>
      </c>
      <c r="X2550" s="200">
        <f ca="1">W2550*'Expenditure Study'!$B$31</f>
        <v>0</v>
      </c>
      <c r="Y2550" s="199">
        <f ca="1">U2550*'Expenditure Study'!$B$31</f>
        <v>0</v>
      </c>
      <c r="Z2550" s="200">
        <f ca="1">W2550*'Expenditure Study'!$B$31</f>
        <v>0</v>
      </c>
      <c r="AA2550" s="195">
        <f t="shared" ca="1" si="554"/>
        <v>0</v>
      </c>
      <c r="AB2550" s="195">
        <f t="shared" ca="1" si="555"/>
        <v>0</v>
      </c>
      <c r="AD2550" s="196">
        <f>IFERROR($G2550/SUMIF($A:$A,$A2550,$G:$G)*SUMIF(Summary!$A$166:$A$242,$A2550,Summary!$P$166:$P$242),0)</f>
        <v>0</v>
      </c>
      <c r="AE2550" s="197">
        <f t="shared" ca="1" si="556"/>
        <v>0</v>
      </c>
      <c r="AF2550" s="196">
        <f>IFERROR(G2550/SUMIF(A:A,A2550,G:G)*SUMIF(Summary!$A$166:$A$242,'Operations Support'!A2550,Summary!$Q$166:$Q$242),0)</f>
        <v>0</v>
      </c>
      <c r="AG2550" s="196">
        <f t="shared" ca="1" si="557"/>
        <v>0</v>
      </c>
      <c r="AI2550" s="196">
        <f>IFERROR($G2550/SUMIF($A:$A,$A2550,$G:$G)*SUMIF(Summary!$A$247:$A$283,$A2550,Summary!$P$247:$P$283),0)</f>
        <v>0</v>
      </c>
      <c r="AJ2550" s="196">
        <f>IFERROR($G2550/SUMIF($A:$A,$A2550,$G:$G)*(SUMIF(Summary!$A$247:$A$283,$A2550,Summary!$L$247:$L$283)+SUMIF(Summary!$A$297:$A$333,$A2550,Summary!$L$297:$L$333))-AI2550,0)</f>
        <v>0</v>
      </c>
      <c r="AK2550" s="196">
        <f>IFERROR($G2550/SUMIF($A:$A,$A2550,$G:$G)*SUMIF(Summary!$A$247:$A$283,$A2550,Summary!$Q$247:$Q$283),0)</f>
        <v>0</v>
      </c>
      <c r="AL2550" s="196">
        <f>IFERROR($G2550/SUMIF($A:$A,$A2550,$G:$G)*(SUMIF(Summary!$A$247:$A$283,$A2550,Summary!$L$247:$L$283)+SUMIF(Summary!$A$297:$A$333,$A2550,Summary!$L$297:$L$333))-AK2550,0)</f>
        <v>0</v>
      </c>
      <c r="AM2550" s="198"/>
      <c r="AN2550" s="196">
        <f t="shared" ca="1" si="558"/>
        <v>0</v>
      </c>
      <c r="AO2550" s="196">
        <f t="shared" ca="1" si="559"/>
        <v>0</v>
      </c>
    </row>
    <row r="2551" spans="1:41">
      <c r="A2551" s="189">
        <v>9741</v>
      </c>
      <c r="B2551" s="190">
        <v>2</v>
      </c>
      <c r="C2551" s="191" t="s">
        <v>225</v>
      </c>
      <c r="D2551" s="192">
        <f t="shared" si="546"/>
        <v>17429.700000000012</v>
      </c>
      <c r="E2551" s="192">
        <f t="shared" si="547"/>
        <v>73167.3</v>
      </c>
      <c r="F2551" s="192">
        <f t="shared" si="548"/>
        <v>0</v>
      </c>
      <c r="G2551" s="193">
        <f t="shared" si="549"/>
        <v>90597.000000000015</v>
      </c>
      <c r="H2551" s="194">
        <v>7654</v>
      </c>
      <c r="I2551" s="194">
        <v>36159</v>
      </c>
      <c r="J2551" s="194">
        <v>0</v>
      </c>
      <c r="K2551" s="193">
        <f t="shared" si="550"/>
        <v>43813</v>
      </c>
      <c r="L2551" s="194">
        <v>8773.7000000000098</v>
      </c>
      <c r="M2551" s="194">
        <v>32696.3</v>
      </c>
      <c r="N2551" s="194">
        <v>0</v>
      </c>
      <c r="O2551" s="193">
        <f t="shared" si="551"/>
        <v>41470.000000000007</v>
      </c>
      <c r="P2551" s="194">
        <v>1002</v>
      </c>
      <c r="Q2551" s="194">
        <v>4312</v>
      </c>
      <c r="R2551" s="194">
        <v>0</v>
      </c>
      <c r="S2551" s="193">
        <f t="shared" si="552"/>
        <v>5314</v>
      </c>
      <c r="T2551" s="193">
        <f t="shared" si="553"/>
        <v>3019.9000000000005</v>
      </c>
      <c r="U2551" s="193">
        <f ca="1">OFFSET('Expenditure Study'!$B$7,'Operations Support'!$C2551,'Operations Support'!$B2551)*$G2551</f>
        <v>253671.60000000003</v>
      </c>
      <c r="V2551" s="199">
        <f ca="1">U2551*'Expenditure Study'!$B$31</f>
        <v>14987725.006625282</v>
      </c>
      <c r="W2551" s="199">
        <f ca="1">IF(A2551=10298,1.51,1)*IF($B2551&lt;3,$D2551*'Expenditure Study'!$B$32*OFFSET('Expenditure Study'!$B$7,'Operations Support'!$C2551,'Operations Support'!$B2551),0)</f>
        <v>4880.3160000000025</v>
      </c>
      <c r="X2551" s="200">
        <f ca="1">W2551*'Expenditure Study'!$B$31</f>
        <v>288344.59258913295</v>
      </c>
      <c r="Y2551" s="199">
        <f ca="1">U2551*'Expenditure Study'!$B$31</f>
        <v>14987725.006625282</v>
      </c>
      <c r="Z2551" s="200">
        <f ca="1">W2551*'Expenditure Study'!$B$31</f>
        <v>288344.59258913295</v>
      </c>
      <c r="AA2551" s="195">
        <f t="shared" ca="1" si="554"/>
        <v>15276069.599214414</v>
      </c>
      <c r="AB2551" s="195">
        <f t="shared" ca="1" si="555"/>
        <v>15276069.599214414</v>
      </c>
      <c r="AD2551" s="196">
        <f>IFERROR($G2551/SUMIF($A:$A,$A2551,$G:$G)*SUMIF(Summary!$A$166:$A$242,$A2551,Summary!$P$166:$P$242),0)</f>
        <v>4598415.3233981263</v>
      </c>
      <c r="AE2551" s="197">
        <f t="shared" ca="1" si="556"/>
        <v>10677654.275816288</v>
      </c>
      <c r="AF2551" s="196">
        <f>IFERROR(G2551/SUMIF(A:A,A2551,G:G)*SUMIF(Summary!$A$166:$A$242,'Operations Support'!A2551,Summary!$Q$166:$Q$242),0)</f>
        <v>4630394.1940448657</v>
      </c>
      <c r="AG2551" s="196">
        <f t="shared" ca="1" si="557"/>
        <v>10645675.405169548</v>
      </c>
      <c r="AI2551" s="196">
        <f>IFERROR($G2551/SUMIF($A:$A,$A2551,$G:$G)*SUMIF(Summary!$A$247:$A$283,$A2551,Summary!$P$247:$P$283),0)</f>
        <v>838636.202812562</v>
      </c>
      <c r="AJ2551" s="196">
        <f>IFERROR($G2551/SUMIF($A:$A,$A2551,$G:$G)*(SUMIF(Summary!$A$247:$A$283,$A2551,Summary!$L$247:$L$283)+SUMIF(Summary!$A$297:$A$333,$A2551,Summary!$L$297:$L$333))-AI2551,0)</f>
        <v>1560597.2498868259</v>
      </c>
      <c r="AK2551" s="196">
        <f>IFERROR($G2551/SUMIF($A:$A,$A2551,$G:$G)*SUMIF(Summary!$A$247:$A$283,$A2551,Summary!$Q$247:$Q$283),0)</f>
        <v>844468.35079470591</v>
      </c>
      <c r="AL2551" s="196">
        <f>IFERROR($G2551/SUMIF($A:$A,$A2551,$G:$G)*(SUMIF(Summary!$A$247:$A$283,$A2551,Summary!$L$247:$L$283)+SUMIF(Summary!$A$297:$A$333,$A2551,Summary!$L$297:$L$333))-AK2551,0)</f>
        <v>1554765.1019046819</v>
      </c>
      <c r="AM2551" s="198"/>
      <c r="AN2551" s="196">
        <f t="shared" ca="1" si="558"/>
        <v>12238251.525703114</v>
      </c>
      <c r="AO2551" s="196">
        <f t="shared" ca="1" si="559"/>
        <v>12200440.507074229</v>
      </c>
    </row>
    <row r="2552" spans="1:41">
      <c r="A2552" s="189">
        <v>9741</v>
      </c>
      <c r="B2552" s="190">
        <v>2</v>
      </c>
      <c r="C2552" s="191" t="s">
        <v>226</v>
      </c>
      <c r="D2552" s="192">
        <f t="shared" si="546"/>
        <v>0</v>
      </c>
      <c r="E2552" s="192">
        <f t="shared" si="547"/>
        <v>0</v>
      </c>
      <c r="F2552" s="192">
        <f t="shared" si="548"/>
        <v>0</v>
      </c>
      <c r="G2552" s="193">
        <f t="shared" si="549"/>
        <v>0</v>
      </c>
      <c r="H2552" s="194">
        <v>0</v>
      </c>
      <c r="I2552" s="194">
        <v>0</v>
      </c>
      <c r="J2552" s="194">
        <v>0</v>
      </c>
      <c r="K2552" s="193">
        <f t="shared" si="550"/>
        <v>0</v>
      </c>
      <c r="L2552" s="194">
        <v>0</v>
      </c>
      <c r="M2552" s="194">
        <v>0</v>
      </c>
      <c r="N2552" s="194">
        <v>0</v>
      </c>
      <c r="O2552" s="193">
        <f t="shared" si="551"/>
        <v>0</v>
      </c>
      <c r="P2552" s="194">
        <v>0</v>
      </c>
      <c r="Q2552" s="194">
        <v>0</v>
      </c>
      <c r="R2552" s="194">
        <v>0</v>
      </c>
      <c r="S2552" s="193">
        <f t="shared" si="552"/>
        <v>0</v>
      </c>
      <c r="T2552" s="193">
        <f t="shared" si="553"/>
        <v>0</v>
      </c>
      <c r="U2552" s="193">
        <f ca="1">OFFSET('Expenditure Study'!$B$7,'Operations Support'!$C2552,'Operations Support'!$B2552)*$G2552</f>
        <v>0</v>
      </c>
      <c r="V2552" s="199">
        <f ca="1">U2552*'Expenditure Study'!$B$31</f>
        <v>0</v>
      </c>
      <c r="W2552" s="199">
        <f ca="1">IF(A2552=10298,1.51,1)*IF($B2552&lt;3,$D2552*'Expenditure Study'!$B$32*OFFSET('Expenditure Study'!$B$7,'Operations Support'!$C2552,'Operations Support'!$B2552),0)</f>
        <v>0</v>
      </c>
      <c r="X2552" s="200">
        <f ca="1">W2552*'Expenditure Study'!$B$31</f>
        <v>0</v>
      </c>
      <c r="Y2552" s="199">
        <f ca="1">U2552*'Expenditure Study'!$B$31</f>
        <v>0</v>
      </c>
      <c r="Z2552" s="200">
        <f ca="1">W2552*'Expenditure Study'!$B$31</f>
        <v>0</v>
      </c>
      <c r="AA2552" s="195">
        <f t="shared" ca="1" si="554"/>
        <v>0</v>
      </c>
      <c r="AB2552" s="195">
        <f t="shared" ca="1" si="555"/>
        <v>0</v>
      </c>
      <c r="AD2552" s="196">
        <f>IFERROR($G2552/SUMIF($A:$A,$A2552,$G:$G)*SUMIF(Summary!$A$166:$A$242,$A2552,Summary!$P$166:$P$242),0)</f>
        <v>0</v>
      </c>
      <c r="AE2552" s="197">
        <f t="shared" ca="1" si="556"/>
        <v>0</v>
      </c>
      <c r="AF2552" s="196">
        <f>IFERROR(G2552/SUMIF(A:A,A2552,G:G)*SUMIF(Summary!$A$166:$A$242,'Operations Support'!A2552,Summary!$Q$166:$Q$242),0)</f>
        <v>0</v>
      </c>
      <c r="AG2552" s="196">
        <f t="shared" ca="1" si="557"/>
        <v>0</v>
      </c>
      <c r="AI2552" s="196">
        <f>IFERROR($G2552/SUMIF($A:$A,$A2552,$G:$G)*SUMIF(Summary!$A$247:$A$283,$A2552,Summary!$P$247:$P$283),0)</f>
        <v>0</v>
      </c>
      <c r="AJ2552" s="196">
        <f>IFERROR($G2552/SUMIF($A:$A,$A2552,$G:$G)*(SUMIF(Summary!$A$247:$A$283,$A2552,Summary!$L$247:$L$283)+SUMIF(Summary!$A$297:$A$333,$A2552,Summary!$L$297:$L$333))-AI2552,0)</f>
        <v>0</v>
      </c>
      <c r="AK2552" s="196">
        <f>IFERROR($G2552/SUMIF($A:$A,$A2552,$G:$G)*SUMIF(Summary!$A$247:$A$283,$A2552,Summary!$Q$247:$Q$283),0)</f>
        <v>0</v>
      </c>
      <c r="AL2552" s="196">
        <f>IFERROR($G2552/SUMIF($A:$A,$A2552,$G:$G)*(SUMIF(Summary!$A$247:$A$283,$A2552,Summary!$L$247:$L$283)+SUMIF(Summary!$A$297:$A$333,$A2552,Summary!$L$297:$L$333))-AK2552,0)</f>
        <v>0</v>
      </c>
      <c r="AM2552" s="198"/>
      <c r="AN2552" s="196">
        <f t="shared" ca="1" si="558"/>
        <v>0</v>
      </c>
      <c r="AO2552" s="196">
        <f t="shared" ca="1" si="559"/>
        <v>0</v>
      </c>
    </row>
    <row r="2553" spans="1:41">
      <c r="A2553" s="189">
        <v>9741</v>
      </c>
      <c r="B2553" s="190">
        <v>2</v>
      </c>
      <c r="C2553" s="191" t="s">
        <v>227</v>
      </c>
      <c r="D2553" s="192">
        <f t="shared" si="546"/>
        <v>0</v>
      </c>
      <c r="E2553" s="192">
        <f t="shared" si="547"/>
        <v>0</v>
      </c>
      <c r="F2553" s="192">
        <f t="shared" si="548"/>
        <v>0</v>
      </c>
      <c r="G2553" s="193">
        <f t="shared" si="549"/>
        <v>0</v>
      </c>
      <c r="H2553" s="194">
        <v>0</v>
      </c>
      <c r="I2553" s="194">
        <v>0</v>
      </c>
      <c r="J2553" s="194">
        <v>0</v>
      </c>
      <c r="K2553" s="193">
        <f t="shared" si="550"/>
        <v>0</v>
      </c>
      <c r="L2553" s="194">
        <v>0</v>
      </c>
      <c r="M2553" s="194">
        <v>0</v>
      </c>
      <c r="N2553" s="194">
        <v>0</v>
      </c>
      <c r="O2553" s="193">
        <f t="shared" si="551"/>
        <v>0</v>
      </c>
      <c r="P2553" s="194">
        <v>0</v>
      </c>
      <c r="Q2553" s="194">
        <v>0</v>
      </c>
      <c r="R2553" s="194">
        <v>0</v>
      </c>
      <c r="S2553" s="193">
        <f t="shared" si="552"/>
        <v>0</v>
      </c>
      <c r="T2553" s="193">
        <f t="shared" si="553"/>
        <v>0</v>
      </c>
      <c r="U2553" s="193">
        <f ca="1">OFFSET('Expenditure Study'!$B$7,'Operations Support'!$C2553,'Operations Support'!$B2553)*$G2553</f>
        <v>0</v>
      </c>
      <c r="V2553" s="199">
        <f ca="1">U2553*'Expenditure Study'!$B$31</f>
        <v>0</v>
      </c>
      <c r="W2553" s="199">
        <f ca="1">IF(A2553=10298,1.51,1)*IF($B2553&lt;3,$D2553*'Expenditure Study'!$B$32*OFFSET('Expenditure Study'!$B$7,'Operations Support'!$C2553,'Operations Support'!$B2553),0)</f>
        <v>0</v>
      </c>
      <c r="X2553" s="200">
        <f ca="1">W2553*'Expenditure Study'!$B$31</f>
        <v>0</v>
      </c>
      <c r="Y2553" s="199">
        <f ca="1">U2553*'Expenditure Study'!$B$31</f>
        <v>0</v>
      </c>
      <c r="Z2553" s="200">
        <f ca="1">W2553*'Expenditure Study'!$B$31</f>
        <v>0</v>
      </c>
      <c r="AA2553" s="195">
        <f t="shared" ca="1" si="554"/>
        <v>0</v>
      </c>
      <c r="AB2553" s="195">
        <f t="shared" ca="1" si="555"/>
        <v>0</v>
      </c>
      <c r="AD2553" s="196">
        <f>IFERROR($G2553/SUMIF($A:$A,$A2553,$G:$G)*SUMIF(Summary!$A$166:$A$242,$A2553,Summary!$P$166:$P$242),0)</f>
        <v>0</v>
      </c>
      <c r="AE2553" s="197">
        <f t="shared" ca="1" si="556"/>
        <v>0</v>
      </c>
      <c r="AF2553" s="196">
        <f>IFERROR(G2553/SUMIF(A:A,A2553,G:G)*SUMIF(Summary!$A$166:$A$242,'Operations Support'!A2553,Summary!$Q$166:$Q$242),0)</f>
        <v>0</v>
      </c>
      <c r="AG2553" s="196">
        <f t="shared" ca="1" si="557"/>
        <v>0</v>
      </c>
      <c r="AI2553" s="196">
        <f>IFERROR($G2553/SUMIF($A:$A,$A2553,$G:$G)*SUMIF(Summary!$A$247:$A$283,$A2553,Summary!$P$247:$P$283),0)</f>
        <v>0</v>
      </c>
      <c r="AJ2553" s="196">
        <f>IFERROR($G2553/SUMIF($A:$A,$A2553,$G:$G)*(SUMIF(Summary!$A$247:$A$283,$A2553,Summary!$L$247:$L$283)+SUMIF(Summary!$A$297:$A$333,$A2553,Summary!$L$297:$L$333))-AI2553,0)</f>
        <v>0</v>
      </c>
      <c r="AK2553" s="196">
        <f>IFERROR($G2553/SUMIF($A:$A,$A2553,$G:$G)*SUMIF(Summary!$A$247:$A$283,$A2553,Summary!$Q$247:$Q$283),0)</f>
        <v>0</v>
      </c>
      <c r="AL2553" s="196">
        <f>IFERROR($G2553/SUMIF($A:$A,$A2553,$G:$G)*(SUMIF(Summary!$A$247:$A$283,$A2553,Summary!$L$247:$L$283)+SUMIF(Summary!$A$297:$A$333,$A2553,Summary!$L$297:$L$333))-AK2553,0)</f>
        <v>0</v>
      </c>
      <c r="AM2553" s="198"/>
      <c r="AN2553" s="196">
        <f t="shared" ca="1" si="558"/>
        <v>0</v>
      </c>
      <c r="AO2553" s="196">
        <f t="shared" ca="1" si="559"/>
        <v>0</v>
      </c>
    </row>
    <row r="2554" spans="1:41">
      <c r="A2554" s="189">
        <v>9741</v>
      </c>
      <c r="B2554" s="190">
        <v>2</v>
      </c>
      <c r="C2554" s="191" t="s">
        <v>228</v>
      </c>
      <c r="D2554" s="192">
        <f t="shared" si="546"/>
        <v>0</v>
      </c>
      <c r="E2554" s="192">
        <f t="shared" si="547"/>
        <v>0</v>
      </c>
      <c r="F2554" s="192">
        <f t="shared" si="548"/>
        <v>0</v>
      </c>
      <c r="G2554" s="193">
        <f t="shared" si="549"/>
        <v>0</v>
      </c>
      <c r="H2554" s="194">
        <v>0</v>
      </c>
      <c r="I2554" s="194">
        <v>0</v>
      </c>
      <c r="J2554" s="194">
        <v>0</v>
      </c>
      <c r="K2554" s="193">
        <f t="shared" si="550"/>
        <v>0</v>
      </c>
      <c r="L2554" s="194">
        <v>0</v>
      </c>
      <c r="M2554" s="194">
        <v>0</v>
      </c>
      <c r="N2554" s="194">
        <v>0</v>
      </c>
      <c r="O2554" s="193">
        <f t="shared" si="551"/>
        <v>0</v>
      </c>
      <c r="P2554" s="194">
        <v>0</v>
      </c>
      <c r="Q2554" s="194">
        <v>0</v>
      </c>
      <c r="R2554" s="194">
        <v>0</v>
      </c>
      <c r="S2554" s="193">
        <f t="shared" si="552"/>
        <v>0</v>
      </c>
      <c r="T2554" s="193">
        <f t="shared" si="553"/>
        <v>0</v>
      </c>
      <c r="U2554" s="193">
        <f ca="1">OFFSET('Expenditure Study'!$B$7,'Operations Support'!$C2554,'Operations Support'!$B2554)*$G2554</f>
        <v>0</v>
      </c>
      <c r="V2554" s="199">
        <f ca="1">U2554*'Expenditure Study'!$B$31</f>
        <v>0</v>
      </c>
      <c r="W2554" s="199">
        <f ca="1">IF(A2554=10298,1.51,1)*IF($B2554&lt;3,$D2554*'Expenditure Study'!$B$32*OFFSET('Expenditure Study'!$B$7,'Operations Support'!$C2554,'Operations Support'!$B2554),0)</f>
        <v>0</v>
      </c>
      <c r="X2554" s="200">
        <f ca="1">W2554*'Expenditure Study'!$B$31</f>
        <v>0</v>
      </c>
      <c r="Y2554" s="199">
        <f ca="1">U2554*'Expenditure Study'!$B$31</f>
        <v>0</v>
      </c>
      <c r="Z2554" s="200">
        <f ca="1">W2554*'Expenditure Study'!$B$31</f>
        <v>0</v>
      </c>
      <c r="AA2554" s="195">
        <f t="shared" ca="1" si="554"/>
        <v>0</v>
      </c>
      <c r="AB2554" s="195">
        <f t="shared" ca="1" si="555"/>
        <v>0</v>
      </c>
      <c r="AD2554" s="196">
        <f>IFERROR($G2554/SUMIF($A:$A,$A2554,$G:$G)*SUMIF(Summary!$A$166:$A$242,$A2554,Summary!$P$166:$P$242),0)</f>
        <v>0</v>
      </c>
      <c r="AE2554" s="197">
        <f t="shared" ca="1" si="556"/>
        <v>0</v>
      </c>
      <c r="AF2554" s="196">
        <f>IFERROR(G2554/SUMIF(A:A,A2554,G:G)*SUMIF(Summary!$A$166:$A$242,'Operations Support'!A2554,Summary!$Q$166:$Q$242),0)</f>
        <v>0</v>
      </c>
      <c r="AG2554" s="196">
        <f t="shared" ca="1" si="557"/>
        <v>0</v>
      </c>
      <c r="AI2554" s="196">
        <f>IFERROR($G2554/SUMIF($A:$A,$A2554,$G:$G)*SUMIF(Summary!$A$247:$A$283,$A2554,Summary!$P$247:$P$283),0)</f>
        <v>0</v>
      </c>
      <c r="AJ2554" s="196">
        <f>IFERROR($G2554/SUMIF($A:$A,$A2554,$G:$G)*(SUMIF(Summary!$A$247:$A$283,$A2554,Summary!$L$247:$L$283)+SUMIF(Summary!$A$297:$A$333,$A2554,Summary!$L$297:$L$333))-AI2554,0)</f>
        <v>0</v>
      </c>
      <c r="AK2554" s="196">
        <f>IFERROR($G2554/SUMIF($A:$A,$A2554,$G:$G)*SUMIF(Summary!$A$247:$A$283,$A2554,Summary!$Q$247:$Q$283),0)</f>
        <v>0</v>
      </c>
      <c r="AL2554" s="196">
        <f>IFERROR($G2554/SUMIF($A:$A,$A2554,$G:$G)*(SUMIF(Summary!$A$247:$A$283,$A2554,Summary!$L$247:$L$283)+SUMIF(Summary!$A$297:$A$333,$A2554,Summary!$L$297:$L$333))-AK2554,0)</f>
        <v>0</v>
      </c>
      <c r="AM2554" s="198"/>
      <c r="AN2554" s="196">
        <f t="shared" ca="1" si="558"/>
        <v>0</v>
      </c>
      <c r="AO2554" s="196">
        <f t="shared" ca="1" si="559"/>
        <v>0</v>
      </c>
    </row>
    <row r="2555" spans="1:41">
      <c r="A2555" s="189">
        <v>9741</v>
      </c>
      <c r="B2555" s="190">
        <v>2</v>
      </c>
      <c r="C2555" s="191" t="s">
        <v>229</v>
      </c>
      <c r="D2555" s="192">
        <f t="shared" si="546"/>
        <v>0</v>
      </c>
      <c r="E2555" s="192">
        <f t="shared" si="547"/>
        <v>3</v>
      </c>
      <c r="F2555" s="192">
        <f t="shared" si="548"/>
        <v>0</v>
      </c>
      <c r="G2555" s="193">
        <f t="shared" si="549"/>
        <v>3</v>
      </c>
      <c r="H2555" s="194">
        <v>0</v>
      </c>
      <c r="I2555" s="194">
        <v>3</v>
      </c>
      <c r="J2555" s="194">
        <v>0</v>
      </c>
      <c r="K2555" s="193">
        <f t="shared" si="550"/>
        <v>3</v>
      </c>
      <c r="L2555" s="194">
        <v>0</v>
      </c>
      <c r="M2555" s="194">
        <v>0</v>
      </c>
      <c r="N2555" s="194">
        <v>0</v>
      </c>
      <c r="O2555" s="193">
        <f t="shared" si="551"/>
        <v>0</v>
      </c>
      <c r="P2555" s="194">
        <v>0</v>
      </c>
      <c r="Q2555" s="194">
        <v>0</v>
      </c>
      <c r="R2555" s="194">
        <v>0</v>
      </c>
      <c r="S2555" s="193">
        <f t="shared" si="552"/>
        <v>0</v>
      </c>
      <c r="T2555" s="193">
        <f t="shared" si="553"/>
        <v>0.1</v>
      </c>
      <c r="U2555" s="193">
        <f ca="1">OFFSET('Expenditure Study'!$B$7,'Operations Support'!$C2555,'Operations Support'!$B2555)*$G2555</f>
        <v>5.76</v>
      </c>
      <c r="V2555" s="199">
        <f ca="1">U2555*'Expenditure Study'!$B$31</f>
        <v>340.319121408</v>
      </c>
      <c r="W2555" s="199">
        <f ca="1">IF(A2555=10298,1.51,1)*IF($B2555&lt;3,$D2555*'Expenditure Study'!$B$32*OFFSET('Expenditure Study'!$B$7,'Operations Support'!$C2555,'Operations Support'!$B2555),0)</f>
        <v>0</v>
      </c>
      <c r="X2555" s="200">
        <f ca="1">W2555*'Expenditure Study'!$B$31</f>
        <v>0</v>
      </c>
      <c r="Y2555" s="199">
        <f ca="1">U2555*'Expenditure Study'!$B$31</f>
        <v>340.319121408</v>
      </c>
      <c r="Z2555" s="200">
        <f ca="1">W2555*'Expenditure Study'!$B$31</f>
        <v>0</v>
      </c>
      <c r="AA2555" s="195">
        <f t="shared" ca="1" si="554"/>
        <v>340.319121408</v>
      </c>
      <c r="AB2555" s="195">
        <f t="shared" ca="1" si="555"/>
        <v>340.319121408</v>
      </c>
      <c r="AD2555" s="196">
        <f>IFERROR($G2555/SUMIF($A:$A,$A2555,$G:$G)*SUMIF(Summary!$A$166:$A$242,$A2555,Summary!$P$166:$P$242),0)</f>
        <v>152.27045012742559</v>
      </c>
      <c r="AE2555" s="197">
        <f t="shared" ca="1" si="556"/>
        <v>188.04867128057441</v>
      </c>
      <c r="AF2555" s="196">
        <f>IFERROR(G2555/SUMIF(A:A,A2555,G:G)*SUMIF(Summary!$A$166:$A$242,'Operations Support'!A2555,Summary!$Q$166:$Q$242),0)</f>
        <v>153.32938819314762</v>
      </c>
      <c r="AG2555" s="196">
        <f t="shared" ca="1" si="557"/>
        <v>186.98973321485238</v>
      </c>
      <c r="AI2555" s="196">
        <f>IFERROR($G2555/SUMIF($A:$A,$A2555,$G:$G)*SUMIF(Summary!$A$247:$A$283,$A2555,Summary!$P$247:$P$283),0)</f>
        <v>27.770330236516504</v>
      </c>
      <c r="AJ2555" s="196">
        <f>IFERROR($G2555/SUMIF($A:$A,$A2555,$G:$G)*(SUMIF(Summary!$A$247:$A$283,$A2555,Summary!$L$247:$L$283)+SUMIF(Summary!$A$297:$A$333,$A2555,Summary!$L$297:$L$333))-AI2555,0)</f>
        <v>51.677116788199143</v>
      </c>
      <c r="AK2555" s="196">
        <f>IFERROR($G2555/SUMIF($A:$A,$A2555,$G:$G)*SUMIF(Summary!$A$247:$A$283,$A2555,Summary!$Q$247:$Q$283),0)</f>
        <v>27.96345411419934</v>
      </c>
      <c r="AL2555" s="196">
        <f>IFERROR($G2555/SUMIF($A:$A,$A2555,$G:$G)*(SUMIF(Summary!$A$247:$A$283,$A2555,Summary!$L$247:$L$283)+SUMIF(Summary!$A$297:$A$333,$A2555,Summary!$L$297:$L$333))-AK2555,0)</f>
        <v>51.483992910516307</v>
      </c>
      <c r="AM2555" s="198"/>
      <c r="AN2555" s="196">
        <f t="shared" ca="1" si="558"/>
        <v>239.72578806877357</v>
      </c>
      <c r="AO2555" s="196">
        <f t="shared" ca="1" si="559"/>
        <v>238.47372612536867</v>
      </c>
    </row>
    <row r="2556" spans="1:41" s="201" customFormat="1">
      <c r="A2556" s="189">
        <v>9741</v>
      </c>
      <c r="B2556" s="190">
        <v>2</v>
      </c>
      <c r="C2556" s="191" t="s">
        <v>230</v>
      </c>
      <c r="D2556" s="192">
        <f t="shared" si="546"/>
        <v>0</v>
      </c>
      <c r="E2556" s="192">
        <f t="shared" si="547"/>
        <v>0</v>
      </c>
      <c r="F2556" s="192">
        <f t="shared" si="548"/>
        <v>0</v>
      </c>
      <c r="G2556" s="193">
        <f t="shared" si="549"/>
        <v>0</v>
      </c>
      <c r="H2556" s="194">
        <v>0</v>
      </c>
      <c r="I2556" s="194">
        <v>0</v>
      </c>
      <c r="J2556" s="194">
        <v>0</v>
      </c>
      <c r="K2556" s="193">
        <f t="shared" si="550"/>
        <v>0</v>
      </c>
      <c r="L2556" s="194">
        <v>0</v>
      </c>
      <c r="M2556" s="194">
        <v>0</v>
      </c>
      <c r="N2556" s="194">
        <v>0</v>
      </c>
      <c r="O2556" s="193">
        <f t="shared" si="551"/>
        <v>0</v>
      </c>
      <c r="P2556" s="194">
        <v>0</v>
      </c>
      <c r="Q2556" s="194">
        <v>0</v>
      </c>
      <c r="R2556" s="194">
        <v>0</v>
      </c>
      <c r="S2556" s="193">
        <f t="shared" si="552"/>
        <v>0</v>
      </c>
      <c r="T2556" s="193">
        <f t="shared" si="553"/>
        <v>0</v>
      </c>
      <c r="U2556" s="193">
        <f ca="1">OFFSET('Expenditure Study'!$B$7,'Operations Support'!$C2556,'Operations Support'!$B2556)*$G2556</f>
        <v>0</v>
      </c>
      <c r="V2556" s="199">
        <f ca="1">U2556*'Expenditure Study'!$B$31</f>
        <v>0</v>
      </c>
      <c r="W2556" s="199">
        <f ca="1">IF(A2556=10298,1.51,1)*IF($B2556&lt;3,$D2556*'Expenditure Study'!$B$32*OFFSET('Expenditure Study'!$B$7,'Operations Support'!$C2556,'Operations Support'!$B2556),0)</f>
        <v>0</v>
      </c>
      <c r="X2556" s="200">
        <f ca="1">W2556*'Expenditure Study'!$B$31</f>
        <v>0</v>
      </c>
      <c r="Y2556" s="199">
        <f ca="1">U2556*'Expenditure Study'!$B$31</f>
        <v>0</v>
      </c>
      <c r="Z2556" s="200">
        <f ca="1">W2556*'Expenditure Study'!$B$31</f>
        <v>0</v>
      </c>
      <c r="AA2556" s="195">
        <f t="shared" ca="1" si="554"/>
        <v>0</v>
      </c>
      <c r="AB2556" s="195">
        <f t="shared" ca="1" si="555"/>
        <v>0</v>
      </c>
      <c r="AD2556" s="196">
        <f>IFERROR($G2556/SUMIF($A:$A,$A2556,$G:$G)*SUMIF(Summary!$A$166:$A$242,$A2556,Summary!$P$166:$P$242),0)</f>
        <v>0</v>
      </c>
      <c r="AE2556" s="197">
        <f t="shared" ca="1" si="556"/>
        <v>0</v>
      </c>
      <c r="AF2556" s="196">
        <f>IFERROR(G2556/SUMIF(A:A,A2556,G:G)*SUMIF(Summary!$A$166:$A$242,'Operations Support'!A2556,Summary!$Q$166:$Q$242),0)</f>
        <v>0</v>
      </c>
      <c r="AG2556" s="196">
        <f t="shared" ca="1" si="557"/>
        <v>0</v>
      </c>
      <c r="AH2556" s="180"/>
      <c r="AI2556" s="196">
        <f>IFERROR($G2556/SUMIF($A:$A,$A2556,$G:$G)*SUMIF(Summary!$A$247:$A$283,$A2556,Summary!$P$247:$P$283),0)</f>
        <v>0</v>
      </c>
      <c r="AJ2556" s="196">
        <f>IFERROR($G2556/SUMIF($A:$A,$A2556,$G:$G)*(SUMIF(Summary!$A$247:$A$283,$A2556,Summary!$L$247:$L$283)+SUMIF(Summary!$A$297:$A$333,$A2556,Summary!$L$297:$L$333))-AI2556,0)</f>
        <v>0</v>
      </c>
      <c r="AK2556" s="196">
        <f>IFERROR($G2556/SUMIF($A:$A,$A2556,$G:$G)*SUMIF(Summary!$A$247:$A$283,$A2556,Summary!$Q$247:$Q$283),0)</f>
        <v>0</v>
      </c>
      <c r="AL2556" s="196">
        <f>IFERROR($G2556/SUMIF($A:$A,$A2556,$G:$G)*(SUMIF(Summary!$A$247:$A$283,$A2556,Summary!$L$247:$L$283)+SUMIF(Summary!$A$297:$A$333,$A2556,Summary!$L$297:$L$333))-AK2556,0)</f>
        <v>0</v>
      </c>
      <c r="AM2556" s="198"/>
      <c r="AN2556" s="196">
        <f t="shared" ca="1" si="558"/>
        <v>0</v>
      </c>
      <c r="AO2556" s="196">
        <f t="shared" ca="1" si="559"/>
        <v>0</v>
      </c>
    </row>
    <row r="2557" spans="1:41" s="201" customFormat="1">
      <c r="A2557" s="189">
        <v>9741</v>
      </c>
      <c r="B2557" s="190">
        <v>2</v>
      </c>
      <c r="C2557" s="191" t="s">
        <v>231</v>
      </c>
      <c r="D2557" s="192">
        <f t="shared" si="546"/>
        <v>0</v>
      </c>
      <c r="E2557" s="192">
        <f t="shared" si="547"/>
        <v>0</v>
      </c>
      <c r="F2557" s="192">
        <f t="shared" si="548"/>
        <v>0</v>
      </c>
      <c r="G2557" s="193">
        <f t="shared" si="549"/>
        <v>0</v>
      </c>
      <c r="H2557" s="194">
        <v>0</v>
      </c>
      <c r="I2557" s="194">
        <v>0</v>
      </c>
      <c r="J2557" s="194">
        <v>0</v>
      </c>
      <c r="K2557" s="193">
        <f t="shared" si="550"/>
        <v>0</v>
      </c>
      <c r="L2557" s="194">
        <v>0</v>
      </c>
      <c r="M2557" s="194">
        <v>0</v>
      </c>
      <c r="N2557" s="194">
        <v>0</v>
      </c>
      <c r="O2557" s="193">
        <f t="shared" si="551"/>
        <v>0</v>
      </c>
      <c r="P2557" s="194">
        <v>0</v>
      </c>
      <c r="Q2557" s="194">
        <v>0</v>
      </c>
      <c r="R2557" s="194">
        <v>0</v>
      </c>
      <c r="S2557" s="193">
        <f t="shared" si="552"/>
        <v>0</v>
      </c>
      <c r="T2557" s="193">
        <f t="shared" si="553"/>
        <v>0</v>
      </c>
      <c r="U2557" s="193">
        <f ca="1">OFFSET('Expenditure Study'!$B$7,'Operations Support'!$C2557,'Operations Support'!$B2557)*$G2557</f>
        <v>0</v>
      </c>
      <c r="V2557" s="199">
        <f ca="1">U2557*'Expenditure Study'!$B$31</f>
        <v>0</v>
      </c>
      <c r="W2557" s="199">
        <f ca="1">IF(A2557=10298,1.51,1)*IF($B2557&lt;3,$D2557*'Expenditure Study'!$B$32*OFFSET('Expenditure Study'!$B$7,'Operations Support'!$C2557,'Operations Support'!$B2557),0)</f>
        <v>0</v>
      </c>
      <c r="X2557" s="200">
        <f ca="1">W2557*'Expenditure Study'!$B$31</f>
        <v>0</v>
      </c>
      <c r="Y2557" s="199">
        <f ca="1">U2557*'Expenditure Study'!$B$31</f>
        <v>0</v>
      </c>
      <c r="Z2557" s="200">
        <f ca="1">W2557*'Expenditure Study'!$B$31</f>
        <v>0</v>
      </c>
      <c r="AA2557" s="195">
        <f t="shared" ca="1" si="554"/>
        <v>0</v>
      </c>
      <c r="AB2557" s="195">
        <f t="shared" ca="1" si="555"/>
        <v>0</v>
      </c>
      <c r="AD2557" s="196">
        <f>IFERROR($G2557/SUMIF($A:$A,$A2557,$G:$G)*SUMIF(Summary!$A$166:$A$242,$A2557,Summary!$P$166:$P$242),0)</f>
        <v>0</v>
      </c>
      <c r="AE2557" s="197">
        <f t="shared" ca="1" si="556"/>
        <v>0</v>
      </c>
      <c r="AF2557" s="196">
        <f>IFERROR(G2557/SUMIF(A:A,A2557,G:G)*SUMIF(Summary!$A$166:$A$242,'Operations Support'!A2557,Summary!$Q$166:$Q$242),0)</f>
        <v>0</v>
      </c>
      <c r="AG2557" s="196">
        <f t="shared" ca="1" si="557"/>
        <v>0</v>
      </c>
      <c r="AH2557" s="180"/>
      <c r="AI2557" s="196">
        <f>IFERROR($G2557/SUMIF($A:$A,$A2557,$G:$G)*SUMIF(Summary!$A$247:$A$283,$A2557,Summary!$P$247:$P$283),0)</f>
        <v>0</v>
      </c>
      <c r="AJ2557" s="196">
        <f>IFERROR($G2557/SUMIF($A:$A,$A2557,$G:$G)*(SUMIF(Summary!$A$247:$A$283,$A2557,Summary!$L$247:$L$283)+SUMIF(Summary!$A$297:$A$333,$A2557,Summary!$L$297:$L$333))-AI2557,0)</f>
        <v>0</v>
      </c>
      <c r="AK2557" s="196">
        <f>IFERROR($G2557/SUMIF($A:$A,$A2557,$G:$G)*SUMIF(Summary!$A$247:$A$283,$A2557,Summary!$Q$247:$Q$283),0)</f>
        <v>0</v>
      </c>
      <c r="AL2557" s="196">
        <f>IFERROR($G2557/SUMIF($A:$A,$A2557,$G:$G)*(SUMIF(Summary!$A$247:$A$283,$A2557,Summary!$L$247:$L$283)+SUMIF(Summary!$A$297:$A$333,$A2557,Summary!$L$297:$L$333))-AK2557,0)</f>
        <v>0</v>
      </c>
      <c r="AM2557" s="198"/>
      <c r="AN2557" s="196">
        <f t="shared" ca="1" si="558"/>
        <v>0</v>
      </c>
      <c r="AO2557" s="196">
        <f t="shared" ca="1" si="559"/>
        <v>0</v>
      </c>
    </row>
    <row r="2558" spans="1:41">
      <c r="A2558" s="189">
        <v>9741</v>
      </c>
      <c r="B2558" s="190">
        <v>2</v>
      </c>
      <c r="C2558" s="191" t="s">
        <v>232</v>
      </c>
      <c r="D2558" s="192">
        <f t="shared" si="546"/>
        <v>0</v>
      </c>
      <c r="E2558" s="192">
        <f t="shared" si="547"/>
        <v>0</v>
      </c>
      <c r="F2558" s="192">
        <f t="shared" si="548"/>
        <v>0</v>
      </c>
      <c r="G2558" s="193">
        <f t="shared" si="549"/>
        <v>0</v>
      </c>
      <c r="H2558" s="194">
        <v>0</v>
      </c>
      <c r="I2558" s="194">
        <v>0</v>
      </c>
      <c r="J2558" s="194">
        <v>0</v>
      </c>
      <c r="K2558" s="193">
        <f t="shared" si="550"/>
        <v>0</v>
      </c>
      <c r="L2558" s="194">
        <v>0</v>
      </c>
      <c r="M2558" s="194">
        <v>0</v>
      </c>
      <c r="N2558" s="194">
        <v>0</v>
      </c>
      <c r="O2558" s="193">
        <f t="shared" si="551"/>
        <v>0</v>
      </c>
      <c r="P2558" s="194">
        <v>0</v>
      </c>
      <c r="Q2558" s="194">
        <v>0</v>
      </c>
      <c r="R2558" s="194">
        <v>0</v>
      </c>
      <c r="S2558" s="193">
        <f t="shared" si="552"/>
        <v>0</v>
      </c>
      <c r="T2558" s="193">
        <f t="shared" si="553"/>
        <v>0</v>
      </c>
      <c r="U2558" s="193">
        <f ca="1">OFFSET('Expenditure Study'!$B$7,'Operations Support'!$C2558,'Operations Support'!$B2558)*$G2558</f>
        <v>0</v>
      </c>
      <c r="V2558" s="199">
        <f ca="1">U2558*'Expenditure Study'!$B$31</f>
        <v>0</v>
      </c>
      <c r="W2558" s="199">
        <f ca="1">IF(A2558=10298,1.51,1)*IF($B2558&lt;3,$D2558*'Expenditure Study'!$B$32*OFFSET('Expenditure Study'!$B$7,'Operations Support'!$C2558,'Operations Support'!$B2558),0)</f>
        <v>0</v>
      </c>
      <c r="X2558" s="200">
        <f ca="1">W2558*'Expenditure Study'!$B$31</f>
        <v>0</v>
      </c>
      <c r="Y2558" s="199">
        <f ca="1">U2558*'Expenditure Study'!$B$31</f>
        <v>0</v>
      </c>
      <c r="Z2558" s="200">
        <f ca="1">W2558*'Expenditure Study'!$B$31</f>
        <v>0</v>
      </c>
      <c r="AA2558" s="195">
        <f t="shared" ca="1" si="554"/>
        <v>0</v>
      </c>
      <c r="AB2558" s="195">
        <f t="shared" ca="1" si="555"/>
        <v>0</v>
      </c>
      <c r="AD2558" s="196">
        <f>IFERROR($G2558/SUMIF($A:$A,$A2558,$G:$G)*SUMIF(Summary!$A$166:$A$242,$A2558,Summary!$P$166:$P$242),0)</f>
        <v>0</v>
      </c>
      <c r="AE2558" s="197">
        <f t="shared" ca="1" si="556"/>
        <v>0</v>
      </c>
      <c r="AF2558" s="196">
        <f>IFERROR(G2558/SUMIF(A:A,A2558,G:G)*SUMIF(Summary!$A$166:$A$242,'Operations Support'!A2558,Summary!$Q$166:$Q$242),0)</f>
        <v>0</v>
      </c>
      <c r="AG2558" s="196">
        <f t="shared" ca="1" si="557"/>
        <v>0</v>
      </c>
      <c r="AI2558" s="196">
        <f>IFERROR($G2558/SUMIF($A:$A,$A2558,$G:$G)*SUMIF(Summary!$A$247:$A$283,$A2558,Summary!$P$247:$P$283),0)</f>
        <v>0</v>
      </c>
      <c r="AJ2558" s="196">
        <f>IFERROR($G2558/SUMIF($A:$A,$A2558,$G:$G)*(SUMIF(Summary!$A$247:$A$283,$A2558,Summary!$L$247:$L$283)+SUMIF(Summary!$A$297:$A$333,$A2558,Summary!$L$297:$L$333))-AI2558,0)</f>
        <v>0</v>
      </c>
      <c r="AK2558" s="196">
        <f>IFERROR($G2558/SUMIF($A:$A,$A2558,$G:$G)*SUMIF(Summary!$A$247:$A$283,$A2558,Summary!$Q$247:$Q$283),0)</f>
        <v>0</v>
      </c>
      <c r="AL2558" s="196">
        <f>IFERROR($G2558/SUMIF($A:$A,$A2558,$G:$G)*(SUMIF(Summary!$A$247:$A$283,$A2558,Summary!$L$247:$L$283)+SUMIF(Summary!$A$297:$A$333,$A2558,Summary!$L$297:$L$333))-AK2558,0)</f>
        <v>0</v>
      </c>
      <c r="AM2558" s="198"/>
      <c r="AN2558" s="196">
        <f t="shared" ca="1" si="558"/>
        <v>0</v>
      </c>
      <c r="AO2558" s="196">
        <f t="shared" ca="1" si="559"/>
        <v>0</v>
      </c>
    </row>
    <row r="2559" spans="1:41">
      <c r="A2559" s="189">
        <v>9741</v>
      </c>
      <c r="B2559" s="190">
        <v>2</v>
      </c>
      <c r="C2559" s="191" t="s">
        <v>233</v>
      </c>
      <c r="D2559" s="192">
        <f t="shared" si="546"/>
        <v>512.5</v>
      </c>
      <c r="E2559" s="192">
        <f t="shared" si="547"/>
        <v>8844.5</v>
      </c>
      <c r="F2559" s="192">
        <f t="shared" si="548"/>
        <v>0</v>
      </c>
      <c r="G2559" s="193">
        <f t="shared" si="549"/>
        <v>9357</v>
      </c>
      <c r="H2559" s="194">
        <v>169</v>
      </c>
      <c r="I2559" s="194">
        <v>4291</v>
      </c>
      <c r="J2559" s="194">
        <v>0</v>
      </c>
      <c r="K2559" s="193">
        <f t="shared" si="550"/>
        <v>4460</v>
      </c>
      <c r="L2559" s="194">
        <v>343.5</v>
      </c>
      <c r="M2559" s="194">
        <v>4088.5</v>
      </c>
      <c r="N2559" s="194">
        <v>0</v>
      </c>
      <c r="O2559" s="193">
        <f t="shared" si="551"/>
        <v>4432</v>
      </c>
      <c r="P2559" s="194">
        <v>0</v>
      </c>
      <c r="Q2559" s="194">
        <v>465</v>
      </c>
      <c r="R2559" s="194">
        <v>0</v>
      </c>
      <c r="S2559" s="193">
        <f t="shared" si="552"/>
        <v>465</v>
      </c>
      <c r="T2559" s="193">
        <f t="shared" si="553"/>
        <v>311.89999999999998</v>
      </c>
      <c r="U2559" s="193">
        <f ca="1">OFFSET('Expenditure Study'!$B$7,'Operations Support'!$C2559,'Operations Support'!$B2559)*$G2559</f>
        <v>15064.77</v>
      </c>
      <c r="V2559" s="199">
        <f ca="1">U2559*'Expenditure Study'!$B$31</f>
        <v>890074.529620416</v>
      </c>
      <c r="W2559" s="199">
        <f ca="1">IF(A2559=10298,1.51,1)*IF($B2559&lt;3,$D2559*'Expenditure Study'!$B$32*OFFSET('Expenditure Study'!$B$7,'Operations Support'!$C2559,'Operations Support'!$B2559),0)</f>
        <v>82.512500000000003</v>
      </c>
      <c r="X2559" s="200">
        <f ca="1">W2559*'Expenditure Study'!$B$31</f>
        <v>4875.10095576</v>
      </c>
      <c r="Y2559" s="199">
        <f ca="1">U2559*'Expenditure Study'!$B$31</f>
        <v>890074.529620416</v>
      </c>
      <c r="Z2559" s="200">
        <f ca="1">W2559*'Expenditure Study'!$B$31</f>
        <v>4875.10095576</v>
      </c>
      <c r="AA2559" s="195">
        <f t="shared" ca="1" si="554"/>
        <v>894949.63057617599</v>
      </c>
      <c r="AB2559" s="195">
        <f t="shared" ca="1" si="555"/>
        <v>894949.63057617599</v>
      </c>
      <c r="AD2559" s="196">
        <f>IFERROR($G2559/SUMIF($A:$A,$A2559,$G:$G)*SUMIF(Summary!$A$166:$A$242,$A2559,Summary!$P$166:$P$242),0)</f>
        <v>474931.53394744039</v>
      </c>
      <c r="AE2559" s="197">
        <f t="shared" ca="1" si="556"/>
        <v>420018.0966287356</v>
      </c>
      <c r="AF2559" s="196">
        <f>IFERROR(G2559/SUMIF(A:A,A2559,G:G)*SUMIF(Summary!$A$166:$A$242,'Operations Support'!A2559,Summary!$Q$166:$Q$242),0)</f>
        <v>478234.36177442735</v>
      </c>
      <c r="AG2559" s="196">
        <f t="shared" ca="1" si="557"/>
        <v>416715.26880174864</v>
      </c>
      <c r="AI2559" s="196">
        <f>IFERROR($G2559/SUMIF($A:$A,$A2559,$G:$G)*SUMIF(Summary!$A$247:$A$283,$A2559,Summary!$P$247:$P$283),0)</f>
        <v>86615.660007694969</v>
      </c>
      <c r="AJ2559" s="196">
        <f>IFERROR($G2559/SUMIF($A:$A,$A2559,$G:$G)*(SUMIF(Summary!$A$247:$A$283,$A2559,Summary!$L$247:$L$283)+SUMIF(Summary!$A$297:$A$333,$A2559,Summary!$L$297:$L$333))-AI2559,0)</f>
        <v>161180.92726239309</v>
      </c>
      <c r="AK2559" s="196">
        <f>IFERROR($G2559/SUMIF($A:$A,$A2559,$G:$G)*SUMIF(Summary!$A$247:$A$283,$A2559,Summary!$Q$247:$Q$283),0)</f>
        <v>87218.013382187724</v>
      </c>
      <c r="AL2559" s="196">
        <f>IFERROR($G2559/SUMIF($A:$A,$A2559,$G:$G)*(SUMIF(Summary!$A$247:$A$283,$A2559,Summary!$L$247:$L$283)+SUMIF(Summary!$A$297:$A$333,$A2559,Summary!$L$297:$L$333))-AK2559,0)</f>
        <v>160578.57388790033</v>
      </c>
      <c r="AM2559" s="198"/>
      <c r="AN2559" s="196">
        <f t="shared" ca="1" si="558"/>
        <v>581199.02389112872</v>
      </c>
      <c r="AO2559" s="196">
        <f t="shared" ca="1" si="559"/>
        <v>577293.84268964897</v>
      </c>
    </row>
    <row r="2560" spans="1:41">
      <c r="A2560" s="189">
        <v>9741</v>
      </c>
      <c r="B2560" s="190">
        <v>2</v>
      </c>
      <c r="C2560" s="191" t="s">
        <v>234</v>
      </c>
      <c r="D2560" s="192">
        <f t="shared" si="546"/>
        <v>0</v>
      </c>
      <c r="E2560" s="192">
        <f t="shared" si="547"/>
        <v>0</v>
      </c>
      <c r="F2560" s="192">
        <f t="shared" si="548"/>
        <v>0</v>
      </c>
      <c r="G2560" s="193">
        <f t="shared" si="549"/>
        <v>0</v>
      </c>
      <c r="H2560" s="194">
        <v>0</v>
      </c>
      <c r="I2560" s="194">
        <v>0</v>
      </c>
      <c r="J2560" s="194">
        <v>0</v>
      </c>
      <c r="K2560" s="193">
        <f t="shared" si="550"/>
        <v>0</v>
      </c>
      <c r="L2560" s="194">
        <v>0</v>
      </c>
      <c r="M2560" s="194">
        <v>0</v>
      </c>
      <c r="N2560" s="194">
        <v>0</v>
      </c>
      <c r="O2560" s="193">
        <f t="shared" si="551"/>
        <v>0</v>
      </c>
      <c r="P2560" s="194">
        <v>0</v>
      </c>
      <c r="Q2560" s="194">
        <v>0</v>
      </c>
      <c r="R2560" s="194">
        <v>0</v>
      </c>
      <c r="S2560" s="193">
        <f t="shared" si="552"/>
        <v>0</v>
      </c>
      <c r="T2560" s="193">
        <f t="shared" si="553"/>
        <v>0</v>
      </c>
      <c r="U2560" s="193">
        <f ca="1">OFFSET('Expenditure Study'!$B$7,'Operations Support'!$C2560,'Operations Support'!$B2560)*$G2560</f>
        <v>0</v>
      </c>
      <c r="V2560" s="199">
        <f ca="1">U2560*'Expenditure Study'!$B$31</f>
        <v>0</v>
      </c>
      <c r="W2560" s="199">
        <f ca="1">IF(A2560=10298,1.51,1)*IF($B2560&lt;3,$D2560*'Expenditure Study'!$B$32*OFFSET('Expenditure Study'!$B$7,'Operations Support'!$C2560,'Operations Support'!$B2560),0)</f>
        <v>0</v>
      </c>
      <c r="X2560" s="200">
        <f ca="1">W2560*'Expenditure Study'!$B$31</f>
        <v>0</v>
      </c>
      <c r="Y2560" s="199">
        <f ca="1">U2560*'Expenditure Study'!$B$31</f>
        <v>0</v>
      </c>
      <c r="Z2560" s="200">
        <f ca="1">W2560*'Expenditure Study'!$B$31</f>
        <v>0</v>
      </c>
      <c r="AA2560" s="195">
        <f t="shared" ca="1" si="554"/>
        <v>0</v>
      </c>
      <c r="AB2560" s="195">
        <f t="shared" ca="1" si="555"/>
        <v>0</v>
      </c>
      <c r="AD2560" s="196">
        <f>IFERROR($G2560/SUMIF($A:$A,$A2560,$G:$G)*SUMIF(Summary!$A$166:$A$242,$A2560,Summary!$P$166:$P$242),0)</f>
        <v>0</v>
      </c>
      <c r="AE2560" s="197">
        <f t="shared" ca="1" si="556"/>
        <v>0</v>
      </c>
      <c r="AF2560" s="196">
        <f>IFERROR(G2560/SUMIF(A:A,A2560,G:G)*SUMIF(Summary!$A$166:$A$242,'Operations Support'!A2560,Summary!$Q$166:$Q$242),0)</f>
        <v>0</v>
      </c>
      <c r="AG2560" s="196">
        <f t="shared" ca="1" si="557"/>
        <v>0</v>
      </c>
      <c r="AI2560" s="196">
        <f>IFERROR($G2560/SUMIF($A:$A,$A2560,$G:$G)*SUMIF(Summary!$A$247:$A$283,$A2560,Summary!$P$247:$P$283),0)</f>
        <v>0</v>
      </c>
      <c r="AJ2560" s="196">
        <f>IFERROR($G2560/SUMIF($A:$A,$A2560,$G:$G)*(SUMIF(Summary!$A$247:$A$283,$A2560,Summary!$L$247:$L$283)+SUMIF(Summary!$A$297:$A$333,$A2560,Summary!$L$297:$L$333))-AI2560,0)</f>
        <v>0</v>
      </c>
      <c r="AK2560" s="196">
        <f>IFERROR($G2560/SUMIF($A:$A,$A2560,$G:$G)*SUMIF(Summary!$A$247:$A$283,$A2560,Summary!$Q$247:$Q$283),0)</f>
        <v>0</v>
      </c>
      <c r="AL2560" s="196">
        <f>IFERROR($G2560/SUMIF($A:$A,$A2560,$G:$G)*(SUMIF(Summary!$A$247:$A$283,$A2560,Summary!$L$247:$L$283)+SUMIF(Summary!$A$297:$A$333,$A2560,Summary!$L$297:$L$333))-AK2560,0)</f>
        <v>0</v>
      </c>
      <c r="AM2560" s="198"/>
      <c r="AN2560" s="196">
        <f t="shared" ca="1" si="558"/>
        <v>0</v>
      </c>
      <c r="AO2560" s="196">
        <f t="shared" ca="1" si="559"/>
        <v>0</v>
      </c>
    </row>
    <row r="2561" spans="1:41">
      <c r="A2561" s="189">
        <v>9741</v>
      </c>
      <c r="B2561" s="190">
        <v>2</v>
      </c>
      <c r="C2561" s="191" t="s">
        <v>235</v>
      </c>
      <c r="D2561" s="192">
        <f t="shared" si="546"/>
        <v>10464</v>
      </c>
      <c r="E2561" s="192">
        <f t="shared" si="547"/>
        <v>61394</v>
      </c>
      <c r="F2561" s="192">
        <f t="shared" si="548"/>
        <v>0</v>
      </c>
      <c r="G2561" s="193">
        <f t="shared" si="549"/>
        <v>71858</v>
      </c>
      <c r="H2561" s="194">
        <v>4872</v>
      </c>
      <c r="I2561" s="194">
        <v>28035</v>
      </c>
      <c r="J2561" s="194">
        <v>0</v>
      </c>
      <c r="K2561" s="193">
        <f t="shared" si="550"/>
        <v>32907</v>
      </c>
      <c r="L2561" s="194">
        <v>5538</v>
      </c>
      <c r="M2561" s="194">
        <v>28114</v>
      </c>
      <c r="N2561" s="194">
        <v>0</v>
      </c>
      <c r="O2561" s="193">
        <f t="shared" si="551"/>
        <v>33652</v>
      </c>
      <c r="P2561" s="194">
        <v>54</v>
      </c>
      <c r="Q2561" s="194">
        <v>5245</v>
      </c>
      <c r="R2561" s="194">
        <v>0</v>
      </c>
      <c r="S2561" s="193">
        <f t="shared" si="552"/>
        <v>5299</v>
      </c>
      <c r="T2561" s="193">
        <f t="shared" si="553"/>
        <v>2395.2666666666669</v>
      </c>
      <c r="U2561" s="193">
        <f ca="1">OFFSET('Expenditure Study'!$B$7,'Operations Support'!$C2561,'Operations Support'!$B2561)*$G2561</f>
        <v>134374.46000000002</v>
      </c>
      <c r="V2561" s="199">
        <f ca="1">U2561*'Expenditure Study'!$B$31</f>
        <v>7939270.5150823696</v>
      </c>
      <c r="W2561" s="199">
        <f ca="1">IF(A2561=10298,1.51,1)*IF($B2561&lt;3,$D2561*'Expenditure Study'!$B$32*OFFSET('Expenditure Study'!$B$7,'Operations Support'!$C2561,'Operations Support'!$B2561),0)</f>
        <v>1956.7680000000003</v>
      </c>
      <c r="X2561" s="200">
        <f ca="1">W2561*'Expenditure Study'!$B$31</f>
        <v>115612.07752765442</v>
      </c>
      <c r="Y2561" s="199">
        <f ca="1">U2561*'Expenditure Study'!$B$31</f>
        <v>7939270.5150823696</v>
      </c>
      <c r="Z2561" s="200">
        <f ca="1">W2561*'Expenditure Study'!$B$31</f>
        <v>115612.07752765442</v>
      </c>
      <c r="AA2561" s="195">
        <f t="shared" ca="1" si="554"/>
        <v>8054882.5926100239</v>
      </c>
      <c r="AB2561" s="195">
        <f t="shared" ca="1" si="555"/>
        <v>8054882.5926100239</v>
      </c>
      <c r="AD2561" s="196">
        <f>IFERROR($G2561/SUMIF($A:$A,$A2561,$G:$G)*SUMIF(Summary!$A$166:$A$242,$A2561,Summary!$P$166:$P$242),0)</f>
        <v>3647283.3350855154</v>
      </c>
      <c r="AE2561" s="197">
        <f t="shared" ca="1" si="556"/>
        <v>4407599.257524509</v>
      </c>
      <c r="AF2561" s="196">
        <f>IFERROR(G2561/SUMIF(A:A,A2561,G:G)*SUMIF(Summary!$A$166:$A$242,'Operations Support'!A2561,Summary!$Q$166:$Q$242),0)</f>
        <v>3672647.7255944</v>
      </c>
      <c r="AG2561" s="196">
        <f t="shared" ca="1" si="557"/>
        <v>4382234.8670156244</v>
      </c>
      <c r="AI2561" s="196">
        <f>IFERROR($G2561/SUMIF($A:$A,$A2561,$G:$G)*SUMIF(Summary!$A$247:$A$283,$A2561,Summary!$P$247:$P$283),0)</f>
        <v>665173.46337853419</v>
      </c>
      <c r="AJ2561" s="196">
        <f>IFERROR($G2561/SUMIF($A:$A,$A2561,$G:$G)*(SUMIF(Summary!$A$247:$A$283,$A2561,Summary!$L$247:$L$283)+SUMIF(Summary!$A$297:$A$333,$A2561,Summary!$L$297:$L$333))-AI2561,0)</f>
        <v>1237804.7527221376</v>
      </c>
      <c r="AK2561" s="196">
        <f>IFERROR($G2561/SUMIF($A:$A,$A2561,$G:$G)*SUMIF(Summary!$A$247:$A$283,$A2561,Summary!$Q$247:$Q$283),0)</f>
        <v>669799.29524604534</v>
      </c>
      <c r="AL2561" s="196">
        <f>IFERROR($G2561/SUMIF($A:$A,$A2561,$G:$G)*(SUMIF(Summary!$A$247:$A$283,$A2561,Summary!$L$247:$L$283)+SUMIF(Summary!$A$297:$A$333,$A2561,Summary!$L$297:$L$333))-AK2561,0)</f>
        <v>1233178.9208546265</v>
      </c>
      <c r="AM2561" s="198"/>
      <c r="AN2561" s="196">
        <f t="shared" ca="1" si="558"/>
        <v>5645404.0102466466</v>
      </c>
      <c r="AO2561" s="196">
        <f t="shared" ca="1" si="559"/>
        <v>5615413.7878702506</v>
      </c>
    </row>
    <row r="2562" spans="1:41">
      <c r="A2562" s="189">
        <v>9741</v>
      </c>
      <c r="B2562" s="190">
        <v>2</v>
      </c>
      <c r="C2562" s="191" t="s">
        <v>236</v>
      </c>
      <c r="D2562" s="192">
        <f t="shared" si="546"/>
        <v>0</v>
      </c>
      <c r="E2562" s="192">
        <f t="shared" si="547"/>
        <v>0</v>
      </c>
      <c r="F2562" s="192">
        <f t="shared" si="548"/>
        <v>0</v>
      </c>
      <c r="G2562" s="193">
        <f t="shared" si="549"/>
        <v>0</v>
      </c>
      <c r="H2562" s="194">
        <v>0</v>
      </c>
      <c r="I2562" s="194">
        <v>0</v>
      </c>
      <c r="J2562" s="194">
        <v>0</v>
      </c>
      <c r="K2562" s="193">
        <f t="shared" si="550"/>
        <v>0</v>
      </c>
      <c r="L2562" s="194">
        <v>0</v>
      </c>
      <c r="M2562" s="194">
        <v>0</v>
      </c>
      <c r="N2562" s="194">
        <v>0</v>
      </c>
      <c r="O2562" s="193">
        <f t="shared" si="551"/>
        <v>0</v>
      </c>
      <c r="P2562" s="194">
        <v>0</v>
      </c>
      <c r="Q2562" s="194">
        <v>0</v>
      </c>
      <c r="R2562" s="194">
        <v>0</v>
      </c>
      <c r="S2562" s="193">
        <f t="shared" si="552"/>
        <v>0</v>
      </c>
      <c r="T2562" s="193">
        <f t="shared" si="553"/>
        <v>0</v>
      </c>
      <c r="U2562" s="193">
        <f ca="1">OFFSET('Expenditure Study'!$B$7,'Operations Support'!$C2562,'Operations Support'!$B2562)*$G2562</f>
        <v>0</v>
      </c>
      <c r="V2562" s="199">
        <f ca="1">U2562*'Expenditure Study'!$B$31</f>
        <v>0</v>
      </c>
      <c r="W2562" s="199">
        <f ca="1">IF(A2562=10298,1.51,1)*IF($B2562&lt;3,$D2562*'Expenditure Study'!$B$32*OFFSET('Expenditure Study'!$B$7,'Operations Support'!$C2562,'Operations Support'!$B2562),0)</f>
        <v>0</v>
      </c>
      <c r="X2562" s="200">
        <f ca="1">W2562*'Expenditure Study'!$B$31</f>
        <v>0</v>
      </c>
      <c r="Y2562" s="199">
        <f ca="1">U2562*'Expenditure Study'!$B$31</f>
        <v>0</v>
      </c>
      <c r="Z2562" s="200">
        <f ca="1">W2562*'Expenditure Study'!$B$31</f>
        <v>0</v>
      </c>
      <c r="AA2562" s="195">
        <f t="shared" ca="1" si="554"/>
        <v>0</v>
      </c>
      <c r="AB2562" s="195">
        <f t="shared" ca="1" si="555"/>
        <v>0</v>
      </c>
      <c r="AD2562" s="196">
        <f>IFERROR($G2562/SUMIF($A:$A,$A2562,$G:$G)*SUMIF(Summary!$A$166:$A$242,$A2562,Summary!$P$166:$P$242),0)</f>
        <v>0</v>
      </c>
      <c r="AE2562" s="197">
        <f t="shared" ca="1" si="556"/>
        <v>0</v>
      </c>
      <c r="AF2562" s="196">
        <f>IFERROR(G2562/SUMIF(A:A,A2562,G:G)*SUMIF(Summary!$A$166:$A$242,'Operations Support'!A2562,Summary!$Q$166:$Q$242),0)</f>
        <v>0</v>
      </c>
      <c r="AG2562" s="196">
        <f t="shared" ca="1" si="557"/>
        <v>0</v>
      </c>
      <c r="AI2562" s="196">
        <f>IFERROR($G2562/SUMIF($A:$A,$A2562,$G:$G)*SUMIF(Summary!$A$247:$A$283,$A2562,Summary!$P$247:$P$283),0)</f>
        <v>0</v>
      </c>
      <c r="AJ2562" s="196">
        <f>IFERROR($G2562/SUMIF($A:$A,$A2562,$G:$G)*(SUMIF(Summary!$A$247:$A$283,$A2562,Summary!$L$247:$L$283)+SUMIF(Summary!$A$297:$A$333,$A2562,Summary!$L$297:$L$333))-AI2562,0)</f>
        <v>0</v>
      </c>
      <c r="AK2562" s="196">
        <f>IFERROR($G2562/SUMIF($A:$A,$A2562,$G:$G)*SUMIF(Summary!$A$247:$A$283,$A2562,Summary!$Q$247:$Q$283),0)</f>
        <v>0</v>
      </c>
      <c r="AL2562" s="196">
        <f>IFERROR($G2562/SUMIF($A:$A,$A2562,$G:$G)*(SUMIF(Summary!$A$247:$A$283,$A2562,Summary!$L$247:$L$283)+SUMIF(Summary!$A$297:$A$333,$A2562,Summary!$L$297:$L$333))-AK2562,0)</f>
        <v>0</v>
      </c>
      <c r="AM2562" s="198"/>
      <c r="AN2562" s="196">
        <f t="shared" ca="1" si="558"/>
        <v>0</v>
      </c>
      <c r="AO2562" s="196">
        <f t="shared" ca="1" si="559"/>
        <v>0</v>
      </c>
    </row>
    <row r="2563" spans="1:41">
      <c r="A2563" s="189">
        <v>9741</v>
      </c>
      <c r="B2563" s="190">
        <v>2</v>
      </c>
      <c r="C2563" s="191" t="s">
        <v>237</v>
      </c>
      <c r="D2563" s="192">
        <f t="shared" si="546"/>
        <v>0</v>
      </c>
      <c r="E2563" s="192">
        <f t="shared" si="547"/>
        <v>294</v>
      </c>
      <c r="F2563" s="192">
        <f t="shared" si="548"/>
        <v>0</v>
      </c>
      <c r="G2563" s="193">
        <f t="shared" si="549"/>
        <v>294</v>
      </c>
      <c r="H2563" s="194">
        <v>0</v>
      </c>
      <c r="I2563" s="194">
        <v>193</v>
      </c>
      <c r="J2563" s="194">
        <v>0</v>
      </c>
      <c r="K2563" s="193">
        <f t="shared" si="550"/>
        <v>193</v>
      </c>
      <c r="L2563" s="194">
        <v>0</v>
      </c>
      <c r="M2563" s="194">
        <v>101</v>
      </c>
      <c r="N2563" s="194">
        <v>0</v>
      </c>
      <c r="O2563" s="193">
        <f t="shared" si="551"/>
        <v>101</v>
      </c>
      <c r="P2563" s="194">
        <v>0</v>
      </c>
      <c r="Q2563" s="194">
        <v>0</v>
      </c>
      <c r="R2563" s="194">
        <v>0</v>
      </c>
      <c r="S2563" s="193">
        <f t="shared" si="552"/>
        <v>0</v>
      </c>
      <c r="T2563" s="193">
        <f t="shared" si="553"/>
        <v>9.8000000000000007</v>
      </c>
      <c r="U2563" s="193">
        <f ca="1">OFFSET('Expenditure Study'!$B$7,'Operations Support'!$C2563,'Operations Support'!$B2563)*$G2563</f>
        <v>687.95999999999992</v>
      </c>
      <c r="V2563" s="199">
        <f ca="1">U2563*'Expenditure Study'!$B$31</f>
        <v>40646.865063167999</v>
      </c>
      <c r="W2563" s="199">
        <f ca="1">IF(A2563=10298,1.51,1)*IF($B2563&lt;3,$D2563*'Expenditure Study'!$B$32*OFFSET('Expenditure Study'!$B$7,'Operations Support'!$C2563,'Operations Support'!$B2563),0)</f>
        <v>0</v>
      </c>
      <c r="X2563" s="200">
        <f ca="1">W2563*'Expenditure Study'!$B$31</f>
        <v>0</v>
      </c>
      <c r="Y2563" s="199">
        <f ca="1">U2563*'Expenditure Study'!$B$31</f>
        <v>40646.865063167999</v>
      </c>
      <c r="Z2563" s="200">
        <f ca="1">W2563*'Expenditure Study'!$B$31</f>
        <v>0</v>
      </c>
      <c r="AA2563" s="195">
        <f t="shared" ca="1" si="554"/>
        <v>40646.865063167999</v>
      </c>
      <c r="AB2563" s="195">
        <f t="shared" ca="1" si="555"/>
        <v>40646.865063167999</v>
      </c>
      <c r="AD2563" s="196">
        <f>IFERROR($G2563/SUMIF($A:$A,$A2563,$G:$G)*SUMIF(Summary!$A$166:$A$242,$A2563,Summary!$P$166:$P$242),0)</f>
        <v>14922.504112487708</v>
      </c>
      <c r="AE2563" s="197">
        <f t="shared" ca="1" si="556"/>
        <v>25724.36095068029</v>
      </c>
      <c r="AF2563" s="196">
        <f>IFERROR(G2563/SUMIF(A:A,A2563,G:G)*SUMIF(Summary!$A$166:$A$242,'Operations Support'!A2563,Summary!$Q$166:$Q$242),0)</f>
        <v>15026.280042928465</v>
      </c>
      <c r="AG2563" s="196">
        <f t="shared" ca="1" si="557"/>
        <v>25620.585020239534</v>
      </c>
      <c r="AI2563" s="196">
        <f>IFERROR($G2563/SUMIF($A:$A,$A2563,$G:$G)*SUMIF(Summary!$A$247:$A$283,$A2563,Summary!$P$247:$P$283),0)</f>
        <v>2721.4923631786173</v>
      </c>
      <c r="AJ2563" s="196">
        <f>IFERROR($G2563/SUMIF($A:$A,$A2563,$G:$G)*(SUMIF(Summary!$A$247:$A$283,$A2563,Summary!$L$247:$L$283)+SUMIF(Summary!$A$297:$A$333,$A2563,Summary!$L$297:$L$333))-AI2563,0)</f>
        <v>5064.357445243515</v>
      </c>
      <c r="AK2563" s="196">
        <f>IFERROR($G2563/SUMIF($A:$A,$A2563,$G:$G)*SUMIF(Summary!$A$247:$A$283,$A2563,Summary!$Q$247:$Q$283),0)</f>
        <v>2740.4185031915354</v>
      </c>
      <c r="AL2563" s="196">
        <f>IFERROR($G2563/SUMIF($A:$A,$A2563,$G:$G)*(SUMIF(Summary!$A$247:$A$283,$A2563,Summary!$L$247:$L$283)+SUMIF(Summary!$A$297:$A$333,$A2563,Summary!$L$297:$L$333))-AK2563,0)</f>
        <v>5045.431305230597</v>
      </c>
      <c r="AM2563" s="198"/>
      <c r="AN2563" s="196">
        <f t="shared" ca="1" si="558"/>
        <v>30788.718395923803</v>
      </c>
      <c r="AO2563" s="196">
        <f t="shared" ca="1" si="559"/>
        <v>30666.016325470133</v>
      </c>
    </row>
    <row r="2564" spans="1:41">
      <c r="A2564" s="189">
        <v>9741</v>
      </c>
      <c r="B2564" s="190">
        <v>2</v>
      </c>
      <c r="C2564" s="191" t="s">
        <v>238</v>
      </c>
      <c r="D2564" s="192">
        <f t="shared" si="546"/>
        <v>3</v>
      </c>
      <c r="E2564" s="192">
        <f t="shared" si="547"/>
        <v>144</v>
      </c>
      <c r="F2564" s="192">
        <f t="shared" si="548"/>
        <v>0</v>
      </c>
      <c r="G2564" s="193">
        <f t="shared" si="549"/>
        <v>147</v>
      </c>
      <c r="H2564" s="194">
        <v>3</v>
      </c>
      <c r="I2564" s="194">
        <v>99</v>
      </c>
      <c r="J2564" s="194">
        <v>0</v>
      </c>
      <c r="K2564" s="193">
        <f t="shared" si="550"/>
        <v>102</v>
      </c>
      <c r="L2564" s="194">
        <v>0</v>
      </c>
      <c r="M2564" s="194">
        <v>45</v>
      </c>
      <c r="N2564" s="194">
        <v>0</v>
      </c>
      <c r="O2564" s="193">
        <f t="shared" si="551"/>
        <v>45</v>
      </c>
      <c r="P2564" s="194">
        <v>0</v>
      </c>
      <c r="Q2564" s="194">
        <v>0</v>
      </c>
      <c r="R2564" s="194">
        <v>0</v>
      </c>
      <c r="S2564" s="193">
        <f t="shared" si="552"/>
        <v>0</v>
      </c>
      <c r="T2564" s="193">
        <f t="shared" si="553"/>
        <v>4.9000000000000004</v>
      </c>
      <c r="U2564" s="193">
        <f ca="1">OFFSET('Expenditure Study'!$B$7,'Operations Support'!$C2564,'Operations Support'!$B2564)*$G2564</f>
        <v>352.8</v>
      </c>
      <c r="V2564" s="199">
        <f ca="1">U2564*'Expenditure Study'!$B$31</f>
        <v>20844.546186240001</v>
      </c>
      <c r="W2564" s="199">
        <f ca="1">IF(A2564=10298,1.51,1)*IF($B2564&lt;3,$D2564*'Expenditure Study'!$B$32*OFFSET('Expenditure Study'!$B$7,'Operations Support'!$C2564,'Operations Support'!$B2564),0)</f>
        <v>0.72000000000000008</v>
      </c>
      <c r="X2564" s="200">
        <f ca="1">W2564*'Expenditure Study'!$B$31</f>
        <v>42.539890176000007</v>
      </c>
      <c r="Y2564" s="199">
        <f ca="1">U2564*'Expenditure Study'!$B$31</f>
        <v>20844.546186240001</v>
      </c>
      <c r="Z2564" s="200">
        <f ca="1">W2564*'Expenditure Study'!$B$31</f>
        <v>42.539890176000007</v>
      </c>
      <c r="AA2564" s="195">
        <f t="shared" ca="1" si="554"/>
        <v>20887.086076416002</v>
      </c>
      <c r="AB2564" s="195">
        <f t="shared" ca="1" si="555"/>
        <v>20887.086076416002</v>
      </c>
      <c r="AD2564" s="196">
        <f>IFERROR($G2564/SUMIF($A:$A,$A2564,$G:$G)*SUMIF(Summary!$A$166:$A$242,$A2564,Summary!$P$166:$P$242),0)</f>
        <v>7461.252056243854</v>
      </c>
      <c r="AE2564" s="197">
        <f t="shared" ca="1" si="556"/>
        <v>13425.834020172148</v>
      </c>
      <c r="AF2564" s="196">
        <f>IFERROR(G2564/SUMIF(A:A,A2564,G:G)*SUMIF(Summary!$A$166:$A$242,'Operations Support'!A2564,Summary!$Q$166:$Q$242),0)</f>
        <v>7513.1400214642326</v>
      </c>
      <c r="AG2564" s="196">
        <f t="shared" ca="1" si="557"/>
        <v>13373.94605495177</v>
      </c>
      <c r="AI2564" s="196">
        <f>IFERROR($G2564/SUMIF($A:$A,$A2564,$G:$G)*SUMIF(Summary!$A$247:$A$283,$A2564,Summary!$P$247:$P$283),0)</f>
        <v>1360.7461815893087</v>
      </c>
      <c r="AJ2564" s="196">
        <f>IFERROR($G2564/SUMIF($A:$A,$A2564,$G:$G)*(SUMIF(Summary!$A$247:$A$283,$A2564,Summary!$L$247:$L$283)+SUMIF(Summary!$A$297:$A$333,$A2564,Summary!$L$297:$L$333))-AI2564,0)</f>
        <v>2532.1787226217575</v>
      </c>
      <c r="AK2564" s="196">
        <f>IFERROR($G2564/SUMIF($A:$A,$A2564,$G:$G)*SUMIF(Summary!$A$247:$A$283,$A2564,Summary!$Q$247:$Q$283),0)</f>
        <v>1370.2092515957677</v>
      </c>
      <c r="AL2564" s="196">
        <f>IFERROR($G2564/SUMIF($A:$A,$A2564,$G:$G)*(SUMIF(Summary!$A$247:$A$283,$A2564,Summary!$L$247:$L$283)+SUMIF(Summary!$A$297:$A$333,$A2564,Summary!$L$297:$L$333))-AK2564,0)</f>
        <v>2522.7156526152985</v>
      </c>
      <c r="AM2564" s="198"/>
      <c r="AN2564" s="196">
        <f t="shared" ca="1" si="558"/>
        <v>15958.012742793904</v>
      </c>
      <c r="AO2564" s="196">
        <f t="shared" ca="1" si="559"/>
        <v>15896.661707567069</v>
      </c>
    </row>
    <row r="2565" spans="1:41">
      <c r="A2565" s="189">
        <v>9741</v>
      </c>
      <c r="B2565" s="190">
        <v>2</v>
      </c>
      <c r="C2565" s="191" t="s">
        <v>239</v>
      </c>
      <c r="D2565" s="192">
        <f t="shared" ref="D2565:D2628" si="560">H2565+L2565+P2565</f>
        <v>0</v>
      </c>
      <c r="E2565" s="192">
        <f t="shared" ref="E2565:E2628" si="561">I2565+M2565+Q2565</f>
        <v>0</v>
      </c>
      <c r="F2565" s="192">
        <f t="shared" ref="F2565:F2628" si="562">J2565+N2565+R2565</f>
        <v>0</v>
      </c>
      <c r="G2565" s="193">
        <f t="shared" ref="G2565:G2628" si="563">(SUM(D2565:E2565)-F2565)*IF(A2565=10298,1.51,1)</f>
        <v>0</v>
      </c>
      <c r="H2565" s="194">
        <v>0</v>
      </c>
      <c r="I2565" s="194">
        <v>0</v>
      </c>
      <c r="J2565" s="194">
        <v>0</v>
      </c>
      <c r="K2565" s="193">
        <f t="shared" ref="K2565:K2628" si="564">SUM(H2565:I2565)-J2565</f>
        <v>0</v>
      </c>
      <c r="L2565" s="194">
        <v>0</v>
      </c>
      <c r="M2565" s="194">
        <v>0</v>
      </c>
      <c r="N2565" s="194">
        <v>0</v>
      </c>
      <c r="O2565" s="193">
        <f t="shared" ref="O2565:O2628" si="565">SUM(L2565:M2565)-N2565</f>
        <v>0</v>
      </c>
      <c r="P2565" s="194">
        <v>0</v>
      </c>
      <c r="Q2565" s="194">
        <v>0</v>
      </c>
      <c r="R2565" s="194">
        <v>0</v>
      </c>
      <c r="S2565" s="193">
        <f t="shared" ref="S2565:S2628" si="566">SUM(P2565:Q2565)-R2565</f>
        <v>0</v>
      </c>
      <c r="T2565" s="193">
        <f t="shared" ref="T2565:T2628" si="567">IF(OR(B2565=1,B2565=2),G2565/30,IF(OR(B2565=3,B2565=5),G2565/24,IF(B2565=4,G2565/18,0)))</f>
        <v>0</v>
      </c>
      <c r="U2565" s="193">
        <f ca="1">OFFSET('Expenditure Study'!$B$7,'Operations Support'!$C2565,'Operations Support'!$B2565)*$G2565</f>
        <v>0</v>
      </c>
      <c r="V2565" s="199">
        <f ca="1">U2565*'Expenditure Study'!$B$31</f>
        <v>0</v>
      </c>
      <c r="W2565" s="199">
        <f ca="1">IF(A2565=10298,1.51,1)*IF($B2565&lt;3,$D2565*'Expenditure Study'!$B$32*OFFSET('Expenditure Study'!$B$7,'Operations Support'!$C2565,'Operations Support'!$B2565),0)</f>
        <v>0</v>
      </c>
      <c r="X2565" s="200">
        <f ca="1">W2565*'Expenditure Study'!$B$31</f>
        <v>0</v>
      </c>
      <c r="Y2565" s="199">
        <f ca="1">U2565*'Expenditure Study'!$B$31</f>
        <v>0</v>
      </c>
      <c r="Z2565" s="200">
        <f ca="1">W2565*'Expenditure Study'!$B$31</f>
        <v>0</v>
      </c>
      <c r="AA2565" s="195">
        <f t="shared" ref="AA2565:AA2628" ca="1" si="568">V2565+X2565</f>
        <v>0</v>
      </c>
      <c r="AB2565" s="195">
        <f t="shared" ref="AB2565:AB2628" ca="1" si="569">Y2565+Z2565</f>
        <v>0</v>
      </c>
      <c r="AD2565" s="196">
        <f>IFERROR($G2565/SUMIF($A:$A,$A2565,$G:$G)*SUMIF(Summary!$A$166:$A$242,$A2565,Summary!$P$166:$P$242),0)</f>
        <v>0</v>
      </c>
      <c r="AE2565" s="197">
        <f t="shared" ca="1" si="556"/>
        <v>0</v>
      </c>
      <c r="AF2565" s="196">
        <f>IFERROR(G2565/SUMIF(A:A,A2565,G:G)*SUMIF(Summary!$A$166:$A$242,'Operations Support'!A2565,Summary!$Q$166:$Q$242),0)</f>
        <v>0</v>
      </c>
      <c r="AG2565" s="196">
        <f t="shared" ca="1" si="557"/>
        <v>0</v>
      </c>
      <c r="AI2565" s="196">
        <f>IFERROR($G2565/SUMIF($A:$A,$A2565,$G:$G)*SUMIF(Summary!$A$247:$A$283,$A2565,Summary!$P$247:$P$283),0)</f>
        <v>0</v>
      </c>
      <c r="AJ2565" s="196">
        <f>IFERROR($G2565/SUMIF($A:$A,$A2565,$G:$G)*(SUMIF(Summary!$A$247:$A$283,$A2565,Summary!$L$247:$L$283)+SUMIF(Summary!$A$297:$A$333,$A2565,Summary!$L$297:$L$333))-AI2565,0)</f>
        <v>0</v>
      </c>
      <c r="AK2565" s="196">
        <f>IFERROR($G2565/SUMIF($A:$A,$A2565,$G:$G)*SUMIF(Summary!$A$247:$A$283,$A2565,Summary!$Q$247:$Q$283),0)</f>
        <v>0</v>
      </c>
      <c r="AL2565" s="196">
        <f>IFERROR($G2565/SUMIF($A:$A,$A2565,$G:$G)*(SUMIF(Summary!$A$247:$A$283,$A2565,Summary!$L$247:$L$283)+SUMIF(Summary!$A$297:$A$333,$A2565,Summary!$L$297:$L$333))-AK2565,0)</f>
        <v>0</v>
      </c>
      <c r="AM2565" s="198"/>
      <c r="AN2565" s="196">
        <f t="shared" ca="1" si="558"/>
        <v>0</v>
      </c>
      <c r="AO2565" s="196">
        <f t="shared" ca="1" si="559"/>
        <v>0</v>
      </c>
    </row>
    <row r="2566" spans="1:41">
      <c r="A2566" s="189">
        <v>9741</v>
      </c>
      <c r="B2566" s="190">
        <v>2</v>
      </c>
      <c r="C2566" s="191" t="s">
        <v>240</v>
      </c>
      <c r="D2566" s="192">
        <f t="shared" si="560"/>
        <v>0</v>
      </c>
      <c r="E2566" s="192">
        <f t="shared" si="561"/>
        <v>0</v>
      </c>
      <c r="F2566" s="192">
        <f t="shared" si="562"/>
        <v>0</v>
      </c>
      <c r="G2566" s="193">
        <f t="shared" si="563"/>
        <v>0</v>
      </c>
      <c r="H2566" s="194">
        <v>0</v>
      </c>
      <c r="I2566" s="194">
        <v>0</v>
      </c>
      <c r="J2566" s="194">
        <v>0</v>
      </c>
      <c r="K2566" s="193">
        <f t="shared" si="564"/>
        <v>0</v>
      </c>
      <c r="L2566" s="194">
        <v>0</v>
      </c>
      <c r="M2566" s="194">
        <v>0</v>
      </c>
      <c r="N2566" s="194">
        <v>0</v>
      </c>
      <c r="O2566" s="193">
        <f t="shared" si="565"/>
        <v>0</v>
      </c>
      <c r="P2566" s="194">
        <v>0</v>
      </c>
      <c r="Q2566" s="194">
        <v>0</v>
      </c>
      <c r="R2566" s="194">
        <v>0</v>
      </c>
      <c r="S2566" s="193">
        <f t="shared" si="566"/>
        <v>0</v>
      </c>
      <c r="T2566" s="193">
        <f t="shared" si="567"/>
        <v>0</v>
      </c>
      <c r="U2566" s="193">
        <f ca="1">OFFSET('Expenditure Study'!$B$7,'Operations Support'!$C2566,'Operations Support'!$B2566)*$G2566</f>
        <v>0</v>
      </c>
      <c r="V2566" s="199">
        <f ca="1">U2566*'Expenditure Study'!$B$31</f>
        <v>0</v>
      </c>
      <c r="W2566" s="199">
        <f ca="1">IF(A2566=10298,1.51,1)*IF($B2566&lt;3,$D2566*'Expenditure Study'!$B$32*OFFSET('Expenditure Study'!$B$7,'Operations Support'!$C2566,'Operations Support'!$B2566),0)</f>
        <v>0</v>
      </c>
      <c r="X2566" s="200">
        <f ca="1">W2566*'Expenditure Study'!$B$31</f>
        <v>0</v>
      </c>
      <c r="Y2566" s="199">
        <f ca="1">U2566*'Expenditure Study'!$B$31</f>
        <v>0</v>
      </c>
      <c r="Z2566" s="200">
        <f ca="1">W2566*'Expenditure Study'!$B$31</f>
        <v>0</v>
      </c>
      <c r="AA2566" s="195">
        <f t="shared" ca="1" si="568"/>
        <v>0</v>
      </c>
      <c r="AB2566" s="195">
        <f t="shared" ca="1" si="569"/>
        <v>0</v>
      </c>
      <c r="AD2566" s="196">
        <f>IFERROR($G2566/SUMIF($A:$A,$A2566,$G:$G)*SUMIF(Summary!$A$166:$A$242,$A2566,Summary!$P$166:$P$242),0)</f>
        <v>0</v>
      </c>
      <c r="AE2566" s="197">
        <f t="shared" ref="AE2566:AE2629" ca="1" si="570">V2566+X2566-AD2566</f>
        <v>0</v>
      </c>
      <c r="AF2566" s="196">
        <f>IFERROR(G2566/SUMIF(A:A,A2566,G:G)*SUMIF(Summary!$A$166:$A$242,'Operations Support'!A2566,Summary!$Q$166:$Q$242),0)</f>
        <v>0</v>
      </c>
      <c r="AG2566" s="196">
        <f t="shared" ref="AG2566:AG2629" ca="1" si="571">Y2566+Z2566-AF2566</f>
        <v>0</v>
      </c>
      <c r="AI2566" s="196">
        <f>IFERROR($G2566/SUMIF($A:$A,$A2566,$G:$G)*SUMIF(Summary!$A$247:$A$283,$A2566,Summary!$P$247:$P$283),0)</f>
        <v>0</v>
      </c>
      <c r="AJ2566" s="196">
        <f>IFERROR($G2566/SUMIF($A:$A,$A2566,$G:$G)*(SUMIF(Summary!$A$247:$A$283,$A2566,Summary!$L$247:$L$283)+SUMIF(Summary!$A$297:$A$333,$A2566,Summary!$L$297:$L$333))-AI2566,0)</f>
        <v>0</v>
      </c>
      <c r="AK2566" s="196">
        <f>IFERROR($G2566/SUMIF($A:$A,$A2566,$G:$G)*SUMIF(Summary!$A$247:$A$283,$A2566,Summary!$Q$247:$Q$283),0)</f>
        <v>0</v>
      </c>
      <c r="AL2566" s="196">
        <f>IFERROR($G2566/SUMIF($A:$A,$A2566,$G:$G)*(SUMIF(Summary!$A$247:$A$283,$A2566,Summary!$L$247:$L$283)+SUMIF(Summary!$A$297:$A$333,$A2566,Summary!$L$297:$L$333))-AK2566,0)</f>
        <v>0</v>
      </c>
      <c r="AM2566" s="198"/>
      <c r="AN2566" s="196">
        <f t="shared" ref="AN2566:AN2629" ca="1" si="572">AE2566+AJ2566</f>
        <v>0</v>
      </c>
      <c r="AO2566" s="196">
        <f t="shared" ref="AO2566:AO2629" ca="1" si="573">AG2566+AL2566</f>
        <v>0</v>
      </c>
    </row>
    <row r="2567" spans="1:41">
      <c r="A2567" s="189">
        <v>9741</v>
      </c>
      <c r="B2567" s="190">
        <v>3</v>
      </c>
      <c r="C2567" s="191" t="s">
        <v>220</v>
      </c>
      <c r="D2567" s="192">
        <f t="shared" si="560"/>
        <v>4845</v>
      </c>
      <c r="E2567" s="192">
        <f t="shared" si="561"/>
        <v>3642</v>
      </c>
      <c r="F2567" s="192">
        <f t="shared" si="562"/>
        <v>0</v>
      </c>
      <c r="G2567" s="193">
        <f t="shared" si="563"/>
        <v>8487</v>
      </c>
      <c r="H2567" s="194">
        <v>2414</v>
      </c>
      <c r="I2567" s="194">
        <v>1316</v>
      </c>
      <c r="J2567" s="194">
        <v>0</v>
      </c>
      <c r="K2567" s="193">
        <f t="shared" si="564"/>
        <v>3730</v>
      </c>
      <c r="L2567" s="194">
        <v>2333</v>
      </c>
      <c r="M2567" s="194">
        <v>1469</v>
      </c>
      <c r="N2567" s="194">
        <v>0</v>
      </c>
      <c r="O2567" s="193">
        <f t="shared" si="565"/>
        <v>3802</v>
      </c>
      <c r="P2567" s="194">
        <v>98</v>
      </c>
      <c r="Q2567" s="194">
        <v>857</v>
      </c>
      <c r="R2567" s="194">
        <v>0</v>
      </c>
      <c r="S2567" s="193">
        <f t="shared" si="566"/>
        <v>955</v>
      </c>
      <c r="T2567" s="193">
        <f t="shared" si="567"/>
        <v>353.625</v>
      </c>
      <c r="U2567" s="193">
        <f ca="1">OFFSET('Expenditure Study'!$B$7,'Operations Support'!$C2567,'Operations Support'!$B2567)*$G2567</f>
        <v>37852.019999999997</v>
      </c>
      <c r="V2567" s="199">
        <f ca="1">U2567*'Expenditure Study'!$B$31</f>
        <v>2236417.7413052157</v>
      </c>
      <c r="W2567" s="199">
        <f ca="1">IF(A2567=10298,1.51,1)*IF($B2567&lt;3,$D2567*'Expenditure Study'!$B$32*OFFSET('Expenditure Study'!$B$7,'Operations Support'!$C2567,'Operations Support'!$B2567),0)</f>
        <v>0</v>
      </c>
      <c r="X2567" s="200">
        <f ca="1">W2567*'Expenditure Study'!$B$31</f>
        <v>0</v>
      </c>
      <c r="Y2567" s="199">
        <f ca="1">U2567*'Expenditure Study'!$B$31</f>
        <v>2236417.7413052157</v>
      </c>
      <c r="Z2567" s="200">
        <f ca="1">W2567*'Expenditure Study'!$B$31</f>
        <v>0</v>
      </c>
      <c r="AA2567" s="195">
        <f t="shared" ca="1" si="568"/>
        <v>2236417.7413052157</v>
      </c>
      <c r="AB2567" s="195">
        <f t="shared" ca="1" si="569"/>
        <v>2236417.7413052157</v>
      </c>
      <c r="AD2567" s="196">
        <f>IFERROR($G2567/SUMIF($A:$A,$A2567,$G:$G)*SUMIF(Summary!$A$166:$A$242,$A2567,Summary!$P$166:$P$242),0)</f>
        <v>430773.10341048695</v>
      </c>
      <c r="AE2567" s="197">
        <f t="shared" ca="1" si="570"/>
        <v>1805644.6378947287</v>
      </c>
      <c r="AF2567" s="196">
        <f>IFERROR(G2567/SUMIF(A:A,A2567,G:G)*SUMIF(Summary!$A$166:$A$242,'Operations Support'!A2567,Summary!$Q$166:$Q$242),0)</f>
        <v>433768.83919841453</v>
      </c>
      <c r="AG2567" s="196">
        <f t="shared" ca="1" si="571"/>
        <v>1802648.9021068013</v>
      </c>
      <c r="AI2567" s="196">
        <f>IFERROR($G2567/SUMIF($A:$A,$A2567,$G:$G)*SUMIF(Summary!$A$247:$A$283,$A2567,Summary!$P$247:$P$283),0)</f>
        <v>78562.264239105178</v>
      </c>
      <c r="AJ2567" s="196">
        <f>IFERROR($G2567/SUMIF($A:$A,$A2567,$G:$G)*(SUMIF(Summary!$A$247:$A$283,$A2567,Summary!$L$247:$L$283)+SUMIF(Summary!$A$297:$A$333,$A2567,Summary!$L$297:$L$333))-AI2567,0)</f>
        <v>146194.5633938153</v>
      </c>
      <c r="AK2567" s="196">
        <f>IFERROR($G2567/SUMIF($A:$A,$A2567,$G:$G)*SUMIF(Summary!$A$247:$A$283,$A2567,Summary!$Q$247:$Q$283),0)</f>
        <v>79108.61168906992</v>
      </c>
      <c r="AL2567" s="196">
        <f>IFERROR($G2567/SUMIF($A:$A,$A2567,$G:$G)*(SUMIF(Summary!$A$247:$A$283,$A2567,Summary!$L$247:$L$283)+SUMIF(Summary!$A$297:$A$333,$A2567,Summary!$L$297:$L$333))-AK2567,0)</f>
        <v>145648.21594385058</v>
      </c>
      <c r="AM2567" s="198"/>
      <c r="AN2567" s="196">
        <f t="shared" ca="1" si="572"/>
        <v>1951839.2012885441</v>
      </c>
      <c r="AO2567" s="196">
        <f t="shared" ca="1" si="573"/>
        <v>1948297.1180506519</v>
      </c>
    </row>
    <row r="2568" spans="1:41">
      <c r="A2568" s="189">
        <v>9741</v>
      </c>
      <c r="B2568" s="190">
        <v>3</v>
      </c>
      <c r="C2568" s="191" t="s">
        <v>221</v>
      </c>
      <c r="D2568" s="192">
        <f t="shared" si="560"/>
        <v>11508.8</v>
      </c>
      <c r="E2568" s="192">
        <f t="shared" si="561"/>
        <v>22084.2</v>
      </c>
      <c r="F2568" s="192">
        <f t="shared" si="562"/>
        <v>0</v>
      </c>
      <c r="G2568" s="193">
        <f t="shared" si="563"/>
        <v>33593</v>
      </c>
      <c r="H2568" s="194">
        <v>5746</v>
      </c>
      <c r="I2568" s="194">
        <v>10172</v>
      </c>
      <c r="J2568" s="194">
        <v>0</v>
      </c>
      <c r="K2568" s="193">
        <f t="shared" si="564"/>
        <v>15918</v>
      </c>
      <c r="L2568" s="194">
        <v>5543.5</v>
      </c>
      <c r="M2568" s="194">
        <v>11290.5</v>
      </c>
      <c r="N2568" s="194">
        <v>0</v>
      </c>
      <c r="O2568" s="193">
        <f t="shared" si="565"/>
        <v>16834</v>
      </c>
      <c r="P2568" s="194">
        <v>219.3</v>
      </c>
      <c r="Q2568" s="194">
        <v>621.70000000000005</v>
      </c>
      <c r="R2568" s="194">
        <v>0</v>
      </c>
      <c r="S2568" s="193">
        <f t="shared" si="566"/>
        <v>841</v>
      </c>
      <c r="T2568" s="193">
        <f t="shared" si="567"/>
        <v>1399.7083333333333</v>
      </c>
      <c r="U2568" s="193">
        <f ca="1">OFFSET('Expenditure Study'!$B$7,'Operations Support'!$C2568,'Operations Support'!$B2568)*$G2568</f>
        <v>235151</v>
      </c>
      <c r="V2568" s="199">
        <f ca="1">U2568*'Expenditure Study'!$B$31</f>
        <v>13893469.048300801</v>
      </c>
      <c r="W2568" s="199">
        <f ca="1">IF(A2568=10298,1.51,1)*IF($B2568&lt;3,$D2568*'Expenditure Study'!$B$32*OFFSET('Expenditure Study'!$B$7,'Operations Support'!$C2568,'Operations Support'!$B2568),0)</f>
        <v>0</v>
      </c>
      <c r="X2568" s="200">
        <f ca="1">W2568*'Expenditure Study'!$B$31</f>
        <v>0</v>
      </c>
      <c r="Y2568" s="199">
        <f ca="1">U2568*'Expenditure Study'!$B$31</f>
        <v>13893469.048300801</v>
      </c>
      <c r="Z2568" s="200">
        <f ca="1">W2568*'Expenditure Study'!$B$31</f>
        <v>0</v>
      </c>
      <c r="AA2568" s="195">
        <f t="shared" ca="1" si="568"/>
        <v>13893469.048300801</v>
      </c>
      <c r="AB2568" s="195">
        <f t="shared" ca="1" si="569"/>
        <v>13893469.048300801</v>
      </c>
      <c r="AD2568" s="196">
        <f>IFERROR($G2568/SUMIF($A:$A,$A2568,$G:$G)*SUMIF(Summary!$A$166:$A$242,$A2568,Summary!$P$166:$P$242),0)</f>
        <v>1705073.7437102024</v>
      </c>
      <c r="AE2568" s="197">
        <f t="shared" ca="1" si="570"/>
        <v>12188395.304590598</v>
      </c>
      <c r="AF2568" s="196">
        <f>IFERROR(G2568/SUMIF(A:A,A2568,G:G)*SUMIF(Summary!$A$166:$A$242,'Operations Support'!A2568,Summary!$Q$166:$Q$242),0)</f>
        <v>1716931.3791908023</v>
      </c>
      <c r="AG2568" s="196">
        <f t="shared" ca="1" si="571"/>
        <v>12176537.669109998</v>
      </c>
      <c r="AI2568" s="196">
        <f>IFERROR($G2568/SUMIF($A:$A,$A2568,$G:$G)*SUMIF(Summary!$A$247:$A$283,$A2568,Summary!$P$247:$P$283),0)</f>
        <v>310962.90121176629</v>
      </c>
      <c r="AJ2568" s="196">
        <f>IFERROR($G2568/SUMIF($A:$A,$A2568,$G:$G)*(SUMIF(Summary!$A$247:$A$283,$A2568,Summary!$L$247:$L$283)+SUMIF(Summary!$A$297:$A$333,$A2568,Summary!$L$297:$L$333))-AI2568,0)</f>
        <v>578663.12808865774</v>
      </c>
      <c r="AK2568" s="196">
        <f>IFERROR($G2568/SUMIF($A:$A,$A2568,$G:$G)*SUMIF(Summary!$A$247:$A$283,$A2568,Summary!$Q$247:$Q$283),0)</f>
        <v>313125.43801943277</v>
      </c>
      <c r="AL2568" s="196">
        <f>IFERROR($G2568/SUMIF($A:$A,$A2568,$G:$G)*(SUMIF(Summary!$A$247:$A$283,$A2568,Summary!$L$247:$L$283)+SUMIF(Summary!$A$297:$A$333,$A2568,Summary!$L$297:$L$333))-AK2568,0)</f>
        <v>576500.59128099121</v>
      </c>
      <c r="AM2568" s="198"/>
      <c r="AN2568" s="196">
        <f t="shared" ca="1" si="572"/>
        <v>12767058.432679255</v>
      </c>
      <c r="AO2568" s="196">
        <f t="shared" ca="1" si="573"/>
        <v>12753038.260390989</v>
      </c>
    </row>
    <row r="2569" spans="1:41">
      <c r="A2569" s="189">
        <v>9741</v>
      </c>
      <c r="B2569" s="190">
        <v>3</v>
      </c>
      <c r="C2569" s="191" t="s">
        <v>222</v>
      </c>
      <c r="D2569" s="192">
        <f t="shared" si="560"/>
        <v>787</v>
      </c>
      <c r="E2569" s="192">
        <f t="shared" si="561"/>
        <v>135</v>
      </c>
      <c r="F2569" s="192">
        <f t="shared" si="562"/>
        <v>0</v>
      </c>
      <c r="G2569" s="193">
        <f t="shared" si="563"/>
        <v>922</v>
      </c>
      <c r="H2569" s="194">
        <v>411</v>
      </c>
      <c r="I2569" s="194">
        <v>66</v>
      </c>
      <c r="J2569" s="194">
        <v>0</v>
      </c>
      <c r="K2569" s="193">
        <f t="shared" si="564"/>
        <v>477</v>
      </c>
      <c r="L2569" s="194">
        <v>364</v>
      </c>
      <c r="M2569" s="194">
        <v>69</v>
      </c>
      <c r="N2569" s="194">
        <v>0</v>
      </c>
      <c r="O2569" s="193">
        <f t="shared" si="565"/>
        <v>433</v>
      </c>
      <c r="P2569" s="194">
        <v>12</v>
      </c>
      <c r="Q2569" s="194">
        <v>0</v>
      </c>
      <c r="R2569" s="194">
        <v>0</v>
      </c>
      <c r="S2569" s="193">
        <f t="shared" si="566"/>
        <v>12</v>
      </c>
      <c r="T2569" s="193">
        <f t="shared" si="567"/>
        <v>38.416666666666664</v>
      </c>
      <c r="U2569" s="193">
        <f ca="1">OFFSET('Expenditure Study'!$B$7,'Operations Support'!$C2569,'Operations Support'!$B2569)*$G2569</f>
        <v>6924.22</v>
      </c>
      <c r="V2569" s="199">
        <f ca="1">U2569*'Expenditure Study'!$B$31</f>
        <v>409104.94215897605</v>
      </c>
      <c r="W2569" s="199">
        <f ca="1">IF(A2569=10298,1.51,1)*IF($B2569&lt;3,$D2569*'Expenditure Study'!$B$32*OFFSET('Expenditure Study'!$B$7,'Operations Support'!$C2569,'Operations Support'!$B2569),0)</f>
        <v>0</v>
      </c>
      <c r="X2569" s="200">
        <f ca="1">W2569*'Expenditure Study'!$B$31</f>
        <v>0</v>
      </c>
      <c r="Y2569" s="199">
        <f ca="1">U2569*'Expenditure Study'!$B$31</f>
        <v>409104.94215897605</v>
      </c>
      <c r="Z2569" s="200">
        <f ca="1">W2569*'Expenditure Study'!$B$31</f>
        <v>0</v>
      </c>
      <c r="AA2569" s="195">
        <f t="shared" ca="1" si="568"/>
        <v>409104.94215897605</v>
      </c>
      <c r="AB2569" s="195">
        <f t="shared" ca="1" si="569"/>
        <v>409104.94215897605</v>
      </c>
      <c r="AD2569" s="196">
        <f>IFERROR($G2569/SUMIF($A:$A,$A2569,$G:$G)*SUMIF(Summary!$A$166:$A$242,$A2569,Summary!$P$166:$P$242),0)</f>
        <v>46797.785005828795</v>
      </c>
      <c r="AE2569" s="197">
        <f t="shared" ca="1" si="570"/>
        <v>362307.15715314727</v>
      </c>
      <c r="AF2569" s="196">
        <f>IFERROR(G2569/SUMIF(A:A,A2569,G:G)*SUMIF(Summary!$A$166:$A$242,'Operations Support'!A2569,Summary!$Q$166:$Q$242),0)</f>
        <v>47123.231971360692</v>
      </c>
      <c r="AG2569" s="196">
        <f t="shared" ca="1" si="571"/>
        <v>361981.71018761536</v>
      </c>
      <c r="AI2569" s="196">
        <f>IFERROR($G2569/SUMIF($A:$A,$A2569,$G:$G)*SUMIF(Summary!$A$247:$A$283,$A2569,Summary!$P$247:$P$283),0)</f>
        <v>8534.7481593560715</v>
      </c>
      <c r="AJ2569" s="196">
        <f>IFERROR($G2569/SUMIF($A:$A,$A2569,$G:$G)*(SUMIF(Summary!$A$247:$A$283,$A2569,Summary!$L$247:$L$283)+SUMIF(Summary!$A$297:$A$333,$A2569,Summary!$L$297:$L$333))-AI2569,0)</f>
        <v>15882.100559573197</v>
      </c>
      <c r="AK2569" s="196">
        <f>IFERROR($G2569/SUMIF($A:$A,$A2569,$G:$G)*SUMIF(Summary!$A$247:$A$283,$A2569,Summary!$Q$247:$Q$283),0)</f>
        <v>8594.1015644305953</v>
      </c>
      <c r="AL2569" s="196">
        <f>IFERROR($G2569/SUMIF($A:$A,$A2569,$G:$G)*(SUMIF(Summary!$A$247:$A$283,$A2569,Summary!$L$247:$L$283)+SUMIF(Summary!$A$297:$A$333,$A2569,Summary!$L$297:$L$333))-AK2569,0)</f>
        <v>15822.747154498673</v>
      </c>
      <c r="AM2569" s="198"/>
      <c r="AN2569" s="196">
        <f t="shared" ca="1" si="572"/>
        <v>378189.25771272049</v>
      </c>
      <c r="AO2569" s="196">
        <f t="shared" ca="1" si="573"/>
        <v>377804.45734211401</v>
      </c>
    </row>
    <row r="2570" spans="1:41">
      <c r="A2570" s="189">
        <v>9741</v>
      </c>
      <c r="B2570" s="190">
        <v>3</v>
      </c>
      <c r="C2570" s="191" t="s">
        <v>223</v>
      </c>
      <c r="D2570" s="192">
        <f t="shared" si="560"/>
        <v>0</v>
      </c>
      <c r="E2570" s="192">
        <f t="shared" si="561"/>
        <v>6</v>
      </c>
      <c r="F2570" s="192">
        <f t="shared" si="562"/>
        <v>0</v>
      </c>
      <c r="G2570" s="193">
        <f t="shared" si="563"/>
        <v>6</v>
      </c>
      <c r="H2570" s="194">
        <v>0</v>
      </c>
      <c r="I2570" s="194">
        <v>6</v>
      </c>
      <c r="J2570" s="194">
        <v>0</v>
      </c>
      <c r="K2570" s="193">
        <f t="shared" si="564"/>
        <v>6</v>
      </c>
      <c r="L2570" s="194">
        <v>0</v>
      </c>
      <c r="M2570" s="194">
        <v>0</v>
      </c>
      <c r="N2570" s="194">
        <v>0</v>
      </c>
      <c r="O2570" s="193">
        <f t="shared" si="565"/>
        <v>0</v>
      </c>
      <c r="P2570" s="194">
        <v>0</v>
      </c>
      <c r="Q2570" s="194">
        <v>0</v>
      </c>
      <c r="R2570" s="194">
        <v>0</v>
      </c>
      <c r="S2570" s="193">
        <f t="shared" si="566"/>
        <v>0</v>
      </c>
      <c r="T2570" s="193">
        <f t="shared" si="567"/>
        <v>0.25</v>
      </c>
      <c r="U2570" s="193">
        <f ca="1">OFFSET('Expenditure Study'!$B$7,'Operations Support'!$C2570,'Operations Support'!$B2570)*$G2570</f>
        <v>13.440000000000001</v>
      </c>
      <c r="V2570" s="199">
        <f ca="1">U2570*'Expenditure Study'!$B$31</f>
        <v>794.07794995200004</v>
      </c>
      <c r="W2570" s="199">
        <f ca="1">IF(A2570=10298,1.51,1)*IF($B2570&lt;3,$D2570*'Expenditure Study'!$B$32*OFFSET('Expenditure Study'!$B$7,'Operations Support'!$C2570,'Operations Support'!$B2570),0)</f>
        <v>0</v>
      </c>
      <c r="X2570" s="200">
        <f ca="1">W2570*'Expenditure Study'!$B$31</f>
        <v>0</v>
      </c>
      <c r="Y2570" s="199">
        <f ca="1">U2570*'Expenditure Study'!$B$31</f>
        <v>794.07794995200004</v>
      </c>
      <c r="Z2570" s="200">
        <f ca="1">W2570*'Expenditure Study'!$B$31</f>
        <v>0</v>
      </c>
      <c r="AA2570" s="195">
        <f t="shared" ca="1" si="568"/>
        <v>794.07794995200004</v>
      </c>
      <c r="AB2570" s="195">
        <f t="shared" ca="1" si="569"/>
        <v>794.07794995200004</v>
      </c>
      <c r="AD2570" s="196">
        <f>IFERROR($G2570/SUMIF($A:$A,$A2570,$G:$G)*SUMIF(Summary!$A$166:$A$242,$A2570,Summary!$P$166:$P$242),0)</f>
        <v>304.54090025485118</v>
      </c>
      <c r="AE2570" s="197">
        <f t="shared" ca="1" si="570"/>
        <v>489.53704969714886</v>
      </c>
      <c r="AF2570" s="196">
        <f>IFERROR(G2570/SUMIF(A:A,A2570,G:G)*SUMIF(Summary!$A$166:$A$242,'Operations Support'!A2570,Summary!$Q$166:$Q$242),0)</f>
        <v>306.65877638629524</v>
      </c>
      <c r="AG2570" s="196">
        <f t="shared" ca="1" si="571"/>
        <v>487.4191735657048</v>
      </c>
      <c r="AI2570" s="196">
        <f>IFERROR($G2570/SUMIF($A:$A,$A2570,$G:$G)*SUMIF(Summary!$A$247:$A$283,$A2570,Summary!$P$247:$P$283),0)</f>
        <v>55.540660473033007</v>
      </c>
      <c r="AJ2570" s="196">
        <f>IFERROR($G2570/SUMIF($A:$A,$A2570,$G:$G)*(SUMIF(Summary!$A$247:$A$283,$A2570,Summary!$L$247:$L$283)+SUMIF(Summary!$A$297:$A$333,$A2570,Summary!$L$297:$L$333))-AI2570,0)</f>
        <v>103.35423357639829</v>
      </c>
      <c r="AK2570" s="196">
        <f>IFERROR($G2570/SUMIF($A:$A,$A2570,$G:$G)*SUMIF(Summary!$A$247:$A$283,$A2570,Summary!$Q$247:$Q$283),0)</f>
        <v>55.92690822839868</v>
      </c>
      <c r="AL2570" s="196">
        <f>IFERROR($G2570/SUMIF($A:$A,$A2570,$G:$G)*(SUMIF(Summary!$A$247:$A$283,$A2570,Summary!$L$247:$L$283)+SUMIF(Summary!$A$297:$A$333,$A2570,Summary!$L$297:$L$333))-AK2570,0)</f>
        <v>102.96798582103261</v>
      </c>
      <c r="AM2570" s="198"/>
      <c r="AN2570" s="196">
        <f t="shared" ca="1" si="572"/>
        <v>592.89128327354717</v>
      </c>
      <c r="AO2570" s="196">
        <f t="shared" ca="1" si="573"/>
        <v>590.38715938673738</v>
      </c>
    </row>
    <row r="2571" spans="1:41">
      <c r="A2571" s="189">
        <v>9741</v>
      </c>
      <c r="B2571" s="190">
        <v>3</v>
      </c>
      <c r="C2571" s="191" t="s">
        <v>224</v>
      </c>
      <c r="D2571" s="192">
        <f t="shared" si="560"/>
        <v>0</v>
      </c>
      <c r="E2571" s="192">
        <f t="shared" si="561"/>
        <v>0</v>
      </c>
      <c r="F2571" s="192">
        <f t="shared" si="562"/>
        <v>0</v>
      </c>
      <c r="G2571" s="193">
        <f t="shared" si="563"/>
        <v>0</v>
      </c>
      <c r="H2571" s="194">
        <v>0</v>
      </c>
      <c r="I2571" s="194">
        <v>0</v>
      </c>
      <c r="J2571" s="194">
        <v>0</v>
      </c>
      <c r="K2571" s="193">
        <f t="shared" si="564"/>
        <v>0</v>
      </c>
      <c r="L2571" s="194">
        <v>0</v>
      </c>
      <c r="M2571" s="194">
        <v>0</v>
      </c>
      <c r="N2571" s="194">
        <v>0</v>
      </c>
      <c r="O2571" s="193">
        <f t="shared" si="565"/>
        <v>0</v>
      </c>
      <c r="P2571" s="194">
        <v>0</v>
      </c>
      <c r="Q2571" s="194">
        <v>0</v>
      </c>
      <c r="R2571" s="194">
        <v>0</v>
      </c>
      <c r="S2571" s="193">
        <f t="shared" si="566"/>
        <v>0</v>
      </c>
      <c r="T2571" s="193">
        <f t="shared" si="567"/>
        <v>0</v>
      </c>
      <c r="U2571" s="193">
        <f ca="1">OFFSET('Expenditure Study'!$B$7,'Operations Support'!$C2571,'Operations Support'!$B2571)*$G2571</f>
        <v>0</v>
      </c>
      <c r="V2571" s="199">
        <f ca="1">U2571*'Expenditure Study'!$B$31</f>
        <v>0</v>
      </c>
      <c r="W2571" s="199">
        <f ca="1">IF(A2571=10298,1.51,1)*IF($B2571&lt;3,$D2571*'Expenditure Study'!$B$32*OFFSET('Expenditure Study'!$B$7,'Operations Support'!$C2571,'Operations Support'!$B2571),0)</f>
        <v>0</v>
      </c>
      <c r="X2571" s="200">
        <f ca="1">W2571*'Expenditure Study'!$B$31</f>
        <v>0</v>
      </c>
      <c r="Y2571" s="199">
        <f ca="1">U2571*'Expenditure Study'!$B$31</f>
        <v>0</v>
      </c>
      <c r="Z2571" s="200">
        <f ca="1">W2571*'Expenditure Study'!$B$31</f>
        <v>0</v>
      </c>
      <c r="AA2571" s="195">
        <f t="shared" ca="1" si="568"/>
        <v>0</v>
      </c>
      <c r="AB2571" s="195">
        <f t="shared" ca="1" si="569"/>
        <v>0</v>
      </c>
      <c r="AD2571" s="196">
        <f>IFERROR($G2571/SUMIF($A:$A,$A2571,$G:$G)*SUMIF(Summary!$A$166:$A$242,$A2571,Summary!$P$166:$P$242),0)</f>
        <v>0</v>
      </c>
      <c r="AE2571" s="197">
        <f t="shared" ca="1" si="570"/>
        <v>0</v>
      </c>
      <c r="AF2571" s="196">
        <f>IFERROR(G2571/SUMIF(A:A,A2571,G:G)*SUMIF(Summary!$A$166:$A$242,'Operations Support'!A2571,Summary!$Q$166:$Q$242),0)</f>
        <v>0</v>
      </c>
      <c r="AG2571" s="196">
        <f t="shared" ca="1" si="571"/>
        <v>0</v>
      </c>
      <c r="AI2571" s="196">
        <f>IFERROR($G2571/SUMIF($A:$A,$A2571,$G:$G)*SUMIF(Summary!$A$247:$A$283,$A2571,Summary!$P$247:$P$283),0)</f>
        <v>0</v>
      </c>
      <c r="AJ2571" s="196">
        <f>IFERROR($G2571/SUMIF($A:$A,$A2571,$G:$G)*(SUMIF(Summary!$A$247:$A$283,$A2571,Summary!$L$247:$L$283)+SUMIF(Summary!$A$297:$A$333,$A2571,Summary!$L$297:$L$333))-AI2571,0)</f>
        <v>0</v>
      </c>
      <c r="AK2571" s="196">
        <f>IFERROR($G2571/SUMIF($A:$A,$A2571,$G:$G)*SUMIF(Summary!$A$247:$A$283,$A2571,Summary!$Q$247:$Q$283),0)</f>
        <v>0</v>
      </c>
      <c r="AL2571" s="196">
        <f>IFERROR($G2571/SUMIF($A:$A,$A2571,$G:$G)*(SUMIF(Summary!$A$247:$A$283,$A2571,Summary!$L$247:$L$283)+SUMIF(Summary!$A$297:$A$333,$A2571,Summary!$L$297:$L$333))-AK2571,0)</f>
        <v>0</v>
      </c>
      <c r="AM2571" s="198"/>
      <c r="AN2571" s="196">
        <f t="shared" ca="1" si="572"/>
        <v>0</v>
      </c>
      <c r="AO2571" s="196">
        <f t="shared" ca="1" si="573"/>
        <v>0</v>
      </c>
    </row>
    <row r="2572" spans="1:41">
      <c r="A2572" s="189">
        <v>9741</v>
      </c>
      <c r="B2572" s="190">
        <v>3</v>
      </c>
      <c r="C2572" s="191" t="s">
        <v>225</v>
      </c>
      <c r="D2572" s="192">
        <f t="shared" si="560"/>
        <v>19560.099999999999</v>
      </c>
      <c r="E2572" s="192">
        <f t="shared" si="561"/>
        <v>20793.900000000001</v>
      </c>
      <c r="F2572" s="192">
        <f t="shared" si="562"/>
        <v>0</v>
      </c>
      <c r="G2572" s="193">
        <f t="shared" si="563"/>
        <v>40354</v>
      </c>
      <c r="H2572" s="194">
        <v>9286</v>
      </c>
      <c r="I2572" s="194">
        <v>8728</v>
      </c>
      <c r="J2572" s="194">
        <v>0</v>
      </c>
      <c r="K2572" s="193">
        <f t="shared" si="564"/>
        <v>18014</v>
      </c>
      <c r="L2572" s="194">
        <v>9108</v>
      </c>
      <c r="M2572" s="194">
        <v>9930</v>
      </c>
      <c r="N2572" s="194">
        <v>0</v>
      </c>
      <c r="O2572" s="193">
        <f t="shared" si="565"/>
        <v>19038</v>
      </c>
      <c r="P2572" s="194">
        <v>1166.0999999999999</v>
      </c>
      <c r="Q2572" s="194">
        <v>2135.9</v>
      </c>
      <c r="R2572" s="194">
        <v>0</v>
      </c>
      <c r="S2572" s="193">
        <f t="shared" si="566"/>
        <v>3302</v>
      </c>
      <c r="T2572" s="193">
        <f t="shared" si="567"/>
        <v>1681.4166666666667</v>
      </c>
      <c r="U2572" s="193">
        <f ca="1">OFFSET('Expenditure Study'!$B$7,'Operations Support'!$C2572,'Operations Support'!$B2572)*$G2572</f>
        <v>278846.14</v>
      </c>
      <c r="V2572" s="199">
        <f ca="1">U2572*'Expenditure Study'!$B$31</f>
        <v>16475116.905002113</v>
      </c>
      <c r="W2572" s="199">
        <f ca="1">IF(A2572=10298,1.51,1)*IF($B2572&lt;3,$D2572*'Expenditure Study'!$B$32*OFFSET('Expenditure Study'!$B$7,'Operations Support'!$C2572,'Operations Support'!$B2572),0)</f>
        <v>0</v>
      </c>
      <c r="X2572" s="200">
        <f ca="1">W2572*'Expenditure Study'!$B$31</f>
        <v>0</v>
      </c>
      <c r="Y2572" s="199">
        <f ca="1">U2572*'Expenditure Study'!$B$31</f>
        <v>16475116.905002113</v>
      </c>
      <c r="Z2572" s="200">
        <f ca="1">W2572*'Expenditure Study'!$B$31</f>
        <v>0</v>
      </c>
      <c r="AA2572" s="195">
        <f t="shared" ca="1" si="568"/>
        <v>16475116.905002113</v>
      </c>
      <c r="AB2572" s="195">
        <f t="shared" ca="1" si="569"/>
        <v>16475116.905002113</v>
      </c>
      <c r="AD2572" s="196">
        <f>IFERROR($G2572/SUMIF($A:$A,$A2572,$G:$G)*SUMIF(Summary!$A$166:$A$242,$A2572,Summary!$P$166:$P$242),0)</f>
        <v>2048240.5814807108</v>
      </c>
      <c r="AE2572" s="197">
        <f t="shared" ca="1" si="570"/>
        <v>14426876.323521402</v>
      </c>
      <c r="AF2572" s="196">
        <f>IFERROR(G2572/SUMIF(A:A,A2572,G:G)*SUMIF(Summary!$A$166:$A$242,'Operations Support'!A2572,Summary!$Q$166:$Q$242),0)</f>
        <v>2062484.7103820927</v>
      </c>
      <c r="AG2572" s="196">
        <f t="shared" ca="1" si="571"/>
        <v>14412632.194620021</v>
      </c>
      <c r="AI2572" s="196">
        <f>IFERROR($G2572/SUMIF($A:$A,$A2572,$G:$G)*SUMIF(Summary!$A$247:$A$283,$A2572,Summary!$P$247:$P$283),0)</f>
        <v>373547.96878812899</v>
      </c>
      <c r="AJ2572" s="196">
        <f>IFERROR($G2572/SUMIF($A:$A,$A2572,$G:$G)*(SUMIF(Summary!$A$247:$A$283,$A2572,Summary!$L$247:$L$283)+SUMIF(Summary!$A$297:$A$333,$A2572,Summary!$L$297:$L$333))-AI2572,0)</f>
        <v>695126.12362366263</v>
      </c>
      <c r="AK2572" s="196">
        <f>IFERROR($G2572/SUMIF($A:$A,$A2572,$G:$G)*SUMIF(Summary!$A$247:$A$283,$A2572,Summary!$Q$247:$Q$283),0)</f>
        <v>376145.74244146672</v>
      </c>
      <c r="AL2572" s="196">
        <f>IFERROR($G2572/SUMIF($A:$A,$A2572,$G:$G)*(SUMIF(Summary!$A$247:$A$283,$A2572,Summary!$L$247:$L$283)+SUMIF(Summary!$A$297:$A$333,$A2572,Summary!$L$297:$L$333))-AK2572,0)</f>
        <v>692528.3499703249</v>
      </c>
      <c r="AM2572" s="198"/>
      <c r="AN2572" s="196">
        <f t="shared" ca="1" si="572"/>
        <v>15122002.447145063</v>
      </c>
      <c r="AO2572" s="196">
        <f t="shared" ca="1" si="573"/>
        <v>15105160.544590347</v>
      </c>
    </row>
    <row r="2573" spans="1:41">
      <c r="A2573" s="189">
        <v>9741</v>
      </c>
      <c r="B2573" s="190">
        <v>3</v>
      </c>
      <c r="C2573" s="191" t="s">
        <v>226</v>
      </c>
      <c r="D2573" s="192">
        <f t="shared" si="560"/>
        <v>0</v>
      </c>
      <c r="E2573" s="192">
        <f t="shared" si="561"/>
        <v>0</v>
      </c>
      <c r="F2573" s="192">
        <f t="shared" si="562"/>
        <v>0</v>
      </c>
      <c r="G2573" s="193">
        <f t="shared" si="563"/>
        <v>0</v>
      </c>
      <c r="H2573" s="194">
        <v>0</v>
      </c>
      <c r="I2573" s="194">
        <v>0</v>
      </c>
      <c r="J2573" s="194">
        <v>0</v>
      </c>
      <c r="K2573" s="193">
        <f t="shared" si="564"/>
        <v>0</v>
      </c>
      <c r="L2573" s="194">
        <v>0</v>
      </c>
      <c r="M2573" s="194">
        <v>0</v>
      </c>
      <c r="N2573" s="194">
        <v>0</v>
      </c>
      <c r="O2573" s="193">
        <f t="shared" si="565"/>
        <v>0</v>
      </c>
      <c r="P2573" s="194">
        <v>0</v>
      </c>
      <c r="Q2573" s="194">
        <v>0</v>
      </c>
      <c r="R2573" s="194">
        <v>0</v>
      </c>
      <c r="S2573" s="193">
        <f t="shared" si="566"/>
        <v>0</v>
      </c>
      <c r="T2573" s="193">
        <f t="shared" si="567"/>
        <v>0</v>
      </c>
      <c r="U2573" s="193">
        <f ca="1">OFFSET('Expenditure Study'!$B$7,'Operations Support'!$C2573,'Operations Support'!$B2573)*$G2573</f>
        <v>0</v>
      </c>
      <c r="V2573" s="199">
        <f ca="1">U2573*'Expenditure Study'!$B$31</f>
        <v>0</v>
      </c>
      <c r="W2573" s="199">
        <f ca="1">IF(A2573=10298,1.51,1)*IF($B2573&lt;3,$D2573*'Expenditure Study'!$B$32*OFFSET('Expenditure Study'!$B$7,'Operations Support'!$C2573,'Operations Support'!$B2573),0)</f>
        <v>0</v>
      </c>
      <c r="X2573" s="200">
        <f ca="1">W2573*'Expenditure Study'!$B$31</f>
        <v>0</v>
      </c>
      <c r="Y2573" s="199">
        <f ca="1">U2573*'Expenditure Study'!$B$31</f>
        <v>0</v>
      </c>
      <c r="Z2573" s="200">
        <f ca="1">W2573*'Expenditure Study'!$B$31</f>
        <v>0</v>
      </c>
      <c r="AA2573" s="195">
        <f t="shared" ca="1" si="568"/>
        <v>0</v>
      </c>
      <c r="AB2573" s="195">
        <f t="shared" ca="1" si="569"/>
        <v>0</v>
      </c>
      <c r="AD2573" s="196">
        <f>IFERROR($G2573/SUMIF($A:$A,$A2573,$G:$G)*SUMIF(Summary!$A$166:$A$242,$A2573,Summary!$P$166:$P$242),0)</f>
        <v>0</v>
      </c>
      <c r="AE2573" s="197">
        <f t="shared" ca="1" si="570"/>
        <v>0</v>
      </c>
      <c r="AF2573" s="196">
        <f>IFERROR(G2573/SUMIF(A:A,A2573,G:G)*SUMIF(Summary!$A$166:$A$242,'Operations Support'!A2573,Summary!$Q$166:$Q$242),0)</f>
        <v>0</v>
      </c>
      <c r="AG2573" s="196">
        <f t="shared" ca="1" si="571"/>
        <v>0</v>
      </c>
      <c r="AI2573" s="196">
        <f>IFERROR($G2573/SUMIF($A:$A,$A2573,$G:$G)*SUMIF(Summary!$A$247:$A$283,$A2573,Summary!$P$247:$P$283),0)</f>
        <v>0</v>
      </c>
      <c r="AJ2573" s="196">
        <f>IFERROR($G2573/SUMIF($A:$A,$A2573,$G:$G)*(SUMIF(Summary!$A$247:$A$283,$A2573,Summary!$L$247:$L$283)+SUMIF(Summary!$A$297:$A$333,$A2573,Summary!$L$297:$L$333))-AI2573,0)</f>
        <v>0</v>
      </c>
      <c r="AK2573" s="196">
        <f>IFERROR($G2573/SUMIF($A:$A,$A2573,$G:$G)*SUMIF(Summary!$A$247:$A$283,$A2573,Summary!$Q$247:$Q$283),0)</f>
        <v>0</v>
      </c>
      <c r="AL2573" s="196">
        <f>IFERROR($G2573/SUMIF($A:$A,$A2573,$G:$G)*(SUMIF(Summary!$A$247:$A$283,$A2573,Summary!$L$247:$L$283)+SUMIF(Summary!$A$297:$A$333,$A2573,Summary!$L$297:$L$333))-AK2573,0)</f>
        <v>0</v>
      </c>
      <c r="AM2573" s="198"/>
      <c r="AN2573" s="196">
        <f t="shared" ca="1" si="572"/>
        <v>0</v>
      </c>
      <c r="AO2573" s="196">
        <f t="shared" ca="1" si="573"/>
        <v>0</v>
      </c>
    </row>
    <row r="2574" spans="1:41">
      <c r="A2574" s="189">
        <v>9741</v>
      </c>
      <c r="B2574" s="190">
        <v>3</v>
      </c>
      <c r="C2574" s="191" t="s">
        <v>227</v>
      </c>
      <c r="D2574" s="192">
        <f t="shared" si="560"/>
        <v>0</v>
      </c>
      <c r="E2574" s="192">
        <f t="shared" si="561"/>
        <v>0</v>
      </c>
      <c r="F2574" s="192">
        <f t="shared" si="562"/>
        <v>0</v>
      </c>
      <c r="G2574" s="193">
        <f t="shared" si="563"/>
        <v>0</v>
      </c>
      <c r="H2574" s="194">
        <v>0</v>
      </c>
      <c r="I2574" s="194">
        <v>0</v>
      </c>
      <c r="J2574" s="194">
        <v>0</v>
      </c>
      <c r="K2574" s="193">
        <f t="shared" si="564"/>
        <v>0</v>
      </c>
      <c r="L2574" s="194">
        <v>0</v>
      </c>
      <c r="M2574" s="194">
        <v>0</v>
      </c>
      <c r="N2574" s="194">
        <v>0</v>
      </c>
      <c r="O2574" s="193">
        <f t="shared" si="565"/>
        <v>0</v>
      </c>
      <c r="P2574" s="194">
        <v>0</v>
      </c>
      <c r="Q2574" s="194">
        <v>0</v>
      </c>
      <c r="R2574" s="194">
        <v>0</v>
      </c>
      <c r="S2574" s="193">
        <f t="shared" si="566"/>
        <v>0</v>
      </c>
      <c r="T2574" s="193">
        <f t="shared" si="567"/>
        <v>0</v>
      </c>
      <c r="U2574" s="193">
        <f ca="1">OFFSET('Expenditure Study'!$B$7,'Operations Support'!$C2574,'Operations Support'!$B2574)*$G2574</f>
        <v>0</v>
      </c>
      <c r="V2574" s="199">
        <f ca="1">U2574*'Expenditure Study'!$B$31</f>
        <v>0</v>
      </c>
      <c r="W2574" s="199">
        <f ca="1">IF(A2574=10298,1.51,1)*IF($B2574&lt;3,$D2574*'Expenditure Study'!$B$32*OFFSET('Expenditure Study'!$B$7,'Operations Support'!$C2574,'Operations Support'!$B2574),0)</f>
        <v>0</v>
      </c>
      <c r="X2574" s="200">
        <f ca="1">W2574*'Expenditure Study'!$B$31</f>
        <v>0</v>
      </c>
      <c r="Y2574" s="199">
        <f ca="1">U2574*'Expenditure Study'!$B$31</f>
        <v>0</v>
      </c>
      <c r="Z2574" s="200">
        <f ca="1">W2574*'Expenditure Study'!$B$31</f>
        <v>0</v>
      </c>
      <c r="AA2574" s="195">
        <f t="shared" ca="1" si="568"/>
        <v>0</v>
      </c>
      <c r="AB2574" s="195">
        <f t="shared" ca="1" si="569"/>
        <v>0</v>
      </c>
      <c r="AD2574" s="196">
        <f>IFERROR($G2574/SUMIF($A:$A,$A2574,$G:$G)*SUMIF(Summary!$A$166:$A$242,$A2574,Summary!$P$166:$P$242),0)</f>
        <v>0</v>
      </c>
      <c r="AE2574" s="197">
        <f t="shared" ca="1" si="570"/>
        <v>0</v>
      </c>
      <c r="AF2574" s="196">
        <f>IFERROR(G2574/SUMIF(A:A,A2574,G:G)*SUMIF(Summary!$A$166:$A$242,'Operations Support'!A2574,Summary!$Q$166:$Q$242),0)</f>
        <v>0</v>
      </c>
      <c r="AG2574" s="196">
        <f t="shared" ca="1" si="571"/>
        <v>0</v>
      </c>
      <c r="AI2574" s="196">
        <f>IFERROR($G2574/SUMIF($A:$A,$A2574,$G:$G)*SUMIF(Summary!$A$247:$A$283,$A2574,Summary!$P$247:$P$283),0)</f>
        <v>0</v>
      </c>
      <c r="AJ2574" s="196">
        <f>IFERROR($G2574/SUMIF($A:$A,$A2574,$G:$G)*(SUMIF(Summary!$A$247:$A$283,$A2574,Summary!$L$247:$L$283)+SUMIF(Summary!$A$297:$A$333,$A2574,Summary!$L$297:$L$333))-AI2574,0)</f>
        <v>0</v>
      </c>
      <c r="AK2574" s="196">
        <f>IFERROR($G2574/SUMIF($A:$A,$A2574,$G:$G)*SUMIF(Summary!$A$247:$A$283,$A2574,Summary!$Q$247:$Q$283),0)</f>
        <v>0</v>
      </c>
      <c r="AL2574" s="196">
        <f>IFERROR($G2574/SUMIF($A:$A,$A2574,$G:$G)*(SUMIF(Summary!$A$247:$A$283,$A2574,Summary!$L$247:$L$283)+SUMIF(Summary!$A$297:$A$333,$A2574,Summary!$L$297:$L$333))-AK2574,0)</f>
        <v>0</v>
      </c>
      <c r="AM2574" s="198"/>
      <c r="AN2574" s="196">
        <f t="shared" ca="1" si="572"/>
        <v>0</v>
      </c>
      <c r="AO2574" s="196">
        <f t="shared" ca="1" si="573"/>
        <v>0</v>
      </c>
    </row>
    <row r="2575" spans="1:41">
      <c r="A2575" s="189">
        <v>9741</v>
      </c>
      <c r="B2575" s="190">
        <v>3</v>
      </c>
      <c r="C2575" s="191" t="s">
        <v>228</v>
      </c>
      <c r="D2575" s="192">
        <f t="shared" si="560"/>
        <v>0</v>
      </c>
      <c r="E2575" s="192">
        <f t="shared" si="561"/>
        <v>0</v>
      </c>
      <c r="F2575" s="192">
        <f t="shared" si="562"/>
        <v>0</v>
      </c>
      <c r="G2575" s="193">
        <f t="shared" si="563"/>
        <v>0</v>
      </c>
      <c r="H2575" s="194">
        <v>0</v>
      </c>
      <c r="I2575" s="194">
        <v>0</v>
      </c>
      <c r="J2575" s="194">
        <v>0</v>
      </c>
      <c r="K2575" s="193">
        <f t="shared" si="564"/>
        <v>0</v>
      </c>
      <c r="L2575" s="194">
        <v>0</v>
      </c>
      <c r="M2575" s="194">
        <v>0</v>
      </c>
      <c r="N2575" s="194">
        <v>0</v>
      </c>
      <c r="O2575" s="193">
        <f t="shared" si="565"/>
        <v>0</v>
      </c>
      <c r="P2575" s="194">
        <v>0</v>
      </c>
      <c r="Q2575" s="194">
        <v>0</v>
      </c>
      <c r="R2575" s="194">
        <v>0</v>
      </c>
      <c r="S2575" s="193">
        <f t="shared" si="566"/>
        <v>0</v>
      </c>
      <c r="T2575" s="193">
        <f t="shared" si="567"/>
        <v>0</v>
      </c>
      <c r="U2575" s="193">
        <f ca="1">OFFSET('Expenditure Study'!$B$7,'Operations Support'!$C2575,'Operations Support'!$B2575)*$G2575</f>
        <v>0</v>
      </c>
      <c r="V2575" s="199">
        <f ca="1">U2575*'Expenditure Study'!$B$31</f>
        <v>0</v>
      </c>
      <c r="W2575" s="199">
        <f ca="1">IF(A2575=10298,1.51,1)*IF($B2575&lt;3,$D2575*'Expenditure Study'!$B$32*OFFSET('Expenditure Study'!$B$7,'Operations Support'!$C2575,'Operations Support'!$B2575),0)</f>
        <v>0</v>
      </c>
      <c r="X2575" s="200">
        <f ca="1">W2575*'Expenditure Study'!$B$31</f>
        <v>0</v>
      </c>
      <c r="Y2575" s="199">
        <f ca="1">U2575*'Expenditure Study'!$B$31</f>
        <v>0</v>
      </c>
      <c r="Z2575" s="200">
        <f ca="1">W2575*'Expenditure Study'!$B$31</f>
        <v>0</v>
      </c>
      <c r="AA2575" s="195">
        <f t="shared" ca="1" si="568"/>
        <v>0</v>
      </c>
      <c r="AB2575" s="195">
        <f t="shared" ca="1" si="569"/>
        <v>0</v>
      </c>
      <c r="AD2575" s="196">
        <f>IFERROR($G2575/SUMIF($A:$A,$A2575,$G:$G)*SUMIF(Summary!$A$166:$A$242,$A2575,Summary!$P$166:$P$242),0)</f>
        <v>0</v>
      </c>
      <c r="AE2575" s="197">
        <f t="shared" ca="1" si="570"/>
        <v>0</v>
      </c>
      <c r="AF2575" s="196">
        <f>IFERROR(G2575/SUMIF(A:A,A2575,G:G)*SUMIF(Summary!$A$166:$A$242,'Operations Support'!A2575,Summary!$Q$166:$Q$242),0)</f>
        <v>0</v>
      </c>
      <c r="AG2575" s="196">
        <f t="shared" ca="1" si="571"/>
        <v>0</v>
      </c>
      <c r="AI2575" s="196">
        <f>IFERROR($G2575/SUMIF($A:$A,$A2575,$G:$G)*SUMIF(Summary!$A$247:$A$283,$A2575,Summary!$P$247:$P$283),0)</f>
        <v>0</v>
      </c>
      <c r="AJ2575" s="196">
        <f>IFERROR($G2575/SUMIF($A:$A,$A2575,$G:$G)*(SUMIF(Summary!$A$247:$A$283,$A2575,Summary!$L$247:$L$283)+SUMIF(Summary!$A$297:$A$333,$A2575,Summary!$L$297:$L$333))-AI2575,0)</f>
        <v>0</v>
      </c>
      <c r="AK2575" s="196">
        <f>IFERROR($G2575/SUMIF($A:$A,$A2575,$G:$G)*SUMIF(Summary!$A$247:$A$283,$A2575,Summary!$Q$247:$Q$283),0)</f>
        <v>0</v>
      </c>
      <c r="AL2575" s="196">
        <f>IFERROR($G2575/SUMIF($A:$A,$A2575,$G:$G)*(SUMIF(Summary!$A$247:$A$283,$A2575,Summary!$L$247:$L$283)+SUMIF(Summary!$A$297:$A$333,$A2575,Summary!$L$297:$L$333))-AK2575,0)</f>
        <v>0</v>
      </c>
      <c r="AM2575" s="198"/>
      <c r="AN2575" s="196">
        <f t="shared" ca="1" si="572"/>
        <v>0</v>
      </c>
      <c r="AO2575" s="196">
        <f t="shared" ca="1" si="573"/>
        <v>0</v>
      </c>
    </row>
    <row r="2576" spans="1:41">
      <c r="A2576" s="189">
        <v>9741</v>
      </c>
      <c r="B2576" s="190">
        <v>3</v>
      </c>
      <c r="C2576" s="191" t="s">
        <v>229</v>
      </c>
      <c r="D2576" s="192">
        <f t="shared" si="560"/>
        <v>0</v>
      </c>
      <c r="E2576" s="192">
        <f t="shared" si="561"/>
        <v>27</v>
      </c>
      <c r="F2576" s="192">
        <f t="shared" si="562"/>
        <v>0</v>
      </c>
      <c r="G2576" s="193">
        <f t="shared" si="563"/>
        <v>27</v>
      </c>
      <c r="H2576" s="194">
        <v>0</v>
      </c>
      <c r="I2576" s="194">
        <v>6</v>
      </c>
      <c r="J2576" s="194">
        <v>0</v>
      </c>
      <c r="K2576" s="193">
        <f t="shared" si="564"/>
        <v>6</v>
      </c>
      <c r="L2576" s="194">
        <v>0</v>
      </c>
      <c r="M2576" s="194">
        <v>9</v>
      </c>
      <c r="N2576" s="194">
        <v>0</v>
      </c>
      <c r="O2576" s="193">
        <f t="shared" si="565"/>
        <v>9</v>
      </c>
      <c r="P2576" s="194">
        <v>0</v>
      </c>
      <c r="Q2576" s="194">
        <v>12</v>
      </c>
      <c r="R2576" s="194">
        <v>0</v>
      </c>
      <c r="S2576" s="193">
        <f t="shared" si="566"/>
        <v>12</v>
      </c>
      <c r="T2576" s="193">
        <f t="shared" si="567"/>
        <v>1.125</v>
      </c>
      <c r="U2576" s="193">
        <f ca="1">OFFSET('Expenditure Study'!$B$7,'Operations Support'!$C2576,'Operations Support'!$B2576)*$G2576</f>
        <v>99.63</v>
      </c>
      <c r="V2576" s="199">
        <f ca="1">U2576*'Expenditure Study'!$B$31</f>
        <v>5886.4573031039999</v>
      </c>
      <c r="W2576" s="199">
        <f ca="1">IF(A2576=10298,1.51,1)*IF($B2576&lt;3,$D2576*'Expenditure Study'!$B$32*OFFSET('Expenditure Study'!$B$7,'Operations Support'!$C2576,'Operations Support'!$B2576),0)</f>
        <v>0</v>
      </c>
      <c r="X2576" s="200">
        <f ca="1">W2576*'Expenditure Study'!$B$31</f>
        <v>0</v>
      </c>
      <c r="Y2576" s="199">
        <f ca="1">U2576*'Expenditure Study'!$B$31</f>
        <v>5886.4573031039999</v>
      </c>
      <c r="Z2576" s="200">
        <f ca="1">W2576*'Expenditure Study'!$B$31</f>
        <v>0</v>
      </c>
      <c r="AA2576" s="195">
        <f t="shared" ca="1" si="568"/>
        <v>5886.4573031039999</v>
      </c>
      <c r="AB2576" s="195">
        <f t="shared" ca="1" si="569"/>
        <v>5886.4573031039999</v>
      </c>
      <c r="AD2576" s="196">
        <f>IFERROR($G2576/SUMIF($A:$A,$A2576,$G:$G)*SUMIF(Summary!$A$166:$A$242,$A2576,Summary!$P$166:$P$242),0)</f>
        <v>1370.4340511468301</v>
      </c>
      <c r="AE2576" s="197">
        <f t="shared" ca="1" si="570"/>
        <v>4516.02325195717</v>
      </c>
      <c r="AF2576" s="196">
        <f>IFERROR(G2576/SUMIF(A:A,A2576,G:G)*SUMIF(Summary!$A$166:$A$242,'Operations Support'!A2576,Summary!$Q$166:$Q$242),0)</f>
        <v>1379.9644937383284</v>
      </c>
      <c r="AG2576" s="196">
        <f t="shared" ca="1" si="571"/>
        <v>4506.4928093656717</v>
      </c>
      <c r="AI2576" s="196">
        <f>IFERROR($G2576/SUMIF($A:$A,$A2576,$G:$G)*SUMIF(Summary!$A$247:$A$283,$A2576,Summary!$P$247:$P$283),0)</f>
        <v>249.93297212864852</v>
      </c>
      <c r="AJ2576" s="196">
        <f>IFERROR($G2576/SUMIF($A:$A,$A2576,$G:$G)*(SUMIF(Summary!$A$247:$A$283,$A2576,Summary!$L$247:$L$283)+SUMIF(Summary!$A$297:$A$333,$A2576,Summary!$L$297:$L$333))-AI2576,0)</f>
        <v>465.09405109379213</v>
      </c>
      <c r="AK2576" s="196">
        <f>IFERROR($G2576/SUMIF($A:$A,$A2576,$G:$G)*SUMIF(Summary!$A$247:$A$283,$A2576,Summary!$Q$247:$Q$283),0)</f>
        <v>251.67108702779402</v>
      </c>
      <c r="AL2576" s="196">
        <f>IFERROR($G2576/SUMIF($A:$A,$A2576,$G:$G)*(SUMIF(Summary!$A$247:$A$283,$A2576,Summary!$L$247:$L$283)+SUMIF(Summary!$A$297:$A$333,$A2576,Summary!$L$297:$L$333))-AK2576,0)</f>
        <v>463.35593619464669</v>
      </c>
      <c r="AM2576" s="198"/>
      <c r="AN2576" s="196">
        <f t="shared" ca="1" si="572"/>
        <v>4981.1173030509617</v>
      </c>
      <c r="AO2576" s="196">
        <f t="shared" ca="1" si="573"/>
        <v>4969.8487455603181</v>
      </c>
    </row>
    <row r="2577" spans="1:41">
      <c r="A2577" s="189">
        <v>9741</v>
      </c>
      <c r="B2577" s="190">
        <v>3</v>
      </c>
      <c r="C2577" s="191" t="s">
        <v>230</v>
      </c>
      <c r="D2577" s="192">
        <f t="shared" si="560"/>
        <v>0</v>
      </c>
      <c r="E2577" s="192">
        <f t="shared" si="561"/>
        <v>0</v>
      </c>
      <c r="F2577" s="192">
        <f t="shared" si="562"/>
        <v>0</v>
      </c>
      <c r="G2577" s="193">
        <f t="shared" si="563"/>
        <v>0</v>
      </c>
      <c r="H2577" s="194">
        <v>0</v>
      </c>
      <c r="I2577" s="194">
        <v>0</v>
      </c>
      <c r="J2577" s="194">
        <v>0</v>
      </c>
      <c r="K2577" s="193">
        <f t="shared" si="564"/>
        <v>0</v>
      </c>
      <c r="L2577" s="194">
        <v>0</v>
      </c>
      <c r="M2577" s="194">
        <v>0</v>
      </c>
      <c r="N2577" s="194">
        <v>0</v>
      </c>
      <c r="O2577" s="193">
        <f t="shared" si="565"/>
        <v>0</v>
      </c>
      <c r="P2577" s="194">
        <v>0</v>
      </c>
      <c r="Q2577" s="194">
        <v>0</v>
      </c>
      <c r="R2577" s="194">
        <v>0</v>
      </c>
      <c r="S2577" s="193">
        <f t="shared" si="566"/>
        <v>0</v>
      </c>
      <c r="T2577" s="193">
        <f t="shared" si="567"/>
        <v>0</v>
      </c>
      <c r="U2577" s="193">
        <f ca="1">OFFSET('Expenditure Study'!$B$7,'Operations Support'!$C2577,'Operations Support'!$B2577)*$G2577</f>
        <v>0</v>
      </c>
      <c r="V2577" s="199">
        <f ca="1">U2577*'Expenditure Study'!$B$31</f>
        <v>0</v>
      </c>
      <c r="W2577" s="199">
        <f ca="1">IF(A2577=10298,1.51,1)*IF($B2577&lt;3,$D2577*'Expenditure Study'!$B$32*OFFSET('Expenditure Study'!$B$7,'Operations Support'!$C2577,'Operations Support'!$B2577),0)</f>
        <v>0</v>
      </c>
      <c r="X2577" s="200">
        <f ca="1">W2577*'Expenditure Study'!$B$31</f>
        <v>0</v>
      </c>
      <c r="Y2577" s="199">
        <f ca="1">U2577*'Expenditure Study'!$B$31</f>
        <v>0</v>
      </c>
      <c r="Z2577" s="200">
        <f ca="1">W2577*'Expenditure Study'!$B$31</f>
        <v>0</v>
      </c>
      <c r="AA2577" s="195">
        <f t="shared" ca="1" si="568"/>
        <v>0</v>
      </c>
      <c r="AB2577" s="195">
        <f t="shared" ca="1" si="569"/>
        <v>0</v>
      </c>
      <c r="AD2577" s="196">
        <f>IFERROR($G2577/SUMIF($A:$A,$A2577,$G:$G)*SUMIF(Summary!$A$166:$A$242,$A2577,Summary!$P$166:$P$242),0)</f>
        <v>0</v>
      </c>
      <c r="AE2577" s="197">
        <f t="shared" ca="1" si="570"/>
        <v>0</v>
      </c>
      <c r="AF2577" s="196">
        <f>IFERROR(G2577/SUMIF(A:A,A2577,G:G)*SUMIF(Summary!$A$166:$A$242,'Operations Support'!A2577,Summary!$Q$166:$Q$242),0)</f>
        <v>0</v>
      </c>
      <c r="AG2577" s="196">
        <f t="shared" ca="1" si="571"/>
        <v>0</v>
      </c>
      <c r="AI2577" s="196">
        <f>IFERROR($G2577/SUMIF($A:$A,$A2577,$G:$G)*SUMIF(Summary!$A$247:$A$283,$A2577,Summary!$P$247:$P$283),0)</f>
        <v>0</v>
      </c>
      <c r="AJ2577" s="196">
        <f>IFERROR($G2577/SUMIF($A:$A,$A2577,$G:$G)*(SUMIF(Summary!$A$247:$A$283,$A2577,Summary!$L$247:$L$283)+SUMIF(Summary!$A$297:$A$333,$A2577,Summary!$L$297:$L$333))-AI2577,0)</f>
        <v>0</v>
      </c>
      <c r="AK2577" s="196">
        <f>IFERROR($G2577/SUMIF($A:$A,$A2577,$G:$G)*SUMIF(Summary!$A$247:$A$283,$A2577,Summary!$Q$247:$Q$283),0)</f>
        <v>0</v>
      </c>
      <c r="AL2577" s="196">
        <f>IFERROR($G2577/SUMIF($A:$A,$A2577,$G:$G)*(SUMIF(Summary!$A$247:$A$283,$A2577,Summary!$L$247:$L$283)+SUMIF(Summary!$A$297:$A$333,$A2577,Summary!$L$297:$L$333))-AK2577,0)</f>
        <v>0</v>
      </c>
      <c r="AM2577" s="198"/>
      <c r="AN2577" s="196">
        <f t="shared" ca="1" si="572"/>
        <v>0</v>
      </c>
      <c r="AO2577" s="196">
        <f t="shared" ca="1" si="573"/>
        <v>0</v>
      </c>
    </row>
    <row r="2578" spans="1:41">
      <c r="A2578" s="189">
        <v>9741</v>
      </c>
      <c r="B2578" s="190">
        <v>3</v>
      </c>
      <c r="C2578" s="191" t="s">
        <v>231</v>
      </c>
      <c r="D2578" s="192">
        <f t="shared" si="560"/>
        <v>0</v>
      </c>
      <c r="E2578" s="192">
        <f t="shared" si="561"/>
        <v>0</v>
      </c>
      <c r="F2578" s="192">
        <f t="shared" si="562"/>
        <v>0</v>
      </c>
      <c r="G2578" s="193">
        <f t="shared" si="563"/>
        <v>0</v>
      </c>
      <c r="H2578" s="194">
        <v>0</v>
      </c>
      <c r="I2578" s="194">
        <v>0</v>
      </c>
      <c r="J2578" s="194">
        <v>0</v>
      </c>
      <c r="K2578" s="193">
        <f t="shared" si="564"/>
        <v>0</v>
      </c>
      <c r="L2578" s="194">
        <v>0</v>
      </c>
      <c r="M2578" s="194">
        <v>0</v>
      </c>
      <c r="N2578" s="194">
        <v>0</v>
      </c>
      <c r="O2578" s="193">
        <f t="shared" si="565"/>
        <v>0</v>
      </c>
      <c r="P2578" s="194">
        <v>0</v>
      </c>
      <c r="Q2578" s="194">
        <v>0</v>
      </c>
      <c r="R2578" s="194">
        <v>0</v>
      </c>
      <c r="S2578" s="193">
        <f t="shared" si="566"/>
        <v>0</v>
      </c>
      <c r="T2578" s="193">
        <f t="shared" si="567"/>
        <v>0</v>
      </c>
      <c r="U2578" s="193">
        <f ca="1">OFFSET('Expenditure Study'!$B$7,'Operations Support'!$C2578,'Operations Support'!$B2578)*$G2578</f>
        <v>0</v>
      </c>
      <c r="V2578" s="199">
        <f ca="1">U2578*'Expenditure Study'!$B$31</f>
        <v>0</v>
      </c>
      <c r="W2578" s="199">
        <f ca="1">IF(A2578=10298,1.51,1)*IF($B2578&lt;3,$D2578*'Expenditure Study'!$B$32*OFFSET('Expenditure Study'!$B$7,'Operations Support'!$C2578,'Operations Support'!$B2578),0)</f>
        <v>0</v>
      </c>
      <c r="X2578" s="200">
        <f ca="1">W2578*'Expenditure Study'!$B$31</f>
        <v>0</v>
      </c>
      <c r="Y2578" s="199">
        <f ca="1">U2578*'Expenditure Study'!$B$31</f>
        <v>0</v>
      </c>
      <c r="Z2578" s="200">
        <f ca="1">W2578*'Expenditure Study'!$B$31</f>
        <v>0</v>
      </c>
      <c r="AA2578" s="195">
        <f t="shared" ca="1" si="568"/>
        <v>0</v>
      </c>
      <c r="AB2578" s="195">
        <f t="shared" ca="1" si="569"/>
        <v>0</v>
      </c>
      <c r="AD2578" s="196">
        <f>IFERROR($G2578/SUMIF($A:$A,$A2578,$G:$G)*SUMIF(Summary!$A$166:$A$242,$A2578,Summary!$P$166:$P$242),0)</f>
        <v>0</v>
      </c>
      <c r="AE2578" s="197">
        <f t="shared" ca="1" si="570"/>
        <v>0</v>
      </c>
      <c r="AF2578" s="196">
        <f>IFERROR(G2578/SUMIF(A:A,A2578,G:G)*SUMIF(Summary!$A$166:$A$242,'Operations Support'!A2578,Summary!$Q$166:$Q$242),0)</f>
        <v>0</v>
      </c>
      <c r="AG2578" s="196">
        <f t="shared" ca="1" si="571"/>
        <v>0</v>
      </c>
      <c r="AI2578" s="196">
        <f>IFERROR($G2578/SUMIF($A:$A,$A2578,$G:$G)*SUMIF(Summary!$A$247:$A$283,$A2578,Summary!$P$247:$P$283),0)</f>
        <v>0</v>
      </c>
      <c r="AJ2578" s="196">
        <f>IFERROR($G2578/SUMIF($A:$A,$A2578,$G:$G)*(SUMIF(Summary!$A$247:$A$283,$A2578,Summary!$L$247:$L$283)+SUMIF(Summary!$A$297:$A$333,$A2578,Summary!$L$297:$L$333))-AI2578,0)</f>
        <v>0</v>
      </c>
      <c r="AK2578" s="196">
        <f>IFERROR($G2578/SUMIF($A:$A,$A2578,$G:$G)*SUMIF(Summary!$A$247:$A$283,$A2578,Summary!$Q$247:$Q$283),0)</f>
        <v>0</v>
      </c>
      <c r="AL2578" s="196">
        <f>IFERROR($G2578/SUMIF($A:$A,$A2578,$G:$G)*(SUMIF(Summary!$A$247:$A$283,$A2578,Summary!$L$247:$L$283)+SUMIF(Summary!$A$297:$A$333,$A2578,Summary!$L$297:$L$333))-AK2578,0)</f>
        <v>0</v>
      </c>
      <c r="AM2578" s="198"/>
      <c r="AN2578" s="196">
        <f t="shared" ca="1" si="572"/>
        <v>0</v>
      </c>
      <c r="AO2578" s="196">
        <f t="shared" ca="1" si="573"/>
        <v>0</v>
      </c>
    </row>
    <row r="2579" spans="1:41" s="201" customFormat="1">
      <c r="A2579" s="189">
        <v>9741</v>
      </c>
      <c r="B2579" s="190">
        <v>3</v>
      </c>
      <c r="C2579" s="191" t="s">
        <v>232</v>
      </c>
      <c r="D2579" s="192">
        <f t="shared" si="560"/>
        <v>0</v>
      </c>
      <c r="E2579" s="192">
        <f t="shared" si="561"/>
        <v>0</v>
      </c>
      <c r="F2579" s="192">
        <f t="shared" si="562"/>
        <v>0</v>
      </c>
      <c r="G2579" s="193">
        <f t="shared" si="563"/>
        <v>0</v>
      </c>
      <c r="H2579" s="194">
        <v>0</v>
      </c>
      <c r="I2579" s="194">
        <v>0</v>
      </c>
      <c r="J2579" s="194">
        <v>0</v>
      </c>
      <c r="K2579" s="193">
        <f t="shared" si="564"/>
        <v>0</v>
      </c>
      <c r="L2579" s="194">
        <v>0</v>
      </c>
      <c r="M2579" s="194">
        <v>0</v>
      </c>
      <c r="N2579" s="194">
        <v>0</v>
      </c>
      <c r="O2579" s="193">
        <f t="shared" si="565"/>
        <v>0</v>
      </c>
      <c r="P2579" s="194">
        <v>0</v>
      </c>
      <c r="Q2579" s="194">
        <v>0</v>
      </c>
      <c r="R2579" s="194">
        <v>0</v>
      </c>
      <c r="S2579" s="193">
        <f t="shared" si="566"/>
        <v>0</v>
      </c>
      <c r="T2579" s="193">
        <f t="shared" si="567"/>
        <v>0</v>
      </c>
      <c r="U2579" s="193">
        <f ca="1">OFFSET('Expenditure Study'!$B$7,'Operations Support'!$C2579,'Operations Support'!$B2579)*$G2579</f>
        <v>0</v>
      </c>
      <c r="V2579" s="199">
        <f ca="1">U2579*'Expenditure Study'!$B$31</f>
        <v>0</v>
      </c>
      <c r="W2579" s="199">
        <f ca="1">IF(A2579=10298,1.51,1)*IF($B2579&lt;3,$D2579*'Expenditure Study'!$B$32*OFFSET('Expenditure Study'!$B$7,'Operations Support'!$C2579,'Operations Support'!$B2579),0)</f>
        <v>0</v>
      </c>
      <c r="X2579" s="200">
        <f ca="1">W2579*'Expenditure Study'!$B$31</f>
        <v>0</v>
      </c>
      <c r="Y2579" s="199">
        <f ca="1">U2579*'Expenditure Study'!$B$31</f>
        <v>0</v>
      </c>
      <c r="Z2579" s="200">
        <f ca="1">W2579*'Expenditure Study'!$B$31</f>
        <v>0</v>
      </c>
      <c r="AA2579" s="195">
        <f t="shared" ca="1" si="568"/>
        <v>0</v>
      </c>
      <c r="AB2579" s="195">
        <f t="shared" ca="1" si="569"/>
        <v>0</v>
      </c>
      <c r="AD2579" s="196">
        <f>IFERROR($G2579/SUMIF($A:$A,$A2579,$G:$G)*SUMIF(Summary!$A$166:$A$242,$A2579,Summary!$P$166:$P$242),0)</f>
        <v>0</v>
      </c>
      <c r="AE2579" s="197">
        <f t="shared" ca="1" si="570"/>
        <v>0</v>
      </c>
      <c r="AF2579" s="196">
        <f>IFERROR(G2579/SUMIF(A:A,A2579,G:G)*SUMIF(Summary!$A$166:$A$242,'Operations Support'!A2579,Summary!$Q$166:$Q$242),0)</f>
        <v>0</v>
      </c>
      <c r="AG2579" s="196">
        <f t="shared" ca="1" si="571"/>
        <v>0</v>
      </c>
      <c r="AH2579" s="180"/>
      <c r="AI2579" s="196">
        <f>IFERROR($G2579/SUMIF($A:$A,$A2579,$G:$G)*SUMIF(Summary!$A$247:$A$283,$A2579,Summary!$P$247:$P$283),0)</f>
        <v>0</v>
      </c>
      <c r="AJ2579" s="196">
        <f>IFERROR($G2579/SUMIF($A:$A,$A2579,$G:$G)*(SUMIF(Summary!$A$247:$A$283,$A2579,Summary!$L$247:$L$283)+SUMIF(Summary!$A$297:$A$333,$A2579,Summary!$L$297:$L$333))-AI2579,0)</f>
        <v>0</v>
      </c>
      <c r="AK2579" s="196">
        <f>IFERROR($G2579/SUMIF($A:$A,$A2579,$G:$G)*SUMIF(Summary!$A$247:$A$283,$A2579,Summary!$Q$247:$Q$283),0)</f>
        <v>0</v>
      </c>
      <c r="AL2579" s="196">
        <f>IFERROR($G2579/SUMIF($A:$A,$A2579,$G:$G)*(SUMIF(Summary!$A$247:$A$283,$A2579,Summary!$L$247:$L$283)+SUMIF(Summary!$A$297:$A$333,$A2579,Summary!$L$297:$L$333))-AK2579,0)</f>
        <v>0</v>
      </c>
      <c r="AM2579" s="198"/>
      <c r="AN2579" s="196">
        <f t="shared" ca="1" si="572"/>
        <v>0</v>
      </c>
      <c r="AO2579" s="196">
        <f t="shared" ca="1" si="573"/>
        <v>0</v>
      </c>
    </row>
    <row r="2580" spans="1:41">
      <c r="A2580" s="189">
        <v>9741</v>
      </c>
      <c r="B2580" s="190">
        <v>3</v>
      </c>
      <c r="C2580" s="191" t="s">
        <v>233</v>
      </c>
      <c r="D2580" s="192">
        <f t="shared" si="560"/>
        <v>1372</v>
      </c>
      <c r="E2580" s="192">
        <f t="shared" si="561"/>
        <v>7195</v>
      </c>
      <c r="F2580" s="192">
        <f t="shared" si="562"/>
        <v>0</v>
      </c>
      <c r="G2580" s="193">
        <f t="shared" si="563"/>
        <v>8567</v>
      </c>
      <c r="H2580" s="194">
        <v>590</v>
      </c>
      <c r="I2580" s="194">
        <v>3083</v>
      </c>
      <c r="J2580" s="194">
        <v>0</v>
      </c>
      <c r="K2580" s="193">
        <f t="shared" si="564"/>
        <v>3673</v>
      </c>
      <c r="L2580" s="194">
        <v>640</v>
      </c>
      <c r="M2580" s="194">
        <v>2663</v>
      </c>
      <c r="N2580" s="194">
        <v>0</v>
      </c>
      <c r="O2580" s="193">
        <f t="shared" si="565"/>
        <v>3303</v>
      </c>
      <c r="P2580" s="194">
        <v>142</v>
      </c>
      <c r="Q2580" s="194">
        <v>1449</v>
      </c>
      <c r="R2580" s="194">
        <v>0</v>
      </c>
      <c r="S2580" s="193">
        <f t="shared" si="566"/>
        <v>1591</v>
      </c>
      <c r="T2580" s="193">
        <f t="shared" si="567"/>
        <v>356.95833333333331</v>
      </c>
      <c r="U2580" s="193">
        <f ca="1">OFFSET('Expenditure Study'!$B$7,'Operations Support'!$C2580,'Operations Support'!$B2580)*$G2580</f>
        <v>22445.54</v>
      </c>
      <c r="V2580" s="199">
        <f ca="1">U2580*'Expenditure Study'!$B$31</f>
        <v>1326153.897973632</v>
      </c>
      <c r="W2580" s="199">
        <f ca="1">IF(A2580=10298,1.51,1)*IF($B2580&lt;3,$D2580*'Expenditure Study'!$B$32*OFFSET('Expenditure Study'!$B$7,'Operations Support'!$C2580,'Operations Support'!$B2580),0)</f>
        <v>0</v>
      </c>
      <c r="X2580" s="200">
        <f ca="1">W2580*'Expenditure Study'!$B$31</f>
        <v>0</v>
      </c>
      <c r="Y2580" s="199">
        <f ca="1">U2580*'Expenditure Study'!$B$31</f>
        <v>1326153.897973632</v>
      </c>
      <c r="Z2580" s="200">
        <f ca="1">W2580*'Expenditure Study'!$B$31</f>
        <v>0</v>
      </c>
      <c r="AA2580" s="195">
        <f t="shared" ca="1" si="568"/>
        <v>1326153.897973632</v>
      </c>
      <c r="AB2580" s="195">
        <f t="shared" ca="1" si="569"/>
        <v>1326153.897973632</v>
      </c>
      <c r="AD2580" s="196">
        <f>IFERROR($G2580/SUMIF($A:$A,$A2580,$G:$G)*SUMIF(Summary!$A$166:$A$242,$A2580,Summary!$P$166:$P$242),0)</f>
        <v>434833.64874721831</v>
      </c>
      <c r="AE2580" s="197">
        <f t="shared" ca="1" si="570"/>
        <v>891320.24922641367</v>
      </c>
      <c r="AF2580" s="196">
        <f>IFERROR(G2580/SUMIF(A:A,A2580,G:G)*SUMIF(Summary!$A$166:$A$242,'Operations Support'!A2580,Summary!$Q$166:$Q$242),0)</f>
        <v>437857.62288356514</v>
      </c>
      <c r="AG2580" s="196">
        <f t="shared" ca="1" si="571"/>
        <v>888296.27509006683</v>
      </c>
      <c r="AI2580" s="196">
        <f>IFERROR($G2580/SUMIF($A:$A,$A2580,$G:$G)*SUMIF(Summary!$A$247:$A$283,$A2580,Summary!$P$247:$P$283),0)</f>
        <v>79302.806378745619</v>
      </c>
      <c r="AJ2580" s="196">
        <f>IFERROR($G2580/SUMIF($A:$A,$A2580,$G:$G)*(SUMIF(Summary!$A$247:$A$283,$A2580,Summary!$L$247:$L$283)+SUMIF(Summary!$A$297:$A$333,$A2580,Summary!$L$297:$L$333))-AI2580,0)</f>
        <v>147572.61984150062</v>
      </c>
      <c r="AK2580" s="196">
        <f>IFERROR($G2580/SUMIF($A:$A,$A2580,$G:$G)*SUMIF(Summary!$A$247:$A$283,$A2580,Summary!$Q$247:$Q$283),0)</f>
        <v>79854.303798781897</v>
      </c>
      <c r="AL2580" s="196">
        <f>IFERROR($G2580/SUMIF($A:$A,$A2580,$G:$G)*(SUMIF(Summary!$A$247:$A$283,$A2580,Summary!$L$247:$L$283)+SUMIF(Summary!$A$297:$A$333,$A2580,Summary!$L$297:$L$333))-AK2580,0)</f>
        <v>147021.12242146436</v>
      </c>
      <c r="AM2580" s="198"/>
      <c r="AN2580" s="196">
        <f t="shared" ca="1" si="572"/>
        <v>1038892.8690679143</v>
      </c>
      <c r="AO2580" s="196">
        <f t="shared" ca="1" si="573"/>
        <v>1035317.3975115311</v>
      </c>
    </row>
    <row r="2581" spans="1:41">
      <c r="A2581" s="189">
        <v>9741</v>
      </c>
      <c r="B2581" s="190">
        <v>3</v>
      </c>
      <c r="C2581" s="191" t="s">
        <v>234</v>
      </c>
      <c r="D2581" s="192">
        <f t="shared" si="560"/>
        <v>0</v>
      </c>
      <c r="E2581" s="192">
        <f t="shared" si="561"/>
        <v>0</v>
      </c>
      <c r="F2581" s="192">
        <f t="shared" si="562"/>
        <v>0</v>
      </c>
      <c r="G2581" s="193">
        <f t="shared" si="563"/>
        <v>0</v>
      </c>
      <c r="H2581" s="194">
        <v>0</v>
      </c>
      <c r="I2581" s="194">
        <v>0</v>
      </c>
      <c r="J2581" s="194">
        <v>0</v>
      </c>
      <c r="K2581" s="193">
        <f t="shared" si="564"/>
        <v>0</v>
      </c>
      <c r="L2581" s="194">
        <v>0</v>
      </c>
      <c r="M2581" s="194">
        <v>0</v>
      </c>
      <c r="N2581" s="194">
        <v>0</v>
      </c>
      <c r="O2581" s="193">
        <f t="shared" si="565"/>
        <v>0</v>
      </c>
      <c r="P2581" s="194">
        <v>0</v>
      </c>
      <c r="Q2581" s="194">
        <v>0</v>
      </c>
      <c r="R2581" s="194">
        <v>0</v>
      </c>
      <c r="S2581" s="193">
        <f t="shared" si="566"/>
        <v>0</v>
      </c>
      <c r="T2581" s="193">
        <f t="shared" si="567"/>
        <v>0</v>
      </c>
      <c r="U2581" s="193">
        <f ca="1">OFFSET('Expenditure Study'!$B$7,'Operations Support'!$C2581,'Operations Support'!$B2581)*$G2581</f>
        <v>0</v>
      </c>
      <c r="V2581" s="199">
        <f ca="1">U2581*'Expenditure Study'!$B$31</f>
        <v>0</v>
      </c>
      <c r="W2581" s="199">
        <f ca="1">IF(A2581=10298,1.51,1)*IF($B2581&lt;3,$D2581*'Expenditure Study'!$B$32*OFFSET('Expenditure Study'!$B$7,'Operations Support'!$C2581,'Operations Support'!$B2581),0)</f>
        <v>0</v>
      </c>
      <c r="X2581" s="200">
        <f ca="1">W2581*'Expenditure Study'!$B$31</f>
        <v>0</v>
      </c>
      <c r="Y2581" s="199">
        <f ca="1">U2581*'Expenditure Study'!$B$31</f>
        <v>0</v>
      </c>
      <c r="Z2581" s="200">
        <f ca="1">W2581*'Expenditure Study'!$B$31</f>
        <v>0</v>
      </c>
      <c r="AA2581" s="195">
        <f t="shared" ca="1" si="568"/>
        <v>0</v>
      </c>
      <c r="AB2581" s="195">
        <f t="shared" ca="1" si="569"/>
        <v>0</v>
      </c>
      <c r="AD2581" s="196">
        <f>IFERROR($G2581/SUMIF($A:$A,$A2581,$G:$G)*SUMIF(Summary!$A$166:$A$242,$A2581,Summary!$P$166:$P$242),0)</f>
        <v>0</v>
      </c>
      <c r="AE2581" s="197">
        <f t="shared" ca="1" si="570"/>
        <v>0</v>
      </c>
      <c r="AF2581" s="196">
        <f>IFERROR(G2581/SUMIF(A:A,A2581,G:G)*SUMIF(Summary!$A$166:$A$242,'Operations Support'!A2581,Summary!$Q$166:$Q$242),0)</f>
        <v>0</v>
      </c>
      <c r="AG2581" s="196">
        <f t="shared" ca="1" si="571"/>
        <v>0</v>
      </c>
      <c r="AI2581" s="196">
        <f>IFERROR($G2581/SUMIF($A:$A,$A2581,$G:$G)*SUMIF(Summary!$A$247:$A$283,$A2581,Summary!$P$247:$P$283),0)</f>
        <v>0</v>
      </c>
      <c r="AJ2581" s="196">
        <f>IFERROR($G2581/SUMIF($A:$A,$A2581,$G:$G)*(SUMIF(Summary!$A$247:$A$283,$A2581,Summary!$L$247:$L$283)+SUMIF(Summary!$A$297:$A$333,$A2581,Summary!$L$297:$L$333))-AI2581,0)</f>
        <v>0</v>
      </c>
      <c r="AK2581" s="196">
        <f>IFERROR($G2581/SUMIF($A:$A,$A2581,$G:$G)*SUMIF(Summary!$A$247:$A$283,$A2581,Summary!$Q$247:$Q$283),0)</f>
        <v>0</v>
      </c>
      <c r="AL2581" s="196">
        <f>IFERROR($G2581/SUMIF($A:$A,$A2581,$G:$G)*(SUMIF(Summary!$A$247:$A$283,$A2581,Summary!$L$247:$L$283)+SUMIF(Summary!$A$297:$A$333,$A2581,Summary!$L$297:$L$333))-AK2581,0)</f>
        <v>0</v>
      </c>
      <c r="AM2581" s="198"/>
      <c r="AN2581" s="196">
        <f t="shared" ca="1" si="572"/>
        <v>0</v>
      </c>
      <c r="AO2581" s="196">
        <f t="shared" ca="1" si="573"/>
        <v>0</v>
      </c>
    </row>
    <row r="2582" spans="1:41">
      <c r="A2582" s="189">
        <v>9741</v>
      </c>
      <c r="B2582" s="190">
        <v>3</v>
      </c>
      <c r="C2582" s="191" t="s">
        <v>235</v>
      </c>
      <c r="D2582" s="192">
        <f t="shared" si="560"/>
        <v>11604.75</v>
      </c>
      <c r="E2582" s="192">
        <f t="shared" si="561"/>
        <v>43165.25</v>
      </c>
      <c r="F2582" s="192">
        <f t="shared" si="562"/>
        <v>0</v>
      </c>
      <c r="G2582" s="193">
        <f t="shared" si="563"/>
        <v>54770</v>
      </c>
      <c r="H2582" s="194">
        <v>3987.75</v>
      </c>
      <c r="I2582" s="194">
        <v>18829.25</v>
      </c>
      <c r="J2582" s="194">
        <v>0</v>
      </c>
      <c r="K2582" s="193">
        <f t="shared" si="564"/>
        <v>22817</v>
      </c>
      <c r="L2582" s="194">
        <v>6042</v>
      </c>
      <c r="M2582" s="194">
        <v>17731</v>
      </c>
      <c r="N2582" s="194">
        <v>0</v>
      </c>
      <c r="O2582" s="193">
        <f t="shared" si="565"/>
        <v>23773</v>
      </c>
      <c r="P2582" s="194">
        <v>1575</v>
      </c>
      <c r="Q2582" s="194">
        <v>6605</v>
      </c>
      <c r="R2582" s="194">
        <v>0</v>
      </c>
      <c r="S2582" s="193">
        <f t="shared" si="566"/>
        <v>8180</v>
      </c>
      <c r="T2582" s="193">
        <f t="shared" si="567"/>
        <v>2282.0833333333335</v>
      </c>
      <c r="U2582" s="193">
        <f ca="1">OFFSET('Expenditure Study'!$B$7,'Operations Support'!$C2582,'Operations Support'!$B2582)*$G2582</f>
        <v>173073.2</v>
      </c>
      <c r="V2582" s="199">
        <f ca="1">U2582*'Expenditure Study'!$B$31</f>
        <v>10225715.16723456</v>
      </c>
      <c r="W2582" s="199">
        <f ca="1">IF(A2582=10298,1.51,1)*IF($B2582&lt;3,$D2582*'Expenditure Study'!$B$32*OFFSET('Expenditure Study'!$B$7,'Operations Support'!$C2582,'Operations Support'!$B2582),0)</f>
        <v>0</v>
      </c>
      <c r="X2582" s="200">
        <f ca="1">W2582*'Expenditure Study'!$B$31</f>
        <v>0</v>
      </c>
      <c r="Y2582" s="199">
        <f ca="1">U2582*'Expenditure Study'!$B$31</f>
        <v>10225715.16723456</v>
      </c>
      <c r="Z2582" s="200">
        <f ca="1">W2582*'Expenditure Study'!$B$31</f>
        <v>0</v>
      </c>
      <c r="AA2582" s="195">
        <f t="shared" ca="1" si="568"/>
        <v>10225715.16723456</v>
      </c>
      <c r="AB2582" s="195">
        <f t="shared" ca="1" si="569"/>
        <v>10225715.16723456</v>
      </c>
      <c r="AD2582" s="196">
        <f>IFERROR($G2582/SUMIF($A:$A,$A2582,$G:$G)*SUMIF(Summary!$A$166:$A$242,$A2582,Summary!$P$166:$P$242),0)</f>
        <v>2779950.8511596997</v>
      </c>
      <c r="AE2582" s="197">
        <f t="shared" ca="1" si="570"/>
        <v>7445764.3160748612</v>
      </c>
      <c r="AF2582" s="196">
        <f>IFERROR(G2582/SUMIF(A:A,A2582,G:G)*SUMIF(Summary!$A$166:$A$242,'Operations Support'!A2582,Summary!$Q$166:$Q$242),0)</f>
        <v>2799283.5304462314</v>
      </c>
      <c r="AG2582" s="196">
        <f t="shared" ca="1" si="571"/>
        <v>7426431.6367883291</v>
      </c>
      <c r="AI2582" s="196">
        <f>IFERROR($G2582/SUMIF($A:$A,$A2582,$G:$G)*SUMIF(Summary!$A$247:$A$283,$A2582,Summary!$P$247:$P$283),0)</f>
        <v>506993.66235133621</v>
      </c>
      <c r="AJ2582" s="196">
        <f>IFERROR($G2582/SUMIF($A:$A,$A2582,$G:$G)*(SUMIF(Summary!$A$247:$A$283,$A2582,Summary!$L$247:$L$283)+SUMIF(Summary!$A$297:$A$333,$A2582,Summary!$L$297:$L$333))-AI2582,0)</f>
        <v>943451.89549655549</v>
      </c>
      <c r="AK2582" s="196">
        <f>IFERROR($G2582/SUMIF($A:$A,$A2582,$G:$G)*SUMIF(Summary!$A$247:$A$283,$A2582,Summary!$Q$247:$Q$283),0)</f>
        <v>510519.46061156585</v>
      </c>
      <c r="AL2582" s="196">
        <f>IFERROR($G2582/SUMIF($A:$A,$A2582,$G:$G)*(SUMIF(Summary!$A$247:$A$283,$A2582,Summary!$L$247:$L$283)+SUMIF(Summary!$A$297:$A$333,$A2582,Summary!$L$297:$L$333))-AK2582,0)</f>
        <v>939926.09723632585</v>
      </c>
      <c r="AM2582" s="198"/>
      <c r="AN2582" s="196">
        <f t="shared" ca="1" si="572"/>
        <v>8389216.2115714159</v>
      </c>
      <c r="AO2582" s="196">
        <f t="shared" ca="1" si="573"/>
        <v>8366357.7340246551</v>
      </c>
    </row>
    <row r="2583" spans="1:41">
      <c r="A2583" s="189">
        <v>9741</v>
      </c>
      <c r="B2583" s="190">
        <v>3</v>
      </c>
      <c r="C2583" s="191" t="s">
        <v>236</v>
      </c>
      <c r="D2583" s="192">
        <f t="shared" si="560"/>
        <v>0</v>
      </c>
      <c r="E2583" s="192">
        <f t="shared" si="561"/>
        <v>0</v>
      </c>
      <c r="F2583" s="192">
        <f t="shared" si="562"/>
        <v>0</v>
      </c>
      <c r="G2583" s="193">
        <f t="shared" si="563"/>
        <v>0</v>
      </c>
      <c r="H2583" s="194">
        <v>0</v>
      </c>
      <c r="I2583" s="194">
        <v>0</v>
      </c>
      <c r="J2583" s="194">
        <v>0</v>
      </c>
      <c r="K2583" s="193">
        <f t="shared" si="564"/>
        <v>0</v>
      </c>
      <c r="L2583" s="194">
        <v>0</v>
      </c>
      <c r="M2583" s="194">
        <v>0</v>
      </c>
      <c r="N2583" s="194">
        <v>0</v>
      </c>
      <c r="O2583" s="193">
        <f t="shared" si="565"/>
        <v>0</v>
      </c>
      <c r="P2583" s="194">
        <v>0</v>
      </c>
      <c r="Q2583" s="194">
        <v>0</v>
      </c>
      <c r="R2583" s="194">
        <v>0</v>
      </c>
      <c r="S2583" s="193">
        <f t="shared" si="566"/>
        <v>0</v>
      </c>
      <c r="T2583" s="193">
        <f t="shared" si="567"/>
        <v>0</v>
      </c>
      <c r="U2583" s="193">
        <f ca="1">OFFSET('Expenditure Study'!$B$7,'Operations Support'!$C2583,'Operations Support'!$B2583)*$G2583</f>
        <v>0</v>
      </c>
      <c r="V2583" s="199">
        <f ca="1">U2583*'Expenditure Study'!$B$31</f>
        <v>0</v>
      </c>
      <c r="W2583" s="199">
        <f ca="1">IF(A2583=10298,1.51,1)*IF($B2583&lt;3,$D2583*'Expenditure Study'!$B$32*OFFSET('Expenditure Study'!$B$7,'Operations Support'!$C2583,'Operations Support'!$B2583),0)</f>
        <v>0</v>
      </c>
      <c r="X2583" s="200">
        <f ca="1">W2583*'Expenditure Study'!$B$31</f>
        <v>0</v>
      </c>
      <c r="Y2583" s="199">
        <f ca="1">U2583*'Expenditure Study'!$B$31</f>
        <v>0</v>
      </c>
      <c r="Z2583" s="200">
        <f ca="1">W2583*'Expenditure Study'!$B$31</f>
        <v>0</v>
      </c>
      <c r="AA2583" s="195">
        <f t="shared" ca="1" si="568"/>
        <v>0</v>
      </c>
      <c r="AB2583" s="195">
        <f t="shared" ca="1" si="569"/>
        <v>0</v>
      </c>
      <c r="AD2583" s="196">
        <f>IFERROR($G2583/SUMIF($A:$A,$A2583,$G:$G)*SUMIF(Summary!$A$166:$A$242,$A2583,Summary!$P$166:$P$242),0)</f>
        <v>0</v>
      </c>
      <c r="AE2583" s="197">
        <f t="shared" ca="1" si="570"/>
        <v>0</v>
      </c>
      <c r="AF2583" s="196">
        <f>IFERROR(G2583/SUMIF(A:A,A2583,G:G)*SUMIF(Summary!$A$166:$A$242,'Operations Support'!A2583,Summary!$Q$166:$Q$242),0)</f>
        <v>0</v>
      </c>
      <c r="AG2583" s="196">
        <f t="shared" ca="1" si="571"/>
        <v>0</v>
      </c>
      <c r="AI2583" s="196">
        <f>IFERROR($G2583/SUMIF($A:$A,$A2583,$G:$G)*SUMIF(Summary!$A$247:$A$283,$A2583,Summary!$P$247:$P$283),0)</f>
        <v>0</v>
      </c>
      <c r="AJ2583" s="196">
        <f>IFERROR($G2583/SUMIF($A:$A,$A2583,$G:$G)*(SUMIF(Summary!$A$247:$A$283,$A2583,Summary!$L$247:$L$283)+SUMIF(Summary!$A$297:$A$333,$A2583,Summary!$L$297:$L$333))-AI2583,0)</f>
        <v>0</v>
      </c>
      <c r="AK2583" s="196">
        <f>IFERROR($G2583/SUMIF($A:$A,$A2583,$G:$G)*SUMIF(Summary!$A$247:$A$283,$A2583,Summary!$Q$247:$Q$283),0)</f>
        <v>0</v>
      </c>
      <c r="AL2583" s="196">
        <f>IFERROR($G2583/SUMIF($A:$A,$A2583,$G:$G)*(SUMIF(Summary!$A$247:$A$283,$A2583,Summary!$L$247:$L$283)+SUMIF(Summary!$A$297:$A$333,$A2583,Summary!$L$297:$L$333))-AK2583,0)</f>
        <v>0</v>
      </c>
      <c r="AM2583" s="198"/>
      <c r="AN2583" s="196">
        <f t="shared" ca="1" si="572"/>
        <v>0</v>
      </c>
      <c r="AO2583" s="196">
        <f t="shared" ca="1" si="573"/>
        <v>0</v>
      </c>
    </row>
    <row r="2584" spans="1:41">
      <c r="A2584" s="189">
        <v>9741</v>
      </c>
      <c r="B2584" s="190">
        <v>3</v>
      </c>
      <c r="C2584" s="191" t="s">
        <v>237</v>
      </c>
      <c r="D2584" s="192">
        <f t="shared" si="560"/>
        <v>0</v>
      </c>
      <c r="E2584" s="192">
        <f t="shared" si="561"/>
        <v>0</v>
      </c>
      <c r="F2584" s="192">
        <f t="shared" si="562"/>
        <v>0</v>
      </c>
      <c r="G2584" s="193">
        <f t="shared" si="563"/>
        <v>0</v>
      </c>
      <c r="H2584" s="194">
        <v>0</v>
      </c>
      <c r="I2584" s="194">
        <v>0</v>
      </c>
      <c r="J2584" s="194">
        <v>0</v>
      </c>
      <c r="K2584" s="193">
        <f t="shared" si="564"/>
        <v>0</v>
      </c>
      <c r="L2584" s="194">
        <v>0</v>
      </c>
      <c r="M2584" s="194">
        <v>0</v>
      </c>
      <c r="N2584" s="194">
        <v>0</v>
      </c>
      <c r="O2584" s="193">
        <f t="shared" si="565"/>
        <v>0</v>
      </c>
      <c r="P2584" s="194">
        <v>0</v>
      </c>
      <c r="Q2584" s="194">
        <v>0</v>
      </c>
      <c r="R2584" s="194">
        <v>0</v>
      </c>
      <c r="S2584" s="193">
        <f t="shared" si="566"/>
        <v>0</v>
      </c>
      <c r="T2584" s="193">
        <f t="shared" si="567"/>
        <v>0</v>
      </c>
      <c r="U2584" s="193">
        <f ca="1">OFFSET('Expenditure Study'!$B$7,'Operations Support'!$C2584,'Operations Support'!$B2584)*$G2584</f>
        <v>0</v>
      </c>
      <c r="V2584" s="199">
        <f ca="1">U2584*'Expenditure Study'!$B$31</f>
        <v>0</v>
      </c>
      <c r="W2584" s="199">
        <f ca="1">IF(A2584=10298,1.51,1)*IF($B2584&lt;3,$D2584*'Expenditure Study'!$B$32*OFFSET('Expenditure Study'!$B$7,'Operations Support'!$C2584,'Operations Support'!$B2584),0)</f>
        <v>0</v>
      </c>
      <c r="X2584" s="200">
        <f ca="1">W2584*'Expenditure Study'!$B$31</f>
        <v>0</v>
      </c>
      <c r="Y2584" s="199">
        <f ca="1">U2584*'Expenditure Study'!$B$31</f>
        <v>0</v>
      </c>
      <c r="Z2584" s="200">
        <f ca="1">W2584*'Expenditure Study'!$B$31</f>
        <v>0</v>
      </c>
      <c r="AA2584" s="195">
        <f t="shared" ca="1" si="568"/>
        <v>0</v>
      </c>
      <c r="AB2584" s="195">
        <f t="shared" ca="1" si="569"/>
        <v>0</v>
      </c>
      <c r="AD2584" s="196">
        <f>IFERROR($G2584/SUMIF($A:$A,$A2584,$G:$G)*SUMIF(Summary!$A$166:$A$242,$A2584,Summary!$P$166:$P$242),0)</f>
        <v>0</v>
      </c>
      <c r="AE2584" s="197">
        <f t="shared" ca="1" si="570"/>
        <v>0</v>
      </c>
      <c r="AF2584" s="196">
        <f>IFERROR(G2584/SUMIF(A:A,A2584,G:G)*SUMIF(Summary!$A$166:$A$242,'Operations Support'!A2584,Summary!$Q$166:$Q$242),0)</f>
        <v>0</v>
      </c>
      <c r="AG2584" s="196">
        <f t="shared" ca="1" si="571"/>
        <v>0</v>
      </c>
      <c r="AI2584" s="196">
        <f>IFERROR($G2584/SUMIF($A:$A,$A2584,$G:$G)*SUMIF(Summary!$A$247:$A$283,$A2584,Summary!$P$247:$P$283),0)</f>
        <v>0</v>
      </c>
      <c r="AJ2584" s="196">
        <f>IFERROR($G2584/SUMIF($A:$A,$A2584,$G:$G)*(SUMIF(Summary!$A$247:$A$283,$A2584,Summary!$L$247:$L$283)+SUMIF(Summary!$A$297:$A$333,$A2584,Summary!$L$297:$L$333))-AI2584,0)</f>
        <v>0</v>
      </c>
      <c r="AK2584" s="196">
        <f>IFERROR($G2584/SUMIF($A:$A,$A2584,$G:$G)*SUMIF(Summary!$A$247:$A$283,$A2584,Summary!$Q$247:$Q$283),0)</f>
        <v>0</v>
      </c>
      <c r="AL2584" s="196">
        <f>IFERROR($G2584/SUMIF($A:$A,$A2584,$G:$G)*(SUMIF(Summary!$A$247:$A$283,$A2584,Summary!$L$247:$L$283)+SUMIF(Summary!$A$297:$A$333,$A2584,Summary!$L$297:$L$333))-AK2584,0)</f>
        <v>0</v>
      </c>
      <c r="AM2584" s="198"/>
      <c r="AN2584" s="196">
        <f t="shared" ca="1" si="572"/>
        <v>0</v>
      </c>
      <c r="AO2584" s="196">
        <f t="shared" ca="1" si="573"/>
        <v>0</v>
      </c>
    </row>
    <row r="2585" spans="1:41">
      <c r="A2585" s="189">
        <v>9741</v>
      </c>
      <c r="B2585" s="190">
        <v>3</v>
      </c>
      <c r="C2585" s="191" t="s">
        <v>238</v>
      </c>
      <c r="D2585" s="192">
        <f t="shared" si="560"/>
        <v>741</v>
      </c>
      <c r="E2585" s="192">
        <f t="shared" si="561"/>
        <v>372</v>
      </c>
      <c r="F2585" s="192">
        <f t="shared" si="562"/>
        <v>0</v>
      </c>
      <c r="G2585" s="193">
        <f t="shared" si="563"/>
        <v>1113</v>
      </c>
      <c r="H2585" s="194">
        <v>291</v>
      </c>
      <c r="I2585" s="194">
        <v>120</v>
      </c>
      <c r="J2585" s="194">
        <v>0</v>
      </c>
      <c r="K2585" s="193">
        <f t="shared" si="564"/>
        <v>411</v>
      </c>
      <c r="L2585" s="194">
        <v>450</v>
      </c>
      <c r="M2585" s="194">
        <v>252</v>
      </c>
      <c r="N2585" s="194">
        <v>0</v>
      </c>
      <c r="O2585" s="193">
        <f t="shared" si="565"/>
        <v>702</v>
      </c>
      <c r="P2585" s="194">
        <v>0</v>
      </c>
      <c r="Q2585" s="194">
        <v>0</v>
      </c>
      <c r="R2585" s="194">
        <v>0</v>
      </c>
      <c r="S2585" s="193">
        <f t="shared" si="566"/>
        <v>0</v>
      </c>
      <c r="T2585" s="193">
        <f t="shared" si="567"/>
        <v>46.375</v>
      </c>
      <c r="U2585" s="193">
        <f ca="1">OFFSET('Expenditure Study'!$B$7,'Operations Support'!$C2585,'Operations Support'!$B2585)*$G2585</f>
        <v>6499.92</v>
      </c>
      <c r="V2585" s="199">
        <f ca="1">U2585*'Expenditure Study'!$B$31</f>
        <v>384035.94854553603</v>
      </c>
      <c r="W2585" s="199">
        <f ca="1">IF(A2585=10298,1.51,1)*IF($B2585&lt;3,$D2585*'Expenditure Study'!$B$32*OFFSET('Expenditure Study'!$B$7,'Operations Support'!$C2585,'Operations Support'!$B2585),0)</f>
        <v>0</v>
      </c>
      <c r="X2585" s="200">
        <f ca="1">W2585*'Expenditure Study'!$B$31</f>
        <v>0</v>
      </c>
      <c r="Y2585" s="199">
        <f ca="1">U2585*'Expenditure Study'!$B$31</f>
        <v>384035.94854553603</v>
      </c>
      <c r="Z2585" s="200">
        <f ca="1">W2585*'Expenditure Study'!$B$31</f>
        <v>0</v>
      </c>
      <c r="AA2585" s="195">
        <f t="shared" ca="1" si="568"/>
        <v>384035.94854553603</v>
      </c>
      <c r="AB2585" s="195">
        <f t="shared" ca="1" si="569"/>
        <v>384035.94854553603</v>
      </c>
      <c r="AD2585" s="196">
        <f>IFERROR($G2585/SUMIF($A:$A,$A2585,$G:$G)*SUMIF(Summary!$A$166:$A$242,$A2585,Summary!$P$166:$P$242),0)</f>
        <v>56492.336997274891</v>
      </c>
      <c r="AE2585" s="197">
        <f t="shared" ca="1" si="570"/>
        <v>327543.61154826113</v>
      </c>
      <c r="AF2585" s="196">
        <f>IFERROR(G2585/SUMIF(A:A,A2585,G:G)*SUMIF(Summary!$A$166:$A$242,'Operations Support'!A2585,Summary!$Q$166:$Q$242),0)</f>
        <v>56885.203019657762</v>
      </c>
      <c r="AG2585" s="196">
        <f t="shared" ca="1" si="571"/>
        <v>327150.74552587827</v>
      </c>
      <c r="AI2585" s="196">
        <f>IFERROR($G2585/SUMIF($A:$A,$A2585,$G:$G)*SUMIF(Summary!$A$247:$A$283,$A2585,Summary!$P$247:$P$283),0)</f>
        <v>10302.792517747623</v>
      </c>
      <c r="AJ2585" s="196">
        <f>IFERROR($G2585/SUMIF($A:$A,$A2585,$G:$G)*(SUMIF(Summary!$A$247:$A$283,$A2585,Summary!$L$247:$L$283)+SUMIF(Summary!$A$297:$A$333,$A2585,Summary!$L$297:$L$333))-AI2585,0)</f>
        <v>19172.210328421876</v>
      </c>
      <c r="AK2585" s="196">
        <f>IFERROR($G2585/SUMIF($A:$A,$A2585,$G:$G)*SUMIF(Summary!$A$247:$A$283,$A2585,Summary!$Q$247:$Q$283),0)</f>
        <v>10374.441476367954</v>
      </c>
      <c r="AL2585" s="196">
        <f>IFERROR($G2585/SUMIF($A:$A,$A2585,$G:$G)*(SUMIF(Summary!$A$247:$A$283,$A2585,Summary!$L$247:$L$283)+SUMIF(Summary!$A$297:$A$333,$A2585,Summary!$L$297:$L$333))-AK2585,0)</f>
        <v>19100.561369801544</v>
      </c>
      <c r="AM2585" s="198"/>
      <c r="AN2585" s="196">
        <f t="shared" ca="1" si="572"/>
        <v>346715.82187668304</v>
      </c>
      <c r="AO2585" s="196">
        <f t="shared" ca="1" si="573"/>
        <v>346251.30689567979</v>
      </c>
    </row>
    <row r="2586" spans="1:41">
      <c r="A2586" s="189">
        <v>9741</v>
      </c>
      <c r="B2586" s="190">
        <v>3</v>
      </c>
      <c r="C2586" s="191" t="s">
        <v>239</v>
      </c>
      <c r="D2586" s="192">
        <f t="shared" si="560"/>
        <v>0</v>
      </c>
      <c r="E2586" s="192">
        <f t="shared" si="561"/>
        <v>0</v>
      </c>
      <c r="F2586" s="192">
        <f t="shared" si="562"/>
        <v>0</v>
      </c>
      <c r="G2586" s="193">
        <f t="shared" si="563"/>
        <v>0</v>
      </c>
      <c r="H2586" s="194">
        <v>0</v>
      </c>
      <c r="I2586" s="194">
        <v>0</v>
      </c>
      <c r="J2586" s="194">
        <v>0</v>
      </c>
      <c r="K2586" s="193">
        <f t="shared" si="564"/>
        <v>0</v>
      </c>
      <c r="L2586" s="194">
        <v>0</v>
      </c>
      <c r="M2586" s="194">
        <v>0</v>
      </c>
      <c r="N2586" s="194">
        <v>0</v>
      </c>
      <c r="O2586" s="193">
        <f t="shared" si="565"/>
        <v>0</v>
      </c>
      <c r="P2586" s="194">
        <v>0</v>
      </c>
      <c r="Q2586" s="194">
        <v>0</v>
      </c>
      <c r="R2586" s="194">
        <v>0</v>
      </c>
      <c r="S2586" s="193">
        <f t="shared" si="566"/>
        <v>0</v>
      </c>
      <c r="T2586" s="193">
        <f t="shared" si="567"/>
        <v>0</v>
      </c>
      <c r="U2586" s="193">
        <f ca="1">OFFSET('Expenditure Study'!$B$7,'Operations Support'!$C2586,'Operations Support'!$B2586)*$G2586</f>
        <v>0</v>
      </c>
      <c r="V2586" s="199">
        <f ca="1">U2586*'Expenditure Study'!$B$31</f>
        <v>0</v>
      </c>
      <c r="W2586" s="199">
        <f ca="1">IF(A2586=10298,1.51,1)*IF($B2586&lt;3,$D2586*'Expenditure Study'!$B$32*OFFSET('Expenditure Study'!$B$7,'Operations Support'!$C2586,'Operations Support'!$B2586),0)</f>
        <v>0</v>
      </c>
      <c r="X2586" s="200">
        <f ca="1">W2586*'Expenditure Study'!$B$31</f>
        <v>0</v>
      </c>
      <c r="Y2586" s="199">
        <f ca="1">U2586*'Expenditure Study'!$B$31</f>
        <v>0</v>
      </c>
      <c r="Z2586" s="200">
        <f ca="1">W2586*'Expenditure Study'!$B$31</f>
        <v>0</v>
      </c>
      <c r="AA2586" s="195">
        <f t="shared" ca="1" si="568"/>
        <v>0</v>
      </c>
      <c r="AB2586" s="195">
        <f t="shared" ca="1" si="569"/>
        <v>0</v>
      </c>
      <c r="AD2586" s="196">
        <f>IFERROR($G2586/SUMIF($A:$A,$A2586,$G:$G)*SUMIF(Summary!$A$166:$A$242,$A2586,Summary!$P$166:$P$242),0)</f>
        <v>0</v>
      </c>
      <c r="AE2586" s="197">
        <f t="shared" ca="1" si="570"/>
        <v>0</v>
      </c>
      <c r="AF2586" s="196">
        <f>IFERROR(G2586/SUMIF(A:A,A2586,G:G)*SUMIF(Summary!$A$166:$A$242,'Operations Support'!A2586,Summary!$Q$166:$Q$242),0)</f>
        <v>0</v>
      </c>
      <c r="AG2586" s="196">
        <f t="shared" ca="1" si="571"/>
        <v>0</v>
      </c>
      <c r="AI2586" s="196">
        <f>IFERROR($G2586/SUMIF($A:$A,$A2586,$G:$G)*SUMIF(Summary!$A$247:$A$283,$A2586,Summary!$P$247:$P$283),0)</f>
        <v>0</v>
      </c>
      <c r="AJ2586" s="196">
        <f>IFERROR($G2586/SUMIF($A:$A,$A2586,$G:$G)*(SUMIF(Summary!$A$247:$A$283,$A2586,Summary!$L$247:$L$283)+SUMIF(Summary!$A$297:$A$333,$A2586,Summary!$L$297:$L$333))-AI2586,0)</f>
        <v>0</v>
      </c>
      <c r="AK2586" s="196">
        <f>IFERROR($G2586/SUMIF($A:$A,$A2586,$G:$G)*SUMIF(Summary!$A$247:$A$283,$A2586,Summary!$Q$247:$Q$283),0)</f>
        <v>0</v>
      </c>
      <c r="AL2586" s="196">
        <f>IFERROR($G2586/SUMIF($A:$A,$A2586,$G:$G)*(SUMIF(Summary!$A$247:$A$283,$A2586,Summary!$L$247:$L$283)+SUMIF(Summary!$A$297:$A$333,$A2586,Summary!$L$297:$L$333))-AK2586,0)</f>
        <v>0</v>
      </c>
      <c r="AM2586" s="198"/>
      <c r="AN2586" s="196">
        <f t="shared" ca="1" si="572"/>
        <v>0</v>
      </c>
      <c r="AO2586" s="196">
        <f t="shared" ca="1" si="573"/>
        <v>0</v>
      </c>
    </row>
    <row r="2587" spans="1:41">
      <c r="A2587" s="189">
        <v>9741</v>
      </c>
      <c r="B2587" s="190">
        <v>3</v>
      </c>
      <c r="C2587" s="191" t="s">
        <v>240</v>
      </c>
      <c r="D2587" s="192">
        <f t="shared" si="560"/>
        <v>0</v>
      </c>
      <c r="E2587" s="192">
        <f t="shared" si="561"/>
        <v>0</v>
      </c>
      <c r="F2587" s="192">
        <f t="shared" si="562"/>
        <v>0</v>
      </c>
      <c r="G2587" s="193">
        <f t="shared" si="563"/>
        <v>0</v>
      </c>
      <c r="H2587" s="194">
        <v>0</v>
      </c>
      <c r="I2587" s="194">
        <v>0</v>
      </c>
      <c r="J2587" s="194">
        <v>0</v>
      </c>
      <c r="K2587" s="193">
        <f t="shared" si="564"/>
        <v>0</v>
      </c>
      <c r="L2587" s="194">
        <v>0</v>
      </c>
      <c r="M2587" s="194">
        <v>0</v>
      </c>
      <c r="N2587" s="194">
        <v>0</v>
      </c>
      <c r="O2587" s="193">
        <f t="shared" si="565"/>
        <v>0</v>
      </c>
      <c r="P2587" s="194">
        <v>0</v>
      </c>
      <c r="Q2587" s="194">
        <v>0</v>
      </c>
      <c r="R2587" s="194">
        <v>0</v>
      </c>
      <c r="S2587" s="193">
        <f t="shared" si="566"/>
        <v>0</v>
      </c>
      <c r="T2587" s="193">
        <f t="shared" si="567"/>
        <v>0</v>
      </c>
      <c r="U2587" s="193">
        <f ca="1">OFFSET('Expenditure Study'!$B$7,'Operations Support'!$C2587,'Operations Support'!$B2587)*$G2587</f>
        <v>0</v>
      </c>
      <c r="V2587" s="199">
        <f ca="1">U2587*'Expenditure Study'!$B$31</f>
        <v>0</v>
      </c>
      <c r="W2587" s="199">
        <f ca="1">IF(A2587=10298,1.51,1)*IF($B2587&lt;3,$D2587*'Expenditure Study'!$B$32*OFFSET('Expenditure Study'!$B$7,'Operations Support'!$C2587,'Operations Support'!$B2587),0)</f>
        <v>0</v>
      </c>
      <c r="X2587" s="200">
        <f ca="1">W2587*'Expenditure Study'!$B$31</f>
        <v>0</v>
      </c>
      <c r="Y2587" s="199">
        <f ca="1">U2587*'Expenditure Study'!$B$31</f>
        <v>0</v>
      </c>
      <c r="Z2587" s="200">
        <f ca="1">W2587*'Expenditure Study'!$B$31</f>
        <v>0</v>
      </c>
      <c r="AA2587" s="195">
        <f t="shared" ca="1" si="568"/>
        <v>0</v>
      </c>
      <c r="AB2587" s="195">
        <f t="shared" ca="1" si="569"/>
        <v>0</v>
      </c>
      <c r="AD2587" s="196">
        <f>IFERROR($G2587/SUMIF($A:$A,$A2587,$G:$G)*SUMIF(Summary!$A$166:$A$242,$A2587,Summary!$P$166:$P$242),0)</f>
        <v>0</v>
      </c>
      <c r="AE2587" s="197">
        <f t="shared" ca="1" si="570"/>
        <v>0</v>
      </c>
      <c r="AF2587" s="196">
        <f>IFERROR(G2587/SUMIF(A:A,A2587,G:G)*SUMIF(Summary!$A$166:$A$242,'Operations Support'!A2587,Summary!$Q$166:$Q$242),0)</f>
        <v>0</v>
      </c>
      <c r="AG2587" s="196">
        <f t="shared" ca="1" si="571"/>
        <v>0</v>
      </c>
      <c r="AI2587" s="196">
        <f>IFERROR($G2587/SUMIF($A:$A,$A2587,$G:$G)*SUMIF(Summary!$A$247:$A$283,$A2587,Summary!$P$247:$P$283),0)</f>
        <v>0</v>
      </c>
      <c r="AJ2587" s="196">
        <f>IFERROR($G2587/SUMIF($A:$A,$A2587,$G:$G)*(SUMIF(Summary!$A$247:$A$283,$A2587,Summary!$L$247:$L$283)+SUMIF(Summary!$A$297:$A$333,$A2587,Summary!$L$297:$L$333))-AI2587,0)</f>
        <v>0</v>
      </c>
      <c r="AK2587" s="196">
        <f>IFERROR($G2587/SUMIF($A:$A,$A2587,$G:$G)*SUMIF(Summary!$A$247:$A$283,$A2587,Summary!$Q$247:$Q$283),0)</f>
        <v>0</v>
      </c>
      <c r="AL2587" s="196">
        <f>IFERROR($G2587/SUMIF($A:$A,$A2587,$G:$G)*(SUMIF(Summary!$A$247:$A$283,$A2587,Summary!$L$247:$L$283)+SUMIF(Summary!$A$297:$A$333,$A2587,Summary!$L$297:$L$333))-AK2587,0)</f>
        <v>0</v>
      </c>
      <c r="AM2587" s="198"/>
      <c r="AN2587" s="196">
        <f t="shared" ca="1" si="572"/>
        <v>0</v>
      </c>
      <c r="AO2587" s="196">
        <f t="shared" ca="1" si="573"/>
        <v>0</v>
      </c>
    </row>
    <row r="2588" spans="1:41">
      <c r="A2588" s="189">
        <v>9741</v>
      </c>
      <c r="B2588" s="190">
        <v>4</v>
      </c>
      <c r="C2588" s="191" t="s">
        <v>220</v>
      </c>
      <c r="D2588" s="192">
        <f t="shared" si="560"/>
        <v>5945</v>
      </c>
      <c r="E2588" s="192">
        <f t="shared" si="561"/>
        <v>437</v>
      </c>
      <c r="F2588" s="192">
        <f t="shared" si="562"/>
        <v>177</v>
      </c>
      <c r="G2588" s="193">
        <f t="shared" si="563"/>
        <v>6205</v>
      </c>
      <c r="H2588" s="194">
        <v>2534</v>
      </c>
      <c r="I2588" s="194">
        <v>177</v>
      </c>
      <c r="J2588" s="194">
        <v>96</v>
      </c>
      <c r="K2588" s="193">
        <f t="shared" si="564"/>
        <v>2615</v>
      </c>
      <c r="L2588" s="194">
        <v>2630</v>
      </c>
      <c r="M2588" s="194">
        <v>197</v>
      </c>
      <c r="N2588" s="194">
        <v>68</v>
      </c>
      <c r="O2588" s="193">
        <f t="shared" si="565"/>
        <v>2759</v>
      </c>
      <c r="P2588" s="194">
        <v>781</v>
      </c>
      <c r="Q2588" s="194">
        <v>63</v>
      </c>
      <c r="R2588" s="194">
        <v>13</v>
      </c>
      <c r="S2588" s="193">
        <f t="shared" si="566"/>
        <v>831</v>
      </c>
      <c r="T2588" s="193">
        <f t="shared" si="567"/>
        <v>344.72222222222223</v>
      </c>
      <c r="U2588" s="193">
        <f ca="1">OFFSET('Expenditure Study'!$B$7,'Operations Support'!$C2588,'Operations Support'!$B2588)*$G2588</f>
        <v>91399.650000000009</v>
      </c>
      <c r="V2588" s="199">
        <f ca="1">U2588*'Expenditure Study'!$B$31</f>
        <v>5400182.0460067205</v>
      </c>
      <c r="W2588" s="199">
        <f ca="1">IF(A2588=10298,1.51,1)*IF($B2588&lt;3,$D2588*'Expenditure Study'!$B$32*OFFSET('Expenditure Study'!$B$7,'Operations Support'!$C2588,'Operations Support'!$B2588),0)</f>
        <v>0</v>
      </c>
      <c r="X2588" s="200">
        <f ca="1">W2588*'Expenditure Study'!$B$31</f>
        <v>0</v>
      </c>
      <c r="Y2588" s="199">
        <f ca="1">U2588*'Expenditure Study'!$B$31</f>
        <v>5400182.0460067205</v>
      </c>
      <c r="Z2588" s="200">
        <f ca="1">W2588*'Expenditure Study'!$B$31</f>
        <v>0</v>
      </c>
      <c r="AA2588" s="195">
        <f t="shared" ca="1" si="568"/>
        <v>5400182.0460067205</v>
      </c>
      <c r="AB2588" s="195">
        <f t="shared" ca="1" si="569"/>
        <v>5400182.0460067205</v>
      </c>
      <c r="AD2588" s="196">
        <f>IFERROR($G2588/SUMIF($A:$A,$A2588,$G:$G)*SUMIF(Summary!$A$166:$A$242,$A2588,Summary!$P$166:$P$242),0)</f>
        <v>314946.04768022522</v>
      </c>
      <c r="AE2588" s="197">
        <f t="shared" ca="1" si="570"/>
        <v>5085235.9983264953</v>
      </c>
      <c r="AF2588" s="196">
        <f>IFERROR(G2588/SUMIF(A:A,A2588,G:G)*SUMIF(Summary!$A$166:$A$242,'Operations Support'!A2588,Summary!$Q$166:$Q$242),0)</f>
        <v>317136.28457949357</v>
      </c>
      <c r="AG2588" s="196">
        <f t="shared" ca="1" si="571"/>
        <v>5083045.7614272274</v>
      </c>
      <c r="AI2588" s="196">
        <f>IFERROR($G2588/SUMIF($A:$A,$A2588,$G:$G)*SUMIF(Summary!$A$247:$A$283,$A2588,Summary!$P$247:$P$283),0)</f>
        <v>57438.299705861624</v>
      </c>
      <c r="AJ2588" s="196">
        <f>IFERROR($G2588/SUMIF($A:$A,$A2588,$G:$G)*(SUMIF(Summary!$A$247:$A$283,$A2588,Summary!$L$247:$L$283)+SUMIF(Summary!$A$297:$A$333,$A2588,Summary!$L$297:$L$333))-AI2588,0)</f>
        <v>106885.50322359186</v>
      </c>
      <c r="AK2588" s="196">
        <f>IFERROR($G2588/SUMIF($A:$A,$A2588,$G:$G)*SUMIF(Summary!$A$247:$A$283,$A2588,Summary!$Q$247:$Q$283),0)</f>
        <v>57837.744259535626</v>
      </c>
      <c r="AL2588" s="196">
        <f>IFERROR($G2588/SUMIF($A:$A,$A2588,$G:$G)*(SUMIF(Summary!$A$247:$A$283,$A2588,Summary!$L$247:$L$283)+SUMIF(Summary!$A$297:$A$333,$A2588,Summary!$L$297:$L$333))-AK2588,0)</f>
        <v>106486.05866991787</v>
      </c>
      <c r="AM2588" s="198"/>
      <c r="AN2588" s="196">
        <f t="shared" ca="1" si="572"/>
        <v>5192121.5015500868</v>
      </c>
      <c r="AO2588" s="196">
        <f t="shared" ca="1" si="573"/>
        <v>5189531.8200971456</v>
      </c>
    </row>
    <row r="2589" spans="1:41">
      <c r="A2589" s="189">
        <v>9741</v>
      </c>
      <c r="B2589" s="190">
        <v>4</v>
      </c>
      <c r="C2589" s="191" t="s">
        <v>221</v>
      </c>
      <c r="D2589" s="192">
        <f t="shared" si="560"/>
        <v>7820</v>
      </c>
      <c r="E2589" s="192">
        <f t="shared" si="561"/>
        <v>266</v>
      </c>
      <c r="F2589" s="192">
        <f t="shared" si="562"/>
        <v>332</v>
      </c>
      <c r="G2589" s="193">
        <f t="shared" si="563"/>
        <v>7754</v>
      </c>
      <c r="H2589" s="194">
        <v>2872.5</v>
      </c>
      <c r="I2589" s="194">
        <v>60.5</v>
      </c>
      <c r="J2589" s="194">
        <v>183</v>
      </c>
      <c r="K2589" s="193">
        <f t="shared" si="564"/>
        <v>2750</v>
      </c>
      <c r="L2589" s="194">
        <v>2944.5</v>
      </c>
      <c r="M2589" s="194">
        <v>181.5</v>
      </c>
      <c r="N2589" s="194">
        <v>90</v>
      </c>
      <c r="O2589" s="193">
        <f t="shared" si="565"/>
        <v>3036</v>
      </c>
      <c r="P2589" s="194">
        <v>2003</v>
      </c>
      <c r="Q2589" s="194">
        <v>24</v>
      </c>
      <c r="R2589" s="194">
        <v>59</v>
      </c>
      <c r="S2589" s="193">
        <f t="shared" si="566"/>
        <v>1968</v>
      </c>
      <c r="T2589" s="193">
        <f t="shared" si="567"/>
        <v>430.77777777777777</v>
      </c>
      <c r="U2589" s="193">
        <f ca="1">OFFSET('Expenditure Study'!$B$7,'Operations Support'!$C2589,'Operations Support'!$B2589)*$G2589</f>
        <v>168571.96</v>
      </c>
      <c r="V2589" s="199">
        <f ca="1">U2589*'Expenditure Study'!$B$31</f>
        <v>9959767.5904903673</v>
      </c>
      <c r="W2589" s="199">
        <f ca="1">IF(A2589=10298,1.51,1)*IF($B2589&lt;3,$D2589*'Expenditure Study'!$B$32*OFFSET('Expenditure Study'!$B$7,'Operations Support'!$C2589,'Operations Support'!$B2589),0)</f>
        <v>0</v>
      </c>
      <c r="X2589" s="200">
        <f ca="1">W2589*'Expenditure Study'!$B$31</f>
        <v>0</v>
      </c>
      <c r="Y2589" s="199">
        <f ca="1">U2589*'Expenditure Study'!$B$31</f>
        <v>9959767.5904903673</v>
      </c>
      <c r="Z2589" s="200">
        <f ca="1">W2589*'Expenditure Study'!$B$31</f>
        <v>0</v>
      </c>
      <c r="AA2589" s="195">
        <f t="shared" ca="1" si="568"/>
        <v>9959767.5904903673</v>
      </c>
      <c r="AB2589" s="195">
        <f t="shared" ca="1" si="569"/>
        <v>9959767.5904903673</v>
      </c>
      <c r="AD2589" s="196">
        <f>IFERROR($G2589/SUMIF($A:$A,$A2589,$G:$G)*SUMIF(Summary!$A$166:$A$242,$A2589,Summary!$P$166:$P$242),0)</f>
        <v>393568.35676268599</v>
      </c>
      <c r="AE2589" s="197">
        <f t="shared" ca="1" si="570"/>
        <v>9566199.2337276805</v>
      </c>
      <c r="AF2589" s="196">
        <f>IFERROR(G2589/SUMIF(A:A,A2589,G:G)*SUMIF(Summary!$A$166:$A$242,'Operations Support'!A2589,Summary!$Q$166:$Q$242),0)</f>
        <v>396305.35868322221</v>
      </c>
      <c r="AG2589" s="196">
        <f t="shared" ca="1" si="571"/>
        <v>9563462.2318071444</v>
      </c>
      <c r="AI2589" s="196">
        <f>IFERROR($G2589/SUMIF($A:$A,$A2589,$G:$G)*SUMIF(Summary!$A$247:$A$283,$A2589,Summary!$P$247:$P$283),0)</f>
        <v>71777.046884649651</v>
      </c>
      <c r="AJ2589" s="196">
        <f>IFERROR($G2589/SUMIF($A:$A,$A2589,$G:$G)*(SUMIF(Summary!$A$247:$A$283,$A2589,Summary!$L$247:$L$283)+SUMIF(Summary!$A$297:$A$333,$A2589,Summary!$L$297:$L$333))-AI2589,0)</f>
        <v>133568.12119189871</v>
      </c>
      <c r="AK2589" s="196">
        <f>IFERROR($G2589/SUMIF($A:$A,$A2589,$G:$G)*SUMIF(Summary!$A$247:$A$283,$A2589,Summary!$Q$247:$Q$283),0)</f>
        <v>72276.207733833886</v>
      </c>
      <c r="AL2589" s="196">
        <f>IFERROR($G2589/SUMIF($A:$A,$A2589,$G:$G)*(SUMIF(Summary!$A$247:$A$283,$A2589,Summary!$L$247:$L$283)+SUMIF(Summary!$A$297:$A$333,$A2589,Summary!$L$297:$L$333))-AK2589,0)</f>
        <v>133068.96034271445</v>
      </c>
      <c r="AM2589" s="198"/>
      <c r="AN2589" s="196">
        <f t="shared" ca="1" si="572"/>
        <v>9699767.3549195789</v>
      </c>
      <c r="AO2589" s="196">
        <f t="shared" ca="1" si="573"/>
        <v>9696531.1921498589</v>
      </c>
    </row>
    <row r="2590" spans="1:41">
      <c r="A2590" s="189">
        <v>9741</v>
      </c>
      <c r="B2590" s="190">
        <v>4</v>
      </c>
      <c r="C2590" s="191" t="s">
        <v>222</v>
      </c>
      <c r="D2590" s="192">
        <f t="shared" si="560"/>
        <v>1000</v>
      </c>
      <c r="E2590" s="192">
        <f t="shared" si="561"/>
        <v>48</v>
      </c>
      <c r="F2590" s="192">
        <f t="shared" si="562"/>
        <v>8</v>
      </c>
      <c r="G2590" s="193">
        <f t="shared" si="563"/>
        <v>1040</v>
      </c>
      <c r="H2590" s="194">
        <v>417</v>
      </c>
      <c r="I2590" s="194">
        <v>27</v>
      </c>
      <c r="J2590" s="194">
        <v>4</v>
      </c>
      <c r="K2590" s="193">
        <f t="shared" si="564"/>
        <v>440</v>
      </c>
      <c r="L2590" s="194">
        <v>444</v>
      </c>
      <c r="M2590" s="194">
        <v>21</v>
      </c>
      <c r="N2590" s="194">
        <v>4</v>
      </c>
      <c r="O2590" s="193">
        <f t="shared" si="565"/>
        <v>461</v>
      </c>
      <c r="P2590" s="194">
        <v>139</v>
      </c>
      <c r="Q2590" s="194">
        <v>0</v>
      </c>
      <c r="R2590" s="194">
        <v>0</v>
      </c>
      <c r="S2590" s="193">
        <f t="shared" si="566"/>
        <v>139</v>
      </c>
      <c r="T2590" s="193">
        <f t="shared" si="567"/>
        <v>57.777777777777779</v>
      </c>
      <c r="U2590" s="193">
        <f ca="1">OFFSET('Expenditure Study'!$B$7,'Operations Support'!$C2590,'Operations Support'!$B2590)*$G2590</f>
        <v>10504</v>
      </c>
      <c r="V2590" s="199">
        <f ca="1">U2590*'Expenditure Study'!$B$31</f>
        <v>620609.73112320004</v>
      </c>
      <c r="W2590" s="199">
        <f ca="1">IF(A2590=10298,1.51,1)*IF($B2590&lt;3,$D2590*'Expenditure Study'!$B$32*OFFSET('Expenditure Study'!$B$7,'Operations Support'!$C2590,'Operations Support'!$B2590),0)</f>
        <v>0</v>
      </c>
      <c r="X2590" s="200">
        <f ca="1">W2590*'Expenditure Study'!$B$31</f>
        <v>0</v>
      </c>
      <c r="Y2590" s="199">
        <f ca="1">U2590*'Expenditure Study'!$B$31</f>
        <v>620609.73112320004</v>
      </c>
      <c r="Z2590" s="200">
        <f ca="1">W2590*'Expenditure Study'!$B$31</f>
        <v>0</v>
      </c>
      <c r="AA2590" s="195">
        <f t="shared" ca="1" si="568"/>
        <v>620609.73112320004</v>
      </c>
      <c r="AB2590" s="195">
        <f t="shared" ca="1" si="569"/>
        <v>620609.73112320004</v>
      </c>
      <c r="AD2590" s="196">
        <f>IFERROR($G2590/SUMIF($A:$A,$A2590,$G:$G)*SUMIF(Summary!$A$166:$A$242,$A2590,Summary!$P$166:$P$242),0)</f>
        <v>52787.089377507538</v>
      </c>
      <c r="AE2590" s="197">
        <f t="shared" ca="1" si="570"/>
        <v>567822.64174569247</v>
      </c>
      <c r="AF2590" s="196">
        <f>IFERROR(G2590/SUMIF(A:A,A2590,G:G)*SUMIF(Summary!$A$166:$A$242,'Operations Support'!A2590,Summary!$Q$166:$Q$242),0)</f>
        <v>53154.187906957835</v>
      </c>
      <c r="AG2590" s="196">
        <f t="shared" ca="1" si="571"/>
        <v>567455.54321624222</v>
      </c>
      <c r="AI2590" s="196">
        <f>IFERROR($G2590/SUMIF($A:$A,$A2590,$G:$G)*SUMIF(Summary!$A$247:$A$283,$A2590,Summary!$P$247:$P$283),0)</f>
        <v>9627.0478153257209</v>
      </c>
      <c r="AJ2590" s="196">
        <f>IFERROR($G2590/SUMIF($A:$A,$A2590,$G:$G)*(SUMIF(Summary!$A$247:$A$283,$A2590,Summary!$L$247:$L$283)+SUMIF(Summary!$A$297:$A$333,$A2590,Summary!$L$297:$L$333))-AI2590,0)</f>
        <v>17914.733819909034</v>
      </c>
      <c r="AK2590" s="196">
        <f>IFERROR($G2590/SUMIF($A:$A,$A2590,$G:$G)*SUMIF(Summary!$A$247:$A$283,$A2590,Summary!$Q$247:$Q$283),0)</f>
        <v>9693.9974262557716</v>
      </c>
      <c r="AL2590" s="196">
        <f>IFERROR($G2590/SUMIF($A:$A,$A2590,$G:$G)*(SUMIF(Summary!$A$247:$A$283,$A2590,Summary!$L$247:$L$283)+SUMIF(Summary!$A$297:$A$333,$A2590,Summary!$L$297:$L$333))-AK2590,0)</f>
        <v>17847.784208978985</v>
      </c>
      <c r="AM2590" s="198"/>
      <c r="AN2590" s="196">
        <f t="shared" ca="1" si="572"/>
        <v>585737.37556560151</v>
      </c>
      <c r="AO2590" s="196">
        <f t="shared" ca="1" si="573"/>
        <v>585303.32742522121</v>
      </c>
    </row>
    <row r="2591" spans="1:41">
      <c r="A2591" s="189">
        <v>9741</v>
      </c>
      <c r="B2591" s="190">
        <v>4</v>
      </c>
      <c r="C2591" s="191" t="s">
        <v>223</v>
      </c>
      <c r="D2591" s="192">
        <f t="shared" si="560"/>
        <v>0</v>
      </c>
      <c r="E2591" s="192">
        <f t="shared" si="561"/>
        <v>45</v>
      </c>
      <c r="F2591" s="192">
        <f t="shared" si="562"/>
        <v>0</v>
      </c>
      <c r="G2591" s="193">
        <f t="shared" si="563"/>
        <v>45</v>
      </c>
      <c r="H2591" s="194">
        <v>0</v>
      </c>
      <c r="I2591" s="194">
        <v>0</v>
      </c>
      <c r="J2591" s="194">
        <v>0</v>
      </c>
      <c r="K2591" s="193">
        <f t="shared" si="564"/>
        <v>0</v>
      </c>
      <c r="L2591" s="194">
        <v>0</v>
      </c>
      <c r="M2591" s="194">
        <v>0</v>
      </c>
      <c r="N2591" s="194">
        <v>0</v>
      </c>
      <c r="O2591" s="193">
        <f t="shared" si="565"/>
        <v>0</v>
      </c>
      <c r="P2591" s="194">
        <v>0</v>
      </c>
      <c r="Q2591" s="194">
        <v>45</v>
      </c>
      <c r="R2591" s="194">
        <v>0</v>
      </c>
      <c r="S2591" s="193">
        <f t="shared" si="566"/>
        <v>45</v>
      </c>
      <c r="T2591" s="193">
        <f t="shared" si="567"/>
        <v>2.5</v>
      </c>
      <c r="U2591" s="193">
        <f ca="1">OFFSET('Expenditure Study'!$B$7,'Operations Support'!$C2591,'Operations Support'!$B2591)*$G2591</f>
        <v>351.90000000000003</v>
      </c>
      <c r="V2591" s="199">
        <f ca="1">U2591*'Expenditure Study'!$B$31</f>
        <v>20791.371323520001</v>
      </c>
      <c r="W2591" s="199">
        <f ca="1">IF(A2591=10298,1.51,1)*IF($B2591&lt;3,$D2591*'Expenditure Study'!$B$32*OFFSET('Expenditure Study'!$B$7,'Operations Support'!$C2591,'Operations Support'!$B2591),0)</f>
        <v>0</v>
      </c>
      <c r="X2591" s="200">
        <f ca="1">W2591*'Expenditure Study'!$B$31</f>
        <v>0</v>
      </c>
      <c r="Y2591" s="199">
        <f ca="1">U2591*'Expenditure Study'!$B$31</f>
        <v>20791.371323520001</v>
      </c>
      <c r="Z2591" s="200">
        <f ca="1">W2591*'Expenditure Study'!$B$31</f>
        <v>0</v>
      </c>
      <c r="AA2591" s="195">
        <f t="shared" ca="1" si="568"/>
        <v>20791.371323520001</v>
      </c>
      <c r="AB2591" s="195">
        <f t="shared" ca="1" si="569"/>
        <v>20791.371323520001</v>
      </c>
      <c r="AD2591" s="196">
        <f>IFERROR($G2591/SUMIF($A:$A,$A2591,$G:$G)*SUMIF(Summary!$A$166:$A$242,$A2591,Summary!$P$166:$P$242),0)</f>
        <v>2284.0567519113838</v>
      </c>
      <c r="AE2591" s="197">
        <f t="shared" ca="1" si="570"/>
        <v>18507.314571608618</v>
      </c>
      <c r="AF2591" s="196">
        <f>IFERROR(G2591/SUMIF(A:A,A2591,G:G)*SUMIF(Summary!$A$166:$A$242,'Operations Support'!A2591,Summary!$Q$166:$Q$242),0)</f>
        <v>2299.9408228972138</v>
      </c>
      <c r="AG2591" s="196">
        <f t="shared" ca="1" si="571"/>
        <v>18491.430500622788</v>
      </c>
      <c r="AI2591" s="196">
        <f>IFERROR($G2591/SUMIF($A:$A,$A2591,$G:$G)*SUMIF(Summary!$A$247:$A$283,$A2591,Summary!$P$247:$P$283),0)</f>
        <v>416.55495354774752</v>
      </c>
      <c r="AJ2591" s="196">
        <f>IFERROR($G2591/SUMIF($A:$A,$A2591,$G:$G)*(SUMIF(Summary!$A$247:$A$283,$A2591,Summary!$L$247:$L$283)+SUMIF(Summary!$A$297:$A$333,$A2591,Summary!$L$297:$L$333))-AI2591,0)</f>
        <v>775.15675182298673</v>
      </c>
      <c r="AK2591" s="196">
        <f>IFERROR($G2591/SUMIF($A:$A,$A2591,$G:$G)*SUMIF(Summary!$A$247:$A$283,$A2591,Summary!$Q$247:$Q$283),0)</f>
        <v>419.45181171299004</v>
      </c>
      <c r="AL2591" s="196">
        <f>IFERROR($G2591/SUMIF($A:$A,$A2591,$G:$G)*(SUMIF(Summary!$A$247:$A$283,$A2591,Summary!$L$247:$L$283)+SUMIF(Summary!$A$297:$A$333,$A2591,Summary!$L$297:$L$333))-AK2591,0)</f>
        <v>772.25989365774421</v>
      </c>
      <c r="AM2591" s="198"/>
      <c r="AN2591" s="196">
        <f t="shared" ca="1" si="572"/>
        <v>19282.471323431604</v>
      </c>
      <c r="AO2591" s="196">
        <f t="shared" ca="1" si="573"/>
        <v>19263.690394280533</v>
      </c>
    </row>
    <row r="2592" spans="1:41">
      <c r="A2592" s="189">
        <v>9741</v>
      </c>
      <c r="B2592" s="190">
        <v>4</v>
      </c>
      <c r="C2592" s="191" t="s">
        <v>224</v>
      </c>
      <c r="D2592" s="192">
        <f t="shared" si="560"/>
        <v>0</v>
      </c>
      <c r="E2592" s="192">
        <f t="shared" si="561"/>
        <v>0</v>
      </c>
      <c r="F2592" s="192">
        <f t="shared" si="562"/>
        <v>0</v>
      </c>
      <c r="G2592" s="193">
        <f t="shared" si="563"/>
        <v>0</v>
      </c>
      <c r="H2592" s="194">
        <v>0</v>
      </c>
      <c r="I2592" s="194">
        <v>0</v>
      </c>
      <c r="J2592" s="194">
        <v>0</v>
      </c>
      <c r="K2592" s="193">
        <f t="shared" si="564"/>
        <v>0</v>
      </c>
      <c r="L2592" s="194">
        <v>0</v>
      </c>
      <c r="M2592" s="194">
        <v>0</v>
      </c>
      <c r="N2592" s="194">
        <v>0</v>
      </c>
      <c r="O2592" s="193">
        <f t="shared" si="565"/>
        <v>0</v>
      </c>
      <c r="P2592" s="194">
        <v>0</v>
      </c>
      <c r="Q2592" s="194">
        <v>0</v>
      </c>
      <c r="R2592" s="194">
        <v>0</v>
      </c>
      <c r="S2592" s="193">
        <f t="shared" si="566"/>
        <v>0</v>
      </c>
      <c r="T2592" s="193">
        <f t="shared" si="567"/>
        <v>0</v>
      </c>
      <c r="U2592" s="193">
        <f ca="1">OFFSET('Expenditure Study'!$B$7,'Operations Support'!$C2592,'Operations Support'!$B2592)*$G2592</f>
        <v>0</v>
      </c>
      <c r="V2592" s="199">
        <f ca="1">U2592*'Expenditure Study'!$B$31</f>
        <v>0</v>
      </c>
      <c r="W2592" s="199">
        <f ca="1">IF(A2592=10298,1.51,1)*IF($B2592&lt;3,$D2592*'Expenditure Study'!$B$32*OFFSET('Expenditure Study'!$B$7,'Operations Support'!$C2592,'Operations Support'!$B2592),0)</f>
        <v>0</v>
      </c>
      <c r="X2592" s="200">
        <f ca="1">W2592*'Expenditure Study'!$B$31</f>
        <v>0</v>
      </c>
      <c r="Y2592" s="199">
        <f ca="1">U2592*'Expenditure Study'!$B$31</f>
        <v>0</v>
      </c>
      <c r="Z2592" s="200">
        <f ca="1">W2592*'Expenditure Study'!$B$31</f>
        <v>0</v>
      </c>
      <c r="AA2592" s="195">
        <f t="shared" ca="1" si="568"/>
        <v>0</v>
      </c>
      <c r="AB2592" s="195">
        <f t="shared" ca="1" si="569"/>
        <v>0</v>
      </c>
      <c r="AD2592" s="196">
        <f>IFERROR($G2592/SUMIF($A:$A,$A2592,$G:$G)*SUMIF(Summary!$A$166:$A$242,$A2592,Summary!$P$166:$P$242),0)</f>
        <v>0</v>
      </c>
      <c r="AE2592" s="197">
        <f t="shared" ca="1" si="570"/>
        <v>0</v>
      </c>
      <c r="AF2592" s="196">
        <f>IFERROR(G2592/SUMIF(A:A,A2592,G:G)*SUMIF(Summary!$A$166:$A$242,'Operations Support'!A2592,Summary!$Q$166:$Q$242),0)</f>
        <v>0</v>
      </c>
      <c r="AG2592" s="196">
        <f t="shared" ca="1" si="571"/>
        <v>0</v>
      </c>
      <c r="AI2592" s="196">
        <f>IFERROR($G2592/SUMIF($A:$A,$A2592,$G:$G)*SUMIF(Summary!$A$247:$A$283,$A2592,Summary!$P$247:$P$283),0)</f>
        <v>0</v>
      </c>
      <c r="AJ2592" s="196">
        <f>IFERROR($G2592/SUMIF($A:$A,$A2592,$G:$G)*(SUMIF(Summary!$A$247:$A$283,$A2592,Summary!$L$247:$L$283)+SUMIF(Summary!$A$297:$A$333,$A2592,Summary!$L$297:$L$333))-AI2592,0)</f>
        <v>0</v>
      </c>
      <c r="AK2592" s="196">
        <f>IFERROR($G2592/SUMIF($A:$A,$A2592,$G:$G)*SUMIF(Summary!$A$247:$A$283,$A2592,Summary!$Q$247:$Q$283),0)</f>
        <v>0</v>
      </c>
      <c r="AL2592" s="196">
        <f>IFERROR($G2592/SUMIF($A:$A,$A2592,$G:$G)*(SUMIF(Summary!$A$247:$A$283,$A2592,Summary!$L$247:$L$283)+SUMIF(Summary!$A$297:$A$333,$A2592,Summary!$L$297:$L$333))-AK2592,0)</f>
        <v>0</v>
      </c>
      <c r="AM2592" s="198"/>
      <c r="AN2592" s="196">
        <f t="shared" ca="1" si="572"/>
        <v>0</v>
      </c>
      <c r="AO2592" s="196">
        <f t="shared" ca="1" si="573"/>
        <v>0</v>
      </c>
    </row>
    <row r="2593" spans="1:41">
      <c r="A2593" s="189">
        <v>9741</v>
      </c>
      <c r="B2593" s="190">
        <v>4</v>
      </c>
      <c r="C2593" s="191" t="s">
        <v>225</v>
      </c>
      <c r="D2593" s="192">
        <f t="shared" si="560"/>
        <v>10744.04</v>
      </c>
      <c r="E2593" s="192">
        <f t="shared" si="561"/>
        <v>723.96</v>
      </c>
      <c r="F2593" s="192">
        <f t="shared" si="562"/>
        <v>331</v>
      </c>
      <c r="G2593" s="193">
        <f t="shared" si="563"/>
        <v>11137</v>
      </c>
      <c r="H2593" s="194">
        <v>4459</v>
      </c>
      <c r="I2593" s="194">
        <v>347</v>
      </c>
      <c r="J2593" s="194">
        <v>141</v>
      </c>
      <c r="K2593" s="193">
        <f t="shared" si="564"/>
        <v>4665</v>
      </c>
      <c r="L2593" s="194">
        <v>4219</v>
      </c>
      <c r="M2593" s="194">
        <v>285</v>
      </c>
      <c r="N2593" s="194">
        <v>127</v>
      </c>
      <c r="O2593" s="193">
        <f t="shared" si="565"/>
        <v>4377</v>
      </c>
      <c r="P2593" s="194">
        <v>2066.04</v>
      </c>
      <c r="Q2593" s="194">
        <v>91.96</v>
      </c>
      <c r="R2593" s="194">
        <v>63</v>
      </c>
      <c r="S2593" s="193">
        <f t="shared" si="566"/>
        <v>2095</v>
      </c>
      <c r="T2593" s="193">
        <f t="shared" si="567"/>
        <v>618.72222222222217</v>
      </c>
      <c r="U2593" s="193">
        <f ca="1">OFFSET('Expenditure Study'!$B$7,'Operations Support'!$C2593,'Operations Support'!$B2593)*$G2593</f>
        <v>209264.22999999998</v>
      </c>
      <c r="V2593" s="199">
        <f ca="1">U2593*'Expenditure Study'!$B$31</f>
        <v>12363996.336062783</v>
      </c>
      <c r="W2593" s="199">
        <f ca="1">IF(A2593=10298,1.51,1)*IF($B2593&lt;3,$D2593*'Expenditure Study'!$B$32*OFFSET('Expenditure Study'!$B$7,'Operations Support'!$C2593,'Operations Support'!$B2593),0)</f>
        <v>0</v>
      </c>
      <c r="X2593" s="200">
        <f ca="1">W2593*'Expenditure Study'!$B$31</f>
        <v>0</v>
      </c>
      <c r="Y2593" s="199">
        <f ca="1">U2593*'Expenditure Study'!$B$31</f>
        <v>12363996.336062783</v>
      </c>
      <c r="Z2593" s="200">
        <f ca="1">W2593*'Expenditure Study'!$B$31</f>
        <v>0</v>
      </c>
      <c r="AA2593" s="195">
        <f t="shared" ca="1" si="568"/>
        <v>12363996.336062783</v>
      </c>
      <c r="AB2593" s="195">
        <f t="shared" ca="1" si="569"/>
        <v>12363996.336062783</v>
      </c>
      <c r="AD2593" s="196">
        <f>IFERROR($G2593/SUMIF($A:$A,$A2593,$G:$G)*SUMIF(Summary!$A$166:$A$242,$A2593,Summary!$P$166:$P$242),0)</f>
        <v>565278.66768971295</v>
      </c>
      <c r="AE2593" s="197">
        <f t="shared" ca="1" si="570"/>
        <v>11798717.668373071</v>
      </c>
      <c r="AF2593" s="196">
        <f>IFERROR(G2593/SUMIF(A:A,A2593,G:G)*SUMIF(Summary!$A$166:$A$242,'Operations Support'!A2593,Summary!$Q$166:$Q$242),0)</f>
        <v>569209.79876902828</v>
      </c>
      <c r="AG2593" s="196">
        <f t="shared" ca="1" si="571"/>
        <v>11794786.537293755</v>
      </c>
      <c r="AI2593" s="196">
        <f>IFERROR($G2593/SUMIF($A:$A,$A2593,$G:$G)*SUMIF(Summary!$A$247:$A$283,$A2593,Summary!$P$247:$P$283),0)</f>
        <v>103092.72261469477</v>
      </c>
      <c r="AJ2593" s="196">
        <f>IFERROR($G2593/SUMIF($A:$A,$A2593,$G:$G)*(SUMIF(Summary!$A$247:$A$283,$A2593,Summary!$L$247:$L$283)+SUMIF(Summary!$A$297:$A$333,$A2593,Summary!$L$297:$L$333))-AI2593,0)</f>
        <v>191842.68322339121</v>
      </c>
      <c r="AK2593" s="196">
        <f>IFERROR($G2593/SUMIF($A:$A,$A2593,$G:$G)*SUMIF(Summary!$A$247:$A$283,$A2593,Summary!$Q$247:$Q$283),0)</f>
        <v>103809.66282327934</v>
      </c>
      <c r="AL2593" s="196">
        <f>IFERROR($G2593/SUMIF($A:$A,$A2593,$G:$G)*(SUMIF(Summary!$A$247:$A$283,$A2593,Summary!$L$247:$L$283)+SUMIF(Summary!$A$297:$A$333,$A2593,Summary!$L$297:$L$333))-AK2593,0)</f>
        <v>191125.74301480665</v>
      </c>
      <c r="AM2593" s="198"/>
      <c r="AN2593" s="196">
        <f t="shared" ca="1" si="572"/>
        <v>11990560.351596462</v>
      </c>
      <c r="AO2593" s="196">
        <f t="shared" ca="1" si="573"/>
        <v>11985912.280308561</v>
      </c>
    </row>
    <row r="2594" spans="1:41">
      <c r="A2594" s="189">
        <v>9741</v>
      </c>
      <c r="B2594" s="190">
        <v>4</v>
      </c>
      <c r="C2594" s="191" t="s">
        <v>226</v>
      </c>
      <c r="D2594" s="192">
        <f t="shared" si="560"/>
        <v>0</v>
      </c>
      <c r="E2594" s="192">
        <f t="shared" si="561"/>
        <v>0</v>
      </c>
      <c r="F2594" s="192">
        <f t="shared" si="562"/>
        <v>0</v>
      </c>
      <c r="G2594" s="193">
        <f t="shared" si="563"/>
        <v>0</v>
      </c>
      <c r="H2594" s="194">
        <v>0</v>
      </c>
      <c r="I2594" s="194">
        <v>0</v>
      </c>
      <c r="J2594" s="194">
        <v>0</v>
      </c>
      <c r="K2594" s="193">
        <f t="shared" si="564"/>
        <v>0</v>
      </c>
      <c r="L2594" s="194">
        <v>0</v>
      </c>
      <c r="M2594" s="194">
        <v>0</v>
      </c>
      <c r="N2594" s="194">
        <v>0</v>
      </c>
      <c r="O2594" s="193">
        <f t="shared" si="565"/>
        <v>0</v>
      </c>
      <c r="P2594" s="194">
        <v>0</v>
      </c>
      <c r="Q2594" s="194">
        <v>0</v>
      </c>
      <c r="R2594" s="194">
        <v>0</v>
      </c>
      <c r="S2594" s="193">
        <f t="shared" si="566"/>
        <v>0</v>
      </c>
      <c r="T2594" s="193">
        <f t="shared" si="567"/>
        <v>0</v>
      </c>
      <c r="U2594" s="193">
        <f ca="1">OFFSET('Expenditure Study'!$B$7,'Operations Support'!$C2594,'Operations Support'!$B2594)*$G2594</f>
        <v>0</v>
      </c>
      <c r="V2594" s="199">
        <f ca="1">U2594*'Expenditure Study'!$B$31</f>
        <v>0</v>
      </c>
      <c r="W2594" s="199">
        <f ca="1">IF(A2594=10298,1.51,1)*IF($B2594&lt;3,$D2594*'Expenditure Study'!$B$32*OFFSET('Expenditure Study'!$B$7,'Operations Support'!$C2594,'Operations Support'!$B2594),0)</f>
        <v>0</v>
      </c>
      <c r="X2594" s="200">
        <f ca="1">W2594*'Expenditure Study'!$B$31</f>
        <v>0</v>
      </c>
      <c r="Y2594" s="199">
        <f ca="1">U2594*'Expenditure Study'!$B$31</f>
        <v>0</v>
      </c>
      <c r="Z2594" s="200">
        <f ca="1">W2594*'Expenditure Study'!$B$31</f>
        <v>0</v>
      </c>
      <c r="AA2594" s="195">
        <f t="shared" ca="1" si="568"/>
        <v>0</v>
      </c>
      <c r="AB2594" s="195">
        <f t="shared" ca="1" si="569"/>
        <v>0</v>
      </c>
      <c r="AD2594" s="196">
        <f>IFERROR($G2594/SUMIF($A:$A,$A2594,$G:$G)*SUMIF(Summary!$A$166:$A$242,$A2594,Summary!$P$166:$P$242),0)</f>
        <v>0</v>
      </c>
      <c r="AE2594" s="197">
        <f t="shared" ca="1" si="570"/>
        <v>0</v>
      </c>
      <c r="AF2594" s="196">
        <f>IFERROR(G2594/SUMIF(A:A,A2594,G:G)*SUMIF(Summary!$A$166:$A$242,'Operations Support'!A2594,Summary!$Q$166:$Q$242),0)</f>
        <v>0</v>
      </c>
      <c r="AG2594" s="196">
        <f t="shared" ca="1" si="571"/>
        <v>0</v>
      </c>
      <c r="AI2594" s="196">
        <f>IFERROR($G2594/SUMIF($A:$A,$A2594,$G:$G)*SUMIF(Summary!$A$247:$A$283,$A2594,Summary!$P$247:$P$283),0)</f>
        <v>0</v>
      </c>
      <c r="AJ2594" s="196">
        <f>IFERROR($G2594/SUMIF($A:$A,$A2594,$G:$G)*(SUMIF(Summary!$A$247:$A$283,$A2594,Summary!$L$247:$L$283)+SUMIF(Summary!$A$297:$A$333,$A2594,Summary!$L$297:$L$333))-AI2594,0)</f>
        <v>0</v>
      </c>
      <c r="AK2594" s="196">
        <f>IFERROR($G2594/SUMIF($A:$A,$A2594,$G:$G)*SUMIF(Summary!$A$247:$A$283,$A2594,Summary!$Q$247:$Q$283),0)</f>
        <v>0</v>
      </c>
      <c r="AL2594" s="196">
        <f>IFERROR($G2594/SUMIF($A:$A,$A2594,$G:$G)*(SUMIF(Summary!$A$247:$A$283,$A2594,Summary!$L$247:$L$283)+SUMIF(Summary!$A$297:$A$333,$A2594,Summary!$L$297:$L$333))-AK2594,0)</f>
        <v>0</v>
      </c>
      <c r="AM2594" s="198"/>
      <c r="AN2594" s="196">
        <f t="shared" ca="1" si="572"/>
        <v>0</v>
      </c>
      <c r="AO2594" s="196">
        <f t="shared" ca="1" si="573"/>
        <v>0</v>
      </c>
    </row>
    <row r="2595" spans="1:41">
      <c r="A2595" s="189">
        <v>9741</v>
      </c>
      <c r="B2595" s="190">
        <v>4</v>
      </c>
      <c r="C2595" s="191" t="s">
        <v>227</v>
      </c>
      <c r="D2595" s="192">
        <f t="shared" si="560"/>
        <v>0</v>
      </c>
      <c r="E2595" s="192">
        <f t="shared" si="561"/>
        <v>0</v>
      </c>
      <c r="F2595" s="192">
        <f t="shared" si="562"/>
        <v>0</v>
      </c>
      <c r="G2595" s="193">
        <f t="shared" si="563"/>
        <v>0</v>
      </c>
      <c r="H2595" s="194">
        <v>0</v>
      </c>
      <c r="I2595" s="194">
        <v>0</v>
      </c>
      <c r="J2595" s="194">
        <v>0</v>
      </c>
      <c r="K2595" s="193">
        <f t="shared" si="564"/>
        <v>0</v>
      </c>
      <c r="L2595" s="194">
        <v>0</v>
      </c>
      <c r="M2595" s="194">
        <v>0</v>
      </c>
      <c r="N2595" s="194">
        <v>0</v>
      </c>
      <c r="O2595" s="193">
        <f t="shared" si="565"/>
        <v>0</v>
      </c>
      <c r="P2595" s="194">
        <v>0</v>
      </c>
      <c r="Q2595" s="194">
        <v>0</v>
      </c>
      <c r="R2595" s="194">
        <v>0</v>
      </c>
      <c r="S2595" s="193">
        <f t="shared" si="566"/>
        <v>0</v>
      </c>
      <c r="T2595" s="193">
        <f t="shared" si="567"/>
        <v>0</v>
      </c>
      <c r="U2595" s="193">
        <f ca="1">OFFSET('Expenditure Study'!$B$7,'Operations Support'!$C2595,'Operations Support'!$B2595)*$G2595</f>
        <v>0</v>
      </c>
      <c r="V2595" s="199">
        <f ca="1">U2595*'Expenditure Study'!$B$31</f>
        <v>0</v>
      </c>
      <c r="W2595" s="199">
        <f ca="1">IF(A2595=10298,1.51,1)*IF($B2595&lt;3,$D2595*'Expenditure Study'!$B$32*OFFSET('Expenditure Study'!$B$7,'Operations Support'!$C2595,'Operations Support'!$B2595),0)</f>
        <v>0</v>
      </c>
      <c r="X2595" s="200">
        <f ca="1">W2595*'Expenditure Study'!$B$31</f>
        <v>0</v>
      </c>
      <c r="Y2595" s="199">
        <f ca="1">U2595*'Expenditure Study'!$B$31</f>
        <v>0</v>
      </c>
      <c r="Z2595" s="200">
        <f ca="1">W2595*'Expenditure Study'!$B$31</f>
        <v>0</v>
      </c>
      <c r="AA2595" s="195">
        <f t="shared" ca="1" si="568"/>
        <v>0</v>
      </c>
      <c r="AB2595" s="195">
        <f t="shared" ca="1" si="569"/>
        <v>0</v>
      </c>
      <c r="AD2595" s="196">
        <f>IFERROR($G2595/SUMIF($A:$A,$A2595,$G:$G)*SUMIF(Summary!$A$166:$A$242,$A2595,Summary!$P$166:$P$242),0)</f>
        <v>0</v>
      </c>
      <c r="AE2595" s="197">
        <f t="shared" ca="1" si="570"/>
        <v>0</v>
      </c>
      <c r="AF2595" s="196">
        <f>IFERROR(G2595/SUMIF(A:A,A2595,G:G)*SUMIF(Summary!$A$166:$A$242,'Operations Support'!A2595,Summary!$Q$166:$Q$242),0)</f>
        <v>0</v>
      </c>
      <c r="AG2595" s="196">
        <f t="shared" ca="1" si="571"/>
        <v>0</v>
      </c>
      <c r="AI2595" s="196">
        <f>IFERROR($G2595/SUMIF($A:$A,$A2595,$G:$G)*SUMIF(Summary!$A$247:$A$283,$A2595,Summary!$P$247:$P$283),0)</f>
        <v>0</v>
      </c>
      <c r="AJ2595" s="196">
        <f>IFERROR($G2595/SUMIF($A:$A,$A2595,$G:$G)*(SUMIF(Summary!$A$247:$A$283,$A2595,Summary!$L$247:$L$283)+SUMIF(Summary!$A$297:$A$333,$A2595,Summary!$L$297:$L$333))-AI2595,0)</f>
        <v>0</v>
      </c>
      <c r="AK2595" s="196">
        <f>IFERROR($G2595/SUMIF($A:$A,$A2595,$G:$G)*SUMIF(Summary!$A$247:$A$283,$A2595,Summary!$Q$247:$Q$283),0)</f>
        <v>0</v>
      </c>
      <c r="AL2595" s="196">
        <f>IFERROR($G2595/SUMIF($A:$A,$A2595,$G:$G)*(SUMIF(Summary!$A$247:$A$283,$A2595,Summary!$L$247:$L$283)+SUMIF(Summary!$A$297:$A$333,$A2595,Summary!$L$297:$L$333))-AK2595,0)</f>
        <v>0</v>
      </c>
      <c r="AM2595" s="198"/>
      <c r="AN2595" s="196">
        <f t="shared" ca="1" si="572"/>
        <v>0</v>
      </c>
      <c r="AO2595" s="196">
        <f t="shared" ca="1" si="573"/>
        <v>0</v>
      </c>
    </row>
    <row r="2596" spans="1:41">
      <c r="A2596" s="189">
        <v>9741</v>
      </c>
      <c r="B2596" s="190">
        <v>4</v>
      </c>
      <c r="C2596" s="191" t="s">
        <v>228</v>
      </c>
      <c r="D2596" s="192">
        <f t="shared" si="560"/>
        <v>0</v>
      </c>
      <c r="E2596" s="192">
        <f t="shared" si="561"/>
        <v>0</v>
      </c>
      <c r="F2596" s="192">
        <f t="shared" si="562"/>
        <v>0</v>
      </c>
      <c r="G2596" s="193">
        <f t="shared" si="563"/>
        <v>0</v>
      </c>
      <c r="H2596" s="194">
        <v>0</v>
      </c>
      <c r="I2596" s="194">
        <v>0</v>
      </c>
      <c r="J2596" s="194">
        <v>0</v>
      </c>
      <c r="K2596" s="193">
        <f t="shared" si="564"/>
        <v>0</v>
      </c>
      <c r="L2596" s="194">
        <v>0</v>
      </c>
      <c r="M2596" s="194">
        <v>0</v>
      </c>
      <c r="N2596" s="194">
        <v>0</v>
      </c>
      <c r="O2596" s="193">
        <f t="shared" si="565"/>
        <v>0</v>
      </c>
      <c r="P2596" s="194">
        <v>0</v>
      </c>
      <c r="Q2596" s="194">
        <v>0</v>
      </c>
      <c r="R2596" s="194">
        <v>0</v>
      </c>
      <c r="S2596" s="193">
        <f t="shared" si="566"/>
        <v>0</v>
      </c>
      <c r="T2596" s="193">
        <f t="shared" si="567"/>
        <v>0</v>
      </c>
      <c r="U2596" s="193">
        <f ca="1">OFFSET('Expenditure Study'!$B$7,'Operations Support'!$C2596,'Operations Support'!$B2596)*$G2596</f>
        <v>0</v>
      </c>
      <c r="V2596" s="199">
        <f ca="1">U2596*'Expenditure Study'!$B$31</f>
        <v>0</v>
      </c>
      <c r="W2596" s="199">
        <f ca="1">IF(A2596=10298,1.51,1)*IF($B2596&lt;3,$D2596*'Expenditure Study'!$B$32*OFFSET('Expenditure Study'!$B$7,'Operations Support'!$C2596,'Operations Support'!$B2596),0)</f>
        <v>0</v>
      </c>
      <c r="X2596" s="200">
        <f ca="1">W2596*'Expenditure Study'!$B$31</f>
        <v>0</v>
      </c>
      <c r="Y2596" s="199">
        <f ca="1">U2596*'Expenditure Study'!$B$31</f>
        <v>0</v>
      </c>
      <c r="Z2596" s="200">
        <f ca="1">W2596*'Expenditure Study'!$B$31</f>
        <v>0</v>
      </c>
      <c r="AA2596" s="195">
        <f t="shared" ca="1" si="568"/>
        <v>0</v>
      </c>
      <c r="AB2596" s="195">
        <f t="shared" ca="1" si="569"/>
        <v>0</v>
      </c>
      <c r="AD2596" s="196">
        <f>IFERROR($G2596/SUMIF($A:$A,$A2596,$G:$G)*SUMIF(Summary!$A$166:$A$242,$A2596,Summary!$P$166:$P$242),0)</f>
        <v>0</v>
      </c>
      <c r="AE2596" s="197">
        <f t="shared" ca="1" si="570"/>
        <v>0</v>
      </c>
      <c r="AF2596" s="196">
        <f>IFERROR(G2596/SUMIF(A:A,A2596,G:G)*SUMIF(Summary!$A$166:$A$242,'Operations Support'!A2596,Summary!$Q$166:$Q$242),0)</f>
        <v>0</v>
      </c>
      <c r="AG2596" s="196">
        <f t="shared" ca="1" si="571"/>
        <v>0</v>
      </c>
      <c r="AI2596" s="196">
        <f>IFERROR($G2596/SUMIF($A:$A,$A2596,$G:$G)*SUMIF(Summary!$A$247:$A$283,$A2596,Summary!$P$247:$P$283),0)</f>
        <v>0</v>
      </c>
      <c r="AJ2596" s="196">
        <f>IFERROR($G2596/SUMIF($A:$A,$A2596,$G:$G)*(SUMIF(Summary!$A$247:$A$283,$A2596,Summary!$L$247:$L$283)+SUMIF(Summary!$A$297:$A$333,$A2596,Summary!$L$297:$L$333))-AI2596,0)</f>
        <v>0</v>
      </c>
      <c r="AK2596" s="196">
        <f>IFERROR($G2596/SUMIF($A:$A,$A2596,$G:$G)*SUMIF(Summary!$A$247:$A$283,$A2596,Summary!$Q$247:$Q$283),0)</f>
        <v>0</v>
      </c>
      <c r="AL2596" s="196">
        <f>IFERROR($G2596/SUMIF($A:$A,$A2596,$G:$G)*(SUMIF(Summary!$A$247:$A$283,$A2596,Summary!$L$247:$L$283)+SUMIF(Summary!$A$297:$A$333,$A2596,Summary!$L$297:$L$333))-AK2596,0)</f>
        <v>0</v>
      </c>
      <c r="AM2596" s="198"/>
      <c r="AN2596" s="196">
        <f t="shared" ca="1" si="572"/>
        <v>0</v>
      </c>
      <c r="AO2596" s="196">
        <f t="shared" ca="1" si="573"/>
        <v>0</v>
      </c>
    </row>
    <row r="2597" spans="1:41">
      <c r="A2597" s="189">
        <v>9741</v>
      </c>
      <c r="B2597" s="190">
        <v>4</v>
      </c>
      <c r="C2597" s="191" t="s">
        <v>229</v>
      </c>
      <c r="D2597" s="192">
        <f t="shared" si="560"/>
        <v>0</v>
      </c>
      <c r="E2597" s="192">
        <f t="shared" si="561"/>
        <v>0</v>
      </c>
      <c r="F2597" s="192">
        <f t="shared" si="562"/>
        <v>0</v>
      </c>
      <c r="G2597" s="193">
        <f t="shared" si="563"/>
        <v>0</v>
      </c>
      <c r="H2597" s="194">
        <v>0</v>
      </c>
      <c r="I2597" s="194">
        <v>0</v>
      </c>
      <c r="J2597" s="194">
        <v>0</v>
      </c>
      <c r="K2597" s="193">
        <f t="shared" si="564"/>
        <v>0</v>
      </c>
      <c r="L2597" s="194">
        <v>0</v>
      </c>
      <c r="M2597" s="194">
        <v>0</v>
      </c>
      <c r="N2597" s="194">
        <v>0</v>
      </c>
      <c r="O2597" s="193">
        <f t="shared" si="565"/>
        <v>0</v>
      </c>
      <c r="P2597" s="194">
        <v>0</v>
      </c>
      <c r="Q2597" s="194">
        <v>0</v>
      </c>
      <c r="R2597" s="194">
        <v>0</v>
      </c>
      <c r="S2597" s="193">
        <f t="shared" si="566"/>
        <v>0</v>
      </c>
      <c r="T2597" s="193">
        <f t="shared" si="567"/>
        <v>0</v>
      </c>
      <c r="U2597" s="193">
        <f ca="1">OFFSET('Expenditure Study'!$B$7,'Operations Support'!$C2597,'Operations Support'!$B2597)*$G2597</f>
        <v>0</v>
      </c>
      <c r="V2597" s="199">
        <f ca="1">U2597*'Expenditure Study'!$B$31</f>
        <v>0</v>
      </c>
      <c r="W2597" s="199">
        <f ca="1">IF(A2597=10298,1.51,1)*IF($B2597&lt;3,$D2597*'Expenditure Study'!$B$32*OFFSET('Expenditure Study'!$B$7,'Operations Support'!$C2597,'Operations Support'!$B2597),0)</f>
        <v>0</v>
      </c>
      <c r="X2597" s="200">
        <f ca="1">W2597*'Expenditure Study'!$B$31</f>
        <v>0</v>
      </c>
      <c r="Y2597" s="199">
        <f ca="1">U2597*'Expenditure Study'!$B$31</f>
        <v>0</v>
      </c>
      <c r="Z2597" s="200">
        <f ca="1">W2597*'Expenditure Study'!$B$31</f>
        <v>0</v>
      </c>
      <c r="AA2597" s="195">
        <f t="shared" ca="1" si="568"/>
        <v>0</v>
      </c>
      <c r="AB2597" s="195">
        <f t="shared" ca="1" si="569"/>
        <v>0</v>
      </c>
      <c r="AD2597" s="196">
        <f>IFERROR($G2597/SUMIF($A:$A,$A2597,$G:$G)*SUMIF(Summary!$A$166:$A$242,$A2597,Summary!$P$166:$P$242),0)</f>
        <v>0</v>
      </c>
      <c r="AE2597" s="197">
        <f t="shared" ca="1" si="570"/>
        <v>0</v>
      </c>
      <c r="AF2597" s="196">
        <f>IFERROR(G2597/SUMIF(A:A,A2597,G:G)*SUMIF(Summary!$A$166:$A$242,'Operations Support'!A2597,Summary!$Q$166:$Q$242),0)</f>
        <v>0</v>
      </c>
      <c r="AG2597" s="196">
        <f t="shared" ca="1" si="571"/>
        <v>0</v>
      </c>
      <c r="AI2597" s="196">
        <f>IFERROR($G2597/SUMIF($A:$A,$A2597,$G:$G)*SUMIF(Summary!$A$247:$A$283,$A2597,Summary!$P$247:$P$283),0)</f>
        <v>0</v>
      </c>
      <c r="AJ2597" s="196">
        <f>IFERROR($G2597/SUMIF($A:$A,$A2597,$G:$G)*(SUMIF(Summary!$A$247:$A$283,$A2597,Summary!$L$247:$L$283)+SUMIF(Summary!$A$297:$A$333,$A2597,Summary!$L$297:$L$333))-AI2597,0)</f>
        <v>0</v>
      </c>
      <c r="AK2597" s="196">
        <f>IFERROR($G2597/SUMIF($A:$A,$A2597,$G:$G)*SUMIF(Summary!$A$247:$A$283,$A2597,Summary!$Q$247:$Q$283),0)</f>
        <v>0</v>
      </c>
      <c r="AL2597" s="196">
        <f>IFERROR($G2597/SUMIF($A:$A,$A2597,$G:$G)*(SUMIF(Summary!$A$247:$A$283,$A2597,Summary!$L$247:$L$283)+SUMIF(Summary!$A$297:$A$333,$A2597,Summary!$L$297:$L$333))-AK2597,0)</f>
        <v>0</v>
      </c>
      <c r="AM2597" s="198"/>
      <c r="AN2597" s="196">
        <f t="shared" ca="1" si="572"/>
        <v>0</v>
      </c>
      <c r="AO2597" s="196">
        <f t="shared" ca="1" si="573"/>
        <v>0</v>
      </c>
    </row>
    <row r="2598" spans="1:41">
      <c r="A2598" s="189">
        <v>9741</v>
      </c>
      <c r="B2598" s="190">
        <v>4</v>
      </c>
      <c r="C2598" s="191" t="s">
        <v>230</v>
      </c>
      <c r="D2598" s="192">
        <f t="shared" si="560"/>
        <v>0</v>
      </c>
      <c r="E2598" s="192">
        <f t="shared" si="561"/>
        <v>0</v>
      </c>
      <c r="F2598" s="192">
        <f t="shared" si="562"/>
        <v>0</v>
      </c>
      <c r="G2598" s="193">
        <f t="shared" si="563"/>
        <v>0</v>
      </c>
      <c r="H2598" s="194">
        <v>0</v>
      </c>
      <c r="I2598" s="194">
        <v>0</v>
      </c>
      <c r="J2598" s="194">
        <v>0</v>
      </c>
      <c r="K2598" s="193">
        <f t="shared" si="564"/>
        <v>0</v>
      </c>
      <c r="L2598" s="194">
        <v>0</v>
      </c>
      <c r="M2598" s="194">
        <v>0</v>
      </c>
      <c r="N2598" s="194">
        <v>0</v>
      </c>
      <c r="O2598" s="193">
        <f t="shared" si="565"/>
        <v>0</v>
      </c>
      <c r="P2598" s="194">
        <v>0</v>
      </c>
      <c r="Q2598" s="194">
        <v>0</v>
      </c>
      <c r="R2598" s="194">
        <v>0</v>
      </c>
      <c r="S2598" s="193">
        <f t="shared" si="566"/>
        <v>0</v>
      </c>
      <c r="T2598" s="193">
        <f t="shared" si="567"/>
        <v>0</v>
      </c>
      <c r="U2598" s="193">
        <f ca="1">OFFSET('Expenditure Study'!$B$7,'Operations Support'!$C2598,'Operations Support'!$B2598)*$G2598</f>
        <v>0</v>
      </c>
      <c r="V2598" s="199">
        <f ca="1">U2598*'Expenditure Study'!$B$31</f>
        <v>0</v>
      </c>
      <c r="W2598" s="199">
        <f ca="1">IF(A2598=10298,1.51,1)*IF($B2598&lt;3,$D2598*'Expenditure Study'!$B$32*OFFSET('Expenditure Study'!$B$7,'Operations Support'!$C2598,'Operations Support'!$B2598),0)</f>
        <v>0</v>
      </c>
      <c r="X2598" s="200">
        <f ca="1">W2598*'Expenditure Study'!$B$31</f>
        <v>0</v>
      </c>
      <c r="Y2598" s="199">
        <f ca="1">U2598*'Expenditure Study'!$B$31</f>
        <v>0</v>
      </c>
      <c r="Z2598" s="200">
        <f ca="1">W2598*'Expenditure Study'!$B$31</f>
        <v>0</v>
      </c>
      <c r="AA2598" s="195">
        <f t="shared" ca="1" si="568"/>
        <v>0</v>
      </c>
      <c r="AB2598" s="195">
        <f t="shared" ca="1" si="569"/>
        <v>0</v>
      </c>
      <c r="AD2598" s="196">
        <f>IFERROR($G2598/SUMIF($A:$A,$A2598,$G:$G)*SUMIF(Summary!$A$166:$A$242,$A2598,Summary!$P$166:$P$242),0)</f>
        <v>0</v>
      </c>
      <c r="AE2598" s="197">
        <f t="shared" ca="1" si="570"/>
        <v>0</v>
      </c>
      <c r="AF2598" s="196">
        <f>IFERROR(G2598/SUMIF(A:A,A2598,G:G)*SUMIF(Summary!$A$166:$A$242,'Operations Support'!A2598,Summary!$Q$166:$Q$242),0)</f>
        <v>0</v>
      </c>
      <c r="AG2598" s="196">
        <f t="shared" ca="1" si="571"/>
        <v>0</v>
      </c>
      <c r="AI2598" s="196">
        <f>IFERROR($G2598/SUMIF($A:$A,$A2598,$G:$G)*SUMIF(Summary!$A$247:$A$283,$A2598,Summary!$P$247:$P$283),0)</f>
        <v>0</v>
      </c>
      <c r="AJ2598" s="196">
        <f>IFERROR($G2598/SUMIF($A:$A,$A2598,$G:$G)*(SUMIF(Summary!$A$247:$A$283,$A2598,Summary!$L$247:$L$283)+SUMIF(Summary!$A$297:$A$333,$A2598,Summary!$L$297:$L$333))-AI2598,0)</f>
        <v>0</v>
      </c>
      <c r="AK2598" s="196">
        <f>IFERROR($G2598/SUMIF($A:$A,$A2598,$G:$G)*SUMIF(Summary!$A$247:$A$283,$A2598,Summary!$Q$247:$Q$283),0)</f>
        <v>0</v>
      </c>
      <c r="AL2598" s="196">
        <f>IFERROR($G2598/SUMIF($A:$A,$A2598,$G:$G)*(SUMIF(Summary!$A$247:$A$283,$A2598,Summary!$L$247:$L$283)+SUMIF(Summary!$A$297:$A$333,$A2598,Summary!$L$297:$L$333))-AK2598,0)</f>
        <v>0</v>
      </c>
      <c r="AM2598" s="198"/>
      <c r="AN2598" s="196">
        <f t="shared" ca="1" si="572"/>
        <v>0</v>
      </c>
      <c r="AO2598" s="196">
        <f t="shared" ca="1" si="573"/>
        <v>0</v>
      </c>
    </row>
    <row r="2599" spans="1:41">
      <c r="A2599" s="189">
        <v>9741</v>
      </c>
      <c r="B2599" s="190">
        <v>4</v>
      </c>
      <c r="C2599" s="191" t="s">
        <v>231</v>
      </c>
      <c r="D2599" s="192">
        <f t="shared" si="560"/>
        <v>0</v>
      </c>
      <c r="E2599" s="192">
        <f t="shared" si="561"/>
        <v>0</v>
      </c>
      <c r="F2599" s="192">
        <f t="shared" si="562"/>
        <v>0</v>
      </c>
      <c r="G2599" s="193">
        <f t="shared" si="563"/>
        <v>0</v>
      </c>
      <c r="H2599" s="194">
        <v>0</v>
      </c>
      <c r="I2599" s="194">
        <v>0</v>
      </c>
      <c r="J2599" s="194">
        <v>0</v>
      </c>
      <c r="K2599" s="193">
        <f t="shared" si="564"/>
        <v>0</v>
      </c>
      <c r="L2599" s="194">
        <v>0</v>
      </c>
      <c r="M2599" s="194">
        <v>0</v>
      </c>
      <c r="N2599" s="194">
        <v>0</v>
      </c>
      <c r="O2599" s="193">
        <f t="shared" si="565"/>
        <v>0</v>
      </c>
      <c r="P2599" s="194">
        <v>0</v>
      </c>
      <c r="Q2599" s="194">
        <v>0</v>
      </c>
      <c r="R2599" s="194">
        <v>0</v>
      </c>
      <c r="S2599" s="193">
        <f t="shared" si="566"/>
        <v>0</v>
      </c>
      <c r="T2599" s="193">
        <f t="shared" si="567"/>
        <v>0</v>
      </c>
      <c r="U2599" s="193">
        <f ca="1">OFFSET('Expenditure Study'!$B$7,'Operations Support'!$C2599,'Operations Support'!$B2599)*$G2599</f>
        <v>0</v>
      </c>
      <c r="V2599" s="199">
        <f ca="1">U2599*'Expenditure Study'!$B$31</f>
        <v>0</v>
      </c>
      <c r="W2599" s="199">
        <f ca="1">IF(A2599=10298,1.51,1)*IF($B2599&lt;3,$D2599*'Expenditure Study'!$B$32*OFFSET('Expenditure Study'!$B$7,'Operations Support'!$C2599,'Operations Support'!$B2599),0)</f>
        <v>0</v>
      </c>
      <c r="X2599" s="200">
        <f ca="1">W2599*'Expenditure Study'!$B$31</f>
        <v>0</v>
      </c>
      <c r="Y2599" s="199">
        <f ca="1">U2599*'Expenditure Study'!$B$31</f>
        <v>0</v>
      </c>
      <c r="Z2599" s="200">
        <f ca="1">W2599*'Expenditure Study'!$B$31</f>
        <v>0</v>
      </c>
      <c r="AA2599" s="195">
        <f t="shared" ca="1" si="568"/>
        <v>0</v>
      </c>
      <c r="AB2599" s="195">
        <f t="shared" ca="1" si="569"/>
        <v>0</v>
      </c>
      <c r="AD2599" s="196">
        <f>IFERROR($G2599/SUMIF($A:$A,$A2599,$G:$G)*SUMIF(Summary!$A$166:$A$242,$A2599,Summary!$P$166:$P$242),0)</f>
        <v>0</v>
      </c>
      <c r="AE2599" s="197">
        <f t="shared" ca="1" si="570"/>
        <v>0</v>
      </c>
      <c r="AF2599" s="196">
        <f>IFERROR(G2599/SUMIF(A:A,A2599,G:G)*SUMIF(Summary!$A$166:$A$242,'Operations Support'!A2599,Summary!$Q$166:$Q$242),0)</f>
        <v>0</v>
      </c>
      <c r="AG2599" s="196">
        <f t="shared" ca="1" si="571"/>
        <v>0</v>
      </c>
      <c r="AI2599" s="196">
        <f>IFERROR($G2599/SUMIF($A:$A,$A2599,$G:$G)*SUMIF(Summary!$A$247:$A$283,$A2599,Summary!$P$247:$P$283),0)</f>
        <v>0</v>
      </c>
      <c r="AJ2599" s="196">
        <f>IFERROR($G2599/SUMIF($A:$A,$A2599,$G:$G)*(SUMIF(Summary!$A$247:$A$283,$A2599,Summary!$L$247:$L$283)+SUMIF(Summary!$A$297:$A$333,$A2599,Summary!$L$297:$L$333))-AI2599,0)</f>
        <v>0</v>
      </c>
      <c r="AK2599" s="196">
        <f>IFERROR($G2599/SUMIF($A:$A,$A2599,$G:$G)*SUMIF(Summary!$A$247:$A$283,$A2599,Summary!$Q$247:$Q$283),0)</f>
        <v>0</v>
      </c>
      <c r="AL2599" s="196">
        <f>IFERROR($G2599/SUMIF($A:$A,$A2599,$G:$G)*(SUMIF(Summary!$A$247:$A$283,$A2599,Summary!$L$247:$L$283)+SUMIF(Summary!$A$297:$A$333,$A2599,Summary!$L$297:$L$333))-AK2599,0)</f>
        <v>0</v>
      </c>
      <c r="AM2599" s="198"/>
      <c r="AN2599" s="196">
        <f t="shared" ca="1" si="572"/>
        <v>0</v>
      </c>
      <c r="AO2599" s="196">
        <f t="shared" ca="1" si="573"/>
        <v>0</v>
      </c>
    </row>
    <row r="2600" spans="1:41">
      <c r="A2600" s="189">
        <v>9741</v>
      </c>
      <c r="B2600" s="190">
        <v>4</v>
      </c>
      <c r="C2600" s="191" t="s">
        <v>232</v>
      </c>
      <c r="D2600" s="192">
        <f t="shared" si="560"/>
        <v>0</v>
      </c>
      <c r="E2600" s="192">
        <f t="shared" si="561"/>
        <v>0</v>
      </c>
      <c r="F2600" s="192">
        <f t="shared" si="562"/>
        <v>0</v>
      </c>
      <c r="G2600" s="193">
        <f t="shared" si="563"/>
        <v>0</v>
      </c>
      <c r="H2600" s="194">
        <v>0</v>
      </c>
      <c r="I2600" s="194">
        <v>0</v>
      </c>
      <c r="J2600" s="194">
        <v>0</v>
      </c>
      <c r="K2600" s="193">
        <f t="shared" si="564"/>
        <v>0</v>
      </c>
      <c r="L2600" s="194">
        <v>0</v>
      </c>
      <c r="M2600" s="194">
        <v>0</v>
      </c>
      <c r="N2600" s="194">
        <v>0</v>
      </c>
      <c r="O2600" s="193">
        <f t="shared" si="565"/>
        <v>0</v>
      </c>
      <c r="P2600" s="194">
        <v>0</v>
      </c>
      <c r="Q2600" s="194">
        <v>0</v>
      </c>
      <c r="R2600" s="194">
        <v>0</v>
      </c>
      <c r="S2600" s="193">
        <f t="shared" si="566"/>
        <v>0</v>
      </c>
      <c r="T2600" s="193">
        <f t="shared" si="567"/>
        <v>0</v>
      </c>
      <c r="U2600" s="193">
        <f ca="1">OFFSET('Expenditure Study'!$B$7,'Operations Support'!$C2600,'Operations Support'!$B2600)*$G2600</f>
        <v>0</v>
      </c>
      <c r="V2600" s="199">
        <f ca="1">U2600*'Expenditure Study'!$B$31</f>
        <v>0</v>
      </c>
      <c r="W2600" s="199">
        <f ca="1">IF(A2600=10298,1.51,1)*IF($B2600&lt;3,$D2600*'Expenditure Study'!$B$32*OFFSET('Expenditure Study'!$B$7,'Operations Support'!$C2600,'Operations Support'!$B2600),0)</f>
        <v>0</v>
      </c>
      <c r="X2600" s="200">
        <f ca="1">W2600*'Expenditure Study'!$B$31</f>
        <v>0</v>
      </c>
      <c r="Y2600" s="199">
        <f ca="1">U2600*'Expenditure Study'!$B$31</f>
        <v>0</v>
      </c>
      <c r="Z2600" s="200">
        <f ca="1">W2600*'Expenditure Study'!$B$31</f>
        <v>0</v>
      </c>
      <c r="AA2600" s="195">
        <f t="shared" ca="1" si="568"/>
        <v>0</v>
      </c>
      <c r="AB2600" s="195">
        <f t="shared" ca="1" si="569"/>
        <v>0</v>
      </c>
      <c r="AD2600" s="196">
        <f>IFERROR($G2600/SUMIF($A:$A,$A2600,$G:$G)*SUMIF(Summary!$A$166:$A$242,$A2600,Summary!$P$166:$P$242),0)</f>
        <v>0</v>
      </c>
      <c r="AE2600" s="197">
        <f t="shared" ca="1" si="570"/>
        <v>0</v>
      </c>
      <c r="AF2600" s="196">
        <f>IFERROR(G2600/SUMIF(A:A,A2600,G:G)*SUMIF(Summary!$A$166:$A$242,'Operations Support'!A2600,Summary!$Q$166:$Q$242),0)</f>
        <v>0</v>
      </c>
      <c r="AG2600" s="196">
        <f t="shared" ca="1" si="571"/>
        <v>0</v>
      </c>
      <c r="AI2600" s="196">
        <f>IFERROR($G2600/SUMIF($A:$A,$A2600,$G:$G)*SUMIF(Summary!$A$247:$A$283,$A2600,Summary!$P$247:$P$283),0)</f>
        <v>0</v>
      </c>
      <c r="AJ2600" s="196">
        <f>IFERROR($G2600/SUMIF($A:$A,$A2600,$G:$G)*(SUMIF(Summary!$A$247:$A$283,$A2600,Summary!$L$247:$L$283)+SUMIF(Summary!$A$297:$A$333,$A2600,Summary!$L$297:$L$333))-AI2600,0)</f>
        <v>0</v>
      </c>
      <c r="AK2600" s="196">
        <f>IFERROR($G2600/SUMIF($A:$A,$A2600,$G:$G)*SUMIF(Summary!$A$247:$A$283,$A2600,Summary!$Q$247:$Q$283),0)</f>
        <v>0</v>
      </c>
      <c r="AL2600" s="196">
        <f>IFERROR($G2600/SUMIF($A:$A,$A2600,$G:$G)*(SUMIF(Summary!$A$247:$A$283,$A2600,Summary!$L$247:$L$283)+SUMIF(Summary!$A$297:$A$333,$A2600,Summary!$L$297:$L$333))-AK2600,0)</f>
        <v>0</v>
      </c>
      <c r="AM2600" s="198"/>
      <c r="AN2600" s="196">
        <f t="shared" ca="1" si="572"/>
        <v>0</v>
      </c>
      <c r="AO2600" s="196">
        <f t="shared" ca="1" si="573"/>
        <v>0</v>
      </c>
    </row>
    <row r="2601" spans="1:41" s="201" customFormat="1">
      <c r="A2601" s="189">
        <v>9741</v>
      </c>
      <c r="B2601" s="190">
        <v>4</v>
      </c>
      <c r="C2601" s="191" t="s">
        <v>233</v>
      </c>
      <c r="D2601" s="192">
        <f t="shared" si="560"/>
        <v>281</v>
      </c>
      <c r="E2601" s="192">
        <f t="shared" si="561"/>
        <v>33</v>
      </c>
      <c r="F2601" s="192">
        <f t="shared" si="562"/>
        <v>25</v>
      </c>
      <c r="G2601" s="193">
        <f t="shared" si="563"/>
        <v>289</v>
      </c>
      <c r="H2601" s="194">
        <v>99</v>
      </c>
      <c r="I2601" s="194">
        <v>6</v>
      </c>
      <c r="J2601" s="194">
        <v>10</v>
      </c>
      <c r="K2601" s="193">
        <f t="shared" si="564"/>
        <v>95</v>
      </c>
      <c r="L2601" s="194">
        <v>98</v>
      </c>
      <c r="M2601" s="194">
        <v>13</v>
      </c>
      <c r="N2601" s="194">
        <v>9</v>
      </c>
      <c r="O2601" s="193">
        <f t="shared" si="565"/>
        <v>102</v>
      </c>
      <c r="P2601" s="194">
        <v>84</v>
      </c>
      <c r="Q2601" s="194">
        <v>14</v>
      </c>
      <c r="R2601" s="194">
        <v>6</v>
      </c>
      <c r="S2601" s="193">
        <f t="shared" si="566"/>
        <v>92</v>
      </c>
      <c r="T2601" s="193">
        <f t="shared" si="567"/>
        <v>16.055555555555557</v>
      </c>
      <c r="U2601" s="193">
        <f ca="1">OFFSET('Expenditure Study'!$B$7,'Operations Support'!$C2601,'Operations Support'!$B2601)*$G2601</f>
        <v>2658.7999999999997</v>
      </c>
      <c r="V2601" s="199">
        <f ca="1">U2601*'Expenditure Study'!$B$31</f>
        <v>157090.36111103999</v>
      </c>
      <c r="W2601" s="199">
        <f ca="1">IF(A2601=10298,1.51,1)*IF($B2601&lt;3,$D2601*'Expenditure Study'!$B$32*OFFSET('Expenditure Study'!$B$7,'Operations Support'!$C2601,'Operations Support'!$B2601),0)</f>
        <v>0</v>
      </c>
      <c r="X2601" s="200">
        <f ca="1">W2601*'Expenditure Study'!$B$31</f>
        <v>0</v>
      </c>
      <c r="Y2601" s="199">
        <f ca="1">U2601*'Expenditure Study'!$B$31</f>
        <v>157090.36111103999</v>
      </c>
      <c r="Z2601" s="200">
        <f ca="1">W2601*'Expenditure Study'!$B$31</f>
        <v>0</v>
      </c>
      <c r="AA2601" s="195">
        <f t="shared" ca="1" si="568"/>
        <v>157090.36111103999</v>
      </c>
      <c r="AB2601" s="195">
        <f t="shared" ca="1" si="569"/>
        <v>157090.36111103999</v>
      </c>
      <c r="AD2601" s="196">
        <f>IFERROR($G2601/SUMIF($A:$A,$A2601,$G:$G)*SUMIF(Summary!$A$166:$A$242,$A2601,Summary!$P$166:$P$242),0)</f>
        <v>14668.720028941998</v>
      </c>
      <c r="AE2601" s="197">
        <f t="shared" ca="1" si="570"/>
        <v>142421.64108209801</v>
      </c>
      <c r="AF2601" s="196">
        <f>IFERROR(G2601/SUMIF(A:A,A2601,G:G)*SUMIF(Summary!$A$166:$A$242,'Operations Support'!A2601,Summary!$Q$166:$Q$242),0)</f>
        <v>14770.731062606554</v>
      </c>
      <c r="AG2601" s="196">
        <f t="shared" ca="1" si="571"/>
        <v>142319.63004843344</v>
      </c>
      <c r="AH2601" s="180"/>
      <c r="AI2601" s="196">
        <f>IFERROR($G2601/SUMIF($A:$A,$A2601,$G:$G)*SUMIF(Summary!$A$247:$A$283,$A2601,Summary!$P$247:$P$283),0)</f>
        <v>2675.2084794510897</v>
      </c>
      <c r="AJ2601" s="196">
        <f>IFERROR($G2601/SUMIF($A:$A,$A2601,$G:$G)*(SUMIF(Summary!$A$247:$A$283,$A2601,Summary!$L$247:$L$283)+SUMIF(Summary!$A$297:$A$333,$A2601,Summary!$L$297:$L$333))-AI2601,0)</f>
        <v>4978.2289172631827</v>
      </c>
      <c r="AK2601" s="196">
        <f>IFERROR($G2601/SUMIF($A:$A,$A2601,$G:$G)*SUMIF(Summary!$A$247:$A$283,$A2601,Summary!$Q$247:$Q$283),0)</f>
        <v>2693.8127463345363</v>
      </c>
      <c r="AL2601" s="196">
        <f>IFERROR($G2601/SUMIF($A:$A,$A2601,$G:$G)*(SUMIF(Summary!$A$247:$A$283,$A2601,Summary!$L$247:$L$283)+SUMIF(Summary!$A$297:$A$333,$A2601,Summary!$L$297:$L$333))-AK2601,0)</f>
        <v>4959.6246503797365</v>
      </c>
      <c r="AM2601" s="198"/>
      <c r="AN2601" s="196">
        <f t="shared" ca="1" si="572"/>
        <v>147399.8699993612</v>
      </c>
      <c r="AO2601" s="196">
        <f t="shared" ca="1" si="573"/>
        <v>147279.25469881317</v>
      </c>
    </row>
    <row r="2602" spans="1:41">
      <c r="A2602" s="189">
        <v>9741</v>
      </c>
      <c r="B2602" s="190">
        <v>4</v>
      </c>
      <c r="C2602" s="191" t="s">
        <v>234</v>
      </c>
      <c r="D2602" s="192">
        <f t="shared" si="560"/>
        <v>0</v>
      </c>
      <c r="E2602" s="192">
        <f t="shared" si="561"/>
        <v>0</v>
      </c>
      <c r="F2602" s="192">
        <f t="shared" si="562"/>
        <v>0</v>
      </c>
      <c r="G2602" s="193">
        <f t="shared" si="563"/>
        <v>0</v>
      </c>
      <c r="H2602" s="194">
        <v>0</v>
      </c>
      <c r="I2602" s="194">
        <v>0</v>
      </c>
      <c r="J2602" s="194">
        <v>0</v>
      </c>
      <c r="K2602" s="193">
        <f t="shared" si="564"/>
        <v>0</v>
      </c>
      <c r="L2602" s="194">
        <v>0</v>
      </c>
      <c r="M2602" s="194">
        <v>0</v>
      </c>
      <c r="N2602" s="194">
        <v>0</v>
      </c>
      <c r="O2602" s="193">
        <f t="shared" si="565"/>
        <v>0</v>
      </c>
      <c r="P2602" s="194">
        <v>0</v>
      </c>
      <c r="Q2602" s="194">
        <v>0</v>
      </c>
      <c r="R2602" s="194">
        <v>0</v>
      </c>
      <c r="S2602" s="193">
        <f t="shared" si="566"/>
        <v>0</v>
      </c>
      <c r="T2602" s="193">
        <f t="shared" si="567"/>
        <v>0</v>
      </c>
      <c r="U2602" s="193">
        <f ca="1">OFFSET('Expenditure Study'!$B$7,'Operations Support'!$C2602,'Operations Support'!$B2602)*$G2602</f>
        <v>0</v>
      </c>
      <c r="V2602" s="199">
        <f ca="1">U2602*'Expenditure Study'!$B$31</f>
        <v>0</v>
      </c>
      <c r="W2602" s="199">
        <f ca="1">IF(A2602=10298,1.51,1)*IF($B2602&lt;3,$D2602*'Expenditure Study'!$B$32*OFFSET('Expenditure Study'!$B$7,'Operations Support'!$C2602,'Operations Support'!$B2602),0)</f>
        <v>0</v>
      </c>
      <c r="X2602" s="200">
        <f ca="1">W2602*'Expenditure Study'!$B$31</f>
        <v>0</v>
      </c>
      <c r="Y2602" s="199">
        <f ca="1">U2602*'Expenditure Study'!$B$31</f>
        <v>0</v>
      </c>
      <c r="Z2602" s="200">
        <f ca="1">W2602*'Expenditure Study'!$B$31</f>
        <v>0</v>
      </c>
      <c r="AA2602" s="195">
        <f t="shared" ca="1" si="568"/>
        <v>0</v>
      </c>
      <c r="AB2602" s="195">
        <f t="shared" ca="1" si="569"/>
        <v>0</v>
      </c>
      <c r="AD2602" s="196">
        <f>IFERROR($G2602/SUMIF($A:$A,$A2602,$G:$G)*SUMIF(Summary!$A$166:$A$242,$A2602,Summary!$P$166:$P$242),0)</f>
        <v>0</v>
      </c>
      <c r="AE2602" s="197">
        <f t="shared" ca="1" si="570"/>
        <v>0</v>
      </c>
      <c r="AF2602" s="196">
        <f>IFERROR(G2602/SUMIF(A:A,A2602,G:G)*SUMIF(Summary!$A$166:$A$242,'Operations Support'!A2602,Summary!$Q$166:$Q$242),0)</f>
        <v>0</v>
      </c>
      <c r="AG2602" s="196">
        <f t="shared" ca="1" si="571"/>
        <v>0</v>
      </c>
      <c r="AI2602" s="196">
        <f>IFERROR($G2602/SUMIF($A:$A,$A2602,$G:$G)*SUMIF(Summary!$A$247:$A$283,$A2602,Summary!$P$247:$P$283),0)</f>
        <v>0</v>
      </c>
      <c r="AJ2602" s="196">
        <f>IFERROR($G2602/SUMIF($A:$A,$A2602,$G:$G)*(SUMIF(Summary!$A$247:$A$283,$A2602,Summary!$L$247:$L$283)+SUMIF(Summary!$A$297:$A$333,$A2602,Summary!$L$297:$L$333))-AI2602,0)</f>
        <v>0</v>
      </c>
      <c r="AK2602" s="196">
        <f>IFERROR($G2602/SUMIF($A:$A,$A2602,$G:$G)*SUMIF(Summary!$A$247:$A$283,$A2602,Summary!$Q$247:$Q$283),0)</f>
        <v>0</v>
      </c>
      <c r="AL2602" s="196">
        <f>IFERROR($G2602/SUMIF($A:$A,$A2602,$G:$G)*(SUMIF(Summary!$A$247:$A$283,$A2602,Summary!$L$247:$L$283)+SUMIF(Summary!$A$297:$A$333,$A2602,Summary!$L$297:$L$333))-AK2602,0)</f>
        <v>0</v>
      </c>
      <c r="AM2602" s="198"/>
      <c r="AN2602" s="196">
        <f t="shared" ca="1" si="572"/>
        <v>0</v>
      </c>
      <c r="AO2602" s="196">
        <f t="shared" ca="1" si="573"/>
        <v>0</v>
      </c>
    </row>
    <row r="2603" spans="1:41">
      <c r="A2603" s="189">
        <v>9741</v>
      </c>
      <c r="B2603" s="190">
        <v>4</v>
      </c>
      <c r="C2603" s="191" t="s">
        <v>235</v>
      </c>
      <c r="D2603" s="192">
        <f t="shared" si="560"/>
        <v>2040</v>
      </c>
      <c r="E2603" s="192">
        <f t="shared" si="561"/>
        <v>82</v>
      </c>
      <c r="F2603" s="192">
        <f t="shared" si="562"/>
        <v>269</v>
      </c>
      <c r="G2603" s="193">
        <f t="shared" si="563"/>
        <v>1853</v>
      </c>
      <c r="H2603" s="194">
        <v>789</v>
      </c>
      <c r="I2603" s="194">
        <v>15</v>
      </c>
      <c r="J2603" s="194">
        <v>157</v>
      </c>
      <c r="K2603" s="193">
        <f t="shared" si="564"/>
        <v>647</v>
      </c>
      <c r="L2603" s="194">
        <v>805</v>
      </c>
      <c r="M2603" s="194">
        <v>33</v>
      </c>
      <c r="N2603" s="194">
        <v>91</v>
      </c>
      <c r="O2603" s="193">
        <f t="shared" si="565"/>
        <v>747</v>
      </c>
      <c r="P2603" s="194">
        <v>446</v>
      </c>
      <c r="Q2603" s="194">
        <v>34</v>
      </c>
      <c r="R2603" s="194">
        <v>21</v>
      </c>
      <c r="S2603" s="193">
        <f t="shared" si="566"/>
        <v>459</v>
      </c>
      <c r="T2603" s="193">
        <f t="shared" si="567"/>
        <v>102.94444444444444</v>
      </c>
      <c r="U2603" s="193">
        <f ca="1">OFFSET('Expenditure Study'!$B$7,'Operations Support'!$C2603,'Operations Support'!$B2603)*$G2603</f>
        <v>70525.180000000008</v>
      </c>
      <c r="V2603" s="199">
        <f ca="1">U2603*'Expenditure Study'!$B$31</f>
        <v>4166851.9608925446</v>
      </c>
      <c r="W2603" s="199">
        <f ca="1">IF(A2603=10298,1.51,1)*IF($B2603&lt;3,$D2603*'Expenditure Study'!$B$32*OFFSET('Expenditure Study'!$B$7,'Operations Support'!$C2603,'Operations Support'!$B2603),0)</f>
        <v>0</v>
      </c>
      <c r="X2603" s="200">
        <f ca="1">W2603*'Expenditure Study'!$B$31</f>
        <v>0</v>
      </c>
      <c r="Y2603" s="199">
        <f ca="1">U2603*'Expenditure Study'!$B$31</f>
        <v>4166851.9608925446</v>
      </c>
      <c r="Z2603" s="200">
        <f ca="1">W2603*'Expenditure Study'!$B$31</f>
        <v>0</v>
      </c>
      <c r="AA2603" s="195">
        <f t="shared" ca="1" si="568"/>
        <v>4166851.9608925446</v>
      </c>
      <c r="AB2603" s="195">
        <f t="shared" ca="1" si="569"/>
        <v>4166851.9608925446</v>
      </c>
      <c r="AD2603" s="196">
        <f>IFERROR($G2603/SUMIF($A:$A,$A2603,$G:$G)*SUMIF(Summary!$A$166:$A$242,$A2603,Summary!$P$166:$P$242),0)</f>
        <v>94052.381362039858</v>
      </c>
      <c r="AE2603" s="197">
        <f t="shared" ca="1" si="570"/>
        <v>4072799.5795305045</v>
      </c>
      <c r="AF2603" s="196">
        <f>IFERROR(G2603/SUMIF(A:A,A2603,G:G)*SUMIF(Summary!$A$166:$A$242,'Operations Support'!A2603,Summary!$Q$166:$Q$242),0)</f>
        <v>94706.452107300836</v>
      </c>
      <c r="AG2603" s="196">
        <f t="shared" ca="1" si="571"/>
        <v>4072145.5087852436</v>
      </c>
      <c r="AI2603" s="196">
        <f>IFERROR($G2603/SUMIF($A:$A,$A2603,$G:$G)*SUMIF(Summary!$A$247:$A$283,$A2603,Summary!$P$247:$P$283),0)</f>
        <v>17152.807309421692</v>
      </c>
      <c r="AJ2603" s="196">
        <f>IFERROR($G2603/SUMIF($A:$A,$A2603,$G:$G)*(SUMIF(Summary!$A$247:$A$283,$A2603,Summary!$L$247:$L$283)+SUMIF(Summary!$A$297:$A$333,$A2603,Summary!$L$297:$L$333))-AI2603,0)</f>
        <v>31919.232469510989</v>
      </c>
      <c r="AK2603" s="196">
        <f>IFERROR($G2603/SUMIF($A:$A,$A2603,$G:$G)*SUMIF(Summary!$A$247:$A$283,$A2603,Summary!$Q$247:$Q$283),0)</f>
        <v>17272.093491203788</v>
      </c>
      <c r="AL2603" s="196">
        <f>IFERROR($G2603/SUMIF($A:$A,$A2603,$G:$G)*(SUMIF(Summary!$A$247:$A$283,$A2603,Summary!$L$247:$L$283)+SUMIF(Summary!$A$297:$A$333,$A2603,Summary!$L$297:$L$333))-AK2603,0)</f>
        <v>31799.946287728893</v>
      </c>
      <c r="AM2603" s="198"/>
      <c r="AN2603" s="196">
        <f t="shared" ca="1" si="572"/>
        <v>4104718.8120000158</v>
      </c>
      <c r="AO2603" s="196">
        <f t="shared" ca="1" si="573"/>
        <v>4103945.4550729725</v>
      </c>
    </row>
    <row r="2604" spans="1:41">
      <c r="A2604" s="189">
        <v>9741</v>
      </c>
      <c r="B2604" s="190">
        <v>4</v>
      </c>
      <c r="C2604" s="191" t="s">
        <v>236</v>
      </c>
      <c r="D2604" s="192">
        <f t="shared" si="560"/>
        <v>0</v>
      </c>
      <c r="E2604" s="192">
        <f t="shared" si="561"/>
        <v>0</v>
      </c>
      <c r="F2604" s="192">
        <f t="shared" si="562"/>
        <v>0</v>
      </c>
      <c r="G2604" s="193">
        <f t="shared" si="563"/>
        <v>0</v>
      </c>
      <c r="H2604" s="194">
        <v>0</v>
      </c>
      <c r="I2604" s="194">
        <v>0</v>
      </c>
      <c r="J2604" s="194">
        <v>0</v>
      </c>
      <c r="K2604" s="193">
        <f t="shared" si="564"/>
        <v>0</v>
      </c>
      <c r="L2604" s="194">
        <v>0</v>
      </c>
      <c r="M2604" s="194">
        <v>0</v>
      </c>
      <c r="N2604" s="194">
        <v>0</v>
      </c>
      <c r="O2604" s="193">
        <f t="shared" si="565"/>
        <v>0</v>
      </c>
      <c r="P2604" s="194">
        <v>0</v>
      </c>
      <c r="Q2604" s="194">
        <v>0</v>
      </c>
      <c r="R2604" s="194">
        <v>0</v>
      </c>
      <c r="S2604" s="193">
        <f t="shared" si="566"/>
        <v>0</v>
      </c>
      <c r="T2604" s="193">
        <f t="shared" si="567"/>
        <v>0</v>
      </c>
      <c r="U2604" s="193">
        <f ca="1">OFFSET('Expenditure Study'!$B$7,'Operations Support'!$C2604,'Operations Support'!$B2604)*$G2604</f>
        <v>0</v>
      </c>
      <c r="V2604" s="199">
        <f ca="1">U2604*'Expenditure Study'!$B$31</f>
        <v>0</v>
      </c>
      <c r="W2604" s="199">
        <f ca="1">IF(A2604=10298,1.51,1)*IF($B2604&lt;3,$D2604*'Expenditure Study'!$B$32*OFFSET('Expenditure Study'!$B$7,'Operations Support'!$C2604,'Operations Support'!$B2604),0)</f>
        <v>0</v>
      </c>
      <c r="X2604" s="200">
        <f ca="1">W2604*'Expenditure Study'!$B$31</f>
        <v>0</v>
      </c>
      <c r="Y2604" s="199">
        <f ca="1">U2604*'Expenditure Study'!$B$31</f>
        <v>0</v>
      </c>
      <c r="Z2604" s="200">
        <f ca="1">W2604*'Expenditure Study'!$B$31</f>
        <v>0</v>
      </c>
      <c r="AA2604" s="195">
        <f t="shared" ca="1" si="568"/>
        <v>0</v>
      </c>
      <c r="AB2604" s="195">
        <f t="shared" ca="1" si="569"/>
        <v>0</v>
      </c>
      <c r="AD2604" s="196">
        <f>IFERROR($G2604/SUMIF($A:$A,$A2604,$G:$G)*SUMIF(Summary!$A$166:$A$242,$A2604,Summary!$P$166:$P$242),0)</f>
        <v>0</v>
      </c>
      <c r="AE2604" s="197">
        <f t="shared" ca="1" si="570"/>
        <v>0</v>
      </c>
      <c r="AF2604" s="196">
        <f>IFERROR(G2604/SUMIF(A:A,A2604,G:G)*SUMIF(Summary!$A$166:$A$242,'Operations Support'!A2604,Summary!$Q$166:$Q$242),0)</f>
        <v>0</v>
      </c>
      <c r="AG2604" s="196">
        <f t="shared" ca="1" si="571"/>
        <v>0</v>
      </c>
      <c r="AI2604" s="196">
        <f>IFERROR($G2604/SUMIF($A:$A,$A2604,$G:$G)*SUMIF(Summary!$A$247:$A$283,$A2604,Summary!$P$247:$P$283),0)</f>
        <v>0</v>
      </c>
      <c r="AJ2604" s="196">
        <f>IFERROR($G2604/SUMIF($A:$A,$A2604,$G:$G)*(SUMIF(Summary!$A$247:$A$283,$A2604,Summary!$L$247:$L$283)+SUMIF(Summary!$A$297:$A$333,$A2604,Summary!$L$297:$L$333))-AI2604,0)</f>
        <v>0</v>
      </c>
      <c r="AK2604" s="196">
        <f>IFERROR($G2604/SUMIF($A:$A,$A2604,$G:$G)*SUMIF(Summary!$A$247:$A$283,$A2604,Summary!$Q$247:$Q$283),0)</f>
        <v>0</v>
      </c>
      <c r="AL2604" s="196">
        <f>IFERROR($G2604/SUMIF($A:$A,$A2604,$G:$G)*(SUMIF(Summary!$A$247:$A$283,$A2604,Summary!$L$247:$L$283)+SUMIF(Summary!$A$297:$A$333,$A2604,Summary!$L$297:$L$333))-AK2604,0)</f>
        <v>0</v>
      </c>
      <c r="AM2604" s="198"/>
      <c r="AN2604" s="196">
        <f t="shared" ca="1" si="572"/>
        <v>0</v>
      </c>
      <c r="AO2604" s="196">
        <f t="shared" ca="1" si="573"/>
        <v>0</v>
      </c>
    </row>
    <row r="2605" spans="1:41">
      <c r="A2605" s="189">
        <v>9741</v>
      </c>
      <c r="B2605" s="190">
        <v>4</v>
      </c>
      <c r="C2605" s="191" t="s">
        <v>237</v>
      </c>
      <c r="D2605" s="192">
        <f t="shared" si="560"/>
        <v>0</v>
      </c>
      <c r="E2605" s="192">
        <f t="shared" si="561"/>
        <v>0</v>
      </c>
      <c r="F2605" s="192">
        <f t="shared" si="562"/>
        <v>0</v>
      </c>
      <c r="G2605" s="193">
        <f t="shared" si="563"/>
        <v>0</v>
      </c>
      <c r="H2605" s="194">
        <v>0</v>
      </c>
      <c r="I2605" s="194">
        <v>0</v>
      </c>
      <c r="J2605" s="194">
        <v>0</v>
      </c>
      <c r="K2605" s="193">
        <f t="shared" si="564"/>
        <v>0</v>
      </c>
      <c r="L2605" s="194">
        <v>0</v>
      </c>
      <c r="M2605" s="194">
        <v>0</v>
      </c>
      <c r="N2605" s="194">
        <v>0</v>
      </c>
      <c r="O2605" s="193">
        <f t="shared" si="565"/>
        <v>0</v>
      </c>
      <c r="P2605" s="194">
        <v>0</v>
      </c>
      <c r="Q2605" s="194">
        <v>0</v>
      </c>
      <c r="R2605" s="194">
        <v>0</v>
      </c>
      <c r="S2605" s="193">
        <f t="shared" si="566"/>
        <v>0</v>
      </c>
      <c r="T2605" s="193">
        <f t="shared" si="567"/>
        <v>0</v>
      </c>
      <c r="U2605" s="193">
        <f ca="1">OFFSET('Expenditure Study'!$B$7,'Operations Support'!$C2605,'Operations Support'!$B2605)*$G2605</f>
        <v>0</v>
      </c>
      <c r="V2605" s="199">
        <f ca="1">U2605*'Expenditure Study'!$B$31</f>
        <v>0</v>
      </c>
      <c r="W2605" s="199">
        <f ca="1">IF(A2605=10298,1.51,1)*IF($B2605&lt;3,$D2605*'Expenditure Study'!$B$32*OFFSET('Expenditure Study'!$B$7,'Operations Support'!$C2605,'Operations Support'!$B2605),0)</f>
        <v>0</v>
      </c>
      <c r="X2605" s="200">
        <f ca="1">W2605*'Expenditure Study'!$B$31</f>
        <v>0</v>
      </c>
      <c r="Y2605" s="199">
        <f ca="1">U2605*'Expenditure Study'!$B$31</f>
        <v>0</v>
      </c>
      <c r="Z2605" s="200">
        <f ca="1">W2605*'Expenditure Study'!$B$31</f>
        <v>0</v>
      </c>
      <c r="AA2605" s="195">
        <f t="shared" ca="1" si="568"/>
        <v>0</v>
      </c>
      <c r="AB2605" s="195">
        <f t="shared" ca="1" si="569"/>
        <v>0</v>
      </c>
      <c r="AD2605" s="196">
        <f>IFERROR($G2605/SUMIF($A:$A,$A2605,$G:$G)*SUMIF(Summary!$A$166:$A$242,$A2605,Summary!$P$166:$P$242),0)</f>
        <v>0</v>
      </c>
      <c r="AE2605" s="197">
        <f t="shared" ca="1" si="570"/>
        <v>0</v>
      </c>
      <c r="AF2605" s="196">
        <f>IFERROR(G2605/SUMIF(A:A,A2605,G:G)*SUMIF(Summary!$A$166:$A$242,'Operations Support'!A2605,Summary!$Q$166:$Q$242),0)</f>
        <v>0</v>
      </c>
      <c r="AG2605" s="196">
        <f t="shared" ca="1" si="571"/>
        <v>0</v>
      </c>
      <c r="AI2605" s="196">
        <f>IFERROR($G2605/SUMIF($A:$A,$A2605,$G:$G)*SUMIF(Summary!$A$247:$A$283,$A2605,Summary!$P$247:$P$283),0)</f>
        <v>0</v>
      </c>
      <c r="AJ2605" s="196">
        <f>IFERROR($G2605/SUMIF($A:$A,$A2605,$G:$G)*(SUMIF(Summary!$A$247:$A$283,$A2605,Summary!$L$247:$L$283)+SUMIF(Summary!$A$297:$A$333,$A2605,Summary!$L$297:$L$333))-AI2605,0)</f>
        <v>0</v>
      </c>
      <c r="AK2605" s="196">
        <f>IFERROR($G2605/SUMIF($A:$A,$A2605,$G:$G)*SUMIF(Summary!$A$247:$A$283,$A2605,Summary!$Q$247:$Q$283),0)</f>
        <v>0</v>
      </c>
      <c r="AL2605" s="196">
        <f>IFERROR($G2605/SUMIF($A:$A,$A2605,$G:$G)*(SUMIF(Summary!$A$247:$A$283,$A2605,Summary!$L$247:$L$283)+SUMIF(Summary!$A$297:$A$333,$A2605,Summary!$L$297:$L$333))-AK2605,0)</f>
        <v>0</v>
      </c>
      <c r="AM2605" s="198"/>
      <c r="AN2605" s="196">
        <f t="shared" ca="1" si="572"/>
        <v>0</v>
      </c>
      <c r="AO2605" s="196">
        <f t="shared" ca="1" si="573"/>
        <v>0</v>
      </c>
    </row>
    <row r="2606" spans="1:41">
      <c r="A2606" s="189">
        <v>9741</v>
      </c>
      <c r="B2606" s="190">
        <v>4</v>
      </c>
      <c r="C2606" s="191" t="s">
        <v>238</v>
      </c>
      <c r="D2606" s="192">
        <f t="shared" si="560"/>
        <v>24</v>
      </c>
      <c r="E2606" s="192">
        <f t="shared" si="561"/>
        <v>6</v>
      </c>
      <c r="F2606" s="192">
        <f t="shared" si="562"/>
        <v>0</v>
      </c>
      <c r="G2606" s="193">
        <f t="shared" si="563"/>
        <v>30</v>
      </c>
      <c r="H2606" s="194">
        <v>3</v>
      </c>
      <c r="I2606" s="194">
        <v>0</v>
      </c>
      <c r="J2606" s="194">
        <v>0</v>
      </c>
      <c r="K2606" s="193">
        <f t="shared" si="564"/>
        <v>3</v>
      </c>
      <c r="L2606" s="194">
        <v>21</v>
      </c>
      <c r="M2606" s="194">
        <v>6</v>
      </c>
      <c r="N2606" s="194">
        <v>0</v>
      </c>
      <c r="O2606" s="193">
        <f t="shared" si="565"/>
        <v>27</v>
      </c>
      <c r="P2606" s="194">
        <v>0</v>
      </c>
      <c r="Q2606" s="194">
        <v>0</v>
      </c>
      <c r="R2606" s="194">
        <v>0</v>
      </c>
      <c r="S2606" s="193">
        <f t="shared" si="566"/>
        <v>0</v>
      </c>
      <c r="T2606" s="193">
        <f t="shared" si="567"/>
        <v>1.6666666666666667</v>
      </c>
      <c r="U2606" s="193">
        <f ca="1">OFFSET('Expenditure Study'!$B$7,'Operations Support'!$C2606,'Operations Support'!$B2606)*$G2606</f>
        <v>473.09999999999997</v>
      </c>
      <c r="V2606" s="199">
        <f ca="1">U2606*'Expenditure Study'!$B$31</f>
        <v>27952.252836479998</v>
      </c>
      <c r="W2606" s="199">
        <f ca="1">IF(A2606=10298,1.51,1)*IF($B2606&lt;3,$D2606*'Expenditure Study'!$B$32*OFFSET('Expenditure Study'!$B$7,'Operations Support'!$C2606,'Operations Support'!$B2606),0)</f>
        <v>0</v>
      </c>
      <c r="X2606" s="200">
        <f ca="1">W2606*'Expenditure Study'!$B$31</f>
        <v>0</v>
      </c>
      <c r="Y2606" s="199">
        <f ca="1">U2606*'Expenditure Study'!$B$31</f>
        <v>27952.252836479998</v>
      </c>
      <c r="Z2606" s="200">
        <f ca="1">W2606*'Expenditure Study'!$B$31</f>
        <v>0</v>
      </c>
      <c r="AA2606" s="195">
        <f t="shared" ca="1" si="568"/>
        <v>27952.252836479998</v>
      </c>
      <c r="AB2606" s="195">
        <f t="shared" ca="1" si="569"/>
        <v>27952.252836479998</v>
      </c>
      <c r="AD2606" s="196">
        <f>IFERROR($G2606/SUMIF($A:$A,$A2606,$G:$G)*SUMIF(Summary!$A$166:$A$242,$A2606,Summary!$P$166:$P$242),0)</f>
        <v>1522.7045012742558</v>
      </c>
      <c r="AE2606" s="197">
        <f t="shared" ca="1" si="570"/>
        <v>26429.548335205742</v>
      </c>
      <c r="AF2606" s="196">
        <f>IFERROR(G2606/SUMIF(A:A,A2606,G:G)*SUMIF(Summary!$A$166:$A$242,'Operations Support'!A2606,Summary!$Q$166:$Q$242),0)</f>
        <v>1533.2938819314761</v>
      </c>
      <c r="AG2606" s="196">
        <f t="shared" ca="1" si="571"/>
        <v>26418.958954548521</v>
      </c>
      <c r="AI2606" s="196">
        <f>IFERROR($G2606/SUMIF($A:$A,$A2606,$G:$G)*SUMIF(Summary!$A$247:$A$283,$A2606,Summary!$P$247:$P$283),0)</f>
        <v>277.70330236516503</v>
      </c>
      <c r="AJ2606" s="196">
        <f>IFERROR($G2606/SUMIF($A:$A,$A2606,$G:$G)*(SUMIF(Summary!$A$247:$A$283,$A2606,Summary!$L$247:$L$283)+SUMIF(Summary!$A$297:$A$333,$A2606,Summary!$L$297:$L$333))-AI2606,0)</f>
        <v>516.77116788199123</v>
      </c>
      <c r="AK2606" s="196">
        <f>IFERROR($G2606/SUMIF($A:$A,$A2606,$G:$G)*SUMIF(Summary!$A$247:$A$283,$A2606,Summary!$Q$247:$Q$283),0)</f>
        <v>279.6345411419934</v>
      </c>
      <c r="AL2606" s="196">
        <f>IFERROR($G2606/SUMIF($A:$A,$A2606,$G:$G)*(SUMIF(Summary!$A$247:$A$283,$A2606,Summary!$L$247:$L$283)+SUMIF(Summary!$A$297:$A$333,$A2606,Summary!$L$297:$L$333))-AK2606,0)</f>
        <v>514.83992910516292</v>
      </c>
      <c r="AM2606" s="198"/>
      <c r="AN2606" s="196">
        <f t="shared" ca="1" si="572"/>
        <v>26946.319503087732</v>
      </c>
      <c r="AO2606" s="196">
        <f t="shared" ca="1" si="573"/>
        <v>26933.798883653686</v>
      </c>
    </row>
    <row r="2607" spans="1:41">
      <c r="A2607" s="189">
        <v>9741</v>
      </c>
      <c r="B2607" s="190">
        <v>4</v>
      </c>
      <c r="C2607" s="191" t="s">
        <v>239</v>
      </c>
      <c r="D2607" s="192">
        <f t="shared" si="560"/>
        <v>0</v>
      </c>
      <c r="E2607" s="192">
        <f t="shared" si="561"/>
        <v>0</v>
      </c>
      <c r="F2607" s="192">
        <f t="shared" si="562"/>
        <v>0</v>
      </c>
      <c r="G2607" s="193">
        <f t="shared" si="563"/>
        <v>0</v>
      </c>
      <c r="H2607" s="194">
        <v>0</v>
      </c>
      <c r="I2607" s="194">
        <v>0</v>
      </c>
      <c r="J2607" s="194">
        <v>0</v>
      </c>
      <c r="K2607" s="193">
        <f t="shared" si="564"/>
        <v>0</v>
      </c>
      <c r="L2607" s="194">
        <v>0</v>
      </c>
      <c r="M2607" s="194">
        <v>0</v>
      </c>
      <c r="N2607" s="194">
        <v>0</v>
      </c>
      <c r="O2607" s="193">
        <f t="shared" si="565"/>
        <v>0</v>
      </c>
      <c r="P2607" s="194">
        <v>0</v>
      </c>
      <c r="Q2607" s="194">
        <v>0</v>
      </c>
      <c r="R2607" s="194">
        <v>0</v>
      </c>
      <c r="S2607" s="193">
        <f t="shared" si="566"/>
        <v>0</v>
      </c>
      <c r="T2607" s="193">
        <f t="shared" si="567"/>
        <v>0</v>
      </c>
      <c r="U2607" s="193">
        <f ca="1">OFFSET('Expenditure Study'!$B$7,'Operations Support'!$C2607,'Operations Support'!$B2607)*$G2607</f>
        <v>0</v>
      </c>
      <c r="V2607" s="199">
        <f ca="1">U2607*'Expenditure Study'!$B$31</f>
        <v>0</v>
      </c>
      <c r="W2607" s="199">
        <f ca="1">IF(A2607=10298,1.51,1)*IF($B2607&lt;3,$D2607*'Expenditure Study'!$B$32*OFFSET('Expenditure Study'!$B$7,'Operations Support'!$C2607,'Operations Support'!$B2607),0)</f>
        <v>0</v>
      </c>
      <c r="X2607" s="200">
        <f ca="1">W2607*'Expenditure Study'!$B$31</f>
        <v>0</v>
      </c>
      <c r="Y2607" s="199">
        <f ca="1">U2607*'Expenditure Study'!$B$31</f>
        <v>0</v>
      </c>
      <c r="Z2607" s="200">
        <f ca="1">W2607*'Expenditure Study'!$B$31</f>
        <v>0</v>
      </c>
      <c r="AA2607" s="195">
        <f t="shared" ca="1" si="568"/>
        <v>0</v>
      </c>
      <c r="AB2607" s="195">
        <f t="shared" ca="1" si="569"/>
        <v>0</v>
      </c>
      <c r="AD2607" s="196">
        <f>IFERROR($G2607/SUMIF($A:$A,$A2607,$G:$G)*SUMIF(Summary!$A$166:$A$242,$A2607,Summary!$P$166:$P$242),0)</f>
        <v>0</v>
      </c>
      <c r="AE2607" s="197">
        <f t="shared" ca="1" si="570"/>
        <v>0</v>
      </c>
      <c r="AF2607" s="196">
        <f>IFERROR(G2607/SUMIF(A:A,A2607,G:G)*SUMIF(Summary!$A$166:$A$242,'Operations Support'!A2607,Summary!$Q$166:$Q$242),0)</f>
        <v>0</v>
      </c>
      <c r="AG2607" s="196">
        <f t="shared" ca="1" si="571"/>
        <v>0</v>
      </c>
      <c r="AI2607" s="196">
        <f>IFERROR($G2607/SUMIF($A:$A,$A2607,$G:$G)*SUMIF(Summary!$A$247:$A$283,$A2607,Summary!$P$247:$P$283),0)</f>
        <v>0</v>
      </c>
      <c r="AJ2607" s="196">
        <f>IFERROR($G2607/SUMIF($A:$A,$A2607,$G:$G)*(SUMIF(Summary!$A$247:$A$283,$A2607,Summary!$L$247:$L$283)+SUMIF(Summary!$A$297:$A$333,$A2607,Summary!$L$297:$L$333))-AI2607,0)</f>
        <v>0</v>
      </c>
      <c r="AK2607" s="196">
        <f>IFERROR($G2607/SUMIF($A:$A,$A2607,$G:$G)*SUMIF(Summary!$A$247:$A$283,$A2607,Summary!$Q$247:$Q$283),0)</f>
        <v>0</v>
      </c>
      <c r="AL2607" s="196">
        <f>IFERROR($G2607/SUMIF($A:$A,$A2607,$G:$G)*(SUMIF(Summary!$A$247:$A$283,$A2607,Summary!$L$247:$L$283)+SUMIF(Summary!$A$297:$A$333,$A2607,Summary!$L$297:$L$333))-AK2607,0)</f>
        <v>0</v>
      </c>
      <c r="AM2607" s="198"/>
      <c r="AN2607" s="196">
        <f t="shared" ca="1" si="572"/>
        <v>0</v>
      </c>
      <c r="AO2607" s="196">
        <f t="shared" ca="1" si="573"/>
        <v>0</v>
      </c>
    </row>
    <row r="2608" spans="1:41">
      <c r="A2608" s="189">
        <v>9741</v>
      </c>
      <c r="B2608" s="190">
        <v>4</v>
      </c>
      <c r="C2608" s="191" t="s">
        <v>240</v>
      </c>
      <c r="D2608" s="192">
        <f t="shared" si="560"/>
        <v>0</v>
      </c>
      <c r="E2608" s="192">
        <f t="shared" si="561"/>
        <v>0</v>
      </c>
      <c r="F2608" s="192">
        <f t="shared" si="562"/>
        <v>0</v>
      </c>
      <c r="G2608" s="193">
        <f t="shared" si="563"/>
        <v>0</v>
      </c>
      <c r="H2608" s="194">
        <v>0</v>
      </c>
      <c r="I2608" s="194">
        <v>0</v>
      </c>
      <c r="J2608" s="194">
        <v>0</v>
      </c>
      <c r="K2608" s="193">
        <f t="shared" si="564"/>
        <v>0</v>
      </c>
      <c r="L2608" s="194">
        <v>0</v>
      </c>
      <c r="M2608" s="194">
        <v>0</v>
      </c>
      <c r="N2608" s="194">
        <v>0</v>
      </c>
      <c r="O2608" s="193">
        <f t="shared" si="565"/>
        <v>0</v>
      </c>
      <c r="P2608" s="194">
        <v>0</v>
      </c>
      <c r="Q2608" s="194">
        <v>0</v>
      </c>
      <c r="R2608" s="194">
        <v>0</v>
      </c>
      <c r="S2608" s="193">
        <f t="shared" si="566"/>
        <v>0</v>
      </c>
      <c r="T2608" s="193">
        <f t="shared" si="567"/>
        <v>0</v>
      </c>
      <c r="U2608" s="193">
        <f ca="1">OFFSET('Expenditure Study'!$B$7,'Operations Support'!$C2608,'Operations Support'!$B2608)*$G2608</f>
        <v>0</v>
      </c>
      <c r="V2608" s="199">
        <f ca="1">U2608*'Expenditure Study'!$B$31</f>
        <v>0</v>
      </c>
      <c r="W2608" s="199">
        <f ca="1">IF(A2608=10298,1.51,1)*IF($B2608&lt;3,$D2608*'Expenditure Study'!$B$32*OFFSET('Expenditure Study'!$B$7,'Operations Support'!$C2608,'Operations Support'!$B2608),0)</f>
        <v>0</v>
      </c>
      <c r="X2608" s="200">
        <f ca="1">W2608*'Expenditure Study'!$B$31</f>
        <v>0</v>
      </c>
      <c r="Y2608" s="199">
        <f ca="1">U2608*'Expenditure Study'!$B$31</f>
        <v>0</v>
      </c>
      <c r="Z2608" s="200">
        <f ca="1">W2608*'Expenditure Study'!$B$31</f>
        <v>0</v>
      </c>
      <c r="AA2608" s="195">
        <f t="shared" ca="1" si="568"/>
        <v>0</v>
      </c>
      <c r="AB2608" s="195">
        <f t="shared" ca="1" si="569"/>
        <v>0</v>
      </c>
      <c r="AD2608" s="196">
        <f>IFERROR($G2608/SUMIF($A:$A,$A2608,$G:$G)*SUMIF(Summary!$A$166:$A$242,$A2608,Summary!$P$166:$P$242),0)</f>
        <v>0</v>
      </c>
      <c r="AE2608" s="197">
        <f t="shared" ca="1" si="570"/>
        <v>0</v>
      </c>
      <c r="AF2608" s="196">
        <f>IFERROR(G2608/SUMIF(A:A,A2608,G:G)*SUMIF(Summary!$A$166:$A$242,'Operations Support'!A2608,Summary!$Q$166:$Q$242),0)</f>
        <v>0</v>
      </c>
      <c r="AG2608" s="196">
        <f t="shared" ca="1" si="571"/>
        <v>0</v>
      </c>
      <c r="AI2608" s="196">
        <f>IFERROR($G2608/SUMIF($A:$A,$A2608,$G:$G)*SUMIF(Summary!$A$247:$A$283,$A2608,Summary!$P$247:$P$283),0)</f>
        <v>0</v>
      </c>
      <c r="AJ2608" s="196">
        <f>IFERROR($G2608/SUMIF($A:$A,$A2608,$G:$G)*(SUMIF(Summary!$A$247:$A$283,$A2608,Summary!$L$247:$L$283)+SUMIF(Summary!$A$297:$A$333,$A2608,Summary!$L$297:$L$333))-AI2608,0)</f>
        <v>0</v>
      </c>
      <c r="AK2608" s="196">
        <f>IFERROR($G2608/SUMIF($A:$A,$A2608,$G:$G)*SUMIF(Summary!$A$247:$A$283,$A2608,Summary!$Q$247:$Q$283),0)</f>
        <v>0</v>
      </c>
      <c r="AL2608" s="196">
        <f>IFERROR($G2608/SUMIF($A:$A,$A2608,$G:$G)*(SUMIF(Summary!$A$247:$A$283,$A2608,Summary!$L$247:$L$283)+SUMIF(Summary!$A$297:$A$333,$A2608,Summary!$L$297:$L$333))-AK2608,0)</f>
        <v>0</v>
      </c>
      <c r="AM2608" s="198"/>
      <c r="AN2608" s="196">
        <f t="shared" ca="1" si="572"/>
        <v>0</v>
      </c>
      <c r="AO2608" s="196">
        <f t="shared" ca="1" si="573"/>
        <v>0</v>
      </c>
    </row>
    <row r="2609" spans="1:41">
      <c r="A2609" s="189">
        <v>9741</v>
      </c>
      <c r="B2609" s="190">
        <v>5</v>
      </c>
      <c r="C2609" s="191" t="s">
        <v>220</v>
      </c>
      <c r="D2609" s="192">
        <f t="shared" si="560"/>
        <v>0</v>
      </c>
      <c r="E2609" s="192">
        <f t="shared" si="561"/>
        <v>0</v>
      </c>
      <c r="F2609" s="192">
        <f t="shared" si="562"/>
        <v>0</v>
      </c>
      <c r="G2609" s="193">
        <f t="shared" si="563"/>
        <v>0</v>
      </c>
      <c r="H2609" s="194">
        <v>0</v>
      </c>
      <c r="I2609" s="194">
        <v>0</v>
      </c>
      <c r="J2609" s="194">
        <v>0</v>
      </c>
      <c r="K2609" s="193">
        <f t="shared" si="564"/>
        <v>0</v>
      </c>
      <c r="L2609" s="194">
        <v>0</v>
      </c>
      <c r="M2609" s="194">
        <v>0</v>
      </c>
      <c r="N2609" s="194">
        <v>0</v>
      </c>
      <c r="O2609" s="193">
        <f t="shared" si="565"/>
        <v>0</v>
      </c>
      <c r="P2609" s="194">
        <v>0</v>
      </c>
      <c r="Q2609" s="194">
        <v>0</v>
      </c>
      <c r="R2609" s="194">
        <v>0</v>
      </c>
      <c r="S2609" s="193">
        <f t="shared" si="566"/>
        <v>0</v>
      </c>
      <c r="T2609" s="193">
        <f t="shared" si="567"/>
        <v>0</v>
      </c>
      <c r="U2609" s="193">
        <f ca="1">OFFSET('Expenditure Study'!$B$7,'Operations Support'!$C2609,'Operations Support'!$B2609)*$G2609</f>
        <v>0</v>
      </c>
      <c r="V2609" s="199">
        <f ca="1">U2609*'Expenditure Study'!$B$31</f>
        <v>0</v>
      </c>
      <c r="W2609" s="199">
        <f ca="1">IF(A2609=10298,1.51,1)*IF($B2609&lt;3,$D2609*'Expenditure Study'!$B$32*OFFSET('Expenditure Study'!$B$7,'Operations Support'!$C2609,'Operations Support'!$B2609),0)</f>
        <v>0</v>
      </c>
      <c r="X2609" s="200">
        <f ca="1">W2609*'Expenditure Study'!$B$31</f>
        <v>0</v>
      </c>
      <c r="Y2609" s="199">
        <f ca="1">U2609*'Expenditure Study'!$B$31</f>
        <v>0</v>
      </c>
      <c r="Z2609" s="200">
        <f ca="1">W2609*'Expenditure Study'!$B$31</f>
        <v>0</v>
      </c>
      <c r="AA2609" s="195">
        <f t="shared" ca="1" si="568"/>
        <v>0</v>
      </c>
      <c r="AB2609" s="195">
        <f t="shared" ca="1" si="569"/>
        <v>0</v>
      </c>
      <c r="AD2609" s="196">
        <f>IFERROR($G2609/SUMIF($A:$A,$A2609,$G:$G)*SUMIF(Summary!$A$166:$A$242,$A2609,Summary!$P$166:$P$242),0)</f>
        <v>0</v>
      </c>
      <c r="AE2609" s="197">
        <f t="shared" ca="1" si="570"/>
        <v>0</v>
      </c>
      <c r="AF2609" s="196">
        <f>IFERROR(G2609/SUMIF(A:A,A2609,G:G)*SUMIF(Summary!$A$166:$A$242,'Operations Support'!A2609,Summary!$Q$166:$Q$242),0)</f>
        <v>0</v>
      </c>
      <c r="AG2609" s="196">
        <f t="shared" ca="1" si="571"/>
        <v>0</v>
      </c>
      <c r="AI2609" s="196">
        <f>IFERROR($G2609/SUMIF($A:$A,$A2609,$G:$G)*SUMIF(Summary!$A$247:$A$283,$A2609,Summary!$P$247:$P$283),0)</f>
        <v>0</v>
      </c>
      <c r="AJ2609" s="196">
        <f>IFERROR($G2609/SUMIF($A:$A,$A2609,$G:$G)*(SUMIF(Summary!$A$247:$A$283,$A2609,Summary!$L$247:$L$283)+SUMIF(Summary!$A$297:$A$333,$A2609,Summary!$L$297:$L$333))-AI2609,0)</f>
        <v>0</v>
      </c>
      <c r="AK2609" s="196">
        <f>IFERROR($G2609/SUMIF($A:$A,$A2609,$G:$G)*SUMIF(Summary!$A$247:$A$283,$A2609,Summary!$Q$247:$Q$283),0)</f>
        <v>0</v>
      </c>
      <c r="AL2609" s="196">
        <f>IFERROR($G2609/SUMIF($A:$A,$A2609,$G:$G)*(SUMIF(Summary!$A$247:$A$283,$A2609,Summary!$L$247:$L$283)+SUMIF(Summary!$A$297:$A$333,$A2609,Summary!$L$297:$L$333))-AK2609,0)</f>
        <v>0</v>
      </c>
      <c r="AM2609" s="198"/>
      <c r="AN2609" s="196">
        <f t="shared" ca="1" si="572"/>
        <v>0</v>
      </c>
      <c r="AO2609" s="196">
        <f t="shared" ca="1" si="573"/>
        <v>0</v>
      </c>
    </row>
    <row r="2610" spans="1:41">
      <c r="A2610" s="189">
        <v>9741</v>
      </c>
      <c r="B2610" s="190">
        <v>5</v>
      </c>
      <c r="C2610" s="191" t="s">
        <v>221</v>
      </c>
      <c r="D2610" s="192">
        <f t="shared" si="560"/>
        <v>0</v>
      </c>
      <c r="E2610" s="192">
        <f t="shared" si="561"/>
        <v>0</v>
      </c>
      <c r="F2610" s="192">
        <f t="shared" si="562"/>
        <v>0</v>
      </c>
      <c r="G2610" s="193">
        <f t="shared" si="563"/>
        <v>0</v>
      </c>
      <c r="H2610" s="194">
        <v>0</v>
      </c>
      <c r="I2610" s="194">
        <v>0</v>
      </c>
      <c r="J2610" s="194">
        <v>0</v>
      </c>
      <c r="K2610" s="193">
        <f t="shared" si="564"/>
        <v>0</v>
      </c>
      <c r="L2610" s="194">
        <v>0</v>
      </c>
      <c r="M2610" s="194">
        <v>0</v>
      </c>
      <c r="N2610" s="194">
        <v>0</v>
      </c>
      <c r="O2610" s="193">
        <f t="shared" si="565"/>
        <v>0</v>
      </c>
      <c r="P2610" s="194">
        <v>0</v>
      </c>
      <c r="Q2610" s="194">
        <v>0</v>
      </c>
      <c r="R2610" s="194">
        <v>0</v>
      </c>
      <c r="S2610" s="193">
        <f t="shared" si="566"/>
        <v>0</v>
      </c>
      <c r="T2610" s="193">
        <f t="shared" si="567"/>
        <v>0</v>
      </c>
      <c r="U2610" s="193">
        <f ca="1">OFFSET('Expenditure Study'!$B$7,'Operations Support'!$C2610,'Operations Support'!$B2610)*$G2610</f>
        <v>0</v>
      </c>
      <c r="V2610" s="199">
        <f ca="1">U2610*'Expenditure Study'!$B$31</f>
        <v>0</v>
      </c>
      <c r="W2610" s="199">
        <f ca="1">IF(A2610=10298,1.51,1)*IF($B2610&lt;3,$D2610*'Expenditure Study'!$B$32*OFFSET('Expenditure Study'!$B$7,'Operations Support'!$C2610,'Operations Support'!$B2610),0)</f>
        <v>0</v>
      </c>
      <c r="X2610" s="200">
        <f ca="1">W2610*'Expenditure Study'!$B$31</f>
        <v>0</v>
      </c>
      <c r="Y2610" s="199">
        <f ca="1">U2610*'Expenditure Study'!$B$31</f>
        <v>0</v>
      </c>
      <c r="Z2610" s="200">
        <f ca="1">W2610*'Expenditure Study'!$B$31</f>
        <v>0</v>
      </c>
      <c r="AA2610" s="195">
        <f t="shared" ca="1" si="568"/>
        <v>0</v>
      </c>
      <c r="AB2610" s="195">
        <f t="shared" ca="1" si="569"/>
        <v>0</v>
      </c>
      <c r="AD2610" s="196">
        <f>IFERROR($G2610/SUMIF($A:$A,$A2610,$G:$G)*SUMIF(Summary!$A$166:$A$242,$A2610,Summary!$P$166:$P$242),0)</f>
        <v>0</v>
      </c>
      <c r="AE2610" s="197">
        <f t="shared" ca="1" si="570"/>
        <v>0</v>
      </c>
      <c r="AF2610" s="196">
        <f>IFERROR(G2610/SUMIF(A:A,A2610,G:G)*SUMIF(Summary!$A$166:$A$242,'Operations Support'!A2610,Summary!$Q$166:$Q$242),0)</f>
        <v>0</v>
      </c>
      <c r="AG2610" s="196">
        <f t="shared" ca="1" si="571"/>
        <v>0</v>
      </c>
      <c r="AI2610" s="196">
        <f>IFERROR($G2610/SUMIF($A:$A,$A2610,$G:$G)*SUMIF(Summary!$A$247:$A$283,$A2610,Summary!$P$247:$P$283),0)</f>
        <v>0</v>
      </c>
      <c r="AJ2610" s="196">
        <f>IFERROR($G2610/SUMIF($A:$A,$A2610,$G:$G)*(SUMIF(Summary!$A$247:$A$283,$A2610,Summary!$L$247:$L$283)+SUMIF(Summary!$A$297:$A$333,$A2610,Summary!$L$297:$L$333))-AI2610,0)</f>
        <v>0</v>
      </c>
      <c r="AK2610" s="196">
        <f>IFERROR($G2610/SUMIF($A:$A,$A2610,$G:$G)*SUMIF(Summary!$A$247:$A$283,$A2610,Summary!$Q$247:$Q$283),0)</f>
        <v>0</v>
      </c>
      <c r="AL2610" s="196">
        <f>IFERROR($G2610/SUMIF($A:$A,$A2610,$G:$G)*(SUMIF(Summary!$A$247:$A$283,$A2610,Summary!$L$247:$L$283)+SUMIF(Summary!$A$297:$A$333,$A2610,Summary!$L$297:$L$333))-AK2610,0)</f>
        <v>0</v>
      </c>
      <c r="AM2610" s="198"/>
      <c r="AN2610" s="196">
        <f t="shared" ca="1" si="572"/>
        <v>0</v>
      </c>
      <c r="AO2610" s="196">
        <f t="shared" ca="1" si="573"/>
        <v>0</v>
      </c>
    </row>
    <row r="2611" spans="1:41">
      <c r="A2611" s="189">
        <v>9741</v>
      </c>
      <c r="B2611" s="190">
        <v>5</v>
      </c>
      <c r="C2611" s="191" t="s">
        <v>222</v>
      </c>
      <c r="D2611" s="192">
        <f t="shared" si="560"/>
        <v>0</v>
      </c>
      <c r="E2611" s="192">
        <f t="shared" si="561"/>
        <v>0</v>
      </c>
      <c r="F2611" s="192">
        <f t="shared" si="562"/>
        <v>0</v>
      </c>
      <c r="G2611" s="193">
        <f t="shared" si="563"/>
        <v>0</v>
      </c>
      <c r="H2611" s="194">
        <v>0</v>
      </c>
      <c r="I2611" s="194">
        <v>0</v>
      </c>
      <c r="J2611" s="194">
        <v>0</v>
      </c>
      <c r="K2611" s="193">
        <f t="shared" si="564"/>
        <v>0</v>
      </c>
      <c r="L2611" s="194">
        <v>0</v>
      </c>
      <c r="M2611" s="194">
        <v>0</v>
      </c>
      <c r="N2611" s="194">
        <v>0</v>
      </c>
      <c r="O2611" s="193">
        <f t="shared" si="565"/>
        <v>0</v>
      </c>
      <c r="P2611" s="194">
        <v>0</v>
      </c>
      <c r="Q2611" s="194">
        <v>0</v>
      </c>
      <c r="R2611" s="194">
        <v>0</v>
      </c>
      <c r="S2611" s="193">
        <f t="shared" si="566"/>
        <v>0</v>
      </c>
      <c r="T2611" s="193">
        <f t="shared" si="567"/>
        <v>0</v>
      </c>
      <c r="U2611" s="193">
        <f ca="1">OFFSET('Expenditure Study'!$B$7,'Operations Support'!$C2611,'Operations Support'!$B2611)*$G2611</f>
        <v>0</v>
      </c>
      <c r="V2611" s="199">
        <f ca="1">U2611*'Expenditure Study'!$B$31</f>
        <v>0</v>
      </c>
      <c r="W2611" s="199">
        <f ca="1">IF(A2611=10298,1.51,1)*IF($B2611&lt;3,$D2611*'Expenditure Study'!$B$32*OFFSET('Expenditure Study'!$B$7,'Operations Support'!$C2611,'Operations Support'!$B2611),0)</f>
        <v>0</v>
      </c>
      <c r="X2611" s="200">
        <f ca="1">W2611*'Expenditure Study'!$B$31</f>
        <v>0</v>
      </c>
      <c r="Y2611" s="199">
        <f ca="1">U2611*'Expenditure Study'!$B$31</f>
        <v>0</v>
      </c>
      <c r="Z2611" s="200">
        <f ca="1">W2611*'Expenditure Study'!$B$31</f>
        <v>0</v>
      </c>
      <c r="AA2611" s="195">
        <f t="shared" ca="1" si="568"/>
        <v>0</v>
      </c>
      <c r="AB2611" s="195">
        <f t="shared" ca="1" si="569"/>
        <v>0</v>
      </c>
      <c r="AD2611" s="196">
        <f>IFERROR($G2611/SUMIF($A:$A,$A2611,$G:$G)*SUMIF(Summary!$A$166:$A$242,$A2611,Summary!$P$166:$P$242),0)</f>
        <v>0</v>
      </c>
      <c r="AE2611" s="197">
        <f t="shared" ca="1" si="570"/>
        <v>0</v>
      </c>
      <c r="AF2611" s="196">
        <f>IFERROR(G2611/SUMIF(A:A,A2611,G:G)*SUMIF(Summary!$A$166:$A$242,'Operations Support'!A2611,Summary!$Q$166:$Q$242),0)</f>
        <v>0</v>
      </c>
      <c r="AG2611" s="196">
        <f t="shared" ca="1" si="571"/>
        <v>0</v>
      </c>
      <c r="AI2611" s="196">
        <f>IFERROR($G2611/SUMIF($A:$A,$A2611,$G:$G)*SUMIF(Summary!$A$247:$A$283,$A2611,Summary!$P$247:$P$283),0)</f>
        <v>0</v>
      </c>
      <c r="AJ2611" s="196">
        <f>IFERROR($G2611/SUMIF($A:$A,$A2611,$G:$G)*(SUMIF(Summary!$A$247:$A$283,$A2611,Summary!$L$247:$L$283)+SUMIF(Summary!$A$297:$A$333,$A2611,Summary!$L$297:$L$333))-AI2611,0)</f>
        <v>0</v>
      </c>
      <c r="AK2611" s="196">
        <f>IFERROR($G2611/SUMIF($A:$A,$A2611,$G:$G)*SUMIF(Summary!$A$247:$A$283,$A2611,Summary!$Q$247:$Q$283),0)</f>
        <v>0</v>
      </c>
      <c r="AL2611" s="196">
        <f>IFERROR($G2611/SUMIF($A:$A,$A2611,$G:$G)*(SUMIF(Summary!$A$247:$A$283,$A2611,Summary!$L$247:$L$283)+SUMIF(Summary!$A$297:$A$333,$A2611,Summary!$L$297:$L$333))-AK2611,0)</f>
        <v>0</v>
      </c>
      <c r="AM2611" s="198"/>
      <c r="AN2611" s="196">
        <f t="shared" ca="1" si="572"/>
        <v>0</v>
      </c>
      <c r="AO2611" s="196">
        <f t="shared" ca="1" si="573"/>
        <v>0</v>
      </c>
    </row>
    <row r="2612" spans="1:41">
      <c r="A2612" s="189">
        <v>9741</v>
      </c>
      <c r="B2612" s="190">
        <v>5</v>
      </c>
      <c r="C2612" s="191" t="s">
        <v>223</v>
      </c>
      <c r="D2612" s="192">
        <f t="shared" si="560"/>
        <v>0</v>
      </c>
      <c r="E2612" s="192">
        <f t="shared" si="561"/>
        <v>0</v>
      </c>
      <c r="F2612" s="192">
        <f t="shared" si="562"/>
        <v>0</v>
      </c>
      <c r="G2612" s="193">
        <f t="shared" si="563"/>
        <v>0</v>
      </c>
      <c r="H2612" s="194">
        <v>0</v>
      </c>
      <c r="I2612" s="194">
        <v>0</v>
      </c>
      <c r="J2612" s="194">
        <v>0</v>
      </c>
      <c r="K2612" s="193">
        <f t="shared" si="564"/>
        <v>0</v>
      </c>
      <c r="L2612" s="194">
        <v>0</v>
      </c>
      <c r="M2612" s="194">
        <v>0</v>
      </c>
      <c r="N2612" s="194">
        <v>0</v>
      </c>
      <c r="O2612" s="193">
        <f t="shared" si="565"/>
        <v>0</v>
      </c>
      <c r="P2612" s="194">
        <v>0</v>
      </c>
      <c r="Q2612" s="194">
        <v>0</v>
      </c>
      <c r="R2612" s="194">
        <v>0</v>
      </c>
      <c r="S2612" s="193">
        <f t="shared" si="566"/>
        <v>0</v>
      </c>
      <c r="T2612" s="193">
        <f t="shared" si="567"/>
        <v>0</v>
      </c>
      <c r="U2612" s="193">
        <f ca="1">OFFSET('Expenditure Study'!$B$7,'Operations Support'!$C2612,'Operations Support'!$B2612)*$G2612</f>
        <v>0</v>
      </c>
      <c r="V2612" s="199">
        <f ca="1">U2612*'Expenditure Study'!$B$31</f>
        <v>0</v>
      </c>
      <c r="W2612" s="199">
        <f ca="1">IF(A2612=10298,1.51,1)*IF($B2612&lt;3,$D2612*'Expenditure Study'!$B$32*OFFSET('Expenditure Study'!$B$7,'Operations Support'!$C2612,'Operations Support'!$B2612),0)</f>
        <v>0</v>
      </c>
      <c r="X2612" s="200">
        <f ca="1">W2612*'Expenditure Study'!$B$31</f>
        <v>0</v>
      </c>
      <c r="Y2612" s="199">
        <f ca="1">U2612*'Expenditure Study'!$B$31</f>
        <v>0</v>
      </c>
      <c r="Z2612" s="200">
        <f ca="1">W2612*'Expenditure Study'!$B$31</f>
        <v>0</v>
      </c>
      <c r="AA2612" s="195">
        <f t="shared" ca="1" si="568"/>
        <v>0</v>
      </c>
      <c r="AB2612" s="195">
        <f t="shared" ca="1" si="569"/>
        <v>0</v>
      </c>
      <c r="AD2612" s="196">
        <f>IFERROR($G2612/SUMIF($A:$A,$A2612,$G:$G)*SUMIF(Summary!$A$166:$A$242,$A2612,Summary!$P$166:$P$242),0)</f>
        <v>0</v>
      </c>
      <c r="AE2612" s="197">
        <f t="shared" ca="1" si="570"/>
        <v>0</v>
      </c>
      <c r="AF2612" s="196">
        <f>IFERROR(G2612/SUMIF(A:A,A2612,G:G)*SUMIF(Summary!$A$166:$A$242,'Operations Support'!A2612,Summary!$Q$166:$Q$242),0)</f>
        <v>0</v>
      </c>
      <c r="AG2612" s="196">
        <f t="shared" ca="1" si="571"/>
        <v>0</v>
      </c>
      <c r="AI2612" s="196">
        <f>IFERROR($G2612/SUMIF($A:$A,$A2612,$G:$G)*SUMIF(Summary!$A$247:$A$283,$A2612,Summary!$P$247:$P$283),0)</f>
        <v>0</v>
      </c>
      <c r="AJ2612" s="196">
        <f>IFERROR($G2612/SUMIF($A:$A,$A2612,$G:$G)*(SUMIF(Summary!$A$247:$A$283,$A2612,Summary!$L$247:$L$283)+SUMIF(Summary!$A$297:$A$333,$A2612,Summary!$L$297:$L$333))-AI2612,0)</f>
        <v>0</v>
      </c>
      <c r="AK2612" s="196">
        <f>IFERROR($G2612/SUMIF($A:$A,$A2612,$G:$G)*SUMIF(Summary!$A$247:$A$283,$A2612,Summary!$Q$247:$Q$283),0)</f>
        <v>0</v>
      </c>
      <c r="AL2612" s="196">
        <f>IFERROR($G2612/SUMIF($A:$A,$A2612,$G:$G)*(SUMIF(Summary!$A$247:$A$283,$A2612,Summary!$L$247:$L$283)+SUMIF(Summary!$A$297:$A$333,$A2612,Summary!$L$297:$L$333))-AK2612,0)</f>
        <v>0</v>
      </c>
      <c r="AM2612" s="198"/>
      <c r="AN2612" s="196">
        <f t="shared" ca="1" si="572"/>
        <v>0</v>
      </c>
      <c r="AO2612" s="196">
        <f t="shared" ca="1" si="573"/>
        <v>0</v>
      </c>
    </row>
    <row r="2613" spans="1:41">
      <c r="A2613" s="189">
        <v>9741</v>
      </c>
      <c r="B2613" s="190">
        <v>5</v>
      </c>
      <c r="C2613" s="191" t="s">
        <v>224</v>
      </c>
      <c r="D2613" s="192">
        <f t="shared" si="560"/>
        <v>0</v>
      </c>
      <c r="E2613" s="192">
        <f t="shared" si="561"/>
        <v>0</v>
      </c>
      <c r="F2613" s="192">
        <f t="shared" si="562"/>
        <v>0</v>
      </c>
      <c r="G2613" s="193">
        <f t="shared" si="563"/>
        <v>0</v>
      </c>
      <c r="H2613" s="194">
        <v>0</v>
      </c>
      <c r="I2613" s="194">
        <v>0</v>
      </c>
      <c r="J2613" s="194">
        <v>0</v>
      </c>
      <c r="K2613" s="193">
        <f t="shared" si="564"/>
        <v>0</v>
      </c>
      <c r="L2613" s="194">
        <v>0</v>
      </c>
      <c r="M2613" s="194">
        <v>0</v>
      </c>
      <c r="N2613" s="194">
        <v>0</v>
      </c>
      <c r="O2613" s="193">
        <f t="shared" si="565"/>
        <v>0</v>
      </c>
      <c r="P2613" s="194">
        <v>0</v>
      </c>
      <c r="Q2613" s="194">
        <v>0</v>
      </c>
      <c r="R2613" s="194">
        <v>0</v>
      </c>
      <c r="S2613" s="193">
        <f t="shared" si="566"/>
        <v>0</v>
      </c>
      <c r="T2613" s="193">
        <f t="shared" si="567"/>
        <v>0</v>
      </c>
      <c r="U2613" s="193">
        <f ca="1">OFFSET('Expenditure Study'!$B$7,'Operations Support'!$C2613,'Operations Support'!$B2613)*$G2613</f>
        <v>0</v>
      </c>
      <c r="V2613" s="199">
        <f ca="1">U2613*'Expenditure Study'!$B$31</f>
        <v>0</v>
      </c>
      <c r="W2613" s="199">
        <f ca="1">IF(A2613=10298,1.51,1)*IF($B2613&lt;3,$D2613*'Expenditure Study'!$B$32*OFFSET('Expenditure Study'!$B$7,'Operations Support'!$C2613,'Operations Support'!$B2613),0)</f>
        <v>0</v>
      </c>
      <c r="X2613" s="200">
        <f ca="1">W2613*'Expenditure Study'!$B$31</f>
        <v>0</v>
      </c>
      <c r="Y2613" s="199">
        <f ca="1">U2613*'Expenditure Study'!$B$31</f>
        <v>0</v>
      </c>
      <c r="Z2613" s="200">
        <f ca="1">W2613*'Expenditure Study'!$B$31</f>
        <v>0</v>
      </c>
      <c r="AA2613" s="195">
        <f t="shared" ca="1" si="568"/>
        <v>0</v>
      </c>
      <c r="AB2613" s="195">
        <f t="shared" ca="1" si="569"/>
        <v>0</v>
      </c>
      <c r="AD2613" s="196">
        <f>IFERROR($G2613/SUMIF($A:$A,$A2613,$G:$G)*SUMIF(Summary!$A$166:$A$242,$A2613,Summary!$P$166:$P$242),0)</f>
        <v>0</v>
      </c>
      <c r="AE2613" s="197">
        <f t="shared" ca="1" si="570"/>
        <v>0</v>
      </c>
      <c r="AF2613" s="196">
        <f>IFERROR(G2613/SUMIF(A:A,A2613,G:G)*SUMIF(Summary!$A$166:$A$242,'Operations Support'!A2613,Summary!$Q$166:$Q$242),0)</f>
        <v>0</v>
      </c>
      <c r="AG2613" s="196">
        <f t="shared" ca="1" si="571"/>
        <v>0</v>
      </c>
      <c r="AI2613" s="196">
        <f>IFERROR($G2613/SUMIF($A:$A,$A2613,$G:$G)*SUMIF(Summary!$A$247:$A$283,$A2613,Summary!$P$247:$P$283),0)</f>
        <v>0</v>
      </c>
      <c r="AJ2613" s="196">
        <f>IFERROR($G2613/SUMIF($A:$A,$A2613,$G:$G)*(SUMIF(Summary!$A$247:$A$283,$A2613,Summary!$L$247:$L$283)+SUMIF(Summary!$A$297:$A$333,$A2613,Summary!$L$297:$L$333))-AI2613,0)</f>
        <v>0</v>
      </c>
      <c r="AK2613" s="196">
        <f>IFERROR($G2613/SUMIF($A:$A,$A2613,$G:$G)*SUMIF(Summary!$A$247:$A$283,$A2613,Summary!$Q$247:$Q$283),0)</f>
        <v>0</v>
      </c>
      <c r="AL2613" s="196">
        <f>IFERROR($G2613/SUMIF($A:$A,$A2613,$G:$G)*(SUMIF(Summary!$A$247:$A$283,$A2613,Summary!$L$247:$L$283)+SUMIF(Summary!$A$297:$A$333,$A2613,Summary!$L$297:$L$333))-AK2613,0)</f>
        <v>0</v>
      </c>
      <c r="AM2613" s="198"/>
      <c r="AN2613" s="196">
        <f t="shared" ca="1" si="572"/>
        <v>0</v>
      </c>
      <c r="AO2613" s="196">
        <f t="shared" ca="1" si="573"/>
        <v>0</v>
      </c>
    </row>
    <row r="2614" spans="1:41">
      <c r="A2614" s="189">
        <v>9741</v>
      </c>
      <c r="B2614" s="190">
        <v>5</v>
      </c>
      <c r="C2614" s="191" t="s">
        <v>225</v>
      </c>
      <c r="D2614" s="192">
        <f t="shared" si="560"/>
        <v>0</v>
      </c>
      <c r="E2614" s="192">
        <f t="shared" si="561"/>
        <v>0</v>
      </c>
      <c r="F2614" s="192">
        <f t="shared" si="562"/>
        <v>0</v>
      </c>
      <c r="G2614" s="193">
        <f t="shared" si="563"/>
        <v>0</v>
      </c>
      <c r="H2614" s="194">
        <v>0</v>
      </c>
      <c r="I2614" s="194">
        <v>0</v>
      </c>
      <c r="J2614" s="194">
        <v>0</v>
      </c>
      <c r="K2614" s="193">
        <f t="shared" si="564"/>
        <v>0</v>
      </c>
      <c r="L2614" s="194">
        <v>0</v>
      </c>
      <c r="M2614" s="194">
        <v>0</v>
      </c>
      <c r="N2614" s="194">
        <v>0</v>
      </c>
      <c r="O2614" s="193">
        <f t="shared" si="565"/>
        <v>0</v>
      </c>
      <c r="P2614" s="194">
        <v>0</v>
      </c>
      <c r="Q2614" s="194">
        <v>0</v>
      </c>
      <c r="R2614" s="194">
        <v>0</v>
      </c>
      <c r="S2614" s="193">
        <f t="shared" si="566"/>
        <v>0</v>
      </c>
      <c r="T2614" s="193">
        <f t="shared" si="567"/>
        <v>0</v>
      </c>
      <c r="U2614" s="193">
        <f ca="1">OFFSET('Expenditure Study'!$B$7,'Operations Support'!$C2614,'Operations Support'!$B2614)*$G2614</f>
        <v>0</v>
      </c>
      <c r="V2614" s="199">
        <f ca="1">U2614*'Expenditure Study'!$B$31</f>
        <v>0</v>
      </c>
      <c r="W2614" s="199">
        <f ca="1">IF(A2614=10298,1.51,1)*IF($B2614&lt;3,$D2614*'Expenditure Study'!$B$32*OFFSET('Expenditure Study'!$B$7,'Operations Support'!$C2614,'Operations Support'!$B2614),0)</f>
        <v>0</v>
      </c>
      <c r="X2614" s="200">
        <f ca="1">W2614*'Expenditure Study'!$B$31</f>
        <v>0</v>
      </c>
      <c r="Y2614" s="199">
        <f ca="1">U2614*'Expenditure Study'!$B$31</f>
        <v>0</v>
      </c>
      <c r="Z2614" s="200">
        <f ca="1">W2614*'Expenditure Study'!$B$31</f>
        <v>0</v>
      </c>
      <c r="AA2614" s="195">
        <f t="shared" ca="1" si="568"/>
        <v>0</v>
      </c>
      <c r="AB2614" s="195">
        <f t="shared" ca="1" si="569"/>
        <v>0</v>
      </c>
      <c r="AD2614" s="196">
        <f>IFERROR($G2614/SUMIF($A:$A,$A2614,$G:$G)*SUMIF(Summary!$A$166:$A$242,$A2614,Summary!$P$166:$P$242),0)</f>
        <v>0</v>
      </c>
      <c r="AE2614" s="197">
        <f t="shared" ca="1" si="570"/>
        <v>0</v>
      </c>
      <c r="AF2614" s="196">
        <f>IFERROR(G2614/SUMIF(A:A,A2614,G:G)*SUMIF(Summary!$A$166:$A$242,'Operations Support'!A2614,Summary!$Q$166:$Q$242),0)</f>
        <v>0</v>
      </c>
      <c r="AG2614" s="196">
        <f t="shared" ca="1" si="571"/>
        <v>0</v>
      </c>
      <c r="AI2614" s="196">
        <f>IFERROR($G2614/SUMIF($A:$A,$A2614,$G:$G)*SUMIF(Summary!$A$247:$A$283,$A2614,Summary!$P$247:$P$283),0)</f>
        <v>0</v>
      </c>
      <c r="AJ2614" s="196">
        <f>IFERROR($G2614/SUMIF($A:$A,$A2614,$G:$G)*(SUMIF(Summary!$A$247:$A$283,$A2614,Summary!$L$247:$L$283)+SUMIF(Summary!$A$297:$A$333,$A2614,Summary!$L$297:$L$333))-AI2614,0)</f>
        <v>0</v>
      </c>
      <c r="AK2614" s="196">
        <f>IFERROR($G2614/SUMIF($A:$A,$A2614,$G:$G)*SUMIF(Summary!$A$247:$A$283,$A2614,Summary!$Q$247:$Q$283),0)</f>
        <v>0</v>
      </c>
      <c r="AL2614" s="196">
        <f>IFERROR($G2614/SUMIF($A:$A,$A2614,$G:$G)*(SUMIF(Summary!$A$247:$A$283,$A2614,Summary!$L$247:$L$283)+SUMIF(Summary!$A$297:$A$333,$A2614,Summary!$L$297:$L$333))-AK2614,0)</f>
        <v>0</v>
      </c>
      <c r="AM2614" s="198"/>
      <c r="AN2614" s="196">
        <f t="shared" ca="1" si="572"/>
        <v>0</v>
      </c>
      <c r="AO2614" s="196">
        <f t="shared" ca="1" si="573"/>
        <v>0</v>
      </c>
    </row>
    <row r="2615" spans="1:41">
      <c r="A2615" s="189">
        <v>9741</v>
      </c>
      <c r="B2615" s="190">
        <v>5</v>
      </c>
      <c r="C2615" s="191" t="s">
        <v>226</v>
      </c>
      <c r="D2615" s="192">
        <f t="shared" si="560"/>
        <v>0</v>
      </c>
      <c r="E2615" s="192">
        <f t="shared" si="561"/>
        <v>0</v>
      </c>
      <c r="F2615" s="192">
        <f t="shared" si="562"/>
        <v>0</v>
      </c>
      <c r="G2615" s="193">
        <f t="shared" si="563"/>
        <v>0</v>
      </c>
      <c r="H2615" s="194">
        <v>0</v>
      </c>
      <c r="I2615" s="194">
        <v>0</v>
      </c>
      <c r="J2615" s="194">
        <v>0</v>
      </c>
      <c r="K2615" s="193">
        <f t="shared" si="564"/>
        <v>0</v>
      </c>
      <c r="L2615" s="194">
        <v>0</v>
      </c>
      <c r="M2615" s="194">
        <v>0</v>
      </c>
      <c r="N2615" s="194">
        <v>0</v>
      </c>
      <c r="O2615" s="193">
        <f t="shared" si="565"/>
        <v>0</v>
      </c>
      <c r="P2615" s="194">
        <v>0</v>
      </c>
      <c r="Q2615" s="194">
        <v>0</v>
      </c>
      <c r="R2615" s="194">
        <v>0</v>
      </c>
      <c r="S2615" s="193">
        <f t="shared" si="566"/>
        <v>0</v>
      </c>
      <c r="T2615" s="193">
        <f t="shared" si="567"/>
        <v>0</v>
      </c>
      <c r="U2615" s="193">
        <f ca="1">OFFSET('Expenditure Study'!$B$7,'Operations Support'!$C2615,'Operations Support'!$B2615)*$G2615</f>
        <v>0</v>
      </c>
      <c r="V2615" s="199">
        <f ca="1">U2615*'Expenditure Study'!$B$31</f>
        <v>0</v>
      </c>
      <c r="W2615" s="199">
        <f ca="1">IF(A2615=10298,1.51,1)*IF($B2615&lt;3,$D2615*'Expenditure Study'!$B$32*OFFSET('Expenditure Study'!$B$7,'Operations Support'!$C2615,'Operations Support'!$B2615),0)</f>
        <v>0</v>
      </c>
      <c r="X2615" s="200">
        <f ca="1">W2615*'Expenditure Study'!$B$31</f>
        <v>0</v>
      </c>
      <c r="Y2615" s="199">
        <f ca="1">U2615*'Expenditure Study'!$B$31</f>
        <v>0</v>
      </c>
      <c r="Z2615" s="200">
        <f ca="1">W2615*'Expenditure Study'!$B$31</f>
        <v>0</v>
      </c>
      <c r="AA2615" s="195">
        <f t="shared" ca="1" si="568"/>
        <v>0</v>
      </c>
      <c r="AB2615" s="195">
        <f t="shared" ca="1" si="569"/>
        <v>0</v>
      </c>
      <c r="AD2615" s="196">
        <f>IFERROR($G2615/SUMIF($A:$A,$A2615,$G:$G)*SUMIF(Summary!$A$166:$A$242,$A2615,Summary!$P$166:$P$242),0)</f>
        <v>0</v>
      </c>
      <c r="AE2615" s="197">
        <f t="shared" ca="1" si="570"/>
        <v>0</v>
      </c>
      <c r="AF2615" s="196">
        <f>IFERROR(G2615/SUMIF(A:A,A2615,G:G)*SUMIF(Summary!$A$166:$A$242,'Operations Support'!A2615,Summary!$Q$166:$Q$242),0)</f>
        <v>0</v>
      </c>
      <c r="AG2615" s="196">
        <f t="shared" ca="1" si="571"/>
        <v>0</v>
      </c>
      <c r="AI2615" s="196">
        <f>IFERROR($G2615/SUMIF($A:$A,$A2615,$G:$G)*SUMIF(Summary!$A$247:$A$283,$A2615,Summary!$P$247:$P$283),0)</f>
        <v>0</v>
      </c>
      <c r="AJ2615" s="196">
        <f>IFERROR($G2615/SUMIF($A:$A,$A2615,$G:$G)*(SUMIF(Summary!$A$247:$A$283,$A2615,Summary!$L$247:$L$283)+SUMIF(Summary!$A$297:$A$333,$A2615,Summary!$L$297:$L$333))-AI2615,0)</f>
        <v>0</v>
      </c>
      <c r="AK2615" s="196">
        <f>IFERROR($G2615/SUMIF($A:$A,$A2615,$G:$G)*SUMIF(Summary!$A$247:$A$283,$A2615,Summary!$Q$247:$Q$283),0)</f>
        <v>0</v>
      </c>
      <c r="AL2615" s="196">
        <f>IFERROR($G2615/SUMIF($A:$A,$A2615,$G:$G)*(SUMIF(Summary!$A$247:$A$283,$A2615,Summary!$L$247:$L$283)+SUMIF(Summary!$A$297:$A$333,$A2615,Summary!$L$297:$L$333))-AK2615,0)</f>
        <v>0</v>
      </c>
      <c r="AM2615" s="198"/>
      <c r="AN2615" s="196">
        <f t="shared" ca="1" si="572"/>
        <v>0</v>
      </c>
      <c r="AO2615" s="196">
        <f t="shared" ca="1" si="573"/>
        <v>0</v>
      </c>
    </row>
    <row r="2616" spans="1:41">
      <c r="A2616" s="189">
        <v>9741</v>
      </c>
      <c r="B2616" s="190">
        <v>5</v>
      </c>
      <c r="C2616" s="191" t="s">
        <v>227</v>
      </c>
      <c r="D2616" s="192">
        <f t="shared" si="560"/>
        <v>0</v>
      </c>
      <c r="E2616" s="192">
        <f t="shared" si="561"/>
        <v>0</v>
      </c>
      <c r="F2616" s="192">
        <f t="shared" si="562"/>
        <v>0</v>
      </c>
      <c r="G2616" s="193">
        <f t="shared" si="563"/>
        <v>0</v>
      </c>
      <c r="H2616" s="194">
        <v>0</v>
      </c>
      <c r="I2616" s="194">
        <v>0</v>
      </c>
      <c r="J2616" s="194">
        <v>0</v>
      </c>
      <c r="K2616" s="193">
        <f t="shared" si="564"/>
        <v>0</v>
      </c>
      <c r="L2616" s="194">
        <v>0</v>
      </c>
      <c r="M2616" s="194">
        <v>0</v>
      </c>
      <c r="N2616" s="194">
        <v>0</v>
      </c>
      <c r="O2616" s="193">
        <f t="shared" si="565"/>
        <v>0</v>
      </c>
      <c r="P2616" s="194">
        <v>0</v>
      </c>
      <c r="Q2616" s="194">
        <v>0</v>
      </c>
      <c r="R2616" s="194">
        <v>0</v>
      </c>
      <c r="S2616" s="193">
        <f t="shared" si="566"/>
        <v>0</v>
      </c>
      <c r="T2616" s="193">
        <f t="shared" si="567"/>
        <v>0</v>
      </c>
      <c r="U2616" s="193">
        <f ca="1">OFFSET('Expenditure Study'!$B$7,'Operations Support'!$C2616,'Operations Support'!$B2616)*$G2616</f>
        <v>0</v>
      </c>
      <c r="V2616" s="199">
        <f ca="1">U2616*'Expenditure Study'!$B$31</f>
        <v>0</v>
      </c>
      <c r="W2616" s="199">
        <f ca="1">IF(A2616=10298,1.51,1)*IF($B2616&lt;3,$D2616*'Expenditure Study'!$B$32*OFFSET('Expenditure Study'!$B$7,'Operations Support'!$C2616,'Operations Support'!$B2616),0)</f>
        <v>0</v>
      </c>
      <c r="X2616" s="200">
        <f ca="1">W2616*'Expenditure Study'!$B$31</f>
        <v>0</v>
      </c>
      <c r="Y2616" s="199">
        <f ca="1">U2616*'Expenditure Study'!$B$31</f>
        <v>0</v>
      </c>
      <c r="Z2616" s="200">
        <f ca="1">W2616*'Expenditure Study'!$B$31</f>
        <v>0</v>
      </c>
      <c r="AA2616" s="195">
        <f t="shared" ca="1" si="568"/>
        <v>0</v>
      </c>
      <c r="AB2616" s="195">
        <f t="shared" ca="1" si="569"/>
        <v>0</v>
      </c>
      <c r="AD2616" s="196">
        <f>IFERROR($G2616/SUMIF($A:$A,$A2616,$G:$G)*SUMIF(Summary!$A$166:$A$242,$A2616,Summary!$P$166:$P$242),0)</f>
        <v>0</v>
      </c>
      <c r="AE2616" s="197">
        <f t="shared" ca="1" si="570"/>
        <v>0</v>
      </c>
      <c r="AF2616" s="196">
        <f>IFERROR(G2616/SUMIF(A:A,A2616,G:G)*SUMIF(Summary!$A$166:$A$242,'Operations Support'!A2616,Summary!$Q$166:$Q$242),0)</f>
        <v>0</v>
      </c>
      <c r="AG2616" s="196">
        <f t="shared" ca="1" si="571"/>
        <v>0</v>
      </c>
      <c r="AI2616" s="196">
        <f>IFERROR($G2616/SUMIF($A:$A,$A2616,$G:$G)*SUMIF(Summary!$A$247:$A$283,$A2616,Summary!$P$247:$P$283),0)</f>
        <v>0</v>
      </c>
      <c r="AJ2616" s="196">
        <f>IFERROR($G2616/SUMIF($A:$A,$A2616,$G:$G)*(SUMIF(Summary!$A$247:$A$283,$A2616,Summary!$L$247:$L$283)+SUMIF(Summary!$A$297:$A$333,$A2616,Summary!$L$297:$L$333))-AI2616,0)</f>
        <v>0</v>
      </c>
      <c r="AK2616" s="196">
        <f>IFERROR($G2616/SUMIF($A:$A,$A2616,$G:$G)*SUMIF(Summary!$A$247:$A$283,$A2616,Summary!$Q$247:$Q$283),0)</f>
        <v>0</v>
      </c>
      <c r="AL2616" s="196">
        <f>IFERROR($G2616/SUMIF($A:$A,$A2616,$G:$G)*(SUMIF(Summary!$A$247:$A$283,$A2616,Summary!$L$247:$L$283)+SUMIF(Summary!$A$297:$A$333,$A2616,Summary!$L$297:$L$333))-AK2616,0)</f>
        <v>0</v>
      </c>
      <c r="AM2616" s="198"/>
      <c r="AN2616" s="196">
        <f t="shared" ca="1" si="572"/>
        <v>0</v>
      </c>
      <c r="AO2616" s="196">
        <f t="shared" ca="1" si="573"/>
        <v>0</v>
      </c>
    </row>
    <row r="2617" spans="1:41">
      <c r="A2617" s="189">
        <v>9741</v>
      </c>
      <c r="B2617" s="190">
        <v>5</v>
      </c>
      <c r="C2617" s="191" t="s">
        <v>228</v>
      </c>
      <c r="D2617" s="192">
        <f t="shared" si="560"/>
        <v>0</v>
      </c>
      <c r="E2617" s="192">
        <f t="shared" si="561"/>
        <v>0</v>
      </c>
      <c r="F2617" s="192">
        <f t="shared" si="562"/>
        <v>0</v>
      </c>
      <c r="G2617" s="193">
        <f t="shared" si="563"/>
        <v>0</v>
      </c>
      <c r="H2617" s="194">
        <v>0</v>
      </c>
      <c r="I2617" s="194">
        <v>0</v>
      </c>
      <c r="J2617" s="194">
        <v>0</v>
      </c>
      <c r="K2617" s="193">
        <f t="shared" si="564"/>
        <v>0</v>
      </c>
      <c r="L2617" s="194">
        <v>0</v>
      </c>
      <c r="M2617" s="194">
        <v>0</v>
      </c>
      <c r="N2617" s="194">
        <v>0</v>
      </c>
      <c r="O2617" s="193">
        <f t="shared" si="565"/>
        <v>0</v>
      </c>
      <c r="P2617" s="194">
        <v>0</v>
      </c>
      <c r="Q2617" s="194">
        <v>0</v>
      </c>
      <c r="R2617" s="194">
        <v>0</v>
      </c>
      <c r="S2617" s="193">
        <f t="shared" si="566"/>
        <v>0</v>
      </c>
      <c r="T2617" s="193">
        <f t="shared" si="567"/>
        <v>0</v>
      </c>
      <c r="U2617" s="193">
        <f ca="1">OFFSET('Expenditure Study'!$B$7,'Operations Support'!$C2617,'Operations Support'!$B2617)*$G2617</f>
        <v>0</v>
      </c>
      <c r="V2617" s="199">
        <f ca="1">U2617*'Expenditure Study'!$B$31</f>
        <v>0</v>
      </c>
      <c r="W2617" s="199">
        <f ca="1">IF(A2617=10298,1.51,1)*IF($B2617&lt;3,$D2617*'Expenditure Study'!$B$32*OFFSET('Expenditure Study'!$B$7,'Operations Support'!$C2617,'Operations Support'!$B2617),0)</f>
        <v>0</v>
      </c>
      <c r="X2617" s="200">
        <f ca="1">W2617*'Expenditure Study'!$B$31</f>
        <v>0</v>
      </c>
      <c r="Y2617" s="199">
        <f ca="1">U2617*'Expenditure Study'!$B$31</f>
        <v>0</v>
      </c>
      <c r="Z2617" s="200">
        <f ca="1">W2617*'Expenditure Study'!$B$31</f>
        <v>0</v>
      </c>
      <c r="AA2617" s="195">
        <f t="shared" ca="1" si="568"/>
        <v>0</v>
      </c>
      <c r="AB2617" s="195">
        <f t="shared" ca="1" si="569"/>
        <v>0</v>
      </c>
      <c r="AD2617" s="196">
        <f>IFERROR($G2617/SUMIF($A:$A,$A2617,$G:$G)*SUMIF(Summary!$A$166:$A$242,$A2617,Summary!$P$166:$P$242),0)</f>
        <v>0</v>
      </c>
      <c r="AE2617" s="197">
        <f t="shared" ca="1" si="570"/>
        <v>0</v>
      </c>
      <c r="AF2617" s="196">
        <f>IFERROR(G2617/SUMIF(A:A,A2617,G:G)*SUMIF(Summary!$A$166:$A$242,'Operations Support'!A2617,Summary!$Q$166:$Q$242),0)</f>
        <v>0</v>
      </c>
      <c r="AG2617" s="196">
        <f t="shared" ca="1" si="571"/>
        <v>0</v>
      </c>
      <c r="AI2617" s="196">
        <f>IFERROR($G2617/SUMIF($A:$A,$A2617,$G:$G)*SUMIF(Summary!$A$247:$A$283,$A2617,Summary!$P$247:$P$283),0)</f>
        <v>0</v>
      </c>
      <c r="AJ2617" s="196">
        <f>IFERROR($G2617/SUMIF($A:$A,$A2617,$G:$G)*(SUMIF(Summary!$A$247:$A$283,$A2617,Summary!$L$247:$L$283)+SUMIF(Summary!$A$297:$A$333,$A2617,Summary!$L$297:$L$333))-AI2617,0)</f>
        <v>0</v>
      </c>
      <c r="AK2617" s="196">
        <f>IFERROR($G2617/SUMIF($A:$A,$A2617,$G:$G)*SUMIF(Summary!$A$247:$A$283,$A2617,Summary!$Q$247:$Q$283),0)</f>
        <v>0</v>
      </c>
      <c r="AL2617" s="196">
        <f>IFERROR($G2617/SUMIF($A:$A,$A2617,$G:$G)*(SUMIF(Summary!$A$247:$A$283,$A2617,Summary!$L$247:$L$283)+SUMIF(Summary!$A$297:$A$333,$A2617,Summary!$L$297:$L$333))-AK2617,0)</f>
        <v>0</v>
      </c>
      <c r="AM2617" s="198"/>
      <c r="AN2617" s="196">
        <f t="shared" ca="1" si="572"/>
        <v>0</v>
      </c>
      <c r="AO2617" s="196">
        <f t="shared" ca="1" si="573"/>
        <v>0</v>
      </c>
    </row>
    <row r="2618" spans="1:41">
      <c r="A2618" s="189">
        <v>9741</v>
      </c>
      <c r="B2618" s="190">
        <v>5</v>
      </c>
      <c r="C2618" s="191" t="s">
        <v>229</v>
      </c>
      <c r="D2618" s="192">
        <f t="shared" si="560"/>
        <v>0</v>
      </c>
      <c r="E2618" s="192">
        <f t="shared" si="561"/>
        <v>0</v>
      </c>
      <c r="F2618" s="192">
        <f t="shared" si="562"/>
        <v>0</v>
      </c>
      <c r="G2618" s="193">
        <f t="shared" si="563"/>
        <v>0</v>
      </c>
      <c r="H2618" s="194">
        <v>0</v>
      </c>
      <c r="I2618" s="194">
        <v>0</v>
      </c>
      <c r="J2618" s="194">
        <v>0</v>
      </c>
      <c r="K2618" s="193">
        <f t="shared" si="564"/>
        <v>0</v>
      </c>
      <c r="L2618" s="194">
        <v>0</v>
      </c>
      <c r="M2618" s="194">
        <v>0</v>
      </c>
      <c r="N2618" s="194">
        <v>0</v>
      </c>
      <c r="O2618" s="193">
        <f t="shared" si="565"/>
        <v>0</v>
      </c>
      <c r="P2618" s="194">
        <v>0</v>
      </c>
      <c r="Q2618" s="194">
        <v>0</v>
      </c>
      <c r="R2618" s="194">
        <v>0</v>
      </c>
      <c r="S2618" s="193">
        <f t="shared" si="566"/>
        <v>0</v>
      </c>
      <c r="T2618" s="193">
        <f t="shared" si="567"/>
        <v>0</v>
      </c>
      <c r="U2618" s="193">
        <f ca="1">OFFSET('Expenditure Study'!$B$7,'Operations Support'!$C2618,'Operations Support'!$B2618)*$G2618</f>
        <v>0</v>
      </c>
      <c r="V2618" s="199">
        <f ca="1">U2618*'Expenditure Study'!$B$31</f>
        <v>0</v>
      </c>
      <c r="W2618" s="199">
        <f ca="1">IF(A2618=10298,1.51,1)*IF($B2618&lt;3,$D2618*'Expenditure Study'!$B$32*OFFSET('Expenditure Study'!$B$7,'Operations Support'!$C2618,'Operations Support'!$B2618),0)</f>
        <v>0</v>
      </c>
      <c r="X2618" s="200">
        <f ca="1">W2618*'Expenditure Study'!$B$31</f>
        <v>0</v>
      </c>
      <c r="Y2618" s="199">
        <f ca="1">U2618*'Expenditure Study'!$B$31</f>
        <v>0</v>
      </c>
      <c r="Z2618" s="200">
        <f ca="1">W2618*'Expenditure Study'!$B$31</f>
        <v>0</v>
      </c>
      <c r="AA2618" s="195">
        <f t="shared" ca="1" si="568"/>
        <v>0</v>
      </c>
      <c r="AB2618" s="195">
        <f t="shared" ca="1" si="569"/>
        <v>0</v>
      </c>
      <c r="AD2618" s="196">
        <f>IFERROR($G2618/SUMIF($A:$A,$A2618,$G:$G)*SUMIF(Summary!$A$166:$A$242,$A2618,Summary!$P$166:$P$242),0)</f>
        <v>0</v>
      </c>
      <c r="AE2618" s="197">
        <f t="shared" ca="1" si="570"/>
        <v>0</v>
      </c>
      <c r="AF2618" s="196">
        <f>IFERROR(G2618/SUMIF(A:A,A2618,G:G)*SUMIF(Summary!$A$166:$A$242,'Operations Support'!A2618,Summary!$Q$166:$Q$242),0)</f>
        <v>0</v>
      </c>
      <c r="AG2618" s="196">
        <f t="shared" ca="1" si="571"/>
        <v>0</v>
      </c>
      <c r="AI2618" s="196">
        <f>IFERROR($G2618/SUMIF($A:$A,$A2618,$G:$G)*SUMIF(Summary!$A$247:$A$283,$A2618,Summary!$P$247:$P$283),0)</f>
        <v>0</v>
      </c>
      <c r="AJ2618" s="196">
        <f>IFERROR($G2618/SUMIF($A:$A,$A2618,$G:$G)*(SUMIF(Summary!$A$247:$A$283,$A2618,Summary!$L$247:$L$283)+SUMIF(Summary!$A$297:$A$333,$A2618,Summary!$L$297:$L$333))-AI2618,0)</f>
        <v>0</v>
      </c>
      <c r="AK2618" s="196">
        <f>IFERROR($G2618/SUMIF($A:$A,$A2618,$G:$G)*SUMIF(Summary!$A$247:$A$283,$A2618,Summary!$Q$247:$Q$283),0)</f>
        <v>0</v>
      </c>
      <c r="AL2618" s="196">
        <f>IFERROR($G2618/SUMIF($A:$A,$A2618,$G:$G)*(SUMIF(Summary!$A$247:$A$283,$A2618,Summary!$L$247:$L$283)+SUMIF(Summary!$A$297:$A$333,$A2618,Summary!$L$297:$L$333))-AK2618,0)</f>
        <v>0</v>
      </c>
      <c r="AM2618" s="198"/>
      <c r="AN2618" s="196">
        <f t="shared" ca="1" si="572"/>
        <v>0</v>
      </c>
      <c r="AO2618" s="196">
        <f t="shared" ca="1" si="573"/>
        <v>0</v>
      </c>
    </row>
    <row r="2619" spans="1:41">
      <c r="A2619" s="189">
        <v>9741</v>
      </c>
      <c r="B2619" s="190">
        <v>5</v>
      </c>
      <c r="C2619" s="191" t="s">
        <v>230</v>
      </c>
      <c r="D2619" s="192">
        <f t="shared" si="560"/>
        <v>0</v>
      </c>
      <c r="E2619" s="192">
        <f t="shared" si="561"/>
        <v>0</v>
      </c>
      <c r="F2619" s="192">
        <f t="shared" si="562"/>
        <v>0</v>
      </c>
      <c r="G2619" s="193">
        <f t="shared" si="563"/>
        <v>0</v>
      </c>
      <c r="H2619" s="194">
        <v>0</v>
      </c>
      <c r="I2619" s="194">
        <v>0</v>
      </c>
      <c r="J2619" s="194">
        <v>0</v>
      </c>
      <c r="K2619" s="193">
        <f t="shared" si="564"/>
        <v>0</v>
      </c>
      <c r="L2619" s="194">
        <v>0</v>
      </c>
      <c r="M2619" s="194">
        <v>0</v>
      </c>
      <c r="N2619" s="194">
        <v>0</v>
      </c>
      <c r="O2619" s="193">
        <f t="shared" si="565"/>
        <v>0</v>
      </c>
      <c r="P2619" s="194">
        <v>0</v>
      </c>
      <c r="Q2619" s="194">
        <v>0</v>
      </c>
      <c r="R2619" s="194">
        <v>0</v>
      </c>
      <c r="S2619" s="193">
        <f t="shared" si="566"/>
        <v>0</v>
      </c>
      <c r="T2619" s="193">
        <f t="shared" si="567"/>
        <v>0</v>
      </c>
      <c r="U2619" s="193">
        <f ca="1">OFFSET('Expenditure Study'!$B$7,'Operations Support'!$C2619,'Operations Support'!$B2619)*$G2619</f>
        <v>0</v>
      </c>
      <c r="V2619" s="199">
        <f ca="1">U2619*'Expenditure Study'!$B$31</f>
        <v>0</v>
      </c>
      <c r="W2619" s="199">
        <f ca="1">IF(A2619=10298,1.51,1)*IF($B2619&lt;3,$D2619*'Expenditure Study'!$B$32*OFFSET('Expenditure Study'!$B$7,'Operations Support'!$C2619,'Operations Support'!$B2619),0)</f>
        <v>0</v>
      </c>
      <c r="X2619" s="200">
        <f ca="1">W2619*'Expenditure Study'!$B$31</f>
        <v>0</v>
      </c>
      <c r="Y2619" s="199">
        <f ca="1">U2619*'Expenditure Study'!$B$31</f>
        <v>0</v>
      </c>
      <c r="Z2619" s="200">
        <f ca="1">W2619*'Expenditure Study'!$B$31</f>
        <v>0</v>
      </c>
      <c r="AA2619" s="195">
        <f t="shared" ca="1" si="568"/>
        <v>0</v>
      </c>
      <c r="AB2619" s="195">
        <f t="shared" ca="1" si="569"/>
        <v>0</v>
      </c>
      <c r="AD2619" s="196">
        <f>IFERROR($G2619/SUMIF($A:$A,$A2619,$G:$G)*SUMIF(Summary!$A$166:$A$242,$A2619,Summary!$P$166:$P$242),0)</f>
        <v>0</v>
      </c>
      <c r="AE2619" s="197">
        <f t="shared" ca="1" si="570"/>
        <v>0</v>
      </c>
      <c r="AF2619" s="196">
        <f>IFERROR(G2619/SUMIF(A:A,A2619,G:G)*SUMIF(Summary!$A$166:$A$242,'Operations Support'!A2619,Summary!$Q$166:$Q$242),0)</f>
        <v>0</v>
      </c>
      <c r="AG2619" s="196">
        <f t="shared" ca="1" si="571"/>
        <v>0</v>
      </c>
      <c r="AI2619" s="196">
        <f>IFERROR($G2619/SUMIF($A:$A,$A2619,$G:$G)*SUMIF(Summary!$A$247:$A$283,$A2619,Summary!$P$247:$P$283),0)</f>
        <v>0</v>
      </c>
      <c r="AJ2619" s="196">
        <f>IFERROR($G2619/SUMIF($A:$A,$A2619,$G:$G)*(SUMIF(Summary!$A$247:$A$283,$A2619,Summary!$L$247:$L$283)+SUMIF(Summary!$A$297:$A$333,$A2619,Summary!$L$297:$L$333))-AI2619,0)</f>
        <v>0</v>
      </c>
      <c r="AK2619" s="196">
        <f>IFERROR($G2619/SUMIF($A:$A,$A2619,$G:$G)*SUMIF(Summary!$A$247:$A$283,$A2619,Summary!$Q$247:$Q$283),0)</f>
        <v>0</v>
      </c>
      <c r="AL2619" s="196">
        <f>IFERROR($G2619/SUMIF($A:$A,$A2619,$G:$G)*(SUMIF(Summary!$A$247:$A$283,$A2619,Summary!$L$247:$L$283)+SUMIF(Summary!$A$297:$A$333,$A2619,Summary!$L$297:$L$333))-AK2619,0)</f>
        <v>0</v>
      </c>
      <c r="AM2619" s="198"/>
      <c r="AN2619" s="196">
        <f t="shared" ca="1" si="572"/>
        <v>0</v>
      </c>
      <c r="AO2619" s="196">
        <f t="shared" ca="1" si="573"/>
        <v>0</v>
      </c>
    </row>
    <row r="2620" spans="1:41">
      <c r="A2620" s="189">
        <v>9741</v>
      </c>
      <c r="B2620" s="190">
        <v>5</v>
      </c>
      <c r="C2620" s="191" t="s">
        <v>231</v>
      </c>
      <c r="D2620" s="192">
        <f t="shared" si="560"/>
        <v>0</v>
      </c>
      <c r="E2620" s="192">
        <f t="shared" si="561"/>
        <v>0</v>
      </c>
      <c r="F2620" s="192">
        <f t="shared" si="562"/>
        <v>0</v>
      </c>
      <c r="G2620" s="193">
        <f t="shared" si="563"/>
        <v>0</v>
      </c>
      <c r="H2620" s="194">
        <v>0</v>
      </c>
      <c r="I2620" s="194">
        <v>0</v>
      </c>
      <c r="J2620" s="194">
        <v>0</v>
      </c>
      <c r="K2620" s="193">
        <f t="shared" si="564"/>
        <v>0</v>
      </c>
      <c r="L2620" s="194">
        <v>0</v>
      </c>
      <c r="M2620" s="194">
        <v>0</v>
      </c>
      <c r="N2620" s="194">
        <v>0</v>
      </c>
      <c r="O2620" s="193">
        <f t="shared" si="565"/>
        <v>0</v>
      </c>
      <c r="P2620" s="194">
        <v>0</v>
      </c>
      <c r="Q2620" s="194">
        <v>0</v>
      </c>
      <c r="R2620" s="194">
        <v>0</v>
      </c>
      <c r="S2620" s="193">
        <f t="shared" si="566"/>
        <v>0</v>
      </c>
      <c r="T2620" s="193">
        <f t="shared" si="567"/>
        <v>0</v>
      </c>
      <c r="U2620" s="193">
        <f ca="1">OFFSET('Expenditure Study'!$B$7,'Operations Support'!$C2620,'Operations Support'!$B2620)*$G2620</f>
        <v>0</v>
      </c>
      <c r="V2620" s="199">
        <f ca="1">U2620*'Expenditure Study'!$B$31</f>
        <v>0</v>
      </c>
      <c r="W2620" s="199">
        <f ca="1">IF(A2620=10298,1.51,1)*IF($B2620&lt;3,$D2620*'Expenditure Study'!$B$32*OFFSET('Expenditure Study'!$B$7,'Operations Support'!$C2620,'Operations Support'!$B2620),0)</f>
        <v>0</v>
      </c>
      <c r="X2620" s="200">
        <f ca="1">W2620*'Expenditure Study'!$B$31</f>
        <v>0</v>
      </c>
      <c r="Y2620" s="199">
        <f ca="1">U2620*'Expenditure Study'!$B$31</f>
        <v>0</v>
      </c>
      <c r="Z2620" s="200">
        <f ca="1">W2620*'Expenditure Study'!$B$31</f>
        <v>0</v>
      </c>
      <c r="AA2620" s="195">
        <f t="shared" ca="1" si="568"/>
        <v>0</v>
      </c>
      <c r="AB2620" s="195">
        <f t="shared" ca="1" si="569"/>
        <v>0</v>
      </c>
      <c r="AD2620" s="196">
        <f>IFERROR($G2620/SUMIF($A:$A,$A2620,$G:$G)*SUMIF(Summary!$A$166:$A$242,$A2620,Summary!$P$166:$P$242),0)</f>
        <v>0</v>
      </c>
      <c r="AE2620" s="197">
        <f t="shared" ca="1" si="570"/>
        <v>0</v>
      </c>
      <c r="AF2620" s="196">
        <f>IFERROR(G2620/SUMIF(A:A,A2620,G:G)*SUMIF(Summary!$A$166:$A$242,'Operations Support'!A2620,Summary!$Q$166:$Q$242),0)</f>
        <v>0</v>
      </c>
      <c r="AG2620" s="196">
        <f t="shared" ca="1" si="571"/>
        <v>0</v>
      </c>
      <c r="AI2620" s="196">
        <f>IFERROR($G2620/SUMIF($A:$A,$A2620,$G:$G)*SUMIF(Summary!$A$247:$A$283,$A2620,Summary!$P$247:$P$283),0)</f>
        <v>0</v>
      </c>
      <c r="AJ2620" s="196">
        <f>IFERROR($G2620/SUMIF($A:$A,$A2620,$G:$G)*(SUMIF(Summary!$A$247:$A$283,$A2620,Summary!$L$247:$L$283)+SUMIF(Summary!$A$297:$A$333,$A2620,Summary!$L$297:$L$333))-AI2620,0)</f>
        <v>0</v>
      </c>
      <c r="AK2620" s="196">
        <f>IFERROR($G2620/SUMIF($A:$A,$A2620,$G:$G)*SUMIF(Summary!$A$247:$A$283,$A2620,Summary!$Q$247:$Q$283),0)</f>
        <v>0</v>
      </c>
      <c r="AL2620" s="196">
        <f>IFERROR($G2620/SUMIF($A:$A,$A2620,$G:$G)*(SUMIF(Summary!$A$247:$A$283,$A2620,Summary!$L$247:$L$283)+SUMIF(Summary!$A$297:$A$333,$A2620,Summary!$L$297:$L$333))-AK2620,0)</f>
        <v>0</v>
      </c>
      <c r="AM2620" s="198"/>
      <c r="AN2620" s="196">
        <f t="shared" ca="1" si="572"/>
        <v>0</v>
      </c>
      <c r="AO2620" s="196">
        <f t="shared" ca="1" si="573"/>
        <v>0</v>
      </c>
    </row>
    <row r="2621" spans="1:41">
      <c r="A2621" s="189">
        <v>9741</v>
      </c>
      <c r="B2621" s="190">
        <v>5</v>
      </c>
      <c r="C2621" s="191" t="s">
        <v>232</v>
      </c>
      <c r="D2621" s="192">
        <f t="shared" si="560"/>
        <v>0</v>
      </c>
      <c r="E2621" s="192">
        <f t="shared" si="561"/>
        <v>0</v>
      </c>
      <c r="F2621" s="192">
        <f t="shared" si="562"/>
        <v>0</v>
      </c>
      <c r="G2621" s="193">
        <f t="shared" si="563"/>
        <v>0</v>
      </c>
      <c r="H2621" s="194">
        <v>0</v>
      </c>
      <c r="I2621" s="194">
        <v>0</v>
      </c>
      <c r="J2621" s="194">
        <v>0</v>
      </c>
      <c r="K2621" s="193">
        <f t="shared" si="564"/>
        <v>0</v>
      </c>
      <c r="L2621" s="194">
        <v>0</v>
      </c>
      <c r="M2621" s="194">
        <v>0</v>
      </c>
      <c r="N2621" s="194">
        <v>0</v>
      </c>
      <c r="O2621" s="193">
        <f t="shared" si="565"/>
        <v>0</v>
      </c>
      <c r="P2621" s="194">
        <v>0</v>
      </c>
      <c r="Q2621" s="194">
        <v>0</v>
      </c>
      <c r="R2621" s="194">
        <v>0</v>
      </c>
      <c r="S2621" s="193">
        <f t="shared" si="566"/>
        <v>0</v>
      </c>
      <c r="T2621" s="193">
        <f t="shared" si="567"/>
        <v>0</v>
      </c>
      <c r="U2621" s="193">
        <f ca="1">OFFSET('Expenditure Study'!$B$7,'Operations Support'!$C2621,'Operations Support'!$B2621)*$G2621</f>
        <v>0</v>
      </c>
      <c r="V2621" s="199">
        <f ca="1">U2621*'Expenditure Study'!$B$31</f>
        <v>0</v>
      </c>
      <c r="W2621" s="199">
        <f ca="1">IF(A2621=10298,1.51,1)*IF($B2621&lt;3,$D2621*'Expenditure Study'!$B$32*OFFSET('Expenditure Study'!$B$7,'Operations Support'!$C2621,'Operations Support'!$B2621),0)</f>
        <v>0</v>
      </c>
      <c r="X2621" s="200">
        <f ca="1">W2621*'Expenditure Study'!$B$31</f>
        <v>0</v>
      </c>
      <c r="Y2621" s="199">
        <f ca="1">U2621*'Expenditure Study'!$B$31</f>
        <v>0</v>
      </c>
      <c r="Z2621" s="200">
        <f ca="1">W2621*'Expenditure Study'!$B$31</f>
        <v>0</v>
      </c>
      <c r="AA2621" s="195">
        <f t="shared" ca="1" si="568"/>
        <v>0</v>
      </c>
      <c r="AB2621" s="195">
        <f t="shared" ca="1" si="569"/>
        <v>0</v>
      </c>
      <c r="AD2621" s="196">
        <f>IFERROR($G2621/SUMIF($A:$A,$A2621,$G:$G)*SUMIF(Summary!$A$166:$A$242,$A2621,Summary!$P$166:$P$242),0)</f>
        <v>0</v>
      </c>
      <c r="AE2621" s="197">
        <f t="shared" ca="1" si="570"/>
        <v>0</v>
      </c>
      <c r="AF2621" s="196">
        <f>IFERROR(G2621/SUMIF(A:A,A2621,G:G)*SUMIF(Summary!$A$166:$A$242,'Operations Support'!A2621,Summary!$Q$166:$Q$242),0)</f>
        <v>0</v>
      </c>
      <c r="AG2621" s="196">
        <f t="shared" ca="1" si="571"/>
        <v>0</v>
      </c>
      <c r="AI2621" s="196">
        <f>IFERROR($G2621/SUMIF($A:$A,$A2621,$G:$G)*SUMIF(Summary!$A$247:$A$283,$A2621,Summary!$P$247:$P$283),0)</f>
        <v>0</v>
      </c>
      <c r="AJ2621" s="196">
        <f>IFERROR($G2621/SUMIF($A:$A,$A2621,$G:$G)*(SUMIF(Summary!$A$247:$A$283,$A2621,Summary!$L$247:$L$283)+SUMIF(Summary!$A$297:$A$333,$A2621,Summary!$L$297:$L$333))-AI2621,0)</f>
        <v>0</v>
      </c>
      <c r="AK2621" s="196">
        <f>IFERROR($G2621/SUMIF($A:$A,$A2621,$G:$G)*SUMIF(Summary!$A$247:$A$283,$A2621,Summary!$Q$247:$Q$283),0)</f>
        <v>0</v>
      </c>
      <c r="AL2621" s="196">
        <f>IFERROR($G2621/SUMIF($A:$A,$A2621,$G:$G)*(SUMIF(Summary!$A$247:$A$283,$A2621,Summary!$L$247:$L$283)+SUMIF(Summary!$A$297:$A$333,$A2621,Summary!$L$297:$L$333))-AK2621,0)</f>
        <v>0</v>
      </c>
      <c r="AM2621" s="198"/>
      <c r="AN2621" s="196">
        <f t="shared" ca="1" si="572"/>
        <v>0</v>
      </c>
      <c r="AO2621" s="196">
        <f t="shared" ca="1" si="573"/>
        <v>0</v>
      </c>
    </row>
    <row r="2622" spans="1:41">
      <c r="A2622" s="189">
        <v>9741</v>
      </c>
      <c r="B2622" s="190">
        <v>5</v>
      </c>
      <c r="C2622" s="191" t="s">
        <v>233</v>
      </c>
      <c r="D2622" s="192">
        <f t="shared" si="560"/>
        <v>154</v>
      </c>
      <c r="E2622" s="192">
        <f t="shared" si="561"/>
        <v>697</v>
      </c>
      <c r="F2622" s="192">
        <f t="shared" si="562"/>
        <v>0</v>
      </c>
      <c r="G2622" s="193">
        <f t="shared" si="563"/>
        <v>851</v>
      </c>
      <c r="H2622" s="194">
        <v>95</v>
      </c>
      <c r="I2622" s="194">
        <v>282</v>
      </c>
      <c r="J2622" s="194">
        <v>0</v>
      </c>
      <c r="K2622" s="193">
        <f t="shared" si="564"/>
        <v>377</v>
      </c>
      <c r="L2622" s="194">
        <v>58</v>
      </c>
      <c r="M2622" s="194">
        <v>290</v>
      </c>
      <c r="N2622" s="194">
        <v>0</v>
      </c>
      <c r="O2622" s="193">
        <f t="shared" si="565"/>
        <v>348</v>
      </c>
      <c r="P2622" s="194">
        <v>1</v>
      </c>
      <c r="Q2622" s="194">
        <v>125</v>
      </c>
      <c r="R2622" s="194">
        <v>0</v>
      </c>
      <c r="S2622" s="193">
        <f t="shared" si="566"/>
        <v>126</v>
      </c>
      <c r="T2622" s="193">
        <f t="shared" si="567"/>
        <v>35.458333333333336</v>
      </c>
      <c r="U2622" s="193">
        <f ca="1">OFFSET('Expenditure Study'!$B$7,'Operations Support'!$C2622,'Operations Support'!$B2622)*$G2622</f>
        <v>2791.2799999999997</v>
      </c>
      <c r="V2622" s="199">
        <f ca="1">U2622*'Expenditure Study'!$B$31</f>
        <v>164917.70090342397</v>
      </c>
      <c r="W2622" s="199">
        <f ca="1">IF(A2622=10298,1.51,1)*IF($B2622&lt;3,$D2622*'Expenditure Study'!$B$32*OFFSET('Expenditure Study'!$B$7,'Operations Support'!$C2622,'Operations Support'!$B2622),0)</f>
        <v>0</v>
      </c>
      <c r="X2622" s="200">
        <f ca="1">W2622*'Expenditure Study'!$B$31</f>
        <v>0</v>
      </c>
      <c r="Y2622" s="199">
        <f ca="1">U2622*'Expenditure Study'!$B$31</f>
        <v>164917.70090342397</v>
      </c>
      <c r="Z2622" s="200">
        <f ca="1">W2622*'Expenditure Study'!$B$31</f>
        <v>0</v>
      </c>
      <c r="AA2622" s="195">
        <f t="shared" ca="1" si="568"/>
        <v>164917.70090342397</v>
      </c>
      <c r="AB2622" s="195">
        <f t="shared" ca="1" si="569"/>
        <v>164917.70090342397</v>
      </c>
      <c r="AD2622" s="196">
        <f>IFERROR($G2622/SUMIF($A:$A,$A2622,$G:$G)*SUMIF(Summary!$A$166:$A$242,$A2622,Summary!$P$166:$P$242),0)</f>
        <v>43194.051019479724</v>
      </c>
      <c r="AE2622" s="197">
        <f t="shared" ca="1" si="570"/>
        <v>121723.64988394425</v>
      </c>
      <c r="AF2622" s="196">
        <f>IFERROR(G2622/SUMIF(A:A,A2622,G:G)*SUMIF(Summary!$A$166:$A$242,'Operations Support'!A2622,Summary!$Q$166:$Q$242),0)</f>
        <v>43494.436450789537</v>
      </c>
      <c r="AG2622" s="196">
        <f t="shared" ca="1" si="571"/>
        <v>121423.26445263444</v>
      </c>
      <c r="AI2622" s="196">
        <f>IFERROR($G2622/SUMIF($A:$A,$A2622,$G:$G)*SUMIF(Summary!$A$247:$A$283,$A2622,Summary!$P$247:$P$283),0)</f>
        <v>7877.5170104251811</v>
      </c>
      <c r="AJ2622" s="196">
        <f>IFERROR($G2622/SUMIF($A:$A,$A2622,$G:$G)*(SUMIF(Summary!$A$247:$A$283,$A2622,Summary!$L$247:$L$283)+SUMIF(Summary!$A$297:$A$333,$A2622,Summary!$L$297:$L$333))-AI2622,0)</f>
        <v>14659.075462252487</v>
      </c>
      <c r="AK2622" s="196">
        <f>IFERROR($G2622/SUMIF($A:$A,$A2622,$G:$G)*SUMIF(Summary!$A$247:$A$283,$A2622,Summary!$Q$247:$Q$283),0)</f>
        <v>7932.2998170612127</v>
      </c>
      <c r="AL2622" s="196">
        <f>IFERROR($G2622/SUMIF($A:$A,$A2622,$G:$G)*(SUMIF(Summary!$A$247:$A$283,$A2622,Summary!$L$247:$L$283)+SUMIF(Summary!$A$297:$A$333,$A2622,Summary!$L$297:$L$333))-AK2622,0)</f>
        <v>14604.292655616457</v>
      </c>
      <c r="AM2622" s="198"/>
      <c r="AN2622" s="196">
        <f t="shared" ca="1" si="572"/>
        <v>136382.72534619673</v>
      </c>
      <c r="AO2622" s="196">
        <f t="shared" ca="1" si="573"/>
        <v>136027.55710825088</v>
      </c>
    </row>
    <row r="2623" spans="1:41" s="201" customFormat="1">
      <c r="A2623" s="189">
        <v>9741</v>
      </c>
      <c r="B2623" s="190">
        <v>5</v>
      </c>
      <c r="C2623" s="191" t="s">
        <v>234</v>
      </c>
      <c r="D2623" s="192">
        <f t="shared" si="560"/>
        <v>0</v>
      </c>
      <c r="E2623" s="192">
        <f t="shared" si="561"/>
        <v>0</v>
      </c>
      <c r="F2623" s="192">
        <f t="shared" si="562"/>
        <v>0</v>
      </c>
      <c r="G2623" s="193">
        <f t="shared" si="563"/>
        <v>0</v>
      </c>
      <c r="H2623" s="194">
        <v>0</v>
      </c>
      <c r="I2623" s="194">
        <v>0</v>
      </c>
      <c r="J2623" s="194">
        <v>0</v>
      </c>
      <c r="K2623" s="193">
        <f t="shared" si="564"/>
        <v>0</v>
      </c>
      <c r="L2623" s="194">
        <v>0</v>
      </c>
      <c r="M2623" s="194">
        <v>0</v>
      </c>
      <c r="N2623" s="194">
        <v>0</v>
      </c>
      <c r="O2623" s="193">
        <f t="shared" si="565"/>
        <v>0</v>
      </c>
      <c r="P2623" s="194">
        <v>0</v>
      </c>
      <c r="Q2623" s="194">
        <v>0</v>
      </c>
      <c r="R2623" s="194">
        <v>0</v>
      </c>
      <c r="S2623" s="193">
        <f t="shared" si="566"/>
        <v>0</v>
      </c>
      <c r="T2623" s="193">
        <f t="shared" si="567"/>
        <v>0</v>
      </c>
      <c r="U2623" s="193">
        <f ca="1">OFFSET('Expenditure Study'!$B$7,'Operations Support'!$C2623,'Operations Support'!$B2623)*$G2623</f>
        <v>0</v>
      </c>
      <c r="V2623" s="199">
        <f ca="1">U2623*'Expenditure Study'!$B$31</f>
        <v>0</v>
      </c>
      <c r="W2623" s="199">
        <f ca="1">IF(A2623=10298,1.51,1)*IF($B2623&lt;3,$D2623*'Expenditure Study'!$B$32*OFFSET('Expenditure Study'!$B$7,'Operations Support'!$C2623,'Operations Support'!$B2623),0)</f>
        <v>0</v>
      </c>
      <c r="X2623" s="200">
        <f ca="1">W2623*'Expenditure Study'!$B$31</f>
        <v>0</v>
      </c>
      <c r="Y2623" s="199">
        <f ca="1">U2623*'Expenditure Study'!$B$31</f>
        <v>0</v>
      </c>
      <c r="Z2623" s="200">
        <f ca="1">W2623*'Expenditure Study'!$B$31</f>
        <v>0</v>
      </c>
      <c r="AA2623" s="195">
        <f t="shared" ca="1" si="568"/>
        <v>0</v>
      </c>
      <c r="AB2623" s="195">
        <f t="shared" ca="1" si="569"/>
        <v>0</v>
      </c>
      <c r="AD2623" s="196">
        <f>IFERROR($G2623/SUMIF($A:$A,$A2623,$G:$G)*SUMIF(Summary!$A$166:$A$242,$A2623,Summary!$P$166:$P$242),0)</f>
        <v>0</v>
      </c>
      <c r="AE2623" s="197">
        <f t="shared" ca="1" si="570"/>
        <v>0</v>
      </c>
      <c r="AF2623" s="196">
        <f>IFERROR(G2623/SUMIF(A:A,A2623,G:G)*SUMIF(Summary!$A$166:$A$242,'Operations Support'!A2623,Summary!$Q$166:$Q$242),0)</f>
        <v>0</v>
      </c>
      <c r="AG2623" s="196">
        <f t="shared" ca="1" si="571"/>
        <v>0</v>
      </c>
      <c r="AH2623" s="180"/>
      <c r="AI2623" s="196">
        <f>IFERROR($G2623/SUMIF($A:$A,$A2623,$G:$G)*SUMIF(Summary!$A$247:$A$283,$A2623,Summary!$P$247:$P$283),0)</f>
        <v>0</v>
      </c>
      <c r="AJ2623" s="196">
        <f>IFERROR($G2623/SUMIF($A:$A,$A2623,$G:$G)*(SUMIF(Summary!$A$247:$A$283,$A2623,Summary!$L$247:$L$283)+SUMIF(Summary!$A$297:$A$333,$A2623,Summary!$L$297:$L$333))-AI2623,0)</f>
        <v>0</v>
      </c>
      <c r="AK2623" s="196">
        <f>IFERROR($G2623/SUMIF($A:$A,$A2623,$G:$G)*SUMIF(Summary!$A$247:$A$283,$A2623,Summary!$Q$247:$Q$283),0)</f>
        <v>0</v>
      </c>
      <c r="AL2623" s="196">
        <f>IFERROR($G2623/SUMIF($A:$A,$A2623,$G:$G)*(SUMIF(Summary!$A$247:$A$283,$A2623,Summary!$L$247:$L$283)+SUMIF(Summary!$A$297:$A$333,$A2623,Summary!$L$297:$L$333))-AK2623,0)</f>
        <v>0</v>
      </c>
      <c r="AM2623" s="198"/>
      <c r="AN2623" s="196">
        <f t="shared" ca="1" si="572"/>
        <v>0</v>
      </c>
      <c r="AO2623" s="196">
        <f t="shared" ca="1" si="573"/>
        <v>0</v>
      </c>
    </row>
    <row r="2624" spans="1:41">
      <c r="A2624" s="189">
        <v>9741</v>
      </c>
      <c r="B2624" s="190">
        <v>5</v>
      </c>
      <c r="C2624" s="191" t="s">
        <v>235</v>
      </c>
      <c r="D2624" s="192">
        <f t="shared" si="560"/>
        <v>0</v>
      </c>
      <c r="E2624" s="192">
        <f t="shared" si="561"/>
        <v>0</v>
      </c>
      <c r="F2624" s="192">
        <f t="shared" si="562"/>
        <v>0</v>
      </c>
      <c r="G2624" s="193">
        <f t="shared" si="563"/>
        <v>0</v>
      </c>
      <c r="H2624" s="194">
        <v>0</v>
      </c>
      <c r="I2624" s="194">
        <v>0</v>
      </c>
      <c r="J2624" s="194">
        <v>0</v>
      </c>
      <c r="K2624" s="193">
        <f t="shared" si="564"/>
        <v>0</v>
      </c>
      <c r="L2624" s="194">
        <v>0</v>
      </c>
      <c r="M2624" s="194">
        <v>0</v>
      </c>
      <c r="N2624" s="194">
        <v>0</v>
      </c>
      <c r="O2624" s="193">
        <f t="shared" si="565"/>
        <v>0</v>
      </c>
      <c r="P2624" s="194">
        <v>0</v>
      </c>
      <c r="Q2624" s="194">
        <v>0</v>
      </c>
      <c r="R2624" s="194">
        <v>0</v>
      </c>
      <c r="S2624" s="193">
        <f t="shared" si="566"/>
        <v>0</v>
      </c>
      <c r="T2624" s="193">
        <f t="shared" si="567"/>
        <v>0</v>
      </c>
      <c r="U2624" s="193">
        <f ca="1">OFFSET('Expenditure Study'!$B$7,'Operations Support'!$C2624,'Operations Support'!$B2624)*$G2624</f>
        <v>0</v>
      </c>
      <c r="V2624" s="199">
        <f ca="1">U2624*'Expenditure Study'!$B$31</f>
        <v>0</v>
      </c>
      <c r="W2624" s="199">
        <f ca="1">IF(A2624=10298,1.51,1)*IF($B2624&lt;3,$D2624*'Expenditure Study'!$B$32*OFFSET('Expenditure Study'!$B$7,'Operations Support'!$C2624,'Operations Support'!$B2624),0)</f>
        <v>0</v>
      </c>
      <c r="X2624" s="200">
        <f ca="1">W2624*'Expenditure Study'!$B$31</f>
        <v>0</v>
      </c>
      <c r="Y2624" s="199">
        <f ca="1">U2624*'Expenditure Study'!$B$31</f>
        <v>0</v>
      </c>
      <c r="Z2624" s="200">
        <f ca="1">W2624*'Expenditure Study'!$B$31</f>
        <v>0</v>
      </c>
      <c r="AA2624" s="195">
        <f t="shared" ca="1" si="568"/>
        <v>0</v>
      </c>
      <c r="AB2624" s="195">
        <f t="shared" ca="1" si="569"/>
        <v>0</v>
      </c>
      <c r="AD2624" s="196">
        <f>IFERROR($G2624/SUMIF($A:$A,$A2624,$G:$G)*SUMIF(Summary!$A$166:$A$242,$A2624,Summary!$P$166:$P$242),0)</f>
        <v>0</v>
      </c>
      <c r="AE2624" s="197">
        <f t="shared" ca="1" si="570"/>
        <v>0</v>
      </c>
      <c r="AF2624" s="196">
        <f>IFERROR(G2624/SUMIF(A:A,A2624,G:G)*SUMIF(Summary!$A$166:$A$242,'Operations Support'!A2624,Summary!$Q$166:$Q$242),0)</f>
        <v>0</v>
      </c>
      <c r="AG2624" s="196">
        <f t="shared" ca="1" si="571"/>
        <v>0</v>
      </c>
      <c r="AI2624" s="196">
        <f>IFERROR($G2624/SUMIF($A:$A,$A2624,$G:$G)*SUMIF(Summary!$A$247:$A$283,$A2624,Summary!$P$247:$P$283),0)</f>
        <v>0</v>
      </c>
      <c r="AJ2624" s="196">
        <f>IFERROR($G2624/SUMIF($A:$A,$A2624,$G:$G)*(SUMIF(Summary!$A$247:$A$283,$A2624,Summary!$L$247:$L$283)+SUMIF(Summary!$A$297:$A$333,$A2624,Summary!$L$297:$L$333))-AI2624,0)</f>
        <v>0</v>
      </c>
      <c r="AK2624" s="196">
        <f>IFERROR($G2624/SUMIF($A:$A,$A2624,$G:$G)*SUMIF(Summary!$A$247:$A$283,$A2624,Summary!$Q$247:$Q$283),0)</f>
        <v>0</v>
      </c>
      <c r="AL2624" s="196">
        <f>IFERROR($G2624/SUMIF($A:$A,$A2624,$G:$G)*(SUMIF(Summary!$A$247:$A$283,$A2624,Summary!$L$247:$L$283)+SUMIF(Summary!$A$297:$A$333,$A2624,Summary!$L$297:$L$333))-AK2624,0)</f>
        <v>0</v>
      </c>
      <c r="AM2624" s="198"/>
      <c r="AN2624" s="196">
        <f t="shared" ca="1" si="572"/>
        <v>0</v>
      </c>
      <c r="AO2624" s="196">
        <f t="shared" ca="1" si="573"/>
        <v>0</v>
      </c>
    </row>
    <row r="2625" spans="1:41">
      <c r="A2625" s="189">
        <v>9741</v>
      </c>
      <c r="B2625" s="190">
        <v>5</v>
      </c>
      <c r="C2625" s="191" t="s">
        <v>236</v>
      </c>
      <c r="D2625" s="192">
        <f t="shared" si="560"/>
        <v>0</v>
      </c>
      <c r="E2625" s="192">
        <f t="shared" si="561"/>
        <v>0</v>
      </c>
      <c r="F2625" s="192">
        <f t="shared" si="562"/>
        <v>0</v>
      </c>
      <c r="G2625" s="193">
        <f t="shared" si="563"/>
        <v>0</v>
      </c>
      <c r="H2625" s="194">
        <v>0</v>
      </c>
      <c r="I2625" s="194">
        <v>0</v>
      </c>
      <c r="J2625" s="194">
        <v>0</v>
      </c>
      <c r="K2625" s="193">
        <f t="shared" si="564"/>
        <v>0</v>
      </c>
      <c r="L2625" s="194">
        <v>0</v>
      </c>
      <c r="M2625" s="194">
        <v>0</v>
      </c>
      <c r="N2625" s="194">
        <v>0</v>
      </c>
      <c r="O2625" s="193">
        <f t="shared" si="565"/>
        <v>0</v>
      </c>
      <c r="P2625" s="194">
        <v>0</v>
      </c>
      <c r="Q2625" s="194">
        <v>0</v>
      </c>
      <c r="R2625" s="194">
        <v>0</v>
      </c>
      <c r="S2625" s="193">
        <f t="shared" si="566"/>
        <v>0</v>
      </c>
      <c r="T2625" s="193">
        <f t="shared" si="567"/>
        <v>0</v>
      </c>
      <c r="U2625" s="193">
        <f ca="1">OFFSET('Expenditure Study'!$B$7,'Operations Support'!$C2625,'Operations Support'!$B2625)*$G2625</f>
        <v>0</v>
      </c>
      <c r="V2625" s="199">
        <f ca="1">U2625*'Expenditure Study'!$B$31</f>
        <v>0</v>
      </c>
      <c r="W2625" s="199">
        <f ca="1">IF(A2625=10298,1.51,1)*IF($B2625&lt;3,$D2625*'Expenditure Study'!$B$32*OFFSET('Expenditure Study'!$B$7,'Operations Support'!$C2625,'Operations Support'!$B2625),0)</f>
        <v>0</v>
      </c>
      <c r="X2625" s="200">
        <f ca="1">W2625*'Expenditure Study'!$B$31</f>
        <v>0</v>
      </c>
      <c r="Y2625" s="199">
        <f ca="1">U2625*'Expenditure Study'!$B$31</f>
        <v>0</v>
      </c>
      <c r="Z2625" s="200">
        <f ca="1">W2625*'Expenditure Study'!$B$31</f>
        <v>0</v>
      </c>
      <c r="AA2625" s="195">
        <f t="shared" ca="1" si="568"/>
        <v>0</v>
      </c>
      <c r="AB2625" s="195">
        <f t="shared" ca="1" si="569"/>
        <v>0</v>
      </c>
      <c r="AD2625" s="196">
        <f>IFERROR($G2625/SUMIF($A:$A,$A2625,$G:$G)*SUMIF(Summary!$A$166:$A$242,$A2625,Summary!$P$166:$P$242),0)</f>
        <v>0</v>
      </c>
      <c r="AE2625" s="197">
        <f t="shared" ca="1" si="570"/>
        <v>0</v>
      </c>
      <c r="AF2625" s="196">
        <f>IFERROR(G2625/SUMIF(A:A,A2625,G:G)*SUMIF(Summary!$A$166:$A$242,'Operations Support'!A2625,Summary!$Q$166:$Q$242),0)</f>
        <v>0</v>
      </c>
      <c r="AG2625" s="196">
        <f t="shared" ca="1" si="571"/>
        <v>0</v>
      </c>
      <c r="AI2625" s="196">
        <f>IFERROR($G2625/SUMIF($A:$A,$A2625,$G:$G)*SUMIF(Summary!$A$247:$A$283,$A2625,Summary!$P$247:$P$283),0)</f>
        <v>0</v>
      </c>
      <c r="AJ2625" s="196">
        <f>IFERROR($G2625/SUMIF($A:$A,$A2625,$G:$G)*(SUMIF(Summary!$A$247:$A$283,$A2625,Summary!$L$247:$L$283)+SUMIF(Summary!$A$297:$A$333,$A2625,Summary!$L$297:$L$333))-AI2625,0)</f>
        <v>0</v>
      </c>
      <c r="AK2625" s="196">
        <f>IFERROR($G2625/SUMIF($A:$A,$A2625,$G:$G)*SUMIF(Summary!$A$247:$A$283,$A2625,Summary!$Q$247:$Q$283),0)</f>
        <v>0</v>
      </c>
      <c r="AL2625" s="196">
        <f>IFERROR($G2625/SUMIF($A:$A,$A2625,$G:$G)*(SUMIF(Summary!$A$247:$A$283,$A2625,Summary!$L$247:$L$283)+SUMIF(Summary!$A$297:$A$333,$A2625,Summary!$L$297:$L$333))-AK2625,0)</f>
        <v>0</v>
      </c>
      <c r="AM2625" s="198"/>
      <c r="AN2625" s="196">
        <f t="shared" ca="1" si="572"/>
        <v>0</v>
      </c>
      <c r="AO2625" s="196">
        <f t="shared" ca="1" si="573"/>
        <v>0</v>
      </c>
    </row>
    <row r="2626" spans="1:41">
      <c r="A2626" s="189">
        <v>9741</v>
      </c>
      <c r="B2626" s="190">
        <v>5</v>
      </c>
      <c r="C2626" s="191" t="s">
        <v>237</v>
      </c>
      <c r="D2626" s="192">
        <f t="shared" si="560"/>
        <v>0</v>
      </c>
      <c r="E2626" s="192">
        <f t="shared" si="561"/>
        <v>0</v>
      </c>
      <c r="F2626" s="192">
        <f t="shared" si="562"/>
        <v>0</v>
      </c>
      <c r="G2626" s="193">
        <f t="shared" si="563"/>
        <v>0</v>
      </c>
      <c r="H2626" s="194">
        <v>0</v>
      </c>
      <c r="I2626" s="194">
        <v>0</v>
      </c>
      <c r="J2626" s="194">
        <v>0</v>
      </c>
      <c r="K2626" s="193">
        <f t="shared" si="564"/>
        <v>0</v>
      </c>
      <c r="L2626" s="194">
        <v>0</v>
      </c>
      <c r="M2626" s="194">
        <v>0</v>
      </c>
      <c r="N2626" s="194">
        <v>0</v>
      </c>
      <c r="O2626" s="193">
        <f t="shared" si="565"/>
        <v>0</v>
      </c>
      <c r="P2626" s="194">
        <v>0</v>
      </c>
      <c r="Q2626" s="194">
        <v>0</v>
      </c>
      <c r="R2626" s="194">
        <v>0</v>
      </c>
      <c r="S2626" s="193">
        <f t="shared" si="566"/>
        <v>0</v>
      </c>
      <c r="T2626" s="193">
        <f t="shared" si="567"/>
        <v>0</v>
      </c>
      <c r="U2626" s="193">
        <f ca="1">OFFSET('Expenditure Study'!$B$7,'Operations Support'!$C2626,'Operations Support'!$B2626)*$G2626</f>
        <v>0</v>
      </c>
      <c r="V2626" s="199">
        <f ca="1">U2626*'Expenditure Study'!$B$31</f>
        <v>0</v>
      </c>
      <c r="W2626" s="199">
        <f ca="1">IF(A2626=10298,1.51,1)*IF($B2626&lt;3,$D2626*'Expenditure Study'!$B$32*OFFSET('Expenditure Study'!$B$7,'Operations Support'!$C2626,'Operations Support'!$B2626),0)</f>
        <v>0</v>
      </c>
      <c r="X2626" s="200">
        <f ca="1">W2626*'Expenditure Study'!$B$31</f>
        <v>0</v>
      </c>
      <c r="Y2626" s="199">
        <f ca="1">U2626*'Expenditure Study'!$B$31</f>
        <v>0</v>
      </c>
      <c r="Z2626" s="200">
        <f ca="1">W2626*'Expenditure Study'!$B$31</f>
        <v>0</v>
      </c>
      <c r="AA2626" s="195">
        <f t="shared" ca="1" si="568"/>
        <v>0</v>
      </c>
      <c r="AB2626" s="195">
        <f t="shared" ca="1" si="569"/>
        <v>0</v>
      </c>
      <c r="AD2626" s="196">
        <f>IFERROR($G2626/SUMIF($A:$A,$A2626,$G:$G)*SUMIF(Summary!$A$166:$A$242,$A2626,Summary!$P$166:$P$242),0)</f>
        <v>0</v>
      </c>
      <c r="AE2626" s="197">
        <f t="shared" ca="1" si="570"/>
        <v>0</v>
      </c>
      <c r="AF2626" s="196">
        <f>IFERROR(G2626/SUMIF(A:A,A2626,G:G)*SUMIF(Summary!$A$166:$A$242,'Operations Support'!A2626,Summary!$Q$166:$Q$242),0)</f>
        <v>0</v>
      </c>
      <c r="AG2626" s="196">
        <f t="shared" ca="1" si="571"/>
        <v>0</v>
      </c>
      <c r="AI2626" s="196">
        <f>IFERROR($G2626/SUMIF($A:$A,$A2626,$G:$G)*SUMIF(Summary!$A$247:$A$283,$A2626,Summary!$P$247:$P$283),0)</f>
        <v>0</v>
      </c>
      <c r="AJ2626" s="196">
        <f>IFERROR($G2626/SUMIF($A:$A,$A2626,$G:$G)*(SUMIF(Summary!$A$247:$A$283,$A2626,Summary!$L$247:$L$283)+SUMIF(Summary!$A$297:$A$333,$A2626,Summary!$L$297:$L$333))-AI2626,0)</f>
        <v>0</v>
      </c>
      <c r="AK2626" s="196">
        <f>IFERROR($G2626/SUMIF($A:$A,$A2626,$G:$G)*SUMIF(Summary!$A$247:$A$283,$A2626,Summary!$Q$247:$Q$283),0)</f>
        <v>0</v>
      </c>
      <c r="AL2626" s="196">
        <f>IFERROR($G2626/SUMIF($A:$A,$A2626,$G:$G)*(SUMIF(Summary!$A$247:$A$283,$A2626,Summary!$L$247:$L$283)+SUMIF(Summary!$A$297:$A$333,$A2626,Summary!$L$297:$L$333))-AK2626,0)</f>
        <v>0</v>
      </c>
      <c r="AM2626" s="198"/>
      <c r="AN2626" s="196">
        <f t="shared" ca="1" si="572"/>
        <v>0</v>
      </c>
      <c r="AO2626" s="196">
        <f t="shared" ca="1" si="573"/>
        <v>0</v>
      </c>
    </row>
    <row r="2627" spans="1:41">
      <c r="A2627" s="189">
        <v>9741</v>
      </c>
      <c r="B2627" s="190">
        <v>5</v>
      </c>
      <c r="C2627" s="191" t="s">
        <v>238</v>
      </c>
      <c r="D2627" s="192">
        <f t="shared" si="560"/>
        <v>0</v>
      </c>
      <c r="E2627" s="192">
        <f t="shared" si="561"/>
        <v>0</v>
      </c>
      <c r="F2627" s="192">
        <f t="shared" si="562"/>
        <v>0</v>
      </c>
      <c r="G2627" s="193">
        <f t="shared" si="563"/>
        <v>0</v>
      </c>
      <c r="H2627" s="194">
        <v>0</v>
      </c>
      <c r="I2627" s="194">
        <v>0</v>
      </c>
      <c r="J2627" s="194">
        <v>0</v>
      </c>
      <c r="K2627" s="193">
        <f t="shared" si="564"/>
        <v>0</v>
      </c>
      <c r="L2627" s="194">
        <v>0</v>
      </c>
      <c r="M2627" s="194">
        <v>0</v>
      </c>
      <c r="N2627" s="194">
        <v>0</v>
      </c>
      <c r="O2627" s="193">
        <f t="shared" si="565"/>
        <v>0</v>
      </c>
      <c r="P2627" s="194">
        <v>0</v>
      </c>
      <c r="Q2627" s="194">
        <v>0</v>
      </c>
      <c r="R2627" s="194">
        <v>0</v>
      </c>
      <c r="S2627" s="193">
        <f t="shared" si="566"/>
        <v>0</v>
      </c>
      <c r="T2627" s="193">
        <f t="shared" si="567"/>
        <v>0</v>
      </c>
      <c r="U2627" s="193">
        <f ca="1">OFFSET('Expenditure Study'!$B$7,'Operations Support'!$C2627,'Operations Support'!$B2627)*$G2627</f>
        <v>0</v>
      </c>
      <c r="V2627" s="199">
        <f ca="1">U2627*'Expenditure Study'!$B$31</f>
        <v>0</v>
      </c>
      <c r="W2627" s="199">
        <f ca="1">IF(A2627=10298,1.51,1)*IF($B2627&lt;3,$D2627*'Expenditure Study'!$B$32*OFFSET('Expenditure Study'!$B$7,'Operations Support'!$C2627,'Operations Support'!$B2627),0)</f>
        <v>0</v>
      </c>
      <c r="X2627" s="200">
        <f ca="1">W2627*'Expenditure Study'!$B$31</f>
        <v>0</v>
      </c>
      <c r="Y2627" s="199">
        <f ca="1">U2627*'Expenditure Study'!$B$31</f>
        <v>0</v>
      </c>
      <c r="Z2627" s="200">
        <f ca="1">W2627*'Expenditure Study'!$B$31</f>
        <v>0</v>
      </c>
      <c r="AA2627" s="195">
        <f t="shared" ca="1" si="568"/>
        <v>0</v>
      </c>
      <c r="AB2627" s="195">
        <f t="shared" ca="1" si="569"/>
        <v>0</v>
      </c>
      <c r="AD2627" s="196">
        <f>IFERROR($G2627/SUMIF($A:$A,$A2627,$G:$G)*SUMIF(Summary!$A$166:$A$242,$A2627,Summary!$P$166:$P$242),0)</f>
        <v>0</v>
      </c>
      <c r="AE2627" s="197">
        <f t="shared" ca="1" si="570"/>
        <v>0</v>
      </c>
      <c r="AF2627" s="196">
        <f>IFERROR(G2627/SUMIF(A:A,A2627,G:G)*SUMIF(Summary!$A$166:$A$242,'Operations Support'!A2627,Summary!$Q$166:$Q$242),0)</f>
        <v>0</v>
      </c>
      <c r="AG2627" s="196">
        <f t="shared" ca="1" si="571"/>
        <v>0</v>
      </c>
      <c r="AI2627" s="196">
        <f>IFERROR($G2627/SUMIF($A:$A,$A2627,$G:$G)*SUMIF(Summary!$A$247:$A$283,$A2627,Summary!$P$247:$P$283),0)</f>
        <v>0</v>
      </c>
      <c r="AJ2627" s="196">
        <f>IFERROR($G2627/SUMIF($A:$A,$A2627,$G:$G)*(SUMIF(Summary!$A$247:$A$283,$A2627,Summary!$L$247:$L$283)+SUMIF(Summary!$A$297:$A$333,$A2627,Summary!$L$297:$L$333))-AI2627,0)</f>
        <v>0</v>
      </c>
      <c r="AK2627" s="196">
        <f>IFERROR($G2627/SUMIF($A:$A,$A2627,$G:$G)*SUMIF(Summary!$A$247:$A$283,$A2627,Summary!$Q$247:$Q$283),0)</f>
        <v>0</v>
      </c>
      <c r="AL2627" s="196">
        <f>IFERROR($G2627/SUMIF($A:$A,$A2627,$G:$G)*(SUMIF(Summary!$A$247:$A$283,$A2627,Summary!$L$247:$L$283)+SUMIF(Summary!$A$297:$A$333,$A2627,Summary!$L$297:$L$333))-AK2627,0)</f>
        <v>0</v>
      </c>
      <c r="AM2627" s="198"/>
      <c r="AN2627" s="196">
        <f t="shared" ca="1" si="572"/>
        <v>0</v>
      </c>
      <c r="AO2627" s="196">
        <f t="shared" ca="1" si="573"/>
        <v>0</v>
      </c>
    </row>
    <row r="2628" spans="1:41">
      <c r="A2628" s="189">
        <v>9741</v>
      </c>
      <c r="B2628" s="190">
        <v>5</v>
      </c>
      <c r="C2628" s="191" t="s">
        <v>239</v>
      </c>
      <c r="D2628" s="192">
        <f t="shared" si="560"/>
        <v>0</v>
      </c>
      <c r="E2628" s="192">
        <f t="shared" si="561"/>
        <v>0</v>
      </c>
      <c r="F2628" s="192">
        <f t="shared" si="562"/>
        <v>0</v>
      </c>
      <c r="G2628" s="193">
        <f t="shared" si="563"/>
        <v>0</v>
      </c>
      <c r="H2628" s="194">
        <v>0</v>
      </c>
      <c r="I2628" s="194">
        <v>0</v>
      </c>
      <c r="J2628" s="194">
        <v>0</v>
      </c>
      <c r="K2628" s="193">
        <f t="shared" si="564"/>
        <v>0</v>
      </c>
      <c r="L2628" s="194">
        <v>0</v>
      </c>
      <c r="M2628" s="194">
        <v>0</v>
      </c>
      <c r="N2628" s="194">
        <v>0</v>
      </c>
      <c r="O2628" s="193">
        <f t="shared" si="565"/>
        <v>0</v>
      </c>
      <c r="P2628" s="194">
        <v>0</v>
      </c>
      <c r="Q2628" s="194">
        <v>0</v>
      </c>
      <c r="R2628" s="194">
        <v>0</v>
      </c>
      <c r="S2628" s="193">
        <f t="shared" si="566"/>
        <v>0</v>
      </c>
      <c r="T2628" s="193">
        <f t="shared" si="567"/>
        <v>0</v>
      </c>
      <c r="U2628" s="193">
        <f ca="1">OFFSET('Expenditure Study'!$B$7,'Operations Support'!$C2628,'Operations Support'!$B2628)*$G2628</f>
        <v>0</v>
      </c>
      <c r="V2628" s="199">
        <f ca="1">U2628*'Expenditure Study'!$B$31</f>
        <v>0</v>
      </c>
      <c r="W2628" s="199">
        <f ca="1">IF(A2628=10298,1.51,1)*IF($B2628&lt;3,$D2628*'Expenditure Study'!$B$32*OFFSET('Expenditure Study'!$B$7,'Operations Support'!$C2628,'Operations Support'!$B2628),0)</f>
        <v>0</v>
      </c>
      <c r="X2628" s="200">
        <f ca="1">W2628*'Expenditure Study'!$B$31</f>
        <v>0</v>
      </c>
      <c r="Y2628" s="199">
        <f ca="1">U2628*'Expenditure Study'!$B$31</f>
        <v>0</v>
      </c>
      <c r="Z2628" s="200">
        <f ca="1">W2628*'Expenditure Study'!$B$31</f>
        <v>0</v>
      </c>
      <c r="AA2628" s="195">
        <f t="shared" ca="1" si="568"/>
        <v>0</v>
      </c>
      <c r="AB2628" s="195">
        <f t="shared" ca="1" si="569"/>
        <v>0</v>
      </c>
      <c r="AD2628" s="196">
        <f>IFERROR($G2628/SUMIF($A:$A,$A2628,$G:$G)*SUMIF(Summary!$A$166:$A$242,$A2628,Summary!$P$166:$P$242),0)</f>
        <v>0</v>
      </c>
      <c r="AE2628" s="197">
        <f t="shared" ca="1" si="570"/>
        <v>0</v>
      </c>
      <c r="AF2628" s="196">
        <f>IFERROR(G2628/SUMIF(A:A,A2628,G:G)*SUMIF(Summary!$A$166:$A$242,'Operations Support'!A2628,Summary!$Q$166:$Q$242),0)</f>
        <v>0</v>
      </c>
      <c r="AG2628" s="196">
        <f t="shared" ca="1" si="571"/>
        <v>0</v>
      </c>
      <c r="AI2628" s="196">
        <f>IFERROR($G2628/SUMIF($A:$A,$A2628,$G:$G)*SUMIF(Summary!$A$247:$A$283,$A2628,Summary!$P$247:$P$283),0)</f>
        <v>0</v>
      </c>
      <c r="AJ2628" s="196">
        <f>IFERROR($G2628/SUMIF($A:$A,$A2628,$G:$G)*(SUMIF(Summary!$A$247:$A$283,$A2628,Summary!$L$247:$L$283)+SUMIF(Summary!$A$297:$A$333,$A2628,Summary!$L$297:$L$333))-AI2628,0)</f>
        <v>0</v>
      </c>
      <c r="AK2628" s="196">
        <f>IFERROR($G2628/SUMIF($A:$A,$A2628,$G:$G)*SUMIF(Summary!$A$247:$A$283,$A2628,Summary!$Q$247:$Q$283),0)</f>
        <v>0</v>
      </c>
      <c r="AL2628" s="196">
        <f>IFERROR($G2628/SUMIF($A:$A,$A2628,$G:$G)*(SUMIF(Summary!$A$247:$A$283,$A2628,Summary!$L$247:$L$283)+SUMIF(Summary!$A$297:$A$333,$A2628,Summary!$L$297:$L$333))-AK2628,0)</f>
        <v>0</v>
      </c>
      <c r="AM2628" s="198"/>
      <c r="AN2628" s="196">
        <f t="shared" ca="1" si="572"/>
        <v>0</v>
      </c>
      <c r="AO2628" s="196">
        <f t="shared" ca="1" si="573"/>
        <v>0</v>
      </c>
    </row>
    <row r="2629" spans="1:41">
      <c r="A2629" s="189">
        <v>9741</v>
      </c>
      <c r="B2629" s="190">
        <v>5</v>
      </c>
      <c r="C2629" s="191" t="s">
        <v>240</v>
      </c>
      <c r="D2629" s="192">
        <f t="shared" ref="D2629:D2692" si="574">H2629+L2629+P2629</f>
        <v>0</v>
      </c>
      <c r="E2629" s="192">
        <f t="shared" ref="E2629:E2692" si="575">I2629+M2629+Q2629</f>
        <v>0</v>
      </c>
      <c r="F2629" s="192">
        <f t="shared" ref="F2629:F2692" si="576">J2629+N2629+R2629</f>
        <v>0</v>
      </c>
      <c r="G2629" s="193">
        <f t="shared" ref="G2629:G2692" si="577">(SUM(D2629:E2629)-F2629)*IF(A2629=10298,1.51,1)</f>
        <v>0</v>
      </c>
      <c r="H2629" s="194">
        <v>0</v>
      </c>
      <c r="I2629" s="194">
        <v>0</v>
      </c>
      <c r="J2629" s="194">
        <v>0</v>
      </c>
      <c r="K2629" s="193">
        <f t="shared" ref="K2629:K2692" si="578">SUM(H2629:I2629)-J2629</f>
        <v>0</v>
      </c>
      <c r="L2629" s="194">
        <v>0</v>
      </c>
      <c r="M2629" s="194">
        <v>0</v>
      </c>
      <c r="N2629" s="194">
        <v>0</v>
      </c>
      <c r="O2629" s="193">
        <f t="shared" ref="O2629:O2692" si="579">SUM(L2629:M2629)-N2629</f>
        <v>0</v>
      </c>
      <c r="P2629" s="194">
        <v>0</v>
      </c>
      <c r="Q2629" s="194">
        <v>0</v>
      </c>
      <c r="R2629" s="194">
        <v>0</v>
      </c>
      <c r="S2629" s="193">
        <f t="shared" ref="S2629:S2692" si="580">SUM(P2629:Q2629)-R2629</f>
        <v>0</v>
      </c>
      <c r="T2629" s="193">
        <f t="shared" ref="T2629:T2692" si="581">IF(OR(B2629=1,B2629=2),G2629/30,IF(OR(B2629=3,B2629=5),G2629/24,IF(B2629=4,G2629/18,0)))</f>
        <v>0</v>
      </c>
      <c r="U2629" s="193">
        <f ca="1">OFFSET('Expenditure Study'!$B$7,'Operations Support'!$C2629,'Operations Support'!$B2629)*$G2629</f>
        <v>0</v>
      </c>
      <c r="V2629" s="199">
        <f ca="1">U2629*'Expenditure Study'!$B$31</f>
        <v>0</v>
      </c>
      <c r="W2629" s="199">
        <f ca="1">IF(A2629=10298,1.51,1)*IF($B2629&lt;3,$D2629*'Expenditure Study'!$B$32*OFFSET('Expenditure Study'!$B$7,'Operations Support'!$C2629,'Operations Support'!$B2629),0)</f>
        <v>0</v>
      </c>
      <c r="X2629" s="200">
        <f ca="1">W2629*'Expenditure Study'!$B$31</f>
        <v>0</v>
      </c>
      <c r="Y2629" s="199">
        <f ca="1">U2629*'Expenditure Study'!$B$31</f>
        <v>0</v>
      </c>
      <c r="Z2629" s="200">
        <f ca="1">W2629*'Expenditure Study'!$B$31</f>
        <v>0</v>
      </c>
      <c r="AA2629" s="195">
        <f t="shared" ref="AA2629:AA2692" ca="1" si="582">V2629+X2629</f>
        <v>0</v>
      </c>
      <c r="AB2629" s="195">
        <f t="shared" ref="AB2629:AB2692" ca="1" si="583">Y2629+Z2629</f>
        <v>0</v>
      </c>
      <c r="AD2629" s="196">
        <f>IFERROR($G2629/SUMIF($A:$A,$A2629,$G:$G)*SUMIF(Summary!$A$166:$A$242,$A2629,Summary!$P$166:$P$242),0)</f>
        <v>0</v>
      </c>
      <c r="AE2629" s="197">
        <f t="shared" ca="1" si="570"/>
        <v>0</v>
      </c>
      <c r="AF2629" s="196">
        <f>IFERROR(G2629/SUMIF(A:A,A2629,G:G)*SUMIF(Summary!$A$166:$A$242,'Operations Support'!A2629,Summary!$Q$166:$Q$242),0)</f>
        <v>0</v>
      </c>
      <c r="AG2629" s="196">
        <f t="shared" ca="1" si="571"/>
        <v>0</v>
      </c>
      <c r="AI2629" s="196">
        <f>IFERROR($G2629/SUMIF($A:$A,$A2629,$G:$G)*SUMIF(Summary!$A$247:$A$283,$A2629,Summary!$P$247:$P$283),0)</f>
        <v>0</v>
      </c>
      <c r="AJ2629" s="196">
        <f>IFERROR($G2629/SUMIF($A:$A,$A2629,$G:$G)*(SUMIF(Summary!$A$247:$A$283,$A2629,Summary!$L$247:$L$283)+SUMIF(Summary!$A$297:$A$333,$A2629,Summary!$L$297:$L$333))-AI2629,0)</f>
        <v>0</v>
      </c>
      <c r="AK2629" s="196">
        <f>IFERROR($G2629/SUMIF($A:$A,$A2629,$G:$G)*SUMIF(Summary!$A$247:$A$283,$A2629,Summary!$Q$247:$Q$283),0)</f>
        <v>0</v>
      </c>
      <c r="AL2629" s="196">
        <f>IFERROR($G2629/SUMIF($A:$A,$A2629,$G:$G)*(SUMIF(Summary!$A$247:$A$283,$A2629,Summary!$L$247:$L$283)+SUMIF(Summary!$A$297:$A$333,$A2629,Summary!$L$297:$L$333))-AK2629,0)</f>
        <v>0</v>
      </c>
      <c r="AM2629" s="198"/>
      <c r="AN2629" s="196">
        <f t="shared" ca="1" si="572"/>
        <v>0</v>
      </c>
      <c r="AO2629" s="196">
        <f t="shared" ca="1" si="573"/>
        <v>0</v>
      </c>
    </row>
    <row r="2630" spans="1:41">
      <c r="A2630" s="189">
        <v>9930</v>
      </c>
      <c r="B2630" s="190">
        <v>1</v>
      </c>
      <c r="C2630" s="191" t="s">
        <v>220</v>
      </c>
      <c r="D2630" s="192">
        <f t="shared" si="574"/>
        <v>7776</v>
      </c>
      <c r="E2630" s="192">
        <f t="shared" si="575"/>
        <v>20844</v>
      </c>
      <c r="F2630" s="192">
        <f t="shared" si="576"/>
        <v>0</v>
      </c>
      <c r="G2630" s="193">
        <f t="shared" si="577"/>
        <v>28620</v>
      </c>
      <c r="H2630" s="194">
        <v>3017</v>
      </c>
      <c r="I2630" s="194">
        <v>8719</v>
      </c>
      <c r="J2630" s="194">
        <v>0</v>
      </c>
      <c r="K2630" s="193">
        <f t="shared" si="578"/>
        <v>11736</v>
      </c>
      <c r="L2630" s="194">
        <v>3285</v>
      </c>
      <c r="M2630" s="194">
        <v>10295</v>
      </c>
      <c r="N2630" s="194">
        <v>0</v>
      </c>
      <c r="O2630" s="193">
        <f t="shared" si="579"/>
        <v>13580</v>
      </c>
      <c r="P2630" s="194">
        <v>1474</v>
      </c>
      <c r="Q2630" s="194">
        <v>1830</v>
      </c>
      <c r="R2630" s="194">
        <v>0</v>
      </c>
      <c r="S2630" s="193">
        <f t="shared" si="580"/>
        <v>3304</v>
      </c>
      <c r="T2630" s="193">
        <f t="shared" si="581"/>
        <v>954</v>
      </c>
      <c r="U2630" s="193">
        <f ca="1">OFFSET('Expenditure Study'!$B$7,'Operations Support'!$C2630,'Operations Support'!$B2630)*$G2630</f>
        <v>28620</v>
      </c>
      <c r="V2630" s="199">
        <f ca="1">U2630*'Expenditure Study'!$B$31</f>
        <v>1690960.6344960001</v>
      </c>
      <c r="W2630" s="199">
        <f ca="1">IF(A2630=10298,1.51,1)*IF($B2630&lt;3,$D2630*'Expenditure Study'!$B$32*OFFSET('Expenditure Study'!$B$7,'Operations Support'!$C2630,'Operations Support'!$B2630),0)</f>
        <v>777.6</v>
      </c>
      <c r="X2630" s="200">
        <f ca="1">W2630*'Expenditure Study'!$B$31</f>
        <v>45943.081390079999</v>
      </c>
      <c r="Y2630" s="199">
        <f ca="1">U2630*'Expenditure Study'!$B$31</f>
        <v>1690960.6344960001</v>
      </c>
      <c r="Z2630" s="200">
        <f ca="1">W2630*'Expenditure Study'!$B$31</f>
        <v>45943.081390079999</v>
      </c>
      <c r="AA2630" s="195">
        <f t="shared" ca="1" si="582"/>
        <v>1736903.7158860802</v>
      </c>
      <c r="AB2630" s="195">
        <f t="shared" ca="1" si="583"/>
        <v>1736903.7158860802</v>
      </c>
      <c r="AD2630" s="196">
        <f>IFERROR($G2630/SUMIF($A:$A,$A2630,$G:$G)*SUMIF(Summary!$A$166:$A$242,$A2630,Summary!$P$166:$P$242),0)</f>
        <v>1108685.1659735946</v>
      </c>
      <c r="AE2630" s="197">
        <f t="shared" ref="AE2630:AE2693" ca="1" si="584">V2630+X2630-AD2630</f>
        <v>628218.54991248553</v>
      </c>
      <c r="AF2630" s="196">
        <f>IFERROR(G2630/SUMIF(A:A,A2630,G:G)*SUMIF(Summary!$A$166:$A$242,'Operations Support'!A2630,Summary!$Q$166:$Q$242),0)</f>
        <v>1109787.3206671614</v>
      </c>
      <c r="AG2630" s="196">
        <f t="shared" ref="AG2630:AG2693" ca="1" si="585">Y2630+Z2630-AF2630</f>
        <v>627116.3952189188</v>
      </c>
      <c r="AI2630" s="196">
        <f>IFERROR($G2630/SUMIF($A:$A,$A2630,$G:$G)*SUMIF(Summary!$A$247:$A$283,$A2630,Summary!$P$247:$P$283),0)</f>
        <v>202196.50734366931</v>
      </c>
      <c r="AJ2630" s="196">
        <f>IFERROR($G2630/SUMIF($A:$A,$A2630,$G:$G)*(SUMIF(Summary!$A$247:$A$283,$A2630,Summary!$L$247:$L$283)+SUMIF(Summary!$A$297:$A$333,$A2630,Summary!$L$297:$L$333))-AI2630,0)</f>
        <v>679677.85271141876</v>
      </c>
      <c r="AK2630" s="196">
        <f>IFERROR($G2630/SUMIF($A:$A,$A2630,$G:$G)*SUMIF(Summary!$A$247:$A$283,$A2630,Summary!$Q$247:$Q$283),0)</f>
        <v>202397.51285581209</v>
      </c>
      <c r="AL2630" s="196">
        <f>IFERROR($G2630/SUMIF($A:$A,$A2630,$G:$G)*(SUMIF(Summary!$A$247:$A$283,$A2630,Summary!$L$247:$L$283)+SUMIF(Summary!$A$297:$A$333,$A2630,Summary!$L$297:$L$333))-AK2630,0)</f>
        <v>679476.84719927597</v>
      </c>
      <c r="AM2630" s="198"/>
      <c r="AN2630" s="196">
        <f t="shared" ref="AN2630:AN2693" ca="1" si="586">AE2630+AJ2630</f>
        <v>1307896.4026239044</v>
      </c>
      <c r="AO2630" s="196">
        <f t="shared" ref="AO2630:AO2693" ca="1" si="587">AG2630+AL2630</f>
        <v>1306593.2424181947</v>
      </c>
    </row>
    <row r="2631" spans="1:41">
      <c r="A2631" s="189">
        <v>9930</v>
      </c>
      <c r="B2631" s="190">
        <v>1</v>
      </c>
      <c r="C2631" s="191" t="s">
        <v>221</v>
      </c>
      <c r="D2631" s="192">
        <f t="shared" si="574"/>
        <v>3446</v>
      </c>
      <c r="E2631" s="192">
        <f t="shared" si="575"/>
        <v>5385</v>
      </c>
      <c r="F2631" s="192">
        <f t="shared" si="576"/>
        <v>0</v>
      </c>
      <c r="G2631" s="193">
        <f t="shared" si="577"/>
        <v>8831</v>
      </c>
      <c r="H2631" s="194">
        <v>1765</v>
      </c>
      <c r="I2631" s="194">
        <v>2213</v>
      </c>
      <c r="J2631" s="194">
        <v>0</v>
      </c>
      <c r="K2631" s="193">
        <f t="shared" si="578"/>
        <v>3978</v>
      </c>
      <c r="L2631" s="194">
        <v>1567</v>
      </c>
      <c r="M2631" s="194">
        <v>2397</v>
      </c>
      <c r="N2631" s="194">
        <v>0</v>
      </c>
      <c r="O2631" s="193">
        <f t="shared" si="579"/>
        <v>3964</v>
      </c>
      <c r="P2631" s="194">
        <v>114</v>
      </c>
      <c r="Q2631" s="194">
        <v>775</v>
      </c>
      <c r="R2631" s="194">
        <v>0</v>
      </c>
      <c r="S2631" s="193">
        <f t="shared" si="580"/>
        <v>889</v>
      </c>
      <c r="T2631" s="193">
        <f t="shared" si="581"/>
        <v>294.36666666666667</v>
      </c>
      <c r="U2631" s="193">
        <f ca="1">OFFSET('Expenditure Study'!$B$7,'Operations Support'!$C2631,'Operations Support'!$B2631)*$G2631</f>
        <v>11833.54</v>
      </c>
      <c r="V2631" s="199">
        <f ca="1">U2631*'Expenditure Study'!$B$31</f>
        <v>699163.18332403211</v>
      </c>
      <c r="W2631" s="199">
        <f ca="1">IF(A2631=10298,1.51,1)*IF($B2631&lt;3,$D2631*'Expenditure Study'!$B$32*OFFSET('Expenditure Study'!$B$7,'Operations Support'!$C2631,'Operations Support'!$B2631),0)</f>
        <v>461.76400000000007</v>
      </c>
      <c r="X2631" s="200">
        <f ca="1">W2631*'Expenditure Study'!$B$31</f>
        <v>27282.485898931205</v>
      </c>
      <c r="Y2631" s="199">
        <f ca="1">U2631*'Expenditure Study'!$B$31</f>
        <v>699163.18332403211</v>
      </c>
      <c r="Z2631" s="200">
        <f ca="1">W2631*'Expenditure Study'!$B$31</f>
        <v>27282.485898931205</v>
      </c>
      <c r="AA2631" s="195">
        <f t="shared" ca="1" si="582"/>
        <v>726445.66922296328</v>
      </c>
      <c r="AB2631" s="195">
        <f t="shared" ca="1" si="583"/>
        <v>726445.66922296328</v>
      </c>
      <c r="AD2631" s="196">
        <f>IFERROR($G2631/SUMIF($A:$A,$A2631,$G:$G)*SUMIF(Summary!$A$166:$A$242,$A2631,Summary!$P$166:$P$242),0)</f>
        <v>342096.39066082513</v>
      </c>
      <c r="AE2631" s="197">
        <f t="shared" ca="1" si="584"/>
        <v>384349.27856213815</v>
      </c>
      <c r="AF2631" s="196">
        <f>IFERROR(G2631/SUMIF(A:A,A2631,G:G)*SUMIF(Summary!$A$166:$A$242,'Operations Support'!A2631,Summary!$Q$166:$Q$242),0)</f>
        <v>342436.47200599941</v>
      </c>
      <c r="AG2631" s="196">
        <f t="shared" ca="1" si="585"/>
        <v>384009.19721696386</v>
      </c>
      <c r="AI2631" s="196">
        <f>IFERROR($G2631/SUMIF($A:$A,$A2631,$G:$G)*SUMIF(Summary!$A$247:$A$283,$A2631,Summary!$P$247:$P$283),0)</f>
        <v>62389.844736266379</v>
      </c>
      <c r="AJ2631" s="196">
        <f>IFERROR($G2631/SUMIF($A:$A,$A2631,$G:$G)*(SUMIF(Summary!$A$247:$A$283,$A2631,Summary!$L$247:$L$283)+SUMIF(Summary!$A$297:$A$333,$A2631,Summary!$L$297:$L$333))-AI2631,0)</f>
        <v>209721.70221154924</v>
      </c>
      <c r="AK2631" s="196">
        <f>IFERROR($G2631/SUMIF($A:$A,$A2631,$G:$G)*SUMIF(Summary!$A$247:$A$283,$A2631,Summary!$Q$247:$Q$283),0)</f>
        <v>62451.867086990795</v>
      </c>
      <c r="AL2631" s="196">
        <f>IFERROR($G2631/SUMIF($A:$A,$A2631,$G:$G)*(SUMIF(Summary!$A$247:$A$283,$A2631,Summary!$L$247:$L$283)+SUMIF(Summary!$A$297:$A$333,$A2631,Summary!$L$297:$L$333))-AK2631,0)</f>
        <v>209659.67986082484</v>
      </c>
      <c r="AM2631" s="198"/>
      <c r="AN2631" s="196">
        <f t="shared" ca="1" si="586"/>
        <v>594070.98077368736</v>
      </c>
      <c r="AO2631" s="196">
        <f t="shared" ca="1" si="587"/>
        <v>593668.8770777887</v>
      </c>
    </row>
    <row r="2632" spans="1:41">
      <c r="A2632" s="189">
        <v>9930</v>
      </c>
      <c r="B2632" s="190">
        <v>1</v>
      </c>
      <c r="C2632" s="191" t="s">
        <v>222</v>
      </c>
      <c r="D2632" s="192">
        <f t="shared" si="574"/>
        <v>2245</v>
      </c>
      <c r="E2632" s="192">
        <f t="shared" si="575"/>
        <v>2070</v>
      </c>
      <c r="F2632" s="192">
        <f t="shared" si="576"/>
        <v>0</v>
      </c>
      <c r="G2632" s="193">
        <f t="shared" si="577"/>
        <v>4315</v>
      </c>
      <c r="H2632" s="194">
        <v>1081</v>
      </c>
      <c r="I2632" s="194">
        <v>835</v>
      </c>
      <c r="J2632" s="194">
        <v>0</v>
      </c>
      <c r="K2632" s="193">
        <f t="shared" si="578"/>
        <v>1916</v>
      </c>
      <c r="L2632" s="194">
        <v>1035</v>
      </c>
      <c r="M2632" s="194">
        <v>1083</v>
      </c>
      <c r="N2632" s="194">
        <v>0</v>
      </c>
      <c r="O2632" s="193">
        <f t="shared" si="579"/>
        <v>2118</v>
      </c>
      <c r="P2632" s="194">
        <v>129</v>
      </c>
      <c r="Q2632" s="194">
        <v>152</v>
      </c>
      <c r="R2632" s="194">
        <v>0</v>
      </c>
      <c r="S2632" s="193">
        <f t="shared" si="580"/>
        <v>281</v>
      </c>
      <c r="T2632" s="193">
        <f t="shared" si="581"/>
        <v>143.83333333333334</v>
      </c>
      <c r="U2632" s="193">
        <f ca="1">OFFSET('Expenditure Study'!$B$7,'Operations Support'!$C2632,'Operations Support'!$B2632)*$G2632</f>
        <v>5911.55</v>
      </c>
      <c r="V2632" s="199">
        <f ca="1">U2632*'Expenditure Study'!$B$31</f>
        <v>349273.17745824001</v>
      </c>
      <c r="W2632" s="199">
        <f ca="1">IF(A2632=10298,1.51,1)*IF($B2632&lt;3,$D2632*'Expenditure Study'!$B$32*OFFSET('Expenditure Study'!$B$7,'Operations Support'!$C2632,'Operations Support'!$B2632),0)</f>
        <v>307.565</v>
      </c>
      <c r="X2632" s="200">
        <f ca="1">W2632*'Expenditure Study'!$B$31</f>
        <v>18171.918502752</v>
      </c>
      <c r="Y2632" s="199">
        <f ca="1">U2632*'Expenditure Study'!$B$31</f>
        <v>349273.17745824001</v>
      </c>
      <c r="Z2632" s="200">
        <f ca="1">W2632*'Expenditure Study'!$B$31</f>
        <v>18171.918502752</v>
      </c>
      <c r="AA2632" s="195">
        <f t="shared" ca="1" si="582"/>
        <v>367445.09596099204</v>
      </c>
      <c r="AB2632" s="195">
        <f t="shared" ca="1" si="583"/>
        <v>367445.09596099204</v>
      </c>
      <c r="AD2632" s="196">
        <f>IFERROR($G2632/SUMIF($A:$A,$A2632,$G:$G)*SUMIF(Summary!$A$166:$A$242,$A2632,Summary!$P$166:$P$242),0)</f>
        <v>167155.01366792666</v>
      </c>
      <c r="AE2632" s="197">
        <f t="shared" ca="1" si="584"/>
        <v>200290.08229306538</v>
      </c>
      <c r="AF2632" s="196">
        <f>IFERROR(G2632/SUMIF(A:A,A2632,G:G)*SUMIF(Summary!$A$166:$A$242,'Operations Support'!A2632,Summary!$Q$166:$Q$242),0)</f>
        <v>167321.1840908037</v>
      </c>
      <c r="AG2632" s="196">
        <f t="shared" ca="1" si="585"/>
        <v>200123.91187018834</v>
      </c>
      <c r="AI2632" s="196">
        <f>IFERROR($G2632/SUMIF($A:$A,$A2632,$G:$G)*SUMIF(Summary!$A$247:$A$283,$A2632,Summary!$P$247:$P$283),0)</f>
        <v>30484.903186161184</v>
      </c>
      <c r="AJ2632" s="196">
        <f>IFERROR($G2632/SUMIF($A:$A,$A2632,$G:$G)*(SUMIF(Summary!$A$247:$A$283,$A2632,Summary!$L$247:$L$283)+SUMIF(Summary!$A$297:$A$333,$A2632,Summary!$L$297:$L$333))-AI2632,0)</f>
        <v>102474.14166491167</v>
      </c>
      <c r="AK2632" s="196">
        <f>IFERROR($G2632/SUMIF($A:$A,$A2632,$G:$G)*SUMIF(Summary!$A$247:$A$283,$A2632,Summary!$Q$247:$Q$283),0)</f>
        <v>30515.208524557271</v>
      </c>
      <c r="AL2632" s="196">
        <f>IFERROR($G2632/SUMIF($A:$A,$A2632,$G:$G)*(SUMIF(Summary!$A$247:$A$283,$A2632,Summary!$L$247:$L$283)+SUMIF(Summary!$A$297:$A$333,$A2632,Summary!$L$297:$L$333))-AK2632,0)</f>
        <v>102443.83632651559</v>
      </c>
      <c r="AM2632" s="198"/>
      <c r="AN2632" s="196">
        <f t="shared" ca="1" si="586"/>
        <v>302764.22395797702</v>
      </c>
      <c r="AO2632" s="196">
        <f t="shared" ca="1" si="587"/>
        <v>302567.74819670396</v>
      </c>
    </row>
    <row r="2633" spans="1:41">
      <c r="A2633" s="189">
        <v>9930</v>
      </c>
      <c r="B2633" s="190">
        <v>1</v>
      </c>
      <c r="C2633" s="191" t="s">
        <v>223</v>
      </c>
      <c r="D2633" s="192">
        <f t="shared" si="574"/>
        <v>87</v>
      </c>
      <c r="E2633" s="192">
        <f t="shared" si="575"/>
        <v>246</v>
      </c>
      <c r="F2633" s="192">
        <f t="shared" si="576"/>
        <v>0</v>
      </c>
      <c r="G2633" s="193">
        <f t="shared" si="577"/>
        <v>333</v>
      </c>
      <c r="H2633" s="194">
        <v>27</v>
      </c>
      <c r="I2633" s="194">
        <v>126</v>
      </c>
      <c r="J2633" s="194">
        <v>0</v>
      </c>
      <c r="K2633" s="193">
        <f t="shared" si="578"/>
        <v>153</v>
      </c>
      <c r="L2633" s="194">
        <v>48</v>
      </c>
      <c r="M2633" s="194">
        <v>93</v>
      </c>
      <c r="N2633" s="194">
        <v>0</v>
      </c>
      <c r="O2633" s="193">
        <f t="shared" si="579"/>
        <v>141</v>
      </c>
      <c r="P2633" s="194">
        <v>12</v>
      </c>
      <c r="Q2633" s="194">
        <v>27</v>
      </c>
      <c r="R2633" s="194">
        <v>0</v>
      </c>
      <c r="S2633" s="193">
        <f t="shared" si="580"/>
        <v>39</v>
      </c>
      <c r="T2633" s="193">
        <f t="shared" si="581"/>
        <v>11.1</v>
      </c>
      <c r="U2633" s="193">
        <f ca="1">OFFSET('Expenditure Study'!$B$7,'Operations Support'!$C2633,'Operations Support'!$B2633)*$G2633</f>
        <v>419.58</v>
      </c>
      <c r="V2633" s="199">
        <f ca="1">U2633*'Expenditure Study'!$B$31</f>
        <v>24790.121000063999</v>
      </c>
      <c r="W2633" s="199">
        <f ca="1">IF(A2633=10298,1.51,1)*IF($B2633&lt;3,$D2633*'Expenditure Study'!$B$32*OFFSET('Expenditure Study'!$B$7,'Operations Support'!$C2633,'Operations Support'!$B2633),0)</f>
        <v>10.962000000000002</v>
      </c>
      <c r="X2633" s="200">
        <f ca="1">W2633*'Expenditure Study'!$B$31</f>
        <v>647.66982792960005</v>
      </c>
      <c r="Y2633" s="199">
        <f ca="1">U2633*'Expenditure Study'!$B$31</f>
        <v>24790.121000063999</v>
      </c>
      <c r="Z2633" s="200">
        <f ca="1">W2633*'Expenditure Study'!$B$31</f>
        <v>647.66982792960005</v>
      </c>
      <c r="AA2633" s="195">
        <f t="shared" ca="1" si="582"/>
        <v>25437.790827993598</v>
      </c>
      <c r="AB2633" s="195">
        <f t="shared" ca="1" si="583"/>
        <v>25437.790827993598</v>
      </c>
      <c r="AD2633" s="196">
        <f>IFERROR($G2633/SUMIF($A:$A,$A2633,$G:$G)*SUMIF(Summary!$A$166:$A$242,$A2633,Summary!$P$166:$P$242),0)</f>
        <v>12899.795956296541</v>
      </c>
      <c r="AE2633" s="197">
        <f t="shared" ca="1" si="584"/>
        <v>12537.994871697058</v>
      </c>
      <c r="AF2633" s="196">
        <f>IFERROR(G2633/SUMIF(A:A,A2633,G:G)*SUMIF(Summary!$A$166:$A$242,'Operations Support'!A2633,Summary!$Q$166:$Q$242),0)</f>
        <v>12912.619768768858</v>
      </c>
      <c r="AG2633" s="196">
        <f t="shared" ca="1" si="585"/>
        <v>12525.17105922474</v>
      </c>
      <c r="AI2633" s="196">
        <f>IFERROR($G2633/SUMIF($A:$A,$A2633,$G:$G)*SUMIF(Summary!$A$247:$A$283,$A2633,Summary!$P$247:$P$283),0)</f>
        <v>2352.6008716087308</v>
      </c>
      <c r="AJ2633" s="196">
        <f>IFERROR($G2633/SUMIF($A:$A,$A2633,$G:$G)*(SUMIF(Summary!$A$247:$A$283,$A2633,Summary!$L$247:$L$283)+SUMIF(Summary!$A$297:$A$333,$A2633,Summary!$L$297:$L$333))-AI2633,0)</f>
        <v>7908.2014309190217</v>
      </c>
      <c r="AK2633" s="196">
        <f>IFERROR($G2633/SUMIF($A:$A,$A2633,$G:$G)*SUMIF(Summary!$A$247:$A$283,$A2633,Summary!$Q$247:$Q$283),0)</f>
        <v>2354.9396149890081</v>
      </c>
      <c r="AL2633" s="196">
        <f>IFERROR($G2633/SUMIF($A:$A,$A2633,$G:$G)*(SUMIF(Summary!$A$247:$A$283,$A2633,Summary!$L$247:$L$283)+SUMIF(Summary!$A$297:$A$333,$A2633,Summary!$L$297:$L$333))-AK2633,0)</f>
        <v>7905.8626875387445</v>
      </c>
      <c r="AM2633" s="198"/>
      <c r="AN2633" s="196">
        <f t="shared" ca="1" si="586"/>
        <v>20446.196302616081</v>
      </c>
      <c r="AO2633" s="196">
        <f t="shared" ca="1" si="587"/>
        <v>20431.033746763485</v>
      </c>
    </row>
    <row r="2634" spans="1:41">
      <c r="A2634" s="189">
        <v>9930</v>
      </c>
      <c r="B2634" s="190">
        <v>1</v>
      </c>
      <c r="C2634" s="191" t="s">
        <v>224</v>
      </c>
      <c r="D2634" s="192">
        <f t="shared" si="574"/>
        <v>0</v>
      </c>
      <c r="E2634" s="192">
        <f t="shared" si="575"/>
        <v>0</v>
      </c>
      <c r="F2634" s="192">
        <f t="shared" si="576"/>
        <v>0</v>
      </c>
      <c r="G2634" s="193">
        <f t="shared" si="577"/>
        <v>0</v>
      </c>
      <c r="H2634" s="194">
        <v>0</v>
      </c>
      <c r="I2634" s="194">
        <v>0</v>
      </c>
      <c r="J2634" s="194">
        <v>0</v>
      </c>
      <c r="K2634" s="193">
        <f t="shared" si="578"/>
        <v>0</v>
      </c>
      <c r="L2634" s="194">
        <v>0</v>
      </c>
      <c r="M2634" s="194">
        <v>0</v>
      </c>
      <c r="N2634" s="194">
        <v>0</v>
      </c>
      <c r="O2634" s="193">
        <f t="shared" si="579"/>
        <v>0</v>
      </c>
      <c r="P2634" s="194">
        <v>0</v>
      </c>
      <c r="Q2634" s="194">
        <v>0</v>
      </c>
      <c r="R2634" s="194">
        <v>0</v>
      </c>
      <c r="S2634" s="193">
        <f t="shared" si="580"/>
        <v>0</v>
      </c>
      <c r="T2634" s="193">
        <f t="shared" si="581"/>
        <v>0</v>
      </c>
      <c r="U2634" s="193">
        <f ca="1">OFFSET('Expenditure Study'!$B$7,'Operations Support'!$C2634,'Operations Support'!$B2634)*$G2634</f>
        <v>0</v>
      </c>
      <c r="V2634" s="199">
        <f ca="1">U2634*'Expenditure Study'!$B$31</f>
        <v>0</v>
      </c>
      <c r="W2634" s="199">
        <f ca="1">IF(A2634=10298,1.51,1)*IF($B2634&lt;3,$D2634*'Expenditure Study'!$B$32*OFFSET('Expenditure Study'!$B$7,'Operations Support'!$C2634,'Operations Support'!$B2634),0)</f>
        <v>0</v>
      </c>
      <c r="X2634" s="200">
        <f ca="1">W2634*'Expenditure Study'!$B$31</f>
        <v>0</v>
      </c>
      <c r="Y2634" s="199">
        <f ca="1">U2634*'Expenditure Study'!$B$31</f>
        <v>0</v>
      </c>
      <c r="Z2634" s="200">
        <f ca="1">W2634*'Expenditure Study'!$B$31</f>
        <v>0</v>
      </c>
      <c r="AA2634" s="195">
        <f t="shared" ca="1" si="582"/>
        <v>0</v>
      </c>
      <c r="AB2634" s="195">
        <f t="shared" ca="1" si="583"/>
        <v>0</v>
      </c>
      <c r="AD2634" s="196">
        <f>IFERROR($G2634/SUMIF($A:$A,$A2634,$G:$G)*SUMIF(Summary!$A$166:$A$242,$A2634,Summary!$P$166:$P$242),0)</f>
        <v>0</v>
      </c>
      <c r="AE2634" s="197">
        <f t="shared" ca="1" si="584"/>
        <v>0</v>
      </c>
      <c r="AF2634" s="196">
        <f>IFERROR(G2634/SUMIF(A:A,A2634,G:G)*SUMIF(Summary!$A$166:$A$242,'Operations Support'!A2634,Summary!$Q$166:$Q$242),0)</f>
        <v>0</v>
      </c>
      <c r="AG2634" s="196">
        <f t="shared" ca="1" si="585"/>
        <v>0</v>
      </c>
      <c r="AI2634" s="196">
        <f>IFERROR($G2634/SUMIF($A:$A,$A2634,$G:$G)*SUMIF(Summary!$A$247:$A$283,$A2634,Summary!$P$247:$P$283),0)</f>
        <v>0</v>
      </c>
      <c r="AJ2634" s="196">
        <f>IFERROR($G2634/SUMIF($A:$A,$A2634,$G:$G)*(SUMIF(Summary!$A$247:$A$283,$A2634,Summary!$L$247:$L$283)+SUMIF(Summary!$A$297:$A$333,$A2634,Summary!$L$297:$L$333))-AI2634,0)</f>
        <v>0</v>
      </c>
      <c r="AK2634" s="196">
        <f>IFERROR($G2634/SUMIF($A:$A,$A2634,$G:$G)*SUMIF(Summary!$A$247:$A$283,$A2634,Summary!$Q$247:$Q$283),0)</f>
        <v>0</v>
      </c>
      <c r="AL2634" s="196">
        <f>IFERROR($G2634/SUMIF($A:$A,$A2634,$G:$G)*(SUMIF(Summary!$A$247:$A$283,$A2634,Summary!$L$247:$L$283)+SUMIF(Summary!$A$297:$A$333,$A2634,Summary!$L$297:$L$333))-AK2634,0)</f>
        <v>0</v>
      </c>
      <c r="AM2634" s="198"/>
      <c r="AN2634" s="196">
        <f t="shared" ca="1" si="586"/>
        <v>0</v>
      </c>
      <c r="AO2634" s="196">
        <f t="shared" ca="1" si="587"/>
        <v>0</v>
      </c>
    </row>
    <row r="2635" spans="1:41">
      <c r="A2635" s="189">
        <v>9930</v>
      </c>
      <c r="B2635" s="190">
        <v>1</v>
      </c>
      <c r="C2635" s="191" t="s">
        <v>225</v>
      </c>
      <c r="D2635" s="192">
        <f t="shared" si="574"/>
        <v>621</v>
      </c>
      <c r="E2635" s="192">
        <f t="shared" si="575"/>
        <v>1579</v>
      </c>
      <c r="F2635" s="192">
        <f t="shared" si="576"/>
        <v>0</v>
      </c>
      <c r="G2635" s="193">
        <f t="shared" si="577"/>
        <v>2200</v>
      </c>
      <c r="H2635" s="194">
        <v>191</v>
      </c>
      <c r="I2635" s="194">
        <v>760</v>
      </c>
      <c r="J2635" s="194">
        <v>0</v>
      </c>
      <c r="K2635" s="193">
        <f t="shared" si="578"/>
        <v>951</v>
      </c>
      <c r="L2635" s="194">
        <v>322</v>
      </c>
      <c r="M2635" s="194">
        <v>801</v>
      </c>
      <c r="N2635" s="194">
        <v>0</v>
      </c>
      <c r="O2635" s="193">
        <f t="shared" si="579"/>
        <v>1123</v>
      </c>
      <c r="P2635" s="194">
        <v>108</v>
      </c>
      <c r="Q2635" s="194">
        <v>18</v>
      </c>
      <c r="R2635" s="194">
        <v>0</v>
      </c>
      <c r="S2635" s="193">
        <f t="shared" si="580"/>
        <v>126</v>
      </c>
      <c r="T2635" s="193">
        <f t="shared" si="581"/>
        <v>73.333333333333329</v>
      </c>
      <c r="U2635" s="193">
        <f ca="1">OFFSET('Expenditure Study'!$B$7,'Operations Support'!$C2635,'Operations Support'!$B2635)*$G2635</f>
        <v>3872</v>
      </c>
      <c r="V2635" s="199">
        <f ca="1">U2635*'Expenditure Study'!$B$31</f>
        <v>228770.0760576</v>
      </c>
      <c r="W2635" s="199">
        <f ca="1">IF(A2635=10298,1.51,1)*IF($B2635&lt;3,$D2635*'Expenditure Study'!$B$32*OFFSET('Expenditure Study'!$B$7,'Operations Support'!$C2635,'Operations Support'!$B2635),0)</f>
        <v>109.29600000000001</v>
      </c>
      <c r="X2635" s="200">
        <f ca="1">W2635*'Expenditure Study'!$B$31</f>
        <v>6457.5553287168004</v>
      </c>
      <c r="Y2635" s="199">
        <f ca="1">U2635*'Expenditure Study'!$B$31</f>
        <v>228770.0760576</v>
      </c>
      <c r="Z2635" s="200">
        <f ca="1">W2635*'Expenditure Study'!$B$31</f>
        <v>6457.5553287168004</v>
      </c>
      <c r="AA2635" s="195">
        <f t="shared" ca="1" si="582"/>
        <v>235227.63138631679</v>
      </c>
      <c r="AB2635" s="195">
        <f t="shared" ca="1" si="583"/>
        <v>235227.63138631679</v>
      </c>
      <c r="AD2635" s="196">
        <f>IFERROR($G2635/SUMIF($A:$A,$A2635,$G:$G)*SUMIF(Summary!$A$166:$A$242,$A2635,Summary!$P$166:$P$242),0)</f>
        <v>85223.877188745915</v>
      </c>
      <c r="AE2635" s="197">
        <f t="shared" ca="1" si="584"/>
        <v>150003.75419757087</v>
      </c>
      <c r="AF2635" s="196">
        <f>IFERROR(G2635/SUMIF(A:A,A2635,G:G)*SUMIF(Summary!$A$166:$A$242,'Operations Support'!A2635,Summary!$Q$166:$Q$242),0)</f>
        <v>85308.599072947414</v>
      </c>
      <c r="AG2635" s="196">
        <f t="shared" ca="1" si="585"/>
        <v>149919.03231336939</v>
      </c>
      <c r="AI2635" s="196">
        <f>IFERROR($G2635/SUMIF($A:$A,$A2635,$G:$G)*SUMIF(Summary!$A$247:$A$283,$A2635,Summary!$P$247:$P$283),0)</f>
        <v>15542.708461078702</v>
      </c>
      <c r="AJ2635" s="196">
        <f>IFERROR($G2635/SUMIF($A:$A,$A2635,$G:$G)*(SUMIF(Summary!$A$247:$A$283,$A2635,Summary!$L$247:$L$283)+SUMIF(Summary!$A$297:$A$333,$A2635,Summary!$L$297:$L$333))-AI2635,0)</f>
        <v>52246.375819885434</v>
      </c>
      <c r="AK2635" s="196">
        <f>IFERROR($G2635/SUMIF($A:$A,$A2635,$G:$G)*SUMIF(Summary!$A$247:$A$283,$A2635,Summary!$Q$247:$Q$283),0)</f>
        <v>15558.159618546</v>
      </c>
      <c r="AL2635" s="196">
        <f>IFERROR($G2635/SUMIF($A:$A,$A2635,$G:$G)*(SUMIF(Summary!$A$247:$A$283,$A2635,Summary!$L$247:$L$283)+SUMIF(Summary!$A$297:$A$333,$A2635,Summary!$L$297:$L$333))-AK2635,0)</f>
        <v>52230.924662418132</v>
      </c>
      <c r="AM2635" s="198"/>
      <c r="AN2635" s="196">
        <f t="shared" ca="1" si="586"/>
        <v>202250.13001745631</v>
      </c>
      <c r="AO2635" s="196">
        <f t="shared" ca="1" si="587"/>
        <v>202149.95697578753</v>
      </c>
    </row>
    <row r="2636" spans="1:41">
      <c r="A2636" s="189">
        <v>9930</v>
      </c>
      <c r="B2636" s="190">
        <v>1</v>
      </c>
      <c r="C2636" s="191" t="s">
        <v>226</v>
      </c>
      <c r="D2636" s="192">
        <f t="shared" si="574"/>
        <v>39</v>
      </c>
      <c r="E2636" s="192">
        <f t="shared" si="575"/>
        <v>72</v>
      </c>
      <c r="F2636" s="192">
        <f t="shared" si="576"/>
        <v>0</v>
      </c>
      <c r="G2636" s="193">
        <f t="shared" si="577"/>
        <v>111</v>
      </c>
      <c r="H2636" s="194">
        <v>18</v>
      </c>
      <c r="I2636" s="194">
        <v>42</v>
      </c>
      <c r="J2636" s="194">
        <v>0</v>
      </c>
      <c r="K2636" s="193">
        <f t="shared" si="578"/>
        <v>60</v>
      </c>
      <c r="L2636" s="194">
        <v>18</v>
      </c>
      <c r="M2636" s="194">
        <v>24</v>
      </c>
      <c r="N2636" s="194">
        <v>0</v>
      </c>
      <c r="O2636" s="193">
        <f t="shared" si="579"/>
        <v>42</v>
      </c>
      <c r="P2636" s="194">
        <v>3</v>
      </c>
      <c r="Q2636" s="194">
        <v>6</v>
      </c>
      <c r="R2636" s="194">
        <v>0</v>
      </c>
      <c r="S2636" s="193">
        <f t="shared" si="580"/>
        <v>9</v>
      </c>
      <c r="T2636" s="193">
        <f t="shared" si="581"/>
        <v>3.7</v>
      </c>
      <c r="U2636" s="193">
        <f ca="1">OFFSET('Expenditure Study'!$B$7,'Operations Support'!$C2636,'Operations Support'!$B2636)*$G2636</f>
        <v>105.44999999999999</v>
      </c>
      <c r="V2636" s="199">
        <f ca="1">U2636*'Expenditure Study'!$B$31</f>
        <v>6230.3214153599993</v>
      </c>
      <c r="W2636" s="199">
        <f ca="1">IF(A2636=10298,1.51,1)*IF($B2636&lt;3,$D2636*'Expenditure Study'!$B$32*OFFSET('Expenditure Study'!$B$7,'Operations Support'!$C2636,'Operations Support'!$B2636),0)</f>
        <v>3.7050000000000001</v>
      </c>
      <c r="X2636" s="200">
        <f ca="1">W2636*'Expenditure Study'!$B$31</f>
        <v>218.903184864</v>
      </c>
      <c r="Y2636" s="199">
        <f ca="1">U2636*'Expenditure Study'!$B$31</f>
        <v>6230.3214153599993</v>
      </c>
      <c r="Z2636" s="200">
        <f ca="1">W2636*'Expenditure Study'!$B$31</f>
        <v>218.903184864</v>
      </c>
      <c r="AA2636" s="195">
        <f t="shared" ca="1" si="582"/>
        <v>6449.224600223999</v>
      </c>
      <c r="AB2636" s="195">
        <f t="shared" ca="1" si="583"/>
        <v>6449.224600223999</v>
      </c>
      <c r="AD2636" s="196">
        <f>IFERROR($G2636/SUMIF($A:$A,$A2636,$G:$G)*SUMIF(Summary!$A$166:$A$242,$A2636,Summary!$P$166:$P$242),0)</f>
        <v>4299.9319854321802</v>
      </c>
      <c r="AE2636" s="197">
        <f t="shared" ca="1" si="584"/>
        <v>2149.2926147918188</v>
      </c>
      <c r="AF2636" s="196">
        <f>IFERROR(G2636/SUMIF(A:A,A2636,G:G)*SUMIF(Summary!$A$166:$A$242,'Operations Support'!A2636,Summary!$Q$166:$Q$242),0)</f>
        <v>4304.2065895896194</v>
      </c>
      <c r="AG2636" s="196">
        <f t="shared" ca="1" si="585"/>
        <v>2145.0180106343796</v>
      </c>
      <c r="AI2636" s="196">
        <f>IFERROR($G2636/SUMIF($A:$A,$A2636,$G:$G)*SUMIF(Summary!$A$247:$A$283,$A2636,Summary!$P$247:$P$283),0)</f>
        <v>784.20029053624364</v>
      </c>
      <c r="AJ2636" s="196">
        <f>IFERROR($G2636/SUMIF($A:$A,$A2636,$G:$G)*(SUMIF(Summary!$A$247:$A$283,$A2636,Summary!$L$247:$L$283)+SUMIF(Summary!$A$297:$A$333,$A2636,Summary!$L$297:$L$333))-AI2636,0)</f>
        <v>2636.0671436396742</v>
      </c>
      <c r="AK2636" s="196">
        <f>IFERROR($G2636/SUMIF($A:$A,$A2636,$G:$G)*SUMIF(Summary!$A$247:$A$283,$A2636,Summary!$Q$247:$Q$283),0)</f>
        <v>784.97987166300277</v>
      </c>
      <c r="AL2636" s="196">
        <f>IFERROR($G2636/SUMIF($A:$A,$A2636,$G:$G)*(SUMIF(Summary!$A$247:$A$283,$A2636,Summary!$L$247:$L$283)+SUMIF(Summary!$A$297:$A$333,$A2636,Summary!$L$297:$L$333))-AK2636,0)</f>
        <v>2635.2875625129154</v>
      </c>
      <c r="AM2636" s="198"/>
      <c r="AN2636" s="196">
        <f t="shared" ca="1" si="586"/>
        <v>4785.359758431493</v>
      </c>
      <c r="AO2636" s="196">
        <f t="shared" ca="1" si="587"/>
        <v>4780.305573147295</v>
      </c>
    </row>
    <row r="2637" spans="1:41">
      <c r="A2637" s="189">
        <v>9930</v>
      </c>
      <c r="B2637" s="190">
        <v>1</v>
      </c>
      <c r="C2637" s="191" t="s">
        <v>227</v>
      </c>
      <c r="D2637" s="192">
        <f t="shared" si="574"/>
        <v>0</v>
      </c>
      <c r="E2637" s="192">
        <f t="shared" si="575"/>
        <v>0</v>
      </c>
      <c r="F2637" s="192">
        <f t="shared" si="576"/>
        <v>0</v>
      </c>
      <c r="G2637" s="193">
        <f t="shared" si="577"/>
        <v>0</v>
      </c>
      <c r="H2637" s="194">
        <v>0</v>
      </c>
      <c r="I2637" s="194">
        <v>0</v>
      </c>
      <c r="J2637" s="194">
        <v>0</v>
      </c>
      <c r="K2637" s="193">
        <f t="shared" si="578"/>
        <v>0</v>
      </c>
      <c r="L2637" s="194">
        <v>0</v>
      </c>
      <c r="M2637" s="194">
        <v>0</v>
      </c>
      <c r="N2637" s="194">
        <v>0</v>
      </c>
      <c r="O2637" s="193">
        <f t="shared" si="579"/>
        <v>0</v>
      </c>
      <c r="P2637" s="194">
        <v>0</v>
      </c>
      <c r="Q2637" s="194">
        <v>0</v>
      </c>
      <c r="R2637" s="194">
        <v>0</v>
      </c>
      <c r="S2637" s="193">
        <f t="shared" si="580"/>
        <v>0</v>
      </c>
      <c r="T2637" s="193">
        <f t="shared" si="581"/>
        <v>0</v>
      </c>
      <c r="U2637" s="193">
        <f ca="1">OFFSET('Expenditure Study'!$B$7,'Operations Support'!$C2637,'Operations Support'!$B2637)*$G2637</f>
        <v>0</v>
      </c>
      <c r="V2637" s="199">
        <f ca="1">U2637*'Expenditure Study'!$B$31</f>
        <v>0</v>
      </c>
      <c r="W2637" s="199">
        <f ca="1">IF(A2637=10298,1.51,1)*IF($B2637&lt;3,$D2637*'Expenditure Study'!$B$32*OFFSET('Expenditure Study'!$B$7,'Operations Support'!$C2637,'Operations Support'!$B2637),0)</f>
        <v>0</v>
      </c>
      <c r="X2637" s="200">
        <f ca="1">W2637*'Expenditure Study'!$B$31</f>
        <v>0</v>
      </c>
      <c r="Y2637" s="199">
        <f ca="1">U2637*'Expenditure Study'!$B$31</f>
        <v>0</v>
      </c>
      <c r="Z2637" s="200">
        <f ca="1">W2637*'Expenditure Study'!$B$31</f>
        <v>0</v>
      </c>
      <c r="AA2637" s="195">
        <f t="shared" ca="1" si="582"/>
        <v>0</v>
      </c>
      <c r="AB2637" s="195">
        <f t="shared" ca="1" si="583"/>
        <v>0</v>
      </c>
      <c r="AD2637" s="196">
        <f>IFERROR($G2637/SUMIF($A:$A,$A2637,$G:$G)*SUMIF(Summary!$A$166:$A$242,$A2637,Summary!$P$166:$P$242),0)</f>
        <v>0</v>
      </c>
      <c r="AE2637" s="197">
        <f t="shared" ca="1" si="584"/>
        <v>0</v>
      </c>
      <c r="AF2637" s="196">
        <f>IFERROR(G2637/SUMIF(A:A,A2637,G:G)*SUMIF(Summary!$A$166:$A$242,'Operations Support'!A2637,Summary!$Q$166:$Q$242),0)</f>
        <v>0</v>
      </c>
      <c r="AG2637" s="196">
        <f t="shared" ca="1" si="585"/>
        <v>0</v>
      </c>
      <c r="AI2637" s="196">
        <f>IFERROR($G2637/SUMIF($A:$A,$A2637,$G:$G)*SUMIF(Summary!$A$247:$A$283,$A2637,Summary!$P$247:$P$283),0)</f>
        <v>0</v>
      </c>
      <c r="AJ2637" s="196">
        <f>IFERROR($G2637/SUMIF($A:$A,$A2637,$G:$G)*(SUMIF(Summary!$A$247:$A$283,$A2637,Summary!$L$247:$L$283)+SUMIF(Summary!$A$297:$A$333,$A2637,Summary!$L$297:$L$333))-AI2637,0)</f>
        <v>0</v>
      </c>
      <c r="AK2637" s="196">
        <f>IFERROR($G2637/SUMIF($A:$A,$A2637,$G:$G)*SUMIF(Summary!$A$247:$A$283,$A2637,Summary!$Q$247:$Q$283),0)</f>
        <v>0</v>
      </c>
      <c r="AL2637" s="196">
        <f>IFERROR($G2637/SUMIF($A:$A,$A2637,$G:$G)*(SUMIF(Summary!$A$247:$A$283,$A2637,Summary!$L$247:$L$283)+SUMIF(Summary!$A$297:$A$333,$A2637,Summary!$L$297:$L$333))-AK2637,0)</f>
        <v>0</v>
      </c>
      <c r="AM2637" s="198"/>
      <c r="AN2637" s="196">
        <f t="shared" ca="1" si="586"/>
        <v>0</v>
      </c>
      <c r="AO2637" s="196">
        <f t="shared" ca="1" si="587"/>
        <v>0</v>
      </c>
    </row>
    <row r="2638" spans="1:41">
      <c r="A2638" s="189">
        <v>9930</v>
      </c>
      <c r="B2638" s="190">
        <v>1</v>
      </c>
      <c r="C2638" s="191" t="s">
        <v>228</v>
      </c>
      <c r="D2638" s="192">
        <f t="shared" si="574"/>
        <v>6</v>
      </c>
      <c r="E2638" s="192">
        <f t="shared" si="575"/>
        <v>204</v>
      </c>
      <c r="F2638" s="192">
        <f t="shared" si="576"/>
        <v>0</v>
      </c>
      <c r="G2638" s="193">
        <f t="shared" si="577"/>
        <v>210</v>
      </c>
      <c r="H2638" s="194">
        <v>3</v>
      </c>
      <c r="I2638" s="194">
        <v>90</v>
      </c>
      <c r="J2638" s="194">
        <v>0</v>
      </c>
      <c r="K2638" s="193">
        <f t="shared" si="578"/>
        <v>93</v>
      </c>
      <c r="L2638" s="194">
        <v>0</v>
      </c>
      <c r="M2638" s="194">
        <v>114</v>
      </c>
      <c r="N2638" s="194">
        <v>0</v>
      </c>
      <c r="O2638" s="193">
        <f t="shared" si="579"/>
        <v>114</v>
      </c>
      <c r="P2638" s="194">
        <v>3</v>
      </c>
      <c r="Q2638" s="194">
        <v>0</v>
      </c>
      <c r="R2638" s="194">
        <v>0</v>
      </c>
      <c r="S2638" s="193">
        <f t="shared" si="580"/>
        <v>3</v>
      </c>
      <c r="T2638" s="193">
        <f t="shared" si="581"/>
        <v>7</v>
      </c>
      <c r="U2638" s="193">
        <f ca="1">OFFSET('Expenditure Study'!$B$7,'Operations Support'!$C2638,'Operations Support'!$B2638)*$G2638</f>
        <v>331.8</v>
      </c>
      <c r="V2638" s="199">
        <f ca="1">U2638*'Expenditure Study'!$B$31</f>
        <v>19603.799389440002</v>
      </c>
      <c r="W2638" s="199">
        <f ca="1">IF(A2638=10298,1.51,1)*IF($B2638&lt;3,$D2638*'Expenditure Study'!$B$32*OFFSET('Expenditure Study'!$B$7,'Operations Support'!$C2638,'Operations Support'!$B2638),0)</f>
        <v>0.94800000000000018</v>
      </c>
      <c r="X2638" s="200">
        <f ca="1">W2638*'Expenditure Study'!$B$31</f>
        <v>56.010855398400011</v>
      </c>
      <c r="Y2638" s="199">
        <f ca="1">U2638*'Expenditure Study'!$B$31</f>
        <v>19603.799389440002</v>
      </c>
      <c r="Z2638" s="200">
        <f ca="1">W2638*'Expenditure Study'!$B$31</f>
        <v>56.010855398400011</v>
      </c>
      <c r="AA2638" s="195">
        <f t="shared" ca="1" si="582"/>
        <v>19659.810244838402</v>
      </c>
      <c r="AB2638" s="195">
        <f t="shared" ca="1" si="583"/>
        <v>19659.810244838402</v>
      </c>
      <c r="AD2638" s="196">
        <f>IFERROR($G2638/SUMIF($A:$A,$A2638,$G:$G)*SUMIF(Summary!$A$166:$A$242,$A2638,Summary!$P$166:$P$242),0)</f>
        <v>8135.0064589257472</v>
      </c>
      <c r="AE2638" s="197">
        <f t="shared" ca="1" si="584"/>
        <v>11524.803785912654</v>
      </c>
      <c r="AF2638" s="196">
        <f>IFERROR(G2638/SUMIF(A:A,A2638,G:G)*SUMIF(Summary!$A$166:$A$242,'Operations Support'!A2638,Summary!$Q$166:$Q$242),0)</f>
        <v>8143.0935478722531</v>
      </c>
      <c r="AG2638" s="196">
        <f t="shared" ca="1" si="585"/>
        <v>11516.716696966148</v>
      </c>
      <c r="AI2638" s="196">
        <f>IFERROR($G2638/SUMIF($A:$A,$A2638,$G:$G)*SUMIF(Summary!$A$247:$A$283,$A2638,Summary!$P$247:$P$283),0)</f>
        <v>1483.6221712847853</v>
      </c>
      <c r="AJ2638" s="196">
        <f>IFERROR($G2638/SUMIF($A:$A,$A2638,$G:$G)*(SUMIF(Summary!$A$247:$A$283,$A2638,Summary!$L$247:$L$283)+SUMIF(Summary!$A$297:$A$333,$A2638,Summary!$L$297:$L$333))-AI2638,0)</f>
        <v>4987.1540555345191</v>
      </c>
      <c r="AK2638" s="196">
        <f>IFERROR($G2638/SUMIF($A:$A,$A2638,$G:$G)*SUMIF(Summary!$A$247:$A$283,$A2638,Summary!$Q$247:$Q$283),0)</f>
        <v>1485.0970544975728</v>
      </c>
      <c r="AL2638" s="196">
        <f>IFERROR($G2638/SUMIF($A:$A,$A2638,$G:$G)*(SUMIF(Summary!$A$247:$A$283,$A2638,Summary!$L$247:$L$283)+SUMIF(Summary!$A$297:$A$333,$A2638,Summary!$L$297:$L$333))-AK2638,0)</f>
        <v>4985.679172321732</v>
      </c>
      <c r="AM2638" s="198"/>
      <c r="AN2638" s="196">
        <f t="shared" ca="1" si="586"/>
        <v>16511.957841447173</v>
      </c>
      <c r="AO2638" s="196">
        <f t="shared" ca="1" si="587"/>
        <v>16502.39586928788</v>
      </c>
    </row>
    <row r="2639" spans="1:41">
      <c r="A2639" s="189">
        <v>9930</v>
      </c>
      <c r="B2639" s="190">
        <v>1</v>
      </c>
      <c r="C2639" s="191" t="s">
        <v>229</v>
      </c>
      <c r="D2639" s="192">
        <f t="shared" si="574"/>
        <v>0</v>
      </c>
      <c r="E2639" s="192">
        <f t="shared" si="575"/>
        <v>0</v>
      </c>
      <c r="F2639" s="192">
        <f t="shared" si="576"/>
        <v>0</v>
      </c>
      <c r="G2639" s="193">
        <f t="shared" si="577"/>
        <v>0</v>
      </c>
      <c r="H2639" s="194">
        <v>0</v>
      </c>
      <c r="I2639" s="194">
        <v>0</v>
      </c>
      <c r="J2639" s="194">
        <v>0</v>
      </c>
      <c r="K2639" s="193">
        <f t="shared" si="578"/>
        <v>0</v>
      </c>
      <c r="L2639" s="194">
        <v>0</v>
      </c>
      <c r="M2639" s="194">
        <v>0</v>
      </c>
      <c r="N2639" s="194">
        <v>0</v>
      </c>
      <c r="O2639" s="193">
        <f t="shared" si="579"/>
        <v>0</v>
      </c>
      <c r="P2639" s="194">
        <v>0</v>
      </c>
      <c r="Q2639" s="194">
        <v>0</v>
      </c>
      <c r="R2639" s="194">
        <v>0</v>
      </c>
      <c r="S2639" s="193">
        <f t="shared" si="580"/>
        <v>0</v>
      </c>
      <c r="T2639" s="193">
        <f t="shared" si="581"/>
        <v>0</v>
      </c>
      <c r="U2639" s="193">
        <f ca="1">OFFSET('Expenditure Study'!$B$7,'Operations Support'!$C2639,'Operations Support'!$B2639)*$G2639</f>
        <v>0</v>
      </c>
      <c r="V2639" s="199">
        <f ca="1">U2639*'Expenditure Study'!$B$31</f>
        <v>0</v>
      </c>
      <c r="W2639" s="199">
        <f ca="1">IF(A2639=10298,1.51,1)*IF($B2639&lt;3,$D2639*'Expenditure Study'!$B$32*OFFSET('Expenditure Study'!$B$7,'Operations Support'!$C2639,'Operations Support'!$B2639),0)</f>
        <v>0</v>
      </c>
      <c r="X2639" s="200">
        <f ca="1">W2639*'Expenditure Study'!$B$31</f>
        <v>0</v>
      </c>
      <c r="Y2639" s="199">
        <f ca="1">U2639*'Expenditure Study'!$B$31</f>
        <v>0</v>
      </c>
      <c r="Z2639" s="200">
        <f ca="1">W2639*'Expenditure Study'!$B$31</f>
        <v>0</v>
      </c>
      <c r="AA2639" s="195">
        <f t="shared" ca="1" si="582"/>
        <v>0</v>
      </c>
      <c r="AB2639" s="195">
        <f t="shared" ca="1" si="583"/>
        <v>0</v>
      </c>
      <c r="AD2639" s="196">
        <f>IFERROR($G2639/SUMIF($A:$A,$A2639,$G:$G)*SUMIF(Summary!$A$166:$A$242,$A2639,Summary!$P$166:$P$242),0)</f>
        <v>0</v>
      </c>
      <c r="AE2639" s="197">
        <f t="shared" ca="1" si="584"/>
        <v>0</v>
      </c>
      <c r="AF2639" s="196">
        <f>IFERROR(G2639/SUMIF(A:A,A2639,G:G)*SUMIF(Summary!$A$166:$A$242,'Operations Support'!A2639,Summary!$Q$166:$Q$242),0)</f>
        <v>0</v>
      </c>
      <c r="AG2639" s="196">
        <f t="shared" ca="1" si="585"/>
        <v>0</v>
      </c>
      <c r="AI2639" s="196">
        <f>IFERROR($G2639/SUMIF($A:$A,$A2639,$G:$G)*SUMIF(Summary!$A$247:$A$283,$A2639,Summary!$P$247:$P$283),0)</f>
        <v>0</v>
      </c>
      <c r="AJ2639" s="196">
        <f>IFERROR($G2639/SUMIF($A:$A,$A2639,$G:$G)*(SUMIF(Summary!$A$247:$A$283,$A2639,Summary!$L$247:$L$283)+SUMIF(Summary!$A$297:$A$333,$A2639,Summary!$L$297:$L$333))-AI2639,0)</f>
        <v>0</v>
      </c>
      <c r="AK2639" s="196">
        <f>IFERROR($G2639/SUMIF($A:$A,$A2639,$G:$G)*SUMIF(Summary!$A$247:$A$283,$A2639,Summary!$Q$247:$Q$283),0)</f>
        <v>0</v>
      </c>
      <c r="AL2639" s="196">
        <f>IFERROR($G2639/SUMIF($A:$A,$A2639,$G:$G)*(SUMIF(Summary!$A$247:$A$283,$A2639,Summary!$L$247:$L$283)+SUMIF(Summary!$A$297:$A$333,$A2639,Summary!$L$297:$L$333))-AK2639,0)</f>
        <v>0</v>
      </c>
      <c r="AM2639" s="198"/>
      <c r="AN2639" s="196">
        <f t="shared" ca="1" si="586"/>
        <v>0</v>
      </c>
      <c r="AO2639" s="196">
        <f t="shared" ca="1" si="587"/>
        <v>0</v>
      </c>
    </row>
    <row r="2640" spans="1:41">
      <c r="A2640" s="189">
        <v>9930</v>
      </c>
      <c r="B2640" s="190">
        <v>1</v>
      </c>
      <c r="C2640" s="191" t="s">
        <v>230</v>
      </c>
      <c r="D2640" s="192">
        <f t="shared" si="574"/>
        <v>0</v>
      </c>
      <c r="E2640" s="192">
        <f t="shared" si="575"/>
        <v>0</v>
      </c>
      <c r="F2640" s="192">
        <f t="shared" si="576"/>
        <v>0</v>
      </c>
      <c r="G2640" s="193">
        <f t="shared" si="577"/>
        <v>0</v>
      </c>
      <c r="H2640" s="194">
        <v>0</v>
      </c>
      <c r="I2640" s="194">
        <v>0</v>
      </c>
      <c r="J2640" s="194">
        <v>0</v>
      </c>
      <c r="K2640" s="193">
        <f t="shared" si="578"/>
        <v>0</v>
      </c>
      <c r="L2640" s="194">
        <v>0</v>
      </c>
      <c r="M2640" s="194">
        <v>0</v>
      </c>
      <c r="N2640" s="194">
        <v>0</v>
      </c>
      <c r="O2640" s="193">
        <f t="shared" si="579"/>
        <v>0</v>
      </c>
      <c r="P2640" s="194">
        <v>0</v>
      </c>
      <c r="Q2640" s="194">
        <v>0</v>
      </c>
      <c r="R2640" s="194">
        <v>0</v>
      </c>
      <c r="S2640" s="193">
        <f t="shared" si="580"/>
        <v>0</v>
      </c>
      <c r="T2640" s="193">
        <f t="shared" si="581"/>
        <v>0</v>
      </c>
      <c r="U2640" s="193">
        <f ca="1">OFFSET('Expenditure Study'!$B$7,'Operations Support'!$C2640,'Operations Support'!$B2640)*$G2640</f>
        <v>0</v>
      </c>
      <c r="V2640" s="199">
        <f ca="1">U2640*'Expenditure Study'!$B$31</f>
        <v>0</v>
      </c>
      <c r="W2640" s="199">
        <f ca="1">IF(A2640=10298,1.51,1)*IF($B2640&lt;3,$D2640*'Expenditure Study'!$B$32*OFFSET('Expenditure Study'!$B$7,'Operations Support'!$C2640,'Operations Support'!$B2640),0)</f>
        <v>0</v>
      </c>
      <c r="X2640" s="200">
        <f ca="1">W2640*'Expenditure Study'!$B$31</f>
        <v>0</v>
      </c>
      <c r="Y2640" s="199">
        <f ca="1">U2640*'Expenditure Study'!$B$31</f>
        <v>0</v>
      </c>
      <c r="Z2640" s="200">
        <f ca="1">W2640*'Expenditure Study'!$B$31</f>
        <v>0</v>
      </c>
      <c r="AA2640" s="195">
        <f t="shared" ca="1" si="582"/>
        <v>0</v>
      </c>
      <c r="AB2640" s="195">
        <f t="shared" ca="1" si="583"/>
        <v>0</v>
      </c>
      <c r="AD2640" s="196">
        <f>IFERROR($G2640/SUMIF($A:$A,$A2640,$G:$G)*SUMIF(Summary!$A$166:$A$242,$A2640,Summary!$P$166:$P$242),0)</f>
        <v>0</v>
      </c>
      <c r="AE2640" s="197">
        <f t="shared" ca="1" si="584"/>
        <v>0</v>
      </c>
      <c r="AF2640" s="196">
        <f>IFERROR(G2640/SUMIF(A:A,A2640,G:G)*SUMIF(Summary!$A$166:$A$242,'Operations Support'!A2640,Summary!$Q$166:$Q$242),0)</f>
        <v>0</v>
      </c>
      <c r="AG2640" s="196">
        <f t="shared" ca="1" si="585"/>
        <v>0</v>
      </c>
      <c r="AI2640" s="196">
        <f>IFERROR($G2640/SUMIF($A:$A,$A2640,$G:$G)*SUMIF(Summary!$A$247:$A$283,$A2640,Summary!$P$247:$P$283),0)</f>
        <v>0</v>
      </c>
      <c r="AJ2640" s="196">
        <f>IFERROR($G2640/SUMIF($A:$A,$A2640,$G:$G)*(SUMIF(Summary!$A$247:$A$283,$A2640,Summary!$L$247:$L$283)+SUMIF(Summary!$A$297:$A$333,$A2640,Summary!$L$297:$L$333))-AI2640,0)</f>
        <v>0</v>
      </c>
      <c r="AK2640" s="196">
        <f>IFERROR($G2640/SUMIF($A:$A,$A2640,$G:$G)*SUMIF(Summary!$A$247:$A$283,$A2640,Summary!$Q$247:$Q$283),0)</f>
        <v>0</v>
      </c>
      <c r="AL2640" s="196">
        <f>IFERROR($G2640/SUMIF($A:$A,$A2640,$G:$G)*(SUMIF(Summary!$A$247:$A$283,$A2640,Summary!$L$247:$L$283)+SUMIF(Summary!$A$297:$A$333,$A2640,Summary!$L$297:$L$333))-AK2640,0)</f>
        <v>0</v>
      </c>
      <c r="AM2640" s="198"/>
      <c r="AN2640" s="196">
        <f t="shared" ca="1" si="586"/>
        <v>0</v>
      </c>
      <c r="AO2640" s="196">
        <f t="shared" ca="1" si="587"/>
        <v>0</v>
      </c>
    </row>
    <row r="2641" spans="1:41">
      <c r="A2641" s="189">
        <v>9930</v>
      </c>
      <c r="B2641" s="190">
        <v>1</v>
      </c>
      <c r="C2641" s="191" t="s">
        <v>231</v>
      </c>
      <c r="D2641" s="192">
        <f t="shared" si="574"/>
        <v>0</v>
      </c>
      <c r="E2641" s="192">
        <f t="shared" si="575"/>
        <v>0</v>
      </c>
      <c r="F2641" s="192">
        <f t="shared" si="576"/>
        <v>0</v>
      </c>
      <c r="G2641" s="193">
        <f t="shared" si="577"/>
        <v>0</v>
      </c>
      <c r="H2641" s="194">
        <v>0</v>
      </c>
      <c r="I2641" s="194">
        <v>0</v>
      </c>
      <c r="J2641" s="194">
        <v>0</v>
      </c>
      <c r="K2641" s="193">
        <f t="shared" si="578"/>
        <v>0</v>
      </c>
      <c r="L2641" s="194">
        <v>0</v>
      </c>
      <c r="M2641" s="194">
        <v>0</v>
      </c>
      <c r="N2641" s="194">
        <v>0</v>
      </c>
      <c r="O2641" s="193">
        <f t="shared" si="579"/>
        <v>0</v>
      </c>
      <c r="P2641" s="194">
        <v>0</v>
      </c>
      <c r="Q2641" s="194">
        <v>0</v>
      </c>
      <c r="R2641" s="194">
        <v>0</v>
      </c>
      <c r="S2641" s="193">
        <f t="shared" si="580"/>
        <v>0</v>
      </c>
      <c r="T2641" s="193">
        <f t="shared" si="581"/>
        <v>0</v>
      </c>
      <c r="U2641" s="193">
        <f ca="1">OFFSET('Expenditure Study'!$B$7,'Operations Support'!$C2641,'Operations Support'!$B2641)*$G2641</f>
        <v>0</v>
      </c>
      <c r="V2641" s="199">
        <f ca="1">U2641*'Expenditure Study'!$B$31</f>
        <v>0</v>
      </c>
      <c r="W2641" s="199">
        <f ca="1">IF(A2641=10298,1.51,1)*IF($B2641&lt;3,$D2641*'Expenditure Study'!$B$32*OFFSET('Expenditure Study'!$B$7,'Operations Support'!$C2641,'Operations Support'!$B2641),0)</f>
        <v>0</v>
      </c>
      <c r="X2641" s="200">
        <f ca="1">W2641*'Expenditure Study'!$B$31</f>
        <v>0</v>
      </c>
      <c r="Y2641" s="199">
        <f ca="1">U2641*'Expenditure Study'!$B$31</f>
        <v>0</v>
      </c>
      <c r="Z2641" s="200">
        <f ca="1">W2641*'Expenditure Study'!$B$31</f>
        <v>0</v>
      </c>
      <c r="AA2641" s="195">
        <f t="shared" ca="1" si="582"/>
        <v>0</v>
      </c>
      <c r="AB2641" s="195">
        <f t="shared" ca="1" si="583"/>
        <v>0</v>
      </c>
      <c r="AD2641" s="196">
        <f>IFERROR($G2641/SUMIF($A:$A,$A2641,$G:$G)*SUMIF(Summary!$A$166:$A$242,$A2641,Summary!$P$166:$P$242),0)</f>
        <v>0</v>
      </c>
      <c r="AE2641" s="197">
        <f t="shared" ca="1" si="584"/>
        <v>0</v>
      </c>
      <c r="AF2641" s="196">
        <f>IFERROR(G2641/SUMIF(A:A,A2641,G:G)*SUMIF(Summary!$A$166:$A$242,'Operations Support'!A2641,Summary!$Q$166:$Q$242),0)</f>
        <v>0</v>
      </c>
      <c r="AG2641" s="196">
        <f t="shared" ca="1" si="585"/>
        <v>0</v>
      </c>
      <c r="AI2641" s="196">
        <f>IFERROR($G2641/SUMIF($A:$A,$A2641,$G:$G)*SUMIF(Summary!$A$247:$A$283,$A2641,Summary!$P$247:$P$283),0)</f>
        <v>0</v>
      </c>
      <c r="AJ2641" s="196">
        <f>IFERROR($G2641/SUMIF($A:$A,$A2641,$G:$G)*(SUMIF(Summary!$A$247:$A$283,$A2641,Summary!$L$247:$L$283)+SUMIF(Summary!$A$297:$A$333,$A2641,Summary!$L$297:$L$333))-AI2641,0)</f>
        <v>0</v>
      </c>
      <c r="AK2641" s="196">
        <f>IFERROR($G2641/SUMIF($A:$A,$A2641,$G:$G)*SUMIF(Summary!$A$247:$A$283,$A2641,Summary!$Q$247:$Q$283),0)</f>
        <v>0</v>
      </c>
      <c r="AL2641" s="196">
        <f>IFERROR($G2641/SUMIF($A:$A,$A2641,$G:$G)*(SUMIF(Summary!$A$247:$A$283,$A2641,Summary!$L$247:$L$283)+SUMIF(Summary!$A$297:$A$333,$A2641,Summary!$L$297:$L$333))-AK2641,0)</f>
        <v>0</v>
      </c>
      <c r="AM2641" s="198"/>
      <c r="AN2641" s="196">
        <f t="shared" ca="1" si="586"/>
        <v>0</v>
      </c>
      <c r="AO2641" s="196">
        <f t="shared" ca="1" si="587"/>
        <v>0</v>
      </c>
    </row>
    <row r="2642" spans="1:41">
      <c r="A2642" s="189">
        <v>9930</v>
      </c>
      <c r="B2642" s="190">
        <v>1</v>
      </c>
      <c r="C2642" s="191" t="s">
        <v>232</v>
      </c>
      <c r="D2642" s="192">
        <f t="shared" si="574"/>
        <v>0</v>
      </c>
      <c r="E2642" s="192">
        <f t="shared" si="575"/>
        <v>0</v>
      </c>
      <c r="F2642" s="192">
        <f t="shared" si="576"/>
        <v>0</v>
      </c>
      <c r="G2642" s="193">
        <f t="shared" si="577"/>
        <v>0</v>
      </c>
      <c r="H2642" s="194">
        <v>0</v>
      </c>
      <c r="I2642" s="194">
        <v>0</v>
      </c>
      <c r="J2642" s="194">
        <v>0</v>
      </c>
      <c r="K2642" s="193">
        <f t="shared" si="578"/>
        <v>0</v>
      </c>
      <c r="L2642" s="194">
        <v>0</v>
      </c>
      <c r="M2642" s="194">
        <v>0</v>
      </c>
      <c r="N2642" s="194">
        <v>0</v>
      </c>
      <c r="O2642" s="193">
        <f t="shared" si="579"/>
        <v>0</v>
      </c>
      <c r="P2642" s="194">
        <v>0</v>
      </c>
      <c r="Q2642" s="194">
        <v>0</v>
      </c>
      <c r="R2642" s="194">
        <v>0</v>
      </c>
      <c r="S2642" s="193">
        <f t="shared" si="580"/>
        <v>0</v>
      </c>
      <c r="T2642" s="193">
        <f t="shared" si="581"/>
        <v>0</v>
      </c>
      <c r="U2642" s="193">
        <f ca="1">OFFSET('Expenditure Study'!$B$7,'Operations Support'!$C2642,'Operations Support'!$B2642)*$G2642</f>
        <v>0</v>
      </c>
      <c r="V2642" s="199">
        <f ca="1">U2642*'Expenditure Study'!$B$31</f>
        <v>0</v>
      </c>
      <c r="W2642" s="199">
        <f ca="1">IF(A2642=10298,1.51,1)*IF($B2642&lt;3,$D2642*'Expenditure Study'!$B$32*OFFSET('Expenditure Study'!$B$7,'Operations Support'!$C2642,'Operations Support'!$B2642),0)</f>
        <v>0</v>
      </c>
      <c r="X2642" s="200">
        <f ca="1">W2642*'Expenditure Study'!$B$31</f>
        <v>0</v>
      </c>
      <c r="Y2642" s="199">
        <f ca="1">U2642*'Expenditure Study'!$B$31</f>
        <v>0</v>
      </c>
      <c r="Z2642" s="200">
        <f ca="1">W2642*'Expenditure Study'!$B$31</f>
        <v>0</v>
      </c>
      <c r="AA2642" s="195">
        <f t="shared" ca="1" si="582"/>
        <v>0</v>
      </c>
      <c r="AB2642" s="195">
        <f t="shared" ca="1" si="583"/>
        <v>0</v>
      </c>
      <c r="AD2642" s="196">
        <f>IFERROR($G2642/SUMIF($A:$A,$A2642,$G:$G)*SUMIF(Summary!$A$166:$A$242,$A2642,Summary!$P$166:$P$242),0)</f>
        <v>0</v>
      </c>
      <c r="AE2642" s="197">
        <f t="shared" ca="1" si="584"/>
        <v>0</v>
      </c>
      <c r="AF2642" s="196">
        <f>IFERROR(G2642/SUMIF(A:A,A2642,G:G)*SUMIF(Summary!$A$166:$A$242,'Operations Support'!A2642,Summary!$Q$166:$Q$242),0)</f>
        <v>0</v>
      </c>
      <c r="AG2642" s="196">
        <f t="shared" ca="1" si="585"/>
        <v>0</v>
      </c>
      <c r="AI2642" s="196">
        <f>IFERROR($G2642/SUMIF($A:$A,$A2642,$G:$G)*SUMIF(Summary!$A$247:$A$283,$A2642,Summary!$P$247:$P$283),0)</f>
        <v>0</v>
      </c>
      <c r="AJ2642" s="196">
        <f>IFERROR($G2642/SUMIF($A:$A,$A2642,$G:$G)*(SUMIF(Summary!$A$247:$A$283,$A2642,Summary!$L$247:$L$283)+SUMIF(Summary!$A$297:$A$333,$A2642,Summary!$L$297:$L$333))-AI2642,0)</f>
        <v>0</v>
      </c>
      <c r="AK2642" s="196">
        <f>IFERROR($G2642/SUMIF($A:$A,$A2642,$G:$G)*SUMIF(Summary!$A$247:$A$283,$A2642,Summary!$Q$247:$Q$283),0)</f>
        <v>0</v>
      </c>
      <c r="AL2642" s="196">
        <f>IFERROR($G2642/SUMIF($A:$A,$A2642,$G:$G)*(SUMIF(Summary!$A$247:$A$283,$A2642,Summary!$L$247:$L$283)+SUMIF(Summary!$A$297:$A$333,$A2642,Summary!$L$297:$L$333))-AK2642,0)</f>
        <v>0</v>
      </c>
      <c r="AM2642" s="198"/>
      <c r="AN2642" s="196">
        <f t="shared" ca="1" si="586"/>
        <v>0</v>
      </c>
      <c r="AO2642" s="196">
        <f t="shared" ca="1" si="587"/>
        <v>0</v>
      </c>
    </row>
    <row r="2643" spans="1:41">
      <c r="A2643" s="189">
        <v>9930</v>
      </c>
      <c r="B2643" s="190">
        <v>1</v>
      </c>
      <c r="C2643" s="191" t="s">
        <v>233</v>
      </c>
      <c r="D2643" s="192">
        <f t="shared" si="574"/>
        <v>15</v>
      </c>
      <c r="E2643" s="192">
        <f t="shared" si="575"/>
        <v>243</v>
      </c>
      <c r="F2643" s="192">
        <f t="shared" si="576"/>
        <v>0</v>
      </c>
      <c r="G2643" s="193">
        <f t="shared" si="577"/>
        <v>258</v>
      </c>
      <c r="H2643" s="194">
        <v>0</v>
      </c>
      <c r="I2643" s="194">
        <v>108</v>
      </c>
      <c r="J2643" s="194">
        <v>0</v>
      </c>
      <c r="K2643" s="193">
        <f t="shared" si="578"/>
        <v>108</v>
      </c>
      <c r="L2643" s="194">
        <v>15</v>
      </c>
      <c r="M2643" s="194">
        <v>72</v>
      </c>
      <c r="N2643" s="194">
        <v>0</v>
      </c>
      <c r="O2643" s="193">
        <f t="shared" si="579"/>
        <v>87</v>
      </c>
      <c r="P2643" s="194">
        <v>0</v>
      </c>
      <c r="Q2643" s="194">
        <v>63</v>
      </c>
      <c r="R2643" s="194">
        <v>0</v>
      </c>
      <c r="S2643" s="193">
        <f t="shared" si="580"/>
        <v>63</v>
      </c>
      <c r="T2643" s="193">
        <f t="shared" si="581"/>
        <v>8.6</v>
      </c>
      <c r="U2643" s="193">
        <f ca="1">OFFSET('Expenditure Study'!$B$7,'Operations Support'!$C2643,'Operations Support'!$B2643)*$G2643</f>
        <v>247.67999999999998</v>
      </c>
      <c r="V2643" s="199">
        <f ca="1">U2643*'Expenditure Study'!$B$31</f>
        <v>14633.722220543999</v>
      </c>
      <c r="W2643" s="199">
        <f ca="1">IF(A2643=10298,1.51,1)*IF($B2643&lt;3,$D2643*'Expenditure Study'!$B$32*OFFSET('Expenditure Study'!$B$7,'Operations Support'!$C2643,'Operations Support'!$B2643),0)</f>
        <v>1.44</v>
      </c>
      <c r="X2643" s="200">
        <f ca="1">W2643*'Expenditure Study'!$B$31</f>
        <v>85.079780352</v>
      </c>
      <c r="Y2643" s="199">
        <f ca="1">U2643*'Expenditure Study'!$B$31</f>
        <v>14633.722220543999</v>
      </c>
      <c r="Z2643" s="200">
        <f ca="1">W2643*'Expenditure Study'!$B$31</f>
        <v>85.079780352</v>
      </c>
      <c r="AA2643" s="195">
        <f t="shared" ca="1" si="582"/>
        <v>14718.802000895999</v>
      </c>
      <c r="AB2643" s="195">
        <f t="shared" ca="1" si="583"/>
        <v>14718.802000895999</v>
      </c>
      <c r="AD2643" s="196">
        <f>IFERROR($G2643/SUMIF($A:$A,$A2643,$G:$G)*SUMIF(Summary!$A$166:$A$242,$A2643,Summary!$P$166:$P$242),0)</f>
        <v>9994.436506680202</v>
      </c>
      <c r="AE2643" s="197">
        <f t="shared" ca="1" si="584"/>
        <v>4724.3654942157973</v>
      </c>
      <c r="AF2643" s="196">
        <f>IFERROR(G2643/SUMIF(A:A,A2643,G:G)*SUMIF(Summary!$A$166:$A$242,'Operations Support'!A2643,Summary!$Q$166:$Q$242),0)</f>
        <v>10004.372073100196</v>
      </c>
      <c r="AG2643" s="196">
        <f t="shared" ca="1" si="585"/>
        <v>4714.4299277958035</v>
      </c>
      <c r="AI2643" s="196">
        <f>IFERROR($G2643/SUMIF($A:$A,$A2643,$G:$G)*SUMIF(Summary!$A$247:$A$283,$A2643,Summary!$P$247:$P$283),0)</f>
        <v>1822.7358104355931</v>
      </c>
      <c r="AJ2643" s="196">
        <f>IFERROR($G2643/SUMIF($A:$A,$A2643,$G:$G)*(SUMIF(Summary!$A$247:$A$283,$A2643,Summary!$L$247:$L$283)+SUMIF(Summary!$A$297:$A$333,$A2643,Summary!$L$297:$L$333))-AI2643,0)</f>
        <v>6127.0749825138373</v>
      </c>
      <c r="AK2643" s="196">
        <f>IFERROR($G2643/SUMIF($A:$A,$A2643,$G:$G)*SUMIF(Summary!$A$247:$A$283,$A2643,Summary!$Q$247:$Q$283),0)</f>
        <v>1824.5478098113035</v>
      </c>
      <c r="AL2643" s="196">
        <f>IFERROR($G2643/SUMIF($A:$A,$A2643,$G:$G)*(SUMIF(Summary!$A$247:$A$283,$A2643,Summary!$L$247:$L$283)+SUMIF(Summary!$A$297:$A$333,$A2643,Summary!$L$297:$L$333))-AK2643,0)</f>
        <v>6125.2629831381264</v>
      </c>
      <c r="AM2643" s="198"/>
      <c r="AN2643" s="196">
        <f t="shared" ca="1" si="586"/>
        <v>10851.440476729635</v>
      </c>
      <c r="AO2643" s="196">
        <f t="shared" ca="1" si="587"/>
        <v>10839.692910933929</v>
      </c>
    </row>
    <row r="2644" spans="1:41">
      <c r="A2644" s="189">
        <v>9930</v>
      </c>
      <c r="B2644" s="190">
        <v>1</v>
      </c>
      <c r="C2644" s="191" t="s">
        <v>234</v>
      </c>
      <c r="D2644" s="192">
        <f t="shared" si="574"/>
        <v>0</v>
      </c>
      <c r="E2644" s="192">
        <f t="shared" si="575"/>
        <v>0</v>
      </c>
      <c r="F2644" s="192">
        <f t="shared" si="576"/>
        <v>0</v>
      </c>
      <c r="G2644" s="193">
        <f t="shared" si="577"/>
        <v>0</v>
      </c>
      <c r="H2644" s="194">
        <v>0</v>
      </c>
      <c r="I2644" s="194">
        <v>0</v>
      </c>
      <c r="J2644" s="194">
        <v>0</v>
      </c>
      <c r="K2644" s="193">
        <f t="shared" si="578"/>
        <v>0</v>
      </c>
      <c r="L2644" s="194">
        <v>0</v>
      </c>
      <c r="M2644" s="194">
        <v>0</v>
      </c>
      <c r="N2644" s="194">
        <v>0</v>
      </c>
      <c r="O2644" s="193">
        <f t="shared" si="579"/>
        <v>0</v>
      </c>
      <c r="P2644" s="194">
        <v>0</v>
      </c>
      <c r="Q2644" s="194">
        <v>0</v>
      </c>
      <c r="R2644" s="194">
        <v>0</v>
      </c>
      <c r="S2644" s="193">
        <f t="shared" si="580"/>
        <v>0</v>
      </c>
      <c r="T2644" s="193">
        <f t="shared" si="581"/>
        <v>0</v>
      </c>
      <c r="U2644" s="193">
        <f ca="1">OFFSET('Expenditure Study'!$B$7,'Operations Support'!$C2644,'Operations Support'!$B2644)*$G2644</f>
        <v>0</v>
      </c>
      <c r="V2644" s="199">
        <f ca="1">U2644*'Expenditure Study'!$B$31</f>
        <v>0</v>
      </c>
      <c r="W2644" s="199">
        <f ca="1">IF(A2644=10298,1.51,1)*IF($B2644&lt;3,$D2644*'Expenditure Study'!$B$32*OFFSET('Expenditure Study'!$B$7,'Operations Support'!$C2644,'Operations Support'!$B2644),0)</f>
        <v>0</v>
      </c>
      <c r="X2644" s="200">
        <f ca="1">W2644*'Expenditure Study'!$B$31</f>
        <v>0</v>
      </c>
      <c r="Y2644" s="199">
        <f ca="1">U2644*'Expenditure Study'!$B$31</f>
        <v>0</v>
      </c>
      <c r="Z2644" s="200">
        <f ca="1">W2644*'Expenditure Study'!$B$31</f>
        <v>0</v>
      </c>
      <c r="AA2644" s="195">
        <f t="shared" ca="1" si="582"/>
        <v>0</v>
      </c>
      <c r="AB2644" s="195">
        <f t="shared" ca="1" si="583"/>
        <v>0</v>
      </c>
      <c r="AD2644" s="196">
        <f>IFERROR($G2644/SUMIF($A:$A,$A2644,$G:$G)*SUMIF(Summary!$A$166:$A$242,$A2644,Summary!$P$166:$P$242),0)</f>
        <v>0</v>
      </c>
      <c r="AE2644" s="197">
        <f t="shared" ca="1" si="584"/>
        <v>0</v>
      </c>
      <c r="AF2644" s="196">
        <f>IFERROR(G2644/SUMIF(A:A,A2644,G:G)*SUMIF(Summary!$A$166:$A$242,'Operations Support'!A2644,Summary!$Q$166:$Q$242),0)</f>
        <v>0</v>
      </c>
      <c r="AG2644" s="196">
        <f t="shared" ca="1" si="585"/>
        <v>0</v>
      </c>
      <c r="AI2644" s="196">
        <f>IFERROR($G2644/SUMIF($A:$A,$A2644,$G:$G)*SUMIF(Summary!$A$247:$A$283,$A2644,Summary!$P$247:$P$283),0)</f>
        <v>0</v>
      </c>
      <c r="AJ2644" s="196">
        <f>IFERROR($G2644/SUMIF($A:$A,$A2644,$G:$G)*(SUMIF(Summary!$A$247:$A$283,$A2644,Summary!$L$247:$L$283)+SUMIF(Summary!$A$297:$A$333,$A2644,Summary!$L$297:$L$333))-AI2644,0)</f>
        <v>0</v>
      </c>
      <c r="AK2644" s="196">
        <f>IFERROR($G2644/SUMIF($A:$A,$A2644,$G:$G)*SUMIF(Summary!$A$247:$A$283,$A2644,Summary!$Q$247:$Q$283),0)</f>
        <v>0</v>
      </c>
      <c r="AL2644" s="196">
        <f>IFERROR($G2644/SUMIF($A:$A,$A2644,$G:$G)*(SUMIF(Summary!$A$247:$A$283,$A2644,Summary!$L$247:$L$283)+SUMIF(Summary!$A$297:$A$333,$A2644,Summary!$L$297:$L$333))-AK2644,0)</f>
        <v>0</v>
      </c>
      <c r="AM2644" s="198"/>
      <c r="AN2644" s="196">
        <f t="shared" ca="1" si="586"/>
        <v>0</v>
      </c>
      <c r="AO2644" s="196">
        <f t="shared" ca="1" si="587"/>
        <v>0</v>
      </c>
    </row>
    <row r="2645" spans="1:41" s="201" customFormat="1">
      <c r="A2645" s="189">
        <v>9930</v>
      </c>
      <c r="B2645" s="190">
        <v>1</v>
      </c>
      <c r="C2645" s="191" t="s">
        <v>235</v>
      </c>
      <c r="D2645" s="192">
        <f t="shared" si="574"/>
        <v>2409</v>
      </c>
      <c r="E2645" s="192">
        <f t="shared" si="575"/>
        <v>2976</v>
      </c>
      <c r="F2645" s="192">
        <f t="shared" si="576"/>
        <v>0</v>
      </c>
      <c r="G2645" s="193">
        <f t="shared" si="577"/>
        <v>5385</v>
      </c>
      <c r="H2645" s="194">
        <v>1200</v>
      </c>
      <c r="I2645" s="194">
        <v>1011</v>
      </c>
      <c r="J2645" s="194">
        <v>0</v>
      </c>
      <c r="K2645" s="193">
        <f t="shared" si="578"/>
        <v>2211</v>
      </c>
      <c r="L2645" s="194">
        <v>585</v>
      </c>
      <c r="M2645" s="194">
        <v>1158</v>
      </c>
      <c r="N2645" s="194">
        <v>0</v>
      </c>
      <c r="O2645" s="193">
        <f t="shared" si="579"/>
        <v>1743</v>
      </c>
      <c r="P2645" s="194">
        <v>624</v>
      </c>
      <c r="Q2645" s="194">
        <v>807</v>
      </c>
      <c r="R2645" s="194">
        <v>0</v>
      </c>
      <c r="S2645" s="193">
        <f t="shared" si="580"/>
        <v>1431</v>
      </c>
      <c r="T2645" s="193">
        <f t="shared" si="581"/>
        <v>179.5</v>
      </c>
      <c r="U2645" s="193">
        <f ca="1">OFFSET('Expenditure Study'!$B$7,'Operations Support'!$C2645,'Operations Support'!$B2645)*$G2645</f>
        <v>5923.5000000000009</v>
      </c>
      <c r="V2645" s="199">
        <f ca="1">U2645*'Expenditure Study'!$B$31</f>
        <v>349979.22146880004</v>
      </c>
      <c r="W2645" s="199">
        <f ca="1">IF(A2645=10298,1.51,1)*IF($B2645&lt;3,$D2645*'Expenditure Study'!$B$32*OFFSET('Expenditure Study'!$B$7,'Operations Support'!$C2645,'Operations Support'!$B2645),0)</f>
        <v>264.99</v>
      </c>
      <c r="X2645" s="200">
        <f ca="1">W2645*'Expenditure Study'!$B$31</f>
        <v>15656.452080192001</v>
      </c>
      <c r="Y2645" s="199">
        <f ca="1">U2645*'Expenditure Study'!$B$31</f>
        <v>349979.22146880004</v>
      </c>
      <c r="Z2645" s="200">
        <f ca="1">W2645*'Expenditure Study'!$B$31</f>
        <v>15656.452080192001</v>
      </c>
      <c r="AA2645" s="195">
        <f t="shared" ca="1" si="582"/>
        <v>365635.67354899202</v>
      </c>
      <c r="AB2645" s="195">
        <f t="shared" ca="1" si="583"/>
        <v>365635.67354899202</v>
      </c>
      <c r="AD2645" s="196">
        <f>IFERROR($G2645/SUMIF($A:$A,$A2645,$G:$G)*SUMIF(Summary!$A$166:$A$242,$A2645,Summary!$P$166:$P$242),0)</f>
        <v>208604.80848245308</v>
      </c>
      <c r="AE2645" s="197">
        <f t="shared" ca="1" si="584"/>
        <v>157030.86506653894</v>
      </c>
      <c r="AF2645" s="196">
        <f>IFERROR(G2645/SUMIF(A:A,A2645,G:G)*SUMIF(Summary!$A$166:$A$242,'Operations Support'!A2645,Summary!$Q$166:$Q$242),0)</f>
        <v>208812.18454900992</v>
      </c>
      <c r="AG2645" s="196">
        <f t="shared" ca="1" si="585"/>
        <v>156823.4889999821</v>
      </c>
      <c r="AH2645" s="180"/>
      <c r="AI2645" s="196">
        <f>IFERROR($G2645/SUMIF($A:$A,$A2645,$G:$G)*SUMIF(Summary!$A$247:$A$283,$A2645,Summary!$P$247:$P$283),0)</f>
        <v>38044.311392231277</v>
      </c>
      <c r="AJ2645" s="196">
        <f>IFERROR($G2645/SUMIF($A:$A,$A2645,$G:$G)*(SUMIF(Summary!$A$247:$A$283,$A2645,Summary!$L$247:$L$283)+SUMIF(Summary!$A$297:$A$333,$A2645,Summary!$L$297:$L$333))-AI2645,0)</f>
        <v>127884.87899549231</v>
      </c>
      <c r="AK2645" s="196">
        <f>IFERROR($G2645/SUMIF($A:$A,$A2645,$G:$G)*SUMIF(Summary!$A$247:$A$283,$A2645,Summary!$Q$247:$Q$283),0)</f>
        <v>38082.131611759192</v>
      </c>
      <c r="AL2645" s="196">
        <f>IFERROR($G2645/SUMIF($A:$A,$A2645,$G:$G)*(SUMIF(Summary!$A$247:$A$283,$A2645,Summary!$L$247:$L$283)+SUMIF(Summary!$A$297:$A$333,$A2645,Summary!$L$297:$L$333))-AK2645,0)</f>
        <v>127847.0587759644</v>
      </c>
      <c r="AM2645" s="198"/>
      <c r="AN2645" s="196">
        <f t="shared" ca="1" si="586"/>
        <v>284915.74406203127</v>
      </c>
      <c r="AO2645" s="196">
        <f t="shared" ca="1" si="587"/>
        <v>284670.5477759465</v>
      </c>
    </row>
    <row r="2646" spans="1:41">
      <c r="A2646" s="189">
        <v>9930</v>
      </c>
      <c r="B2646" s="190">
        <v>1</v>
      </c>
      <c r="C2646" s="191" t="s">
        <v>236</v>
      </c>
      <c r="D2646" s="192">
        <f t="shared" si="574"/>
        <v>0</v>
      </c>
      <c r="E2646" s="192">
        <f t="shared" si="575"/>
        <v>0</v>
      </c>
      <c r="F2646" s="192">
        <f t="shared" si="576"/>
        <v>0</v>
      </c>
      <c r="G2646" s="193">
        <f t="shared" si="577"/>
        <v>0</v>
      </c>
      <c r="H2646" s="194">
        <v>0</v>
      </c>
      <c r="I2646" s="194">
        <v>0</v>
      </c>
      <c r="J2646" s="194">
        <v>0</v>
      </c>
      <c r="K2646" s="193">
        <f t="shared" si="578"/>
        <v>0</v>
      </c>
      <c r="L2646" s="194">
        <v>0</v>
      </c>
      <c r="M2646" s="194">
        <v>0</v>
      </c>
      <c r="N2646" s="194">
        <v>0</v>
      </c>
      <c r="O2646" s="193">
        <f t="shared" si="579"/>
        <v>0</v>
      </c>
      <c r="P2646" s="194">
        <v>0</v>
      </c>
      <c r="Q2646" s="194">
        <v>0</v>
      </c>
      <c r="R2646" s="194">
        <v>0</v>
      </c>
      <c r="S2646" s="193">
        <f t="shared" si="580"/>
        <v>0</v>
      </c>
      <c r="T2646" s="193">
        <f t="shared" si="581"/>
        <v>0</v>
      </c>
      <c r="U2646" s="193">
        <f ca="1">OFFSET('Expenditure Study'!$B$7,'Operations Support'!$C2646,'Operations Support'!$B2646)*$G2646</f>
        <v>0</v>
      </c>
      <c r="V2646" s="199">
        <f ca="1">U2646*'Expenditure Study'!$B$31</f>
        <v>0</v>
      </c>
      <c r="W2646" s="199">
        <f ca="1">IF(A2646=10298,1.51,1)*IF($B2646&lt;3,$D2646*'Expenditure Study'!$B$32*OFFSET('Expenditure Study'!$B$7,'Operations Support'!$C2646,'Operations Support'!$B2646),0)</f>
        <v>0</v>
      </c>
      <c r="X2646" s="200">
        <f ca="1">W2646*'Expenditure Study'!$B$31</f>
        <v>0</v>
      </c>
      <c r="Y2646" s="199">
        <f ca="1">U2646*'Expenditure Study'!$B$31</f>
        <v>0</v>
      </c>
      <c r="Z2646" s="200">
        <f ca="1">W2646*'Expenditure Study'!$B$31</f>
        <v>0</v>
      </c>
      <c r="AA2646" s="195">
        <f t="shared" ca="1" si="582"/>
        <v>0</v>
      </c>
      <c r="AB2646" s="195">
        <f t="shared" ca="1" si="583"/>
        <v>0</v>
      </c>
      <c r="AD2646" s="196">
        <f>IFERROR($G2646/SUMIF($A:$A,$A2646,$G:$G)*SUMIF(Summary!$A$166:$A$242,$A2646,Summary!$P$166:$P$242),0)</f>
        <v>0</v>
      </c>
      <c r="AE2646" s="197">
        <f t="shared" ca="1" si="584"/>
        <v>0</v>
      </c>
      <c r="AF2646" s="196">
        <f>IFERROR(G2646/SUMIF(A:A,A2646,G:G)*SUMIF(Summary!$A$166:$A$242,'Operations Support'!A2646,Summary!$Q$166:$Q$242),0)</f>
        <v>0</v>
      </c>
      <c r="AG2646" s="196">
        <f t="shared" ca="1" si="585"/>
        <v>0</v>
      </c>
      <c r="AI2646" s="196">
        <f>IFERROR($G2646/SUMIF($A:$A,$A2646,$G:$G)*SUMIF(Summary!$A$247:$A$283,$A2646,Summary!$P$247:$P$283),0)</f>
        <v>0</v>
      </c>
      <c r="AJ2646" s="196">
        <f>IFERROR($G2646/SUMIF($A:$A,$A2646,$G:$G)*(SUMIF(Summary!$A$247:$A$283,$A2646,Summary!$L$247:$L$283)+SUMIF(Summary!$A$297:$A$333,$A2646,Summary!$L$297:$L$333))-AI2646,0)</f>
        <v>0</v>
      </c>
      <c r="AK2646" s="196">
        <f>IFERROR($G2646/SUMIF($A:$A,$A2646,$G:$G)*SUMIF(Summary!$A$247:$A$283,$A2646,Summary!$Q$247:$Q$283),0)</f>
        <v>0</v>
      </c>
      <c r="AL2646" s="196">
        <f>IFERROR($G2646/SUMIF($A:$A,$A2646,$G:$G)*(SUMIF(Summary!$A$247:$A$283,$A2646,Summary!$L$247:$L$283)+SUMIF(Summary!$A$297:$A$333,$A2646,Summary!$L$297:$L$333))-AK2646,0)</f>
        <v>0</v>
      </c>
      <c r="AM2646" s="198"/>
      <c r="AN2646" s="196">
        <f t="shared" ca="1" si="586"/>
        <v>0</v>
      </c>
      <c r="AO2646" s="196">
        <f t="shared" ca="1" si="587"/>
        <v>0</v>
      </c>
    </row>
    <row r="2647" spans="1:41">
      <c r="A2647" s="189">
        <v>9930</v>
      </c>
      <c r="B2647" s="190">
        <v>1</v>
      </c>
      <c r="C2647" s="191" t="s">
        <v>237</v>
      </c>
      <c r="D2647" s="192">
        <f t="shared" si="574"/>
        <v>0</v>
      </c>
      <c r="E2647" s="192">
        <f t="shared" si="575"/>
        <v>0</v>
      </c>
      <c r="F2647" s="192">
        <f t="shared" si="576"/>
        <v>0</v>
      </c>
      <c r="G2647" s="193">
        <f t="shared" si="577"/>
        <v>0</v>
      </c>
      <c r="H2647" s="194">
        <v>0</v>
      </c>
      <c r="I2647" s="194">
        <v>0</v>
      </c>
      <c r="J2647" s="194">
        <v>0</v>
      </c>
      <c r="K2647" s="193">
        <f t="shared" si="578"/>
        <v>0</v>
      </c>
      <c r="L2647" s="194">
        <v>0</v>
      </c>
      <c r="M2647" s="194">
        <v>0</v>
      </c>
      <c r="N2647" s="194">
        <v>0</v>
      </c>
      <c r="O2647" s="193">
        <f t="shared" si="579"/>
        <v>0</v>
      </c>
      <c r="P2647" s="194">
        <v>0</v>
      </c>
      <c r="Q2647" s="194">
        <v>0</v>
      </c>
      <c r="R2647" s="194">
        <v>0</v>
      </c>
      <c r="S2647" s="193">
        <f t="shared" si="580"/>
        <v>0</v>
      </c>
      <c r="T2647" s="193">
        <f t="shared" si="581"/>
        <v>0</v>
      </c>
      <c r="U2647" s="193">
        <f ca="1">OFFSET('Expenditure Study'!$B$7,'Operations Support'!$C2647,'Operations Support'!$B2647)*$G2647</f>
        <v>0</v>
      </c>
      <c r="V2647" s="199">
        <f ca="1">U2647*'Expenditure Study'!$B$31</f>
        <v>0</v>
      </c>
      <c r="W2647" s="199">
        <f ca="1">IF(A2647=10298,1.51,1)*IF($B2647&lt;3,$D2647*'Expenditure Study'!$B$32*OFFSET('Expenditure Study'!$B$7,'Operations Support'!$C2647,'Operations Support'!$B2647),0)</f>
        <v>0</v>
      </c>
      <c r="X2647" s="200">
        <f ca="1">W2647*'Expenditure Study'!$B$31</f>
        <v>0</v>
      </c>
      <c r="Y2647" s="199">
        <f ca="1">U2647*'Expenditure Study'!$B$31</f>
        <v>0</v>
      </c>
      <c r="Z2647" s="200">
        <f ca="1">W2647*'Expenditure Study'!$B$31</f>
        <v>0</v>
      </c>
      <c r="AA2647" s="195">
        <f t="shared" ca="1" si="582"/>
        <v>0</v>
      </c>
      <c r="AB2647" s="195">
        <f t="shared" ca="1" si="583"/>
        <v>0</v>
      </c>
      <c r="AD2647" s="196">
        <f>IFERROR($G2647/SUMIF($A:$A,$A2647,$G:$G)*SUMIF(Summary!$A$166:$A$242,$A2647,Summary!$P$166:$P$242),0)</f>
        <v>0</v>
      </c>
      <c r="AE2647" s="197">
        <f t="shared" ca="1" si="584"/>
        <v>0</v>
      </c>
      <c r="AF2647" s="196">
        <f>IFERROR(G2647/SUMIF(A:A,A2647,G:G)*SUMIF(Summary!$A$166:$A$242,'Operations Support'!A2647,Summary!$Q$166:$Q$242),0)</f>
        <v>0</v>
      </c>
      <c r="AG2647" s="196">
        <f t="shared" ca="1" si="585"/>
        <v>0</v>
      </c>
      <c r="AI2647" s="196">
        <f>IFERROR($G2647/SUMIF($A:$A,$A2647,$G:$G)*SUMIF(Summary!$A$247:$A$283,$A2647,Summary!$P$247:$P$283),0)</f>
        <v>0</v>
      </c>
      <c r="AJ2647" s="196">
        <f>IFERROR($G2647/SUMIF($A:$A,$A2647,$G:$G)*(SUMIF(Summary!$A$247:$A$283,$A2647,Summary!$L$247:$L$283)+SUMIF(Summary!$A$297:$A$333,$A2647,Summary!$L$297:$L$333))-AI2647,0)</f>
        <v>0</v>
      </c>
      <c r="AK2647" s="196">
        <f>IFERROR($G2647/SUMIF($A:$A,$A2647,$G:$G)*SUMIF(Summary!$A$247:$A$283,$A2647,Summary!$Q$247:$Q$283),0)</f>
        <v>0</v>
      </c>
      <c r="AL2647" s="196">
        <f>IFERROR($G2647/SUMIF($A:$A,$A2647,$G:$G)*(SUMIF(Summary!$A$247:$A$283,$A2647,Summary!$L$247:$L$283)+SUMIF(Summary!$A$297:$A$333,$A2647,Summary!$L$297:$L$333))-AK2647,0)</f>
        <v>0</v>
      </c>
      <c r="AM2647" s="198"/>
      <c r="AN2647" s="196">
        <f t="shared" ca="1" si="586"/>
        <v>0</v>
      </c>
      <c r="AO2647" s="196">
        <f t="shared" ca="1" si="587"/>
        <v>0</v>
      </c>
    </row>
    <row r="2648" spans="1:41">
      <c r="A2648" s="189">
        <v>9930</v>
      </c>
      <c r="B2648" s="190">
        <v>1</v>
      </c>
      <c r="C2648" s="191" t="s">
        <v>238</v>
      </c>
      <c r="D2648" s="192">
        <f t="shared" si="574"/>
        <v>61</v>
      </c>
      <c r="E2648" s="192">
        <f t="shared" si="575"/>
        <v>45</v>
      </c>
      <c r="F2648" s="192">
        <f t="shared" si="576"/>
        <v>0</v>
      </c>
      <c r="G2648" s="193">
        <f t="shared" si="577"/>
        <v>106</v>
      </c>
      <c r="H2648" s="194">
        <v>31</v>
      </c>
      <c r="I2648" s="194">
        <v>24</v>
      </c>
      <c r="J2648" s="194">
        <v>0</v>
      </c>
      <c r="K2648" s="193">
        <f t="shared" si="578"/>
        <v>55</v>
      </c>
      <c r="L2648" s="194">
        <v>0</v>
      </c>
      <c r="M2648" s="194">
        <v>21</v>
      </c>
      <c r="N2648" s="194">
        <v>0</v>
      </c>
      <c r="O2648" s="193">
        <f t="shared" si="579"/>
        <v>21</v>
      </c>
      <c r="P2648" s="194">
        <v>30</v>
      </c>
      <c r="Q2648" s="194">
        <v>0</v>
      </c>
      <c r="R2648" s="194">
        <v>0</v>
      </c>
      <c r="S2648" s="193">
        <f t="shared" si="580"/>
        <v>30</v>
      </c>
      <c r="T2648" s="193">
        <f t="shared" si="581"/>
        <v>3.5333333333333332</v>
      </c>
      <c r="U2648" s="193">
        <f ca="1">OFFSET('Expenditure Study'!$B$7,'Operations Support'!$C2648,'Operations Support'!$B2648)*$G2648</f>
        <v>188.68</v>
      </c>
      <c r="V2648" s="199">
        <f ca="1">U2648*'Expenditure Study'!$B$31</f>
        <v>11147.814553344</v>
      </c>
      <c r="W2648" s="199">
        <f ca="1">IF(A2648=10298,1.51,1)*IF($B2648&lt;3,$D2648*'Expenditure Study'!$B$32*OFFSET('Expenditure Study'!$B$7,'Operations Support'!$C2648,'Operations Support'!$B2648),0)</f>
        <v>10.858000000000001</v>
      </c>
      <c r="X2648" s="200">
        <f ca="1">W2648*'Expenditure Study'!$B$31</f>
        <v>641.52517712640008</v>
      </c>
      <c r="Y2648" s="199">
        <f ca="1">U2648*'Expenditure Study'!$B$31</f>
        <v>11147.814553344</v>
      </c>
      <c r="Z2648" s="200">
        <f ca="1">W2648*'Expenditure Study'!$B$31</f>
        <v>641.52517712640008</v>
      </c>
      <c r="AA2648" s="195">
        <f t="shared" ca="1" si="582"/>
        <v>11789.339730470399</v>
      </c>
      <c r="AB2648" s="195">
        <f t="shared" ca="1" si="583"/>
        <v>11789.339730470399</v>
      </c>
      <c r="AD2648" s="196">
        <f>IFERROR($G2648/SUMIF($A:$A,$A2648,$G:$G)*SUMIF(Summary!$A$166:$A$242,$A2648,Summary!$P$166:$P$242),0)</f>
        <v>4106.2413554577579</v>
      </c>
      <c r="AE2648" s="197">
        <f t="shared" ca="1" si="584"/>
        <v>7683.0983750126416</v>
      </c>
      <c r="AF2648" s="196">
        <f>IFERROR(G2648/SUMIF(A:A,A2648,G:G)*SUMIF(Summary!$A$166:$A$242,'Operations Support'!A2648,Summary!$Q$166:$Q$242),0)</f>
        <v>4110.3234098783751</v>
      </c>
      <c r="AG2648" s="196">
        <f t="shared" ca="1" si="585"/>
        <v>7679.0163205920244</v>
      </c>
      <c r="AI2648" s="196">
        <f>IFERROR($G2648/SUMIF($A:$A,$A2648,$G:$G)*SUMIF(Summary!$A$247:$A$283,$A2648,Summary!$P$247:$P$283),0)</f>
        <v>748.87595312470114</v>
      </c>
      <c r="AJ2648" s="196">
        <f>IFERROR($G2648/SUMIF($A:$A,$A2648,$G:$G)*(SUMIF(Summary!$A$247:$A$283,$A2648,Summary!$L$247:$L$283)+SUMIF(Summary!$A$297:$A$333,$A2648,Summary!$L$297:$L$333))-AI2648,0)</f>
        <v>2517.3253804126621</v>
      </c>
      <c r="AK2648" s="196">
        <f>IFERROR($G2648/SUMIF($A:$A,$A2648,$G:$G)*SUMIF(Summary!$A$247:$A$283,$A2648,Summary!$Q$247:$Q$283),0)</f>
        <v>749.62041798448911</v>
      </c>
      <c r="AL2648" s="196">
        <f>IFERROR($G2648/SUMIF($A:$A,$A2648,$G:$G)*(SUMIF(Summary!$A$247:$A$283,$A2648,Summary!$L$247:$L$283)+SUMIF(Summary!$A$297:$A$333,$A2648,Summary!$L$297:$L$333))-AK2648,0)</f>
        <v>2516.5809155528741</v>
      </c>
      <c r="AM2648" s="198"/>
      <c r="AN2648" s="196">
        <f t="shared" ca="1" si="586"/>
        <v>10200.423755425303</v>
      </c>
      <c r="AO2648" s="196">
        <f t="shared" ca="1" si="587"/>
        <v>10195.597236144898</v>
      </c>
    </row>
    <row r="2649" spans="1:41">
      <c r="A2649" s="189">
        <v>9930</v>
      </c>
      <c r="B2649" s="190">
        <v>1</v>
      </c>
      <c r="C2649" s="191" t="s">
        <v>239</v>
      </c>
      <c r="D2649" s="192">
        <f t="shared" si="574"/>
        <v>6</v>
      </c>
      <c r="E2649" s="192">
        <f t="shared" si="575"/>
        <v>417</v>
      </c>
      <c r="F2649" s="192">
        <f t="shared" si="576"/>
        <v>0</v>
      </c>
      <c r="G2649" s="193">
        <f t="shared" si="577"/>
        <v>423</v>
      </c>
      <c r="H2649" s="194">
        <v>0</v>
      </c>
      <c r="I2649" s="194">
        <v>185</v>
      </c>
      <c r="J2649" s="194">
        <v>0</v>
      </c>
      <c r="K2649" s="193">
        <f t="shared" si="578"/>
        <v>185</v>
      </c>
      <c r="L2649" s="194">
        <v>0</v>
      </c>
      <c r="M2649" s="194">
        <v>232</v>
      </c>
      <c r="N2649" s="194">
        <v>0</v>
      </c>
      <c r="O2649" s="193">
        <f t="shared" si="579"/>
        <v>232</v>
      </c>
      <c r="P2649" s="194">
        <v>6</v>
      </c>
      <c r="Q2649" s="194">
        <v>0</v>
      </c>
      <c r="R2649" s="194">
        <v>0</v>
      </c>
      <c r="S2649" s="193">
        <f t="shared" si="580"/>
        <v>6</v>
      </c>
      <c r="T2649" s="193">
        <f t="shared" si="581"/>
        <v>14.1</v>
      </c>
      <c r="U2649" s="193">
        <f ca="1">OFFSET('Expenditure Study'!$B$7,'Operations Support'!$C2649,'Operations Support'!$B2649)*$G2649</f>
        <v>655.65</v>
      </c>
      <c r="V2649" s="199">
        <f ca="1">U2649*'Expenditure Study'!$B$31</f>
        <v>38737.887491519999</v>
      </c>
      <c r="W2649" s="199">
        <f ca="1">IF(A2649=10298,1.51,1)*IF($B2649&lt;3,$D2649*'Expenditure Study'!$B$32*OFFSET('Expenditure Study'!$B$7,'Operations Support'!$C2649,'Operations Support'!$B2649),0)</f>
        <v>0.93000000000000016</v>
      </c>
      <c r="X2649" s="200">
        <f ca="1">W2649*'Expenditure Study'!$B$31</f>
        <v>54.947358144000013</v>
      </c>
      <c r="Y2649" s="199">
        <f ca="1">U2649*'Expenditure Study'!$B$31</f>
        <v>38737.887491519999</v>
      </c>
      <c r="Z2649" s="200">
        <f ca="1">W2649*'Expenditure Study'!$B$31</f>
        <v>54.947358144000013</v>
      </c>
      <c r="AA2649" s="195">
        <f t="shared" ca="1" si="582"/>
        <v>38792.834849664003</v>
      </c>
      <c r="AB2649" s="195">
        <f t="shared" ca="1" si="583"/>
        <v>38792.834849664003</v>
      </c>
      <c r="AD2649" s="196">
        <f>IFERROR($G2649/SUMIF($A:$A,$A2649,$G:$G)*SUMIF(Summary!$A$166:$A$242,$A2649,Summary!$P$166:$P$242),0)</f>
        <v>16386.227295836146</v>
      </c>
      <c r="AE2649" s="197">
        <f t="shared" ca="1" si="584"/>
        <v>22406.607553827856</v>
      </c>
      <c r="AF2649" s="196">
        <f>IFERROR(G2649/SUMIF(A:A,A2649,G:G)*SUMIF(Summary!$A$166:$A$242,'Operations Support'!A2649,Summary!$Q$166:$Q$242),0)</f>
        <v>16402.517003571254</v>
      </c>
      <c r="AG2649" s="196">
        <f t="shared" ca="1" si="585"/>
        <v>22390.317846092748</v>
      </c>
      <c r="AI2649" s="196">
        <f>IFERROR($G2649/SUMIF($A:$A,$A2649,$G:$G)*SUMIF(Summary!$A$247:$A$283,$A2649,Summary!$P$247:$P$283),0)</f>
        <v>2988.4389450164958</v>
      </c>
      <c r="AJ2649" s="196">
        <f>IFERROR($G2649/SUMIF($A:$A,$A2649,$G:$G)*(SUMIF(Summary!$A$247:$A$283,$A2649,Summary!$L$247:$L$283)+SUMIF(Summary!$A$297:$A$333,$A2649,Summary!$L$297:$L$333))-AI2649,0)</f>
        <v>10045.553169005245</v>
      </c>
      <c r="AK2649" s="196">
        <f>IFERROR($G2649/SUMIF($A:$A,$A2649,$G:$G)*SUMIF(Summary!$A$247:$A$283,$A2649,Summary!$Q$247:$Q$283),0)</f>
        <v>2991.4097812022537</v>
      </c>
      <c r="AL2649" s="196">
        <f>IFERROR($G2649/SUMIF($A:$A,$A2649,$G:$G)*(SUMIF(Summary!$A$247:$A$283,$A2649,Summary!$L$247:$L$283)+SUMIF(Summary!$A$297:$A$333,$A2649,Summary!$L$297:$L$333))-AK2649,0)</f>
        <v>10042.582332819487</v>
      </c>
      <c r="AM2649" s="198"/>
      <c r="AN2649" s="196">
        <f t="shared" ca="1" si="586"/>
        <v>32452.160722833101</v>
      </c>
      <c r="AO2649" s="196">
        <f t="shared" ca="1" si="587"/>
        <v>32432.900178912234</v>
      </c>
    </row>
    <row r="2650" spans="1:41">
      <c r="A2650" s="189">
        <v>9930</v>
      </c>
      <c r="B2650" s="190">
        <v>1</v>
      </c>
      <c r="C2650" s="191" t="s">
        <v>240</v>
      </c>
      <c r="D2650" s="192">
        <f t="shared" si="574"/>
        <v>3</v>
      </c>
      <c r="E2650" s="192">
        <f t="shared" si="575"/>
        <v>741</v>
      </c>
      <c r="F2650" s="192">
        <f t="shared" si="576"/>
        <v>0</v>
      </c>
      <c r="G2650" s="193">
        <f t="shared" si="577"/>
        <v>744</v>
      </c>
      <c r="H2650" s="194">
        <v>3</v>
      </c>
      <c r="I2650" s="194">
        <v>243</v>
      </c>
      <c r="J2650" s="194">
        <v>0</v>
      </c>
      <c r="K2650" s="193">
        <f t="shared" si="578"/>
        <v>246</v>
      </c>
      <c r="L2650" s="194">
        <v>0</v>
      </c>
      <c r="M2650" s="194">
        <v>498</v>
      </c>
      <c r="N2650" s="194">
        <v>0</v>
      </c>
      <c r="O2650" s="193">
        <f t="shared" si="579"/>
        <v>498</v>
      </c>
      <c r="P2650" s="194">
        <v>0</v>
      </c>
      <c r="Q2650" s="194">
        <v>0</v>
      </c>
      <c r="R2650" s="194">
        <v>0</v>
      </c>
      <c r="S2650" s="193">
        <f t="shared" si="580"/>
        <v>0</v>
      </c>
      <c r="T2650" s="193">
        <f t="shared" si="581"/>
        <v>24.8</v>
      </c>
      <c r="U2650" s="193">
        <f ca="1">OFFSET('Expenditure Study'!$B$7,'Operations Support'!$C2650,'Operations Support'!$B2650)*$G2650</f>
        <v>744</v>
      </c>
      <c r="V2650" s="199">
        <f ca="1">U2650*'Expenditure Study'!$B$31</f>
        <v>43957.8865152</v>
      </c>
      <c r="W2650" s="199">
        <f ca="1">IF(A2650=10298,1.51,1)*IF($B2650&lt;3,$D2650*'Expenditure Study'!$B$32*OFFSET('Expenditure Study'!$B$7,'Operations Support'!$C2650,'Operations Support'!$B2650),0)</f>
        <v>0.30000000000000004</v>
      </c>
      <c r="X2650" s="200">
        <f ca="1">W2650*'Expenditure Study'!$B$31</f>
        <v>17.724954240000002</v>
      </c>
      <c r="Y2650" s="199">
        <f ca="1">U2650*'Expenditure Study'!$B$31</f>
        <v>43957.8865152</v>
      </c>
      <c r="Z2650" s="200">
        <f ca="1">W2650*'Expenditure Study'!$B$31</f>
        <v>17.724954240000002</v>
      </c>
      <c r="AA2650" s="195">
        <f t="shared" ca="1" si="582"/>
        <v>43975.611469440002</v>
      </c>
      <c r="AB2650" s="195">
        <f t="shared" ca="1" si="583"/>
        <v>43975.611469440002</v>
      </c>
      <c r="AD2650" s="196">
        <f>IFERROR($G2650/SUMIF($A:$A,$A2650,$G:$G)*SUMIF(Summary!$A$166:$A$242,$A2650,Summary!$P$166:$P$242),0)</f>
        <v>28821.165740194076</v>
      </c>
      <c r="AE2650" s="197">
        <f t="shared" ca="1" si="584"/>
        <v>15154.445729245926</v>
      </c>
      <c r="AF2650" s="196">
        <f>IFERROR(G2650/SUMIF(A:A,A2650,G:G)*SUMIF(Summary!$A$166:$A$242,'Operations Support'!A2650,Summary!$Q$166:$Q$242),0)</f>
        <v>28849.817141033127</v>
      </c>
      <c r="AG2650" s="196">
        <f t="shared" ca="1" si="585"/>
        <v>15125.794328406875</v>
      </c>
      <c r="AI2650" s="196">
        <f>IFERROR($G2650/SUMIF($A:$A,$A2650,$G:$G)*SUMIF(Summary!$A$247:$A$283,$A2650,Summary!$P$247:$P$283),0)</f>
        <v>5256.2614068375251</v>
      </c>
      <c r="AJ2650" s="196">
        <f>IFERROR($G2650/SUMIF($A:$A,$A2650,$G:$G)*(SUMIF(Summary!$A$247:$A$283,$A2650,Summary!$L$247:$L$283)+SUMIF(Summary!$A$297:$A$333,$A2650,Summary!$L$297:$L$333))-AI2650,0)</f>
        <v>17668.774368179438</v>
      </c>
      <c r="AK2650" s="196">
        <f>IFERROR($G2650/SUMIF($A:$A,$A2650,$G:$G)*SUMIF(Summary!$A$247:$A$283,$A2650,Summary!$Q$247:$Q$283),0)</f>
        <v>5261.4867073628293</v>
      </c>
      <c r="AL2650" s="196">
        <f>IFERROR($G2650/SUMIF($A:$A,$A2650,$G:$G)*(SUMIF(Summary!$A$247:$A$283,$A2650,Summary!$L$247:$L$283)+SUMIF(Summary!$A$297:$A$333,$A2650,Summary!$L$297:$L$333))-AK2650,0)</f>
        <v>17663.549067654134</v>
      </c>
      <c r="AM2650" s="198"/>
      <c r="AN2650" s="196">
        <f t="shared" ca="1" si="586"/>
        <v>32823.220097425365</v>
      </c>
      <c r="AO2650" s="196">
        <f t="shared" ca="1" si="587"/>
        <v>32789.343396061013</v>
      </c>
    </row>
    <row r="2651" spans="1:41">
      <c r="A2651" s="189">
        <v>9930</v>
      </c>
      <c r="B2651" s="190">
        <v>2</v>
      </c>
      <c r="C2651" s="191" t="s">
        <v>220</v>
      </c>
      <c r="D2651" s="192">
        <f t="shared" si="574"/>
        <v>6634</v>
      </c>
      <c r="E2651" s="192">
        <f t="shared" si="575"/>
        <v>7039</v>
      </c>
      <c r="F2651" s="192">
        <f t="shared" si="576"/>
        <v>0</v>
      </c>
      <c r="G2651" s="193">
        <f t="shared" si="577"/>
        <v>13673</v>
      </c>
      <c r="H2651" s="194">
        <v>2386</v>
      </c>
      <c r="I2651" s="194">
        <v>3440</v>
      </c>
      <c r="J2651" s="194">
        <v>0</v>
      </c>
      <c r="K2651" s="193">
        <f t="shared" si="578"/>
        <v>5826</v>
      </c>
      <c r="L2651" s="194">
        <v>2116</v>
      </c>
      <c r="M2651" s="194">
        <v>2105</v>
      </c>
      <c r="N2651" s="194">
        <v>0</v>
      </c>
      <c r="O2651" s="193">
        <f t="shared" si="579"/>
        <v>4221</v>
      </c>
      <c r="P2651" s="194">
        <v>2132</v>
      </c>
      <c r="Q2651" s="194">
        <v>1494</v>
      </c>
      <c r="R2651" s="194">
        <v>0</v>
      </c>
      <c r="S2651" s="193">
        <f t="shared" si="580"/>
        <v>3626</v>
      </c>
      <c r="T2651" s="193">
        <f t="shared" si="581"/>
        <v>455.76666666666665</v>
      </c>
      <c r="U2651" s="193">
        <f ca="1">OFFSET('Expenditure Study'!$B$7,'Operations Support'!$C2651,'Operations Support'!$B2651)*$G2651</f>
        <v>25158.32</v>
      </c>
      <c r="V2651" s="199">
        <f ca="1">U2651*'Expenditure Study'!$B$31</f>
        <v>1486433.569184256</v>
      </c>
      <c r="W2651" s="199">
        <f ca="1">IF(A2651=10298,1.51,1)*IF($B2651&lt;3,$D2651*'Expenditure Study'!$B$32*OFFSET('Expenditure Study'!$B$7,'Operations Support'!$C2651,'Operations Support'!$B2651),0)</f>
        <v>1220.6560000000002</v>
      </c>
      <c r="X2651" s="200">
        <f ca="1">W2651*'Expenditure Study'!$B$31</f>
        <v>72120.239142604813</v>
      </c>
      <c r="Y2651" s="199">
        <f ca="1">U2651*'Expenditure Study'!$B$31</f>
        <v>1486433.569184256</v>
      </c>
      <c r="Z2651" s="200">
        <f ca="1">W2651*'Expenditure Study'!$B$31</f>
        <v>72120.239142604813</v>
      </c>
      <c r="AA2651" s="195">
        <f t="shared" ca="1" si="582"/>
        <v>1558553.8083268609</v>
      </c>
      <c r="AB2651" s="195">
        <f t="shared" ca="1" si="583"/>
        <v>1558553.8083268609</v>
      </c>
      <c r="AD2651" s="196">
        <f>IFERROR($G2651/SUMIF($A:$A,$A2651,$G:$G)*SUMIF(Summary!$A$166:$A$242,$A2651,Summary!$P$166:$P$242),0)</f>
        <v>529666.3967280559</v>
      </c>
      <c r="AE2651" s="197">
        <f t="shared" ca="1" si="584"/>
        <v>1028887.411598805</v>
      </c>
      <c r="AF2651" s="196">
        <f>IFERROR(G2651/SUMIF(A:A,A2651,G:G)*SUMIF(Summary!$A$166:$A$242,'Operations Support'!A2651,Summary!$Q$166:$Q$242),0)</f>
        <v>530192.94323836826</v>
      </c>
      <c r="AG2651" s="196">
        <f t="shared" ca="1" si="585"/>
        <v>1028360.8650884926</v>
      </c>
      <c r="AI2651" s="196">
        <f>IFERROR($G2651/SUMIF($A:$A,$A2651,$G:$G)*SUMIF(Summary!$A$247:$A$283,$A2651,Summary!$P$247:$P$283),0)</f>
        <v>96597.933085604134</v>
      </c>
      <c r="AJ2651" s="196">
        <f>IFERROR($G2651/SUMIF($A:$A,$A2651,$G:$G)*(SUMIF(Summary!$A$247:$A$283,$A2651,Summary!$L$247:$L$283)+SUMIF(Summary!$A$297:$A$333,$A2651,Summary!$L$297:$L$333))-AI2651,0)</f>
        <v>324711.225720588</v>
      </c>
      <c r="AK2651" s="196">
        <f>IFERROR($G2651/SUMIF($A:$A,$A2651,$G:$G)*SUMIF(Summary!$A$247:$A$283,$A2651,Summary!$Q$247:$Q$283),0)</f>
        <v>96693.962029263392</v>
      </c>
      <c r="AL2651" s="196">
        <f>IFERROR($G2651/SUMIF($A:$A,$A2651,$G:$G)*(SUMIF(Summary!$A$247:$A$283,$A2651,Summary!$L$247:$L$283)+SUMIF(Summary!$A$297:$A$333,$A2651,Summary!$L$297:$L$333))-AK2651,0)</f>
        <v>324615.19677692873</v>
      </c>
      <c r="AM2651" s="198"/>
      <c r="AN2651" s="196">
        <f t="shared" ca="1" si="586"/>
        <v>1353598.637319393</v>
      </c>
      <c r="AO2651" s="196">
        <f t="shared" ca="1" si="587"/>
        <v>1352976.0618654215</v>
      </c>
    </row>
    <row r="2652" spans="1:41">
      <c r="A2652" s="189">
        <v>9930</v>
      </c>
      <c r="B2652" s="190">
        <v>2</v>
      </c>
      <c r="C2652" s="191" t="s">
        <v>221</v>
      </c>
      <c r="D2652" s="192">
        <f t="shared" si="574"/>
        <v>3409</v>
      </c>
      <c r="E2652" s="192">
        <f t="shared" si="575"/>
        <v>1690</v>
      </c>
      <c r="F2652" s="192">
        <f t="shared" si="576"/>
        <v>0</v>
      </c>
      <c r="G2652" s="193">
        <f t="shared" si="577"/>
        <v>5099</v>
      </c>
      <c r="H2652" s="194">
        <v>1501</v>
      </c>
      <c r="I2652" s="194">
        <v>697</v>
      </c>
      <c r="J2652" s="194">
        <v>0</v>
      </c>
      <c r="K2652" s="193">
        <f t="shared" si="578"/>
        <v>2198</v>
      </c>
      <c r="L2652" s="194">
        <v>1672</v>
      </c>
      <c r="M2652" s="194">
        <v>754</v>
      </c>
      <c r="N2652" s="194">
        <v>0</v>
      </c>
      <c r="O2652" s="193">
        <f t="shared" si="579"/>
        <v>2426</v>
      </c>
      <c r="P2652" s="194">
        <v>236</v>
      </c>
      <c r="Q2652" s="194">
        <v>239</v>
      </c>
      <c r="R2652" s="194">
        <v>0</v>
      </c>
      <c r="S2652" s="193">
        <f t="shared" si="580"/>
        <v>475</v>
      </c>
      <c r="T2652" s="193">
        <f t="shared" si="581"/>
        <v>169.96666666666667</v>
      </c>
      <c r="U2652" s="193">
        <f ca="1">OFFSET('Expenditure Study'!$B$7,'Operations Support'!$C2652,'Operations Support'!$B2652)*$G2652</f>
        <v>13410.369999999999</v>
      </c>
      <c r="V2652" s="199">
        <f ca="1">U2652*'Expenditure Study'!$B$31</f>
        <v>792327.31530489598</v>
      </c>
      <c r="W2652" s="199">
        <f ca="1">IF(A2652=10298,1.51,1)*IF($B2652&lt;3,$D2652*'Expenditure Study'!$B$32*OFFSET('Expenditure Study'!$B$7,'Operations Support'!$C2652,'Operations Support'!$B2652),0)</f>
        <v>896.56700000000001</v>
      </c>
      <c r="X2652" s="200">
        <f ca="1">W2652*'Expenditure Study'!$B$31</f>
        <v>52972.030160313603</v>
      </c>
      <c r="Y2652" s="199">
        <f ca="1">U2652*'Expenditure Study'!$B$31</f>
        <v>792327.31530489598</v>
      </c>
      <c r="Z2652" s="200">
        <f ca="1">W2652*'Expenditure Study'!$B$31</f>
        <v>52972.030160313603</v>
      </c>
      <c r="AA2652" s="195">
        <f t="shared" ca="1" si="582"/>
        <v>845299.34546520957</v>
      </c>
      <c r="AB2652" s="195">
        <f t="shared" ca="1" si="583"/>
        <v>845299.34546520957</v>
      </c>
      <c r="AD2652" s="196">
        <f>IFERROR($G2652/SUMIF($A:$A,$A2652,$G:$G)*SUMIF(Summary!$A$166:$A$242,$A2652,Summary!$P$166:$P$242),0)</f>
        <v>197525.70444791613</v>
      </c>
      <c r="AE2652" s="197">
        <f t="shared" ca="1" si="584"/>
        <v>647773.64101729344</v>
      </c>
      <c r="AF2652" s="196">
        <f>IFERROR(G2652/SUMIF(A:A,A2652,G:G)*SUMIF(Summary!$A$166:$A$242,'Operations Support'!A2652,Summary!$Q$166:$Q$242),0)</f>
        <v>197722.06666952677</v>
      </c>
      <c r="AG2652" s="196">
        <f t="shared" ca="1" si="585"/>
        <v>647577.27879568283</v>
      </c>
      <c r="AI2652" s="196">
        <f>IFERROR($G2652/SUMIF($A:$A,$A2652,$G:$G)*SUMIF(Summary!$A$247:$A$283,$A2652,Summary!$P$247:$P$283),0)</f>
        <v>36023.759292291048</v>
      </c>
      <c r="AJ2652" s="196">
        <f>IFERROR($G2652/SUMIF($A:$A,$A2652,$G:$G)*(SUMIF(Summary!$A$247:$A$283,$A2652,Summary!$L$247:$L$283)+SUMIF(Summary!$A$297:$A$333,$A2652,Summary!$L$297:$L$333))-AI2652,0)</f>
        <v>121092.8501389072</v>
      </c>
      <c r="AK2652" s="196">
        <f>IFERROR($G2652/SUMIF($A:$A,$A2652,$G:$G)*SUMIF(Summary!$A$247:$A$283,$A2652,Summary!$Q$247:$Q$283),0)</f>
        <v>36059.570861348213</v>
      </c>
      <c r="AL2652" s="196">
        <f>IFERROR($G2652/SUMIF($A:$A,$A2652,$G:$G)*(SUMIF(Summary!$A$247:$A$283,$A2652,Summary!$L$247:$L$283)+SUMIF(Summary!$A$297:$A$333,$A2652,Summary!$L$297:$L$333))-AK2652,0)</f>
        <v>121057.03856985003</v>
      </c>
      <c r="AM2652" s="198"/>
      <c r="AN2652" s="196">
        <f t="shared" ca="1" si="586"/>
        <v>768866.49115620065</v>
      </c>
      <c r="AO2652" s="196">
        <f t="shared" ca="1" si="587"/>
        <v>768634.31736553286</v>
      </c>
    </row>
    <row r="2653" spans="1:41">
      <c r="A2653" s="189">
        <v>9930</v>
      </c>
      <c r="B2653" s="190">
        <v>2</v>
      </c>
      <c r="C2653" s="191" t="s">
        <v>222</v>
      </c>
      <c r="D2653" s="192">
        <f t="shared" si="574"/>
        <v>822</v>
      </c>
      <c r="E2653" s="192">
        <f t="shared" si="575"/>
        <v>277</v>
      </c>
      <c r="F2653" s="192">
        <f t="shared" si="576"/>
        <v>0</v>
      </c>
      <c r="G2653" s="193">
        <f t="shared" si="577"/>
        <v>1099</v>
      </c>
      <c r="H2653" s="194">
        <v>334</v>
      </c>
      <c r="I2653" s="194">
        <v>168</v>
      </c>
      <c r="J2653" s="194">
        <v>0</v>
      </c>
      <c r="K2653" s="193">
        <f t="shared" si="578"/>
        <v>502</v>
      </c>
      <c r="L2653" s="194">
        <v>461</v>
      </c>
      <c r="M2653" s="194">
        <v>77</v>
      </c>
      <c r="N2653" s="194">
        <v>0</v>
      </c>
      <c r="O2653" s="193">
        <f t="shared" si="579"/>
        <v>538</v>
      </c>
      <c r="P2653" s="194">
        <v>27</v>
      </c>
      <c r="Q2653" s="194">
        <v>32</v>
      </c>
      <c r="R2653" s="194">
        <v>0</v>
      </c>
      <c r="S2653" s="193">
        <f t="shared" si="580"/>
        <v>59</v>
      </c>
      <c r="T2653" s="193">
        <f t="shared" si="581"/>
        <v>36.633333333333333</v>
      </c>
      <c r="U2653" s="193">
        <f ca="1">OFFSET('Expenditure Study'!$B$7,'Operations Support'!$C2653,'Operations Support'!$B2653)*$G2653</f>
        <v>2923.34</v>
      </c>
      <c r="V2653" s="199">
        <f ca="1">U2653*'Expenditure Study'!$B$31</f>
        <v>172720.225759872</v>
      </c>
      <c r="W2653" s="199">
        <f ca="1">IF(A2653=10298,1.51,1)*IF($B2653&lt;3,$D2653*'Expenditure Study'!$B$32*OFFSET('Expenditure Study'!$B$7,'Operations Support'!$C2653,'Operations Support'!$B2653),0)</f>
        <v>218.65200000000002</v>
      </c>
      <c r="X2653" s="200">
        <f ca="1">W2653*'Expenditure Study'!$B$31</f>
        <v>12918.655648281601</v>
      </c>
      <c r="Y2653" s="199">
        <f ca="1">U2653*'Expenditure Study'!$B$31</f>
        <v>172720.225759872</v>
      </c>
      <c r="Z2653" s="200">
        <f ca="1">W2653*'Expenditure Study'!$B$31</f>
        <v>12918.655648281601</v>
      </c>
      <c r="AA2653" s="195">
        <f t="shared" ca="1" si="582"/>
        <v>185638.8814081536</v>
      </c>
      <c r="AB2653" s="195">
        <f t="shared" ca="1" si="583"/>
        <v>185638.8814081536</v>
      </c>
      <c r="AD2653" s="196">
        <f>IFERROR($G2653/SUMIF($A:$A,$A2653,$G:$G)*SUMIF(Summary!$A$166:$A$242,$A2653,Summary!$P$166:$P$242),0)</f>
        <v>42573.200468378076</v>
      </c>
      <c r="AE2653" s="197">
        <f t="shared" ca="1" si="584"/>
        <v>143065.68093977551</v>
      </c>
      <c r="AF2653" s="196">
        <f>IFERROR(G2653/SUMIF(A:A,A2653,G:G)*SUMIF(Summary!$A$166:$A$242,'Operations Support'!A2653,Summary!$Q$166:$Q$242),0)</f>
        <v>42615.522900531461</v>
      </c>
      <c r="AG2653" s="196">
        <f t="shared" ca="1" si="585"/>
        <v>143023.35850762215</v>
      </c>
      <c r="AI2653" s="196">
        <f>IFERROR($G2653/SUMIF($A:$A,$A2653,$G:$G)*SUMIF(Summary!$A$247:$A$283,$A2653,Summary!$P$247:$P$283),0)</f>
        <v>7764.2893630570434</v>
      </c>
      <c r="AJ2653" s="196">
        <f>IFERROR($G2653/SUMIF($A:$A,$A2653,$G:$G)*(SUMIF(Summary!$A$247:$A$283,$A2653,Summary!$L$247:$L$283)+SUMIF(Summary!$A$297:$A$333,$A2653,Summary!$L$297:$L$333))-AI2653,0)</f>
        <v>26099.439557297319</v>
      </c>
      <c r="AK2653" s="196">
        <f>IFERROR($G2653/SUMIF($A:$A,$A2653,$G:$G)*SUMIF(Summary!$A$247:$A$283,$A2653,Summary!$Q$247:$Q$283),0)</f>
        <v>7772.0079185372979</v>
      </c>
      <c r="AL2653" s="196">
        <f>IFERROR($G2653/SUMIF($A:$A,$A2653,$G:$G)*(SUMIF(Summary!$A$247:$A$283,$A2653,Summary!$L$247:$L$283)+SUMIF(Summary!$A$297:$A$333,$A2653,Summary!$L$297:$L$333))-AK2653,0)</f>
        <v>26091.721001817066</v>
      </c>
      <c r="AM2653" s="198"/>
      <c r="AN2653" s="196">
        <f t="shared" ca="1" si="586"/>
        <v>169165.12049707284</v>
      </c>
      <c r="AO2653" s="196">
        <f t="shared" ca="1" si="587"/>
        <v>169115.07950943921</v>
      </c>
    </row>
    <row r="2654" spans="1:41">
      <c r="A2654" s="189">
        <v>9930</v>
      </c>
      <c r="B2654" s="190">
        <v>2</v>
      </c>
      <c r="C2654" s="191" t="s">
        <v>223</v>
      </c>
      <c r="D2654" s="192">
        <f t="shared" si="574"/>
        <v>871</v>
      </c>
      <c r="E2654" s="192">
        <f t="shared" si="575"/>
        <v>3190</v>
      </c>
      <c r="F2654" s="192">
        <f t="shared" si="576"/>
        <v>0</v>
      </c>
      <c r="G2654" s="193">
        <f t="shared" si="577"/>
        <v>4061</v>
      </c>
      <c r="H2654" s="194">
        <v>309</v>
      </c>
      <c r="I2654" s="194">
        <v>1436</v>
      </c>
      <c r="J2654" s="194">
        <v>0</v>
      </c>
      <c r="K2654" s="193">
        <f t="shared" si="578"/>
        <v>1745</v>
      </c>
      <c r="L2654" s="194">
        <v>400</v>
      </c>
      <c r="M2654" s="194">
        <v>1307</v>
      </c>
      <c r="N2654" s="194">
        <v>0</v>
      </c>
      <c r="O2654" s="193">
        <f t="shared" si="579"/>
        <v>1707</v>
      </c>
      <c r="P2654" s="194">
        <v>162</v>
      </c>
      <c r="Q2654" s="194">
        <v>447</v>
      </c>
      <c r="R2654" s="194">
        <v>0</v>
      </c>
      <c r="S2654" s="193">
        <f t="shared" si="580"/>
        <v>609</v>
      </c>
      <c r="T2654" s="193">
        <f t="shared" si="581"/>
        <v>135.36666666666667</v>
      </c>
      <c r="U2654" s="193">
        <f ca="1">OFFSET('Expenditure Study'!$B$7,'Operations Support'!$C2654,'Operations Support'!$B2654)*$G2654</f>
        <v>7715.9</v>
      </c>
      <c r="V2654" s="199">
        <f ca="1">U2654*'Expenditure Study'!$B$31</f>
        <v>455879.91473471996</v>
      </c>
      <c r="W2654" s="199">
        <f ca="1">IF(A2654=10298,1.51,1)*IF($B2654&lt;3,$D2654*'Expenditure Study'!$B$32*OFFSET('Expenditure Study'!$B$7,'Operations Support'!$C2654,'Operations Support'!$B2654),0)</f>
        <v>165.49</v>
      </c>
      <c r="X2654" s="200">
        <f ca="1">W2654*'Expenditure Study'!$B$31</f>
        <v>9777.6755905919999</v>
      </c>
      <c r="Y2654" s="199">
        <f ca="1">U2654*'Expenditure Study'!$B$31</f>
        <v>455879.91473471996</v>
      </c>
      <c r="Z2654" s="200">
        <f ca="1">W2654*'Expenditure Study'!$B$31</f>
        <v>9777.6755905919999</v>
      </c>
      <c r="AA2654" s="195">
        <f t="shared" ca="1" si="582"/>
        <v>465657.59032531199</v>
      </c>
      <c r="AB2654" s="195">
        <f t="shared" ca="1" si="583"/>
        <v>465657.59032531199</v>
      </c>
      <c r="AD2654" s="196">
        <f>IFERROR($G2654/SUMIF($A:$A,$A2654,$G:$G)*SUMIF(Summary!$A$166:$A$242,$A2654,Summary!$P$166:$P$242),0)</f>
        <v>157315.529665226</v>
      </c>
      <c r="AE2654" s="197">
        <f t="shared" ca="1" si="584"/>
        <v>308342.06066008599</v>
      </c>
      <c r="AF2654" s="196">
        <f>IFERROR(G2654/SUMIF(A:A,A2654,G:G)*SUMIF(Summary!$A$166:$A$242,'Operations Support'!A2654,Summary!$Q$166:$Q$242),0)</f>
        <v>157471.9185614725</v>
      </c>
      <c r="AG2654" s="196">
        <f t="shared" ca="1" si="585"/>
        <v>308185.67176383949</v>
      </c>
      <c r="AI2654" s="196">
        <f>IFERROR($G2654/SUMIF($A:$A,$A2654,$G:$G)*SUMIF(Summary!$A$247:$A$283,$A2654,Summary!$P$247:$P$283),0)</f>
        <v>28690.426845654823</v>
      </c>
      <c r="AJ2654" s="196">
        <f>IFERROR($G2654/SUMIF($A:$A,$A2654,$G:$G)*(SUMIF(Summary!$A$247:$A$283,$A2654,Summary!$L$247:$L$283)+SUMIF(Summary!$A$297:$A$333,$A2654,Summary!$L$297:$L$333))-AI2654,0)</f>
        <v>96442.060092979431</v>
      </c>
      <c r="AK2654" s="196">
        <f>IFERROR($G2654/SUMIF($A:$A,$A2654,$G:$G)*SUMIF(Summary!$A$247:$A$283,$A2654,Summary!$Q$247:$Q$283),0)</f>
        <v>28718.948277688778</v>
      </c>
      <c r="AL2654" s="196">
        <f>IFERROR($G2654/SUMIF($A:$A,$A2654,$G:$G)*(SUMIF(Summary!$A$247:$A$283,$A2654,Summary!$L$247:$L$283)+SUMIF(Summary!$A$297:$A$333,$A2654,Summary!$L$297:$L$333))-AK2654,0)</f>
        <v>96413.538660945487</v>
      </c>
      <c r="AM2654" s="198"/>
      <c r="AN2654" s="196">
        <f t="shared" ca="1" si="586"/>
        <v>404784.12075306545</v>
      </c>
      <c r="AO2654" s="196">
        <f t="shared" ca="1" si="587"/>
        <v>404599.21042478498</v>
      </c>
    </row>
    <row r="2655" spans="1:41">
      <c r="A2655" s="189">
        <v>9930</v>
      </c>
      <c r="B2655" s="190">
        <v>2</v>
      </c>
      <c r="C2655" s="191" t="s">
        <v>224</v>
      </c>
      <c r="D2655" s="192">
        <f t="shared" si="574"/>
        <v>0</v>
      </c>
      <c r="E2655" s="192">
        <f t="shared" si="575"/>
        <v>0</v>
      </c>
      <c r="F2655" s="192">
        <f t="shared" si="576"/>
        <v>0</v>
      </c>
      <c r="G2655" s="193">
        <f t="shared" si="577"/>
        <v>0</v>
      </c>
      <c r="H2655" s="194">
        <v>0</v>
      </c>
      <c r="I2655" s="194">
        <v>0</v>
      </c>
      <c r="J2655" s="194">
        <v>0</v>
      </c>
      <c r="K2655" s="193">
        <f t="shared" si="578"/>
        <v>0</v>
      </c>
      <c r="L2655" s="194">
        <v>0</v>
      </c>
      <c r="M2655" s="194">
        <v>0</v>
      </c>
      <c r="N2655" s="194">
        <v>0</v>
      </c>
      <c r="O2655" s="193">
        <f t="shared" si="579"/>
        <v>0</v>
      </c>
      <c r="P2655" s="194">
        <v>0</v>
      </c>
      <c r="Q2655" s="194">
        <v>0</v>
      </c>
      <c r="R2655" s="194">
        <v>0</v>
      </c>
      <c r="S2655" s="193">
        <f t="shared" si="580"/>
        <v>0</v>
      </c>
      <c r="T2655" s="193">
        <f t="shared" si="581"/>
        <v>0</v>
      </c>
      <c r="U2655" s="193">
        <f ca="1">OFFSET('Expenditure Study'!$B$7,'Operations Support'!$C2655,'Operations Support'!$B2655)*$G2655</f>
        <v>0</v>
      </c>
      <c r="V2655" s="199">
        <f ca="1">U2655*'Expenditure Study'!$B$31</f>
        <v>0</v>
      </c>
      <c r="W2655" s="199">
        <f ca="1">IF(A2655=10298,1.51,1)*IF($B2655&lt;3,$D2655*'Expenditure Study'!$B$32*OFFSET('Expenditure Study'!$B$7,'Operations Support'!$C2655,'Operations Support'!$B2655),0)</f>
        <v>0</v>
      </c>
      <c r="X2655" s="200">
        <f ca="1">W2655*'Expenditure Study'!$B$31</f>
        <v>0</v>
      </c>
      <c r="Y2655" s="199">
        <f ca="1">U2655*'Expenditure Study'!$B$31</f>
        <v>0</v>
      </c>
      <c r="Z2655" s="200">
        <f ca="1">W2655*'Expenditure Study'!$B$31</f>
        <v>0</v>
      </c>
      <c r="AA2655" s="195">
        <f t="shared" ca="1" si="582"/>
        <v>0</v>
      </c>
      <c r="AB2655" s="195">
        <f t="shared" ca="1" si="583"/>
        <v>0</v>
      </c>
      <c r="AD2655" s="196">
        <f>IFERROR($G2655/SUMIF($A:$A,$A2655,$G:$G)*SUMIF(Summary!$A$166:$A$242,$A2655,Summary!$P$166:$P$242),0)</f>
        <v>0</v>
      </c>
      <c r="AE2655" s="197">
        <f t="shared" ca="1" si="584"/>
        <v>0</v>
      </c>
      <c r="AF2655" s="196">
        <f>IFERROR(G2655/SUMIF(A:A,A2655,G:G)*SUMIF(Summary!$A$166:$A$242,'Operations Support'!A2655,Summary!$Q$166:$Q$242),0)</f>
        <v>0</v>
      </c>
      <c r="AG2655" s="196">
        <f t="shared" ca="1" si="585"/>
        <v>0</v>
      </c>
      <c r="AI2655" s="196">
        <f>IFERROR($G2655/SUMIF($A:$A,$A2655,$G:$G)*SUMIF(Summary!$A$247:$A$283,$A2655,Summary!$P$247:$P$283),0)</f>
        <v>0</v>
      </c>
      <c r="AJ2655" s="196">
        <f>IFERROR($G2655/SUMIF($A:$A,$A2655,$G:$G)*(SUMIF(Summary!$A$247:$A$283,$A2655,Summary!$L$247:$L$283)+SUMIF(Summary!$A$297:$A$333,$A2655,Summary!$L$297:$L$333))-AI2655,0)</f>
        <v>0</v>
      </c>
      <c r="AK2655" s="196">
        <f>IFERROR($G2655/SUMIF($A:$A,$A2655,$G:$G)*SUMIF(Summary!$A$247:$A$283,$A2655,Summary!$Q$247:$Q$283),0)</f>
        <v>0</v>
      </c>
      <c r="AL2655" s="196">
        <f>IFERROR($G2655/SUMIF($A:$A,$A2655,$G:$G)*(SUMIF(Summary!$A$247:$A$283,$A2655,Summary!$L$247:$L$283)+SUMIF(Summary!$A$297:$A$333,$A2655,Summary!$L$297:$L$333))-AK2655,0)</f>
        <v>0</v>
      </c>
      <c r="AM2655" s="198"/>
      <c r="AN2655" s="196">
        <f t="shared" ca="1" si="586"/>
        <v>0</v>
      </c>
      <c r="AO2655" s="196">
        <f t="shared" ca="1" si="587"/>
        <v>0</v>
      </c>
    </row>
    <row r="2656" spans="1:41">
      <c r="A2656" s="189">
        <v>9930</v>
      </c>
      <c r="B2656" s="190">
        <v>2</v>
      </c>
      <c r="C2656" s="191" t="s">
        <v>225</v>
      </c>
      <c r="D2656" s="192">
        <f t="shared" si="574"/>
        <v>2520</v>
      </c>
      <c r="E2656" s="192">
        <f t="shared" si="575"/>
        <v>2260</v>
      </c>
      <c r="F2656" s="192">
        <f t="shared" si="576"/>
        <v>0</v>
      </c>
      <c r="G2656" s="193">
        <f t="shared" si="577"/>
        <v>4780</v>
      </c>
      <c r="H2656" s="194">
        <v>1142</v>
      </c>
      <c r="I2656" s="194">
        <v>894</v>
      </c>
      <c r="J2656" s="194">
        <v>0</v>
      </c>
      <c r="K2656" s="193">
        <f t="shared" si="578"/>
        <v>2036</v>
      </c>
      <c r="L2656" s="194">
        <v>964</v>
      </c>
      <c r="M2656" s="194">
        <v>1282</v>
      </c>
      <c r="N2656" s="194">
        <v>0</v>
      </c>
      <c r="O2656" s="193">
        <f t="shared" si="579"/>
        <v>2246</v>
      </c>
      <c r="P2656" s="194">
        <v>414</v>
      </c>
      <c r="Q2656" s="194">
        <v>84</v>
      </c>
      <c r="R2656" s="194">
        <v>0</v>
      </c>
      <c r="S2656" s="193">
        <f t="shared" si="580"/>
        <v>498</v>
      </c>
      <c r="T2656" s="193">
        <f t="shared" si="581"/>
        <v>159.33333333333334</v>
      </c>
      <c r="U2656" s="193">
        <f ca="1">OFFSET('Expenditure Study'!$B$7,'Operations Support'!$C2656,'Operations Support'!$B2656)*$G2656</f>
        <v>13384</v>
      </c>
      <c r="V2656" s="199">
        <f ca="1">U2656*'Expenditure Study'!$B$31</f>
        <v>790769.29182719998</v>
      </c>
      <c r="W2656" s="199">
        <f ca="1">IF(A2656=10298,1.51,1)*IF($B2656&lt;3,$D2656*'Expenditure Study'!$B$32*OFFSET('Expenditure Study'!$B$7,'Operations Support'!$C2656,'Operations Support'!$B2656),0)</f>
        <v>705.59999999999991</v>
      </c>
      <c r="X2656" s="200">
        <f ca="1">W2656*'Expenditure Study'!$B$31</f>
        <v>41689.092372479994</v>
      </c>
      <c r="Y2656" s="199">
        <f ca="1">U2656*'Expenditure Study'!$B$31</f>
        <v>790769.29182719998</v>
      </c>
      <c r="Z2656" s="200">
        <f ca="1">W2656*'Expenditure Study'!$B$31</f>
        <v>41689.092372479994</v>
      </c>
      <c r="AA2656" s="195">
        <f t="shared" ca="1" si="582"/>
        <v>832458.38419967995</v>
      </c>
      <c r="AB2656" s="195">
        <f t="shared" ca="1" si="583"/>
        <v>832458.38419967995</v>
      </c>
      <c r="AD2656" s="196">
        <f>IFERROR($G2656/SUMIF($A:$A,$A2656,$G:$G)*SUMIF(Summary!$A$166:$A$242,$A2656,Summary!$P$166:$P$242),0)</f>
        <v>185168.24225554796</v>
      </c>
      <c r="AE2656" s="197">
        <f t="shared" ca="1" si="584"/>
        <v>647290.14194413205</v>
      </c>
      <c r="AF2656" s="196">
        <f>IFERROR(G2656/SUMIF(A:A,A2656,G:G)*SUMIF(Summary!$A$166:$A$242,'Operations Support'!A2656,Summary!$Q$166:$Q$242),0)</f>
        <v>185352.31980394939</v>
      </c>
      <c r="AG2656" s="196">
        <f t="shared" ca="1" si="585"/>
        <v>647106.06439573062</v>
      </c>
      <c r="AI2656" s="196">
        <f>IFERROR($G2656/SUMIF($A:$A,$A2656,$G:$G)*SUMIF(Summary!$A$247:$A$283,$A2656,Summary!$P$247:$P$283),0)</f>
        <v>33770.066565434638</v>
      </c>
      <c r="AJ2656" s="196">
        <f>IFERROR($G2656/SUMIF($A:$A,$A2656,$G:$G)*(SUMIF(Summary!$A$247:$A$283,$A2656,Summary!$L$247:$L$283)+SUMIF(Summary!$A$297:$A$333,$A2656,Summary!$L$297:$L$333))-AI2656,0)</f>
        <v>113517.12564502381</v>
      </c>
      <c r="AK2656" s="196">
        <f>IFERROR($G2656/SUMIF($A:$A,$A2656,$G:$G)*SUMIF(Summary!$A$247:$A$283,$A2656,Summary!$Q$247:$Q$283),0)</f>
        <v>33803.637716659039</v>
      </c>
      <c r="AL2656" s="196">
        <f>IFERROR($G2656/SUMIF($A:$A,$A2656,$G:$G)*(SUMIF(Summary!$A$247:$A$283,$A2656,Summary!$L$247:$L$283)+SUMIF(Summary!$A$297:$A$333,$A2656,Summary!$L$297:$L$333))-AK2656,0)</f>
        <v>113483.55449379941</v>
      </c>
      <c r="AM2656" s="198"/>
      <c r="AN2656" s="196">
        <f t="shared" ca="1" si="586"/>
        <v>760807.26758915582</v>
      </c>
      <c r="AO2656" s="196">
        <f t="shared" ca="1" si="587"/>
        <v>760589.61888953007</v>
      </c>
    </row>
    <row r="2657" spans="1:41">
      <c r="A2657" s="189">
        <v>9930</v>
      </c>
      <c r="B2657" s="190">
        <v>2</v>
      </c>
      <c r="C2657" s="191" t="s">
        <v>226</v>
      </c>
      <c r="D2657" s="192">
        <f t="shared" si="574"/>
        <v>318</v>
      </c>
      <c r="E2657" s="192">
        <f t="shared" si="575"/>
        <v>513</v>
      </c>
      <c r="F2657" s="192">
        <f t="shared" si="576"/>
        <v>0</v>
      </c>
      <c r="G2657" s="193">
        <f t="shared" si="577"/>
        <v>831</v>
      </c>
      <c r="H2657" s="194">
        <v>84</v>
      </c>
      <c r="I2657" s="194">
        <v>228</v>
      </c>
      <c r="J2657" s="194">
        <v>0</v>
      </c>
      <c r="K2657" s="193">
        <f t="shared" si="578"/>
        <v>312</v>
      </c>
      <c r="L2657" s="194">
        <v>159</v>
      </c>
      <c r="M2657" s="194">
        <v>189</v>
      </c>
      <c r="N2657" s="194">
        <v>0</v>
      </c>
      <c r="O2657" s="193">
        <f t="shared" si="579"/>
        <v>348</v>
      </c>
      <c r="P2657" s="194">
        <v>75</v>
      </c>
      <c r="Q2657" s="194">
        <v>96</v>
      </c>
      <c r="R2657" s="194">
        <v>0</v>
      </c>
      <c r="S2657" s="193">
        <f t="shared" si="580"/>
        <v>171</v>
      </c>
      <c r="T2657" s="193">
        <f t="shared" si="581"/>
        <v>27.7</v>
      </c>
      <c r="U2657" s="193">
        <f ca="1">OFFSET('Expenditure Study'!$B$7,'Operations Support'!$C2657,'Operations Support'!$B2657)*$G2657</f>
        <v>1495.8</v>
      </c>
      <c r="V2657" s="199">
        <f ca="1">U2657*'Expenditure Study'!$B$31</f>
        <v>88376.62184064</v>
      </c>
      <c r="W2657" s="199">
        <f ca="1">IF(A2657=10298,1.51,1)*IF($B2657&lt;3,$D2657*'Expenditure Study'!$B$32*OFFSET('Expenditure Study'!$B$7,'Operations Support'!$C2657,'Operations Support'!$B2657),0)</f>
        <v>57.24</v>
      </c>
      <c r="X2657" s="200">
        <f ca="1">W2657*'Expenditure Study'!$B$31</f>
        <v>3381.921268992</v>
      </c>
      <c r="Y2657" s="199">
        <f ca="1">U2657*'Expenditure Study'!$B$31</f>
        <v>88376.62184064</v>
      </c>
      <c r="Z2657" s="200">
        <f ca="1">W2657*'Expenditure Study'!$B$31</f>
        <v>3381.921268992</v>
      </c>
      <c r="AA2657" s="195">
        <f t="shared" ca="1" si="582"/>
        <v>91758.543109631995</v>
      </c>
      <c r="AB2657" s="195">
        <f t="shared" ca="1" si="583"/>
        <v>91758.543109631995</v>
      </c>
      <c r="AD2657" s="196">
        <f>IFERROR($G2657/SUMIF($A:$A,$A2657,$G:$G)*SUMIF(Summary!$A$166:$A$242,$A2657,Summary!$P$166:$P$242),0)</f>
        <v>32191.382701749026</v>
      </c>
      <c r="AE2657" s="197">
        <f t="shared" ca="1" si="584"/>
        <v>59567.16040788297</v>
      </c>
      <c r="AF2657" s="196">
        <f>IFERROR(G2657/SUMIF(A:A,A2657,G:G)*SUMIF(Summary!$A$166:$A$242,'Operations Support'!A2657,Summary!$Q$166:$Q$242),0)</f>
        <v>32223.384468008775</v>
      </c>
      <c r="AG2657" s="196">
        <f t="shared" ca="1" si="585"/>
        <v>59535.158641623217</v>
      </c>
      <c r="AI2657" s="196">
        <f>IFERROR($G2657/SUMIF($A:$A,$A2657,$G:$G)*SUMIF(Summary!$A$247:$A$283,$A2657,Summary!$P$247:$P$283),0)</f>
        <v>5870.9048777983644</v>
      </c>
      <c r="AJ2657" s="196">
        <f>IFERROR($G2657/SUMIF($A:$A,$A2657,$G:$G)*(SUMIF(Summary!$A$247:$A$283,$A2657,Summary!$L$247:$L$283)+SUMIF(Summary!$A$297:$A$333,$A2657,Summary!$L$297:$L$333))-AI2657,0)</f>
        <v>19734.881048329451</v>
      </c>
      <c r="AK2657" s="196">
        <f>IFERROR($G2657/SUMIF($A:$A,$A2657,$G:$G)*SUMIF(Summary!$A$247:$A$283,$A2657,Summary!$Q$247:$Q$283),0)</f>
        <v>5876.7412013689664</v>
      </c>
      <c r="AL2657" s="196">
        <f>IFERROR($G2657/SUMIF($A:$A,$A2657,$G:$G)*(SUMIF(Summary!$A$247:$A$283,$A2657,Summary!$L$247:$L$283)+SUMIF(Summary!$A$297:$A$333,$A2657,Summary!$L$297:$L$333))-AK2657,0)</f>
        <v>19729.044724758853</v>
      </c>
      <c r="AM2657" s="198"/>
      <c r="AN2657" s="196">
        <f t="shared" ca="1" si="586"/>
        <v>79302.041456212421</v>
      </c>
      <c r="AO2657" s="196">
        <f t="shared" ca="1" si="587"/>
        <v>79264.203366382077</v>
      </c>
    </row>
    <row r="2658" spans="1:41">
      <c r="A2658" s="189">
        <v>9930</v>
      </c>
      <c r="B2658" s="190">
        <v>2</v>
      </c>
      <c r="C2658" s="191" t="s">
        <v>227</v>
      </c>
      <c r="D2658" s="192">
        <f t="shared" si="574"/>
        <v>0</v>
      </c>
      <c r="E2658" s="192">
        <f t="shared" si="575"/>
        <v>0</v>
      </c>
      <c r="F2658" s="192">
        <f t="shared" si="576"/>
        <v>0</v>
      </c>
      <c r="G2658" s="193">
        <f t="shared" si="577"/>
        <v>0</v>
      </c>
      <c r="H2658" s="194">
        <v>0</v>
      </c>
      <c r="I2658" s="194">
        <v>0</v>
      </c>
      <c r="J2658" s="194">
        <v>0</v>
      </c>
      <c r="K2658" s="193">
        <f t="shared" si="578"/>
        <v>0</v>
      </c>
      <c r="L2658" s="194">
        <v>0</v>
      </c>
      <c r="M2658" s="194">
        <v>0</v>
      </c>
      <c r="N2658" s="194">
        <v>0</v>
      </c>
      <c r="O2658" s="193">
        <f t="shared" si="579"/>
        <v>0</v>
      </c>
      <c r="P2658" s="194">
        <v>0</v>
      </c>
      <c r="Q2658" s="194">
        <v>0</v>
      </c>
      <c r="R2658" s="194">
        <v>0</v>
      </c>
      <c r="S2658" s="193">
        <f t="shared" si="580"/>
        <v>0</v>
      </c>
      <c r="T2658" s="193">
        <f t="shared" si="581"/>
        <v>0</v>
      </c>
      <c r="U2658" s="193">
        <f ca="1">OFFSET('Expenditure Study'!$B$7,'Operations Support'!$C2658,'Operations Support'!$B2658)*$G2658</f>
        <v>0</v>
      </c>
      <c r="V2658" s="199">
        <f ca="1">U2658*'Expenditure Study'!$B$31</f>
        <v>0</v>
      </c>
      <c r="W2658" s="199">
        <f ca="1">IF(A2658=10298,1.51,1)*IF($B2658&lt;3,$D2658*'Expenditure Study'!$B$32*OFFSET('Expenditure Study'!$B$7,'Operations Support'!$C2658,'Operations Support'!$B2658),0)</f>
        <v>0</v>
      </c>
      <c r="X2658" s="200">
        <f ca="1">W2658*'Expenditure Study'!$B$31</f>
        <v>0</v>
      </c>
      <c r="Y2658" s="199">
        <f ca="1">U2658*'Expenditure Study'!$B$31</f>
        <v>0</v>
      </c>
      <c r="Z2658" s="200">
        <f ca="1">W2658*'Expenditure Study'!$B$31</f>
        <v>0</v>
      </c>
      <c r="AA2658" s="195">
        <f t="shared" ca="1" si="582"/>
        <v>0</v>
      </c>
      <c r="AB2658" s="195">
        <f t="shared" ca="1" si="583"/>
        <v>0</v>
      </c>
      <c r="AD2658" s="196">
        <f>IFERROR($G2658/SUMIF($A:$A,$A2658,$G:$G)*SUMIF(Summary!$A$166:$A$242,$A2658,Summary!$P$166:$P$242),0)</f>
        <v>0</v>
      </c>
      <c r="AE2658" s="197">
        <f t="shared" ca="1" si="584"/>
        <v>0</v>
      </c>
      <c r="AF2658" s="196">
        <f>IFERROR(G2658/SUMIF(A:A,A2658,G:G)*SUMIF(Summary!$A$166:$A$242,'Operations Support'!A2658,Summary!$Q$166:$Q$242),0)</f>
        <v>0</v>
      </c>
      <c r="AG2658" s="196">
        <f t="shared" ca="1" si="585"/>
        <v>0</v>
      </c>
      <c r="AI2658" s="196">
        <f>IFERROR($G2658/SUMIF($A:$A,$A2658,$G:$G)*SUMIF(Summary!$A$247:$A$283,$A2658,Summary!$P$247:$P$283),0)</f>
        <v>0</v>
      </c>
      <c r="AJ2658" s="196">
        <f>IFERROR($G2658/SUMIF($A:$A,$A2658,$G:$G)*(SUMIF(Summary!$A$247:$A$283,$A2658,Summary!$L$247:$L$283)+SUMIF(Summary!$A$297:$A$333,$A2658,Summary!$L$297:$L$333))-AI2658,0)</f>
        <v>0</v>
      </c>
      <c r="AK2658" s="196">
        <f>IFERROR($G2658/SUMIF($A:$A,$A2658,$G:$G)*SUMIF(Summary!$A$247:$A$283,$A2658,Summary!$Q$247:$Q$283),0)</f>
        <v>0</v>
      </c>
      <c r="AL2658" s="196">
        <f>IFERROR($G2658/SUMIF($A:$A,$A2658,$G:$G)*(SUMIF(Summary!$A$247:$A$283,$A2658,Summary!$L$247:$L$283)+SUMIF(Summary!$A$297:$A$333,$A2658,Summary!$L$297:$L$333))-AK2658,0)</f>
        <v>0</v>
      </c>
      <c r="AM2658" s="198"/>
      <c r="AN2658" s="196">
        <f t="shared" ca="1" si="586"/>
        <v>0</v>
      </c>
      <c r="AO2658" s="196">
        <f t="shared" ca="1" si="587"/>
        <v>0</v>
      </c>
    </row>
    <row r="2659" spans="1:41">
      <c r="A2659" s="189">
        <v>9930</v>
      </c>
      <c r="B2659" s="190">
        <v>2</v>
      </c>
      <c r="C2659" s="191" t="s">
        <v>228</v>
      </c>
      <c r="D2659" s="192">
        <f t="shared" si="574"/>
        <v>117</v>
      </c>
      <c r="E2659" s="192">
        <f t="shared" si="575"/>
        <v>177</v>
      </c>
      <c r="F2659" s="192">
        <f t="shared" si="576"/>
        <v>0</v>
      </c>
      <c r="G2659" s="193">
        <f t="shared" si="577"/>
        <v>294</v>
      </c>
      <c r="H2659" s="194">
        <v>63</v>
      </c>
      <c r="I2659" s="194">
        <v>99</v>
      </c>
      <c r="J2659" s="194">
        <v>0</v>
      </c>
      <c r="K2659" s="193">
        <f t="shared" si="578"/>
        <v>162</v>
      </c>
      <c r="L2659" s="194">
        <v>39</v>
      </c>
      <c r="M2659" s="194">
        <v>66</v>
      </c>
      <c r="N2659" s="194">
        <v>0</v>
      </c>
      <c r="O2659" s="193">
        <f t="shared" si="579"/>
        <v>105</v>
      </c>
      <c r="P2659" s="194">
        <v>15</v>
      </c>
      <c r="Q2659" s="194">
        <v>12</v>
      </c>
      <c r="R2659" s="194">
        <v>0</v>
      </c>
      <c r="S2659" s="193">
        <f t="shared" si="580"/>
        <v>27</v>
      </c>
      <c r="T2659" s="193">
        <f t="shared" si="581"/>
        <v>9.8000000000000007</v>
      </c>
      <c r="U2659" s="193">
        <f ca="1">OFFSET('Expenditure Study'!$B$7,'Operations Support'!$C2659,'Operations Support'!$B2659)*$G2659</f>
        <v>561.54</v>
      </c>
      <c r="V2659" s="199">
        <f ca="1">U2659*'Expenditure Study'!$B$31</f>
        <v>33177.569346431999</v>
      </c>
      <c r="W2659" s="199">
        <f ca="1">IF(A2659=10298,1.51,1)*IF($B2659&lt;3,$D2659*'Expenditure Study'!$B$32*OFFSET('Expenditure Study'!$B$7,'Operations Support'!$C2659,'Operations Support'!$B2659),0)</f>
        <v>22.347000000000001</v>
      </c>
      <c r="X2659" s="200">
        <f ca="1">W2659*'Expenditure Study'!$B$31</f>
        <v>1320.3318413376001</v>
      </c>
      <c r="Y2659" s="199">
        <f ca="1">U2659*'Expenditure Study'!$B$31</f>
        <v>33177.569346431999</v>
      </c>
      <c r="Z2659" s="200">
        <f ca="1">W2659*'Expenditure Study'!$B$31</f>
        <v>1320.3318413376001</v>
      </c>
      <c r="AA2659" s="195">
        <f t="shared" ca="1" si="582"/>
        <v>34497.901187769603</v>
      </c>
      <c r="AB2659" s="195">
        <f t="shared" ca="1" si="583"/>
        <v>34497.901187769603</v>
      </c>
      <c r="AD2659" s="196">
        <f>IFERROR($G2659/SUMIF($A:$A,$A2659,$G:$G)*SUMIF(Summary!$A$166:$A$242,$A2659,Summary!$P$166:$P$242),0)</f>
        <v>11389.009042496045</v>
      </c>
      <c r="AE2659" s="197">
        <f t="shared" ca="1" si="584"/>
        <v>23108.892145273559</v>
      </c>
      <c r="AF2659" s="196">
        <f>IFERROR(G2659/SUMIF(A:A,A2659,G:G)*SUMIF(Summary!$A$166:$A$242,'Operations Support'!A2659,Summary!$Q$166:$Q$242),0)</f>
        <v>11400.330967021155</v>
      </c>
      <c r="AG2659" s="196">
        <f t="shared" ca="1" si="585"/>
        <v>23097.57022074845</v>
      </c>
      <c r="AI2659" s="196">
        <f>IFERROR($G2659/SUMIF($A:$A,$A2659,$G:$G)*SUMIF(Summary!$A$247:$A$283,$A2659,Summary!$P$247:$P$283),0)</f>
        <v>2077.0710397986995</v>
      </c>
      <c r="AJ2659" s="196">
        <f>IFERROR($G2659/SUMIF($A:$A,$A2659,$G:$G)*(SUMIF(Summary!$A$247:$A$283,$A2659,Summary!$L$247:$L$283)+SUMIF(Summary!$A$297:$A$333,$A2659,Summary!$L$297:$L$333))-AI2659,0)</f>
        <v>6982.0156777483271</v>
      </c>
      <c r="AK2659" s="196">
        <f>IFERROR($G2659/SUMIF($A:$A,$A2659,$G:$G)*SUMIF(Summary!$A$247:$A$283,$A2659,Summary!$Q$247:$Q$283),0)</f>
        <v>2079.135876296602</v>
      </c>
      <c r="AL2659" s="196">
        <f>IFERROR($G2659/SUMIF($A:$A,$A2659,$G:$G)*(SUMIF(Summary!$A$247:$A$283,$A2659,Summary!$L$247:$L$283)+SUMIF(Summary!$A$297:$A$333,$A2659,Summary!$L$297:$L$333))-AK2659,0)</f>
        <v>6979.9508412504247</v>
      </c>
      <c r="AM2659" s="198"/>
      <c r="AN2659" s="196">
        <f t="shared" ca="1" si="586"/>
        <v>30090.907823021887</v>
      </c>
      <c r="AO2659" s="196">
        <f t="shared" ca="1" si="587"/>
        <v>30077.521061998876</v>
      </c>
    </row>
    <row r="2660" spans="1:41">
      <c r="A2660" s="189">
        <v>9930</v>
      </c>
      <c r="B2660" s="190">
        <v>2</v>
      </c>
      <c r="C2660" s="191" t="s">
        <v>229</v>
      </c>
      <c r="D2660" s="192">
        <f t="shared" si="574"/>
        <v>0</v>
      </c>
      <c r="E2660" s="192">
        <f t="shared" si="575"/>
        <v>4</v>
      </c>
      <c r="F2660" s="192">
        <f t="shared" si="576"/>
        <v>0</v>
      </c>
      <c r="G2660" s="193">
        <f t="shared" si="577"/>
        <v>4</v>
      </c>
      <c r="H2660" s="194">
        <v>0</v>
      </c>
      <c r="I2660" s="194">
        <v>1</v>
      </c>
      <c r="J2660" s="194">
        <v>0</v>
      </c>
      <c r="K2660" s="193">
        <f t="shared" si="578"/>
        <v>1</v>
      </c>
      <c r="L2660" s="194">
        <v>0</v>
      </c>
      <c r="M2660" s="194">
        <v>3</v>
      </c>
      <c r="N2660" s="194">
        <v>0</v>
      </c>
      <c r="O2660" s="193">
        <f t="shared" si="579"/>
        <v>3</v>
      </c>
      <c r="P2660" s="194">
        <v>0</v>
      </c>
      <c r="Q2660" s="194">
        <v>0</v>
      </c>
      <c r="R2660" s="194">
        <v>0</v>
      </c>
      <c r="S2660" s="193">
        <f t="shared" si="580"/>
        <v>0</v>
      </c>
      <c r="T2660" s="193">
        <f t="shared" si="581"/>
        <v>0.13333333333333333</v>
      </c>
      <c r="U2660" s="193">
        <f ca="1">OFFSET('Expenditure Study'!$B$7,'Operations Support'!$C2660,'Operations Support'!$B2660)*$G2660</f>
        <v>7.68</v>
      </c>
      <c r="V2660" s="199">
        <f ca="1">U2660*'Expenditure Study'!$B$31</f>
        <v>453.75882854399998</v>
      </c>
      <c r="W2660" s="199">
        <f ca="1">IF(A2660=10298,1.51,1)*IF($B2660&lt;3,$D2660*'Expenditure Study'!$B$32*OFFSET('Expenditure Study'!$B$7,'Operations Support'!$C2660,'Operations Support'!$B2660),0)</f>
        <v>0</v>
      </c>
      <c r="X2660" s="200">
        <f ca="1">W2660*'Expenditure Study'!$B$31</f>
        <v>0</v>
      </c>
      <c r="Y2660" s="199">
        <f ca="1">U2660*'Expenditure Study'!$B$31</f>
        <v>453.75882854399998</v>
      </c>
      <c r="Z2660" s="200">
        <f ca="1">W2660*'Expenditure Study'!$B$31</f>
        <v>0</v>
      </c>
      <c r="AA2660" s="195">
        <f t="shared" ca="1" si="582"/>
        <v>453.75882854399998</v>
      </c>
      <c r="AB2660" s="195">
        <f t="shared" ca="1" si="583"/>
        <v>453.75882854399998</v>
      </c>
      <c r="AD2660" s="196">
        <f>IFERROR($G2660/SUMIF($A:$A,$A2660,$G:$G)*SUMIF(Summary!$A$166:$A$242,$A2660,Summary!$P$166:$P$242),0)</f>
        <v>154.95250397953802</v>
      </c>
      <c r="AE2660" s="197">
        <f t="shared" ca="1" si="584"/>
        <v>298.80632456446199</v>
      </c>
      <c r="AF2660" s="196">
        <f>IFERROR(G2660/SUMIF(A:A,A2660,G:G)*SUMIF(Summary!$A$166:$A$242,'Operations Support'!A2660,Summary!$Q$166:$Q$242),0)</f>
        <v>155.10654376899529</v>
      </c>
      <c r="AG2660" s="196">
        <f t="shared" ca="1" si="585"/>
        <v>298.65228477500466</v>
      </c>
      <c r="AI2660" s="196">
        <f>IFERROR($G2660/SUMIF($A:$A,$A2660,$G:$G)*SUMIF(Summary!$A$247:$A$283,$A2660,Summary!$P$247:$P$283),0)</f>
        <v>28.259469929234005</v>
      </c>
      <c r="AJ2660" s="196">
        <f>IFERROR($G2660/SUMIF($A:$A,$A2660,$G:$G)*(SUMIF(Summary!$A$247:$A$283,$A2660,Summary!$L$247:$L$283)+SUMIF(Summary!$A$297:$A$333,$A2660,Summary!$L$297:$L$333))-AI2660,0)</f>
        <v>94.993410581609879</v>
      </c>
      <c r="AK2660" s="196">
        <f>IFERROR($G2660/SUMIF($A:$A,$A2660,$G:$G)*SUMIF(Summary!$A$247:$A$283,$A2660,Summary!$Q$247:$Q$283),0)</f>
        <v>28.287562942810908</v>
      </c>
      <c r="AL2660" s="196">
        <f>IFERROR($G2660/SUMIF($A:$A,$A2660,$G:$G)*(SUMIF(Summary!$A$247:$A$283,$A2660,Summary!$L$247:$L$283)+SUMIF(Summary!$A$297:$A$333,$A2660,Summary!$L$297:$L$333))-AK2660,0)</f>
        <v>94.965317568032972</v>
      </c>
      <c r="AM2660" s="198"/>
      <c r="AN2660" s="196">
        <f t="shared" ca="1" si="586"/>
        <v>393.79973514607184</v>
      </c>
      <c r="AO2660" s="196">
        <f t="shared" ca="1" si="587"/>
        <v>393.61760234303762</v>
      </c>
    </row>
    <row r="2661" spans="1:41">
      <c r="A2661" s="189">
        <v>9930</v>
      </c>
      <c r="B2661" s="190">
        <v>2</v>
      </c>
      <c r="C2661" s="191" t="s">
        <v>230</v>
      </c>
      <c r="D2661" s="192">
        <f t="shared" si="574"/>
        <v>0</v>
      </c>
      <c r="E2661" s="192">
        <f t="shared" si="575"/>
        <v>0</v>
      </c>
      <c r="F2661" s="192">
        <f t="shared" si="576"/>
        <v>0</v>
      </c>
      <c r="G2661" s="193">
        <f t="shared" si="577"/>
        <v>0</v>
      </c>
      <c r="H2661" s="194">
        <v>0</v>
      </c>
      <c r="I2661" s="194">
        <v>0</v>
      </c>
      <c r="J2661" s="194">
        <v>0</v>
      </c>
      <c r="K2661" s="193">
        <f t="shared" si="578"/>
        <v>0</v>
      </c>
      <c r="L2661" s="194">
        <v>0</v>
      </c>
      <c r="M2661" s="194">
        <v>0</v>
      </c>
      <c r="N2661" s="194">
        <v>0</v>
      </c>
      <c r="O2661" s="193">
        <f t="shared" si="579"/>
        <v>0</v>
      </c>
      <c r="P2661" s="194">
        <v>0</v>
      </c>
      <c r="Q2661" s="194">
        <v>0</v>
      </c>
      <c r="R2661" s="194">
        <v>0</v>
      </c>
      <c r="S2661" s="193">
        <f t="shared" si="580"/>
        <v>0</v>
      </c>
      <c r="T2661" s="193">
        <f t="shared" si="581"/>
        <v>0</v>
      </c>
      <c r="U2661" s="193">
        <f ca="1">OFFSET('Expenditure Study'!$B$7,'Operations Support'!$C2661,'Operations Support'!$B2661)*$G2661</f>
        <v>0</v>
      </c>
      <c r="V2661" s="199">
        <f ca="1">U2661*'Expenditure Study'!$B$31</f>
        <v>0</v>
      </c>
      <c r="W2661" s="199">
        <f ca="1">IF(A2661=10298,1.51,1)*IF($B2661&lt;3,$D2661*'Expenditure Study'!$B$32*OFFSET('Expenditure Study'!$B$7,'Operations Support'!$C2661,'Operations Support'!$B2661),0)</f>
        <v>0</v>
      </c>
      <c r="X2661" s="200">
        <f ca="1">W2661*'Expenditure Study'!$B$31</f>
        <v>0</v>
      </c>
      <c r="Y2661" s="199">
        <f ca="1">U2661*'Expenditure Study'!$B$31</f>
        <v>0</v>
      </c>
      <c r="Z2661" s="200">
        <f ca="1">W2661*'Expenditure Study'!$B$31</f>
        <v>0</v>
      </c>
      <c r="AA2661" s="195">
        <f t="shared" ca="1" si="582"/>
        <v>0</v>
      </c>
      <c r="AB2661" s="195">
        <f t="shared" ca="1" si="583"/>
        <v>0</v>
      </c>
      <c r="AD2661" s="196">
        <f>IFERROR($G2661/SUMIF($A:$A,$A2661,$G:$G)*SUMIF(Summary!$A$166:$A$242,$A2661,Summary!$P$166:$P$242),0)</f>
        <v>0</v>
      </c>
      <c r="AE2661" s="197">
        <f t="shared" ca="1" si="584"/>
        <v>0</v>
      </c>
      <c r="AF2661" s="196">
        <f>IFERROR(G2661/SUMIF(A:A,A2661,G:G)*SUMIF(Summary!$A$166:$A$242,'Operations Support'!A2661,Summary!$Q$166:$Q$242),0)</f>
        <v>0</v>
      </c>
      <c r="AG2661" s="196">
        <f t="shared" ca="1" si="585"/>
        <v>0</v>
      </c>
      <c r="AI2661" s="196">
        <f>IFERROR($G2661/SUMIF($A:$A,$A2661,$G:$G)*SUMIF(Summary!$A$247:$A$283,$A2661,Summary!$P$247:$P$283),0)</f>
        <v>0</v>
      </c>
      <c r="AJ2661" s="196">
        <f>IFERROR($G2661/SUMIF($A:$A,$A2661,$G:$G)*(SUMIF(Summary!$A$247:$A$283,$A2661,Summary!$L$247:$L$283)+SUMIF(Summary!$A$297:$A$333,$A2661,Summary!$L$297:$L$333))-AI2661,0)</f>
        <v>0</v>
      </c>
      <c r="AK2661" s="196">
        <f>IFERROR($G2661/SUMIF($A:$A,$A2661,$G:$G)*SUMIF(Summary!$A$247:$A$283,$A2661,Summary!$Q$247:$Q$283),0)</f>
        <v>0</v>
      </c>
      <c r="AL2661" s="196">
        <f>IFERROR($G2661/SUMIF($A:$A,$A2661,$G:$G)*(SUMIF(Summary!$A$247:$A$283,$A2661,Summary!$L$247:$L$283)+SUMIF(Summary!$A$297:$A$333,$A2661,Summary!$L$297:$L$333))-AK2661,0)</f>
        <v>0</v>
      </c>
      <c r="AM2661" s="198"/>
      <c r="AN2661" s="196">
        <f t="shared" ca="1" si="586"/>
        <v>0</v>
      </c>
      <c r="AO2661" s="196">
        <f t="shared" ca="1" si="587"/>
        <v>0</v>
      </c>
    </row>
    <row r="2662" spans="1:41">
      <c r="A2662" s="189">
        <v>9930</v>
      </c>
      <c r="B2662" s="190">
        <v>2</v>
      </c>
      <c r="C2662" s="191" t="s">
        <v>231</v>
      </c>
      <c r="D2662" s="192">
        <f t="shared" si="574"/>
        <v>0</v>
      </c>
      <c r="E2662" s="192">
        <f t="shared" si="575"/>
        <v>0</v>
      </c>
      <c r="F2662" s="192">
        <f t="shared" si="576"/>
        <v>0</v>
      </c>
      <c r="G2662" s="193">
        <f t="shared" si="577"/>
        <v>0</v>
      </c>
      <c r="H2662" s="194">
        <v>0</v>
      </c>
      <c r="I2662" s="194">
        <v>0</v>
      </c>
      <c r="J2662" s="194">
        <v>0</v>
      </c>
      <c r="K2662" s="193">
        <f t="shared" si="578"/>
        <v>0</v>
      </c>
      <c r="L2662" s="194">
        <v>0</v>
      </c>
      <c r="M2662" s="194">
        <v>0</v>
      </c>
      <c r="N2662" s="194">
        <v>0</v>
      </c>
      <c r="O2662" s="193">
        <f t="shared" si="579"/>
        <v>0</v>
      </c>
      <c r="P2662" s="194">
        <v>0</v>
      </c>
      <c r="Q2662" s="194">
        <v>0</v>
      </c>
      <c r="R2662" s="194">
        <v>0</v>
      </c>
      <c r="S2662" s="193">
        <f t="shared" si="580"/>
        <v>0</v>
      </c>
      <c r="T2662" s="193">
        <f t="shared" si="581"/>
        <v>0</v>
      </c>
      <c r="U2662" s="193">
        <f ca="1">OFFSET('Expenditure Study'!$B$7,'Operations Support'!$C2662,'Operations Support'!$B2662)*$G2662</f>
        <v>0</v>
      </c>
      <c r="V2662" s="199">
        <f ca="1">U2662*'Expenditure Study'!$B$31</f>
        <v>0</v>
      </c>
      <c r="W2662" s="199">
        <f ca="1">IF(A2662=10298,1.51,1)*IF($B2662&lt;3,$D2662*'Expenditure Study'!$B$32*OFFSET('Expenditure Study'!$B$7,'Operations Support'!$C2662,'Operations Support'!$B2662),0)</f>
        <v>0</v>
      </c>
      <c r="X2662" s="200">
        <f ca="1">W2662*'Expenditure Study'!$B$31</f>
        <v>0</v>
      </c>
      <c r="Y2662" s="199">
        <f ca="1">U2662*'Expenditure Study'!$B$31</f>
        <v>0</v>
      </c>
      <c r="Z2662" s="200">
        <f ca="1">W2662*'Expenditure Study'!$B$31</f>
        <v>0</v>
      </c>
      <c r="AA2662" s="195">
        <f t="shared" ca="1" si="582"/>
        <v>0</v>
      </c>
      <c r="AB2662" s="195">
        <f t="shared" ca="1" si="583"/>
        <v>0</v>
      </c>
      <c r="AD2662" s="196">
        <f>IFERROR($G2662/SUMIF($A:$A,$A2662,$G:$G)*SUMIF(Summary!$A$166:$A$242,$A2662,Summary!$P$166:$P$242),0)</f>
        <v>0</v>
      </c>
      <c r="AE2662" s="197">
        <f t="shared" ca="1" si="584"/>
        <v>0</v>
      </c>
      <c r="AF2662" s="196">
        <f>IFERROR(G2662/SUMIF(A:A,A2662,G:G)*SUMIF(Summary!$A$166:$A$242,'Operations Support'!A2662,Summary!$Q$166:$Q$242),0)</f>
        <v>0</v>
      </c>
      <c r="AG2662" s="196">
        <f t="shared" ca="1" si="585"/>
        <v>0</v>
      </c>
      <c r="AI2662" s="196">
        <f>IFERROR($G2662/SUMIF($A:$A,$A2662,$G:$G)*SUMIF(Summary!$A$247:$A$283,$A2662,Summary!$P$247:$P$283),0)</f>
        <v>0</v>
      </c>
      <c r="AJ2662" s="196">
        <f>IFERROR($G2662/SUMIF($A:$A,$A2662,$G:$G)*(SUMIF(Summary!$A$247:$A$283,$A2662,Summary!$L$247:$L$283)+SUMIF(Summary!$A$297:$A$333,$A2662,Summary!$L$297:$L$333))-AI2662,0)</f>
        <v>0</v>
      </c>
      <c r="AK2662" s="196">
        <f>IFERROR($G2662/SUMIF($A:$A,$A2662,$G:$G)*SUMIF(Summary!$A$247:$A$283,$A2662,Summary!$Q$247:$Q$283),0)</f>
        <v>0</v>
      </c>
      <c r="AL2662" s="196">
        <f>IFERROR($G2662/SUMIF($A:$A,$A2662,$G:$G)*(SUMIF(Summary!$A$247:$A$283,$A2662,Summary!$L$247:$L$283)+SUMIF(Summary!$A$297:$A$333,$A2662,Summary!$L$297:$L$333))-AK2662,0)</f>
        <v>0</v>
      </c>
      <c r="AM2662" s="198"/>
      <c r="AN2662" s="196">
        <f t="shared" ca="1" si="586"/>
        <v>0</v>
      </c>
      <c r="AO2662" s="196">
        <f t="shared" ca="1" si="587"/>
        <v>0</v>
      </c>
    </row>
    <row r="2663" spans="1:41">
      <c r="A2663" s="189">
        <v>9930</v>
      </c>
      <c r="B2663" s="190">
        <v>2</v>
      </c>
      <c r="C2663" s="191" t="s">
        <v>232</v>
      </c>
      <c r="D2663" s="192">
        <f t="shared" si="574"/>
        <v>0</v>
      </c>
      <c r="E2663" s="192">
        <f t="shared" si="575"/>
        <v>0</v>
      </c>
      <c r="F2663" s="192">
        <f t="shared" si="576"/>
        <v>0</v>
      </c>
      <c r="G2663" s="193">
        <f t="shared" si="577"/>
        <v>0</v>
      </c>
      <c r="H2663" s="194">
        <v>0</v>
      </c>
      <c r="I2663" s="194">
        <v>0</v>
      </c>
      <c r="J2663" s="194">
        <v>0</v>
      </c>
      <c r="K2663" s="193">
        <f t="shared" si="578"/>
        <v>0</v>
      </c>
      <c r="L2663" s="194">
        <v>0</v>
      </c>
      <c r="M2663" s="194">
        <v>0</v>
      </c>
      <c r="N2663" s="194">
        <v>0</v>
      </c>
      <c r="O2663" s="193">
        <f t="shared" si="579"/>
        <v>0</v>
      </c>
      <c r="P2663" s="194">
        <v>0</v>
      </c>
      <c r="Q2663" s="194">
        <v>0</v>
      </c>
      <c r="R2663" s="194">
        <v>0</v>
      </c>
      <c r="S2663" s="193">
        <f t="shared" si="580"/>
        <v>0</v>
      </c>
      <c r="T2663" s="193">
        <f t="shared" si="581"/>
        <v>0</v>
      </c>
      <c r="U2663" s="193">
        <f ca="1">OFFSET('Expenditure Study'!$B$7,'Operations Support'!$C2663,'Operations Support'!$B2663)*$G2663</f>
        <v>0</v>
      </c>
      <c r="V2663" s="199">
        <f ca="1">U2663*'Expenditure Study'!$B$31</f>
        <v>0</v>
      </c>
      <c r="W2663" s="199">
        <f ca="1">IF(A2663=10298,1.51,1)*IF($B2663&lt;3,$D2663*'Expenditure Study'!$B$32*OFFSET('Expenditure Study'!$B$7,'Operations Support'!$C2663,'Operations Support'!$B2663),0)</f>
        <v>0</v>
      </c>
      <c r="X2663" s="200">
        <f ca="1">W2663*'Expenditure Study'!$B$31</f>
        <v>0</v>
      </c>
      <c r="Y2663" s="199">
        <f ca="1">U2663*'Expenditure Study'!$B$31</f>
        <v>0</v>
      </c>
      <c r="Z2663" s="200">
        <f ca="1">W2663*'Expenditure Study'!$B$31</f>
        <v>0</v>
      </c>
      <c r="AA2663" s="195">
        <f t="shared" ca="1" si="582"/>
        <v>0</v>
      </c>
      <c r="AB2663" s="195">
        <f t="shared" ca="1" si="583"/>
        <v>0</v>
      </c>
      <c r="AD2663" s="196">
        <f>IFERROR($G2663/SUMIF($A:$A,$A2663,$G:$G)*SUMIF(Summary!$A$166:$A$242,$A2663,Summary!$P$166:$P$242),0)</f>
        <v>0</v>
      </c>
      <c r="AE2663" s="197">
        <f t="shared" ca="1" si="584"/>
        <v>0</v>
      </c>
      <c r="AF2663" s="196">
        <f>IFERROR(G2663/SUMIF(A:A,A2663,G:G)*SUMIF(Summary!$A$166:$A$242,'Operations Support'!A2663,Summary!$Q$166:$Q$242),0)</f>
        <v>0</v>
      </c>
      <c r="AG2663" s="196">
        <f t="shared" ca="1" si="585"/>
        <v>0</v>
      </c>
      <c r="AI2663" s="196">
        <f>IFERROR($G2663/SUMIF($A:$A,$A2663,$G:$G)*SUMIF(Summary!$A$247:$A$283,$A2663,Summary!$P$247:$P$283),0)</f>
        <v>0</v>
      </c>
      <c r="AJ2663" s="196">
        <f>IFERROR($G2663/SUMIF($A:$A,$A2663,$G:$G)*(SUMIF(Summary!$A$247:$A$283,$A2663,Summary!$L$247:$L$283)+SUMIF(Summary!$A$297:$A$333,$A2663,Summary!$L$297:$L$333))-AI2663,0)</f>
        <v>0</v>
      </c>
      <c r="AK2663" s="196">
        <f>IFERROR($G2663/SUMIF($A:$A,$A2663,$G:$G)*SUMIF(Summary!$A$247:$A$283,$A2663,Summary!$Q$247:$Q$283),0)</f>
        <v>0</v>
      </c>
      <c r="AL2663" s="196">
        <f>IFERROR($G2663/SUMIF($A:$A,$A2663,$G:$G)*(SUMIF(Summary!$A$247:$A$283,$A2663,Summary!$L$247:$L$283)+SUMIF(Summary!$A$297:$A$333,$A2663,Summary!$L$297:$L$333))-AK2663,0)</f>
        <v>0</v>
      </c>
      <c r="AM2663" s="198"/>
      <c r="AN2663" s="196">
        <f t="shared" ca="1" si="586"/>
        <v>0</v>
      </c>
      <c r="AO2663" s="196">
        <f t="shared" ca="1" si="587"/>
        <v>0</v>
      </c>
    </row>
    <row r="2664" spans="1:41">
      <c r="A2664" s="189">
        <v>9930</v>
      </c>
      <c r="B2664" s="190">
        <v>2</v>
      </c>
      <c r="C2664" s="191" t="s">
        <v>233</v>
      </c>
      <c r="D2664" s="192">
        <f t="shared" si="574"/>
        <v>258</v>
      </c>
      <c r="E2664" s="192">
        <f t="shared" si="575"/>
        <v>867</v>
      </c>
      <c r="F2664" s="192">
        <f t="shared" si="576"/>
        <v>0</v>
      </c>
      <c r="G2664" s="193">
        <f t="shared" si="577"/>
        <v>1125</v>
      </c>
      <c r="H2664" s="194">
        <v>49</v>
      </c>
      <c r="I2664" s="194">
        <v>486</v>
      </c>
      <c r="J2664" s="194">
        <v>0</v>
      </c>
      <c r="K2664" s="193">
        <f t="shared" si="578"/>
        <v>535</v>
      </c>
      <c r="L2664" s="194">
        <v>209</v>
      </c>
      <c r="M2664" s="194">
        <v>276</v>
      </c>
      <c r="N2664" s="194">
        <v>0</v>
      </c>
      <c r="O2664" s="193">
        <f t="shared" si="579"/>
        <v>485</v>
      </c>
      <c r="P2664" s="194">
        <v>0</v>
      </c>
      <c r="Q2664" s="194">
        <v>105</v>
      </c>
      <c r="R2664" s="194">
        <v>0</v>
      </c>
      <c r="S2664" s="193">
        <f t="shared" si="580"/>
        <v>105</v>
      </c>
      <c r="T2664" s="193">
        <f t="shared" si="581"/>
        <v>37.5</v>
      </c>
      <c r="U2664" s="193">
        <f ca="1">OFFSET('Expenditure Study'!$B$7,'Operations Support'!$C2664,'Operations Support'!$B2664)*$G2664</f>
        <v>1811.25</v>
      </c>
      <c r="V2664" s="199">
        <f ca="1">U2664*'Expenditure Study'!$B$31</f>
        <v>107014.411224</v>
      </c>
      <c r="W2664" s="199">
        <f ca="1">IF(A2664=10298,1.51,1)*IF($B2664&lt;3,$D2664*'Expenditure Study'!$B$32*OFFSET('Expenditure Study'!$B$7,'Operations Support'!$C2664,'Operations Support'!$B2664),0)</f>
        <v>41.538000000000004</v>
      </c>
      <c r="X2664" s="200">
        <f ca="1">W2664*'Expenditure Study'!$B$31</f>
        <v>2454.1971640704</v>
      </c>
      <c r="Y2664" s="199">
        <f ca="1">U2664*'Expenditure Study'!$B$31</f>
        <v>107014.411224</v>
      </c>
      <c r="Z2664" s="200">
        <f ca="1">W2664*'Expenditure Study'!$B$31</f>
        <v>2454.1971640704</v>
      </c>
      <c r="AA2664" s="195">
        <f t="shared" ca="1" si="582"/>
        <v>109468.6083880704</v>
      </c>
      <c r="AB2664" s="195">
        <f t="shared" ca="1" si="583"/>
        <v>109468.6083880704</v>
      </c>
      <c r="AD2664" s="196">
        <f>IFERROR($G2664/SUMIF($A:$A,$A2664,$G:$G)*SUMIF(Summary!$A$166:$A$242,$A2664,Summary!$P$166:$P$242),0)</f>
        <v>43580.391744245069</v>
      </c>
      <c r="AE2664" s="197">
        <f t="shared" ca="1" si="584"/>
        <v>65888.216643825319</v>
      </c>
      <c r="AF2664" s="196">
        <f>IFERROR(G2664/SUMIF(A:A,A2664,G:G)*SUMIF(Summary!$A$166:$A$242,'Operations Support'!A2664,Summary!$Q$166:$Q$242),0)</f>
        <v>43623.715435029924</v>
      </c>
      <c r="AG2664" s="196">
        <f t="shared" ca="1" si="585"/>
        <v>65844.892953040471</v>
      </c>
      <c r="AI2664" s="196">
        <f>IFERROR($G2664/SUMIF($A:$A,$A2664,$G:$G)*SUMIF(Summary!$A$247:$A$283,$A2664,Summary!$P$247:$P$283),0)</f>
        <v>7947.975917597063</v>
      </c>
      <c r="AJ2664" s="196">
        <f>IFERROR($G2664/SUMIF($A:$A,$A2664,$G:$G)*(SUMIF(Summary!$A$247:$A$283,$A2664,Summary!$L$247:$L$283)+SUMIF(Summary!$A$297:$A$333,$A2664,Summary!$L$297:$L$333))-AI2664,0)</f>
        <v>26716.896726077779</v>
      </c>
      <c r="AK2664" s="196">
        <f>IFERROR($G2664/SUMIF($A:$A,$A2664,$G:$G)*SUMIF(Summary!$A$247:$A$283,$A2664,Summary!$Q$247:$Q$283),0)</f>
        <v>7955.8770776655683</v>
      </c>
      <c r="AL2664" s="196">
        <f>IFERROR($G2664/SUMIF($A:$A,$A2664,$G:$G)*(SUMIF(Summary!$A$247:$A$283,$A2664,Summary!$L$247:$L$283)+SUMIF(Summary!$A$297:$A$333,$A2664,Summary!$L$297:$L$333))-AK2664,0)</f>
        <v>26708.995566009271</v>
      </c>
      <c r="AM2664" s="198"/>
      <c r="AN2664" s="196">
        <f t="shared" ca="1" si="586"/>
        <v>92605.113369903091</v>
      </c>
      <c r="AO2664" s="196">
        <f t="shared" ca="1" si="587"/>
        <v>92553.888519049739</v>
      </c>
    </row>
    <row r="2665" spans="1:41">
      <c r="A2665" s="189">
        <v>9930</v>
      </c>
      <c r="B2665" s="190">
        <v>2</v>
      </c>
      <c r="C2665" s="191" t="s">
        <v>234</v>
      </c>
      <c r="D2665" s="192">
        <f t="shared" si="574"/>
        <v>0</v>
      </c>
      <c r="E2665" s="192">
        <f t="shared" si="575"/>
        <v>0</v>
      </c>
      <c r="F2665" s="192">
        <f t="shared" si="576"/>
        <v>0</v>
      </c>
      <c r="G2665" s="193">
        <f t="shared" si="577"/>
        <v>0</v>
      </c>
      <c r="H2665" s="194">
        <v>0</v>
      </c>
      <c r="I2665" s="194">
        <v>0</v>
      </c>
      <c r="J2665" s="194">
        <v>0</v>
      </c>
      <c r="K2665" s="193">
        <f t="shared" si="578"/>
        <v>0</v>
      </c>
      <c r="L2665" s="194">
        <v>0</v>
      </c>
      <c r="M2665" s="194">
        <v>0</v>
      </c>
      <c r="N2665" s="194">
        <v>0</v>
      </c>
      <c r="O2665" s="193">
        <f t="shared" si="579"/>
        <v>0</v>
      </c>
      <c r="P2665" s="194">
        <v>0</v>
      </c>
      <c r="Q2665" s="194">
        <v>0</v>
      </c>
      <c r="R2665" s="194">
        <v>0</v>
      </c>
      <c r="S2665" s="193">
        <f t="shared" si="580"/>
        <v>0</v>
      </c>
      <c r="T2665" s="193">
        <f t="shared" si="581"/>
        <v>0</v>
      </c>
      <c r="U2665" s="193">
        <f ca="1">OFFSET('Expenditure Study'!$B$7,'Operations Support'!$C2665,'Operations Support'!$B2665)*$G2665</f>
        <v>0</v>
      </c>
      <c r="V2665" s="199">
        <f ca="1">U2665*'Expenditure Study'!$B$31</f>
        <v>0</v>
      </c>
      <c r="W2665" s="199">
        <f ca="1">IF(A2665=10298,1.51,1)*IF($B2665&lt;3,$D2665*'Expenditure Study'!$B$32*OFFSET('Expenditure Study'!$B$7,'Operations Support'!$C2665,'Operations Support'!$B2665),0)</f>
        <v>0</v>
      </c>
      <c r="X2665" s="200">
        <f ca="1">W2665*'Expenditure Study'!$B$31</f>
        <v>0</v>
      </c>
      <c r="Y2665" s="199">
        <f ca="1">U2665*'Expenditure Study'!$B$31</f>
        <v>0</v>
      </c>
      <c r="Z2665" s="200">
        <f ca="1">W2665*'Expenditure Study'!$B$31</f>
        <v>0</v>
      </c>
      <c r="AA2665" s="195">
        <f t="shared" ca="1" si="582"/>
        <v>0</v>
      </c>
      <c r="AB2665" s="195">
        <f t="shared" ca="1" si="583"/>
        <v>0</v>
      </c>
      <c r="AD2665" s="196">
        <f>IFERROR($G2665/SUMIF($A:$A,$A2665,$G:$G)*SUMIF(Summary!$A$166:$A$242,$A2665,Summary!$P$166:$P$242),0)</f>
        <v>0</v>
      </c>
      <c r="AE2665" s="197">
        <f t="shared" ca="1" si="584"/>
        <v>0</v>
      </c>
      <c r="AF2665" s="196">
        <f>IFERROR(G2665/SUMIF(A:A,A2665,G:G)*SUMIF(Summary!$A$166:$A$242,'Operations Support'!A2665,Summary!$Q$166:$Q$242),0)</f>
        <v>0</v>
      </c>
      <c r="AG2665" s="196">
        <f t="shared" ca="1" si="585"/>
        <v>0</v>
      </c>
      <c r="AI2665" s="196">
        <f>IFERROR($G2665/SUMIF($A:$A,$A2665,$G:$G)*SUMIF(Summary!$A$247:$A$283,$A2665,Summary!$P$247:$P$283),0)</f>
        <v>0</v>
      </c>
      <c r="AJ2665" s="196">
        <f>IFERROR($G2665/SUMIF($A:$A,$A2665,$G:$G)*(SUMIF(Summary!$A$247:$A$283,$A2665,Summary!$L$247:$L$283)+SUMIF(Summary!$A$297:$A$333,$A2665,Summary!$L$297:$L$333))-AI2665,0)</f>
        <v>0</v>
      </c>
      <c r="AK2665" s="196">
        <f>IFERROR($G2665/SUMIF($A:$A,$A2665,$G:$G)*SUMIF(Summary!$A$247:$A$283,$A2665,Summary!$Q$247:$Q$283),0)</f>
        <v>0</v>
      </c>
      <c r="AL2665" s="196">
        <f>IFERROR($G2665/SUMIF($A:$A,$A2665,$G:$G)*(SUMIF(Summary!$A$247:$A$283,$A2665,Summary!$L$247:$L$283)+SUMIF(Summary!$A$297:$A$333,$A2665,Summary!$L$297:$L$333))-AK2665,0)</f>
        <v>0</v>
      </c>
      <c r="AM2665" s="198"/>
      <c r="AN2665" s="196">
        <f t="shared" ca="1" si="586"/>
        <v>0</v>
      </c>
      <c r="AO2665" s="196">
        <f t="shared" ca="1" si="587"/>
        <v>0</v>
      </c>
    </row>
    <row r="2666" spans="1:41">
      <c r="A2666" s="189">
        <v>9930</v>
      </c>
      <c r="B2666" s="190">
        <v>2</v>
      </c>
      <c r="C2666" s="191" t="s">
        <v>235</v>
      </c>
      <c r="D2666" s="192">
        <f t="shared" si="574"/>
        <v>4518</v>
      </c>
      <c r="E2666" s="192">
        <f t="shared" si="575"/>
        <v>8100</v>
      </c>
      <c r="F2666" s="192">
        <f t="shared" si="576"/>
        <v>0</v>
      </c>
      <c r="G2666" s="193">
        <f t="shared" si="577"/>
        <v>12618</v>
      </c>
      <c r="H2666" s="194">
        <v>1842</v>
      </c>
      <c r="I2666" s="194">
        <v>3753</v>
      </c>
      <c r="J2666" s="194">
        <v>0</v>
      </c>
      <c r="K2666" s="193">
        <f t="shared" si="578"/>
        <v>5595</v>
      </c>
      <c r="L2666" s="194">
        <v>1038</v>
      </c>
      <c r="M2666" s="194">
        <v>2043</v>
      </c>
      <c r="N2666" s="194">
        <v>0</v>
      </c>
      <c r="O2666" s="193">
        <f t="shared" si="579"/>
        <v>3081</v>
      </c>
      <c r="P2666" s="194">
        <v>1638</v>
      </c>
      <c r="Q2666" s="194">
        <v>2304</v>
      </c>
      <c r="R2666" s="194">
        <v>0</v>
      </c>
      <c r="S2666" s="193">
        <f t="shared" si="580"/>
        <v>3942</v>
      </c>
      <c r="T2666" s="193">
        <f t="shared" si="581"/>
        <v>420.6</v>
      </c>
      <c r="U2666" s="193">
        <f ca="1">OFFSET('Expenditure Study'!$B$7,'Operations Support'!$C2666,'Operations Support'!$B2666)*$G2666</f>
        <v>23595.66</v>
      </c>
      <c r="V2666" s="199">
        <f ca="1">U2666*'Expenditure Study'!$B$31</f>
        <v>1394106.645875328</v>
      </c>
      <c r="W2666" s="199">
        <f ca="1">IF(A2666=10298,1.51,1)*IF($B2666&lt;3,$D2666*'Expenditure Study'!$B$32*OFFSET('Expenditure Study'!$B$7,'Operations Support'!$C2666,'Operations Support'!$B2666),0)</f>
        <v>844.8660000000001</v>
      </c>
      <c r="X2666" s="200">
        <f ca="1">W2666*'Expenditure Study'!$B$31</f>
        <v>49917.370629772806</v>
      </c>
      <c r="Y2666" s="199">
        <f ca="1">U2666*'Expenditure Study'!$B$31</f>
        <v>1394106.645875328</v>
      </c>
      <c r="Z2666" s="200">
        <f ca="1">W2666*'Expenditure Study'!$B$31</f>
        <v>49917.370629772806</v>
      </c>
      <c r="AA2666" s="195">
        <f t="shared" ca="1" si="582"/>
        <v>1444024.0165051008</v>
      </c>
      <c r="AB2666" s="195">
        <f t="shared" ca="1" si="583"/>
        <v>1444024.0165051008</v>
      </c>
      <c r="AD2666" s="196">
        <f>IFERROR($G2666/SUMIF($A:$A,$A2666,$G:$G)*SUMIF(Summary!$A$166:$A$242,$A2666,Summary!$P$166:$P$242),0)</f>
        <v>488797.67380345275</v>
      </c>
      <c r="AE2666" s="197">
        <f t="shared" ca="1" si="584"/>
        <v>955226.34270164801</v>
      </c>
      <c r="AF2666" s="196">
        <f>IFERROR(G2666/SUMIF(A:A,A2666,G:G)*SUMIF(Summary!$A$166:$A$242,'Operations Support'!A2666,Summary!$Q$166:$Q$242),0)</f>
        <v>489283.59231929568</v>
      </c>
      <c r="AG2666" s="196">
        <f t="shared" ca="1" si="585"/>
        <v>954740.42418580502</v>
      </c>
      <c r="AI2666" s="196">
        <f>IFERROR($G2666/SUMIF($A:$A,$A2666,$G:$G)*SUMIF(Summary!$A$247:$A$283,$A2666,Summary!$P$247:$P$283),0)</f>
        <v>89144.497891768668</v>
      </c>
      <c r="AJ2666" s="196">
        <f>IFERROR($G2666/SUMIF($A:$A,$A2666,$G:$G)*(SUMIF(Summary!$A$247:$A$283,$A2666,Summary!$L$247:$L$283)+SUMIF(Summary!$A$297:$A$333,$A2666,Summary!$L$297:$L$333))-AI2666,0)</f>
        <v>299656.7136796884</v>
      </c>
      <c r="AK2666" s="196">
        <f>IFERROR($G2666/SUMIF($A:$A,$A2666,$G:$G)*SUMIF(Summary!$A$247:$A$283,$A2666,Summary!$Q$247:$Q$283),0)</f>
        <v>89233.117303097024</v>
      </c>
      <c r="AL2666" s="196">
        <f>IFERROR($G2666/SUMIF($A:$A,$A2666,$G:$G)*(SUMIF(Summary!$A$247:$A$283,$A2666,Summary!$L$247:$L$283)+SUMIF(Summary!$A$297:$A$333,$A2666,Summary!$L$297:$L$333))-AK2666,0)</f>
        <v>299568.09426836</v>
      </c>
      <c r="AM2666" s="198"/>
      <c r="AN2666" s="196">
        <f t="shared" ca="1" si="586"/>
        <v>1254883.0563813364</v>
      </c>
      <c r="AO2666" s="196">
        <f t="shared" ca="1" si="587"/>
        <v>1254308.518454165</v>
      </c>
    </row>
    <row r="2667" spans="1:41" s="201" customFormat="1">
      <c r="A2667" s="189">
        <v>9930</v>
      </c>
      <c r="B2667" s="190">
        <v>2</v>
      </c>
      <c r="C2667" s="191" t="s">
        <v>236</v>
      </c>
      <c r="D2667" s="192">
        <f t="shared" si="574"/>
        <v>0</v>
      </c>
      <c r="E2667" s="192">
        <f t="shared" si="575"/>
        <v>0</v>
      </c>
      <c r="F2667" s="192">
        <f t="shared" si="576"/>
        <v>0</v>
      </c>
      <c r="G2667" s="193">
        <f t="shared" si="577"/>
        <v>0</v>
      </c>
      <c r="H2667" s="194">
        <v>0</v>
      </c>
      <c r="I2667" s="194">
        <v>0</v>
      </c>
      <c r="J2667" s="194">
        <v>0</v>
      </c>
      <c r="K2667" s="193">
        <f t="shared" si="578"/>
        <v>0</v>
      </c>
      <c r="L2667" s="194">
        <v>0</v>
      </c>
      <c r="M2667" s="194">
        <v>0</v>
      </c>
      <c r="N2667" s="194">
        <v>0</v>
      </c>
      <c r="O2667" s="193">
        <f t="shared" si="579"/>
        <v>0</v>
      </c>
      <c r="P2667" s="194">
        <v>0</v>
      </c>
      <c r="Q2667" s="194">
        <v>0</v>
      </c>
      <c r="R2667" s="194">
        <v>0</v>
      </c>
      <c r="S2667" s="193">
        <f t="shared" si="580"/>
        <v>0</v>
      </c>
      <c r="T2667" s="193">
        <f t="shared" si="581"/>
        <v>0</v>
      </c>
      <c r="U2667" s="193">
        <f ca="1">OFFSET('Expenditure Study'!$B$7,'Operations Support'!$C2667,'Operations Support'!$B2667)*$G2667</f>
        <v>0</v>
      </c>
      <c r="V2667" s="199">
        <f ca="1">U2667*'Expenditure Study'!$B$31</f>
        <v>0</v>
      </c>
      <c r="W2667" s="199">
        <f ca="1">IF(A2667=10298,1.51,1)*IF($B2667&lt;3,$D2667*'Expenditure Study'!$B$32*OFFSET('Expenditure Study'!$B$7,'Operations Support'!$C2667,'Operations Support'!$B2667),0)</f>
        <v>0</v>
      </c>
      <c r="X2667" s="200">
        <f ca="1">W2667*'Expenditure Study'!$B$31</f>
        <v>0</v>
      </c>
      <c r="Y2667" s="199">
        <f ca="1">U2667*'Expenditure Study'!$B$31</f>
        <v>0</v>
      </c>
      <c r="Z2667" s="200">
        <f ca="1">W2667*'Expenditure Study'!$B$31</f>
        <v>0</v>
      </c>
      <c r="AA2667" s="195">
        <f t="shared" ca="1" si="582"/>
        <v>0</v>
      </c>
      <c r="AB2667" s="195">
        <f t="shared" ca="1" si="583"/>
        <v>0</v>
      </c>
      <c r="AD2667" s="196">
        <f>IFERROR($G2667/SUMIF($A:$A,$A2667,$G:$G)*SUMIF(Summary!$A$166:$A$242,$A2667,Summary!$P$166:$P$242),0)</f>
        <v>0</v>
      </c>
      <c r="AE2667" s="197">
        <f t="shared" ca="1" si="584"/>
        <v>0</v>
      </c>
      <c r="AF2667" s="196">
        <f>IFERROR(G2667/SUMIF(A:A,A2667,G:G)*SUMIF(Summary!$A$166:$A$242,'Operations Support'!A2667,Summary!$Q$166:$Q$242),0)</f>
        <v>0</v>
      </c>
      <c r="AG2667" s="196">
        <f t="shared" ca="1" si="585"/>
        <v>0</v>
      </c>
      <c r="AH2667" s="180"/>
      <c r="AI2667" s="196">
        <f>IFERROR($G2667/SUMIF($A:$A,$A2667,$G:$G)*SUMIF(Summary!$A$247:$A$283,$A2667,Summary!$P$247:$P$283),0)</f>
        <v>0</v>
      </c>
      <c r="AJ2667" s="196">
        <f>IFERROR($G2667/SUMIF($A:$A,$A2667,$G:$G)*(SUMIF(Summary!$A$247:$A$283,$A2667,Summary!$L$247:$L$283)+SUMIF(Summary!$A$297:$A$333,$A2667,Summary!$L$297:$L$333))-AI2667,0)</f>
        <v>0</v>
      </c>
      <c r="AK2667" s="196">
        <f>IFERROR($G2667/SUMIF($A:$A,$A2667,$G:$G)*SUMIF(Summary!$A$247:$A$283,$A2667,Summary!$Q$247:$Q$283),0)</f>
        <v>0</v>
      </c>
      <c r="AL2667" s="196">
        <f>IFERROR($G2667/SUMIF($A:$A,$A2667,$G:$G)*(SUMIF(Summary!$A$247:$A$283,$A2667,Summary!$L$247:$L$283)+SUMIF(Summary!$A$297:$A$333,$A2667,Summary!$L$297:$L$333))-AK2667,0)</f>
        <v>0</v>
      </c>
      <c r="AM2667" s="198"/>
      <c r="AN2667" s="196">
        <f t="shared" ca="1" si="586"/>
        <v>0</v>
      </c>
      <c r="AO2667" s="196">
        <f t="shared" ca="1" si="587"/>
        <v>0</v>
      </c>
    </row>
    <row r="2668" spans="1:41" s="201" customFormat="1">
      <c r="A2668" s="189">
        <v>9930</v>
      </c>
      <c r="B2668" s="190">
        <v>2</v>
      </c>
      <c r="C2668" s="191" t="s">
        <v>237</v>
      </c>
      <c r="D2668" s="192">
        <f t="shared" si="574"/>
        <v>48</v>
      </c>
      <c r="E2668" s="192">
        <f t="shared" si="575"/>
        <v>69</v>
      </c>
      <c r="F2668" s="192">
        <f t="shared" si="576"/>
        <v>0</v>
      </c>
      <c r="G2668" s="193">
        <f t="shared" si="577"/>
        <v>117</v>
      </c>
      <c r="H2668" s="194">
        <v>15</v>
      </c>
      <c r="I2668" s="194">
        <v>36</v>
      </c>
      <c r="J2668" s="194">
        <v>0</v>
      </c>
      <c r="K2668" s="193">
        <f t="shared" si="578"/>
        <v>51</v>
      </c>
      <c r="L2668" s="194">
        <v>33</v>
      </c>
      <c r="M2668" s="194">
        <v>33</v>
      </c>
      <c r="N2668" s="194">
        <v>0</v>
      </c>
      <c r="O2668" s="193">
        <f t="shared" si="579"/>
        <v>66</v>
      </c>
      <c r="P2668" s="194">
        <v>0</v>
      </c>
      <c r="Q2668" s="194">
        <v>0</v>
      </c>
      <c r="R2668" s="194">
        <v>0</v>
      </c>
      <c r="S2668" s="193">
        <f t="shared" si="580"/>
        <v>0</v>
      </c>
      <c r="T2668" s="193">
        <f t="shared" si="581"/>
        <v>3.9</v>
      </c>
      <c r="U2668" s="193">
        <f ca="1">OFFSET('Expenditure Study'!$B$7,'Operations Support'!$C2668,'Operations Support'!$B2668)*$G2668</f>
        <v>273.77999999999997</v>
      </c>
      <c r="V2668" s="199">
        <f ca="1">U2668*'Expenditure Study'!$B$31</f>
        <v>16175.793239423998</v>
      </c>
      <c r="W2668" s="199">
        <f ca="1">IF(A2668=10298,1.51,1)*IF($B2668&lt;3,$D2668*'Expenditure Study'!$B$32*OFFSET('Expenditure Study'!$B$7,'Operations Support'!$C2668,'Operations Support'!$B2668),0)</f>
        <v>11.232000000000001</v>
      </c>
      <c r="X2668" s="200">
        <f ca="1">W2668*'Expenditure Study'!$B$31</f>
        <v>663.62228674560004</v>
      </c>
      <c r="Y2668" s="199">
        <f ca="1">U2668*'Expenditure Study'!$B$31</f>
        <v>16175.793239423998</v>
      </c>
      <c r="Z2668" s="200">
        <f ca="1">W2668*'Expenditure Study'!$B$31</f>
        <v>663.62228674560004</v>
      </c>
      <c r="AA2668" s="195">
        <f t="shared" ca="1" si="582"/>
        <v>16839.4155261696</v>
      </c>
      <c r="AB2668" s="195">
        <f t="shared" ca="1" si="583"/>
        <v>16839.4155261696</v>
      </c>
      <c r="AD2668" s="196">
        <f>IFERROR($G2668/SUMIF($A:$A,$A2668,$G:$G)*SUMIF(Summary!$A$166:$A$242,$A2668,Summary!$P$166:$P$242),0)</f>
        <v>4532.3607414014868</v>
      </c>
      <c r="AE2668" s="197">
        <f t="shared" ca="1" si="584"/>
        <v>12307.054784768112</v>
      </c>
      <c r="AF2668" s="196">
        <f>IFERROR(G2668/SUMIF(A:A,A2668,G:G)*SUMIF(Summary!$A$166:$A$242,'Operations Support'!A2668,Summary!$Q$166:$Q$242),0)</f>
        <v>4536.8664052431122</v>
      </c>
      <c r="AG2668" s="196">
        <f t="shared" ca="1" si="585"/>
        <v>12302.549120926487</v>
      </c>
      <c r="AH2668" s="180"/>
      <c r="AI2668" s="196">
        <f>IFERROR($G2668/SUMIF($A:$A,$A2668,$G:$G)*SUMIF(Summary!$A$247:$A$283,$A2668,Summary!$P$247:$P$283),0)</f>
        <v>826.58949543009453</v>
      </c>
      <c r="AJ2668" s="196">
        <f>IFERROR($G2668/SUMIF($A:$A,$A2668,$G:$G)*(SUMIF(Summary!$A$247:$A$283,$A2668,Summary!$L$247:$L$283)+SUMIF(Summary!$A$297:$A$333,$A2668,Summary!$L$297:$L$333))-AI2668,0)</f>
        <v>2778.5572595120893</v>
      </c>
      <c r="AK2668" s="196">
        <f>IFERROR($G2668/SUMIF($A:$A,$A2668,$G:$G)*SUMIF(Summary!$A$247:$A$283,$A2668,Summary!$Q$247:$Q$283),0)</f>
        <v>827.41121607721902</v>
      </c>
      <c r="AL2668" s="196">
        <f>IFERROR($G2668/SUMIF($A:$A,$A2668,$G:$G)*(SUMIF(Summary!$A$247:$A$283,$A2668,Summary!$L$247:$L$283)+SUMIF(Summary!$A$297:$A$333,$A2668,Summary!$L$297:$L$333))-AK2668,0)</f>
        <v>2777.7355388649648</v>
      </c>
      <c r="AM2668" s="198"/>
      <c r="AN2668" s="196">
        <f t="shared" ca="1" si="586"/>
        <v>15085.612044280202</v>
      </c>
      <c r="AO2668" s="196">
        <f t="shared" ca="1" si="587"/>
        <v>15080.284659791452</v>
      </c>
    </row>
    <row r="2669" spans="1:41">
      <c r="A2669" s="189">
        <v>9930</v>
      </c>
      <c r="B2669" s="190">
        <v>2</v>
      </c>
      <c r="C2669" s="191" t="s">
        <v>238</v>
      </c>
      <c r="D2669" s="192">
        <f t="shared" si="574"/>
        <v>448</v>
      </c>
      <c r="E2669" s="192">
        <f t="shared" si="575"/>
        <v>531</v>
      </c>
      <c r="F2669" s="192">
        <f t="shared" si="576"/>
        <v>0</v>
      </c>
      <c r="G2669" s="193">
        <f t="shared" si="577"/>
        <v>979</v>
      </c>
      <c r="H2669" s="194">
        <v>142</v>
      </c>
      <c r="I2669" s="194">
        <v>192</v>
      </c>
      <c r="J2669" s="194">
        <v>0</v>
      </c>
      <c r="K2669" s="193">
        <f t="shared" si="578"/>
        <v>334</v>
      </c>
      <c r="L2669" s="194">
        <v>0</v>
      </c>
      <c r="M2669" s="194">
        <v>219</v>
      </c>
      <c r="N2669" s="194">
        <v>0</v>
      </c>
      <c r="O2669" s="193">
        <f t="shared" si="579"/>
        <v>219</v>
      </c>
      <c r="P2669" s="194">
        <v>306</v>
      </c>
      <c r="Q2669" s="194">
        <v>120</v>
      </c>
      <c r="R2669" s="194">
        <v>0</v>
      </c>
      <c r="S2669" s="193">
        <f t="shared" si="580"/>
        <v>426</v>
      </c>
      <c r="T2669" s="193">
        <f t="shared" si="581"/>
        <v>32.633333333333333</v>
      </c>
      <c r="U2669" s="193">
        <f ca="1">OFFSET('Expenditure Study'!$B$7,'Operations Support'!$C2669,'Operations Support'!$B2669)*$G2669</f>
        <v>2349.6</v>
      </c>
      <c r="V2669" s="199">
        <f ca="1">U2669*'Expenditure Study'!$B$31</f>
        <v>138821.84160767999</v>
      </c>
      <c r="W2669" s="199">
        <f ca="1">IF(A2669=10298,1.51,1)*IF($B2669&lt;3,$D2669*'Expenditure Study'!$B$32*OFFSET('Expenditure Study'!$B$7,'Operations Support'!$C2669,'Operations Support'!$B2669),0)</f>
        <v>107.52000000000001</v>
      </c>
      <c r="X2669" s="200">
        <f ca="1">W2669*'Expenditure Study'!$B$31</f>
        <v>6352.6235996160003</v>
      </c>
      <c r="Y2669" s="199">
        <f ca="1">U2669*'Expenditure Study'!$B$31</f>
        <v>138821.84160767999</v>
      </c>
      <c r="Z2669" s="200">
        <f ca="1">W2669*'Expenditure Study'!$B$31</f>
        <v>6352.6235996160003</v>
      </c>
      <c r="AA2669" s="195">
        <f t="shared" ca="1" si="582"/>
        <v>145174.46520729599</v>
      </c>
      <c r="AB2669" s="195">
        <f t="shared" ca="1" si="583"/>
        <v>145174.46520729599</v>
      </c>
      <c r="AD2669" s="196">
        <f>IFERROR($G2669/SUMIF($A:$A,$A2669,$G:$G)*SUMIF(Summary!$A$166:$A$242,$A2669,Summary!$P$166:$P$242),0)</f>
        <v>37924.62534899194</v>
      </c>
      <c r="AE2669" s="197">
        <f t="shared" ca="1" si="584"/>
        <v>107249.83985830404</v>
      </c>
      <c r="AF2669" s="196">
        <f>IFERROR(G2669/SUMIF(A:A,A2669,G:G)*SUMIF(Summary!$A$166:$A$242,'Operations Support'!A2669,Summary!$Q$166:$Q$242),0)</f>
        <v>37962.326587461605</v>
      </c>
      <c r="AG2669" s="196">
        <f t="shared" ca="1" si="585"/>
        <v>107212.13861983438</v>
      </c>
      <c r="AI2669" s="196">
        <f>IFERROR($G2669/SUMIF($A:$A,$A2669,$G:$G)*SUMIF(Summary!$A$247:$A$283,$A2669,Summary!$P$247:$P$283),0)</f>
        <v>6916.5052651800233</v>
      </c>
      <c r="AJ2669" s="196">
        <f>IFERROR($G2669/SUMIF($A:$A,$A2669,$G:$G)*(SUMIF(Summary!$A$247:$A$283,$A2669,Summary!$L$247:$L$283)+SUMIF(Summary!$A$297:$A$333,$A2669,Summary!$L$297:$L$333))-AI2669,0)</f>
        <v>23249.63723984902</v>
      </c>
      <c r="AK2669" s="196">
        <f>IFERROR($G2669/SUMIF($A:$A,$A2669,$G:$G)*SUMIF(Summary!$A$247:$A$283,$A2669,Summary!$Q$247:$Q$283),0)</f>
        <v>6923.381030252971</v>
      </c>
      <c r="AL2669" s="196">
        <f>IFERROR($G2669/SUMIF($A:$A,$A2669,$G:$G)*(SUMIF(Summary!$A$247:$A$283,$A2669,Summary!$L$247:$L$283)+SUMIF(Summary!$A$297:$A$333,$A2669,Summary!$L$297:$L$333))-AK2669,0)</f>
        <v>23242.761474776074</v>
      </c>
      <c r="AM2669" s="198"/>
      <c r="AN2669" s="196">
        <f t="shared" ca="1" si="586"/>
        <v>130499.47709815306</v>
      </c>
      <c r="AO2669" s="196">
        <f t="shared" ca="1" si="587"/>
        <v>130454.90009461046</v>
      </c>
    </row>
    <row r="2670" spans="1:41">
      <c r="A2670" s="189">
        <v>9930</v>
      </c>
      <c r="B2670" s="190">
        <v>2</v>
      </c>
      <c r="C2670" s="191" t="s">
        <v>239</v>
      </c>
      <c r="D2670" s="192">
        <f t="shared" si="574"/>
        <v>290</v>
      </c>
      <c r="E2670" s="192">
        <f t="shared" si="575"/>
        <v>3243</v>
      </c>
      <c r="F2670" s="192">
        <f t="shared" si="576"/>
        <v>0</v>
      </c>
      <c r="G2670" s="193">
        <f t="shared" si="577"/>
        <v>3533</v>
      </c>
      <c r="H2670" s="194">
        <v>138</v>
      </c>
      <c r="I2670" s="194">
        <v>1921</v>
      </c>
      <c r="J2670" s="194">
        <v>0</v>
      </c>
      <c r="K2670" s="193">
        <f t="shared" si="578"/>
        <v>2059</v>
      </c>
      <c r="L2670" s="194">
        <v>60</v>
      </c>
      <c r="M2670" s="194">
        <v>1204</v>
      </c>
      <c r="N2670" s="194">
        <v>0</v>
      </c>
      <c r="O2670" s="193">
        <f t="shared" si="579"/>
        <v>1264</v>
      </c>
      <c r="P2670" s="194">
        <v>92</v>
      </c>
      <c r="Q2670" s="194">
        <v>118</v>
      </c>
      <c r="R2670" s="194">
        <v>0</v>
      </c>
      <c r="S2670" s="193">
        <f t="shared" si="580"/>
        <v>210</v>
      </c>
      <c r="T2670" s="193">
        <f t="shared" si="581"/>
        <v>117.76666666666667</v>
      </c>
      <c r="U2670" s="193">
        <f ca="1">OFFSET('Expenditure Study'!$B$7,'Operations Support'!$C2670,'Operations Support'!$B2670)*$G2670</f>
        <v>7348.64</v>
      </c>
      <c r="V2670" s="199">
        <f ca="1">U2670*'Expenditure Study'!$B$31</f>
        <v>434181.02575411205</v>
      </c>
      <c r="W2670" s="199">
        <f ca="1">IF(A2670=10298,1.51,1)*IF($B2670&lt;3,$D2670*'Expenditure Study'!$B$32*OFFSET('Expenditure Study'!$B$7,'Operations Support'!$C2670,'Operations Support'!$B2670),0)</f>
        <v>60.32</v>
      </c>
      <c r="X2670" s="200">
        <f ca="1">W2670*'Expenditure Study'!$B$31</f>
        <v>3563.8974658560001</v>
      </c>
      <c r="Y2670" s="199">
        <f ca="1">U2670*'Expenditure Study'!$B$31</f>
        <v>434181.02575411205</v>
      </c>
      <c r="Z2670" s="200">
        <f ca="1">W2670*'Expenditure Study'!$B$31</f>
        <v>3563.8974658560001</v>
      </c>
      <c r="AA2670" s="195">
        <f t="shared" ca="1" si="582"/>
        <v>437744.92321996804</v>
      </c>
      <c r="AB2670" s="195">
        <f t="shared" ca="1" si="583"/>
        <v>437744.92321996804</v>
      </c>
      <c r="AD2670" s="196">
        <f>IFERROR($G2670/SUMIF($A:$A,$A2670,$G:$G)*SUMIF(Summary!$A$166:$A$242,$A2670,Summary!$P$166:$P$242),0)</f>
        <v>136861.79913992697</v>
      </c>
      <c r="AE2670" s="197">
        <f t="shared" ca="1" si="584"/>
        <v>300883.12408004107</v>
      </c>
      <c r="AF2670" s="196">
        <f>IFERROR(G2670/SUMIF(A:A,A2670,G:G)*SUMIF(Summary!$A$166:$A$242,'Operations Support'!A2670,Summary!$Q$166:$Q$242),0)</f>
        <v>136997.8547839651</v>
      </c>
      <c r="AG2670" s="196">
        <f t="shared" ca="1" si="585"/>
        <v>300747.06843600294</v>
      </c>
      <c r="AI2670" s="196">
        <f>IFERROR($G2670/SUMIF($A:$A,$A2670,$G:$G)*SUMIF(Summary!$A$247:$A$283,$A2670,Summary!$P$247:$P$283),0)</f>
        <v>24960.176814995935</v>
      </c>
      <c r="AJ2670" s="196">
        <f>IFERROR($G2670/SUMIF($A:$A,$A2670,$G:$G)*(SUMIF(Summary!$A$247:$A$283,$A2670,Summary!$L$247:$L$283)+SUMIF(Summary!$A$297:$A$333,$A2670,Summary!$L$297:$L$333))-AI2670,0)</f>
        <v>83902.92989620693</v>
      </c>
      <c r="AK2670" s="196">
        <f>IFERROR($G2670/SUMIF($A:$A,$A2670,$G:$G)*SUMIF(Summary!$A$247:$A$283,$A2670,Summary!$Q$247:$Q$283),0)</f>
        <v>24984.989969237737</v>
      </c>
      <c r="AL2670" s="196">
        <f>IFERROR($G2670/SUMIF($A:$A,$A2670,$G:$G)*(SUMIF(Summary!$A$247:$A$283,$A2670,Summary!$L$247:$L$283)+SUMIF(Summary!$A$297:$A$333,$A2670,Summary!$L$297:$L$333))-AK2670,0)</f>
        <v>83878.116741965132</v>
      </c>
      <c r="AM2670" s="198"/>
      <c r="AN2670" s="196">
        <f t="shared" ca="1" si="586"/>
        <v>384786.05397624802</v>
      </c>
      <c r="AO2670" s="196">
        <f t="shared" ca="1" si="587"/>
        <v>384625.18517796806</v>
      </c>
    </row>
    <row r="2671" spans="1:41">
      <c r="A2671" s="189">
        <v>9930</v>
      </c>
      <c r="B2671" s="190">
        <v>2</v>
      </c>
      <c r="C2671" s="191" t="s">
        <v>240</v>
      </c>
      <c r="D2671" s="192">
        <f t="shared" si="574"/>
        <v>0</v>
      </c>
      <c r="E2671" s="192">
        <f t="shared" si="575"/>
        <v>0</v>
      </c>
      <c r="F2671" s="192">
        <f t="shared" si="576"/>
        <v>0</v>
      </c>
      <c r="G2671" s="193">
        <f t="shared" si="577"/>
        <v>0</v>
      </c>
      <c r="H2671" s="194">
        <v>0</v>
      </c>
      <c r="I2671" s="194">
        <v>0</v>
      </c>
      <c r="J2671" s="194">
        <v>0</v>
      </c>
      <c r="K2671" s="193">
        <f t="shared" si="578"/>
        <v>0</v>
      </c>
      <c r="L2671" s="194">
        <v>0</v>
      </c>
      <c r="M2671" s="194">
        <v>0</v>
      </c>
      <c r="N2671" s="194">
        <v>0</v>
      </c>
      <c r="O2671" s="193">
        <f t="shared" si="579"/>
        <v>0</v>
      </c>
      <c r="P2671" s="194">
        <v>0</v>
      </c>
      <c r="Q2671" s="194">
        <v>0</v>
      </c>
      <c r="R2671" s="194">
        <v>0</v>
      </c>
      <c r="S2671" s="193">
        <f t="shared" si="580"/>
        <v>0</v>
      </c>
      <c r="T2671" s="193">
        <f t="shared" si="581"/>
        <v>0</v>
      </c>
      <c r="U2671" s="193">
        <f ca="1">OFFSET('Expenditure Study'!$B$7,'Operations Support'!$C2671,'Operations Support'!$B2671)*$G2671</f>
        <v>0</v>
      </c>
      <c r="V2671" s="199">
        <f ca="1">U2671*'Expenditure Study'!$B$31</f>
        <v>0</v>
      </c>
      <c r="W2671" s="199">
        <f ca="1">IF(A2671=10298,1.51,1)*IF($B2671&lt;3,$D2671*'Expenditure Study'!$B$32*OFFSET('Expenditure Study'!$B$7,'Operations Support'!$C2671,'Operations Support'!$B2671),0)</f>
        <v>0</v>
      </c>
      <c r="X2671" s="200">
        <f ca="1">W2671*'Expenditure Study'!$B$31</f>
        <v>0</v>
      </c>
      <c r="Y2671" s="199">
        <f ca="1">U2671*'Expenditure Study'!$B$31</f>
        <v>0</v>
      </c>
      <c r="Z2671" s="200">
        <f ca="1">W2671*'Expenditure Study'!$B$31</f>
        <v>0</v>
      </c>
      <c r="AA2671" s="195">
        <f t="shared" ca="1" si="582"/>
        <v>0</v>
      </c>
      <c r="AB2671" s="195">
        <f t="shared" ca="1" si="583"/>
        <v>0</v>
      </c>
      <c r="AD2671" s="196">
        <f>IFERROR($G2671/SUMIF($A:$A,$A2671,$G:$G)*SUMIF(Summary!$A$166:$A$242,$A2671,Summary!$P$166:$P$242),0)</f>
        <v>0</v>
      </c>
      <c r="AE2671" s="197">
        <f t="shared" ca="1" si="584"/>
        <v>0</v>
      </c>
      <c r="AF2671" s="196">
        <f>IFERROR(G2671/SUMIF(A:A,A2671,G:G)*SUMIF(Summary!$A$166:$A$242,'Operations Support'!A2671,Summary!$Q$166:$Q$242),0)</f>
        <v>0</v>
      </c>
      <c r="AG2671" s="196">
        <f t="shared" ca="1" si="585"/>
        <v>0</v>
      </c>
      <c r="AI2671" s="196">
        <f>IFERROR($G2671/SUMIF($A:$A,$A2671,$G:$G)*SUMIF(Summary!$A$247:$A$283,$A2671,Summary!$P$247:$P$283),0)</f>
        <v>0</v>
      </c>
      <c r="AJ2671" s="196">
        <f>IFERROR($G2671/SUMIF($A:$A,$A2671,$G:$G)*(SUMIF(Summary!$A$247:$A$283,$A2671,Summary!$L$247:$L$283)+SUMIF(Summary!$A$297:$A$333,$A2671,Summary!$L$297:$L$333))-AI2671,0)</f>
        <v>0</v>
      </c>
      <c r="AK2671" s="196">
        <f>IFERROR($G2671/SUMIF($A:$A,$A2671,$G:$G)*SUMIF(Summary!$A$247:$A$283,$A2671,Summary!$Q$247:$Q$283),0)</f>
        <v>0</v>
      </c>
      <c r="AL2671" s="196">
        <f>IFERROR($G2671/SUMIF($A:$A,$A2671,$G:$G)*(SUMIF(Summary!$A$247:$A$283,$A2671,Summary!$L$247:$L$283)+SUMIF(Summary!$A$297:$A$333,$A2671,Summary!$L$297:$L$333))-AK2671,0)</f>
        <v>0</v>
      </c>
      <c r="AM2671" s="198"/>
      <c r="AN2671" s="196">
        <f t="shared" ca="1" si="586"/>
        <v>0</v>
      </c>
      <c r="AO2671" s="196">
        <f t="shared" ca="1" si="587"/>
        <v>0</v>
      </c>
    </row>
    <row r="2672" spans="1:41">
      <c r="A2672" s="189">
        <v>9930</v>
      </c>
      <c r="B2672" s="190">
        <v>3</v>
      </c>
      <c r="C2672" s="191" t="s">
        <v>220</v>
      </c>
      <c r="D2672" s="192">
        <f t="shared" si="574"/>
        <v>2035</v>
      </c>
      <c r="E2672" s="192">
        <f t="shared" si="575"/>
        <v>828</v>
      </c>
      <c r="F2672" s="192">
        <f t="shared" si="576"/>
        <v>0</v>
      </c>
      <c r="G2672" s="193">
        <f t="shared" si="577"/>
        <v>2863</v>
      </c>
      <c r="H2672" s="194">
        <v>753</v>
      </c>
      <c r="I2672" s="194">
        <v>318</v>
      </c>
      <c r="J2672" s="194">
        <v>0</v>
      </c>
      <c r="K2672" s="193">
        <f t="shared" si="578"/>
        <v>1071</v>
      </c>
      <c r="L2672" s="194">
        <v>616</v>
      </c>
      <c r="M2672" s="194">
        <v>306</v>
      </c>
      <c r="N2672" s="194">
        <v>0</v>
      </c>
      <c r="O2672" s="193">
        <f t="shared" si="579"/>
        <v>922</v>
      </c>
      <c r="P2672" s="194">
        <v>666</v>
      </c>
      <c r="Q2672" s="194">
        <v>204</v>
      </c>
      <c r="R2672" s="194">
        <v>0</v>
      </c>
      <c r="S2672" s="193">
        <f t="shared" si="580"/>
        <v>870</v>
      </c>
      <c r="T2672" s="193">
        <f t="shared" si="581"/>
        <v>119.29166666666667</v>
      </c>
      <c r="U2672" s="193">
        <f ca="1">OFFSET('Expenditure Study'!$B$7,'Operations Support'!$C2672,'Operations Support'!$B2672)*$G2672</f>
        <v>12768.98</v>
      </c>
      <c r="V2672" s="199">
        <f ca="1">U2672*'Expenditure Study'!$B$31</f>
        <v>754431.95397158398</v>
      </c>
      <c r="W2672" s="199">
        <f ca="1">IF(A2672=10298,1.51,1)*IF($B2672&lt;3,$D2672*'Expenditure Study'!$B$32*OFFSET('Expenditure Study'!$B$7,'Operations Support'!$C2672,'Operations Support'!$B2672),0)</f>
        <v>0</v>
      </c>
      <c r="X2672" s="200">
        <f ca="1">W2672*'Expenditure Study'!$B$31</f>
        <v>0</v>
      </c>
      <c r="Y2672" s="199">
        <f ca="1">U2672*'Expenditure Study'!$B$31</f>
        <v>754431.95397158398</v>
      </c>
      <c r="Z2672" s="200">
        <f ca="1">W2672*'Expenditure Study'!$B$31</f>
        <v>0</v>
      </c>
      <c r="AA2672" s="195">
        <f t="shared" ca="1" si="582"/>
        <v>754431.95397158398</v>
      </c>
      <c r="AB2672" s="195">
        <f t="shared" ca="1" si="583"/>
        <v>754431.95397158398</v>
      </c>
      <c r="AD2672" s="196">
        <f>IFERROR($G2672/SUMIF($A:$A,$A2672,$G:$G)*SUMIF(Summary!$A$166:$A$242,$A2672,Summary!$P$166:$P$242),0)</f>
        <v>110907.25472335436</v>
      </c>
      <c r="AE2672" s="197">
        <f t="shared" ca="1" si="584"/>
        <v>643524.69924822962</v>
      </c>
      <c r="AF2672" s="196">
        <f>IFERROR(G2672/SUMIF(A:A,A2672,G:G)*SUMIF(Summary!$A$166:$A$242,'Operations Support'!A2672,Summary!$Q$166:$Q$242),0)</f>
        <v>111017.50870265839</v>
      </c>
      <c r="AG2672" s="196">
        <f t="shared" ca="1" si="585"/>
        <v>643414.44526892563</v>
      </c>
      <c r="AI2672" s="196">
        <f>IFERROR($G2672/SUMIF($A:$A,$A2672,$G:$G)*SUMIF(Summary!$A$247:$A$283,$A2672,Summary!$P$247:$P$283),0)</f>
        <v>20226.715601849239</v>
      </c>
      <c r="AJ2672" s="196">
        <f>IFERROR($G2672/SUMIF($A:$A,$A2672,$G:$G)*(SUMIF(Summary!$A$247:$A$283,$A2672,Summary!$L$247:$L$283)+SUMIF(Summary!$A$297:$A$333,$A2672,Summary!$L$297:$L$333))-AI2672,0)</f>
        <v>67991.533623787283</v>
      </c>
      <c r="AK2672" s="196">
        <f>IFERROR($G2672/SUMIF($A:$A,$A2672,$G:$G)*SUMIF(Summary!$A$247:$A$283,$A2672,Summary!$Q$247:$Q$283),0)</f>
        <v>20246.82317631691</v>
      </c>
      <c r="AL2672" s="196">
        <f>IFERROR($G2672/SUMIF($A:$A,$A2672,$G:$G)*(SUMIF(Summary!$A$247:$A$283,$A2672,Summary!$L$247:$L$283)+SUMIF(Summary!$A$297:$A$333,$A2672,Summary!$L$297:$L$333))-AK2672,0)</f>
        <v>67971.42604931962</v>
      </c>
      <c r="AM2672" s="198"/>
      <c r="AN2672" s="196">
        <f t="shared" ca="1" si="586"/>
        <v>711516.23287201696</v>
      </c>
      <c r="AO2672" s="196">
        <f t="shared" ca="1" si="587"/>
        <v>711385.87131824531</v>
      </c>
    </row>
    <row r="2673" spans="1:41">
      <c r="A2673" s="189">
        <v>9930</v>
      </c>
      <c r="B2673" s="190">
        <v>3</v>
      </c>
      <c r="C2673" s="191" t="s">
        <v>221</v>
      </c>
      <c r="D2673" s="192">
        <f t="shared" si="574"/>
        <v>706</v>
      </c>
      <c r="E2673" s="192">
        <f t="shared" si="575"/>
        <v>148</v>
      </c>
      <c r="F2673" s="192">
        <f t="shared" si="576"/>
        <v>0</v>
      </c>
      <c r="G2673" s="193">
        <f t="shared" si="577"/>
        <v>854</v>
      </c>
      <c r="H2673" s="194">
        <v>250</v>
      </c>
      <c r="I2673" s="194">
        <v>62</v>
      </c>
      <c r="J2673" s="194">
        <v>0</v>
      </c>
      <c r="K2673" s="193">
        <f t="shared" si="578"/>
        <v>312</v>
      </c>
      <c r="L2673" s="194">
        <v>324</v>
      </c>
      <c r="M2673" s="194">
        <v>68</v>
      </c>
      <c r="N2673" s="194">
        <v>0</v>
      </c>
      <c r="O2673" s="193">
        <f t="shared" si="579"/>
        <v>392</v>
      </c>
      <c r="P2673" s="194">
        <v>132</v>
      </c>
      <c r="Q2673" s="194">
        <v>18</v>
      </c>
      <c r="R2673" s="194">
        <v>0</v>
      </c>
      <c r="S2673" s="193">
        <f t="shared" si="580"/>
        <v>150</v>
      </c>
      <c r="T2673" s="193">
        <f t="shared" si="581"/>
        <v>35.583333333333336</v>
      </c>
      <c r="U2673" s="193">
        <f ca="1">OFFSET('Expenditure Study'!$B$7,'Operations Support'!$C2673,'Operations Support'!$B2673)*$G2673</f>
        <v>5978</v>
      </c>
      <c r="V2673" s="199">
        <f ca="1">U2673*'Expenditure Study'!$B$31</f>
        <v>353199.25482239999</v>
      </c>
      <c r="W2673" s="199">
        <f ca="1">IF(A2673=10298,1.51,1)*IF($B2673&lt;3,$D2673*'Expenditure Study'!$B$32*OFFSET('Expenditure Study'!$B$7,'Operations Support'!$C2673,'Operations Support'!$B2673),0)</f>
        <v>0</v>
      </c>
      <c r="X2673" s="200">
        <f ca="1">W2673*'Expenditure Study'!$B$31</f>
        <v>0</v>
      </c>
      <c r="Y2673" s="199">
        <f ca="1">U2673*'Expenditure Study'!$B$31</f>
        <v>353199.25482239999</v>
      </c>
      <c r="Z2673" s="200">
        <f ca="1">W2673*'Expenditure Study'!$B$31</f>
        <v>0</v>
      </c>
      <c r="AA2673" s="195">
        <f t="shared" ca="1" si="582"/>
        <v>353199.25482239999</v>
      </c>
      <c r="AB2673" s="195">
        <f t="shared" ca="1" si="583"/>
        <v>353199.25482239999</v>
      </c>
      <c r="AD2673" s="196">
        <f>IFERROR($G2673/SUMIF($A:$A,$A2673,$G:$G)*SUMIF(Summary!$A$166:$A$242,$A2673,Summary!$P$166:$P$242),0)</f>
        <v>33082.359599631367</v>
      </c>
      <c r="AE2673" s="197">
        <f t="shared" ca="1" si="584"/>
        <v>320116.89522276865</v>
      </c>
      <c r="AF2673" s="196">
        <f>IFERROR(G2673/SUMIF(A:A,A2673,G:G)*SUMIF(Summary!$A$166:$A$242,'Operations Support'!A2673,Summary!$Q$166:$Q$242),0)</f>
        <v>33115.247094680497</v>
      </c>
      <c r="AG2673" s="196">
        <f t="shared" ca="1" si="585"/>
        <v>320084.00772771949</v>
      </c>
      <c r="AI2673" s="196">
        <f>IFERROR($G2673/SUMIF($A:$A,$A2673,$G:$G)*SUMIF(Summary!$A$247:$A$283,$A2673,Summary!$P$247:$P$283),0)</f>
        <v>6033.3968298914597</v>
      </c>
      <c r="AJ2673" s="196">
        <f>IFERROR($G2673/SUMIF($A:$A,$A2673,$G:$G)*(SUMIF(Summary!$A$247:$A$283,$A2673,Summary!$L$247:$L$283)+SUMIF(Summary!$A$297:$A$333,$A2673,Summary!$L$297:$L$333))-AI2673,0)</f>
        <v>20281.09315917371</v>
      </c>
      <c r="AK2673" s="196">
        <f>IFERROR($G2673/SUMIF($A:$A,$A2673,$G:$G)*SUMIF(Summary!$A$247:$A$283,$A2673,Summary!$Q$247:$Q$283),0)</f>
        <v>6039.3946882901291</v>
      </c>
      <c r="AL2673" s="196">
        <f>IFERROR($G2673/SUMIF($A:$A,$A2673,$G:$G)*(SUMIF(Summary!$A$247:$A$283,$A2673,Summary!$L$247:$L$283)+SUMIF(Summary!$A$297:$A$333,$A2673,Summary!$L$297:$L$333))-AK2673,0)</f>
        <v>20275.09530077504</v>
      </c>
      <c r="AM2673" s="198"/>
      <c r="AN2673" s="196">
        <f t="shared" ca="1" si="586"/>
        <v>340397.98838194238</v>
      </c>
      <c r="AO2673" s="196">
        <f t="shared" ca="1" si="587"/>
        <v>340359.10302849452</v>
      </c>
    </row>
    <row r="2674" spans="1:41">
      <c r="A2674" s="189">
        <v>9930</v>
      </c>
      <c r="B2674" s="190">
        <v>3</v>
      </c>
      <c r="C2674" s="191" t="s">
        <v>222</v>
      </c>
      <c r="D2674" s="192">
        <f t="shared" si="574"/>
        <v>30</v>
      </c>
      <c r="E2674" s="192">
        <f t="shared" si="575"/>
        <v>0</v>
      </c>
      <c r="F2674" s="192">
        <f t="shared" si="576"/>
        <v>0</v>
      </c>
      <c r="G2674" s="193">
        <f t="shared" si="577"/>
        <v>30</v>
      </c>
      <c r="H2674" s="194">
        <v>0</v>
      </c>
      <c r="I2674" s="194">
        <v>0</v>
      </c>
      <c r="J2674" s="194">
        <v>0</v>
      </c>
      <c r="K2674" s="193">
        <f t="shared" si="578"/>
        <v>0</v>
      </c>
      <c r="L2674" s="194">
        <v>30</v>
      </c>
      <c r="M2674" s="194">
        <v>0</v>
      </c>
      <c r="N2674" s="194">
        <v>0</v>
      </c>
      <c r="O2674" s="193">
        <f t="shared" si="579"/>
        <v>30</v>
      </c>
      <c r="P2674" s="194">
        <v>0</v>
      </c>
      <c r="Q2674" s="194">
        <v>0</v>
      </c>
      <c r="R2674" s="194">
        <v>0</v>
      </c>
      <c r="S2674" s="193">
        <f t="shared" si="580"/>
        <v>0</v>
      </c>
      <c r="T2674" s="193">
        <f t="shared" si="581"/>
        <v>1.25</v>
      </c>
      <c r="U2674" s="193">
        <f ca="1">OFFSET('Expenditure Study'!$B$7,'Operations Support'!$C2674,'Operations Support'!$B2674)*$G2674</f>
        <v>225.29999999999998</v>
      </c>
      <c r="V2674" s="199">
        <f ca="1">U2674*'Expenditure Study'!$B$31</f>
        <v>13311.44063424</v>
      </c>
      <c r="W2674" s="199">
        <f ca="1">IF(A2674=10298,1.51,1)*IF($B2674&lt;3,$D2674*'Expenditure Study'!$B$32*OFFSET('Expenditure Study'!$B$7,'Operations Support'!$C2674,'Operations Support'!$B2674),0)</f>
        <v>0</v>
      </c>
      <c r="X2674" s="200">
        <f ca="1">W2674*'Expenditure Study'!$B$31</f>
        <v>0</v>
      </c>
      <c r="Y2674" s="199">
        <f ca="1">U2674*'Expenditure Study'!$B$31</f>
        <v>13311.44063424</v>
      </c>
      <c r="Z2674" s="200">
        <f ca="1">W2674*'Expenditure Study'!$B$31</f>
        <v>0</v>
      </c>
      <c r="AA2674" s="195">
        <f t="shared" ca="1" si="582"/>
        <v>13311.44063424</v>
      </c>
      <c r="AB2674" s="195">
        <f t="shared" ca="1" si="583"/>
        <v>13311.44063424</v>
      </c>
      <c r="AD2674" s="196">
        <f>IFERROR($G2674/SUMIF($A:$A,$A2674,$G:$G)*SUMIF(Summary!$A$166:$A$242,$A2674,Summary!$P$166:$P$242),0)</f>
        <v>1162.1437798465354</v>
      </c>
      <c r="AE2674" s="197">
        <f t="shared" ca="1" si="584"/>
        <v>12149.296854393464</v>
      </c>
      <c r="AF2674" s="196">
        <f>IFERROR(G2674/SUMIF(A:A,A2674,G:G)*SUMIF(Summary!$A$166:$A$242,'Operations Support'!A2674,Summary!$Q$166:$Q$242),0)</f>
        <v>1163.2990782674649</v>
      </c>
      <c r="AG2674" s="196">
        <f t="shared" ca="1" si="585"/>
        <v>12148.141555972536</v>
      </c>
      <c r="AI2674" s="196">
        <f>IFERROR($G2674/SUMIF($A:$A,$A2674,$G:$G)*SUMIF(Summary!$A$247:$A$283,$A2674,Summary!$P$247:$P$283),0)</f>
        <v>211.94602446925504</v>
      </c>
      <c r="AJ2674" s="196">
        <f>IFERROR($G2674/SUMIF($A:$A,$A2674,$G:$G)*(SUMIF(Summary!$A$247:$A$283,$A2674,Summary!$L$247:$L$283)+SUMIF(Summary!$A$297:$A$333,$A2674,Summary!$L$297:$L$333))-AI2674,0)</f>
        <v>712.45057936207422</v>
      </c>
      <c r="AK2674" s="196">
        <f>IFERROR($G2674/SUMIF($A:$A,$A2674,$G:$G)*SUMIF(Summary!$A$247:$A$283,$A2674,Summary!$Q$247:$Q$283),0)</f>
        <v>212.15672207108184</v>
      </c>
      <c r="AL2674" s="196">
        <f>IFERROR($G2674/SUMIF($A:$A,$A2674,$G:$G)*(SUMIF(Summary!$A$247:$A$283,$A2674,Summary!$L$247:$L$283)+SUMIF(Summary!$A$297:$A$333,$A2674,Summary!$L$297:$L$333))-AK2674,0)</f>
        <v>712.23988176024739</v>
      </c>
      <c r="AM2674" s="198"/>
      <c r="AN2674" s="196">
        <f t="shared" ca="1" si="586"/>
        <v>12861.747433755538</v>
      </c>
      <c r="AO2674" s="196">
        <f t="shared" ca="1" si="587"/>
        <v>12860.381437732784</v>
      </c>
    </row>
    <row r="2675" spans="1:41">
      <c r="A2675" s="189">
        <v>9930</v>
      </c>
      <c r="B2675" s="190">
        <v>3</v>
      </c>
      <c r="C2675" s="191" t="s">
        <v>223</v>
      </c>
      <c r="D2675" s="192">
        <f t="shared" si="574"/>
        <v>2445</v>
      </c>
      <c r="E2675" s="192">
        <f t="shared" si="575"/>
        <v>1044</v>
      </c>
      <c r="F2675" s="192">
        <f t="shared" si="576"/>
        <v>0</v>
      </c>
      <c r="G2675" s="193">
        <f t="shared" si="577"/>
        <v>3489</v>
      </c>
      <c r="H2675" s="194">
        <v>959</v>
      </c>
      <c r="I2675" s="194">
        <v>258</v>
      </c>
      <c r="J2675" s="194">
        <v>0</v>
      </c>
      <c r="K2675" s="193">
        <f t="shared" si="578"/>
        <v>1217</v>
      </c>
      <c r="L2675" s="194">
        <v>439</v>
      </c>
      <c r="M2675" s="194">
        <v>222</v>
      </c>
      <c r="N2675" s="194">
        <v>0</v>
      </c>
      <c r="O2675" s="193">
        <f t="shared" si="579"/>
        <v>661</v>
      </c>
      <c r="P2675" s="194">
        <v>1047</v>
      </c>
      <c r="Q2675" s="194">
        <v>564</v>
      </c>
      <c r="R2675" s="194">
        <v>0</v>
      </c>
      <c r="S2675" s="193">
        <f t="shared" si="580"/>
        <v>1611</v>
      </c>
      <c r="T2675" s="193">
        <f t="shared" si="581"/>
        <v>145.375</v>
      </c>
      <c r="U2675" s="193">
        <f ca="1">OFFSET('Expenditure Study'!$B$7,'Operations Support'!$C2675,'Operations Support'!$B2675)*$G2675</f>
        <v>7815.3600000000006</v>
      </c>
      <c r="V2675" s="199">
        <f ca="1">U2675*'Expenditure Study'!$B$31</f>
        <v>461756.32789708802</v>
      </c>
      <c r="W2675" s="199">
        <f ca="1">IF(A2675=10298,1.51,1)*IF($B2675&lt;3,$D2675*'Expenditure Study'!$B$32*OFFSET('Expenditure Study'!$B$7,'Operations Support'!$C2675,'Operations Support'!$B2675),0)</f>
        <v>0</v>
      </c>
      <c r="X2675" s="200">
        <f ca="1">W2675*'Expenditure Study'!$B$31</f>
        <v>0</v>
      </c>
      <c r="Y2675" s="199">
        <f ca="1">U2675*'Expenditure Study'!$B$31</f>
        <v>461756.32789708802</v>
      </c>
      <c r="Z2675" s="200">
        <f ca="1">W2675*'Expenditure Study'!$B$31</f>
        <v>0</v>
      </c>
      <c r="AA2675" s="195">
        <f t="shared" ca="1" si="582"/>
        <v>461756.32789708802</v>
      </c>
      <c r="AB2675" s="195">
        <f t="shared" ca="1" si="583"/>
        <v>461756.32789708802</v>
      </c>
      <c r="AD2675" s="196">
        <f>IFERROR($G2675/SUMIF($A:$A,$A2675,$G:$G)*SUMIF(Summary!$A$166:$A$242,$A2675,Summary!$P$166:$P$242),0)</f>
        <v>135157.32159615206</v>
      </c>
      <c r="AE2675" s="197">
        <f t="shared" ca="1" si="584"/>
        <v>326599.00630093599</v>
      </c>
      <c r="AF2675" s="196">
        <f>IFERROR(G2675/SUMIF(A:A,A2675,G:G)*SUMIF(Summary!$A$166:$A$242,'Operations Support'!A2675,Summary!$Q$166:$Q$242),0)</f>
        <v>135291.68280250614</v>
      </c>
      <c r="AG2675" s="196">
        <f t="shared" ca="1" si="585"/>
        <v>326464.64509458188</v>
      </c>
      <c r="AI2675" s="196">
        <f>IFERROR($G2675/SUMIF($A:$A,$A2675,$G:$G)*SUMIF(Summary!$A$247:$A$283,$A2675,Summary!$P$247:$P$283),0)</f>
        <v>24649.322645774359</v>
      </c>
      <c r="AJ2675" s="196">
        <f>IFERROR($G2675/SUMIF($A:$A,$A2675,$G:$G)*(SUMIF(Summary!$A$247:$A$283,$A2675,Summary!$L$247:$L$283)+SUMIF(Summary!$A$297:$A$333,$A2675,Summary!$L$297:$L$333))-AI2675,0)</f>
        <v>82858.002379809215</v>
      </c>
      <c r="AK2675" s="196">
        <f>IFERROR($G2675/SUMIF($A:$A,$A2675,$G:$G)*SUMIF(Summary!$A$247:$A$283,$A2675,Summary!$Q$247:$Q$283),0)</f>
        <v>24673.826776866816</v>
      </c>
      <c r="AL2675" s="196">
        <f>IFERROR($G2675/SUMIF($A:$A,$A2675,$G:$G)*(SUMIF(Summary!$A$247:$A$283,$A2675,Summary!$L$247:$L$283)+SUMIF(Summary!$A$297:$A$333,$A2675,Summary!$L$297:$L$333))-AK2675,0)</f>
        <v>82833.498248716758</v>
      </c>
      <c r="AM2675" s="198"/>
      <c r="AN2675" s="196">
        <f t="shared" ca="1" si="586"/>
        <v>409457.0086807452</v>
      </c>
      <c r="AO2675" s="196">
        <f t="shared" ca="1" si="587"/>
        <v>409298.14334329864</v>
      </c>
    </row>
    <row r="2676" spans="1:41">
      <c r="A2676" s="189">
        <v>9930</v>
      </c>
      <c r="B2676" s="190">
        <v>3</v>
      </c>
      <c r="C2676" s="191" t="s">
        <v>224</v>
      </c>
      <c r="D2676" s="192">
        <f t="shared" si="574"/>
        <v>0</v>
      </c>
      <c r="E2676" s="192">
        <f t="shared" si="575"/>
        <v>0</v>
      </c>
      <c r="F2676" s="192">
        <f t="shared" si="576"/>
        <v>0</v>
      </c>
      <c r="G2676" s="193">
        <f t="shared" si="577"/>
        <v>0</v>
      </c>
      <c r="H2676" s="194">
        <v>0</v>
      </c>
      <c r="I2676" s="194">
        <v>0</v>
      </c>
      <c r="J2676" s="194">
        <v>0</v>
      </c>
      <c r="K2676" s="193">
        <f t="shared" si="578"/>
        <v>0</v>
      </c>
      <c r="L2676" s="194">
        <v>0</v>
      </c>
      <c r="M2676" s="194">
        <v>0</v>
      </c>
      <c r="N2676" s="194">
        <v>0</v>
      </c>
      <c r="O2676" s="193">
        <f t="shared" si="579"/>
        <v>0</v>
      </c>
      <c r="P2676" s="194">
        <v>0</v>
      </c>
      <c r="Q2676" s="194">
        <v>0</v>
      </c>
      <c r="R2676" s="194">
        <v>0</v>
      </c>
      <c r="S2676" s="193">
        <f t="shared" si="580"/>
        <v>0</v>
      </c>
      <c r="T2676" s="193">
        <f t="shared" si="581"/>
        <v>0</v>
      </c>
      <c r="U2676" s="193">
        <f ca="1">OFFSET('Expenditure Study'!$B$7,'Operations Support'!$C2676,'Operations Support'!$B2676)*$G2676</f>
        <v>0</v>
      </c>
      <c r="V2676" s="199">
        <f ca="1">U2676*'Expenditure Study'!$B$31</f>
        <v>0</v>
      </c>
      <c r="W2676" s="199">
        <f ca="1">IF(A2676=10298,1.51,1)*IF($B2676&lt;3,$D2676*'Expenditure Study'!$B$32*OFFSET('Expenditure Study'!$B$7,'Operations Support'!$C2676,'Operations Support'!$B2676),0)</f>
        <v>0</v>
      </c>
      <c r="X2676" s="200">
        <f ca="1">W2676*'Expenditure Study'!$B$31</f>
        <v>0</v>
      </c>
      <c r="Y2676" s="199">
        <f ca="1">U2676*'Expenditure Study'!$B$31</f>
        <v>0</v>
      </c>
      <c r="Z2676" s="200">
        <f ca="1">W2676*'Expenditure Study'!$B$31</f>
        <v>0</v>
      </c>
      <c r="AA2676" s="195">
        <f t="shared" ca="1" si="582"/>
        <v>0</v>
      </c>
      <c r="AB2676" s="195">
        <f t="shared" ca="1" si="583"/>
        <v>0</v>
      </c>
      <c r="AD2676" s="196">
        <f>IFERROR($G2676/SUMIF($A:$A,$A2676,$G:$G)*SUMIF(Summary!$A$166:$A$242,$A2676,Summary!$P$166:$P$242),0)</f>
        <v>0</v>
      </c>
      <c r="AE2676" s="197">
        <f t="shared" ca="1" si="584"/>
        <v>0</v>
      </c>
      <c r="AF2676" s="196">
        <f>IFERROR(G2676/SUMIF(A:A,A2676,G:G)*SUMIF(Summary!$A$166:$A$242,'Operations Support'!A2676,Summary!$Q$166:$Q$242),0)</f>
        <v>0</v>
      </c>
      <c r="AG2676" s="196">
        <f t="shared" ca="1" si="585"/>
        <v>0</v>
      </c>
      <c r="AI2676" s="196">
        <f>IFERROR($G2676/SUMIF($A:$A,$A2676,$G:$G)*SUMIF(Summary!$A$247:$A$283,$A2676,Summary!$P$247:$P$283),0)</f>
        <v>0</v>
      </c>
      <c r="AJ2676" s="196">
        <f>IFERROR($G2676/SUMIF($A:$A,$A2676,$G:$G)*(SUMIF(Summary!$A$247:$A$283,$A2676,Summary!$L$247:$L$283)+SUMIF(Summary!$A$297:$A$333,$A2676,Summary!$L$297:$L$333))-AI2676,0)</f>
        <v>0</v>
      </c>
      <c r="AK2676" s="196">
        <f>IFERROR($G2676/SUMIF($A:$A,$A2676,$G:$G)*SUMIF(Summary!$A$247:$A$283,$A2676,Summary!$Q$247:$Q$283),0)</f>
        <v>0</v>
      </c>
      <c r="AL2676" s="196">
        <f>IFERROR($G2676/SUMIF($A:$A,$A2676,$G:$G)*(SUMIF(Summary!$A$247:$A$283,$A2676,Summary!$L$247:$L$283)+SUMIF(Summary!$A$297:$A$333,$A2676,Summary!$L$297:$L$333))-AK2676,0)</f>
        <v>0</v>
      </c>
      <c r="AM2676" s="198"/>
      <c r="AN2676" s="196">
        <f t="shared" ca="1" si="586"/>
        <v>0</v>
      </c>
      <c r="AO2676" s="196">
        <f t="shared" ca="1" si="587"/>
        <v>0</v>
      </c>
    </row>
    <row r="2677" spans="1:41">
      <c r="A2677" s="189">
        <v>9930</v>
      </c>
      <c r="B2677" s="190">
        <v>3</v>
      </c>
      <c r="C2677" s="191" t="s">
        <v>225</v>
      </c>
      <c r="D2677" s="192">
        <f t="shared" si="574"/>
        <v>174</v>
      </c>
      <c r="E2677" s="192">
        <f t="shared" si="575"/>
        <v>141</v>
      </c>
      <c r="F2677" s="192">
        <f t="shared" si="576"/>
        <v>0</v>
      </c>
      <c r="G2677" s="193">
        <f t="shared" si="577"/>
        <v>315</v>
      </c>
      <c r="H2677" s="194">
        <v>78</v>
      </c>
      <c r="I2677" s="194">
        <v>0</v>
      </c>
      <c r="J2677" s="194">
        <v>0</v>
      </c>
      <c r="K2677" s="193">
        <f t="shared" si="578"/>
        <v>78</v>
      </c>
      <c r="L2677" s="194">
        <v>78</v>
      </c>
      <c r="M2677" s="194">
        <v>141</v>
      </c>
      <c r="N2677" s="194">
        <v>0</v>
      </c>
      <c r="O2677" s="193">
        <f t="shared" si="579"/>
        <v>219</v>
      </c>
      <c r="P2677" s="194">
        <v>18</v>
      </c>
      <c r="Q2677" s="194">
        <v>0</v>
      </c>
      <c r="R2677" s="194">
        <v>0</v>
      </c>
      <c r="S2677" s="193">
        <f t="shared" si="580"/>
        <v>18</v>
      </c>
      <c r="T2677" s="193">
        <f t="shared" si="581"/>
        <v>13.125</v>
      </c>
      <c r="U2677" s="193">
        <f ca="1">OFFSET('Expenditure Study'!$B$7,'Operations Support'!$C2677,'Operations Support'!$B2677)*$G2677</f>
        <v>2176.65</v>
      </c>
      <c r="V2677" s="199">
        <f ca="1">U2677*'Expenditure Study'!$B$31</f>
        <v>128603.40548832</v>
      </c>
      <c r="W2677" s="199">
        <f ca="1">IF(A2677=10298,1.51,1)*IF($B2677&lt;3,$D2677*'Expenditure Study'!$B$32*OFFSET('Expenditure Study'!$B$7,'Operations Support'!$C2677,'Operations Support'!$B2677),0)</f>
        <v>0</v>
      </c>
      <c r="X2677" s="200">
        <f ca="1">W2677*'Expenditure Study'!$B$31</f>
        <v>0</v>
      </c>
      <c r="Y2677" s="199">
        <f ca="1">U2677*'Expenditure Study'!$B$31</f>
        <v>128603.40548832</v>
      </c>
      <c r="Z2677" s="200">
        <f ca="1">W2677*'Expenditure Study'!$B$31</f>
        <v>0</v>
      </c>
      <c r="AA2677" s="195">
        <f t="shared" ca="1" si="582"/>
        <v>128603.40548832</v>
      </c>
      <c r="AB2677" s="195">
        <f t="shared" ca="1" si="583"/>
        <v>128603.40548832</v>
      </c>
      <c r="AD2677" s="196">
        <f>IFERROR($G2677/SUMIF($A:$A,$A2677,$G:$G)*SUMIF(Summary!$A$166:$A$242,$A2677,Summary!$P$166:$P$242),0)</f>
        <v>12202.509688388622</v>
      </c>
      <c r="AE2677" s="197">
        <f t="shared" ca="1" si="584"/>
        <v>116400.89579993137</v>
      </c>
      <c r="AF2677" s="196">
        <f>IFERROR(G2677/SUMIF(A:A,A2677,G:G)*SUMIF(Summary!$A$166:$A$242,'Operations Support'!A2677,Summary!$Q$166:$Q$242),0)</f>
        <v>12214.640321808381</v>
      </c>
      <c r="AG2677" s="196">
        <f t="shared" ca="1" si="585"/>
        <v>116388.76516651161</v>
      </c>
      <c r="AI2677" s="196">
        <f>IFERROR($G2677/SUMIF($A:$A,$A2677,$G:$G)*SUMIF(Summary!$A$247:$A$283,$A2677,Summary!$P$247:$P$283),0)</f>
        <v>2225.4332569271778</v>
      </c>
      <c r="AJ2677" s="196">
        <f>IFERROR($G2677/SUMIF($A:$A,$A2677,$G:$G)*(SUMIF(Summary!$A$247:$A$283,$A2677,Summary!$L$247:$L$283)+SUMIF(Summary!$A$297:$A$333,$A2677,Summary!$L$297:$L$333))-AI2677,0)</f>
        <v>7480.73108330178</v>
      </c>
      <c r="AK2677" s="196">
        <f>IFERROR($G2677/SUMIF($A:$A,$A2677,$G:$G)*SUMIF(Summary!$A$247:$A$283,$A2677,Summary!$Q$247:$Q$283),0)</f>
        <v>2227.6455817463593</v>
      </c>
      <c r="AL2677" s="196">
        <f>IFERROR($G2677/SUMIF($A:$A,$A2677,$G:$G)*(SUMIF(Summary!$A$247:$A$283,$A2677,Summary!$L$247:$L$283)+SUMIF(Summary!$A$297:$A$333,$A2677,Summary!$L$297:$L$333))-AK2677,0)</f>
        <v>7478.5187584825981</v>
      </c>
      <c r="AM2677" s="198"/>
      <c r="AN2677" s="196">
        <f t="shared" ca="1" si="586"/>
        <v>123881.62688323316</v>
      </c>
      <c r="AO2677" s="196">
        <f t="shared" ca="1" si="587"/>
        <v>123867.2839249942</v>
      </c>
    </row>
    <row r="2678" spans="1:41">
      <c r="A2678" s="189">
        <v>9930</v>
      </c>
      <c r="B2678" s="190">
        <v>3</v>
      </c>
      <c r="C2678" s="191" t="s">
        <v>226</v>
      </c>
      <c r="D2678" s="192">
        <f t="shared" si="574"/>
        <v>0</v>
      </c>
      <c r="E2678" s="192">
        <f t="shared" si="575"/>
        <v>0</v>
      </c>
      <c r="F2678" s="192">
        <f t="shared" si="576"/>
        <v>0</v>
      </c>
      <c r="G2678" s="193">
        <f t="shared" si="577"/>
        <v>0</v>
      </c>
      <c r="H2678" s="194">
        <v>0</v>
      </c>
      <c r="I2678" s="194">
        <v>0</v>
      </c>
      <c r="J2678" s="194">
        <v>0</v>
      </c>
      <c r="K2678" s="193">
        <f t="shared" si="578"/>
        <v>0</v>
      </c>
      <c r="L2678" s="194">
        <v>0</v>
      </c>
      <c r="M2678" s="194">
        <v>0</v>
      </c>
      <c r="N2678" s="194">
        <v>0</v>
      </c>
      <c r="O2678" s="193">
        <f t="shared" si="579"/>
        <v>0</v>
      </c>
      <c r="P2678" s="194">
        <v>0</v>
      </c>
      <c r="Q2678" s="194">
        <v>0</v>
      </c>
      <c r="R2678" s="194">
        <v>0</v>
      </c>
      <c r="S2678" s="193">
        <f t="shared" si="580"/>
        <v>0</v>
      </c>
      <c r="T2678" s="193">
        <f t="shared" si="581"/>
        <v>0</v>
      </c>
      <c r="U2678" s="193">
        <f ca="1">OFFSET('Expenditure Study'!$B$7,'Operations Support'!$C2678,'Operations Support'!$B2678)*$G2678</f>
        <v>0</v>
      </c>
      <c r="V2678" s="199">
        <f ca="1">U2678*'Expenditure Study'!$B$31</f>
        <v>0</v>
      </c>
      <c r="W2678" s="199">
        <f ca="1">IF(A2678=10298,1.51,1)*IF($B2678&lt;3,$D2678*'Expenditure Study'!$B$32*OFFSET('Expenditure Study'!$B$7,'Operations Support'!$C2678,'Operations Support'!$B2678),0)</f>
        <v>0</v>
      </c>
      <c r="X2678" s="200">
        <f ca="1">W2678*'Expenditure Study'!$B$31</f>
        <v>0</v>
      </c>
      <c r="Y2678" s="199">
        <f ca="1">U2678*'Expenditure Study'!$B$31</f>
        <v>0</v>
      </c>
      <c r="Z2678" s="200">
        <f ca="1">W2678*'Expenditure Study'!$B$31</f>
        <v>0</v>
      </c>
      <c r="AA2678" s="195">
        <f t="shared" ca="1" si="582"/>
        <v>0</v>
      </c>
      <c r="AB2678" s="195">
        <f t="shared" ca="1" si="583"/>
        <v>0</v>
      </c>
      <c r="AD2678" s="196">
        <f>IFERROR($G2678/SUMIF($A:$A,$A2678,$G:$G)*SUMIF(Summary!$A$166:$A$242,$A2678,Summary!$P$166:$P$242),0)</f>
        <v>0</v>
      </c>
      <c r="AE2678" s="197">
        <f t="shared" ca="1" si="584"/>
        <v>0</v>
      </c>
      <c r="AF2678" s="196">
        <f>IFERROR(G2678/SUMIF(A:A,A2678,G:G)*SUMIF(Summary!$A$166:$A$242,'Operations Support'!A2678,Summary!$Q$166:$Q$242),0)</f>
        <v>0</v>
      </c>
      <c r="AG2678" s="196">
        <f t="shared" ca="1" si="585"/>
        <v>0</v>
      </c>
      <c r="AI2678" s="196">
        <f>IFERROR($G2678/SUMIF($A:$A,$A2678,$G:$G)*SUMIF(Summary!$A$247:$A$283,$A2678,Summary!$P$247:$P$283),0)</f>
        <v>0</v>
      </c>
      <c r="AJ2678" s="196">
        <f>IFERROR($G2678/SUMIF($A:$A,$A2678,$G:$G)*(SUMIF(Summary!$A$247:$A$283,$A2678,Summary!$L$247:$L$283)+SUMIF(Summary!$A$297:$A$333,$A2678,Summary!$L$297:$L$333))-AI2678,0)</f>
        <v>0</v>
      </c>
      <c r="AK2678" s="196">
        <f>IFERROR($G2678/SUMIF($A:$A,$A2678,$G:$G)*SUMIF(Summary!$A$247:$A$283,$A2678,Summary!$Q$247:$Q$283),0)</f>
        <v>0</v>
      </c>
      <c r="AL2678" s="196">
        <f>IFERROR($G2678/SUMIF($A:$A,$A2678,$G:$G)*(SUMIF(Summary!$A$247:$A$283,$A2678,Summary!$L$247:$L$283)+SUMIF(Summary!$A$297:$A$333,$A2678,Summary!$L$297:$L$333))-AK2678,0)</f>
        <v>0</v>
      </c>
      <c r="AM2678" s="198"/>
      <c r="AN2678" s="196">
        <f t="shared" ca="1" si="586"/>
        <v>0</v>
      </c>
      <c r="AO2678" s="196">
        <f t="shared" ca="1" si="587"/>
        <v>0</v>
      </c>
    </row>
    <row r="2679" spans="1:41">
      <c r="A2679" s="189">
        <v>9930</v>
      </c>
      <c r="B2679" s="190">
        <v>3</v>
      </c>
      <c r="C2679" s="191" t="s">
        <v>227</v>
      </c>
      <c r="D2679" s="192">
        <f t="shared" si="574"/>
        <v>0</v>
      </c>
      <c r="E2679" s="192">
        <f t="shared" si="575"/>
        <v>0</v>
      </c>
      <c r="F2679" s="192">
        <f t="shared" si="576"/>
        <v>0</v>
      </c>
      <c r="G2679" s="193">
        <f t="shared" si="577"/>
        <v>0</v>
      </c>
      <c r="H2679" s="194">
        <v>0</v>
      </c>
      <c r="I2679" s="194">
        <v>0</v>
      </c>
      <c r="J2679" s="194">
        <v>0</v>
      </c>
      <c r="K2679" s="193">
        <f t="shared" si="578"/>
        <v>0</v>
      </c>
      <c r="L2679" s="194">
        <v>0</v>
      </c>
      <c r="M2679" s="194">
        <v>0</v>
      </c>
      <c r="N2679" s="194">
        <v>0</v>
      </c>
      <c r="O2679" s="193">
        <f t="shared" si="579"/>
        <v>0</v>
      </c>
      <c r="P2679" s="194">
        <v>0</v>
      </c>
      <c r="Q2679" s="194">
        <v>0</v>
      </c>
      <c r="R2679" s="194">
        <v>0</v>
      </c>
      <c r="S2679" s="193">
        <f t="shared" si="580"/>
        <v>0</v>
      </c>
      <c r="T2679" s="193">
        <f t="shared" si="581"/>
        <v>0</v>
      </c>
      <c r="U2679" s="193">
        <f ca="1">OFFSET('Expenditure Study'!$B$7,'Operations Support'!$C2679,'Operations Support'!$B2679)*$G2679</f>
        <v>0</v>
      </c>
      <c r="V2679" s="199">
        <f ca="1">U2679*'Expenditure Study'!$B$31</f>
        <v>0</v>
      </c>
      <c r="W2679" s="199">
        <f ca="1">IF(A2679=10298,1.51,1)*IF($B2679&lt;3,$D2679*'Expenditure Study'!$B$32*OFFSET('Expenditure Study'!$B$7,'Operations Support'!$C2679,'Operations Support'!$B2679),0)</f>
        <v>0</v>
      </c>
      <c r="X2679" s="200">
        <f ca="1">W2679*'Expenditure Study'!$B$31</f>
        <v>0</v>
      </c>
      <c r="Y2679" s="199">
        <f ca="1">U2679*'Expenditure Study'!$B$31</f>
        <v>0</v>
      </c>
      <c r="Z2679" s="200">
        <f ca="1">W2679*'Expenditure Study'!$B$31</f>
        <v>0</v>
      </c>
      <c r="AA2679" s="195">
        <f t="shared" ca="1" si="582"/>
        <v>0</v>
      </c>
      <c r="AB2679" s="195">
        <f t="shared" ca="1" si="583"/>
        <v>0</v>
      </c>
      <c r="AD2679" s="196">
        <f>IFERROR($G2679/SUMIF($A:$A,$A2679,$G:$G)*SUMIF(Summary!$A$166:$A$242,$A2679,Summary!$P$166:$P$242),0)</f>
        <v>0</v>
      </c>
      <c r="AE2679" s="197">
        <f t="shared" ca="1" si="584"/>
        <v>0</v>
      </c>
      <c r="AF2679" s="196">
        <f>IFERROR(G2679/SUMIF(A:A,A2679,G:G)*SUMIF(Summary!$A$166:$A$242,'Operations Support'!A2679,Summary!$Q$166:$Q$242),0)</f>
        <v>0</v>
      </c>
      <c r="AG2679" s="196">
        <f t="shared" ca="1" si="585"/>
        <v>0</v>
      </c>
      <c r="AI2679" s="196">
        <f>IFERROR($G2679/SUMIF($A:$A,$A2679,$G:$G)*SUMIF(Summary!$A$247:$A$283,$A2679,Summary!$P$247:$P$283),0)</f>
        <v>0</v>
      </c>
      <c r="AJ2679" s="196">
        <f>IFERROR($G2679/SUMIF($A:$A,$A2679,$G:$G)*(SUMIF(Summary!$A$247:$A$283,$A2679,Summary!$L$247:$L$283)+SUMIF(Summary!$A$297:$A$333,$A2679,Summary!$L$297:$L$333))-AI2679,0)</f>
        <v>0</v>
      </c>
      <c r="AK2679" s="196">
        <f>IFERROR($G2679/SUMIF($A:$A,$A2679,$G:$G)*SUMIF(Summary!$A$247:$A$283,$A2679,Summary!$Q$247:$Q$283),0)</f>
        <v>0</v>
      </c>
      <c r="AL2679" s="196">
        <f>IFERROR($G2679/SUMIF($A:$A,$A2679,$G:$G)*(SUMIF(Summary!$A$247:$A$283,$A2679,Summary!$L$247:$L$283)+SUMIF(Summary!$A$297:$A$333,$A2679,Summary!$L$297:$L$333))-AK2679,0)</f>
        <v>0</v>
      </c>
      <c r="AM2679" s="198"/>
      <c r="AN2679" s="196">
        <f t="shared" ca="1" si="586"/>
        <v>0</v>
      </c>
      <c r="AO2679" s="196">
        <f t="shared" ca="1" si="587"/>
        <v>0</v>
      </c>
    </row>
    <row r="2680" spans="1:41">
      <c r="A2680" s="189">
        <v>9930</v>
      </c>
      <c r="B2680" s="190">
        <v>3</v>
      </c>
      <c r="C2680" s="191" t="s">
        <v>228</v>
      </c>
      <c r="D2680" s="192">
        <f t="shared" si="574"/>
        <v>0</v>
      </c>
      <c r="E2680" s="192">
        <f t="shared" si="575"/>
        <v>0</v>
      </c>
      <c r="F2680" s="192">
        <f t="shared" si="576"/>
        <v>0</v>
      </c>
      <c r="G2680" s="193">
        <f t="shared" si="577"/>
        <v>0</v>
      </c>
      <c r="H2680" s="194">
        <v>0</v>
      </c>
      <c r="I2680" s="194">
        <v>0</v>
      </c>
      <c r="J2680" s="194">
        <v>0</v>
      </c>
      <c r="K2680" s="193">
        <f t="shared" si="578"/>
        <v>0</v>
      </c>
      <c r="L2680" s="194">
        <v>0</v>
      </c>
      <c r="M2680" s="194">
        <v>0</v>
      </c>
      <c r="N2680" s="194">
        <v>0</v>
      </c>
      <c r="O2680" s="193">
        <f t="shared" si="579"/>
        <v>0</v>
      </c>
      <c r="P2680" s="194">
        <v>0</v>
      </c>
      <c r="Q2680" s="194">
        <v>0</v>
      </c>
      <c r="R2680" s="194">
        <v>0</v>
      </c>
      <c r="S2680" s="193">
        <f t="shared" si="580"/>
        <v>0</v>
      </c>
      <c r="T2680" s="193">
        <f t="shared" si="581"/>
        <v>0</v>
      </c>
      <c r="U2680" s="193">
        <f ca="1">OFFSET('Expenditure Study'!$B$7,'Operations Support'!$C2680,'Operations Support'!$B2680)*$G2680</f>
        <v>0</v>
      </c>
      <c r="V2680" s="199">
        <f ca="1">U2680*'Expenditure Study'!$B$31</f>
        <v>0</v>
      </c>
      <c r="W2680" s="199">
        <f ca="1">IF(A2680=10298,1.51,1)*IF($B2680&lt;3,$D2680*'Expenditure Study'!$B$32*OFFSET('Expenditure Study'!$B$7,'Operations Support'!$C2680,'Operations Support'!$B2680),0)</f>
        <v>0</v>
      </c>
      <c r="X2680" s="200">
        <f ca="1">W2680*'Expenditure Study'!$B$31</f>
        <v>0</v>
      </c>
      <c r="Y2680" s="199">
        <f ca="1">U2680*'Expenditure Study'!$B$31</f>
        <v>0</v>
      </c>
      <c r="Z2680" s="200">
        <f ca="1">W2680*'Expenditure Study'!$B$31</f>
        <v>0</v>
      </c>
      <c r="AA2680" s="195">
        <f t="shared" ca="1" si="582"/>
        <v>0</v>
      </c>
      <c r="AB2680" s="195">
        <f t="shared" ca="1" si="583"/>
        <v>0</v>
      </c>
      <c r="AD2680" s="196">
        <f>IFERROR($G2680/SUMIF($A:$A,$A2680,$G:$G)*SUMIF(Summary!$A$166:$A$242,$A2680,Summary!$P$166:$P$242),0)</f>
        <v>0</v>
      </c>
      <c r="AE2680" s="197">
        <f t="shared" ca="1" si="584"/>
        <v>0</v>
      </c>
      <c r="AF2680" s="196">
        <f>IFERROR(G2680/SUMIF(A:A,A2680,G:G)*SUMIF(Summary!$A$166:$A$242,'Operations Support'!A2680,Summary!$Q$166:$Q$242),0)</f>
        <v>0</v>
      </c>
      <c r="AG2680" s="196">
        <f t="shared" ca="1" si="585"/>
        <v>0</v>
      </c>
      <c r="AI2680" s="196">
        <f>IFERROR($G2680/SUMIF($A:$A,$A2680,$G:$G)*SUMIF(Summary!$A$247:$A$283,$A2680,Summary!$P$247:$P$283),0)</f>
        <v>0</v>
      </c>
      <c r="AJ2680" s="196">
        <f>IFERROR($G2680/SUMIF($A:$A,$A2680,$G:$G)*(SUMIF(Summary!$A$247:$A$283,$A2680,Summary!$L$247:$L$283)+SUMIF(Summary!$A$297:$A$333,$A2680,Summary!$L$297:$L$333))-AI2680,0)</f>
        <v>0</v>
      </c>
      <c r="AK2680" s="196">
        <f>IFERROR($G2680/SUMIF($A:$A,$A2680,$G:$G)*SUMIF(Summary!$A$247:$A$283,$A2680,Summary!$Q$247:$Q$283),0)</f>
        <v>0</v>
      </c>
      <c r="AL2680" s="196">
        <f>IFERROR($G2680/SUMIF($A:$A,$A2680,$G:$G)*(SUMIF(Summary!$A$247:$A$283,$A2680,Summary!$L$247:$L$283)+SUMIF(Summary!$A$297:$A$333,$A2680,Summary!$L$297:$L$333))-AK2680,0)</f>
        <v>0</v>
      </c>
      <c r="AM2680" s="198"/>
      <c r="AN2680" s="196">
        <f t="shared" ca="1" si="586"/>
        <v>0</v>
      </c>
      <c r="AO2680" s="196">
        <f t="shared" ca="1" si="587"/>
        <v>0</v>
      </c>
    </row>
    <row r="2681" spans="1:41">
      <c r="A2681" s="189">
        <v>9930</v>
      </c>
      <c r="B2681" s="190">
        <v>3</v>
      </c>
      <c r="C2681" s="191" t="s">
        <v>229</v>
      </c>
      <c r="D2681" s="192">
        <f t="shared" si="574"/>
        <v>0</v>
      </c>
      <c r="E2681" s="192">
        <f t="shared" si="575"/>
        <v>0</v>
      </c>
      <c r="F2681" s="192">
        <f t="shared" si="576"/>
        <v>0</v>
      </c>
      <c r="G2681" s="193">
        <f t="shared" si="577"/>
        <v>0</v>
      </c>
      <c r="H2681" s="194">
        <v>0</v>
      </c>
      <c r="I2681" s="194">
        <v>0</v>
      </c>
      <c r="J2681" s="194">
        <v>0</v>
      </c>
      <c r="K2681" s="193">
        <f t="shared" si="578"/>
        <v>0</v>
      </c>
      <c r="L2681" s="194">
        <v>0</v>
      </c>
      <c r="M2681" s="194">
        <v>0</v>
      </c>
      <c r="N2681" s="194">
        <v>0</v>
      </c>
      <c r="O2681" s="193">
        <f t="shared" si="579"/>
        <v>0</v>
      </c>
      <c r="P2681" s="194">
        <v>0</v>
      </c>
      <c r="Q2681" s="194">
        <v>0</v>
      </c>
      <c r="R2681" s="194">
        <v>0</v>
      </c>
      <c r="S2681" s="193">
        <f t="shared" si="580"/>
        <v>0</v>
      </c>
      <c r="T2681" s="193">
        <f t="shared" si="581"/>
        <v>0</v>
      </c>
      <c r="U2681" s="193">
        <f ca="1">OFFSET('Expenditure Study'!$B$7,'Operations Support'!$C2681,'Operations Support'!$B2681)*$G2681</f>
        <v>0</v>
      </c>
      <c r="V2681" s="199">
        <f ca="1">U2681*'Expenditure Study'!$B$31</f>
        <v>0</v>
      </c>
      <c r="W2681" s="199">
        <f ca="1">IF(A2681=10298,1.51,1)*IF($B2681&lt;3,$D2681*'Expenditure Study'!$B$32*OFFSET('Expenditure Study'!$B$7,'Operations Support'!$C2681,'Operations Support'!$B2681),0)</f>
        <v>0</v>
      </c>
      <c r="X2681" s="200">
        <f ca="1">W2681*'Expenditure Study'!$B$31</f>
        <v>0</v>
      </c>
      <c r="Y2681" s="199">
        <f ca="1">U2681*'Expenditure Study'!$B$31</f>
        <v>0</v>
      </c>
      <c r="Z2681" s="200">
        <f ca="1">W2681*'Expenditure Study'!$B$31</f>
        <v>0</v>
      </c>
      <c r="AA2681" s="195">
        <f t="shared" ca="1" si="582"/>
        <v>0</v>
      </c>
      <c r="AB2681" s="195">
        <f t="shared" ca="1" si="583"/>
        <v>0</v>
      </c>
      <c r="AD2681" s="196">
        <f>IFERROR($G2681/SUMIF($A:$A,$A2681,$G:$G)*SUMIF(Summary!$A$166:$A$242,$A2681,Summary!$P$166:$P$242),0)</f>
        <v>0</v>
      </c>
      <c r="AE2681" s="197">
        <f t="shared" ca="1" si="584"/>
        <v>0</v>
      </c>
      <c r="AF2681" s="196">
        <f>IFERROR(G2681/SUMIF(A:A,A2681,G:G)*SUMIF(Summary!$A$166:$A$242,'Operations Support'!A2681,Summary!$Q$166:$Q$242),0)</f>
        <v>0</v>
      </c>
      <c r="AG2681" s="196">
        <f t="shared" ca="1" si="585"/>
        <v>0</v>
      </c>
      <c r="AI2681" s="196">
        <f>IFERROR($G2681/SUMIF($A:$A,$A2681,$G:$G)*SUMIF(Summary!$A$247:$A$283,$A2681,Summary!$P$247:$P$283),0)</f>
        <v>0</v>
      </c>
      <c r="AJ2681" s="196">
        <f>IFERROR($G2681/SUMIF($A:$A,$A2681,$G:$G)*(SUMIF(Summary!$A$247:$A$283,$A2681,Summary!$L$247:$L$283)+SUMIF(Summary!$A$297:$A$333,$A2681,Summary!$L$297:$L$333))-AI2681,0)</f>
        <v>0</v>
      </c>
      <c r="AK2681" s="196">
        <f>IFERROR($G2681/SUMIF($A:$A,$A2681,$G:$G)*SUMIF(Summary!$A$247:$A$283,$A2681,Summary!$Q$247:$Q$283),0)</f>
        <v>0</v>
      </c>
      <c r="AL2681" s="196">
        <f>IFERROR($G2681/SUMIF($A:$A,$A2681,$G:$G)*(SUMIF(Summary!$A$247:$A$283,$A2681,Summary!$L$247:$L$283)+SUMIF(Summary!$A$297:$A$333,$A2681,Summary!$L$297:$L$333))-AK2681,0)</f>
        <v>0</v>
      </c>
      <c r="AM2681" s="198"/>
      <c r="AN2681" s="196">
        <f t="shared" ca="1" si="586"/>
        <v>0</v>
      </c>
      <c r="AO2681" s="196">
        <f t="shared" ca="1" si="587"/>
        <v>0</v>
      </c>
    </row>
    <row r="2682" spans="1:41">
      <c r="A2682" s="189">
        <v>9930</v>
      </c>
      <c r="B2682" s="190">
        <v>3</v>
      </c>
      <c r="C2682" s="191" t="s">
        <v>230</v>
      </c>
      <c r="D2682" s="192">
        <f t="shared" si="574"/>
        <v>0</v>
      </c>
      <c r="E2682" s="192">
        <f t="shared" si="575"/>
        <v>0</v>
      </c>
      <c r="F2682" s="192">
        <f t="shared" si="576"/>
        <v>0</v>
      </c>
      <c r="G2682" s="193">
        <f t="shared" si="577"/>
        <v>0</v>
      </c>
      <c r="H2682" s="194">
        <v>0</v>
      </c>
      <c r="I2682" s="194">
        <v>0</v>
      </c>
      <c r="J2682" s="194">
        <v>0</v>
      </c>
      <c r="K2682" s="193">
        <f t="shared" si="578"/>
        <v>0</v>
      </c>
      <c r="L2682" s="194">
        <v>0</v>
      </c>
      <c r="M2682" s="194">
        <v>0</v>
      </c>
      <c r="N2682" s="194">
        <v>0</v>
      </c>
      <c r="O2682" s="193">
        <f t="shared" si="579"/>
        <v>0</v>
      </c>
      <c r="P2682" s="194">
        <v>0</v>
      </c>
      <c r="Q2682" s="194">
        <v>0</v>
      </c>
      <c r="R2682" s="194">
        <v>0</v>
      </c>
      <c r="S2682" s="193">
        <f t="shared" si="580"/>
        <v>0</v>
      </c>
      <c r="T2682" s="193">
        <f t="shared" si="581"/>
        <v>0</v>
      </c>
      <c r="U2682" s="193">
        <f ca="1">OFFSET('Expenditure Study'!$B$7,'Operations Support'!$C2682,'Operations Support'!$B2682)*$G2682</f>
        <v>0</v>
      </c>
      <c r="V2682" s="199">
        <f ca="1">U2682*'Expenditure Study'!$B$31</f>
        <v>0</v>
      </c>
      <c r="W2682" s="199">
        <f ca="1">IF(A2682=10298,1.51,1)*IF($B2682&lt;3,$D2682*'Expenditure Study'!$B$32*OFFSET('Expenditure Study'!$B$7,'Operations Support'!$C2682,'Operations Support'!$B2682),0)</f>
        <v>0</v>
      </c>
      <c r="X2682" s="200">
        <f ca="1">W2682*'Expenditure Study'!$B$31</f>
        <v>0</v>
      </c>
      <c r="Y2682" s="199">
        <f ca="1">U2682*'Expenditure Study'!$B$31</f>
        <v>0</v>
      </c>
      <c r="Z2682" s="200">
        <f ca="1">W2682*'Expenditure Study'!$B$31</f>
        <v>0</v>
      </c>
      <c r="AA2682" s="195">
        <f t="shared" ca="1" si="582"/>
        <v>0</v>
      </c>
      <c r="AB2682" s="195">
        <f t="shared" ca="1" si="583"/>
        <v>0</v>
      </c>
      <c r="AD2682" s="196">
        <f>IFERROR($G2682/SUMIF($A:$A,$A2682,$G:$G)*SUMIF(Summary!$A$166:$A$242,$A2682,Summary!$P$166:$P$242),0)</f>
        <v>0</v>
      </c>
      <c r="AE2682" s="197">
        <f t="shared" ca="1" si="584"/>
        <v>0</v>
      </c>
      <c r="AF2682" s="196">
        <f>IFERROR(G2682/SUMIF(A:A,A2682,G:G)*SUMIF(Summary!$A$166:$A$242,'Operations Support'!A2682,Summary!$Q$166:$Q$242),0)</f>
        <v>0</v>
      </c>
      <c r="AG2682" s="196">
        <f t="shared" ca="1" si="585"/>
        <v>0</v>
      </c>
      <c r="AI2682" s="196">
        <f>IFERROR($G2682/SUMIF($A:$A,$A2682,$G:$G)*SUMIF(Summary!$A$247:$A$283,$A2682,Summary!$P$247:$P$283),0)</f>
        <v>0</v>
      </c>
      <c r="AJ2682" s="196">
        <f>IFERROR($G2682/SUMIF($A:$A,$A2682,$G:$G)*(SUMIF(Summary!$A$247:$A$283,$A2682,Summary!$L$247:$L$283)+SUMIF(Summary!$A$297:$A$333,$A2682,Summary!$L$297:$L$333))-AI2682,0)</f>
        <v>0</v>
      </c>
      <c r="AK2682" s="196">
        <f>IFERROR($G2682/SUMIF($A:$A,$A2682,$G:$G)*SUMIF(Summary!$A$247:$A$283,$A2682,Summary!$Q$247:$Q$283),0)</f>
        <v>0</v>
      </c>
      <c r="AL2682" s="196">
        <f>IFERROR($G2682/SUMIF($A:$A,$A2682,$G:$G)*(SUMIF(Summary!$A$247:$A$283,$A2682,Summary!$L$247:$L$283)+SUMIF(Summary!$A$297:$A$333,$A2682,Summary!$L$297:$L$333))-AK2682,0)</f>
        <v>0</v>
      </c>
      <c r="AM2682" s="198"/>
      <c r="AN2682" s="196">
        <f t="shared" ca="1" si="586"/>
        <v>0</v>
      </c>
      <c r="AO2682" s="196">
        <f t="shared" ca="1" si="587"/>
        <v>0</v>
      </c>
    </row>
    <row r="2683" spans="1:41">
      <c r="A2683" s="189">
        <v>9930</v>
      </c>
      <c r="B2683" s="190">
        <v>3</v>
      </c>
      <c r="C2683" s="191" t="s">
        <v>231</v>
      </c>
      <c r="D2683" s="192">
        <f t="shared" si="574"/>
        <v>0</v>
      </c>
      <c r="E2683" s="192">
        <f t="shared" si="575"/>
        <v>0</v>
      </c>
      <c r="F2683" s="192">
        <f t="shared" si="576"/>
        <v>0</v>
      </c>
      <c r="G2683" s="193">
        <f t="shared" si="577"/>
        <v>0</v>
      </c>
      <c r="H2683" s="194">
        <v>0</v>
      </c>
      <c r="I2683" s="194">
        <v>0</v>
      </c>
      <c r="J2683" s="194">
        <v>0</v>
      </c>
      <c r="K2683" s="193">
        <f t="shared" si="578"/>
        <v>0</v>
      </c>
      <c r="L2683" s="194">
        <v>0</v>
      </c>
      <c r="M2683" s="194">
        <v>0</v>
      </c>
      <c r="N2683" s="194">
        <v>0</v>
      </c>
      <c r="O2683" s="193">
        <f t="shared" si="579"/>
        <v>0</v>
      </c>
      <c r="P2683" s="194">
        <v>0</v>
      </c>
      <c r="Q2683" s="194">
        <v>0</v>
      </c>
      <c r="R2683" s="194">
        <v>0</v>
      </c>
      <c r="S2683" s="193">
        <f t="shared" si="580"/>
        <v>0</v>
      </c>
      <c r="T2683" s="193">
        <f t="shared" si="581"/>
        <v>0</v>
      </c>
      <c r="U2683" s="193">
        <f ca="1">OFFSET('Expenditure Study'!$B$7,'Operations Support'!$C2683,'Operations Support'!$B2683)*$G2683</f>
        <v>0</v>
      </c>
      <c r="V2683" s="199">
        <f ca="1">U2683*'Expenditure Study'!$B$31</f>
        <v>0</v>
      </c>
      <c r="W2683" s="199">
        <f ca="1">IF(A2683=10298,1.51,1)*IF($B2683&lt;3,$D2683*'Expenditure Study'!$B$32*OFFSET('Expenditure Study'!$B$7,'Operations Support'!$C2683,'Operations Support'!$B2683),0)</f>
        <v>0</v>
      </c>
      <c r="X2683" s="200">
        <f ca="1">W2683*'Expenditure Study'!$B$31</f>
        <v>0</v>
      </c>
      <c r="Y2683" s="199">
        <f ca="1">U2683*'Expenditure Study'!$B$31</f>
        <v>0</v>
      </c>
      <c r="Z2683" s="200">
        <f ca="1">W2683*'Expenditure Study'!$B$31</f>
        <v>0</v>
      </c>
      <c r="AA2683" s="195">
        <f t="shared" ca="1" si="582"/>
        <v>0</v>
      </c>
      <c r="AB2683" s="195">
        <f t="shared" ca="1" si="583"/>
        <v>0</v>
      </c>
      <c r="AD2683" s="196">
        <f>IFERROR($G2683/SUMIF($A:$A,$A2683,$G:$G)*SUMIF(Summary!$A$166:$A$242,$A2683,Summary!$P$166:$P$242),0)</f>
        <v>0</v>
      </c>
      <c r="AE2683" s="197">
        <f t="shared" ca="1" si="584"/>
        <v>0</v>
      </c>
      <c r="AF2683" s="196">
        <f>IFERROR(G2683/SUMIF(A:A,A2683,G:G)*SUMIF(Summary!$A$166:$A$242,'Operations Support'!A2683,Summary!$Q$166:$Q$242),0)</f>
        <v>0</v>
      </c>
      <c r="AG2683" s="196">
        <f t="shared" ca="1" si="585"/>
        <v>0</v>
      </c>
      <c r="AI2683" s="196">
        <f>IFERROR($G2683/SUMIF($A:$A,$A2683,$G:$G)*SUMIF(Summary!$A$247:$A$283,$A2683,Summary!$P$247:$P$283),0)</f>
        <v>0</v>
      </c>
      <c r="AJ2683" s="196">
        <f>IFERROR($G2683/SUMIF($A:$A,$A2683,$G:$G)*(SUMIF(Summary!$A$247:$A$283,$A2683,Summary!$L$247:$L$283)+SUMIF(Summary!$A$297:$A$333,$A2683,Summary!$L$297:$L$333))-AI2683,0)</f>
        <v>0</v>
      </c>
      <c r="AK2683" s="196">
        <f>IFERROR($G2683/SUMIF($A:$A,$A2683,$G:$G)*SUMIF(Summary!$A$247:$A$283,$A2683,Summary!$Q$247:$Q$283),0)</f>
        <v>0</v>
      </c>
      <c r="AL2683" s="196">
        <f>IFERROR($G2683/SUMIF($A:$A,$A2683,$G:$G)*(SUMIF(Summary!$A$247:$A$283,$A2683,Summary!$L$247:$L$283)+SUMIF(Summary!$A$297:$A$333,$A2683,Summary!$L$297:$L$333))-AK2683,0)</f>
        <v>0</v>
      </c>
      <c r="AM2683" s="198"/>
      <c r="AN2683" s="196">
        <f t="shared" ca="1" si="586"/>
        <v>0</v>
      </c>
      <c r="AO2683" s="196">
        <f t="shared" ca="1" si="587"/>
        <v>0</v>
      </c>
    </row>
    <row r="2684" spans="1:41">
      <c r="A2684" s="189">
        <v>9930</v>
      </c>
      <c r="B2684" s="190">
        <v>3</v>
      </c>
      <c r="C2684" s="191" t="s">
        <v>232</v>
      </c>
      <c r="D2684" s="192">
        <f t="shared" si="574"/>
        <v>0</v>
      </c>
      <c r="E2684" s="192">
        <f t="shared" si="575"/>
        <v>0</v>
      </c>
      <c r="F2684" s="192">
        <f t="shared" si="576"/>
        <v>0</v>
      </c>
      <c r="G2684" s="193">
        <f t="shared" si="577"/>
        <v>0</v>
      </c>
      <c r="H2684" s="194">
        <v>0</v>
      </c>
      <c r="I2684" s="194">
        <v>0</v>
      </c>
      <c r="J2684" s="194">
        <v>0</v>
      </c>
      <c r="K2684" s="193">
        <f t="shared" si="578"/>
        <v>0</v>
      </c>
      <c r="L2684" s="194">
        <v>0</v>
      </c>
      <c r="M2684" s="194">
        <v>0</v>
      </c>
      <c r="N2684" s="194">
        <v>0</v>
      </c>
      <c r="O2684" s="193">
        <f t="shared" si="579"/>
        <v>0</v>
      </c>
      <c r="P2684" s="194">
        <v>0</v>
      </c>
      <c r="Q2684" s="194">
        <v>0</v>
      </c>
      <c r="R2684" s="194">
        <v>0</v>
      </c>
      <c r="S2684" s="193">
        <f t="shared" si="580"/>
        <v>0</v>
      </c>
      <c r="T2684" s="193">
        <f t="shared" si="581"/>
        <v>0</v>
      </c>
      <c r="U2684" s="193">
        <f ca="1">OFFSET('Expenditure Study'!$B$7,'Operations Support'!$C2684,'Operations Support'!$B2684)*$G2684</f>
        <v>0</v>
      </c>
      <c r="V2684" s="199">
        <f ca="1">U2684*'Expenditure Study'!$B$31</f>
        <v>0</v>
      </c>
      <c r="W2684" s="199">
        <f ca="1">IF(A2684=10298,1.51,1)*IF($B2684&lt;3,$D2684*'Expenditure Study'!$B$32*OFFSET('Expenditure Study'!$B$7,'Operations Support'!$C2684,'Operations Support'!$B2684),0)</f>
        <v>0</v>
      </c>
      <c r="X2684" s="200">
        <f ca="1">W2684*'Expenditure Study'!$B$31</f>
        <v>0</v>
      </c>
      <c r="Y2684" s="199">
        <f ca="1">U2684*'Expenditure Study'!$B$31</f>
        <v>0</v>
      </c>
      <c r="Z2684" s="200">
        <f ca="1">W2684*'Expenditure Study'!$B$31</f>
        <v>0</v>
      </c>
      <c r="AA2684" s="195">
        <f t="shared" ca="1" si="582"/>
        <v>0</v>
      </c>
      <c r="AB2684" s="195">
        <f t="shared" ca="1" si="583"/>
        <v>0</v>
      </c>
      <c r="AD2684" s="196">
        <f>IFERROR($G2684/SUMIF($A:$A,$A2684,$G:$G)*SUMIF(Summary!$A$166:$A$242,$A2684,Summary!$P$166:$P$242),0)</f>
        <v>0</v>
      </c>
      <c r="AE2684" s="197">
        <f t="shared" ca="1" si="584"/>
        <v>0</v>
      </c>
      <c r="AF2684" s="196">
        <f>IFERROR(G2684/SUMIF(A:A,A2684,G:G)*SUMIF(Summary!$A$166:$A$242,'Operations Support'!A2684,Summary!$Q$166:$Q$242),0)</f>
        <v>0</v>
      </c>
      <c r="AG2684" s="196">
        <f t="shared" ca="1" si="585"/>
        <v>0</v>
      </c>
      <c r="AI2684" s="196">
        <f>IFERROR($G2684/SUMIF($A:$A,$A2684,$G:$G)*SUMIF(Summary!$A$247:$A$283,$A2684,Summary!$P$247:$P$283),0)</f>
        <v>0</v>
      </c>
      <c r="AJ2684" s="196">
        <f>IFERROR($G2684/SUMIF($A:$A,$A2684,$G:$G)*(SUMIF(Summary!$A$247:$A$283,$A2684,Summary!$L$247:$L$283)+SUMIF(Summary!$A$297:$A$333,$A2684,Summary!$L$297:$L$333))-AI2684,0)</f>
        <v>0</v>
      </c>
      <c r="AK2684" s="196">
        <f>IFERROR($G2684/SUMIF($A:$A,$A2684,$G:$G)*SUMIF(Summary!$A$247:$A$283,$A2684,Summary!$Q$247:$Q$283),0)</f>
        <v>0</v>
      </c>
      <c r="AL2684" s="196">
        <f>IFERROR($G2684/SUMIF($A:$A,$A2684,$G:$G)*(SUMIF(Summary!$A$247:$A$283,$A2684,Summary!$L$247:$L$283)+SUMIF(Summary!$A$297:$A$333,$A2684,Summary!$L$297:$L$333))-AK2684,0)</f>
        <v>0</v>
      </c>
      <c r="AM2684" s="198"/>
      <c r="AN2684" s="196">
        <f t="shared" ca="1" si="586"/>
        <v>0</v>
      </c>
      <c r="AO2684" s="196">
        <f t="shared" ca="1" si="587"/>
        <v>0</v>
      </c>
    </row>
    <row r="2685" spans="1:41">
      <c r="A2685" s="189">
        <v>9930</v>
      </c>
      <c r="B2685" s="190">
        <v>3</v>
      </c>
      <c r="C2685" s="191" t="s">
        <v>233</v>
      </c>
      <c r="D2685" s="192">
        <f t="shared" si="574"/>
        <v>42</v>
      </c>
      <c r="E2685" s="192">
        <f t="shared" si="575"/>
        <v>183</v>
      </c>
      <c r="F2685" s="192">
        <f t="shared" si="576"/>
        <v>0</v>
      </c>
      <c r="G2685" s="193">
        <f t="shared" si="577"/>
        <v>225</v>
      </c>
      <c r="H2685" s="194">
        <v>21</v>
      </c>
      <c r="I2685" s="194">
        <v>99</v>
      </c>
      <c r="J2685" s="194">
        <v>0</v>
      </c>
      <c r="K2685" s="193">
        <f t="shared" si="578"/>
        <v>120</v>
      </c>
      <c r="L2685" s="194">
        <v>21</v>
      </c>
      <c r="M2685" s="194">
        <v>78</v>
      </c>
      <c r="N2685" s="194">
        <v>0</v>
      </c>
      <c r="O2685" s="193">
        <f t="shared" si="579"/>
        <v>99</v>
      </c>
      <c r="P2685" s="194">
        <v>0</v>
      </c>
      <c r="Q2685" s="194">
        <v>6</v>
      </c>
      <c r="R2685" s="194">
        <v>0</v>
      </c>
      <c r="S2685" s="193">
        <f t="shared" si="580"/>
        <v>6</v>
      </c>
      <c r="T2685" s="193">
        <f t="shared" si="581"/>
        <v>9.375</v>
      </c>
      <c r="U2685" s="193">
        <f ca="1">OFFSET('Expenditure Study'!$B$7,'Operations Support'!$C2685,'Operations Support'!$B2685)*$G2685</f>
        <v>589.5</v>
      </c>
      <c r="V2685" s="199">
        <f ca="1">U2685*'Expenditure Study'!$B$31</f>
        <v>34829.535081599999</v>
      </c>
      <c r="W2685" s="199">
        <f ca="1">IF(A2685=10298,1.51,1)*IF($B2685&lt;3,$D2685*'Expenditure Study'!$B$32*OFFSET('Expenditure Study'!$B$7,'Operations Support'!$C2685,'Operations Support'!$B2685),0)</f>
        <v>0</v>
      </c>
      <c r="X2685" s="200">
        <f ca="1">W2685*'Expenditure Study'!$B$31</f>
        <v>0</v>
      </c>
      <c r="Y2685" s="199">
        <f ca="1">U2685*'Expenditure Study'!$B$31</f>
        <v>34829.535081599999</v>
      </c>
      <c r="Z2685" s="200">
        <f ca="1">W2685*'Expenditure Study'!$B$31</f>
        <v>0</v>
      </c>
      <c r="AA2685" s="195">
        <f t="shared" ca="1" si="582"/>
        <v>34829.535081599999</v>
      </c>
      <c r="AB2685" s="195">
        <f t="shared" ca="1" si="583"/>
        <v>34829.535081599999</v>
      </c>
      <c r="AD2685" s="196">
        <f>IFERROR($G2685/SUMIF($A:$A,$A2685,$G:$G)*SUMIF(Summary!$A$166:$A$242,$A2685,Summary!$P$166:$P$242),0)</f>
        <v>8716.0783488490142</v>
      </c>
      <c r="AE2685" s="197">
        <f t="shared" ca="1" si="584"/>
        <v>26113.456732750987</v>
      </c>
      <c r="AF2685" s="196">
        <f>IFERROR(G2685/SUMIF(A:A,A2685,G:G)*SUMIF(Summary!$A$166:$A$242,'Operations Support'!A2685,Summary!$Q$166:$Q$242),0)</f>
        <v>8724.7430870059852</v>
      </c>
      <c r="AG2685" s="196">
        <f t="shared" ca="1" si="585"/>
        <v>26104.791994594016</v>
      </c>
      <c r="AI2685" s="196">
        <f>IFERROR($G2685/SUMIF($A:$A,$A2685,$G:$G)*SUMIF(Summary!$A$247:$A$283,$A2685,Summary!$P$247:$P$283),0)</f>
        <v>1589.5951835194128</v>
      </c>
      <c r="AJ2685" s="196">
        <f>IFERROR($G2685/SUMIF($A:$A,$A2685,$G:$G)*(SUMIF(Summary!$A$247:$A$283,$A2685,Summary!$L$247:$L$283)+SUMIF(Summary!$A$297:$A$333,$A2685,Summary!$L$297:$L$333))-AI2685,0)</f>
        <v>5343.379345215556</v>
      </c>
      <c r="AK2685" s="196">
        <f>IFERROR($G2685/SUMIF($A:$A,$A2685,$G:$G)*SUMIF(Summary!$A$247:$A$283,$A2685,Summary!$Q$247:$Q$283),0)</f>
        <v>1591.1754155331137</v>
      </c>
      <c r="AL2685" s="196">
        <f>IFERROR($G2685/SUMIF($A:$A,$A2685,$G:$G)*(SUMIF(Summary!$A$247:$A$283,$A2685,Summary!$L$247:$L$283)+SUMIF(Summary!$A$297:$A$333,$A2685,Summary!$L$297:$L$333))-AK2685,0)</f>
        <v>5341.7991132018551</v>
      </c>
      <c r="AM2685" s="198"/>
      <c r="AN2685" s="196">
        <f t="shared" ca="1" si="586"/>
        <v>31456.836077966542</v>
      </c>
      <c r="AO2685" s="196">
        <f t="shared" ca="1" si="587"/>
        <v>31446.59110779587</v>
      </c>
    </row>
    <row r="2686" spans="1:41">
      <c r="A2686" s="189">
        <v>9930</v>
      </c>
      <c r="B2686" s="190">
        <v>3</v>
      </c>
      <c r="C2686" s="191" t="s">
        <v>234</v>
      </c>
      <c r="D2686" s="192">
        <f t="shared" si="574"/>
        <v>0</v>
      </c>
      <c r="E2686" s="192">
        <f t="shared" si="575"/>
        <v>0</v>
      </c>
      <c r="F2686" s="192">
        <f t="shared" si="576"/>
        <v>0</v>
      </c>
      <c r="G2686" s="193">
        <f t="shared" si="577"/>
        <v>0</v>
      </c>
      <c r="H2686" s="194">
        <v>0</v>
      </c>
      <c r="I2686" s="194">
        <v>0</v>
      </c>
      <c r="J2686" s="194">
        <v>0</v>
      </c>
      <c r="K2686" s="193">
        <f t="shared" si="578"/>
        <v>0</v>
      </c>
      <c r="L2686" s="194">
        <v>0</v>
      </c>
      <c r="M2686" s="194">
        <v>0</v>
      </c>
      <c r="N2686" s="194">
        <v>0</v>
      </c>
      <c r="O2686" s="193">
        <f t="shared" si="579"/>
        <v>0</v>
      </c>
      <c r="P2686" s="194">
        <v>0</v>
      </c>
      <c r="Q2686" s="194">
        <v>0</v>
      </c>
      <c r="R2686" s="194">
        <v>0</v>
      </c>
      <c r="S2686" s="193">
        <f t="shared" si="580"/>
        <v>0</v>
      </c>
      <c r="T2686" s="193">
        <f t="shared" si="581"/>
        <v>0</v>
      </c>
      <c r="U2686" s="193">
        <f ca="1">OFFSET('Expenditure Study'!$B$7,'Operations Support'!$C2686,'Operations Support'!$B2686)*$G2686</f>
        <v>0</v>
      </c>
      <c r="V2686" s="199">
        <f ca="1">U2686*'Expenditure Study'!$B$31</f>
        <v>0</v>
      </c>
      <c r="W2686" s="199">
        <f ca="1">IF(A2686=10298,1.51,1)*IF($B2686&lt;3,$D2686*'Expenditure Study'!$B$32*OFFSET('Expenditure Study'!$B$7,'Operations Support'!$C2686,'Operations Support'!$B2686),0)</f>
        <v>0</v>
      </c>
      <c r="X2686" s="200">
        <f ca="1">W2686*'Expenditure Study'!$B$31</f>
        <v>0</v>
      </c>
      <c r="Y2686" s="199">
        <f ca="1">U2686*'Expenditure Study'!$B$31</f>
        <v>0</v>
      </c>
      <c r="Z2686" s="200">
        <f ca="1">W2686*'Expenditure Study'!$B$31</f>
        <v>0</v>
      </c>
      <c r="AA2686" s="195">
        <f t="shared" ca="1" si="582"/>
        <v>0</v>
      </c>
      <c r="AB2686" s="195">
        <f t="shared" ca="1" si="583"/>
        <v>0</v>
      </c>
      <c r="AD2686" s="196">
        <f>IFERROR($G2686/SUMIF($A:$A,$A2686,$G:$G)*SUMIF(Summary!$A$166:$A$242,$A2686,Summary!$P$166:$P$242),0)</f>
        <v>0</v>
      </c>
      <c r="AE2686" s="197">
        <f t="shared" ca="1" si="584"/>
        <v>0</v>
      </c>
      <c r="AF2686" s="196">
        <f>IFERROR(G2686/SUMIF(A:A,A2686,G:G)*SUMIF(Summary!$A$166:$A$242,'Operations Support'!A2686,Summary!$Q$166:$Q$242),0)</f>
        <v>0</v>
      </c>
      <c r="AG2686" s="196">
        <f t="shared" ca="1" si="585"/>
        <v>0</v>
      </c>
      <c r="AI2686" s="196">
        <f>IFERROR($G2686/SUMIF($A:$A,$A2686,$G:$G)*SUMIF(Summary!$A$247:$A$283,$A2686,Summary!$P$247:$P$283),0)</f>
        <v>0</v>
      </c>
      <c r="AJ2686" s="196">
        <f>IFERROR($G2686/SUMIF($A:$A,$A2686,$G:$G)*(SUMIF(Summary!$A$247:$A$283,$A2686,Summary!$L$247:$L$283)+SUMIF(Summary!$A$297:$A$333,$A2686,Summary!$L$297:$L$333))-AI2686,0)</f>
        <v>0</v>
      </c>
      <c r="AK2686" s="196">
        <f>IFERROR($G2686/SUMIF($A:$A,$A2686,$G:$G)*SUMIF(Summary!$A$247:$A$283,$A2686,Summary!$Q$247:$Q$283),0)</f>
        <v>0</v>
      </c>
      <c r="AL2686" s="196">
        <f>IFERROR($G2686/SUMIF($A:$A,$A2686,$G:$G)*(SUMIF(Summary!$A$247:$A$283,$A2686,Summary!$L$247:$L$283)+SUMIF(Summary!$A$297:$A$333,$A2686,Summary!$L$297:$L$333))-AK2686,0)</f>
        <v>0</v>
      </c>
      <c r="AM2686" s="198"/>
      <c r="AN2686" s="196">
        <f t="shared" ca="1" si="586"/>
        <v>0</v>
      </c>
      <c r="AO2686" s="196">
        <f t="shared" ca="1" si="587"/>
        <v>0</v>
      </c>
    </row>
    <row r="2687" spans="1:41">
      <c r="A2687" s="189">
        <v>9930</v>
      </c>
      <c r="B2687" s="190">
        <v>3</v>
      </c>
      <c r="C2687" s="191" t="s">
        <v>235</v>
      </c>
      <c r="D2687" s="192">
        <f t="shared" si="574"/>
        <v>4857</v>
      </c>
      <c r="E2687" s="192">
        <f t="shared" si="575"/>
        <v>1818</v>
      </c>
      <c r="F2687" s="192">
        <f t="shared" si="576"/>
        <v>0</v>
      </c>
      <c r="G2687" s="193">
        <f t="shared" si="577"/>
        <v>6675</v>
      </c>
      <c r="H2687" s="194">
        <v>1473</v>
      </c>
      <c r="I2687" s="194">
        <v>831</v>
      </c>
      <c r="J2687" s="194">
        <v>0</v>
      </c>
      <c r="K2687" s="193">
        <f t="shared" si="578"/>
        <v>2304</v>
      </c>
      <c r="L2687" s="194">
        <v>1002</v>
      </c>
      <c r="M2687" s="194">
        <v>555</v>
      </c>
      <c r="N2687" s="194">
        <v>0</v>
      </c>
      <c r="O2687" s="193">
        <f t="shared" si="579"/>
        <v>1557</v>
      </c>
      <c r="P2687" s="194">
        <v>2382</v>
      </c>
      <c r="Q2687" s="194">
        <v>432</v>
      </c>
      <c r="R2687" s="194">
        <v>0</v>
      </c>
      <c r="S2687" s="193">
        <f t="shared" si="580"/>
        <v>2814</v>
      </c>
      <c r="T2687" s="193">
        <f t="shared" si="581"/>
        <v>278.125</v>
      </c>
      <c r="U2687" s="193">
        <f ca="1">OFFSET('Expenditure Study'!$B$7,'Operations Support'!$C2687,'Operations Support'!$B2687)*$G2687</f>
        <v>21093</v>
      </c>
      <c r="V2687" s="199">
        <f ca="1">U2687*'Expenditure Study'!$B$31</f>
        <v>1246241.5326143999</v>
      </c>
      <c r="W2687" s="199">
        <f ca="1">IF(A2687=10298,1.51,1)*IF($B2687&lt;3,$D2687*'Expenditure Study'!$B$32*OFFSET('Expenditure Study'!$B$7,'Operations Support'!$C2687,'Operations Support'!$B2687),0)</f>
        <v>0</v>
      </c>
      <c r="X2687" s="200">
        <f ca="1">W2687*'Expenditure Study'!$B$31</f>
        <v>0</v>
      </c>
      <c r="Y2687" s="199">
        <f ca="1">U2687*'Expenditure Study'!$B$31</f>
        <v>1246241.5326143999</v>
      </c>
      <c r="Z2687" s="200">
        <f ca="1">W2687*'Expenditure Study'!$B$31</f>
        <v>0</v>
      </c>
      <c r="AA2687" s="195">
        <f t="shared" ca="1" si="582"/>
        <v>1246241.5326143999</v>
      </c>
      <c r="AB2687" s="195">
        <f t="shared" ca="1" si="583"/>
        <v>1246241.5326143999</v>
      </c>
      <c r="AD2687" s="196">
        <f>IFERROR($G2687/SUMIF($A:$A,$A2687,$G:$G)*SUMIF(Summary!$A$166:$A$242,$A2687,Summary!$P$166:$P$242),0)</f>
        <v>258576.99101585409</v>
      </c>
      <c r="AE2687" s="197">
        <f t="shared" ca="1" si="584"/>
        <v>987664.54159854585</v>
      </c>
      <c r="AF2687" s="196">
        <f>IFERROR(G2687/SUMIF(A:A,A2687,G:G)*SUMIF(Summary!$A$166:$A$242,'Operations Support'!A2687,Summary!$Q$166:$Q$242),0)</f>
        <v>258834.04491451092</v>
      </c>
      <c r="AG2687" s="196">
        <f t="shared" ca="1" si="585"/>
        <v>987407.487699889</v>
      </c>
      <c r="AI2687" s="196">
        <f>IFERROR($G2687/SUMIF($A:$A,$A2687,$G:$G)*SUMIF(Summary!$A$247:$A$283,$A2687,Summary!$P$247:$P$283),0)</f>
        <v>47157.990444409246</v>
      </c>
      <c r="AJ2687" s="196">
        <f>IFERROR($G2687/SUMIF($A:$A,$A2687,$G:$G)*(SUMIF(Summary!$A$247:$A$283,$A2687,Summary!$L$247:$L$283)+SUMIF(Summary!$A$297:$A$333,$A2687,Summary!$L$297:$L$333))-AI2687,0)</f>
        <v>158520.25390806148</v>
      </c>
      <c r="AK2687" s="196">
        <f>IFERROR($G2687/SUMIF($A:$A,$A2687,$G:$G)*SUMIF(Summary!$A$247:$A$283,$A2687,Summary!$Q$247:$Q$283),0)</f>
        <v>47204.870660815708</v>
      </c>
      <c r="AL2687" s="196">
        <f>IFERROR($G2687/SUMIF($A:$A,$A2687,$G:$G)*(SUMIF(Summary!$A$247:$A$283,$A2687,Summary!$L$247:$L$283)+SUMIF(Summary!$A$297:$A$333,$A2687,Summary!$L$297:$L$333))-AK2687,0)</f>
        <v>158473.37369165503</v>
      </c>
      <c r="AM2687" s="198"/>
      <c r="AN2687" s="196">
        <f t="shared" ca="1" si="586"/>
        <v>1146184.7955066073</v>
      </c>
      <c r="AO2687" s="196">
        <f t="shared" ca="1" si="587"/>
        <v>1145880.8613915441</v>
      </c>
    </row>
    <row r="2688" spans="1:41">
      <c r="A2688" s="189">
        <v>9930</v>
      </c>
      <c r="B2688" s="190">
        <v>3</v>
      </c>
      <c r="C2688" s="191" t="s">
        <v>236</v>
      </c>
      <c r="D2688" s="192">
        <f t="shared" si="574"/>
        <v>0</v>
      </c>
      <c r="E2688" s="192">
        <f t="shared" si="575"/>
        <v>0</v>
      </c>
      <c r="F2688" s="192">
        <f t="shared" si="576"/>
        <v>0</v>
      </c>
      <c r="G2688" s="193">
        <f t="shared" si="577"/>
        <v>0</v>
      </c>
      <c r="H2688" s="194">
        <v>0</v>
      </c>
      <c r="I2688" s="194">
        <v>0</v>
      </c>
      <c r="J2688" s="194">
        <v>0</v>
      </c>
      <c r="K2688" s="193">
        <f t="shared" si="578"/>
        <v>0</v>
      </c>
      <c r="L2688" s="194">
        <v>0</v>
      </c>
      <c r="M2688" s="194">
        <v>0</v>
      </c>
      <c r="N2688" s="194">
        <v>0</v>
      </c>
      <c r="O2688" s="193">
        <f t="shared" si="579"/>
        <v>0</v>
      </c>
      <c r="P2688" s="194">
        <v>0</v>
      </c>
      <c r="Q2688" s="194">
        <v>0</v>
      </c>
      <c r="R2688" s="194">
        <v>0</v>
      </c>
      <c r="S2688" s="193">
        <f t="shared" si="580"/>
        <v>0</v>
      </c>
      <c r="T2688" s="193">
        <f t="shared" si="581"/>
        <v>0</v>
      </c>
      <c r="U2688" s="193">
        <f ca="1">OFFSET('Expenditure Study'!$B$7,'Operations Support'!$C2688,'Operations Support'!$B2688)*$G2688</f>
        <v>0</v>
      </c>
      <c r="V2688" s="199">
        <f ca="1">U2688*'Expenditure Study'!$B$31</f>
        <v>0</v>
      </c>
      <c r="W2688" s="199">
        <f ca="1">IF(A2688=10298,1.51,1)*IF($B2688&lt;3,$D2688*'Expenditure Study'!$B$32*OFFSET('Expenditure Study'!$B$7,'Operations Support'!$C2688,'Operations Support'!$B2688),0)</f>
        <v>0</v>
      </c>
      <c r="X2688" s="200">
        <f ca="1">W2688*'Expenditure Study'!$B$31</f>
        <v>0</v>
      </c>
      <c r="Y2688" s="199">
        <f ca="1">U2688*'Expenditure Study'!$B$31</f>
        <v>0</v>
      </c>
      <c r="Z2688" s="200">
        <f ca="1">W2688*'Expenditure Study'!$B$31</f>
        <v>0</v>
      </c>
      <c r="AA2688" s="195">
        <f t="shared" ca="1" si="582"/>
        <v>0</v>
      </c>
      <c r="AB2688" s="195">
        <f t="shared" ca="1" si="583"/>
        <v>0</v>
      </c>
      <c r="AD2688" s="196">
        <f>IFERROR($G2688/SUMIF($A:$A,$A2688,$G:$G)*SUMIF(Summary!$A$166:$A$242,$A2688,Summary!$P$166:$P$242),0)</f>
        <v>0</v>
      </c>
      <c r="AE2688" s="197">
        <f t="shared" ca="1" si="584"/>
        <v>0</v>
      </c>
      <c r="AF2688" s="196">
        <f>IFERROR(G2688/SUMIF(A:A,A2688,G:G)*SUMIF(Summary!$A$166:$A$242,'Operations Support'!A2688,Summary!$Q$166:$Q$242),0)</f>
        <v>0</v>
      </c>
      <c r="AG2688" s="196">
        <f t="shared" ca="1" si="585"/>
        <v>0</v>
      </c>
      <c r="AI2688" s="196">
        <f>IFERROR($G2688/SUMIF($A:$A,$A2688,$G:$G)*SUMIF(Summary!$A$247:$A$283,$A2688,Summary!$P$247:$P$283),0)</f>
        <v>0</v>
      </c>
      <c r="AJ2688" s="196">
        <f>IFERROR($G2688/SUMIF($A:$A,$A2688,$G:$G)*(SUMIF(Summary!$A$247:$A$283,$A2688,Summary!$L$247:$L$283)+SUMIF(Summary!$A$297:$A$333,$A2688,Summary!$L$297:$L$333))-AI2688,0)</f>
        <v>0</v>
      </c>
      <c r="AK2688" s="196">
        <f>IFERROR($G2688/SUMIF($A:$A,$A2688,$G:$G)*SUMIF(Summary!$A$247:$A$283,$A2688,Summary!$Q$247:$Q$283),0)</f>
        <v>0</v>
      </c>
      <c r="AL2688" s="196">
        <f>IFERROR($G2688/SUMIF($A:$A,$A2688,$G:$G)*(SUMIF(Summary!$A$247:$A$283,$A2688,Summary!$L$247:$L$283)+SUMIF(Summary!$A$297:$A$333,$A2688,Summary!$L$297:$L$333))-AK2688,0)</f>
        <v>0</v>
      </c>
      <c r="AM2688" s="198"/>
      <c r="AN2688" s="196">
        <f t="shared" ca="1" si="586"/>
        <v>0</v>
      </c>
      <c r="AO2688" s="196">
        <f t="shared" ca="1" si="587"/>
        <v>0</v>
      </c>
    </row>
    <row r="2689" spans="1:41">
      <c r="A2689" s="189">
        <v>9930</v>
      </c>
      <c r="B2689" s="190">
        <v>3</v>
      </c>
      <c r="C2689" s="191" t="s">
        <v>237</v>
      </c>
      <c r="D2689" s="192">
        <f t="shared" si="574"/>
        <v>0</v>
      </c>
      <c r="E2689" s="192">
        <f t="shared" si="575"/>
        <v>0</v>
      </c>
      <c r="F2689" s="192">
        <f t="shared" si="576"/>
        <v>0</v>
      </c>
      <c r="G2689" s="193">
        <f t="shared" si="577"/>
        <v>0</v>
      </c>
      <c r="H2689" s="194">
        <v>0</v>
      </c>
      <c r="I2689" s="194">
        <v>0</v>
      </c>
      <c r="J2689" s="194">
        <v>0</v>
      </c>
      <c r="K2689" s="193">
        <f t="shared" si="578"/>
        <v>0</v>
      </c>
      <c r="L2689" s="194">
        <v>0</v>
      </c>
      <c r="M2689" s="194">
        <v>0</v>
      </c>
      <c r="N2689" s="194">
        <v>0</v>
      </c>
      <c r="O2689" s="193">
        <f t="shared" si="579"/>
        <v>0</v>
      </c>
      <c r="P2689" s="194">
        <v>0</v>
      </c>
      <c r="Q2689" s="194">
        <v>0</v>
      </c>
      <c r="R2689" s="194">
        <v>0</v>
      </c>
      <c r="S2689" s="193">
        <f t="shared" si="580"/>
        <v>0</v>
      </c>
      <c r="T2689" s="193">
        <f t="shared" si="581"/>
        <v>0</v>
      </c>
      <c r="U2689" s="193">
        <f ca="1">OFFSET('Expenditure Study'!$B$7,'Operations Support'!$C2689,'Operations Support'!$B2689)*$G2689</f>
        <v>0</v>
      </c>
      <c r="V2689" s="199">
        <f ca="1">U2689*'Expenditure Study'!$B$31</f>
        <v>0</v>
      </c>
      <c r="W2689" s="199">
        <f ca="1">IF(A2689=10298,1.51,1)*IF($B2689&lt;3,$D2689*'Expenditure Study'!$B$32*OFFSET('Expenditure Study'!$B$7,'Operations Support'!$C2689,'Operations Support'!$B2689),0)</f>
        <v>0</v>
      </c>
      <c r="X2689" s="200">
        <f ca="1">W2689*'Expenditure Study'!$B$31</f>
        <v>0</v>
      </c>
      <c r="Y2689" s="199">
        <f ca="1">U2689*'Expenditure Study'!$B$31</f>
        <v>0</v>
      </c>
      <c r="Z2689" s="200">
        <f ca="1">W2689*'Expenditure Study'!$B$31</f>
        <v>0</v>
      </c>
      <c r="AA2689" s="195">
        <f t="shared" ca="1" si="582"/>
        <v>0</v>
      </c>
      <c r="AB2689" s="195">
        <f t="shared" ca="1" si="583"/>
        <v>0</v>
      </c>
      <c r="AD2689" s="196">
        <f>IFERROR($G2689/SUMIF($A:$A,$A2689,$G:$G)*SUMIF(Summary!$A$166:$A$242,$A2689,Summary!$P$166:$P$242),0)</f>
        <v>0</v>
      </c>
      <c r="AE2689" s="197">
        <f t="shared" ca="1" si="584"/>
        <v>0</v>
      </c>
      <c r="AF2689" s="196">
        <f>IFERROR(G2689/SUMIF(A:A,A2689,G:G)*SUMIF(Summary!$A$166:$A$242,'Operations Support'!A2689,Summary!$Q$166:$Q$242),0)</f>
        <v>0</v>
      </c>
      <c r="AG2689" s="196">
        <f t="shared" ca="1" si="585"/>
        <v>0</v>
      </c>
      <c r="AI2689" s="196">
        <f>IFERROR($G2689/SUMIF($A:$A,$A2689,$G:$G)*SUMIF(Summary!$A$247:$A$283,$A2689,Summary!$P$247:$P$283),0)</f>
        <v>0</v>
      </c>
      <c r="AJ2689" s="196">
        <f>IFERROR($G2689/SUMIF($A:$A,$A2689,$G:$G)*(SUMIF(Summary!$A$247:$A$283,$A2689,Summary!$L$247:$L$283)+SUMIF(Summary!$A$297:$A$333,$A2689,Summary!$L$297:$L$333))-AI2689,0)</f>
        <v>0</v>
      </c>
      <c r="AK2689" s="196">
        <f>IFERROR($G2689/SUMIF($A:$A,$A2689,$G:$G)*SUMIF(Summary!$A$247:$A$283,$A2689,Summary!$Q$247:$Q$283),0)</f>
        <v>0</v>
      </c>
      <c r="AL2689" s="196">
        <f>IFERROR($G2689/SUMIF($A:$A,$A2689,$G:$G)*(SUMIF(Summary!$A$247:$A$283,$A2689,Summary!$L$247:$L$283)+SUMIF(Summary!$A$297:$A$333,$A2689,Summary!$L$297:$L$333))-AK2689,0)</f>
        <v>0</v>
      </c>
      <c r="AM2689" s="198"/>
      <c r="AN2689" s="196">
        <f t="shared" ca="1" si="586"/>
        <v>0</v>
      </c>
      <c r="AO2689" s="196">
        <f t="shared" ca="1" si="587"/>
        <v>0</v>
      </c>
    </row>
    <row r="2690" spans="1:41" s="201" customFormat="1">
      <c r="A2690" s="189">
        <v>9930</v>
      </c>
      <c r="B2690" s="190">
        <v>3</v>
      </c>
      <c r="C2690" s="191" t="s">
        <v>238</v>
      </c>
      <c r="D2690" s="192">
        <f t="shared" si="574"/>
        <v>0</v>
      </c>
      <c r="E2690" s="192">
        <f t="shared" si="575"/>
        <v>0</v>
      </c>
      <c r="F2690" s="192">
        <f t="shared" si="576"/>
        <v>0</v>
      </c>
      <c r="G2690" s="193">
        <f t="shared" si="577"/>
        <v>0</v>
      </c>
      <c r="H2690" s="194">
        <v>0</v>
      </c>
      <c r="I2690" s="194">
        <v>0</v>
      </c>
      <c r="J2690" s="194">
        <v>0</v>
      </c>
      <c r="K2690" s="193">
        <f t="shared" si="578"/>
        <v>0</v>
      </c>
      <c r="L2690" s="194">
        <v>0</v>
      </c>
      <c r="M2690" s="194">
        <v>0</v>
      </c>
      <c r="N2690" s="194">
        <v>0</v>
      </c>
      <c r="O2690" s="193">
        <f t="shared" si="579"/>
        <v>0</v>
      </c>
      <c r="P2690" s="194">
        <v>0</v>
      </c>
      <c r="Q2690" s="194">
        <v>0</v>
      </c>
      <c r="R2690" s="194">
        <v>0</v>
      </c>
      <c r="S2690" s="193">
        <f t="shared" si="580"/>
        <v>0</v>
      </c>
      <c r="T2690" s="193">
        <f t="shared" si="581"/>
        <v>0</v>
      </c>
      <c r="U2690" s="193">
        <f ca="1">OFFSET('Expenditure Study'!$B$7,'Operations Support'!$C2690,'Operations Support'!$B2690)*$G2690</f>
        <v>0</v>
      </c>
      <c r="V2690" s="199">
        <f ca="1">U2690*'Expenditure Study'!$B$31</f>
        <v>0</v>
      </c>
      <c r="W2690" s="199">
        <f ca="1">IF(A2690=10298,1.51,1)*IF($B2690&lt;3,$D2690*'Expenditure Study'!$B$32*OFFSET('Expenditure Study'!$B$7,'Operations Support'!$C2690,'Operations Support'!$B2690),0)</f>
        <v>0</v>
      </c>
      <c r="X2690" s="200">
        <f ca="1">W2690*'Expenditure Study'!$B$31</f>
        <v>0</v>
      </c>
      <c r="Y2690" s="199">
        <f ca="1">U2690*'Expenditure Study'!$B$31</f>
        <v>0</v>
      </c>
      <c r="Z2690" s="200">
        <f ca="1">W2690*'Expenditure Study'!$B$31</f>
        <v>0</v>
      </c>
      <c r="AA2690" s="195">
        <f t="shared" ca="1" si="582"/>
        <v>0</v>
      </c>
      <c r="AB2690" s="195">
        <f t="shared" ca="1" si="583"/>
        <v>0</v>
      </c>
      <c r="AD2690" s="196">
        <f>IFERROR($G2690/SUMIF($A:$A,$A2690,$G:$G)*SUMIF(Summary!$A$166:$A$242,$A2690,Summary!$P$166:$P$242),0)</f>
        <v>0</v>
      </c>
      <c r="AE2690" s="197">
        <f t="shared" ca="1" si="584"/>
        <v>0</v>
      </c>
      <c r="AF2690" s="196">
        <f>IFERROR(G2690/SUMIF(A:A,A2690,G:G)*SUMIF(Summary!$A$166:$A$242,'Operations Support'!A2690,Summary!$Q$166:$Q$242),0)</f>
        <v>0</v>
      </c>
      <c r="AG2690" s="196">
        <f t="shared" ca="1" si="585"/>
        <v>0</v>
      </c>
      <c r="AH2690" s="180"/>
      <c r="AI2690" s="196">
        <f>IFERROR($G2690/SUMIF($A:$A,$A2690,$G:$G)*SUMIF(Summary!$A$247:$A$283,$A2690,Summary!$P$247:$P$283),0)</f>
        <v>0</v>
      </c>
      <c r="AJ2690" s="196">
        <f>IFERROR($G2690/SUMIF($A:$A,$A2690,$G:$G)*(SUMIF(Summary!$A$247:$A$283,$A2690,Summary!$L$247:$L$283)+SUMIF(Summary!$A$297:$A$333,$A2690,Summary!$L$297:$L$333))-AI2690,0)</f>
        <v>0</v>
      </c>
      <c r="AK2690" s="196">
        <f>IFERROR($G2690/SUMIF($A:$A,$A2690,$G:$G)*SUMIF(Summary!$A$247:$A$283,$A2690,Summary!$Q$247:$Q$283),0)</f>
        <v>0</v>
      </c>
      <c r="AL2690" s="196">
        <f>IFERROR($G2690/SUMIF($A:$A,$A2690,$G:$G)*(SUMIF(Summary!$A$247:$A$283,$A2690,Summary!$L$247:$L$283)+SUMIF(Summary!$A$297:$A$333,$A2690,Summary!$L$297:$L$333))-AK2690,0)</f>
        <v>0</v>
      </c>
      <c r="AM2690" s="198"/>
      <c r="AN2690" s="196">
        <f t="shared" ca="1" si="586"/>
        <v>0</v>
      </c>
      <c r="AO2690" s="196">
        <f t="shared" ca="1" si="587"/>
        <v>0</v>
      </c>
    </row>
    <row r="2691" spans="1:41">
      <c r="A2691" s="189">
        <v>9930</v>
      </c>
      <c r="B2691" s="190">
        <v>3</v>
      </c>
      <c r="C2691" s="191" t="s">
        <v>239</v>
      </c>
      <c r="D2691" s="192">
        <f t="shared" si="574"/>
        <v>0</v>
      </c>
      <c r="E2691" s="192">
        <f t="shared" si="575"/>
        <v>0</v>
      </c>
      <c r="F2691" s="192">
        <f t="shared" si="576"/>
        <v>0</v>
      </c>
      <c r="G2691" s="193">
        <f t="shared" si="577"/>
        <v>0</v>
      </c>
      <c r="H2691" s="194">
        <v>0</v>
      </c>
      <c r="I2691" s="194">
        <v>0</v>
      </c>
      <c r="J2691" s="194">
        <v>0</v>
      </c>
      <c r="K2691" s="193">
        <f t="shared" si="578"/>
        <v>0</v>
      </c>
      <c r="L2691" s="194">
        <v>0</v>
      </c>
      <c r="M2691" s="194">
        <v>0</v>
      </c>
      <c r="N2691" s="194">
        <v>0</v>
      </c>
      <c r="O2691" s="193">
        <f t="shared" si="579"/>
        <v>0</v>
      </c>
      <c r="P2691" s="194">
        <v>0</v>
      </c>
      <c r="Q2691" s="194">
        <v>0</v>
      </c>
      <c r="R2691" s="194">
        <v>0</v>
      </c>
      <c r="S2691" s="193">
        <f t="shared" si="580"/>
        <v>0</v>
      </c>
      <c r="T2691" s="193">
        <f t="shared" si="581"/>
        <v>0</v>
      </c>
      <c r="U2691" s="193">
        <f ca="1">OFFSET('Expenditure Study'!$B$7,'Operations Support'!$C2691,'Operations Support'!$B2691)*$G2691</f>
        <v>0</v>
      </c>
      <c r="V2691" s="199">
        <f ca="1">U2691*'Expenditure Study'!$B$31</f>
        <v>0</v>
      </c>
      <c r="W2691" s="199">
        <f ca="1">IF(A2691=10298,1.51,1)*IF($B2691&lt;3,$D2691*'Expenditure Study'!$B$32*OFFSET('Expenditure Study'!$B$7,'Operations Support'!$C2691,'Operations Support'!$B2691),0)</f>
        <v>0</v>
      </c>
      <c r="X2691" s="200">
        <f ca="1">W2691*'Expenditure Study'!$B$31</f>
        <v>0</v>
      </c>
      <c r="Y2691" s="199">
        <f ca="1">U2691*'Expenditure Study'!$B$31</f>
        <v>0</v>
      </c>
      <c r="Z2691" s="200">
        <f ca="1">W2691*'Expenditure Study'!$B$31</f>
        <v>0</v>
      </c>
      <c r="AA2691" s="195">
        <f t="shared" ca="1" si="582"/>
        <v>0</v>
      </c>
      <c r="AB2691" s="195">
        <f t="shared" ca="1" si="583"/>
        <v>0</v>
      </c>
      <c r="AD2691" s="196">
        <f>IFERROR($G2691/SUMIF($A:$A,$A2691,$G:$G)*SUMIF(Summary!$A$166:$A$242,$A2691,Summary!$P$166:$P$242),0)</f>
        <v>0</v>
      </c>
      <c r="AE2691" s="197">
        <f t="shared" ca="1" si="584"/>
        <v>0</v>
      </c>
      <c r="AF2691" s="196">
        <f>IFERROR(G2691/SUMIF(A:A,A2691,G:G)*SUMIF(Summary!$A$166:$A$242,'Operations Support'!A2691,Summary!$Q$166:$Q$242),0)</f>
        <v>0</v>
      </c>
      <c r="AG2691" s="196">
        <f t="shared" ca="1" si="585"/>
        <v>0</v>
      </c>
      <c r="AI2691" s="196">
        <f>IFERROR($G2691/SUMIF($A:$A,$A2691,$G:$G)*SUMIF(Summary!$A$247:$A$283,$A2691,Summary!$P$247:$P$283),0)</f>
        <v>0</v>
      </c>
      <c r="AJ2691" s="196">
        <f>IFERROR($G2691/SUMIF($A:$A,$A2691,$G:$G)*(SUMIF(Summary!$A$247:$A$283,$A2691,Summary!$L$247:$L$283)+SUMIF(Summary!$A$297:$A$333,$A2691,Summary!$L$297:$L$333))-AI2691,0)</f>
        <v>0</v>
      </c>
      <c r="AK2691" s="196">
        <f>IFERROR($G2691/SUMIF($A:$A,$A2691,$G:$G)*SUMIF(Summary!$A$247:$A$283,$A2691,Summary!$Q$247:$Q$283),0)</f>
        <v>0</v>
      </c>
      <c r="AL2691" s="196">
        <f>IFERROR($G2691/SUMIF($A:$A,$A2691,$G:$G)*(SUMIF(Summary!$A$247:$A$283,$A2691,Summary!$L$247:$L$283)+SUMIF(Summary!$A$297:$A$333,$A2691,Summary!$L$297:$L$333))-AK2691,0)</f>
        <v>0</v>
      </c>
      <c r="AM2691" s="198"/>
      <c r="AN2691" s="196">
        <f t="shared" ca="1" si="586"/>
        <v>0</v>
      </c>
      <c r="AO2691" s="196">
        <f t="shared" ca="1" si="587"/>
        <v>0</v>
      </c>
    </row>
    <row r="2692" spans="1:41">
      <c r="A2692" s="189">
        <v>9930</v>
      </c>
      <c r="B2692" s="190">
        <v>3</v>
      </c>
      <c r="C2692" s="191" t="s">
        <v>240</v>
      </c>
      <c r="D2692" s="192">
        <f t="shared" si="574"/>
        <v>0</v>
      </c>
      <c r="E2692" s="192">
        <f t="shared" si="575"/>
        <v>0</v>
      </c>
      <c r="F2692" s="192">
        <f t="shared" si="576"/>
        <v>0</v>
      </c>
      <c r="G2692" s="193">
        <f t="shared" si="577"/>
        <v>0</v>
      </c>
      <c r="H2692" s="194">
        <v>0</v>
      </c>
      <c r="I2692" s="194">
        <v>0</v>
      </c>
      <c r="J2692" s="194">
        <v>0</v>
      </c>
      <c r="K2692" s="193">
        <f t="shared" si="578"/>
        <v>0</v>
      </c>
      <c r="L2692" s="194">
        <v>0</v>
      </c>
      <c r="M2692" s="194">
        <v>0</v>
      </c>
      <c r="N2692" s="194">
        <v>0</v>
      </c>
      <c r="O2692" s="193">
        <f t="shared" si="579"/>
        <v>0</v>
      </c>
      <c r="P2692" s="194">
        <v>0</v>
      </c>
      <c r="Q2692" s="194">
        <v>0</v>
      </c>
      <c r="R2692" s="194">
        <v>0</v>
      </c>
      <c r="S2692" s="193">
        <f t="shared" si="580"/>
        <v>0</v>
      </c>
      <c r="T2692" s="193">
        <f t="shared" si="581"/>
        <v>0</v>
      </c>
      <c r="U2692" s="193">
        <f ca="1">OFFSET('Expenditure Study'!$B$7,'Operations Support'!$C2692,'Operations Support'!$B2692)*$G2692</f>
        <v>0</v>
      </c>
      <c r="V2692" s="199">
        <f ca="1">U2692*'Expenditure Study'!$B$31</f>
        <v>0</v>
      </c>
      <c r="W2692" s="199">
        <f ca="1">IF(A2692=10298,1.51,1)*IF($B2692&lt;3,$D2692*'Expenditure Study'!$B$32*OFFSET('Expenditure Study'!$B$7,'Operations Support'!$C2692,'Operations Support'!$B2692),0)</f>
        <v>0</v>
      </c>
      <c r="X2692" s="200">
        <f ca="1">W2692*'Expenditure Study'!$B$31</f>
        <v>0</v>
      </c>
      <c r="Y2692" s="199">
        <f ca="1">U2692*'Expenditure Study'!$B$31</f>
        <v>0</v>
      </c>
      <c r="Z2692" s="200">
        <f ca="1">W2692*'Expenditure Study'!$B$31</f>
        <v>0</v>
      </c>
      <c r="AA2692" s="195">
        <f t="shared" ca="1" si="582"/>
        <v>0</v>
      </c>
      <c r="AB2692" s="195">
        <f t="shared" ca="1" si="583"/>
        <v>0</v>
      </c>
      <c r="AD2692" s="196">
        <f>IFERROR($G2692/SUMIF($A:$A,$A2692,$G:$G)*SUMIF(Summary!$A$166:$A$242,$A2692,Summary!$P$166:$P$242),0)</f>
        <v>0</v>
      </c>
      <c r="AE2692" s="197">
        <f t="shared" ca="1" si="584"/>
        <v>0</v>
      </c>
      <c r="AF2692" s="196">
        <f>IFERROR(G2692/SUMIF(A:A,A2692,G:G)*SUMIF(Summary!$A$166:$A$242,'Operations Support'!A2692,Summary!$Q$166:$Q$242),0)</f>
        <v>0</v>
      </c>
      <c r="AG2692" s="196">
        <f t="shared" ca="1" si="585"/>
        <v>0</v>
      </c>
      <c r="AI2692" s="196">
        <f>IFERROR($G2692/SUMIF($A:$A,$A2692,$G:$G)*SUMIF(Summary!$A$247:$A$283,$A2692,Summary!$P$247:$P$283),0)</f>
        <v>0</v>
      </c>
      <c r="AJ2692" s="196">
        <f>IFERROR($G2692/SUMIF($A:$A,$A2692,$G:$G)*(SUMIF(Summary!$A$247:$A$283,$A2692,Summary!$L$247:$L$283)+SUMIF(Summary!$A$297:$A$333,$A2692,Summary!$L$297:$L$333))-AI2692,0)</f>
        <v>0</v>
      </c>
      <c r="AK2692" s="196">
        <f>IFERROR($G2692/SUMIF($A:$A,$A2692,$G:$G)*SUMIF(Summary!$A$247:$A$283,$A2692,Summary!$Q$247:$Q$283),0)</f>
        <v>0</v>
      </c>
      <c r="AL2692" s="196">
        <f>IFERROR($G2692/SUMIF($A:$A,$A2692,$G:$G)*(SUMIF(Summary!$A$247:$A$283,$A2692,Summary!$L$247:$L$283)+SUMIF(Summary!$A$297:$A$333,$A2692,Summary!$L$297:$L$333))-AK2692,0)</f>
        <v>0</v>
      </c>
      <c r="AM2692" s="198"/>
      <c r="AN2692" s="196">
        <f t="shared" ca="1" si="586"/>
        <v>0</v>
      </c>
      <c r="AO2692" s="196">
        <f t="shared" ca="1" si="587"/>
        <v>0</v>
      </c>
    </row>
    <row r="2693" spans="1:41">
      <c r="A2693" s="189">
        <v>9930</v>
      </c>
      <c r="B2693" s="190">
        <v>4</v>
      </c>
      <c r="C2693" s="191" t="s">
        <v>220</v>
      </c>
      <c r="D2693" s="192">
        <f t="shared" ref="D2693:D2756" si="588">H2693+L2693+P2693</f>
        <v>0</v>
      </c>
      <c r="E2693" s="192">
        <f t="shared" ref="E2693:E2756" si="589">I2693+M2693+Q2693</f>
        <v>0</v>
      </c>
      <c r="F2693" s="192">
        <f t="shared" ref="F2693:F2756" si="590">J2693+N2693+R2693</f>
        <v>0</v>
      </c>
      <c r="G2693" s="193">
        <f t="shared" ref="G2693:G2756" si="591">(SUM(D2693:E2693)-F2693)*IF(A2693=10298,1.51,1)</f>
        <v>0</v>
      </c>
      <c r="H2693" s="194">
        <v>0</v>
      </c>
      <c r="I2693" s="194">
        <v>0</v>
      </c>
      <c r="J2693" s="194">
        <v>0</v>
      </c>
      <c r="K2693" s="193">
        <f t="shared" ref="K2693:K2756" si="592">SUM(H2693:I2693)-J2693</f>
        <v>0</v>
      </c>
      <c r="L2693" s="194">
        <v>0</v>
      </c>
      <c r="M2693" s="194">
        <v>0</v>
      </c>
      <c r="N2693" s="194">
        <v>0</v>
      </c>
      <c r="O2693" s="193">
        <f t="shared" ref="O2693:O2756" si="593">SUM(L2693:M2693)-N2693</f>
        <v>0</v>
      </c>
      <c r="P2693" s="194">
        <v>0</v>
      </c>
      <c r="Q2693" s="194">
        <v>0</v>
      </c>
      <c r="R2693" s="194">
        <v>0</v>
      </c>
      <c r="S2693" s="193">
        <f t="shared" ref="S2693:S2756" si="594">SUM(P2693:Q2693)-R2693</f>
        <v>0</v>
      </c>
      <c r="T2693" s="193">
        <f t="shared" ref="T2693:T2756" si="595">IF(OR(B2693=1,B2693=2),G2693/30,IF(OR(B2693=3,B2693=5),G2693/24,IF(B2693=4,G2693/18,0)))</f>
        <v>0</v>
      </c>
      <c r="U2693" s="193">
        <f ca="1">OFFSET('Expenditure Study'!$B$7,'Operations Support'!$C2693,'Operations Support'!$B2693)*$G2693</f>
        <v>0</v>
      </c>
      <c r="V2693" s="199">
        <f ca="1">U2693*'Expenditure Study'!$B$31</f>
        <v>0</v>
      </c>
      <c r="W2693" s="199">
        <f ca="1">IF(A2693=10298,1.51,1)*IF($B2693&lt;3,$D2693*'Expenditure Study'!$B$32*OFFSET('Expenditure Study'!$B$7,'Operations Support'!$C2693,'Operations Support'!$B2693),0)</f>
        <v>0</v>
      </c>
      <c r="X2693" s="200">
        <f ca="1">W2693*'Expenditure Study'!$B$31</f>
        <v>0</v>
      </c>
      <c r="Y2693" s="199">
        <f ca="1">U2693*'Expenditure Study'!$B$31</f>
        <v>0</v>
      </c>
      <c r="Z2693" s="200">
        <f ca="1">W2693*'Expenditure Study'!$B$31</f>
        <v>0</v>
      </c>
      <c r="AA2693" s="195">
        <f t="shared" ref="AA2693:AA2756" ca="1" si="596">V2693+X2693</f>
        <v>0</v>
      </c>
      <c r="AB2693" s="195">
        <f t="shared" ref="AB2693:AB2756" ca="1" si="597">Y2693+Z2693</f>
        <v>0</v>
      </c>
      <c r="AD2693" s="196">
        <f>IFERROR($G2693/SUMIF($A:$A,$A2693,$G:$G)*SUMIF(Summary!$A$166:$A$242,$A2693,Summary!$P$166:$P$242),0)</f>
        <v>0</v>
      </c>
      <c r="AE2693" s="197">
        <f t="shared" ca="1" si="584"/>
        <v>0</v>
      </c>
      <c r="AF2693" s="196">
        <f>IFERROR(G2693/SUMIF(A:A,A2693,G:G)*SUMIF(Summary!$A$166:$A$242,'Operations Support'!A2693,Summary!$Q$166:$Q$242),0)</f>
        <v>0</v>
      </c>
      <c r="AG2693" s="196">
        <f t="shared" ca="1" si="585"/>
        <v>0</v>
      </c>
      <c r="AI2693" s="196">
        <f>IFERROR($G2693/SUMIF($A:$A,$A2693,$G:$G)*SUMIF(Summary!$A$247:$A$283,$A2693,Summary!$P$247:$P$283),0)</f>
        <v>0</v>
      </c>
      <c r="AJ2693" s="196">
        <f>IFERROR($G2693/SUMIF($A:$A,$A2693,$G:$G)*(SUMIF(Summary!$A$247:$A$283,$A2693,Summary!$L$247:$L$283)+SUMIF(Summary!$A$297:$A$333,$A2693,Summary!$L$297:$L$333))-AI2693,0)</f>
        <v>0</v>
      </c>
      <c r="AK2693" s="196">
        <f>IFERROR($G2693/SUMIF($A:$A,$A2693,$G:$G)*SUMIF(Summary!$A$247:$A$283,$A2693,Summary!$Q$247:$Q$283),0)</f>
        <v>0</v>
      </c>
      <c r="AL2693" s="196">
        <f>IFERROR($G2693/SUMIF($A:$A,$A2693,$G:$G)*(SUMIF(Summary!$A$247:$A$283,$A2693,Summary!$L$247:$L$283)+SUMIF(Summary!$A$297:$A$333,$A2693,Summary!$L$297:$L$333))-AK2693,0)</f>
        <v>0</v>
      </c>
      <c r="AM2693" s="198"/>
      <c r="AN2693" s="196">
        <f t="shared" ca="1" si="586"/>
        <v>0</v>
      </c>
      <c r="AO2693" s="196">
        <f t="shared" ca="1" si="587"/>
        <v>0</v>
      </c>
    </row>
    <row r="2694" spans="1:41">
      <c r="A2694" s="189">
        <v>9930</v>
      </c>
      <c r="B2694" s="190">
        <v>4</v>
      </c>
      <c r="C2694" s="191" t="s">
        <v>221</v>
      </c>
      <c r="D2694" s="192">
        <f t="shared" si="588"/>
        <v>0</v>
      </c>
      <c r="E2694" s="192">
        <f t="shared" si="589"/>
        <v>0</v>
      </c>
      <c r="F2694" s="192">
        <f t="shared" si="590"/>
        <v>0</v>
      </c>
      <c r="G2694" s="193">
        <f t="shared" si="591"/>
        <v>0</v>
      </c>
      <c r="H2694" s="194">
        <v>0</v>
      </c>
      <c r="I2694" s="194">
        <v>0</v>
      </c>
      <c r="J2694" s="194">
        <v>0</v>
      </c>
      <c r="K2694" s="193">
        <f t="shared" si="592"/>
        <v>0</v>
      </c>
      <c r="L2694" s="194">
        <v>0</v>
      </c>
      <c r="M2694" s="194">
        <v>0</v>
      </c>
      <c r="N2694" s="194">
        <v>0</v>
      </c>
      <c r="O2694" s="193">
        <f t="shared" si="593"/>
        <v>0</v>
      </c>
      <c r="P2694" s="194">
        <v>0</v>
      </c>
      <c r="Q2694" s="194">
        <v>0</v>
      </c>
      <c r="R2694" s="194">
        <v>0</v>
      </c>
      <c r="S2694" s="193">
        <f t="shared" si="594"/>
        <v>0</v>
      </c>
      <c r="T2694" s="193">
        <f t="shared" si="595"/>
        <v>0</v>
      </c>
      <c r="U2694" s="193">
        <f ca="1">OFFSET('Expenditure Study'!$B$7,'Operations Support'!$C2694,'Operations Support'!$B2694)*$G2694</f>
        <v>0</v>
      </c>
      <c r="V2694" s="199">
        <f ca="1">U2694*'Expenditure Study'!$B$31</f>
        <v>0</v>
      </c>
      <c r="W2694" s="199">
        <f ca="1">IF(A2694=10298,1.51,1)*IF($B2694&lt;3,$D2694*'Expenditure Study'!$B$32*OFFSET('Expenditure Study'!$B$7,'Operations Support'!$C2694,'Operations Support'!$B2694),0)</f>
        <v>0</v>
      </c>
      <c r="X2694" s="200">
        <f ca="1">W2694*'Expenditure Study'!$B$31</f>
        <v>0</v>
      </c>
      <c r="Y2694" s="199">
        <f ca="1">U2694*'Expenditure Study'!$B$31</f>
        <v>0</v>
      </c>
      <c r="Z2694" s="200">
        <f ca="1">W2694*'Expenditure Study'!$B$31</f>
        <v>0</v>
      </c>
      <c r="AA2694" s="195">
        <f t="shared" ca="1" si="596"/>
        <v>0</v>
      </c>
      <c r="AB2694" s="195">
        <f t="shared" ca="1" si="597"/>
        <v>0</v>
      </c>
      <c r="AD2694" s="196">
        <f>IFERROR($G2694/SUMIF($A:$A,$A2694,$G:$G)*SUMIF(Summary!$A$166:$A$242,$A2694,Summary!$P$166:$P$242),0)</f>
        <v>0</v>
      </c>
      <c r="AE2694" s="197">
        <f t="shared" ref="AE2694:AE2757" ca="1" si="598">V2694+X2694-AD2694</f>
        <v>0</v>
      </c>
      <c r="AF2694" s="196">
        <f>IFERROR(G2694/SUMIF(A:A,A2694,G:G)*SUMIF(Summary!$A$166:$A$242,'Operations Support'!A2694,Summary!$Q$166:$Q$242),0)</f>
        <v>0</v>
      </c>
      <c r="AG2694" s="196">
        <f t="shared" ref="AG2694:AG2757" ca="1" si="599">Y2694+Z2694-AF2694</f>
        <v>0</v>
      </c>
      <c r="AI2694" s="196">
        <f>IFERROR($G2694/SUMIF($A:$A,$A2694,$G:$G)*SUMIF(Summary!$A$247:$A$283,$A2694,Summary!$P$247:$P$283),0)</f>
        <v>0</v>
      </c>
      <c r="AJ2694" s="196">
        <f>IFERROR($G2694/SUMIF($A:$A,$A2694,$G:$G)*(SUMIF(Summary!$A$247:$A$283,$A2694,Summary!$L$247:$L$283)+SUMIF(Summary!$A$297:$A$333,$A2694,Summary!$L$297:$L$333))-AI2694,0)</f>
        <v>0</v>
      </c>
      <c r="AK2694" s="196">
        <f>IFERROR($G2694/SUMIF($A:$A,$A2694,$G:$G)*SUMIF(Summary!$A$247:$A$283,$A2694,Summary!$Q$247:$Q$283),0)</f>
        <v>0</v>
      </c>
      <c r="AL2694" s="196">
        <f>IFERROR($G2694/SUMIF($A:$A,$A2694,$G:$G)*(SUMIF(Summary!$A$247:$A$283,$A2694,Summary!$L$247:$L$283)+SUMIF(Summary!$A$297:$A$333,$A2694,Summary!$L$297:$L$333))-AK2694,0)</f>
        <v>0</v>
      </c>
      <c r="AM2694" s="198"/>
      <c r="AN2694" s="196">
        <f t="shared" ref="AN2694:AN2757" ca="1" si="600">AE2694+AJ2694</f>
        <v>0</v>
      </c>
      <c r="AO2694" s="196">
        <f t="shared" ref="AO2694:AO2757" ca="1" si="601">AG2694+AL2694</f>
        <v>0</v>
      </c>
    </row>
    <row r="2695" spans="1:41">
      <c r="A2695" s="189">
        <v>9930</v>
      </c>
      <c r="B2695" s="190">
        <v>4</v>
      </c>
      <c r="C2695" s="191" t="s">
        <v>222</v>
      </c>
      <c r="D2695" s="192">
        <f t="shared" si="588"/>
        <v>0</v>
      </c>
      <c r="E2695" s="192">
        <f t="shared" si="589"/>
        <v>0</v>
      </c>
      <c r="F2695" s="192">
        <f t="shared" si="590"/>
        <v>0</v>
      </c>
      <c r="G2695" s="193">
        <f t="shared" si="591"/>
        <v>0</v>
      </c>
      <c r="H2695" s="194">
        <v>0</v>
      </c>
      <c r="I2695" s="194">
        <v>0</v>
      </c>
      <c r="J2695" s="194">
        <v>0</v>
      </c>
      <c r="K2695" s="193">
        <f t="shared" si="592"/>
        <v>0</v>
      </c>
      <c r="L2695" s="194">
        <v>0</v>
      </c>
      <c r="M2695" s="194">
        <v>0</v>
      </c>
      <c r="N2695" s="194">
        <v>0</v>
      </c>
      <c r="O2695" s="193">
        <f t="shared" si="593"/>
        <v>0</v>
      </c>
      <c r="P2695" s="194">
        <v>0</v>
      </c>
      <c r="Q2695" s="194">
        <v>0</v>
      </c>
      <c r="R2695" s="194">
        <v>0</v>
      </c>
      <c r="S2695" s="193">
        <f t="shared" si="594"/>
        <v>0</v>
      </c>
      <c r="T2695" s="193">
        <f t="shared" si="595"/>
        <v>0</v>
      </c>
      <c r="U2695" s="193">
        <f ca="1">OFFSET('Expenditure Study'!$B$7,'Operations Support'!$C2695,'Operations Support'!$B2695)*$G2695</f>
        <v>0</v>
      </c>
      <c r="V2695" s="199">
        <f ca="1">U2695*'Expenditure Study'!$B$31</f>
        <v>0</v>
      </c>
      <c r="W2695" s="199">
        <f ca="1">IF(A2695=10298,1.51,1)*IF($B2695&lt;3,$D2695*'Expenditure Study'!$B$32*OFFSET('Expenditure Study'!$B$7,'Operations Support'!$C2695,'Operations Support'!$B2695),0)</f>
        <v>0</v>
      </c>
      <c r="X2695" s="200">
        <f ca="1">W2695*'Expenditure Study'!$B$31</f>
        <v>0</v>
      </c>
      <c r="Y2695" s="199">
        <f ca="1">U2695*'Expenditure Study'!$B$31</f>
        <v>0</v>
      </c>
      <c r="Z2695" s="200">
        <f ca="1">W2695*'Expenditure Study'!$B$31</f>
        <v>0</v>
      </c>
      <c r="AA2695" s="195">
        <f t="shared" ca="1" si="596"/>
        <v>0</v>
      </c>
      <c r="AB2695" s="195">
        <f t="shared" ca="1" si="597"/>
        <v>0</v>
      </c>
      <c r="AD2695" s="196">
        <f>IFERROR($G2695/SUMIF($A:$A,$A2695,$G:$G)*SUMIF(Summary!$A$166:$A$242,$A2695,Summary!$P$166:$P$242),0)</f>
        <v>0</v>
      </c>
      <c r="AE2695" s="197">
        <f t="shared" ca="1" si="598"/>
        <v>0</v>
      </c>
      <c r="AF2695" s="196">
        <f>IFERROR(G2695/SUMIF(A:A,A2695,G:G)*SUMIF(Summary!$A$166:$A$242,'Operations Support'!A2695,Summary!$Q$166:$Q$242),0)</f>
        <v>0</v>
      </c>
      <c r="AG2695" s="196">
        <f t="shared" ca="1" si="599"/>
        <v>0</v>
      </c>
      <c r="AI2695" s="196">
        <f>IFERROR($G2695/SUMIF($A:$A,$A2695,$G:$G)*SUMIF(Summary!$A$247:$A$283,$A2695,Summary!$P$247:$P$283),0)</f>
        <v>0</v>
      </c>
      <c r="AJ2695" s="196">
        <f>IFERROR($G2695/SUMIF($A:$A,$A2695,$G:$G)*(SUMIF(Summary!$A$247:$A$283,$A2695,Summary!$L$247:$L$283)+SUMIF(Summary!$A$297:$A$333,$A2695,Summary!$L$297:$L$333))-AI2695,0)</f>
        <v>0</v>
      </c>
      <c r="AK2695" s="196">
        <f>IFERROR($G2695/SUMIF($A:$A,$A2695,$G:$G)*SUMIF(Summary!$A$247:$A$283,$A2695,Summary!$Q$247:$Q$283),0)</f>
        <v>0</v>
      </c>
      <c r="AL2695" s="196">
        <f>IFERROR($G2695/SUMIF($A:$A,$A2695,$G:$G)*(SUMIF(Summary!$A$247:$A$283,$A2695,Summary!$L$247:$L$283)+SUMIF(Summary!$A$297:$A$333,$A2695,Summary!$L$297:$L$333))-AK2695,0)</f>
        <v>0</v>
      </c>
      <c r="AM2695" s="198"/>
      <c r="AN2695" s="196">
        <f t="shared" ca="1" si="600"/>
        <v>0</v>
      </c>
      <c r="AO2695" s="196">
        <f t="shared" ca="1" si="601"/>
        <v>0</v>
      </c>
    </row>
    <row r="2696" spans="1:41">
      <c r="A2696" s="189">
        <v>9930</v>
      </c>
      <c r="B2696" s="190">
        <v>4</v>
      </c>
      <c r="C2696" s="191" t="s">
        <v>223</v>
      </c>
      <c r="D2696" s="192">
        <f t="shared" si="588"/>
        <v>0</v>
      </c>
      <c r="E2696" s="192">
        <f t="shared" si="589"/>
        <v>0</v>
      </c>
      <c r="F2696" s="192">
        <f t="shared" si="590"/>
        <v>0</v>
      </c>
      <c r="G2696" s="193">
        <f t="shared" si="591"/>
        <v>0</v>
      </c>
      <c r="H2696" s="194">
        <v>0</v>
      </c>
      <c r="I2696" s="194">
        <v>0</v>
      </c>
      <c r="J2696" s="194">
        <v>0</v>
      </c>
      <c r="K2696" s="193">
        <f t="shared" si="592"/>
        <v>0</v>
      </c>
      <c r="L2696" s="194">
        <v>0</v>
      </c>
      <c r="M2696" s="194">
        <v>0</v>
      </c>
      <c r="N2696" s="194">
        <v>0</v>
      </c>
      <c r="O2696" s="193">
        <f t="shared" si="593"/>
        <v>0</v>
      </c>
      <c r="P2696" s="194">
        <v>0</v>
      </c>
      <c r="Q2696" s="194">
        <v>0</v>
      </c>
      <c r="R2696" s="194">
        <v>0</v>
      </c>
      <c r="S2696" s="193">
        <f t="shared" si="594"/>
        <v>0</v>
      </c>
      <c r="T2696" s="193">
        <f t="shared" si="595"/>
        <v>0</v>
      </c>
      <c r="U2696" s="193">
        <f ca="1">OFFSET('Expenditure Study'!$B$7,'Operations Support'!$C2696,'Operations Support'!$B2696)*$G2696</f>
        <v>0</v>
      </c>
      <c r="V2696" s="199">
        <f ca="1">U2696*'Expenditure Study'!$B$31</f>
        <v>0</v>
      </c>
      <c r="W2696" s="199">
        <f ca="1">IF(A2696=10298,1.51,1)*IF($B2696&lt;3,$D2696*'Expenditure Study'!$B$32*OFFSET('Expenditure Study'!$B$7,'Operations Support'!$C2696,'Operations Support'!$B2696),0)</f>
        <v>0</v>
      </c>
      <c r="X2696" s="200">
        <f ca="1">W2696*'Expenditure Study'!$B$31</f>
        <v>0</v>
      </c>
      <c r="Y2696" s="199">
        <f ca="1">U2696*'Expenditure Study'!$B$31</f>
        <v>0</v>
      </c>
      <c r="Z2696" s="200">
        <f ca="1">W2696*'Expenditure Study'!$B$31</f>
        <v>0</v>
      </c>
      <c r="AA2696" s="195">
        <f t="shared" ca="1" si="596"/>
        <v>0</v>
      </c>
      <c r="AB2696" s="195">
        <f t="shared" ca="1" si="597"/>
        <v>0</v>
      </c>
      <c r="AD2696" s="196">
        <f>IFERROR($G2696/SUMIF($A:$A,$A2696,$G:$G)*SUMIF(Summary!$A$166:$A$242,$A2696,Summary!$P$166:$P$242),0)</f>
        <v>0</v>
      </c>
      <c r="AE2696" s="197">
        <f t="shared" ca="1" si="598"/>
        <v>0</v>
      </c>
      <c r="AF2696" s="196">
        <f>IFERROR(G2696/SUMIF(A:A,A2696,G:G)*SUMIF(Summary!$A$166:$A$242,'Operations Support'!A2696,Summary!$Q$166:$Q$242),0)</f>
        <v>0</v>
      </c>
      <c r="AG2696" s="196">
        <f t="shared" ca="1" si="599"/>
        <v>0</v>
      </c>
      <c r="AI2696" s="196">
        <f>IFERROR($G2696/SUMIF($A:$A,$A2696,$G:$G)*SUMIF(Summary!$A$247:$A$283,$A2696,Summary!$P$247:$P$283),0)</f>
        <v>0</v>
      </c>
      <c r="AJ2696" s="196">
        <f>IFERROR($G2696/SUMIF($A:$A,$A2696,$G:$G)*(SUMIF(Summary!$A$247:$A$283,$A2696,Summary!$L$247:$L$283)+SUMIF(Summary!$A$297:$A$333,$A2696,Summary!$L$297:$L$333))-AI2696,0)</f>
        <v>0</v>
      </c>
      <c r="AK2696" s="196">
        <f>IFERROR($G2696/SUMIF($A:$A,$A2696,$G:$G)*SUMIF(Summary!$A$247:$A$283,$A2696,Summary!$Q$247:$Q$283),0)</f>
        <v>0</v>
      </c>
      <c r="AL2696" s="196">
        <f>IFERROR($G2696/SUMIF($A:$A,$A2696,$G:$G)*(SUMIF(Summary!$A$247:$A$283,$A2696,Summary!$L$247:$L$283)+SUMIF(Summary!$A$297:$A$333,$A2696,Summary!$L$297:$L$333))-AK2696,0)</f>
        <v>0</v>
      </c>
      <c r="AM2696" s="198"/>
      <c r="AN2696" s="196">
        <f t="shared" ca="1" si="600"/>
        <v>0</v>
      </c>
      <c r="AO2696" s="196">
        <f t="shared" ca="1" si="601"/>
        <v>0</v>
      </c>
    </row>
    <row r="2697" spans="1:41">
      <c r="A2697" s="189">
        <v>9930</v>
      </c>
      <c r="B2697" s="190">
        <v>4</v>
      </c>
      <c r="C2697" s="191" t="s">
        <v>224</v>
      </c>
      <c r="D2697" s="192">
        <f t="shared" si="588"/>
        <v>0</v>
      </c>
      <c r="E2697" s="192">
        <f t="shared" si="589"/>
        <v>0</v>
      </c>
      <c r="F2697" s="192">
        <f t="shared" si="590"/>
        <v>0</v>
      </c>
      <c r="G2697" s="193">
        <f t="shared" si="591"/>
        <v>0</v>
      </c>
      <c r="H2697" s="194">
        <v>0</v>
      </c>
      <c r="I2697" s="194">
        <v>0</v>
      </c>
      <c r="J2697" s="194">
        <v>0</v>
      </c>
      <c r="K2697" s="193">
        <f t="shared" si="592"/>
        <v>0</v>
      </c>
      <c r="L2697" s="194">
        <v>0</v>
      </c>
      <c r="M2697" s="194">
        <v>0</v>
      </c>
      <c r="N2697" s="194">
        <v>0</v>
      </c>
      <c r="O2697" s="193">
        <f t="shared" si="593"/>
        <v>0</v>
      </c>
      <c r="P2697" s="194">
        <v>0</v>
      </c>
      <c r="Q2697" s="194">
        <v>0</v>
      </c>
      <c r="R2697" s="194">
        <v>0</v>
      </c>
      <c r="S2697" s="193">
        <f t="shared" si="594"/>
        <v>0</v>
      </c>
      <c r="T2697" s="193">
        <f t="shared" si="595"/>
        <v>0</v>
      </c>
      <c r="U2697" s="193">
        <f ca="1">OFFSET('Expenditure Study'!$B$7,'Operations Support'!$C2697,'Operations Support'!$B2697)*$G2697</f>
        <v>0</v>
      </c>
      <c r="V2697" s="199">
        <f ca="1">U2697*'Expenditure Study'!$B$31</f>
        <v>0</v>
      </c>
      <c r="W2697" s="199">
        <f ca="1">IF(A2697=10298,1.51,1)*IF($B2697&lt;3,$D2697*'Expenditure Study'!$B$32*OFFSET('Expenditure Study'!$B$7,'Operations Support'!$C2697,'Operations Support'!$B2697),0)</f>
        <v>0</v>
      </c>
      <c r="X2697" s="200">
        <f ca="1">W2697*'Expenditure Study'!$B$31</f>
        <v>0</v>
      </c>
      <c r="Y2697" s="199">
        <f ca="1">U2697*'Expenditure Study'!$B$31</f>
        <v>0</v>
      </c>
      <c r="Z2697" s="200">
        <f ca="1">W2697*'Expenditure Study'!$B$31</f>
        <v>0</v>
      </c>
      <c r="AA2697" s="195">
        <f t="shared" ca="1" si="596"/>
        <v>0</v>
      </c>
      <c r="AB2697" s="195">
        <f t="shared" ca="1" si="597"/>
        <v>0</v>
      </c>
      <c r="AD2697" s="196">
        <f>IFERROR($G2697/SUMIF($A:$A,$A2697,$G:$G)*SUMIF(Summary!$A$166:$A$242,$A2697,Summary!$P$166:$P$242),0)</f>
        <v>0</v>
      </c>
      <c r="AE2697" s="197">
        <f t="shared" ca="1" si="598"/>
        <v>0</v>
      </c>
      <c r="AF2697" s="196">
        <f>IFERROR(G2697/SUMIF(A:A,A2697,G:G)*SUMIF(Summary!$A$166:$A$242,'Operations Support'!A2697,Summary!$Q$166:$Q$242),0)</f>
        <v>0</v>
      </c>
      <c r="AG2697" s="196">
        <f t="shared" ca="1" si="599"/>
        <v>0</v>
      </c>
      <c r="AI2697" s="196">
        <f>IFERROR($G2697/SUMIF($A:$A,$A2697,$G:$G)*SUMIF(Summary!$A$247:$A$283,$A2697,Summary!$P$247:$P$283),0)</f>
        <v>0</v>
      </c>
      <c r="AJ2697" s="196">
        <f>IFERROR($G2697/SUMIF($A:$A,$A2697,$G:$G)*(SUMIF(Summary!$A$247:$A$283,$A2697,Summary!$L$247:$L$283)+SUMIF(Summary!$A$297:$A$333,$A2697,Summary!$L$297:$L$333))-AI2697,0)</f>
        <v>0</v>
      </c>
      <c r="AK2697" s="196">
        <f>IFERROR($G2697/SUMIF($A:$A,$A2697,$G:$G)*SUMIF(Summary!$A$247:$A$283,$A2697,Summary!$Q$247:$Q$283),0)</f>
        <v>0</v>
      </c>
      <c r="AL2697" s="196">
        <f>IFERROR($G2697/SUMIF($A:$A,$A2697,$G:$G)*(SUMIF(Summary!$A$247:$A$283,$A2697,Summary!$L$247:$L$283)+SUMIF(Summary!$A$297:$A$333,$A2697,Summary!$L$297:$L$333))-AK2697,0)</f>
        <v>0</v>
      </c>
      <c r="AM2697" s="198"/>
      <c r="AN2697" s="196">
        <f t="shared" ca="1" si="600"/>
        <v>0</v>
      </c>
      <c r="AO2697" s="196">
        <f t="shared" ca="1" si="601"/>
        <v>0</v>
      </c>
    </row>
    <row r="2698" spans="1:41">
      <c r="A2698" s="189">
        <v>9930</v>
      </c>
      <c r="B2698" s="190">
        <v>4</v>
      </c>
      <c r="C2698" s="191" t="s">
        <v>225</v>
      </c>
      <c r="D2698" s="192">
        <f t="shared" si="588"/>
        <v>0</v>
      </c>
      <c r="E2698" s="192">
        <f t="shared" si="589"/>
        <v>0</v>
      </c>
      <c r="F2698" s="192">
        <f t="shared" si="590"/>
        <v>0</v>
      </c>
      <c r="G2698" s="193">
        <f t="shared" si="591"/>
        <v>0</v>
      </c>
      <c r="H2698" s="194">
        <v>0</v>
      </c>
      <c r="I2698" s="194">
        <v>0</v>
      </c>
      <c r="J2698" s="194">
        <v>0</v>
      </c>
      <c r="K2698" s="193">
        <f t="shared" si="592"/>
        <v>0</v>
      </c>
      <c r="L2698" s="194">
        <v>0</v>
      </c>
      <c r="M2698" s="194">
        <v>0</v>
      </c>
      <c r="N2698" s="194">
        <v>0</v>
      </c>
      <c r="O2698" s="193">
        <f t="shared" si="593"/>
        <v>0</v>
      </c>
      <c r="P2698" s="194">
        <v>0</v>
      </c>
      <c r="Q2698" s="194">
        <v>0</v>
      </c>
      <c r="R2698" s="194">
        <v>0</v>
      </c>
      <c r="S2698" s="193">
        <f t="shared" si="594"/>
        <v>0</v>
      </c>
      <c r="T2698" s="193">
        <f t="shared" si="595"/>
        <v>0</v>
      </c>
      <c r="U2698" s="193">
        <f ca="1">OFFSET('Expenditure Study'!$B$7,'Operations Support'!$C2698,'Operations Support'!$B2698)*$G2698</f>
        <v>0</v>
      </c>
      <c r="V2698" s="199">
        <f ca="1">U2698*'Expenditure Study'!$B$31</f>
        <v>0</v>
      </c>
      <c r="W2698" s="199">
        <f ca="1">IF(A2698=10298,1.51,1)*IF($B2698&lt;3,$D2698*'Expenditure Study'!$B$32*OFFSET('Expenditure Study'!$B$7,'Operations Support'!$C2698,'Operations Support'!$B2698),0)</f>
        <v>0</v>
      </c>
      <c r="X2698" s="200">
        <f ca="1">W2698*'Expenditure Study'!$B$31</f>
        <v>0</v>
      </c>
      <c r="Y2698" s="199">
        <f ca="1">U2698*'Expenditure Study'!$B$31</f>
        <v>0</v>
      </c>
      <c r="Z2698" s="200">
        <f ca="1">W2698*'Expenditure Study'!$B$31</f>
        <v>0</v>
      </c>
      <c r="AA2698" s="195">
        <f t="shared" ca="1" si="596"/>
        <v>0</v>
      </c>
      <c r="AB2698" s="195">
        <f t="shared" ca="1" si="597"/>
        <v>0</v>
      </c>
      <c r="AD2698" s="196">
        <f>IFERROR($G2698/SUMIF($A:$A,$A2698,$G:$G)*SUMIF(Summary!$A$166:$A$242,$A2698,Summary!$P$166:$P$242),0)</f>
        <v>0</v>
      </c>
      <c r="AE2698" s="197">
        <f t="shared" ca="1" si="598"/>
        <v>0</v>
      </c>
      <c r="AF2698" s="196">
        <f>IFERROR(G2698/SUMIF(A:A,A2698,G:G)*SUMIF(Summary!$A$166:$A$242,'Operations Support'!A2698,Summary!$Q$166:$Q$242),0)</f>
        <v>0</v>
      </c>
      <c r="AG2698" s="196">
        <f t="shared" ca="1" si="599"/>
        <v>0</v>
      </c>
      <c r="AI2698" s="196">
        <f>IFERROR($G2698/SUMIF($A:$A,$A2698,$G:$G)*SUMIF(Summary!$A$247:$A$283,$A2698,Summary!$P$247:$P$283),0)</f>
        <v>0</v>
      </c>
      <c r="AJ2698" s="196">
        <f>IFERROR($G2698/SUMIF($A:$A,$A2698,$G:$G)*(SUMIF(Summary!$A$247:$A$283,$A2698,Summary!$L$247:$L$283)+SUMIF(Summary!$A$297:$A$333,$A2698,Summary!$L$297:$L$333))-AI2698,0)</f>
        <v>0</v>
      </c>
      <c r="AK2698" s="196">
        <f>IFERROR($G2698/SUMIF($A:$A,$A2698,$G:$G)*SUMIF(Summary!$A$247:$A$283,$A2698,Summary!$Q$247:$Q$283),0)</f>
        <v>0</v>
      </c>
      <c r="AL2698" s="196">
        <f>IFERROR($G2698/SUMIF($A:$A,$A2698,$G:$G)*(SUMIF(Summary!$A$247:$A$283,$A2698,Summary!$L$247:$L$283)+SUMIF(Summary!$A$297:$A$333,$A2698,Summary!$L$297:$L$333))-AK2698,0)</f>
        <v>0</v>
      </c>
      <c r="AM2698" s="198"/>
      <c r="AN2698" s="196">
        <f t="shared" ca="1" si="600"/>
        <v>0</v>
      </c>
      <c r="AO2698" s="196">
        <f t="shared" ca="1" si="601"/>
        <v>0</v>
      </c>
    </row>
    <row r="2699" spans="1:41">
      <c r="A2699" s="189">
        <v>9930</v>
      </c>
      <c r="B2699" s="190">
        <v>4</v>
      </c>
      <c r="C2699" s="191" t="s">
        <v>226</v>
      </c>
      <c r="D2699" s="192">
        <f t="shared" si="588"/>
        <v>0</v>
      </c>
      <c r="E2699" s="192">
        <f t="shared" si="589"/>
        <v>0</v>
      </c>
      <c r="F2699" s="192">
        <f t="shared" si="590"/>
        <v>0</v>
      </c>
      <c r="G2699" s="193">
        <f t="shared" si="591"/>
        <v>0</v>
      </c>
      <c r="H2699" s="194">
        <v>0</v>
      </c>
      <c r="I2699" s="194">
        <v>0</v>
      </c>
      <c r="J2699" s="194">
        <v>0</v>
      </c>
      <c r="K2699" s="193">
        <f t="shared" si="592"/>
        <v>0</v>
      </c>
      <c r="L2699" s="194">
        <v>0</v>
      </c>
      <c r="M2699" s="194">
        <v>0</v>
      </c>
      <c r="N2699" s="194">
        <v>0</v>
      </c>
      <c r="O2699" s="193">
        <f t="shared" si="593"/>
        <v>0</v>
      </c>
      <c r="P2699" s="194">
        <v>0</v>
      </c>
      <c r="Q2699" s="194">
        <v>0</v>
      </c>
      <c r="R2699" s="194">
        <v>0</v>
      </c>
      <c r="S2699" s="193">
        <f t="shared" si="594"/>
        <v>0</v>
      </c>
      <c r="T2699" s="193">
        <f t="shared" si="595"/>
        <v>0</v>
      </c>
      <c r="U2699" s="193">
        <f ca="1">OFFSET('Expenditure Study'!$B$7,'Operations Support'!$C2699,'Operations Support'!$B2699)*$G2699</f>
        <v>0</v>
      </c>
      <c r="V2699" s="199">
        <f ca="1">U2699*'Expenditure Study'!$B$31</f>
        <v>0</v>
      </c>
      <c r="W2699" s="199">
        <f ca="1">IF(A2699=10298,1.51,1)*IF($B2699&lt;3,$D2699*'Expenditure Study'!$B$32*OFFSET('Expenditure Study'!$B$7,'Operations Support'!$C2699,'Operations Support'!$B2699),0)</f>
        <v>0</v>
      </c>
      <c r="X2699" s="200">
        <f ca="1">W2699*'Expenditure Study'!$B$31</f>
        <v>0</v>
      </c>
      <c r="Y2699" s="199">
        <f ca="1">U2699*'Expenditure Study'!$B$31</f>
        <v>0</v>
      </c>
      <c r="Z2699" s="200">
        <f ca="1">W2699*'Expenditure Study'!$B$31</f>
        <v>0</v>
      </c>
      <c r="AA2699" s="195">
        <f t="shared" ca="1" si="596"/>
        <v>0</v>
      </c>
      <c r="AB2699" s="195">
        <f t="shared" ca="1" si="597"/>
        <v>0</v>
      </c>
      <c r="AD2699" s="196">
        <f>IFERROR($G2699/SUMIF($A:$A,$A2699,$G:$G)*SUMIF(Summary!$A$166:$A$242,$A2699,Summary!$P$166:$P$242),0)</f>
        <v>0</v>
      </c>
      <c r="AE2699" s="197">
        <f t="shared" ca="1" si="598"/>
        <v>0</v>
      </c>
      <c r="AF2699" s="196">
        <f>IFERROR(G2699/SUMIF(A:A,A2699,G:G)*SUMIF(Summary!$A$166:$A$242,'Operations Support'!A2699,Summary!$Q$166:$Q$242),0)</f>
        <v>0</v>
      </c>
      <c r="AG2699" s="196">
        <f t="shared" ca="1" si="599"/>
        <v>0</v>
      </c>
      <c r="AI2699" s="196">
        <f>IFERROR($G2699/SUMIF($A:$A,$A2699,$G:$G)*SUMIF(Summary!$A$247:$A$283,$A2699,Summary!$P$247:$P$283),0)</f>
        <v>0</v>
      </c>
      <c r="AJ2699" s="196">
        <f>IFERROR($G2699/SUMIF($A:$A,$A2699,$G:$G)*(SUMIF(Summary!$A$247:$A$283,$A2699,Summary!$L$247:$L$283)+SUMIF(Summary!$A$297:$A$333,$A2699,Summary!$L$297:$L$333))-AI2699,0)</f>
        <v>0</v>
      </c>
      <c r="AK2699" s="196">
        <f>IFERROR($G2699/SUMIF($A:$A,$A2699,$G:$G)*SUMIF(Summary!$A$247:$A$283,$A2699,Summary!$Q$247:$Q$283),0)</f>
        <v>0</v>
      </c>
      <c r="AL2699" s="196">
        <f>IFERROR($G2699/SUMIF($A:$A,$A2699,$G:$G)*(SUMIF(Summary!$A$247:$A$283,$A2699,Summary!$L$247:$L$283)+SUMIF(Summary!$A$297:$A$333,$A2699,Summary!$L$297:$L$333))-AK2699,0)</f>
        <v>0</v>
      </c>
      <c r="AM2699" s="198"/>
      <c r="AN2699" s="196">
        <f t="shared" ca="1" si="600"/>
        <v>0</v>
      </c>
      <c r="AO2699" s="196">
        <f t="shared" ca="1" si="601"/>
        <v>0</v>
      </c>
    </row>
    <row r="2700" spans="1:41">
      <c r="A2700" s="189">
        <v>9930</v>
      </c>
      <c r="B2700" s="190">
        <v>4</v>
      </c>
      <c r="C2700" s="191" t="s">
        <v>227</v>
      </c>
      <c r="D2700" s="192">
        <f t="shared" si="588"/>
        <v>0</v>
      </c>
      <c r="E2700" s="192">
        <f t="shared" si="589"/>
        <v>0</v>
      </c>
      <c r="F2700" s="192">
        <f t="shared" si="590"/>
        <v>0</v>
      </c>
      <c r="G2700" s="193">
        <f t="shared" si="591"/>
        <v>0</v>
      </c>
      <c r="H2700" s="194">
        <v>0</v>
      </c>
      <c r="I2700" s="194">
        <v>0</v>
      </c>
      <c r="J2700" s="194">
        <v>0</v>
      </c>
      <c r="K2700" s="193">
        <f t="shared" si="592"/>
        <v>0</v>
      </c>
      <c r="L2700" s="194">
        <v>0</v>
      </c>
      <c r="M2700" s="194">
        <v>0</v>
      </c>
      <c r="N2700" s="194">
        <v>0</v>
      </c>
      <c r="O2700" s="193">
        <f t="shared" si="593"/>
        <v>0</v>
      </c>
      <c r="P2700" s="194">
        <v>0</v>
      </c>
      <c r="Q2700" s="194">
        <v>0</v>
      </c>
      <c r="R2700" s="194">
        <v>0</v>
      </c>
      <c r="S2700" s="193">
        <f t="shared" si="594"/>
        <v>0</v>
      </c>
      <c r="T2700" s="193">
        <f t="shared" si="595"/>
        <v>0</v>
      </c>
      <c r="U2700" s="193">
        <f ca="1">OFFSET('Expenditure Study'!$B$7,'Operations Support'!$C2700,'Operations Support'!$B2700)*$G2700</f>
        <v>0</v>
      </c>
      <c r="V2700" s="199">
        <f ca="1">U2700*'Expenditure Study'!$B$31</f>
        <v>0</v>
      </c>
      <c r="W2700" s="199">
        <f ca="1">IF(A2700=10298,1.51,1)*IF($B2700&lt;3,$D2700*'Expenditure Study'!$B$32*OFFSET('Expenditure Study'!$B$7,'Operations Support'!$C2700,'Operations Support'!$B2700),0)</f>
        <v>0</v>
      </c>
      <c r="X2700" s="200">
        <f ca="1">W2700*'Expenditure Study'!$B$31</f>
        <v>0</v>
      </c>
      <c r="Y2700" s="199">
        <f ca="1">U2700*'Expenditure Study'!$B$31</f>
        <v>0</v>
      </c>
      <c r="Z2700" s="200">
        <f ca="1">W2700*'Expenditure Study'!$B$31</f>
        <v>0</v>
      </c>
      <c r="AA2700" s="195">
        <f t="shared" ca="1" si="596"/>
        <v>0</v>
      </c>
      <c r="AB2700" s="195">
        <f t="shared" ca="1" si="597"/>
        <v>0</v>
      </c>
      <c r="AD2700" s="196">
        <f>IFERROR($G2700/SUMIF($A:$A,$A2700,$G:$G)*SUMIF(Summary!$A$166:$A$242,$A2700,Summary!$P$166:$P$242),0)</f>
        <v>0</v>
      </c>
      <c r="AE2700" s="197">
        <f t="shared" ca="1" si="598"/>
        <v>0</v>
      </c>
      <c r="AF2700" s="196">
        <f>IFERROR(G2700/SUMIF(A:A,A2700,G:G)*SUMIF(Summary!$A$166:$A$242,'Operations Support'!A2700,Summary!$Q$166:$Q$242),0)</f>
        <v>0</v>
      </c>
      <c r="AG2700" s="196">
        <f t="shared" ca="1" si="599"/>
        <v>0</v>
      </c>
      <c r="AI2700" s="196">
        <f>IFERROR($G2700/SUMIF($A:$A,$A2700,$G:$G)*SUMIF(Summary!$A$247:$A$283,$A2700,Summary!$P$247:$P$283),0)</f>
        <v>0</v>
      </c>
      <c r="AJ2700" s="196">
        <f>IFERROR($G2700/SUMIF($A:$A,$A2700,$G:$G)*(SUMIF(Summary!$A$247:$A$283,$A2700,Summary!$L$247:$L$283)+SUMIF(Summary!$A$297:$A$333,$A2700,Summary!$L$297:$L$333))-AI2700,0)</f>
        <v>0</v>
      </c>
      <c r="AK2700" s="196">
        <f>IFERROR($G2700/SUMIF($A:$A,$A2700,$G:$G)*SUMIF(Summary!$A$247:$A$283,$A2700,Summary!$Q$247:$Q$283),0)</f>
        <v>0</v>
      </c>
      <c r="AL2700" s="196">
        <f>IFERROR($G2700/SUMIF($A:$A,$A2700,$G:$G)*(SUMIF(Summary!$A$247:$A$283,$A2700,Summary!$L$247:$L$283)+SUMIF(Summary!$A$297:$A$333,$A2700,Summary!$L$297:$L$333))-AK2700,0)</f>
        <v>0</v>
      </c>
      <c r="AM2700" s="198"/>
      <c r="AN2700" s="196">
        <f t="shared" ca="1" si="600"/>
        <v>0</v>
      </c>
      <c r="AO2700" s="196">
        <f t="shared" ca="1" si="601"/>
        <v>0</v>
      </c>
    </row>
    <row r="2701" spans="1:41">
      <c r="A2701" s="189">
        <v>9930</v>
      </c>
      <c r="B2701" s="190">
        <v>4</v>
      </c>
      <c r="C2701" s="191" t="s">
        <v>228</v>
      </c>
      <c r="D2701" s="192">
        <f t="shared" si="588"/>
        <v>0</v>
      </c>
      <c r="E2701" s="192">
        <f t="shared" si="589"/>
        <v>0</v>
      </c>
      <c r="F2701" s="192">
        <f t="shared" si="590"/>
        <v>0</v>
      </c>
      <c r="G2701" s="193">
        <f t="shared" si="591"/>
        <v>0</v>
      </c>
      <c r="H2701" s="194">
        <v>0</v>
      </c>
      <c r="I2701" s="194">
        <v>0</v>
      </c>
      <c r="J2701" s="194">
        <v>0</v>
      </c>
      <c r="K2701" s="193">
        <f t="shared" si="592"/>
        <v>0</v>
      </c>
      <c r="L2701" s="194">
        <v>0</v>
      </c>
      <c r="M2701" s="194">
        <v>0</v>
      </c>
      <c r="N2701" s="194">
        <v>0</v>
      </c>
      <c r="O2701" s="193">
        <f t="shared" si="593"/>
        <v>0</v>
      </c>
      <c r="P2701" s="194">
        <v>0</v>
      </c>
      <c r="Q2701" s="194">
        <v>0</v>
      </c>
      <c r="R2701" s="194">
        <v>0</v>
      </c>
      <c r="S2701" s="193">
        <f t="shared" si="594"/>
        <v>0</v>
      </c>
      <c r="T2701" s="193">
        <f t="shared" si="595"/>
        <v>0</v>
      </c>
      <c r="U2701" s="193">
        <f ca="1">OFFSET('Expenditure Study'!$B$7,'Operations Support'!$C2701,'Operations Support'!$B2701)*$G2701</f>
        <v>0</v>
      </c>
      <c r="V2701" s="199">
        <f ca="1">U2701*'Expenditure Study'!$B$31</f>
        <v>0</v>
      </c>
      <c r="W2701" s="199">
        <f ca="1">IF(A2701=10298,1.51,1)*IF($B2701&lt;3,$D2701*'Expenditure Study'!$B$32*OFFSET('Expenditure Study'!$B$7,'Operations Support'!$C2701,'Operations Support'!$B2701),0)</f>
        <v>0</v>
      </c>
      <c r="X2701" s="200">
        <f ca="1">W2701*'Expenditure Study'!$B$31</f>
        <v>0</v>
      </c>
      <c r="Y2701" s="199">
        <f ca="1">U2701*'Expenditure Study'!$B$31</f>
        <v>0</v>
      </c>
      <c r="Z2701" s="200">
        <f ca="1">W2701*'Expenditure Study'!$B$31</f>
        <v>0</v>
      </c>
      <c r="AA2701" s="195">
        <f t="shared" ca="1" si="596"/>
        <v>0</v>
      </c>
      <c r="AB2701" s="195">
        <f t="shared" ca="1" si="597"/>
        <v>0</v>
      </c>
      <c r="AD2701" s="196">
        <f>IFERROR($G2701/SUMIF($A:$A,$A2701,$G:$G)*SUMIF(Summary!$A$166:$A$242,$A2701,Summary!$P$166:$P$242),0)</f>
        <v>0</v>
      </c>
      <c r="AE2701" s="197">
        <f t="shared" ca="1" si="598"/>
        <v>0</v>
      </c>
      <c r="AF2701" s="196">
        <f>IFERROR(G2701/SUMIF(A:A,A2701,G:G)*SUMIF(Summary!$A$166:$A$242,'Operations Support'!A2701,Summary!$Q$166:$Q$242),0)</f>
        <v>0</v>
      </c>
      <c r="AG2701" s="196">
        <f t="shared" ca="1" si="599"/>
        <v>0</v>
      </c>
      <c r="AI2701" s="196">
        <f>IFERROR($G2701/SUMIF($A:$A,$A2701,$G:$G)*SUMIF(Summary!$A$247:$A$283,$A2701,Summary!$P$247:$P$283),0)</f>
        <v>0</v>
      </c>
      <c r="AJ2701" s="196">
        <f>IFERROR($G2701/SUMIF($A:$A,$A2701,$G:$G)*(SUMIF(Summary!$A$247:$A$283,$A2701,Summary!$L$247:$L$283)+SUMIF(Summary!$A$297:$A$333,$A2701,Summary!$L$297:$L$333))-AI2701,0)</f>
        <v>0</v>
      </c>
      <c r="AK2701" s="196">
        <f>IFERROR($G2701/SUMIF($A:$A,$A2701,$G:$G)*SUMIF(Summary!$A$247:$A$283,$A2701,Summary!$Q$247:$Q$283),0)</f>
        <v>0</v>
      </c>
      <c r="AL2701" s="196">
        <f>IFERROR($G2701/SUMIF($A:$A,$A2701,$G:$G)*(SUMIF(Summary!$A$247:$A$283,$A2701,Summary!$L$247:$L$283)+SUMIF(Summary!$A$297:$A$333,$A2701,Summary!$L$297:$L$333))-AK2701,0)</f>
        <v>0</v>
      </c>
      <c r="AM2701" s="198"/>
      <c r="AN2701" s="196">
        <f t="shared" ca="1" si="600"/>
        <v>0</v>
      </c>
      <c r="AO2701" s="196">
        <f t="shared" ca="1" si="601"/>
        <v>0</v>
      </c>
    </row>
    <row r="2702" spans="1:41">
      <c r="A2702" s="189">
        <v>9930</v>
      </c>
      <c r="B2702" s="190">
        <v>4</v>
      </c>
      <c r="C2702" s="191" t="s">
        <v>229</v>
      </c>
      <c r="D2702" s="192">
        <f t="shared" si="588"/>
        <v>0</v>
      </c>
      <c r="E2702" s="192">
        <f t="shared" si="589"/>
        <v>0</v>
      </c>
      <c r="F2702" s="192">
        <f t="shared" si="590"/>
        <v>0</v>
      </c>
      <c r="G2702" s="193">
        <f t="shared" si="591"/>
        <v>0</v>
      </c>
      <c r="H2702" s="194">
        <v>0</v>
      </c>
      <c r="I2702" s="194">
        <v>0</v>
      </c>
      <c r="J2702" s="194">
        <v>0</v>
      </c>
      <c r="K2702" s="193">
        <f t="shared" si="592"/>
        <v>0</v>
      </c>
      <c r="L2702" s="194">
        <v>0</v>
      </c>
      <c r="M2702" s="194">
        <v>0</v>
      </c>
      <c r="N2702" s="194">
        <v>0</v>
      </c>
      <c r="O2702" s="193">
        <f t="shared" si="593"/>
        <v>0</v>
      </c>
      <c r="P2702" s="194">
        <v>0</v>
      </c>
      <c r="Q2702" s="194">
        <v>0</v>
      </c>
      <c r="R2702" s="194">
        <v>0</v>
      </c>
      <c r="S2702" s="193">
        <f t="shared" si="594"/>
        <v>0</v>
      </c>
      <c r="T2702" s="193">
        <f t="shared" si="595"/>
        <v>0</v>
      </c>
      <c r="U2702" s="193">
        <f ca="1">OFFSET('Expenditure Study'!$B$7,'Operations Support'!$C2702,'Operations Support'!$B2702)*$G2702</f>
        <v>0</v>
      </c>
      <c r="V2702" s="199">
        <f ca="1">U2702*'Expenditure Study'!$B$31</f>
        <v>0</v>
      </c>
      <c r="W2702" s="199">
        <f ca="1">IF(A2702=10298,1.51,1)*IF($B2702&lt;3,$D2702*'Expenditure Study'!$B$32*OFFSET('Expenditure Study'!$B$7,'Operations Support'!$C2702,'Operations Support'!$B2702),0)</f>
        <v>0</v>
      </c>
      <c r="X2702" s="200">
        <f ca="1">W2702*'Expenditure Study'!$B$31</f>
        <v>0</v>
      </c>
      <c r="Y2702" s="199">
        <f ca="1">U2702*'Expenditure Study'!$B$31</f>
        <v>0</v>
      </c>
      <c r="Z2702" s="200">
        <f ca="1">W2702*'Expenditure Study'!$B$31</f>
        <v>0</v>
      </c>
      <c r="AA2702" s="195">
        <f t="shared" ca="1" si="596"/>
        <v>0</v>
      </c>
      <c r="AB2702" s="195">
        <f t="shared" ca="1" si="597"/>
        <v>0</v>
      </c>
      <c r="AD2702" s="196">
        <f>IFERROR($G2702/SUMIF($A:$A,$A2702,$G:$G)*SUMIF(Summary!$A$166:$A$242,$A2702,Summary!$P$166:$P$242),0)</f>
        <v>0</v>
      </c>
      <c r="AE2702" s="197">
        <f t="shared" ca="1" si="598"/>
        <v>0</v>
      </c>
      <c r="AF2702" s="196">
        <f>IFERROR(G2702/SUMIF(A:A,A2702,G:G)*SUMIF(Summary!$A$166:$A$242,'Operations Support'!A2702,Summary!$Q$166:$Q$242),0)</f>
        <v>0</v>
      </c>
      <c r="AG2702" s="196">
        <f t="shared" ca="1" si="599"/>
        <v>0</v>
      </c>
      <c r="AI2702" s="196">
        <f>IFERROR($G2702/SUMIF($A:$A,$A2702,$G:$G)*SUMIF(Summary!$A$247:$A$283,$A2702,Summary!$P$247:$P$283),0)</f>
        <v>0</v>
      </c>
      <c r="AJ2702" s="196">
        <f>IFERROR($G2702/SUMIF($A:$A,$A2702,$G:$G)*(SUMIF(Summary!$A$247:$A$283,$A2702,Summary!$L$247:$L$283)+SUMIF(Summary!$A$297:$A$333,$A2702,Summary!$L$297:$L$333))-AI2702,0)</f>
        <v>0</v>
      </c>
      <c r="AK2702" s="196">
        <f>IFERROR($G2702/SUMIF($A:$A,$A2702,$G:$G)*SUMIF(Summary!$A$247:$A$283,$A2702,Summary!$Q$247:$Q$283),0)</f>
        <v>0</v>
      </c>
      <c r="AL2702" s="196">
        <f>IFERROR($G2702/SUMIF($A:$A,$A2702,$G:$G)*(SUMIF(Summary!$A$247:$A$283,$A2702,Summary!$L$247:$L$283)+SUMIF(Summary!$A$297:$A$333,$A2702,Summary!$L$297:$L$333))-AK2702,0)</f>
        <v>0</v>
      </c>
      <c r="AM2702" s="198"/>
      <c r="AN2702" s="196">
        <f t="shared" ca="1" si="600"/>
        <v>0</v>
      </c>
      <c r="AO2702" s="196">
        <f t="shared" ca="1" si="601"/>
        <v>0</v>
      </c>
    </row>
    <row r="2703" spans="1:41">
      <c r="A2703" s="189">
        <v>9930</v>
      </c>
      <c r="B2703" s="190">
        <v>4</v>
      </c>
      <c r="C2703" s="191" t="s">
        <v>230</v>
      </c>
      <c r="D2703" s="192">
        <f t="shared" si="588"/>
        <v>0</v>
      </c>
      <c r="E2703" s="192">
        <f t="shared" si="589"/>
        <v>0</v>
      </c>
      <c r="F2703" s="192">
        <f t="shared" si="590"/>
        <v>0</v>
      </c>
      <c r="G2703" s="193">
        <f t="shared" si="591"/>
        <v>0</v>
      </c>
      <c r="H2703" s="194">
        <v>0</v>
      </c>
      <c r="I2703" s="194">
        <v>0</v>
      </c>
      <c r="J2703" s="194">
        <v>0</v>
      </c>
      <c r="K2703" s="193">
        <f t="shared" si="592"/>
        <v>0</v>
      </c>
      <c r="L2703" s="194">
        <v>0</v>
      </c>
      <c r="M2703" s="194">
        <v>0</v>
      </c>
      <c r="N2703" s="194">
        <v>0</v>
      </c>
      <c r="O2703" s="193">
        <f t="shared" si="593"/>
        <v>0</v>
      </c>
      <c r="P2703" s="194">
        <v>0</v>
      </c>
      <c r="Q2703" s="194">
        <v>0</v>
      </c>
      <c r="R2703" s="194">
        <v>0</v>
      </c>
      <c r="S2703" s="193">
        <f t="shared" si="594"/>
        <v>0</v>
      </c>
      <c r="T2703" s="193">
        <f t="shared" si="595"/>
        <v>0</v>
      </c>
      <c r="U2703" s="193">
        <f ca="1">OFFSET('Expenditure Study'!$B$7,'Operations Support'!$C2703,'Operations Support'!$B2703)*$G2703</f>
        <v>0</v>
      </c>
      <c r="V2703" s="199">
        <f ca="1">U2703*'Expenditure Study'!$B$31</f>
        <v>0</v>
      </c>
      <c r="W2703" s="199">
        <f ca="1">IF(A2703=10298,1.51,1)*IF($B2703&lt;3,$D2703*'Expenditure Study'!$B$32*OFFSET('Expenditure Study'!$B$7,'Operations Support'!$C2703,'Operations Support'!$B2703),0)</f>
        <v>0</v>
      </c>
      <c r="X2703" s="200">
        <f ca="1">W2703*'Expenditure Study'!$B$31</f>
        <v>0</v>
      </c>
      <c r="Y2703" s="199">
        <f ca="1">U2703*'Expenditure Study'!$B$31</f>
        <v>0</v>
      </c>
      <c r="Z2703" s="200">
        <f ca="1">W2703*'Expenditure Study'!$B$31</f>
        <v>0</v>
      </c>
      <c r="AA2703" s="195">
        <f t="shared" ca="1" si="596"/>
        <v>0</v>
      </c>
      <c r="AB2703" s="195">
        <f t="shared" ca="1" si="597"/>
        <v>0</v>
      </c>
      <c r="AD2703" s="196">
        <f>IFERROR($G2703/SUMIF($A:$A,$A2703,$G:$G)*SUMIF(Summary!$A$166:$A$242,$A2703,Summary!$P$166:$P$242),0)</f>
        <v>0</v>
      </c>
      <c r="AE2703" s="197">
        <f t="shared" ca="1" si="598"/>
        <v>0</v>
      </c>
      <c r="AF2703" s="196">
        <f>IFERROR(G2703/SUMIF(A:A,A2703,G:G)*SUMIF(Summary!$A$166:$A$242,'Operations Support'!A2703,Summary!$Q$166:$Q$242),0)</f>
        <v>0</v>
      </c>
      <c r="AG2703" s="196">
        <f t="shared" ca="1" si="599"/>
        <v>0</v>
      </c>
      <c r="AI2703" s="196">
        <f>IFERROR($G2703/SUMIF($A:$A,$A2703,$G:$G)*SUMIF(Summary!$A$247:$A$283,$A2703,Summary!$P$247:$P$283),0)</f>
        <v>0</v>
      </c>
      <c r="AJ2703" s="196">
        <f>IFERROR($G2703/SUMIF($A:$A,$A2703,$G:$G)*(SUMIF(Summary!$A$247:$A$283,$A2703,Summary!$L$247:$L$283)+SUMIF(Summary!$A$297:$A$333,$A2703,Summary!$L$297:$L$333))-AI2703,0)</f>
        <v>0</v>
      </c>
      <c r="AK2703" s="196">
        <f>IFERROR($G2703/SUMIF($A:$A,$A2703,$G:$G)*SUMIF(Summary!$A$247:$A$283,$A2703,Summary!$Q$247:$Q$283),0)</f>
        <v>0</v>
      </c>
      <c r="AL2703" s="196">
        <f>IFERROR($G2703/SUMIF($A:$A,$A2703,$G:$G)*(SUMIF(Summary!$A$247:$A$283,$A2703,Summary!$L$247:$L$283)+SUMIF(Summary!$A$297:$A$333,$A2703,Summary!$L$297:$L$333))-AK2703,0)</f>
        <v>0</v>
      </c>
      <c r="AM2703" s="198"/>
      <c r="AN2703" s="196">
        <f t="shared" ca="1" si="600"/>
        <v>0</v>
      </c>
      <c r="AO2703" s="196">
        <f t="shared" ca="1" si="601"/>
        <v>0</v>
      </c>
    </row>
    <row r="2704" spans="1:41">
      <c r="A2704" s="189">
        <v>9930</v>
      </c>
      <c r="B2704" s="190">
        <v>4</v>
      </c>
      <c r="C2704" s="191" t="s">
        <v>231</v>
      </c>
      <c r="D2704" s="192">
        <f t="shared" si="588"/>
        <v>0</v>
      </c>
      <c r="E2704" s="192">
        <f t="shared" si="589"/>
        <v>0</v>
      </c>
      <c r="F2704" s="192">
        <f t="shared" si="590"/>
        <v>0</v>
      </c>
      <c r="G2704" s="193">
        <f t="shared" si="591"/>
        <v>0</v>
      </c>
      <c r="H2704" s="194">
        <v>0</v>
      </c>
      <c r="I2704" s="194">
        <v>0</v>
      </c>
      <c r="J2704" s="194">
        <v>0</v>
      </c>
      <c r="K2704" s="193">
        <f t="shared" si="592"/>
        <v>0</v>
      </c>
      <c r="L2704" s="194">
        <v>0</v>
      </c>
      <c r="M2704" s="194">
        <v>0</v>
      </c>
      <c r="N2704" s="194">
        <v>0</v>
      </c>
      <c r="O2704" s="193">
        <f t="shared" si="593"/>
        <v>0</v>
      </c>
      <c r="P2704" s="194">
        <v>0</v>
      </c>
      <c r="Q2704" s="194">
        <v>0</v>
      </c>
      <c r="R2704" s="194">
        <v>0</v>
      </c>
      <c r="S2704" s="193">
        <f t="shared" si="594"/>
        <v>0</v>
      </c>
      <c r="T2704" s="193">
        <f t="shared" si="595"/>
        <v>0</v>
      </c>
      <c r="U2704" s="193">
        <f ca="1">OFFSET('Expenditure Study'!$B$7,'Operations Support'!$C2704,'Operations Support'!$B2704)*$G2704</f>
        <v>0</v>
      </c>
      <c r="V2704" s="199">
        <f ca="1">U2704*'Expenditure Study'!$B$31</f>
        <v>0</v>
      </c>
      <c r="W2704" s="199">
        <f ca="1">IF(A2704=10298,1.51,1)*IF($B2704&lt;3,$D2704*'Expenditure Study'!$B$32*OFFSET('Expenditure Study'!$B$7,'Operations Support'!$C2704,'Operations Support'!$B2704),0)</f>
        <v>0</v>
      </c>
      <c r="X2704" s="200">
        <f ca="1">W2704*'Expenditure Study'!$B$31</f>
        <v>0</v>
      </c>
      <c r="Y2704" s="199">
        <f ca="1">U2704*'Expenditure Study'!$B$31</f>
        <v>0</v>
      </c>
      <c r="Z2704" s="200">
        <f ca="1">W2704*'Expenditure Study'!$B$31</f>
        <v>0</v>
      </c>
      <c r="AA2704" s="195">
        <f t="shared" ca="1" si="596"/>
        <v>0</v>
      </c>
      <c r="AB2704" s="195">
        <f t="shared" ca="1" si="597"/>
        <v>0</v>
      </c>
      <c r="AD2704" s="196">
        <f>IFERROR($G2704/SUMIF($A:$A,$A2704,$G:$G)*SUMIF(Summary!$A$166:$A$242,$A2704,Summary!$P$166:$P$242),0)</f>
        <v>0</v>
      </c>
      <c r="AE2704" s="197">
        <f t="shared" ca="1" si="598"/>
        <v>0</v>
      </c>
      <c r="AF2704" s="196">
        <f>IFERROR(G2704/SUMIF(A:A,A2704,G:G)*SUMIF(Summary!$A$166:$A$242,'Operations Support'!A2704,Summary!$Q$166:$Q$242),0)</f>
        <v>0</v>
      </c>
      <c r="AG2704" s="196">
        <f t="shared" ca="1" si="599"/>
        <v>0</v>
      </c>
      <c r="AI2704" s="196">
        <f>IFERROR($G2704/SUMIF($A:$A,$A2704,$G:$G)*SUMIF(Summary!$A$247:$A$283,$A2704,Summary!$P$247:$P$283),0)</f>
        <v>0</v>
      </c>
      <c r="AJ2704" s="196">
        <f>IFERROR($G2704/SUMIF($A:$A,$A2704,$G:$G)*(SUMIF(Summary!$A$247:$A$283,$A2704,Summary!$L$247:$L$283)+SUMIF(Summary!$A$297:$A$333,$A2704,Summary!$L$297:$L$333))-AI2704,0)</f>
        <v>0</v>
      </c>
      <c r="AK2704" s="196">
        <f>IFERROR($G2704/SUMIF($A:$A,$A2704,$G:$G)*SUMIF(Summary!$A$247:$A$283,$A2704,Summary!$Q$247:$Q$283),0)</f>
        <v>0</v>
      </c>
      <c r="AL2704" s="196">
        <f>IFERROR($G2704/SUMIF($A:$A,$A2704,$G:$G)*(SUMIF(Summary!$A$247:$A$283,$A2704,Summary!$L$247:$L$283)+SUMIF(Summary!$A$297:$A$333,$A2704,Summary!$L$297:$L$333))-AK2704,0)</f>
        <v>0</v>
      </c>
      <c r="AM2704" s="198"/>
      <c r="AN2704" s="196">
        <f t="shared" ca="1" si="600"/>
        <v>0</v>
      </c>
      <c r="AO2704" s="196">
        <f t="shared" ca="1" si="601"/>
        <v>0</v>
      </c>
    </row>
    <row r="2705" spans="1:41">
      <c r="A2705" s="189">
        <v>9930</v>
      </c>
      <c r="B2705" s="190">
        <v>4</v>
      </c>
      <c r="C2705" s="191" t="s">
        <v>232</v>
      </c>
      <c r="D2705" s="192">
        <f t="shared" si="588"/>
        <v>0</v>
      </c>
      <c r="E2705" s="192">
        <f t="shared" si="589"/>
        <v>0</v>
      </c>
      <c r="F2705" s="192">
        <f t="shared" si="590"/>
        <v>0</v>
      </c>
      <c r="G2705" s="193">
        <f t="shared" si="591"/>
        <v>0</v>
      </c>
      <c r="H2705" s="194">
        <v>0</v>
      </c>
      <c r="I2705" s="194">
        <v>0</v>
      </c>
      <c r="J2705" s="194">
        <v>0</v>
      </c>
      <c r="K2705" s="193">
        <f t="shared" si="592"/>
        <v>0</v>
      </c>
      <c r="L2705" s="194">
        <v>0</v>
      </c>
      <c r="M2705" s="194">
        <v>0</v>
      </c>
      <c r="N2705" s="194">
        <v>0</v>
      </c>
      <c r="O2705" s="193">
        <f t="shared" si="593"/>
        <v>0</v>
      </c>
      <c r="P2705" s="194">
        <v>0</v>
      </c>
      <c r="Q2705" s="194">
        <v>0</v>
      </c>
      <c r="R2705" s="194">
        <v>0</v>
      </c>
      <c r="S2705" s="193">
        <f t="shared" si="594"/>
        <v>0</v>
      </c>
      <c r="T2705" s="193">
        <f t="shared" si="595"/>
        <v>0</v>
      </c>
      <c r="U2705" s="193">
        <f ca="1">OFFSET('Expenditure Study'!$B$7,'Operations Support'!$C2705,'Operations Support'!$B2705)*$G2705</f>
        <v>0</v>
      </c>
      <c r="V2705" s="199">
        <f ca="1">U2705*'Expenditure Study'!$B$31</f>
        <v>0</v>
      </c>
      <c r="W2705" s="199">
        <f ca="1">IF(A2705=10298,1.51,1)*IF($B2705&lt;3,$D2705*'Expenditure Study'!$B$32*OFFSET('Expenditure Study'!$B$7,'Operations Support'!$C2705,'Operations Support'!$B2705),0)</f>
        <v>0</v>
      </c>
      <c r="X2705" s="200">
        <f ca="1">W2705*'Expenditure Study'!$B$31</f>
        <v>0</v>
      </c>
      <c r="Y2705" s="199">
        <f ca="1">U2705*'Expenditure Study'!$B$31</f>
        <v>0</v>
      </c>
      <c r="Z2705" s="200">
        <f ca="1">W2705*'Expenditure Study'!$B$31</f>
        <v>0</v>
      </c>
      <c r="AA2705" s="195">
        <f t="shared" ca="1" si="596"/>
        <v>0</v>
      </c>
      <c r="AB2705" s="195">
        <f t="shared" ca="1" si="597"/>
        <v>0</v>
      </c>
      <c r="AD2705" s="196">
        <f>IFERROR($G2705/SUMIF($A:$A,$A2705,$G:$G)*SUMIF(Summary!$A$166:$A$242,$A2705,Summary!$P$166:$P$242),0)</f>
        <v>0</v>
      </c>
      <c r="AE2705" s="197">
        <f t="shared" ca="1" si="598"/>
        <v>0</v>
      </c>
      <c r="AF2705" s="196">
        <f>IFERROR(G2705/SUMIF(A:A,A2705,G:G)*SUMIF(Summary!$A$166:$A$242,'Operations Support'!A2705,Summary!$Q$166:$Q$242),0)</f>
        <v>0</v>
      </c>
      <c r="AG2705" s="196">
        <f t="shared" ca="1" si="599"/>
        <v>0</v>
      </c>
      <c r="AI2705" s="196">
        <f>IFERROR($G2705/SUMIF($A:$A,$A2705,$G:$G)*SUMIF(Summary!$A$247:$A$283,$A2705,Summary!$P$247:$P$283),0)</f>
        <v>0</v>
      </c>
      <c r="AJ2705" s="196">
        <f>IFERROR($G2705/SUMIF($A:$A,$A2705,$G:$G)*(SUMIF(Summary!$A$247:$A$283,$A2705,Summary!$L$247:$L$283)+SUMIF(Summary!$A$297:$A$333,$A2705,Summary!$L$297:$L$333))-AI2705,0)</f>
        <v>0</v>
      </c>
      <c r="AK2705" s="196">
        <f>IFERROR($G2705/SUMIF($A:$A,$A2705,$G:$G)*SUMIF(Summary!$A$247:$A$283,$A2705,Summary!$Q$247:$Q$283),0)</f>
        <v>0</v>
      </c>
      <c r="AL2705" s="196">
        <f>IFERROR($G2705/SUMIF($A:$A,$A2705,$G:$G)*(SUMIF(Summary!$A$247:$A$283,$A2705,Summary!$L$247:$L$283)+SUMIF(Summary!$A$297:$A$333,$A2705,Summary!$L$297:$L$333))-AK2705,0)</f>
        <v>0</v>
      </c>
      <c r="AM2705" s="198"/>
      <c r="AN2705" s="196">
        <f t="shared" ca="1" si="600"/>
        <v>0</v>
      </c>
      <c r="AO2705" s="196">
        <f t="shared" ca="1" si="601"/>
        <v>0</v>
      </c>
    </row>
    <row r="2706" spans="1:41">
      <c r="A2706" s="189">
        <v>9930</v>
      </c>
      <c r="B2706" s="190">
        <v>4</v>
      </c>
      <c r="C2706" s="191" t="s">
        <v>233</v>
      </c>
      <c r="D2706" s="192">
        <f t="shared" si="588"/>
        <v>0</v>
      </c>
      <c r="E2706" s="192">
        <f t="shared" si="589"/>
        <v>0</v>
      </c>
      <c r="F2706" s="192">
        <f t="shared" si="590"/>
        <v>0</v>
      </c>
      <c r="G2706" s="193">
        <f t="shared" si="591"/>
        <v>0</v>
      </c>
      <c r="H2706" s="194">
        <v>0</v>
      </c>
      <c r="I2706" s="194">
        <v>0</v>
      </c>
      <c r="J2706" s="194">
        <v>0</v>
      </c>
      <c r="K2706" s="193">
        <f t="shared" si="592"/>
        <v>0</v>
      </c>
      <c r="L2706" s="194">
        <v>0</v>
      </c>
      <c r="M2706" s="194">
        <v>0</v>
      </c>
      <c r="N2706" s="194">
        <v>0</v>
      </c>
      <c r="O2706" s="193">
        <f t="shared" si="593"/>
        <v>0</v>
      </c>
      <c r="P2706" s="194">
        <v>0</v>
      </c>
      <c r="Q2706" s="194">
        <v>0</v>
      </c>
      <c r="R2706" s="194">
        <v>0</v>
      </c>
      <c r="S2706" s="193">
        <f t="shared" si="594"/>
        <v>0</v>
      </c>
      <c r="T2706" s="193">
        <f t="shared" si="595"/>
        <v>0</v>
      </c>
      <c r="U2706" s="193">
        <f ca="1">OFFSET('Expenditure Study'!$B$7,'Operations Support'!$C2706,'Operations Support'!$B2706)*$G2706</f>
        <v>0</v>
      </c>
      <c r="V2706" s="199">
        <f ca="1">U2706*'Expenditure Study'!$B$31</f>
        <v>0</v>
      </c>
      <c r="W2706" s="199">
        <f ca="1">IF(A2706=10298,1.51,1)*IF($B2706&lt;3,$D2706*'Expenditure Study'!$B$32*OFFSET('Expenditure Study'!$B$7,'Operations Support'!$C2706,'Operations Support'!$B2706),0)</f>
        <v>0</v>
      </c>
      <c r="X2706" s="200">
        <f ca="1">W2706*'Expenditure Study'!$B$31</f>
        <v>0</v>
      </c>
      <c r="Y2706" s="199">
        <f ca="1">U2706*'Expenditure Study'!$B$31</f>
        <v>0</v>
      </c>
      <c r="Z2706" s="200">
        <f ca="1">W2706*'Expenditure Study'!$B$31</f>
        <v>0</v>
      </c>
      <c r="AA2706" s="195">
        <f t="shared" ca="1" si="596"/>
        <v>0</v>
      </c>
      <c r="AB2706" s="195">
        <f t="shared" ca="1" si="597"/>
        <v>0</v>
      </c>
      <c r="AD2706" s="196">
        <f>IFERROR($G2706/SUMIF($A:$A,$A2706,$G:$G)*SUMIF(Summary!$A$166:$A$242,$A2706,Summary!$P$166:$P$242),0)</f>
        <v>0</v>
      </c>
      <c r="AE2706" s="197">
        <f t="shared" ca="1" si="598"/>
        <v>0</v>
      </c>
      <c r="AF2706" s="196">
        <f>IFERROR(G2706/SUMIF(A:A,A2706,G:G)*SUMIF(Summary!$A$166:$A$242,'Operations Support'!A2706,Summary!$Q$166:$Q$242),0)</f>
        <v>0</v>
      </c>
      <c r="AG2706" s="196">
        <f t="shared" ca="1" si="599"/>
        <v>0</v>
      </c>
      <c r="AI2706" s="196">
        <f>IFERROR($G2706/SUMIF($A:$A,$A2706,$G:$G)*SUMIF(Summary!$A$247:$A$283,$A2706,Summary!$P$247:$P$283),0)</f>
        <v>0</v>
      </c>
      <c r="AJ2706" s="196">
        <f>IFERROR($G2706/SUMIF($A:$A,$A2706,$G:$G)*(SUMIF(Summary!$A$247:$A$283,$A2706,Summary!$L$247:$L$283)+SUMIF(Summary!$A$297:$A$333,$A2706,Summary!$L$297:$L$333))-AI2706,0)</f>
        <v>0</v>
      </c>
      <c r="AK2706" s="196">
        <f>IFERROR($G2706/SUMIF($A:$A,$A2706,$G:$G)*SUMIF(Summary!$A$247:$A$283,$A2706,Summary!$Q$247:$Q$283),0)</f>
        <v>0</v>
      </c>
      <c r="AL2706" s="196">
        <f>IFERROR($G2706/SUMIF($A:$A,$A2706,$G:$G)*(SUMIF(Summary!$A$247:$A$283,$A2706,Summary!$L$247:$L$283)+SUMIF(Summary!$A$297:$A$333,$A2706,Summary!$L$297:$L$333))-AK2706,0)</f>
        <v>0</v>
      </c>
      <c r="AM2706" s="198"/>
      <c r="AN2706" s="196">
        <f t="shared" ca="1" si="600"/>
        <v>0</v>
      </c>
      <c r="AO2706" s="196">
        <f t="shared" ca="1" si="601"/>
        <v>0</v>
      </c>
    </row>
    <row r="2707" spans="1:41">
      <c r="A2707" s="189">
        <v>9930</v>
      </c>
      <c r="B2707" s="190">
        <v>4</v>
      </c>
      <c r="C2707" s="191" t="s">
        <v>234</v>
      </c>
      <c r="D2707" s="192">
        <f t="shared" si="588"/>
        <v>0</v>
      </c>
      <c r="E2707" s="192">
        <f t="shared" si="589"/>
        <v>0</v>
      </c>
      <c r="F2707" s="192">
        <f t="shared" si="590"/>
        <v>0</v>
      </c>
      <c r="G2707" s="193">
        <f t="shared" si="591"/>
        <v>0</v>
      </c>
      <c r="H2707" s="194">
        <v>0</v>
      </c>
      <c r="I2707" s="194">
        <v>0</v>
      </c>
      <c r="J2707" s="194">
        <v>0</v>
      </c>
      <c r="K2707" s="193">
        <f t="shared" si="592"/>
        <v>0</v>
      </c>
      <c r="L2707" s="194">
        <v>0</v>
      </c>
      <c r="M2707" s="194">
        <v>0</v>
      </c>
      <c r="N2707" s="194">
        <v>0</v>
      </c>
      <c r="O2707" s="193">
        <f t="shared" si="593"/>
        <v>0</v>
      </c>
      <c r="P2707" s="194">
        <v>0</v>
      </c>
      <c r="Q2707" s="194">
        <v>0</v>
      </c>
      <c r="R2707" s="194">
        <v>0</v>
      </c>
      <c r="S2707" s="193">
        <f t="shared" si="594"/>
        <v>0</v>
      </c>
      <c r="T2707" s="193">
        <f t="shared" si="595"/>
        <v>0</v>
      </c>
      <c r="U2707" s="193">
        <f ca="1">OFFSET('Expenditure Study'!$B$7,'Operations Support'!$C2707,'Operations Support'!$B2707)*$G2707</f>
        <v>0</v>
      </c>
      <c r="V2707" s="199">
        <f ca="1">U2707*'Expenditure Study'!$B$31</f>
        <v>0</v>
      </c>
      <c r="W2707" s="199">
        <f ca="1">IF(A2707=10298,1.51,1)*IF($B2707&lt;3,$D2707*'Expenditure Study'!$B$32*OFFSET('Expenditure Study'!$B$7,'Operations Support'!$C2707,'Operations Support'!$B2707),0)</f>
        <v>0</v>
      </c>
      <c r="X2707" s="200">
        <f ca="1">W2707*'Expenditure Study'!$B$31</f>
        <v>0</v>
      </c>
      <c r="Y2707" s="199">
        <f ca="1">U2707*'Expenditure Study'!$B$31</f>
        <v>0</v>
      </c>
      <c r="Z2707" s="200">
        <f ca="1">W2707*'Expenditure Study'!$B$31</f>
        <v>0</v>
      </c>
      <c r="AA2707" s="195">
        <f t="shared" ca="1" si="596"/>
        <v>0</v>
      </c>
      <c r="AB2707" s="195">
        <f t="shared" ca="1" si="597"/>
        <v>0</v>
      </c>
      <c r="AD2707" s="196">
        <f>IFERROR($G2707/SUMIF($A:$A,$A2707,$G:$G)*SUMIF(Summary!$A$166:$A$242,$A2707,Summary!$P$166:$P$242),0)</f>
        <v>0</v>
      </c>
      <c r="AE2707" s="197">
        <f t="shared" ca="1" si="598"/>
        <v>0</v>
      </c>
      <c r="AF2707" s="196">
        <f>IFERROR(G2707/SUMIF(A:A,A2707,G:G)*SUMIF(Summary!$A$166:$A$242,'Operations Support'!A2707,Summary!$Q$166:$Q$242),0)</f>
        <v>0</v>
      </c>
      <c r="AG2707" s="196">
        <f t="shared" ca="1" si="599"/>
        <v>0</v>
      </c>
      <c r="AI2707" s="196">
        <f>IFERROR($G2707/SUMIF($A:$A,$A2707,$G:$G)*SUMIF(Summary!$A$247:$A$283,$A2707,Summary!$P$247:$P$283),0)</f>
        <v>0</v>
      </c>
      <c r="AJ2707" s="196">
        <f>IFERROR($G2707/SUMIF($A:$A,$A2707,$G:$G)*(SUMIF(Summary!$A$247:$A$283,$A2707,Summary!$L$247:$L$283)+SUMIF(Summary!$A$297:$A$333,$A2707,Summary!$L$297:$L$333))-AI2707,0)</f>
        <v>0</v>
      </c>
      <c r="AK2707" s="196">
        <f>IFERROR($G2707/SUMIF($A:$A,$A2707,$G:$G)*SUMIF(Summary!$A$247:$A$283,$A2707,Summary!$Q$247:$Q$283),0)</f>
        <v>0</v>
      </c>
      <c r="AL2707" s="196">
        <f>IFERROR($G2707/SUMIF($A:$A,$A2707,$G:$G)*(SUMIF(Summary!$A$247:$A$283,$A2707,Summary!$L$247:$L$283)+SUMIF(Summary!$A$297:$A$333,$A2707,Summary!$L$297:$L$333))-AK2707,0)</f>
        <v>0</v>
      </c>
      <c r="AM2707" s="198"/>
      <c r="AN2707" s="196">
        <f t="shared" ca="1" si="600"/>
        <v>0</v>
      </c>
      <c r="AO2707" s="196">
        <f t="shared" ca="1" si="601"/>
        <v>0</v>
      </c>
    </row>
    <row r="2708" spans="1:41">
      <c r="A2708" s="189">
        <v>9930</v>
      </c>
      <c r="B2708" s="190">
        <v>4</v>
      </c>
      <c r="C2708" s="191" t="s">
        <v>235</v>
      </c>
      <c r="D2708" s="192">
        <f t="shared" si="588"/>
        <v>0</v>
      </c>
      <c r="E2708" s="192">
        <f t="shared" si="589"/>
        <v>0</v>
      </c>
      <c r="F2708" s="192">
        <f t="shared" si="590"/>
        <v>0</v>
      </c>
      <c r="G2708" s="193">
        <f t="shared" si="591"/>
        <v>0</v>
      </c>
      <c r="H2708" s="194">
        <v>0</v>
      </c>
      <c r="I2708" s="194">
        <v>0</v>
      </c>
      <c r="J2708" s="194">
        <v>0</v>
      </c>
      <c r="K2708" s="193">
        <f t="shared" si="592"/>
        <v>0</v>
      </c>
      <c r="L2708" s="194">
        <v>0</v>
      </c>
      <c r="M2708" s="194">
        <v>0</v>
      </c>
      <c r="N2708" s="194">
        <v>0</v>
      </c>
      <c r="O2708" s="193">
        <f t="shared" si="593"/>
        <v>0</v>
      </c>
      <c r="P2708" s="194">
        <v>0</v>
      </c>
      <c r="Q2708" s="194">
        <v>0</v>
      </c>
      <c r="R2708" s="194">
        <v>0</v>
      </c>
      <c r="S2708" s="193">
        <f t="shared" si="594"/>
        <v>0</v>
      </c>
      <c r="T2708" s="193">
        <f t="shared" si="595"/>
        <v>0</v>
      </c>
      <c r="U2708" s="193">
        <f ca="1">OFFSET('Expenditure Study'!$B$7,'Operations Support'!$C2708,'Operations Support'!$B2708)*$G2708</f>
        <v>0</v>
      </c>
      <c r="V2708" s="199">
        <f ca="1">U2708*'Expenditure Study'!$B$31</f>
        <v>0</v>
      </c>
      <c r="W2708" s="199">
        <f ca="1">IF(A2708=10298,1.51,1)*IF($B2708&lt;3,$D2708*'Expenditure Study'!$B$32*OFFSET('Expenditure Study'!$B$7,'Operations Support'!$C2708,'Operations Support'!$B2708),0)</f>
        <v>0</v>
      </c>
      <c r="X2708" s="200">
        <f ca="1">W2708*'Expenditure Study'!$B$31</f>
        <v>0</v>
      </c>
      <c r="Y2708" s="199">
        <f ca="1">U2708*'Expenditure Study'!$B$31</f>
        <v>0</v>
      </c>
      <c r="Z2708" s="200">
        <f ca="1">W2708*'Expenditure Study'!$B$31</f>
        <v>0</v>
      </c>
      <c r="AA2708" s="195">
        <f t="shared" ca="1" si="596"/>
        <v>0</v>
      </c>
      <c r="AB2708" s="195">
        <f t="shared" ca="1" si="597"/>
        <v>0</v>
      </c>
      <c r="AD2708" s="196">
        <f>IFERROR($G2708/SUMIF($A:$A,$A2708,$G:$G)*SUMIF(Summary!$A$166:$A$242,$A2708,Summary!$P$166:$P$242),0)</f>
        <v>0</v>
      </c>
      <c r="AE2708" s="197">
        <f t="shared" ca="1" si="598"/>
        <v>0</v>
      </c>
      <c r="AF2708" s="196">
        <f>IFERROR(G2708/SUMIF(A:A,A2708,G:G)*SUMIF(Summary!$A$166:$A$242,'Operations Support'!A2708,Summary!$Q$166:$Q$242),0)</f>
        <v>0</v>
      </c>
      <c r="AG2708" s="196">
        <f t="shared" ca="1" si="599"/>
        <v>0</v>
      </c>
      <c r="AI2708" s="196">
        <f>IFERROR($G2708/SUMIF($A:$A,$A2708,$G:$G)*SUMIF(Summary!$A$247:$A$283,$A2708,Summary!$P$247:$P$283),0)</f>
        <v>0</v>
      </c>
      <c r="AJ2708" s="196">
        <f>IFERROR($G2708/SUMIF($A:$A,$A2708,$G:$G)*(SUMIF(Summary!$A$247:$A$283,$A2708,Summary!$L$247:$L$283)+SUMIF(Summary!$A$297:$A$333,$A2708,Summary!$L$297:$L$333))-AI2708,0)</f>
        <v>0</v>
      </c>
      <c r="AK2708" s="196">
        <f>IFERROR($G2708/SUMIF($A:$A,$A2708,$G:$G)*SUMIF(Summary!$A$247:$A$283,$A2708,Summary!$Q$247:$Q$283),0)</f>
        <v>0</v>
      </c>
      <c r="AL2708" s="196">
        <f>IFERROR($G2708/SUMIF($A:$A,$A2708,$G:$G)*(SUMIF(Summary!$A$247:$A$283,$A2708,Summary!$L$247:$L$283)+SUMIF(Summary!$A$297:$A$333,$A2708,Summary!$L$297:$L$333))-AK2708,0)</f>
        <v>0</v>
      </c>
      <c r="AM2708" s="198"/>
      <c r="AN2708" s="196">
        <f t="shared" ca="1" si="600"/>
        <v>0</v>
      </c>
      <c r="AO2708" s="196">
        <f t="shared" ca="1" si="601"/>
        <v>0</v>
      </c>
    </row>
    <row r="2709" spans="1:41">
      <c r="A2709" s="189">
        <v>9930</v>
      </c>
      <c r="B2709" s="190">
        <v>4</v>
      </c>
      <c r="C2709" s="191" t="s">
        <v>236</v>
      </c>
      <c r="D2709" s="192">
        <f t="shared" si="588"/>
        <v>0</v>
      </c>
      <c r="E2709" s="192">
        <f t="shared" si="589"/>
        <v>0</v>
      </c>
      <c r="F2709" s="192">
        <f t="shared" si="590"/>
        <v>0</v>
      </c>
      <c r="G2709" s="193">
        <f t="shared" si="591"/>
        <v>0</v>
      </c>
      <c r="H2709" s="194">
        <v>0</v>
      </c>
      <c r="I2709" s="194">
        <v>0</v>
      </c>
      <c r="J2709" s="194">
        <v>0</v>
      </c>
      <c r="K2709" s="193">
        <f t="shared" si="592"/>
        <v>0</v>
      </c>
      <c r="L2709" s="194">
        <v>0</v>
      </c>
      <c r="M2709" s="194">
        <v>0</v>
      </c>
      <c r="N2709" s="194">
        <v>0</v>
      </c>
      <c r="O2709" s="193">
        <f t="shared" si="593"/>
        <v>0</v>
      </c>
      <c r="P2709" s="194">
        <v>0</v>
      </c>
      <c r="Q2709" s="194">
        <v>0</v>
      </c>
      <c r="R2709" s="194">
        <v>0</v>
      </c>
      <c r="S2709" s="193">
        <f t="shared" si="594"/>
        <v>0</v>
      </c>
      <c r="T2709" s="193">
        <f t="shared" si="595"/>
        <v>0</v>
      </c>
      <c r="U2709" s="193">
        <f ca="1">OFFSET('Expenditure Study'!$B$7,'Operations Support'!$C2709,'Operations Support'!$B2709)*$G2709</f>
        <v>0</v>
      </c>
      <c r="V2709" s="199">
        <f ca="1">U2709*'Expenditure Study'!$B$31</f>
        <v>0</v>
      </c>
      <c r="W2709" s="199">
        <f ca="1">IF(A2709=10298,1.51,1)*IF($B2709&lt;3,$D2709*'Expenditure Study'!$B$32*OFFSET('Expenditure Study'!$B$7,'Operations Support'!$C2709,'Operations Support'!$B2709),0)</f>
        <v>0</v>
      </c>
      <c r="X2709" s="200">
        <f ca="1">W2709*'Expenditure Study'!$B$31</f>
        <v>0</v>
      </c>
      <c r="Y2709" s="199">
        <f ca="1">U2709*'Expenditure Study'!$B$31</f>
        <v>0</v>
      </c>
      <c r="Z2709" s="200">
        <f ca="1">W2709*'Expenditure Study'!$B$31</f>
        <v>0</v>
      </c>
      <c r="AA2709" s="195">
        <f t="shared" ca="1" si="596"/>
        <v>0</v>
      </c>
      <c r="AB2709" s="195">
        <f t="shared" ca="1" si="597"/>
        <v>0</v>
      </c>
      <c r="AD2709" s="196">
        <f>IFERROR($G2709/SUMIF($A:$A,$A2709,$G:$G)*SUMIF(Summary!$A$166:$A$242,$A2709,Summary!$P$166:$P$242),0)</f>
        <v>0</v>
      </c>
      <c r="AE2709" s="197">
        <f t="shared" ca="1" si="598"/>
        <v>0</v>
      </c>
      <c r="AF2709" s="196">
        <f>IFERROR(G2709/SUMIF(A:A,A2709,G:G)*SUMIF(Summary!$A$166:$A$242,'Operations Support'!A2709,Summary!$Q$166:$Q$242),0)</f>
        <v>0</v>
      </c>
      <c r="AG2709" s="196">
        <f t="shared" ca="1" si="599"/>
        <v>0</v>
      </c>
      <c r="AI2709" s="196">
        <f>IFERROR($G2709/SUMIF($A:$A,$A2709,$G:$G)*SUMIF(Summary!$A$247:$A$283,$A2709,Summary!$P$247:$P$283),0)</f>
        <v>0</v>
      </c>
      <c r="AJ2709" s="196">
        <f>IFERROR($G2709/SUMIF($A:$A,$A2709,$G:$G)*(SUMIF(Summary!$A$247:$A$283,$A2709,Summary!$L$247:$L$283)+SUMIF(Summary!$A$297:$A$333,$A2709,Summary!$L$297:$L$333))-AI2709,0)</f>
        <v>0</v>
      </c>
      <c r="AK2709" s="196">
        <f>IFERROR($G2709/SUMIF($A:$A,$A2709,$G:$G)*SUMIF(Summary!$A$247:$A$283,$A2709,Summary!$Q$247:$Q$283),0)</f>
        <v>0</v>
      </c>
      <c r="AL2709" s="196">
        <f>IFERROR($G2709/SUMIF($A:$A,$A2709,$G:$G)*(SUMIF(Summary!$A$247:$A$283,$A2709,Summary!$L$247:$L$283)+SUMIF(Summary!$A$297:$A$333,$A2709,Summary!$L$297:$L$333))-AK2709,0)</f>
        <v>0</v>
      </c>
      <c r="AM2709" s="198"/>
      <c r="AN2709" s="196">
        <f t="shared" ca="1" si="600"/>
        <v>0</v>
      </c>
      <c r="AO2709" s="196">
        <f t="shared" ca="1" si="601"/>
        <v>0</v>
      </c>
    </row>
    <row r="2710" spans="1:41">
      <c r="A2710" s="189">
        <v>9930</v>
      </c>
      <c r="B2710" s="190">
        <v>4</v>
      </c>
      <c r="C2710" s="191" t="s">
        <v>237</v>
      </c>
      <c r="D2710" s="192">
        <f t="shared" si="588"/>
        <v>0</v>
      </c>
      <c r="E2710" s="192">
        <f t="shared" si="589"/>
        <v>0</v>
      </c>
      <c r="F2710" s="192">
        <f t="shared" si="590"/>
        <v>0</v>
      </c>
      <c r="G2710" s="193">
        <f t="shared" si="591"/>
        <v>0</v>
      </c>
      <c r="H2710" s="194">
        <v>0</v>
      </c>
      <c r="I2710" s="194">
        <v>0</v>
      </c>
      <c r="J2710" s="194">
        <v>0</v>
      </c>
      <c r="K2710" s="193">
        <f t="shared" si="592"/>
        <v>0</v>
      </c>
      <c r="L2710" s="194">
        <v>0</v>
      </c>
      <c r="M2710" s="194">
        <v>0</v>
      </c>
      <c r="N2710" s="194">
        <v>0</v>
      </c>
      <c r="O2710" s="193">
        <f t="shared" si="593"/>
        <v>0</v>
      </c>
      <c r="P2710" s="194">
        <v>0</v>
      </c>
      <c r="Q2710" s="194">
        <v>0</v>
      </c>
      <c r="R2710" s="194">
        <v>0</v>
      </c>
      <c r="S2710" s="193">
        <f t="shared" si="594"/>
        <v>0</v>
      </c>
      <c r="T2710" s="193">
        <f t="shared" si="595"/>
        <v>0</v>
      </c>
      <c r="U2710" s="193">
        <f ca="1">OFFSET('Expenditure Study'!$B$7,'Operations Support'!$C2710,'Operations Support'!$B2710)*$G2710</f>
        <v>0</v>
      </c>
      <c r="V2710" s="199">
        <f ca="1">U2710*'Expenditure Study'!$B$31</f>
        <v>0</v>
      </c>
      <c r="W2710" s="199">
        <f ca="1">IF(A2710=10298,1.51,1)*IF($B2710&lt;3,$D2710*'Expenditure Study'!$B$32*OFFSET('Expenditure Study'!$B$7,'Operations Support'!$C2710,'Operations Support'!$B2710),0)</f>
        <v>0</v>
      </c>
      <c r="X2710" s="200">
        <f ca="1">W2710*'Expenditure Study'!$B$31</f>
        <v>0</v>
      </c>
      <c r="Y2710" s="199">
        <f ca="1">U2710*'Expenditure Study'!$B$31</f>
        <v>0</v>
      </c>
      <c r="Z2710" s="200">
        <f ca="1">W2710*'Expenditure Study'!$B$31</f>
        <v>0</v>
      </c>
      <c r="AA2710" s="195">
        <f t="shared" ca="1" si="596"/>
        <v>0</v>
      </c>
      <c r="AB2710" s="195">
        <f t="shared" ca="1" si="597"/>
        <v>0</v>
      </c>
      <c r="AD2710" s="196">
        <f>IFERROR($G2710/SUMIF($A:$A,$A2710,$G:$G)*SUMIF(Summary!$A$166:$A$242,$A2710,Summary!$P$166:$P$242),0)</f>
        <v>0</v>
      </c>
      <c r="AE2710" s="197">
        <f t="shared" ca="1" si="598"/>
        <v>0</v>
      </c>
      <c r="AF2710" s="196">
        <f>IFERROR(G2710/SUMIF(A:A,A2710,G:G)*SUMIF(Summary!$A$166:$A$242,'Operations Support'!A2710,Summary!$Q$166:$Q$242),0)</f>
        <v>0</v>
      </c>
      <c r="AG2710" s="196">
        <f t="shared" ca="1" si="599"/>
        <v>0</v>
      </c>
      <c r="AI2710" s="196">
        <f>IFERROR($G2710/SUMIF($A:$A,$A2710,$G:$G)*SUMIF(Summary!$A$247:$A$283,$A2710,Summary!$P$247:$P$283),0)</f>
        <v>0</v>
      </c>
      <c r="AJ2710" s="196">
        <f>IFERROR($G2710/SUMIF($A:$A,$A2710,$G:$G)*(SUMIF(Summary!$A$247:$A$283,$A2710,Summary!$L$247:$L$283)+SUMIF(Summary!$A$297:$A$333,$A2710,Summary!$L$297:$L$333))-AI2710,0)</f>
        <v>0</v>
      </c>
      <c r="AK2710" s="196">
        <f>IFERROR($G2710/SUMIF($A:$A,$A2710,$G:$G)*SUMIF(Summary!$A$247:$A$283,$A2710,Summary!$Q$247:$Q$283),0)</f>
        <v>0</v>
      </c>
      <c r="AL2710" s="196">
        <f>IFERROR($G2710/SUMIF($A:$A,$A2710,$G:$G)*(SUMIF(Summary!$A$247:$A$283,$A2710,Summary!$L$247:$L$283)+SUMIF(Summary!$A$297:$A$333,$A2710,Summary!$L$297:$L$333))-AK2710,0)</f>
        <v>0</v>
      </c>
      <c r="AM2710" s="198"/>
      <c r="AN2710" s="196">
        <f t="shared" ca="1" si="600"/>
        <v>0</v>
      </c>
      <c r="AO2710" s="196">
        <f t="shared" ca="1" si="601"/>
        <v>0</v>
      </c>
    </row>
    <row r="2711" spans="1:41">
      <c r="A2711" s="189">
        <v>9930</v>
      </c>
      <c r="B2711" s="190">
        <v>4</v>
      </c>
      <c r="C2711" s="191" t="s">
        <v>238</v>
      </c>
      <c r="D2711" s="192">
        <f t="shared" si="588"/>
        <v>0</v>
      </c>
      <c r="E2711" s="192">
        <f t="shared" si="589"/>
        <v>0</v>
      </c>
      <c r="F2711" s="192">
        <f t="shared" si="590"/>
        <v>0</v>
      </c>
      <c r="G2711" s="193">
        <f t="shared" si="591"/>
        <v>0</v>
      </c>
      <c r="H2711" s="194">
        <v>0</v>
      </c>
      <c r="I2711" s="194">
        <v>0</v>
      </c>
      <c r="J2711" s="194">
        <v>0</v>
      </c>
      <c r="K2711" s="193">
        <f t="shared" si="592"/>
        <v>0</v>
      </c>
      <c r="L2711" s="194">
        <v>0</v>
      </c>
      <c r="M2711" s="194">
        <v>0</v>
      </c>
      <c r="N2711" s="194">
        <v>0</v>
      </c>
      <c r="O2711" s="193">
        <f t="shared" si="593"/>
        <v>0</v>
      </c>
      <c r="P2711" s="194">
        <v>0</v>
      </c>
      <c r="Q2711" s="194">
        <v>0</v>
      </c>
      <c r="R2711" s="194">
        <v>0</v>
      </c>
      <c r="S2711" s="193">
        <f t="shared" si="594"/>
        <v>0</v>
      </c>
      <c r="T2711" s="193">
        <f t="shared" si="595"/>
        <v>0</v>
      </c>
      <c r="U2711" s="193">
        <f ca="1">OFFSET('Expenditure Study'!$B$7,'Operations Support'!$C2711,'Operations Support'!$B2711)*$G2711</f>
        <v>0</v>
      </c>
      <c r="V2711" s="199">
        <f ca="1">U2711*'Expenditure Study'!$B$31</f>
        <v>0</v>
      </c>
      <c r="W2711" s="199">
        <f ca="1">IF(A2711=10298,1.51,1)*IF($B2711&lt;3,$D2711*'Expenditure Study'!$B$32*OFFSET('Expenditure Study'!$B$7,'Operations Support'!$C2711,'Operations Support'!$B2711),0)</f>
        <v>0</v>
      </c>
      <c r="X2711" s="200">
        <f ca="1">W2711*'Expenditure Study'!$B$31</f>
        <v>0</v>
      </c>
      <c r="Y2711" s="199">
        <f ca="1">U2711*'Expenditure Study'!$B$31</f>
        <v>0</v>
      </c>
      <c r="Z2711" s="200">
        <f ca="1">W2711*'Expenditure Study'!$B$31</f>
        <v>0</v>
      </c>
      <c r="AA2711" s="195">
        <f t="shared" ca="1" si="596"/>
        <v>0</v>
      </c>
      <c r="AB2711" s="195">
        <f t="shared" ca="1" si="597"/>
        <v>0</v>
      </c>
      <c r="AD2711" s="196">
        <f>IFERROR($G2711/SUMIF($A:$A,$A2711,$G:$G)*SUMIF(Summary!$A$166:$A$242,$A2711,Summary!$P$166:$P$242),0)</f>
        <v>0</v>
      </c>
      <c r="AE2711" s="197">
        <f t="shared" ca="1" si="598"/>
        <v>0</v>
      </c>
      <c r="AF2711" s="196">
        <f>IFERROR(G2711/SUMIF(A:A,A2711,G:G)*SUMIF(Summary!$A$166:$A$242,'Operations Support'!A2711,Summary!$Q$166:$Q$242),0)</f>
        <v>0</v>
      </c>
      <c r="AG2711" s="196">
        <f t="shared" ca="1" si="599"/>
        <v>0</v>
      </c>
      <c r="AI2711" s="196">
        <f>IFERROR($G2711/SUMIF($A:$A,$A2711,$G:$G)*SUMIF(Summary!$A$247:$A$283,$A2711,Summary!$P$247:$P$283),0)</f>
        <v>0</v>
      </c>
      <c r="AJ2711" s="196">
        <f>IFERROR($G2711/SUMIF($A:$A,$A2711,$G:$G)*(SUMIF(Summary!$A$247:$A$283,$A2711,Summary!$L$247:$L$283)+SUMIF(Summary!$A$297:$A$333,$A2711,Summary!$L$297:$L$333))-AI2711,0)</f>
        <v>0</v>
      </c>
      <c r="AK2711" s="196">
        <f>IFERROR($G2711/SUMIF($A:$A,$A2711,$G:$G)*SUMIF(Summary!$A$247:$A$283,$A2711,Summary!$Q$247:$Q$283),0)</f>
        <v>0</v>
      </c>
      <c r="AL2711" s="196">
        <f>IFERROR($G2711/SUMIF($A:$A,$A2711,$G:$G)*(SUMIF(Summary!$A$247:$A$283,$A2711,Summary!$L$247:$L$283)+SUMIF(Summary!$A$297:$A$333,$A2711,Summary!$L$297:$L$333))-AK2711,0)</f>
        <v>0</v>
      </c>
      <c r="AM2711" s="198"/>
      <c r="AN2711" s="196">
        <f t="shared" ca="1" si="600"/>
        <v>0</v>
      </c>
      <c r="AO2711" s="196">
        <f t="shared" ca="1" si="601"/>
        <v>0</v>
      </c>
    </row>
    <row r="2712" spans="1:41" s="201" customFormat="1">
      <c r="A2712" s="189">
        <v>9930</v>
      </c>
      <c r="B2712" s="190">
        <v>4</v>
      </c>
      <c r="C2712" s="191" t="s">
        <v>239</v>
      </c>
      <c r="D2712" s="192">
        <f t="shared" si="588"/>
        <v>0</v>
      </c>
      <c r="E2712" s="192">
        <f t="shared" si="589"/>
        <v>0</v>
      </c>
      <c r="F2712" s="192">
        <f t="shared" si="590"/>
        <v>0</v>
      </c>
      <c r="G2712" s="193">
        <f t="shared" si="591"/>
        <v>0</v>
      </c>
      <c r="H2712" s="194">
        <v>0</v>
      </c>
      <c r="I2712" s="194">
        <v>0</v>
      </c>
      <c r="J2712" s="194">
        <v>0</v>
      </c>
      <c r="K2712" s="193">
        <f t="shared" si="592"/>
        <v>0</v>
      </c>
      <c r="L2712" s="194">
        <v>0</v>
      </c>
      <c r="M2712" s="194">
        <v>0</v>
      </c>
      <c r="N2712" s="194">
        <v>0</v>
      </c>
      <c r="O2712" s="193">
        <f t="shared" si="593"/>
        <v>0</v>
      </c>
      <c r="P2712" s="194">
        <v>0</v>
      </c>
      <c r="Q2712" s="194">
        <v>0</v>
      </c>
      <c r="R2712" s="194">
        <v>0</v>
      </c>
      <c r="S2712" s="193">
        <f t="shared" si="594"/>
        <v>0</v>
      </c>
      <c r="T2712" s="193">
        <f t="shared" si="595"/>
        <v>0</v>
      </c>
      <c r="U2712" s="193">
        <f ca="1">OFFSET('Expenditure Study'!$B$7,'Operations Support'!$C2712,'Operations Support'!$B2712)*$G2712</f>
        <v>0</v>
      </c>
      <c r="V2712" s="199">
        <f ca="1">U2712*'Expenditure Study'!$B$31</f>
        <v>0</v>
      </c>
      <c r="W2712" s="199">
        <f ca="1">IF(A2712=10298,1.51,1)*IF($B2712&lt;3,$D2712*'Expenditure Study'!$B$32*OFFSET('Expenditure Study'!$B$7,'Operations Support'!$C2712,'Operations Support'!$B2712),0)</f>
        <v>0</v>
      </c>
      <c r="X2712" s="200">
        <f ca="1">W2712*'Expenditure Study'!$B$31</f>
        <v>0</v>
      </c>
      <c r="Y2712" s="199">
        <f ca="1">U2712*'Expenditure Study'!$B$31</f>
        <v>0</v>
      </c>
      <c r="Z2712" s="200">
        <f ca="1">W2712*'Expenditure Study'!$B$31</f>
        <v>0</v>
      </c>
      <c r="AA2712" s="195">
        <f t="shared" ca="1" si="596"/>
        <v>0</v>
      </c>
      <c r="AB2712" s="195">
        <f t="shared" ca="1" si="597"/>
        <v>0</v>
      </c>
      <c r="AD2712" s="196">
        <f>IFERROR($G2712/SUMIF($A:$A,$A2712,$G:$G)*SUMIF(Summary!$A$166:$A$242,$A2712,Summary!$P$166:$P$242),0)</f>
        <v>0</v>
      </c>
      <c r="AE2712" s="197">
        <f t="shared" ca="1" si="598"/>
        <v>0</v>
      </c>
      <c r="AF2712" s="196">
        <f>IFERROR(G2712/SUMIF(A:A,A2712,G:G)*SUMIF(Summary!$A$166:$A$242,'Operations Support'!A2712,Summary!$Q$166:$Q$242),0)</f>
        <v>0</v>
      </c>
      <c r="AG2712" s="196">
        <f t="shared" ca="1" si="599"/>
        <v>0</v>
      </c>
      <c r="AH2712" s="180"/>
      <c r="AI2712" s="196">
        <f>IFERROR($G2712/SUMIF($A:$A,$A2712,$G:$G)*SUMIF(Summary!$A$247:$A$283,$A2712,Summary!$P$247:$P$283),0)</f>
        <v>0</v>
      </c>
      <c r="AJ2712" s="196">
        <f>IFERROR($G2712/SUMIF($A:$A,$A2712,$G:$G)*(SUMIF(Summary!$A$247:$A$283,$A2712,Summary!$L$247:$L$283)+SUMIF(Summary!$A$297:$A$333,$A2712,Summary!$L$297:$L$333))-AI2712,0)</f>
        <v>0</v>
      </c>
      <c r="AK2712" s="196">
        <f>IFERROR($G2712/SUMIF($A:$A,$A2712,$G:$G)*SUMIF(Summary!$A$247:$A$283,$A2712,Summary!$Q$247:$Q$283),0)</f>
        <v>0</v>
      </c>
      <c r="AL2712" s="196">
        <f>IFERROR($G2712/SUMIF($A:$A,$A2712,$G:$G)*(SUMIF(Summary!$A$247:$A$283,$A2712,Summary!$L$247:$L$283)+SUMIF(Summary!$A$297:$A$333,$A2712,Summary!$L$297:$L$333))-AK2712,0)</f>
        <v>0</v>
      </c>
      <c r="AM2712" s="198"/>
      <c r="AN2712" s="196">
        <f t="shared" ca="1" si="600"/>
        <v>0</v>
      </c>
      <c r="AO2712" s="196">
        <f t="shared" ca="1" si="601"/>
        <v>0</v>
      </c>
    </row>
    <row r="2713" spans="1:41">
      <c r="A2713" s="189">
        <v>9930</v>
      </c>
      <c r="B2713" s="190">
        <v>4</v>
      </c>
      <c r="C2713" s="191" t="s">
        <v>240</v>
      </c>
      <c r="D2713" s="192">
        <f t="shared" si="588"/>
        <v>0</v>
      </c>
      <c r="E2713" s="192">
        <f t="shared" si="589"/>
        <v>0</v>
      </c>
      <c r="F2713" s="192">
        <f t="shared" si="590"/>
        <v>0</v>
      </c>
      <c r="G2713" s="193">
        <f t="shared" si="591"/>
        <v>0</v>
      </c>
      <c r="H2713" s="194">
        <v>0</v>
      </c>
      <c r="I2713" s="194">
        <v>0</v>
      </c>
      <c r="J2713" s="194">
        <v>0</v>
      </c>
      <c r="K2713" s="193">
        <f t="shared" si="592"/>
        <v>0</v>
      </c>
      <c r="L2713" s="194">
        <v>0</v>
      </c>
      <c r="M2713" s="194">
        <v>0</v>
      </c>
      <c r="N2713" s="194">
        <v>0</v>
      </c>
      <c r="O2713" s="193">
        <f t="shared" si="593"/>
        <v>0</v>
      </c>
      <c r="P2713" s="194">
        <v>0</v>
      </c>
      <c r="Q2713" s="194">
        <v>0</v>
      </c>
      <c r="R2713" s="194">
        <v>0</v>
      </c>
      <c r="S2713" s="193">
        <f t="shared" si="594"/>
        <v>0</v>
      </c>
      <c r="T2713" s="193">
        <f t="shared" si="595"/>
        <v>0</v>
      </c>
      <c r="U2713" s="193">
        <f ca="1">OFFSET('Expenditure Study'!$B$7,'Operations Support'!$C2713,'Operations Support'!$B2713)*$G2713</f>
        <v>0</v>
      </c>
      <c r="V2713" s="199">
        <f ca="1">U2713*'Expenditure Study'!$B$31</f>
        <v>0</v>
      </c>
      <c r="W2713" s="199">
        <f ca="1">IF(A2713=10298,1.51,1)*IF($B2713&lt;3,$D2713*'Expenditure Study'!$B$32*OFFSET('Expenditure Study'!$B$7,'Operations Support'!$C2713,'Operations Support'!$B2713),0)</f>
        <v>0</v>
      </c>
      <c r="X2713" s="200">
        <f ca="1">W2713*'Expenditure Study'!$B$31</f>
        <v>0</v>
      </c>
      <c r="Y2713" s="199">
        <f ca="1">U2713*'Expenditure Study'!$B$31</f>
        <v>0</v>
      </c>
      <c r="Z2713" s="200">
        <f ca="1">W2713*'Expenditure Study'!$B$31</f>
        <v>0</v>
      </c>
      <c r="AA2713" s="195">
        <f t="shared" ca="1" si="596"/>
        <v>0</v>
      </c>
      <c r="AB2713" s="195">
        <f t="shared" ca="1" si="597"/>
        <v>0</v>
      </c>
      <c r="AD2713" s="196">
        <f>IFERROR($G2713/SUMIF($A:$A,$A2713,$G:$G)*SUMIF(Summary!$A$166:$A$242,$A2713,Summary!$P$166:$P$242),0)</f>
        <v>0</v>
      </c>
      <c r="AE2713" s="197">
        <f t="shared" ca="1" si="598"/>
        <v>0</v>
      </c>
      <c r="AF2713" s="196">
        <f>IFERROR(G2713/SUMIF(A:A,A2713,G:G)*SUMIF(Summary!$A$166:$A$242,'Operations Support'!A2713,Summary!$Q$166:$Q$242),0)</f>
        <v>0</v>
      </c>
      <c r="AG2713" s="196">
        <f t="shared" ca="1" si="599"/>
        <v>0</v>
      </c>
      <c r="AI2713" s="196">
        <f>IFERROR($G2713/SUMIF($A:$A,$A2713,$G:$G)*SUMIF(Summary!$A$247:$A$283,$A2713,Summary!$P$247:$P$283),0)</f>
        <v>0</v>
      </c>
      <c r="AJ2713" s="196">
        <f>IFERROR($G2713/SUMIF($A:$A,$A2713,$G:$G)*(SUMIF(Summary!$A$247:$A$283,$A2713,Summary!$L$247:$L$283)+SUMIF(Summary!$A$297:$A$333,$A2713,Summary!$L$297:$L$333))-AI2713,0)</f>
        <v>0</v>
      </c>
      <c r="AK2713" s="196">
        <f>IFERROR($G2713/SUMIF($A:$A,$A2713,$G:$G)*SUMIF(Summary!$A$247:$A$283,$A2713,Summary!$Q$247:$Q$283),0)</f>
        <v>0</v>
      </c>
      <c r="AL2713" s="196">
        <f>IFERROR($G2713/SUMIF($A:$A,$A2713,$G:$G)*(SUMIF(Summary!$A$247:$A$283,$A2713,Summary!$L$247:$L$283)+SUMIF(Summary!$A$297:$A$333,$A2713,Summary!$L$297:$L$333))-AK2713,0)</f>
        <v>0</v>
      </c>
      <c r="AM2713" s="198"/>
      <c r="AN2713" s="196">
        <f t="shared" ca="1" si="600"/>
        <v>0</v>
      </c>
      <c r="AO2713" s="196">
        <f t="shared" ca="1" si="601"/>
        <v>0</v>
      </c>
    </row>
    <row r="2714" spans="1:41">
      <c r="A2714" s="189">
        <v>9930</v>
      </c>
      <c r="B2714" s="190">
        <v>5</v>
      </c>
      <c r="C2714" s="191" t="s">
        <v>220</v>
      </c>
      <c r="D2714" s="192">
        <f t="shared" si="588"/>
        <v>0</v>
      </c>
      <c r="E2714" s="192">
        <f t="shared" si="589"/>
        <v>0</v>
      </c>
      <c r="F2714" s="192">
        <f t="shared" si="590"/>
        <v>0</v>
      </c>
      <c r="G2714" s="193">
        <f t="shared" si="591"/>
        <v>0</v>
      </c>
      <c r="H2714" s="194">
        <v>0</v>
      </c>
      <c r="I2714" s="194">
        <v>0</v>
      </c>
      <c r="J2714" s="194">
        <v>0</v>
      </c>
      <c r="K2714" s="193">
        <f t="shared" si="592"/>
        <v>0</v>
      </c>
      <c r="L2714" s="194">
        <v>0</v>
      </c>
      <c r="M2714" s="194">
        <v>0</v>
      </c>
      <c r="N2714" s="194">
        <v>0</v>
      </c>
      <c r="O2714" s="193">
        <f t="shared" si="593"/>
        <v>0</v>
      </c>
      <c r="P2714" s="194">
        <v>0</v>
      </c>
      <c r="Q2714" s="194">
        <v>0</v>
      </c>
      <c r="R2714" s="194">
        <v>0</v>
      </c>
      <c r="S2714" s="193">
        <f t="shared" si="594"/>
        <v>0</v>
      </c>
      <c r="T2714" s="193">
        <f t="shared" si="595"/>
        <v>0</v>
      </c>
      <c r="U2714" s="193">
        <f ca="1">OFFSET('Expenditure Study'!$B$7,'Operations Support'!$C2714,'Operations Support'!$B2714)*$G2714</f>
        <v>0</v>
      </c>
      <c r="V2714" s="199">
        <f ca="1">U2714*'Expenditure Study'!$B$31</f>
        <v>0</v>
      </c>
      <c r="W2714" s="199">
        <f ca="1">IF(A2714=10298,1.51,1)*IF($B2714&lt;3,$D2714*'Expenditure Study'!$B$32*OFFSET('Expenditure Study'!$B$7,'Operations Support'!$C2714,'Operations Support'!$B2714),0)</f>
        <v>0</v>
      </c>
      <c r="X2714" s="200">
        <f ca="1">W2714*'Expenditure Study'!$B$31</f>
        <v>0</v>
      </c>
      <c r="Y2714" s="199">
        <f ca="1">U2714*'Expenditure Study'!$B$31</f>
        <v>0</v>
      </c>
      <c r="Z2714" s="200">
        <f ca="1">W2714*'Expenditure Study'!$B$31</f>
        <v>0</v>
      </c>
      <c r="AA2714" s="195">
        <f t="shared" ca="1" si="596"/>
        <v>0</v>
      </c>
      <c r="AB2714" s="195">
        <f t="shared" ca="1" si="597"/>
        <v>0</v>
      </c>
      <c r="AD2714" s="196">
        <f>IFERROR($G2714/SUMIF($A:$A,$A2714,$G:$G)*SUMIF(Summary!$A$166:$A$242,$A2714,Summary!$P$166:$P$242),0)</f>
        <v>0</v>
      </c>
      <c r="AE2714" s="197">
        <f t="shared" ca="1" si="598"/>
        <v>0</v>
      </c>
      <c r="AF2714" s="196">
        <f>IFERROR(G2714/SUMIF(A:A,A2714,G:G)*SUMIF(Summary!$A$166:$A$242,'Operations Support'!A2714,Summary!$Q$166:$Q$242),0)</f>
        <v>0</v>
      </c>
      <c r="AG2714" s="196">
        <f t="shared" ca="1" si="599"/>
        <v>0</v>
      </c>
      <c r="AI2714" s="196">
        <f>IFERROR($G2714/SUMIF($A:$A,$A2714,$G:$G)*SUMIF(Summary!$A$247:$A$283,$A2714,Summary!$P$247:$P$283),0)</f>
        <v>0</v>
      </c>
      <c r="AJ2714" s="196">
        <f>IFERROR($G2714/SUMIF($A:$A,$A2714,$G:$G)*(SUMIF(Summary!$A$247:$A$283,$A2714,Summary!$L$247:$L$283)+SUMIF(Summary!$A$297:$A$333,$A2714,Summary!$L$297:$L$333))-AI2714,0)</f>
        <v>0</v>
      </c>
      <c r="AK2714" s="196">
        <f>IFERROR($G2714/SUMIF($A:$A,$A2714,$G:$G)*SUMIF(Summary!$A$247:$A$283,$A2714,Summary!$Q$247:$Q$283),0)</f>
        <v>0</v>
      </c>
      <c r="AL2714" s="196">
        <f>IFERROR($G2714/SUMIF($A:$A,$A2714,$G:$G)*(SUMIF(Summary!$A$247:$A$283,$A2714,Summary!$L$247:$L$283)+SUMIF(Summary!$A$297:$A$333,$A2714,Summary!$L$297:$L$333))-AK2714,0)</f>
        <v>0</v>
      </c>
      <c r="AM2714" s="198"/>
      <c r="AN2714" s="196">
        <f t="shared" ca="1" si="600"/>
        <v>0</v>
      </c>
      <c r="AO2714" s="196">
        <f t="shared" ca="1" si="601"/>
        <v>0</v>
      </c>
    </row>
    <row r="2715" spans="1:41">
      <c r="A2715" s="189">
        <v>9930</v>
      </c>
      <c r="B2715" s="190">
        <v>5</v>
      </c>
      <c r="C2715" s="191" t="s">
        <v>221</v>
      </c>
      <c r="D2715" s="192">
        <f t="shared" si="588"/>
        <v>0</v>
      </c>
      <c r="E2715" s="192">
        <f t="shared" si="589"/>
        <v>0</v>
      </c>
      <c r="F2715" s="192">
        <f t="shared" si="590"/>
        <v>0</v>
      </c>
      <c r="G2715" s="193">
        <f t="shared" si="591"/>
        <v>0</v>
      </c>
      <c r="H2715" s="194">
        <v>0</v>
      </c>
      <c r="I2715" s="194">
        <v>0</v>
      </c>
      <c r="J2715" s="194">
        <v>0</v>
      </c>
      <c r="K2715" s="193">
        <f t="shared" si="592"/>
        <v>0</v>
      </c>
      <c r="L2715" s="194">
        <v>0</v>
      </c>
      <c r="M2715" s="194">
        <v>0</v>
      </c>
      <c r="N2715" s="194">
        <v>0</v>
      </c>
      <c r="O2715" s="193">
        <f t="shared" si="593"/>
        <v>0</v>
      </c>
      <c r="P2715" s="194">
        <v>0</v>
      </c>
      <c r="Q2715" s="194">
        <v>0</v>
      </c>
      <c r="R2715" s="194">
        <v>0</v>
      </c>
      <c r="S2715" s="193">
        <f t="shared" si="594"/>
        <v>0</v>
      </c>
      <c r="T2715" s="193">
        <f t="shared" si="595"/>
        <v>0</v>
      </c>
      <c r="U2715" s="193">
        <f ca="1">OFFSET('Expenditure Study'!$B$7,'Operations Support'!$C2715,'Operations Support'!$B2715)*$G2715</f>
        <v>0</v>
      </c>
      <c r="V2715" s="199">
        <f ca="1">U2715*'Expenditure Study'!$B$31</f>
        <v>0</v>
      </c>
      <c r="W2715" s="199">
        <f ca="1">IF(A2715=10298,1.51,1)*IF($B2715&lt;3,$D2715*'Expenditure Study'!$B$32*OFFSET('Expenditure Study'!$B$7,'Operations Support'!$C2715,'Operations Support'!$B2715),0)</f>
        <v>0</v>
      </c>
      <c r="X2715" s="200">
        <f ca="1">W2715*'Expenditure Study'!$B$31</f>
        <v>0</v>
      </c>
      <c r="Y2715" s="199">
        <f ca="1">U2715*'Expenditure Study'!$B$31</f>
        <v>0</v>
      </c>
      <c r="Z2715" s="200">
        <f ca="1">W2715*'Expenditure Study'!$B$31</f>
        <v>0</v>
      </c>
      <c r="AA2715" s="195">
        <f t="shared" ca="1" si="596"/>
        <v>0</v>
      </c>
      <c r="AB2715" s="195">
        <f t="shared" ca="1" si="597"/>
        <v>0</v>
      </c>
      <c r="AD2715" s="196">
        <f>IFERROR($G2715/SUMIF($A:$A,$A2715,$G:$G)*SUMIF(Summary!$A$166:$A$242,$A2715,Summary!$P$166:$P$242),0)</f>
        <v>0</v>
      </c>
      <c r="AE2715" s="197">
        <f t="shared" ca="1" si="598"/>
        <v>0</v>
      </c>
      <c r="AF2715" s="196">
        <f>IFERROR(G2715/SUMIF(A:A,A2715,G:G)*SUMIF(Summary!$A$166:$A$242,'Operations Support'!A2715,Summary!$Q$166:$Q$242),0)</f>
        <v>0</v>
      </c>
      <c r="AG2715" s="196">
        <f t="shared" ca="1" si="599"/>
        <v>0</v>
      </c>
      <c r="AI2715" s="196">
        <f>IFERROR($G2715/SUMIF($A:$A,$A2715,$G:$G)*SUMIF(Summary!$A$247:$A$283,$A2715,Summary!$P$247:$P$283),0)</f>
        <v>0</v>
      </c>
      <c r="AJ2715" s="196">
        <f>IFERROR($G2715/SUMIF($A:$A,$A2715,$G:$G)*(SUMIF(Summary!$A$247:$A$283,$A2715,Summary!$L$247:$L$283)+SUMIF(Summary!$A$297:$A$333,$A2715,Summary!$L$297:$L$333))-AI2715,0)</f>
        <v>0</v>
      </c>
      <c r="AK2715" s="196">
        <f>IFERROR($G2715/SUMIF($A:$A,$A2715,$G:$G)*SUMIF(Summary!$A$247:$A$283,$A2715,Summary!$Q$247:$Q$283),0)</f>
        <v>0</v>
      </c>
      <c r="AL2715" s="196">
        <f>IFERROR($G2715/SUMIF($A:$A,$A2715,$G:$G)*(SUMIF(Summary!$A$247:$A$283,$A2715,Summary!$L$247:$L$283)+SUMIF(Summary!$A$297:$A$333,$A2715,Summary!$L$297:$L$333))-AK2715,0)</f>
        <v>0</v>
      </c>
      <c r="AM2715" s="198"/>
      <c r="AN2715" s="196">
        <f t="shared" ca="1" si="600"/>
        <v>0</v>
      </c>
      <c r="AO2715" s="196">
        <f t="shared" ca="1" si="601"/>
        <v>0</v>
      </c>
    </row>
    <row r="2716" spans="1:41">
      <c r="A2716" s="189">
        <v>9930</v>
      </c>
      <c r="B2716" s="190">
        <v>5</v>
      </c>
      <c r="C2716" s="191" t="s">
        <v>222</v>
      </c>
      <c r="D2716" s="192">
        <f t="shared" si="588"/>
        <v>0</v>
      </c>
      <c r="E2716" s="192">
        <f t="shared" si="589"/>
        <v>0</v>
      </c>
      <c r="F2716" s="192">
        <f t="shared" si="590"/>
        <v>0</v>
      </c>
      <c r="G2716" s="193">
        <f t="shared" si="591"/>
        <v>0</v>
      </c>
      <c r="H2716" s="194">
        <v>0</v>
      </c>
      <c r="I2716" s="194">
        <v>0</v>
      </c>
      <c r="J2716" s="194">
        <v>0</v>
      </c>
      <c r="K2716" s="193">
        <f t="shared" si="592"/>
        <v>0</v>
      </c>
      <c r="L2716" s="194">
        <v>0</v>
      </c>
      <c r="M2716" s="194">
        <v>0</v>
      </c>
      <c r="N2716" s="194">
        <v>0</v>
      </c>
      <c r="O2716" s="193">
        <f t="shared" si="593"/>
        <v>0</v>
      </c>
      <c r="P2716" s="194">
        <v>0</v>
      </c>
      <c r="Q2716" s="194">
        <v>0</v>
      </c>
      <c r="R2716" s="194">
        <v>0</v>
      </c>
      <c r="S2716" s="193">
        <f t="shared" si="594"/>
        <v>0</v>
      </c>
      <c r="T2716" s="193">
        <f t="shared" si="595"/>
        <v>0</v>
      </c>
      <c r="U2716" s="193">
        <f ca="1">OFFSET('Expenditure Study'!$B$7,'Operations Support'!$C2716,'Operations Support'!$B2716)*$G2716</f>
        <v>0</v>
      </c>
      <c r="V2716" s="199">
        <f ca="1">U2716*'Expenditure Study'!$B$31</f>
        <v>0</v>
      </c>
      <c r="W2716" s="199">
        <f ca="1">IF(A2716=10298,1.51,1)*IF($B2716&lt;3,$D2716*'Expenditure Study'!$B$32*OFFSET('Expenditure Study'!$B$7,'Operations Support'!$C2716,'Operations Support'!$B2716),0)</f>
        <v>0</v>
      </c>
      <c r="X2716" s="200">
        <f ca="1">W2716*'Expenditure Study'!$B$31</f>
        <v>0</v>
      </c>
      <c r="Y2716" s="199">
        <f ca="1">U2716*'Expenditure Study'!$B$31</f>
        <v>0</v>
      </c>
      <c r="Z2716" s="200">
        <f ca="1">W2716*'Expenditure Study'!$B$31</f>
        <v>0</v>
      </c>
      <c r="AA2716" s="195">
        <f t="shared" ca="1" si="596"/>
        <v>0</v>
      </c>
      <c r="AB2716" s="195">
        <f t="shared" ca="1" si="597"/>
        <v>0</v>
      </c>
      <c r="AD2716" s="196">
        <f>IFERROR($G2716/SUMIF($A:$A,$A2716,$G:$G)*SUMIF(Summary!$A$166:$A$242,$A2716,Summary!$P$166:$P$242),0)</f>
        <v>0</v>
      </c>
      <c r="AE2716" s="197">
        <f t="shared" ca="1" si="598"/>
        <v>0</v>
      </c>
      <c r="AF2716" s="196">
        <f>IFERROR(G2716/SUMIF(A:A,A2716,G:G)*SUMIF(Summary!$A$166:$A$242,'Operations Support'!A2716,Summary!$Q$166:$Q$242),0)</f>
        <v>0</v>
      </c>
      <c r="AG2716" s="196">
        <f t="shared" ca="1" si="599"/>
        <v>0</v>
      </c>
      <c r="AI2716" s="196">
        <f>IFERROR($G2716/SUMIF($A:$A,$A2716,$G:$G)*SUMIF(Summary!$A$247:$A$283,$A2716,Summary!$P$247:$P$283),0)</f>
        <v>0</v>
      </c>
      <c r="AJ2716" s="196">
        <f>IFERROR($G2716/SUMIF($A:$A,$A2716,$G:$G)*(SUMIF(Summary!$A$247:$A$283,$A2716,Summary!$L$247:$L$283)+SUMIF(Summary!$A$297:$A$333,$A2716,Summary!$L$297:$L$333))-AI2716,0)</f>
        <v>0</v>
      </c>
      <c r="AK2716" s="196">
        <f>IFERROR($G2716/SUMIF($A:$A,$A2716,$G:$G)*SUMIF(Summary!$A$247:$A$283,$A2716,Summary!$Q$247:$Q$283),0)</f>
        <v>0</v>
      </c>
      <c r="AL2716" s="196">
        <f>IFERROR($G2716/SUMIF($A:$A,$A2716,$G:$G)*(SUMIF(Summary!$A$247:$A$283,$A2716,Summary!$L$247:$L$283)+SUMIF(Summary!$A$297:$A$333,$A2716,Summary!$L$297:$L$333))-AK2716,0)</f>
        <v>0</v>
      </c>
      <c r="AM2716" s="198"/>
      <c r="AN2716" s="196">
        <f t="shared" ca="1" si="600"/>
        <v>0</v>
      </c>
      <c r="AO2716" s="196">
        <f t="shared" ca="1" si="601"/>
        <v>0</v>
      </c>
    </row>
    <row r="2717" spans="1:41">
      <c r="A2717" s="189">
        <v>9930</v>
      </c>
      <c r="B2717" s="190">
        <v>5</v>
      </c>
      <c r="C2717" s="191" t="s">
        <v>223</v>
      </c>
      <c r="D2717" s="192">
        <f t="shared" si="588"/>
        <v>0</v>
      </c>
      <c r="E2717" s="192">
        <f t="shared" si="589"/>
        <v>0</v>
      </c>
      <c r="F2717" s="192">
        <f t="shared" si="590"/>
        <v>0</v>
      </c>
      <c r="G2717" s="193">
        <f t="shared" si="591"/>
        <v>0</v>
      </c>
      <c r="H2717" s="194">
        <v>0</v>
      </c>
      <c r="I2717" s="194">
        <v>0</v>
      </c>
      <c r="J2717" s="194">
        <v>0</v>
      </c>
      <c r="K2717" s="193">
        <f t="shared" si="592"/>
        <v>0</v>
      </c>
      <c r="L2717" s="194">
        <v>0</v>
      </c>
      <c r="M2717" s="194">
        <v>0</v>
      </c>
      <c r="N2717" s="194">
        <v>0</v>
      </c>
      <c r="O2717" s="193">
        <f t="shared" si="593"/>
        <v>0</v>
      </c>
      <c r="P2717" s="194">
        <v>0</v>
      </c>
      <c r="Q2717" s="194">
        <v>0</v>
      </c>
      <c r="R2717" s="194">
        <v>0</v>
      </c>
      <c r="S2717" s="193">
        <f t="shared" si="594"/>
        <v>0</v>
      </c>
      <c r="T2717" s="193">
        <f t="shared" si="595"/>
        <v>0</v>
      </c>
      <c r="U2717" s="193">
        <f ca="1">OFFSET('Expenditure Study'!$B$7,'Operations Support'!$C2717,'Operations Support'!$B2717)*$G2717</f>
        <v>0</v>
      </c>
      <c r="V2717" s="199">
        <f ca="1">U2717*'Expenditure Study'!$B$31</f>
        <v>0</v>
      </c>
      <c r="W2717" s="199">
        <f ca="1">IF(A2717=10298,1.51,1)*IF($B2717&lt;3,$D2717*'Expenditure Study'!$B$32*OFFSET('Expenditure Study'!$B$7,'Operations Support'!$C2717,'Operations Support'!$B2717),0)</f>
        <v>0</v>
      </c>
      <c r="X2717" s="200">
        <f ca="1">W2717*'Expenditure Study'!$B$31</f>
        <v>0</v>
      </c>
      <c r="Y2717" s="199">
        <f ca="1">U2717*'Expenditure Study'!$B$31</f>
        <v>0</v>
      </c>
      <c r="Z2717" s="200">
        <f ca="1">W2717*'Expenditure Study'!$B$31</f>
        <v>0</v>
      </c>
      <c r="AA2717" s="195">
        <f t="shared" ca="1" si="596"/>
        <v>0</v>
      </c>
      <c r="AB2717" s="195">
        <f t="shared" ca="1" si="597"/>
        <v>0</v>
      </c>
      <c r="AD2717" s="196">
        <f>IFERROR($G2717/SUMIF($A:$A,$A2717,$G:$G)*SUMIF(Summary!$A$166:$A$242,$A2717,Summary!$P$166:$P$242),0)</f>
        <v>0</v>
      </c>
      <c r="AE2717" s="197">
        <f t="shared" ca="1" si="598"/>
        <v>0</v>
      </c>
      <c r="AF2717" s="196">
        <f>IFERROR(G2717/SUMIF(A:A,A2717,G:G)*SUMIF(Summary!$A$166:$A$242,'Operations Support'!A2717,Summary!$Q$166:$Q$242),0)</f>
        <v>0</v>
      </c>
      <c r="AG2717" s="196">
        <f t="shared" ca="1" si="599"/>
        <v>0</v>
      </c>
      <c r="AI2717" s="196">
        <f>IFERROR($G2717/SUMIF($A:$A,$A2717,$G:$G)*SUMIF(Summary!$A$247:$A$283,$A2717,Summary!$P$247:$P$283),0)</f>
        <v>0</v>
      </c>
      <c r="AJ2717" s="196">
        <f>IFERROR($G2717/SUMIF($A:$A,$A2717,$G:$G)*(SUMIF(Summary!$A$247:$A$283,$A2717,Summary!$L$247:$L$283)+SUMIF(Summary!$A$297:$A$333,$A2717,Summary!$L$297:$L$333))-AI2717,0)</f>
        <v>0</v>
      </c>
      <c r="AK2717" s="196">
        <f>IFERROR($G2717/SUMIF($A:$A,$A2717,$G:$G)*SUMIF(Summary!$A$247:$A$283,$A2717,Summary!$Q$247:$Q$283),0)</f>
        <v>0</v>
      </c>
      <c r="AL2717" s="196">
        <f>IFERROR($G2717/SUMIF($A:$A,$A2717,$G:$G)*(SUMIF(Summary!$A$247:$A$283,$A2717,Summary!$L$247:$L$283)+SUMIF(Summary!$A$297:$A$333,$A2717,Summary!$L$297:$L$333))-AK2717,0)</f>
        <v>0</v>
      </c>
      <c r="AM2717" s="198"/>
      <c r="AN2717" s="196">
        <f t="shared" ca="1" si="600"/>
        <v>0</v>
      </c>
      <c r="AO2717" s="196">
        <f t="shared" ca="1" si="601"/>
        <v>0</v>
      </c>
    </row>
    <row r="2718" spans="1:41">
      <c r="A2718" s="189">
        <v>9930</v>
      </c>
      <c r="B2718" s="190">
        <v>5</v>
      </c>
      <c r="C2718" s="191" t="s">
        <v>224</v>
      </c>
      <c r="D2718" s="192">
        <f t="shared" si="588"/>
        <v>0</v>
      </c>
      <c r="E2718" s="192">
        <f t="shared" si="589"/>
        <v>0</v>
      </c>
      <c r="F2718" s="192">
        <f t="shared" si="590"/>
        <v>0</v>
      </c>
      <c r="G2718" s="193">
        <f t="shared" si="591"/>
        <v>0</v>
      </c>
      <c r="H2718" s="194">
        <v>0</v>
      </c>
      <c r="I2718" s="194">
        <v>0</v>
      </c>
      <c r="J2718" s="194">
        <v>0</v>
      </c>
      <c r="K2718" s="193">
        <f t="shared" si="592"/>
        <v>0</v>
      </c>
      <c r="L2718" s="194">
        <v>0</v>
      </c>
      <c r="M2718" s="194">
        <v>0</v>
      </c>
      <c r="N2718" s="194">
        <v>0</v>
      </c>
      <c r="O2718" s="193">
        <f t="shared" si="593"/>
        <v>0</v>
      </c>
      <c r="P2718" s="194">
        <v>0</v>
      </c>
      <c r="Q2718" s="194">
        <v>0</v>
      </c>
      <c r="R2718" s="194">
        <v>0</v>
      </c>
      <c r="S2718" s="193">
        <f t="shared" si="594"/>
        <v>0</v>
      </c>
      <c r="T2718" s="193">
        <f t="shared" si="595"/>
        <v>0</v>
      </c>
      <c r="U2718" s="193">
        <f ca="1">OFFSET('Expenditure Study'!$B$7,'Operations Support'!$C2718,'Operations Support'!$B2718)*$G2718</f>
        <v>0</v>
      </c>
      <c r="V2718" s="199">
        <f ca="1">U2718*'Expenditure Study'!$B$31</f>
        <v>0</v>
      </c>
      <c r="W2718" s="199">
        <f ca="1">IF(A2718=10298,1.51,1)*IF($B2718&lt;3,$D2718*'Expenditure Study'!$B$32*OFFSET('Expenditure Study'!$B$7,'Operations Support'!$C2718,'Operations Support'!$B2718),0)</f>
        <v>0</v>
      </c>
      <c r="X2718" s="200">
        <f ca="1">W2718*'Expenditure Study'!$B$31</f>
        <v>0</v>
      </c>
      <c r="Y2718" s="199">
        <f ca="1">U2718*'Expenditure Study'!$B$31</f>
        <v>0</v>
      </c>
      <c r="Z2718" s="200">
        <f ca="1">W2718*'Expenditure Study'!$B$31</f>
        <v>0</v>
      </c>
      <c r="AA2718" s="195">
        <f t="shared" ca="1" si="596"/>
        <v>0</v>
      </c>
      <c r="AB2718" s="195">
        <f t="shared" ca="1" si="597"/>
        <v>0</v>
      </c>
      <c r="AD2718" s="196">
        <f>IFERROR($G2718/SUMIF($A:$A,$A2718,$G:$G)*SUMIF(Summary!$A$166:$A$242,$A2718,Summary!$P$166:$P$242),0)</f>
        <v>0</v>
      </c>
      <c r="AE2718" s="197">
        <f t="shared" ca="1" si="598"/>
        <v>0</v>
      </c>
      <c r="AF2718" s="196">
        <f>IFERROR(G2718/SUMIF(A:A,A2718,G:G)*SUMIF(Summary!$A$166:$A$242,'Operations Support'!A2718,Summary!$Q$166:$Q$242),0)</f>
        <v>0</v>
      </c>
      <c r="AG2718" s="196">
        <f t="shared" ca="1" si="599"/>
        <v>0</v>
      </c>
      <c r="AI2718" s="196">
        <f>IFERROR($G2718/SUMIF($A:$A,$A2718,$G:$G)*SUMIF(Summary!$A$247:$A$283,$A2718,Summary!$P$247:$P$283),0)</f>
        <v>0</v>
      </c>
      <c r="AJ2718" s="196">
        <f>IFERROR($G2718/SUMIF($A:$A,$A2718,$G:$G)*(SUMIF(Summary!$A$247:$A$283,$A2718,Summary!$L$247:$L$283)+SUMIF(Summary!$A$297:$A$333,$A2718,Summary!$L$297:$L$333))-AI2718,0)</f>
        <v>0</v>
      </c>
      <c r="AK2718" s="196">
        <f>IFERROR($G2718/SUMIF($A:$A,$A2718,$G:$G)*SUMIF(Summary!$A$247:$A$283,$A2718,Summary!$Q$247:$Q$283),0)</f>
        <v>0</v>
      </c>
      <c r="AL2718" s="196">
        <f>IFERROR($G2718/SUMIF($A:$A,$A2718,$G:$G)*(SUMIF(Summary!$A$247:$A$283,$A2718,Summary!$L$247:$L$283)+SUMIF(Summary!$A$297:$A$333,$A2718,Summary!$L$297:$L$333))-AK2718,0)</f>
        <v>0</v>
      </c>
      <c r="AM2718" s="198"/>
      <c r="AN2718" s="196">
        <f t="shared" ca="1" si="600"/>
        <v>0</v>
      </c>
      <c r="AO2718" s="196">
        <f t="shared" ca="1" si="601"/>
        <v>0</v>
      </c>
    </row>
    <row r="2719" spans="1:41">
      <c r="A2719" s="189">
        <v>9930</v>
      </c>
      <c r="B2719" s="190">
        <v>5</v>
      </c>
      <c r="C2719" s="191" t="s">
        <v>225</v>
      </c>
      <c r="D2719" s="192">
        <f t="shared" si="588"/>
        <v>0</v>
      </c>
      <c r="E2719" s="192">
        <f t="shared" si="589"/>
        <v>0</v>
      </c>
      <c r="F2719" s="192">
        <f t="shared" si="590"/>
        <v>0</v>
      </c>
      <c r="G2719" s="193">
        <f t="shared" si="591"/>
        <v>0</v>
      </c>
      <c r="H2719" s="194">
        <v>0</v>
      </c>
      <c r="I2719" s="194">
        <v>0</v>
      </c>
      <c r="J2719" s="194">
        <v>0</v>
      </c>
      <c r="K2719" s="193">
        <f t="shared" si="592"/>
        <v>0</v>
      </c>
      <c r="L2719" s="194">
        <v>0</v>
      </c>
      <c r="M2719" s="194">
        <v>0</v>
      </c>
      <c r="N2719" s="194">
        <v>0</v>
      </c>
      <c r="O2719" s="193">
        <f t="shared" si="593"/>
        <v>0</v>
      </c>
      <c r="P2719" s="194">
        <v>0</v>
      </c>
      <c r="Q2719" s="194">
        <v>0</v>
      </c>
      <c r="R2719" s="194">
        <v>0</v>
      </c>
      <c r="S2719" s="193">
        <f t="shared" si="594"/>
        <v>0</v>
      </c>
      <c r="T2719" s="193">
        <f t="shared" si="595"/>
        <v>0</v>
      </c>
      <c r="U2719" s="193">
        <f ca="1">OFFSET('Expenditure Study'!$B$7,'Operations Support'!$C2719,'Operations Support'!$B2719)*$G2719</f>
        <v>0</v>
      </c>
      <c r="V2719" s="199">
        <f ca="1">U2719*'Expenditure Study'!$B$31</f>
        <v>0</v>
      </c>
      <c r="W2719" s="199">
        <f ca="1">IF(A2719=10298,1.51,1)*IF($B2719&lt;3,$D2719*'Expenditure Study'!$B$32*OFFSET('Expenditure Study'!$B$7,'Operations Support'!$C2719,'Operations Support'!$B2719),0)</f>
        <v>0</v>
      </c>
      <c r="X2719" s="200">
        <f ca="1">W2719*'Expenditure Study'!$B$31</f>
        <v>0</v>
      </c>
      <c r="Y2719" s="199">
        <f ca="1">U2719*'Expenditure Study'!$B$31</f>
        <v>0</v>
      </c>
      <c r="Z2719" s="200">
        <f ca="1">W2719*'Expenditure Study'!$B$31</f>
        <v>0</v>
      </c>
      <c r="AA2719" s="195">
        <f t="shared" ca="1" si="596"/>
        <v>0</v>
      </c>
      <c r="AB2719" s="195">
        <f t="shared" ca="1" si="597"/>
        <v>0</v>
      </c>
      <c r="AD2719" s="196">
        <f>IFERROR($G2719/SUMIF($A:$A,$A2719,$G:$G)*SUMIF(Summary!$A$166:$A$242,$A2719,Summary!$P$166:$P$242),0)</f>
        <v>0</v>
      </c>
      <c r="AE2719" s="197">
        <f t="shared" ca="1" si="598"/>
        <v>0</v>
      </c>
      <c r="AF2719" s="196">
        <f>IFERROR(G2719/SUMIF(A:A,A2719,G:G)*SUMIF(Summary!$A$166:$A$242,'Operations Support'!A2719,Summary!$Q$166:$Q$242),0)</f>
        <v>0</v>
      </c>
      <c r="AG2719" s="196">
        <f t="shared" ca="1" si="599"/>
        <v>0</v>
      </c>
      <c r="AI2719" s="196">
        <f>IFERROR($G2719/SUMIF($A:$A,$A2719,$G:$G)*SUMIF(Summary!$A$247:$A$283,$A2719,Summary!$P$247:$P$283),0)</f>
        <v>0</v>
      </c>
      <c r="AJ2719" s="196">
        <f>IFERROR($G2719/SUMIF($A:$A,$A2719,$G:$G)*(SUMIF(Summary!$A$247:$A$283,$A2719,Summary!$L$247:$L$283)+SUMIF(Summary!$A$297:$A$333,$A2719,Summary!$L$297:$L$333))-AI2719,0)</f>
        <v>0</v>
      </c>
      <c r="AK2719" s="196">
        <f>IFERROR($G2719/SUMIF($A:$A,$A2719,$G:$G)*SUMIF(Summary!$A$247:$A$283,$A2719,Summary!$Q$247:$Q$283),0)</f>
        <v>0</v>
      </c>
      <c r="AL2719" s="196">
        <f>IFERROR($G2719/SUMIF($A:$A,$A2719,$G:$G)*(SUMIF(Summary!$A$247:$A$283,$A2719,Summary!$L$247:$L$283)+SUMIF(Summary!$A$297:$A$333,$A2719,Summary!$L$297:$L$333))-AK2719,0)</f>
        <v>0</v>
      </c>
      <c r="AM2719" s="198"/>
      <c r="AN2719" s="196">
        <f t="shared" ca="1" si="600"/>
        <v>0</v>
      </c>
      <c r="AO2719" s="196">
        <f t="shared" ca="1" si="601"/>
        <v>0</v>
      </c>
    </row>
    <row r="2720" spans="1:41">
      <c r="A2720" s="189">
        <v>9930</v>
      </c>
      <c r="B2720" s="190">
        <v>5</v>
      </c>
      <c r="C2720" s="191" t="s">
        <v>226</v>
      </c>
      <c r="D2720" s="192">
        <f t="shared" si="588"/>
        <v>0</v>
      </c>
      <c r="E2720" s="192">
        <f t="shared" si="589"/>
        <v>0</v>
      </c>
      <c r="F2720" s="192">
        <f t="shared" si="590"/>
        <v>0</v>
      </c>
      <c r="G2720" s="193">
        <f t="shared" si="591"/>
        <v>0</v>
      </c>
      <c r="H2720" s="194">
        <v>0</v>
      </c>
      <c r="I2720" s="194">
        <v>0</v>
      </c>
      <c r="J2720" s="194">
        <v>0</v>
      </c>
      <c r="K2720" s="193">
        <f t="shared" si="592"/>
        <v>0</v>
      </c>
      <c r="L2720" s="194">
        <v>0</v>
      </c>
      <c r="M2720" s="194">
        <v>0</v>
      </c>
      <c r="N2720" s="194">
        <v>0</v>
      </c>
      <c r="O2720" s="193">
        <f t="shared" si="593"/>
        <v>0</v>
      </c>
      <c r="P2720" s="194">
        <v>0</v>
      </c>
      <c r="Q2720" s="194">
        <v>0</v>
      </c>
      <c r="R2720" s="194">
        <v>0</v>
      </c>
      <c r="S2720" s="193">
        <f t="shared" si="594"/>
        <v>0</v>
      </c>
      <c r="T2720" s="193">
        <f t="shared" si="595"/>
        <v>0</v>
      </c>
      <c r="U2720" s="193">
        <f ca="1">OFFSET('Expenditure Study'!$B$7,'Operations Support'!$C2720,'Operations Support'!$B2720)*$G2720</f>
        <v>0</v>
      </c>
      <c r="V2720" s="199">
        <f ca="1">U2720*'Expenditure Study'!$B$31</f>
        <v>0</v>
      </c>
      <c r="W2720" s="199">
        <f ca="1">IF(A2720=10298,1.51,1)*IF($B2720&lt;3,$D2720*'Expenditure Study'!$B$32*OFFSET('Expenditure Study'!$B$7,'Operations Support'!$C2720,'Operations Support'!$B2720),0)</f>
        <v>0</v>
      </c>
      <c r="X2720" s="200">
        <f ca="1">W2720*'Expenditure Study'!$B$31</f>
        <v>0</v>
      </c>
      <c r="Y2720" s="199">
        <f ca="1">U2720*'Expenditure Study'!$B$31</f>
        <v>0</v>
      </c>
      <c r="Z2720" s="200">
        <f ca="1">W2720*'Expenditure Study'!$B$31</f>
        <v>0</v>
      </c>
      <c r="AA2720" s="195">
        <f t="shared" ca="1" si="596"/>
        <v>0</v>
      </c>
      <c r="AB2720" s="195">
        <f t="shared" ca="1" si="597"/>
        <v>0</v>
      </c>
      <c r="AD2720" s="196">
        <f>IFERROR($G2720/SUMIF($A:$A,$A2720,$G:$G)*SUMIF(Summary!$A$166:$A$242,$A2720,Summary!$P$166:$P$242),0)</f>
        <v>0</v>
      </c>
      <c r="AE2720" s="197">
        <f t="shared" ca="1" si="598"/>
        <v>0</v>
      </c>
      <c r="AF2720" s="196">
        <f>IFERROR(G2720/SUMIF(A:A,A2720,G:G)*SUMIF(Summary!$A$166:$A$242,'Operations Support'!A2720,Summary!$Q$166:$Q$242),0)</f>
        <v>0</v>
      </c>
      <c r="AG2720" s="196">
        <f t="shared" ca="1" si="599"/>
        <v>0</v>
      </c>
      <c r="AI2720" s="196">
        <f>IFERROR($G2720/SUMIF($A:$A,$A2720,$G:$G)*SUMIF(Summary!$A$247:$A$283,$A2720,Summary!$P$247:$P$283),0)</f>
        <v>0</v>
      </c>
      <c r="AJ2720" s="196">
        <f>IFERROR($G2720/SUMIF($A:$A,$A2720,$G:$G)*(SUMIF(Summary!$A$247:$A$283,$A2720,Summary!$L$247:$L$283)+SUMIF(Summary!$A$297:$A$333,$A2720,Summary!$L$297:$L$333))-AI2720,0)</f>
        <v>0</v>
      </c>
      <c r="AK2720" s="196">
        <f>IFERROR($G2720/SUMIF($A:$A,$A2720,$G:$G)*SUMIF(Summary!$A$247:$A$283,$A2720,Summary!$Q$247:$Q$283),0)</f>
        <v>0</v>
      </c>
      <c r="AL2720" s="196">
        <f>IFERROR($G2720/SUMIF($A:$A,$A2720,$G:$G)*(SUMIF(Summary!$A$247:$A$283,$A2720,Summary!$L$247:$L$283)+SUMIF(Summary!$A$297:$A$333,$A2720,Summary!$L$297:$L$333))-AK2720,0)</f>
        <v>0</v>
      </c>
      <c r="AM2720" s="198"/>
      <c r="AN2720" s="196">
        <f t="shared" ca="1" si="600"/>
        <v>0</v>
      </c>
      <c r="AO2720" s="196">
        <f t="shared" ca="1" si="601"/>
        <v>0</v>
      </c>
    </row>
    <row r="2721" spans="1:41">
      <c r="A2721" s="189">
        <v>9930</v>
      </c>
      <c r="B2721" s="190">
        <v>5</v>
      </c>
      <c r="C2721" s="191" t="s">
        <v>227</v>
      </c>
      <c r="D2721" s="192">
        <f t="shared" si="588"/>
        <v>0</v>
      </c>
      <c r="E2721" s="192">
        <f t="shared" si="589"/>
        <v>0</v>
      </c>
      <c r="F2721" s="192">
        <f t="shared" si="590"/>
        <v>0</v>
      </c>
      <c r="G2721" s="193">
        <f t="shared" si="591"/>
        <v>0</v>
      </c>
      <c r="H2721" s="194">
        <v>0</v>
      </c>
      <c r="I2721" s="194">
        <v>0</v>
      </c>
      <c r="J2721" s="194">
        <v>0</v>
      </c>
      <c r="K2721" s="193">
        <f t="shared" si="592"/>
        <v>0</v>
      </c>
      <c r="L2721" s="194">
        <v>0</v>
      </c>
      <c r="M2721" s="194">
        <v>0</v>
      </c>
      <c r="N2721" s="194">
        <v>0</v>
      </c>
      <c r="O2721" s="193">
        <f t="shared" si="593"/>
        <v>0</v>
      </c>
      <c r="P2721" s="194">
        <v>0</v>
      </c>
      <c r="Q2721" s="194">
        <v>0</v>
      </c>
      <c r="R2721" s="194">
        <v>0</v>
      </c>
      <c r="S2721" s="193">
        <f t="shared" si="594"/>
        <v>0</v>
      </c>
      <c r="T2721" s="193">
        <f t="shared" si="595"/>
        <v>0</v>
      </c>
      <c r="U2721" s="193">
        <f ca="1">OFFSET('Expenditure Study'!$B$7,'Operations Support'!$C2721,'Operations Support'!$B2721)*$G2721</f>
        <v>0</v>
      </c>
      <c r="V2721" s="199">
        <f ca="1">U2721*'Expenditure Study'!$B$31</f>
        <v>0</v>
      </c>
      <c r="W2721" s="199">
        <f ca="1">IF(A2721=10298,1.51,1)*IF($B2721&lt;3,$D2721*'Expenditure Study'!$B$32*OFFSET('Expenditure Study'!$B$7,'Operations Support'!$C2721,'Operations Support'!$B2721),0)</f>
        <v>0</v>
      </c>
      <c r="X2721" s="200">
        <f ca="1">W2721*'Expenditure Study'!$B$31</f>
        <v>0</v>
      </c>
      <c r="Y2721" s="199">
        <f ca="1">U2721*'Expenditure Study'!$B$31</f>
        <v>0</v>
      </c>
      <c r="Z2721" s="200">
        <f ca="1">W2721*'Expenditure Study'!$B$31</f>
        <v>0</v>
      </c>
      <c r="AA2721" s="195">
        <f t="shared" ca="1" si="596"/>
        <v>0</v>
      </c>
      <c r="AB2721" s="195">
        <f t="shared" ca="1" si="597"/>
        <v>0</v>
      </c>
      <c r="AD2721" s="196">
        <f>IFERROR($G2721/SUMIF($A:$A,$A2721,$G:$G)*SUMIF(Summary!$A$166:$A$242,$A2721,Summary!$P$166:$P$242),0)</f>
        <v>0</v>
      </c>
      <c r="AE2721" s="197">
        <f t="shared" ca="1" si="598"/>
        <v>0</v>
      </c>
      <c r="AF2721" s="196">
        <f>IFERROR(G2721/SUMIF(A:A,A2721,G:G)*SUMIF(Summary!$A$166:$A$242,'Operations Support'!A2721,Summary!$Q$166:$Q$242),0)</f>
        <v>0</v>
      </c>
      <c r="AG2721" s="196">
        <f t="shared" ca="1" si="599"/>
        <v>0</v>
      </c>
      <c r="AI2721" s="196">
        <f>IFERROR($G2721/SUMIF($A:$A,$A2721,$G:$G)*SUMIF(Summary!$A$247:$A$283,$A2721,Summary!$P$247:$P$283),0)</f>
        <v>0</v>
      </c>
      <c r="AJ2721" s="196">
        <f>IFERROR($G2721/SUMIF($A:$A,$A2721,$G:$G)*(SUMIF(Summary!$A$247:$A$283,$A2721,Summary!$L$247:$L$283)+SUMIF(Summary!$A$297:$A$333,$A2721,Summary!$L$297:$L$333))-AI2721,0)</f>
        <v>0</v>
      </c>
      <c r="AK2721" s="196">
        <f>IFERROR($G2721/SUMIF($A:$A,$A2721,$G:$G)*SUMIF(Summary!$A$247:$A$283,$A2721,Summary!$Q$247:$Q$283),0)</f>
        <v>0</v>
      </c>
      <c r="AL2721" s="196">
        <f>IFERROR($G2721/SUMIF($A:$A,$A2721,$G:$G)*(SUMIF(Summary!$A$247:$A$283,$A2721,Summary!$L$247:$L$283)+SUMIF(Summary!$A$297:$A$333,$A2721,Summary!$L$297:$L$333))-AK2721,0)</f>
        <v>0</v>
      </c>
      <c r="AM2721" s="198"/>
      <c r="AN2721" s="196">
        <f t="shared" ca="1" si="600"/>
        <v>0</v>
      </c>
      <c r="AO2721" s="196">
        <f t="shared" ca="1" si="601"/>
        <v>0</v>
      </c>
    </row>
    <row r="2722" spans="1:41">
      <c r="A2722" s="189">
        <v>9930</v>
      </c>
      <c r="B2722" s="190">
        <v>5</v>
      </c>
      <c r="C2722" s="191" t="s">
        <v>228</v>
      </c>
      <c r="D2722" s="192">
        <f t="shared" si="588"/>
        <v>0</v>
      </c>
      <c r="E2722" s="192">
        <f t="shared" si="589"/>
        <v>0</v>
      </c>
      <c r="F2722" s="192">
        <f t="shared" si="590"/>
        <v>0</v>
      </c>
      <c r="G2722" s="193">
        <f t="shared" si="591"/>
        <v>0</v>
      </c>
      <c r="H2722" s="194">
        <v>0</v>
      </c>
      <c r="I2722" s="194">
        <v>0</v>
      </c>
      <c r="J2722" s="194">
        <v>0</v>
      </c>
      <c r="K2722" s="193">
        <f t="shared" si="592"/>
        <v>0</v>
      </c>
      <c r="L2722" s="194">
        <v>0</v>
      </c>
      <c r="M2722" s="194">
        <v>0</v>
      </c>
      <c r="N2722" s="194">
        <v>0</v>
      </c>
      <c r="O2722" s="193">
        <f t="shared" si="593"/>
        <v>0</v>
      </c>
      <c r="P2722" s="194">
        <v>0</v>
      </c>
      <c r="Q2722" s="194">
        <v>0</v>
      </c>
      <c r="R2722" s="194">
        <v>0</v>
      </c>
      <c r="S2722" s="193">
        <f t="shared" si="594"/>
        <v>0</v>
      </c>
      <c r="T2722" s="193">
        <f t="shared" si="595"/>
        <v>0</v>
      </c>
      <c r="U2722" s="193">
        <f ca="1">OFFSET('Expenditure Study'!$B$7,'Operations Support'!$C2722,'Operations Support'!$B2722)*$G2722</f>
        <v>0</v>
      </c>
      <c r="V2722" s="199">
        <f ca="1">U2722*'Expenditure Study'!$B$31</f>
        <v>0</v>
      </c>
      <c r="W2722" s="199">
        <f ca="1">IF(A2722=10298,1.51,1)*IF($B2722&lt;3,$D2722*'Expenditure Study'!$B$32*OFFSET('Expenditure Study'!$B$7,'Operations Support'!$C2722,'Operations Support'!$B2722),0)</f>
        <v>0</v>
      </c>
      <c r="X2722" s="200">
        <f ca="1">W2722*'Expenditure Study'!$B$31</f>
        <v>0</v>
      </c>
      <c r="Y2722" s="199">
        <f ca="1">U2722*'Expenditure Study'!$B$31</f>
        <v>0</v>
      </c>
      <c r="Z2722" s="200">
        <f ca="1">W2722*'Expenditure Study'!$B$31</f>
        <v>0</v>
      </c>
      <c r="AA2722" s="195">
        <f t="shared" ca="1" si="596"/>
        <v>0</v>
      </c>
      <c r="AB2722" s="195">
        <f t="shared" ca="1" si="597"/>
        <v>0</v>
      </c>
      <c r="AD2722" s="196">
        <f>IFERROR($G2722/SUMIF($A:$A,$A2722,$G:$G)*SUMIF(Summary!$A$166:$A$242,$A2722,Summary!$P$166:$P$242),0)</f>
        <v>0</v>
      </c>
      <c r="AE2722" s="197">
        <f t="shared" ca="1" si="598"/>
        <v>0</v>
      </c>
      <c r="AF2722" s="196">
        <f>IFERROR(G2722/SUMIF(A:A,A2722,G:G)*SUMIF(Summary!$A$166:$A$242,'Operations Support'!A2722,Summary!$Q$166:$Q$242),0)</f>
        <v>0</v>
      </c>
      <c r="AG2722" s="196">
        <f t="shared" ca="1" si="599"/>
        <v>0</v>
      </c>
      <c r="AI2722" s="196">
        <f>IFERROR($G2722/SUMIF($A:$A,$A2722,$G:$G)*SUMIF(Summary!$A$247:$A$283,$A2722,Summary!$P$247:$P$283),0)</f>
        <v>0</v>
      </c>
      <c r="AJ2722" s="196">
        <f>IFERROR($G2722/SUMIF($A:$A,$A2722,$G:$G)*(SUMIF(Summary!$A$247:$A$283,$A2722,Summary!$L$247:$L$283)+SUMIF(Summary!$A$297:$A$333,$A2722,Summary!$L$297:$L$333))-AI2722,0)</f>
        <v>0</v>
      </c>
      <c r="AK2722" s="196">
        <f>IFERROR($G2722/SUMIF($A:$A,$A2722,$G:$G)*SUMIF(Summary!$A$247:$A$283,$A2722,Summary!$Q$247:$Q$283),0)</f>
        <v>0</v>
      </c>
      <c r="AL2722" s="196">
        <f>IFERROR($G2722/SUMIF($A:$A,$A2722,$G:$G)*(SUMIF(Summary!$A$247:$A$283,$A2722,Summary!$L$247:$L$283)+SUMIF(Summary!$A$297:$A$333,$A2722,Summary!$L$297:$L$333))-AK2722,0)</f>
        <v>0</v>
      </c>
      <c r="AM2722" s="198"/>
      <c r="AN2722" s="196">
        <f t="shared" ca="1" si="600"/>
        <v>0</v>
      </c>
      <c r="AO2722" s="196">
        <f t="shared" ca="1" si="601"/>
        <v>0</v>
      </c>
    </row>
    <row r="2723" spans="1:41">
      <c r="A2723" s="189">
        <v>9930</v>
      </c>
      <c r="B2723" s="190">
        <v>5</v>
      </c>
      <c r="C2723" s="191" t="s">
        <v>229</v>
      </c>
      <c r="D2723" s="192">
        <f t="shared" si="588"/>
        <v>0</v>
      </c>
      <c r="E2723" s="192">
        <f t="shared" si="589"/>
        <v>0</v>
      </c>
      <c r="F2723" s="192">
        <f t="shared" si="590"/>
        <v>0</v>
      </c>
      <c r="G2723" s="193">
        <f t="shared" si="591"/>
        <v>0</v>
      </c>
      <c r="H2723" s="194">
        <v>0</v>
      </c>
      <c r="I2723" s="194">
        <v>0</v>
      </c>
      <c r="J2723" s="194">
        <v>0</v>
      </c>
      <c r="K2723" s="193">
        <f t="shared" si="592"/>
        <v>0</v>
      </c>
      <c r="L2723" s="194">
        <v>0</v>
      </c>
      <c r="M2723" s="194">
        <v>0</v>
      </c>
      <c r="N2723" s="194">
        <v>0</v>
      </c>
      <c r="O2723" s="193">
        <f t="shared" si="593"/>
        <v>0</v>
      </c>
      <c r="P2723" s="194">
        <v>0</v>
      </c>
      <c r="Q2723" s="194">
        <v>0</v>
      </c>
      <c r="R2723" s="194">
        <v>0</v>
      </c>
      <c r="S2723" s="193">
        <f t="shared" si="594"/>
        <v>0</v>
      </c>
      <c r="T2723" s="193">
        <f t="shared" si="595"/>
        <v>0</v>
      </c>
      <c r="U2723" s="193">
        <f ca="1">OFFSET('Expenditure Study'!$B$7,'Operations Support'!$C2723,'Operations Support'!$B2723)*$G2723</f>
        <v>0</v>
      </c>
      <c r="V2723" s="199">
        <f ca="1">U2723*'Expenditure Study'!$B$31</f>
        <v>0</v>
      </c>
      <c r="W2723" s="199">
        <f ca="1">IF(A2723=10298,1.51,1)*IF($B2723&lt;3,$D2723*'Expenditure Study'!$B$32*OFFSET('Expenditure Study'!$B$7,'Operations Support'!$C2723,'Operations Support'!$B2723),0)</f>
        <v>0</v>
      </c>
      <c r="X2723" s="200">
        <f ca="1">W2723*'Expenditure Study'!$B$31</f>
        <v>0</v>
      </c>
      <c r="Y2723" s="199">
        <f ca="1">U2723*'Expenditure Study'!$B$31</f>
        <v>0</v>
      </c>
      <c r="Z2723" s="200">
        <f ca="1">W2723*'Expenditure Study'!$B$31</f>
        <v>0</v>
      </c>
      <c r="AA2723" s="195">
        <f t="shared" ca="1" si="596"/>
        <v>0</v>
      </c>
      <c r="AB2723" s="195">
        <f t="shared" ca="1" si="597"/>
        <v>0</v>
      </c>
      <c r="AD2723" s="196">
        <f>IFERROR($G2723/SUMIF($A:$A,$A2723,$G:$G)*SUMIF(Summary!$A$166:$A$242,$A2723,Summary!$P$166:$P$242),0)</f>
        <v>0</v>
      </c>
      <c r="AE2723" s="197">
        <f t="shared" ca="1" si="598"/>
        <v>0</v>
      </c>
      <c r="AF2723" s="196">
        <f>IFERROR(G2723/SUMIF(A:A,A2723,G:G)*SUMIF(Summary!$A$166:$A$242,'Operations Support'!A2723,Summary!$Q$166:$Q$242),0)</f>
        <v>0</v>
      </c>
      <c r="AG2723" s="196">
        <f t="shared" ca="1" si="599"/>
        <v>0</v>
      </c>
      <c r="AI2723" s="196">
        <f>IFERROR($G2723/SUMIF($A:$A,$A2723,$G:$G)*SUMIF(Summary!$A$247:$A$283,$A2723,Summary!$P$247:$P$283),0)</f>
        <v>0</v>
      </c>
      <c r="AJ2723" s="196">
        <f>IFERROR($G2723/SUMIF($A:$A,$A2723,$G:$G)*(SUMIF(Summary!$A$247:$A$283,$A2723,Summary!$L$247:$L$283)+SUMIF(Summary!$A$297:$A$333,$A2723,Summary!$L$297:$L$333))-AI2723,0)</f>
        <v>0</v>
      </c>
      <c r="AK2723" s="196">
        <f>IFERROR($G2723/SUMIF($A:$A,$A2723,$G:$G)*SUMIF(Summary!$A$247:$A$283,$A2723,Summary!$Q$247:$Q$283),0)</f>
        <v>0</v>
      </c>
      <c r="AL2723" s="196">
        <f>IFERROR($G2723/SUMIF($A:$A,$A2723,$G:$G)*(SUMIF(Summary!$A$247:$A$283,$A2723,Summary!$L$247:$L$283)+SUMIF(Summary!$A$297:$A$333,$A2723,Summary!$L$297:$L$333))-AK2723,0)</f>
        <v>0</v>
      </c>
      <c r="AM2723" s="198"/>
      <c r="AN2723" s="196">
        <f t="shared" ca="1" si="600"/>
        <v>0</v>
      </c>
      <c r="AO2723" s="196">
        <f t="shared" ca="1" si="601"/>
        <v>0</v>
      </c>
    </row>
    <row r="2724" spans="1:41">
      <c r="A2724" s="189">
        <v>9930</v>
      </c>
      <c r="B2724" s="190">
        <v>5</v>
      </c>
      <c r="C2724" s="191" t="s">
        <v>230</v>
      </c>
      <c r="D2724" s="192">
        <f t="shared" si="588"/>
        <v>0</v>
      </c>
      <c r="E2724" s="192">
        <f t="shared" si="589"/>
        <v>0</v>
      </c>
      <c r="F2724" s="192">
        <f t="shared" si="590"/>
        <v>0</v>
      </c>
      <c r="G2724" s="193">
        <f t="shared" si="591"/>
        <v>0</v>
      </c>
      <c r="H2724" s="194">
        <v>0</v>
      </c>
      <c r="I2724" s="194">
        <v>0</v>
      </c>
      <c r="J2724" s="194">
        <v>0</v>
      </c>
      <c r="K2724" s="193">
        <f t="shared" si="592"/>
        <v>0</v>
      </c>
      <c r="L2724" s="194">
        <v>0</v>
      </c>
      <c r="M2724" s="194">
        <v>0</v>
      </c>
      <c r="N2724" s="194">
        <v>0</v>
      </c>
      <c r="O2724" s="193">
        <f t="shared" si="593"/>
        <v>0</v>
      </c>
      <c r="P2724" s="194">
        <v>0</v>
      </c>
      <c r="Q2724" s="194">
        <v>0</v>
      </c>
      <c r="R2724" s="194">
        <v>0</v>
      </c>
      <c r="S2724" s="193">
        <f t="shared" si="594"/>
        <v>0</v>
      </c>
      <c r="T2724" s="193">
        <f t="shared" si="595"/>
        <v>0</v>
      </c>
      <c r="U2724" s="193">
        <f ca="1">OFFSET('Expenditure Study'!$B$7,'Operations Support'!$C2724,'Operations Support'!$B2724)*$G2724</f>
        <v>0</v>
      </c>
      <c r="V2724" s="199">
        <f ca="1">U2724*'Expenditure Study'!$B$31</f>
        <v>0</v>
      </c>
      <c r="W2724" s="199">
        <f ca="1">IF(A2724=10298,1.51,1)*IF($B2724&lt;3,$D2724*'Expenditure Study'!$B$32*OFFSET('Expenditure Study'!$B$7,'Operations Support'!$C2724,'Operations Support'!$B2724),0)</f>
        <v>0</v>
      </c>
      <c r="X2724" s="200">
        <f ca="1">W2724*'Expenditure Study'!$B$31</f>
        <v>0</v>
      </c>
      <c r="Y2724" s="199">
        <f ca="1">U2724*'Expenditure Study'!$B$31</f>
        <v>0</v>
      </c>
      <c r="Z2724" s="200">
        <f ca="1">W2724*'Expenditure Study'!$B$31</f>
        <v>0</v>
      </c>
      <c r="AA2724" s="195">
        <f t="shared" ca="1" si="596"/>
        <v>0</v>
      </c>
      <c r="AB2724" s="195">
        <f t="shared" ca="1" si="597"/>
        <v>0</v>
      </c>
      <c r="AD2724" s="196">
        <f>IFERROR($G2724/SUMIF($A:$A,$A2724,$G:$G)*SUMIF(Summary!$A$166:$A$242,$A2724,Summary!$P$166:$P$242),0)</f>
        <v>0</v>
      </c>
      <c r="AE2724" s="197">
        <f t="shared" ca="1" si="598"/>
        <v>0</v>
      </c>
      <c r="AF2724" s="196">
        <f>IFERROR(G2724/SUMIF(A:A,A2724,G:G)*SUMIF(Summary!$A$166:$A$242,'Operations Support'!A2724,Summary!$Q$166:$Q$242),0)</f>
        <v>0</v>
      </c>
      <c r="AG2724" s="196">
        <f t="shared" ca="1" si="599"/>
        <v>0</v>
      </c>
      <c r="AI2724" s="196">
        <f>IFERROR($G2724/SUMIF($A:$A,$A2724,$G:$G)*SUMIF(Summary!$A$247:$A$283,$A2724,Summary!$P$247:$P$283),0)</f>
        <v>0</v>
      </c>
      <c r="AJ2724" s="196">
        <f>IFERROR($G2724/SUMIF($A:$A,$A2724,$G:$G)*(SUMIF(Summary!$A$247:$A$283,$A2724,Summary!$L$247:$L$283)+SUMIF(Summary!$A$297:$A$333,$A2724,Summary!$L$297:$L$333))-AI2724,0)</f>
        <v>0</v>
      </c>
      <c r="AK2724" s="196">
        <f>IFERROR($G2724/SUMIF($A:$A,$A2724,$G:$G)*SUMIF(Summary!$A$247:$A$283,$A2724,Summary!$Q$247:$Q$283),0)</f>
        <v>0</v>
      </c>
      <c r="AL2724" s="196">
        <f>IFERROR($G2724/SUMIF($A:$A,$A2724,$G:$G)*(SUMIF(Summary!$A$247:$A$283,$A2724,Summary!$L$247:$L$283)+SUMIF(Summary!$A$297:$A$333,$A2724,Summary!$L$297:$L$333))-AK2724,0)</f>
        <v>0</v>
      </c>
      <c r="AM2724" s="198"/>
      <c r="AN2724" s="196">
        <f t="shared" ca="1" si="600"/>
        <v>0</v>
      </c>
      <c r="AO2724" s="196">
        <f t="shared" ca="1" si="601"/>
        <v>0</v>
      </c>
    </row>
    <row r="2725" spans="1:41">
      <c r="A2725" s="189">
        <v>9930</v>
      </c>
      <c r="B2725" s="190">
        <v>5</v>
      </c>
      <c r="C2725" s="191" t="s">
        <v>231</v>
      </c>
      <c r="D2725" s="192">
        <f t="shared" si="588"/>
        <v>0</v>
      </c>
      <c r="E2725" s="192">
        <f t="shared" si="589"/>
        <v>0</v>
      </c>
      <c r="F2725" s="192">
        <f t="shared" si="590"/>
        <v>0</v>
      </c>
      <c r="G2725" s="193">
        <f t="shared" si="591"/>
        <v>0</v>
      </c>
      <c r="H2725" s="194">
        <v>0</v>
      </c>
      <c r="I2725" s="194">
        <v>0</v>
      </c>
      <c r="J2725" s="194">
        <v>0</v>
      </c>
      <c r="K2725" s="193">
        <f t="shared" si="592"/>
        <v>0</v>
      </c>
      <c r="L2725" s="194">
        <v>0</v>
      </c>
      <c r="M2725" s="194">
        <v>0</v>
      </c>
      <c r="N2725" s="194">
        <v>0</v>
      </c>
      <c r="O2725" s="193">
        <f t="shared" si="593"/>
        <v>0</v>
      </c>
      <c r="P2725" s="194">
        <v>0</v>
      </c>
      <c r="Q2725" s="194">
        <v>0</v>
      </c>
      <c r="R2725" s="194">
        <v>0</v>
      </c>
      <c r="S2725" s="193">
        <f t="shared" si="594"/>
        <v>0</v>
      </c>
      <c r="T2725" s="193">
        <f t="shared" si="595"/>
        <v>0</v>
      </c>
      <c r="U2725" s="193">
        <f ca="1">OFFSET('Expenditure Study'!$B$7,'Operations Support'!$C2725,'Operations Support'!$B2725)*$G2725</f>
        <v>0</v>
      </c>
      <c r="V2725" s="199">
        <f ca="1">U2725*'Expenditure Study'!$B$31</f>
        <v>0</v>
      </c>
      <c r="W2725" s="199">
        <f ca="1">IF(A2725=10298,1.51,1)*IF($B2725&lt;3,$D2725*'Expenditure Study'!$B$32*OFFSET('Expenditure Study'!$B$7,'Operations Support'!$C2725,'Operations Support'!$B2725),0)</f>
        <v>0</v>
      </c>
      <c r="X2725" s="200">
        <f ca="1">W2725*'Expenditure Study'!$B$31</f>
        <v>0</v>
      </c>
      <c r="Y2725" s="199">
        <f ca="1">U2725*'Expenditure Study'!$B$31</f>
        <v>0</v>
      </c>
      <c r="Z2725" s="200">
        <f ca="1">W2725*'Expenditure Study'!$B$31</f>
        <v>0</v>
      </c>
      <c r="AA2725" s="195">
        <f t="shared" ca="1" si="596"/>
        <v>0</v>
      </c>
      <c r="AB2725" s="195">
        <f t="shared" ca="1" si="597"/>
        <v>0</v>
      </c>
      <c r="AD2725" s="196">
        <f>IFERROR($G2725/SUMIF($A:$A,$A2725,$G:$G)*SUMIF(Summary!$A$166:$A$242,$A2725,Summary!$P$166:$P$242),0)</f>
        <v>0</v>
      </c>
      <c r="AE2725" s="197">
        <f t="shared" ca="1" si="598"/>
        <v>0</v>
      </c>
      <c r="AF2725" s="196">
        <f>IFERROR(G2725/SUMIF(A:A,A2725,G:G)*SUMIF(Summary!$A$166:$A$242,'Operations Support'!A2725,Summary!$Q$166:$Q$242),0)</f>
        <v>0</v>
      </c>
      <c r="AG2725" s="196">
        <f t="shared" ca="1" si="599"/>
        <v>0</v>
      </c>
      <c r="AI2725" s="196">
        <f>IFERROR($G2725/SUMIF($A:$A,$A2725,$G:$G)*SUMIF(Summary!$A$247:$A$283,$A2725,Summary!$P$247:$P$283),0)</f>
        <v>0</v>
      </c>
      <c r="AJ2725" s="196">
        <f>IFERROR($G2725/SUMIF($A:$A,$A2725,$G:$G)*(SUMIF(Summary!$A$247:$A$283,$A2725,Summary!$L$247:$L$283)+SUMIF(Summary!$A$297:$A$333,$A2725,Summary!$L$297:$L$333))-AI2725,0)</f>
        <v>0</v>
      </c>
      <c r="AK2725" s="196">
        <f>IFERROR($G2725/SUMIF($A:$A,$A2725,$G:$G)*SUMIF(Summary!$A$247:$A$283,$A2725,Summary!$Q$247:$Q$283),0)</f>
        <v>0</v>
      </c>
      <c r="AL2725" s="196">
        <f>IFERROR($G2725/SUMIF($A:$A,$A2725,$G:$G)*(SUMIF(Summary!$A$247:$A$283,$A2725,Summary!$L$247:$L$283)+SUMIF(Summary!$A$297:$A$333,$A2725,Summary!$L$297:$L$333))-AK2725,0)</f>
        <v>0</v>
      </c>
      <c r="AM2725" s="198"/>
      <c r="AN2725" s="196">
        <f t="shared" ca="1" si="600"/>
        <v>0</v>
      </c>
      <c r="AO2725" s="196">
        <f t="shared" ca="1" si="601"/>
        <v>0</v>
      </c>
    </row>
    <row r="2726" spans="1:41">
      <c r="A2726" s="189">
        <v>9930</v>
      </c>
      <c r="B2726" s="190">
        <v>5</v>
      </c>
      <c r="C2726" s="191" t="s">
        <v>232</v>
      </c>
      <c r="D2726" s="192">
        <f t="shared" si="588"/>
        <v>0</v>
      </c>
      <c r="E2726" s="192">
        <f t="shared" si="589"/>
        <v>0</v>
      </c>
      <c r="F2726" s="192">
        <f t="shared" si="590"/>
        <v>0</v>
      </c>
      <c r="G2726" s="193">
        <f t="shared" si="591"/>
        <v>0</v>
      </c>
      <c r="H2726" s="194">
        <v>0</v>
      </c>
      <c r="I2726" s="194">
        <v>0</v>
      </c>
      <c r="J2726" s="194">
        <v>0</v>
      </c>
      <c r="K2726" s="193">
        <f t="shared" si="592"/>
        <v>0</v>
      </c>
      <c r="L2726" s="194">
        <v>0</v>
      </c>
      <c r="M2726" s="194">
        <v>0</v>
      </c>
      <c r="N2726" s="194">
        <v>0</v>
      </c>
      <c r="O2726" s="193">
        <f t="shared" si="593"/>
        <v>0</v>
      </c>
      <c r="P2726" s="194">
        <v>0</v>
      </c>
      <c r="Q2726" s="194">
        <v>0</v>
      </c>
      <c r="R2726" s="194">
        <v>0</v>
      </c>
      <c r="S2726" s="193">
        <f t="shared" si="594"/>
        <v>0</v>
      </c>
      <c r="T2726" s="193">
        <f t="shared" si="595"/>
        <v>0</v>
      </c>
      <c r="U2726" s="193">
        <f ca="1">OFFSET('Expenditure Study'!$B$7,'Operations Support'!$C2726,'Operations Support'!$B2726)*$G2726</f>
        <v>0</v>
      </c>
      <c r="V2726" s="199">
        <f ca="1">U2726*'Expenditure Study'!$B$31</f>
        <v>0</v>
      </c>
      <c r="W2726" s="199">
        <f ca="1">IF(A2726=10298,1.51,1)*IF($B2726&lt;3,$D2726*'Expenditure Study'!$B$32*OFFSET('Expenditure Study'!$B$7,'Operations Support'!$C2726,'Operations Support'!$B2726),0)</f>
        <v>0</v>
      </c>
      <c r="X2726" s="200">
        <f ca="1">W2726*'Expenditure Study'!$B$31</f>
        <v>0</v>
      </c>
      <c r="Y2726" s="199">
        <f ca="1">U2726*'Expenditure Study'!$B$31</f>
        <v>0</v>
      </c>
      <c r="Z2726" s="200">
        <f ca="1">W2726*'Expenditure Study'!$B$31</f>
        <v>0</v>
      </c>
      <c r="AA2726" s="195">
        <f t="shared" ca="1" si="596"/>
        <v>0</v>
      </c>
      <c r="AB2726" s="195">
        <f t="shared" ca="1" si="597"/>
        <v>0</v>
      </c>
      <c r="AD2726" s="196">
        <f>IFERROR($G2726/SUMIF($A:$A,$A2726,$G:$G)*SUMIF(Summary!$A$166:$A$242,$A2726,Summary!$P$166:$P$242),0)</f>
        <v>0</v>
      </c>
      <c r="AE2726" s="197">
        <f t="shared" ca="1" si="598"/>
        <v>0</v>
      </c>
      <c r="AF2726" s="196">
        <f>IFERROR(G2726/SUMIF(A:A,A2726,G:G)*SUMIF(Summary!$A$166:$A$242,'Operations Support'!A2726,Summary!$Q$166:$Q$242),0)</f>
        <v>0</v>
      </c>
      <c r="AG2726" s="196">
        <f t="shared" ca="1" si="599"/>
        <v>0</v>
      </c>
      <c r="AI2726" s="196">
        <f>IFERROR($G2726/SUMIF($A:$A,$A2726,$G:$G)*SUMIF(Summary!$A$247:$A$283,$A2726,Summary!$P$247:$P$283),0)</f>
        <v>0</v>
      </c>
      <c r="AJ2726" s="196">
        <f>IFERROR($G2726/SUMIF($A:$A,$A2726,$G:$G)*(SUMIF(Summary!$A$247:$A$283,$A2726,Summary!$L$247:$L$283)+SUMIF(Summary!$A$297:$A$333,$A2726,Summary!$L$297:$L$333))-AI2726,0)</f>
        <v>0</v>
      </c>
      <c r="AK2726" s="196">
        <f>IFERROR($G2726/SUMIF($A:$A,$A2726,$G:$G)*SUMIF(Summary!$A$247:$A$283,$A2726,Summary!$Q$247:$Q$283),0)</f>
        <v>0</v>
      </c>
      <c r="AL2726" s="196">
        <f>IFERROR($G2726/SUMIF($A:$A,$A2726,$G:$G)*(SUMIF(Summary!$A$247:$A$283,$A2726,Summary!$L$247:$L$283)+SUMIF(Summary!$A$297:$A$333,$A2726,Summary!$L$297:$L$333))-AK2726,0)</f>
        <v>0</v>
      </c>
      <c r="AM2726" s="198"/>
      <c r="AN2726" s="196">
        <f t="shared" ca="1" si="600"/>
        <v>0</v>
      </c>
      <c r="AO2726" s="196">
        <f t="shared" ca="1" si="601"/>
        <v>0</v>
      </c>
    </row>
    <row r="2727" spans="1:41">
      <c r="A2727" s="189">
        <v>9930</v>
      </c>
      <c r="B2727" s="190">
        <v>5</v>
      </c>
      <c r="C2727" s="191" t="s">
        <v>233</v>
      </c>
      <c r="D2727" s="192">
        <f t="shared" si="588"/>
        <v>0</v>
      </c>
      <c r="E2727" s="192">
        <f t="shared" si="589"/>
        <v>0</v>
      </c>
      <c r="F2727" s="192">
        <f t="shared" si="590"/>
        <v>0</v>
      </c>
      <c r="G2727" s="193">
        <f t="shared" si="591"/>
        <v>0</v>
      </c>
      <c r="H2727" s="194">
        <v>0</v>
      </c>
      <c r="I2727" s="194">
        <v>0</v>
      </c>
      <c r="J2727" s="194">
        <v>0</v>
      </c>
      <c r="K2727" s="193">
        <f t="shared" si="592"/>
        <v>0</v>
      </c>
      <c r="L2727" s="194">
        <v>0</v>
      </c>
      <c r="M2727" s="194">
        <v>0</v>
      </c>
      <c r="N2727" s="194">
        <v>0</v>
      </c>
      <c r="O2727" s="193">
        <f t="shared" si="593"/>
        <v>0</v>
      </c>
      <c r="P2727" s="194">
        <v>0</v>
      </c>
      <c r="Q2727" s="194">
        <v>0</v>
      </c>
      <c r="R2727" s="194">
        <v>0</v>
      </c>
      <c r="S2727" s="193">
        <f t="shared" si="594"/>
        <v>0</v>
      </c>
      <c r="T2727" s="193">
        <f t="shared" si="595"/>
        <v>0</v>
      </c>
      <c r="U2727" s="193">
        <f ca="1">OFFSET('Expenditure Study'!$B$7,'Operations Support'!$C2727,'Operations Support'!$B2727)*$G2727</f>
        <v>0</v>
      </c>
      <c r="V2727" s="199">
        <f ca="1">U2727*'Expenditure Study'!$B$31</f>
        <v>0</v>
      </c>
      <c r="W2727" s="199">
        <f ca="1">IF(A2727=10298,1.51,1)*IF($B2727&lt;3,$D2727*'Expenditure Study'!$B$32*OFFSET('Expenditure Study'!$B$7,'Operations Support'!$C2727,'Operations Support'!$B2727),0)</f>
        <v>0</v>
      </c>
      <c r="X2727" s="200">
        <f ca="1">W2727*'Expenditure Study'!$B$31</f>
        <v>0</v>
      </c>
      <c r="Y2727" s="199">
        <f ca="1">U2727*'Expenditure Study'!$B$31</f>
        <v>0</v>
      </c>
      <c r="Z2727" s="200">
        <f ca="1">W2727*'Expenditure Study'!$B$31</f>
        <v>0</v>
      </c>
      <c r="AA2727" s="195">
        <f t="shared" ca="1" si="596"/>
        <v>0</v>
      </c>
      <c r="AB2727" s="195">
        <f t="shared" ca="1" si="597"/>
        <v>0</v>
      </c>
      <c r="AD2727" s="196">
        <f>IFERROR($G2727/SUMIF($A:$A,$A2727,$G:$G)*SUMIF(Summary!$A$166:$A$242,$A2727,Summary!$P$166:$P$242),0)</f>
        <v>0</v>
      </c>
      <c r="AE2727" s="197">
        <f t="shared" ca="1" si="598"/>
        <v>0</v>
      </c>
      <c r="AF2727" s="196">
        <f>IFERROR(G2727/SUMIF(A:A,A2727,G:G)*SUMIF(Summary!$A$166:$A$242,'Operations Support'!A2727,Summary!$Q$166:$Q$242),0)</f>
        <v>0</v>
      </c>
      <c r="AG2727" s="196">
        <f t="shared" ca="1" si="599"/>
        <v>0</v>
      </c>
      <c r="AI2727" s="196">
        <f>IFERROR($G2727/SUMIF($A:$A,$A2727,$G:$G)*SUMIF(Summary!$A$247:$A$283,$A2727,Summary!$P$247:$P$283),0)</f>
        <v>0</v>
      </c>
      <c r="AJ2727" s="196">
        <f>IFERROR($G2727/SUMIF($A:$A,$A2727,$G:$G)*(SUMIF(Summary!$A$247:$A$283,$A2727,Summary!$L$247:$L$283)+SUMIF(Summary!$A$297:$A$333,$A2727,Summary!$L$297:$L$333))-AI2727,0)</f>
        <v>0</v>
      </c>
      <c r="AK2727" s="196">
        <f>IFERROR($G2727/SUMIF($A:$A,$A2727,$G:$G)*SUMIF(Summary!$A$247:$A$283,$A2727,Summary!$Q$247:$Q$283),0)</f>
        <v>0</v>
      </c>
      <c r="AL2727" s="196">
        <f>IFERROR($G2727/SUMIF($A:$A,$A2727,$G:$G)*(SUMIF(Summary!$A$247:$A$283,$A2727,Summary!$L$247:$L$283)+SUMIF(Summary!$A$297:$A$333,$A2727,Summary!$L$297:$L$333))-AK2727,0)</f>
        <v>0</v>
      </c>
      <c r="AM2727" s="198"/>
      <c r="AN2727" s="196">
        <f t="shared" ca="1" si="600"/>
        <v>0</v>
      </c>
      <c r="AO2727" s="196">
        <f t="shared" ca="1" si="601"/>
        <v>0</v>
      </c>
    </row>
    <row r="2728" spans="1:41">
      <c r="A2728" s="189">
        <v>9930</v>
      </c>
      <c r="B2728" s="190">
        <v>5</v>
      </c>
      <c r="C2728" s="191" t="s">
        <v>234</v>
      </c>
      <c r="D2728" s="192">
        <f t="shared" si="588"/>
        <v>0</v>
      </c>
      <c r="E2728" s="192">
        <f t="shared" si="589"/>
        <v>0</v>
      </c>
      <c r="F2728" s="192">
        <f t="shared" si="590"/>
        <v>0</v>
      </c>
      <c r="G2728" s="193">
        <f t="shared" si="591"/>
        <v>0</v>
      </c>
      <c r="H2728" s="194">
        <v>0</v>
      </c>
      <c r="I2728" s="194">
        <v>0</v>
      </c>
      <c r="J2728" s="194">
        <v>0</v>
      </c>
      <c r="K2728" s="193">
        <f t="shared" si="592"/>
        <v>0</v>
      </c>
      <c r="L2728" s="194">
        <v>0</v>
      </c>
      <c r="M2728" s="194">
        <v>0</v>
      </c>
      <c r="N2728" s="194">
        <v>0</v>
      </c>
      <c r="O2728" s="193">
        <f t="shared" si="593"/>
        <v>0</v>
      </c>
      <c r="P2728" s="194">
        <v>0</v>
      </c>
      <c r="Q2728" s="194">
        <v>0</v>
      </c>
      <c r="R2728" s="194">
        <v>0</v>
      </c>
      <c r="S2728" s="193">
        <f t="shared" si="594"/>
        <v>0</v>
      </c>
      <c r="T2728" s="193">
        <f t="shared" si="595"/>
        <v>0</v>
      </c>
      <c r="U2728" s="193">
        <f ca="1">OFFSET('Expenditure Study'!$B$7,'Operations Support'!$C2728,'Operations Support'!$B2728)*$G2728</f>
        <v>0</v>
      </c>
      <c r="V2728" s="199">
        <f ca="1">U2728*'Expenditure Study'!$B$31</f>
        <v>0</v>
      </c>
      <c r="W2728" s="199">
        <f ca="1">IF(A2728=10298,1.51,1)*IF($B2728&lt;3,$D2728*'Expenditure Study'!$B$32*OFFSET('Expenditure Study'!$B$7,'Operations Support'!$C2728,'Operations Support'!$B2728),0)</f>
        <v>0</v>
      </c>
      <c r="X2728" s="200">
        <f ca="1">W2728*'Expenditure Study'!$B$31</f>
        <v>0</v>
      </c>
      <c r="Y2728" s="199">
        <f ca="1">U2728*'Expenditure Study'!$B$31</f>
        <v>0</v>
      </c>
      <c r="Z2728" s="200">
        <f ca="1">W2728*'Expenditure Study'!$B$31</f>
        <v>0</v>
      </c>
      <c r="AA2728" s="195">
        <f t="shared" ca="1" si="596"/>
        <v>0</v>
      </c>
      <c r="AB2728" s="195">
        <f t="shared" ca="1" si="597"/>
        <v>0</v>
      </c>
      <c r="AD2728" s="196">
        <f>IFERROR($G2728/SUMIF($A:$A,$A2728,$G:$G)*SUMIF(Summary!$A$166:$A$242,$A2728,Summary!$P$166:$P$242),0)</f>
        <v>0</v>
      </c>
      <c r="AE2728" s="197">
        <f t="shared" ca="1" si="598"/>
        <v>0</v>
      </c>
      <c r="AF2728" s="196">
        <f>IFERROR(G2728/SUMIF(A:A,A2728,G:G)*SUMIF(Summary!$A$166:$A$242,'Operations Support'!A2728,Summary!$Q$166:$Q$242),0)</f>
        <v>0</v>
      </c>
      <c r="AG2728" s="196">
        <f t="shared" ca="1" si="599"/>
        <v>0</v>
      </c>
      <c r="AI2728" s="196">
        <f>IFERROR($G2728/SUMIF($A:$A,$A2728,$G:$G)*SUMIF(Summary!$A$247:$A$283,$A2728,Summary!$P$247:$P$283),0)</f>
        <v>0</v>
      </c>
      <c r="AJ2728" s="196">
        <f>IFERROR($G2728/SUMIF($A:$A,$A2728,$G:$G)*(SUMIF(Summary!$A$247:$A$283,$A2728,Summary!$L$247:$L$283)+SUMIF(Summary!$A$297:$A$333,$A2728,Summary!$L$297:$L$333))-AI2728,0)</f>
        <v>0</v>
      </c>
      <c r="AK2728" s="196">
        <f>IFERROR($G2728/SUMIF($A:$A,$A2728,$G:$G)*SUMIF(Summary!$A$247:$A$283,$A2728,Summary!$Q$247:$Q$283),0)</f>
        <v>0</v>
      </c>
      <c r="AL2728" s="196">
        <f>IFERROR($G2728/SUMIF($A:$A,$A2728,$G:$G)*(SUMIF(Summary!$A$247:$A$283,$A2728,Summary!$L$247:$L$283)+SUMIF(Summary!$A$297:$A$333,$A2728,Summary!$L$297:$L$333))-AK2728,0)</f>
        <v>0</v>
      </c>
      <c r="AM2728" s="198"/>
      <c r="AN2728" s="196">
        <f t="shared" ca="1" si="600"/>
        <v>0</v>
      </c>
      <c r="AO2728" s="196">
        <f t="shared" ca="1" si="601"/>
        <v>0</v>
      </c>
    </row>
    <row r="2729" spans="1:41">
      <c r="A2729" s="189">
        <v>9930</v>
      </c>
      <c r="B2729" s="190">
        <v>5</v>
      </c>
      <c r="C2729" s="191" t="s">
        <v>235</v>
      </c>
      <c r="D2729" s="192">
        <f t="shared" si="588"/>
        <v>0</v>
      </c>
      <c r="E2729" s="192">
        <f t="shared" si="589"/>
        <v>0</v>
      </c>
      <c r="F2729" s="192">
        <f t="shared" si="590"/>
        <v>0</v>
      </c>
      <c r="G2729" s="193">
        <f t="shared" si="591"/>
        <v>0</v>
      </c>
      <c r="H2729" s="194">
        <v>0</v>
      </c>
      <c r="I2729" s="194">
        <v>0</v>
      </c>
      <c r="J2729" s="194">
        <v>0</v>
      </c>
      <c r="K2729" s="193">
        <f t="shared" si="592"/>
        <v>0</v>
      </c>
      <c r="L2729" s="194">
        <v>0</v>
      </c>
      <c r="M2729" s="194">
        <v>0</v>
      </c>
      <c r="N2729" s="194">
        <v>0</v>
      </c>
      <c r="O2729" s="193">
        <f t="shared" si="593"/>
        <v>0</v>
      </c>
      <c r="P2729" s="194">
        <v>0</v>
      </c>
      <c r="Q2729" s="194">
        <v>0</v>
      </c>
      <c r="R2729" s="194">
        <v>0</v>
      </c>
      <c r="S2729" s="193">
        <f t="shared" si="594"/>
        <v>0</v>
      </c>
      <c r="T2729" s="193">
        <f t="shared" si="595"/>
        <v>0</v>
      </c>
      <c r="U2729" s="193">
        <f ca="1">OFFSET('Expenditure Study'!$B$7,'Operations Support'!$C2729,'Operations Support'!$B2729)*$G2729</f>
        <v>0</v>
      </c>
      <c r="V2729" s="199">
        <f ca="1">U2729*'Expenditure Study'!$B$31</f>
        <v>0</v>
      </c>
      <c r="W2729" s="199">
        <f ca="1">IF(A2729=10298,1.51,1)*IF($B2729&lt;3,$D2729*'Expenditure Study'!$B$32*OFFSET('Expenditure Study'!$B$7,'Operations Support'!$C2729,'Operations Support'!$B2729),0)</f>
        <v>0</v>
      </c>
      <c r="X2729" s="200">
        <f ca="1">W2729*'Expenditure Study'!$B$31</f>
        <v>0</v>
      </c>
      <c r="Y2729" s="199">
        <f ca="1">U2729*'Expenditure Study'!$B$31</f>
        <v>0</v>
      </c>
      <c r="Z2729" s="200">
        <f ca="1">W2729*'Expenditure Study'!$B$31</f>
        <v>0</v>
      </c>
      <c r="AA2729" s="195">
        <f t="shared" ca="1" si="596"/>
        <v>0</v>
      </c>
      <c r="AB2729" s="195">
        <f t="shared" ca="1" si="597"/>
        <v>0</v>
      </c>
      <c r="AD2729" s="196">
        <f>IFERROR($G2729/SUMIF($A:$A,$A2729,$G:$G)*SUMIF(Summary!$A$166:$A$242,$A2729,Summary!$P$166:$P$242),0)</f>
        <v>0</v>
      </c>
      <c r="AE2729" s="197">
        <f t="shared" ca="1" si="598"/>
        <v>0</v>
      </c>
      <c r="AF2729" s="196">
        <f>IFERROR(G2729/SUMIF(A:A,A2729,G:G)*SUMIF(Summary!$A$166:$A$242,'Operations Support'!A2729,Summary!$Q$166:$Q$242),0)</f>
        <v>0</v>
      </c>
      <c r="AG2729" s="196">
        <f t="shared" ca="1" si="599"/>
        <v>0</v>
      </c>
      <c r="AI2729" s="196">
        <f>IFERROR($G2729/SUMIF($A:$A,$A2729,$G:$G)*SUMIF(Summary!$A$247:$A$283,$A2729,Summary!$P$247:$P$283),0)</f>
        <v>0</v>
      </c>
      <c r="AJ2729" s="196">
        <f>IFERROR($G2729/SUMIF($A:$A,$A2729,$G:$G)*(SUMIF(Summary!$A$247:$A$283,$A2729,Summary!$L$247:$L$283)+SUMIF(Summary!$A$297:$A$333,$A2729,Summary!$L$297:$L$333))-AI2729,0)</f>
        <v>0</v>
      </c>
      <c r="AK2729" s="196">
        <f>IFERROR($G2729/SUMIF($A:$A,$A2729,$G:$G)*SUMIF(Summary!$A$247:$A$283,$A2729,Summary!$Q$247:$Q$283),0)</f>
        <v>0</v>
      </c>
      <c r="AL2729" s="196">
        <f>IFERROR($G2729/SUMIF($A:$A,$A2729,$G:$G)*(SUMIF(Summary!$A$247:$A$283,$A2729,Summary!$L$247:$L$283)+SUMIF(Summary!$A$297:$A$333,$A2729,Summary!$L$297:$L$333))-AK2729,0)</f>
        <v>0</v>
      </c>
      <c r="AM2729" s="198"/>
      <c r="AN2729" s="196">
        <f t="shared" ca="1" si="600"/>
        <v>0</v>
      </c>
      <c r="AO2729" s="196">
        <f t="shared" ca="1" si="601"/>
        <v>0</v>
      </c>
    </row>
    <row r="2730" spans="1:41">
      <c r="A2730" s="189">
        <v>9930</v>
      </c>
      <c r="B2730" s="190">
        <v>5</v>
      </c>
      <c r="C2730" s="191" t="s">
        <v>236</v>
      </c>
      <c r="D2730" s="192">
        <f t="shared" si="588"/>
        <v>0</v>
      </c>
      <c r="E2730" s="192">
        <f t="shared" si="589"/>
        <v>0</v>
      </c>
      <c r="F2730" s="192">
        <f t="shared" si="590"/>
        <v>0</v>
      </c>
      <c r="G2730" s="193">
        <f t="shared" si="591"/>
        <v>0</v>
      </c>
      <c r="H2730" s="194">
        <v>0</v>
      </c>
      <c r="I2730" s="194">
        <v>0</v>
      </c>
      <c r="J2730" s="194">
        <v>0</v>
      </c>
      <c r="K2730" s="193">
        <f t="shared" si="592"/>
        <v>0</v>
      </c>
      <c r="L2730" s="194">
        <v>0</v>
      </c>
      <c r="M2730" s="194">
        <v>0</v>
      </c>
      <c r="N2730" s="194">
        <v>0</v>
      </c>
      <c r="O2730" s="193">
        <f t="shared" si="593"/>
        <v>0</v>
      </c>
      <c r="P2730" s="194">
        <v>0</v>
      </c>
      <c r="Q2730" s="194">
        <v>0</v>
      </c>
      <c r="R2730" s="194">
        <v>0</v>
      </c>
      <c r="S2730" s="193">
        <f t="shared" si="594"/>
        <v>0</v>
      </c>
      <c r="T2730" s="193">
        <f t="shared" si="595"/>
        <v>0</v>
      </c>
      <c r="U2730" s="193">
        <f ca="1">OFFSET('Expenditure Study'!$B$7,'Operations Support'!$C2730,'Operations Support'!$B2730)*$G2730</f>
        <v>0</v>
      </c>
      <c r="V2730" s="199">
        <f ca="1">U2730*'Expenditure Study'!$B$31</f>
        <v>0</v>
      </c>
      <c r="W2730" s="199">
        <f ca="1">IF(A2730=10298,1.51,1)*IF($B2730&lt;3,$D2730*'Expenditure Study'!$B$32*OFFSET('Expenditure Study'!$B$7,'Operations Support'!$C2730,'Operations Support'!$B2730),0)</f>
        <v>0</v>
      </c>
      <c r="X2730" s="200">
        <f ca="1">W2730*'Expenditure Study'!$B$31</f>
        <v>0</v>
      </c>
      <c r="Y2730" s="199">
        <f ca="1">U2730*'Expenditure Study'!$B$31</f>
        <v>0</v>
      </c>
      <c r="Z2730" s="200">
        <f ca="1">W2730*'Expenditure Study'!$B$31</f>
        <v>0</v>
      </c>
      <c r="AA2730" s="195">
        <f t="shared" ca="1" si="596"/>
        <v>0</v>
      </c>
      <c r="AB2730" s="195">
        <f t="shared" ca="1" si="597"/>
        <v>0</v>
      </c>
      <c r="AD2730" s="196">
        <f>IFERROR($G2730/SUMIF($A:$A,$A2730,$G:$G)*SUMIF(Summary!$A$166:$A$242,$A2730,Summary!$P$166:$P$242),0)</f>
        <v>0</v>
      </c>
      <c r="AE2730" s="197">
        <f t="shared" ca="1" si="598"/>
        <v>0</v>
      </c>
      <c r="AF2730" s="196">
        <f>IFERROR(G2730/SUMIF(A:A,A2730,G:G)*SUMIF(Summary!$A$166:$A$242,'Operations Support'!A2730,Summary!$Q$166:$Q$242),0)</f>
        <v>0</v>
      </c>
      <c r="AG2730" s="196">
        <f t="shared" ca="1" si="599"/>
        <v>0</v>
      </c>
      <c r="AI2730" s="196">
        <f>IFERROR($G2730/SUMIF($A:$A,$A2730,$G:$G)*SUMIF(Summary!$A$247:$A$283,$A2730,Summary!$P$247:$P$283),0)</f>
        <v>0</v>
      </c>
      <c r="AJ2730" s="196">
        <f>IFERROR($G2730/SUMIF($A:$A,$A2730,$G:$G)*(SUMIF(Summary!$A$247:$A$283,$A2730,Summary!$L$247:$L$283)+SUMIF(Summary!$A$297:$A$333,$A2730,Summary!$L$297:$L$333))-AI2730,0)</f>
        <v>0</v>
      </c>
      <c r="AK2730" s="196">
        <f>IFERROR($G2730/SUMIF($A:$A,$A2730,$G:$G)*SUMIF(Summary!$A$247:$A$283,$A2730,Summary!$Q$247:$Q$283),0)</f>
        <v>0</v>
      </c>
      <c r="AL2730" s="196">
        <f>IFERROR($G2730/SUMIF($A:$A,$A2730,$G:$G)*(SUMIF(Summary!$A$247:$A$283,$A2730,Summary!$L$247:$L$283)+SUMIF(Summary!$A$297:$A$333,$A2730,Summary!$L$297:$L$333))-AK2730,0)</f>
        <v>0</v>
      </c>
      <c r="AM2730" s="198"/>
      <c r="AN2730" s="196">
        <f t="shared" ca="1" si="600"/>
        <v>0</v>
      </c>
      <c r="AO2730" s="196">
        <f t="shared" ca="1" si="601"/>
        <v>0</v>
      </c>
    </row>
    <row r="2731" spans="1:41">
      <c r="A2731" s="189">
        <v>9930</v>
      </c>
      <c r="B2731" s="190">
        <v>5</v>
      </c>
      <c r="C2731" s="191" t="s">
        <v>237</v>
      </c>
      <c r="D2731" s="192">
        <f t="shared" si="588"/>
        <v>0</v>
      </c>
      <c r="E2731" s="192">
        <f t="shared" si="589"/>
        <v>0</v>
      </c>
      <c r="F2731" s="192">
        <f t="shared" si="590"/>
        <v>0</v>
      </c>
      <c r="G2731" s="193">
        <f t="shared" si="591"/>
        <v>0</v>
      </c>
      <c r="H2731" s="194">
        <v>0</v>
      </c>
      <c r="I2731" s="194">
        <v>0</v>
      </c>
      <c r="J2731" s="194">
        <v>0</v>
      </c>
      <c r="K2731" s="193">
        <f t="shared" si="592"/>
        <v>0</v>
      </c>
      <c r="L2731" s="194">
        <v>0</v>
      </c>
      <c r="M2731" s="194">
        <v>0</v>
      </c>
      <c r="N2731" s="194">
        <v>0</v>
      </c>
      <c r="O2731" s="193">
        <f t="shared" si="593"/>
        <v>0</v>
      </c>
      <c r="P2731" s="194">
        <v>0</v>
      </c>
      <c r="Q2731" s="194">
        <v>0</v>
      </c>
      <c r="R2731" s="194">
        <v>0</v>
      </c>
      <c r="S2731" s="193">
        <f t="shared" si="594"/>
        <v>0</v>
      </c>
      <c r="T2731" s="193">
        <f t="shared" si="595"/>
        <v>0</v>
      </c>
      <c r="U2731" s="193">
        <f ca="1">OFFSET('Expenditure Study'!$B$7,'Operations Support'!$C2731,'Operations Support'!$B2731)*$G2731</f>
        <v>0</v>
      </c>
      <c r="V2731" s="199">
        <f ca="1">U2731*'Expenditure Study'!$B$31</f>
        <v>0</v>
      </c>
      <c r="W2731" s="199">
        <f ca="1">IF(A2731=10298,1.51,1)*IF($B2731&lt;3,$D2731*'Expenditure Study'!$B$32*OFFSET('Expenditure Study'!$B$7,'Operations Support'!$C2731,'Operations Support'!$B2731),0)</f>
        <v>0</v>
      </c>
      <c r="X2731" s="200">
        <f ca="1">W2731*'Expenditure Study'!$B$31</f>
        <v>0</v>
      </c>
      <c r="Y2731" s="199">
        <f ca="1">U2731*'Expenditure Study'!$B$31</f>
        <v>0</v>
      </c>
      <c r="Z2731" s="200">
        <f ca="1">W2731*'Expenditure Study'!$B$31</f>
        <v>0</v>
      </c>
      <c r="AA2731" s="195">
        <f t="shared" ca="1" si="596"/>
        <v>0</v>
      </c>
      <c r="AB2731" s="195">
        <f t="shared" ca="1" si="597"/>
        <v>0</v>
      </c>
      <c r="AD2731" s="196">
        <f>IFERROR($G2731/SUMIF($A:$A,$A2731,$G:$G)*SUMIF(Summary!$A$166:$A$242,$A2731,Summary!$P$166:$P$242),0)</f>
        <v>0</v>
      </c>
      <c r="AE2731" s="197">
        <f t="shared" ca="1" si="598"/>
        <v>0</v>
      </c>
      <c r="AF2731" s="196">
        <f>IFERROR(G2731/SUMIF(A:A,A2731,G:G)*SUMIF(Summary!$A$166:$A$242,'Operations Support'!A2731,Summary!$Q$166:$Q$242),0)</f>
        <v>0</v>
      </c>
      <c r="AG2731" s="196">
        <f t="shared" ca="1" si="599"/>
        <v>0</v>
      </c>
      <c r="AI2731" s="196">
        <f>IFERROR($G2731/SUMIF($A:$A,$A2731,$G:$G)*SUMIF(Summary!$A$247:$A$283,$A2731,Summary!$P$247:$P$283),0)</f>
        <v>0</v>
      </c>
      <c r="AJ2731" s="196">
        <f>IFERROR($G2731/SUMIF($A:$A,$A2731,$G:$G)*(SUMIF(Summary!$A$247:$A$283,$A2731,Summary!$L$247:$L$283)+SUMIF(Summary!$A$297:$A$333,$A2731,Summary!$L$297:$L$333))-AI2731,0)</f>
        <v>0</v>
      </c>
      <c r="AK2731" s="196">
        <f>IFERROR($G2731/SUMIF($A:$A,$A2731,$G:$G)*SUMIF(Summary!$A$247:$A$283,$A2731,Summary!$Q$247:$Q$283),0)</f>
        <v>0</v>
      </c>
      <c r="AL2731" s="196">
        <f>IFERROR($G2731/SUMIF($A:$A,$A2731,$G:$G)*(SUMIF(Summary!$A$247:$A$283,$A2731,Summary!$L$247:$L$283)+SUMIF(Summary!$A$297:$A$333,$A2731,Summary!$L$297:$L$333))-AK2731,0)</f>
        <v>0</v>
      </c>
      <c r="AM2731" s="198"/>
      <c r="AN2731" s="196">
        <f t="shared" ca="1" si="600"/>
        <v>0</v>
      </c>
      <c r="AO2731" s="196">
        <f t="shared" ca="1" si="601"/>
        <v>0</v>
      </c>
    </row>
    <row r="2732" spans="1:41">
      <c r="A2732" s="189">
        <v>9930</v>
      </c>
      <c r="B2732" s="190">
        <v>5</v>
      </c>
      <c r="C2732" s="191" t="s">
        <v>238</v>
      </c>
      <c r="D2732" s="192">
        <f t="shared" si="588"/>
        <v>0</v>
      </c>
      <c r="E2732" s="192">
        <f t="shared" si="589"/>
        <v>0</v>
      </c>
      <c r="F2732" s="192">
        <f t="shared" si="590"/>
        <v>0</v>
      </c>
      <c r="G2732" s="193">
        <f t="shared" si="591"/>
        <v>0</v>
      </c>
      <c r="H2732" s="194">
        <v>0</v>
      </c>
      <c r="I2732" s="194">
        <v>0</v>
      </c>
      <c r="J2732" s="194">
        <v>0</v>
      </c>
      <c r="K2732" s="193">
        <f t="shared" si="592"/>
        <v>0</v>
      </c>
      <c r="L2732" s="194">
        <v>0</v>
      </c>
      <c r="M2732" s="194">
        <v>0</v>
      </c>
      <c r="N2732" s="194">
        <v>0</v>
      </c>
      <c r="O2732" s="193">
        <f t="shared" si="593"/>
        <v>0</v>
      </c>
      <c r="P2732" s="194">
        <v>0</v>
      </c>
      <c r="Q2732" s="194">
        <v>0</v>
      </c>
      <c r="R2732" s="194">
        <v>0</v>
      </c>
      <c r="S2732" s="193">
        <f t="shared" si="594"/>
        <v>0</v>
      </c>
      <c r="T2732" s="193">
        <f t="shared" si="595"/>
        <v>0</v>
      </c>
      <c r="U2732" s="193">
        <f ca="1">OFFSET('Expenditure Study'!$B$7,'Operations Support'!$C2732,'Operations Support'!$B2732)*$G2732</f>
        <v>0</v>
      </c>
      <c r="V2732" s="199">
        <f ca="1">U2732*'Expenditure Study'!$B$31</f>
        <v>0</v>
      </c>
      <c r="W2732" s="199">
        <f ca="1">IF(A2732=10298,1.51,1)*IF($B2732&lt;3,$D2732*'Expenditure Study'!$B$32*OFFSET('Expenditure Study'!$B$7,'Operations Support'!$C2732,'Operations Support'!$B2732),0)</f>
        <v>0</v>
      </c>
      <c r="X2732" s="200">
        <f ca="1">W2732*'Expenditure Study'!$B$31</f>
        <v>0</v>
      </c>
      <c r="Y2732" s="199">
        <f ca="1">U2732*'Expenditure Study'!$B$31</f>
        <v>0</v>
      </c>
      <c r="Z2732" s="200">
        <f ca="1">W2732*'Expenditure Study'!$B$31</f>
        <v>0</v>
      </c>
      <c r="AA2732" s="195">
        <f t="shared" ca="1" si="596"/>
        <v>0</v>
      </c>
      <c r="AB2732" s="195">
        <f t="shared" ca="1" si="597"/>
        <v>0</v>
      </c>
      <c r="AD2732" s="196">
        <f>IFERROR($G2732/SUMIF($A:$A,$A2732,$G:$G)*SUMIF(Summary!$A$166:$A$242,$A2732,Summary!$P$166:$P$242),0)</f>
        <v>0</v>
      </c>
      <c r="AE2732" s="197">
        <f t="shared" ca="1" si="598"/>
        <v>0</v>
      </c>
      <c r="AF2732" s="196">
        <f>IFERROR(G2732/SUMIF(A:A,A2732,G:G)*SUMIF(Summary!$A$166:$A$242,'Operations Support'!A2732,Summary!$Q$166:$Q$242),0)</f>
        <v>0</v>
      </c>
      <c r="AG2732" s="196">
        <f t="shared" ca="1" si="599"/>
        <v>0</v>
      </c>
      <c r="AI2732" s="196">
        <f>IFERROR($G2732/SUMIF($A:$A,$A2732,$G:$G)*SUMIF(Summary!$A$247:$A$283,$A2732,Summary!$P$247:$P$283),0)</f>
        <v>0</v>
      </c>
      <c r="AJ2732" s="196">
        <f>IFERROR($G2732/SUMIF($A:$A,$A2732,$G:$G)*(SUMIF(Summary!$A$247:$A$283,$A2732,Summary!$L$247:$L$283)+SUMIF(Summary!$A$297:$A$333,$A2732,Summary!$L$297:$L$333))-AI2732,0)</f>
        <v>0</v>
      </c>
      <c r="AK2732" s="196">
        <f>IFERROR($G2732/SUMIF($A:$A,$A2732,$G:$G)*SUMIF(Summary!$A$247:$A$283,$A2732,Summary!$Q$247:$Q$283),0)</f>
        <v>0</v>
      </c>
      <c r="AL2732" s="196">
        <f>IFERROR($G2732/SUMIF($A:$A,$A2732,$G:$G)*(SUMIF(Summary!$A$247:$A$283,$A2732,Summary!$L$247:$L$283)+SUMIF(Summary!$A$297:$A$333,$A2732,Summary!$L$297:$L$333))-AK2732,0)</f>
        <v>0</v>
      </c>
      <c r="AM2732" s="198"/>
      <c r="AN2732" s="196">
        <f t="shared" ca="1" si="600"/>
        <v>0</v>
      </c>
      <c r="AO2732" s="196">
        <f t="shared" ca="1" si="601"/>
        <v>0</v>
      </c>
    </row>
    <row r="2733" spans="1:41">
      <c r="A2733" s="189">
        <v>9930</v>
      </c>
      <c r="B2733" s="190">
        <v>5</v>
      </c>
      <c r="C2733" s="191" t="s">
        <v>239</v>
      </c>
      <c r="D2733" s="192">
        <f t="shared" si="588"/>
        <v>0</v>
      </c>
      <c r="E2733" s="192">
        <f t="shared" si="589"/>
        <v>0</v>
      </c>
      <c r="F2733" s="192">
        <f t="shared" si="590"/>
        <v>0</v>
      </c>
      <c r="G2733" s="193">
        <f t="shared" si="591"/>
        <v>0</v>
      </c>
      <c r="H2733" s="194">
        <v>0</v>
      </c>
      <c r="I2733" s="194">
        <v>0</v>
      </c>
      <c r="J2733" s="194">
        <v>0</v>
      </c>
      <c r="K2733" s="193">
        <f t="shared" si="592"/>
        <v>0</v>
      </c>
      <c r="L2733" s="194">
        <v>0</v>
      </c>
      <c r="M2733" s="194">
        <v>0</v>
      </c>
      <c r="N2733" s="194">
        <v>0</v>
      </c>
      <c r="O2733" s="193">
        <f t="shared" si="593"/>
        <v>0</v>
      </c>
      <c r="P2733" s="194">
        <v>0</v>
      </c>
      <c r="Q2733" s="194">
        <v>0</v>
      </c>
      <c r="R2733" s="194">
        <v>0</v>
      </c>
      <c r="S2733" s="193">
        <f t="shared" si="594"/>
        <v>0</v>
      </c>
      <c r="T2733" s="193">
        <f t="shared" si="595"/>
        <v>0</v>
      </c>
      <c r="U2733" s="193">
        <f ca="1">OFFSET('Expenditure Study'!$B$7,'Operations Support'!$C2733,'Operations Support'!$B2733)*$G2733</f>
        <v>0</v>
      </c>
      <c r="V2733" s="199">
        <f ca="1">U2733*'Expenditure Study'!$B$31</f>
        <v>0</v>
      </c>
      <c r="W2733" s="199">
        <f ca="1">IF(A2733=10298,1.51,1)*IF($B2733&lt;3,$D2733*'Expenditure Study'!$B$32*OFFSET('Expenditure Study'!$B$7,'Operations Support'!$C2733,'Operations Support'!$B2733),0)</f>
        <v>0</v>
      </c>
      <c r="X2733" s="200">
        <f ca="1">W2733*'Expenditure Study'!$B$31</f>
        <v>0</v>
      </c>
      <c r="Y2733" s="199">
        <f ca="1">U2733*'Expenditure Study'!$B$31</f>
        <v>0</v>
      </c>
      <c r="Z2733" s="200">
        <f ca="1">W2733*'Expenditure Study'!$B$31</f>
        <v>0</v>
      </c>
      <c r="AA2733" s="195">
        <f t="shared" ca="1" si="596"/>
        <v>0</v>
      </c>
      <c r="AB2733" s="195">
        <f t="shared" ca="1" si="597"/>
        <v>0</v>
      </c>
      <c r="AD2733" s="196">
        <f>IFERROR($G2733/SUMIF($A:$A,$A2733,$G:$G)*SUMIF(Summary!$A$166:$A$242,$A2733,Summary!$P$166:$P$242),0)</f>
        <v>0</v>
      </c>
      <c r="AE2733" s="197">
        <f t="shared" ca="1" si="598"/>
        <v>0</v>
      </c>
      <c r="AF2733" s="196">
        <f>IFERROR(G2733/SUMIF(A:A,A2733,G:G)*SUMIF(Summary!$A$166:$A$242,'Operations Support'!A2733,Summary!$Q$166:$Q$242),0)</f>
        <v>0</v>
      </c>
      <c r="AG2733" s="196">
        <f t="shared" ca="1" si="599"/>
        <v>0</v>
      </c>
      <c r="AI2733" s="196">
        <f>IFERROR($G2733/SUMIF($A:$A,$A2733,$G:$G)*SUMIF(Summary!$A$247:$A$283,$A2733,Summary!$P$247:$P$283),0)</f>
        <v>0</v>
      </c>
      <c r="AJ2733" s="196">
        <f>IFERROR($G2733/SUMIF($A:$A,$A2733,$G:$G)*(SUMIF(Summary!$A$247:$A$283,$A2733,Summary!$L$247:$L$283)+SUMIF(Summary!$A$297:$A$333,$A2733,Summary!$L$297:$L$333))-AI2733,0)</f>
        <v>0</v>
      </c>
      <c r="AK2733" s="196">
        <f>IFERROR($G2733/SUMIF($A:$A,$A2733,$G:$G)*SUMIF(Summary!$A$247:$A$283,$A2733,Summary!$Q$247:$Q$283),0)</f>
        <v>0</v>
      </c>
      <c r="AL2733" s="196">
        <f>IFERROR($G2733/SUMIF($A:$A,$A2733,$G:$G)*(SUMIF(Summary!$A$247:$A$283,$A2733,Summary!$L$247:$L$283)+SUMIF(Summary!$A$297:$A$333,$A2733,Summary!$L$297:$L$333))-AK2733,0)</f>
        <v>0</v>
      </c>
      <c r="AM2733" s="198"/>
      <c r="AN2733" s="196">
        <f t="shared" ca="1" si="600"/>
        <v>0</v>
      </c>
      <c r="AO2733" s="196">
        <f t="shared" ca="1" si="601"/>
        <v>0</v>
      </c>
    </row>
    <row r="2734" spans="1:41" s="201" customFormat="1">
      <c r="A2734" s="189">
        <v>9930</v>
      </c>
      <c r="B2734" s="190">
        <v>5</v>
      </c>
      <c r="C2734" s="191" t="s">
        <v>240</v>
      </c>
      <c r="D2734" s="192">
        <f t="shared" si="588"/>
        <v>0</v>
      </c>
      <c r="E2734" s="192">
        <f t="shared" si="589"/>
        <v>0</v>
      </c>
      <c r="F2734" s="192">
        <f t="shared" si="590"/>
        <v>0</v>
      </c>
      <c r="G2734" s="193">
        <f t="shared" si="591"/>
        <v>0</v>
      </c>
      <c r="H2734" s="194">
        <v>0</v>
      </c>
      <c r="I2734" s="194">
        <v>0</v>
      </c>
      <c r="J2734" s="194">
        <v>0</v>
      </c>
      <c r="K2734" s="193">
        <f t="shared" si="592"/>
        <v>0</v>
      </c>
      <c r="L2734" s="194">
        <v>0</v>
      </c>
      <c r="M2734" s="194">
        <v>0</v>
      </c>
      <c r="N2734" s="194">
        <v>0</v>
      </c>
      <c r="O2734" s="193">
        <f t="shared" si="593"/>
        <v>0</v>
      </c>
      <c r="P2734" s="194">
        <v>0</v>
      </c>
      <c r="Q2734" s="194">
        <v>0</v>
      </c>
      <c r="R2734" s="194">
        <v>0</v>
      </c>
      <c r="S2734" s="193">
        <f t="shared" si="594"/>
        <v>0</v>
      </c>
      <c r="T2734" s="193">
        <f t="shared" si="595"/>
        <v>0</v>
      </c>
      <c r="U2734" s="193">
        <f ca="1">OFFSET('Expenditure Study'!$B$7,'Operations Support'!$C2734,'Operations Support'!$B2734)*$G2734</f>
        <v>0</v>
      </c>
      <c r="V2734" s="199">
        <f ca="1">U2734*'Expenditure Study'!$B$31</f>
        <v>0</v>
      </c>
      <c r="W2734" s="199">
        <f ca="1">IF(A2734=10298,1.51,1)*IF($B2734&lt;3,$D2734*'Expenditure Study'!$B$32*OFFSET('Expenditure Study'!$B$7,'Operations Support'!$C2734,'Operations Support'!$B2734),0)</f>
        <v>0</v>
      </c>
      <c r="X2734" s="200">
        <f ca="1">W2734*'Expenditure Study'!$B$31</f>
        <v>0</v>
      </c>
      <c r="Y2734" s="199">
        <f ca="1">U2734*'Expenditure Study'!$B$31</f>
        <v>0</v>
      </c>
      <c r="Z2734" s="200">
        <f ca="1">W2734*'Expenditure Study'!$B$31</f>
        <v>0</v>
      </c>
      <c r="AA2734" s="195">
        <f t="shared" ca="1" si="596"/>
        <v>0</v>
      </c>
      <c r="AB2734" s="195">
        <f t="shared" ca="1" si="597"/>
        <v>0</v>
      </c>
      <c r="AD2734" s="196">
        <f>IFERROR($G2734/SUMIF($A:$A,$A2734,$G:$G)*SUMIF(Summary!$A$166:$A$242,$A2734,Summary!$P$166:$P$242),0)</f>
        <v>0</v>
      </c>
      <c r="AE2734" s="197">
        <f t="shared" ca="1" si="598"/>
        <v>0</v>
      </c>
      <c r="AF2734" s="196">
        <f>IFERROR(G2734/SUMIF(A:A,A2734,G:G)*SUMIF(Summary!$A$166:$A$242,'Operations Support'!A2734,Summary!$Q$166:$Q$242),0)</f>
        <v>0</v>
      </c>
      <c r="AG2734" s="196">
        <f t="shared" ca="1" si="599"/>
        <v>0</v>
      </c>
      <c r="AH2734" s="180"/>
      <c r="AI2734" s="196">
        <f>IFERROR($G2734/SUMIF($A:$A,$A2734,$G:$G)*SUMIF(Summary!$A$247:$A$283,$A2734,Summary!$P$247:$P$283),0)</f>
        <v>0</v>
      </c>
      <c r="AJ2734" s="196">
        <f>IFERROR($G2734/SUMIF($A:$A,$A2734,$G:$G)*(SUMIF(Summary!$A$247:$A$283,$A2734,Summary!$L$247:$L$283)+SUMIF(Summary!$A$297:$A$333,$A2734,Summary!$L$297:$L$333))-AI2734,0)</f>
        <v>0</v>
      </c>
      <c r="AK2734" s="196">
        <f>IFERROR($G2734/SUMIF($A:$A,$A2734,$G:$G)*SUMIF(Summary!$A$247:$A$283,$A2734,Summary!$Q$247:$Q$283),0)</f>
        <v>0</v>
      </c>
      <c r="AL2734" s="196">
        <f>IFERROR($G2734/SUMIF($A:$A,$A2734,$G:$G)*(SUMIF(Summary!$A$247:$A$283,$A2734,Summary!$L$247:$L$283)+SUMIF(Summary!$A$297:$A$333,$A2734,Summary!$L$297:$L$333))-AK2734,0)</f>
        <v>0</v>
      </c>
      <c r="AM2734" s="198"/>
      <c r="AN2734" s="196">
        <f t="shared" ca="1" si="600"/>
        <v>0</v>
      </c>
      <c r="AO2734" s="196">
        <f t="shared" ca="1" si="601"/>
        <v>0</v>
      </c>
    </row>
    <row r="2735" spans="1:41">
      <c r="A2735" s="189">
        <v>10115</v>
      </c>
      <c r="B2735" s="190">
        <v>1</v>
      </c>
      <c r="C2735" s="191" t="s">
        <v>220</v>
      </c>
      <c r="D2735" s="192">
        <f t="shared" si="588"/>
        <v>29819</v>
      </c>
      <c r="E2735" s="192">
        <f t="shared" si="589"/>
        <v>187866</v>
      </c>
      <c r="F2735" s="192">
        <f t="shared" si="590"/>
        <v>0</v>
      </c>
      <c r="G2735" s="193">
        <f t="shared" si="591"/>
        <v>217685</v>
      </c>
      <c r="H2735" s="194">
        <v>11605</v>
      </c>
      <c r="I2735" s="194">
        <v>80825</v>
      </c>
      <c r="J2735" s="194">
        <v>0</v>
      </c>
      <c r="K2735" s="193">
        <f t="shared" si="592"/>
        <v>92430</v>
      </c>
      <c r="L2735" s="194">
        <v>14943</v>
      </c>
      <c r="M2735" s="194">
        <v>90752</v>
      </c>
      <c r="N2735" s="194">
        <v>0</v>
      </c>
      <c r="O2735" s="193">
        <f t="shared" si="593"/>
        <v>105695</v>
      </c>
      <c r="P2735" s="194">
        <v>3271</v>
      </c>
      <c r="Q2735" s="194">
        <v>16289</v>
      </c>
      <c r="R2735" s="194">
        <v>0</v>
      </c>
      <c r="S2735" s="193">
        <f t="shared" si="594"/>
        <v>19560</v>
      </c>
      <c r="T2735" s="193">
        <f t="shared" si="595"/>
        <v>7256.166666666667</v>
      </c>
      <c r="U2735" s="193">
        <f ca="1">OFFSET('Expenditure Study'!$B$7,'Operations Support'!$C2735,'Operations Support'!$B2735)*$G2735</f>
        <v>217685</v>
      </c>
      <c r="V2735" s="199">
        <f ca="1">U2735*'Expenditure Study'!$B$31</f>
        <v>12861522.212448001</v>
      </c>
      <c r="W2735" s="199">
        <f ca="1">IF(A2735=10298,1.51,1)*IF($B2735&lt;3,$D2735*'Expenditure Study'!$B$32*OFFSET('Expenditure Study'!$B$7,'Operations Support'!$C2735,'Operations Support'!$B2735),0)</f>
        <v>2981.9</v>
      </c>
      <c r="X2735" s="200">
        <f ca="1">W2735*'Expenditure Study'!$B$31</f>
        <v>176180.13682752001</v>
      </c>
      <c r="Y2735" s="199">
        <f ca="1">U2735*'Expenditure Study'!$B$31</f>
        <v>12861522.212448001</v>
      </c>
      <c r="Z2735" s="200">
        <f ca="1">W2735*'Expenditure Study'!$B$31</f>
        <v>176180.13682752001</v>
      </c>
      <c r="AA2735" s="195">
        <f t="shared" ca="1" si="596"/>
        <v>13037702.34927552</v>
      </c>
      <c r="AB2735" s="195">
        <f t="shared" ca="1" si="597"/>
        <v>13037702.34927552</v>
      </c>
      <c r="AD2735" s="196">
        <f>IFERROR($G2735/SUMIF($A:$A,$A2735,$G:$G)*SUMIF(Summary!$A$166:$A$242,$A2735,Summary!$P$166:$P$242),0)</f>
        <v>5846465.3886177242</v>
      </c>
      <c r="AE2735" s="197">
        <f t="shared" ca="1" si="598"/>
        <v>7191236.9606577959</v>
      </c>
      <c r="AF2735" s="196">
        <f>IFERROR(G2735/SUMIF(A:A,A2735,G:G)*SUMIF(Summary!$A$166:$A$242,'Operations Support'!A2735,Summary!$Q$166:$Q$242),0)</f>
        <v>5854486.7483732617</v>
      </c>
      <c r="AG2735" s="196">
        <f t="shared" ca="1" si="599"/>
        <v>7183215.6009022584</v>
      </c>
      <c r="AI2735" s="196">
        <f>IFERROR($G2735/SUMIF($A:$A,$A2735,$G:$G)*SUMIF(Summary!$A$247:$A$283,$A2735,Summary!$P$247:$P$283),0)</f>
        <v>1066249.3899664087</v>
      </c>
      <c r="AJ2735" s="196">
        <f>IFERROR($G2735/SUMIF($A:$A,$A2735,$G:$G)*(SUMIF(Summary!$A$247:$A$283,$A2735,Summary!$L$247:$L$283)+SUMIF(Summary!$A$297:$A$333,$A2735,Summary!$L$297:$L$333))-AI2735,0)</f>
        <v>4721157.0301530631</v>
      </c>
      <c r="AK2735" s="196">
        <f>IFERROR($G2735/SUMIF($A:$A,$A2735,$G:$G)*SUMIF(Summary!$A$247:$A$283,$A2735,Summary!$Q$247:$Q$283),0)</f>
        <v>1067712.2858150175</v>
      </c>
      <c r="AL2735" s="196">
        <f>IFERROR($G2735/SUMIF($A:$A,$A2735,$G:$G)*(SUMIF(Summary!$A$247:$A$283,$A2735,Summary!$L$247:$L$283)+SUMIF(Summary!$A$297:$A$333,$A2735,Summary!$L$297:$L$333))-AK2735,0)</f>
        <v>4719694.1343044546</v>
      </c>
      <c r="AM2735" s="198"/>
      <c r="AN2735" s="196">
        <f t="shared" ca="1" si="600"/>
        <v>11912393.99081086</v>
      </c>
      <c r="AO2735" s="196">
        <f t="shared" ca="1" si="601"/>
        <v>11902909.735206712</v>
      </c>
    </row>
    <row r="2736" spans="1:41">
      <c r="A2736" s="189">
        <v>10115</v>
      </c>
      <c r="B2736" s="190">
        <v>1</v>
      </c>
      <c r="C2736" s="191" t="s">
        <v>221</v>
      </c>
      <c r="D2736" s="192">
        <f t="shared" si="588"/>
        <v>23149.699999999983</v>
      </c>
      <c r="E2736" s="192">
        <f t="shared" si="589"/>
        <v>72652.3</v>
      </c>
      <c r="F2736" s="192">
        <f t="shared" si="590"/>
        <v>0</v>
      </c>
      <c r="G2736" s="193">
        <f t="shared" si="591"/>
        <v>95801.999999999985</v>
      </c>
      <c r="H2736" s="194">
        <v>9571.4399999999805</v>
      </c>
      <c r="I2736" s="194">
        <v>31745.56</v>
      </c>
      <c r="J2736" s="194">
        <v>0</v>
      </c>
      <c r="K2736" s="193">
        <f t="shared" si="592"/>
        <v>41316.999999999985</v>
      </c>
      <c r="L2736" s="194">
        <v>12423.26</v>
      </c>
      <c r="M2736" s="194">
        <v>35127.74</v>
      </c>
      <c r="N2736" s="194">
        <v>0</v>
      </c>
      <c r="O2736" s="193">
        <f t="shared" si="593"/>
        <v>47551</v>
      </c>
      <c r="P2736" s="194">
        <v>1155</v>
      </c>
      <c r="Q2736" s="194">
        <v>5779</v>
      </c>
      <c r="R2736" s="194">
        <v>0</v>
      </c>
      <c r="S2736" s="193">
        <f t="shared" si="594"/>
        <v>6934</v>
      </c>
      <c r="T2736" s="193">
        <f t="shared" si="595"/>
        <v>3193.3999999999996</v>
      </c>
      <c r="U2736" s="193">
        <f ca="1">OFFSET('Expenditure Study'!$B$7,'Operations Support'!$C2736,'Operations Support'!$B2736)*$G2736</f>
        <v>128374.68</v>
      </c>
      <c r="V2736" s="199">
        <f ca="1">U2736*'Expenditure Study'!$B$31</f>
        <v>7584784.428582144</v>
      </c>
      <c r="W2736" s="199">
        <f ca="1">IF(A2736=10298,1.51,1)*IF($B2736&lt;3,$D2736*'Expenditure Study'!$B$32*OFFSET('Expenditure Study'!$B$7,'Operations Support'!$C2736,'Operations Support'!$B2736),0)</f>
        <v>3102.0597999999982</v>
      </c>
      <c r="X2736" s="200">
        <f ca="1">W2736*'Expenditure Study'!$B$31</f>
        <v>183279.56001581173</v>
      </c>
      <c r="Y2736" s="199">
        <f ca="1">U2736*'Expenditure Study'!$B$31</f>
        <v>7584784.428582144</v>
      </c>
      <c r="Z2736" s="200">
        <f ca="1">W2736*'Expenditure Study'!$B$31</f>
        <v>183279.56001581173</v>
      </c>
      <c r="AA2736" s="195">
        <f t="shared" ca="1" si="596"/>
        <v>7768063.9885979556</v>
      </c>
      <c r="AB2736" s="195">
        <f t="shared" ca="1" si="597"/>
        <v>7768063.9885979556</v>
      </c>
      <c r="AD2736" s="196">
        <f>IFERROR($G2736/SUMIF($A:$A,$A2736,$G:$G)*SUMIF(Summary!$A$166:$A$242,$A2736,Summary!$P$166:$P$242),0)</f>
        <v>2572998.0345928986</v>
      </c>
      <c r="AE2736" s="197">
        <f t="shared" ca="1" si="598"/>
        <v>5195065.954005057</v>
      </c>
      <c r="AF2736" s="196">
        <f>IFERROR(G2736/SUMIF(A:A,A2736,G:G)*SUMIF(Summary!$A$166:$A$242,'Operations Support'!A2736,Summary!$Q$166:$Q$242),0)</f>
        <v>2576528.1919638705</v>
      </c>
      <c r="AG2736" s="196">
        <f t="shared" ca="1" si="599"/>
        <v>5191535.7966340855</v>
      </c>
      <c r="AI2736" s="196">
        <f>IFERROR($G2736/SUMIF($A:$A,$A2736,$G:$G)*SUMIF(Summary!$A$247:$A$283,$A2736,Summary!$P$247:$P$283),0)</f>
        <v>469250.63305952121</v>
      </c>
      <c r="AJ2736" s="196">
        <f>IFERROR($G2736/SUMIF($A:$A,$A2736,$G:$G)*(SUMIF(Summary!$A$247:$A$283,$A2736,Summary!$L$247:$L$283)+SUMIF(Summary!$A$297:$A$333,$A2736,Summary!$L$297:$L$333))-AI2736,0)</f>
        <v>2077755.8665168644</v>
      </c>
      <c r="AK2736" s="196">
        <f>IFERROR($G2736/SUMIF($A:$A,$A2736,$G:$G)*SUMIF(Summary!$A$247:$A$283,$A2736,Summary!$Q$247:$Q$283),0)</f>
        <v>469894.44566989137</v>
      </c>
      <c r="AL2736" s="196">
        <f>IFERROR($G2736/SUMIF($A:$A,$A2736,$G:$G)*(SUMIF(Summary!$A$247:$A$283,$A2736,Summary!$L$247:$L$283)+SUMIF(Summary!$A$297:$A$333,$A2736,Summary!$L$297:$L$333))-AK2736,0)</f>
        <v>2077112.0539064943</v>
      </c>
      <c r="AM2736" s="198"/>
      <c r="AN2736" s="196">
        <f t="shared" ca="1" si="600"/>
        <v>7272821.8205219209</v>
      </c>
      <c r="AO2736" s="196">
        <f t="shared" ca="1" si="601"/>
        <v>7268647.8505405802</v>
      </c>
    </row>
    <row r="2737" spans="1:41">
      <c r="A2737" s="189">
        <v>10115</v>
      </c>
      <c r="B2737" s="190">
        <v>1</v>
      </c>
      <c r="C2737" s="191" t="s">
        <v>222</v>
      </c>
      <c r="D2737" s="192">
        <f t="shared" si="588"/>
        <v>4021</v>
      </c>
      <c r="E2737" s="192">
        <f t="shared" si="589"/>
        <v>21492</v>
      </c>
      <c r="F2737" s="192">
        <f t="shared" si="590"/>
        <v>0</v>
      </c>
      <c r="G2737" s="193">
        <f t="shared" si="591"/>
        <v>25513</v>
      </c>
      <c r="H2737" s="194">
        <v>1196</v>
      </c>
      <c r="I2737" s="194">
        <v>10436</v>
      </c>
      <c r="J2737" s="194">
        <v>0</v>
      </c>
      <c r="K2737" s="193">
        <f t="shared" si="592"/>
        <v>11632</v>
      </c>
      <c r="L2737" s="194">
        <v>1943</v>
      </c>
      <c r="M2737" s="194">
        <v>9679</v>
      </c>
      <c r="N2737" s="194">
        <v>0</v>
      </c>
      <c r="O2737" s="193">
        <f t="shared" si="593"/>
        <v>11622</v>
      </c>
      <c r="P2737" s="194">
        <v>882</v>
      </c>
      <c r="Q2737" s="194">
        <v>1377</v>
      </c>
      <c r="R2737" s="194">
        <v>0</v>
      </c>
      <c r="S2737" s="193">
        <f t="shared" si="594"/>
        <v>2259</v>
      </c>
      <c r="T2737" s="193">
        <f t="shared" si="595"/>
        <v>850.43333333333328</v>
      </c>
      <c r="U2737" s="193">
        <f ca="1">OFFSET('Expenditure Study'!$B$7,'Operations Support'!$C2737,'Operations Support'!$B2737)*$G2737</f>
        <v>34952.810000000005</v>
      </c>
      <c r="V2737" s="199">
        <f ca="1">U2737*'Expenditure Study'!$B$31</f>
        <v>2065123.1926980484</v>
      </c>
      <c r="W2737" s="199">
        <f ca="1">IF(A2737=10298,1.51,1)*IF($B2737&lt;3,$D2737*'Expenditure Study'!$B$32*OFFSET('Expenditure Study'!$B$7,'Operations Support'!$C2737,'Operations Support'!$B2737),0)</f>
        <v>550.87700000000007</v>
      </c>
      <c r="X2737" s="200">
        <f ca="1">W2737*'Expenditure Study'!$B$31</f>
        <v>32547.565389561605</v>
      </c>
      <c r="Y2737" s="199">
        <f ca="1">U2737*'Expenditure Study'!$B$31</f>
        <v>2065123.1926980484</v>
      </c>
      <c r="Z2737" s="200">
        <f ca="1">W2737*'Expenditure Study'!$B$31</f>
        <v>32547.565389561605</v>
      </c>
      <c r="AA2737" s="195">
        <f t="shared" ca="1" si="596"/>
        <v>2097670.7580876099</v>
      </c>
      <c r="AB2737" s="195">
        <f t="shared" ca="1" si="597"/>
        <v>2097670.7580876099</v>
      </c>
      <c r="AD2737" s="196">
        <f>IFERROR($G2737/SUMIF($A:$A,$A2737,$G:$G)*SUMIF(Summary!$A$166:$A$242,$A2737,Summary!$P$166:$P$242),0)</f>
        <v>685214.2842171212</v>
      </c>
      <c r="AE2737" s="197">
        <f t="shared" ca="1" si="598"/>
        <v>1412456.4738704888</v>
      </c>
      <c r="AF2737" s="196">
        <f>IFERROR(G2737/SUMIF(A:A,A2737,G:G)*SUMIF(Summary!$A$166:$A$242,'Operations Support'!A2737,Summary!$Q$166:$Q$242),0)</f>
        <v>686154.39929828444</v>
      </c>
      <c r="AG2737" s="196">
        <f t="shared" ca="1" si="599"/>
        <v>1411516.3587893255</v>
      </c>
      <c r="AI2737" s="196">
        <f>IFERROR($G2737/SUMIF($A:$A,$A2737,$G:$G)*SUMIF(Summary!$A$247:$A$283,$A2737,Summary!$P$247:$P$283),0)</f>
        <v>124965.98610934602</v>
      </c>
      <c r="AJ2737" s="196">
        <f>IFERROR($G2737/SUMIF($A:$A,$A2737,$G:$G)*(SUMIF(Summary!$A$247:$A$283,$A2737,Summary!$L$247:$L$283)+SUMIF(Summary!$A$297:$A$333,$A2737,Summary!$L$297:$L$333))-AI2737,0)</f>
        <v>553326.50072487816</v>
      </c>
      <c r="AK2737" s="196">
        <f>IFERROR($G2737/SUMIF($A:$A,$A2737,$G:$G)*SUMIF(Summary!$A$247:$A$283,$A2737,Summary!$Q$247:$Q$283),0)</f>
        <v>125137.43963983988</v>
      </c>
      <c r="AL2737" s="196">
        <f>IFERROR($G2737/SUMIF($A:$A,$A2737,$G:$G)*(SUMIF(Summary!$A$247:$A$283,$A2737,Summary!$L$247:$L$283)+SUMIF(Summary!$A$297:$A$333,$A2737,Summary!$L$297:$L$333))-AK2737,0)</f>
        <v>553155.04719438427</v>
      </c>
      <c r="AM2737" s="198"/>
      <c r="AN2737" s="196">
        <f t="shared" ca="1" si="600"/>
        <v>1965782.974595367</v>
      </c>
      <c r="AO2737" s="196">
        <f t="shared" ca="1" si="601"/>
        <v>1964671.4059837097</v>
      </c>
    </row>
    <row r="2738" spans="1:41">
      <c r="A2738" s="189">
        <v>10115</v>
      </c>
      <c r="B2738" s="190">
        <v>1</v>
      </c>
      <c r="C2738" s="191" t="s">
        <v>223</v>
      </c>
      <c r="D2738" s="192">
        <f t="shared" si="588"/>
        <v>748</v>
      </c>
      <c r="E2738" s="192">
        <f t="shared" si="589"/>
        <v>3162</v>
      </c>
      <c r="F2738" s="192">
        <f t="shared" si="590"/>
        <v>0</v>
      </c>
      <c r="G2738" s="193">
        <f t="shared" si="591"/>
        <v>3910</v>
      </c>
      <c r="H2738" s="194">
        <v>307</v>
      </c>
      <c r="I2738" s="194">
        <v>1374</v>
      </c>
      <c r="J2738" s="194">
        <v>0</v>
      </c>
      <c r="K2738" s="193">
        <f t="shared" si="592"/>
        <v>1681</v>
      </c>
      <c r="L2738" s="194">
        <v>426</v>
      </c>
      <c r="M2738" s="194">
        <v>1704</v>
      </c>
      <c r="N2738" s="194">
        <v>0</v>
      </c>
      <c r="O2738" s="193">
        <f t="shared" si="593"/>
        <v>2130</v>
      </c>
      <c r="P2738" s="194">
        <v>15</v>
      </c>
      <c r="Q2738" s="194">
        <v>84</v>
      </c>
      <c r="R2738" s="194">
        <v>0</v>
      </c>
      <c r="S2738" s="193">
        <f t="shared" si="594"/>
        <v>99</v>
      </c>
      <c r="T2738" s="193">
        <f t="shared" si="595"/>
        <v>130.33333333333334</v>
      </c>
      <c r="U2738" s="193">
        <f ca="1">OFFSET('Expenditure Study'!$B$7,'Operations Support'!$C2738,'Operations Support'!$B2738)*$G2738</f>
        <v>4926.6000000000004</v>
      </c>
      <c r="V2738" s="199">
        <f ca="1">U2738*'Expenditure Study'!$B$31</f>
        <v>291079.19852928002</v>
      </c>
      <c r="W2738" s="199">
        <f ca="1">IF(A2738=10298,1.51,1)*IF($B2738&lt;3,$D2738*'Expenditure Study'!$B$32*OFFSET('Expenditure Study'!$B$7,'Operations Support'!$C2738,'Operations Support'!$B2738),0)</f>
        <v>94.24799999999999</v>
      </c>
      <c r="X2738" s="200">
        <f ca="1">W2738*'Expenditure Study'!$B$31</f>
        <v>5568.4716240383996</v>
      </c>
      <c r="Y2738" s="199">
        <f ca="1">U2738*'Expenditure Study'!$B$31</f>
        <v>291079.19852928002</v>
      </c>
      <c r="Z2738" s="200">
        <f ca="1">W2738*'Expenditure Study'!$B$31</f>
        <v>5568.4716240383996</v>
      </c>
      <c r="AA2738" s="195">
        <f t="shared" ca="1" si="596"/>
        <v>296647.67015331844</v>
      </c>
      <c r="AB2738" s="195">
        <f t="shared" ca="1" si="597"/>
        <v>296647.67015331844</v>
      </c>
      <c r="AD2738" s="196">
        <f>IFERROR($G2738/SUMIF($A:$A,$A2738,$G:$G)*SUMIF(Summary!$A$166:$A$242,$A2738,Summary!$P$166:$P$242),0)</f>
        <v>105012.65438360615</v>
      </c>
      <c r="AE2738" s="197">
        <f t="shared" ca="1" si="598"/>
        <v>191635.01576971228</v>
      </c>
      <c r="AF2738" s="196">
        <f>IFERROR(G2738/SUMIF(A:A,A2738,G:G)*SUMIF(Summary!$A$166:$A$242,'Operations Support'!A2738,Summary!$Q$166:$Q$242),0)</f>
        <v>105156.73191142916</v>
      </c>
      <c r="AG2738" s="196">
        <f t="shared" ca="1" si="599"/>
        <v>191490.93824188929</v>
      </c>
      <c r="AI2738" s="196">
        <f>IFERROR($G2738/SUMIF($A:$A,$A2738,$G:$G)*SUMIF(Summary!$A$247:$A$283,$A2738,Summary!$P$247:$P$283),0)</f>
        <v>19151.687597990942</v>
      </c>
      <c r="AJ2738" s="196">
        <f>IFERROR($G2738/SUMIF($A:$A,$A2738,$G:$G)*(SUMIF(Summary!$A$247:$A$283,$A2738,Summary!$L$247:$L$283)+SUMIF(Summary!$A$297:$A$333,$A2738,Summary!$L$297:$L$333))-AI2738,0)</f>
        <v>84800.16532098435</v>
      </c>
      <c r="AK2738" s="196">
        <f>IFERROR($G2738/SUMIF($A:$A,$A2738,$G:$G)*SUMIF(Summary!$A$247:$A$283,$A2738,Summary!$Q$247:$Q$283),0)</f>
        <v>19177.963743651235</v>
      </c>
      <c r="AL2738" s="196">
        <f>IFERROR($G2738/SUMIF($A:$A,$A2738,$G:$G)*(SUMIF(Summary!$A$247:$A$283,$A2738,Summary!$L$247:$L$283)+SUMIF(Summary!$A$297:$A$333,$A2738,Summary!$L$297:$L$333))-AK2738,0)</f>
        <v>84773.88917532406</v>
      </c>
      <c r="AM2738" s="198"/>
      <c r="AN2738" s="196">
        <f t="shared" ca="1" si="600"/>
        <v>276435.1810906966</v>
      </c>
      <c r="AO2738" s="196">
        <f t="shared" ca="1" si="601"/>
        <v>276264.82741721335</v>
      </c>
    </row>
    <row r="2739" spans="1:41">
      <c r="A2739" s="189">
        <v>10115</v>
      </c>
      <c r="B2739" s="190">
        <v>1</v>
      </c>
      <c r="C2739" s="191" t="s">
        <v>224</v>
      </c>
      <c r="D2739" s="192">
        <f t="shared" si="588"/>
        <v>0</v>
      </c>
      <c r="E2739" s="192">
        <f t="shared" si="589"/>
        <v>12</v>
      </c>
      <c r="F2739" s="192">
        <f t="shared" si="590"/>
        <v>0</v>
      </c>
      <c r="G2739" s="193">
        <f t="shared" si="591"/>
        <v>12</v>
      </c>
      <c r="H2739" s="194">
        <v>0</v>
      </c>
      <c r="I2739" s="194">
        <v>0</v>
      </c>
      <c r="J2739" s="194">
        <v>0</v>
      </c>
      <c r="K2739" s="193">
        <f t="shared" si="592"/>
        <v>0</v>
      </c>
      <c r="L2739" s="194">
        <v>0</v>
      </c>
      <c r="M2739" s="194">
        <v>12</v>
      </c>
      <c r="N2739" s="194">
        <v>0</v>
      </c>
      <c r="O2739" s="193">
        <f t="shared" si="593"/>
        <v>12</v>
      </c>
      <c r="P2739" s="194">
        <v>0</v>
      </c>
      <c r="Q2739" s="194">
        <v>0</v>
      </c>
      <c r="R2739" s="194">
        <v>0</v>
      </c>
      <c r="S2739" s="193">
        <f t="shared" si="594"/>
        <v>0</v>
      </c>
      <c r="T2739" s="193">
        <f t="shared" si="595"/>
        <v>0.4</v>
      </c>
      <c r="U2739" s="193">
        <f ca="1">OFFSET('Expenditure Study'!$B$7,'Operations Support'!$C2739,'Operations Support'!$B2739)*$G2739</f>
        <v>17.759999999999998</v>
      </c>
      <c r="V2739" s="199">
        <f ca="1">U2739*'Expenditure Study'!$B$31</f>
        <v>1049.317291008</v>
      </c>
      <c r="W2739" s="199">
        <f ca="1">IF(A2739=10298,1.51,1)*IF($B2739&lt;3,$D2739*'Expenditure Study'!$B$32*OFFSET('Expenditure Study'!$B$7,'Operations Support'!$C2739,'Operations Support'!$B2739),0)</f>
        <v>0</v>
      </c>
      <c r="X2739" s="200">
        <f ca="1">W2739*'Expenditure Study'!$B$31</f>
        <v>0</v>
      </c>
      <c r="Y2739" s="199">
        <f ca="1">U2739*'Expenditure Study'!$B$31</f>
        <v>1049.317291008</v>
      </c>
      <c r="Z2739" s="200">
        <f ca="1">W2739*'Expenditure Study'!$B$31</f>
        <v>0</v>
      </c>
      <c r="AA2739" s="195">
        <f t="shared" ca="1" si="596"/>
        <v>1049.317291008</v>
      </c>
      <c r="AB2739" s="195">
        <f t="shared" ca="1" si="597"/>
        <v>1049.317291008</v>
      </c>
      <c r="AD2739" s="196">
        <f>IFERROR($G2739/SUMIF($A:$A,$A2739,$G:$G)*SUMIF(Summary!$A$166:$A$242,$A2739,Summary!$P$166:$P$242),0)</f>
        <v>322.28947636912369</v>
      </c>
      <c r="AE2739" s="197">
        <f t="shared" ca="1" si="598"/>
        <v>727.02781463887629</v>
      </c>
      <c r="AF2739" s="196">
        <f>IFERROR(G2739/SUMIF(A:A,A2739,G:G)*SUMIF(Summary!$A$166:$A$242,'Operations Support'!A2739,Summary!$Q$166:$Q$242),0)</f>
        <v>322.73165804019175</v>
      </c>
      <c r="AG2739" s="196">
        <f t="shared" ca="1" si="599"/>
        <v>726.58563296780824</v>
      </c>
      <c r="AI2739" s="196">
        <f>IFERROR($G2739/SUMIF($A:$A,$A2739,$G:$G)*SUMIF(Summary!$A$247:$A$283,$A2739,Summary!$P$247:$P$283),0)</f>
        <v>58.777557845496496</v>
      </c>
      <c r="AJ2739" s="196">
        <f>IFERROR($G2739/SUMIF($A:$A,$A2739,$G:$G)*(SUMIF(Summary!$A$247:$A$283,$A2739,Summary!$L$247:$L$283)+SUMIF(Summary!$A$297:$A$333,$A2739,Summary!$L$297:$L$333))-AI2739,0)</f>
        <v>260.25626185468337</v>
      </c>
      <c r="AK2739" s="196">
        <f>IFERROR($G2739/SUMIF($A:$A,$A2739,$G:$G)*SUMIF(Summary!$A$247:$A$283,$A2739,Summary!$Q$247:$Q$283),0)</f>
        <v>58.858200747778717</v>
      </c>
      <c r="AL2739" s="196">
        <f>IFERROR($G2739/SUMIF($A:$A,$A2739,$G:$G)*(SUMIF(Summary!$A$247:$A$283,$A2739,Summary!$L$247:$L$283)+SUMIF(Summary!$A$297:$A$333,$A2739,Summary!$L$297:$L$333))-AK2739,0)</f>
        <v>260.17561895240118</v>
      </c>
      <c r="AM2739" s="198"/>
      <c r="AN2739" s="196">
        <f t="shared" ca="1" si="600"/>
        <v>987.28407649355972</v>
      </c>
      <c r="AO2739" s="196">
        <f t="shared" ca="1" si="601"/>
        <v>986.76125192020936</v>
      </c>
    </row>
    <row r="2740" spans="1:41">
      <c r="A2740" s="189">
        <v>10115</v>
      </c>
      <c r="B2740" s="190">
        <v>1</v>
      </c>
      <c r="C2740" s="191" t="s">
        <v>225</v>
      </c>
      <c r="D2740" s="192">
        <f t="shared" si="588"/>
        <v>6255.02</v>
      </c>
      <c r="E2740" s="192">
        <f t="shared" si="589"/>
        <v>45356.979999999996</v>
      </c>
      <c r="F2740" s="192">
        <f t="shared" si="590"/>
        <v>0</v>
      </c>
      <c r="G2740" s="193">
        <f t="shared" si="591"/>
        <v>51612</v>
      </c>
      <c r="H2740" s="194">
        <v>2782</v>
      </c>
      <c r="I2740" s="194">
        <v>20220</v>
      </c>
      <c r="J2740" s="194">
        <v>0</v>
      </c>
      <c r="K2740" s="193">
        <f t="shared" si="592"/>
        <v>23002</v>
      </c>
      <c r="L2740" s="194">
        <v>2789.02</v>
      </c>
      <c r="M2740" s="194">
        <v>22023.98</v>
      </c>
      <c r="N2740" s="194">
        <v>0</v>
      </c>
      <c r="O2740" s="193">
        <f t="shared" si="593"/>
        <v>24813</v>
      </c>
      <c r="P2740" s="194">
        <v>684</v>
      </c>
      <c r="Q2740" s="194">
        <v>3113</v>
      </c>
      <c r="R2740" s="194">
        <v>0</v>
      </c>
      <c r="S2740" s="193">
        <f t="shared" si="594"/>
        <v>3797</v>
      </c>
      <c r="T2740" s="193">
        <f t="shared" si="595"/>
        <v>1720.4</v>
      </c>
      <c r="U2740" s="193">
        <f ca="1">OFFSET('Expenditure Study'!$B$7,'Operations Support'!$C2740,'Operations Support'!$B2740)*$G2740</f>
        <v>90837.119999999995</v>
      </c>
      <c r="V2740" s="199">
        <f ca="1">U2740*'Expenditure Study'!$B$31</f>
        <v>5366945.9843112957</v>
      </c>
      <c r="W2740" s="199">
        <f ca="1">IF(A2740=10298,1.51,1)*IF($B2740&lt;3,$D2740*'Expenditure Study'!$B$32*OFFSET('Expenditure Study'!$B$7,'Operations Support'!$C2740,'Operations Support'!$B2740),0)</f>
        <v>1100.8835200000001</v>
      </c>
      <c r="X2740" s="200">
        <f ca="1">W2740*'Expenditure Study'!$B$31</f>
        <v>65043.700051900421</v>
      </c>
      <c r="Y2740" s="199">
        <f ca="1">U2740*'Expenditure Study'!$B$31</f>
        <v>5366945.9843112957</v>
      </c>
      <c r="Z2740" s="200">
        <f ca="1">W2740*'Expenditure Study'!$B$31</f>
        <v>65043.700051900421</v>
      </c>
      <c r="AA2740" s="195">
        <f t="shared" ca="1" si="596"/>
        <v>5431989.6843631957</v>
      </c>
      <c r="AB2740" s="195">
        <f t="shared" ca="1" si="597"/>
        <v>5431989.6843631957</v>
      </c>
      <c r="AD2740" s="196">
        <f>IFERROR($G2740/SUMIF($A:$A,$A2740,$G:$G)*SUMIF(Summary!$A$166:$A$242,$A2740,Summary!$P$166:$P$242),0)</f>
        <v>1386167.037863601</v>
      </c>
      <c r="AE2740" s="197">
        <f t="shared" ca="1" si="598"/>
        <v>4045822.6464995947</v>
      </c>
      <c r="AF2740" s="196">
        <f>IFERROR(G2740/SUMIF(A:A,A2740,G:G)*SUMIF(Summary!$A$166:$A$242,'Operations Support'!A2740,Summary!$Q$166:$Q$242),0)</f>
        <v>1388068.8612308647</v>
      </c>
      <c r="AG2740" s="196">
        <f t="shared" ca="1" si="599"/>
        <v>4043920.823132331</v>
      </c>
      <c r="AI2740" s="196">
        <f>IFERROR($G2740/SUMIF($A:$A,$A2740,$G:$G)*SUMIF(Summary!$A$247:$A$283,$A2740,Summary!$P$247:$P$283),0)</f>
        <v>252802.27629348042</v>
      </c>
      <c r="AJ2740" s="196">
        <f>IFERROR($G2740/SUMIF($A:$A,$A2740,$G:$G)*(SUMIF(Summary!$A$247:$A$283,$A2740,Summary!$L$247:$L$283)+SUMIF(Summary!$A$297:$A$333,$A2740,Summary!$L$297:$L$333))-AI2740,0)</f>
        <v>1119362.1822369932</v>
      </c>
      <c r="AK2740" s="196">
        <f>IFERROR($G2740/SUMIF($A:$A,$A2740,$G:$G)*SUMIF(Summary!$A$247:$A$283,$A2740,Summary!$Q$247:$Q$283),0)</f>
        <v>253149.12141619629</v>
      </c>
      <c r="AL2740" s="196">
        <f>IFERROR($G2740/SUMIF($A:$A,$A2740,$G:$G)*(SUMIF(Summary!$A$247:$A$283,$A2740,Summary!$L$247:$L$283)+SUMIF(Summary!$A$297:$A$333,$A2740,Summary!$L$297:$L$333))-AK2740,0)</f>
        <v>1119015.3371142775</v>
      </c>
      <c r="AM2740" s="198"/>
      <c r="AN2740" s="196">
        <f t="shared" ca="1" si="600"/>
        <v>5165184.8287365884</v>
      </c>
      <c r="AO2740" s="196">
        <f t="shared" ca="1" si="601"/>
        <v>5162936.1602466088</v>
      </c>
    </row>
    <row r="2741" spans="1:41">
      <c r="A2741" s="189">
        <v>10115</v>
      </c>
      <c r="B2741" s="190">
        <v>1</v>
      </c>
      <c r="C2741" s="191" t="s">
        <v>226</v>
      </c>
      <c r="D2741" s="192">
        <f t="shared" si="588"/>
        <v>0</v>
      </c>
      <c r="E2741" s="192">
        <f t="shared" si="589"/>
        <v>0</v>
      </c>
      <c r="F2741" s="192">
        <f t="shared" si="590"/>
        <v>0</v>
      </c>
      <c r="G2741" s="193">
        <f t="shared" si="591"/>
        <v>0</v>
      </c>
      <c r="H2741" s="194">
        <v>0</v>
      </c>
      <c r="I2741" s="194">
        <v>0</v>
      </c>
      <c r="J2741" s="194">
        <v>0</v>
      </c>
      <c r="K2741" s="193">
        <f t="shared" si="592"/>
        <v>0</v>
      </c>
      <c r="L2741" s="194">
        <v>0</v>
      </c>
      <c r="M2741" s="194">
        <v>0</v>
      </c>
      <c r="N2741" s="194">
        <v>0</v>
      </c>
      <c r="O2741" s="193">
        <f t="shared" si="593"/>
        <v>0</v>
      </c>
      <c r="P2741" s="194">
        <v>0</v>
      </c>
      <c r="Q2741" s="194">
        <v>0</v>
      </c>
      <c r="R2741" s="194">
        <v>0</v>
      </c>
      <c r="S2741" s="193">
        <f t="shared" si="594"/>
        <v>0</v>
      </c>
      <c r="T2741" s="193">
        <f t="shared" si="595"/>
        <v>0</v>
      </c>
      <c r="U2741" s="193">
        <f ca="1">OFFSET('Expenditure Study'!$B$7,'Operations Support'!$C2741,'Operations Support'!$B2741)*$G2741</f>
        <v>0</v>
      </c>
      <c r="V2741" s="199">
        <f ca="1">U2741*'Expenditure Study'!$B$31</f>
        <v>0</v>
      </c>
      <c r="W2741" s="199">
        <f ca="1">IF(A2741=10298,1.51,1)*IF($B2741&lt;3,$D2741*'Expenditure Study'!$B$32*OFFSET('Expenditure Study'!$B$7,'Operations Support'!$C2741,'Operations Support'!$B2741),0)</f>
        <v>0</v>
      </c>
      <c r="X2741" s="200">
        <f ca="1">W2741*'Expenditure Study'!$B$31</f>
        <v>0</v>
      </c>
      <c r="Y2741" s="199">
        <f ca="1">U2741*'Expenditure Study'!$B$31</f>
        <v>0</v>
      </c>
      <c r="Z2741" s="200">
        <f ca="1">W2741*'Expenditure Study'!$B$31</f>
        <v>0</v>
      </c>
      <c r="AA2741" s="195">
        <f t="shared" ca="1" si="596"/>
        <v>0</v>
      </c>
      <c r="AB2741" s="195">
        <f t="shared" ca="1" si="597"/>
        <v>0</v>
      </c>
      <c r="AD2741" s="196">
        <f>IFERROR($G2741/SUMIF($A:$A,$A2741,$G:$G)*SUMIF(Summary!$A$166:$A$242,$A2741,Summary!$P$166:$P$242),0)</f>
        <v>0</v>
      </c>
      <c r="AE2741" s="197">
        <f t="shared" ca="1" si="598"/>
        <v>0</v>
      </c>
      <c r="AF2741" s="196">
        <f>IFERROR(G2741/SUMIF(A:A,A2741,G:G)*SUMIF(Summary!$A$166:$A$242,'Operations Support'!A2741,Summary!$Q$166:$Q$242),0)</f>
        <v>0</v>
      </c>
      <c r="AG2741" s="196">
        <f t="shared" ca="1" si="599"/>
        <v>0</v>
      </c>
      <c r="AI2741" s="196">
        <f>IFERROR($G2741/SUMIF($A:$A,$A2741,$G:$G)*SUMIF(Summary!$A$247:$A$283,$A2741,Summary!$P$247:$P$283),0)</f>
        <v>0</v>
      </c>
      <c r="AJ2741" s="196">
        <f>IFERROR($G2741/SUMIF($A:$A,$A2741,$G:$G)*(SUMIF(Summary!$A$247:$A$283,$A2741,Summary!$L$247:$L$283)+SUMIF(Summary!$A$297:$A$333,$A2741,Summary!$L$297:$L$333))-AI2741,0)</f>
        <v>0</v>
      </c>
      <c r="AK2741" s="196">
        <f>IFERROR($G2741/SUMIF($A:$A,$A2741,$G:$G)*SUMIF(Summary!$A$247:$A$283,$A2741,Summary!$Q$247:$Q$283),0)</f>
        <v>0</v>
      </c>
      <c r="AL2741" s="196">
        <f>IFERROR($G2741/SUMIF($A:$A,$A2741,$G:$G)*(SUMIF(Summary!$A$247:$A$283,$A2741,Summary!$L$247:$L$283)+SUMIF(Summary!$A$297:$A$333,$A2741,Summary!$L$297:$L$333))-AK2741,0)</f>
        <v>0</v>
      </c>
      <c r="AM2741" s="198"/>
      <c r="AN2741" s="196">
        <f t="shared" ca="1" si="600"/>
        <v>0</v>
      </c>
      <c r="AO2741" s="196">
        <f t="shared" ca="1" si="601"/>
        <v>0</v>
      </c>
    </row>
    <row r="2742" spans="1:41">
      <c r="A2742" s="189">
        <v>10115</v>
      </c>
      <c r="B2742" s="190">
        <v>1</v>
      </c>
      <c r="C2742" s="191" t="s">
        <v>227</v>
      </c>
      <c r="D2742" s="192">
        <f t="shared" si="588"/>
        <v>0</v>
      </c>
      <c r="E2742" s="192">
        <f t="shared" si="589"/>
        <v>0</v>
      </c>
      <c r="F2742" s="192">
        <f t="shared" si="590"/>
        <v>0</v>
      </c>
      <c r="G2742" s="193">
        <f t="shared" si="591"/>
        <v>0</v>
      </c>
      <c r="H2742" s="194">
        <v>0</v>
      </c>
      <c r="I2742" s="194">
        <v>0</v>
      </c>
      <c r="J2742" s="194">
        <v>0</v>
      </c>
      <c r="K2742" s="193">
        <f t="shared" si="592"/>
        <v>0</v>
      </c>
      <c r="L2742" s="194">
        <v>0</v>
      </c>
      <c r="M2742" s="194">
        <v>0</v>
      </c>
      <c r="N2742" s="194">
        <v>0</v>
      </c>
      <c r="O2742" s="193">
        <f t="shared" si="593"/>
        <v>0</v>
      </c>
      <c r="P2742" s="194">
        <v>0</v>
      </c>
      <c r="Q2742" s="194">
        <v>0</v>
      </c>
      <c r="R2742" s="194">
        <v>0</v>
      </c>
      <c r="S2742" s="193">
        <f t="shared" si="594"/>
        <v>0</v>
      </c>
      <c r="T2742" s="193">
        <f t="shared" si="595"/>
        <v>0</v>
      </c>
      <c r="U2742" s="193">
        <f ca="1">OFFSET('Expenditure Study'!$B$7,'Operations Support'!$C2742,'Operations Support'!$B2742)*$G2742</f>
        <v>0</v>
      </c>
      <c r="V2742" s="199">
        <f ca="1">U2742*'Expenditure Study'!$B$31</f>
        <v>0</v>
      </c>
      <c r="W2742" s="199">
        <f ca="1">IF(A2742=10298,1.51,1)*IF($B2742&lt;3,$D2742*'Expenditure Study'!$B$32*OFFSET('Expenditure Study'!$B$7,'Operations Support'!$C2742,'Operations Support'!$B2742),0)</f>
        <v>0</v>
      </c>
      <c r="X2742" s="200">
        <f ca="1">W2742*'Expenditure Study'!$B$31</f>
        <v>0</v>
      </c>
      <c r="Y2742" s="199">
        <f ca="1">U2742*'Expenditure Study'!$B$31</f>
        <v>0</v>
      </c>
      <c r="Z2742" s="200">
        <f ca="1">W2742*'Expenditure Study'!$B$31</f>
        <v>0</v>
      </c>
      <c r="AA2742" s="195">
        <f t="shared" ca="1" si="596"/>
        <v>0</v>
      </c>
      <c r="AB2742" s="195">
        <f t="shared" ca="1" si="597"/>
        <v>0</v>
      </c>
      <c r="AD2742" s="196">
        <f>IFERROR($G2742/SUMIF($A:$A,$A2742,$G:$G)*SUMIF(Summary!$A$166:$A$242,$A2742,Summary!$P$166:$P$242),0)</f>
        <v>0</v>
      </c>
      <c r="AE2742" s="197">
        <f t="shared" ca="1" si="598"/>
        <v>0</v>
      </c>
      <c r="AF2742" s="196">
        <f>IFERROR(G2742/SUMIF(A:A,A2742,G:G)*SUMIF(Summary!$A$166:$A$242,'Operations Support'!A2742,Summary!$Q$166:$Q$242),0)</f>
        <v>0</v>
      </c>
      <c r="AG2742" s="196">
        <f t="shared" ca="1" si="599"/>
        <v>0</v>
      </c>
      <c r="AI2742" s="196">
        <f>IFERROR($G2742/SUMIF($A:$A,$A2742,$G:$G)*SUMIF(Summary!$A$247:$A$283,$A2742,Summary!$P$247:$P$283),0)</f>
        <v>0</v>
      </c>
      <c r="AJ2742" s="196">
        <f>IFERROR($G2742/SUMIF($A:$A,$A2742,$G:$G)*(SUMIF(Summary!$A$247:$A$283,$A2742,Summary!$L$247:$L$283)+SUMIF(Summary!$A$297:$A$333,$A2742,Summary!$L$297:$L$333))-AI2742,0)</f>
        <v>0</v>
      </c>
      <c r="AK2742" s="196">
        <f>IFERROR($G2742/SUMIF($A:$A,$A2742,$G:$G)*SUMIF(Summary!$A$247:$A$283,$A2742,Summary!$Q$247:$Q$283),0)</f>
        <v>0</v>
      </c>
      <c r="AL2742" s="196">
        <f>IFERROR($G2742/SUMIF($A:$A,$A2742,$G:$G)*(SUMIF(Summary!$A$247:$A$283,$A2742,Summary!$L$247:$L$283)+SUMIF(Summary!$A$297:$A$333,$A2742,Summary!$L$297:$L$333))-AK2742,0)</f>
        <v>0</v>
      </c>
      <c r="AM2742" s="198"/>
      <c r="AN2742" s="196">
        <f t="shared" ca="1" si="600"/>
        <v>0</v>
      </c>
      <c r="AO2742" s="196">
        <f t="shared" ca="1" si="601"/>
        <v>0</v>
      </c>
    </row>
    <row r="2743" spans="1:41">
      <c r="A2743" s="189">
        <v>10115</v>
      </c>
      <c r="B2743" s="190">
        <v>1</v>
      </c>
      <c r="C2743" s="191" t="s">
        <v>228</v>
      </c>
      <c r="D2743" s="192">
        <f t="shared" si="588"/>
        <v>0</v>
      </c>
      <c r="E2743" s="192">
        <f t="shared" si="589"/>
        <v>0</v>
      </c>
      <c r="F2743" s="192">
        <f t="shared" si="590"/>
        <v>0</v>
      </c>
      <c r="G2743" s="193">
        <f t="shared" si="591"/>
        <v>0</v>
      </c>
      <c r="H2743" s="194">
        <v>0</v>
      </c>
      <c r="I2743" s="194">
        <v>0</v>
      </c>
      <c r="J2743" s="194">
        <v>0</v>
      </c>
      <c r="K2743" s="193">
        <f t="shared" si="592"/>
        <v>0</v>
      </c>
      <c r="L2743" s="194">
        <v>0</v>
      </c>
      <c r="M2743" s="194">
        <v>0</v>
      </c>
      <c r="N2743" s="194">
        <v>0</v>
      </c>
      <c r="O2743" s="193">
        <f t="shared" si="593"/>
        <v>0</v>
      </c>
      <c r="P2743" s="194">
        <v>0</v>
      </c>
      <c r="Q2743" s="194">
        <v>0</v>
      </c>
      <c r="R2743" s="194">
        <v>0</v>
      </c>
      <c r="S2743" s="193">
        <f t="shared" si="594"/>
        <v>0</v>
      </c>
      <c r="T2743" s="193">
        <f t="shared" si="595"/>
        <v>0</v>
      </c>
      <c r="U2743" s="193">
        <f ca="1">OFFSET('Expenditure Study'!$B$7,'Operations Support'!$C2743,'Operations Support'!$B2743)*$G2743</f>
        <v>0</v>
      </c>
      <c r="V2743" s="199">
        <f ca="1">U2743*'Expenditure Study'!$B$31</f>
        <v>0</v>
      </c>
      <c r="W2743" s="199">
        <f ca="1">IF(A2743=10298,1.51,1)*IF($B2743&lt;3,$D2743*'Expenditure Study'!$B$32*OFFSET('Expenditure Study'!$B$7,'Operations Support'!$C2743,'Operations Support'!$B2743),0)</f>
        <v>0</v>
      </c>
      <c r="X2743" s="200">
        <f ca="1">W2743*'Expenditure Study'!$B$31</f>
        <v>0</v>
      </c>
      <c r="Y2743" s="199">
        <f ca="1">U2743*'Expenditure Study'!$B$31</f>
        <v>0</v>
      </c>
      <c r="Z2743" s="200">
        <f ca="1">W2743*'Expenditure Study'!$B$31</f>
        <v>0</v>
      </c>
      <c r="AA2743" s="195">
        <f t="shared" ca="1" si="596"/>
        <v>0</v>
      </c>
      <c r="AB2743" s="195">
        <f t="shared" ca="1" si="597"/>
        <v>0</v>
      </c>
      <c r="AD2743" s="196">
        <f>IFERROR($G2743/SUMIF($A:$A,$A2743,$G:$G)*SUMIF(Summary!$A$166:$A$242,$A2743,Summary!$P$166:$P$242),0)</f>
        <v>0</v>
      </c>
      <c r="AE2743" s="197">
        <f t="shared" ca="1" si="598"/>
        <v>0</v>
      </c>
      <c r="AF2743" s="196">
        <f>IFERROR(G2743/SUMIF(A:A,A2743,G:G)*SUMIF(Summary!$A$166:$A$242,'Operations Support'!A2743,Summary!$Q$166:$Q$242),0)</f>
        <v>0</v>
      </c>
      <c r="AG2743" s="196">
        <f t="shared" ca="1" si="599"/>
        <v>0</v>
      </c>
      <c r="AI2743" s="196">
        <f>IFERROR($G2743/SUMIF($A:$A,$A2743,$G:$G)*SUMIF(Summary!$A$247:$A$283,$A2743,Summary!$P$247:$P$283),0)</f>
        <v>0</v>
      </c>
      <c r="AJ2743" s="196">
        <f>IFERROR($G2743/SUMIF($A:$A,$A2743,$G:$G)*(SUMIF(Summary!$A$247:$A$283,$A2743,Summary!$L$247:$L$283)+SUMIF(Summary!$A$297:$A$333,$A2743,Summary!$L$297:$L$333))-AI2743,0)</f>
        <v>0</v>
      </c>
      <c r="AK2743" s="196">
        <f>IFERROR($G2743/SUMIF($A:$A,$A2743,$G:$G)*SUMIF(Summary!$A$247:$A$283,$A2743,Summary!$Q$247:$Q$283),0)</f>
        <v>0</v>
      </c>
      <c r="AL2743" s="196">
        <f>IFERROR($G2743/SUMIF($A:$A,$A2743,$G:$G)*(SUMIF(Summary!$A$247:$A$283,$A2743,Summary!$L$247:$L$283)+SUMIF(Summary!$A$297:$A$333,$A2743,Summary!$L$297:$L$333))-AK2743,0)</f>
        <v>0</v>
      </c>
      <c r="AM2743" s="198"/>
      <c r="AN2743" s="196">
        <f t="shared" ca="1" si="600"/>
        <v>0</v>
      </c>
      <c r="AO2743" s="196">
        <f t="shared" ca="1" si="601"/>
        <v>0</v>
      </c>
    </row>
    <row r="2744" spans="1:41">
      <c r="A2744" s="189">
        <v>10115</v>
      </c>
      <c r="B2744" s="190">
        <v>1</v>
      </c>
      <c r="C2744" s="191" t="s">
        <v>229</v>
      </c>
      <c r="D2744" s="192">
        <f t="shared" si="588"/>
        <v>0</v>
      </c>
      <c r="E2744" s="192">
        <f t="shared" si="589"/>
        <v>6</v>
      </c>
      <c r="F2744" s="192">
        <f t="shared" si="590"/>
        <v>0</v>
      </c>
      <c r="G2744" s="193">
        <f t="shared" si="591"/>
        <v>6</v>
      </c>
      <c r="H2744" s="194">
        <v>0</v>
      </c>
      <c r="I2744" s="194">
        <v>0</v>
      </c>
      <c r="J2744" s="194">
        <v>0</v>
      </c>
      <c r="K2744" s="193">
        <f t="shared" si="592"/>
        <v>0</v>
      </c>
      <c r="L2744" s="194">
        <v>0</v>
      </c>
      <c r="M2744" s="194">
        <v>6</v>
      </c>
      <c r="N2744" s="194">
        <v>0</v>
      </c>
      <c r="O2744" s="193">
        <f t="shared" si="593"/>
        <v>6</v>
      </c>
      <c r="P2744" s="194">
        <v>0</v>
      </c>
      <c r="Q2744" s="194">
        <v>0</v>
      </c>
      <c r="R2744" s="194">
        <v>0</v>
      </c>
      <c r="S2744" s="193">
        <f t="shared" si="594"/>
        <v>0</v>
      </c>
      <c r="T2744" s="193">
        <f t="shared" si="595"/>
        <v>0.2</v>
      </c>
      <c r="U2744" s="193">
        <f ca="1">OFFSET('Expenditure Study'!$B$7,'Operations Support'!$C2744,'Operations Support'!$B2744)*$G2744</f>
        <v>19.98</v>
      </c>
      <c r="V2744" s="199">
        <f ca="1">U2744*'Expenditure Study'!$B$31</f>
        <v>1180.4819523840001</v>
      </c>
      <c r="W2744" s="199">
        <f ca="1">IF(A2744=10298,1.51,1)*IF($B2744&lt;3,$D2744*'Expenditure Study'!$B$32*OFFSET('Expenditure Study'!$B$7,'Operations Support'!$C2744,'Operations Support'!$B2744),0)</f>
        <v>0</v>
      </c>
      <c r="X2744" s="200">
        <f ca="1">W2744*'Expenditure Study'!$B$31</f>
        <v>0</v>
      </c>
      <c r="Y2744" s="199">
        <f ca="1">U2744*'Expenditure Study'!$B$31</f>
        <v>1180.4819523840001</v>
      </c>
      <c r="Z2744" s="200">
        <f ca="1">W2744*'Expenditure Study'!$B$31</f>
        <v>0</v>
      </c>
      <c r="AA2744" s="195">
        <f t="shared" ca="1" si="596"/>
        <v>1180.4819523840001</v>
      </c>
      <c r="AB2744" s="195">
        <f t="shared" ca="1" si="597"/>
        <v>1180.4819523840001</v>
      </c>
      <c r="AD2744" s="196">
        <f>IFERROR($G2744/SUMIF($A:$A,$A2744,$G:$G)*SUMIF(Summary!$A$166:$A$242,$A2744,Summary!$P$166:$P$242),0)</f>
        <v>161.14473818456185</v>
      </c>
      <c r="AE2744" s="197">
        <f t="shared" ca="1" si="598"/>
        <v>1019.3372141994382</v>
      </c>
      <c r="AF2744" s="196">
        <f>IFERROR(G2744/SUMIF(A:A,A2744,G:G)*SUMIF(Summary!$A$166:$A$242,'Operations Support'!A2744,Summary!$Q$166:$Q$242),0)</f>
        <v>161.36582902009587</v>
      </c>
      <c r="AG2744" s="196">
        <f t="shared" ca="1" si="599"/>
        <v>1019.1161233639043</v>
      </c>
      <c r="AI2744" s="196">
        <f>IFERROR($G2744/SUMIF($A:$A,$A2744,$G:$G)*SUMIF(Summary!$A$247:$A$283,$A2744,Summary!$P$247:$P$283),0)</f>
        <v>29.388778922748248</v>
      </c>
      <c r="AJ2744" s="196">
        <f>IFERROR($G2744/SUMIF($A:$A,$A2744,$G:$G)*(SUMIF(Summary!$A$247:$A$283,$A2744,Summary!$L$247:$L$283)+SUMIF(Summary!$A$297:$A$333,$A2744,Summary!$L$297:$L$333))-AI2744,0)</f>
        <v>130.12813092734169</v>
      </c>
      <c r="AK2744" s="196">
        <f>IFERROR($G2744/SUMIF($A:$A,$A2744,$G:$G)*SUMIF(Summary!$A$247:$A$283,$A2744,Summary!$Q$247:$Q$283),0)</f>
        <v>29.429100373889359</v>
      </c>
      <c r="AL2744" s="196">
        <f>IFERROR($G2744/SUMIF($A:$A,$A2744,$G:$G)*(SUMIF(Summary!$A$247:$A$283,$A2744,Summary!$L$247:$L$283)+SUMIF(Summary!$A$297:$A$333,$A2744,Summary!$L$297:$L$333))-AK2744,0)</f>
        <v>130.08780947620059</v>
      </c>
      <c r="AM2744" s="198"/>
      <c r="AN2744" s="196">
        <f t="shared" ca="1" si="600"/>
        <v>1149.46534512678</v>
      </c>
      <c r="AO2744" s="196">
        <f t="shared" ca="1" si="601"/>
        <v>1149.2039328401049</v>
      </c>
    </row>
    <row r="2745" spans="1:41">
      <c r="A2745" s="189">
        <v>10115</v>
      </c>
      <c r="B2745" s="190">
        <v>1</v>
      </c>
      <c r="C2745" s="191" t="s">
        <v>230</v>
      </c>
      <c r="D2745" s="192">
        <f t="shared" si="588"/>
        <v>0</v>
      </c>
      <c r="E2745" s="192">
        <f t="shared" si="589"/>
        <v>0</v>
      </c>
      <c r="F2745" s="192">
        <f t="shared" si="590"/>
        <v>0</v>
      </c>
      <c r="G2745" s="193">
        <f t="shared" si="591"/>
        <v>0</v>
      </c>
      <c r="H2745" s="194">
        <v>0</v>
      </c>
      <c r="I2745" s="194">
        <v>0</v>
      </c>
      <c r="J2745" s="194">
        <v>0</v>
      </c>
      <c r="K2745" s="193">
        <f t="shared" si="592"/>
        <v>0</v>
      </c>
      <c r="L2745" s="194">
        <v>0</v>
      </c>
      <c r="M2745" s="194">
        <v>0</v>
      </c>
      <c r="N2745" s="194">
        <v>0</v>
      </c>
      <c r="O2745" s="193">
        <f t="shared" si="593"/>
        <v>0</v>
      </c>
      <c r="P2745" s="194">
        <v>0</v>
      </c>
      <c r="Q2745" s="194">
        <v>0</v>
      </c>
      <c r="R2745" s="194">
        <v>0</v>
      </c>
      <c r="S2745" s="193">
        <f t="shared" si="594"/>
        <v>0</v>
      </c>
      <c r="T2745" s="193">
        <f t="shared" si="595"/>
        <v>0</v>
      </c>
      <c r="U2745" s="193">
        <f ca="1">OFFSET('Expenditure Study'!$B$7,'Operations Support'!$C2745,'Operations Support'!$B2745)*$G2745</f>
        <v>0</v>
      </c>
      <c r="V2745" s="199">
        <f ca="1">U2745*'Expenditure Study'!$B$31</f>
        <v>0</v>
      </c>
      <c r="W2745" s="199">
        <f ca="1">IF(A2745=10298,1.51,1)*IF($B2745&lt;3,$D2745*'Expenditure Study'!$B$32*OFFSET('Expenditure Study'!$B$7,'Operations Support'!$C2745,'Operations Support'!$B2745),0)</f>
        <v>0</v>
      </c>
      <c r="X2745" s="200">
        <f ca="1">W2745*'Expenditure Study'!$B$31</f>
        <v>0</v>
      </c>
      <c r="Y2745" s="199">
        <f ca="1">U2745*'Expenditure Study'!$B$31</f>
        <v>0</v>
      </c>
      <c r="Z2745" s="200">
        <f ca="1">W2745*'Expenditure Study'!$B$31</f>
        <v>0</v>
      </c>
      <c r="AA2745" s="195">
        <f t="shared" ca="1" si="596"/>
        <v>0</v>
      </c>
      <c r="AB2745" s="195">
        <f t="shared" ca="1" si="597"/>
        <v>0</v>
      </c>
      <c r="AD2745" s="196">
        <f>IFERROR($G2745/SUMIF($A:$A,$A2745,$G:$G)*SUMIF(Summary!$A$166:$A$242,$A2745,Summary!$P$166:$P$242),0)</f>
        <v>0</v>
      </c>
      <c r="AE2745" s="197">
        <f t="shared" ca="1" si="598"/>
        <v>0</v>
      </c>
      <c r="AF2745" s="196">
        <f>IFERROR(G2745/SUMIF(A:A,A2745,G:G)*SUMIF(Summary!$A$166:$A$242,'Operations Support'!A2745,Summary!$Q$166:$Q$242),0)</f>
        <v>0</v>
      </c>
      <c r="AG2745" s="196">
        <f t="shared" ca="1" si="599"/>
        <v>0</v>
      </c>
      <c r="AI2745" s="196">
        <f>IFERROR($G2745/SUMIF($A:$A,$A2745,$G:$G)*SUMIF(Summary!$A$247:$A$283,$A2745,Summary!$P$247:$P$283),0)</f>
        <v>0</v>
      </c>
      <c r="AJ2745" s="196">
        <f>IFERROR($G2745/SUMIF($A:$A,$A2745,$G:$G)*(SUMIF(Summary!$A$247:$A$283,$A2745,Summary!$L$247:$L$283)+SUMIF(Summary!$A$297:$A$333,$A2745,Summary!$L$297:$L$333))-AI2745,0)</f>
        <v>0</v>
      </c>
      <c r="AK2745" s="196">
        <f>IFERROR($G2745/SUMIF($A:$A,$A2745,$G:$G)*SUMIF(Summary!$A$247:$A$283,$A2745,Summary!$Q$247:$Q$283),0)</f>
        <v>0</v>
      </c>
      <c r="AL2745" s="196">
        <f>IFERROR($G2745/SUMIF($A:$A,$A2745,$G:$G)*(SUMIF(Summary!$A$247:$A$283,$A2745,Summary!$L$247:$L$283)+SUMIF(Summary!$A$297:$A$333,$A2745,Summary!$L$297:$L$333))-AK2745,0)</f>
        <v>0</v>
      </c>
      <c r="AM2745" s="198"/>
      <c r="AN2745" s="196">
        <f t="shared" ca="1" si="600"/>
        <v>0</v>
      </c>
      <c r="AO2745" s="196">
        <f t="shared" ca="1" si="601"/>
        <v>0</v>
      </c>
    </row>
    <row r="2746" spans="1:41">
      <c r="A2746" s="189">
        <v>10115</v>
      </c>
      <c r="B2746" s="190">
        <v>1</v>
      </c>
      <c r="C2746" s="191" t="s">
        <v>231</v>
      </c>
      <c r="D2746" s="192">
        <f t="shared" si="588"/>
        <v>0</v>
      </c>
      <c r="E2746" s="192">
        <f t="shared" si="589"/>
        <v>0</v>
      </c>
      <c r="F2746" s="192">
        <f t="shared" si="590"/>
        <v>0</v>
      </c>
      <c r="G2746" s="193">
        <f t="shared" si="591"/>
        <v>0</v>
      </c>
      <c r="H2746" s="194">
        <v>0</v>
      </c>
      <c r="I2746" s="194">
        <v>0</v>
      </c>
      <c r="J2746" s="194">
        <v>0</v>
      </c>
      <c r="K2746" s="193">
        <f t="shared" si="592"/>
        <v>0</v>
      </c>
      <c r="L2746" s="194">
        <v>0</v>
      </c>
      <c r="M2746" s="194">
        <v>0</v>
      </c>
      <c r="N2746" s="194">
        <v>0</v>
      </c>
      <c r="O2746" s="193">
        <f t="shared" si="593"/>
        <v>0</v>
      </c>
      <c r="P2746" s="194">
        <v>0</v>
      </c>
      <c r="Q2746" s="194">
        <v>0</v>
      </c>
      <c r="R2746" s="194">
        <v>0</v>
      </c>
      <c r="S2746" s="193">
        <f t="shared" si="594"/>
        <v>0</v>
      </c>
      <c r="T2746" s="193">
        <f t="shared" si="595"/>
        <v>0</v>
      </c>
      <c r="U2746" s="193">
        <f ca="1">OFFSET('Expenditure Study'!$B$7,'Operations Support'!$C2746,'Operations Support'!$B2746)*$G2746</f>
        <v>0</v>
      </c>
      <c r="V2746" s="199">
        <f ca="1">U2746*'Expenditure Study'!$B$31</f>
        <v>0</v>
      </c>
      <c r="W2746" s="199">
        <f ca="1">IF(A2746=10298,1.51,1)*IF($B2746&lt;3,$D2746*'Expenditure Study'!$B$32*OFFSET('Expenditure Study'!$B$7,'Operations Support'!$C2746,'Operations Support'!$B2746),0)</f>
        <v>0</v>
      </c>
      <c r="X2746" s="200">
        <f ca="1">W2746*'Expenditure Study'!$B$31</f>
        <v>0</v>
      </c>
      <c r="Y2746" s="199">
        <f ca="1">U2746*'Expenditure Study'!$B$31</f>
        <v>0</v>
      </c>
      <c r="Z2746" s="200">
        <f ca="1">W2746*'Expenditure Study'!$B$31</f>
        <v>0</v>
      </c>
      <c r="AA2746" s="195">
        <f t="shared" ca="1" si="596"/>
        <v>0</v>
      </c>
      <c r="AB2746" s="195">
        <f t="shared" ca="1" si="597"/>
        <v>0</v>
      </c>
      <c r="AD2746" s="196">
        <f>IFERROR($G2746/SUMIF($A:$A,$A2746,$G:$G)*SUMIF(Summary!$A$166:$A$242,$A2746,Summary!$P$166:$P$242),0)</f>
        <v>0</v>
      </c>
      <c r="AE2746" s="197">
        <f t="shared" ca="1" si="598"/>
        <v>0</v>
      </c>
      <c r="AF2746" s="196">
        <f>IFERROR(G2746/SUMIF(A:A,A2746,G:G)*SUMIF(Summary!$A$166:$A$242,'Operations Support'!A2746,Summary!$Q$166:$Q$242),0)</f>
        <v>0</v>
      </c>
      <c r="AG2746" s="196">
        <f t="shared" ca="1" si="599"/>
        <v>0</v>
      </c>
      <c r="AI2746" s="196">
        <f>IFERROR($G2746/SUMIF($A:$A,$A2746,$G:$G)*SUMIF(Summary!$A$247:$A$283,$A2746,Summary!$P$247:$P$283),0)</f>
        <v>0</v>
      </c>
      <c r="AJ2746" s="196">
        <f>IFERROR($G2746/SUMIF($A:$A,$A2746,$G:$G)*(SUMIF(Summary!$A$247:$A$283,$A2746,Summary!$L$247:$L$283)+SUMIF(Summary!$A$297:$A$333,$A2746,Summary!$L$297:$L$333))-AI2746,0)</f>
        <v>0</v>
      </c>
      <c r="AK2746" s="196">
        <f>IFERROR($G2746/SUMIF($A:$A,$A2746,$G:$G)*SUMIF(Summary!$A$247:$A$283,$A2746,Summary!$Q$247:$Q$283),0)</f>
        <v>0</v>
      </c>
      <c r="AL2746" s="196">
        <f>IFERROR($G2746/SUMIF($A:$A,$A2746,$G:$G)*(SUMIF(Summary!$A$247:$A$283,$A2746,Summary!$L$247:$L$283)+SUMIF(Summary!$A$297:$A$333,$A2746,Summary!$L$297:$L$333))-AK2746,0)</f>
        <v>0</v>
      </c>
      <c r="AM2746" s="198"/>
      <c r="AN2746" s="196">
        <f t="shared" ca="1" si="600"/>
        <v>0</v>
      </c>
      <c r="AO2746" s="196">
        <f t="shared" ca="1" si="601"/>
        <v>0</v>
      </c>
    </row>
    <row r="2747" spans="1:41">
      <c r="A2747" s="189">
        <v>10115</v>
      </c>
      <c r="B2747" s="190">
        <v>1</v>
      </c>
      <c r="C2747" s="191" t="s">
        <v>232</v>
      </c>
      <c r="D2747" s="192">
        <f t="shared" si="588"/>
        <v>0</v>
      </c>
      <c r="E2747" s="192">
        <f t="shared" si="589"/>
        <v>50</v>
      </c>
      <c r="F2747" s="192">
        <f t="shared" si="590"/>
        <v>0</v>
      </c>
      <c r="G2747" s="193">
        <f t="shared" si="591"/>
        <v>50</v>
      </c>
      <c r="H2747" s="194">
        <v>0</v>
      </c>
      <c r="I2747" s="194">
        <v>26</v>
      </c>
      <c r="J2747" s="194">
        <v>0</v>
      </c>
      <c r="K2747" s="193">
        <f t="shared" si="592"/>
        <v>26</v>
      </c>
      <c r="L2747" s="194">
        <v>0</v>
      </c>
      <c r="M2747" s="194">
        <v>24</v>
      </c>
      <c r="N2747" s="194">
        <v>0</v>
      </c>
      <c r="O2747" s="193">
        <f t="shared" si="593"/>
        <v>24</v>
      </c>
      <c r="P2747" s="194">
        <v>0</v>
      </c>
      <c r="Q2747" s="194">
        <v>0</v>
      </c>
      <c r="R2747" s="194">
        <v>0</v>
      </c>
      <c r="S2747" s="193">
        <f t="shared" si="594"/>
        <v>0</v>
      </c>
      <c r="T2747" s="193">
        <f t="shared" si="595"/>
        <v>1.6666666666666667</v>
      </c>
      <c r="U2747" s="193">
        <f ca="1">OFFSET('Expenditure Study'!$B$7,'Operations Support'!$C2747,'Operations Support'!$B2747)*$G2747</f>
        <v>81</v>
      </c>
      <c r="V2747" s="199">
        <f ca="1">U2747*'Expenditure Study'!$B$31</f>
        <v>4785.7376448000005</v>
      </c>
      <c r="W2747" s="199">
        <f ca="1">IF(A2747=10298,1.51,1)*IF($B2747&lt;3,$D2747*'Expenditure Study'!$B$32*OFFSET('Expenditure Study'!$B$7,'Operations Support'!$C2747,'Operations Support'!$B2747),0)</f>
        <v>0</v>
      </c>
      <c r="X2747" s="200">
        <f ca="1">W2747*'Expenditure Study'!$B$31</f>
        <v>0</v>
      </c>
      <c r="Y2747" s="199">
        <f ca="1">U2747*'Expenditure Study'!$B$31</f>
        <v>4785.7376448000005</v>
      </c>
      <c r="Z2747" s="200">
        <f ca="1">W2747*'Expenditure Study'!$B$31</f>
        <v>0</v>
      </c>
      <c r="AA2747" s="195">
        <f t="shared" ca="1" si="596"/>
        <v>4785.7376448000005</v>
      </c>
      <c r="AB2747" s="195">
        <f t="shared" ca="1" si="597"/>
        <v>4785.7376448000005</v>
      </c>
      <c r="AD2747" s="196">
        <f>IFERROR($G2747/SUMIF($A:$A,$A2747,$G:$G)*SUMIF(Summary!$A$166:$A$242,$A2747,Summary!$P$166:$P$242),0)</f>
        <v>1342.8728182046821</v>
      </c>
      <c r="AE2747" s="197">
        <f t="shared" ca="1" si="598"/>
        <v>3442.8648265953184</v>
      </c>
      <c r="AF2747" s="196">
        <f>IFERROR(G2747/SUMIF(A:A,A2747,G:G)*SUMIF(Summary!$A$166:$A$242,'Operations Support'!A2747,Summary!$Q$166:$Q$242),0)</f>
        <v>1344.7152418341323</v>
      </c>
      <c r="AG2747" s="196">
        <f t="shared" ca="1" si="599"/>
        <v>3441.0224029658684</v>
      </c>
      <c r="AI2747" s="196">
        <f>IFERROR($G2747/SUMIF($A:$A,$A2747,$G:$G)*SUMIF(Summary!$A$247:$A$283,$A2747,Summary!$P$247:$P$283),0)</f>
        <v>244.90649102290206</v>
      </c>
      <c r="AJ2747" s="196">
        <f>IFERROR($G2747/SUMIF($A:$A,$A2747,$G:$G)*(SUMIF(Summary!$A$247:$A$283,$A2747,Summary!$L$247:$L$283)+SUMIF(Summary!$A$297:$A$333,$A2747,Summary!$L$297:$L$333))-AI2747,0)</f>
        <v>1084.401091061181</v>
      </c>
      <c r="AK2747" s="196">
        <f>IFERROR($G2747/SUMIF($A:$A,$A2747,$G:$G)*SUMIF(Summary!$A$247:$A$283,$A2747,Summary!$Q$247:$Q$283),0)</f>
        <v>245.24250311574465</v>
      </c>
      <c r="AL2747" s="196">
        <f>IFERROR($G2747/SUMIF($A:$A,$A2747,$G:$G)*(SUMIF(Summary!$A$247:$A$283,$A2747,Summary!$L$247:$L$283)+SUMIF(Summary!$A$297:$A$333,$A2747,Summary!$L$297:$L$333))-AK2747,0)</f>
        <v>1084.0650789683382</v>
      </c>
      <c r="AM2747" s="198"/>
      <c r="AN2747" s="196">
        <f t="shared" ca="1" si="600"/>
        <v>4527.2659176564994</v>
      </c>
      <c r="AO2747" s="196">
        <f t="shared" ca="1" si="601"/>
        <v>4525.0874819342062</v>
      </c>
    </row>
    <row r="2748" spans="1:41">
      <c r="A2748" s="189">
        <v>10115</v>
      </c>
      <c r="B2748" s="190">
        <v>1</v>
      </c>
      <c r="C2748" s="191" t="s">
        <v>233</v>
      </c>
      <c r="D2748" s="192">
        <f t="shared" si="588"/>
        <v>60</v>
      </c>
      <c r="E2748" s="192">
        <f t="shared" si="589"/>
        <v>2334</v>
      </c>
      <c r="F2748" s="192">
        <f t="shared" si="590"/>
        <v>0</v>
      </c>
      <c r="G2748" s="193">
        <f t="shared" si="591"/>
        <v>2394</v>
      </c>
      <c r="H2748" s="194">
        <v>54</v>
      </c>
      <c r="I2748" s="194">
        <v>1119</v>
      </c>
      <c r="J2748" s="194">
        <v>0</v>
      </c>
      <c r="K2748" s="193">
        <f t="shared" si="592"/>
        <v>1173</v>
      </c>
      <c r="L2748" s="194">
        <v>6</v>
      </c>
      <c r="M2748" s="194">
        <v>1185</v>
      </c>
      <c r="N2748" s="194">
        <v>0</v>
      </c>
      <c r="O2748" s="193">
        <f t="shared" si="593"/>
        <v>1191</v>
      </c>
      <c r="P2748" s="194">
        <v>0</v>
      </c>
      <c r="Q2748" s="194">
        <v>30</v>
      </c>
      <c r="R2748" s="194">
        <v>0</v>
      </c>
      <c r="S2748" s="193">
        <f t="shared" si="594"/>
        <v>30</v>
      </c>
      <c r="T2748" s="193">
        <f t="shared" si="595"/>
        <v>79.8</v>
      </c>
      <c r="U2748" s="193">
        <f ca="1">OFFSET('Expenditure Study'!$B$7,'Operations Support'!$C2748,'Operations Support'!$B2748)*$G2748</f>
        <v>2298.2399999999998</v>
      </c>
      <c r="V2748" s="199">
        <f ca="1">U2748*'Expenditure Study'!$B$31</f>
        <v>135787.32944179198</v>
      </c>
      <c r="W2748" s="199">
        <f ca="1">IF(A2748=10298,1.51,1)*IF($B2748&lt;3,$D2748*'Expenditure Study'!$B$32*OFFSET('Expenditure Study'!$B$7,'Operations Support'!$C2748,'Operations Support'!$B2748),0)</f>
        <v>5.76</v>
      </c>
      <c r="X2748" s="200">
        <f ca="1">W2748*'Expenditure Study'!$B$31</f>
        <v>340.319121408</v>
      </c>
      <c r="Y2748" s="199">
        <f ca="1">U2748*'Expenditure Study'!$B$31</f>
        <v>135787.32944179198</v>
      </c>
      <c r="Z2748" s="200">
        <f ca="1">W2748*'Expenditure Study'!$B$31</f>
        <v>340.319121408</v>
      </c>
      <c r="AA2748" s="195">
        <f t="shared" ca="1" si="596"/>
        <v>136127.6485632</v>
      </c>
      <c r="AB2748" s="195">
        <f t="shared" ca="1" si="597"/>
        <v>136127.6485632</v>
      </c>
      <c r="AD2748" s="196">
        <f>IFERROR($G2748/SUMIF($A:$A,$A2748,$G:$G)*SUMIF(Summary!$A$166:$A$242,$A2748,Summary!$P$166:$P$242),0)</f>
        <v>64296.750535640174</v>
      </c>
      <c r="AE2748" s="197">
        <f t="shared" ca="1" si="598"/>
        <v>71830.89802755983</v>
      </c>
      <c r="AF2748" s="196">
        <f>IFERROR(G2748/SUMIF(A:A,A2748,G:G)*SUMIF(Summary!$A$166:$A$242,'Operations Support'!A2748,Summary!$Q$166:$Q$242),0)</f>
        <v>64384.965779018254</v>
      </c>
      <c r="AG2748" s="196">
        <f t="shared" ca="1" si="599"/>
        <v>71742.682784181743</v>
      </c>
      <c r="AI2748" s="196">
        <f>IFERROR($G2748/SUMIF($A:$A,$A2748,$G:$G)*SUMIF(Summary!$A$247:$A$283,$A2748,Summary!$P$247:$P$283),0)</f>
        <v>11726.122790176551</v>
      </c>
      <c r="AJ2748" s="196">
        <f>IFERROR($G2748/SUMIF($A:$A,$A2748,$G:$G)*(SUMIF(Summary!$A$247:$A$283,$A2748,Summary!$L$247:$L$283)+SUMIF(Summary!$A$297:$A$333,$A2748,Summary!$L$297:$L$333))-AI2748,0)</f>
        <v>51921.124240009332</v>
      </c>
      <c r="AK2748" s="196">
        <f>IFERROR($G2748/SUMIF($A:$A,$A2748,$G:$G)*SUMIF(Summary!$A$247:$A$283,$A2748,Summary!$Q$247:$Q$283),0)</f>
        <v>11742.211049181855</v>
      </c>
      <c r="AL2748" s="196">
        <f>IFERROR($G2748/SUMIF($A:$A,$A2748,$G:$G)*(SUMIF(Summary!$A$247:$A$283,$A2748,Summary!$L$247:$L$283)+SUMIF(Summary!$A$297:$A$333,$A2748,Summary!$L$297:$L$333))-AK2748,0)</f>
        <v>51905.035981004032</v>
      </c>
      <c r="AM2748" s="198"/>
      <c r="AN2748" s="196">
        <f t="shared" ca="1" si="600"/>
        <v>123752.02226756916</v>
      </c>
      <c r="AO2748" s="196">
        <f t="shared" ca="1" si="601"/>
        <v>123647.71876518577</v>
      </c>
    </row>
    <row r="2749" spans="1:41">
      <c r="A2749" s="189">
        <v>10115</v>
      </c>
      <c r="B2749" s="190">
        <v>1</v>
      </c>
      <c r="C2749" s="191" t="s">
        <v>234</v>
      </c>
      <c r="D2749" s="192">
        <f t="shared" si="588"/>
        <v>0</v>
      </c>
      <c r="E2749" s="192">
        <f t="shared" si="589"/>
        <v>0</v>
      </c>
      <c r="F2749" s="192">
        <f t="shared" si="590"/>
        <v>0</v>
      </c>
      <c r="G2749" s="193">
        <f t="shared" si="591"/>
        <v>0</v>
      </c>
      <c r="H2749" s="194">
        <v>0</v>
      </c>
      <c r="I2749" s="194">
        <v>0</v>
      </c>
      <c r="J2749" s="194">
        <v>0</v>
      </c>
      <c r="K2749" s="193">
        <f t="shared" si="592"/>
        <v>0</v>
      </c>
      <c r="L2749" s="194">
        <v>0</v>
      </c>
      <c r="M2749" s="194">
        <v>0</v>
      </c>
      <c r="N2749" s="194">
        <v>0</v>
      </c>
      <c r="O2749" s="193">
        <f t="shared" si="593"/>
        <v>0</v>
      </c>
      <c r="P2749" s="194">
        <v>0</v>
      </c>
      <c r="Q2749" s="194">
        <v>0</v>
      </c>
      <c r="R2749" s="194">
        <v>0</v>
      </c>
      <c r="S2749" s="193">
        <f t="shared" si="594"/>
        <v>0</v>
      </c>
      <c r="T2749" s="193">
        <f t="shared" si="595"/>
        <v>0</v>
      </c>
      <c r="U2749" s="193">
        <f ca="1">OFFSET('Expenditure Study'!$B$7,'Operations Support'!$C2749,'Operations Support'!$B2749)*$G2749</f>
        <v>0</v>
      </c>
      <c r="V2749" s="199">
        <f ca="1">U2749*'Expenditure Study'!$B$31</f>
        <v>0</v>
      </c>
      <c r="W2749" s="199">
        <f ca="1">IF(A2749=10298,1.51,1)*IF($B2749&lt;3,$D2749*'Expenditure Study'!$B$32*OFFSET('Expenditure Study'!$B$7,'Operations Support'!$C2749,'Operations Support'!$B2749),0)</f>
        <v>0</v>
      </c>
      <c r="X2749" s="200">
        <f ca="1">W2749*'Expenditure Study'!$B$31</f>
        <v>0</v>
      </c>
      <c r="Y2749" s="199">
        <f ca="1">U2749*'Expenditure Study'!$B$31</f>
        <v>0</v>
      </c>
      <c r="Z2749" s="200">
        <f ca="1">W2749*'Expenditure Study'!$B$31</f>
        <v>0</v>
      </c>
      <c r="AA2749" s="195">
        <f t="shared" ca="1" si="596"/>
        <v>0</v>
      </c>
      <c r="AB2749" s="195">
        <f t="shared" ca="1" si="597"/>
        <v>0</v>
      </c>
      <c r="AD2749" s="196">
        <f>IFERROR($G2749/SUMIF($A:$A,$A2749,$G:$G)*SUMIF(Summary!$A$166:$A$242,$A2749,Summary!$P$166:$P$242),0)</f>
        <v>0</v>
      </c>
      <c r="AE2749" s="197">
        <f t="shared" ca="1" si="598"/>
        <v>0</v>
      </c>
      <c r="AF2749" s="196">
        <f>IFERROR(G2749/SUMIF(A:A,A2749,G:G)*SUMIF(Summary!$A$166:$A$242,'Operations Support'!A2749,Summary!$Q$166:$Q$242),0)</f>
        <v>0</v>
      </c>
      <c r="AG2749" s="196">
        <f t="shared" ca="1" si="599"/>
        <v>0</v>
      </c>
      <c r="AI2749" s="196">
        <f>IFERROR($G2749/SUMIF($A:$A,$A2749,$G:$G)*SUMIF(Summary!$A$247:$A$283,$A2749,Summary!$P$247:$P$283),0)</f>
        <v>0</v>
      </c>
      <c r="AJ2749" s="196">
        <f>IFERROR($G2749/SUMIF($A:$A,$A2749,$G:$G)*(SUMIF(Summary!$A$247:$A$283,$A2749,Summary!$L$247:$L$283)+SUMIF(Summary!$A$297:$A$333,$A2749,Summary!$L$297:$L$333))-AI2749,0)</f>
        <v>0</v>
      </c>
      <c r="AK2749" s="196">
        <f>IFERROR($G2749/SUMIF($A:$A,$A2749,$G:$G)*SUMIF(Summary!$A$247:$A$283,$A2749,Summary!$Q$247:$Q$283),0)</f>
        <v>0</v>
      </c>
      <c r="AL2749" s="196">
        <f>IFERROR($G2749/SUMIF($A:$A,$A2749,$G:$G)*(SUMIF(Summary!$A$247:$A$283,$A2749,Summary!$L$247:$L$283)+SUMIF(Summary!$A$297:$A$333,$A2749,Summary!$L$297:$L$333))-AK2749,0)</f>
        <v>0</v>
      </c>
      <c r="AM2749" s="198"/>
      <c r="AN2749" s="196">
        <f t="shared" ca="1" si="600"/>
        <v>0</v>
      </c>
      <c r="AO2749" s="196">
        <f t="shared" ca="1" si="601"/>
        <v>0</v>
      </c>
    </row>
    <row r="2750" spans="1:41">
      <c r="A2750" s="189">
        <v>10115</v>
      </c>
      <c r="B2750" s="190">
        <v>1</v>
      </c>
      <c r="C2750" s="191" t="s">
        <v>235</v>
      </c>
      <c r="D2750" s="192">
        <f t="shared" si="588"/>
        <v>4527</v>
      </c>
      <c r="E2750" s="192">
        <f t="shared" si="589"/>
        <v>23368</v>
      </c>
      <c r="F2750" s="192">
        <f t="shared" si="590"/>
        <v>0</v>
      </c>
      <c r="G2750" s="193">
        <f t="shared" si="591"/>
        <v>27895</v>
      </c>
      <c r="H2750" s="194">
        <v>1692</v>
      </c>
      <c r="I2750" s="194">
        <v>10569</v>
      </c>
      <c r="J2750" s="194">
        <v>0</v>
      </c>
      <c r="K2750" s="193">
        <f t="shared" si="592"/>
        <v>12261</v>
      </c>
      <c r="L2750" s="194">
        <v>2394</v>
      </c>
      <c r="M2750" s="194">
        <v>11554</v>
      </c>
      <c r="N2750" s="194">
        <v>0</v>
      </c>
      <c r="O2750" s="193">
        <f t="shared" si="593"/>
        <v>13948</v>
      </c>
      <c r="P2750" s="194">
        <v>441</v>
      </c>
      <c r="Q2750" s="194">
        <v>1245</v>
      </c>
      <c r="R2750" s="194">
        <v>0</v>
      </c>
      <c r="S2750" s="193">
        <f t="shared" si="594"/>
        <v>1686</v>
      </c>
      <c r="T2750" s="193">
        <f t="shared" si="595"/>
        <v>929.83333333333337</v>
      </c>
      <c r="U2750" s="193">
        <f ca="1">OFFSET('Expenditure Study'!$B$7,'Operations Support'!$C2750,'Operations Support'!$B2750)*$G2750</f>
        <v>30684.500000000004</v>
      </c>
      <c r="V2750" s="199">
        <f ca="1">U2750*'Expenditure Study'!$B$31</f>
        <v>1812937.8612576001</v>
      </c>
      <c r="W2750" s="199">
        <f ca="1">IF(A2750=10298,1.51,1)*IF($B2750&lt;3,$D2750*'Expenditure Study'!$B$32*OFFSET('Expenditure Study'!$B$7,'Operations Support'!$C2750,'Operations Support'!$B2750),0)</f>
        <v>497.97000000000008</v>
      </c>
      <c r="X2750" s="200">
        <f ca="1">W2750*'Expenditure Study'!$B$31</f>
        <v>29421.651542976004</v>
      </c>
      <c r="Y2750" s="199">
        <f ca="1">U2750*'Expenditure Study'!$B$31</f>
        <v>1812937.8612576001</v>
      </c>
      <c r="Z2750" s="200">
        <f ca="1">W2750*'Expenditure Study'!$B$31</f>
        <v>29421.651542976004</v>
      </c>
      <c r="AA2750" s="195">
        <f t="shared" ca="1" si="596"/>
        <v>1842359.5128005762</v>
      </c>
      <c r="AB2750" s="195">
        <f t="shared" ca="1" si="597"/>
        <v>1842359.5128005762</v>
      </c>
      <c r="AD2750" s="196">
        <f>IFERROR($G2750/SUMIF($A:$A,$A2750,$G:$G)*SUMIF(Summary!$A$166:$A$242,$A2750,Summary!$P$166:$P$242),0)</f>
        <v>749188.7452763922</v>
      </c>
      <c r="AE2750" s="197">
        <f t="shared" ca="1" si="598"/>
        <v>1093170.767524184</v>
      </c>
      <c r="AF2750" s="196">
        <f>IFERROR(G2750/SUMIF(A:A,A2750,G:G)*SUMIF(Summary!$A$166:$A$242,'Operations Support'!A2750,Summary!$Q$166:$Q$242),0)</f>
        <v>750216.63341926248</v>
      </c>
      <c r="AG2750" s="196">
        <f t="shared" ca="1" si="599"/>
        <v>1092142.8793813137</v>
      </c>
      <c r="AI2750" s="196">
        <f>IFERROR($G2750/SUMIF($A:$A,$A2750,$G:$G)*SUMIF(Summary!$A$247:$A$283,$A2750,Summary!$P$247:$P$283),0)</f>
        <v>136633.33134167705</v>
      </c>
      <c r="AJ2750" s="196">
        <f>IFERROR($G2750/SUMIF($A:$A,$A2750,$G:$G)*(SUMIF(Summary!$A$247:$A$283,$A2750,Summary!$L$247:$L$283)+SUMIF(Summary!$A$297:$A$333,$A2750,Summary!$L$297:$L$333))-AI2750,0)</f>
        <v>604987.36870303284</v>
      </c>
      <c r="AK2750" s="196">
        <f>IFERROR($G2750/SUMIF($A:$A,$A2750,$G:$G)*SUMIF(Summary!$A$247:$A$283,$A2750,Summary!$Q$247:$Q$283),0)</f>
        <v>136820.79248827396</v>
      </c>
      <c r="AL2750" s="196">
        <f>IFERROR($G2750/SUMIF($A:$A,$A2750,$G:$G)*(SUMIF(Summary!$A$247:$A$283,$A2750,Summary!$L$247:$L$283)+SUMIF(Summary!$A$297:$A$333,$A2750,Summary!$L$297:$L$333))-AK2750,0)</f>
        <v>604799.90755643591</v>
      </c>
      <c r="AM2750" s="198"/>
      <c r="AN2750" s="196">
        <f t="shared" ca="1" si="600"/>
        <v>1698158.1362272168</v>
      </c>
      <c r="AO2750" s="196">
        <f t="shared" ca="1" si="601"/>
        <v>1696942.7869377495</v>
      </c>
    </row>
    <row r="2751" spans="1:41">
      <c r="A2751" s="189">
        <v>10115</v>
      </c>
      <c r="B2751" s="190">
        <v>1</v>
      </c>
      <c r="C2751" s="191" t="s">
        <v>236</v>
      </c>
      <c r="D2751" s="192">
        <f t="shared" si="588"/>
        <v>0</v>
      </c>
      <c r="E2751" s="192">
        <f t="shared" si="589"/>
        <v>0</v>
      </c>
      <c r="F2751" s="192">
        <f t="shared" si="590"/>
        <v>0</v>
      </c>
      <c r="G2751" s="193">
        <f t="shared" si="591"/>
        <v>0</v>
      </c>
      <c r="H2751" s="194">
        <v>0</v>
      </c>
      <c r="I2751" s="194">
        <v>0</v>
      </c>
      <c r="J2751" s="194">
        <v>0</v>
      </c>
      <c r="K2751" s="193">
        <f t="shared" si="592"/>
        <v>0</v>
      </c>
      <c r="L2751" s="194">
        <v>0</v>
      </c>
      <c r="M2751" s="194">
        <v>0</v>
      </c>
      <c r="N2751" s="194">
        <v>0</v>
      </c>
      <c r="O2751" s="193">
        <f t="shared" si="593"/>
        <v>0</v>
      </c>
      <c r="P2751" s="194">
        <v>0</v>
      </c>
      <c r="Q2751" s="194">
        <v>0</v>
      </c>
      <c r="R2751" s="194">
        <v>0</v>
      </c>
      <c r="S2751" s="193">
        <f t="shared" si="594"/>
        <v>0</v>
      </c>
      <c r="T2751" s="193">
        <f t="shared" si="595"/>
        <v>0</v>
      </c>
      <c r="U2751" s="193">
        <f ca="1">OFFSET('Expenditure Study'!$B$7,'Operations Support'!$C2751,'Operations Support'!$B2751)*$G2751</f>
        <v>0</v>
      </c>
      <c r="V2751" s="199">
        <f ca="1">U2751*'Expenditure Study'!$B$31</f>
        <v>0</v>
      </c>
      <c r="W2751" s="199">
        <f ca="1">IF(A2751=10298,1.51,1)*IF($B2751&lt;3,$D2751*'Expenditure Study'!$B$32*OFFSET('Expenditure Study'!$B$7,'Operations Support'!$C2751,'Operations Support'!$B2751),0)</f>
        <v>0</v>
      </c>
      <c r="X2751" s="200">
        <f ca="1">W2751*'Expenditure Study'!$B$31</f>
        <v>0</v>
      </c>
      <c r="Y2751" s="199">
        <f ca="1">U2751*'Expenditure Study'!$B$31</f>
        <v>0</v>
      </c>
      <c r="Z2751" s="200">
        <f ca="1">W2751*'Expenditure Study'!$B$31</f>
        <v>0</v>
      </c>
      <c r="AA2751" s="195">
        <f t="shared" ca="1" si="596"/>
        <v>0</v>
      </c>
      <c r="AB2751" s="195">
        <f t="shared" ca="1" si="597"/>
        <v>0</v>
      </c>
      <c r="AD2751" s="196">
        <f>IFERROR($G2751/SUMIF($A:$A,$A2751,$G:$G)*SUMIF(Summary!$A$166:$A$242,$A2751,Summary!$P$166:$P$242),0)</f>
        <v>0</v>
      </c>
      <c r="AE2751" s="197">
        <f t="shared" ca="1" si="598"/>
        <v>0</v>
      </c>
      <c r="AF2751" s="196">
        <f>IFERROR(G2751/SUMIF(A:A,A2751,G:G)*SUMIF(Summary!$A$166:$A$242,'Operations Support'!A2751,Summary!$Q$166:$Q$242),0)</f>
        <v>0</v>
      </c>
      <c r="AG2751" s="196">
        <f t="shared" ca="1" si="599"/>
        <v>0</v>
      </c>
      <c r="AI2751" s="196">
        <f>IFERROR($G2751/SUMIF($A:$A,$A2751,$G:$G)*SUMIF(Summary!$A$247:$A$283,$A2751,Summary!$P$247:$P$283),0)</f>
        <v>0</v>
      </c>
      <c r="AJ2751" s="196">
        <f>IFERROR($G2751/SUMIF($A:$A,$A2751,$G:$G)*(SUMIF(Summary!$A$247:$A$283,$A2751,Summary!$L$247:$L$283)+SUMIF(Summary!$A$297:$A$333,$A2751,Summary!$L$297:$L$333))-AI2751,0)</f>
        <v>0</v>
      </c>
      <c r="AK2751" s="196">
        <f>IFERROR($G2751/SUMIF($A:$A,$A2751,$G:$G)*SUMIF(Summary!$A$247:$A$283,$A2751,Summary!$Q$247:$Q$283),0)</f>
        <v>0</v>
      </c>
      <c r="AL2751" s="196">
        <f>IFERROR($G2751/SUMIF($A:$A,$A2751,$G:$G)*(SUMIF(Summary!$A$247:$A$283,$A2751,Summary!$L$247:$L$283)+SUMIF(Summary!$A$297:$A$333,$A2751,Summary!$L$297:$L$333))-AK2751,0)</f>
        <v>0</v>
      </c>
      <c r="AM2751" s="198"/>
      <c r="AN2751" s="196">
        <f t="shared" ca="1" si="600"/>
        <v>0</v>
      </c>
      <c r="AO2751" s="196">
        <f t="shared" ca="1" si="601"/>
        <v>0</v>
      </c>
    </row>
    <row r="2752" spans="1:41">
      <c r="A2752" s="189">
        <v>10115</v>
      </c>
      <c r="B2752" s="190">
        <v>1</v>
      </c>
      <c r="C2752" s="191" t="s">
        <v>237</v>
      </c>
      <c r="D2752" s="192">
        <f t="shared" si="588"/>
        <v>0</v>
      </c>
      <c r="E2752" s="192">
        <f t="shared" si="589"/>
        <v>0</v>
      </c>
      <c r="F2752" s="192">
        <f t="shared" si="590"/>
        <v>0</v>
      </c>
      <c r="G2752" s="193">
        <f t="shared" si="591"/>
        <v>0</v>
      </c>
      <c r="H2752" s="194">
        <v>0</v>
      </c>
      <c r="I2752" s="194">
        <v>0</v>
      </c>
      <c r="J2752" s="194">
        <v>0</v>
      </c>
      <c r="K2752" s="193">
        <f t="shared" si="592"/>
        <v>0</v>
      </c>
      <c r="L2752" s="194">
        <v>0</v>
      </c>
      <c r="M2752" s="194">
        <v>0</v>
      </c>
      <c r="N2752" s="194">
        <v>0</v>
      </c>
      <c r="O2752" s="193">
        <f t="shared" si="593"/>
        <v>0</v>
      </c>
      <c r="P2752" s="194">
        <v>0</v>
      </c>
      <c r="Q2752" s="194">
        <v>0</v>
      </c>
      <c r="R2752" s="194">
        <v>0</v>
      </c>
      <c r="S2752" s="193">
        <f t="shared" si="594"/>
        <v>0</v>
      </c>
      <c r="T2752" s="193">
        <f t="shared" si="595"/>
        <v>0</v>
      </c>
      <c r="U2752" s="193">
        <f ca="1">OFFSET('Expenditure Study'!$B$7,'Operations Support'!$C2752,'Operations Support'!$B2752)*$G2752</f>
        <v>0</v>
      </c>
      <c r="V2752" s="199">
        <f ca="1">U2752*'Expenditure Study'!$B$31</f>
        <v>0</v>
      </c>
      <c r="W2752" s="199">
        <f ca="1">IF(A2752=10298,1.51,1)*IF($B2752&lt;3,$D2752*'Expenditure Study'!$B$32*OFFSET('Expenditure Study'!$B$7,'Operations Support'!$C2752,'Operations Support'!$B2752),0)</f>
        <v>0</v>
      </c>
      <c r="X2752" s="200">
        <f ca="1">W2752*'Expenditure Study'!$B$31</f>
        <v>0</v>
      </c>
      <c r="Y2752" s="199">
        <f ca="1">U2752*'Expenditure Study'!$B$31</f>
        <v>0</v>
      </c>
      <c r="Z2752" s="200">
        <f ca="1">W2752*'Expenditure Study'!$B$31</f>
        <v>0</v>
      </c>
      <c r="AA2752" s="195">
        <f t="shared" ca="1" si="596"/>
        <v>0</v>
      </c>
      <c r="AB2752" s="195">
        <f t="shared" ca="1" si="597"/>
        <v>0</v>
      </c>
      <c r="AD2752" s="196">
        <f>IFERROR($G2752/SUMIF($A:$A,$A2752,$G:$G)*SUMIF(Summary!$A$166:$A$242,$A2752,Summary!$P$166:$P$242),0)</f>
        <v>0</v>
      </c>
      <c r="AE2752" s="197">
        <f t="shared" ca="1" si="598"/>
        <v>0</v>
      </c>
      <c r="AF2752" s="196">
        <f>IFERROR(G2752/SUMIF(A:A,A2752,G:G)*SUMIF(Summary!$A$166:$A$242,'Operations Support'!A2752,Summary!$Q$166:$Q$242),0)</f>
        <v>0</v>
      </c>
      <c r="AG2752" s="196">
        <f t="shared" ca="1" si="599"/>
        <v>0</v>
      </c>
      <c r="AI2752" s="196">
        <f>IFERROR($G2752/SUMIF($A:$A,$A2752,$G:$G)*SUMIF(Summary!$A$247:$A$283,$A2752,Summary!$P$247:$P$283),0)</f>
        <v>0</v>
      </c>
      <c r="AJ2752" s="196">
        <f>IFERROR($G2752/SUMIF($A:$A,$A2752,$G:$G)*(SUMIF(Summary!$A$247:$A$283,$A2752,Summary!$L$247:$L$283)+SUMIF(Summary!$A$297:$A$333,$A2752,Summary!$L$297:$L$333))-AI2752,0)</f>
        <v>0</v>
      </c>
      <c r="AK2752" s="196">
        <f>IFERROR($G2752/SUMIF($A:$A,$A2752,$G:$G)*SUMIF(Summary!$A$247:$A$283,$A2752,Summary!$Q$247:$Q$283),0)</f>
        <v>0</v>
      </c>
      <c r="AL2752" s="196">
        <f>IFERROR($G2752/SUMIF($A:$A,$A2752,$G:$G)*(SUMIF(Summary!$A$247:$A$283,$A2752,Summary!$L$247:$L$283)+SUMIF(Summary!$A$297:$A$333,$A2752,Summary!$L$297:$L$333))-AK2752,0)</f>
        <v>0</v>
      </c>
      <c r="AM2752" s="198"/>
      <c r="AN2752" s="196">
        <f t="shared" ca="1" si="600"/>
        <v>0</v>
      </c>
      <c r="AO2752" s="196">
        <f t="shared" ca="1" si="601"/>
        <v>0</v>
      </c>
    </row>
    <row r="2753" spans="1:41">
      <c r="A2753" s="189">
        <v>10115</v>
      </c>
      <c r="B2753" s="190">
        <v>1</v>
      </c>
      <c r="C2753" s="191" t="s">
        <v>238</v>
      </c>
      <c r="D2753" s="192">
        <f t="shared" si="588"/>
        <v>30</v>
      </c>
      <c r="E2753" s="192">
        <f t="shared" si="589"/>
        <v>3136</v>
      </c>
      <c r="F2753" s="192">
        <f t="shared" si="590"/>
        <v>0</v>
      </c>
      <c r="G2753" s="193">
        <f t="shared" si="591"/>
        <v>3166</v>
      </c>
      <c r="H2753" s="194">
        <v>11</v>
      </c>
      <c r="I2753" s="194">
        <v>1419</v>
      </c>
      <c r="J2753" s="194">
        <v>0</v>
      </c>
      <c r="K2753" s="193">
        <f t="shared" si="592"/>
        <v>1430</v>
      </c>
      <c r="L2753" s="194">
        <v>19</v>
      </c>
      <c r="M2753" s="194">
        <v>1663</v>
      </c>
      <c r="N2753" s="194">
        <v>0</v>
      </c>
      <c r="O2753" s="193">
        <f t="shared" si="593"/>
        <v>1682</v>
      </c>
      <c r="P2753" s="194">
        <v>0</v>
      </c>
      <c r="Q2753" s="194">
        <v>54</v>
      </c>
      <c r="R2753" s="194">
        <v>0</v>
      </c>
      <c r="S2753" s="193">
        <f t="shared" si="594"/>
        <v>54</v>
      </c>
      <c r="T2753" s="193">
        <f t="shared" si="595"/>
        <v>105.53333333333333</v>
      </c>
      <c r="U2753" s="193">
        <f ca="1">OFFSET('Expenditure Study'!$B$7,'Operations Support'!$C2753,'Operations Support'!$B2753)*$G2753</f>
        <v>5635.4800000000005</v>
      </c>
      <c r="V2753" s="199">
        <f ca="1">U2753*'Expenditure Study'!$B$31</f>
        <v>332962.08373478404</v>
      </c>
      <c r="W2753" s="199">
        <f ca="1">IF(A2753=10298,1.51,1)*IF($B2753&lt;3,$D2753*'Expenditure Study'!$B$32*OFFSET('Expenditure Study'!$B$7,'Operations Support'!$C2753,'Operations Support'!$B2753),0)</f>
        <v>5.34</v>
      </c>
      <c r="X2753" s="200">
        <f ca="1">W2753*'Expenditure Study'!$B$31</f>
        <v>315.50418547200002</v>
      </c>
      <c r="Y2753" s="199">
        <f ca="1">U2753*'Expenditure Study'!$B$31</f>
        <v>332962.08373478404</v>
      </c>
      <c r="Z2753" s="200">
        <f ca="1">W2753*'Expenditure Study'!$B$31</f>
        <v>315.50418547200002</v>
      </c>
      <c r="AA2753" s="195">
        <f t="shared" ca="1" si="596"/>
        <v>333277.58792025602</v>
      </c>
      <c r="AB2753" s="195">
        <f t="shared" ca="1" si="597"/>
        <v>333277.58792025602</v>
      </c>
      <c r="AD2753" s="196">
        <f>IFERROR($G2753/SUMIF($A:$A,$A2753,$G:$G)*SUMIF(Summary!$A$166:$A$242,$A2753,Summary!$P$166:$P$242),0)</f>
        <v>85030.706848720467</v>
      </c>
      <c r="AE2753" s="197">
        <f t="shared" ca="1" si="598"/>
        <v>248246.88107153555</v>
      </c>
      <c r="AF2753" s="196">
        <f>IFERROR(G2753/SUMIF(A:A,A2753,G:G)*SUMIF(Summary!$A$166:$A$242,'Operations Support'!A2753,Summary!$Q$166:$Q$242),0)</f>
        <v>85147.36911293726</v>
      </c>
      <c r="AG2753" s="196">
        <f t="shared" ca="1" si="599"/>
        <v>248130.21880731877</v>
      </c>
      <c r="AI2753" s="196">
        <f>IFERROR($G2753/SUMIF($A:$A,$A2753,$G:$G)*SUMIF(Summary!$A$247:$A$283,$A2753,Summary!$P$247:$P$283),0)</f>
        <v>15507.479011570158</v>
      </c>
      <c r="AJ2753" s="196">
        <f>IFERROR($G2753/SUMIF($A:$A,$A2753,$G:$G)*(SUMIF(Summary!$A$247:$A$283,$A2753,Summary!$L$247:$L$283)+SUMIF(Summary!$A$297:$A$333,$A2753,Summary!$L$297:$L$333))-AI2753,0)</f>
        <v>68664.277085993963</v>
      </c>
      <c r="AK2753" s="196">
        <f>IFERROR($G2753/SUMIF($A:$A,$A2753,$G:$G)*SUMIF(Summary!$A$247:$A$283,$A2753,Summary!$Q$247:$Q$283),0)</f>
        <v>15528.755297288952</v>
      </c>
      <c r="AL2753" s="196">
        <f>IFERROR($G2753/SUMIF($A:$A,$A2753,$G:$G)*(SUMIF(Summary!$A$247:$A$283,$A2753,Summary!$L$247:$L$283)+SUMIF(Summary!$A$297:$A$333,$A2753,Summary!$L$297:$L$333))-AK2753,0)</f>
        <v>68643.000800275171</v>
      </c>
      <c r="AM2753" s="198"/>
      <c r="AN2753" s="196">
        <f t="shared" ca="1" si="600"/>
        <v>316911.15815752954</v>
      </c>
      <c r="AO2753" s="196">
        <f t="shared" ca="1" si="601"/>
        <v>316773.21960759396</v>
      </c>
    </row>
    <row r="2754" spans="1:41">
      <c r="A2754" s="189">
        <v>10115</v>
      </c>
      <c r="B2754" s="190">
        <v>1</v>
      </c>
      <c r="C2754" s="191" t="s">
        <v>239</v>
      </c>
      <c r="D2754" s="192">
        <f t="shared" si="588"/>
        <v>0</v>
      </c>
      <c r="E2754" s="192">
        <f t="shared" si="589"/>
        <v>0</v>
      </c>
      <c r="F2754" s="192">
        <f t="shared" si="590"/>
        <v>0</v>
      </c>
      <c r="G2754" s="193">
        <f t="shared" si="591"/>
        <v>0</v>
      </c>
      <c r="H2754" s="194">
        <v>0</v>
      </c>
      <c r="I2754" s="194">
        <v>0</v>
      </c>
      <c r="J2754" s="194">
        <v>0</v>
      </c>
      <c r="K2754" s="193">
        <f t="shared" si="592"/>
        <v>0</v>
      </c>
      <c r="L2754" s="194">
        <v>0</v>
      </c>
      <c r="M2754" s="194">
        <v>0</v>
      </c>
      <c r="N2754" s="194">
        <v>0</v>
      </c>
      <c r="O2754" s="193">
        <f t="shared" si="593"/>
        <v>0</v>
      </c>
      <c r="P2754" s="194">
        <v>0</v>
      </c>
      <c r="Q2754" s="194">
        <v>0</v>
      </c>
      <c r="R2754" s="194">
        <v>0</v>
      </c>
      <c r="S2754" s="193">
        <f t="shared" si="594"/>
        <v>0</v>
      </c>
      <c r="T2754" s="193">
        <f t="shared" si="595"/>
        <v>0</v>
      </c>
      <c r="U2754" s="193">
        <f ca="1">OFFSET('Expenditure Study'!$B$7,'Operations Support'!$C2754,'Operations Support'!$B2754)*$G2754</f>
        <v>0</v>
      </c>
      <c r="V2754" s="199">
        <f ca="1">U2754*'Expenditure Study'!$B$31</f>
        <v>0</v>
      </c>
      <c r="W2754" s="199">
        <f ca="1">IF(A2754=10298,1.51,1)*IF($B2754&lt;3,$D2754*'Expenditure Study'!$B$32*OFFSET('Expenditure Study'!$B$7,'Operations Support'!$C2754,'Operations Support'!$B2754),0)</f>
        <v>0</v>
      </c>
      <c r="X2754" s="200">
        <f ca="1">W2754*'Expenditure Study'!$B$31</f>
        <v>0</v>
      </c>
      <c r="Y2754" s="199">
        <f ca="1">U2754*'Expenditure Study'!$B$31</f>
        <v>0</v>
      </c>
      <c r="Z2754" s="200">
        <f ca="1">W2754*'Expenditure Study'!$B$31</f>
        <v>0</v>
      </c>
      <c r="AA2754" s="195">
        <f t="shared" ca="1" si="596"/>
        <v>0</v>
      </c>
      <c r="AB2754" s="195">
        <f t="shared" ca="1" si="597"/>
        <v>0</v>
      </c>
      <c r="AD2754" s="196">
        <f>IFERROR($G2754/SUMIF($A:$A,$A2754,$G:$G)*SUMIF(Summary!$A$166:$A$242,$A2754,Summary!$P$166:$P$242),0)</f>
        <v>0</v>
      </c>
      <c r="AE2754" s="197">
        <f t="shared" ca="1" si="598"/>
        <v>0</v>
      </c>
      <c r="AF2754" s="196">
        <f>IFERROR(G2754/SUMIF(A:A,A2754,G:G)*SUMIF(Summary!$A$166:$A$242,'Operations Support'!A2754,Summary!$Q$166:$Q$242),0)</f>
        <v>0</v>
      </c>
      <c r="AG2754" s="196">
        <f t="shared" ca="1" si="599"/>
        <v>0</v>
      </c>
      <c r="AI2754" s="196">
        <f>IFERROR($G2754/SUMIF($A:$A,$A2754,$G:$G)*SUMIF(Summary!$A$247:$A$283,$A2754,Summary!$P$247:$P$283),0)</f>
        <v>0</v>
      </c>
      <c r="AJ2754" s="196">
        <f>IFERROR($G2754/SUMIF($A:$A,$A2754,$G:$G)*(SUMIF(Summary!$A$247:$A$283,$A2754,Summary!$L$247:$L$283)+SUMIF(Summary!$A$297:$A$333,$A2754,Summary!$L$297:$L$333))-AI2754,0)</f>
        <v>0</v>
      </c>
      <c r="AK2754" s="196">
        <f>IFERROR($G2754/SUMIF($A:$A,$A2754,$G:$G)*SUMIF(Summary!$A$247:$A$283,$A2754,Summary!$Q$247:$Q$283),0)</f>
        <v>0</v>
      </c>
      <c r="AL2754" s="196">
        <f>IFERROR($G2754/SUMIF($A:$A,$A2754,$G:$G)*(SUMIF(Summary!$A$247:$A$283,$A2754,Summary!$L$247:$L$283)+SUMIF(Summary!$A$297:$A$333,$A2754,Summary!$L$297:$L$333))-AK2754,0)</f>
        <v>0</v>
      </c>
      <c r="AM2754" s="198"/>
      <c r="AN2754" s="196">
        <f t="shared" ca="1" si="600"/>
        <v>0</v>
      </c>
      <c r="AO2754" s="196">
        <f t="shared" ca="1" si="601"/>
        <v>0</v>
      </c>
    </row>
    <row r="2755" spans="1:41">
      <c r="A2755" s="189">
        <v>10115</v>
      </c>
      <c r="B2755" s="190">
        <v>1</v>
      </c>
      <c r="C2755" s="191" t="s">
        <v>240</v>
      </c>
      <c r="D2755" s="192">
        <f t="shared" si="588"/>
        <v>0</v>
      </c>
      <c r="E2755" s="192">
        <f t="shared" si="589"/>
        <v>2398</v>
      </c>
      <c r="F2755" s="192">
        <f t="shared" si="590"/>
        <v>0</v>
      </c>
      <c r="G2755" s="193">
        <f t="shared" si="591"/>
        <v>2398</v>
      </c>
      <c r="H2755" s="194">
        <v>0</v>
      </c>
      <c r="I2755" s="194">
        <v>1246</v>
      </c>
      <c r="J2755" s="194">
        <v>0</v>
      </c>
      <c r="K2755" s="193">
        <f t="shared" si="592"/>
        <v>1246</v>
      </c>
      <c r="L2755" s="194">
        <v>0</v>
      </c>
      <c r="M2755" s="194">
        <v>1152</v>
      </c>
      <c r="N2755" s="194">
        <v>0</v>
      </c>
      <c r="O2755" s="193">
        <f t="shared" si="593"/>
        <v>1152</v>
      </c>
      <c r="P2755" s="194">
        <v>0</v>
      </c>
      <c r="Q2755" s="194">
        <v>0</v>
      </c>
      <c r="R2755" s="194">
        <v>0</v>
      </c>
      <c r="S2755" s="193">
        <f t="shared" si="594"/>
        <v>0</v>
      </c>
      <c r="T2755" s="193">
        <f t="shared" si="595"/>
        <v>79.933333333333337</v>
      </c>
      <c r="U2755" s="193">
        <f ca="1">OFFSET('Expenditure Study'!$B$7,'Operations Support'!$C2755,'Operations Support'!$B2755)*$G2755</f>
        <v>2398</v>
      </c>
      <c r="V2755" s="199">
        <f ca="1">U2755*'Expenditure Study'!$B$31</f>
        <v>141681.46755840001</v>
      </c>
      <c r="W2755" s="199">
        <f ca="1">IF(A2755=10298,1.51,1)*IF($B2755&lt;3,$D2755*'Expenditure Study'!$B$32*OFFSET('Expenditure Study'!$B$7,'Operations Support'!$C2755,'Operations Support'!$B2755),0)</f>
        <v>0</v>
      </c>
      <c r="X2755" s="200">
        <f ca="1">W2755*'Expenditure Study'!$B$31</f>
        <v>0</v>
      </c>
      <c r="Y2755" s="199">
        <f ca="1">U2755*'Expenditure Study'!$B$31</f>
        <v>141681.46755840001</v>
      </c>
      <c r="Z2755" s="200">
        <f ca="1">W2755*'Expenditure Study'!$B$31</f>
        <v>0</v>
      </c>
      <c r="AA2755" s="195">
        <f t="shared" ca="1" si="596"/>
        <v>141681.46755840001</v>
      </c>
      <c r="AB2755" s="195">
        <f t="shared" ca="1" si="597"/>
        <v>141681.46755840001</v>
      </c>
      <c r="AD2755" s="196">
        <f>IFERROR($G2755/SUMIF($A:$A,$A2755,$G:$G)*SUMIF(Summary!$A$166:$A$242,$A2755,Summary!$P$166:$P$242),0)</f>
        <v>64404.180361096558</v>
      </c>
      <c r="AE2755" s="197">
        <f t="shared" ca="1" si="598"/>
        <v>77277.287197303449</v>
      </c>
      <c r="AF2755" s="196">
        <f>IFERROR(G2755/SUMIF(A:A,A2755,G:G)*SUMIF(Summary!$A$166:$A$242,'Operations Support'!A2755,Summary!$Q$166:$Q$242),0)</f>
        <v>64492.542998364996</v>
      </c>
      <c r="AG2755" s="196">
        <f t="shared" ca="1" si="599"/>
        <v>77188.924560035011</v>
      </c>
      <c r="AI2755" s="196">
        <f>IFERROR($G2755/SUMIF($A:$A,$A2755,$G:$G)*SUMIF(Summary!$A$247:$A$283,$A2755,Summary!$P$247:$P$283),0)</f>
        <v>11745.715309458385</v>
      </c>
      <c r="AJ2755" s="196">
        <f>IFERROR($G2755/SUMIF($A:$A,$A2755,$G:$G)*(SUMIF(Summary!$A$247:$A$283,$A2755,Summary!$L$247:$L$283)+SUMIF(Summary!$A$297:$A$333,$A2755,Summary!$L$297:$L$333))-AI2755,0)</f>
        <v>52007.876327294238</v>
      </c>
      <c r="AK2755" s="196">
        <f>IFERROR($G2755/SUMIF($A:$A,$A2755,$G:$G)*SUMIF(Summary!$A$247:$A$283,$A2755,Summary!$Q$247:$Q$283),0)</f>
        <v>11761.830449431116</v>
      </c>
      <c r="AL2755" s="196">
        <f>IFERROR($G2755/SUMIF($A:$A,$A2755,$G:$G)*(SUMIF(Summary!$A$247:$A$283,$A2755,Summary!$L$247:$L$283)+SUMIF(Summary!$A$297:$A$333,$A2755,Summary!$L$297:$L$333))-AK2755,0)</f>
        <v>51991.761187321506</v>
      </c>
      <c r="AM2755" s="198"/>
      <c r="AN2755" s="196">
        <f t="shared" ca="1" si="600"/>
        <v>129285.16352459768</v>
      </c>
      <c r="AO2755" s="196">
        <f t="shared" ca="1" si="601"/>
        <v>129180.68574735652</v>
      </c>
    </row>
    <row r="2756" spans="1:41" s="201" customFormat="1">
      <c r="A2756" s="189">
        <v>10115</v>
      </c>
      <c r="B2756" s="190">
        <v>2</v>
      </c>
      <c r="C2756" s="191" t="s">
        <v>220</v>
      </c>
      <c r="D2756" s="192">
        <f t="shared" si="588"/>
        <v>29061</v>
      </c>
      <c r="E2756" s="192">
        <f t="shared" si="589"/>
        <v>43071</v>
      </c>
      <c r="F2756" s="192">
        <f t="shared" si="590"/>
        <v>0</v>
      </c>
      <c r="G2756" s="193">
        <f t="shared" si="591"/>
        <v>72132</v>
      </c>
      <c r="H2756" s="194">
        <v>11517</v>
      </c>
      <c r="I2756" s="194">
        <v>20868</v>
      </c>
      <c r="J2756" s="194">
        <v>0</v>
      </c>
      <c r="K2756" s="193">
        <f t="shared" si="592"/>
        <v>32385</v>
      </c>
      <c r="L2756" s="194">
        <v>12990</v>
      </c>
      <c r="M2756" s="194">
        <v>17910</v>
      </c>
      <c r="N2756" s="194">
        <v>0</v>
      </c>
      <c r="O2756" s="193">
        <f t="shared" si="593"/>
        <v>30900</v>
      </c>
      <c r="P2756" s="194">
        <v>4554</v>
      </c>
      <c r="Q2756" s="194">
        <v>4293</v>
      </c>
      <c r="R2756" s="194">
        <v>0</v>
      </c>
      <c r="S2756" s="193">
        <f t="shared" si="594"/>
        <v>8847</v>
      </c>
      <c r="T2756" s="193">
        <f t="shared" si="595"/>
        <v>2404.4</v>
      </c>
      <c r="U2756" s="193">
        <f ca="1">OFFSET('Expenditure Study'!$B$7,'Operations Support'!$C2756,'Operations Support'!$B2756)*$G2756</f>
        <v>132722.88</v>
      </c>
      <c r="V2756" s="199">
        <f ca="1">U2756*'Expenditure Study'!$B$31</f>
        <v>7841689.9153367048</v>
      </c>
      <c r="W2756" s="199">
        <f ca="1">IF(A2756=10298,1.51,1)*IF($B2756&lt;3,$D2756*'Expenditure Study'!$B$32*OFFSET('Expenditure Study'!$B$7,'Operations Support'!$C2756,'Operations Support'!$B2756),0)</f>
        <v>5347.2240000000011</v>
      </c>
      <c r="X2756" s="200">
        <f ca="1">W2756*'Expenditure Study'!$B$31</f>
        <v>315931.00237009925</v>
      </c>
      <c r="Y2756" s="199">
        <f ca="1">U2756*'Expenditure Study'!$B$31</f>
        <v>7841689.9153367048</v>
      </c>
      <c r="Z2756" s="200">
        <f ca="1">W2756*'Expenditure Study'!$B$31</f>
        <v>315931.00237009925</v>
      </c>
      <c r="AA2756" s="195">
        <f t="shared" ca="1" si="596"/>
        <v>8157620.9177068044</v>
      </c>
      <c r="AB2756" s="195">
        <f t="shared" ca="1" si="597"/>
        <v>8157620.9177068044</v>
      </c>
      <c r="AD2756" s="196">
        <f>IFERROR($G2756/SUMIF($A:$A,$A2756,$G:$G)*SUMIF(Summary!$A$166:$A$242,$A2756,Summary!$P$166:$P$242),0)</f>
        <v>1937282.0424548027</v>
      </c>
      <c r="AE2756" s="197">
        <f t="shared" ca="1" si="598"/>
        <v>6220338.8752520019</v>
      </c>
      <c r="AF2756" s="196">
        <f>IFERROR(G2756/SUMIF(A:A,A2756,G:G)*SUMIF(Summary!$A$166:$A$242,'Operations Support'!A2756,Summary!$Q$166:$Q$242),0)</f>
        <v>1939939.9964795928</v>
      </c>
      <c r="AG2756" s="196">
        <f t="shared" ca="1" si="599"/>
        <v>6217680.9212272111</v>
      </c>
      <c r="AH2756" s="180"/>
      <c r="AI2756" s="196">
        <f>IFERROR($G2756/SUMIF($A:$A,$A2756,$G:$G)*SUMIF(Summary!$A$247:$A$283,$A2756,Summary!$P$247:$P$283),0)</f>
        <v>353311.90020927944</v>
      </c>
      <c r="AJ2756" s="196">
        <f>IFERROR($G2756/SUMIF($A:$A,$A2756,$G:$G)*(SUMIF(Summary!$A$247:$A$283,$A2756,Summary!$L$247:$L$283)+SUMIF(Summary!$A$297:$A$333,$A2756,Summary!$L$297:$L$333))-AI2756,0)</f>
        <v>1564400.3900085019</v>
      </c>
      <c r="AK2756" s="196">
        <f>IFERROR($G2756/SUMIF($A:$A,$A2756,$G:$G)*SUMIF(Summary!$A$247:$A$283,$A2756,Summary!$Q$247:$Q$283),0)</f>
        <v>353796.64469489793</v>
      </c>
      <c r="AL2756" s="196">
        <f>IFERROR($G2756/SUMIF($A:$A,$A2756,$G:$G)*(SUMIF(Summary!$A$247:$A$283,$A2756,Summary!$L$247:$L$283)+SUMIF(Summary!$A$297:$A$333,$A2756,Summary!$L$297:$L$333))-AK2756,0)</f>
        <v>1563915.6455228836</v>
      </c>
      <c r="AM2756" s="198"/>
      <c r="AN2756" s="196">
        <f t="shared" ca="1" si="600"/>
        <v>7784739.2652605036</v>
      </c>
      <c r="AO2756" s="196">
        <f t="shared" ca="1" si="601"/>
        <v>7781596.5667500943</v>
      </c>
    </row>
    <row r="2757" spans="1:41">
      <c r="A2757" s="189">
        <v>10115</v>
      </c>
      <c r="B2757" s="190">
        <v>2</v>
      </c>
      <c r="C2757" s="191" t="s">
        <v>221</v>
      </c>
      <c r="D2757" s="192">
        <f t="shared" ref="D2757:D2820" si="602">H2757+L2757+P2757</f>
        <v>31092.739999999998</v>
      </c>
      <c r="E2757" s="192">
        <f t="shared" ref="E2757:E2820" si="603">I2757+M2757+Q2757</f>
        <v>36314.26</v>
      </c>
      <c r="F2757" s="192">
        <f t="shared" ref="F2757:F2820" si="604">J2757+N2757+R2757</f>
        <v>0</v>
      </c>
      <c r="G2757" s="193">
        <f t="shared" ref="G2757:G2820" si="605">(SUM(D2757:E2757)-F2757)*IF(A2757=10298,1.51,1)</f>
        <v>67407</v>
      </c>
      <c r="H2757" s="194">
        <v>13415.9</v>
      </c>
      <c r="I2757" s="194">
        <v>16223.1</v>
      </c>
      <c r="J2757" s="194">
        <v>0</v>
      </c>
      <c r="K2757" s="193">
        <f t="shared" ref="K2757:K2820" si="606">SUM(H2757:I2757)-J2757</f>
        <v>29639</v>
      </c>
      <c r="L2757" s="194">
        <v>14845.34</v>
      </c>
      <c r="M2757" s="194">
        <v>14946.66</v>
      </c>
      <c r="N2757" s="194">
        <v>0</v>
      </c>
      <c r="O2757" s="193">
        <f t="shared" ref="O2757:O2820" si="607">SUM(L2757:M2757)-N2757</f>
        <v>29792</v>
      </c>
      <c r="P2757" s="194">
        <v>2831.5</v>
      </c>
      <c r="Q2757" s="194">
        <v>5144.5</v>
      </c>
      <c r="R2757" s="194">
        <v>0</v>
      </c>
      <c r="S2757" s="193">
        <f t="shared" ref="S2757:S2820" si="608">SUM(P2757:Q2757)-R2757</f>
        <v>7976</v>
      </c>
      <c r="T2757" s="193">
        <f t="shared" ref="T2757:T2820" si="609">IF(OR(B2757=1,B2757=2),G2757/30,IF(OR(B2757=3,B2757=5),G2757/24,IF(B2757=4,G2757/18,0)))</f>
        <v>2246.9</v>
      </c>
      <c r="U2757" s="193">
        <f ca="1">OFFSET('Expenditure Study'!$B$7,'Operations Support'!$C2757,'Operations Support'!$B2757)*$G2757</f>
        <v>177280.41</v>
      </c>
      <c r="V2757" s="199">
        <f ca="1">U2757*'Expenditure Study'!$B$31</f>
        <v>10474290.516328128</v>
      </c>
      <c r="W2757" s="199">
        <f ca="1">IF(A2757=10298,1.51,1)*IF($B2757&lt;3,$D2757*'Expenditure Study'!$B$32*OFFSET('Expenditure Study'!$B$7,'Operations Support'!$C2757,'Operations Support'!$B2757),0)</f>
        <v>8177.3906199999992</v>
      </c>
      <c r="X2757" s="200">
        <f ca="1">W2757*'Expenditure Study'!$B$31</f>
        <v>483146.24847368407</v>
      </c>
      <c r="Y2757" s="199">
        <f ca="1">U2757*'Expenditure Study'!$B$31</f>
        <v>10474290.516328128</v>
      </c>
      <c r="Z2757" s="200">
        <f ca="1">W2757*'Expenditure Study'!$B$31</f>
        <v>483146.24847368407</v>
      </c>
      <c r="AA2757" s="195">
        <f t="shared" ref="AA2757:AA2820" ca="1" si="610">V2757+X2757</f>
        <v>10957436.764801811</v>
      </c>
      <c r="AB2757" s="195">
        <f t="shared" ref="AB2757:AB2820" ca="1" si="611">Y2757+Z2757</f>
        <v>10957436.764801811</v>
      </c>
      <c r="AD2757" s="196">
        <f>IFERROR($G2757/SUMIF($A:$A,$A2757,$G:$G)*SUMIF(Summary!$A$166:$A$242,$A2757,Summary!$P$166:$P$242),0)</f>
        <v>1810380.5611344601</v>
      </c>
      <c r="AE2757" s="197">
        <f t="shared" ca="1" si="598"/>
        <v>9147056.203667352</v>
      </c>
      <c r="AF2757" s="196">
        <f>IFERROR(G2757/SUMIF(A:A,A2757,G:G)*SUMIF(Summary!$A$166:$A$242,'Operations Support'!A2757,Summary!$Q$166:$Q$242),0)</f>
        <v>1812864.4061262673</v>
      </c>
      <c r="AG2757" s="196">
        <f t="shared" ca="1" si="599"/>
        <v>9144572.3586755432</v>
      </c>
      <c r="AI2757" s="196">
        <f>IFERROR($G2757/SUMIF($A:$A,$A2757,$G:$G)*SUMIF(Summary!$A$247:$A$283,$A2757,Summary!$P$247:$P$283),0)</f>
        <v>330168.23680761521</v>
      </c>
      <c r="AJ2757" s="196">
        <f>IFERROR($G2757/SUMIF($A:$A,$A2757,$G:$G)*(SUMIF(Summary!$A$247:$A$283,$A2757,Summary!$L$247:$L$283)+SUMIF(Summary!$A$297:$A$333,$A2757,Summary!$L$297:$L$333))-AI2757,0)</f>
        <v>1461924.4869032204</v>
      </c>
      <c r="AK2757" s="196">
        <f>IFERROR($G2757/SUMIF($A:$A,$A2757,$G:$G)*SUMIF(Summary!$A$247:$A$283,$A2757,Summary!$Q$247:$Q$283),0)</f>
        <v>330621.22815046005</v>
      </c>
      <c r="AL2757" s="196">
        <f>IFERROR($G2757/SUMIF($A:$A,$A2757,$G:$G)*(SUMIF(Summary!$A$247:$A$283,$A2757,Summary!$L$247:$L$283)+SUMIF(Summary!$A$297:$A$333,$A2757,Summary!$L$297:$L$333))-AK2757,0)</f>
        <v>1461471.4955603755</v>
      </c>
      <c r="AM2757" s="198"/>
      <c r="AN2757" s="196">
        <f t="shared" ca="1" si="600"/>
        <v>10608980.690570572</v>
      </c>
      <c r="AO2757" s="196">
        <f t="shared" ca="1" si="601"/>
        <v>10606043.854235919</v>
      </c>
    </row>
    <row r="2758" spans="1:41">
      <c r="A2758" s="189">
        <v>10115</v>
      </c>
      <c r="B2758" s="190">
        <v>2</v>
      </c>
      <c r="C2758" s="191" t="s">
        <v>222</v>
      </c>
      <c r="D2758" s="192">
        <f t="shared" si="602"/>
        <v>3452</v>
      </c>
      <c r="E2758" s="192">
        <f t="shared" si="603"/>
        <v>3754</v>
      </c>
      <c r="F2758" s="192">
        <f t="shared" si="604"/>
        <v>0</v>
      </c>
      <c r="G2758" s="193">
        <f t="shared" si="605"/>
        <v>7206</v>
      </c>
      <c r="H2758" s="194">
        <v>1559</v>
      </c>
      <c r="I2758" s="194">
        <v>1876</v>
      </c>
      <c r="J2758" s="194">
        <v>0</v>
      </c>
      <c r="K2758" s="193">
        <f t="shared" si="606"/>
        <v>3435</v>
      </c>
      <c r="L2758" s="194">
        <v>1506</v>
      </c>
      <c r="M2758" s="194">
        <v>1800</v>
      </c>
      <c r="N2758" s="194">
        <v>0</v>
      </c>
      <c r="O2758" s="193">
        <f t="shared" si="607"/>
        <v>3306</v>
      </c>
      <c r="P2758" s="194">
        <v>387</v>
      </c>
      <c r="Q2758" s="194">
        <v>78</v>
      </c>
      <c r="R2758" s="194">
        <v>0</v>
      </c>
      <c r="S2758" s="193">
        <f t="shared" si="608"/>
        <v>465</v>
      </c>
      <c r="T2758" s="193">
        <f t="shared" si="609"/>
        <v>240.2</v>
      </c>
      <c r="U2758" s="193">
        <f ca="1">OFFSET('Expenditure Study'!$B$7,'Operations Support'!$C2758,'Operations Support'!$B2758)*$G2758</f>
        <v>19167.960000000003</v>
      </c>
      <c r="V2758" s="199">
        <f ca="1">U2758*'Expenditure Study'!$B$31</f>
        <v>1132504.0462471682</v>
      </c>
      <c r="W2758" s="199">
        <f ca="1">IF(A2758=10298,1.51,1)*IF($B2758&lt;3,$D2758*'Expenditure Study'!$B$32*OFFSET('Expenditure Study'!$B$7,'Operations Support'!$C2758,'Operations Support'!$B2758),0)</f>
        <v>918.2320000000002</v>
      </c>
      <c r="X2758" s="200">
        <f ca="1">W2758*'Expenditure Study'!$B$31</f>
        <v>54252.067272345615</v>
      </c>
      <c r="Y2758" s="199">
        <f ca="1">U2758*'Expenditure Study'!$B$31</f>
        <v>1132504.0462471682</v>
      </c>
      <c r="Z2758" s="200">
        <f ca="1">W2758*'Expenditure Study'!$B$31</f>
        <v>54252.067272345615</v>
      </c>
      <c r="AA2758" s="195">
        <f t="shared" ca="1" si="610"/>
        <v>1186756.1135195137</v>
      </c>
      <c r="AB2758" s="195">
        <f t="shared" ca="1" si="611"/>
        <v>1186756.1135195137</v>
      </c>
      <c r="AD2758" s="196">
        <f>IFERROR($G2758/SUMIF($A:$A,$A2758,$G:$G)*SUMIF(Summary!$A$166:$A$242,$A2758,Summary!$P$166:$P$242),0)</f>
        <v>193534.83055965879</v>
      </c>
      <c r="AE2758" s="197">
        <f t="shared" ref="AE2758:AE2821" ca="1" si="612">V2758+X2758-AD2758</f>
        <v>993221.28295985493</v>
      </c>
      <c r="AF2758" s="196">
        <f>IFERROR(G2758/SUMIF(A:A,A2758,G:G)*SUMIF(Summary!$A$166:$A$242,'Operations Support'!A2758,Summary!$Q$166:$Q$242),0)</f>
        <v>193800.36065313514</v>
      </c>
      <c r="AG2758" s="196">
        <f t="shared" ref="AG2758:AG2821" ca="1" si="613">Y2758+Z2758-AF2758</f>
        <v>992955.75286637864</v>
      </c>
      <c r="AI2758" s="196">
        <f>IFERROR($G2758/SUMIF($A:$A,$A2758,$G:$G)*SUMIF(Summary!$A$247:$A$283,$A2758,Summary!$P$247:$P$283),0)</f>
        <v>35295.923486220643</v>
      </c>
      <c r="AJ2758" s="196">
        <f>IFERROR($G2758/SUMIF($A:$A,$A2758,$G:$G)*(SUMIF(Summary!$A$247:$A$283,$A2758,Summary!$L$247:$L$283)+SUMIF(Summary!$A$297:$A$333,$A2758,Summary!$L$297:$L$333))-AI2758,0)</f>
        <v>156283.88524373737</v>
      </c>
      <c r="AK2758" s="196">
        <f>IFERROR($G2758/SUMIF($A:$A,$A2758,$G:$G)*SUMIF(Summary!$A$247:$A$283,$A2758,Summary!$Q$247:$Q$283),0)</f>
        <v>35344.349549041122</v>
      </c>
      <c r="AL2758" s="196">
        <f>IFERROR($G2758/SUMIF($A:$A,$A2758,$G:$G)*(SUMIF(Summary!$A$247:$A$283,$A2758,Summary!$L$247:$L$283)+SUMIF(Summary!$A$297:$A$333,$A2758,Summary!$L$297:$L$333))-AK2758,0)</f>
        <v>156235.45918091689</v>
      </c>
      <c r="AM2758" s="198"/>
      <c r="AN2758" s="196">
        <f t="shared" ref="AN2758:AN2821" ca="1" si="614">AE2758+AJ2758</f>
        <v>1149505.1682035923</v>
      </c>
      <c r="AO2758" s="196">
        <f t="shared" ref="AO2758:AO2821" ca="1" si="615">AG2758+AL2758</f>
        <v>1149191.2120472956</v>
      </c>
    </row>
    <row r="2759" spans="1:41">
      <c r="A2759" s="189">
        <v>10115</v>
      </c>
      <c r="B2759" s="190">
        <v>2</v>
      </c>
      <c r="C2759" s="191" t="s">
        <v>223</v>
      </c>
      <c r="D2759" s="192">
        <f t="shared" si="602"/>
        <v>3268.25</v>
      </c>
      <c r="E2759" s="192">
        <f t="shared" si="603"/>
        <v>8280.75</v>
      </c>
      <c r="F2759" s="192">
        <f t="shared" si="604"/>
        <v>0</v>
      </c>
      <c r="G2759" s="193">
        <f t="shared" si="605"/>
        <v>11549</v>
      </c>
      <c r="H2759" s="194">
        <v>1174.25</v>
      </c>
      <c r="I2759" s="194">
        <v>3921.75</v>
      </c>
      <c r="J2759" s="194">
        <v>0</v>
      </c>
      <c r="K2759" s="193">
        <f t="shared" si="606"/>
        <v>5096</v>
      </c>
      <c r="L2759" s="194">
        <v>1590</v>
      </c>
      <c r="M2759" s="194">
        <v>3471</v>
      </c>
      <c r="N2759" s="194">
        <v>0</v>
      </c>
      <c r="O2759" s="193">
        <f t="shared" si="607"/>
        <v>5061</v>
      </c>
      <c r="P2759" s="194">
        <v>504</v>
      </c>
      <c r="Q2759" s="194">
        <v>888</v>
      </c>
      <c r="R2759" s="194">
        <v>0</v>
      </c>
      <c r="S2759" s="193">
        <f t="shared" si="608"/>
        <v>1392</v>
      </c>
      <c r="T2759" s="193">
        <f t="shared" si="609"/>
        <v>384.96666666666664</v>
      </c>
      <c r="U2759" s="193">
        <f ca="1">OFFSET('Expenditure Study'!$B$7,'Operations Support'!$C2759,'Operations Support'!$B2759)*$G2759</f>
        <v>21943.1</v>
      </c>
      <c r="V2759" s="199">
        <f ca="1">U2759*'Expenditure Study'!$B$31</f>
        <v>1296468.14461248</v>
      </c>
      <c r="W2759" s="199">
        <f ca="1">IF(A2759=10298,1.51,1)*IF($B2759&lt;3,$D2759*'Expenditure Study'!$B$32*OFFSET('Expenditure Study'!$B$7,'Operations Support'!$C2759,'Operations Support'!$B2759),0)</f>
        <v>620.96750000000009</v>
      </c>
      <c r="X2759" s="200">
        <f ca="1">W2759*'Expenditure Study'!$B$31</f>
        <v>36688.735073424003</v>
      </c>
      <c r="Y2759" s="199">
        <f ca="1">U2759*'Expenditure Study'!$B$31</f>
        <v>1296468.14461248</v>
      </c>
      <c r="Z2759" s="200">
        <f ca="1">W2759*'Expenditure Study'!$B$31</f>
        <v>36688.735073424003</v>
      </c>
      <c r="AA2759" s="195">
        <f t="shared" ca="1" si="610"/>
        <v>1333156.8796859039</v>
      </c>
      <c r="AB2759" s="195">
        <f t="shared" ca="1" si="611"/>
        <v>1333156.8796859039</v>
      </c>
      <c r="AD2759" s="196">
        <f>IFERROR($G2759/SUMIF($A:$A,$A2759,$G:$G)*SUMIF(Summary!$A$166:$A$242,$A2759,Summary!$P$166:$P$242),0)</f>
        <v>310176.76354891749</v>
      </c>
      <c r="AE2759" s="197">
        <f t="shared" ca="1" si="612"/>
        <v>1022980.1161369864</v>
      </c>
      <c r="AF2759" s="196">
        <f>IFERROR(G2759/SUMIF(A:A,A2759,G:G)*SUMIF(Summary!$A$166:$A$242,'Operations Support'!A2759,Summary!$Q$166:$Q$242),0)</f>
        <v>310602.32655884791</v>
      </c>
      <c r="AG2759" s="196">
        <f t="shared" ca="1" si="613"/>
        <v>1022554.553127056</v>
      </c>
      <c r="AI2759" s="196">
        <f>IFERROR($G2759/SUMIF($A:$A,$A2759,$G:$G)*SUMIF(Summary!$A$247:$A$283,$A2759,Summary!$P$247:$P$283),0)</f>
        <v>56568.50129646992</v>
      </c>
      <c r="AJ2759" s="196">
        <f>IFERROR($G2759/SUMIF($A:$A,$A2759,$G:$G)*(SUMIF(Summary!$A$247:$A$283,$A2759,Summary!$L$247:$L$283)+SUMIF(Summary!$A$297:$A$333,$A2759,Summary!$L$297:$L$333))-AI2759,0)</f>
        <v>250474.96401331158</v>
      </c>
      <c r="AK2759" s="196">
        <f>IFERROR($G2759/SUMIF($A:$A,$A2759,$G:$G)*SUMIF(Summary!$A$247:$A$283,$A2759,Summary!$Q$247:$Q$283),0)</f>
        <v>56646.113369674706</v>
      </c>
      <c r="AL2759" s="196">
        <f>IFERROR($G2759/SUMIF($A:$A,$A2759,$G:$G)*(SUMIF(Summary!$A$247:$A$283,$A2759,Summary!$L$247:$L$283)+SUMIF(Summary!$A$297:$A$333,$A2759,Summary!$L$297:$L$333))-AK2759,0)</f>
        <v>250397.35194010678</v>
      </c>
      <c r="AM2759" s="198"/>
      <c r="AN2759" s="196">
        <f t="shared" ca="1" si="614"/>
        <v>1273455.0801502981</v>
      </c>
      <c r="AO2759" s="196">
        <f t="shared" ca="1" si="615"/>
        <v>1272951.9050671628</v>
      </c>
    </row>
    <row r="2760" spans="1:41">
      <c r="A2760" s="189">
        <v>10115</v>
      </c>
      <c r="B2760" s="190">
        <v>2</v>
      </c>
      <c r="C2760" s="191" t="s">
        <v>224</v>
      </c>
      <c r="D2760" s="192">
        <f t="shared" si="602"/>
        <v>0</v>
      </c>
      <c r="E2760" s="192">
        <f t="shared" si="603"/>
        <v>256</v>
      </c>
      <c r="F2760" s="192">
        <f t="shared" si="604"/>
        <v>0</v>
      </c>
      <c r="G2760" s="193">
        <f t="shared" si="605"/>
        <v>256</v>
      </c>
      <c r="H2760" s="194">
        <v>0</v>
      </c>
      <c r="I2760" s="194">
        <v>88</v>
      </c>
      <c r="J2760" s="194">
        <v>0</v>
      </c>
      <c r="K2760" s="193">
        <f t="shared" si="606"/>
        <v>88</v>
      </c>
      <c r="L2760" s="194">
        <v>0</v>
      </c>
      <c r="M2760" s="194">
        <v>168</v>
      </c>
      <c r="N2760" s="194">
        <v>0</v>
      </c>
      <c r="O2760" s="193">
        <f t="shared" si="607"/>
        <v>168</v>
      </c>
      <c r="P2760" s="194">
        <v>0</v>
      </c>
      <c r="Q2760" s="194">
        <v>0</v>
      </c>
      <c r="R2760" s="194">
        <v>0</v>
      </c>
      <c r="S2760" s="193">
        <f t="shared" si="608"/>
        <v>0</v>
      </c>
      <c r="T2760" s="193">
        <f t="shared" si="609"/>
        <v>8.5333333333333332</v>
      </c>
      <c r="U2760" s="193">
        <f ca="1">OFFSET('Expenditure Study'!$B$7,'Operations Support'!$C2760,'Operations Support'!$B2760)*$G2760</f>
        <v>581.12</v>
      </c>
      <c r="V2760" s="199">
        <f ca="1">U2760*'Expenditure Study'!$B$31</f>
        <v>34334.418026496001</v>
      </c>
      <c r="W2760" s="199">
        <f ca="1">IF(A2760=10298,1.51,1)*IF($B2760&lt;3,$D2760*'Expenditure Study'!$B$32*OFFSET('Expenditure Study'!$B$7,'Operations Support'!$C2760,'Operations Support'!$B2760),0)</f>
        <v>0</v>
      </c>
      <c r="X2760" s="200">
        <f ca="1">W2760*'Expenditure Study'!$B$31</f>
        <v>0</v>
      </c>
      <c r="Y2760" s="199">
        <f ca="1">U2760*'Expenditure Study'!$B$31</f>
        <v>34334.418026496001</v>
      </c>
      <c r="Z2760" s="200">
        <f ca="1">W2760*'Expenditure Study'!$B$31</f>
        <v>0</v>
      </c>
      <c r="AA2760" s="195">
        <f t="shared" ca="1" si="610"/>
        <v>34334.418026496001</v>
      </c>
      <c r="AB2760" s="195">
        <f t="shared" ca="1" si="611"/>
        <v>34334.418026496001</v>
      </c>
      <c r="AD2760" s="196">
        <f>IFERROR($G2760/SUMIF($A:$A,$A2760,$G:$G)*SUMIF(Summary!$A$166:$A$242,$A2760,Summary!$P$166:$P$242),0)</f>
        <v>6875.5088292079727</v>
      </c>
      <c r="AE2760" s="197">
        <f t="shared" ca="1" si="612"/>
        <v>27458.909197288027</v>
      </c>
      <c r="AF2760" s="196">
        <f>IFERROR(G2760/SUMIF(A:A,A2760,G:G)*SUMIF(Summary!$A$166:$A$242,'Operations Support'!A2760,Summary!$Q$166:$Q$242),0)</f>
        <v>6884.9420381907576</v>
      </c>
      <c r="AG2760" s="196">
        <f t="shared" ca="1" si="613"/>
        <v>27449.475988305243</v>
      </c>
      <c r="AI2760" s="196">
        <f>IFERROR($G2760/SUMIF($A:$A,$A2760,$G:$G)*SUMIF(Summary!$A$247:$A$283,$A2760,Summary!$P$247:$P$283),0)</f>
        <v>1253.9212340372587</v>
      </c>
      <c r="AJ2760" s="196">
        <f>IFERROR($G2760/SUMIF($A:$A,$A2760,$G:$G)*(SUMIF(Summary!$A$247:$A$283,$A2760,Summary!$L$247:$L$283)+SUMIF(Summary!$A$297:$A$333,$A2760,Summary!$L$297:$L$333))-AI2760,0)</f>
        <v>5552.1335862332462</v>
      </c>
      <c r="AK2760" s="196">
        <f>IFERROR($G2760/SUMIF($A:$A,$A2760,$G:$G)*SUMIF(Summary!$A$247:$A$283,$A2760,Summary!$Q$247:$Q$283),0)</f>
        <v>1255.6416159526127</v>
      </c>
      <c r="AL2760" s="196">
        <f>IFERROR($G2760/SUMIF($A:$A,$A2760,$G:$G)*(SUMIF(Summary!$A$247:$A$283,$A2760,Summary!$L$247:$L$283)+SUMIF(Summary!$A$297:$A$333,$A2760,Summary!$L$297:$L$333))-AK2760,0)</f>
        <v>5550.4132043178925</v>
      </c>
      <c r="AM2760" s="198"/>
      <c r="AN2760" s="196">
        <f t="shared" ca="1" si="614"/>
        <v>33011.042783521276</v>
      </c>
      <c r="AO2760" s="196">
        <f t="shared" ca="1" si="615"/>
        <v>32999.889192623137</v>
      </c>
    </row>
    <row r="2761" spans="1:41">
      <c r="A2761" s="189">
        <v>10115</v>
      </c>
      <c r="B2761" s="190">
        <v>2</v>
      </c>
      <c r="C2761" s="191" t="s">
        <v>225</v>
      </c>
      <c r="D2761" s="192">
        <f t="shared" si="602"/>
        <v>23063.34</v>
      </c>
      <c r="E2761" s="192">
        <f t="shared" si="603"/>
        <v>44507.66</v>
      </c>
      <c r="F2761" s="192">
        <f t="shared" si="604"/>
        <v>0</v>
      </c>
      <c r="G2761" s="193">
        <f t="shared" si="605"/>
        <v>67571</v>
      </c>
      <c r="H2761" s="194">
        <v>10868</v>
      </c>
      <c r="I2761" s="194">
        <v>20207</v>
      </c>
      <c r="J2761" s="194">
        <v>0</v>
      </c>
      <c r="K2761" s="193">
        <f t="shared" si="606"/>
        <v>31075</v>
      </c>
      <c r="L2761" s="194">
        <v>10632.34</v>
      </c>
      <c r="M2761" s="194">
        <v>19479.66</v>
      </c>
      <c r="N2761" s="194">
        <v>0</v>
      </c>
      <c r="O2761" s="193">
        <f t="shared" si="607"/>
        <v>30112</v>
      </c>
      <c r="P2761" s="194">
        <v>1563</v>
      </c>
      <c r="Q2761" s="194">
        <v>4821</v>
      </c>
      <c r="R2761" s="194">
        <v>0</v>
      </c>
      <c r="S2761" s="193">
        <f t="shared" si="608"/>
        <v>6384</v>
      </c>
      <c r="T2761" s="193">
        <f t="shared" si="609"/>
        <v>2252.3666666666668</v>
      </c>
      <c r="U2761" s="193">
        <f ca="1">OFFSET('Expenditure Study'!$B$7,'Operations Support'!$C2761,'Operations Support'!$B2761)*$G2761</f>
        <v>189198.8</v>
      </c>
      <c r="V2761" s="199">
        <f ca="1">U2761*'Expenditure Study'!$B$31</f>
        <v>11178466.907543039</v>
      </c>
      <c r="W2761" s="199">
        <f ca="1">IF(A2761=10298,1.51,1)*IF($B2761&lt;3,$D2761*'Expenditure Study'!$B$32*OFFSET('Expenditure Study'!$B$7,'Operations Support'!$C2761,'Operations Support'!$B2761),0)</f>
        <v>6457.7352000000001</v>
      </c>
      <c r="X2761" s="200">
        <f ca="1">W2761*'Expenditure Study'!$B$31</f>
        <v>381543.53638012416</v>
      </c>
      <c r="Y2761" s="199">
        <f ca="1">U2761*'Expenditure Study'!$B$31</f>
        <v>11178466.907543039</v>
      </c>
      <c r="Z2761" s="200">
        <f ca="1">W2761*'Expenditure Study'!$B$31</f>
        <v>381543.53638012416</v>
      </c>
      <c r="AA2761" s="195">
        <f t="shared" ca="1" si="610"/>
        <v>11560010.443923162</v>
      </c>
      <c r="AB2761" s="195">
        <f t="shared" ca="1" si="611"/>
        <v>11560010.443923162</v>
      </c>
      <c r="AD2761" s="196">
        <f>IFERROR($G2761/SUMIF($A:$A,$A2761,$G:$G)*SUMIF(Summary!$A$166:$A$242,$A2761,Summary!$P$166:$P$242),0)</f>
        <v>1814785.1839781716</v>
      </c>
      <c r="AE2761" s="197">
        <f t="shared" ca="1" si="612"/>
        <v>9745225.2599449903</v>
      </c>
      <c r="AF2761" s="196">
        <f>IFERROR(G2761/SUMIF(A:A,A2761,G:G)*SUMIF(Summary!$A$166:$A$242,'Operations Support'!A2761,Summary!$Q$166:$Q$242),0)</f>
        <v>1817275.0721194833</v>
      </c>
      <c r="AG2761" s="196">
        <f t="shared" ca="1" si="613"/>
        <v>9742735.3718036786</v>
      </c>
      <c r="AI2761" s="196">
        <f>IFERROR($G2761/SUMIF($A:$A,$A2761,$G:$G)*SUMIF(Summary!$A$247:$A$283,$A2761,Summary!$P$247:$P$283),0)</f>
        <v>330971.53009817033</v>
      </c>
      <c r="AJ2761" s="196">
        <f>IFERROR($G2761/SUMIF($A:$A,$A2761,$G:$G)*(SUMIF(Summary!$A$247:$A$283,$A2761,Summary!$L$247:$L$283)+SUMIF(Summary!$A$297:$A$333,$A2761,Summary!$L$297:$L$333))-AI2761,0)</f>
        <v>1465481.3224819012</v>
      </c>
      <c r="AK2761" s="196">
        <f>IFERROR($G2761/SUMIF($A:$A,$A2761,$G:$G)*SUMIF(Summary!$A$247:$A$283,$A2761,Summary!$Q$247:$Q$283),0)</f>
        <v>331425.62356067967</v>
      </c>
      <c r="AL2761" s="196">
        <f>IFERROR($G2761/SUMIF($A:$A,$A2761,$G:$G)*(SUMIF(Summary!$A$247:$A$283,$A2761,Summary!$L$247:$L$283)+SUMIF(Summary!$A$297:$A$333,$A2761,Summary!$L$297:$L$333))-AK2761,0)</f>
        <v>1465027.2290193918</v>
      </c>
      <c r="AM2761" s="198"/>
      <c r="AN2761" s="196">
        <f t="shared" ca="1" si="614"/>
        <v>11210706.582426891</v>
      </c>
      <c r="AO2761" s="196">
        <f t="shared" ca="1" si="615"/>
        <v>11207762.600823071</v>
      </c>
    </row>
    <row r="2762" spans="1:41">
      <c r="A2762" s="189">
        <v>10115</v>
      </c>
      <c r="B2762" s="190">
        <v>2</v>
      </c>
      <c r="C2762" s="191" t="s">
        <v>226</v>
      </c>
      <c r="D2762" s="192">
        <f t="shared" si="602"/>
        <v>0</v>
      </c>
      <c r="E2762" s="192">
        <f t="shared" si="603"/>
        <v>27</v>
      </c>
      <c r="F2762" s="192">
        <f t="shared" si="604"/>
        <v>0</v>
      </c>
      <c r="G2762" s="193">
        <f t="shared" si="605"/>
        <v>27</v>
      </c>
      <c r="H2762" s="194">
        <v>0</v>
      </c>
      <c r="I2762" s="194">
        <v>27</v>
      </c>
      <c r="J2762" s="194">
        <v>0</v>
      </c>
      <c r="K2762" s="193">
        <f t="shared" si="606"/>
        <v>27</v>
      </c>
      <c r="L2762" s="194">
        <v>0</v>
      </c>
      <c r="M2762" s="194">
        <v>0</v>
      </c>
      <c r="N2762" s="194">
        <v>0</v>
      </c>
      <c r="O2762" s="193">
        <f t="shared" si="607"/>
        <v>0</v>
      </c>
      <c r="P2762" s="194">
        <v>0</v>
      </c>
      <c r="Q2762" s="194">
        <v>0</v>
      </c>
      <c r="R2762" s="194">
        <v>0</v>
      </c>
      <c r="S2762" s="193">
        <f t="shared" si="608"/>
        <v>0</v>
      </c>
      <c r="T2762" s="193">
        <f t="shared" si="609"/>
        <v>0.9</v>
      </c>
      <c r="U2762" s="193">
        <f ca="1">OFFSET('Expenditure Study'!$B$7,'Operations Support'!$C2762,'Operations Support'!$B2762)*$G2762</f>
        <v>48.6</v>
      </c>
      <c r="V2762" s="199">
        <f ca="1">U2762*'Expenditure Study'!$B$31</f>
        <v>2871.4425868799999</v>
      </c>
      <c r="W2762" s="199">
        <f ca="1">IF(A2762=10298,1.51,1)*IF($B2762&lt;3,$D2762*'Expenditure Study'!$B$32*OFFSET('Expenditure Study'!$B$7,'Operations Support'!$C2762,'Operations Support'!$B2762),0)</f>
        <v>0</v>
      </c>
      <c r="X2762" s="200">
        <f ca="1">W2762*'Expenditure Study'!$B$31</f>
        <v>0</v>
      </c>
      <c r="Y2762" s="199">
        <f ca="1">U2762*'Expenditure Study'!$B$31</f>
        <v>2871.4425868799999</v>
      </c>
      <c r="Z2762" s="200">
        <f ca="1">W2762*'Expenditure Study'!$B$31</f>
        <v>0</v>
      </c>
      <c r="AA2762" s="195">
        <f t="shared" ca="1" si="610"/>
        <v>2871.4425868799999</v>
      </c>
      <c r="AB2762" s="195">
        <f t="shared" ca="1" si="611"/>
        <v>2871.4425868799999</v>
      </c>
      <c r="AD2762" s="196">
        <f>IFERROR($G2762/SUMIF($A:$A,$A2762,$G:$G)*SUMIF(Summary!$A$166:$A$242,$A2762,Summary!$P$166:$P$242),0)</f>
        <v>725.15132183052845</v>
      </c>
      <c r="AE2762" s="197">
        <f t="shared" ca="1" si="612"/>
        <v>2146.2912650494713</v>
      </c>
      <c r="AF2762" s="196">
        <f>IFERROR(G2762/SUMIF(A:A,A2762,G:G)*SUMIF(Summary!$A$166:$A$242,'Operations Support'!A2762,Summary!$Q$166:$Q$242),0)</f>
        <v>726.14623059043151</v>
      </c>
      <c r="AG2762" s="196">
        <f t="shared" ca="1" si="613"/>
        <v>2145.2963562895684</v>
      </c>
      <c r="AI2762" s="196">
        <f>IFERROR($G2762/SUMIF($A:$A,$A2762,$G:$G)*SUMIF(Summary!$A$247:$A$283,$A2762,Summary!$P$247:$P$283),0)</f>
        <v>132.24950515236713</v>
      </c>
      <c r="AJ2762" s="196">
        <f>IFERROR($G2762/SUMIF($A:$A,$A2762,$G:$G)*(SUMIF(Summary!$A$247:$A$283,$A2762,Summary!$L$247:$L$283)+SUMIF(Summary!$A$297:$A$333,$A2762,Summary!$L$297:$L$333))-AI2762,0)</f>
        <v>585.57658917303775</v>
      </c>
      <c r="AK2762" s="196">
        <f>IFERROR($G2762/SUMIF($A:$A,$A2762,$G:$G)*SUMIF(Summary!$A$247:$A$283,$A2762,Summary!$Q$247:$Q$283),0)</f>
        <v>132.43095168250213</v>
      </c>
      <c r="AL2762" s="196">
        <f>IFERROR($G2762/SUMIF($A:$A,$A2762,$G:$G)*(SUMIF(Summary!$A$247:$A$283,$A2762,Summary!$L$247:$L$283)+SUMIF(Summary!$A$297:$A$333,$A2762,Summary!$L$297:$L$333))-AK2762,0)</f>
        <v>585.39514264290267</v>
      </c>
      <c r="AM2762" s="198"/>
      <c r="AN2762" s="196">
        <f t="shared" ca="1" si="614"/>
        <v>2731.8678542225089</v>
      </c>
      <c r="AO2762" s="196">
        <f t="shared" ca="1" si="615"/>
        <v>2730.6914989324709</v>
      </c>
    </row>
    <row r="2763" spans="1:41">
      <c r="A2763" s="189">
        <v>10115</v>
      </c>
      <c r="B2763" s="190">
        <v>2</v>
      </c>
      <c r="C2763" s="191" t="s">
        <v>227</v>
      </c>
      <c r="D2763" s="192">
        <f t="shared" si="602"/>
        <v>0</v>
      </c>
      <c r="E2763" s="192">
        <f t="shared" si="603"/>
        <v>0</v>
      </c>
      <c r="F2763" s="192">
        <f t="shared" si="604"/>
        <v>0</v>
      </c>
      <c r="G2763" s="193">
        <f t="shared" si="605"/>
        <v>0</v>
      </c>
      <c r="H2763" s="194">
        <v>0</v>
      </c>
      <c r="I2763" s="194">
        <v>0</v>
      </c>
      <c r="J2763" s="194">
        <v>0</v>
      </c>
      <c r="K2763" s="193">
        <f t="shared" si="606"/>
        <v>0</v>
      </c>
      <c r="L2763" s="194">
        <v>0</v>
      </c>
      <c r="M2763" s="194">
        <v>0</v>
      </c>
      <c r="N2763" s="194">
        <v>0</v>
      </c>
      <c r="O2763" s="193">
        <f t="shared" si="607"/>
        <v>0</v>
      </c>
      <c r="P2763" s="194">
        <v>0</v>
      </c>
      <c r="Q2763" s="194">
        <v>0</v>
      </c>
      <c r="R2763" s="194">
        <v>0</v>
      </c>
      <c r="S2763" s="193">
        <f t="shared" si="608"/>
        <v>0</v>
      </c>
      <c r="T2763" s="193">
        <f t="shared" si="609"/>
        <v>0</v>
      </c>
      <c r="U2763" s="193">
        <f ca="1">OFFSET('Expenditure Study'!$B$7,'Operations Support'!$C2763,'Operations Support'!$B2763)*$G2763</f>
        <v>0</v>
      </c>
      <c r="V2763" s="199">
        <f ca="1">U2763*'Expenditure Study'!$B$31</f>
        <v>0</v>
      </c>
      <c r="W2763" s="199">
        <f ca="1">IF(A2763=10298,1.51,1)*IF($B2763&lt;3,$D2763*'Expenditure Study'!$B$32*OFFSET('Expenditure Study'!$B$7,'Operations Support'!$C2763,'Operations Support'!$B2763),0)</f>
        <v>0</v>
      </c>
      <c r="X2763" s="200">
        <f ca="1">W2763*'Expenditure Study'!$B$31</f>
        <v>0</v>
      </c>
      <c r="Y2763" s="199">
        <f ca="1">U2763*'Expenditure Study'!$B$31</f>
        <v>0</v>
      </c>
      <c r="Z2763" s="200">
        <f ca="1">W2763*'Expenditure Study'!$B$31</f>
        <v>0</v>
      </c>
      <c r="AA2763" s="195">
        <f t="shared" ca="1" si="610"/>
        <v>0</v>
      </c>
      <c r="AB2763" s="195">
        <f t="shared" ca="1" si="611"/>
        <v>0</v>
      </c>
      <c r="AD2763" s="196">
        <f>IFERROR($G2763/SUMIF($A:$A,$A2763,$G:$G)*SUMIF(Summary!$A$166:$A$242,$A2763,Summary!$P$166:$P$242),0)</f>
        <v>0</v>
      </c>
      <c r="AE2763" s="197">
        <f t="shared" ca="1" si="612"/>
        <v>0</v>
      </c>
      <c r="AF2763" s="196">
        <f>IFERROR(G2763/SUMIF(A:A,A2763,G:G)*SUMIF(Summary!$A$166:$A$242,'Operations Support'!A2763,Summary!$Q$166:$Q$242),0)</f>
        <v>0</v>
      </c>
      <c r="AG2763" s="196">
        <f t="shared" ca="1" si="613"/>
        <v>0</v>
      </c>
      <c r="AI2763" s="196">
        <f>IFERROR($G2763/SUMIF($A:$A,$A2763,$G:$G)*SUMIF(Summary!$A$247:$A$283,$A2763,Summary!$P$247:$P$283),0)</f>
        <v>0</v>
      </c>
      <c r="AJ2763" s="196">
        <f>IFERROR($G2763/SUMIF($A:$A,$A2763,$G:$G)*(SUMIF(Summary!$A$247:$A$283,$A2763,Summary!$L$247:$L$283)+SUMIF(Summary!$A$297:$A$333,$A2763,Summary!$L$297:$L$333))-AI2763,0)</f>
        <v>0</v>
      </c>
      <c r="AK2763" s="196">
        <f>IFERROR($G2763/SUMIF($A:$A,$A2763,$G:$G)*SUMIF(Summary!$A$247:$A$283,$A2763,Summary!$Q$247:$Q$283),0)</f>
        <v>0</v>
      </c>
      <c r="AL2763" s="196">
        <f>IFERROR($G2763/SUMIF($A:$A,$A2763,$G:$G)*(SUMIF(Summary!$A$247:$A$283,$A2763,Summary!$L$247:$L$283)+SUMIF(Summary!$A$297:$A$333,$A2763,Summary!$L$297:$L$333))-AK2763,0)</f>
        <v>0</v>
      </c>
      <c r="AM2763" s="198"/>
      <c r="AN2763" s="196">
        <f t="shared" ca="1" si="614"/>
        <v>0</v>
      </c>
      <c r="AO2763" s="196">
        <f t="shared" ca="1" si="615"/>
        <v>0</v>
      </c>
    </row>
    <row r="2764" spans="1:41">
      <c r="A2764" s="189">
        <v>10115</v>
      </c>
      <c r="B2764" s="190">
        <v>2</v>
      </c>
      <c r="C2764" s="191" t="s">
        <v>228</v>
      </c>
      <c r="D2764" s="192">
        <f t="shared" si="602"/>
        <v>0</v>
      </c>
      <c r="E2764" s="192">
        <f t="shared" si="603"/>
        <v>0</v>
      </c>
      <c r="F2764" s="192">
        <f t="shared" si="604"/>
        <v>0</v>
      </c>
      <c r="G2764" s="193">
        <f t="shared" si="605"/>
        <v>0</v>
      </c>
      <c r="H2764" s="194">
        <v>0</v>
      </c>
      <c r="I2764" s="194">
        <v>0</v>
      </c>
      <c r="J2764" s="194">
        <v>0</v>
      </c>
      <c r="K2764" s="193">
        <f t="shared" si="606"/>
        <v>0</v>
      </c>
      <c r="L2764" s="194">
        <v>0</v>
      </c>
      <c r="M2764" s="194">
        <v>0</v>
      </c>
      <c r="N2764" s="194">
        <v>0</v>
      </c>
      <c r="O2764" s="193">
        <f t="shared" si="607"/>
        <v>0</v>
      </c>
      <c r="P2764" s="194">
        <v>0</v>
      </c>
      <c r="Q2764" s="194">
        <v>0</v>
      </c>
      <c r="R2764" s="194">
        <v>0</v>
      </c>
      <c r="S2764" s="193">
        <f t="shared" si="608"/>
        <v>0</v>
      </c>
      <c r="T2764" s="193">
        <f t="shared" si="609"/>
        <v>0</v>
      </c>
      <c r="U2764" s="193">
        <f ca="1">OFFSET('Expenditure Study'!$B$7,'Operations Support'!$C2764,'Operations Support'!$B2764)*$G2764</f>
        <v>0</v>
      </c>
      <c r="V2764" s="199">
        <f ca="1">U2764*'Expenditure Study'!$B$31</f>
        <v>0</v>
      </c>
      <c r="W2764" s="199">
        <f ca="1">IF(A2764=10298,1.51,1)*IF($B2764&lt;3,$D2764*'Expenditure Study'!$B$32*OFFSET('Expenditure Study'!$B$7,'Operations Support'!$C2764,'Operations Support'!$B2764),0)</f>
        <v>0</v>
      </c>
      <c r="X2764" s="200">
        <f ca="1">W2764*'Expenditure Study'!$B$31</f>
        <v>0</v>
      </c>
      <c r="Y2764" s="199">
        <f ca="1">U2764*'Expenditure Study'!$B$31</f>
        <v>0</v>
      </c>
      <c r="Z2764" s="200">
        <f ca="1">W2764*'Expenditure Study'!$B$31</f>
        <v>0</v>
      </c>
      <c r="AA2764" s="195">
        <f t="shared" ca="1" si="610"/>
        <v>0</v>
      </c>
      <c r="AB2764" s="195">
        <f t="shared" ca="1" si="611"/>
        <v>0</v>
      </c>
      <c r="AD2764" s="196">
        <f>IFERROR($G2764/SUMIF($A:$A,$A2764,$G:$G)*SUMIF(Summary!$A$166:$A$242,$A2764,Summary!$P$166:$P$242),0)</f>
        <v>0</v>
      </c>
      <c r="AE2764" s="197">
        <f t="shared" ca="1" si="612"/>
        <v>0</v>
      </c>
      <c r="AF2764" s="196">
        <f>IFERROR(G2764/SUMIF(A:A,A2764,G:G)*SUMIF(Summary!$A$166:$A$242,'Operations Support'!A2764,Summary!$Q$166:$Q$242),0)</f>
        <v>0</v>
      </c>
      <c r="AG2764" s="196">
        <f t="shared" ca="1" si="613"/>
        <v>0</v>
      </c>
      <c r="AI2764" s="196">
        <f>IFERROR($G2764/SUMIF($A:$A,$A2764,$G:$G)*SUMIF(Summary!$A$247:$A$283,$A2764,Summary!$P$247:$P$283),0)</f>
        <v>0</v>
      </c>
      <c r="AJ2764" s="196">
        <f>IFERROR($G2764/SUMIF($A:$A,$A2764,$G:$G)*(SUMIF(Summary!$A$247:$A$283,$A2764,Summary!$L$247:$L$283)+SUMIF(Summary!$A$297:$A$333,$A2764,Summary!$L$297:$L$333))-AI2764,0)</f>
        <v>0</v>
      </c>
      <c r="AK2764" s="196">
        <f>IFERROR($G2764/SUMIF($A:$A,$A2764,$G:$G)*SUMIF(Summary!$A$247:$A$283,$A2764,Summary!$Q$247:$Q$283),0)</f>
        <v>0</v>
      </c>
      <c r="AL2764" s="196">
        <f>IFERROR($G2764/SUMIF($A:$A,$A2764,$G:$G)*(SUMIF(Summary!$A$247:$A$283,$A2764,Summary!$L$247:$L$283)+SUMIF(Summary!$A$297:$A$333,$A2764,Summary!$L$297:$L$333))-AK2764,0)</f>
        <v>0</v>
      </c>
      <c r="AM2764" s="198"/>
      <c r="AN2764" s="196">
        <f t="shared" ca="1" si="614"/>
        <v>0</v>
      </c>
      <c r="AO2764" s="196">
        <f t="shared" ca="1" si="615"/>
        <v>0</v>
      </c>
    </row>
    <row r="2765" spans="1:41">
      <c r="A2765" s="189">
        <v>10115</v>
      </c>
      <c r="B2765" s="190">
        <v>2</v>
      </c>
      <c r="C2765" s="191" t="s">
        <v>229</v>
      </c>
      <c r="D2765" s="192">
        <f t="shared" si="602"/>
        <v>0</v>
      </c>
      <c r="E2765" s="192">
        <f t="shared" si="603"/>
        <v>102</v>
      </c>
      <c r="F2765" s="192">
        <f t="shared" si="604"/>
        <v>0</v>
      </c>
      <c r="G2765" s="193">
        <f t="shared" si="605"/>
        <v>102</v>
      </c>
      <c r="H2765" s="194">
        <v>0</v>
      </c>
      <c r="I2765" s="194">
        <v>3</v>
      </c>
      <c r="J2765" s="194">
        <v>0</v>
      </c>
      <c r="K2765" s="193">
        <f t="shared" si="606"/>
        <v>3</v>
      </c>
      <c r="L2765" s="194">
        <v>0</v>
      </c>
      <c r="M2765" s="194">
        <v>99</v>
      </c>
      <c r="N2765" s="194">
        <v>0</v>
      </c>
      <c r="O2765" s="193">
        <f t="shared" si="607"/>
        <v>99</v>
      </c>
      <c r="P2765" s="194">
        <v>0</v>
      </c>
      <c r="Q2765" s="194">
        <v>0</v>
      </c>
      <c r="R2765" s="194">
        <v>0</v>
      </c>
      <c r="S2765" s="193">
        <f t="shared" si="608"/>
        <v>0</v>
      </c>
      <c r="T2765" s="193">
        <f t="shared" si="609"/>
        <v>3.4</v>
      </c>
      <c r="U2765" s="193">
        <f ca="1">OFFSET('Expenditure Study'!$B$7,'Operations Support'!$C2765,'Operations Support'!$B2765)*$G2765</f>
        <v>195.84</v>
      </c>
      <c r="V2765" s="199">
        <f ca="1">U2765*'Expenditure Study'!$B$31</f>
        <v>11570.850127872</v>
      </c>
      <c r="W2765" s="199">
        <f ca="1">IF(A2765=10298,1.51,1)*IF($B2765&lt;3,$D2765*'Expenditure Study'!$B$32*OFFSET('Expenditure Study'!$B$7,'Operations Support'!$C2765,'Operations Support'!$B2765),0)</f>
        <v>0</v>
      </c>
      <c r="X2765" s="200">
        <f ca="1">W2765*'Expenditure Study'!$B$31</f>
        <v>0</v>
      </c>
      <c r="Y2765" s="199">
        <f ca="1">U2765*'Expenditure Study'!$B$31</f>
        <v>11570.850127872</v>
      </c>
      <c r="Z2765" s="200">
        <f ca="1">W2765*'Expenditure Study'!$B$31</f>
        <v>0</v>
      </c>
      <c r="AA2765" s="195">
        <f t="shared" ca="1" si="610"/>
        <v>11570.850127872</v>
      </c>
      <c r="AB2765" s="195">
        <f t="shared" ca="1" si="611"/>
        <v>11570.850127872</v>
      </c>
      <c r="AD2765" s="196">
        <f>IFERROR($G2765/SUMIF($A:$A,$A2765,$G:$G)*SUMIF(Summary!$A$166:$A$242,$A2765,Summary!$P$166:$P$242),0)</f>
        <v>2739.4605491375514</v>
      </c>
      <c r="AE2765" s="197">
        <f t="shared" ca="1" si="612"/>
        <v>8831.3895787344482</v>
      </c>
      <c r="AF2765" s="196">
        <f>IFERROR(G2765/SUMIF(A:A,A2765,G:G)*SUMIF(Summary!$A$166:$A$242,'Operations Support'!A2765,Summary!$Q$166:$Q$242),0)</f>
        <v>2743.21909334163</v>
      </c>
      <c r="AG2765" s="196">
        <f t="shared" ca="1" si="613"/>
        <v>8827.63103453037</v>
      </c>
      <c r="AI2765" s="196">
        <f>IFERROR($G2765/SUMIF($A:$A,$A2765,$G:$G)*SUMIF(Summary!$A$247:$A$283,$A2765,Summary!$P$247:$P$283),0)</f>
        <v>499.60924168672022</v>
      </c>
      <c r="AJ2765" s="196">
        <f>IFERROR($G2765/SUMIF($A:$A,$A2765,$G:$G)*(SUMIF(Summary!$A$247:$A$283,$A2765,Summary!$L$247:$L$283)+SUMIF(Summary!$A$297:$A$333,$A2765,Summary!$L$297:$L$333))-AI2765,0)</f>
        <v>2212.1782257648092</v>
      </c>
      <c r="AK2765" s="196">
        <f>IFERROR($G2765/SUMIF($A:$A,$A2765,$G:$G)*SUMIF(Summary!$A$247:$A$283,$A2765,Summary!$Q$247:$Q$283),0)</f>
        <v>500.29470635611915</v>
      </c>
      <c r="AL2765" s="196">
        <f>IFERROR($G2765/SUMIF($A:$A,$A2765,$G:$G)*(SUMIF(Summary!$A$247:$A$283,$A2765,Summary!$L$247:$L$283)+SUMIF(Summary!$A$297:$A$333,$A2765,Summary!$L$297:$L$333))-AK2765,0)</f>
        <v>2211.4927610954101</v>
      </c>
      <c r="AM2765" s="198"/>
      <c r="AN2765" s="196">
        <f t="shared" ca="1" si="614"/>
        <v>11043.567804499256</v>
      </c>
      <c r="AO2765" s="196">
        <f t="shared" ca="1" si="615"/>
        <v>11039.123795625779</v>
      </c>
    </row>
    <row r="2766" spans="1:41">
      <c r="A2766" s="189">
        <v>10115</v>
      </c>
      <c r="B2766" s="190">
        <v>2</v>
      </c>
      <c r="C2766" s="191" t="s">
        <v>230</v>
      </c>
      <c r="D2766" s="192">
        <f t="shared" si="602"/>
        <v>0</v>
      </c>
      <c r="E2766" s="192">
        <f t="shared" si="603"/>
        <v>0</v>
      </c>
      <c r="F2766" s="192">
        <f t="shared" si="604"/>
        <v>0</v>
      </c>
      <c r="G2766" s="193">
        <f t="shared" si="605"/>
        <v>0</v>
      </c>
      <c r="H2766" s="194">
        <v>0</v>
      </c>
      <c r="I2766" s="194">
        <v>0</v>
      </c>
      <c r="J2766" s="194">
        <v>0</v>
      </c>
      <c r="K2766" s="193">
        <f t="shared" si="606"/>
        <v>0</v>
      </c>
      <c r="L2766" s="194">
        <v>0</v>
      </c>
      <c r="M2766" s="194">
        <v>0</v>
      </c>
      <c r="N2766" s="194">
        <v>0</v>
      </c>
      <c r="O2766" s="193">
        <f t="shared" si="607"/>
        <v>0</v>
      </c>
      <c r="P2766" s="194">
        <v>0</v>
      </c>
      <c r="Q2766" s="194">
        <v>0</v>
      </c>
      <c r="R2766" s="194">
        <v>0</v>
      </c>
      <c r="S2766" s="193">
        <f t="shared" si="608"/>
        <v>0</v>
      </c>
      <c r="T2766" s="193">
        <f t="shared" si="609"/>
        <v>0</v>
      </c>
      <c r="U2766" s="193">
        <f ca="1">OFFSET('Expenditure Study'!$B$7,'Operations Support'!$C2766,'Operations Support'!$B2766)*$G2766</f>
        <v>0</v>
      </c>
      <c r="V2766" s="199">
        <f ca="1">U2766*'Expenditure Study'!$B$31</f>
        <v>0</v>
      </c>
      <c r="W2766" s="199">
        <f ca="1">IF(A2766=10298,1.51,1)*IF($B2766&lt;3,$D2766*'Expenditure Study'!$B$32*OFFSET('Expenditure Study'!$B$7,'Operations Support'!$C2766,'Operations Support'!$B2766),0)</f>
        <v>0</v>
      </c>
      <c r="X2766" s="200">
        <f ca="1">W2766*'Expenditure Study'!$B$31</f>
        <v>0</v>
      </c>
      <c r="Y2766" s="199">
        <f ca="1">U2766*'Expenditure Study'!$B$31</f>
        <v>0</v>
      </c>
      <c r="Z2766" s="200">
        <f ca="1">W2766*'Expenditure Study'!$B$31</f>
        <v>0</v>
      </c>
      <c r="AA2766" s="195">
        <f t="shared" ca="1" si="610"/>
        <v>0</v>
      </c>
      <c r="AB2766" s="195">
        <f t="shared" ca="1" si="611"/>
        <v>0</v>
      </c>
      <c r="AD2766" s="196">
        <f>IFERROR($G2766/SUMIF($A:$A,$A2766,$G:$G)*SUMIF(Summary!$A$166:$A$242,$A2766,Summary!$P$166:$P$242),0)</f>
        <v>0</v>
      </c>
      <c r="AE2766" s="197">
        <f t="shared" ca="1" si="612"/>
        <v>0</v>
      </c>
      <c r="AF2766" s="196">
        <f>IFERROR(G2766/SUMIF(A:A,A2766,G:G)*SUMIF(Summary!$A$166:$A$242,'Operations Support'!A2766,Summary!$Q$166:$Q$242),0)</f>
        <v>0</v>
      </c>
      <c r="AG2766" s="196">
        <f t="shared" ca="1" si="613"/>
        <v>0</v>
      </c>
      <c r="AI2766" s="196">
        <f>IFERROR($G2766/SUMIF($A:$A,$A2766,$G:$G)*SUMIF(Summary!$A$247:$A$283,$A2766,Summary!$P$247:$P$283),0)</f>
        <v>0</v>
      </c>
      <c r="AJ2766" s="196">
        <f>IFERROR($G2766/SUMIF($A:$A,$A2766,$G:$G)*(SUMIF(Summary!$A$247:$A$283,$A2766,Summary!$L$247:$L$283)+SUMIF(Summary!$A$297:$A$333,$A2766,Summary!$L$297:$L$333))-AI2766,0)</f>
        <v>0</v>
      </c>
      <c r="AK2766" s="196">
        <f>IFERROR($G2766/SUMIF($A:$A,$A2766,$G:$G)*SUMIF(Summary!$A$247:$A$283,$A2766,Summary!$Q$247:$Q$283),0)</f>
        <v>0</v>
      </c>
      <c r="AL2766" s="196">
        <f>IFERROR($G2766/SUMIF($A:$A,$A2766,$G:$G)*(SUMIF(Summary!$A$247:$A$283,$A2766,Summary!$L$247:$L$283)+SUMIF(Summary!$A$297:$A$333,$A2766,Summary!$L$297:$L$333))-AK2766,0)</f>
        <v>0</v>
      </c>
      <c r="AM2766" s="198"/>
      <c r="AN2766" s="196">
        <f t="shared" ca="1" si="614"/>
        <v>0</v>
      </c>
      <c r="AO2766" s="196">
        <f t="shared" ca="1" si="615"/>
        <v>0</v>
      </c>
    </row>
    <row r="2767" spans="1:41">
      <c r="A2767" s="189">
        <v>10115</v>
      </c>
      <c r="B2767" s="190">
        <v>2</v>
      </c>
      <c r="C2767" s="191" t="s">
        <v>231</v>
      </c>
      <c r="D2767" s="192">
        <f t="shared" si="602"/>
        <v>0</v>
      </c>
      <c r="E2767" s="192">
        <f t="shared" si="603"/>
        <v>0</v>
      </c>
      <c r="F2767" s="192">
        <f t="shared" si="604"/>
        <v>0</v>
      </c>
      <c r="G2767" s="193">
        <f t="shared" si="605"/>
        <v>0</v>
      </c>
      <c r="H2767" s="194">
        <v>0</v>
      </c>
      <c r="I2767" s="194">
        <v>0</v>
      </c>
      <c r="J2767" s="194">
        <v>0</v>
      </c>
      <c r="K2767" s="193">
        <f t="shared" si="606"/>
        <v>0</v>
      </c>
      <c r="L2767" s="194">
        <v>0</v>
      </c>
      <c r="M2767" s="194">
        <v>0</v>
      </c>
      <c r="N2767" s="194">
        <v>0</v>
      </c>
      <c r="O2767" s="193">
        <f t="shared" si="607"/>
        <v>0</v>
      </c>
      <c r="P2767" s="194">
        <v>0</v>
      </c>
      <c r="Q2767" s="194">
        <v>0</v>
      </c>
      <c r="R2767" s="194">
        <v>0</v>
      </c>
      <c r="S2767" s="193">
        <f t="shared" si="608"/>
        <v>0</v>
      </c>
      <c r="T2767" s="193">
        <f t="shared" si="609"/>
        <v>0</v>
      </c>
      <c r="U2767" s="193">
        <f ca="1">OFFSET('Expenditure Study'!$B$7,'Operations Support'!$C2767,'Operations Support'!$B2767)*$G2767</f>
        <v>0</v>
      </c>
      <c r="V2767" s="199">
        <f ca="1">U2767*'Expenditure Study'!$B$31</f>
        <v>0</v>
      </c>
      <c r="W2767" s="199">
        <f ca="1">IF(A2767=10298,1.51,1)*IF($B2767&lt;3,$D2767*'Expenditure Study'!$B$32*OFFSET('Expenditure Study'!$B$7,'Operations Support'!$C2767,'Operations Support'!$B2767),0)</f>
        <v>0</v>
      </c>
      <c r="X2767" s="200">
        <f ca="1">W2767*'Expenditure Study'!$B$31</f>
        <v>0</v>
      </c>
      <c r="Y2767" s="199">
        <f ca="1">U2767*'Expenditure Study'!$B$31</f>
        <v>0</v>
      </c>
      <c r="Z2767" s="200">
        <f ca="1">W2767*'Expenditure Study'!$B$31</f>
        <v>0</v>
      </c>
      <c r="AA2767" s="195">
        <f t="shared" ca="1" si="610"/>
        <v>0</v>
      </c>
      <c r="AB2767" s="195">
        <f t="shared" ca="1" si="611"/>
        <v>0</v>
      </c>
      <c r="AD2767" s="196">
        <f>IFERROR($G2767/SUMIF($A:$A,$A2767,$G:$G)*SUMIF(Summary!$A$166:$A$242,$A2767,Summary!$P$166:$P$242),0)</f>
        <v>0</v>
      </c>
      <c r="AE2767" s="197">
        <f t="shared" ca="1" si="612"/>
        <v>0</v>
      </c>
      <c r="AF2767" s="196">
        <f>IFERROR(G2767/SUMIF(A:A,A2767,G:G)*SUMIF(Summary!$A$166:$A$242,'Operations Support'!A2767,Summary!$Q$166:$Q$242),0)</f>
        <v>0</v>
      </c>
      <c r="AG2767" s="196">
        <f t="shared" ca="1" si="613"/>
        <v>0</v>
      </c>
      <c r="AI2767" s="196">
        <f>IFERROR($G2767/SUMIF($A:$A,$A2767,$G:$G)*SUMIF(Summary!$A$247:$A$283,$A2767,Summary!$P$247:$P$283),0)</f>
        <v>0</v>
      </c>
      <c r="AJ2767" s="196">
        <f>IFERROR($G2767/SUMIF($A:$A,$A2767,$G:$G)*(SUMIF(Summary!$A$247:$A$283,$A2767,Summary!$L$247:$L$283)+SUMIF(Summary!$A$297:$A$333,$A2767,Summary!$L$297:$L$333))-AI2767,0)</f>
        <v>0</v>
      </c>
      <c r="AK2767" s="196">
        <f>IFERROR($G2767/SUMIF($A:$A,$A2767,$G:$G)*SUMIF(Summary!$A$247:$A$283,$A2767,Summary!$Q$247:$Q$283),0)</f>
        <v>0</v>
      </c>
      <c r="AL2767" s="196">
        <f>IFERROR($G2767/SUMIF($A:$A,$A2767,$G:$G)*(SUMIF(Summary!$A$247:$A$283,$A2767,Summary!$L$247:$L$283)+SUMIF(Summary!$A$297:$A$333,$A2767,Summary!$L$297:$L$333))-AK2767,0)</f>
        <v>0</v>
      </c>
      <c r="AM2767" s="198"/>
      <c r="AN2767" s="196">
        <f t="shared" ca="1" si="614"/>
        <v>0</v>
      </c>
      <c r="AO2767" s="196">
        <f t="shared" ca="1" si="615"/>
        <v>0</v>
      </c>
    </row>
    <row r="2768" spans="1:41">
      <c r="A2768" s="189">
        <v>10115</v>
      </c>
      <c r="B2768" s="190">
        <v>2</v>
      </c>
      <c r="C2768" s="191" t="s">
        <v>232</v>
      </c>
      <c r="D2768" s="192">
        <f t="shared" si="602"/>
        <v>0</v>
      </c>
      <c r="E2768" s="192">
        <f t="shared" si="603"/>
        <v>0</v>
      </c>
      <c r="F2768" s="192">
        <f t="shared" si="604"/>
        <v>0</v>
      </c>
      <c r="G2768" s="193">
        <f t="shared" si="605"/>
        <v>0</v>
      </c>
      <c r="H2768" s="194">
        <v>0</v>
      </c>
      <c r="I2768" s="194">
        <v>0</v>
      </c>
      <c r="J2768" s="194">
        <v>0</v>
      </c>
      <c r="K2768" s="193">
        <f t="shared" si="606"/>
        <v>0</v>
      </c>
      <c r="L2768" s="194">
        <v>0</v>
      </c>
      <c r="M2768" s="194">
        <v>0</v>
      </c>
      <c r="N2768" s="194">
        <v>0</v>
      </c>
      <c r="O2768" s="193">
        <f t="shared" si="607"/>
        <v>0</v>
      </c>
      <c r="P2768" s="194">
        <v>0</v>
      </c>
      <c r="Q2768" s="194">
        <v>0</v>
      </c>
      <c r="R2768" s="194">
        <v>0</v>
      </c>
      <c r="S2768" s="193">
        <f t="shared" si="608"/>
        <v>0</v>
      </c>
      <c r="T2768" s="193">
        <f t="shared" si="609"/>
        <v>0</v>
      </c>
      <c r="U2768" s="193">
        <f ca="1">OFFSET('Expenditure Study'!$B$7,'Operations Support'!$C2768,'Operations Support'!$B2768)*$G2768</f>
        <v>0</v>
      </c>
      <c r="V2768" s="199">
        <f ca="1">U2768*'Expenditure Study'!$B$31</f>
        <v>0</v>
      </c>
      <c r="W2768" s="199">
        <f ca="1">IF(A2768=10298,1.51,1)*IF($B2768&lt;3,$D2768*'Expenditure Study'!$B$32*OFFSET('Expenditure Study'!$B$7,'Operations Support'!$C2768,'Operations Support'!$B2768),0)</f>
        <v>0</v>
      </c>
      <c r="X2768" s="200">
        <f ca="1">W2768*'Expenditure Study'!$B$31</f>
        <v>0</v>
      </c>
      <c r="Y2768" s="199">
        <f ca="1">U2768*'Expenditure Study'!$B$31</f>
        <v>0</v>
      </c>
      <c r="Z2768" s="200">
        <f ca="1">W2768*'Expenditure Study'!$B$31</f>
        <v>0</v>
      </c>
      <c r="AA2768" s="195">
        <f t="shared" ca="1" si="610"/>
        <v>0</v>
      </c>
      <c r="AB2768" s="195">
        <f t="shared" ca="1" si="611"/>
        <v>0</v>
      </c>
      <c r="AD2768" s="196">
        <f>IFERROR($G2768/SUMIF($A:$A,$A2768,$G:$G)*SUMIF(Summary!$A$166:$A$242,$A2768,Summary!$P$166:$P$242),0)</f>
        <v>0</v>
      </c>
      <c r="AE2768" s="197">
        <f t="shared" ca="1" si="612"/>
        <v>0</v>
      </c>
      <c r="AF2768" s="196">
        <f>IFERROR(G2768/SUMIF(A:A,A2768,G:G)*SUMIF(Summary!$A$166:$A$242,'Operations Support'!A2768,Summary!$Q$166:$Q$242),0)</f>
        <v>0</v>
      </c>
      <c r="AG2768" s="196">
        <f t="shared" ca="1" si="613"/>
        <v>0</v>
      </c>
      <c r="AI2768" s="196">
        <f>IFERROR($G2768/SUMIF($A:$A,$A2768,$G:$G)*SUMIF(Summary!$A$247:$A$283,$A2768,Summary!$P$247:$P$283),0)</f>
        <v>0</v>
      </c>
      <c r="AJ2768" s="196">
        <f>IFERROR($G2768/SUMIF($A:$A,$A2768,$G:$G)*(SUMIF(Summary!$A$247:$A$283,$A2768,Summary!$L$247:$L$283)+SUMIF(Summary!$A$297:$A$333,$A2768,Summary!$L$297:$L$333))-AI2768,0)</f>
        <v>0</v>
      </c>
      <c r="AK2768" s="196">
        <f>IFERROR($G2768/SUMIF($A:$A,$A2768,$G:$G)*SUMIF(Summary!$A$247:$A$283,$A2768,Summary!$Q$247:$Q$283),0)</f>
        <v>0</v>
      </c>
      <c r="AL2768" s="196">
        <f>IFERROR($G2768/SUMIF($A:$A,$A2768,$G:$G)*(SUMIF(Summary!$A$247:$A$283,$A2768,Summary!$L$247:$L$283)+SUMIF(Summary!$A$297:$A$333,$A2768,Summary!$L$297:$L$333))-AK2768,0)</f>
        <v>0</v>
      </c>
      <c r="AM2768" s="198"/>
      <c r="AN2768" s="196">
        <f t="shared" ca="1" si="614"/>
        <v>0</v>
      </c>
      <c r="AO2768" s="196">
        <f t="shared" ca="1" si="615"/>
        <v>0</v>
      </c>
    </row>
    <row r="2769" spans="1:41">
      <c r="A2769" s="189">
        <v>10115</v>
      </c>
      <c r="B2769" s="190">
        <v>2</v>
      </c>
      <c r="C2769" s="191" t="s">
        <v>233</v>
      </c>
      <c r="D2769" s="192">
        <f t="shared" si="602"/>
        <v>408</v>
      </c>
      <c r="E2769" s="192">
        <f t="shared" si="603"/>
        <v>2312</v>
      </c>
      <c r="F2769" s="192">
        <f t="shared" si="604"/>
        <v>0</v>
      </c>
      <c r="G2769" s="193">
        <f t="shared" si="605"/>
        <v>2720</v>
      </c>
      <c r="H2769" s="194">
        <v>351</v>
      </c>
      <c r="I2769" s="194">
        <v>729</v>
      </c>
      <c r="J2769" s="194">
        <v>0</v>
      </c>
      <c r="K2769" s="193">
        <f t="shared" si="606"/>
        <v>1080</v>
      </c>
      <c r="L2769" s="194">
        <v>57</v>
      </c>
      <c r="M2769" s="194">
        <v>893</v>
      </c>
      <c r="N2769" s="194">
        <v>0</v>
      </c>
      <c r="O2769" s="193">
        <f t="shared" si="607"/>
        <v>950</v>
      </c>
      <c r="P2769" s="194">
        <v>0</v>
      </c>
      <c r="Q2769" s="194">
        <v>690</v>
      </c>
      <c r="R2769" s="194">
        <v>0</v>
      </c>
      <c r="S2769" s="193">
        <f t="shared" si="608"/>
        <v>690</v>
      </c>
      <c r="T2769" s="193">
        <f t="shared" si="609"/>
        <v>90.666666666666671</v>
      </c>
      <c r="U2769" s="193">
        <f ca="1">OFFSET('Expenditure Study'!$B$7,'Operations Support'!$C2769,'Operations Support'!$B2769)*$G2769</f>
        <v>4379.2</v>
      </c>
      <c r="V2769" s="199">
        <f ca="1">U2769*'Expenditure Study'!$B$31</f>
        <v>258737.06535935999</v>
      </c>
      <c r="W2769" s="199">
        <f ca="1">IF(A2769=10298,1.51,1)*IF($B2769&lt;3,$D2769*'Expenditure Study'!$B$32*OFFSET('Expenditure Study'!$B$7,'Operations Support'!$C2769,'Operations Support'!$B2769),0)</f>
        <v>65.688000000000017</v>
      </c>
      <c r="X2769" s="200">
        <f ca="1">W2769*'Expenditure Study'!$B$31</f>
        <v>3881.0559803904011</v>
      </c>
      <c r="Y2769" s="199">
        <f ca="1">U2769*'Expenditure Study'!$B$31</f>
        <v>258737.06535935999</v>
      </c>
      <c r="Z2769" s="200">
        <f ca="1">W2769*'Expenditure Study'!$B$31</f>
        <v>3881.0559803904011</v>
      </c>
      <c r="AA2769" s="195">
        <f t="shared" ca="1" si="610"/>
        <v>262618.12133975036</v>
      </c>
      <c r="AB2769" s="195">
        <f t="shared" ca="1" si="611"/>
        <v>262618.12133975036</v>
      </c>
      <c r="AD2769" s="196">
        <f>IFERROR($G2769/SUMIF($A:$A,$A2769,$G:$G)*SUMIF(Summary!$A$166:$A$242,$A2769,Summary!$P$166:$P$242),0)</f>
        <v>73052.2813103347</v>
      </c>
      <c r="AE2769" s="197">
        <f t="shared" ca="1" si="612"/>
        <v>189565.84002941567</v>
      </c>
      <c r="AF2769" s="196">
        <f>IFERROR(G2769/SUMIF(A:A,A2769,G:G)*SUMIF(Summary!$A$166:$A$242,'Operations Support'!A2769,Summary!$Q$166:$Q$242),0)</f>
        <v>73152.509155776803</v>
      </c>
      <c r="AG2769" s="196">
        <f t="shared" ca="1" si="613"/>
        <v>189465.61218397354</v>
      </c>
      <c r="AI2769" s="196">
        <f>IFERROR($G2769/SUMIF($A:$A,$A2769,$G:$G)*SUMIF(Summary!$A$247:$A$283,$A2769,Summary!$P$247:$P$283),0)</f>
        <v>13322.913111645872</v>
      </c>
      <c r="AJ2769" s="196">
        <f>IFERROR($G2769/SUMIF($A:$A,$A2769,$G:$G)*(SUMIF(Summary!$A$247:$A$283,$A2769,Summary!$L$247:$L$283)+SUMIF(Summary!$A$297:$A$333,$A2769,Summary!$L$297:$L$333))-AI2769,0)</f>
        <v>58991.419353728241</v>
      </c>
      <c r="AK2769" s="196">
        <f>IFERROR($G2769/SUMIF($A:$A,$A2769,$G:$G)*SUMIF(Summary!$A$247:$A$283,$A2769,Summary!$Q$247:$Q$283),0)</f>
        <v>13341.192169496509</v>
      </c>
      <c r="AL2769" s="196">
        <f>IFERROR($G2769/SUMIF($A:$A,$A2769,$G:$G)*(SUMIF(Summary!$A$247:$A$283,$A2769,Summary!$L$247:$L$283)+SUMIF(Summary!$A$297:$A$333,$A2769,Summary!$L$297:$L$333))-AK2769,0)</f>
        <v>58973.140295877602</v>
      </c>
      <c r="AM2769" s="198"/>
      <c r="AN2769" s="196">
        <f t="shared" ca="1" si="614"/>
        <v>248557.25938314392</v>
      </c>
      <c r="AO2769" s="196">
        <f t="shared" ca="1" si="615"/>
        <v>248438.75247985113</v>
      </c>
    </row>
    <row r="2770" spans="1:41">
      <c r="A2770" s="189">
        <v>10115</v>
      </c>
      <c r="B2770" s="190">
        <v>2</v>
      </c>
      <c r="C2770" s="191" t="s">
        <v>234</v>
      </c>
      <c r="D2770" s="192">
        <f t="shared" si="602"/>
        <v>0</v>
      </c>
      <c r="E2770" s="192">
        <f t="shared" si="603"/>
        <v>0</v>
      </c>
      <c r="F2770" s="192">
        <f t="shared" si="604"/>
        <v>0</v>
      </c>
      <c r="G2770" s="193">
        <f t="shared" si="605"/>
        <v>0</v>
      </c>
      <c r="H2770" s="194">
        <v>0</v>
      </c>
      <c r="I2770" s="194">
        <v>0</v>
      </c>
      <c r="J2770" s="194">
        <v>0</v>
      </c>
      <c r="K2770" s="193">
        <f t="shared" si="606"/>
        <v>0</v>
      </c>
      <c r="L2770" s="194">
        <v>0</v>
      </c>
      <c r="M2770" s="194">
        <v>0</v>
      </c>
      <c r="N2770" s="194">
        <v>0</v>
      </c>
      <c r="O2770" s="193">
        <f t="shared" si="607"/>
        <v>0</v>
      </c>
      <c r="P2770" s="194">
        <v>0</v>
      </c>
      <c r="Q2770" s="194">
        <v>0</v>
      </c>
      <c r="R2770" s="194">
        <v>0</v>
      </c>
      <c r="S2770" s="193">
        <f t="shared" si="608"/>
        <v>0</v>
      </c>
      <c r="T2770" s="193">
        <f t="shared" si="609"/>
        <v>0</v>
      </c>
      <c r="U2770" s="193">
        <f ca="1">OFFSET('Expenditure Study'!$B$7,'Operations Support'!$C2770,'Operations Support'!$B2770)*$G2770</f>
        <v>0</v>
      </c>
      <c r="V2770" s="199">
        <f ca="1">U2770*'Expenditure Study'!$B$31</f>
        <v>0</v>
      </c>
      <c r="W2770" s="199">
        <f ca="1">IF(A2770=10298,1.51,1)*IF($B2770&lt;3,$D2770*'Expenditure Study'!$B$32*OFFSET('Expenditure Study'!$B$7,'Operations Support'!$C2770,'Operations Support'!$B2770),0)</f>
        <v>0</v>
      </c>
      <c r="X2770" s="200">
        <f ca="1">W2770*'Expenditure Study'!$B$31</f>
        <v>0</v>
      </c>
      <c r="Y2770" s="199">
        <f ca="1">U2770*'Expenditure Study'!$B$31</f>
        <v>0</v>
      </c>
      <c r="Z2770" s="200">
        <f ca="1">W2770*'Expenditure Study'!$B$31</f>
        <v>0</v>
      </c>
      <c r="AA2770" s="195">
        <f t="shared" ca="1" si="610"/>
        <v>0</v>
      </c>
      <c r="AB2770" s="195">
        <f t="shared" ca="1" si="611"/>
        <v>0</v>
      </c>
      <c r="AD2770" s="196">
        <f>IFERROR($G2770/SUMIF($A:$A,$A2770,$G:$G)*SUMIF(Summary!$A$166:$A$242,$A2770,Summary!$P$166:$P$242),0)</f>
        <v>0</v>
      </c>
      <c r="AE2770" s="197">
        <f t="shared" ca="1" si="612"/>
        <v>0</v>
      </c>
      <c r="AF2770" s="196">
        <f>IFERROR(G2770/SUMIF(A:A,A2770,G:G)*SUMIF(Summary!$A$166:$A$242,'Operations Support'!A2770,Summary!$Q$166:$Q$242),0)</f>
        <v>0</v>
      </c>
      <c r="AG2770" s="196">
        <f t="shared" ca="1" si="613"/>
        <v>0</v>
      </c>
      <c r="AI2770" s="196">
        <f>IFERROR($G2770/SUMIF($A:$A,$A2770,$G:$G)*SUMIF(Summary!$A$247:$A$283,$A2770,Summary!$P$247:$P$283),0)</f>
        <v>0</v>
      </c>
      <c r="AJ2770" s="196">
        <f>IFERROR($G2770/SUMIF($A:$A,$A2770,$G:$G)*(SUMIF(Summary!$A$247:$A$283,$A2770,Summary!$L$247:$L$283)+SUMIF(Summary!$A$297:$A$333,$A2770,Summary!$L$297:$L$333))-AI2770,0)</f>
        <v>0</v>
      </c>
      <c r="AK2770" s="196">
        <f>IFERROR($G2770/SUMIF($A:$A,$A2770,$G:$G)*SUMIF(Summary!$A$247:$A$283,$A2770,Summary!$Q$247:$Q$283),0)</f>
        <v>0</v>
      </c>
      <c r="AL2770" s="196">
        <f>IFERROR($G2770/SUMIF($A:$A,$A2770,$G:$G)*(SUMIF(Summary!$A$247:$A$283,$A2770,Summary!$L$247:$L$283)+SUMIF(Summary!$A$297:$A$333,$A2770,Summary!$L$297:$L$333))-AK2770,0)</f>
        <v>0</v>
      </c>
      <c r="AM2770" s="198"/>
      <c r="AN2770" s="196">
        <f t="shared" ca="1" si="614"/>
        <v>0</v>
      </c>
      <c r="AO2770" s="196">
        <f t="shared" ca="1" si="615"/>
        <v>0</v>
      </c>
    </row>
    <row r="2771" spans="1:41">
      <c r="A2771" s="189">
        <v>10115</v>
      </c>
      <c r="B2771" s="190">
        <v>2</v>
      </c>
      <c r="C2771" s="191" t="s">
        <v>235</v>
      </c>
      <c r="D2771" s="192">
        <f t="shared" si="602"/>
        <v>15501</v>
      </c>
      <c r="E2771" s="192">
        <f t="shared" si="603"/>
        <v>39078</v>
      </c>
      <c r="F2771" s="192">
        <f t="shared" si="604"/>
        <v>0</v>
      </c>
      <c r="G2771" s="193">
        <f t="shared" si="605"/>
        <v>54579</v>
      </c>
      <c r="H2771" s="194">
        <v>7629</v>
      </c>
      <c r="I2771" s="194">
        <v>16433</v>
      </c>
      <c r="J2771" s="194">
        <v>0</v>
      </c>
      <c r="K2771" s="193">
        <f t="shared" si="606"/>
        <v>24062</v>
      </c>
      <c r="L2771" s="194">
        <v>6744</v>
      </c>
      <c r="M2771" s="194">
        <v>16474</v>
      </c>
      <c r="N2771" s="194">
        <v>0</v>
      </c>
      <c r="O2771" s="193">
        <f t="shared" si="607"/>
        <v>23218</v>
      </c>
      <c r="P2771" s="194">
        <v>1128</v>
      </c>
      <c r="Q2771" s="194">
        <v>6171</v>
      </c>
      <c r="R2771" s="194">
        <v>0</v>
      </c>
      <c r="S2771" s="193">
        <f t="shared" si="608"/>
        <v>7299</v>
      </c>
      <c r="T2771" s="193">
        <f t="shared" si="609"/>
        <v>1819.3</v>
      </c>
      <c r="U2771" s="193">
        <f ca="1">OFFSET('Expenditure Study'!$B$7,'Operations Support'!$C2771,'Operations Support'!$B2771)*$G2771</f>
        <v>102062.73000000001</v>
      </c>
      <c r="V2771" s="199">
        <f ca="1">U2771*'Expenditure Study'!$B$31</f>
        <v>6030190.7295315843</v>
      </c>
      <c r="W2771" s="199">
        <f ca="1">IF(A2771=10298,1.51,1)*IF($B2771&lt;3,$D2771*'Expenditure Study'!$B$32*OFFSET('Expenditure Study'!$B$7,'Operations Support'!$C2771,'Operations Support'!$B2771),0)</f>
        <v>2898.6870000000004</v>
      </c>
      <c r="X2771" s="200">
        <f ca="1">W2771*'Expenditure Study'!$B$31</f>
        <v>171263.64810360962</v>
      </c>
      <c r="Y2771" s="199">
        <f ca="1">U2771*'Expenditure Study'!$B$31</f>
        <v>6030190.7295315843</v>
      </c>
      <c r="Z2771" s="200">
        <f ca="1">W2771*'Expenditure Study'!$B$31</f>
        <v>171263.64810360962</v>
      </c>
      <c r="AA2771" s="195">
        <f t="shared" ca="1" si="610"/>
        <v>6201454.377635194</v>
      </c>
      <c r="AB2771" s="195">
        <f t="shared" ca="1" si="611"/>
        <v>6201454.377635194</v>
      </c>
      <c r="AD2771" s="196">
        <f>IFERROR($G2771/SUMIF($A:$A,$A2771,$G:$G)*SUMIF(Summary!$A$166:$A$242,$A2771,Summary!$P$166:$P$242),0)</f>
        <v>1465853.110895867</v>
      </c>
      <c r="AE2771" s="197">
        <f t="shared" ca="1" si="612"/>
        <v>4735601.2667393275</v>
      </c>
      <c r="AF2771" s="196">
        <f>IFERROR(G2771/SUMIF(A:A,A2771,G:G)*SUMIF(Summary!$A$166:$A$242,'Operations Support'!A2771,Summary!$Q$166:$Q$242),0)</f>
        <v>1467864.2636813023</v>
      </c>
      <c r="AG2771" s="196">
        <f t="shared" ca="1" si="613"/>
        <v>4733590.1139538921</v>
      </c>
      <c r="AI2771" s="196">
        <f>IFERROR($G2771/SUMIF($A:$A,$A2771,$G:$G)*SUMIF(Summary!$A$247:$A$283,$A2771,Summary!$P$247:$P$283),0)</f>
        <v>267335.02747077943</v>
      </c>
      <c r="AJ2771" s="196">
        <f>IFERROR($G2771/SUMIF($A:$A,$A2771,$G:$G)*(SUMIF(Summary!$A$247:$A$283,$A2771,Summary!$L$247:$L$283)+SUMIF(Summary!$A$297:$A$333,$A2771,Summary!$L$297:$L$333))-AI2771,0)</f>
        <v>1183710.5429805638</v>
      </c>
      <c r="AK2771" s="196">
        <f>IFERROR($G2771/SUMIF($A:$A,$A2771,$G:$G)*SUMIF(Summary!$A$247:$A$283,$A2771,Summary!$Q$247:$Q$283),0)</f>
        <v>267701.81155108457</v>
      </c>
      <c r="AL2771" s="196">
        <f>IFERROR($G2771/SUMIF($A:$A,$A2771,$G:$G)*(SUMIF(Summary!$A$247:$A$283,$A2771,Summary!$L$247:$L$283)+SUMIF(Summary!$A$297:$A$333,$A2771,Summary!$L$297:$L$333))-AK2771,0)</f>
        <v>1183343.7589002587</v>
      </c>
      <c r="AM2771" s="198"/>
      <c r="AN2771" s="196">
        <f t="shared" ca="1" si="614"/>
        <v>5919311.8097198913</v>
      </c>
      <c r="AO2771" s="196">
        <f t="shared" ca="1" si="615"/>
        <v>5916933.8728541508</v>
      </c>
    </row>
    <row r="2772" spans="1:41">
      <c r="A2772" s="189">
        <v>10115</v>
      </c>
      <c r="B2772" s="190">
        <v>2</v>
      </c>
      <c r="C2772" s="191" t="s">
        <v>236</v>
      </c>
      <c r="D2772" s="192">
        <f t="shared" si="602"/>
        <v>0</v>
      </c>
      <c r="E2772" s="192">
        <f t="shared" si="603"/>
        <v>0</v>
      </c>
      <c r="F2772" s="192">
        <f t="shared" si="604"/>
        <v>0</v>
      </c>
      <c r="G2772" s="193">
        <f t="shared" si="605"/>
        <v>0</v>
      </c>
      <c r="H2772" s="194">
        <v>0</v>
      </c>
      <c r="I2772" s="194">
        <v>0</v>
      </c>
      <c r="J2772" s="194">
        <v>0</v>
      </c>
      <c r="K2772" s="193">
        <f t="shared" si="606"/>
        <v>0</v>
      </c>
      <c r="L2772" s="194">
        <v>0</v>
      </c>
      <c r="M2772" s="194">
        <v>0</v>
      </c>
      <c r="N2772" s="194">
        <v>0</v>
      </c>
      <c r="O2772" s="193">
        <f t="shared" si="607"/>
        <v>0</v>
      </c>
      <c r="P2772" s="194">
        <v>0</v>
      </c>
      <c r="Q2772" s="194">
        <v>0</v>
      </c>
      <c r="R2772" s="194">
        <v>0</v>
      </c>
      <c r="S2772" s="193">
        <f t="shared" si="608"/>
        <v>0</v>
      </c>
      <c r="T2772" s="193">
        <f t="shared" si="609"/>
        <v>0</v>
      </c>
      <c r="U2772" s="193">
        <f ca="1">OFFSET('Expenditure Study'!$B$7,'Operations Support'!$C2772,'Operations Support'!$B2772)*$G2772</f>
        <v>0</v>
      </c>
      <c r="V2772" s="199">
        <f ca="1">U2772*'Expenditure Study'!$B$31</f>
        <v>0</v>
      </c>
      <c r="W2772" s="199">
        <f ca="1">IF(A2772=10298,1.51,1)*IF($B2772&lt;3,$D2772*'Expenditure Study'!$B$32*OFFSET('Expenditure Study'!$B$7,'Operations Support'!$C2772,'Operations Support'!$B2772),0)</f>
        <v>0</v>
      </c>
      <c r="X2772" s="200">
        <f ca="1">W2772*'Expenditure Study'!$B$31</f>
        <v>0</v>
      </c>
      <c r="Y2772" s="199">
        <f ca="1">U2772*'Expenditure Study'!$B$31</f>
        <v>0</v>
      </c>
      <c r="Z2772" s="200">
        <f ca="1">W2772*'Expenditure Study'!$B$31</f>
        <v>0</v>
      </c>
      <c r="AA2772" s="195">
        <f t="shared" ca="1" si="610"/>
        <v>0</v>
      </c>
      <c r="AB2772" s="195">
        <f t="shared" ca="1" si="611"/>
        <v>0</v>
      </c>
      <c r="AD2772" s="196">
        <f>IFERROR($G2772/SUMIF($A:$A,$A2772,$G:$G)*SUMIF(Summary!$A$166:$A$242,$A2772,Summary!$P$166:$P$242),0)</f>
        <v>0</v>
      </c>
      <c r="AE2772" s="197">
        <f t="shared" ca="1" si="612"/>
        <v>0</v>
      </c>
      <c r="AF2772" s="196">
        <f>IFERROR(G2772/SUMIF(A:A,A2772,G:G)*SUMIF(Summary!$A$166:$A$242,'Operations Support'!A2772,Summary!$Q$166:$Q$242),0)</f>
        <v>0</v>
      </c>
      <c r="AG2772" s="196">
        <f t="shared" ca="1" si="613"/>
        <v>0</v>
      </c>
      <c r="AI2772" s="196">
        <f>IFERROR($G2772/SUMIF($A:$A,$A2772,$G:$G)*SUMIF(Summary!$A$247:$A$283,$A2772,Summary!$P$247:$P$283),0)</f>
        <v>0</v>
      </c>
      <c r="AJ2772" s="196">
        <f>IFERROR($G2772/SUMIF($A:$A,$A2772,$G:$G)*(SUMIF(Summary!$A$247:$A$283,$A2772,Summary!$L$247:$L$283)+SUMIF(Summary!$A$297:$A$333,$A2772,Summary!$L$297:$L$333))-AI2772,0)</f>
        <v>0</v>
      </c>
      <c r="AK2772" s="196">
        <f>IFERROR($G2772/SUMIF($A:$A,$A2772,$G:$G)*SUMIF(Summary!$A$247:$A$283,$A2772,Summary!$Q$247:$Q$283),0)</f>
        <v>0</v>
      </c>
      <c r="AL2772" s="196">
        <f>IFERROR($G2772/SUMIF($A:$A,$A2772,$G:$G)*(SUMIF(Summary!$A$247:$A$283,$A2772,Summary!$L$247:$L$283)+SUMIF(Summary!$A$297:$A$333,$A2772,Summary!$L$297:$L$333))-AK2772,0)</f>
        <v>0</v>
      </c>
      <c r="AM2772" s="198"/>
      <c r="AN2772" s="196">
        <f t="shared" ca="1" si="614"/>
        <v>0</v>
      </c>
      <c r="AO2772" s="196">
        <f t="shared" ca="1" si="615"/>
        <v>0</v>
      </c>
    </row>
    <row r="2773" spans="1:41">
      <c r="A2773" s="189">
        <v>10115</v>
      </c>
      <c r="B2773" s="190">
        <v>2</v>
      </c>
      <c r="C2773" s="191" t="s">
        <v>237</v>
      </c>
      <c r="D2773" s="192">
        <f t="shared" si="602"/>
        <v>36</v>
      </c>
      <c r="E2773" s="192">
        <f t="shared" si="603"/>
        <v>1755</v>
      </c>
      <c r="F2773" s="192">
        <f t="shared" si="604"/>
        <v>0</v>
      </c>
      <c r="G2773" s="193">
        <f t="shared" si="605"/>
        <v>1791</v>
      </c>
      <c r="H2773" s="194">
        <v>0</v>
      </c>
      <c r="I2773" s="194">
        <v>834</v>
      </c>
      <c r="J2773" s="194">
        <v>0</v>
      </c>
      <c r="K2773" s="193">
        <f t="shared" si="606"/>
        <v>834</v>
      </c>
      <c r="L2773" s="194">
        <v>36</v>
      </c>
      <c r="M2773" s="194">
        <v>921</v>
      </c>
      <c r="N2773" s="194">
        <v>0</v>
      </c>
      <c r="O2773" s="193">
        <f t="shared" si="607"/>
        <v>957</v>
      </c>
      <c r="P2773" s="194">
        <v>0</v>
      </c>
      <c r="Q2773" s="194">
        <v>0</v>
      </c>
      <c r="R2773" s="194">
        <v>0</v>
      </c>
      <c r="S2773" s="193">
        <f t="shared" si="608"/>
        <v>0</v>
      </c>
      <c r="T2773" s="193">
        <f t="shared" si="609"/>
        <v>59.7</v>
      </c>
      <c r="U2773" s="193">
        <f ca="1">OFFSET('Expenditure Study'!$B$7,'Operations Support'!$C2773,'Operations Support'!$B2773)*$G2773</f>
        <v>4190.9399999999996</v>
      </c>
      <c r="V2773" s="199">
        <f ca="1">U2773*'Expenditure Study'!$B$31</f>
        <v>247614.06574195198</v>
      </c>
      <c r="W2773" s="199">
        <f ca="1">IF(A2773=10298,1.51,1)*IF($B2773&lt;3,$D2773*'Expenditure Study'!$B$32*OFFSET('Expenditure Study'!$B$7,'Operations Support'!$C2773,'Operations Support'!$B2773),0)</f>
        <v>8.4239999999999995</v>
      </c>
      <c r="X2773" s="200">
        <f ca="1">W2773*'Expenditure Study'!$B$31</f>
        <v>497.7167150592</v>
      </c>
      <c r="Y2773" s="199">
        <f ca="1">U2773*'Expenditure Study'!$B$31</f>
        <v>247614.06574195198</v>
      </c>
      <c r="Z2773" s="200">
        <f ca="1">W2773*'Expenditure Study'!$B$31</f>
        <v>497.7167150592</v>
      </c>
      <c r="AA2773" s="195">
        <f t="shared" ca="1" si="610"/>
        <v>248111.7824570112</v>
      </c>
      <c r="AB2773" s="195">
        <f t="shared" ca="1" si="611"/>
        <v>248111.7824570112</v>
      </c>
      <c r="AD2773" s="196">
        <f>IFERROR($G2773/SUMIF($A:$A,$A2773,$G:$G)*SUMIF(Summary!$A$166:$A$242,$A2773,Summary!$P$166:$P$242),0)</f>
        <v>48101.70434809172</v>
      </c>
      <c r="AE2773" s="197">
        <f t="shared" ca="1" si="612"/>
        <v>200010.07810891949</v>
      </c>
      <c r="AF2773" s="196">
        <f>IFERROR(G2773/SUMIF(A:A,A2773,G:G)*SUMIF(Summary!$A$166:$A$242,'Operations Support'!A2773,Summary!$Q$166:$Q$242),0)</f>
        <v>48167.699962498627</v>
      </c>
      <c r="AG2773" s="196">
        <f t="shared" ca="1" si="613"/>
        <v>199944.08249451258</v>
      </c>
      <c r="AI2773" s="196">
        <f>IFERROR($G2773/SUMIF($A:$A,$A2773,$G:$G)*SUMIF(Summary!$A$247:$A$283,$A2773,Summary!$P$247:$P$283),0)</f>
        <v>8772.550508440354</v>
      </c>
      <c r="AJ2773" s="196">
        <f>IFERROR($G2773/SUMIF($A:$A,$A2773,$G:$G)*(SUMIF(Summary!$A$247:$A$283,$A2773,Summary!$L$247:$L$283)+SUMIF(Summary!$A$297:$A$333,$A2773,Summary!$L$297:$L$333))-AI2773,0)</f>
        <v>38843.247081811496</v>
      </c>
      <c r="AK2773" s="196">
        <f>IFERROR($G2773/SUMIF($A:$A,$A2773,$G:$G)*SUMIF(Summary!$A$247:$A$283,$A2773,Summary!$Q$247:$Q$283),0)</f>
        <v>8784.5864616059753</v>
      </c>
      <c r="AL2773" s="196">
        <f>IFERROR($G2773/SUMIF($A:$A,$A2773,$G:$G)*(SUMIF(Summary!$A$247:$A$283,$A2773,Summary!$L$247:$L$283)+SUMIF(Summary!$A$297:$A$333,$A2773,Summary!$L$297:$L$333))-AK2773,0)</f>
        <v>38831.211128645875</v>
      </c>
      <c r="AM2773" s="198"/>
      <c r="AN2773" s="196">
        <f t="shared" ca="1" si="614"/>
        <v>238853.32519073098</v>
      </c>
      <c r="AO2773" s="196">
        <f t="shared" ca="1" si="615"/>
        <v>238775.29362315845</v>
      </c>
    </row>
    <row r="2774" spans="1:41">
      <c r="A2774" s="189">
        <v>10115</v>
      </c>
      <c r="B2774" s="190">
        <v>2</v>
      </c>
      <c r="C2774" s="191" t="s">
        <v>238</v>
      </c>
      <c r="D2774" s="192">
        <f t="shared" si="602"/>
        <v>410</v>
      </c>
      <c r="E2774" s="192">
        <f t="shared" si="603"/>
        <v>1920</v>
      </c>
      <c r="F2774" s="192">
        <f t="shared" si="604"/>
        <v>0</v>
      </c>
      <c r="G2774" s="193">
        <f t="shared" si="605"/>
        <v>2330</v>
      </c>
      <c r="H2774" s="194">
        <v>147</v>
      </c>
      <c r="I2774" s="194">
        <v>849</v>
      </c>
      <c r="J2774" s="194">
        <v>0</v>
      </c>
      <c r="K2774" s="193">
        <f t="shared" si="606"/>
        <v>996</v>
      </c>
      <c r="L2774" s="194">
        <v>233</v>
      </c>
      <c r="M2774" s="194">
        <v>900</v>
      </c>
      <c r="N2774" s="194">
        <v>0</v>
      </c>
      <c r="O2774" s="193">
        <f t="shared" si="607"/>
        <v>1133</v>
      </c>
      <c r="P2774" s="194">
        <v>30</v>
      </c>
      <c r="Q2774" s="194">
        <v>171</v>
      </c>
      <c r="R2774" s="194">
        <v>0</v>
      </c>
      <c r="S2774" s="193">
        <f t="shared" si="608"/>
        <v>201</v>
      </c>
      <c r="T2774" s="193">
        <f t="shared" si="609"/>
        <v>77.666666666666671</v>
      </c>
      <c r="U2774" s="193">
        <f ca="1">OFFSET('Expenditure Study'!$B$7,'Operations Support'!$C2774,'Operations Support'!$B2774)*$G2774</f>
        <v>5592</v>
      </c>
      <c r="V2774" s="199">
        <f ca="1">U2774*'Expenditure Study'!$B$31</f>
        <v>330393.14703360002</v>
      </c>
      <c r="W2774" s="199">
        <f ca="1">IF(A2774=10298,1.51,1)*IF($B2774&lt;3,$D2774*'Expenditure Study'!$B$32*OFFSET('Expenditure Study'!$B$7,'Operations Support'!$C2774,'Operations Support'!$B2774),0)</f>
        <v>98.399999999999991</v>
      </c>
      <c r="X2774" s="200">
        <f ca="1">W2774*'Expenditure Study'!$B$31</f>
        <v>5813.7849907199998</v>
      </c>
      <c r="Y2774" s="199">
        <f ca="1">U2774*'Expenditure Study'!$B$31</f>
        <v>330393.14703360002</v>
      </c>
      <c r="Z2774" s="200">
        <f ca="1">W2774*'Expenditure Study'!$B$31</f>
        <v>5813.7849907199998</v>
      </c>
      <c r="AA2774" s="195">
        <f t="shared" ca="1" si="610"/>
        <v>336206.93202432001</v>
      </c>
      <c r="AB2774" s="195">
        <f t="shared" ca="1" si="611"/>
        <v>336206.93202432001</v>
      </c>
      <c r="AD2774" s="196">
        <f>IFERROR($G2774/SUMIF($A:$A,$A2774,$G:$G)*SUMIF(Summary!$A$166:$A$242,$A2774,Summary!$P$166:$P$242),0)</f>
        <v>62577.873328338188</v>
      </c>
      <c r="AE2774" s="197">
        <f t="shared" ca="1" si="612"/>
        <v>273629.0586959818</v>
      </c>
      <c r="AF2774" s="196">
        <f>IFERROR(G2774/SUMIF(A:A,A2774,G:G)*SUMIF(Summary!$A$166:$A$242,'Operations Support'!A2774,Summary!$Q$166:$Q$242),0)</f>
        <v>62663.730269470572</v>
      </c>
      <c r="AG2774" s="196">
        <f t="shared" ca="1" si="613"/>
        <v>273543.2017548494</v>
      </c>
      <c r="AI2774" s="196">
        <f>IFERROR($G2774/SUMIF($A:$A,$A2774,$G:$G)*SUMIF(Summary!$A$247:$A$283,$A2774,Summary!$P$247:$P$283),0)</f>
        <v>11412.642481667237</v>
      </c>
      <c r="AJ2774" s="196">
        <f>IFERROR($G2774/SUMIF($A:$A,$A2774,$G:$G)*(SUMIF(Summary!$A$247:$A$283,$A2774,Summary!$L$247:$L$283)+SUMIF(Summary!$A$297:$A$333,$A2774,Summary!$L$297:$L$333))-AI2774,0)</f>
        <v>50533.090843451027</v>
      </c>
      <c r="AK2774" s="196">
        <f>IFERROR($G2774/SUMIF($A:$A,$A2774,$G:$G)*SUMIF(Summary!$A$247:$A$283,$A2774,Summary!$Q$247:$Q$283),0)</f>
        <v>11428.300645193702</v>
      </c>
      <c r="AL2774" s="196">
        <f>IFERROR($G2774/SUMIF($A:$A,$A2774,$G:$G)*(SUMIF(Summary!$A$247:$A$283,$A2774,Summary!$L$247:$L$283)+SUMIF(Summary!$A$297:$A$333,$A2774,Summary!$L$297:$L$333))-AK2774,0)</f>
        <v>50517.432679924561</v>
      </c>
      <c r="AM2774" s="198"/>
      <c r="AN2774" s="196">
        <f t="shared" ca="1" si="614"/>
        <v>324162.14953943284</v>
      </c>
      <c r="AO2774" s="196">
        <f t="shared" ca="1" si="615"/>
        <v>324060.63443477394</v>
      </c>
    </row>
    <row r="2775" spans="1:41">
      <c r="A2775" s="189">
        <v>10115</v>
      </c>
      <c r="B2775" s="190">
        <v>2</v>
      </c>
      <c r="C2775" s="191" t="s">
        <v>239</v>
      </c>
      <c r="D2775" s="192">
        <f t="shared" si="602"/>
        <v>0</v>
      </c>
      <c r="E2775" s="192">
        <f t="shared" si="603"/>
        <v>0</v>
      </c>
      <c r="F2775" s="192">
        <f t="shared" si="604"/>
        <v>0</v>
      </c>
      <c r="G2775" s="193">
        <f t="shared" si="605"/>
        <v>0</v>
      </c>
      <c r="H2775" s="194">
        <v>0</v>
      </c>
      <c r="I2775" s="194">
        <v>0</v>
      </c>
      <c r="J2775" s="194">
        <v>0</v>
      </c>
      <c r="K2775" s="193">
        <f t="shared" si="606"/>
        <v>0</v>
      </c>
      <c r="L2775" s="194">
        <v>0</v>
      </c>
      <c r="M2775" s="194">
        <v>0</v>
      </c>
      <c r="N2775" s="194">
        <v>0</v>
      </c>
      <c r="O2775" s="193">
        <f t="shared" si="607"/>
        <v>0</v>
      </c>
      <c r="P2775" s="194">
        <v>0</v>
      </c>
      <c r="Q2775" s="194">
        <v>0</v>
      </c>
      <c r="R2775" s="194">
        <v>0</v>
      </c>
      <c r="S2775" s="193">
        <f t="shared" si="608"/>
        <v>0</v>
      </c>
      <c r="T2775" s="193">
        <f t="shared" si="609"/>
        <v>0</v>
      </c>
      <c r="U2775" s="193">
        <f ca="1">OFFSET('Expenditure Study'!$B$7,'Operations Support'!$C2775,'Operations Support'!$B2775)*$G2775</f>
        <v>0</v>
      </c>
      <c r="V2775" s="199">
        <f ca="1">U2775*'Expenditure Study'!$B$31</f>
        <v>0</v>
      </c>
      <c r="W2775" s="199">
        <f ca="1">IF(A2775=10298,1.51,1)*IF($B2775&lt;3,$D2775*'Expenditure Study'!$B$32*OFFSET('Expenditure Study'!$B$7,'Operations Support'!$C2775,'Operations Support'!$B2775),0)</f>
        <v>0</v>
      </c>
      <c r="X2775" s="200">
        <f ca="1">W2775*'Expenditure Study'!$B$31</f>
        <v>0</v>
      </c>
      <c r="Y2775" s="199">
        <f ca="1">U2775*'Expenditure Study'!$B$31</f>
        <v>0</v>
      </c>
      <c r="Z2775" s="200">
        <f ca="1">W2775*'Expenditure Study'!$B$31</f>
        <v>0</v>
      </c>
      <c r="AA2775" s="195">
        <f t="shared" ca="1" si="610"/>
        <v>0</v>
      </c>
      <c r="AB2775" s="195">
        <f t="shared" ca="1" si="611"/>
        <v>0</v>
      </c>
      <c r="AD2775" s="196">
        <f>IFERROR($G2775/SUMIF($A:$A,$A2775,$G:$G)*SUMIF(Summary!$A$166:$A$242,$A2775,Summary!$P$166:$P$242),0)</f>
        <v>0</v>
      </c>
      <c r="AE2775" s="197">
        <f t="shared" ca="1" si="612"/>
        <v>0</v>
      </c>
      <c r="AF2775" s="196">
        <f>IFERROR(G2775/SUMIF(A:A,A2775,G:G)*SUMIF(Summary!$A$166:$A$242,'Operations Support'!A2775,Summary!$Q$166:$Q$242),0)</f>
        <v>0</v>
      </c>
      <c r="AG2775" s="196">
        <f t="shared" ca="1" si="613"/>
        <v>0</v>
      </c>
      <c r="AI2775" s="196">
        <f>IFERROR($G2775/SUMIF($A:$A,$A2775,$G:$G)*SUMIF(Summary!$A$247:$A$283,$A2775,Summary!$P$247:$P$283),0)</f>
        <v>0</v>
      </c>
      <c r="AJ2775" s="196">
        <f>IFERROR($G2775/SUMIF($A:$A,$A2775,$G:$G)*(SUMIF(Summary!$A$247:$A$283,$A2775,Summary!$L$247:$L$283)+SUMIF(Summary!$A$297:$A$333,$A2775,Summary!$L$297:$L$333))-AI2775,0)</f>
        <v>0</v>
      </c>
      <c r="AK2775" s="196">
        <f>IFERROR($G2775/SUMIF($A:$A,$A2775,$G:$G)*SUMIF(Summary!$A$247:$A$283,$A2775,Summary!$Q$247:$Q$283),0)</f>
        <v>0</v>
      </c>
      <c r="AL2775" s="196">
        <f>IFERROR($G2775/SUMIF($A:$A,$A2775,$G:$G)*(SUMIF(Summary!$A$247:$A$283,$A2775,Summary!$L$247:$L$283)+SUMIF(Summary!$A$297:$A$333,$A2775,Summary!$L$297:$L$333))-AK2775,0)</f>
        <v>0</v>
      </c>
      <c r="AM2775" s="198"/>
      <c r="AN2775" s="196">
        <f t="shared" ca="1" si="614"/>
        <v>0</v>
      </c>
      <c r="AO2775" s="196">
        <f t="shared" ca="1" si="615"/>
        <v>0</v>
      </c>
    </row>
    <row r="2776" spans="1:41">
      <c r="A2776" s="189">
        <v>10115</v>
      </c>
      <c r="B2776" s="190">
        <v>2</v>
      </c>
      <c r="C2776" s="191" t="s">
        <v>240</v>
      </c>
      <c r="D2776" s="192">
        <f t="shared" si="602"/>
        <v>0</v>
      </c>
      <c r="E2776" s="192">
        <f t="shared" si="603"/>
        <v>0</v>
      </c>
      <c r="F2776" s="192">
        <f t="shared" si="604"/>
        <v>0</v>
      </c>
      <c r="G2776" s="193">
        <f t="shared" si="605"/>
        <v>0</v>
      </c>
      <c r="H2776" s="194">
        <v>0</v>
      </c>
      <c r="I2776" s="194">
        <v>0</v>
      </c>
      <c r="J2776" s="194">
        <v>0</v>
      </c>
      <c r="K2776" s="193">
        <f t="shared" si="606"/>
        <v>0</v>
      </c>
      <c r="L2776" s="194">
        <v>0</v>
      </c>
      <c r="M2776" s="194">
        <v>0</v>
      </c>
      <c r="N2776" s="194">
        <v>0</v>
      </c>
      <c r="O2776" s="193">
        <f t="shared" si="607"/>
        <v>0</v>
      </c>
      <c r="P2776" s="194">
        <v>0</v>
      </c>
      <c r="Q2776" s="194">
        <v>0</v>
      </c>
      <c r="R2776" s="194">
        <v>0</v>
      </c>
      <c r="S2776" s="193">
        <f t="shared" si="608"/>
        <v>0</v>
      </c>
      <c r="T2776" s="193">
        <f t="shared" si="609"/>
        <v>0</v>
      </c>
      <c r="U2776" s="193">
        <f ca="1">OFFSET('Expenditure Study'!$B$7,'Operations Support'!$C2776,'Operations Support'!$B2776)*$G2776</f>
        <v>0</v>
      </c>
      <c r="V2776" s="199">
        <f ca="1">U2776*'Expenditure Study'!$B$31</f>
        <v>0</v>
      </c>
      <c r="W2776" s="199">
        <f ca="1">IF(A2776=10298,1.51,1)*IF($B2776&lt;3,$D2776*'Expenditure Study'!$B$32*OFFSET('Expenditure Study'!$B$7,'Operations Support'!$C2776,'Operations Support'!$B2776),0)</f>
        <v>0</v>
      </c>
      <c r="X2776" s="200">
        <f ca="1">W2776*'Expenditure Study'!$B$31</f>
        <v>0</v>
      </c>
      <c r="Y2776" s="199">
        <f ca="1">U2776*'Expenditure Study'!$B$31</f>
        <v>0</v>
      </c>
      <c r="Z2776" s="200">
        <f ca="1">W2776*'Expenditure Study'!$B$31</f>
        <v>0</v>
      </c>
      <c r="AA2776" s="195">
        <f t="shared" ca="1" si="610"/>
        <v>0</v>
      </c>
      <c r="AB2776" s="195">
        <f t="shared" ca="1" si="611"/>
        <v>0</v>
      </c>
      <c r="AD2776" s="196">
        <f>IFERROR($G2776/SUMIF($A:$A,$A2776,$G:$G)*SUMIF(Summary!$A$166:$A$242,$A2776,Summary!$P$166:$P$242),0)</f>
        <v>0</v>
      </c>
      <c r="AE2776" s="197">
        <f t="shared" ca="1" si="612"/>
        <v>0</v>
      </c>
      <c r="AF2776" s="196">
        <f>IFERROR(G2776/SUMIF(A:A,A2776,G:G)*SUMIF(Summary!$A$166:$A$242,'Operations Support'!A2776,Summary!$Q$166:$Q$242),0)</f>
        <v>0</v>
      </c>
      <c r="AG2776" s="196">
        <f t="shared" ca="1" si="613"/>
        <v>0</v>
      </c>
      <c r="AI2776" s="196">
        <f>IFERROR($G2776/SUMIF($A:$A,$A2776,$G:$G)*SUMIF(Summary!$A$247:$A$283,$A2776,Summary!$P$247:$P$283),0)</f>
        <v>0</v>
      </c>
      <c r="AJ2776" s="196">
        <f>IFERROR($G2776/SUMIF($A:$A,$A2776,$G:$G)*(SUMIF(Summary!$A$247:$A$283,$A2776,Summary!$L$247:$L$283)+SUMIF(Summary!$A$297:$A$333,$A2776,Summary!$L$297:$L$333))-AI2776,0)</f>
        <v>0</v>
      </c>
      <c r="AK2776" s="196">
        <f>IFERROR($G2776/SUMIF($A:$A,$A2776,$G:$G)*SUMIF(Summary!$A$247:$A$283,$A2776,Summary!$Q$247:$Q$283),0)</f>
        <v>0</v>
      </c>
      <c r="AL2776" s="196">
        <f>IFERROR($G2776/SUMIF($A:$A,$A2776,$G:$G)*(SUMIF(Summary!$A$247:$A$283,$A2776,Summary!$L$247:$L$283)+SUMIF(Summary!$A$297:$A$333,$A2776,Summary!$L$297:$L$333))-AK2776,0)</f>
        <v>0</v>
      </c>
      <c r="AM2776" s="198"/>
      <c r="AN2776" s="196">
        <f t="shared" ca="1" si="614"/>
        <v>0</v>
      </c>
      <c r="AO2776" s="196">
        <f t="shared" ca="1" si="615"/>
        <v>0</v>
      </c>
    </row>
    <row r="2777" spans="1:41">
      <c r="A2777" s="189">
        <v>10115</v>
      </c>
      <c r="B2777" s="190">
        <v>3</v>
      </c>
      <c r="C2777" s="191" t="s">
        <v>220</v>
      </c>
      <c r="D2777" s="192">
        <f t="shared" si="602"/>
        <v>11458</v>
      </c>
      <c r="E2777" s="192">
        <f t="shared" si="603"/>
        <v>6988</v>
      </c>
      <c r="F2777" s="192">
        <f t="shared" si="604"/>
        <v>0</v>
      </c>
      <c r="G2777" s="193">
        <f t="shared" si="605"/>
        <v>18446</v>
      </c>
      <c r="H2777" s="194">
        <v>4739</v>
      </c>
      <c r="I2777" s="194">
        <v>2810</v>
      </c>
      <c r="J2777" s="194">
        <v>0</v>
      </c>
      <c r="K2777" s="193">
        <f t="shared" si="606"/>
        <v>7549</v>
      </c>
      <c r="L2777" s="194">
        <v>4690</v>
      </c>
      <c r="M2777" s="194">
        <v>2494</v>
      </c>
      <c r="N2777" s="194">
        <v>0</v>
      </c>
      <c r="O2777" s="193">
        <f t="shared" si="607"/>
        <v>7184</v>
      </c>
      <c r="P2777" s="194">
        <v>2029</v>
      </c>
      <c r="Q2777" s="194">
        <v>1684</v>
      </c>
      <c r="R2777" s="194">
        <v>0</v>
      </c>
      <c r="S2777" s="193">
        <f t="shared" si="608"/>
        <v>3713</v>
      </c>
      <c r="T2777" s="193">
        <f t="shared" si="609"/>
        <v>768.58333333333337</v>
      </c>
      <c r="U2777" s="193">
        <f ca="1">OFFSET('Expenditure Study'!$B$7,'Operations Support'!$C2777,'Operations Support'!$B2777)*$G2777</f>
        <v>82269.16</v>
      </c>
      <c r="V2777" s="199">
        <f ca="1">U2777*'Expenditure Study'!$B$31</f>
        <v>4860723.6545441281</v>
      </c>
      <c r="W2777" s="199">
        <f ca="1">IF(A2777=10298,1.51,1)*IF($B2777&lt;3,$D2777*'Expenditure Study'!$B$32*OFFSET('Expenditure Study'!$B$7,'Operations Support'!$C2777,'Operations Support'!$B2777),0)</f>
        <v>0</v>
      </c>
      <c r="X2777" s="200">
        <f ca="1">W2777*'Expenditure Study'!$B$31</f>
        <v>0</v>
      </c>
      <c r="Y2777" s="199">
        <f ca="1">U2777*'Expenditure Study'!$B$31</f>
        <v>4860723.6545441281</v>
      </c>
      <c r="Z2777" s="200">
        <f ca="1">W2777*'Expenditure Study'!$B$31</f>
        <v>0</v>
      </c>
      <c r="AA2777" s="195">
        <f t="shared" ca="1" si="610"/>
        <v>4860723.6545441281</v>
      </c>
      <c r="AB2777" s="195">
        <f t="shared" ca="1" si="611"/>
        <v>4860723.6545441281</v>
      </c>
      <c r="AD2777" s="196">
        <f>IFERROR($G2777/SUMIF($A:$A,$A2777,$G:$G)*SUMIF(Summary!$A$166:$A$242,$A2777,Summary!$P$166:$P$242),0)</f>
        <v>495412.64009207138</v>
      </c>
      <c r="AE2777" s="197">
        <f t="shared" ca="1" si="612"/>
        <v>4365311.014452057</v>
      </c>
      <c r="AF2777" s="196">
        <f>IFERROR(G2777/SUMIF(A:A,A2777,G:G)*SUMIF(Summary!$A$166:$A$242,'Operations Support'!A2777,Summary!$Q$166:$Q$242),0)</f>
        <v>496092.34701744816</v>
      </c>
      <c r="AG2777" s="196">
        <f t="shared" ca="1" si="613"/>
        <v>4364631.3075266797</v>
      </c>
      <c r="AI2777" s="196">
        <f>IFERROR($G2777/SUMIF($A:$A,$A2777,$G:$G)*SUMIF(Summary!$A$247:$A$283,$A2777,Summary!$P$247:$P$283),0)</f>
        <v>90350.902668169045</v>
      </c>
      <c r="AJ2777" s="196">
        <f>IFERROR($G2777/SUMIF($A:$A,$A2777,$G:$G)*(SUMIF(Summary!$A$247:$A$283,$A2777,Summary!$L$247:$L$283)+SUMIF(Summary!$A$297:$A$333,$A2777,Summary!$L$297:$L$333))-AI2777,0)</f>
        <v>400057.25051429082</v>
      </c>
      <c r="AK2777" s="196">
        <f>IFERROR($G2777/SUMIF($A:$A,$A2777,$G:$G)*SUMIF(Summary!$A$247:$A$283,$A2777,Summary!$Q$247:$Q$283),0)</f>
        <v>90474.86424946053</v>
      </c>
      <c r="AL2777" s="196">
        <f>IFERROR($G2777/SUMIF($A:$A,$A2777,$G:$G)*(SUMIF(Summary!$A$247:$A$283,$A2777,Summary!$L$247:$L$283)+SUMIF(Summary!$A$297:$A$333,$A2777,Summary!$L$297:$L$333))-AK2777,0)</f>
        <v>399933.28893299936</v>
      </c>
      <c r="AM2777" s="198"/>
      <c r="AN2777" s="196">
        <f t="shared" ca="1" si="614"/>
        <v>4765368.2649663482</v>
      </c>
      <c r="AO2777" s="196">
        <f t="shared" ca="1" si="615"/>
        <v>4764564.5964596793</v>
      </c>
    </row>
    <row r="2778" spans="1:41" s="201" customFormat="1">
      <c r="A2778" s="189">
        <v>10115</v>
      </c>
      <c r="B2778" s="190">
        <v>3</v>
      </c>
      <c r="C2778" s="191" t="s">
        <v>221</v>
      </c>
      <c r="D2778" s="192">
        <f t="shared" si="602"/>
        <v>4947.5</v>
      </c>
      <c r="E2778" s="192">
        <f t="shared" si="603"/>
        <v>2542.5</v>
      </c>
      <c r="F2778" s="192">
        <f t="shared" si="604"/>
        <v>0</v>
      </c>
      <c r="G2778" s="193">
        <f t="shared" si="605"/>
        <v>7490</v>
      </c>
      <c r="H2778" s="194">
        <v>1996</v>
      </c>
      <c r="I2778" s="194">
        <v>1237</v>
      </c>
      <c r="J2778" s="194">
        <v>0</v>
      </c>
      <c r="K2778" s="193">
        <f t="shared" si="606"/>
        <v>3233</v>
      </c>
      <c r="L2778" s="194">
        <v>2443</v>
      </c>
      <c r="M2778" s="194">
        <v>1018</v>
      </c>
      <c r="N2778" s="194">
        <v>0</v>
      </c>
      <c r="O2778" s="193">
        <f t="shared" si="607"/>
        <v>3461</v>
      </c>
      <c r="P2778" s="194">
        <v>508.5</v>
      </c>
      <c r="Q2778" s="194">
        <v>287.5</v>
      </c>
      <c r="R2778" s="194">
        <v>0</v>
      </c>
      <c r="S2778" s="193">
        <f t="shared" si="608"/>
        <v>796</v>
      </c>
      <c r="T2778" s="193">
        <f t="shared" si="609"/>
        <v>312.08333333333331</v>
      </c>
      <c r="U2778" s="193">
        <f ca="1">OFFSET('Expenditure Study'!$B$7,'Operations Support'!$C2778,'Operations Support'!$B2778)*$G2778</f>
        <v>52430</v>
      </c>
      <c r="V2778" s="199">
        <f ca="1">U2778*'Expenditure Study'!$B$31</f>
        <v>3097731.1693440001</v>
      </c>
      <c r="W2778" s="199">
        <f ca="1">IF(A2778=10298,1.51,1)*IF($B2778&lt;3,$D2778*'Expenditure Study'!$B$32*OFFSET('Expenditure Study'!$B$7,'Operations Support'!$C2778,'Operations Support'!$B2778),0)</f>
        <v>0</v>
      </c>
      <c r="X2778" s="200">
        <f ca="1">W2778*'Expenditure Study'!$B$31</f>
        <v>0</v>
      </c>
      <c r="Y2778" s="199">
        <f ca="1">U2778*'Expenditure Study'!$B$31</f>
        <v>3097731.1693440001</v>
      </c>
      <c r="Z2778" s="200">
        <f ca="1">W2778*'Expenditure Study'!$B$31</f>
        <v>0</v>
      </c>
      <c r="AA2778" s="195">
        <f t="shared" ca="1" si="610"/>
        <v>3097731.1693440001</v>
      </c>
      <c r="AB2778" s="195">
        <f t="shared" ca="1" si="611"/>
        <v>3097731.1693440001</v>
      </c>
      <c r="AD2778" s="196">
        <f>IFERROR($G2778/SUMIF($A:$A,$A2778,$G:$G)*SUMIF(Summary!$A$166:$A$242,$A2778,Summary!$P$166:$P$242),0)</f>
        <v>201162.34816706137</v>
      </c>
      <c r="AE2778" s="197">
        <f t="shared" ca="1" si="612"/>
        <v>2896568.8211769387</v>
      </c>
      <c r="AF2778" s="196">
        <f>IFERROR(G2778/SUMIF(A:A,A2778,G:G)*SUMIF(Summary!$A$166:$A$242,'Operations Support'!A2778,Summary!$Q$166:$Q$242),0)</f>
        <v>201438.34322675303</v>
      </c>
      <c r="AG2778" s="196">
        <f t="shared" ca="1" si="613"/>
        <v>2896292.8261172469</v>
      </c>
      <c r="AH2778" s="180"/>
      <c r="AI2778" s="196">
        <f>IFERROR($G2778/SUMIF($A:$A,$A2778,$G:$G)*SUMIF(Summary!$A$247:$A$283,$A2778,Summary!$P$247:$P$283),0)</f>
        <v>36686.99235523073</v>
      </c>
      <c r="AJ2778" s="196">
        <f>IFERROR($G2778/SUMIF($A:$A,$A2778,$G:$G)*(SUMIF(Summary!$A$247:$A$283,$A2778,Summary!$L$247:$L$283)+SUMIF(Summary!$A$297:$A$333,$A2778,Summary!$L$297:$L$333))-AI2778,0)</f>
        <v>162443.28344096488</v>
      </c>
      <c r="AK2778" s="196">
        <f>IFERROR($G2778/SUMIF($A:$A,$A2778,$G:$G)*SUMIF(Summary!$A$247:$A$283,$A2778,Summary!$Q$247:$Q$283),0)</f>
        <v>36737.326966738554</v>
      </c>
      <c r="AL2778" s="196">
        <f>IFERROR($G2778/SUMIF($A:$A,$A2778,$G:$G)*(SUMIF(Summary!$A$247:$A$283,$A2778,Summary!$L$247:$L$283)+SUMIF(Summary!$A$297:$A$333,$A2778,Summary!$L$297:$L$333))-AK2778,0)</f>
        <v>162392.94882945705</v>
      </c>
      <c r="AM2778" s="198"/>
      <c r="AN2778" s="196">
        <f t="shared" ca="1" si="614"/>
        <v>3059012.1046179035</v>
      </c>
      <c r="AO2778" s="196">
        <f t="shared" ca="1" si="615"/>
        <v>3058685.774946704</v>
      </c>
    </row>
    <row r="2779" spans="1:41" s="201" customFormat="1">
      <c r="A2779" s="189">
        <v>10115</v>
      </c>
      <c r="B2779" s="190">
        <v>3</v>
      </c>
      <c r="C2779" s="191" t="s">
        <v>222</v>
      </c>
      <c r="D2779" s="192">
        <f t="shared" si="602"/>
        <v>750</v>
      </c>
      <c r="E2779" s="192">
        <f t="shared" si="603"/>
        <v>162</v>
      </c>
      <c r="F2779" s="192">
        <f t="shared" si="604"/>
        <v>0</v>
      </c>
      <c r="G2779" s="193">
        <f t="shared" si="605"/>
        <v>912</v>
      </c>
      <c r="H2779" s="194">
        <v>358</v>
      </c>
      <c r="I2779" s="194">
        <v>69</v>
      </c>
      <c r="J2779" s="194">
        <v>0</v>
      </c>
      <c r="K2779" s="193">
        <f t="shared" si="606"/>
        <v>427</v>
      </c>
      <c r="L2779" s="194">
        <v>338</v>
      </c>
      <c r="M2779" s="194">
        <v>90</v>
      </c>
      <c r="N2779" s="194">
        <v>0</v>
      </c>
      <c r="O2779" s="193">
        <f t="shared" si="607"/>
        <v>428</v>
      </c>
      <c r="P2779" s="194">
        <v>54</v>
      </c>
      <c r="Q2779" s="194">
        <v>3</v>
      </c>
      <c r="R2779" s="194">
        <v>0</v>
      </c>
      <c r="S2779" s="193">
        <f t="shared" si="608"/>
        <v>57</v>
      </c>
      <c r="T2779" s="193">
        <f t="shared" si="609"/>
        <v>38</v>
      </c>
      <c r="U2779" s="193">
        <f ca="1">OFFSET('Expenditure Study'!$B$7,'Operations Support'!$C2779,'Operations Support'!$B2779)*$G2779</f>
        <v>6849.12</v>
      </c>
      <c r="V2779" s="199">
        <f ca="1">U2779*'Expenditure Study'!$B$31</f>
        <v>404667.79528089601</v>
      </c>
      <c r="W2779" s="199">
        <f ca="1">IF(A2779=10298,1.51,1)*IF($B2779&lt;3,$D2779*'Expenditure Study'!$B$32*OFFSET('Expenditure Study'!$B$7,'Operations Support'!$C2779,'Operations Support'!$B2779),0)</f>
        <v>0</v>
      </c>
      <c r="X2779" s="200">
        <f ca="1">W2779*'Expenditure Study'!$B$31</f>
        <v>0</v>
      </c>
      <c r="Y2779" s="199">
        <f ca="1">U2779*'Expenditure Study'!$B$31</f>
        <v>404667.79528089601</v>
      </c>
      <c r="Z2779" s="200">
        <f ca="1">W2779*'Expenditure Study'!$B$31</f>
        <v>0</v>
      </c>
      <c r="AA2779" s="195">
        <f t="shared" ca="1" si="610"/>
        <v>404667.79528089601</v>
      </c>
      <c r="AB2779" s="195">
        <f t="shared" ca="1" si="611"/>
        <v>404667.79528089601</v>
      </c>
      <c r="AD2779" s="196">
        <f>IFERROR($G2779/SUMIF($A:$A,$A2779,$G:$G)*SUMIF(Summary!$A$166:$A$242,$A2779,Summary!$P$166:$P$242),0)</f>
        <v>24494.000204053402</v>
      </c>
      <c r="AE2779" s="197">
        <f t="shared" ca="1" si="612"/>
        <v>380173.79507684259</v>
      </c>
      <c r="AF2779" s="196">
        <f>IFERROR(G2779/SUMIF(A:A,A2779,G:G)*SUMIF(Summary!$A$166:$A$242,'Operations Support'!A2779,Summary!$Q$166:$Q$242),0)</f>
        <v>24527.606011054573</v>
      </c>
      <c r="AG2779" s="196">
        <f t="shared" ca="1" si="613"/>
        <v>380140.18926984142</v>
      </c>
      <c r="AH2779" s="180"/>
      <c r="AI2779" s="196">
        <f>IFERROR($G2779/SUMIF($A:$A,$A2779,$G:$G)*SUMIF(Summary!$A$247:$A$283,$A2779,Summary!$P$247:$P$283),0)</f>
        <v>4467.0943962577339</v>
      </c>
      <c r="AJ2779" s="196">
        <f>IFERROR($G2779/SUMIF($A:$A,$A2779,$G:$G)*(SUMIF(Summary!$A$247:$A$283,$A2779,Summary!$L$247:$L$283)+SUMIF(Summary!$A$297:$A$333,$A2779,Summary!$L$297:$L$333))-AI2779,0)</f>
        <v>19779.475900955938</v>
      </c>
      <c r="AK2779" s="196">
        <f>IFERROR($G2779/SUMIF($A:$A,$A2779,$G:$G)*SUMIF(Summary!$A$247:$A$283,$A2779,Summary!$Q$247:$Q$283),0)</f>
        <v>4473.2232568311829</v>
      </c>
      <c r="AL2779" s="196">
        <f>IFERROR($G2779/SUMIF($A:$A,$A2779,$G:$G)*(SUMIF(Summary!$A$247:$A$283,$A2779,Summary!$L$247:$L$283)+SUMIF(Summary!$A$297:$A$333,$A2779,Summary!$L$297:$L$333))-AK2779,0)</f>
        <v>19773.34704038249</v>
      </c>
      <c r="AM2779" s="198"/>
      <c r="AN2779" s="196">
        <f t="shared" ca="1" si="614"/>
        <v>399953.27097779856</v>
      </c>
      <c r="AO2779" s="196">
        <f t="shared" ca="1" si="615"/>
        <v>399913.53631022392</v>
      </c>
    </row>
    <row r="2780" spans="1:41">
      <c r="A2780" s="189">
        <v>10115</v>
      </c>
      <c r="B2780" s="190">
        <v>3</v>
      </c>
      <c r="C2780" s="191" t="s">
        <v>223</v>
      </c>
      <c r="D2780" s="192">
        <f t="shared" si="602"/>
        <v>1374</v>
      </c>
      <c r="E2780" s="192">
        <f t="shared" si="603"/>
        <v>765</v>
      </c>
      <c r="F2780" s="192">
        <f t="shared" si="604"/>
        <v>0</v>
      </c>
      <c r="G2780" s="193">
        <f t="shared" si="605"/>
        <v>2139</v>
      </c>
      <c r="H2780" s="194">
        <v>473</v>
      </c>
      <c r="I2780" s="194">
        <v>202</v>
      </c>
      <c r="J2780" s="194">
        <v>0</v>
      </c>
      <c r="K2780" s="193">
        <f t="shared" si="606"/>
        <v>675</v>
      </c>
      <c r="L2780" s="194">
        <v>595</v>
      </c>
      <c r="M2780" s="194">
        <v>443</v>
      </c>
      <c r="N2780" s="194">
        <v>0</v>
      </c>
      <c r="O2780" s="193">
        <f t="shared" si="607"/>
        <v>1038</v>
      </c>
      <c r="P2780" s="194">
        <v>306</v>
      </c>
      <c r="Q2780" s="194">
        <v>120</v>
      </c>
      <c r="R2780" s="194">
        <v>0</v>
      </c>
      <c r="S2780" s="193">
        <f t="shared" si="608"/>
        <v>426</v>
      </c>
      <c r="T2780" s="193">
        <f t="shared" si="609"/>
        <v>89.125</v>
      </c>
      <c r="U2780" s="193">
        <f ca="1">OFFSET('Expenditure Study'!$B$7,'Operations Support'!$C2780,'Operations Support'!$B2780)*$G2780</f>
        <v>4791.3600000000006</v>
      </c>
      <c r="V2780" s="199">
        <f ca="1">U2780*'Expenditure Study'!$B$31</f>
        <v>283088.78915788804</v>
      </c>
      <c r="W2780" s="199">
        <f ca="1">IF(A2780=10298,1.51,1)*IF($B2780&lt;3,$D2780*'Expenditure Study'!$B$32*OFFSET('Expenditure Study'!$B$7,'Operations Support'!$C2780,'Operations Support'!$B2780),0)</f>
        <v>0</v>
      </c>
      <c r="X2780" s="200">
        <f ca="1">W2780*'Expenditure Study'!$B$31</f>
        <v>0</v>
      </c>
      <c r="Y2780" s="199">
        <f ca="1">U2780*'Expenditure Study'!$B$31</f>
        <v>283088.78915788804</v>
      </c>
      <c r="Z2780" s="200">
        <f ca="1">W2780*'Expenditure Study'!$B$31</f>
        <v>0</v>
      </c>
      <c r="AA2780" s="195">
        <f t="shared" ca="1" si="610"/>
        <v>283088.78915788804</v>
      </c>
      <c r="AB2780" s="195">
        <f t="shared" ca="1" si="611"/>
        <v>283088.78915788804</v>
      </c>
      <c r="AD2780" s="196">
        <f>IFERROR($G2780/SUMIF($A:$A,$A2780,$G:$G)*SUMIF(Summary!$A$166:$A$242,$A2780,Summary!$P$166:$P$242),0)</f>
        <v>57448.099162796309</v>
      </c>
      <c r="AE2780" s="197">
        <f t="shared" ca="1" si="612"/>
        <v>225640.68999509173</v>
      </c>
      <c r="AF2780" s="196">
        <f>IFERROR(G2780/SUMIF(A:A,A2780,G:G)*SUMIF(Summary!$A$166:$A$242,'Operations Support'!A2780,Summary!$Q$166:$Q$242),0)</f>
        <v>57526.918045664184</v>
      </c>
      <c r="AG2780" s="196">
        <f t="shared" ca="1" si="613"/>
        <v>225561.87111222386</v>
      </c>
      <c r="AI2780" s="196">
        <f>IFERROR($G2780/SUMIF($A:$A,$A2780,$G:$G)*SUMIF(Summary!$A$247:$A$283,$A2780,Summary!$P$247:$P$283),0)</f>
        <v>10477.099685959751</v>
      </c>
      <c r="AJ2780" s="196">
        <f>IFERROR($G2780/SUMIF($A:$A,$A2780,$G:$G)*(SUMIF(Summary!$A$247:$A$283,$A2780,Summary!$L$247:$L$283)+SUMIF(Summary!$A$297:$A$333,$A2780,Summary!$L$297:$L$333))-AI2780,0)</f>
        <v>46390.678675597323</v>
      </c>
      <c r="AK2780" s="196">
        <f>IFERROR($G2780/SUMIF($A:$A,$A2780,$G:$G)*SUMIF(Summary!$A$247:$A$283,$A2780,Summary!$Q$247:$Q$283),0)</f>
        <v>10491.474283291558</v>
      </c>
      <c r="AL2780" s="196">
        <f>IFERROR($G2780/SUMIF($A:$A,$A2780,$G:$G)*(SUMIF(Summary!$A$247:$A$283,$A2780,Summary!$L$247:$L$283)+SUMIF(Summary!$A$297:$A$333,$A2780,Summary!$L$297:$L$333))-AK2780,0)</f>
        <v>46376.304078265515</v>
      </c>
      <c r="AM2780" s="198"/>
      <c r="AN2780" s="196">
        <f t="shared" ca="1" si="614"/>
        <v>272031.36867068906</v>
      </c>
      <c r="AO2780" s="196">
        <f t="shared" ca="1" si="615"/>
        <v>271938.17519048939</v>
      </c>
    </row>
    <row r="2781" spans="1:41">
      <c r="A2781" s="189">
        <v>10115</v>
      </c>
      <c r="B2781" s="190">
        <v>3</v>
      </c>
      <c r="C2781" s="191" t="s">
        <v>224</v>
      </c>
      <c r="D2781" s="192">
        <f t="shared" si="602"/>
        <v>0.3</v>
      </c>
      <c r="E2781" s="192">
        <f t="shared" si="603"/>
        <v>2.7</v>
      </c>
      <c r="F2781" s="192">
        <f t="shared" si="604"/>
        <v>0</v>
      </c>
      <c r="G2781" s="193">
        <f t="shared" si="605"/>
        <v>3</v>
      </c>
      <c r="H2781" s="194">
        <v>0.3</v>
      </c>
      <c r="I2781" s="194">
        <v>2.7</v>
      </c>
      <c r="J2781" s="194">
        <v>0</v>
      </c>
      <c r="K2781" s="193">
        <f t="shared" si="606"/>
        <v>3</v>
      </c>
      <c r="L2781" s="194">
        <v>0</v>
      </c>
      <c r="M2781" s="194">
        <v>0</v>
      </c>
      <c r="N2781" s="194">
        <v>0</v>
      </c>
      <c r="O2781" s="193">
        <f t="shared" si="607"/>
        <v>0</v>
      </c>
      <c r="P2781" s="194">
        <v>0</v>
      </c>
      <c r="Q2781" s="194">
        <v>0</v>
      </c>
      <c r="R2781" s="194">
        <v>0</v>
      </c>
      <c r="S2781" s="193">
        <f t="shared" si="608"/>
        <v>0</v>
      </c>
      <c r="T2781" s="193">
        <f t="shared" si="609"/>
        <v>0.125</v>
      </c>
      <c r="U2781" s="193">
        <f ca="1">OFFSET('Expenditure Study'!$B$7,'Operations Support'!$C2781,'Operations Support'!$B2781)*$G2781</f>
        <v>27.509999999999998</v>
      </c>
      <c r="V2781" s="199">
        <f ca="1">U2781*'Expenditure Study'!$B$31</f>
        <v>1625.3783038079998</v>
      </c>
      <c r="W2781" s="199">
        <f ca="1">IF(A2781=10298,1.51,1)*IF($B2781&lt;3,$D2781*'Expenditure Study'!$B$32*OFFSET('Expenditure Study'!$B$7,'Operations Support'!$C2781,'Operations Support'!$B2781),0)</f>
        <v>0</v>
      </c>
      <c r="X2781" s="200">
        <f ca="1">W2781*'Expenditure Study'!$B$31</f>
        <v>0</v>
      </c>
      <c r="Y2781" s="199">
        <f ca="1">U2781*'Expenditure Study'!$B$31</f>
        <v>1625.3783038079998</v>
      </c>
      <c r="Z2781" s="200">
        <f ca="1">W2781*'Expenditure Study'!$B$31</f>
        <v>0</v>
      </c>
      <c r="AA2781" s="195">
        <f t="shared" ca="1" si="610"/>
        <v>1625.3783038079998</v>
      </c>
      <c r="AB2781" s="195">
        <f t="shared" ca="1" si="611"/>
        <v>1625.3783038079998</v>
      </c>
      <c r="AD2781" s="196">
        <f>IFERROR($G2781/SUMIF($A:$A,$A2781,$G:$G)*SUMIF(Summary!$A$166:$A$242,$A2781,Summary!$P$166:$P$242),0)</f>
        <v>80.572369092280923</v>
      </c>
      <c r="AE2781" s="197">
        <f t="shared" ca="1" si="612"/>
        <v>1544.8059347157189</v>
      </c>
      <c r="AF2781" s="196">
        <f>IFERROR(G2781/SUMIF(A:A,A2781,G:G)*SUMIF(Summary!$A$166:$A$242,'Operations Support'!A2781,Summary!$Q$166:$Q$242),0)</f>
        <v>80.682914510047937</v>
      </c>
      <c r="AG2781" s="196">
        <f t="shared" ca="1" si="613"/>
        <v>1544.6953892979518</v>
      </c>
      <c r="AI2781" s="196">
        <f>IFERROR($G2781/SUMIF($A:$A,$A2781,$G:$G)*SUMIF(Summary!$A$247:$A$283,$A2781,Summary!$P$247:$P$283),0)</f>
        <v>14.694389461374124</v>
      </c>
      <c r="AJ2781" s="196">
        <f>IFERROR($G2781/SUMIF($A:$A,$A2781,$G:$G)*(SUMIF(Summary!$A$247:$A$283,$A2781,Summary!$L$247:$L$283)+SUMIF(Summary!$A$297:$A$333,$A2781,Summary!$L$297:$L$333))-AI2781,0)</f>
        <v>65.064065463670843</v>
      </c>
      <c r="AK2781" s="196">
        <f>IFERROR($G2781/SUMIF($A:$A,$A2781,$G:$G)*SUMIF(Summary!$A$247:$A$283,$A2781,Summary!$Q$247:$Q$283),0)</f>
        <v>14.714550186944679</v>
      </c>
      <c r="AL2781" s="196">
        <f>IFERROR($G2781/SUMIF($A:$A,$A2781,$G:$G)*(SUMIF(Summary!$A$247:$A$283,$A2781,Summary!$L$247:$L$283)+SUMIF(Summary!$A$297:$A$333,$A2781,Summary!$L$297:$L$333))-AK2781,0)</f>
        <v>65.043904738100295</v>
      </c>
      <c r="AM2781" s="198"/>
      <c r="AN2781" s="196">
        <f t="shared" ca="1" si="614"/>
        <v>1609.8700001793898</v>
      </c>
      <c r="AO2781" s="196">
        <f t="shared" ca="1" si="615"/>
        <v>1609.7392940360521</v>
      </c>
    </row>
    <row r="2782" spans="1:41">
      <c r="A2782" s="189">
        <v>10115</v>
      </c>
      <c r="B2782" s="190">
        <v>3</v>
      </c>
      <c r="C2782" s="191" t="s">
        <v>225</v>
      </c>
      <c r="D2782" s="192">
        <f t="shared" si="602"/>
        <v>6769.5</v>
      </c>
      <c r="E2782" s="192">
        <f t="shared" si="603"/>
        <v>4386.5</v>
      </c>
      <c r="F2782" s="192">
        <f t="shared" si="604"/>
        <v>0</v>
      </c>
      <c r="G2782" s="193">
        <f t="shared" si="605"/>
        <v>11156</v>
      </c>
      <c r="H2782" s="194">
        <v>3068</v>
      </c>
      <c r="I2782" s="194">
        <v>1807</v>
      </c>
      <c r="J2782" s="194">
        <v>0</v>
      </c>
      <c r="K2782" s="193">
        <f t="shared" si="606"/>
        <v>4875</v>
      </c>
      <c r="L2782" s="194">
        <v>3432.5</v>
      </c>
      <c r="M2782" s="194">
        <v>2160.5</v>
      </c>
      <c r="N2782" s="194">
        <v>0</v>
      </c>
      <c r="O2782" s="193">
        <f t="shared" si="607"/>
        <v>5593</v>
      </c>
      <c r="P2782" s="194">
        <v>269</v>
      </c>
      <c r="Q2782" s="194">
        <v>419</v>
      </c>
      <c r="R2782" s="194">
        <v>0</v>
      </c>
      <c r="S2782" s="193">
        <f t="shared" si="608"/>
        <v>688</v>
      </c>
      <c r="T2782" s="193">
        <f t="shared" si="609"/>
        <v>464.83333333333331</v>
      </c>
      <c r="U2782" s="193">
        <f ca="1">OFFSET('Expenditure Study'!$B$7,'Operations Support'!$C2782,'Operations Support'!$B2782)*$G2782</f>
        <v>77087.960000000006</v>
      </c>
      <c r="V2782" s="199">
        <f ca="1">U2782*'Expenditure Study'!$B$31</f>
        <v>4554601.8781831684</v>
      </c>
      <c r="W2782" s="199">
        <f ca="1">IF(A2782=10298,1.51,1)*IF($B2782&lt;3,$D2782*'Expenditure Study'!$B$32*OFFSET('Expenditure Study'!$B$7,'Operations Support'!$C2782,'Operations Support'!$B2782),0)</f>
        <v>0</v>
      </c>
      <c r="X2782" s="200">
        <f ca="1">W2782*'Expenditure Study'!$B$31</f>
        <v>0</v>
      </c>
      <c r="Y2782" s="199">
        <f ca="1">U2782*'Expenditure Study'!$B$31</f>
        <v>4554601.8781831684</v>
      </c>
      <c r="Z2782" s="200">
        <f ca="1">W2782*'Expenditure Study'!$B$31</f>
        <v>0</v>
      </c>
      <c r="AA2782" s="195">
        <f t="shared" ca="1" si="610"/>
        <v>4554601.8781831684</v>
      </c>
      <c r="AB2782" s="195">
        <f t="shared" ca="1" si="611"/>
        <v>4554601.8781831684</v>
      </c>
      <c r="AD2782" s="196">
        <f>IFERROR($G2782/SUMIF($A:$A,$A2782,$G:$G)*SUMIF(Summary!$A$166:$A$242,$A2782,Summary!$P$166:$P$242),0)</f>
        <v>299621.78319782868</v>
      </c>
      <c r="AE2782" s="197">
        <f t="shared" ca="1" si="612"/>
        <v>4254980.0949853398</v>
      </c>
      <c r="AF2782" s="196">
        <f>IFERROR(G2782/SUMIF(A:A,A2782,G:G)*SUMIF(Summary!$A$166:$A$242,'Operations Support'!A2782,Summary!$Q$166:$Q$242),0)</f>
        <v>300032.86475803162</v>
      </c>
      <c r="AG2782" s="196">
        <f t="shared" ca="1" si="613"/>
        <v>4254569.0134251369</v>
      </c>
      <c r="AI2782" s="196">
        <f>IFERROR($G2782/SUMIF($A:$A,$A2782,$G:$G)*SUMIF(Summary!$A$247:$A$283,$A2782,Summary!$P$247:$P$283),0)</f>
        <v>54643.536277029911</v>
      </c>
      <c r="AJ2782" s="196">
        <f>IFERROR($G2782/SUMIF($A:$A,$A2782,$G:$G)*(SUMIF(Summary!$A$247:$A$283,$A2782,Summary!$L$247:$L$283)+SUMIF(Summary!$A$297:$A$333,$A2782,Summary!$L$297:$L$333))-AI2782,0)</f>
        <v>241951.57143757067</v>
      </c>
      <c r="AK2782" s="196">
        <f>IFERROR($G2782/SUMIF($A:$A,$A2782,$G:$G)*SUMIF(Summary!$A$247:$A$283,$A2782,Summary!$Q$247:$Q$283),0)</f>
        <v>54718.507295184951</v>
      </c>
      <c r="AL2782" s="196">
        <f>IFERROR($G2782/SUMIF($A:$A,$A2782,$G:$G)*(SUMIF(Summary!$A$247:$A$283,$A2782,Summary!$L$247:$L$283)+SUMIF(Summary!$A$297:$A$333,$A2782,Summary!$L$297:$L$333))-AK2782,0)</f>
        <v>241876.60041941563</v>
      </c>
      <c r="AM2782" s="198"/>
      <c r="AN2782" s="196">
        <f t="shared" ca="1" si="614"/>
        <v>4496931.6664229101</v>
      </c>
      <c r="AO2782" s="196">
        <f t="shared" ca="1" si="615"/>
        <v>4496445.613844553</v>
      </c>
    </row>
    <row r="2783" spans="1:41">
      <c r="A2783" s="189">
        <v>10115</v>
      </c>
      <c r="B2783" s="190">
        <v>3</v>
      </c>
      <c r="C2783" s="191" t="s">
        <v>226</v>
      </c>
      <c r="D2783" s="192">
        <f t="shared" si="602"/>
        <v>24</v>
      </c>
      <c r="E2783" s="192">
        <f t="shared" si="603"/>
        <v>0</v>
      </c>
      <c r="F2783" s="192">
        <f t="shared" si="604"/>
        <v>0</v>
      </c>
      <c r="G2783" s="193">
        <f t="shared" si="605"/>
        <v>24</v>
      </c>
      <c r="H2783" s="194">
        <v>0</v>
      </c>
      <c r="I2783" s="194">
        <v>0</v>
      </c>
      <c r="J2783" s="194">
        <v>0</v>
      </c>
      <c r="K2783" s="193">
        <f t="shared" si="606"/>
        <v>0</v>
      </c>
      <c r="L2783" s="194">
        <v>24</v>
      </c>
      <c r="M2783" s="194">
        <v>0</v>
      </c>
      <c r="N2783" s="194">
        <v>0</v>
      </c>
      <c r="O2783" s="193">
        <f t="shared" si="607"/>
        <v>24</v>
      </c>
      <c r="P2783" s="194">
        <v>0</v>
      </c>
      <c r="Q2783" s="194">
        <v>0</v>
      </c>
      <c r="R2783" s="194">
        <v>0</v>
      </c>
      <c r="S2783" s="193">
        <f t="shared" si="608"/>
        <v>0</v>
      </c>
      <c r="T2783" s="193">
        <f t="shared" si="609"/>
        <v>1</v>
      </c>
      <c r="U2783" s="193">
        <f ca="1">OFFSET('Expenditure Study'!$B$7,'Operations Support'!$C2783,'Operations Support'!$B2783)*$G2783</f>
        <v>82.800000000000011</v>
      </c>
      <c r="V2783" s="199">
        <f ca="1">U2783*'Expenditure Study'!$B$31</f>
        <v>4892.0873702400004</v>
      </c>
      <c r="W2783" s="199">
        <f ca="1">IF(A2783=10298,1.51,1)*IF($B2783&lt;3,$D2783*'Expenditure Study'!$B$32*OFFSET('Expenditure Study'!$B$7,'Operations Support'!$C2783,'Operations Support'!$B2783),0)</f>
        <v>0</v>
      </c>
      <c r="X2783" s="200">
        <f ca="1">W2783*'Expenditure Study'!$B$31</f>
        <v>0</v>
      </c>
      <c r="Y2783" s="199">
        <f ca="1">U2783*'Expenditure Study'!$B$31</f>
        <v>4892.0873702400004</v>
      </c>
      <c r="Z2783" s="200">
        <f ca="1">W2783*'Expenditure Study'!$B$31</f>
        <v>0</v>
      </c>
      <c r="AA2783" s="195">
        <f t="shared" ca="1" si="610"/>
        <v>4892.0873702400004</v>
      </c>
      <c r="AB2783" s="195">
        <f t="shared" ca="1" si="611"/>
        <v>4892.0873702400004</v>
      </c>
      <c r="AD2783" s="196">
        <f>IFERROR($G2783/SUMIF($A:$A,$A2783,$G:$G)*SUMIF(Summary!$A$166:$A$242,$A2783,Summary!$P$166:$P$242),0)</f>
        <v>644.57895273824738</v>
      </c>
      <c r="AE2783" s="197">
        <f t="shared" ca="1" si="612"/>
        <v>4247.5084175017528</v>
      </c>
      <c r="AF2783" s="196">
        <f>IFERROR(G2783/SUMIF(A:A,A2783,G:G)*SUMIF(Summary!$A$166:$A$242,'Operations Support'!A2783,Summary!$Q$166:$Q$242),0)</f>
        <v>645.46331608038349</v>
      </c>
      <c r="AG2783" s="196">
        <f t="shared" ca="1" si="613"/>
        <v>4246.6240541596171</v>
      </c>
      <c r="AI2783" s="196">
        <f>IFERROR($G2783/SUMIF($A:$A,$A2783,$G:$G)*SUMIF(Summary!$A$247:$A$283,$A2783,Summary!$P$247:$P$283),0)</f>
        <v>117.55511569099299</v>
      </c>
      <c r="AJ2783" s="196">
        <f>IFERROR($G2783/SUMIF($A:$A,$A2783,$G:$G)*(SUMIF(Summary!$A$247:$A$283,$A2783,Summary!$L$247:$L$283)+SUMIF(Summary!$A$297:$A$333,$A2783,Summary!$L$297:$L$333))-AI2783,0)</f>
        <v>520.51252370936675</v>
      </c>
      <c r="AK2783" s="196">
        <f>IFERROR($G2783/SUMIF($A:$A,$A2783,$G:$G)*SUMIF(Summary!$A$247:$A$283,$A2783,Summary!$Q$247:$Q$283),0)</f>
        <v>117.71640149555743</v>
      </c>
      <c r="AL2783" s="196">
        <f>IFERROR($G2783/SUMIF($A:$A,$A2783,$G:$G)*(SUMIF(Summary!$A$247:$A$283,$A2783,Summary!$L$247:$L$283)+SUMIF(Summary!$A$297:$A$333,$A2783,Summary!$L$297:$L$333))-AK2783,0)</f>
        <v>520.35123790480236</v>
      </c>
      <c r="AM2783" s="198"/>
      <c r="AN2783" s="196">
        <f t="shared" ca="1" si="614"/>
        <v>4768.0209412111199</v>
      </c>
      <c r="AO2783" s="196">
        <f t="shared" ca="1" si="615"/>
        <v>4766.9752920644196</v>
      </c>
    </row>
    <row r="2784" spans="1:41">
      <c r="A2784" s="189">
        <v>10115</v>
      </c>
      <c r="B2784" s="190">
        <v>3</v>
      </c>
      <c r="C2784" s="191" t="s">
        <v>227</v>
      </c>
      <c r="D2784" s="192">
        <f t="shared" si="602"/>
        <v>0</v>
      </c>
      <c r="E2784" s="192">
        <f t="shared" si="603"/>
        <v>0</v>
      </c>
      <c r="F2784" s="192">
        <f t="shared" si="604"/>
        <v>0</v>
      </c>
      <c r="G2784" s="193">
        <f t="shared" si="605"/>
        <v>0</v>
      </c>
      <c r="H2784" s="194">
        <v>0</v>
      </c>
      <c r="I2784" s="194">
        <v>0</v>
      </c>
      <c r="J2784" s="194">
        <v>0</v>
      </c>
      <c r="K2784" s="193">
        <f t="shared" si="606"/>
        <v>0</v>
      </c>
      <c r="L2784" s="194">
        <v>0</v>
      </c>
      <c r="M2784" s="194">
        <v>0</v>
      </c>
      <c r="N2784" s="194">
        <v>0</v>
      </c>
      <c r="O2784" s="193">
        <f t="shared" si="607"/>
        <v>0</v>
      </c>
      <c r="P2784" s="194">
        <v>0</v>
      </c>
      <c r="Q2784" s="194">
        <v>0</v>
      </c>
      <c r="R2784" s="194">
        <v>0</v>
      </c>
      <c r="S2784" s="193">
        <f t="shared" si="608"/>
        <v>0</v>
      </c>
      <c r="T2784" s="193">
        <f t="shared" si="609"/>
        <v>0</v>
      </c>
      <c r="U2784" s="193">
        <f ca="1">OFFSET('Expenditure Study'!$B$7,'Operations Support'!$C2784,'Operations Support'!$B2784)*$G2784</f>
        <v>0</v>
      </c>
      <c r="V2784" s="199">
        <f ca="1">U2784*'Expenditure Study'!$B$31</f>
        <v>0</v>
      </c>
      <c r="W2784" s="199">
        <f ca="1">IF(A2784=10298,1.51,1)*IF($B2784&lt;3,$D2784*'Expenditure Study'!$B$32*OFFSET('Expenditure Study'!$B$7,'Operations Support'!$C2784,'Operations Support'!$B2784),0)</f>
        <v>0</v>
      </c>
      <c r="X2784" s="200">
        <f ca="1">W2784*'Expenditure Study'!$B$31</f>
        <v>0</v>
      </c>
      <c r="Y2784" s="199">
        <f ca="1">U2784*'Expenditure Study'!$B$31</f>
        <v>0</v>
      </c>
      <c r="Z2784" s="200">
        <f ca="1">W2784*'Expenditure Study'!$B$31</f>
        <v>0</v>
      </c>
      <c r="AA2784" s="195">
        <f t="shared" ca="1" si="610"/>
        <v>0</v>
      </c>
      <c r="AB2784" s="195">
        <f t="shared" ca="1" si="611"/>
        <v>0</v>
      </c>
      <c r="AD2784" s="196">
        <f>IFERROR($G2784/SUMIF($A:$A,$A2784,$G:$G)*SUMIF(Summary!$A$166:$A$242,$A2784,Summary!$P$166:$P$242),0)</f>
        <v>0</v>
      </c>
      <c r="AE2784" s="197">
        <f t="shared" ca="1" si="612"/>
        <v>0</v>
      </c>
      <c r="AF2784" s="196">
        <f>IFERROR(G2784/SUMIF(A:A,A2784,G:G)*SUMIF(Summary!$A$166:$A$242,'Operations Support'!A2784,Summary!$Q$166:$Q$242),0)</f>
        <v>0</v>
      </c>
      <c r="AG2784" s="196">
        <f t="shared" ca="1" si="613"/>
        <v>0</v>
      </c>
      <c r="AI2784" s="196">
        <f>IFERROR($G2784/SUMIF($A:$A,$A2784,$G:$G)*SUMIF(Summary!$A$247:$A$283,$A2784,Summary!$P$247:$P$283),0)</f>
        <v>0</v>
      </c>
      <c r="AJ2784" s="196">
        <f>IFERROR($G2784/SUMIF($A:$A,$A2784,$G:$G)*(SUMIF(Summary!$A$247:$A$283,$A2784,Summary!$L$247:$L$283)+SUMIF(Summary!$A$297:$A$333,$A2784,Summary!$L$297:$L$333))-AI2784,0)</f>
        <v>0</v>
      </c>
      <c r="AK2784" s="196">
        <f>IFERROR($G2784/SUMIF($A:$A,$A2784,$G:$G)*SUMIF(Summary!$A$247:$A$283,$A2784,Summary!$Q$247:$Q$283),0)</f>
        <v>0</v>
      </c>
      <c r="AL2784" s="196">
        <f>IFERROR($G2784/SUMIF($A:$A,$A2784,$G:$G)*(SUMIF(Summary!$A$247:$A$283,$A2784,Summary!$L$247:$L$283)+SUMIF(Summary!$A$297:$A$333,$A2784,Summary!$L$297:$L$333))-AK2784,0)</f>
        <v>0</v>
      </c>
      <c r="AM2784" s="198"/>
      <c r="AN2784" s="196">
        <f t="shared" ca="1" si="614"/>
        <v>0</v>
      </c>
      <c r="AO2784" s="196">
        <f t="shared" ca="1" si="615"/>
        <v>0</v>
      </c>
    </row>
    <row r="2785" spans="1:41">
      <c r="A2785" s="189">
        <v>10115</v>
      </c>
      <c r="B2785" s="190">
        <v>3</v>
      </c>
      <c r="C2785" s="191" t="s">
        <v>228</v>
      </c>
      <c r="D2785" s="192">
        <f t="shared" si="602"/>
        <v>1518</v>
      </c>
      <c r="E2785" s="192">
        <f t="shared" si="603"/>
        <v>1911</v>
      </c>
      <c r="F2785" s="192">
        <f t="shared" si="604"/>
        <v>0</v>
      </c>
      <c r="G2785" s="193">
        <f t="shared" si="605"/>
        <v>3429</v>
      </c>
      <c r="H2785" s="194">
        <v>684</v>
      </c>
      <c r="I2785" s="194">
        <v>492</v>
      </c>
      <c r="J2785" s="194">
        <v>0</v>
      </c>
      <c r="K2785" s="193">
        <f t="shared" si="606"/>
        <v>1176</v>
      </c>
      <c r="L2785" s="194">
        <v>720</v>
      </c>
      <c r="M2785" s="194">
        <v>606</v>
      </c>
      <c r="N2785" s="194">
        <v>0</v>
      </c>
      <c r="O2785" s="193">
        <f t="shared" si="607"/>
        <v>1326</v>
      </c>
      <c r="P2785" s="194">
        <v>114</v>
      </c>
      <c r="Q2785" s="194">
        <v>813</v>
      </c>
      <c r="R2785" s="194">
        <v>0</v>
      </c>
      <c r="S2785" s="193">
        <f t="shared" si="608"/>
        <v>927</v>
      </c>
      <c r="T2785" s="193">
        <f t="shared" si="609"/>
        <v>142.875</v>
      </c>
      <c r="U2785" s="193">
        <f ca="1">OFFSET('Expenditure Study'!$B$7,'Operations Support'!$C2785,'Operations Support'!$B2785)*$G2785</f>
        <v>8366.76</v>
      </c>
      <c r="V2785" s="199">
        <f ca="1">U2785*'Expenditure Study'!$B$31</f>
        <v>494334.793790208</v>
      </c>
      <c r="W2785" s="199">
        <f ca="1">IF(A2785=10298,1.51,1)*IF($B2785&lt;3,$D2785*'Expenditure Study'!$B$32*OFFSET('Expenditure Study'!$B$7,'Operations Support'!$C2785,'Operations Support'!$B2785),0)</f>
        <v>0</v>
      </c>
      <c r="X2785" s="200">
        <f ca="1">W2785*'Expenditure Study'!$B$31</f>
        <v>0</v>
      </c>
      <c r="Y2785" s="199">
        <f ca="1">U2785*'Expenditure Study'!$B$31</f>
        <v>494334.793790208</v>
      </c>
      <c r="Z2785" s="200">
        <f ca="1">W2785*'Expenditure Study'!$B$31</f>
        <v>0</v>
      </c>
      <c r="AA2785" s="195">
        <f t="shared" ca="1" si="610"/>
        <v>494334.793790208</v>
      </c>
      <c r="AB2785" s="195">
        <f t="shared" ca="1" si="611"/>
        <v>494334.793790208</v>
      </c>
      <c r="AD2785" s="196">
        <f>IFERROR($G2785/SUMIF($A:$A,$A2785,$G:$G)*SUMIF(Summary!$A$166:$A$242,$A2785,Summary!$P$166:$P$242),0)</f>
        <v>92094.217872477107</v>
      </c>
      <c r="AE2785" s="197">
        <f t="shared" ca="1" si="612"/>
        <v>402240.57591773092</v>
      </c>
      <c r="AF2785" s="196">
        <f>IFERROR(G2785/SUMIF(A:A,A2785,G:G)*SUMIF(Summary!$A$166:$A$242,'Operations Support'!A2785,Summary!$Q$166:$Q$242),0)</f>
        <v>92220.571284984806</v>
      </c>
      <c r="AG2785" s="196">
        <f t="shared" ca="1" si="613"/>
        <v>402114.22250522318</v>
      </c>
      <c r="AI2785" s="196">
        <f>IFERROR($G2785/SUMIF($A:$A,$A2785,$G:$G)*SUMIF(Summary!$A$247:$A$283,$A2785,Summary!$P$247:$P$283),0)</f>
        <v>16795.687154350624</v>
      </c>
      <c r="AJ2785" s="196">
        <f>IFERROR($G2785/SUMIF($A:$A,$A2785,$G:$G)*(SUMIF(Summary!$A$247:$A$283,$A2785,Summary!$L$247:$L$283)+SUMIF(Summary!$A$297:$A$333,$A2785,Summary!$L$297:$L$333))-AI2785,0)</f>
        <v>74368.226824975791</v>
      </c>
      <c r="AK2785" s="196">
        <f>IFERROR($G2785/SUMIF($A:$A,$A2785,$G:$G)*SUMIF(Summary!$A$247:$A$283,$A2785,Summary!$Q$247:$Q$283),0)</f>
        <v>16818.730863677771</v>
      </c>
      <c r="AL2785" s="196">
        <f>IFERROR($G2785/SUMIF($A:$A,$A2785,$G:$G)*(SUMIF(Summary!$A$247:$A$283,$A2785,Summary!$L$247:$L$283)+SUMIF(Summary!$A$297:$A$333,$A2785,Summary!$L$297:$L$333))-AK2785,0)</f>
        <v>74345.183115648644</v>
      </c>
      <c r="AM2785" s="198"/>
      <c r="AN2785" s="196">
        <f t="shared" ca="1" si="614"/>
        <v>476608.80274270673</v>
      </c>
      <c r="AO2785" s="196">
        <f t="shared" ca="1" si="615"/>
        <v>476459.40562087181</v>
      </c>
    </row>
    <row r="2786" spans="1:41">
      <c r="A2786" s="189">
        <v>10115</v>
      </c>
      <c r="B2786" s="190">
        <v>3</v>
      </c>
      <c r="C2786" s="191" t="s">
        <v>229</v>
      </c>
      <c r="D2786" s="192">
        <f t="shared" si="602"/>
        <v>9</v>
      </c>
      <c r="E2786" s="192">
        <f t="shared" si="603"/>
        <v>6</v>
      </c>
      <c r="F2786" s="192">
        <f t="shared" si="604"/>
        <v>0</v>
      </c>
      <c r="G2786" s="193">
        <f t="shared" si="605"/>
        <v>15</v>
      </c>
      <c r="H2786" s="194">
        <v>0</v>
      </c>
      <c r="I2786" s="194">
        <v>0</v>
      </c>
      <c r="J2786" s="194">
        <v>0</v>
      </c>
      <c r="K2786" s="193">
        <f t="shared" si="606"/>
        <v>0</v>
      </c>
      <c r="L2786" s="194">
        <v>0</v>
      </c>
      <c r="M2786" s="194">
        <v>6</v>
      </c>
      <c r="N2786" s="194">
        <v>0</v>
      </c>
      <c r="O2786" s="193">
        <f t="shared" si="607"/>
        <v>6</v>
      </c>
      <c r="P2786" s="194">
        <v>9</v>
      </c>
      <c r="Q2786" s="194">
        <v>0</v>
      </c>
      <c r="R2786" s="194">
        <v>0</v>
      </c>
      <c r="S2786" s="193">
        <f t="shared" si="608"/>
        <v>9</v>
      </c>
      <c r="T2786" s="193">
        <f t="shared" si="609"/>
        <v>0.625</v>
      </c>
      <c r="U2786" s="193">
        <f ca="1">OFFSET('Expenditure Study'!$B$7,'Operations Support'!$C2786,'Operations Support'!$B2786)*$G2786</f>
        <v>55.35</v>
      </c>
      <c r="V2786" s="199">
        <f ca="1">U2786*'Expenditure Study'!$B$31</f>
        <v>3270.2540572800003</v>
      </c>
      <c r="W2786" s="199">
        <f ca="1">IF(A2786=10298,1.51,1)*IF($B2786&lt;3,$D2786*'Expenditure Study'!$B$32*OFFSET('Expenditure Study'!$B$7,'Operations Support'!$C2786,'Operations Support'!$B2786),0)</f>
        <v>0</v>
      </c>
      <c r="X2786" s="200">
        <f ca="1">W2786*'Expenditure Study'!$B$31</f>
        <v>0</v>
      </c>
      <c r="Y2786" s="199">
        <f ca="1">U2786*'Expenditure Study'!$B$31</f>
        <v>3270.2540572800003</v>
      </c>
      <c r="Z2786" s="200">
        <f ca="1">W2786*'Expenditure Study'!$B$31</f>
        <v>0</v>
      </c>
      <c r="AA2786" s="195">
        <f t="shared" ca="1" si="610"/>
        <v>3270.2540572800003</v>
      </c>
      <c r="AB2786" s="195">
        <f t="shared" ca="1" si="611"/>
        <v>3270.2540572800003</v>
      </c>
      <c r="AD2786" s="196">
        <f>IFERROR($G2786/SUMIF($A:$A,$A2786,$G:$G)*SUMIF(Summary!$A$166:$A$242,$A2786,Summary!$P$166:$P$242),0)</f>
        <v>402.8618454614047</v>
      </c>
      <c r="AE2786" s="197">
        <f t="shared" ca="1" si="612"/>
        <v>2867.3922118185956</v>
      </c>
      <c r="AF2786" s="196">
        <f>IFERROR(G2786/SUMIF(A:A,A2786,G:G)*SUMIF(Summary!$A$166:$A$242,'Operations Support'!A2786,Summary!$Q$166:$Q$242),0)</f>
        <v>403.41457255023977</v>
      </c>
      <c r="AG2786" s="196">
        <f t="shared" ca="1" si="613"/>
        <v>2866.8394847297604</v>
      </c>
      <c r="AI2786" s="196">
        <f>IFERROR($G2786/SUMIF($A:$A,$A2786,$G:$G)*SUMIF(Summary!$A$247:$A$283,$A2786,Summary!$P$247:$P$283),0)</f>
        <v>73.471947306870632</v>
      </c>
      <c r="AJ2786" s="196">
        <f>IFERROR($G2786/SUMIF($A:$A,$A2786,$G:$G)*(SUMIF(Summary!$A$247:$A$283,$A2786,Summary!$L$247:$L$283)+SUMIF(Summary!$A$297:$A$333,$A2786,Summary!$L$297:$L$333))-AI2786,0)</f>
        <v>325.32032731835426</v>
      </c>
      <c r="AK2786" s="196">
        <f>IFERROR($G2786/SUMIF($A:$A,$A2786,$G:$G)*SUMIF(Summary!$A$247:$A$283,$A2786,Summary!$Q$247:$Q$283),0)</f>
        <v>73.572750934723402</v>
      </c>
      <c r="AL2786" s="196">
        <f>IFERROR($G2786/SUMIF($A:$A,$A2786,$G:$G)*(SUMIF(Summary!$A$247:$A$283,$A2786,Summary!$L$247:$L$283)+SUMIF(Summary!$A$297:$A$333,$A2786,Summary!$L$297:$L$333))-AK2786,0)</f>
        <v>325.21952369050149</v>
      </c>
      <c r="AM2786" s="198"/>
      <c r="AN2786" s="196">
        <f t="shared" ca="1" si="614"/>
        <v>3192.71253913695</v>
      </c>
      <c r="AO2786" s="196">
        <f t="shared" ca="1" si="615"/>
        <v>3192.0590084202618</v>
      </c>
    </row>
    <row r="2787" spans="1:41">
      <c r="A2787" s="189">
        <v>10115</v>
      </c>
      <c r="B2787" s="190">
        <v>3</v>
      </c>
      <c r="C2787" s="191" t="s">
        <v>230</v>
      </c>
      <c r="D2787" s="192">
        <f t="shared" si="602"/>
        <v>0</v>
      </c>
      <c r="E2787" s="192">
        <f t="shared" si="603"/>
        <v>0</v>
      </c>
      <c r="F2787" s="192">
        <f t="shared" si="604"/>
        <v>0</v>
      </c>
      <c r="G2787" s="193">
        <f t="shared" si="605"/>
        <v>0</v>
      </c>
      <c r="H2787" s="194">
        <v>0</v>
      </c>
      <c r="I2787" s="194">
        <v>0</v>
      </c>
      <c r="J2787" s="194">
        <v>0</v>
      </c>
      <c r="K2787" s="193">
        <f t="shared" si="606"/>
        <v>0</v>
      </c>
      <c r="L2787" s="194">
        <v>0</v>
      </c>
      <c r="M2787" s="194">
        <v>0</v>
      </c>
      <c r="N2787" s="194">
        <v>0</v>
      </c>
      <c r="O2787" s="193">
        <f t="shared" si="607"/>
        <v>0</v>
      </c>
      <c r="P2787" s="194">
        <v>0</v>
      </c>
      <c r="Q2787" s="194">
        <v>0</v>
      </c>
      <c r="R2787" s="194">
        <v>0</v>
      </c>
      <c r="S2787" s="193">
        <f t="shared" si="608"/>
        <v>0</v>
      </c>
      <c r="T2787" s="193">
        <f t="shared" si="609"/>
        <v>0</v>
      </c>
      <c r="U2787" s="193">
        <f ca="1">OFFSET('Expenditure Study'!$B$7,'Operations Support'!$C2787,'Operations Support'!$B2787)*$G2787</f>
        <v>0</v>
      </c>
      <c r="V2787" s="199">
        <f ca="1">U2787*'Expenditure Study'!$B$31</f>
        <v>0</v>
      </c>
      <c r="W2787" s="199">
        <f ca="1">IF(A2787=10298,1.51,1)*IF($B2787&lt;3,$D2787*'Expenditure Study'!$B$32*OFFSET('Expenditure Study'!$B$7,'Operations Support'!$C2787,'Operations Support'!$B2787),0)</f>
        <v>0</v>
      </c>
      <c r="X2787" s="200">
        <f ca="1">W2787*'Expenditure Study'!$B$31</f>
        <v>0</v>
      </c>
      <c r="Y2787" s="199">
        <f ca="1">U2787*'Expenditure Study'!$B$31</f>
        <v>0</v>
      </c>
      <c r="Z2787" s="200">
        <f ca="1">W2787*'Expenditure Study'!$B$31</f>
        <v>0</v>
      </c>
      <c r="AA2787" s="195">
        <f t="shared" ca="1" si="610"/>
        <v>0</v>
      </c>
      <c r="AB2787" s="195">
        <f t="shared" ca="1" si="611"/>
        <v>0</v>
      </c>
      <c r="AD2787" s="196">
        <f>IFERROR($G2787/SUMIF($A:$A,$A2787,$G:$G)*SUMIF(Summary!$A$166:$A$242,$A2787,Summary!$P$166:$P$242),0)</f>
        <v>0</v>
      </c>
      <c r="AE2787" s="197">
        <f t="shared" ca="1" si="612"/>
        <v>0</v>
      </c>
      <c r="AF2787" s="196">
        <f>IFERROR(G2787/SUMIF(A:A,A2787,G:G)*SUMIF(Summary!$A$166:$A$242,'Operations Support'!A2787,Summary!$Q$166:$Q$242),0)</f>
        <v>0</v>
      </c>
      <c r="AG2787" s="196">
        <f t="shared" ca="1" si="613"/>
        <v>0</v>
      </c>
      <c r="AI2787" s="196">
        <f>IFERROR($G2787/SUMIF($A:$A,$A2787,$G:$G)*SUMIF(Summary!$A$247:$A$283,$A2787,Summary!$P$247:$P$283),0)</f>
        <v>0</v>
      </c>
      <c r="AJ2787" s="196">
        <f>IFERROR($G2787/SUMIF($A:$A,$A2787,$G:$G)*(SUMIF(Summary!$A$247:$A$283,$A2787,Summary!$L$247:$L$283)+SUMIF(Summary!$A$297:$A$333,$A2787,Summary!$L$297:$L$333))-AI2787,0)</f>
        <v>0</v>
      </c>
      <c r="AK2787" s="196">
        <f>IFERROR($G2787/SUMIF($A:$A,$A2787,$G:$G)*SUMIF(Summary!$A$247:$A$283,$A2787,Summary!$Q$247:$Q$283),0)</f>
        <v>0</v>
      </c>
      <c r="AL2787" s="196">
        <f>IFERROR($G2787/SUMIF($A:$A,$A2787,$G:$G)*(SUMIF(Summary!$A$247:$A$283,$A2787,Summary!$L$247:$L$283)+SUMIF(Summary!$A$297:$A$333,$A2787,Summary!$L$297:$L$333))-AK2787,0)</f>
        <v>0</v>
      </c>
      <c r="AM2787" s="198"/>
      <c r="AN2787" s="196">
        <f t="shared" ca="1" si="614"/>
        <v>0</v>
      </c>
      <c r="AO2787" s="196">
        <f t="shared" ca="1" si="615"/>
        <v>0</v>
      </c>
    </row>
    <row r="2788" spans="1:41">
      <c r="A2788" s="189">
        <v>10115</v>
      </c>
      <c r="B2788" s="190">
        <v>3</v>
      </c>
      <c r="C2788" s="191" t="s">
        <v>231</v>
      </c>
      <c r="D2788" s="192">
        <f t="shared" si="602"/>
        <v>0</v>
      </c>
      <c r="E2788" s="192">
        <f t="shared" si="603"/>
        <v>0</v>
      </c>
      <c r="F2788" s="192">
        <f t="shared" si="604"/>
        <v>0</v>
      </c>
      <c r="G2788" s="193">
        <f t="shared" si="605"/>
        <v>0</v>
      </c>
      <c r="H2788" s="194">
        <v>0</v>
      </c>
      <c r="I2788" s="194">
        <v>0</v>
      </c>
      <c r="J2788" s="194">
        <v>0</v>
      </c>
      <c r="K2788" s="193">
        <f t="shared" si="606"/>
        <v>0</v>
      </c>
      <c r="L2788" s="194">
        <v>0</v>
      </c>
      <c r="M2788" s="194">
        <v>0</v>
      </c>
      <c r="N2788" s="194">
        <v>0</v>
      </c>
      <c r="O2788" s="193">
        <f t="shared" si="607"/>
        <v>0</v>
      </c>
      <c r="P2788" s="194">
        <v>0</v>
      </c>
      <c r="Q2788" s="194">
        <v>0</v>
      </c>
      <c r="R2788" s="194">
        <v>0</v>
      </c>
      <c r="S2788" s="193">
        <f t="shared" si="608"/>
        <v>0</v>
      </c>
      <c r="T2788" s="193">
        <f t="shared" si="609"/>
        <v>0</v>
      </c>
      <c r="U2788" s="193">
        <f ca="1">OFFSET('Expenditure Study'!$B$7,'Operations Support'!$C2788,'Operations Support'!$B2788)*$G2788</f>
        <v>0</v>
      </c>
      <c r="V2788" s="199">
        <f ca="1">U2788*'Expenditure Study'!$B$31</f>
        <v>0</v>
      </c>
      <c r="W2788" s="199">
        <f ca="1">IF(A2788=10298,1.51,1)*IF($B2788&lt;3,$D2788*'Expenditure Study'!$B$32*OFFSET('Expenditure Study'!$B$7,'Operations Support'!$C2788,'Operations Support'!$B2788),0)</f>
        <v>0</v>
      </c>
      <c r="X2788" s="200">
        <f ca="1">W2788*'Expenditure Study'!$B$31</f>
        <v>0</v>
      </c>
      <c r="Y2788" s="199">
        <f ca="1">U2788*'Expenditure Study'!$B$31</f>
        <v>0</v>
      </c>
      <c r="Z2788" s="200">
        <f ca="1">W2788*'Expenditure Study'!$B$31</f>
        <v>0</v>
      </c>
      <c r="AA2788" s="195">
        <f t="shared" ca="1" si="610"/>
        <v>0</v>
      </c>
      <c r="AB2788" s="195">
        <f t="shared" ca="1" si="611"/>
        <v>0</v>
      </c>
      <c r="AD2788" s="196">
        <f>IFERROR($G2788/SUMIF($A:$A,$A2788,$G:$G)*SUMIF(Summary!$A$166:$A$242,$A2788,Summary!$P$166:$P$242),0)</f>
        <v>0</v>
      </c>
      <c r="AE2788" s="197">
        <f t="shared" ca="1" si="612"/>
        <v>0</v>
      </c>
      <c r="AF2788" s="196">
        <f>IFERROR(G2788/SUMIF(A:A,A2788,G:G)*SUMIF(Summary!$A$166:$A$242,'Operations Support'!A2788,Summary!$Q$166:$Q$242),0)</f>
        <v>0</v>
      </c>
      <c r="AG2788" s="196">
        <f t="shared" ca="1" si="613"/>
        <v>0</v>
      </c>
      <c r="AI2788" s="196">
        <f>IFERROR($G2788/SUMIF($A:$A,$A2788,$G:$G)*SUMIF(Summary!$A$247:$A$283,$A2788,Summary!$P$247:$P$283),0)</f>
        <v>0</v>
      </c>
      <c r="AJ2788" s="196">
        <f>IFERROR($G2788/SUMIF($A:$A,$A2788,$G:$G)*(SUMIF(Summary!$A$247:$A$283,$A2788,Summary!$L$247:$L$283)+SUMIF(Summary!$A$297:$A$333,$A2788,Summary!$L$297:$L$333))-AI2788,0)</f>
        <v>0</v>
      </c>
      <c r="AK2788" s="196">
        <f>IFERROR($G2788/SUMIF($A:$A,$A2788,$G:$G)*SUMIF(Summary!$A$247:$A$283,$A2788,Summary!$Q$247:$Q$283),0)</f>
        <v>0</v>
      </c>
      <c r="AL2788" s="196">
        <f>IFERROR($G2788/SUMIF($A:$A,$A2788,$G:$G)*(SUMIF(Summary!$A$247:$A$283,$A2788,Summary!$L$247:$L$283)+SUMIF(Summary!$A$297:$A$333,$A2788,Summary!$L$297:$L$333))-AK2788,0)</f>
        <v>0</v>
      </c>
      <c r="AM2788" s="198"/>
      <c r="AN2788" s="196">
        <f t="shared" ca="1" si="614"/>
        <v>0</v>
      </c>
      <c r="AO2788" s="196">
        <f t="shared" ca="1" si="615"/>
        <v>0</v>
      </c>
    </row>
    <row r="2789" spans="1:41">
      <c r="A2789" s="189">
        <v>10115</v>
      </c>
      <c r="B2789" s="190">
        <v>3</v>
      </c>
      <c r="C2789" s="191" t="s">
        <v>232</v>
      </c>
      <c r="D2789" s="192">
        <f t="shared" si="602"/>
        <v>0</v>
      </c>
      <c r="E2789" s="192">
        <f t="shared" si="603"/>
        <v>0</v>
      </c>
      <c r="F2789" s="192">
        <f t="shared" si="604"/>
        <v>0</v>
      </c>
      <c r="G2789" s="193">
        <f t="shared" si="605"/>
        <v>0</v>
      </c>
      <c r="H2789" s="194">
        <v>0</v>
      </c>
      <c r="I2789" s="194">
        <v>0</v>
      </c>
      <c r="J2789" s="194">
        <v>0</v>
      </c>
      <c r="K2789" s="193">
        <f t="shared" si="606"/>
        <v>0</v>
      </c>
      <c r="L2789" s="194">
        <v>0</v>
      </c>
      <c r="M2789" s="194">
        <v>0</v>
      </c>
      <c r="N2789" s="194">
        <v>0</v>
      </c>
      <c r="O2789" s="193">
        <f t="shared" si="607"/>
        <v>0</v>
      </c>
      <c r="P2789" s="194">
        <v>0</v>
      </c>
      <c r="Q2789" s="194">
        <v>0</v>
      </c>
      <c r="R2789" s="194">
        <v>0</v>
      </c>
      <c r="S2789" s="193">
        <f t="shared" si="608"/>
        <v>0</v>
      </c>
      <c r="T2789" s="193">
        <f t="shared" si="609"/>
        <v>0</v>
      </c>
      <c r="U2789" s="193">
        <f ca="1">OFFSET('Expenditure Study'!$B$7,'Operations Support'!$C2789,'Operations Support'!$B2789)*$G2789</f>
        <v>0</v>
      </c>
      <c r="V2789" s="199">
        <f ca="1">U2789*'Expenditure Study'!$B$31</f>
        <v>0</v>
      </c>
      <c r="W2789" s="199">
        <f ca="1">IF(A2789=10298,1.51,1)*IF($B2789&lt;3,$D2789*'Expenditure Study'!$B$32*OFFSET('Expenditure Study'!$B$7,'Operations Support'!$C2789,'Operations Support'!$B2789),0)</f>
        <v>0</v>
      </c>
      <c r="X2789" s="200">
        <f ca="1">W2789*'Expenditure Study'!$B$31</f>
        <v>0</v>
      </c>
      <c r="Y2789" s="199">
        <f ca="1">U2789*'Expenditure Study'!$B$31</f>
        <v>0</v>
      </c>
      <c r="Z2789" s="200">
        <f ca="1">W2789*'Expenditure Study'!$B$31</f>
        <v>0</v>
      </c>
      <c r="AA2789" s="195">
        <f t="shared" ca="1" si="610"/>
        <v>0</v>
      </c>
      <c r="AB2789" s="195">
        <f t="shared" ca="1" si="611"/>
        <v>0</v>
      </c>
      <c r="AD2789" s="196">
        <f>IFERROR($G2789/SUMIF($A:$A,$A2789,$G:$G)*SUMIF(Summary!$A$166:$A$242,$A2789,Summary!$P$166:$P$242),0)</f>
        <v>0</v>
      </c>
      <c r="AE2789" s="197">
        <f t="shared" ca="1" si="612"/>
        <v>0</v>
      </c>
      <c r="AF2789" s="196">
        <f>IFERROR(G2789/SUMIF(A:A,A2789,G:G)*SUMIF(Summary!$A$166:$A$242,'Operations Support'!A2789,Summary!$Q$166:$Q$242),0)</f>
        <v>0</v>
      </c>
      <c r="AG2789" s="196">
        <f t="shared" ca="1" si="613"/>
        <v>0</v>
      </c>
      <c r="AI2789" s="196">
        <f>IFERROR($G2789/SUMIF($A:$A,$A2789,$G:$G)*SUMIF(Summary!$A$247:$A$283,$A2789,Summary!$P$247:$P$283),0)</f>
        <v>0</v>
      </c>
      <c r="AJ2789" s="196">
        <f>IFERROR($G2789/SUMIF($A:$A,$A2789,$G:$G)*(SUMIF(Summary!$A$247:$A$283,$A2789,Summary!$L$247:$L$283)+SUMIF(Summary!$A$297:$A$333,$A2789,Summary!$L$297:$L$333))-AI2789,0)</f>
        <v>0</v>
      </c>
      <c r="AK2789" s="196">
        <f>IFERROR($G2789/SUMIF($A:$A,$A2789,$G:$G)*SUMIF(Summary!$A$247:$A$283,$A2789,Summary!$Q$247:$Q$283),0)</f>
        <v>0</v>
      </c>
      <c r="AL2789" s="196">
        <f>IFERROR($G2789/SUMIF($A:$A,$A2789,$G:$G)*(SUMIF(Summary!$A$247:$A$283,$A2789,Summary!$L$247:$L$283)+SUMIF(Summary!$A$297:$A$333,$A2789,Summary!$L$297:$L$333))-AK2789,0)</f>
        <v>0</v>
      </c>
      <c r="AM2789" s="198"/>
      <c r="AN2789" s="196">
        <f t="shared" ca="1" si="614"/>
        <v>0</v>
      </c>
      <c r="AO2789" s="196">
        <f t="shared" ca="1" si="615"/>
        <v>0</v>
      </c>
    </row>
    <row r="2790" spans="1:41">
      <c r="A2790" s="189">
        <v>10115</v>
      </c>
      <c r="B2790" s="190">
        <v>3</v>
      </c>
      <c r="C2790" s="191" t="s">
        <v>233</v>
      </c>
      <c r="D2790" s="192">
        <f t="shared" si="602"/>
        <v>45</v>
      </c>
      <c r="E2790" s="192">
        <f t="shared" si="603"/>
        <v>274</v>
      </c>
      <c r="F2790" s="192">
        <f t="shared" si="604"/>
        <v>0</v>
      </c>
      <c r="G2790" s="193">
        <f t="shared" si="605"/>
        <v>319</v>
      </c>
      <c r="H2790" s="194">
        <v>0</v>
      </c>
      <c r="I2790" s="194">
        <v>127</v>
      </c>
      <c r="J2790" s="194">
        <v>0</v>
      </c>
      <c r="K2790" s="193">
        <f t="shared" si="606"/>
        <v>127</v>
      </c>
      <c r="L2790" s="194">
        <v>45</v>
      </c>
      <c r="M2790" s="194">
        <v>105</v>
      </c>
      <c r="N2790" s="194">
        <v>0</v>
      </c>
      <c r="O2790" s="193">
        <f t="shared" si="607"/>
        <v>150</v>
      </c>
      <c r="P2790" s="194">
        <v>0</v>
      </c>
      <c r="Q2790" s="194">
        <v>42</v>
      </c>
      <c r="R2790" s="194">
        <v>0</v>
      </c>
      <c r="S2790" s="193">
        <f t="shared" si="608"/>
        <v>42</v>
      </c>
      <c r="T2790" s="193">
        <f t="shared" si="609"/>
        <v>13.291666666666666</v>
      </c>
      <c r="U2790" s="193">
        <f ca="1">OFFSET('Expenditure Study'!$B$7,'Operations Support'!$C2790,'Operations Support'!$B2790)*$G2790</f>
        <v>835.78000000000009</v>
      </c>
      <c r="V2790" s="199">
        <f ca="1">U2790*'Expenditure Study'!$B$31</f>
        <v>49380.540849024008</v>
      </c>
      <c r="W2790" s="199">
        <f ca="1">IF(A2790=10298,1.51,1)*IF($B2790&lt;3,$D2790*'Expenditure Study'!$B$32*OFFSET('Expenditure Study'!$B$7,'Operations Support'!$C2790,'Operations Support'!$B2790),0)</f>
        <v>0</v>
      </c>
      <c r="X2790" s="200">
        <f ca="1">W2790*'Expenditure Study'!$B$31</f>
        <v>0</v>
      </c>
      <c r="Y2790" s="199">
        <f ca="1">U2790*'Expenditure Study'!$B$31</f>
        <v>49380.540849024008</v>
      </c>
      <c r="Z2790" s="200">
        <f ca="1">W2790*'Expenditure Study'!$B$31</f>
        <v>0</v>
      </c>
      <c r="AA2790" s="195">
        <f t="shared" ca="1" si="610"/>
        <v>49380.540849024008</v>
      </c>
      <c r="AB2790" s="195">
        <f t="shared" ca="1" si="611"/>
        <v>49380.540849024008</v>
      </c>
      <c r="AD2790" s="196">
        <f>IFERROR($G2790/SUMIF($A:$A,$A2790,$G:$G)*SUMIF(Summary!$A$166:$A$242,$A2790,Summary!$P$166:$P$242),0)</f>
        <v>8567.5285801458722</v>
      </c>
      <c r="AE2790" s="197">
        <f t="shared" ca="1" si="612"/>
        <v>40813.012268878134</v>
      </c>
      <c r="AF2790" s="196">
        <f>IFERROR(G2790/SUMIF(A:A,A2790,G:G)*SUMIF(Summary!$A$166:$A$242,'Operations Support'!A2790,Summary!$Q$166:$Q$242),0)</f>
        <v>8579.2832429017653</v>
      </c>
      <c r="AG2790" s="196">
        <f t="shared" ca="1" si="613"/>
        <v>40801.257606122243</v>
      </c>
      <c r="AI2790" s="196">
        <f>IFERROR($G2790/SUMIF($A:$A,$A2790,$G:$G)*SUMIF(Summary!$A$247:$A$283,$A2790,Summary!$P$247:$P$283),0)</f>
        <v>1562.5034127261151</v>
      </c>
      <c r="AJ2790" s="196">
        <f>IFERROR($G2790/SUMIF($A:$A,$A2790,$G:$G)*(SUMIF(Summary!$A$247:$A$283,$A2790,Summary!$L$247:$L$283)+SUMIF(Summary!$A$297:$A$333,$A2790,Summary!$L$297:$L$333))-AI2790,0)</f>
        <v>6918.4789609703348</v>
      </c>
      <c r="AK2790" s="196">
        <f>IFERROR($G2790/SUMIF($A:$A,$A2790,$G:$G)*SUMIF(Summary!$A$247:$A$283,$A2790,Summary!$Q$247:$Q$283),0)</f>
        <v>1564.647169878451</v>
      </c>
      <c r="AL2790" s="196">
        <f>IFERROR($G2790/SUMIF($A:$A,$A2790,$G:$G)*(SUMIF(Summary!$A$247:$A$283,$A2790,Summary!$L$247:$L$283)+SUMIF(Summary!$A$297:$A$333,$A2790,Summary!$L$297:$L$333))-AK2790,0)</f>
        <v>6916.3352038179992</v>
      </c>
      <c r="AM2790" s="198"/>
      <c r="AN2790" s="196">
        <f t="shared" ca="1" si="614"/>
        <v>47731.491229848471</v>
      </c>
      <c r="AO2790" s="196">
        <f t="shared" ca="1" si="615"/>
        <v>47717.592809940244</v>
      </c>
    </row>
    <row r="2791" spans="1:41">
      <c r="A2791" s="189">
        <v>10115</v>
      </c>
      <c r="B2791" s="190">
        <v>3</v>
      </c>
      <c r="C2791" s="191" t="s">
        <v>234</v>
      </c>
      <c r="D2791" s="192">
        <f t="shared" si="602"/>
        <v>0</v>
      </c>
      <c r="E2791" s="192">
        <f t="shared" si="603"/>
        <v>0</v>
      </c>
      <c r="F2791" s="192">
        <f t="shared" si="604"/>
        <v>0</v>
      </c>
      <c r="G2791" s="193">
        <f t="shared" si="605"/>
        <v>0</v>
      </c>
      <c r="H2791" s="194">
        <v>0</v>
      </c>
      <c r="I2791" s="194">
        <v>0</v>
      </c>
      <c r="J2791" s="194">
        <v>0</v>
      </c>
      <c r="K2791" s="193">
        <f t="shared" si="606"/>
        <v>0</v>
      </c>
      <c r="L2791" s="194">
        <v>0</v>
      </c>
      <c r="M2791" s="194">
        <v>0</v>
      </c>
      <c r="N2791" s="194">
        <v>0</v>
      </c>
      <c r="O2791" s="193">
        <f t="shared" si="607"/>
        <v>0</v>
      </c>
      <c r="P2791" s="194">
        <v>0</v>
      </c>
      <c r="Q2791" s="194">
        <v>0</v>
      </c>
      <c r="R2791" s="194">
        <v>0</v>
      </c>
      <c r="S2791" s="193">
        <f t="shared" si="608"/>
        <v>0</v>
      </c>
      <c r="T2791" s="193">
        <f t="shared" si="609"/>
        <v>0</v>
      </c>
      <c r="U2791" s="193">
        <f ca="1">OFFSET('Expenditure Study'!$B$7,'Operations Support'!$C2791,'Operations Support'!$B2791)*$G2791</f>
        <v>0</v>
      </c>
      <c r="V2791" s="199">
        <f ca="1">U2791*'Expenditure Study'!$B$31</f>
        <v>0</v>
      </c>
      <c r="W2791" s="199">
        <f ca="1">IF(A2791=10298,1.51,1)*IF($B2791&lt;3,$D2791*'Expenditure Study'!$B$32*OFFSET('Expenditure Study'!$B$7,'Operations Support'!$C2791,'Operations Support'!$B2791),0)</f>
        <v>0</v>
      </c>
      <c r="X2791" s="200">
        <f ca="1">W2791*'Expenditure Study'!$B$31</f>
        <v>0</v>
      </c>
      <c r="Y2791" s="199">
        <f ca="1">U2791*'Expenditure Study'!$B$31</f>
        <v>0</v>
      </c>
      <c r="Z2791" s="200">
        <f ca="1">W2791*'Expenditure Study'!$B$31</f>
        <v>0</v>
      </c>
      <c r="AA2791" s="195">
        <f t="shared" ca="1" si="610"/>
        <v>0</v>
      </c>
      <c r="AB2791" s="195">
        <f t="shared" ca="1" si="611"/>
        <v>0</v>
      </c>
      <c r="AD2791" s="196">
        <f>IFERROR($G2791/SUMIF($A:$A,$A2791,$G:$G)*SUMIF(Summary!$A$166:$A$242,$A2791,Summary!$P$166:$P$242),0)</f>
        <v>0</v>
      </c>
      <c r="AE2791" s="197">
        <f t="shared" ca="1" si="612"/>
        <v>0</v>
      </c>
      <c r="AF2791" s="196">
        <f>IFERROR(G2791/SUMIF(A:A,A2791,G:G)*SUMIF(Summary!$A$166:$A$242,'Operations Support'!A2791,Summary!$Q$166:$Q$242),0)</f>
        <v>0</v>
      </c>
      <c r="AG2791" s="196">
        <f t="shared" ca="1" si="613"/>
        <v>0</v>
      </c>
      <c r="AI2791" s="196">
        <f>IFERROR($G2791/SUMIF($A:$A,$A2791,$G:$G)*SUMIF(Summary!$A$247:$A$283,$A2791,Summary!$P$247:$P$283),0)</f>
        <v>0</v>
      </c>
      <c r="AJ2791" s="196">
        <f>IFERROR($G2791/SUMIF($A:$A,$A2791,$G:$G)*(SUMIF(Summary!$A$247:$A$283,$A2791,Summary!$L$247:$L$283)+SUMIF(Summary!$A$297:$A$333,$A2791,Summary!$L$297:$L$333))-AI2791,0)</f>
        <v>0</v>
      </c>
      <c r="AK2791" s="196">
        <f>IFERROR($G2791/SUMIF($A:$A,$A2791,$G:$G)*SUMIF(Summary!$A$247:$A$283,$A2791,Summary!$Q$247:$Q$283),0)</f>
        <v>0</v>
      </c>
      <c r="AL2791" s="196">
        <f>IFERROR($G2791/SUMIF($A:$A,$A2791,$G:$G)*(SUMIF(Summary!$A$247:$A$283,$A2791,Summary!$L$247:$L$283)+SUMIF(Summary!$A$297:$A$333,$A2791,Summary!$L$297:$L$333))-AK2791,0)</f>
        <v>0</v>
      </c>
      <c r="AM2791" s="198"/>
      <c r="AN2791" s="196">
        <f t="shared" ca="1" si="614"/>
        <v>0</v>
      </c>
      <c r="AO2791" s="196">
        <f t="shared" ca="1" si="615"/>
        <v>0</v>
      </c>
    </row>
    <row r="2792" spans="1:41">
      <c r="A2792" s="189">
        <v>10115</v>
      </c>
      <c r="B2792" s="190">
        <v>3</v>
      </c>
      <c r="C2792" s="191" t="s">
        <v>235</v>
      </c>
      <c r="D2792" s="192">
        <f t="shared" si="602"/>
        <v>5928</v>
      </c>
      <c r="E2792" s="192">
        <f t="shared" si="603"/>
        <v>8972</v>
      </c>
      <c r="F2792" s="192">
        <f t="shared" si="604"/>
        <v>0</v>
      </c>
      <c r="G2792" s="193">
        <f t="shared" si="605"/>
        <v>14900</v>
      </c>
      <c r="H2792" s="194">
        <v>2637</v>
      </c>
      <c r="I2792" s="194">
        <v>3074</v>
      </c>
      <c r="J2792" s="194">
        <v>0</v>
      </c>
      <c r="K2792" s="193">
        <f t="shared" si="606"/>
        <v>5711</v>
      </c>
      <c r="L2792" s="194">
        <v>2580</v>
      </c>
      <c r="M2792" s="194">
        <v>3816</v>
      </c>
      <c r="N2792" s="194">
        <v>0</v>
      </c>
      <c r="O2792" s="193">
        <f t="shared" si="607"/>
        <v>6396</v>
      </c>
      <c r="P2792" s="194">
        <v>711</v>
      </c>
      <c r="Q2792" s="194">
        <v>2082</v>
      </c>
      <c r="R2792" s="194">
        <v>0</v>
      </c>
      <c r="S2792" s="193">
        <f t="shared" si="608"/>
        <v>2793</v>
      </c>
      <c r="T2792" s="193">
        <f t="shared" si="609"/>
        <v>620.83333333333337</v>
      </c>
      <c r="U2792" s="193">
        <f ca="1">OFFSET('Expenditure Study'!$B$7,'Operations Support'!$C2792,'Operations Support'!$B2792)*$G2792</f>
        <v>47084</v>
      </c>
      <c r="V2792" s="199">
        <f ca="1">U2792*'Expenditure Study'!$B$31</f>
        <v>2781872.4847872001</v>
      </c>
      <c r="W2792" s="199">
        <f ca="1">IF(A2792=10298,1.51,1)*IF($B2792&lt;3,$D2792*'Expenditure Study'!$B$32*OFFSET('Expenditure Study'!$B$7,'Operations Support'!$C2792,'Operations Support'!$B2792),0)</f>
        <v>0</v>
      </c>
      <c r="X2792" s="200">
        <f ca="1">W2792*'Expenditure Study'!$B$31</f>
        <v>0</v>
      </c>
      <c r="Y2792" s="199">
        <f ca="1">U2792*'Expenditure Study'!$B$31</f>
        <v>2781872.4847872001</v>
      </c>
      <c r="Z2792" s="200">
        <f ca="1">W2792*'Expenditure Study'!$B$31</f>
        <v>0</v>
      </c>
      <c r="AA2792" s="195">
        <f t="shared" ca="1" si="610"/>
        <v>2781872.4847872001</v>
      </c>
      <c r="AB2792" s="195">
        <f t="shared" ca="1" si="611"/>
        <v>2781872.4847872001</v>
      </c>
      <c r="AD2792" s="196">
        <f>IFERROR($G2792/SUMIF($A:$A,$A2792,$G:$G)*SUMIF(Summary!$A$166:$A$242,$A2792,Summary!$P$166:$P$242),0)</f>
        <v>400176.09982499533</v>
      </c>
      <c r="AE2792" s="197">
        <f t="shared" ca="1" si="612"/>
        <v>2381696.3849622048</v>
      </c>
      <c r="AF2792" s="196">
        <f>IFERROR(G2792/SUMIF(A:A,A2792,G:G)*SUMIF(Summary!$A$166:$A$242,'Operations Support'!A2792,Summary!$Q$166:$Q$242),0)</f>
        <v>400725.14206657151</v>
      </c>
      <c r="AG2792" s="196">
        <f t="shared" ca="1" si="613"/>
        <v>2381147.3427206287</v>
      </c>
      <c r="AI2792" s="196">
        <f>IFERROR($G2792/SUMIF($A:$A,$A2792,$G:$G)*SUMIF(Summary!$A$247:$A$283,$A2792,Summary!$P$247:$P$283),0)</f>
        <v>72982.13432482483</v>
      </c>
      <c r="AJ2792" s="196">
        <f>IFERROR($G2792/SUMIF($A:$A,$A2792,$G:$G)*(SUMIF(Summary!$A$247:$A$283,$A2792,Summary!$L$247:$L$283)+SUMIF(Summary!$A$297:$A$333,$A2792,Summary!$L$297:$L$333))-AI2792,0)</f>
        <v>323151.52513623191</v>
      </c>
      <c r="AK2792" s="196">
        <f>IFERROR($G2792/SUMIF($A:$A,$A2792,$G:$G)*SUMIF(Summary!$A$247:$A$283,$A2792,Summary!$Q$247:$Q$283),0)</f>
        <v>73082.265928491921</v>
      </c>
      <c r="AL2792" s="196">
        <f>IFERROR($G2792/SUMIF($A:$A,$A2792,$G:$G)*(SUMIF(Summary!$A$247:$A$283,$A2792,Summary!$L$247:$L$283)+SUMIF(Summary!$A$297:$A$333,$A2792,Summary!$L$297:$L$333))-AK2792,0)</f>
        <v>323051.39353256486</v>
      </c>
      <c r="AM2792" s="198"/>
      <c r="AN2792" s="196">
        <f t="shared" ca="1" si="614"/>
        <v>2704847.9100984368</v>
      </c>
      <c r="AO2792" s="196">
        <f t="shared" ca="1" si="615"/>
        <v>2704198.7362531936</v>
      </c>
    </row>
    <row r="2793" spans="1:41">
      <c r="A2793" s="189">
        <v>10115</v>
      </c>
      <c r="B2793" s="190">
        <v>3</v>
      </c>
      <c r="C2793" s="191" t="s">
        <v>236</v>
      </c>
      <c r="D2793" s="192">
        <f t="shared" si="602"/>
        <v>0</v>
      </c>
      <c r="E2793" s="192">
        <f t="shared" si="603"/>
        <v>0</v>
      </c>
      <c r="F2793" s="192">
        <f t="shared" si="604"/>
        <v>0</v>
      </c>
      <c r="G2793" s="193">
        <f t="shared" si="605"/>
        <v>0</v>
      </c>
      <c r="H2793" s="194">
        <v>0</v>
      </c>
      <c r="I2793" s="194">
        <v>0</v>
      </c>
      <c r="J2793" s="194">
        <v>0</v>
      </c>
      <c r="K2793" s="193">
        <f t="shared" si="606"/>
        <v>0</v>
      </c>
      <c r="L2793" s="194">
        <v>0</v>
      </c>
      <c r="M2793" s="194">
        <v>0</v>
      </c>
      <c r="N2793" s="194">
        <v>0</v>
      </c>
      <c r="O2793" s="193">
        <f t="shared" si="607"/>
        <v>0</v>
      </c>
      <c r="P2793" s="194">
        <v>0</v>
      </c>
      <c r="Q2793" s="194">
        <v>0</v>
      </c>
      <c r="R2793" s="194">
        <v>0</v>
      </c>
      <c r="S2793" s="193">
        <f t="shared" si="608"/>
        <v>0</v>
      </c>
      <c r="T2793" s="193">
        <f t="shared" si="609"/>
        <v>0</v>
      </c>
      <c r="U2793" s="193">
        <f ca="1">OFFSET('Expenditure Study'!$B$7,'Operations Support'!$C2793,'Operations Support'!$B2793)*$G2793</f>
        <v>0</v>
      </c>
      <c r="V2793" s="199">
        <f ca="1">U2793*'Expenditure Study'!$B$31</f>
        <v>0</v>
      </c>
      <c r="W2793" s="199">
        <f ca="1">IF(A2793=10298,1.51,1)*IF($B2793&lt;3,$D2793*'Expenditure Study'!$B$32*OFFSET('Expenditure Study'!$B$7,'Operations Support'!$C2793,'Operations Support'!$B2793),0)</f>
        <v>0</v>
      </c>
      <c r="X2793" s="200">
        <f ca="1">W2793*'Expenditure Study'!$B$31</f>
        <v>0</v>
      </c>
      <c r="Y2793" s="199">
        <f ca="1">U2793*'Expenditure Study'!$B$31</f>
        <v>0</v>
      </c>
      <c r="Z2793" s="200">
        <f ca="1">W2793*'Expenditure Study'!$B$31</f>
        <v>0</v>
      </c>
      <c r="AA2793" s="195">
        <f t="shared" ca="1" si="610"/>
        <v>0</v>
      </c>
      <c r="AB2793" s="195">
        <f t="shared" ca="1" si="611"/>
        <v>0</v>
      </c>
      <c r="AD2793" s="196">
        <f>IFERROR($G2793/SUMIF($A:$A,$A2793,$G:$G)*SUMIF(Summary!$A$166:$A$242,$A2793,Summary!$P$166:$P$242),0)</f>
        <v>0</v>
      </c>
      <c r="AE2793" s="197">
        <f t="shared" ca="1" si="612"/>
        <v>0</v>
      </c>
      <c r="AF2793" s="196">
        <f>IFERROR(G2793/SUMIF(A:A,A2793,G:G)*SUMIF(Summary!$A$166:$A$242,'Operations Support'!A2793,Summary!$Q$166:$Q$242),0)</f>
        <v>0</v>
      </c>
      <c r="AG2793" s="196">
        <f t="shared" ca="1" si="613"/>
        <v>0</v>
      </c>
      <c r="AI2793" s="196">
        <f>IFERROR($G2793/SUMIF($A:$A,$A2793,$G:$G)*SUMIF(Summary!$A$247:$A$283,$A2793,Summary!$P$247:$P$283),0)</f>
        <v>0</v>
      </c>
      <c r="AJ2793" s="196">
        <f>IFERROR($G2793/SUMIF($A:$A,$A2793,$G:$G)*(SUMIF(Summary!$A$247:$A$283,$A2793,Summary!$L$247:$L$283)+SUMIF(Summary!$A$297:$A$333,$A2793,Summary!$L$297:$L$333))-AI2793,0)</f>
        <v>0</v>
      </c>
      <c r="AK2793" s="196">
        <f>IFERROR($G2793/SUMIF($A:$A,$A2793,$G:$G)*SUMIF(Summary!$A$247:$A$283,$A2793,Summary!$Q$247:$Q$283),0)</f>
        <v>0</v>
      </c>
      <c r="AL2793" s="196">
        <f>IFERROR($G2793/SUMIF($A:$A,$A2793,$G:$G)*(SUMIF(Summary!$A$247:$A$283,$A2793,Summary!$L$247:$L$283)+SUMIF(Summary!$A$297:$A$333,$A2793,Summary!$L$297:$L$333))-AK2793,0)</f>
        <v>0</v>
      </c>
      <c r="AM2793" s="198"/>
      <c r="AN2793" s="196">
        <f t="shared" ca="1" si="614"/>
        <v>0</v>
      </c>
      <c r="AO2793" s="196">
        <f t="shared" ca="1" si="615"/>
        <v>0</v>
      </c>
    </row>
    <row r="2794" spans="1:41">
      <c r="A2794" s="189">
        <v>10115</v>
      </c>
      <c r="B2794" s="190">
        <v>3</v>
      </c>
      <c r="C2794" s="191" t="s">
        <v>237</v>
      </c>
      <c r="D2794" s="192">
        <f t="shared" si="602"/>
        <v>0</v>
      </c>
      <c r="E2794" s="192">
        <f t="shared" si="603"/>
        <v>0</v>
      </c>
      <c r="F2794" s="192">
        <f t="shared" si="604"/>
        <v>0</v>
      </c>
      <c r="G2794" s="193">
        <f t="shared" si="605"/>
        <v>0</v>
      </c>
      <c r="H2794" s="194">
        <v>0</v>
      </c>
      <c r="I2794" s="194">
        <v>0</v>
      </c>
      <c r="J2794" s="194">
        <v>0</v>
      </c>
      <c r="K2794" s="193">
        <f t="shared" si="606"/>
        <v>0</v>
      </c>
      <c r="L2794" s="194">
        <v>0</v>
      </c>
      <c r="M2794" s="194">
        <v>0</v>
      </c>
      <c r="N2794" s="194">
        <v>0</v>
      </c>
      <c r="O2794" s="193">
        <f t="shared" si="607"/>
        <v>0</v>
      </c>
      <c r="P2794" s="194">
        <v>0</v>
      </c>
      <c r="Q2794" s="194">
        <v>0</v>
      </c>
      <c r="R2794" s="194">
        <v>0</v>
      </c>
      <c r="S2794" s="193">
        <f t="shared" si="608"/>
        <v>0</v>
      </c>
      <c r="T2794" s="193">
        <f t="shared" si="609"/>
        <v>0</v>
      </c>
      <c r="U2794" s="193">
        <f ca="1">OFFSET('Expenditure Study'!$B$7,'Operations Support'!$C2794,'Operations Support'!$B2794)*$G2794</f>
        <v>0</v>
      </c>
      <c r="V2794" s="199">
        <f ca="1">U2794*'Expenditure Study'!$B$31</f>
        <v>0</v>
      </c>
      <c r="W2794" s="199">
        <f ca="1">IF(A2794=10298,1.51,1)*IF($B2794&lt;3,$D2794*'Expenditure Study'!$B$32*OFFSET('Expenditure Study'!$B$7,'Operations Support'!$C2794,'Operations Support'!$B2794),0)</f>
        <v>0</v>
      </c>
      <c r="X2794" s="200">
        <f ca="1">W2794*'Expenditure Study'!$B$31</f>
        <v>0</v>
      </c>
      <c r="Y2794" s="199">
        <f ca="1">U2794*'Expenditure Study'!$B$31</f>
        <v>0</v>
      </c>
      <c r="Z2794" s="200">
        <f ca="1">W2794*'Expenditure Study'!$B$31</f>
        <v>0</v>
      </c>
      <c r="AA2794" s="195">
        <f t="shared" ca="1" si="610"/>
        <v>0</v>
      </c>
      <c r="AB2794" s="195">
        <f t="shared" ca="1" si="611"/>
        <v>0</v>
      </c>
      <c r="AD2794" s="196">
        <f>IFERROR($G2794/SUMIF($A:$A,$A2794,$G:$G)*SUMIF(Summary!$A$166:$A$242,$A2794,Summary!$P$166:$P$242),0)</f>
        <v>0</v>
      </c>
      <c r="AE2794" s="197">
        <f t="shared" ca="1" si="612"/>
        <v>0</v>
      </c>
      <c r="AF2794" s="196">
        <f>IFERROR(G2794/SUMIF(A:A,A2794,G:G)*SUMIF(Summary!$A$166:$A$242,'Operations Support'!A2794,Summary!$Q$166:$Q$242),0)</f>
        <v>0</v>
      </c>
      <c r="AG2794" s="196">
        <f t="shared" ca="1" si="613"/>
        <v>0</v>
      </c>
      <c r="AI2794" s="196">
        <f>IFERROR($G2794/SUMIF($A:$A,$A2794,$G:$G)*SUMIF(Summary!$A$247:$A$283,$A2794,Summary!$P$247:$P$283),0)</f>
        <v>0</v>
      </c>
      <c r="AJ2794" s="196">
        <f>IFERROR($G2794/SUMIF($A:$A,$A2794,$G:$G)*(SUMIF(Summary!$A$247:$A$283,$A2794,Summary!$L$247:$L$283)+SUMIF(Summary!$A$297:$A$333,$A2794,Summary!$L$297:$L$333))-AI2794,0)</f>
        <v>0</v>
      </c>
      <c r="AK2794" s="196">
        <f>IFERROR($G2794/SUMIF($A:$A,$A2794,$G:$G)*SUMIF(Summary!$A$247:$A$283,$A2794,Summary!$Q$247:$Q$283),0)</f>
        <v>0</v>
      </c>
      <c r="AL2794" s="196">
        <f>IFERROR($G2794/SUMIF($A:$A,$A2794,$G:$G)*(SUMIF(Summary!$A$247:$A$283,$A2794,Summary!$L$247:$L$283)+SUMIF(Summary!$A$297:$A$333,$A2794,Summary!$L$297:$L$333))-AK2794,0)</f>
        <v>0</v>
      </c>
      <c r="AM2794" s="198"/>
      <c r="AN2794" s="196">
        <f t="shared" ca="1" si="614"/>
        <v>0</v>
      </c>
      <c r="AO2794" s="196">
        <f t="shared" ca="1" si="615"/>
        <v>0</v>
      </c>
    </row>
    <row r="2795" spans="1:41">
      <c r="A2795" s="189">
        <v>10115</v>
      </c>
      <c r="B2795" s="190">
        <v>3</v>
      </c>
      <c r="C2795" s="191" t="s">
        <v>238</v>
      </c>
      <c r="D2795" s="192">
        <f t="shared" si="602"/>
        <v>0</v>
      </c>
      <c r="E2795" s="192">
        <f t="shared" si="603"/>
        <v>372</v>
      </c>
      <c r="F2795" s="192">
        <f t="shared" si="604"/>
        <v>0</v>
      </c>
      <c r="G2795" s="193">
        <f t="shared" si="605"/>
        <v>372</v>
      </c>
      <c r="H2795" s="194">
        <v>0</v>
      </c>
      <c r="I2795" s="194">
        <v>138</v>
      </c>
      <c r="J2795" s="194">
        <v>0</v>
      </c>
      <c r="K2795" s="193">
        <f t="shared" si="606"/>
        <v>138</v>
      </c>
      <c r="L2795" s="194">
        <v>0</v>
      </c>
      <c r="M2795" s="194">
        <v>123</v>
      </c>
      <c r="N2795" s="194">
        <v>0</v>
      </c>
      <c r="O2795" s="193">
        <f t="shared" si="607"/>
        <v>123</v>
      </c>
      <c r="P2795" s="194">
        <v>0</v>
      </c>
      <c r="Q2795" s="194">
        <v>111</v>
      </c>
      <c r="R2795" s="194">
        <v>0</v>
      </c>
      <c r="S2795" s="193">
        <f t="shared" si="608"/>
        <v>111</v>
      </c>
      <c r="T2795" s="193">
        <f t="shared" si="609"/>
        <v>15.5</v>
      </c>
      <c r="U2795" s="193">
        <f ca="1">OFFSET('Expenditure Study'!$B$7,'Operations Support'!$C2795,'Operations Support'!$B2795)*$G2795</f>
        <v>2172.48</v>
      </c>
      <c r="V2795" s="199">
        <f ca="1">U2795*'Expenditure Study'!$B$31</f>
        <v>128357.02862438401</v>
      </c>
      <c r="W2795" s="199">
        <f ca="1">IF(A2795=10298,1.51,1)*IF($B2795&lt;3,$D2795*'Expenditure Study'!$B$32*OFFSET('Expenditure Study'!$B$7,'Operations Support'!$C2795,'Operations Support'!$B2795),0)</f>
        <v>0</v>
      </c>
      <c r="X2795" s="200">
        <f ca="1">W2795*'Expenditure Study'!$B$31</f>
        <v>0</v>
      </c>
      <c r="Y2795" s="199">
        <f ca="1">U2795*'Expenditure Study'!$B$31</f>
        <v>128357.02862438401</v>
      </c>
      <c r="Z2795" s="200">
        <f ca="1">W2795*'Expenditure Study'!$B$31</f>
        <v>0</v>
      </c>
      <c r="AA2795" s="195">
        <f t="shared" ca="1" si="610"/>
        <v>128357.02862438401</v>
      </c>
      <c r="AB2795" s="195">
        <f t="shared" ca="1" si="611"/>
        <v>128357.02862438401</v>
      </c>
      <c r="AD2795" s="196">
        <f>IFERROR($G2795/SUMIF($A:$A,$A2795,$G:$G)*SUMIF(Summary!$A$166:$A$242,$A2795,Summary!$P$166:$P$242),0)</f>
        <v>9990.9737674428361</v>
      </c>
      <c r="AE2795" s="197">
        <f t="shared" ca="1" si="612"/>
        <v>118366.05485694118</v>
      </c>
      <c r="AF2795" s="196">
        <f>IFERROR(G2795/SUMIF(A:A,A2795,G:G)*SUMIF(Summary!$A$166:$A$242,'Operations Support'!A2795,Summary!$Q$166:$Q$242),0)</f>
        <v>10004.681399245945</v>
      </c>
      <c r="AG2795" s="196">
        <f t="shared" ca="1" si="613"/>
        <v>118352.34722513806</v>
      </c>
      <c r="AI2795" s="196">
        <f>IFERROR($G2795/SUMIF($A:$A,$A2795,$G:$G)*SUMIF(Summary!$A$247:$A$283,$A2795,Summary!$P$247:$P$283),0)</f>
        <v>1822.1042932103915</v>
      </c>
      <c r="AJ2795" s="196">
        <f>IFERROR($G2795/SUMIF($A:$A,$A2795,$G:$G)*(SUMIF(Summary!$A$247:$A$283,$A2795,Summary!$L$247:$L$283)+SUMIF(Summary!$A$297:$A$333,$A2795,Summary!$L$297:$L$333))-AI2795,0)</f>
        <v>8067.9441174951844</v>
      </c>
      <c r="AK2795" s="196">
        <f>IFERROR($G2795/SUMIF($A:$A,$A2795,$G:$G)*SUMIF(Summary!$A$247:$A$283,$A2795,Summary!$Q$247:$Q$283),0)</f>
        <v>1824.6042231811405</v>
      </c>
      <c r="AL2795" s="196">
        <f>IFERROR($G2795/SUMIF($A:$A,$A2795,$G:$G)*(SUMIF(Summary!$A$247:$A$283,$A2795,Summary!$L$247:$L$283)+SUMIF(Summary!$A$297:$A$333,$A2795,Summary!$L$297:$L$333))-AK2795,0)</f>
        <v>8065.4441875244356</v>
      </c>
      <c r="AM2795" s="198"/>
      <c r="AN2795" s="196">
        <f t="shared" ca="1" si="614"/>
        <v>126433.99897443636</v>
      </c>
      <c r="AO2795" s="196">
        <f t="shared" ca="1" si="615"/>
        <v>126417.7914126625</v>
      </c>
    </row>
    <row r="2796" spans="1:41">
      <c r="A2796" s="189">
        <v>10115</v>
      </c>
      <c r="B2796" s="190">
        <v>3</v>
      </c>
      <c r="C2796" s="191" t="s">
        <v>239</v>
      </c>
      <c r="D2796" s="192">
        <f t="shared" si="602"/>
        <v>0</v>
      </c>
      <c r="E2796" s="192">
        <f t="shared" si="603"/>
        <v>0</v>
      </c>
      <c r="F2796" s="192">
        <f t="shared" si="604"/>
        <v>0</v>
      </c>
      <c r="G2796" s="193">
        <f t="shared" si="605"/>
        <v>0</v>
      </c>
      <c r="H2796" s="194">
        <v>0</v>
      </c>
      <c r="I2796" s="194">
        <v>0</v>
      </c>
      <c r="J2796" s="194">
        <v>0</v>
      </c>
      <c r="K2796" s="193">
        <f t="shared" si="606"/>
        <v>0</v>
      </c>
      <c r="L2796" s="194">
        <v>0</v>
      </c>
      <c r="M2796" s="194">
        <v>0</v>
      </c>
      <c r="N2796" s="194">
        <v>0</v>
      </c>
      <c r="O2796" s="193">
        <f t="shared" si="607"/>
        <v>0</v>
      </c>
      <c r="P2796" s="194">
        <v>0</v>
      </c>
      <c r="Q2796" s="194">
        <v>0</v>
      </c>
      <c r="R2796" s="194">
        <v>0</v>
      </c>
      <c r="S2796" s="193">
        <f t="shared" si="608"/>
        <v>0</v>
      </c>
      <c r="T2796" s="193">
        <f t="shared" si="609"/>
        <v>0</v>
      </c>
      <c r="U2796" s="193">
        <f ca="1">OFFSET('Expenditure Study'!$B$7,'Operations Support'!$C2796,'Operations Support'!$B2796)*$G2796</f>
        <v>0</v>
      </c>
      <c r="V2796" s="199">
        <f ca="1">U2796*'Expenditure Study'!$B$31</f>
        <v>0</v>
      </c>
      <c r="W2796" s="199">
        <f ca="1">IF(A2796=10298,1.51,1)*IF($B2796&lt;3,$D2796*'Expenditure Study'!$B$32*OFFSET('Expenditure Study'!$B$7,'Operations Support'!$C2796,'Operations Support'!$B2796),0)</f>
        <v>0</v>
      </c>
      <c r="X2796" s="200">
        <f ca="1">W2796*'Expenditure Study'!$B$31</f>
        <v>0</v>
      </c>
      <c r="Y2796" s="199">
        <f ca="1">U2796*'Expenditure Study'!$B$31</f>
        <v>0</v>
      </c>
      <c r="Z2796" s="200">
        <f ca="1">W2796*'Expenditure Study'!$B$31</f>
        <v>0</v>
      </c>
      <c r="AA2796" s="195">
        <f t="shared" ca="1" si="610"/>
        <v>0</v>
      </c>
      <c r="AB2796" s="195">
        <f t="shared" ca="1" si="611"/>
        <v>0</v>
      </c>
      <c r="AD2796" s="196">
        <f>IFERROR($G2796/SUMIF($A:$A,$A2796,$G:$G)*SUMIF(Summary!$A$166:$A$242,$A2796,Summary!$P$166:$P$242),0)</f>
        <v>0</v>
      </c>
      <c r="AE2796" s="197">
        <f t="shared" ca="1" si="612"/>
        <v>0</v>
      </c>
      <c r="AF2796" s="196">
        <f>IFERROR(G2796/SUMIF(A:A,A2796,G:G)*SUMIF(Summary!$A$166:$A$242,'Operations Support'!A2796,Summary!$Q$166:$Q$242),0)</f>
        <v>0</v>
      </c>
      <c r="AG2796" s="196">
        <f t="shared" ca="1" si="613"/>
        <v>0</v>
      </c>
      <c r="AI2796" s="196">
        <f>IFERROR($G2796/SUMIF($A:$A,$A2796,$G:$G)*SUMIF(Summary!$A$247:$A$283,$A2796,Summary!$P$247:$P$283),0)</f>
        <v>0</v>
      </c>
      <c r="AJ2796" s="196">
        <f>IFERROR($G2796/SUMIF($A:$A,$A2796,$G:$G)*(SUMIF(Summary!$A$247:$A$283,$A2796,Summary!$L$247:$L$283)+SUMIF(Summary!$A$297:$A$333,$A2796,Summary!$L$297:$L$333))-AI2796,0)</f>
        <v>0</v>
      </c>
      <c r="AK2796" s="196">
        <f>IFERROR($G2796/SUMIF($A:$A,$A2796,$G:$G)*SUMIF(Summary!$A$247:$A$283,$A2796,Summary!$Q$247:$Q$283),0)</f>
        <v>0</v>
      </c>
      <c r="AL2796" s="196">
        <f>IFERROR($G2796/SUMIF($A:$A,$A2796,$G:$G)*(SUMIF(Summary!$A$247:$A$283,$A2796,Summary!$L$247:$L$283)+SUMIF(Summary!$A$297:$A$333,$A2796,Summary!$L$297:$L$333))-AK2796,0)</f>
        <v>0</v>
      </c>
      <c r="AM2796" s="198"/>
      <c r="AN2796" s="196">
        <f t="shared" ca="1" si="614"/>
        <v>0</v>
      </c>
      <c r="AO2796" s="196">
        <f t="shared" ca="1" si="615"/>
        <v>0</v>
      </c>
    </row>
    <row r="2797" spans="1:41">
      <c r="A2797" s="189">
        <v>10115</v>
      </c>
      <c r="B2797" s="190">
        <v>3</v>
      </c>
      <c r="C2797" s="191" t="s">
        <v>240</v>
      </c>
      <c r="D2797" s="192">
        <f t="shared" si="602"/>
        <v>0</v>
      </c>
      <c r="E2797" s="192">
        <f t="shared" si="603"/>
        <v>0</v>
      </c>
      <c r="F2797" s="192">
        <f t="shared" si="604"/>
        <v>0</v>
      </c>
      <c r="G2797" s="193">
        <f t="shared" si="605"/>
        <v>0</v>
      </c>
      <c r="H2797" s="194">
        <v>0</v>
      </c>
      <c r="I2797" s="194">
        <v>0</v>
      </c>
      <c r="J2797" s="194">
        <v>0</v>
      </c>
      <c r="K2797" s="193">
        <f t="shared" si="606"/>
        <v>0</v>
      </c>
      <c r="L2797" s="194">
        <v>0</v>
      </c>
      <c r="M2797" s="194">
        <v>0</v>
      </c>
      <c r="N2797" s="194">
        <v>0</v>
      </c>
      <c r="O2797" s="193">
        <f t="shared" si="607"/>
        <v>0</v>
      </c>
      <c r="P2797" s="194">
        <v>0</v>
      </c>
      <c r="Q2797" s="194">
        <v>0</v>
      </c>
      <c r="R2797" s="194">
        <v>0</v>
      </c>
      <c r="S2797" s="193">
        <f t="shared" si="608"/>
        <v>0</v>
      </c>
      <c r="T2797" s="193">
        <f t="shared" si="609"/>
        <v>0</v>
      </c>
      <c r="U2797" s="193">
        <f ca="1">OFFSET('Expenditure Study'!$B$7,'Operations Support'!$C2797,'Operations Support'!$B2797)*$G2797</f>
        <v>0</v>
      </c>
      <c r="V2797" s="199">
        <f ca="1">U2797*'Expenditure Study'!$B$31</f>
        <v>0</v>
      </c>
      <c r="W2797" s="199">
        <f ca="1">IF(A2797=10298,1.51,1)*IF($B2797&lt;3,$D2797*'Expenditure Study'!$B$32*OFFSET('Expenditure Study'!$B$7,'Operations Support'!$C2797,'Operations Support'!$B2797),0)</f>
        <v>0</v>
      </c>
      <c r="X2797" s="200">
        <f ca="1">W2797*'Expenditure Study'!$B$31</f>
        <v>0</v>
      </c>
      <c r="Y2797" s="199">
        <f ca="1">U2797*'Expenditure Study'!$B$31</f>
        <v>0</v>
      </c>
      <c r="Z2797" s="200">
        <f ca="1">W2797*'Expenditure Study'!$B$31</f>
        <v>0</v>
      </c>
      <c r="AA2797" s="195">
        <f t="shared" ca="1" si="610"/>
        <v>0</v>
      </c>
      <c r="AB2797" s="195">
        <f t="shared" ca="1" si="611"/>
        <v>0</v>
      </c>
      <c r="AD2797" s="196">
        <f>IFERROR($G2797/SUMIF($A:$A,$A2797,$G:$G)*SUMIF(Summary!$A$166:$A$242,$A2797,Summary!$P$166:$P$242),0)</f>
        <v>0</v>
      </c>
      <c r="AE2797" s="197">
        <f t="shared" ca="1" si="612"/>
        <v>0</v>
      </c>
      <c r="AF2797" s="196">
        <f>IFERROR(G2797/SUMIF(A:A,A2797,G:G)*SUMIF(Summary!$A$166:$A$242,'Operations Support'!A2797,Summary!$Q$166:$Q$242),0)</f>
        <v>0</v>
      </c>
      <c r="AG2797" s="196">
        <f t="shared" ca="1" si="613"/>
        <v>0</v>
      </c>
      <c r="AI2797" s="196">
        <f>IFERROR($G2797/SUMIF($A:$A,$A2797,$G:$G)*SUMIF(Summary!$A$247:$A$283,$A2797,Summary!$P$247:$P$283),0)</f>
        <v>0</v>
      </c>
      <c r="AJ2797" s="196">
        <f>IFERROR($G2797/SUMIF($A:$A,$A2797,$G:$G)*(SUMIF(Summary!$A$247:$A$283,$A2797,Summary!$L$247:$L$283)+SUMIF(Summary!$A$297:$A$333,$A2797,Summary!$L$297:$L$333))-AI2797,0)</f>
        <v>0</v>
      </c>
      <c r="AK2797" s="196">
        <f>IFERROR($G2797/SUMIF($A:$A,$A2797,$G:$G)*SUMIF(Summary!$A$247:$A$283,$A2797,Summary!$Q$247:$Q$283),0)</f>
        <v>0</v>
      </c>
      <c r="AL2797" s="196">
        <f>IFERROR($G2797/SUMIF($A:$A,$A2797,$G:$G)*(SUMIF(Summary!$A$247:$A$283,$A2797,Summary!$L$247:$L$283)+SUMIF(Summary!$A$297:$A$333,$A2797,Summary!$L$297:$L$333))-AK2797,0)</f>
        <v>0</v>
      </c>
      <c r="AM2797" s="198"/>
      <c r="AN2797" s="196">
        <f t="shared" ca="1" si="614"/>
        <v>0</v>
      </c>
      <c r="AO2797" s="196">
        <f t="shared" ca="1" si="615"/>
        <v>0</v>
      </c>
    </row>
    <row r="2798" spans="1:41">
      <c r="A2798" s="189">
        <v>10115</v>
      </c>
      <c r="B2798" s="190">
        <v>4</v>
      </c>
      <c r="C2798" s="191" t="s">
        <v>220</v>
      </c>
      <c r="D2798" s="192">
        <f t="shared" si="602"/>
        <v>4232</v>
      </c>
      <c r="E2798" s="192">
        <f t="shared" si="603"/>
        <v>375</v>
      </c>
      <c r="F2798" s="192">
        <f t="shared" si="604"/>
        <v>19</v>
      </c>
      <c r="G2798" s="193">
        <f t="shared" si="605"/>
        <v>4588</v>
      </c>
      <c r="H2798" s="194">
        <v>1742</v>
      </c>
      <c r="I2798" s="194">
        <v>156</v>
      </c>
      <c r="J2798" s="194">
        <v>7</v>
      </c>
      <c r="K2798" s="193">
        <f t="shared" si="606"/>
        <v>1891</v>
      </c>
      <c r="L2798" s="194">
        <v>1722</v>
      </c>
      <c r="M2798" s="194">
        <v>183</v>
      </c>
      <c r="N2798" s="194">
        <v>6</v>
      </c>
      <c r="O2798" s="193">
        <f t="shared" si="607"/>
        <v>1899</v>
      </c>
      <c r="P2798" s="194">
        <v>768</v>
      </c>
      <c r="Q2798" s="194">
        <v>36</v>
      </c>
      <c r="R2798" s="194">
        <v>6</v>
      </c>
      <c r="S2798" s="193">
        <f t="shared" si="608"/>
        <v>798</v>
      </c>
      <c r="T2798" s="193">
        <f t="shared" si="609"/>
        <v>254.88888888888889</v>
      </c>
      <c r="U2798" s="193">
        <f ca="1">OFFSET('Expenditure Study'!$B$7,'Operations Support'!$C2798,'Operations Support'!$B2798)*$G2798</f>
        <v>67581.240000000005</v>
      </c>
      <c r="V2798" s="199">
        <f ca="1">U2798*'Expenditure Study'!$B$31</f>
        <v>3992914.6216081926</v>
      </c>
      <c r="W2798" s="199">
        <f ca="1">IF(A2798=10298,1.51,1)*IF($B2798&lt;3,$D2798*'Expenditure Study'!$B$32*OFFSET('Expenditure Study'!$B$7,'Operations Support'!$C2798,'Operations Support'!$B2798),0)</f>
        <v>0</v>
      </c>
      <c r="X2798" s="200">
        <f ca="1">W2798*'Expenditure Study'!$B$31</f>
        <v>0</v>
      </c>
      <c r="Y2798" s="199">
        <f ca="1">U2798*'Expenditure Study'!$B$31</f>
        <v>3992914.6216081926</v>
      </c>
      <c r="Z2798" s="200">
        <f ca="1">W2798*'Expenditure Study'!$B$31</f>
        <v>0</v>
      </c>
      <c r="AA2798" s="195">
        <f t="shared" ca="1" si="610"/>
        <v>3992914.6216081926</v>
      </c>
      <c r="AB2798" s="195">
        <f t="shared" ca="1" si="611"/>
        <v>3992914.6216081926</v>
      </c>
      <c r="AD2798" s="196">
        <f>IFERROR($G2798/SUMIF($A:$A,$A2798,$G:$G)*SUMIF(Summary!$A$166:$A$242,$A2798,Summary!$P$166:$P$242),0)</f>
        <v>123222.00979846164</v>
      </c>
      <c r="AE2798" s="197">
        <f t="shared" ca="1" si="612"/>
        <v>3869692.611809731</v>
      </c>
      <c r="AF2798" s="196">
        <f>IFERROR(G2798/SUMIF(A:A,A2798,G:G)*SUMIF(Summary!$A$166:$A$242,'Operations Support'!A2798,Summary!$Q$166:$Q$242),0)</f>
        <v>123391.07059069999</v>
      </c>
      <c r="AG2798" s="196">
        <f t="shared" ca="1" si="613"/>
        <v>3869523.5510174925</v>
      </c>
      <c r="AI2798" s="196">
        <f>IFERROR($G2798/SUMIF($A:$A,$A2798,$G:$G)*SUMIF(Summary!$A$247:$A$283,$A2798,Summary!$P$247:$P$283),0)</f>
        <v>22472.619616261494</v>
      </c>
      <c r="AJ2798" s="196">
        <f>IFERROR($G2798/SUMIF($A:$A,$A2798,$G:$G)*(SUMIF(Summary!$A$247:$A$283,$A2798,Summary!$L$247:$L$283)+SUMIF(Summary!$A$297:$A$333,$A2798,Summary!$L$297:$L$333))-AI2798,0)</f>
        <v>99504.644115773961</v>
      </c>
      <c r="AK2798" s="196">
        <f>IFERROR($G2798/SUMIF($A:$A,$A2798,$G:$G)*SUMIF(Summary!$A$247:$A$283,$A2798,Summary!$Q$247:$Q$283),0)</f>
        <v>22503.452085900732</v>
      </c>
      <c r="AL2798" s="196">
        <f>IFERROR($G2798/SUMIF($A:$A,$A2798,$G:$G)*(SUMIF(Summary!$A$247:$A$283,$A2798,Summary!$L$247:$L$283)+SUMIF(Summary!$A$297:$A$333,$A2798,Summary!$L$297:$L$333))-AK2798,0)</f>
        <v>99473.811646134724</v>
      </c>
      <c r="AM2798" s="198"/>
      <c r="AN2798" s="196">
        <f t="shared" ca="1" si="614"/>
        <v>3969197.255925505</v>
      </c>
      <c r="AO2798" s="196">
        <f t="shared" ca="1" si="615"/>
        <v>3968997.3626636271</v>
      </c>
    </row>
    <row r="2799" spans="1:41">
      <c r="A2799" s="189">
        <v>10115</v>
      </c>
      <c r="B2799" s="190">
        <v>4</v>
      </c>
      <c r="C2799" s="191" t="s">
        <v>221</v>
      </c>
      <c r="D2799" s="192">
        <f t="shared" si="602"/>
        <v>3345</v>
      </c>
      <c r="E2799" s="192">
        <f t="shared" si="603"/>
        <v>547</v>
      </c>
      <c r="F2799" s="192">
        <f t="shared" si="604"/>
        <v>86</v>
      </c>
      <c r="G2799" s="193">
        <f t="shared" si="605"/>
        <v>3806</v>
      </c>
      <c r="H2799" s="194">
        <v>1403</v>
      </c>
      <c r="I2799" s="194">
        <v>249</v>
      </c>
      <c r="J2799" s="194">
        <v>29</v>
      </c>
      <c r="K2799" s="193">
        <f t="shared" si="606"/>
        <v>1623</v>
      </c>
      <c r="L2799" s="194">
        <v>1526</v>
      </c>
      <c r="M2799" s="194">
        <v>226</v>
      </c>
      <c r="N2799" s="194">
        <v>52</v>
      </c>
      <c r="O2799" s="193">
        <f t="shared" si="607"/>
        <v>1700</v>
      </c>
      <c r="P2799" s="194">
        <v>416</v>
      </c>
      <c r="Q2799" s="194">
        <v>72</v>
      </c>
      <c r="R2799" s="194">
        <v>5</v>
      </c>
      <c r="S2799" s="193">
        <f t="shared" si="608"/>
        <v>483</v>
      </c>
      <c r="T2799" s="193">
        <f t="shared" si="609"/>
        <v>211.44444444444446</v>
      </c>
      <c r="U2799" s="193">
        <f ca="1">OFFSET('Expenditure Study'!$B$7,'Operations Support'!$C2799,'Operations Support'!$B2799)*$G2799</f>
        <v>82742.439999999988</v>
      </c>
      <c r="V2799" s="199">
        <f ca="1">U2799*'Expenditure Study'!$B$31</f>
        <v>4888686.5423531514</v>
      </c>
      <c r="W2799" s="199">
        <f ca="1">IF(A2799=10298,1.51,1)*IF($B2799&lt;3,$D2799*'Expenditure Study'!$B$32*OFFSET('Expenditure Study'!$B$7,'Operations Support'!$C2799,'Operations Support'!$B2799),0)</f>
        <v>0</v>
      </c>
      <c r="X2799" s="200">
        <f ca="1">W2799*'Expenditure Study'!$B$31</f>
        <v>0</v>
      </c>
      <c r="Y2799" s="199">
        <f ca="1">U2799*'Expenditure Study'!$B$31</f>
        <v>4888686.5423531514</v>
      </c>
      <c r="Z2799" s="200">
        <f ca="1">W2799*'Expenditure Study'!$B$31</f>
        <v>0</v>
      </c>
      <c r="AA2799" s="195">
        <f t="shared" ca="1" si="610"/>
        <v>4888686.5423531514</v>
      </c>
      <c r="AB2799" s="195">
        <f t="shared" ca="1" si="611"/>
        <v>4888686.5423531514</v>
      </c>
      <c r="AD2799" s="196">
        <f>IFERROR($G2799/SUMIF($A:$A,$A2799,$G:$G)*SUMIF(Summary!$A$166:$A$242,$A2799,Summary!$P$166:$P$242),0)</f>
        <v>102219.4789217404</v>
      </c>
      <c r="AE2799" s="197">
        <f t="shared" ca="1" si="612"/>
        <v>4786467.0634314111</v>
      </c>
      <c r="AF2799" s="196">
        <f>IFERROR(G2799/SUMIF(A:A,A2799,G:G)*SUMIF(Summary!$A$166:$A$242,'Operations Support'!A2799,Summary!$Q$166:$Q$242),0)</f>
        <v>102359.72420841415</v>
      </c>
      <c r="AG2799" s="196">
        <f t="shared" ca="1" si="613"/>
        <v>4786326.8181447368</v>
      </c>
      <c r="AI2799" s="196">
        <f>IFERROR($G2799/SUMIF($A:$A,$A2799,$G:$G)*SUMIF(Summary!$A$247:$A$283,$A2799,Summary!$P$247:$P$283),0)</f>
        <v>18642.282096663304</v>
      </c>
      <c r="AJ2799" s="196">
        <f>IFERROR($G2799/SUMIF($A:$A,$A2799,$G:$G)*(SUMIF(Summary!$A$247:$A$283,$A2799,Summary!$L$247:$L$283)+SUMIF(Summary!$A$297:$A$333,$A2799,Summary!$L$297:$L$333))-AI2799,0)</f>
        <v>82544.611051577085</v>
      </c>
      <c r="AK2799" s="196">
        <f>IFERROR($G2799/SUMIF($A:$A,$A2799,$G:$G)*SUMIF(Summary!$A$247:$A$283,$A2799,Summary!$Q$247:$Q$283),0)</f>
        <v>18667.859337170485</v>
      </c>
      <c r="AL2799" s="196">
        <f>IFERROR($G2799/SUMIF($A:$A,$A2799,$G:$G)*(SUMIF(Summary!$A$247:$A$283,$A2799,Summary!$L$247:$L$283)+SUMIF(Summary!$A$297:$A$333,$A2799,Summary!$L$297:$L$333))-AK2799,0)</f>
        <v>82519.033811069909</v>
      </c>
      <c r="AM2799" s="198"/>
      <c r="AN2799" s="196">
        <f t="shared" ca="1" si="614"/>
        <v>4869011.6744829882</v>
      </c>
      <c r="AO2799" s="196">
        <f t="shared" ca="1" si="615"/>
        <v>4868845.8519558068</v>
      </c>
    </row>
    <row r="2800" spans="1:41">
      <c r="A2800" s="189">
        <v>10115</v>
      </c>
      <c r="B2800" s="190">
        <v>4</v>
      </c>
      <c r="C2800" s="191" t="s">
        <v>222</v>
      </c>
      <c r="D2800" s="192">
        <f t="shared" si="602"/>
        <v>0</v>
      </c>
      <c r="E2800" s="192">
        <f t="shared" si="603"/>
        <v>0</v>
      </c>
      <c r="F2800" s="192">
        <f t="shared" si="604"/>
        <v>0</v>
      </c>
      <c r="G2800" s="193">
        <f t="shared" si="605"/>
        <v>0</v>
      </c>
      <c r="H2800" s="194">
        <v>0</v>
      </c>
      <c r="I2800" s="194">
        <v>0</v>
      </c>
      <c r="J2800" s="194">
        <v>0</v>
      </c>
      <c r="K2800" s="193">
        <f t="shared" si="606"/>
        <v>0</v>
      </c>
      <c r="L2800" s="194">
        <v>0</v>
      </c>
      <c r="M2800" s="194">
        <v>0</v>
      </c>
      <c r="N2800" s="194">
        <v>0</v>
      </c>
      <c r="O2800" s="193">
        <f t="shared" si="607"/>
        <v>0</v>
      </c>
      <c r="P2800" s="194">
        <v>0</v>
      </c>
      <c r="Q2800" s="194">
        <v>0</v>
      </c>
      <c r="R2800" s="194">
        <v>0</v>
      </c>
      <c r="S2800" s="193">
        <f t="shared" si="608"/>
        <v>0</v>
      </c>
      <c r="T2800" s="193">
        <f t="shared" si="609"/>
        <v>0</v>
      </c>
      <c r="U2800" s="193">
        <f ca="1">OFFSET('Expenditure Study'!$B$7,'Operations Support'!$C2800,'Operations Support'!$B2800)*$G2800</f>
        <v>0</v>
      </c>
      <c r="V2800" s="199">
        <f ca="1">U2800*'Expenditure Study'!$B$31</f>
        <v>0</v>
      </c>
      <c r="W2800" s="199">
        <f ca="1">IF(A2800=10298,1.51,1)*IF($B2800&lt;3,$D2800*'Expenditure Study'!$B$32*OFFSET('Expenditure Study'!$B$7,'Operations Support'!$C2800,'Operations Support'!$B2800),0)</f>
        <v>0</v>
      </c>
      <c r="X2800" s="200">
        <f ca="1">W2800*'Expenditure Study'!$B$31</f>
        <v>0</v>
      </c>
      <c r="Y2800" s="199">
        <f ca="1">U2800*'Expenditure Study'!$B$31</f>
        <v>0</v>
      </c>
      <c r="Z2800" s="200">
        <f ca="1">W2800*'Expenditure Study'!$B$31</f>
        <v>0</v>
      </c>
      <c r="AA2800" s="195">
        <f t="shared" ca="1" si="610"/>
        <v>0</v>
      </c>
      <c r="AB2800" s="195">
        <f t="shared" ca="1" si="611"/>
        <v>0</v>
      </c>
      <c r="AD2800" s="196">
        <f>IFERROR($G2800/SUMIF($A:$A,$A2800,$G:$G)*SUMIF(Summary!$A$166:$A$242,$A2800,Summary!$P$166:$P$242),0)</f>
        <v>0</v>
      </c>
      <c r="AE2800" s="197">
        <f t="shared" ca="1" si="612"/>
        <v>0</v>
      </c>
      <c r="AF2800" s="196">
        <f>IFERROR(G2800/SUMIF(A:A,A2800,G:G)*SUMIF(Summary!$A$166:$A$242,'Operations Support'!A2800,Summary!$Q$166:$Q$242),0)</f>
        <v>0</v>
      </c>
      <c r="AG2800" s="196">
        <f t="shared" ca="1" si="613"/>
        <v>0</v>
      </c>
      <c r="AI2800" s="196">
        <f>IFERROR($G2800/SUMIF($A:$A,$A2800,$G:$G)*SUMIF(Summary!$A$247:$A$283,$A2800,Summary!$P$247:$P$283),0)</f>
        <v>0</v>
      </c>
      <c r="AJ2800" s="196">
        <f>IFERROR($G2800/SUMIF($A:$A,$A2800,$G:$G)*(SUMIF(Summary!$A$247:$A$283,$A2800,Summary!$L$247:$L$283)+SUMIF(Summary!$A$297:$A$333,$A2800,Summary!$L$297:$L$333))-AI2800,0)</f>
        <v>0</v>
      </c>
      <c r="AK2800" s="196">
        <f>IFERROR($G2800/SUMIF($A:$A,$A2800,$G:$G)*SUMIF(Summary!$A$247:$A$283,$A2800,Summary!$Q$247:$Q$283),0)</f>
        <v>0</v>
      </c>
      <c r="AL2800" s="196">
        <f>IFERROR($G2800/SUMIF($A:$A,$A2800,$G:$G)*(SUMIF(Summary!$A$247:$A$283,$A2800,Summary!$L$247:$L$283)+SUMIF(Summary!$A$297:$A$333,$A2800,Summary!$L$297:$L$333))-AK2800,0)</f>
        <v>0</v>
      </c>
      <c r="AM2800" s="198"/>
      <c r="AN2800" s="196">
        <f t="shared" ca="1" si="614"/>
        <v>0</v>
      </c>
      <c r="AO2800" s="196">
        <f t="shared" ca="1" si="615"/>
        <v>0</v>
      </c>
    </row>
    <row r="2801" spans="1:41" s="201" customFormat="1">
      <c r="A2801" s="189">
        <v>10115</v>
      </c>
      <c r="B2801" s="190">
        <v>4</v>
      </c>
      <c r="C2801" s="191" t="s">
        <v>223</v>
      </c>
      <c r="D2801" s="192">
        <f t="shared" si="602"/>
        <v>394</v>
      </c>
      <c r="E2801" s="192">
        <f t="shared" si="603"/>
        <v>111</v>
      </c>
      <c r="F2801" s="192">
        <f t="shared" si="604"/>
        <v>0</v>
      </c>
      <c r="G2801" s="193">
        <f t="shared" si="605"/>
        <v>505</v>
      </c>
      <c r="H2801" s="194">
        <v>127</v>
      </c>
      <c r="I2801" s="194">
        <v>6</v>
      </c>
      <c r="J2801" s="194">
        <v>0</v>
      </c>
      <c r="K2801" s="193">
        <f t="shared" si="606"/>
        <v>133</v>
      </c>
      <c r="L2801" s="194">
        <v>102</v>
      </c>
      <c r="M2801" s="194">
        <v>51</v>
      </c>
      <c r="N2801" s="194">
        <v>0</v>
      </c>
      <c r="O2801" s="193">
        <f t="shared" si="607"/>
        <v>153</v>
      </c>
      <c r="P2801" s="194">
        <v>165</v>
      </c>
      <c r="Q2801" s="194">
        <v>54</v>
      </c>
      <c r="R2801" s="194">
        <v>0</v>
      </c>
      <c r="S2801" s="193">
        <f t="shared" si="608"/>
        <v>219</v>
      </c>
      <c r="T2801" s="193">
        <f t="shared" si="609"/>
        <v>28.055555555555557</v>
      </c>
      <c r="U2801" s="193">
        <f ca="1">OFFSET('Expenditure Study'!$B$7,'Operations Support'!$C2801,'Operations Support'!$B2801)*$G2801</f>
        <v>3949.1000000000004</v>
      </c>
      <c r="V2801" s="199">
        <f ca="1">U2801*'Expenditure Study'!$B$31</f>
        <v>233325.38929728002</v>
      </c>
      <c r="W2801" s="199">
        <f ca="1">IF(A2801=10298,1.51,1)*IF($B2801&lt;3,$D2801*'Expenditure Study'!$B$32*OFFSET('Expenditure Study'!$B$7,'Operations Support'!$C2801,'Operations Support'!$B2801),0)</f>
        <v>0</v>
      </c>
      <c r="X2801" s="200">
        <f ca="1">W2801*'Expenditure Study'!$B$31</f>
        <v>0</v>
      </c>
      <c r="Y2801" s="199">
        <f ca="1">U2801*'Expenditure Study'!$B$31</f>
        <v>233325.38929728002</v>
      </c>
      <c r="Z2801" s="200">
        <f ca="1">W2801*'Expenditure Study'!$B$31</f>
        <v>0</v>
      </c>
      <c r="AA2801" s="195">
        <f t="shared" ca="1" si="610"/>
        <v>233325.38929728002</v>
      </c>
      <c r="AB2801" s="195">
        <f t="shared" ca="1" si="611"/>
        <v>233325.38929728002</v>
      </c>
      <c r="AD2801" s="196">
        <f>IFERROR($G2801/SUMIF($A:$A,$A2801,$G:$G)*SUMIF(Summary!$A$166:$A$242,$A2801,Summary!$P$166:$P$242),0)</f>
        <v>13563.015463867288</v>
      </c>
      <c r="AE2801" s="197">
        <f t="shared" ca="1" si="612"/>
        <v>219762.37383341274</v>
      </c>
      <c r="AF2801" s="196">
        <f>IFERROR(G2801/SUMIF(A:A,A2801,G:G)*SUMIF(Summary!$A$166:$A$242,'Operations Support'!A2801,Summary!$Q$166:$Q$242),0)</f>
        <v>13581.623942524737</v>
      </c>
      <c r="AG2801" s="196">
        <f t="shared" ca="1" si="613"/>
        <v>219743.76535475528</v>
      </c>
      <c r="AH2801" s="180"/>
      <c r="AI2801" s="196">
        <f>IFERROR($G2801/SUMIF($A:$A,$A2801,$G:$G)*SUMIF(Summary!$A$247:$A$283,$A2801,Summary!$P$247:$P$283),0)</f>
        <v>2473.5555593313106</v>
      </c>
      <c r="AJ2801" s="196">
        <f>IFERROR($G2801/SUMIF($A:$A,$A2801,$G:$G)*(SUMIF(Summary!$A$247:$A$283,$A2801,Summary!$L$247:$L$283)+SUMIF(Summary!$A$297:$A$333,$A2801,Summary!$L$297:$L$333))-AI2801,0)</f>
        <v>10952.451019717926</v>
      </c>
      <c r="AK2801" s="196">
        <f>IFERROR($G2801/SUMIF($A:$A,$A2801,$G:$G)*SUMIF(Summary!$A$247:$A$283,$A2801,Summary!$Q$247:$Q$283),0)</f>
        <v>2476.9492814690211</v>
      </c>
      <c r="AL2801" s="196">
        <f>IFERROR($G2801/SUMIF($A:$A,$A2801,$G:$G)*(SUMIF(Summary!$A$247:$A$283,$A2801,Summary!$L$247:$L$283)+SUMIF(Summary!$A$297:$A$333,$A2801,Summary!$L$297:$L$333))-AK2801,0)</f>
        <v>10949.057297580217</v>
      </c>
      <c r="AM2801" s="198"/>
      <c r="AN2801" s="196">
        <f t="shared" ca="1" si="614"/>
        <v>230714.82485313067</v>
      </c>
      <c r="AO2801" s="196">
        <f t="shared" ca="1" si="615"/>
        <v>230692.82265233548</v>
      </c>
    </row>
    <row r="2802" spans="1:41">
      <c r="A2802" s="189">
        <v>10115</v>
      </c>
      <c r="B2802" s="190">
        <v>4</v>
      </c>
      <c r="C2802" s="191" t="s">
        <v>224</v>
      </c>
      <c r="D2802" s="192">
        <f t="shared" si="602"/>
        <v>0.6</v>
      </c>
      <c r="E2802" s="192">
        <f t="shared" si="603"/>
        <v>5.4</v>
      </c>
      <c r="F2802" s="192">
        <f t="shared" si="604"/>
        <v>0</v>
      </c>
      <c r="G2802" s="193">
        <f t="shared" si="605"/>
        <v>6</v>
      </c>
      <c r="H2802" s="194">
        <v>0.6</v>
      </c>
      <c r="I2802" s="194">
        <v>5.4</v>
      </c>
      <c r="J2802" s="194">
        <v>0</v>
      </c>
      <c r="K2802" s="193">
        <f t="shared" si="606"/>
        <v>6</v>
      </c>
      <c r="L2802" s="194">
        <v>0</v>
      </c>
      <c r="M2802" s="194">
        <v>0</v>
      </c>
      <c r="N2802" s="194">
        <v>0</v>
      </c>
      <c r="O2802" s="193">
        <f t="shared" si="607"/>
        <v>0</v>
      </c>
      <c r="P2802" s="194">
        <v>0</v>
      </c>
      <c r="Q2802" s="194">
        <v>0</v>
      </c>
      <c r="R2802" s="194">
        <v>0</v>
      </c>
      <c r="S2802" s="193">
        <f t="shared" si="608"/>
        <v>0</v>
      </c>
      <c r="T2802" s="193">
        <f t="shared" si="609"/>
        <v>0.33333333333333331</v>
      </c>
      <c r="U2802" s="193">
        <f ca="1">OFFSET('Expenditure Study'!$B$7,'Operations Support'!$C2802,'Operations Support'!$B2802)*$G2802</f>
        <v>86.820000000000007</v>
      </c>
      <c r="V2802" s="199">
        <f ca="1">U2802*'Expenditure Study'!$B$31</f>
        <v>5129.6017570560007</v>
      </c>
      <c r="W2802" s="199">
        <f ca="1">IF(A2802=10298,1.51,1)*IF($B2802&lt;3,$D2802*'Expenditure Study'!$B$32*OFFSET('Expenditure Study'!$B$7,'Operations Support'!$C2802,'Operations Support'!$B2802),0)</f>
        <v>0</v>
      </c>
      <c r="X2802" s="200">
        <f ca="1">W2802*'Expenditure Study'!$B$31</f>
        <v>0</v>
      </c>
      <c r="Y2802" s="199">
        <f ca="1">U2802*'Expenditure Study'!$B$31</f>
        <v>5129.6017570560007</v>
      </c>
      <c r="Z2802" s="200">
        <f ca="1">W2802*'Expenditure Study'!$B$31</f>
        <v>0</v>
      </c>
      <c r="AA2802" s="195">
        <f t="shared" ca="1" si="610"/>
        <v>5129.6017570560007</v>
      </c>
      <c r="AB2802" s="195">
        <f t="shared" ca="1" si="611"/>
        <v>5129.6017570560007</v>
      </c>
      <c r="AD2802" s="196">
        <f>IFERROR($G2802/SUMIF($A:$A,$A2802,$G:$G)*SUMIF(Summary!$A$166:$A$242,$A2802,Summary!$P$166:$P$242),0)</f>
        <v>161.14473818456185</v>
      </c>
      <c r="AE2802" s="197">
        <f t="shared" ca="1" si="612"/>
        <v>4968.4570188714388</v>
      </c>
      <c r="AF2802" s="196">
        <f>IFERROR(G2802/SUMIF(A:A,A2802,G:G)*SUMIF(Summary!$A$166:$A$242,'Operations Support'!A2802,Summary!$Q$166:$Q$242),0)</f>
        <v>161.36582902009587</v>
      </c>
      <c r="AG2802" s="196">
        <f t="shared" ca="1" si="613"/>
        <v>4968.2359280359051</v>
      </c>
      <c r="AI2802" s="196">
        <f>IFERROR($G2802/SUMIF($A:$A,$A2802,$G:$G)*SUMIF(Summary!$A$247:$A$283,$A2802,Summary!$P$247:$P$283),0)</f>
        <v>29.388778922748248</v>
      </c>
      <c r="AJ2802" s="196">
        <f>IFERROR($G2802/SUMIF($A:$A,$A2802,$G:$G)*(SUMIF(Summary!$A$247:$A$283,$A2802,Summary!$L$247:$L$283)+SUMIF(Summary!$A$297:$A$333,$A2802,Summary!$L$297:$L$333))-AI2802,0)</f>
        <v>130.12813092734169</v>
      </c>
      <c r="AK2802" s="196">
        <f>IFERROR($G2802/SUMIF($A:$A,$A2802,$G:$G)*SUMIF(Summary!$A$247:$A$283,$A2802,Summary!$Q$247:$Q$283),0)</f>
        <v>29.429100373889359</v>
      </c>
      <c r="AL2802" s="196">
        <f>IFERROR($G2802/SUMIF($A:$A,$A2802,$G:$G)*(SUMIF(Summary!$A$247:$A$283,$A2802,Summary!$L$247:$L$283)+SUMIF(Summary!$A$297:$A$333,$A2802,Summary!$L$297:$L$333))-AK2802,0)</f>
        <v>130.08780947620059</v>
      </c>
      <c r="AM2802" s="198"/>
      <c r="AN2802" s="196">
        <f t="shared" ca="1" si="614"/>
        <v>5098.5851497987805</v>
      </c>
      <c r="AO2802" s="196">
        <f t="shared" ca="1" si="615"/>
        <v>5098.3237375121053</v>
      </c>
    </row>
    <row r="2803" spans="1:41">
      <c r="A2803" s="189">
        <v>10115</v>
      </c>
      <c r="B2803" s="190">
        <v>4</v>
      </c>
      <c r="C2803" s="191" t="s">
        <v>225</v>
      </c>
      <c r="D2803" s="192">
        <f t="shared" si="602"/>
        <v>4435</v>
      </c>
      <c r="E2803" s="192">
        <f t="shared" si="603"/>
        <v>189</v>
      </c>
      <c r="F2803" s="192">
        <f t="shared" si="604"/>
        <v>51</v>
      </c>
      <c r="G2803" s="193">
        <f t="shared" si="605"/>
        <v>4573</v>
      </c>
      <c r="H2803" s="194">
        <v>2052</v>
      </c>
      <c r="I2803" s="194">
        <v>70</v>
      </c>
      <c r="J2803" s="194">
        <v>34</v>
      </c>
      <c r="K2803" s="193">
        <f t="shared" si="606"/>
        <v>2088</v>
      </c>
      <c r="L2803" s="194">
        <v>1812</v>
      </c>
      <c r="M2803" s="194">
        <v>91</v>
      </c>
      <c r="N2803" s="194">
        <v>17</v>
      </c>
      <c r="O2803" s="193">
        <f t="shared" si="607"/>
        <v>1886</v>
      </c>
      <c r="P2803" s="194">
        <v>571</v>
      </c>
      <c r="Q2803" s="194">
        <v>28</v>
      </c>
      <c r="R2803" s="194">
        <v>0</v>
      </c>
      <c r="S2803" s="193">
        <f t="shared" si="608"/>
        <v>599</v>
      </c>
      <c r="T2803" s="193">
        <f t="shared" si="609"/>
        <v>254.05555555555554</v>
      </c>
      <c r="U2803" s="193">
        <f ca="1">OFFSET('Expenditure Study'!$B$7,'Operations Support'!$C2803,'Operations Support'!$B2803)*$G2803</f>
        <v>85926.67</v>
      </c>
      <c r="V2803" s="199">
        <f ca="1">U2803*'Expenditure Study'!$B$31</f>
        <v>5076820.9791519362</v>
      </c>
      <c r="W2803" s="199">
        <f ca="1">IF(A2803=10298,1.51,1)*IF($B2803&lt;3,$D2803*'Expenditure Study'!$B$32*OFFSET('Expenditure Study'!$B$7,'Operations Support'!$C2803,'Operations Support'!$B2803),0)</f>
        <v>0</v>
      </c>
      <c r="X2803" s="200">
        <f ca="1">W2803*'Expenditure Study'!$B$31</f>
        <v>0</v>
      </c>
      <c r="Y2803" s="199">
        <f ca="1">U2803*'Expenditure Study'!$B$31</f>
        <v>5076820.9791519362</v>
      </c>
      <c r="Z2803" s="200">
        <f ca="1">W2803*'Expenditure Study'!$B$31</f>
        <v>0</v>
      </c>
      <c r="AA2803" s="195">
        <f t="shared" ca="1" si="610"/>
        <v>5076820.9791519362</v>
      </c>
      <c r="AB2803" s="195">
        <f t="shared" ca="1" si="611"/>
        <v>5076820.9791519362</v>
      </c>
      <c r="AD2803" s="196">
        <f>IFERROR($G2803/SUMIF($A:$A,$A2803,$G:$G)*SUMIF(Summary!$A$166:$A$242,$A2803,Summary!$P$166:$P$242),0)</f>
        <v>122819.14795300024</v>
      </c>
      <c r="AE2803" s="197">
        <f t="shared" ca="1" si="612"/>
        <v>4954001.8311989363</v>
      </c>
      <c r="AF2803" s="196">
        <f>IFERROR(G2803/SUMIF(A:A,A2803,G:G)*SUMIF(Summary!$A$166:$A$242,'Operations Support'!A2803,Summary!$Q$166:$Q$242),0)</f>
        <v>122987.65601814976</v>
      </c>
      <c r="AG2803" s="196">
        <f t="shared" ca="1" si="613"/>
        <v>4953833.3231337862</v>
      </c>
      <c r="AI2803" s="196">
        <f>IFERROR($G2803/SUMIF($A:$A,$A2803,$G:$G)*SUMIF(Summary!$A$247:$A$283,$A2803,Summary!$P$247:$P$283),0)</f>
        <v>22399.147668954625</v>
      </c>
      <c r="AJ2803" s="196">
        <f>IFERROR($G2803/SUMIF($A:$A,$A2803,$G:$G)*(SUMIF(Summary!$A$247:$A$283,$A2803,Summary!$L$247:$L$283)+SUMIF(Summary!$A$297:$A$333,$A2803,Summary!$L$297:$L$333))-AI2803,0)</f>
        <v>99179.323788455615</v>
      </c>
      <c r="AK2803" s="196">
        <f>IFERROR($G2803/SUMIF($A:$A,$A2803,$G:$G)*SUMIF(Summary!$A$247:$A$283,$A2803,Summary!$Q$247:$Q$283),0)</f>
        <v>22429.879334966012</v>
      </c>
      <c r="AL2803" s="196">
        <f>IFERROR($G2803/SUMIF($A:$A,$A2803,$G:$G)*(SUMIF(Summary!$A$247:$A$283,$A2803,Summary!$L$247:$L$283)+SUMIF(Summary!$A$297:$A$333,$A2803,Summary!$L$297:$L$333))-AK2803,0)</f>
        <v>99148.592122444228</v>
      </c>
      <c r="AM2803" s="198"/>
      <c r="AN2803" s="196">
        <f t="shared" ca="1" si="614"/>
        <v>5053181.154987392</v>
      </c>
      <c r="AO2803" s="196">
        <f t="shared" ca="1" si="615"/>
        <v>5052981.9152562302</v>
      </c>
    </row>
    <row r="2804" spans="1:41">
      <c r="A2804" s="189">
        <v>10115</v>
      </c>
      <c r="B2804" s="190">
        <v>4</v>
      </c>
      <c r="C2804" s="191" t="s">
        <v>226</v>
      </c>
      <c r="D2804" s="192">
        <f t="shared" si="602"/>
        <v>0</v>
      </c>
      <c r="E2804" s="192">
        <f t="shared" si="603"/>
        <v>0</v>
      </c>
      <c r="F2804" s="192">
        <f t="shared" si="604"/>
        <v>0</v>
      </c>
      <c r="G2804" s="193">
        <f t="shared" si="605"/>
        <v>0</v>
      </c>
      <c r="H2804" s="194">
        <v>0</v>
      </c>
      <c r="I2804" s="194">
        <v>0</v>
      </c>
      <c r="J2804" s="194">
        <v>0</v>
      </c>
      <c r="K2804" s="193">
        <f t="shared" si="606"/>
        <v>0</v>
      </c>
      <c r="L2804" s="194">
        <v>0</v>
      </c>
      <c r="M2804" s="194">
        <v>0</v>
      </c>
      <c r="N2804" s="194">
        <v>0</v>
      </c>
      <c r="O2804" s="193">
        <f t="shared" si="607"/>
        <v>0</v>
      </c>
      <c r="P2804" s="194">
        <v>0</v>
      </c>
      <c r="Q2804" s="194">
        <v>0</v>
      </c>
      <c r="R2804" s="194">
        <v>0</v>
      </c>
      <c r="S2804" s="193">
        <f t="shared" si="608"/>
        <v>0</v>
      </c>
      <c r="T2804" s="193">
        <f t="shared" si="609"/>
        <v>0</v>
      </c>
      <c r="U2804" s="193">
        <f ca="1">OFFSET('Expenditure Study'!$B$7,'Operations Support'!$C2804,'Operations Support'!$B2804)*$G2804</f>
        <v>0</v>
      </c>
      <c r="V2804" s="199">
        <f ca="1">U2804*'Expenditure Study'!$B$31</f>
        <v>0</v>
      </c>
      <c r="W2804" s="199">
        <f ca="1">IF(A2804=10298,1.51,1)*IF($B2804&lt;3,$D2804*'Expenditure Study'!$B$32*OFFSET('Expenditure Study'!$B$7,'Operations Support'!$C2804,'Operations Support'!$B2804),0)</f>
        <v>0</v>
      </c>
      <c r="X2804" s="200">
        <f ca="1">W2804*'Expenditure Study'!$B$31</f>
        <v>0</v>
      </c>
      <c r="Y2804" s="199">
        <f ca="1">U2804*'Expenditure Study'!$B$31</f>
        <v>0</v>
      </c>
      <c r="Z2804" s="200">
        <f ca="1">W2804*'Expenditure Study'!$B$31</f>
        <v>0</v>
      </c>
      <c r="AA2804" s="195">
        <f t="shared" ca="1" si="610"/>
        <v>0</v>
      </c>
      <c r="AB2804" s="195">
        <f t="shared" ca="1" si="611"/>
        <v>0</v>
      </c>
      <c r="AD2804" s="196">
        <f>IFERROR($G2804/SUMIF($A:$A,$A2804,$G:$G)*SUMIF(Summary!$A$166:$A$242,$A2804,Summary!$P$166:$P$242),0)</f>
        <v>0</v>
      </c>
      <c r="AE2804" s="197">
        <f t="shared" ca="1" si="612"/>
        <v>0</v>
      </c>
      <c r="AF2804" s="196">
        <f>IFERROR(G2804/SUMIF(A:A,A2804,G:G)*SUMIF(Summary!$A$166:$A$242,'Operations Support'!A2804,Summary!$Q$166:$Q$242),0)</f>
        <v>0</v>
      </c>
      <c r="AG2804" s="196">
        <f t="shared" ca="1" si="613"/>
        <v>0</v>
      </c>
      <c r="AI2804" s="196">
        <f>IFERROR($G2804/SUMIF($A:$A,$A2804,$G:$G)*SUMIF(Summary!$A$247:$A$283,$A2804,Summary!$P$247:$P$283),0)</f>
        <v>0</v>
      </c>
      <c r="AJ2804" s="196">
        <f>IFERROR($G2804/SUMIF($A:$A,$A2804,$G:$G)*(SUMIF(Summary!$A$247:$A$283,$A2804,Summary!$L$247:$L$283)+SUMIF(Summary!$A$297:$A$333,$A2804,Summary!$L$297:$L$333))-AI2804,0)</f>
        <v>0</v>
      </c>
      <c r="AK2804" s="196">
        <f>IFERROR($G2804/SUMIF($A:$A,$A2804,$G:$G)*SUMIF(Summary!$A$247:$A$283,$A2804,Summary!$Q$247:$Q$283),0)</f>
        <v>0</v>
      </c>
      <c r="AL2804" s="196">
        <f>IFERROR($G2804/SUMIF($A:$A,$A2804,$G:$G)*(SUMIF(Summary!$A$247:$A$283,$A2804,Summary!$L$247:$L$283)+SUMIF(Summary!$A$297:$A$333,$A2804,Summary!$L$297:$L$333))-AK2804,0)</f>
        <v>0</v>
      </c>
      <c r="AM2804" s="198"/>
      <c r="AN2804" s="196">
        <f t="shared" ca="1" si="614"/>
        <v>0</v>
      </c>
      <c r="AO2804" s="196">
        <f t="shared" ca="1" si="615"/>
        <v>0</v>
      </c>
    </row>
    <row r="2805" spans="1:41">
      <c r="A2805" s="189">
        <v>10115</v>
      </c>
      <c r="B2805" s="190">
        <v>4</v>
      </c>
      <c r="C2805" s="191" t="s">
        <v>227</v>
      </c>
      <c r="D2805" s="192">
        <f t="shared" si="602"/>
        <v>0</v>
      </c>
      <c r="E2805" s="192">
        <f t="shared" si="603"/>
        <v>0</v>
      </c>
      <c r="F2805" s="192">
        <f t="shared" si="604"/>
        <v>0</v>
      </c>
      <c r="G2805" s="193">
        <f t="shared" si="605"/>
        <v>0</v>
      </c>
      <c r="H2805" s="194">
        <v>0</v>
      </c>
      <c r="I2805" s="194">
        <v>0</v>
      </c>
      <c r="J2805" s="194">
        <v>0</v>
      </c>
      <c r="K2805" s="193">
        <f t="shared" si="606"/>
        <v>0</v>
      </c>
      <c r="L2805" s="194">
        <v>0</v>
      </c>
      <c r="M2805" s="194">
        <v>0</v>
      </c>
      <c r="N2805" s="194">
        <v>0</v>
      </c>
      <c r="O2805" s="193">
        <f t="shared" si="607"/>
        <v>0</v>
      </c>
      <c r="P2805" s="194">
        <v>0</v>
      </c>
      <c r="Q2805" s="194">
        <v>0</v>
      </c>
      <c r="R2805" s="194">
        <v>0</v>
      </c>
      <c r="S2805" s="193">
        <f t="shared" si="608"/>
        <v>0</v>
      </c>
      <c r="T2805" s="193">
        <f t="shared" si="609"/>
        <v>0</v>
      </c>
      <c r="U2805" s="193">
        <f ca="1">OFFSET('Expenditure Study'!$B$7,'Operations Support'!$C2805,'Operations Support'!$B2805)*$G2805</f>
        <v>0</v>
      </c>
      <c r="V2805" s="199">
        <f ca="1">U2805*'Expenditure Study'!$B$31</f>
        <v>0</v>
      </c>
      <c r="W2805" s="199">
        <f ca="1">IF(A2805=10298,1.51,1)*IF($B2805&lt;3,$D2805*'Expenditure Study'!$B$32*OFFSET('Expenditure Study'!$B$7,'Operations Support'!$C2805,'Operations Support'!$B2805),0)</f>
        <v>0</v>
      </c>
      <c r="X2805" s="200">
        <f ca="1">W2805*'Expenditure Study'!$B$31</f>
        <v>0</v>
      </c>
      <c r="Y2805" s="199">
        <f ca="1">U2805*'Expenditure Study'!$B$31</f>
        <v>0</v>
      </c>
      <c r="Z2805" s="200">
        <f ca="1">W2805*'Expenditure Study'!$B$31</f>
        <v>0</v>
      </c>
      <c r="AA2805" s="195">
        <f t="shared" ca="1" si="610"/>
        <v>0</v>
      </c>
      <c r="AB2805" s="195">
        <f t="shared" ca="1" si="611"/>
        <v>0</v>
      </c>
      <c r="AD2805" s="196">
        <f>IFERROR($G2805/SUMIF($A:$A,$A2805,$G:$G)*SUMIF(Summary!$A$166:$A$242,$A2805,Summary!$P$166:$P$242),0)</f>
        <v>0</v>
      </c>
      <c r="AE2805" s="197">
        <f t="shared" ca="1" si="612"/>
        <v>0</v>
      </c>
      <c r="AF2805" s="196">
        <f>IFERROR(G2805/SUMIF(A:A,A2805,G:G)*SUMIF(Summary!$A$166:$A$242,'Operations Support'!A2805,Summary!$Q$166:$Q$242),0)</f>
        <v>0</v>
      </c>
      <c r="AG2805" s="196">
        <f t="shared" ca="1" si="613"/>
        <v>0</v>
      </c>
      <c r="AI2805" s="196">
        <f>IFERROR($G2805/SUMIF($A:$A,$A2805,$G:$G)*SUMIF(Summary!$A$247:$A$283,$A2805,Summary!$P$247:$P$283),0)</f>
        <v>0</v>
      </c>
      <c r="AJ2805" s="196">
        <f>IFERROR($G2805/SUMIF($A:$A,$A2805,$G:$G)*(SUMIF(Summary!$A$247:$A$283,$A2805,Summary!$L$247:$L$283)+SUMIF(Summary!$A$297:$A$333,$A2805,Summary!$L$297:$L$333))-AI2805,0)</f>
        <v>0</v>
      </c>
      <c r="AK2805" s="196">
        <f>IFERROR($G2805/SUMIF($A:$A,$A2805,$G:$G)*SUMIF(Summary!$A$247:$A$283,$A2805,Summary!$Q$247:$Q$283),0)</f>
        <v>0</v>
      </c>
      <c r="AL2805" s="196">
        <f>IFERROR($G2805/SUMIF($A:$A,$A2805,$G:$G)*(SUMIF(Summary!$A$247:$A$283,$A2805,Summary!$L$247:$L$283)+SUMIF(Summary!$A$297:$A$333,$A2805,Summary!$L$297:$L$333))-AK2805,0)</f>
        <v>0</v>
      </c>
      <c r="AM2805" s="198"/>
      <c r="AN2805" s="196">
        <f t="shared" ca="1" si="614"/>
        <v>0</v>
      </c>
      <c r="AO2805" s="196">
        <f t="shared" ca="1" si="615"/>
        <v>0</v>
      </c>
    </row>
    <row r="2806" spans="1:41">
      <c r="A2806" s="189">
        <v>10115</v>
      </c>
      <c r="B2806" s="190">
        <v>4</v>
      </c>
      <c r="C2806" s="191" t="s">
        <v>228</v>
      </c>
      <c r="D2806" s="192">
        <f t="shared" si="602"/>
        <v>0</v>
      </c>
      <c r="E2806" s="192">
        <f t="shared" si="603"/>
        <v>0</v>
      </c>
      <c r="F2806" s="192">
        <f t="shared" si="604"/>
        <v>0</v>
      </c>
      <c r="G2806" s="193">
        <f t="shared" si="605"/>
        <v>0</v>
      </c>
      <c r="H2806" s="194">
        <v>0</v>
      </c>
      <c r="I2806" s="194">
        <v>0</v>
      </c>
      <c r="J2806" s="194">
        <v>0</v>
      </c>
      <c r="K2806" s="193">
        <f t="shared" si="606"/>
        <v>0</v>
      </c>
      <c r="L2806" s="194">
        <v>0</v>
      </c>
      <c r="M2806" s="194">
        <v>0</v>
      </c>
      <c r="N2806" s="194">
        <v>0</v>
      </c>
      <c r="O2806" s="193">
        <f t="shared" si="607"/>
        <v>0</v>
      </c>
      <c r="P2806" s="194">
        <v>0</v>
      </c>
      <c r="Q2806" s="194">
        <v>0</v>
      </c>
      <c r="R2806" s="194">
        <v>0</v>
      </c>
      <c r="S2806" s="193">
        <f t="shared" si="608"/>
        <v>0</v>
      </c>
      <c r="T2806" s="193">
        <f t="shared" si="609"/>
        <v>0</v>
      </c>
      <c r="U2806" s="193">
        <f ca="1">OFFSET('Expenditure Study'!$B$7,'Operations Support'!$C2806,'Operations Support'!$B2806)*$G2806</f>
        <v>0</v>
      </c>
      <c r="V2806" s="199">
        <f ca="1">U2806*'Expenditure Study'!$B$31</f>
        <v>0</v>
      </c>
      <c r="W2806" s="199">
        <f ca="1">IF(A2806=10298,1.51,1)*IF($B2806&lt;3,$D2806*'Expenditure Study'!$B$32*OFFSET('Expenditure Study'!$B$7,'Operations Support'!$C2806,'Operations Support'!$B2806),0)</f>
        <v>0</v>
      </c>
      <c r="X2806" s="200">
        <f ca="1">W2806*'Expenditure Study'!$B$31</f>
        <v>0</v>
      </c>
      <c r="Y2806" s="199">
        <f ca="1">U2806*'Expenditure Study'!$B$31</f>
        <v>0</v>
      </c>
      <c r="Z2806" s="200">
        <f ca="1">W2806*'Expenditure Study'!$B$31</f>
        <v>0</v>
      </c>
      <c r="AA2806" s="195">
        <f t="shared" ca="1" si="610"/>
        <v>0</v>
      </c>
      <c r="AB2806" s="195">
        <f t="shared" ca="1" si="611"/>
        <v>0</v>
      </c>
      <c r="AD2806" s="196">
        <f>IFERROR($G2806/SUMIF($A:$A,$A2806,$G:$G)*SUMIF(Summary!$A$166:$A$242,$A2806,Summary!$P$166:$P$242),0)</f>
        <v>0</v>
      </c>
      <c r="AE2806" s="197">
        <f t="shared" ca="1" si="612"/>
        <v>0</v>
      </c>
      <c r="AF2806" s="196">
        <f>IFERROR(G2806/SUMIF(A:A,A2806,G:G)*SUMIF(Summary!$A$166:$A$242,'Operations Support'!A2806,Summary!$Q$166:$Q$242),0)</f>
        <v>0</v>
      </c>
      <c r="AG2806" s="196">
        <f t="shared" ca="1" si="613"/>
        <v>0</v>
      </c>
      <c r="AI2806" s="196">
        <f>IFERROR($G2806/SUMIF($A:$A,$A2806,$G:$G)*SUMIF(Summary!$A$247:$A$283,$A2806,Summary!$P$247:$P$283),0)</f>
        <v>0</v>
      </c>
      <c r="AJ2806" s="196">
        <f>IFERROR($G2806/SUMIF($A:$A,$A2806,$G:$G)*(SUMIF(Summary!$A$247:$A$283,$A2806,Summary!$L$247:$L$283)+SUMIF(Summary!$A$297:$A$333,$A2806,Summary!$L$297:$L$333))-AI2806,0)</f>
        <v>0</v>
      </c>
      <c r="AK2806" s="196">
        <f>IFERROR($G2806/SUMIF($A:$A,$A2806,$G:$G)*SUMIF(Summary!$A$247:$A$283,$A2806,Summary!$Q$247:$Q$283),0)</f>
        <v>0</v>
      </c>
      <c r="AL2806" s="196">
        <f>IFERROR($G2806/SUMIF($A:$A,$A2806,$G:$G)*(SUMIF(Summary!$A$247:$A$283,$A2806,Summary!$L$247:$L$283)+SUMIF(Summary!$A$297:$A$333,$A2806,Summary!$L$297:$L$333))-AK2806,0)</f>
        <v>0</v>
      </c>
      <c r="AM2806" s="198"/>
      <c r="AN2806" s="196">
        <f t="shared" ca="1" si="614"/>
        <v>0</v>
      </c>
      <c r="AO2806" s="196">
        <f t="shared" ca="1" si="615"/>
        <v>0</v>
      </c>
    </row>
    <row r="2807" spans="1:41">
      <c r="A2807" s="189">
        <v>10115</v>
      </c>
      <c r="B2807" s="190">
        <v>4</v>
      </c>
      <c r="C2807" s="191" t="s">
        <v>229</v>
      </c>
      <c r="D2807" s="192">
        <f t="shared" si="602"/>
        <v>0</v>
      </c>
      <c r="E2807" s="192">
        <f t="shared" si="603"/>
        <v>0</v>
      </c>
      <c r="F2807" s="192">
        <f t="shared" si="604"/>
        <v>0</v>
      </c>
      <c r="G2807" s="193">
        <f t="shared" si="605"/>
        <v>0</v>
      </c>
      <c r="H2807" s="194">
        <v>0</v>
      </c>
      <c r="I2807" s="194">
        <v>0</v>
      </c>
      <c r="J2807" s="194">
        <v>0</v>
      </c>
      <c r="K2807" s="193">
        <f t="shared" si="606"/>
        <v>0</v>
      </c>
      <c r="L2807" s="194">
        <v>0</v>
      </c>
      <c r="M2807" s="194">
        <v>0</v>
      </c>
      <c r="N2807" s="194">
        <v>0</v>
      </c>
      <c r="O2807" s="193">
        <f t="shared" si="607"/>
        <v>0</v>
      </c>
      <c r="P2807" s="194">
        <v>0</v>
      </c>
      <c r="Q2807" s="194">
        <v>0</v>
      </c>
      <c r="R2807" s="194">
        <v>0</v>
      </c>
      <c r="S2807" s="193">
        <f t="shared" si="608"/>
        <v>0</v>
      </c>
      <c r="T2807" s="193">
        <f t="shared" si="609"/>
        <v>0</v>
      </c>
      <c r="U2807" s="193">
        <f ca="1">OFFSET('Expenditure Study'!$B$7,'Operations Support'!$C2807,'Operations Support'!$B2807)*$G2807</f>
        <v>0</v>
      </c>
      <c r="V2807" s="199">
        <f ca="1">U2807*'Expenditure Study'!$B$31</f>
        <v>0</v>
      </c>
      <c r="W2807" s="199">
        <f ca="1">IF(A2807=10298,1.51,1)*IF($B2807&lt;3,$D2807*'Expenditure Study'!$B$32*OFFSET('Expenditure Study'!$B$7,'Operations Support'!$C2807,'Operations Support'!$B2807),0)</f>
        <v>0</v>
      </c>
      <c r="X2807" s="200">
        <f ca="1">W2807*'Expenditure Study'!$B$31</f>
        <v>0</v>
      </c>
      <c r="Y2807" s="199">
        <f ca="1">U2807*'Expenditure Study'!$B$31</f>
        <v>0</v>
      </c>
      <c r="Z2807" s="200">
        <f ca="1">W2807*'Expenditure Study'!$B$31</f>
        <v>0</v>
      </c>
      <c r="AA2807" s="195">
        <f t="shared" ca="1" si="610"/>
        <v>0</v>
      </c>
      <c r="AB2807" s="195">
        <f t="shared" ca="1" si="611"/>
        <v>0</v>
      </c>
      <c r="AD2807" s="196">
        <f>IFERROR($G2807/SUMIF($A:$A,$A2807,$G:$G)*SUMIF(Summary!$A$166:$A$242,$A2807,Summary!$P$166:$P$242),0)</f>
        <v>0</v>
      </c>
      <c r="AE2807" s="197">
        <f t="shared" ca="1" si="612"/>
        <v>0</v>
      </c>
      <c r="AF2807" s="196">
        <f>IFERROR(G2807/SUMIF(A:A,A2807,G:G)*SUMIF(Summary!$A$166:$A$242,'Operations Support'!A2807,Summary!$Q$166:$Q$242),0)</f>
        <v>0</v>
      </c>
      <c r="AG2807" s="196">
        <f t="shared" ca="1" si="613"/>
        <v>0</v>
      </c>
      <c r="AI2807" s="196">
        <f>IFERROR($G2807/SUMIF($A:$A,$A2807,$G:$G)*SUMIF(Summary!$A$247:$A$283,$A2807,Summary!$P$247:$P$283),0)</f>
        <v>0</v>
      </c>
      <c r="AJ2807" s="196">
        <f>IFERROR($G2807/SUMIF($A:$A,$A2807,$G:$G)*(SUMIF(Summary!$A$247:$A$283,$A2807,Summary!$L$247:$L$283)+SUMIF(Summary!$A$297:$A$333,$A2807,Summary!$L$297:$L$333))-AI2807,0)</f>
        <v>0</v>
      </c>
      <c r="AK2807" s="196">
        <f>IFERROR($G2807/SUMIF($A:$A,$A2807,$G:$G)*SUMIF(Summary!$A$247:$A$283,$A2807,Summary!$Q$247:$Q$283),0)</f>
        <v>0</v>
      </c>
      <c r="AL2807" s="196">
        <f>IFERROR($G2807/SUMIF($A:$A,$A2807,$G:$G)*(SUMIF(Summary!$A$247:$A$283,$A2807,Summary!$L$247:$L$283)+SUMIF(Summary!$A$297:$A$333,$A2807,Summary!$L$297:$L$333))-AK2807,0)</f>
        <v>0</v>
      </c>
      <c r="AM2807" s="198"/>
      <c r="AN2807" s="196">
        <f t="shared" ca="1" si="614"/>
        <v>0</v>
      </c>
      <c r="AO2807" s="196">
        <f t="shared" ca="1" si="615"/>
        <v>0</v>
      </c>
    </row>
    <row r="2808" spans="1:41">
      <c r="A2808" s="189">
        <v>10115</v>
      </c>
      <c r="B2808" s="190">
        <v>4</v>
      </c>
      <c r="C2808" s="191" t="s">
        <v>230</v>
      </c>
      <c r="D2808" s="192">
        <f t="shared" si="602"/>
        <v>0</v>
      </c>
      <c r="E2808" s="192">
        <f t="shared" si="603"/>
        <v>0</v>
      </c>
      <c r="F2808" s="192">
        <f t="shared" si="604"/>
        <v>0</v>
      </c>
      <c r="G2808" s="193">
        <f t="shared" si="605"/>
        <v>0</v>
      </c>
      <c r="H2808" s="194">
        <v>0</v>
      </c>
      <c r="I2808" s="194">
        <v>0</v>
      </c>
      <c r="J2808" s="194">
        <v>0</v>
      </c>
      <c r="K2808" s="193">
        <f t="shared" si="606"/>
        <v>0</v>
      </c>
      <c r="L2808" s="194">
        <v>0</v>
      </c>
      <c r="M2808" s="194">
        <v>0</v>
      </c>
      <c r="N2808" s="194">
        <v>0</v>
      </c>
      <c r="O2808" s="193">
        <f t="shared" si="607"/>
        <v>0</v>
      </c>
      <c r="P2808" s="194">
        <v>0</v>
      </c>
      <c r="Q2808" s="194">
        <v>0</v>
      </c>
      <c r="R2808" s="194">
        <v>0</v>
      </c>
      <c r="S2808" s="193">
        <f t="shared" si="608"/>
        <v>0</v>
      </c>
      <c r="T2808" s="193">
        <f t="shared" si="609"/>
        <v>0</v>
      </c>
      <c r="U2808" s="193">
        <f ca="1">OFFSET('Expenditure Study'!$B$7,'Operations Support'!$C2808,'Operations Support'!$B2808)*$G2808</f>
        <v>0</v>
      </c>
      <c r="V2808" s="199">
        <f ca="1">U2808*'Expenditure Study'!$B$31</f>
        <v>0</v>
      </c>
      <c r="W2808" s="199">
        <f ca="1">IF(A2808=10298,1.51,1)*IF($B2808&lt;3,$D2808*'Expenditure Study'!$B$32*OFFSET('Expenditure Study'!$B$7,'Operations Support'!$C2808,'Operations Support'!$B2808),0)</f>
        <v>0</v>
      </c>
      <c r="X2808" s="200">
        <f ca="1">W2808*'Expenditure Study'!$B$31</f>
        <v>0</v>
      </c>
      <c r="Y2808" s="199">
        <f ca="1">U2808*'Expenditure Study'!$B$31</f>
        <v>0</v>
      </c>
      <c r="Z2808" s="200">
        <f ca="1">W2808*'Expenditure Study'!$B$31</f>
        <v>0</v>
      </c>
      <c r="AA2808" s="195">
        <f t="shared" ca="1" si="610"/>
        <v>0</v>
      </c>
      <c r="AB2808" s="195">
        <f t="shared" ca="1" si="611"/>
        <v>0</v>
      </c>
      <c r="AD2808" s="196">
        <f>IFERROR($G2808/SUMIF($A:$A,$A2808,$G:$G)*SUMIF(Summary!$A$166:$A$242,$A2808,Summary!$P$166:$P$242),0)</f>
        <v>0</v>
      </c>
      <c r="AE2808" s="197">
        <f t="shared" ca="1" si="612"/>
        <v>0</v>
      </c>
      <c r="AF2808" s="196">
        <f>IFERROR(G2808/SUMIF(A:A,A2808,G:G)*SUMIF(Summary!$A$166:$A$242,'Operations Support'!A2808,Summary!$Q$166:$Q$242),0)</f>
        <v>0</v>
      </c>
      <c r="AG2808" s="196">
        <f t="shared" ca="1" si="613"/>
        <v>0</v>
      </c>
      <c r="AI2808" s="196">
        <f>IFERROR($G2808/SUMIF($A:$A,$A2808,$G:$G)*SUMIF(Summary!$A$247:$A$283,$A2808,Summary!$P$247:$P$283),0)</f>
        <v>0</v>
      </c>
      <c r="AJ2808" s="196">
        <f>IFERROR($G2808/SUMIF($A:$A,$A2808,$G:$G)*(SUMIF(Summary!$A$247:$A$283,$A2808,Summary!$L$247:$L$283)+SUMIF(Summary!$A$297:$A$333,$A2808,Summary!$L$297:$L$333))-AI2808,0)</f>
        <v>0</v>
      </c>
      <c r="AK2808" s="196">
        <f>IFERROR($G2808/SUMIF($A:$A,$A2808,$G:$G)*SUMIF(Summary!$A$247:$A$283,$A2808,Summary!$Q$247:$Q$283),0)</f>
        <v>0</v>
      </c>
      <c r="AL2808" s="196">
        <f>IFERROR($G2808/SUMIF($A:$A,$A2808,$G:$G)*(SUMIF(Summary!$A$247:$A$283,$A2808,Summary!$L$247:$L$283)+SUMIF(Summary!$A$297:$A$333,$A2808,Summary!$L$297:$L$333))-AK2808,0)</f>
        <v>0</v>
      </c>
      <c r="AM2808" s="198"/>
      <c r="AN2808" s="196">
        <f t="shared" ca="1" si="614"/>
        <v>0</v>
      </c>
      <c r="AO2808" s="196">
        <f t="shared" ca="1" si="615"/>
        <v>0</v>
      </c>
    </row>
    <row r="2809" spans="1:41">
      <c r="A2809" s="189">
        <v>10115</v>
      </c>
      <c r="B2809" s="190">
        <v>4</v>
      </c>
      <c r="C2809" s="191" t="s">
        <v>231</v>
      </c>
      <c r="D2809" s="192">
        <f t="shared" si="602"/>
        <v>0</v>
      </c>
      <c r="E2809" s="192">
        <f t="shared" si="603"/>
        <v>0</v>
      </c>
      <c r="F2809" s="192">
        <f t="shared" si="604"/>
        <v>0</v>
      </c>
      <c r="G2809" s="193">
        <f t="shared" si="605"/>
        <v>0</v>
      </c>
      <c r="H2809" s="194">
        <v>0</v>
      </c>
      <c r="I2809" s="194">
        <v>0</v>
      </c>
      <c r="J2809" s="194">
        <v>0</v>
      </c>
      <c r="K2809" s="193">
        <f t="shared" si="606"/>
        <v>0</v>
      </c>
      <c r="L2809" s="194">
        <v>0</v>
      </c>
      <c r="M2809" s="194">
        <v>0</v>
      </c>
      <c r="N2809" s="194">
        <v>0</v>
      </c>
      <c r="O2809" s="193">
        <f t="shared" si="607"/>
        <v>0</v>
      </c>
      <c r="P2809" s="194">
        <v>0</v>
      </c>
      <c r="Q2809" s="194">
        <v>0</v>
      </c>
      <c r="R2809" s="194">
        <v>0</v>
      </c>
      <c r="S2809" s="193">
        <f t="shared" si="608"/>
        <v>0</v>
      </c>
      <c r="T2809" s="193">
        <f t="shared" si="609"/>
        <v>0</v>
      </c>
      <c r="U2809" s="193">
        <f ca="1">OFFSET('Expenditure Study'!$B$7,'Operations Support'!$C2809,'Operations Support'!$B2809)*$G2809</f>
        <v>0</v>
      </c>
      <c r="V2809" s="199">
        <f ca="1">U2809*'Expenditure Study'!$B$31</f>
        <v>0</v>
      </c>
      <c r="W2809" s="199">
        <f ca="1">IF(A2809=10298,1.51,1)*IF($B2809&lt;3,$D2809*'Expenditure Study'!$B$32*OFFSET('Expenditure Study'!$B$7,'Operations Support'!$C2809,'Operations Support'!$B2809),0)</f>
        <v>0</v>
      </c>
      <c r="X2809" s="200">
        <f ca="1">W2809*'Expenditure Study'!$B$31</f>
        <v>0</v>
      </c>
      <c r="Y2809" s="199">
        <f ca="1">U2809*'Expenditure Study'!$B$31</f>
        <v>0</v>
      </c>
      <c r="Z2809" s="200">
        <f ca="1">W2809*'Expenditure Study'!$B$31</f>
        <v>0</v>
      </c>
      <c r="AA2809" s="195">
        <f t="shared" ca="1" si="610"/>
        <v>0</v>
      </c>
      <c r="AB2809" s="195">
        <f t="shared" ca="1" si="611"/>
        <v>0</v>
      </c>
      <c r="AD2809" s="196">
        <f>IFERROR($G2809/SUMIF($A:$A,$A2809,$G:$G)*SUMIF(Summary!$A$166:$A$242,$A2809,Summary!$P$166:$P$242),0)</f>
        <v>0</v>
      </c>
      <c r="AE2809" s="197">
        <f t="shared" ca="1" si="612"/>
        <v>0</v>
      </c>
      <c r="AF2809" s="196">
        <f>IFERROR(G2809/SUMIF(A:A,A2809,G:G)*SUMIF(Summary!$A$166:$A$242,'Operations Support'!A2809,Summary!$Q$166:$Q$242),0)</f>
        <v>0</v>
      </c>
      <c r="AG2809" s="196">
        <f t="shared" ca="1" si="613"/>
        <v>0</v>
      </c>
      <c r="AI2809" s="196">
        <f>IFERROR($G2809/SUMIF($A:$A,$A2809,$G:$G)*SUMIF(Summary!$A$247:$A$283,$A2809,Summary!$P$247:$P$283),0)</f>
        <v>0</v>
      </c>
      <c r="AJ2809" s="196">
        <f>IFERROR($G2809/SUMIF($A:$A,$A2809,$G:$G)*(SUMIF(Summary!$A$247:$A$283,$A2809,Summary!$L$247:$L$283)+SUMIF(Summary!$A$297:$A$333,$A2809,Summary!$L$297:$L$333))-AI2809,0)</f>
        <v>0</v>
      </c>
      <c r="AK2809" s="196">
        <f>IFERROR($G2809/SUMIF($A:$A,$A2809,$G:$G)*SUMIF(Summary!$A$247:$A$283,$A2809,Summary!$Q$247:$Q$283),0)</f>
        <v>0</v>
      </c>
      <c r="AL2809" s="196">
        <f>IFERROR($G2809/SUMIF($A:$A,$A2809,$G:$G)*(SUMIF(Summary!$A$247:$A$283,$A2809,Summary!$L$247:$L$283)+SUMIF(Summary!$A$297:$A$333,$A2809,Summary!$L$297:$L$333))-AK2809,0)</f>
        <v>0</v>
      </c>
      <c r="AM2809" s="198"/>
      <c r="AN2809" s="196">
        <f t="shared" ca="1" si="614"/>
        <v>0</v>
      </c>
      <c r="AO2809" s="196">
        <f t="shared" ca="1" si="615"/>
        <v>0</v>
      </c>
    </row>
    <row r="2810" spans="1:41">
      <c r="A2810" s="189">
        <v>10115</v>
      </c>
      <c r="B2810" s="190">
        <v>4</v>
      </c>
      <c r="C2810" s="191" t="s">
        <v>232</v>
      </c>
      <c r="D2810" s="192">
        <f t="shared" si="602"/>
        <v>0</v>
      </c>
      <c r="E2810" s="192">
        <f t="shared" si="603"/>
        <v>0</v>
      </c>
      <c r="F2810" s="192">
        <f t="shared" si="604"/>
        <v>0</v>
      </c>
      <c r="G2810" s="193">
        <f t="shared" si="605"/>
        <v>0</v>
      </c>
      <c r="H2810" s="194">
        <v>0</v>
      </c>
      <c r="I2810" s="194">
        <v>0</v>
      </c>
      <c r="J2810" s="194">
        <v>0</v>
      </c>
      <c r="K2810" s="193">
        <f t="shared" si="606"/>
        <v>0</v>
      </c>
      <c r="L2810" s="194">
        <v>0</v>
      </c>
      <c r="M2810" s="194">
        <v>0</v>
      </c>
      <c r="N2810" s="194">
        <v>0</v>
      </c>
      <c r="O2810" s="193">
        <f t="shared" si="607"/>
        <v>0</v>
      </c>
      <c r="P2810" s="194">
        <v>0</v>
      </c>
      <c r="Q2810" s="194">
        <v>0</v>
      </c>
      <c r="R2810" s="194">
        <v>0</v>
      </c>
      <c r="S2810" s="193">
        <f t="shared" si="608"/>
        <v>0</v>
      </c>
      <c r="T2810" s="193">
        <f t="shared" si="609"/>
        <v>0</v>
      </c>
      <c r="U2810" s="193">
        <f ca="1">OFFSET('Expenditure Study'!$B$7,'Operations Support'!$C2810,'Operations Support'!$B2810)*$G2810</f>
        <v>0</v>
      </c>
      <c r="V2810" s="199">
        <f ca="1">U2810*'Expenditure Study'!$B$31</f>
        <v>0</v>
      </c>
      <c r="W2810" s="199">
        <f ca="1">IF(A2810=10298,1.51,1)*IF($B2810&lt;3,$D2810*'Expenditure Study'!$B$32*OFFSET('Expenditure Study'!$B$7,'Operations Support'!$C2810,'Operations Support'!$B2810),0)</f>
        <v>0</v>
      </c>
      <c r="X2810" s="200">
        <f ca="1">W2810*'Expenditure Study'!$B$31</f>
        <v>0</v>
      </c>
      <c r="Y2810" s="199">
        <f ca="1">U2810*'Expenditure Study'!$B$31</f>
        <v>0</v>
      </c>
      <c r="Z2810" s="200">
        <f ca="1">W2810*'Expenditure Study'!$B$31</f>
        <v>0</v>
      </c>
      <c r="AA2810" s="195">
        <f t="shared" ca="1" si="610"/>
        <v>0</v>
      </c>
      <c r="AB2810" s="195">
        <f t="shared" ca="1" si="611"/>
        <v>0</v>
      </c>
      <c r="AD2810" s="196">
        <f>IFERROR($G2810/SUMIF($A:$A,$A2810,$G:$G)*SUMIF(Summary!$A$166:$A$242,$A2810,Summary!$P$166:$P$242),0)</f>
        <v>0</v>
      </c>
      <c r="AE2810" s="197">
        <f t="shared" ca="1" si="612"/>
        <v>0</v>
      </c>
      <c r="AF2810" s="196">
        <f>IFERROR(G2810/SUMIF(A:A,A2810,G:G)*SUMIF(Summary!$A$166:$A$242,'Operations Support'!A2810,Summary!$Q$166:$Q$242),0)</f>
        <v>0</v>
      </c>
      <c r="AG2810" s="196">
        <f t="shared" ca="1" si="613"/>
        <v>0</v>
      </c>
      <c r="AI2810" s="196">
        <f>IFERROR($G2810/SUMIF($A:$A,$A2810,$G:$G)*SUMIF(Summary!$A$247:$A$283,$A2810,Summary!$P$247:$P$283),0)</f>
        <v>0</v>
      </c>
      <c r="AJ2810" s="196">
        <f>IFERROR($G2810/SUMIF($A:$A,$A2810,$G:$G)*(SUMIF(Summary!$A$247:$A$283,$A2810,Summary!$L$247:$L$283)+SUMIF(Summary!$A$297:$A$333,$A2810,Summary!$L$297:$L$333))-AI2810,0)</f>
        <v>0</v>
      </c>
      <c r="AK2810" s="196">
        <f>IFERROR($G2810/SUMIF($A:$A,$A2810,$G:$G)*SUMIF(Summary!$A$247:$A$283,$A2810,Summary!$Q$247:$Q$283),0)</f>
        <v>0</v>
      </c>
      <c r="AL2810" s="196">
        <f>IFERROR($G2810/SUMIF($A:$A,$A2810,$G:$G)*(SUMIF(Summary!$A$247:$A$283,$A2810,Summary!$L$247:$L$283)+SUMIF(Summary!$A$297:$A$333,$A2810,Summary!$L$297:$L$333))-AK2810,0)</f>
        <v>0</v>
      </c>
      <c r="AM2810" s="198"/>
      <c r="AN2810" s="196">
        <f t="shared" ca="1" si="614"/>
        <v>0</v>
      </c>
      <c r="AO2810" s="196">
        <f t="shared" ca="1" si="615"/>
        <v>0</v>
      </c>
    </row>
    <row r="2811" spans="1:41">
      <c r="A2811" s="189">
        <v>10115</v>
      </c>
      <c r="B2811" s="190">
        <v>4</v>
      </c>
      <c r="C2811" s="191" t="s">
        <v>233</v>
      </c>
      <c r="D2811" s="192">
        <f t="shared" si="602"/>
        <v>0</v>
      </c>
      <c r="E2811" s="192">
        <f t="shared" si="603"/>
        <v>0</v>
      </c>
      <c r="F2811" s="192">
        <f t="shared" si="604"/>
        <v>0</v>
      </c>
      <c r="G2811" s="193">
        <f t="shared" si="605"/>
        <v>0</v>
      </c>
      <c r="H2811" s="194">
        <v>0</v>
      </c>
      <c r="I2811" s="194">
        <v>0</v>
      </c>
      <c r="J2811" s="194">
        <v>0</v>
      </c>
      <c r="K2811" s="193">
        <f t="shared" si="606"/>
        <v>0</v>
      </c>
      <c r="L2811" s="194">
        <v>0</v>
      </c>
      <c r="M2811" s="194">
        <v>0</v>
      </c>
      <c r="N2811" s="194">
        <v>0</v>
      </c>
      <c r="O2811" s="193">
        <f t="shared" si="607"/>
        <v>0</v>
      </c>
      <c r="P2811" s="194">
        <v>0</v>
      </c>
      <c r="Q2811" s="194">
        <v>0</v>
      </c>
      <c r="R2811" s="194">
        <v>0</v>
      </c>
      <c r="S2811" s="193">
        <f t="shared" si="608"/>
        <v>0</v>
      </c>
      <c r="T2811" s="193">
        <f t="shared" si="609"/>
        <v>0</v>
      </c>
      <c r="U2811" s="193">
        <f ca="1">OFFSET('Expenditure Study'!$B$7,'Operations Support'!$C2811,'Operations Support'!$B2811)*$G2811</f>
        <v>0</v>
      </c>
      <c r="V2811" s="199">
        <f ca="1">U2811*'Expenditure Study'!$B$31</f>
        <v>0</v>
      </c>
      <c r="W2811" s="199">
        <f ca="1">IF(A2811=10298,1.51,1)*IF($B2811&lt;3,$D2811*'Expenditure Study'!$B$32*OFFSET('Expenditure Study'!$B$7,'Operations Support'!$C2811,'Operations Support'!$B2811),0)</f>
        <v>0</v>
      </c>
      <c r="X2811" s="200">
        <f ca="1">W2811*'Expenditure Study'!$B$31</f>
        <v>0</v>
      </c>
      <c r="Y2811" s="199">
        <f ca="1">U2811*'Expenditure Study'!$B$31</f>
        <v>0</v>
      </c>
      <c r="Z2811" s="200">
        <f ca="1">W2811*'Expenditure Study'!$B$31</f>
        <v>0</v>
      </c>
      <c r="AA2811" s="195">
        <f t="shared" ca="1" si="610"/>
        <v>0</v>
      </c>
      <c r="AB2811" s="195">
        <f t="shared" ca="1" si="611"/>
        <v>0</v>
      </c>
      <c r="AD2811" s="196">
        <f>IFERROR($G2811/SUMIF($A:$A,$A2811,$G:$G)*SUMIF(Summary!$A$166:$A$242,$A2811,Summary!$P$166:$P$242),0)</f>
        <v>0</v>
      </c>
      <c r="AE2811" s="197">
        <f t="shared" ca="1" si="612"/>
        <v>0</v>
      </c>
      <c r="AF2811" s="196">
        <f>IFERROR(G2811/SUMIF(A:A,A2811,G:G)*SUMIF(Summary!$A$166:$A$242,'Operations Support'!A2811,Summary!$Q$166:$Q$242),0)</f>
        <v>0</v>
      </c>
      <c r="AG2811" s="196">
        <f t="shared" ca="1" si="613"/>
        <v>0</v>
      </c>
      <c r="AI2811" s="196">
        <f>IFERROR($G2811/SUMIF($A:$A,$A2811,$G:$G)*SUMIF(Summary!$A$247:$A$283,$A2811,Summary!$P$247:$P$283),0)</f>
        <v>0</v>
      </c>
      <c r="AJ2811" s="196">
        <f>IFERROR($G2811/SUMIF($A:$A,$A2811,$G:$G)*(SUMIF(Summary!$A$247:$A$283,$A2811,Summary!$L$247:$L$283)+SUMIF(Summary!$A$297:$A$333,$A2811,Summary!$L$297:$L$333))-AI2811,0)</f>
        <v>0</v>
      </c>
      <c r="AK2811" s="196">
        <f>IFERROR($G2811/SUMIF($A:$A,$A2811,$G:$G)*SUMIF(Summary!$A$247:$A$283,$A2811,Summary!$Q$247:$Q$283),0)</f>
        <v>0</v>
      </c>
      <c r="AL2811" s="196">
        <f>IFERROR($G2811/SUMIF($A:$A,$A2811,$G:$G)*(SUMIF(Summary!$A$247:$A$283,$A2811,Summary!$L$247:$L$283)+SUMIF(Summary!$A$297:$A$333,$A2811,Summary!$L$297:$L$333))-AK2811,0)</f>
        <v>0</v>
      </c>
      <c r="AM2811" s="198"/>
      <c r="AN2811" s="196">
        <f t="shared" ca="1" si="614"/>
        <v>0</v>
      </c>
      <c r="AO2811" s="196">
        <f t="shared" ca="1" si="615"/>
        <v>0</v>
      </c>
    </row>
    <row r="2812" spans="1:41">
      <c r="A2812" s="189">
        <v>10115</v>
      </c>
      <c r="B2812" s="190">
        <v>4</v>
      </c>
      <c r="C2812" s="191" t="s">
        <v>234</v>
      </c>
      <c r="D2812" s="192">
        <f t="shared" si="602"/>
        <v>0</v>
      </c>
      <c r="E2812" s="192">
        <f t="shared" si="603"/>
        <v>0</v>
      </c>
      <c r="F2812" s="192">
        <f t="shared" si="604"/>
        <v>0</v>
      </c>
      <c r="G2812" s="193">
        <f t="shared" si="605"/>
        <v>0</v>
      </c>
      <c r="H2812" s="194">
        <v>0</v>
      </c>
      <c r="I2812" s="194">
        <v>0</v>
      </c>
      <c r="J2812" s="194">
        <v>0</v>
      </c>
      <c r="K2812" s="193">
        <f t="shared" si="606"/>
        <v>0</v>
      </c>
      <c r="L2812" s="194">
        <v>0</v>
      </c>
      <c r="M2812" s="194">
        <v>0</v>
      </c>
      <c r="N2812" s="194">
        <v>0</v>
      </c>
      <c r="O2812" s="193">
        <f t="shared" si="607"/>
        <v>0</v>
      </c>
      <c r="P2812" s="194">
        <v>0</v>
      </c>
      <c r="Q2812" s="194">
        <v>0</v>
      </c>
      <c r="R2812" s="194">
        <v>0</v>
      </c>
      <c r="S2812" s="193">
        <f t="shared" si="608"/>
        <v>0</v>
      </c>
      <c r="T2812" s="193">
        <f t="shared" si="609"/>
        <v>0</v>
      </c>
      <c r="U2812" s="193">
        <f ca="1">OFFSET('Expenditure Study'!$B$7,'Operations Support'!$C2812,'Operations Support'!$B2812)*$G2812</f>
        <v>0</v>
      </c>
      <c r="V2812" s="199">
        <f ca="1">U2812*'Expenditure Study'!$B$31</f>
        <v>0</v>
      </c>
      <c r="W2812" s="199">
        <f ca="1">IF(A2812=10298,1.51,1)*IF($B2812&lt;3,$D2812*'Expenditure Study'!$B$32*OFFSET('Expenditure Study'!$B$7,'Operations Support'!$C2812,'Operations Support'!$B2812),0)</f>
        <v>0</v>
      </c>
      <c r="X2812" s="200">
        <f ca="1">W2812*'Expenditure Study'!$B$31</f>
        <v>0</v>
      </c>
      <c r="Y2812" s="199">
        <f ca="1">U2812*'Expenditure Study'!$B$31</f>
        <v>0</v>
      </c>
      <c r="Z2812" s="200">
        <f ca="1">W2812*'Expenditure Study'!$B$31</f>
        <v>0</v>
      </c>
      <c r="AA2812" s="195">
        <f t="shared" ca="1" si="610"/>
        <v>0</v>
      </c>
      <c r="AB2812" s="195">
        <f t="shared" ca="1" si="611"/>
        <v>0</v>
      </c>
      <c r="AD2812" s="196">
        <f>IFERROR($G2812/SUMIF($A:$A,$A2812,$G:$G)*SUMIF(Summary!$A$166:$A$242,$A2812,Summary!$P$166:$P$242),0)</f>
        <v>0</v>
      </c>
      <c r="AE2812" s="197">
        <f t="shared" ca="1" si="612"/>
        <v>0</v>
      </c>
      <c r="AF2812" s="196">
        <f>IFERROR(G2812/SUMIF(A:A,A2812,G:G)*SUMIF(Summary!$A$166:$A$242,'Operations Support'!A2812,Summary!$Q$166:$Q$242),0)</f>
        <v>0</v>
      </c>
      <c r="AG2812" s="196">
        <f t="shared" ca="1" si="613"/>
        <v>0</v>
      </c>
      <c r="AI2812" s="196">
        <f>IFERROR($G2812/SUMIF($A:$A,$A2812,$G:$G)*SUMIF(Summary!$A$247:$A$283,$A2812,Summary!$P$247:$P$283),0)</f>
        <v>0</v>
      </c>
      <c r="AJ2812" s="196">
        <f>IFERROR($G2812/SUMIF($A:$A,$A2812,$G:$G)*(SUMIF(Summary!$A$247:$A$283,$A2812,Summary!$L$247:$L$283)+SUMIF(Summary!$A$297:$A$333,$A2812,Summary!$L$297:$L$333))-AI2812,0)</f>
        <v>0</v>
      </c>
      <c r="AK2812" s="196">
        <f>IFERROR($G2812/SUMIF($A:$A,$A2812,$G:$G)*SUMIF(Summary!$A$247:$A$283,$A2812,Summary!$Q$247:$Q$283),0)</f>
        <v>0</v>
      </c>
      <c r="AL2812" s="196">
        <f>IFERROR($G2812/SUMIF($A:$A,$A2812,$G:$G)*(SUMIF(Summary!$A$247:$A$283,$A2812,Summary!$L$247:$L$283)+SUMIF(Summary!$A$297:$A$333,$A2812,Summary!$L$297:$L$333))-AK2812,0)</f>
        <v>0</v>
      </c>
      <c r="AM2812" s="198"/>
      <c r="AN2812" s="196">
        <f t="shared" ca="1" si="614"/>
        <v>0</v>
      </c>
      <c r="AO2812" s="196">
        <f t="shared" ca="1" si="615"/>
        <v>0</v>
      </c>
    </row>
    <row r="2813" spans="1:41">
      <c r="A2813" s="189">
        <v>10115</v>
      </c>
      <c r="B2813" s="190">
        <v>4</v>
      </c>
      <c r="C2813" s="191" t="s">
        <v>235</v>
      </c>
      <c r="D2813" s="192">
        <f t="shared" si="602"/>
        <v>766</v>
      </c>
      <c r="E2813" s="192">
        <f t="shared" si="603"/>
        <v>81</v>
      </c>
      <c r="F2813" s="192">
        <f t="shared" si="604"/>
        <v>3</v>
      </c>
      <c r="G2813" s="193">
        <f t="shared" si="605"/>
        <v>844</v>
      </c>
      <c r="H2813" s="194">
        <v>240</v>
      </c>
      <c r="I2813" s="194">
        <v>15</v>
      </c>
      <c r="J2813" s="194">
        <v>1</v>
      </c>
      <c r="K2813" s="193">
        <f t="shared" si="606"/>
        <v>254</v>
      </c>
      <c r="L2813" s="194">
        <v>286</v>
      </c>
      <c r="M2813" s="194">
        <v>63</v>
      </c>
      <c r="N2813" s="194">
        <v>0</v>
      </c>
      <c r="O2813" s="193">
        <f t="shared" si="607"/>
        <v>349</v>
      </c>
      <c r="P2813" s="194">
        <v>240</v>
      </c>
      <c r="Q2813" s="194">
        <v>3</v>
      </c>
      <c r="R2813" s="194">
        <v>2</v>
      </c>
      <c r="S2813" s="193">
        <f t="shared" si="608"/>
        <v>241</v>
      </c>
      <c r="T2813" s="193">
        <f t="shared" si="609"/>
        <v>46.888888888888886</v>
      </c>
      <c r="U2813" s="193">
        <f ca="1">OFFSET('Expenditure Study'!$B$7,'Operations Support'!$C2813,'Operations Support'!$B2813)*$G2813</f>
        <v>32122.640000000003</v>
      </c>
      <c r="V2813" s="199">
        <f ca="1">U2813*'Expenditure Study'!$B$31</f>
        <v>1897907.7468933123</v>
      </c>
      <c r="W2813" s="199">
        <f ca="1">IF(A2813=10298,1.51,1)*IF($B2813&lt;3,$D2813*'Expenditure Study'!$B$32*OFFSET('Expenditure Study'!$B$7,'Operations Support'!$C2813,'Operations Support'!$B2813),0)</f>
        <v>0</v>
      </c>
      <c r="X2813" s="200">
        <f ca="1">W2813*'Expenditure Study'!$B$31</f>
        <v>0</v>
      </c>
      <c r="Y2813" s="199">
        <f ca="1">U2813*'Expenditure Study'!$B$31</f>
        <v>1897907.7468933123</v>
      </c>
      <c r="Z2813" s="200">
        <f ca="1">W2813*'Expenditure Study'!$B$31</f>
        <v>0</v>
      </c>
      <c r="AA2813" s="195">
        <f t="shared" ca="1" si="610"/>
        <v>1897907.7468933123</v>
      </c>
      <c r="AB2813" s="195">
        <f t="shared" ca="1" si="611"/>
        <v>1897907.7468933123</v>
      </c>
      <c r="AD2813" s="196">
        <f>IFERROR($G2813/SUMIF($A:$A,$A2813,$G:$G)*SUMIF(Summary!$A$166:$A$242,$A2813,Summary!$P$166:$P$242),0)</f>
        <v>22667.693171295035</v>
      </c>
      <c r="AE2813" s="197">
        <f t="shared" ca="1" si="612"/>
        <v>1875240.0537220172</v>
      </c>
      <c r="AF2813" s="196">
        <f>IFERROR(G2813/SUMIF(A:A,A2813,G:G)*SUMIF(Summary!$A$166:$A$242,'Operations Support'!A2813,Summary!$Q$166:$Q$242),0)</f>
        <v>22698.793282160157</v>
      </c>
      <c r="AG2813" s="196">
        <f t="shared" ca="1" si="613"/>
        <v>1875208.9536111522</v>
      </c>
      <c r="AI2813" s="196">
        <f>IFERROR($G2813/SUMIF($A:$A,$A2813,$G:$G)*SUMIF(Summary!$A$247:$A$283,$A2813,Summary!$P$247:$P$283),0)</f>
        <v>4134.0215684665873</v>
      </c>
      <c r="AJ2813" s="196">
        <f>IFERROR($G2813/SUMIF($A:$A,$A2813,$G:$G)*(SUMIF(Summary!$A$247:$A$283,$A2813,Summary!$L$247:$L$283)+SUMIF(Summary!$A$297:$A$333,$A2813,Summary!$L$297:$L$333))-AI2813,0)</f>
        <v>18304.690417112732</v>
      </c>
      <c r="AK2813" s="196">
        <f>IFERROR($G2813/SUMIF($A:$A,$A2813,$G:$G)*SUMIF(Summary!$A$247:$A$283,$A2813,Summary!$Q$247:$Q$283),0)</f>
        <v>4139.6934525937704</v>
      </c>
      <c r="AL2813" s="196">
        <f>IFERROR($G2813/SUMIF($A:$A,$A2813,$G:$G)*(SUMIF(Summary!$A$247:$A$283,$A2813,Summary!$L$247:$L$283)+SUMIF(Summary!$A$297:$A$333,$A2813,Summary!$L$297:$L$333))-AK2813,0)</f>
        <v>18299.018532985552</v>
      </c>
      <c r="AM2813" s="198"/>
      <c r="AN2813" s="196">
        <f t="shared" ca="1" si="614"/>
        <v>1893544.74413913</v>
      </c>
      <c r="AO2813" s="196">
        <f t="shared" ca="1" si="615"/>
        <v>1893507.9721441378</v>
      </c>
    </row>
    <row r="2814" spans="1:41">
      <c r="A2814" s="189">
        <v>10115</v>
      </c>
      <c r="B2814" s="190">
        <v>4</v>
      </c>
      <c r="C2814" s="191" t="s">
        <v>236</v>
      </c>
      <c r="D2814" s="192">
        <f t="shared" si="602"/>
        <v>0</v>
      </c>
      <c r="E2814" s="192">
        <f t="shared" si="603"/>
        <v>0</v>
      </c>
      <c r="F2814" s="192">
        <f t="shared" si="604"/>
        <v>0</v>
      </c>
      <c r="G2814" s="193">
        <f t="shared" si="605"/>
        <v>0</v>
      </c>
      <c r="H2814" s="194">
        <v>0</v>
      </c>
      <c r="I2814" s="194">
        <v>0</v>
      </c>
      <c r="J2814" s="194">
        <v>0</v>
      </c>
      <c r="K2814" s="193">
        <f t="shared" si="606"/>
        <v>0</v>
      </c>
      <c r="L2814" s="194">
        <v>0</v>
      </c>
      <c r="M2814" s="194">
        <v>0</v>
      </c>
      <c r="N2814" s="194">
        <v>0</v>
      </c>
      <c r="O2814" s="193">
        <f t="shared" si="607"/>
        <v>0</v>
      </c>
      <c r="P2814" s="194">
        <v>0</v>
      </c>
      <c r="Q2814" s="194">
        <v>0</v>
      </c>
      <c r="R2814" s="194">
        <v>0</v>
      </c>
      <c r="S2814" s="193">
        <f t="shared" si="608"/>
        <v>0</v>
      </c>
      <c r="T2814" s="193">
        <f t="shared" si="609"/>
        <v>0</v>
      </c>
      <c r="U2814" s="193">
        <f ca="1">OFFSET('Expenditure Study'!$B$7,'Operations Support'!$C2814,'Operations Support'!$B2814)*$G2814</f>
        <v>0</v>
      </c>
      <c r="V2814" s="199">
        <f ca="1">U2814*'Expenditure Study'!$B$31</f>
        <v>0</v>
      </c>
      <c r="W2814" s="199">
        <f ca="1">IF(A2814=10298,1.51,1)*IF($B2814&lt;3,$D2814*'Expenditure Study'!$B$32*OFFSET('Expenditure Study'!$B$7,'Operations Support'!$C2814,'Operations Support'!$B2814),0)</f>
        <v>0</v>
      </c>
      <c r="X2814" s="200">
        <f ca="1">W2814*'Expenditure Study'!$B$31</f>
        <v>0</v>
      </c>
      <c r="Y2814" s="199">
        <f ca="1">U2814*'Expenditure Study'!$B$31</f>
        <v>0</v>
      </c>
      <c r="Z2814" s="200">
        <f ca="1">W2814*'Expenditure Study'!$B$31</f>
        <v>0</v>
      </c>
      <c r="AA2814" s="195">
        <f t="shared" ca="1" si="610"/>
        <v>0</v>
      </c>
      <c r="AB2814" s="195">
        <f t="shared" ca="1" si="611"/>
        <v>0</v>
      </c>
      <c r="AD2814" s="196">
        <f>IFERROR($G2814/SUMIF($A:$A,$A2814,$G:$G)*SUMIF(Summary!$A$166:$A$242,$A2814,Summary!$P$166:$P$242),0)</f>
        <v>0</v>
      </c>
      <c r="AE2814" s="197">
        <f t="shared" ca="1" si="612"/>
        <v>0</v>
      </c>
      <c r="AF2814" s="196">
        <f>IFERROR(G2814/SUMIF(A:A,A2814,G:G)*SUMIF(Summary!$A$166:$A$242,'Operations Support'!A2814,Summary!$Q$166:$Q$242),0)</f>
        <v>0</v>
      </c>
      <c r="AG2814" s="196">
        <f t="shared" ca="1" si="613"/>
        <v>0</v>
      </c>
      <c r="AI2814" s="196">
        <f>IFERROR($G2814/SUMIF($A:$A,$A2814,$G:$G)*SUMIF(Summary!$A$247:$A$283,$A2814,Summary!$P$247:$P$283),0)</f>
        <v>0</v>
      </c>
      <c r="AJ2814" s="196">
        <f>IFERROR($G2814/SUMIF($A:$A,$A2814,$G:$G)*(SUMIF(Summary!$A$247:$A$283,$A2814,Summary!$L$247:$L$283)+SUMIF(Summary!$A$297:$A$333,$A2814,Summary!$L$297:$L$333))-AI2814,0)</f>
        <v>0</v>
      </c>
      <c r="AK2814" s="196">
        <f>IFERROR($G2814/SUMIF($A:$A,$A2814,$G:$G)*SUMIF(Summary!$A$247:$A$283,$A2814,Summary!$Q$247:$Q$283),0)</f>
        <v>0</v>
      </c>
      <c r="AL2814" s="196">
        <f>IFERROR($G2814/SUMIF($A:$A,$A2814,$G:$G)*(SUMIF(Summary!$A$247:$A$283,$A2814,Summary!$L$247:$L$283)+SUMIF(Summary!$A$297:$A$333,$A2814,Summary!$L$297:$L$333))-AK2814,0)</f>
        <v>0</v>
      </c>
      <c r="AM2814" s="198"/>
      <c r="AN2814" s="196">
        <f t="shared" ca="1" si="614"/>
        <v>0</v>
      </c>
      <c r="AO2814" s="196">
        <f t="shared" ca="1" si="615"/>
        <v>0</v>
      </c>
    </row>
    <row r="2815" spans="1:41">
      <c r="A2815" s="189">
        <v>10115</v>
      </c>
      <c r="B2815" s="190">
        <v>4</v>
      </c>
      <c r="C2815" s="191" t="s">
        <v>237</v>
      </c>
      <c r="D2815" s="192">
        <f t="shared" si="602"/>
        <v>0</v>
      </c>
      <c r="E2815" s="192">
        <f t="shared" si="603"/>
        <v>0</v>
      </c>
      <c r="F2815" s="192">
        <f t="shared" si="604"/>
        <v>0</v>
      </c>
      <c r="G2815" s="193">
        <f t="shared" si="605"/>
        <v>0</v>
      </c>
      <c r="H2815" s="194">
        <v>0</v>
      </c>
      <c r="I2815" s="194">
        <v>0</v>
      </c>
      <c r="J2815" s="194">
        <v>0</v>
      </c>
      <c r="K2815" s="193">
        <f t="shared" si="606"/>
        <v>0</v>
      </c>
      <c r="L2815" s="194">
        <v>0</v>
      </c>
      <c r="M2815" s="194">
        <v>0</v>
      </c>
      <c r="N2815" s="194">
        <v>0</v>
      </c>
      <c r="O2815" s="193">
        <f t="shared" si="607"/>
        <v>0</v>
      </c>
      <c r="P2815" s="194">
        <v>0</v>
      </c>
      <c r="Q2815" s="194">
        <v>0</v>
      </c>
      <c r="R2815" s="194">
        <v>0</v>
      </c>
      <c r="S2815" s="193">
        <f t="shared" si="608"/>
        <v>0</v>
      </c>
      <c r="T2815" s="193">
        <f t="shared" si="609"/>
        <v>0</v>
      </c>
      <c r="U2815" s="193">
        <f ca="1">OFFSET('Expenditure Study'!$B$7,'Operations Support'!$C2815,'Operations Support'!$B2815)*$G2815</f>
        <v>0</v>
      </c>
      <c r="V2815" s="199">
        <f ca="1">U2815*'Expenditure Study'!$B$31</f>
        <v>0</v>
      </c>
      <c r="W2815" s="199">
        <f ca="1">IF(A2815=10298,1.51,1)*IF($B2815&lt;3,$D2815*'Expenditure Study'!$B$32*OFFSET('Expenditure Study'!$B$7,'Operations Support'!$C2815,'Operations Support'!$B2815),0)</f>
        <v>0</v>
      </c>
      <c r="X2815" s="200">
        <f ca="1">W2815*'Expenditure Study'!$B$31</f>
        <v>0</v>
      </c>
      <c r="Y2815" s="199">
        <f ca="1">U2815*'Expenditure Study'!$B$31</f>
        <v>0</v>
      </c>
      <c r="Z2815" s="200">
        <f ca="1">W2815*'Expenditure Study'!$B$31</f>
        <v>0</v>
      </c>
      <c r="AA2815" s="195">
        <f t="shared" ca="1" si="610"/>
        <v>0</v>
      </c>
      <c r="AB2815" s="195">
        <f t="shared" ca="1" si="611"/>
        <v>0</v>
      </c>
      <c r="AD2815" s="196">
        <f>IFERROR($G2815/SUMIF($A:$A,$A2815,$G:$G)*SUMIF(Summary!$A$166:$A$242,$A2815,Summary!$P$166:$P$242),0)</f>
        <v>0</v>
      </c>
      <c r="AE2815" s="197">
        <f t="shared" ca="1" si="612"/>
        <v>0</v>
      </c>
      <c r="AF2815" s="196">
        <f>IFERROR(G2815/SUMIF(A:A,A2815,G:G)*SUMIF(Summary!$A$166:$A$242,'Operations Support'!A2815,Summary!$Q$166:$Q$242),0)</f>
        <v>0</v>
      </c>
      <c r="AG2815" s="196">
        <f t="shared" ca="1" si="613"/>
        <v>0</v>
      </c>
      <c r="AI2815" s="196">
        <f>IFERROR($G2815/SUMIF($A:$A,$A2815,$G:$G)*SUMIF(Summary!$A$247:$A$283,$A2815,Summary!$P$247:$P$283),0)</f>
        <v>0</v>
      </c>
      <c r="AJ2815" s="196">
        <f>IFERROR($G2815/SUMIF($A:$A,$A2815,$G:$G)*(SUMIF(Summary!$A$247:$A$283,$A2815,Summary!$L$247:$L$283)+SUMIF(Summary!$A$297:$A$333,$A2815,Summary!$L$297:$L$333))-AI2815,0)</f>
        <v>0</v>
      </c>
      <c r="AK2815" s="196">
        <f>IFERROR($G2815/SUMIF($A:$A,$A2815,$G:$G)*SUMIF(Summary!$A$247:$A$283,$A2815,Summary!$Q$247:$Q$283),0)</f>
        <v>0</v>
      </c>
      <c r="AL2815" s="196">
        <f>IFERROR($G2815/SUMIF($A:$A,$A2815,$G:$G)*(SUMIF(Summary!$A$247:$A$283,$A2815,Summary!$L$247:$L$283)+SUMIF(Summary!$A$297:$A$333,$A2815,Summary!$L$297:$L$333))-AK2815,0)</f>
        <v>0</v>
      </c>
      <c r="AM2815" s="198"/>
      <c r="AN2815" s="196">
        <f t="shared" ca="1" si="614"/>
        <v>0</v>
      </c>
      <c r="AO2815" s="196">
        <f t="shared" ca="1" si="615"/>
        <v>0</v>
      </c>
    </row>
    <row r="2816" spans="1:41">
      <c r="A2816" s="189">
        <v>10115</v>
      </c>
      <c r="B2816" s="190">
        <v>4</v>
      </c>
      <c r="C2816" s="191" t="s">
        <v>238</v>
      </c>
      <c r="D2816" s="192">
        <f t="shared" si="602"/>
        <v>48</v>
      </c>
      <c r="E2816" s="192">
        <f t="shared" si="603"/>
        <v>12</v>
      </c>
      <c r="F2816" s="192">
        <f t="shared" si="604"/>
        <v>0</v>
      </c>
      <c r="G2816" s="193">
        <f t="shared" si="605"/>
        <v>60</v>
      </c>
      <c r="H2816" s="194">
        <v>0</v>
      </c>
      <c r="I2816" s="194">
        <v>3</v>
      </c>
      <c r="J2816" s="194">
        <v>0</v>
      </c>
      <c r="K2816" s="193">
        <f t="shared" si="606"/>
        <v>3</v>
      </c>
      <c r="L2816" s="194">
        <v>0</v>
      </c>
      <c r="M2816" s="194">
        <v>6</v>
      </c>
      <c r="N2816" s="194">
        <v>0</v>
      </c>
      <c r="O2816" s="193">
        <f t="shared" si="607"/>
        <v>6</v>
      </c>
      <c r="P2816" s="194">
        <v>48</v>
      </c>
      <c r="Q2816" s="194">
        <v>3</v>
      </c>
      <c r="R2816" s="194">
        <v>0</v>
      </c>
      <c r="S2816" s="193">
        <f t="shared" si="608"/>
        <v>51</v>
      </c>
      <c r="T2816" s="193">
        <f t="shared" si="609"/>
        <v>3.3333333333333335</v>
      </c>
      <c r="U2816" s="193">
        <f ca="1">OFFSET('Expenditure Study'!$B$7,'Operations Support'!$C2816,'Operations Support'!$B2816)*$G2816</f>
        <v>946.19999999999993</v>
      </c>
      <c r="V2816" s="199">
        <f ca="1">U2816*'Expenditure Study'!$B$31</f>
        <v>55904.505672959996</v>
      </c>
      <c r="W2816" s="199">
        <f ca="1">IF(A2816=10298,1.51,1)*IF($B2816&lt;3,$D2816*'Expenditure Study'!$B$32*OFFSET('Expenditure Study'!$B$7,'Operations Support'!$C2816,'Operations Support'!$B2816),0)</f>
        <v>0</v>
      </c>
      <c r="X2816" s="200">
        <f ca="1">W2816*'Expenditure Study'!$B$31</f>
        <v>0</v>
      </c>
      <c r="Y2816" s="199">
        <f ca="1">U2816*'Expenditure Study'!$B$31</f>
        <v>55904.505672959996</v>
      </c>
      <c r="Z2816" s="200">
        <f ca="1">W2816*'Expenditure Study'!$B$31</f>
        <v>0</v>
      </c>
      <c r="AA2816" s="195">
        <f t="shared" ca="1" si="610"/>
        <v>55904.505672959996</v>
      </c>
      <c r="AB2816" s="195">
        <f t="shared" ca="1" si="611"/>
        <v>55904.505672959996</v>
      </c>
      <c r="AD2816" s="196">
        <f>IFERROR($G2816/SUMIF($A:$A,$A2816,$G:$G)*SUMIF(Summary!$A$166:$A$242,$A2816,Summary!$P$166:$P$242),0)</f>
        <v>1611.4473818456188</v>
      </c>
      <c r="AE2816" s="197">
        <f t="shared" ca="1" si="612"/>
        <v>54293.058291114379</v>
      </c>
      <c r="AF2816" s="196">
        <f>IFERROR(G2816/SUMIF(A:A,A2816,G:G)*SUMIF(Summary!$A$166:$A$242,'Operations Support'!A2816,Summary!$Q$166:$Q$242),0)</f>
        <v>1613.6582902009591</v>
      </c>
      <c r="AG2816" s="196">
        <f t="shared" ca="1" si="613"/>
        <v>54290.847382759035</v>
      </c>
      <c r="AI2816" s="196">
        <f>IFERROR($G2816/SUMIF($A:$A,$A2816,$G:$G)*SUMIF(Summary!$A$247:$A$283,$A2816,Summary!$P$247:$P$283),0)</f>
        <v>293.88778922748253</v>
      </c>
      <c r="AJ2816" s="196">
        <f>IFERROR($G2816/SUMIF($A:$A,$A2816,$G:$G)*(SUMIF(Summary!$A$247:$A$283,$A2816,Summary!$L$247:$L$283)+SUMIF(Summary!$A$297:$A$333,$A2816,Summary!$L$297:$L$333))-AI2816,0)</f>
        <v>1301.281309273417</v>
      </c>
      <c r="AK2816" s="196">
        <f>IFERROR($G2816/SUMIF($A:$A,$A2816,$G:$G)*SUMIF(Summary!$A$247:$A$283,$A2816,Summary!$Q$247:$Q$283),0)</f>
        <v>294.29100373889361</v>
      </c>
      <c r="AL2816" s="196">
        <f>IFERROR($G2816/SUMIF($A:$A,$A2816,$G:$G)*(SUMIF(Summary!$A$247:$A$283,$A2816,Summary!$L$247:$L$283)+SUMIF(Summary!$A$297:$A$333,$A2816,Summary!$L$297:$L$333))-AK2816,0)</f>
        <v>1300.878094762006</v>
      </c>
      <c r="AM2816" s="198"/>
      <c r="AN2816" s="196">
        <f t="shared" ca="1" si="614"/>
        <v>55594.339600387793</v>
      </c>
      <c r="AO2816" s="196">
        <f t="shared" ca="1" si="615"/>
        <v>55591.725477521039</v>
      </c>
    </row>
    <row r="2817" spans="1:41">
      <c r="A2817" s="189">
        <v>10115</v>
      </c>
      <c r="B2817" s="190">
        <v>4</v>
      </c>
      <c r="C2817" s="191" t="s">
        <v>239</v>
      </c>
      <c r="D2817" s="192">
        <f t="shared" si="602"/>
        <v>0</v>
      </c>
      <c r="E2817" s="192">
        <f t="shared" si="603"/>
        <v>0</v>
      </c>
      <c r="F2817" s="192">
        <f t="shared" si="604"/>
        <v>0</v>
      </c>
      <c r="G2817" s="193">
        <f t="shared" si="605"/>
        <v>0</v>
      </c>
      <c r="H2817" s="194">
        <v>0</v>
      </c>
      <c r="I2817" s="194">
        <v>0</v>
      </c>
      <c r="J2817" s="194">
        <v>0</v>
      </c>
      <c r="K2817" s="193">
        <f t="shared" si="606"/>
        <v>0</v>
      </c>
      <c r="L2817" s="194">
        <v>0</v>
      </c>
      <c r="M2817" s="194">
        <v>0</v>
      </c>
      <c r="N2817" s="194">
        <v>0</v>
      </c>
      <c r="O2817" s="193">
        <f t="shared" si="607"/>
        <v>0</v>
      </c>
      <c r="P2817" s="194">
        <v>0</v>
      </c>
      <c r="Q2817" s="194">
        <v>0</v>
      </c>
      <c r="R2817" s="194">
        <v>0</v>
      </c>
      <c r="S2817" s="193">
        <f t="shared" si="608"/>
        <v>0</v>
      </c>
      <c r="T2817" s="193">
        <f t="shared" si="609"/>
        <v>0</v>
      </c>
      <c r="U2817" s="193">
        <f ca="1">OFFSET('Expenditure Study'!$B$7,'Operations Support'!$C2817,'Operations Support'!$B2817)*$G2817</f>
        <v>0</v>
      </c>
      <c r="V2817" s="199">
        <f ca="1">U2817*'Expenditure Study'!$B$31</f>
        <v>0</v>
      </c>
      <c r="W2817" s="199">
        <f ca="1">IF(A2817=10298,1.51,1)*IF($B2817&lt;3,$D2817*'Expenditure Study'!$B$32*OFFSET('Expenditure Study'!$B$7,'Operations Support'!$C2817,'Operations Support'!$B2817),0)</f>
        <v>0</v>
      </c>
      <c r="X2817" s="200">
        <f ca="1">W2817*'Expenditure Study'!$B$31</f>
        <v>0</v>
      </c>
      <c r="Y2817" s="199">
        <f ca="1">U2817*'Expenditure Study'!$B$31</f>
        <v>0</v>
      </c>
      <c r="Z2817" s="200">
        <f ca="1">W2817*'Expenditure Study'!$B$31</f>
        <v>0</v>
      </c>
      <c r="AA2817" s="195">
        <f t="shared" ca="1" si="610"/>
        <v>0</v>
      </c>
      <c r="AB2817" s="195">
        <f t="shared" ca="1" si="611"/>
        <v>0</v>
      </c>
      <c r="AD2817" s="196">
        <f>IFERROR($G2817/SUMIF($A:$A,$A2817,$G:$G)*SUMIF(Summary!$A$166:$A$242,$A2817,Summary!$P$166:$P$242),0)</f>
        <v>0</v>
      </c>
      <c r="AE2817" s="197">
        <f t="shared" ca="1" si="612"/>
        <v>0</v>
      </c>
      <c r="AF2817" s="196">
        <f>IFERROR(G2817/SUMIF(A:A,A2817,G:G)*SUMIF(Summary!$A$166:$A$242,'Operations Support'!A2817,Summary!$Q$166:$Q$242),0)</f>
        <v>0</v>
      </c>
      <c r="AG2817" s="196">
        <f t="shared" ca="1" si="613"/>
        <v>0</v>
      </c>
      <c r="AI2817" s="196">
        <f>IFERROR($G2817/SUMIF($A:$A,$A2817,$G:$G)*SUMIF(Summary!$A$247:$A$283,$A2817,Summary!$P$247:$P$283),0)</f>
        <v>0</v>
      </c>
      <c r="AJ2817" s="196">
        <f>IFERROR($G2817/SUMIF($A:$A,$A2817,$G:$G)*(SUMIF(Summary!$A$247:$A$283,$A2817,Summary!$L$247:$L$283)+SUMIF(Summary!$A$297:$A$333,$A2817,Summary!$L$297:$L$333))-AI2817,0)</f>
        <v>0</v>
      </c>
      <c r="AK2817" s="196">
        <f>IFERROR($G2817/SUMIF($A:$A,$A2817,$G:$G)*SUMIF(Summary!$A$247:$A$283,$A2817,Summary!$Q$247:$Q$283),0)</f>
        <v>0</v>
      </c>
      <c r="AL2817" s="196">
        <f>IFERROR($G2817/SUMIF($A:$A,$A2817,$G:$G)*(SUMIF(Summary!$A$247:$A$283,$A2817,Summary!$L$247:$L$283)+SUMIF(Summary!$A$297:$A$333,$A2817,Summary!$L$297:$L$333))-AK2817,0)</f>
        <v>0</v>
      </c>
      <c r="AM2817" s="198"/>
      <c r="AN2817" s="196">
        <f t="shared" ca="1" si="614"/>
        <v>0</v>
      </c>
      <c r="AO2817" s="196">
        <f t="shared" ca="1" si="615"/>
        <v>0</v>
      </c>
    </row>
    <row r="2818" spans="1:41">
      <c r="A2818" s="189">
        <v>10115</v>
      </c>
      <c r="B2818" s="190">
        <v>4</v>
      </c>
      <c r="C2818" s="191" t="s">
        <v>240</v>
      </c>
      <c r="D2818" s="192">
        <f t="shared" si="602"/>
        <v>0</v>
      </c>
      <c r="E2818" s="192">
        <f t="shared" si="603"/>
        <v>0</v>
      </c>
      <c r="F2818" s="192">
        <f t="shared" si="604"/>
        <v>0</v>
      </c>
      <c r="G2818" s="193">
        <f t="shared" si="605"/>
        <v>0</v>
      </c>
      <c r="H2818" s="194">
        <v>0</v>
      </c>
      <c r="I2818" s="194">
        <v>0</v>
      </c>
      <c r="J2818" s="194">
        <v>0</v>
      </c>
      <c r="K2818" s="193">
        <f t="shared" si="606"/>
        <v>0</v>
      </c>
      <c r="L2818" s="194">
        <v>0</v>
      </c>
      <c r="M2818" s="194">
        <v>0</v>
      </c>
      <c r="N2818" s="194">
        <v>0</v>
      </c>
      <c r="O2818" s="193">
        <f t="shared" si="607"/>
        <v>0</v>
      </c>
      <c r="P2818" s="194">
        <v>0</v>
      </c>
      <c r="Q2818" s="194">
        <v>0</v>
      </c>
      <c r="R2818" s="194">
        <v>0</v>
      </c>
      <c r="S2818" s="193">
        <f t="shared" si="608"/>
        <v>0</v>
      </c>
      <c r="T2818" s="193">
        <f t="shared" si="609"/>
        <v>0</v>
      </c>
      <c r="U2818" s="193">
        <f ca="1">OFFSET('Expenditure Study'!$B$7,'Operations Support'!$C2818,'Operations Support'!$B2818)*$G2818</f>
        <v>0</v>
      </c>
      <c r="V2818" s="199">
        <f ca="1">U2818*'Expenditure Study'!$B$31</f>
        <v>0</v>
      </c>
      <c r="W2818" s="199">
        <f ca="1">IF(A2818=10298,1.51,1)*IF($B2818&lt;3,$D2818*'Expenditure Study'!$B$32*OFFSET('Expenditure Study'!$B$7,'Operations Support'!$C2818,'Operations Support'!$B2818),0)</f>
        <v>0</v>
      </c>
      <c r="X2818" s="200">
        <f ca="1">W2818*'Expenditure Study'!$B$31</f>
        <v>0</v>
      </c>
      <c r="Y2818" s="199">
        <f ca="1">U2818*'Expenditure Study'!$B$31</f>
        <v>0</v>
      </c>
      <c r="Z2818" s="200">
        <f ca="1">W2818*'Expenditure Study'!$B$31</f>
        <v>0</v>
      </c>
      <c r="AA2818" s="195">
        <f t="shared" ca="1" si="610"/>
        <v>0</v>
      </c>
      <c r="AB2818" s="195">
        <f t="shared" ca="1" si="611"/>
        <v>0</v>
      </c>
      <c r="AD2818" s="196">
        <f>IFERROR($G2818/SUMIF($A:$A,$A2818,$G:$G)*SUMIF(Summary!$A$166:$A$242,$A2818,Summary!$P$166:$P$242),0)</f>
        <v>0</v>
      </c>
      <c r="AE2818" s="197">
        <f t="shared" ca="1" si="612"/>
        <v>0</v>
      </c>
      <c r="AF2818" s="196">
        <f>IFERROR(G2818/SUMIF(A:A,A2818,G:G)*SUMIF(Summary!$A$166:$A$242,'Operations Support'!A2818,Summary!$Q$166:$Q$242),0)</f>
        <v>0</v>
      </c>
      <c r="AG2818" s="196">
        <f t="shared" ca="1" si="613"/>
        <v>0</v>
      </c>
      <c r="AI2818" s="196">
        <f>IFERROR($G2818/SUMIF($A:$A,$A2818,$G:$G)*SUMIF(Summary!$A$247:$A$283,$A2818,Summary!$P$247:$P$283),0)</f>
        <v>0</v>
      </c>
      <c r="AJ2818" s="196">
        <f>IFERROR($G2818/SUMIF($A:$A,$A2818,$G:$G)*(SUMIF(Summary!$A$247:$A$283,$A2818,Summary!$L$247:$L$283)+SUMIF(Summary!$A$297:$A$333,$A2818,Summary!$L$297:$L$333))-AI2818,0)</f>
        <v>0</v>
      </c>
      <c r="AK2818" s="196">
        <f>IFERROR($G2818/SUMIF($A:$A,$A2818,$G:$G)*SUMIF(Summary!$A$247:$A$283,$A2818,Summary!$Q$247:$Q$283),0)</f>
        <v>0</v>
      </c>
      <c r="AL2818" s="196">
        <f>IFERROR($G2818/SUMIF($A:$A,$A2818,$G:$G)*(SUMIF(Summary!$A$247:$A$283,$A2818,Summary!$L$247:$L$283)+SUMIF(Summary!$A$297:$A$333,$A2818,Summary!$L$297:$L$333))-AK2818,0)</f>
        <v>0</v>
      </c>
      <c r="AM2818" s="198"/>
      <c r="AN2818" s="196">
        <f t="shared" ca="1" si="614"/>
        <v>0</v>
      </c>
      <c r="AO2818" s="196">
        <f t="shared" ca="1" si="615"/>
        <v>0</v>
      </c>
    </row>
    <row r="2819" spans="1:41">
      <c r="A2819" s="189">
        <v>10115</v>
      </c>
      <c r="B2819" s="190">
        <v>5</v>
      </c>
      <c r="C2819" s="191" t="s">
        <v>220</v>
      </c>
      <c r="D2819" s="192">
        <f t="shared" si="602"/>
        <v>0</v>
      </c>
      <c r="E2819" s="192">
        <f t="shared" si="603"/>
        <v>0</v>
      </c>
      <c r="F2819" s="192">
        <f t="shared" si="604"/>
        <v>0</v>
      </c>
      <c r="G2819" s="193">
        <f t="shared" si="605"/>
        <v>0</v>
      </c>
      <c r="H2819" s="194">
        <v>0</v>
      </c>
      <c r="I2819" s="194">
        <v>0</v>
      </c>
      <c r="J2819" s="194">
        <v>0</v>
      </c>
      <c r="K2819" s="193">
        <f t="shared" si="606"/>
        <v>0</v>
      </c>
      <c r="L2819" s="194">
        <v>0</v>
      </c>
      <c r="M2819" s="194">
        <v>0</v>
      </c>
      <c r="N2819" s="194">
        <v>0</v>
      </c>
      <c r="O2819" s="193">
        <f t="shared" si="607"/>
        <v>0</v>
      </c>
      <c r="P2819" s="194">
        <v>0</v>
      </c>
      <c r="Q2819" s="194">
        <v>0</v>
      </c>
      <c r="R2819" s="194">
        <v>0</v>
      </c>
      <c r="S2819" s="193">
        <f t="shared" si="608"/>
        <v>0</v>
      </c>
      <c r="T2819" s="193">
        <f t="shared" si="609"/>
        <v>0</v>
      </c>
      <c r="U2819" s="193">
        <f ca="1">OFFSET('Expenditure Study'!$B$7,'Operations Support'!$C2819,'Operations Support'!$B2819)*$G2819</f>
        <v>0</v>
      </c>
      <c r="V2819" s="199">
        <f ca="1">U2819*'Expenditure Study'!$B$31</f>
        <v>0</v>
      </c>
      <c r="W2819" s="199">
        <f ca="1">IF(A2819=10298,1.51,1)*IF($B2819&lt;3,$D2819*'Expenditure Study'!$B$32*OFFSET('Expenditure Study'!$B$7,'Operations Support'!$C2819,'Operations Support'!$B2819),0)</f>
        <v>0</v>
      </c>
      <c r="X2819" s="200">
        <f ca="1">W2819*'Expenditure Study'!$B$31</f>
        <v>0</v>
      </c>
      <c r="Y2819" s="199">
        <f ca="1">U2819*'Expenditure Study'!$B$31</f>
        <v>0</v>
      </c>
      <c r="Z2819" s="200">
        <f ca="1">W2819*'Expenditure Study'!$B$31</f>
        <v>0</v>
      </c>
      <c r="AA2819" s="195">
        <f t="shared" ca="1" si="610"/>
        <v>0</v>
      </c>
      <c r="AB2819" s="195">
        <f t="shared" ca="1" si="611"/>
        <v>0</v>
      </c>
      <c r="AD2819" s="196">
        <f>IFERROR($G2819/SUMIF($A:$A,$A2819,$G:$G)*SUMIF(Summary!$A$166:$A$242,$A2819,Summary!$P$166:$P$242),0)</f>
        <v>0</v>
      </c>
      <c r="AE2819" s="197">
        <f t="shared" ca="1" si="612"/>
        <v>0</v>
      </c>
      <c r="AF2819" s="196">
        <f>IFERROR(G2819/SUMIF(A:A,A2819,G:G)*SUMIF(Summary!$A$166:$A$242,'Operations Support'!A2819,Summary!$Q$166:$Q$242),0)</f>
        <v>0</v>
      </c>
      <c r="AG2819" s="196">
        <f t="shared" ca="1" si="613"/>
        <v>0</v>
      </c>
      <c r="AI2819" s="196">
        <f>IFERROR($G2819/SUMIF($A:$A,$A2819,$G:$G)*SUMIF(Summary!$A$247:$A$283,$A2819,Summary!$P$247:$P$283),0)</f>
        <v>0</v>
      </c>
      <c r="AJ2819" s="196">
        <f>IFERROR($G2819/SUMIF($A:$A,$A2819,$G:$G)*(SUMIF(Summary!$A$247:$A$283,$A2819,Summary!$L$247:$L$283)+SUMIF(Summary!$A$297:$A$333,$A2819,Summary!$L$297:$L$333))-AI2819,0)</f>
        <v>0</v>
      </c>
      <c r="AK2819" s="196">
        <f>IFERROR($G2819/SUMIF($A:$A,$A2819,$G:$G)*SUMIF(Summary!$A$247:$A$283,$A2819,Summary!$Q$247:$Q$283),0)</f>
        <v>0</v>
      </c>
      <c r="AL2819" s="196">
        <f>IFERROR($G2819/SUMIF($A:$A,$A2819,$G:$G)*(SUMIF(Summary!$A$247:$A$283,$A2819,Summary!$L$247:$L$283)+SUMIF(Summary!$A$297:$A$333,$A2819,Summary!$L$297:$L$333))-AK2819,0)</f>
        <v>0</v>
      </c>
      <c r="AM2819" s="198"/>
      <c r="AN2819" s="196">
        <f t="shared" ca="1" si="614"/>
        <v>0</v>
      </c>
      <c r="AO2819" s="196">
        <f t="shared" ca="1" si="615"/>
        <v>0</v>
      </c>
    </row>
    <row r="2820" spans="1:41">
      <c r="A2820" s="189">
        <v>10115</v>
      </c>
      <c r="B2820" s="190">
        <v>5</v>
      </c>
      <c r="C2820" s="191" t="s">
        <v>221</v>
      </c>
      <c r="D2820" s="192">
        <f t="shared" si="602"/>
        <v>0</v>
      </c>
      <c r="E2820" s="192">
        <f t="shared" si="603"/>
        <v>0</v>
      </c>
      <c r="F2820" s="192">
        <f t="shared" si="604"/>
        <v>0</v>
      </c>
      <c r="G2820" s="193">
        <f t="shared" si="605"/>
        <v>0</v>
      </c>
      <c r="H2820" s="194">
        <v>0</v>
      </c>
      <c r="I2820" s="194">
        <v>0</v>
      </c>
      <c r="J2820" s="194">
        <v>0</v>
      </c>
      <c r="K2820" s="193">
        <f t="shared" si="606"/>
        <v>0</v>
      </c>
      <c r="L2820" s="194">
        <v>0</v>
      </c>
      <c r="M2820" s="194">
        <v>0</v>
      </c>
      <c r="N2820" s="194">
        <v>0</v>
      </c>
      <c r="O2820" s="193">
        <f t="shared" si="607"/>
        <v>0</v>
      </c>
      <c r="P2820" s="194">
        <v>0</v>
      </c>
      <c r="Q2820" s="194">
        <v>0</v>
      </c>
      <c r="R2820" s="194">
        <v>0</v>
      </c>
      <c r="S2820" s="193">
        <f t="shared" si="608"/>
        <v>0</v>
      </c>
      <c r="T2820" s="193">
        <f t="shared" si="609"/>
        <v>0</v>
      </c>
      <c r="U2820" s="193">
        <f ca="1">OFFSET('Expenditure Study'!$B$7,'Operations Support'!$C2820,'Operations Support'!$B2820)*$G2820</f>
        <v>0</v>
      </c>
      <c r="V2820" s="199">
        <f ca="1">U2820*'Expenditure Study'!$B$31</f>
        <v>0</v>
      </c>
      <c r="W2820" s="199">
        <f ca="1">IF(A2820=10298,1.51,1)*IF($B2820&lt;3,$D2820*'Expenditure Study'!$B$32*OFFSET('Expenditure Study'!$B$7,'Operations Support'!$C2820,'Operations Support'!$B2820),0)</f>
        <v>0</v>
      </c>
      <c r="X2820" s="200">
        <f ca="1">W2820*'Expenditure Study'!$B$31</f>
        <v>0</v>
      </c>
      <c r="Y2820" s="199">
        <f ca="1">U2820*'Expenditure Study'!$B$31</f>
        <v>0</v>
      </c>
      <c r="Z2820" s="200">
        <f ca="1">W2820*'Expenditure Study'!$B$31</f>
        <v>0</v>
      </c>
      <c r="AA2820" s="195">
        <f t="shared" ca="1" si="610"/>
        <v>0</v>
      </c>
      <c r="AB2820" s="195">
        <f t="shared" ca="1" si="611"/>
        <v>0</v>
      </c>
      <c r="AD2820" s="196">
        <f>IFERROR($G2820/SUMIF($A:$A,$A2820,$G:$G)*SUMIF(Summary!$A$166:$A$242,$A2820,Summary!$P$166:$P$242),0)</f>
        <v>0</v>
      </c>
      <c r="AE2820" s="197">
        <f t="shared" ca="1" si="612"/>
        <v>0</v>
      </c>
      <c r="AF2820" s="196">
        <f>IFERROR(G2820/SUMIF(A:A,A2820,G:G)*SUMIF(Summary!$A$166:$A$242,'Operations Support'!A2820,Summary!$Q$166:$Q$242),0)</f>
        <v>0</v>
      </c>
      <c r="AG2820" s="196">
        <f t="shared" ca="1" si="613"/>
        <v>0</v>
      </c>
      <c r="AI2820" s="196">
        <f>IFERROR($G2820/SUMIF($A:$A,$A2820,$G:$G)*SUMIF(Summary!$A$247:$A$283,$A2820,Summary!$P$247:$P$283),0)</f>
        <v>0</v>
      </c>
      <c r="AJ2820" s="196">
        <f>IFERROR($G2820/SUMIF($A:$A,$A2820,$G:$G)*(SUMIF(Summary!$A$247:$A$283,$A2820,Summary!$L$247:$L$283)+SUMIF(Summary!$A$297:$A$333,$A2820,Summary!$L$297:$L$333))-AI2820,0)</f>
        <v>0</v>
      </c>
      <c r="AK2820" s="196">
        <f>IFERROR($G2820/SUMIF($A:$A,$A2820,$G:$G)*SUMIF(Summary!$A$247:$A$283,$A2820,Summary!$Q$247:$Q$283),0)</f>
        <v>0</v>
      </c>
      <c r="AL2820" s="196">
        <f>IFERROR($G2820/SUMIF($A:$A,$A2820,$G:$G)*(SUMIF(Summary!$A$247:$A$283,$A2820,Summary!$L$247:$L$283)+SUMIF(Summary!$A$297:$A$333,$A2820,Summary!$L$297:$L$333))-AK2820,0)</f>
        <v>0</v>
      </c>
      <c r="AM2820" s="198"/>
      <c r="AN2820" s="196">
        <f t="shared" ca="1" si="614"/>
        <v>0</v>
      </c>
      <c r="AO2820" s="196">
        <f t="shared" ca="1" si="615"/>
        <v>0</v>
      </c>
    </row>
    <row r="2821" spans="1:41">
      <c r="A2821" s="189">
        <v>10115</v>
      </c>
      <c r="B2821" s="190">
        <v>5</v>
      </c>
      <c r="C2821" s="191" t="s">
        <v>222</v>
      </c>
      <c r="D2821" s="192">
        <f t="shared" ref="D2821:D2884" si="616">H2821+L2821+P2821</f>
        <v>0</v>
      </c>
      <c r="E2821" s="192">
        <f t="shared" ref="E2821:E2884" si="617">I2821+M2821+Q2821</f>
        <v>0</v>
      </c>
      <c r="F2821" s="192">
        <f t="shared" ref="F2821:F2884" si="618">J2821+N2821+R2821</f>
        <v>0</v>
      </c>
      <c r="G2821" s="193">
        <f t="shared" ref="G2821:G2884" si="619">(SUM(D2821:E2821)-F2821)*IF(A2821=10298,1.51,1)</f>
        <v>0</v>
      </c>
      <c r="H2821" s="194">
        <v>0</v>
      </c>
      <c r="I2821" s="194">
        <v>0</v>
      </c>
      <c r="J2821" s="194">
        <v>0</v>
      </c>
      <c r="K2821" s="193">
        <f t="shared" ref="K2821:K2884" si="620">SUM(H2821:I2821)-J2821</f>
        <v>0</v>
      </c>
      <c r="L2821" s="194">
        <v>0</v>
      </c>
      <c r="M2821" s="194">
        <v>0</v>
      </c>
      <c r="N2821" s="194">
        <v>0</v>
      </c>
      <c r="O2821" s="193">
        <f t="shared" ref="O2821:O2884" si="621">SUM(L2821:M2821)-N2821</f>
        <v>0</v>
      </c>
      <c r="P2821" s="194">
        <v>0</v>
      </c>
      <c r="Q2821" s="194">
        <v>0</v>
      </c>
      <c r="R2821" s="194">
        <v>0</v>
      </c>
      <c r="S2821" s="193">
        <f t="shared" ref="S2821:S2884" si="622">SUM(P2821:Q2821)-R2821</f>
        <v>0</v>
      </c>
      <c r="T2821" s="193">
        <f t="shared" ref="T2821:T2884" si="623">IF(OR(B2821=1,B2821=2),G2821/30,IF(OR(B2821=3,B2821=5),G2821/24,IF(B2821=4,G2821/18,0)))</f>
        <v>0</v>
      </c>
      <c r="U2821" s="193">
        <f ca="1">OFFSET('Expenditure Study'!$B$7,'Operations Support'!$C2821,'Operations Support'!$B2821)*$G2821</f>
        <v>0</v>
      </c>
      <c r="V2821" s="199">
        <f ca="1">U2821*'Expenditure Study'!$B$31</f>
        <v>0</v>
      </c>
      <c r="W2821" s="199">
        <f ca="1">IF(A2821=10298,1.51,1)*IF($B2821&lt;3,$D2821*'Expenditure Study'!$B$32*OFFSET('Expenditure Study'!$B$7,'Operations Support'!$C2821,'Operations Support'!$B2821),0)</f>
        <v>0</v>
      </c>
      <c r="X2821" s="200">
        <f ca="1">W2821*'Expenditure Study'!$B$31</f>
        <v>0</v>
      </c>
      <c r="Y2821" s="199">
        <f ca="1">U2821*'Expenditure Study'!$B$31</f>
        <v>0</v>
      </c>
      <c r="Z2821" s="200">
        <f ca="1">W2821*'Expenditure Study'!$B$31</f>
        <v>0</v>
      </c>
      <c r="AA2821" s="195">
        <f t="shared" ref="AA2821:AA2884" ca="1" si="624">V2821+X2821</f>
        <v>0</v>
      </c>
      <c r="AB2821" s="195">
        <f t="shared" ref="AB2821:AB2884" ca="1" si="625">Y2821+Z2821</f>
        <v>0</v>
      </c>
      <c r="AD2821" s="196">
        <f>IFERROR($G2821/SUMIF($A:$A,$A2821,$G:$G)*SUMIF(Summary!$A$166:$A$242,$A2821,Summary!$P$166:$P$242),0)</f>
        <v>0</v>
      </c>
      <c r="AE2821" s="197">
        <f t="shared" ca="1" si="612"/>
        <v>0</v>
      </c>
      <c r="AF2821" s="196">
        <f>IFERROR(G2821/SUMIF(A:A,A2821,G:G)*SUMIF(Summary!$A$166:$A$242,'Operations Support'!A2821,Summary!$Q$166:$Q$242),0)</f>
        <v>0</v>
      </c>
      <c r="AG2821" s="196">
        <f t="shared" ca="1" si="613"/>
        <v>0</v>
      </c>
      <c r="AI2821" s="196">
        <f>IFERROR($G2821/SUMIF($A:$A,$A2821,$G:$G)*SUMIF(Summary!$A$247:$A$283,$A2821,Summary!$P$247:$P$283),0)</f>
        <v>0</v>
      </c>
      <c r="AJ2821" s="196">
        <f>IFERROR($G2821/SUMIF($A:$A,$A2821,$G:$G)*(SUMIF(Summary!$A$247:$A$283,$A2821,Summary!$L$247:$L$283)+SUMIF(Summary!$A$297:$A$333,$A2821,Summary!$L$297:$L$333))-AI2821,0)</f>
        <v>0</v>
      </c>
      <c r="AK2821" s="196">
        <f>IFERROR($G2821/SUMIF($A:$A,$A2821,$G:$G)*SUMIF(Summary!$A$247:$A$283,$A2821,Summary!$Q$247:$Q$283),0)</f>
        <v>0</v>
      </c>
      <c r="AL2821" s="196">
        <f>IFERROR($G2821/SUMIF($A:$A,$A2821,$G:$G)*(SUMIF(Summary!$A$247:$A$283,$A2821,Summary!$L$247:$L$283)+SUMIF(Summary!$A$297:$A$333,$A2821,Summary!$L$297:$L$333))-AK2821,0)</f>
        <v>0</v>
      </c>
      <c r="AM2821" s="198"/>
      <c r="AN2821" s="196">
        <f t="shared" ca="1" si="614"/>
        <v>0</v>
      </c>
      <c r="AO2821" s="196">
        <f t="shared" ca="1" si="615"/>
        <v>0</v>
      </c>
    </row>
    <row r="2822" spans="1:41">
      <c r="A2822" s="189">
        <v>10115</v>
      </c>
      <c r="B2822" s="190">
        <v>5</v>
      </c>
      <c r="C2822" s="191" t="s">
        <v>223</v>
      </c>
      <c r="D2822" s="192">
        <f t="shared" si="616"/>
        <v>0</v>
      </c>
      <c r="E2822" s="192">
        <f t="shared" si="617"/>
        <v>0</v>
      </c>
      <c r="F2822" s="192">
        <f t="shared" si="618"/>
        <v>0</v>
      </c>
      <c r="G2822" s="193">
        <f t="shared" si="619"/>
        <v>0</v>
      </c>
      <c r="H2822" s="194">
        <v>0</v>
      </c>
      <c r="I2822" s="194">
        <v>0</v>
      </c>
      <c r="J2822" s="194">
        <v>0</v>
      </c>
      <c r="K2822" s="193">
        <f t="shared" si="620"/>
        <v>0</v>
      </c>
      <c r="L2822" s="194">
        <v>0</v>
      </c>
      <c r="M2822" s="194">
        <v>0</v>
      </c>
      <c r="N2822" s="194">
        <v>0</v>
      </c>
      <c r="O2822" s="193">
        <f t="shared" si="621"/>
        <v>0</v>
      </c>
      <c r="P2822" s="194">
        <v>0</v>
      </c>
      <c r="Q2822" s="194">
        <v>0</v>
      </c>
      <c r="R2822" s="194">
        <v>0</v>
      </c>
      <c r="S2822" s="193">
        <f t="shared" si="622"/>
        <v>0</v>
      </c>
      <c r="T2822" s="193">
        <f t="shared" si="623"/>
        <v>0</v>
      </c>
      <c r="U2822" s="193">
        <f ca="1">OFFSET('Expenditure Study'!$B$7,'Operations Support'!$C2822,'Operations Support'!$B2822)*$G2822</f>
        <v>0</v>
      </c>
      <c r="V2822" s="199">
        <f ca="1">U2822*'Expenditure Study'!$B$31</f>
        <v>0</v>
      </c>
      <c r="W2822" s="199">
        <f ca="1">IF(A2822=10298,1.51,1)*IF($B2822&lt;3,$D2822*'Expenditure Study'!$B$32*OFFSET('Expenditure Study'!$B$7,'Operations Support'!$C2822,'Operations Support'!$B2822),0)</f>
        <v>0</v>
      </c>
      <c r="X2822" s="200">
        <f ca="1">W2822*'Expenditure Study'!$B$31</f>
        <v>0</v>
      </c>
      <c r="Y2822" s="199">
        <f ca="1">U2822*'Expenditure Study'!$B$31</f>
        <v>0</v>
      </c>
      <c r="Z2822" s="200">
        <f ca="1">W2822*'Expenditure Study'!$B$31</f>
        <v>0</v>
      </c>
      <c r="AA2822" s="195">
        <f t="shared" ca="1" si="624"/>
        <v>0</v>
      </c>
      <c r="AB2822" s="195">
        <f t="shared" ca="1" si="625"/>
        <v>0</v>
      </c>
      <c r="AD2822" s="196">
        <f>IFERROR($G2822/SUMIF($A:$A,$A2822,$G:$G)*SUMIF(Summary!$A$166:$A$242,$A2822,Summary!$P$166:$P$242),0)</f>
        <v>0</v>
      </c>
      <c r="AE2822" s="197">
        <f t="shared" ref="AE2822:AE2885" ca="1" si="626">V2822+X2822-AD2822</f>
        <v>0</v>
      </c>
      <c r="AF2822" s="196">
        <f>IFERROR(G2822/SUMIF(A:A,A2822,G:G)*SUMIF(Summary!$A$166:$A$242,'Operations Support'!A2822,Summary!$Q$166:$Q$242),0)</f>
        <v>0</v>
      </c>
      <c r="AG2822" s="196">
        <f t="shared" ref="AG2822:AG2885" ca="1" si="627">Y2822+Z2822-AF2822</f>
        <v>0</v>
      </c>
      <c r="AI2822" s="196">
        <f>IFERROR($G2822/SUMIF($A:$A,$A2822,$G:$G)*SUMIF(Summary!$A$247:$A$283,$A2822,Summary!$P$247:$P$283),0)</f>
        <v>0</v>
      </c>
      <c r="AJ2822" s="196">
        <f>IFERROR($G2822/SUMIF($A:$A,$A2822,$G:$G)*(SUMIF(Summary!$A$247:$A$283,$A2822,Summary!$L$247:$L$283)+SUMIF(Summary!$A$297:$A$333,$A2822,Summary!$L$297:$L$333))-AI2822,0)</f>
        <v>0</v>
      </c>
      <c r="AK2822" s="196">
        <f>IFERROR($G2822/SUMIF($A:$A,$A2822,$G:$G)*SUMIF(Summary!$A$247:$A$283,$A2822,Summary!$Q$247:$Q$283),0)</f>
        <v>0</v>
      </c>
      <c r="AL2822" s="196">
        <f>IFERROR($G2822/SUMIF($A:$A,$A2822,$G:$G)*(SUMIF(Summary!$A$247:$A$283,$A2822,Summary!$L$247:$L$283)+SUMIF(Summary!$A$297:$A$333,$A2822,Summary!$L$297:$L$333))-AK2822,0)</f>
        <v>0</v>
      </c>
      <c r="AM2822" s="198"/>
      <c r="AN2822" s="196">
        <f t="shared" ref="AN2822:AN2885" ca="1" si="628">AE2822+AJ2822</f>
        <v>0</v>
      </c>
      <c r="AO2822" s="196">
        <f t="shared" ref="AO2822:AO2885" ca="1" si="629">AG2822+AL2822</f>
        <v>0</v>
      </c>
    </row>
    <row r="2823" spans="1:41" s="201" customFormat="1">
      <c r="A2823" s="189">
        <v>10115</v>
      </c>
      <c r="B2823" s="190">
        <v>5</v>
      </c>
      <c r="C2823" s="191" t="s">
        <v>224</v>
      </c>
      <c r="D2823" s="192">
        <f t="shared" si="616"/>
        <v>0</v>
      </c>
      <c r="E2823" s="192">
        <f t="shared" si="617"/>
        <v>0</v>
      </c>
      <c r="F2823" s="192">
        <f t="shared" si="618"/>
        <v>0</v>
      </c>
      <c r="G2823" s="193">
        <f t="shared" si="619"/>
        <v>0</v>
      </c>
      <c r="H2823" s="194">
        <v>0</v>
      </c>
      <c r="I2823" s="194">
        <v>0</v>
      </c>
      <c r="J2823" s="194">
        <v>0</v>
      </c>
      <c r="K2823" s="193">
        <f t="shared" si="620"/>
        <v>0</v>
      </c>
      <c r="L2823" s="194">
        <v>0</v>
      </c>
      <c r="M2823" s="194">
        <v>0</v>
      </c>
      <c r="N2823" s="194">
        <v>0</v>
      </c>
      <c r="O2823" s="193">
        <f t="shared" si="621"/>
        <v>0</v>
      </c>
      <c r="P2823" s="194">
        <v>0</v>
      </c>
      <c r="Q2823" s="194">
        <v>0</v>
      </c>
      <c r="R2823" s="194">
        <v>0</v>
      </c>
      <c r="S2823" s="193">
        <f t="shared" si="622"/>
        <v>0</v>
      </c>
      <c r="T2823" s="193">
        <f t="shared" si="623"/>
        <v>0</v>
      </c>
      <c r="U2823" s="193">
        <f ca="1">OFFSET('Expenditure Study'!$B$7,'Operations Support'!$C2823,'Operations Support'!$B2823)*$G2823</f>
        <v>0</v>
      </c>
      <c r="V2823" s="199">
        <f ca="1">U2823*'Expenditure Study'!$B$31</f>
        <v>0</v>
      </c>
      <c r="W2823" s="199">
        <f ca="1">IF(A2823=10298,1.51,1)*IF($B2823&lt;3,$D2823*'Expenditure Study'!$B$32*OFFSET('Expenditure Study'!$B$7,'Operations Support'!$C2823,'Operations Support'!$B2823),0)</f>
        <v>0</v>
      </c>
      <c r="X2823" s="200">
        <f ca="1">W2823*'Expenditure Study'!$B$31</f>
        <v>0</v>
      </c>
      <c r="Y2823" s="199">
        <f ca="1">U2823*'Expenditure Study'!$B$31</f>
        <v>0</v>
      </c>
      <c r="Z2823" s="200">
        <f ca="1">W2823*'Expenditure Study'!$B$31</f>
        <v>0</v>
      </c>
      <c r="AA2823" s="195">
        <f t="shared" ca="1" si="624"/>
        <v>0</v>
      </c>
      <c r="AB2823" s="195">
        <f t="shared" ca="1" si="625"/>
        <v>0</v>
      </c>
      <c r="AD2823" s="196">
        <f>IFERROR($G2823/SUMIF($A:$A,$A2823,$G:$G)*SUMIF(Summary!$A$166:$A$242,$A2823,Summary!$P$166:$P$242),0)</f>
        <v>0</v>
      </c>
      <c r="AE2823" s="197">
        <f t="shared" ca="1" si="626"/>
        <v>0</v>
      </c>
      <c r="AF2823" s="196">
        <f>IFERROR(G2823/SUMIF(A:A,A2823,G:G)*SUMIF(Summary!$A$166:$A$242,'Operations Support'!A2823,Summary!$Q$166:$Q$242),0)</f>
        <v>0</v>
      </c>
      <c r="AG2823" s="196">
        <f t="shared" ca="1" si="627"/>
        <v>0</v>
      </c>
      <c r="AH2823" s="180"/>
      <c r="AI2823" s="196">
        <f>IFERROR($G2823/SUMIF($A:$A,$A2823,$G:$G)*SUMIF(Summary!$A$247:$A$283,$A2823,Summary!$P$247:$P$283),0)</f>
        <v>0</v>
      </c>
      <c r="AJ2823" s="196">
        <f>IFERROR($G2823/SUMIF($A:$A,$A2823,$G:$G)*(SUMIF(Summary!$A$247:$A$283,$A2823,Summary!$L$247:$L$283)+SUMIF(Summary!$A$297:$A$333,$A2823,Summary!$L$297:$L$333))-AI2823,0)</f>
        <v>0</v>
      </c>
      <c r="AK2823" s="196">
        <f>IFERROR($G2823/SUMIF($A:$A,$A2823,$G:$G)*SUMIF(Summary!$A$247:$A$283,$A2823,Summary!$Q$247:$Q$283),0)</f>
        <v>0</v>
      </c>
      <c r="AL2823" s="196">
        <f>IFERROR($G2823/SUMIF($A:$A,$A2823,$G:$G)*(SUMIF(Summary!$A$247:$A$283,$A2823,Summary!$L$247:$L$283)+SUMIF(Summary!$A$297:$A$333,$A2823,Summary!$L$297:$L$333))-AK2823,0)</f>
        <v>0</v>
      </c>
      <c r="AM2823" s="198"/>
      <c r="AN2823" s="196">
        <f t="shared" ca="1" si="628"/>
        <v>0</v>
      </c>
      <c r="AO2823" s="196">
        <f t="shared" ca="1" si="629"/>
        <v>0</v>
      </c>
    </row>
    <row r="2824" spans="1:41">
      <c r="A2824" s="189">
        <v>10115</v>
      </c>
      <c r="B2824" s="190">
        <v>5</v>
      </c>
      <c r="C2824" s="191" t="s">
        <v>225</v>
      </c>
      <c r="D2824" s="192">
        <f t="shared" si="616"/>
        <v>0</v>
      </c>
      <c r="E2824" s="192">
        <f t="shared" si="617"/>
        <v>0</v>
      </c>
      <c r="F2824" s="192">
        <f t="shared" si="618"/>
        <v>0</v>
      </c>
      <c r="G2824" s="193">
        <f t="shared" si="619"/>
        <v>0</v>
      </c>
      <c r="H2824" s="194">
        <v>0</v>
      </c>
      <c r="I2824" s="194">
        <v>0</v>
      </c>
      <c r="J2824" s="194">
        <v>0</v>
      </c>
      <c r="K2824" s="193">
        <f t="shared" si="620"/>
        <v>0</v>
      </c>
      <c r="L2824" s="194">
        <v>0</v>
      </c>
      <c r="M2824" s="194">
        <v>0</v>
      </c>
      <c r="N2824" s="194">
        <v>0</v>
      </c>
      <c r="O2824" s="193">
        <f t="shared" si="621"/>
        <v>0</v>
      </c>
      <c r="P2824" s="194">
        <v>0</v>
      </c>
      <c r="Q2824" s="194">
        <v>0</v>
      </c>
      <c r="R2824" s="194">
        <v>0</v>
      </c>
      <c r="S2824" s="193">
        <f t="shared" si="622"/>
        <v>0</v>
      </c>
      <c r="T2824" s="193">
        <f t="shared" si="623"/>
        <v>0</v>
      </c>
      <c r="U2824" s="193">
        <f ca="1">OFFSET('Expenditure Study'!$B$7,'Operations Support'!$C2824,'Operations Support'!$B2824)*$G2824</f>
        <v>0</v>
      </c>
      <c r="V2824" s="199">
        <f ca="1">U2824*'Expenditure Study'!$B$31</f>
        <v>0</v>
      </c>
      <c r="W2824" s="199">
        <f ca="1">IF(A2824=10298,1.51,1)*IF($B2824&lt;3,$D2824*'Expenditure Study'!$B$32*OFFSET('Expenditure Study'!$B$7,'Operations Support'!$C2824,'Operations Support'!$B2824),0)</f>
        <v>0</v>
      </c>
      <c r="X2824" s="200">
        <f ca="1">W2824*'Expenditure Study'!$B$31</f>
        <v>0</v>
      </c>
      <c r="Y2824" s="199">
        <f ca="1">U2824*'Expenditure Study'!$B$31</f>
        <v>0</v>
      </c>
      <c r="Z2824" s="200">
        <f ca="1">W2824*'Expenditure Study'!$B$31</f>
        <v>0</v>
      </c>
      <c r="AA2824" s="195">
        <f t="shared" ca="1" si="624"/>
        <v>0</v>
      </c>
      <c r="AB2824" s="195">
        <f t="shared" ca="1" si="625"/>
        <v>0</v>
      </c>
      <c r="AD2824" s="196">
        <f>IFERROR($G2824/SUMIF($A:$A,$A2824,$G:$G)*SUMIF(Summary!$A$166:$A$242,$A2824,Summary!$P$166:$P$242),0)</f>
        <v>0</v>
      </c>
      <c r="AE2824" s="197">
        <f t="shared" ca="1" si="626"/>
        <v>0</v>
      </c>
      <c r="AF2824" s="196">
        <f>IFERROR(G2824/SUMIF(A:A,A2824,G:G)*SUMIF(Summary!$A$166:$A$242,'Operations Support'!A2824,Summary!$Q$166:$Q$242),0)</f>
        <v>0</v>
      </c>
      <c r="AG2824" s="196">
        <f t="shared" ca="1" si="627"/>
        <v>0</v>
      </c>
      <c r="AI2824" s="196">
        <f>IFERROR($G2824/SUMIF($A:$A,$A2824,$G:$G)*SUMIF(Summary!$A$247:$A$283,$A2824,Summary!$P$247:$P$283),0)</f>
        <v>0</v>
      </c>
      <c r="AJ2824" s="196">
        <f>IFERROR($G2824/SUMIF($A:$A,$A2824,$G:$G)*(SUMIF(Summary!$A$247:$A$283,$A2824,Summary!$L$247:$L$283)+SUMIF(Summary!$A$297:$A$333,$A2824,Summary!$L$297:$L$333))-AI2824,0)</f>
        <v>0</v>
      </c>
      <c r="AK2824" s="196">
        <f>IFERROR($G2824/SUMIF($A:$A,$A2824,$G:$G)*SUMIF(Summary!$A$247:$A$283,$A2824,Summary!$Q$247:$Q$283),0)</f>
        <v>0</v>
      </c>
      <c r="AL2824" s="196">
        <f>IFERROR($G2824/SUMIF($A:$A,$A2824,$G:$G)*(SUMIF(Summary!$A$247:$A$283,$A2824,Summary!$L$247:$L$283)+SUMIF(Summary!$A$297:$A$333,$A2824,Summary!$L$297:$L$333))-AK2824,0)</f>
        <v>0</v>
      </c>
      <c r="AM2824" s="198"/>
      <c r="AN2824" s="196">
        <f t="shared" ca="1" si="628"/>
        <v>0</v>
      </c>
      <c r="AO2824" s="196">
        <f t="shared" ca="1" si="629"/>
        <v>0</v>
      </c>
    </row>
    <row r="2825" spans="1:41">
      <c r="A2825" s="189">
        <v>10115</v>
      </c>
      <c r="B2825" s="190">
        <v>5</v>
      </c>
      <c r="C2825" s="191" t="s">
        <v>226</v>
      </c>
      <c r="D2825" s="192">
        <f t="shared" si="616"/>
        <v>0</v>
      </c>
      <c r="E2825" s="192">
        <f t="shared" si="617"/>
        <v>0</v>
      </c>
      <c r="F2825" s="192">
        <f t="shared" si="618"/>
        <v>0</v>
      </c>
      <c r="G2825" s="193">
        <f t="shared" si="619"/>
        <v>0</v>
      </c>
      <c r="H2825" s="194">
        <v>0</v>
      </c>
      <c r="I2825" s="194">
        <v>0</v>
      </c>
      <c r="J2825" s="194">
        <v>0</v>
      </c>
      <c r="K2825" s="193">
        <f t="shared" si="620"/>
        <v>0</v>
      </c>
      <c r="L2825" s="194">
        <v>0</v>
      </c>
      <c r="M2825" s="194">
        <v>0</v>
      </c>
      <c r="N2825" s="194">
        <v>0</v>
      </c>
      <c r="O2825" s="193">
        <f t="shared" si="621"/>
        <v>0</v>
      </c>
      <c r="P2825" s="194">
        <v>0</v>
      </c>
      <c r="Q2825" s="194">
        <v>0</v>
      </c>
      <c r="R2825" s="194">
        <v>0</v>
      </c>
      <c r="S2825" s="193">
        <f t="shared" si="622"/>
        <v>0</v>
      </c>
      <c r="T2825" s="193">
        <f t="shared" si="623"/>
        <v>0</v>
      </c>
      <c r="U2825" s="193">
        <f ca="1">OFFSET('Expenditure Study'!$B$7,'Operations Support'!$C2825,'Operations Support'!$B2825)*$G2825</f>
        <v>0</v>
      </c>
      <c r="V2825" s="199">
        <f ca="1">U2825*'Expenditure Study'!$B$31</f>
        <v>0</v>
      </c>
      <c r="W2825" s="199">
        <f ca="1">IF(A2825=10298,1.51,1)*IF($B2825&lt;3,$D2825*'Expenditure Study'!$B$32*OFFSET('Expenditure Study'!$B$7,'Operations Support'!$C2825,'Operations Support'!$B2825),0)</f>
        <v>0</v>
      </c>
      <c r="X2825" s="200">
        <f ca="1">W2825*'Expenditure Study'!$B$31</f>
        <v>0</v>
      </c>
      <c r="Y2825" s="199">
        <f ca="1">U2825*'Expenditure Study'!$B$31</f>
        <v>0</v>
      </c>
      <c r="Z2825" s="200">
        <f ca="1">W2825*'Expenditure Study'!$B$31</f>
        <v>0</v>
      </c>
      <c r="AA2825" s="195">
        <f t="shared" ca="1" si="624"/>
        <v>0</v>
      </c>
      <c r="AB2825" s="195">
        <f t="shared" ca="1" si="625"/>
        <v>0</v>
      </c>
      <c r="AD2825" s="196">
        <f>IFERROR($G2825/SUMIF($A:$A,$A2825,$G:$G)*SUMIF(Summary!$A$166:$A$242,$A2825,Summary!$P$166:$P$242),0)</f>
        <v>0</v>
      </c>
      <c r="AE2825" s="197">
        <f t="shared" ca="1" si="626"/>
        <v>0</v>
      </c>
      <c r="AF2825" s="196">
        <f>IFERROR(G2825/SUMIF(A:A,A2825,G:G)*SUMIF(Summary!$A$166:$A$242,'Operations Support'!A2825,Summary!$Q$166:$Q$242),0)</f>
        <v>0</v>
      </c>
      <c r="AG2825" s="196">
        <f t="shared" ca="1" si="627"/>
        <v>0</v>
      </c>
      <c r="AI2825" s="196">
        <f>IFERROR($G2825/SUMIF($A:$A,$A2825,$G:$G)*SUMIF(Summary!$A$247:$A$283,$A2825,Summary!$P$247:$P$283),0)</f>
        <v>0</v>
      </c>
      <c r="AJ2825" s="196">
        <f>IFERROR($G2825/SUMIF($A:$A,$A2825,$G:$G)*(SUMIF(Summary!$A$247:$A$283,$A2825,Summary!$L$247:$L$283)+SUMIF(Summary!$A$297:$A$333,$A2825,Summary!$L$297:$L$333))-AI2825,0)</f>
        <v>0</v>
      </c>
      <c r="AK2825" s="196">
        <f>IFERROR($G2825/SUMIF($A:$A,$A2825,$G:$G)*SUMIF(Summary!$A$247:$A$283,$A2825,Summary!$Q$247:$Q$283),0)</f>
        <v>0</v>
      </c>
      <c r="AL2825" s="196">
        <f>IFERROR($G2825/SUMIF($A:$A,$A2825,$G:$G)*(SUMIF(Summary!$A$247:$A$283,$A2825,Summary!$L$247:$L$283)+SUMIF(Summary!$A$297:$A$333,$A2825,Summary!$L$297:$L$333))-AK2825,0)</f>
        <v>0</v>
      </c>
      <c r="AM2825" s="198"/>
      <c r="AN2825" s="196">
        <f t="shared" ca="1" si="628"/>
        <v>0</v>
      </c>
      <c r="AO2825" s="196">
        <f t="shared" ca="1" si="629"/>
        <v>0</v>
      </c>
    </row>
    <row r="2826" spans="1:41">
      <c r="A2826" s="189">
        <v>10115</v>
      </c>
      <c r="B2826" s="190">
        <v>5</v>
      </c>
      <c r="C2826" s="191" t="s">
        <v>227</v>
      </c>
      <c r="D2826" s="192">
        <f t="shared" si="616"/>
        <v>0</v>
      </c>
      <c r="E2826" s="192">
        <f t="shared" si="617"/>
        <v>0</v>
      </c>
      <c r="F2826" s="192">
        <f t="shared" si="618"/>
        <v>0</v>
      </c>
      <c r="G2826" s="193">
        <f t="shared" si="619"/>
        <v>0</v>
      </c>
      <c r="H2826" s="194">
        <v>0</v>
      </c>
      <c r="I2826" s="194">
        <v>0</v>
      </c>
      <c r="J2826" s="194">
        <v>0</v>
      </c>
      <c r="K2826" s="193">
        <f t="shared" si="620"/>
        <v>0</v>
      </c>
      <c r="L2826" s="194">
        <v>0</v>
      </c>
      <c r="M2826" s="194">
        <v>0</v>
      </c>
      <c r="N2826" s="194">
        <v>0</v>
      </c>
      <c r="O2826" s="193">
        <f t="shared" si="621"/>
        <v>0</v>
      </c>
      <c r="P2826" s="194">
        <v>0</v>
      </c>
      <c r="Q2826" s="194">
        <v>0</v>
      </c>
      <c r="R2826" s="194">
        <v>0</v>
      </c>
      <c r="S2826" s="193">
        <f t="shared" si="622"/>
        <v>0</v>
      </c>
      <c r="T2826" s="193">
        <f t="shared" si="623"/>
        <v>0</v>
      </c>
      <c r="U2826" s="193">
        <f ca="1">OFFSET('Expenditure Study'!$B$7,'Operations Support'!$C2826,'Operations Support'!$B2826)*$G2826</f>
        <v>0</v>
      </c>
      <c r="V2826" s="199">
        <f ca="1">U2826*'Expenditure Study'!$B$31</f>
        <v>0</v>
      </c>
      <c r="W2826" s="199">
        <f ca="1">IF(A2826=10298,1.51,1)*IF($B2826&lt;3,$D2826*'Expenditure Study'!$B$32*OFFSET('Expenditure Study'!$B$7,'Operations Support'!$C2826,'Operations Support'!$B2826),0)</f>
        <v>0</v>
      </c>
      <c r="X2826" s="200">
        <f ca="1">W2826*'Expenditure Study'!$B$31</f>
        <v>0</v>
      </c>
      <c r="Y2826" s="199">
        <f ca="1">U2826*'Expenditure Study'!$B$31</f>
        <v>0</v>
      </c>
      <c r="Z2826" s="200">
        <f ca="1">W2826*'Expenditure Study'!$B$31</f>
        <v>0</v>
      </c>
      <c r="AA2826" s="195">
        <f t="shared" ca="1" si="624"/>
        <v>0</v>
      </c>
      <c r="AB2826" s="195">
        <f t="shared" ca="1" si="625"/>
        <v>0</v>
      </c>
      <c r="AD2826" s="196">
        <f>IFERROR($G2826/SUMIF($A:$A,$A2826,$G:$G)*SUMIF(Summary!$A$166:$A$242,$A2826,Summary!$P$166:$P$242),0)</f>
        <v>0</v>
      </c>
      <c r="AE2826" s="197">
        <f t="shared" ca="1" si="626"/>
        <v>0</v>
      </c>
      <c r="AF2826" s="196">
        <f>IFERROR(G2826/SUMIF(A:A,A2826,G:G)*SUMIF(Summary!$A$166:$A$242,'Operations Support'!A2826,Summary!$Q$166:$Q$242),0)</f>
        <v>0</v>
      </c>
      <c r="AG2826" s="196">
        <f t="shared" ca="1" si="627"/>
        <v>0</v>
      </c>
      <c r="AI2826" s="196">
        <f>IFERROR($G2826/SUMIF($A:$A,$A2826,$G:$G)*SUMIF(Summary!$A$247:$A$283,$A2826,Summary!$P$247:$P$283),0)</f>
        <v>0</v>
      </c>
      <c r="AJ2826" s="196">
        <f>IFERROR($G2826/SUMIF($A:$A,$A2826,$G:$G)*(SUMIF(Summary!$A$247:$A$283,$A2826,Summary!$L$247:$L$283)+SUMIF(Summary!$A$297:$A$333,$A2826,Summary!$L$297:$L$333))-AI2826,0)</f>
        <v>0</v>
      </c>
      <c r="AK2826" s="196">
        <f>IFERROR($G2826/SUMIF($A:$A,$A2826,$G:$G)*SUMIF(Summary!$A$247:$A$283,$A2826,Summary!$Q$247:$Q$283),0)</f>
        <v>0</v>
      </c>
      <c r="AL2826" s="196">
        <f>IFERROR($G2826/SUMIF($A:$A,$A2826,$G:$G)*(SUMIF(Summary!$A$247:$A$283,$A2826,Summary!$L$247:$L$283)+SUMIF(Summary!$A$297:$A$333,$A2826,Summary!$L$297:$L$333))-AK2826,0)</f>
        <v>0</v>
      </c>
      <c r="AM2826" s="198"/>
      <c r="AN2826" s="196">
        <f t="shared" ca="1" si="628"/>
        <v>0</v>
      </c>
      <c r="AO2826" s="196">
        <f t="shared" ca="1" si="629"/>
        <v>0</v>
      </c>
    </row>
    <row r="2827" spans="1:41">
      <c r="A2827" s="189">
        <v>10115</v>
      </c>
      <c r="B2827" s="190">
        <v>5</v>
      </c>
      <c r="C2827" s="191" t="s">
        <v>228</v>
      </c>
      <c r="D2827" s="192">
        <f t="shared" si="616"/>
        <v>0</v>
      </c>
      <c r="E2827" s="192">
        <f t="shared" si="617"/>
        <v>0</v>
      </c>
      <c r="F2827" s="192">
        <f t="shared" si="618"/>
        <v>0</v>
      </c>
      <c r="G2827" s="193">
        <f t="shared" si="619"/>
        <v>0</v>
      </c>
      <c r="H2827" s="194">
        <v>0</v>
      </c>
      <c r="I2827" s="194">
        <v>0</v>
      </c>
      <c r="J2827" s="194">
        <v>0</v>
      </c>
      <c r="K2827" s="193">
        <f t="shared" si="620"/>
        <v>0</v>
      </c>
      <c r="L2827" s="194">
        <v>0</v>
      </c>
      <c r="M2827" s="194">
        <v>0</v>
      </c>
      <c r="N2827" s="194">
        <v>0</v>
      </c>
      <c r="O2827" s="193">
        <f t="shared" si="621"/>
        <v>0</v>
      </c>
      <c r="P2827" s="194">
        <v>0</v>
      </c>
      <c r="Q2827" s="194">
        <v>0</v>
      </c>
      <c r="R2827" s="194">
        <v>0</v>
      </c>
      <c r="S2827" s="193">
        <f t="shared" si="622"/>
        <v>0</v>
      </c>
      <c r="T2827" s="193">
        <f t="shared" si="623"/>
        <v>0</v>
      </c>
      <c r="U2827" s="193">
        <f ca="1">OFFSET('Expenditure Study'!$B$7,'Operations Support'!$C2827,'Operations Support'!$B2827)*$G2827</f>
        <v>0</v>
      </c>
      <c r="V2827" s="199">
        <f ca="1">U2827*'Expenditure Study'!$B$31</f>
        <v>0</v>
      </c>
      <c r="W2827" s="199">
        <f ca="1">IF(A2827=10298,1.51,1)*IF($B2827&lt;3,$D2827*'Expenditure Study'!$B$32*OFFSET('Expenditure Study'!$B$7,'Operations Support'!$C2827,'Operations Support'!$B2827),0)</f>
        <v>0</v>
      </c>
      <c r="X2827" s="200">
        <f ca="1">W2827*'Expenditure Study'!$B$31</f>
        <v>0</v>
      </c>
      <c r="Y2827" s="199">
        <f ca="1">U2827*'Expenditure Study'!$B$31</f>
        <v>0</v>
      </c>
      <c r="Z2827" s="200">
        <f ca="1">W2827*'Expenditure Study'!$B$31</f>
        <v>0</v>
      </c>
      <c r="AA2827" s="195">
        <f t="shared" ca="1" si="624"/>
        <v>0</v>
      </c>
      <c r="AB2827" s="195">
        <f t="shared" ca="1" si="625"/>
        <v>0</v>
      </c>
      <c r="AD2827" s="196">
        <f>IFERROR($G2827/SUMIF($A:$A,$A2827,$G:$G)*SUMIF(Summary!$A$166:$A$242,$A2827,Summary!$P$166:$P$242),0)</f>
        <v>0</v>
      </c>
      <c r="AE2827" s="197">
        <f t="shared" ca="1" si="626"/>
        <v>0</v>
      </c>
      <c r="AF2827" s="196">
        <f>IFERROR(G2827/SUMIF(A:A,A2827,G:G)*SUMIF(Summary!$A$166:$A$242,'Operations Support'!A2827,Summary!$Q$166:$Q$242),0)</f>
        <v>0</v>
      </c>
      <c r="AG2827" s="196">
        <f t="shared" ca="1" si="627"/>
        <v>0</v>
      </c>
      <c r="AI2827" s="196">
        <f>IFERROR($G2827/SUMIF($A:$A,$A2827,$G:$G)*SUMIF(Summary!$A$247:$A$283,$A2827,Summary!$P$247:$P$283),0)</f>
        <v>0</v>
      </c>
      <c r="AJ2827" s="196">
        <f>IFERROR($G2827/SUMIF($A:$A,$A2827,$G:$G)*(SUMIF(Summary!$A$247:$A$283,$A2827,Summary!$L$247:$L$283)+SUMIF(Summary!$A$297:$A$333,$A2827,Summary!$L$297:$L$333))-AI2827,0)</f>
        <v>0</v>
      </c>
      <c r="AK2827" s="196">
        <f>IFERROR($G2827/SUMIF($A:$A,$A2827,$G:$G)*SUMIF(Summary!$A$247:$A$283,$A2827,Summary!$Q$247:$Q$283),0)</f>
        <v>0</v>
      </c>
      <c r="AL2827" s="196">
        <f>IFERROR($G2827/SUMIF($A:$A,$A2827,$G:$G)*(SUMIF(Summary!$A$247:$A$283,$A2827,Summary!$L$247:$L$283)+SUMIF(Summary!$A$297:$A$333,$A2827,Summary!$L$297:$L$333))-AK2827,0)</f>
        <v>0</v>
      </c>
      <c r="AM2827" s="198"/>
      <c r="AN2827" s="196">
        <f t="shared" ca="1" si="628"/>
        <v>0</v>
      </c>
      <c r="AO2827" s="196">
        <f t="shared" ca="1" si="629"/>
        <v>0</v>
      </c>
    </row>
    <row r="2828" spans="1:41">
      <c r="A2828" s="189">
        <v>10115</v>
      </c>
      <c r="B2828" s="190">
        <v>5</v>
      </c>
      <c r="C2828" s="191" t="s">
        <v>229</v>
      </c>
      <c r="D2828" s="192">
        <f t="shared" si="616"/>
        <v>0</v>
      </c>
      <c r="E2828" s="192">
        <f t="shared" si="617"/>
        <v>0</v>
      </c>
      <c r="F2828" s="192">
        <f t="shared" si="618"/>
        <v>0</v>
      </c>
      <c r="G2828" s="193">
        <f t="shared" si="619"/>
        <v>0</v>
      </c>
      <c r="H2828" s="194">
        <v>0</v>
      </c>
      <c r="I2828" s="194">
        <v>0</v>
      </c>
      <c r="J2828" s="194">
        <v>0</v>
      </c>
      <c r="K2828" s="193">
        <f t="shared" si="620"/>
        <v>0</v>
      </c>
      <c r="L2828" s="194">
        <v>0</v>
      </c>
      <c r="M2828" s="194">
        <v>0</v>
      </c>
      <c r="N2828" s="194">
        <v>0</v>
      </c>
      <c r="O2828" s="193">
        <f t="shared" si="621"/>
        <v>0</v>
      </c>
      <c r="P2828" s="194">
        <v>0</v>
      </c>
      <c r="Q2828" s="194">
        <v>0</v>
      </c>
      <c r="R2828" s="194">
        <v>0</v>
      </c>
      <c r="S2828" s="193">
        <f t="shared" si="622"/>
        <v>0</v>
      </c>
      <c r="T2828" s="193">
        <f t="shared" si="623"/>
        <v>0</v>
      </c>
      <c r="U2828" s="193">
        <f ca="1">OFFSET('Expenditure Study'!$B$7,'Operations Support'!$C2828,'Operations Support'!$B2828)*$G2828</f>
        <v>0</v>
      </c>
      <c r="V2828" s="199">
        <f ca="1">U2828*'Expenditure Study'!$B$31</f>
        <v>0</v>
      </c>
      <c r="W2828" s="199">
        <f ca="1">IF(A2828=10298,1.51,1)*IF($B2828&lt;3,$D2828*'Expenditure Study'!$B$32*OFFSET('Expenditure Study'!$B$7,'Operations Support'!$C2828,'Operations Support'!$B2828),0)</f>
        <v>0</v>
      </c>
      <c r="X2828" s="200">
        <f ca="1">W2828*'Expenditure Study'!$B$31</f>
        <v>0</v>
      </c>
      <c r="Y2828" s="199">
        <f ca="1">U2828*'Expenditure Study'!$B$31</f>
        <v>0</v>
      </c>
      <c r="Z2828" s="200">
        <f ca="1">W2828*'Expenditure Study'!$B$31</f>
        <v>0</v>
      </c>
      <c r="AA2828" s="195">
        <f t="shared" ca="1" si="624"/>
        <v>0</v>
      </c>
      <c r="AB2828" s="195">
        <f t="shared" ca="1" si="625"/>
        <v>0</v>
      </c>
      <c r="AD2828" s="196">
        <f>IFERROR($G2828/SUMIF($A:$A,$A2828,$G:$G)*SUMIF(Summary!$A$166:$A$242,$A2828,Summary!$P$166:$P$242),0)</f>
        <v>0</v>
      </c>
      <c r="AE2828" s="197">
        <f t="shared" ca="1" si="626"/>
        <v>0</v>
      </c>
      <c r="AF2828" s="196">
        <f>IFERROR(G2828/SUMIF(A:A,A2828,G:G)*SUMIF(Summary!$A$166:$A$242,'Operations Support'!A2828,Summary!$Q$166:$Q$242),0)</f>
        <v>0</v>
      </c>
      <c r="AG2828" s="196">
        <f t="shared" ca="1" si="627"/>
        <v>0</v>
      </c>
      <c r="AI2828" s="196">
        <f>IFERROR($G2828/SUMIF($A:$A,$A2828,$G:$G)*SUMIF(Summary!$A$247:$A$283,$A2828,Summary!$P$247:$P$283),0)</f>
        <v>0</v>
      </c>
      <c r="AJ2828" s="196">
        <f>IFERROR($G2828/SUMIF($A:$A,$A2828,$G:$G)*(SUMIF(Summary!$A$247:$A$283,$A2828,Summary!$L$247:$L$283)+SUMIF(Summary!$A$297:$A$333,$A2828,Summary!$L$297:$L$333))-AI2828,0)</f>
        <v>0</v>
      </c>
      <c r="AK2828" s="196">
        <f>IFERROR($G2828/SUMIF($A:$A,$A2828,$G:$G)*SUMIF(Summary!$A$247:$A$283,$A2828,Summary!$Q$247:$Q$283),0)</f>
        <v>0</v>
      </c>
      <c r="AL2828" s="196">
        <f>IFERROR($G2828/SUMIF($A:$A,$A2828,$G:$G)*(SUMIF(Summary!$A$247:$A$283,$A2828,Summary!$L$247:$L$283)+SUMIF(Summary!$A$297:$A$333,$A2828,Summary!$L$297:$L$333))-AK2828,0)</f>
        <v>0</v>
      </c>
      <c r="AM2828" s="198"/>
      <c r="AN2828" s="196">
        <f t="shared" ca="1" si="628"/>
        <v>0</v>
      </c>
      <c r="AO2828" s="196">
        <f t="shared" ca="1" si="629"/>
        <v>0</v>
      </c>
    </row>
    <row r="2829" spans="1:41">
      <c r="A2829" s="189">
        <v>10115</v>
      </c>
      <c r="B2829" s="190">
        <v>5</v>
      </c>
      <c r="C2829" s="191" t="s">
        <v>230</v>
      </c>
      <c r="D2829" s="192">
        <f t="shared" si="616"/>
        <v>0</v>
      </c>
      <c r="E2829" s="192">
        <f t="shared" si="617"/>
        <v>0</v>
      </c>
      <c r="F2829" s="192">
        <f t="shared" si="618"/>
        <v>0</v>
      </c>
      <c r="G2829" s="193">
        <f t="shared" si="619"/>
        <v>0</v>
      </c>
      <c r="H2829" s="194">
        <v>0</v>
      </c>
      <c r="I2829" s="194">
        <v>0</v>
      </c>
      <c r="J2829" s="194">
        <v>0</v>
      </c>
      <c r="K2829" s="193">
        <f t="shared" si="620"/>
        <v>0</v>
      </c>
      <c r="L2829" s="194">
        <v>0</v>
      </c>
      <c r="M2829" s="194">
        <v>0</v>
      </c>
      <c r="N2829" s="194">
        <v>0</v>
      </c>
      <c r="O2829" s="193">
        <f t="shared" si="621"/>
        <v>0</v>
      </c>
      <c r="P2829" s="194">
        <v>0</v>
      </c>
      <c r="Q2829" s="194">
        <v>0</v>
      </c>
      <c r="R2829" s="194">
        <v>0</v>
      </c>
      <c r="S2829" s="193">
        <f t="shared" si="622"/>
        <v>0</v>
      </c>
      <c r="T2829" s="193">
        <f t="shared" si="623"/>
        <v>0</v>
      </c>
      <c r="U2829" s="193">
        <f ca="1">OFFSET('Expenditure Study'!$B$7,'Operations Support'!$C2829,'Operations Support'!$B2829)*$G2829</f>
        <v>0</v>
      </c>
      <c r="V2829" s="199">
        <f ca="1">U2829*'Expenditure Study'!$B$31</f>
        <v>0</v>
      </c>
      <c r="W2829" s="199">
        <f ca="1">IF(A2829=10298,1.51,1)*IF($B2829&lt;3,$D2829*'Expenditure Study'!$B$32*OFFSET('Expenditure Study'!$B$7,'Operations Support'!$C2829,'Operations Support'!$B2829),0)</f>
        <v>0</v>
      </c>
      <c r="X2829" s="200">
        <f ca="1">W2829*'Expenditure Study'!$B$31</f>
        <v>0</v>
      </c>
      <c r="Y2829" s="199">
        <f ca="1">U2829*'Expenditure Study'!$B$31</f>
        <v>0</v>
      </c>
      <c r="Z2829" s="200">
        <f ca="1">W2829*'Expenditure Study'!$B$31</f>
        <v>0</v>
      </c>
      <c r="AA2829" s="195">
        <f t="shared" ca="1" si="624"/>
        <v>0</v>
      </c>
      <c r="AB2829" s="195">
        <f t="shared" ca="1" si="625"/>
        <v>0</v>
      </c>
      <c r="AD2829" s="196">
        <f>IFERROR($G2829/SUMIF($A:$A,$A2829,$G:$G)*SUMIF(Summary!$A$166:$A$242,$A2829,Summary!$P$166:$P$242),0)</f>
        <v>0</v>
      </c>
      <c r="AE2829" s="197">
        <f t="shared" ca="1" si="626"/>
        <v>0</v>
      </c>
      <c r="AF2829" s="196">
        <f>IFERROR(G2829/SUMIF(A:A,A2829,G:G)*SUMIF(Summary!$A$166:$A$242,'Operations Support'!A2829,Summary!$Q$166:$Q$242),0)</f>
        <v>0</v>
      </c>
      <c r="AG2829" s="196">
        <f t="shared" ca="1" si="627"/>
        <v>0</v>
      </c>
      <c r="AI2829" s="196">
        <f>IFERROR($G2829/SUMIF($A:$A,$A2829,$G:$G)*SUMIF(Summary!$A$247:$A$283,$A2829,Summary!$P$247:$P$283),0)</f>
        <v>0</v>
      </c>
      <c r="AJ2829" s="196">
        <f>IFERROR($G2829/SUMIF($A:$A,$A2829,$G:$G)*(SUMIF(Summary!$A$247:$A$283,$A2829,Summary!$L$247:$L$283)+SUMIF(Summary!$A$297:$A$333,$A2829,Summary!$L$297:$L$333))-AI2829,0)</f>
        <v>0</v>
      </c>
      <c r="AK2829" s="196">
        <f>IFERROR($G2829/SUMIF($A:$A,$A2829,$G:$G)*SUMIF(Summary!$A$247:$A$283,$A2829,Summary!$Q$247:$Q$283),0)</f>
        <v>0</v>
      </c>
      <c r="AL2829" s="196">
        <f>IFERROR($G2829/SUMIF($A:$A,$A2829,$G:$G)*(SUMIF(Summary!$A$247:$A$283,$A2829,Summary!$L$247:$L$283)+SUMIF(Summary!$A$297:$A$333,$A2829,Summary!$L$297:$L$333))-AK2829,0)</f>
        <v>0</v>
      </c>
      <c r="AM2829" s="198"/>
      <c r="AN2829" s="196">
        <f t="shared" ca="1" si="628"/>
        <v>0</v>
      </c>
      <c r="AO2829" s="196">
        <f t="shared" ca="1" si="629"/>
        <v>0</v>
      </c>
    </row>
    <row r="2830" spans="1:41">
      <c r="A2830" s="189">
        <v>10115</v>
      </c>
      <c r="B2830" s="190">
        <v>5</v>
      </c>
      <c r="C2830" s="191" t="s">
        <v>231</v>
      </c>
      <c r="D2830" s="192">
        <f t="shared" si="616"/>
        <v>0</v>
      </c>
      <c r="E2830" s="192">
        <f t="shared" si="617"/>
        <v>0</v>
      </c>
      <c r="F2830" s="192">
        <f t="shared" si="618"/>
        <v>0</v>
      </c>
      <c r="G2830" s="193">
        <f t="shared" si="619"/>
        <v>0</v>
      </c>
      <c r="H2830" s="194">
        <v>0</v>
      </c>
      <c r="I2830" s="194">
        <v>0</v>
      </c>
      <c r="J2830" s="194">
        <v>0</v>
      </c>
      <c r="K2830" s="193">
        <f t="shared" si="620"/>
        <v>0</v>
      </c>
      <c r="L2830" s="194">
        <v>0</v>
      </c>
      <c r="M2830" s="194">
        <v>0</v>
      </c>
      <c r="N2830" s="194">
        <v>0</v>
      </c>
      <c r="O2830" s="193">
        <f t="shared" si="621"/>
        <v>0</v>
      </c>
      <c r="P2830" s="194">
        <v>0</v>
      </c>
      <c r="Q2830" s="194">
        <v>0</v>
      </c>
      <c r="R2830" s="194">
        <v>0</v>
      </c>
      <c r="S2830" s="193">
        <f t="shared" si="622"/>
        <v>0</v>
      </c>
      <c r="T2830" s="193">
        <f t="shared" si="623"/>
        <v>0</v>
      </c>
      <c r="U2830" s="193">
        <f ca="1">OFFSET('Expenditure Study'!$B$7,'Operations Support'!$C2830,'Operations Support'!$B2830)*$G2830</f>
        <v>0</v>
      </c>
      <c r="V2830" s="199">
        <f ca="1">U2830*'Expenditure Study'!$B$31</f>
        <v>0</v>
      </c>
      <c r="W2830" s="199">
        <f ca="1">IF(A2830=10298,1.51,1)*IF($B2830&lt;3,$D2830*'Expenditure Study'!$B$32*OFFSET('Expenditure Study'!$B$7,'Operations Support'!$C2830,'Operations Support'!$B2830),0)</f>
        <v>0</v>
      </c>
      <c r="X2830" s="200">
        <f ca="1">W2830*'Expenditure Study'!$B$31</f>
        <v>0</v>
      </c>
      <c r="Y2830" s="199">
        <f ca="1">U2830*'Expenditure Study'!$B$31</f>
        <v>0</v>
      </c>
      <c r="Z2830" s="200">
        <f ca="1">W2830*'Expenditure Study'!$B$31</f>
        <v>0</v>
      </c>
      <c r="AA2830" s="195">
        <f t="shared" ca="1" si="624"/>
        <v>0</v>
      </c>
      <c r="AB2830" s="195">
        <f t="shared" ca="1" si="625"/>
        <v>0</v>
      </c>
      <c r="AD2830" s="196">
        <f>IFERROR($G2830/SUMIF($A:$A,$A2830,$G:$G)*SUMIF(Summary!$A$166:$A$242,$A2830,Summary!$P$166:$P$242),0)</f>
        <v>0</v>
      </c>
      <c r="AE2830" s="197">
        <f t="shared" ca="1" si="626"/>
        <v>0</v>
      </c>
      <c r="AF2830" s="196">
        <f>IFERROR(G2830/SUMIF(A:A,A2830,G:G)*SUMIF(Summary!$A$166:$A$242,'Operations Support'!A2830,Summary!$Q$166:$Q$242),0)</f>
        <v>0</v>
      </c>
      <c r="AG2830" s="196">
        <f t="shared" ca="1" si="627"/>
        <v>0</v>
      </c>
      <c r="AI2830" s="196">
        <f>IFERROR($G2830/SUMIF($A:$A,$A2830,$G:$G)*SUMIF(Summary!$A$247:$A$283,$A2830,Summary!$P$247:$P$283),0)</f>
        <v>0</v>
      </c>
      <c r="AJ2830" s="196">
        <f>IFERROR($G2830/SUMIF($A:$A,$A2830,$G:$G)*(SUMIF(Summary!$A$247:$A$283,$A2830,Summary!$L$247:$L$283)+SUMIF(Summary!$A$297:$A$333,$A2830,Summary!$L$297:$L$333))-AI2830,0)</f>
        <v>0</v>
      </c>
      <c r="AK2830" s="196">
        <f>IFERROR($G2830/SUMIF($A:$A,$A2830,$G:$G)*SUMIF(Summary!$A$247:$A$283,$A2830,Summary!$Q$247:$Q$283),0)</f>
        <v>0</v>
      </c>
      <c r="AL2830" s="196">
        <f>IFERROR($G2830/SUMIF($A:$A,$A2830,$G:$G)*(SUMIF(Summary!$A$247:$A$283,$A2830,Summary!$L$247:$L$283)+SUMIF(Summary!$A$297:$A$333,$A2830,Summary!$L$297:$L$333))-AK2830,0)</f>
        <v>0</v>
      </c>
      <c r="AM2830" s="198"/>
      <c r="AN2830" s="196">
        <f t="shared" ca="1" si="628"/>
        <v>0</v>
      </c>
      <c r="AO2830" s="196">
        <f t="shared" ca="1" si="629"/>
        <v>0</v>
      </c>
    </row>
    <row r="2831" spans="1:41">
      <c r="A2831" s="189">
        <v>10115</v>
      </c>
      <c r="B2831" s="190">
        <v>5</v>
      </c>
      <c r="C2831" s="191" t="s">
        <v>232</v>
      </c>
      <c r="D2831" s="192">
        <f t="shared" si="616"/>
        <v>0</v>
      </c>
      <c r="E2831" s="192">
        <f t="shared" si="617"/>
        <v>0</v>
      </c>
      <c r="F2831" s="192">
        <f t="shared" si="618"/>
        <v>0</v>
      </c>
      <c r="G2831" s="193">
        <f t="shared" si="619"/>
        <v>0</v>
      </c>
      <c r="H2831" s="194">
        <v>0</v>
      </c>
      <c r="I2831" s="194">
        <v>0</v>
      </c>
      <c r="J2831" s="194">
        <v>0</v>
      </c>
      <c r="K2831" s="193">
        <f t="shared" si="620"/>
        <v>0</v>
      </c>
      <c r="L2831" s="194">
        <v>0</v>
      </c>
      <c r="M2831" s="194">
        <v>0</v>
      </c>
      <c r="N2831" s="194">
        <v>0</v>
      </c>
      <c r="O2831" s="193">
        <f t="shared" si="621"/>
        <v>0</v>
      </c>
      <c r="P2831" s="194">
        <v>0</v>
      </c>
      <c r="Q2831" s="194">
        <v>0</v>
      </c>
      <c r="R2831" s="194">
        <v>0</v>
      </c>
      <c r="S2831" s="193">
        <f t="shared" si="622"/>
        <v>0</v>
      </c>
      <c r="T2831" s="193">
        <f t="shared" si="623"/>
        <v>0</v>
      </c>
      <c r="U2831" s="193">
        <f ca="1">OFFSET('Expenditure Study'!$B$7,'Operations Support'!$C2831,'Operations Support'!$B2831)*$G2831</f>
        <v>0</v>
      </c>
      <c r="V2831" s="199">
        <f ca="1">U2831*'Expenditure Study'!$B$31</f>
        <v>0</v>
      </c>
      <c r="W2831" s="199">
        <f ca="1">IF(A2831=10298,1.51,1)*IF($B2831&lt;3,$D2831*'Expenditure Study'!$B$32*OFFSET('Expenditure Study'!$B$7,'Operations Support'!$C2831,'Operations Support'!$B2831),0)</f>
        <v>0</v>
      </c>
      <c r="X2831" s="200">
        <f ca="1">W2831*'Expenditure Study'!$B$31</f>
        <v>0</v>
      </c>
      <c r="Y2831" s="199">
        <f ca="1">U2831*'Expenditure Study'!$B$31</f>
        <v>0</v>
      </c>
      <c r="Z2831" s="200">
        <f ca="1">W2831*'Expenditure Study'!$B$31</f>
        <v>0</v>
      </c>
      <c r="AA2831" s="195">
        <f t="shared" ca="1" si="624"/>
        <v>0</v>
      </c>
      <c r="AB2831" s="195">
        <f t="shared" ca="1" si="625"/>
        <v>0</v>
      </c>
      <c r="AD2831" s="196">
        <f>IFERROR($G2831/SUMIF($A:$A,$A2831,$G:$G)*SUMIF(Summary!$A$166:$A$242,$A2831,Summary!$P$166:$P$242),0)</f>
        <v>0</v>
      </c>
      <c r="AE2831" s="197">
        <f t="shared" ca="1" si="626"/>
        <v>0</v>
      </c>
      <c r="AF2831" s="196">
        <f>IFERROR(G2831/SUMIF(A:A,A2831,G:G)*SUMIF(Summary!$A$166:$A$242,'Operations Support'!A2831,Summary!$Q$166:$Q$242),0)</f>
        <v>0</v>
      </c>
      <c r="AG2831" s="196">
        <f t="shared" ca="1" si="627"/>
        <v>0</v>
      </c>
      <c r="AI2831" s="196">
        <f>IFERROR($G2831/SUMIF($A:$A,$A2831,$G:$G)*SUMIF(Summary!$A$247:$A$283,$A2831,Summary!$P$247:$P$283),0)</f>
        <v>0</v>
      </c>
      <c r="AJ2831" s="196">
        <f>IFERROR($G2831/SUMIF($A:$A,$A2831,$G:$G)*(SUMIF(Summary!$A$247:$A$283,$A2831,Summary!$L$247:$L$283)+SUMIF(Summary!$A$297:$A$333,$A2831,Summary!$L$297:$L$333))-AI2831,0)</f>
        <v>0</v>
      </c>
      <c r="AK2831" s="196">
        <f>IFERROR($G2831/SUMIF($A:$A,$A2831,$G:$G)*SUMIF(Summary!$A$247:$A$283,$A2831,Summary!$Q$247:$Q$283),0)</f>
        <v>0</v>
      </c>
      <c r="AL2831" s="196">
        <f>IFERROR($G2831/SUMIF($A:$A,$A2831,$G:$G)*(SUMIF(Summary!$A$247:$A$283,$A2831,Summary!$L$247:$L$283)+SUMIF(Summary!$A$297:$A$333,$A2831,Summary!$L$297:$L$333))-AK2831,0)</f>
        <v>0</v>
      </c>
      <c r="AM2831" s="198"/>
      <c r="AN2831" s="196">
        <f t="shared" ca="1" si="628"/>
        <v>0</v>
      </c>
      <c r="AO2831" s="196">
        <f t="shared" ca="1" si="629"/>
        <v>0</v>
      </c>
    </row>
    <row r="2832" spans="1:41">
      <c r="A2832" s="189">
        <v>10115</v>
      </c>
      <c r="B2832" s="190">
        <v>5</v>
      </c>
      <c r="C2832" s="191" t="s">
        <v>233</v>
      </c>
      <c r="D2832" s="192">
        <f t="shared" si="616"/>
        <v>0</v>
      </c>
      <c r="E2832" s="192">
        <f t="shared" si="617"/>
        <v>0</v>
      </c>
      <c r="F2832" s="192">
        <f t="shared" si="618"/>
        <v>0</v>
      </c>
      <c r="G2832" s="193">
        <f t="shared" si="619"/>
        <v>0</v>
      </c>
      <c r="H2832" s="194">
        <v>0</v>
      </c>
      <c r="I2832" s="194">
        <v>0</v>
      </c>
      <c r="J2832" s="194">
        <v>0</v>
      </c>
      <c r="K2832" s="193">
        <f t="shared" si="620"/>
        <v>0</v>
      </c>
      <c r="L2832" s="194">
        <v>0</v>
      </c>
      <c r="M2832" s="194">
        <v>0</v>
      </c>
      <c r="N2832" s="194">
        <v>0</v>
      </c>
      <c r="O2832" s="193">
        <f t="shared" si="621"/>
        <v>0</v>
      </c>
      <c r="P2832" s="194">
        <v>0</v>
      </c>
      <c r="Q2832" s="194">
        <v>0</v>
      </c>
      <c r="R2832" s="194">
        <v>0</v>
      </c>
      <c r="S2832" s="193">
        <f t="shared" si="622"/>
        <v>0</v>
      </c>
      <c r="T2832" s="193">
        <f t="shared" si="623"/>
        <v>0</v>
      </c>
      <c r="U2832" s="193">
        <f ca="1">OFFSET('Expenditure Study'!$B$7,'Operations Support'!$C2832,'Operations Support'!$B2832)*$G2832</f>
        <v>0</v>
      </c>
      <c r="V2832" s="199">
        <f ca="1">U2832*'Expenditure Study'!$B$31</f>
        <v>0</v>
      </c>
      <c r="W2832" s="199">
        <f ca="1">IF(A2832=10298,1.51,1)*IF($B2832&lt;3,$D2832*'Expenditure Study'!$B$32*OFFSET('Expenditure Study'!$B$7,'Operations Support'!$C2832,'Operations Support'!$B2832),0)</f>
        <v>0</v>
      </c>
      <c r="X2832" s="200">
        <f ca="1">W2832*'Expenditure Study'!$B$31</f>
        <v>0</v>
      </c>
      <c r="Y2832" s="199">
        <f ca="1">U2832*'Expenditure Study'!$B$31</f>
        <v>0</v>
      </c>
      <c r="Z2832" s="200">
        <f ca="1">W2832*'Expenditure Study'!$B$31</f>
        <v>0</v>
      </c>
      <c r="AA2832" s="195">
        <f t="shared" ca="1" si="624"/>
        <v>0</v>
      </c>
      <c r="AB2832" s="195">
        <f t="shared" ca="1" si="625"/>
        <v>0</v>
      </c>
      <c r="AD2832" s="196">
        <f>IFERROR($G2832/SUMIF($A:$A,$A2832,$G:$G)*SUMIF(Summary!$A$166:$A$242,$A2832,Summary!$P$166:$P$242),0)</f>
        <v>0</v>
      </c>
      <c r="AE2832" s="197">
        <f t="shared" ca="1" si="626"/>
        <v>0</v>
      </c>
      <c r="AF2832" s="196">
        <f>IFERROR(G2832/SUMIF(A:A,A2832,G:G)*SUMIF(Summary!$A$166:$A$242,'Operations Support'!A2832,Summary!$Q$166:$Q$242),0)</f>
        <v>0</v>
      </c>
      <c r="AG2832" s="196">
        <f t="shared" ca="1" si="627"/>
        <v>0</v>
      </c>
      <c r="AI2832" s="196">
        <f>IFERROR($G2832/SUMIF($A:$A,$A2832,$G:$G)*SUMIF(Summary!$A$247:$A$283,$A2832,Summary!$P$247:$P$283),0)</f>
        <v>0</v>
      </c>
      <c r="AJ2832" s="196">
        <f>IFERROR($G2832/SUMIF($A:$A,$A2832,$G:$G)*(SUMIF(Summary!$A$247:$A$283,$A2832,Summary!$L$247:$L$283)+SUMIF(Summary!$A$297:$A$333,$A2832,Summary!$L$297:$L$333))-AI2832,0)</f>
        <v>0</v>
      </c>
      <c r="AK2832" s="196">
        <f>IFERROR($G2832/SUMIF($A:$A,$A2832,$G:$G)*SUMIF(Summary!$A$247:$A$283,$A2832,Summary!$Q$247:$Q$283),0)</f>
        <v>0</v>
      </c>
      <c r="AL2832" s="196">
        <f>IFERROR($G2832/SUMIF($A:$A,$A2832,$G:$G)*(SUMIF(Summary!$A$247:$A$283,$A2832,Summary!$L$247:$L$283)+SUMIF(Summary!$A$297:$A$333,$A2832,Summary!$L$297:$L$333))-AK2832,0)</f>
        <v>0</v>
      </c>
      <c r="AM2832" s="198"/>
      <c r="AN2832" s="196">
        <f t="shared" ca="1" si="628"/>
        <v>0</v>
      </c>
      <c r="AO2832" s="196">
        <f t="shared" ca="1" si="629"/>
        <v>0</v>
      </c>
    </row>
    <row r="2833" spans="1:41">
      <c r="A2833" s="189">
        <v>10115</v>
      </c>
      <c r="B2833" s="190">
        <v>5</v>
      </c>
      <c r="C2833" s="191" t="s">
        <v>234</v>
      </c>
      <c r="D2833" s="192">
        <f t="shared" si="616"/>
        <v>0</v>
      </c>
      <c r="E2833" s="192">
        <f t="shared" si="617"/>
        <v>0</v>
      </c>
      <c r="F2833" s="192">
        <f t="shared" si="618"/>
        <v>0</v>
      </c>
      <c r="G2833" s="193">
        <f t="shared" si="619"/>
        <v>0</v>
      </c>
      <c r="H2833" s="194">
        <v>0</v>
      </c>
      <c r="I2833" s="194">
        <v>0</v>
      </c>
      <c r="J2833" s="194">
        <v>0</v>
      </c>
      <c r="K2833" s="193">
        <f t="shared" si="620"/>
        <v>0</v>
      </c>
      <c r="L2833" s="194">
        <v>0</v>
      </c>
      <c r="M2833" s="194">
        <v>0</v>
      </c>
      <c r="N2833" s="194">
        <v>0</v>
      </c>
      <c r="O2833" s="193">
        <f t="shared" si="621"/>
        <v>0</v>
      </c>
      <c r="P2833" s="194">
        <v>0</v>
      </c>
      <c r="Q2833" s="194">
        <v>0</v>
      </c>
      <c r="R2833" s="194">
        <v>0</v>
      </c>
      <c r="S2833" s="193">
        <f t="shared" si="622"/>
        <v>0</v>
      </c>
      <c r="T2833" s="193">
        <f t="shared" si="623"/>
        <v>0</v>
      </c>
      <c r="U2833" s="193">
        <f ca="1">OFFSET('Expenditure Study'!$B$7,'Operations Support'!$C2833,'Operations Support'!$B2833)*$G2833</f>
        <v>0</v>
      </c>
      <c r="V2833" s="199">
        <f ca="1">U2833*'Expenditure Study'!$B$31</f>
        <v>0</v>
      </c>
      <c r="W2833" s="199">
        <f ca="1">IF(A2833=10298,1.51,1)*IF($B2833&lt;3,$D2833*'Expenditure Study'!$B$32*OFFSET('Expenditure Study'!$B$7,'Operations Support'!$C2833,'Operations Support'!$B2833),0)</f>
        <v>0</v>
      </c>
      <c r="X2833" s="200">
        <f ca="1">W2833*'Expenditure Study'!$B$31</f>
        <v>0</v>
      </c>
      <c r="Y2833" s="199">
        <f ca="1">U2833*'Expenditure Study'!$B$31</f>
        <v>0</v>
      </c>
      <c r="Z2833" s="200">
        <f ca="1">W2833*'Expenditure Study'!$B$31</f>
        <v>0</v>
      </c>
      <c r="AA2833" s="195">
        <f t="shared" ca="1" si="624"/>
        <v>0</v>
      </c>
      <c r="AB2833" s="195">
        <f t="shared" ca="1" si="625"/>
        <v>0</v>
      </c>
      <c r="AD2833" s="196">
        <f>IFERROR($G2833/SUMIF($A:$A,$A2833,$G:$G)*SUMIF(Summary!$A$166:$A$242,$A2833,Summary!$P$166:$P$242),0)</f>
        <v>0</v>
      </c>
      <c r="AE2833" s="197">
        <f t="shared" ca="1" si="626"/>
        <v>0</v>
      </c>
      <c r="AF2833" s="196">
        <f>IFERROR(G2833/SUMIF(A:A,A2833,G:G)*SUMIF(Summary!$A$166:$A$242,'Operations Support'!A2833,Summary!$Q$166:$Q$242),0)</f>
        <v>0</v>
      </c>
      <c r="AG2833" s="196">
        <f t="shared" ca="1" si="627"/>
        <v>0</v>
      </c>
      <c r="AI2833" s="196">
        <f>IFERROR($G2833/SUMIF($A:$A,$A2833,$G:$G)*SUMIF(Summary!$A$247:$A$283,$A2833,Summary!$P$247:$P$283),0)</f>
        <v>0</v>
      </c>
      <c r="AJ2833" s="196">
        <f>IFERROR($G2833/SUMIF($A:$A,$A2833,$G:$G)*(SUMIF(Summary!$A$247:$A$283,$A2833,Summary!$L$247:$L$283)+SUMIF(Summary!$A$297:$A$333,$A2833,Summary!$L$297:$L$333))-AI2833,0)</f>
        <v>0</v>
      </c>
      <c r="AK2833" s="196">
        <f>IFERROR($G2833/SUMIF($A:$A,$A2833,$G:$G)*SUMIF(Summary!$A$247:$A$283,$A2833,Summary!$Q$247:$Q$283),0)</f>
        <v>0</v>
      </c>
      <c r="AL2833" s="196">
        <f>IFERROR($G2833/SUMIF($A:$A,$A2833,$G:$G)*(SUMIF(Summary!$A$247:$A$283,$A2833,Summary!$L$247:$L$283)+SUMIF(Summary!$A$297:$A$333,$A2833,Summary!$L$297:$L$333))-AK2833,0)</f>
        <v>0</v>
      </c>
      <c r="AM2833" s="198"/>
      <c r="AN2833" s="196">
        <f t="shared" ca="1" si="628"/>
        <v>0</v>
      </c>
      <c r="AO2833" s="196">
        <f t="shared" ca="1" si="629"/>
        <v>0</v>
      </c>
    </row>
    <row r="2834" spans="1:41">
      <c r="A2834" s="189">
        <v>10115</v>
      </c>
      <c r="B2834" s="190">
        <v>5</v>
      </c>
      <c r="C2834" s="191" t="s">
        <v>235</v>
      </c>
      <c r="D2834" s="192">
        <f t="shared" si="616"/>
        <v>0</v>
      </c>
      <c r="E2834" s="192">
        <f t="shared" si="617"/>
        <v>0</v>
      </c>
      <c r="F2834" s="192">
        <f t="shared" si="618"/>
        <v>0</v>
      </c>
      <c r="G2834" s="193">
        <f t="shared" si="619"/>
        <v>0</v>
      </c>
      <c r="H2834" s="194">
        <v>0</v>
      </c>
      <c r="I2834" s="194">
        <v>0</v>
      </c>
      <c r="J2834" s="194">
        <v>0</v>
      </c>
      <c r="K2834" s="193">
        <f t="shared" si="620"/>
        <v>0</v>
      </c>
      <c r="L2834" s="194">
        <v>0</v>
      </c>
      <c r="M2834" s="194">
        <v>0</v>
      </c>
      <c r="N2834" s="194">
        <v>0</v>
      </c>
      <c r="O2834" s="193">
        <f t="shared" si="621"/>
        <v>0</v>
      </c>
      <c r="P2834" s="194">
        <v>0</v>
      </c>
      <c r="Q2834" s="194">
        <v>0</v>
      </c>
      <c r="R2834" s="194">
        <v>0</v>
      </c>
      <c r="S2834" s="193">
        <f t="shared" si="622"/>
        <v>0</v>
      </c>
      <c r="T2834" s="193">
        <f t="shared" si="623"/>
        <v>0</v>
      </c>
      <c r="U2834" s="193">
        <f ca="1">OFFSET('Expenditure Study'!$B$7,'Operations Support'!$C2834,'Operations Support'!$B2834)*$G2834</f>
        <v>0</v>
      </c>
      <c r="V2834" s="199">
        <f ca="1">U2834*'Expenditure Study'!$B$31</f>
        <v>0</v>
      </c>
      <c r="W2834" s="199">
        <f ca="1">IF(A2834=10298,1.51,1)*IF($B2834&lt;3,$D2834*'Expenditure Study'!$B$32*OFFSET('Expenditure Study'!$B$7,'Operations Support'!$C2834,'Operations Support'!$B2834),0)</f>
        <v>0</v>
      </c>
      <c r="X2834" s="200">
        <f ca="1">W2834*'Expenditure Study'!$B$31</f>
        <v>0</v>
      </c>
      <c r="Y2834" s="199">
        <f ca="1">U2834*'Expenditure Study'!$B$31</f>
        <v>0</v>
      </c>
      <c r="Z2834" s="200">
        <f ca="1">W2834*'Expenditure Study'!$B$31</f>
        <v>0</v>
      </c>
      <c r="AA2834" s="195">
        <f t="shared" ca="1" si="624"/>
        <v>0</v>
      </c>
      <c r="AB2834" s="195">
        <f t="shared" ca="1" si="625"/>
        <v>0</v>
      </c>
      <c r="AD2834" s="196">
        <f>IFERROR($G2834/SUMIF($A:$A,$A2834,$G:$G)*SUMIF(Summary!$A$166:$A$242,$A2834,Summary!$P$166:$P$242),0)</f>
        <v>0</v>
      </c>
      <c r="AE2834" s="197">
        <f t="shared" ca="1" si="626"/>
        <v>0</v>
      </c>
      <c r="AF2834" s="196">
        <f>IFERROR(G2834/SUMIF(A:A,A2834,G:G)*SUMIF(Summary!$A$166:$A$242,'Operations Support'!A2834,Summary!$Q$166:$Q$242),0)</f>
        <v>0</v>
      </c>
      <c r="AG2834" s="196">
        <f t="shared" ca="1" si="627"/>
        <v>0</v>
      </c>
      <c r="AI2834" s="196">
        <f>IFERROR($G2834/SUMIF($A:$A,$A2834,$G:$G)*SUMIF(Summary!$A$247:$A$283,$A2834,Summary!$P$247:$P$283),0)</f>
        <v>0</v>
      </c>
      <c r="AJ2834" s="196">
        <f>IFERROR($G2834/SUMIF($A:$A,$A2834,$G:$G)*(SUMIF(Summary!$A$247:$A$283,$A2834,Summary!$L$247:$L$283)+SUMIF(Summary!$A$297:$A$333,$A2834,Summary!$L$297:$L$333))-AI2834,0)</f>
        <v>0</v>
      </c>
      <c r="AK2834" s="196">
        <f>IFERROR($G2834/SUMIF($A:$A,$A2834,$G:$G)*SUMIF(Summary!$A$247:$A$283,$A2834,Summary!$Q$247:$Q$283),0)</f>
        <v>0</v>
      </c>
      <c r="AL2834" s="196">
        <f>IFERROR($G2834/SUMIF($A:$A,$A2834,$G:$G)*(SUMIF(Summary!$A$247:$A$283,$A2834,Summary!$L$247:$L$283)+SUMIF(Summary!$A$297:$A$333,$A2834,Summary!$L$297:$L$333))-AK2834,0)</f>
        <v>0</v>
      </c>
      <c r="AM2834" s="198"/>
      <c r="AN2834" s="196">
        <f t="shared" ca="1" si="628"/>
        <v>0</v>
      </c>
      <c r="AO2834" s="196">
        <f t="shared" ca="1" si="629"/>
        <v>0</v>
      </c>
    </row>
    <row r="2835" spans="1:41">
      <c r="A2835" s="189">
        <v>10115</v>
      </c>
      <c r="B2835" s="190">
        <v>5</v>
      </c>
      <c r="C2835" s="191" t="s">
        <v>236</v>
      </c>
      <c r="D2835" s="192">
        <f t="shared" si="616"/>
        <v>0</v>
      </c>
      <c r="E2835" s="192">
        <f t="shared" si="617"/>
        <v>0</v>
      </c>
      <c r="F2835" s="192">
        <f t="shared" si="618"/>
        <v>0</v>
      </c>
      <c r="G2835" s="193">
        <f t="shared" si="619"/>
        <v>0</v>
      </c>
      <c r="H2835" s="194">
        <v>0</v>
      </c>
      <c r="I2835" s="194">
        <v>0</v>
      </c>
      <c r="J2835" s="194">
        <v>0</v>
      </c>
      <c r="K2835" s="193">
        <f t="shared" si="620"/>
        <v>0</v>
      </c>
      <c r="L2835" s="194">
        <v>0</v>
      </c>
      <c r="M2835" s="194">
        <v>0</v>
      </c>
      <c r="N2835" s="194">
        <v>0</v>
      </c>
      <c r="O2835" s="193">
        <f t="shared" si="621"/>
        <v>0</v>
      </c>
      <c r="P2835" s="194">
        <v>0</v>
      </c>
      <c r="Q2835" s="194">
        <v>0</v>
      </c>
      <c r="R2835" s="194">
        <v>0</v>
      </c>
      <c r="S2835" s="193">
        <f t="shared" si="622"/>
        <v>0</v>
      </c>
      <c r="T2835" s="193">
        <f t="shared" si="623"/>
        <v>0</v>
      </c>
      <c r="U2835" s="193">
        <f ca="1">OFFSET('Expenditure Study'!$B$7,'Operations Support'!$C2835,'Operations Support'!$B2835)*$G2835</f>
        <v>0</v>
      </c>
      <c r="V2835" s="199">
        <f ca="1">U2835*'Expenditure Study'!$B$31</f>
        <v>0</v>
      </c>
      <c r="W2835" s="199">
        <f ca="1">IF(A2835=10298,1.51,1)*IF($B2835&lt;3,$D2835*'Expenditure Study'!$B$32*OFFSET('Expenditure Study'!$B$7,'Operations Support'!$C2835,'Operations Support'!$B2835),0)</f>
        <v>0</v>
      </c>
      <c r="X2835" s="200">
        <f ca="1">W2835*'Expenditure Study'!$B$31</f>
        <v>0</v>
      </c>
      <c r="Y2835" s="199">
        <f ca="1">U2835*'Expenditure Study'!$B$31</f>
        <v>0</v>
      </c>
      <c r="Z2835" s="200">
        <f ca="1">W2835*'Expenditure Study'!$B$31</f>
        <v>0</v>
      </c>
      <c r="AA2835" s="195">
        <f t="shared" ca="1" si="624"/>
        <v>0</v>
      </c>
      <c r="AB2835" s="195">
        <f t="shared" ca="1" si="625"/>
        <v>0</v>
      </c>
      <c r="AD2835" s="196">
        <f>IFERROR($G2835/SUMIF($A:$A,$A2835,$G:$G)*SUMIF(Summary!$A$166:$A$242,$A2835,Summary!$P$166:$P$242),0)</f>
        <v>0</v>
      </c>
      <c r="AE2835" s="197">
        <f t="shared" ca="1" si="626"/>
        <v>0</v>
      </c>
      <c r="AF2835" s="196">
        <f>IFERROR(G2835/SUMIF(A:A,A2835,G:G)*SUMIF(Summary!$A$166:$A$242,'Operations Support'!A2835,Summary!$Q$166:$Q$242),0)</f>
        <v>0</v>
      </c>
      <c r="AG2835" s="196">
        <f t="shared" ca="1" si="627"/>
        <v>0</v>
      </c>
      <c r="AI2835" s="196">
        <f>IFERROR($G2835/SUMIF($A:$A,$A2835,$G:$G)*SUMIF(Summary!$A$247:$A$283,$A2835,Summary!$P$247:$P$283),0)</f>
        <v>0</v>
      </c>
      <c r="AJ2835" s="196">
        <f>IFERROR($G2835/SUMIF($A:$A,$A2835,$G:$G)*(SUMIF(Summary!$A$247:$A$283,$A2835,Summary!$L$247:$L$283)+SUMIF(Summary!$A$297:$A$333,$A2835,Summary!$L$297:$L$333))-AI2835,0)</f>
        <v>0</v>
      </c>
      <c r="AK2835" s="196">
        <f>IFERROR($G2835/SUMIF($A:$A,$A2835,$G:$G)*SUMIF(Summary!$A$247:$A$283,$A2835,Summary!$Q$247:$Q$283),0)</f>
        <v>0</v>
      </c>
      <c r="AL2835" s="196">
        <f>IFERROR($G2835/SUMIF($A:$A,$A2835,$G:$G)*(SUMIF(Summary!$A$247:$A$283,$A2835,Summary!$L$247:$L$283)+SUMIF(Summary!$A$297:$A$333,$A2835,Summary!$L$297:$L$333))-AK2835,0)</f>
        <v>0</v>
      </c>
      <c r="AM2835" s="198"/>
      <c r="AN2835" s="196">
        <f t="shared" ca="1" si="628"/>
        <v>0</v>
      </c>
      <c r="AO2835" s="196">
        <f t="shared" ca="1" si="629"/>
        <v>0</v>
      </c>
    </row>
    <row r="2836" spans="1:41">
      <c r="A2836" s="189">
        <v>10115</v>
      </c>
      <c r="B2836" s="190">
        <v>5</v>
      </c>
      <c r="C2836" s="191" t="s">
        <v>237</v>
      </c>
      <c r="D2836" s="192">
        <f t="shared" si="616"/>
        <v>0</v>
      </c>
      <c r="E2836" s="192">
        <f t="shared" si="617"/>
        <v>0</v>
      </c>
      <c r="F2836" s="192">
        <f t="shared" si="618"/>
        <v>0</v>
      </c>
      <c r="G2836" s="193">
        <f t="shared" si="619"/>
        <v>0</v>
      </c>
      <c r="H2836" s="194">
        <v>0</v>
      </c>
      <c r="I2836" s="194">
        <v>0</v>
      </c>
      <c r="J2836" s="194">
        <v>0</v>
      </c>
      <c r="K2836" s="193">
        <f t="shared" si="620"/>
        <v>0</v>
      </c>
      <c r="L2836" s="194">
        <v>0</v>
      </c>
      <c r="M2836" s="194">
        <v>0</v>
      </c>
      <c r="N2836" s="194">
        <v>0</v>
      </c>
      <c r="O2836" s="193">
        <f t="shared" si="621"/>
        <v>0</v>
      </c>
      <c r="P2836" s="194">
        <v>0</v>
      </c>
      <c r="Q2836" s="194">
        <v>0</v>
      </c>
      <c r="R2836" s="194">
        <v>0</v>
      </c>
      <c r="S2836" s="193">
        <f t="shared" si="622"/>
        <v>0</v>
      </c>
      <c r="T2836" s="193">
        <f t="shared" si="623"/>
        <v>0</v>
      </c>
      <c r="U2836" s="193">
        <f ca="1">OFFSET('Expenditure Study'!$B$7,'Operations Support'!$C2836,'Operations Support'!$B2836)*$G2836</f>
        <v>0</v>
      </c>
      <c r="V2836" s="199">
        <f ca="1">U2836*'Expenditure Study'!$B$31</f>
        <v>0</v>
      </c>
      <c r="W2836" s="199">
        <f ca="1">IF(A2836=10298,1.51,1)*IF($B2836&lt;3,$D2836*'Expenditure Study'!$B$32*OFFSET('Expenditure Study'!$B$7,'Operations Support'!$C2836,'Operations Support'!$B2836),0)</f>
        <v>0</v>
      </c>
      <c r="X2836" s="200">
        <f ca="1">W2836*'Expenditure Study'!$B$31</f>
        <v>0</v>
      </c>
      <c r="Y2836" s="199">
        <f ca="1">U2836*'Expenditure Study'!$B$31</f>
        <v>0</v>
      </c>
      <c r="Z2836" s="200">
        <f ca="1">W2836*'Expenditure Study'!$B$31</f>
        <v>0</v>
      </c>
      <c r="AA2836" s="195">
        <f t="shared" ca="1" si="624"/>
        <v>0</v>
      </c>
      <c r="AB2836" s="195">
        <f t="shared" ca="1" si="625"/>
        <v>0</v>
      </c>
      <c r="AD2836" s="196">
        <f>IFERROR($G2836/SUMIF($A:$A,$A2836,$G:$G)*SUMIF(Summary!$A$166:$A$242,$A2836,Summary!$P$166:$P$242),0)</f>
        <v>0</v>
      </c>
      <c r="AE2836" s="197">
        <f t="shared" ca="1" si="626"/>
        <v>0</v>
      </c>
      <c r="AF2836" s="196">
        <f>IFERROR(G2836/SUMIF(A:A,A2836,G:G)*SUMIF(Summary!$A$166:$A$242,'Operations Support'!A2836,Summary!$Q$166:$Q$242),0)</f>
        <v>0</v>
      </c>
      <c r="AG2836" s="196">
        <f t="shared" ca="1" si="627"/>
        <v>0</v>
      </c>
      <c r="AI2836" s="196">
        <f>IFERROR($G2836/SUMIF($A:$A,$A2836,$G:$G)*SUMIF(Summary!$A$247:$A$283,$A2836,Summary!$P$247:$P$283),0)</f>
        <v>0</v>
      </c>
      <c r="AJ2836" s="196">
        <f>IFERROR($G2836/SUMIF($A:$A,$A2836,$G:$G)*(SUMIF(Summary!$A$247:$A$283,$A2836,Summary!$L$247:$L$283)+SUMIF(Summary!$A$297:$A$333,$A2836,Summary!$L$297:$L$333))-AI2836,0)</f>
        <v>0</v>
      </c>
      <c r="AK2836" s="196">
        <f>IFERROR($G2836/SUMIF($A:$A,$A2836,$G:$G)*SUMIF(Summary!$A$247:$A$283,$A2836,Summary!$Q$247:$Q$283),0)</f>
        <v>0</v>
      </c>
      <c r="AL2836" s="196">
        <f>IFERROR($G2836/SUMIF($A:$A,$A2836,$G:$G)*(SUMIF(Summary!$A$247:$A$283,$A2836,Summary!$L$247:$L$283)+SUMIF(Summary!$A$297:$A$333,$A2836,Summary!$L$297:$L$333))-AK2836,0)</f>
        <v>0</v>
      </c>
      <c r="AM2836" s="198"/>
      <c r="AN2836" s="196">
        <f t="shared" ca="1" si="628"/>
        <v>0</v>
      </c>
      <c r="AO2836" s="196">
        <f t="shared" ca="1" si="629"/>
        <v>0</v>
      </c>
    </row>
    <row r="2837" spans="1:41">
      <c r="A2837" s="189">
        <v>10115</v>
      </c>
      <c r="B2837" s="190">
        <v>5</v>
      </c>
      <c r="C2837" s="191" t="s">
        <v>238</v>
      </c>
      <c r="D2837" s="192">
        <f t="shared" si="616"/>
        <v>0</v>
      </c>
      <c r="E2837" s="192">
        <f t="shared" si="617"/>
        <v>0</v>
      </c>
      <c r="F2837" s="192">
        <f t="shared" si="618"/>
        <v>0</v>
      </c>
      <c r="G2837" s="193">
        <f t="shared" si="619"/>
        <v>0</v>
      </c>
      <c r="H2837" s="194">
        <v>0</v>
      </c>
      <c r="I2837" s="194">
        <v>0</v>
      </c>
      <c r="J2837" s="194">
        <v>0</v>
      </c>
      <c r="K2837" s="193">
        <f t="shared" si="620"/>
        <v>0</v>
      </c>
      <c r="L2837" s="194">
        <v>0</v>
      </c>
      <c r="M2837" s="194">
        <v>0</v>
      </c>
      <c r="N2837" s="194">
        <v>0</v>
      </c>
      <c r="O2837" s="193">
        <f t="shared" si="621"/>
        <v>0</v>
      </c>
      <c r="P2837" s="194">
        <v>0</v>
      </c>
      <c r="Q2837" s="194">
        <v>0</v>
      </c>
      <c r="R2837" s="194">
        <v>0</v>
      </c>
      <c r="S2837" s="193">
        <f t="shared" si="622"/>
        <v>0</v>
      </c>
      <c r="T2837" s="193">
        <f t="shared" si="623"/>
        <v>0</v>
      </c>
      <c r="U2837" s="193">
        <f ca="1">OFFSET('Expenditure Study'!$B$7,'Operations Support'!$C2837,'Operations Support'!$B2837)*$G2837</f>
        <v>0</v>
      </c>
      <c r="V2837" s="199">
        <f ca="1">U2837*'Expenditure Study'!$B$31</f>
        <v>0</v>
      </c>
      <c r="W2837" s="199">
        <f ca="1">IF(A2837=10298,1.51,1)*IF($B2837&lt;3,$D2837*'Expenditure Study'!$B$32*OFFSET('Expenditure Study'!$B$7,'Operations Support'!$C2837,'Operations Support'!$B2837),0)</f>
        <v>0</v>
      </c>
      <c r="X2837" s="200">
        <f ca="1">W2837*'Expenditure Study'!$B$31</f>
        <v>0</v>
      </c>
      <c r="Y2837" s="199">
        <f ca="1">U2837*'Expenditure Study'!$B$31</f>
        <v>0</v>
      </c>
      <c r="Z2837" s="200">
        <f ca="1">W2837*'Expenditure Study'!$B$31</f>
        <v>0</v>
      </c>
      <c r="AA2837" s="195">
        <f t="shared" ca="1" si="624"/>
        <v>0</v>
      </c>
      <c r="AB2837" s="195">
        <f t="shared" ca="1" si="625"/>
        <v>0</v>
      </c>
      <c r="AD2837" s="196">
        <f>IFERROR($G2837/SUMIF($A:$A,$A2837,$G:$G)*SUMIF(Summary!$A$166:$A$242,$A2837,Summary!$P$166:$P$242),0)</f>
        <v>0</v>
      </c>
      <c r="AE2837" s="197">
        <f t="shared" ca="1" si="626"/>
        <v>0</v>
      </c>
      <c r="AF2837" s="196">
        <f>IFERROR(G2837/SUMIF(A:A,A2837,G:G)*SUMIF(Summary!$A$166:$A$242,'Operations Support'!A2837,Summary!$Q$166:$Q$242),0)</f>
        <v>0</v>
      </c>
      <c r="AG2837" s="196">
        <f t="shared" ca="1" si="627"/>
        <v>0</v>
      </c>
      <c r="AI2837" s="196">
        <f>IFERROR($G2837/SUMIF($A:$A,$A2837,$G:$G)*SUMIF(Summary!$A$247:$A$283,$A2837,Summary!$P$247:$P$283),0)</f>
        <v>0</v>
      </c>
      <c r="AJ2837" s="196">
        <f>IFERROR($G2837/SUMIF($A:$A,$A2837,$G:$G)*(SUMIF(Summary!$A$247:$A$283,$A2837,Summary!$L$247:$L$283)+SUMIF(Summary!$A$297:$A$333,$A2837,Summary!$L$297:$L$333))-AI2837,0)</f>
        <v>0</v>
      </c>
      <c r="AK2837" s="196">
        <f>IFERROR($G2837/SUMIF($A:$A,$A2837,$G:$G)*SUMIF(Summary!$A$247:$A$283,$A2837,Summary!$Q$247:$Q$283),0)</f>
        <v>0</v>
      </c>
      <c r="AL2837" s="196">
        <f>IFERROR($G2837/SUMIF($A:$A,$A2837,$G:$G)*(SUMIF(Summary!$A$247:$A$283,$A2837,Summary!$L$247:$L$283)+SUMIF(Summary!$A$297:$A$333,$A2837,Summary!$L$297:$L$333))-AK2837,0)</f>
        <v>0</v>
      </c>
      <c r="AM2837" s="198"/>
      <c r="AN2837" s="196">
        <f t="shared" ca="1" si="628"/>
        <v>0</v>
      </c>
      <c r="AO2837" s="196">
        <f t="shared" ca="1" si="629"/>
        <v>0</v>
      </c>
    </row>
    <row r="2838" spans="1:41">
      <c r="A2838" s="189">
        <v>10115</v>
      </c>
      <c r="B2838" s="190">
        <v>5</v>
      </c>
      <c r="C2838" s="191" t="s">
        <v>239</v>
      </c>
      <c r="D2838" s="192">
        <f t="shared" si="616"/>
        <v>0</v>
      </c>
      <c r="E2838" s="192">
        <f t="shared" si="617"/>
        <v>0</v>
      </c>
      <c r="F2838" s="192">
        <f t="shared" si="618"/>
        <v>0</v>
      </c>
      <c r="G2838" s="193">
        <f t="shared" si="619"/>
        <v>0</v>
      </c>
      <c r="H2838" s="194">
        <v>0</v>
      </c>
      <c r="I2838" s="194">
        <v>0</v>
      </c>
      <c r="J2838" s="194">
        <v>0</v>
      </c>
      <c r="K2838" s="193">
        <f t="shared" si="620"/>
        <v>0</v>
      </c>
      <c r="L2838" s="194">
        <v>0</v>
      </c>
      <c r="M2838" s="194">
        <v>0</v>
      </c>
      <c r="N2838" s="194">
        <v>0</v>
      </c>
      <c r="O2838" s="193">
        <f t="shared" si="621"/>
        <v>0</v>
      </c>
      <c r="P2838" s="194">
        <v>0</v>
      </c>
      <c r="Q2838" s="194">
        <v>0</v>
      </c>
      <c r="R2838" s="194">
        <v>0</v>
      </c>
      <c r="S2838" s="193">
        <f t="shared" si="622"/>
        <v>0</v>
      </c>
      <c r="T2838" s="193">
        <f t="shared" si="623"/>
        <v>0</v>
      </c>
      <c r="U2838" s="193">
        <f ca="1">OFFSET('Expenditure Study'!$B$7,'Operations Support'!$C2838,'Operations Support'!$B2838)*$G2838</f>
        <v>0</v>
      </c>
      <c r="V2838" s="199">
        <f ca="1">U2838*'Expenditure Study'!$B$31</f>
        <v>0</v>
      </c>
      <c r="W2838" s="199">
        <f ca="1">IF(A2838=10298,1.51,1)*IF($B2838&lt;3,$D2838*'Expenditure Study'!$B$32*OFFSET('Expenditure Study'!$B$7,'Operations Support'!$C2838,'Operations Support'!$B2838),0)</f>
        <v>0</v>
      </c>
      <c r="X2838" s="200">
        <f ca="1">W2838*'Expenditure Study'!$B$31</f>
        <v>0</v>
      </c>
      <c r="Y2838" s="199">
        <f ca="1">U2838*'Expenditure Study'!$B$31</f>
        <v>0</v>
      </c>
      <c r="Z2838" s="200">
        <f ca="1">W2838*'Expenditure Study'!$B$31</f>
        <v>0</v>
      </c>
      <c r="AA2838" s="195">
        <f t="shared" ca="1" si="624"/>
        <v>0</v>
      </c>
      <c r="AB2838" s="195">
        <f t="shared" ca="1" si="625"/>
        <v>0</v>
      </c>
      <c r="AD2838" s="196">
        <f>IFERROR($G2838/SUMIF($A:$A,$A2838,$G:$G)*SUMIF(Summary!$A$166:$A$242,$A2838,Summary!$P$166:$P$242),0)</f>
        <v>0</v>
      </c>
      <c r="AE2838" s="197">
        <f t="shared" ca="1" si="626"/>
        <v>0</v>
      </c>
      <c r="AF2838" s="196">
        <f>IFERROR(G2838/SUMIF(A:A,A2838,G:G)*SUMIF(Summary!$A$166:$A$242,'Operations Support'!A2838,Summary!$Q$166:$Q$242),0)</f>
        <v>0</v>
      </c>
      <c r="AG2838" s="196">
        <f t="shared" ca="1" si="627"/>
        <v>0</v>
      </c>
      <c r="AI2838" s="196">
        <f>IFERROR($G2838/SUMIF($A:$A,$A2838,$G:$G)*SUMIF(Summary!$A$247:$A$283,$A2838,Summary!$P$247:$P$283),0)</f>
        <v>0</v>
      </c>
      <c r="AJ2838" s="196">
        <f>IFERROR($G2838/SUMIF($A:$A,$A2838,$G:$G)*(SUMIF(Summary!$A$247:$A$283,$A2838,Summary!$L$247:$L$283)+SUMIF(Summary!$A$297:$A$333,$A2838,Summary!$L$297:$L$333))-AI2838,0)</f>
        <v>0</v>
      </c>
      <c r="AK2838" s="196">
        <f>IFERROR($G2838/SUMIF($A:$A,$A2838,$G:$G)*SUMIF(Summary!$A$247:$A$283,$A2838,Summary!$Q$247:$Q$283),0)</f>
        <v>0</v>
      </c>
      <c r="AL2838" s="196">
        <f>IFERROR($G2838/SUMIF($A:$A,$A2838,$G:$G)*(SUMIF(Summary!$A$247:$A$283,$A2838,Summary!$L$247:$L$283)+SUMIF(Summary!$A$297:$A$333,$A2838,Summary!$L$297:$L$333))-AK2838,0)</f>
        <v>0</v>
      </c>
      <c r="AM2838" s="198"/>
      <c r="AN2838" s="196">
        <f t="shared" ca="1" si="628"/>
        <v>0</v>
      </c>
      <c r="AO2838" s="196">
        <f t="shared" ca="1" si="629"/>
        <v>0</v>
      </c>
    </row>
    <row r="2839" spans="1:41">
      <c r="A2839" s="189">
        <v>10115</v>
      </c>
      <c r="B2839" s="190">
        <v>5</v>
      </c>
      <c r="C2839" s="191" t="s">
        <v>240</v>
      </c>
      <c r="D2839" s="192">
        <f t="shared" si="616"/>
        <v>0</v>
      </c>
      <c r="E2839" s="192">
        <f t="shared" si="617"/>
        <v>0</v>
      </c>
      <c r="F2839" s="192">
        <f t="shared" si="618"/>
        <v>0</v>
      </c>
      <c r="G2839" s="193">
        <f t="shared" si="619"/>
        <v>0</v>
      </c>
      <c r="H2839" s="194">
        <v>0</v>
      </c>
      <c r="I2839" s="194">
        <v>0</v>
      </c>
      <c r="J2839" s="194">
        <v>0</v>
      </c>
      <c r="K2839" s="193">
        <f t="shared" si="620"/>
        <v>0</v>
      </c>
      <c r="L2839" s="194">
        <v>0</v>
      </c>
      <c r="M2839" s="194">
        <v>0</v>
      </c>
      <c r="N2839" s="194">
        <v>0</v>
      </c>
      <c r="O2839" s="193">
        <f t="shared" si="621"/>
        <v>0</v>
      </c>
      <c r="P2839" s="194">
        <v>0</v>
      </c>
      <c r="Q2839" s="194">
        <v>0</v>
      </c>
      <c r="R2839" s="194">
        <v>0</v>
      </c>
      <c r="S2839" s="193">
        <f t="shared" si="622"/>
        <v>0</v>
      </c>
      <c r="T2839" s="193">
        <f t="shared" si="623"/>
        <v>0</v>
      </c>
      <c r="U2839" s="193">
        <f ca="1">OFFSET('Expenditure Study'!$B$7,'Operations Support'!$C2839,'Operations Support'!$B2839)*$G2839</f>
        <v>0</v>
      </c>
      <c r="V2839" s="199">
        <f ca="1">U2839*'Expenditure Study'!$B$31</f>
        <v>0</v>
      </c>
      <c r="W2839" s="199">
        <f ca="1">IF(A2839=10298,1.51,1)*IF($B2839&lt;3,$D2839*'Expenditure Study'!$B$32*OFFSET('Expenditure Study'!$B$7,'Operations Support'!$C2839,'Operations Support'!$B2839),0)</f>
        <v>0</v>
      </c>
      <c r="X2839" s="200">
        <f ca="1">W2839*'Expenditure Study'!$B$31</f>
        <v>0</v>
      </c>
      <c r="Y2839" s="199">
        <f ca="1">U2839*'Expenditure Study'!$B$31</f>
        <v>0</v>
      </c>
      <c r="Z2839" s="200">
        <f ca="1">W2839*'Expenditure Study'!$B$31</f>
        <v>0</v>
      </c>
      <c r="AA2839" s="195">
        <f t="shared" ca="1" si="624"/>
        <v>0</v>
      </c>
      <c r="AB2839" s="195">
        <f t="shared" ca="1" si="625"/>
        <v>0</v>
      </c>
      <c r="AD2839" s="196">
        <f>IFERROR($G2839/SUMIF($A:$A,$A2839,$G:$G)*SUMIF(Summary!$A$166:$A$242,$A2839,Summary!$P$166:$P$242),0)</f>
        <v>0</v>
      </c>
      <c r="AE2839" s="197">
        <f t="shared" ca="1" si="626"/>
        <v>0</v>
      </c>
      <c r="AF2839" s="196">
        <f>IFERROR(G2839/SUMIF(A:A,A2839,G:G)*SUMIF(Summary!$A$166:$A$242,'Operations Support'!A2839,Summary!$Q$166:$Q$242),0)</f>
        <v>0</v>
      </c>
      <c r="AG2839" s="196">
        <f t="shared" ca="1" si="627"/>
        <v>0</v>
      </c>
      <c r="AI2839" s="196">
        <f>IFERROR($G2839/SUMIF($A:$A,$A2839,$G:$G)*SUMIF(Summary!$A$247:$A$283,$A2839,Summary!$P$247:$P$283),0)</f>
        <v>0</v>
      </c>
      <c r="AJ2839" s="196">
        <f>IFERROR($G2839/SUMIF($A:$A,$A2839,$G:$G)*(SUMIF(Summary!$A$247:$A$283,$A2839,Summary!$L$247:$L$283)+SUMIF(Summary!$A$297:$A$333,$A2839,Summary!$L$297:$L$333))-AI2839,0)</f>
        <v>0</v>
      </c>
      <c r="AK2839" s="196">
        <f>IFERROR($G2839/SUMIF($A:$A,$A2839,$G:$G)*SUMIF(Summary!$A$247:$A$283,$A2839,Summary!$Q$247:$Q$283),0)</f>
        <v>0</v>
      </c>
      <c r="AL2839" s="196">
        <f>IFERROR($G2839/SUMIF($A:$A,$A2839,$G:$G)*(SUMIF(Summary!$A$247:$A$283,$A2839,Summary!$L$247:$L$283)+SUMIF(Summary!$A$297:$A$333,$A2839,Summary!$L$297:$L$333))-AK2839,0)</f>
        <v>0</v>
      </c>
      <c r="AM2839" s="198"/>
      <c r="AN2839" s="196">
        <f t="shared" ca="1" si="628"/>
        <v>0</v>
      </c>
      <c r="AO2839" s="196">
        <f t="shared" ca="1" si="629"/>
        <v>0</v>
      </c>
    </row>
    <row r="2840" spans="1:41">
      <c r="A2840" s="189">
        <v>10298</v>
      </c>
      <c r="B2840" s="190">
        <v>1</v>
      </c>
      <c r="C2840" s="191" t="s">
        <v>220</v>
      </c>
      <c r="D2840" s="192">
        <f t="shared" si="616"/>
        <v>3384</v>
      </c>
      <c r="E2840" s="192">
        <f t="shared" si="617"/>
        <v>14533</v>
      </c>
      <c r="F2840" s="192">
        <f t="shared" si="618"/>
        <v>0</v>
      </c>
      <c r="G2840" s="193">
        <f t="shared" si="619"/>
        <v>27054.670000000002</v>
      </c>
      <c r="H2840" s="194">
        <v>1218</v>
      </c>
      <c r="I2840" s="194">
        <v>6277</v>
      </c>
      <c r="J2840" s="194">
        <v>0</v>
      </c>
      <c r="K2840" s="193">
        <f t="shared" si="620"/>
        <v>7495</v>
      </c>
      <c r="L2840" s="194">
        <v>2131</v>
      </c>
      <c r="M2840" s="194">
        <v>7665</v>
      </c>
      <c r="N2840" s="194">
        <v>0</v>
      </c>
      <c r="O2840" s="193">
        <f t="shared" si="621"/>
        <v>9796</v>
      </c>
      <c r="P2840" s="194">
        <v>35</v>
      </c>
      <c r="Q2840" s="194">
        <v>591</v>
      </c>
      <c r="R2840" s="194">
        <v>0</v>
      </c>
      <c r="S2840" s="193">
        <f t="shared" si="622"/>
        <v>626</v>
      </c>
      <c r="T2840" s="193">
        <f t="shared" si="623"/>
        <v>901.8223333333334</v>
      </c>
      <c r="U2840" s="193">
        <f ca="1">OFFSET('Expenditure Study'!$B$7,'Operations Support'!$C2840,'Operations Support'!$B2840)*$G2840</f>
        <v>27054.670000000002</v>
      </c>
      <c r="V2840" s="199">
        <f ca="1">U2840*'Expenditure Study'!$B$31</f>
        <v>1598475.959094336</v>
      </c>
      <c r="W2840" s="199">
        <f ca="1">IF(A2840=10298,1.51,1)*IF($B2840&lt;3,$D2840*'Expenditure Study'!$B$32*OFFSET('Expenditure Study'!$B$7,'Operations Support'!$C2840,'Operations Support'!$B2840),0)</f>
        <v>510.98400000000004</v>
      </c>
      <c r="X2840" s="200">
        <f ca="1">W2840*'Expenditure Study'!$B$31</f>
        <v>30190.560057907202</v>
      </c>
      <c r="Y2840" s="199">
        <f ca="1">U2840*'Expenditure Study'!$B$31</f>
        <v>1598475.959094336</v>
      </c>
      <c r="Z2840" s="200">
        <f ca="1">W2840*'Expenditure Study'!$B$31</f>
        <v>30190.560057907202</v>
      </c>
      <c r="AA2840" s="195">
        <f t="shared" ca="1" si="624"/>
        <v>1628666.5191522432</v>
      </c>
      <c r="AB2840" s="195">
        <f t="shared" ca="1" si="625"/>
        <v>1628666.5191522432</v>
      </c>
      <c r="AD2840" s="196">
        <f>IFERROR($G2840/SUMIF($A:$A,$A2840,$G:$G)*SUMIF(Summary!$A$166:$A$242,$A2840,Summary!$P$166:$P$242),0)</f>
        <v>861098.31579883478</v>
      </c>
      <c r="AE2840" s="197">
        <f t="shared" ca="1" si="626"/>
        <v>767568.20335340837</v>
      </c>
      <c r="AF2840" s="196">
        <f>IFERROR(G2840/SUMIF(A:A,A2840,G:G)*SUMIF(Summary!$A$166:$A$242,'Operations Support'!A2840,Summary!$Q$166:$Q$242),0)</f>
        <v>864790.92980099958</v>
      </c>
      <c r="AG2840" s="196">
        <f t="shared" ca="1" si="627"/>
        <v>763875.58935124357</v>
      </c>
      <c r="AI2840" s="196">
        <f>IFERROR($G2840/SUMIF($A:$A,$A2840,$G:$G)*SUMIF(Summary!$A$247:$A$283,$A2840,Summary!$P$247:$P$283),0)</f>
        <v>157042.84433276806</v>
      </c>
      <c r="AJ2840" s="196">
        <f>IFERROR($G2840/SUMIF($A:$A,$A2840,$G:$G)*(SUMIF(Summary!$A$247:$A$283,$A2840,Summary!$L$247:$L$283)+SUMIF(Summary!$A$297:$A$333,$A2840,Summary!$L$297:$L$333))-AI2840,0)</f>
        <v>1497218.4860561311</v>
      </c>
      <c r="AK2840" s="196">
        <f>IFERROR($G2840/SUMIF($A:$A,$A2840,$G:$G)*SUMIF(Summary!$A$247:$A$283,$A2840,Summary!$Q$247:$Q$283),0)</f>
        <v>157716.28497860767</v>
      </c>
      <c r="AL2840" s="196">
        <f>IFERROR($G2840/SUMIF($A:$A,$A2840,$G:$G)*(SUMIF(Summary!$A$247:$A$283,$A2840,Summary!$L$247:$L$283)+SUMIF(Summary!$A$297:$A$333,$A2840,Summary!$L$297:$L$333))-AK2840,0)</f>
        <v>1496545.0454102915</v>
      </c>
      <c r="AM2840" s="198"/>
      <c r="AN2840" s="196">
        <f t="shared" ca="1" si="628"/>
        <v>2264786.6894095396</v>
      </c>
      <c r="AO2840" s="196">
        <f t="shared" ca="1" si="629"/>
        <v>2260420.6347615351</v>
      </c>
    </row>
    <row r="2841" spans="1:41">
      <c r="A2841" s="189">
        <v>10298</v>
      </c>
      <c r="B2841" s="190">
        <v>1</v>
      </c>
      <c r="C2841" s="191" t="s">
        <v>221</v>
      </c>
      <c r="D2841" s="192">
        <f t="shared" si="616"/>
        <v>1253</v>
      </c>
      <c r="E2841" s="192">
        <f t="shared" si="617"/>
        <v>10877.000000000011</v>
      </c>
      <c r="F2841" s="192">
        <f t="shared" si="618"/>
        <v>0</v>
      </c>
      <c r="G2841" s="193">
        <f t="shared" si="619"/>
        <v>18316.300000000017</v>
      </c>
      <c r="H2841" s="194">
        <v>477</v>
      </c>
      <c r="I2841" s="194">
        <v>5161</v>
      </c>
      <c r="J2841" s="194">
        <v>0</v>
      </c>
      <c r="K2841" s="193">
        <f t="shared" si="620"/>
        <v>5638</v>
      </c>
      <c r="L2841" s="194">
        <v>773</v>
      </c>
      <c r="M2841" s="194">
        <v>5561.0000000000109</v>
      </c>
      <c r="N2841" s="194">
        <v>0</v>
      </c>
      <c r="O2841" s="193">
        <f t="shared" si="621"/>
        <v>6334.0000000000109</v>
      </c>
      <c r="P2841" s="194">
        <v>3</v>
      </c>
      <c r="Q2841" s="194">
        <v>155</v>
      </c>
      <c r="R2841" s="194">
        <v>0</v>
      </c>
      <c r="S2841" s="193">
        <f t="shared" si="622"/>
        <v>158</v>
      </c>
      <c r="T2841" s="193">
        <f t="shared" si="623"/>
        <v>610.54333333333386</v>
      </c>
      <c r="U2841" s="193">
        <f ca="1">OFFSET('Expenditure Study'!$B$7,'Operations Support'!$C2841,'Operations Support'!$B2841)*$G2841</f>
        <v>24543.842000000026</v>
      </c>
      <c r="V2841" s="199">
        <f ca="1">U2841*'Expenditure Study'!$B$31</f>
        <v>1450128.2544126352</v>
      </c>
      <c r="W2841" s="199">
        <f ca="1">IF(A2841=10298,1.51,1)*IF($B2841&lt;3,$D2841*'Expenditure Study'!$B$32*OFFSET('Expenditure Study'!$B$7,'Operations Support'!$C2841,'Operations Support'!$B2841),0)</f>
        <v>253.53202000000002</v>
      </c>
      <c r="X2841" s="200">
        <f ca="1">W2841*'Expenditure Study'!$B$31</f>
        <v>14979.478176249217</v>
      </c>
      <c r="Y2841" s="199">
        <f ca="1">U2841*'Expenditure Study'!$B$31</f>
        <v>1450128.2544126352</v>
      </c>
      <c r="Z2841" s="200">
        <f ca="1">W2841*'Expenditure Study'!$B$31</f>
        <v>14979.478176249217</v>
      </c>
      <c r="AA2841" s="195">
        <f t="shared" ca="1" si="624"/>
        <v>1465107.7325888844</v>
      </c>
      <c r="AB2841" s="195">
        <f t="shared" ca="1" si="625"/>
        <v>1465107.7325888844</v>
      </c>
      <c r="AD2841" s="196">
        <f>IFERROR($G2841/SUMIF($A:$A,$A2841,$G:$G)*SUMIF(Summary!$A$166:$A$242,$A2841,Summary!$P$166:$P$242),0)</f>
        <v>582972.73933358677</v>
      </c>
      <c r="AE2841" s="197">
        <f t="shared" ca="1" si="626"/>
        <v>882134.99325529765</v>
      </c>
      <c r="AF2841" s="196">
        <f>IFERROR(G2841/SUMIF(A:A,A2841,G:G)*SUMIF(Summary!$A$166:$A$242,'Operations Support'!A2841,Summary!$Q$166:$Q$242),0)</f>
        <v>585472.67837730283</v>
      </c>
      <c r="AG2841" s="196">
        <f t="shared" ca="1" si="627"/>
        <v>879635.05421158159</v>
      </c>
      <c r="AI2841" s="196">
        <f>IFERROR($G2841/SUMIF($A:$A,$A2841,$G:$G)*SUMIF(Summary!$A$247:$A$283,$A2841,Summary!$P$247:$P$283),0)</f>
        <v>106319.67973190144</v>
      </c>
      <c r="AJ2841" s="196">
        <f>IFERROR($G2841/SUMIF($A:$A,$A2841,$G:$G)*(SUMIF(Summary!$A$247:$A$283,$A2841,Summary!$L$247:$L$283)+SUMIF(Summary!$A$297:$A$333,$A2841,Summary!$L$297:$L$333))-AI2841,0)</f>
        <v>1013632.8758084993</v>
      </c>
      <c r="AK2841" s="196">
        <f>IFERROR($G2841/SUMIF($A:$A,$A2841,$G:$G)*SUMIF(Summary!$A$247:$A$283,$A2841,Summary!$Q$247:$Q$283),0)</f>
        <v>106775.6062281918</v>
      </c>
      <c r="AL2841" s="196">
        <f>IFERROR($G2841/SUMIF($A:$A,$A2841,$G:$G)*(SUMIF(Summary!$A$247:$A$283,$A2841,Summary!$L$247:$L$283)+SUMIF(Summary!$A$297:$A$333,$A2841,Summary!$L$297:$L$333))-AK2841,0)</f>
        <v>1013176.949312209</v>
      </c>
      <c r="AM2841" s="198"/>
      <c r="AN2841" s="196">
        <f t="shared" ca="1" si="628"/>
        <v>1895767.8690637969</v>
      </c>
      <c r="AO2841" s="196">
        <f t="shared" ca="1" si="629"/>
        <v>1892812.0035237907</v>
      </c>
    </row>
    <row r="2842" spans="1:41">
      <c r="A2842" s="189">
        <v>10298</v>
      </c>
      <c r="B2842" s="190">
        <v>1</v>
      </c>
      <c r="C2842" s="191" t="s">
        <v>222</v>
      </c>
      <c r="D2842" s="192">
        <f t="shared" si="616"/>
        <v>327</v>
      </c>
      <c r="E2842" s="192">
        <f t="shared" si="617"/>
        <v>1209</v>
      </c>
      <c r="F2842" s="192">
        <f t="shared" si="618"/>
        <v>0</v>
      </c>
      <c r="G2842" s="193">
        <f t="shared" si="619"/>
        <v>2319.36</v>
      </c>
      <c r="H2842" s="194">
        <v>207</v>
      </c>
      <c r="I2842" s="194">
        <v>480</v>
      </c>
      <c r="J2842" s="194">
        <v>0</v>
      </c>
      <c r="K2842" s="193">
        <f t="shared" si="620"/>
        <v>687</v>
      </c>
      <c r="L2842" s="194">
        <v>120</v>
      </c>
      <c r="M2842" s="194">
        <v>696</v>
      </c>
      <c r="N2842" s="194">
        <v>0</v>
      </c>
      <c r="O2842" s="193">
        <f t="shared" si="621"/>
        <v>816</v>
      </c>
      <c r="P2842" s="194">
        <v>0</v>
      </c>
      <c r="Q2842" s="194">
        <v>33</v>
      </c>
      <c r="R2842" s="194">
        <v>0</v>
      </c>
      <c r="S2842" s="193">
        <f t="shared" si="622"/>
        <v>33</v>
      </c>
      <c r="T2842" s="193">
        <f t="shared" si="623"/>
        <v>77.311999999999998</v>
      </c>
      <c r="U2842" s="193">
        <f ca="1">OFFSET('Expenditure Study'!$B$7,'Operations Support'!$C2842,'Operations Support'!$B2842)*$G2842</f>
        <v>3177.5232000000005</v>
      </c>
      <c r="V2842" s="199">
        <f ca="1">U2842*'Expenditure Study'!$B$31</f>
        <v>187738.17772179461</v>
      </c>
      <c r="W2842" s="199">
        <f ca="1">IF(A2842=10298,1.51,1)*IF($B2842&lt;3,$D2842*'Expenditure Study'!$B$32*OFFSET('Expenditure Study'!$B$7,'Operations Support'!$C2842,'Operations Support'!$B2842),0)</f>
        <v>67.646490000000014</v>
      </c>
      <c r="X2842" s="200">
        <f ca="1">W2842*'Expenditure Study'!$B$31</f>
        <v>3996.7697991553928</v>
      </c>
      <c r="Y2842" s="199">
        <f ca="1">U2842*'Expenditure Study'!$B$31</f>
        <v>187738.17772179461</v>
      </c>
      <c r="Z2842" s="200">
        <f ca="1">W2842*'Expenditure Study'!$B$31</f>
        <v>3996.7697991553928</v>
      </c>
      <c r="AA2842" s="195">
        <f t="shared" ca="1" si="624"/>
        <v>191734.94752094999</v>
      </c>
      <c r="AB2842" s="195">
        <f t="shared" ca="1" si="625"/>
        <v>191734.94752094999</v>
      </c>
      <c r="AD2842" s="196">
        <f>IFERROR($G2842/SUMIF($A:$A,$A2842,$G:$G)*SUMIF(Summary!$A$166:$A$242,$A2842,Summary!$P$166:$P$242),0)</f>
        <v>73820.785458894345</v>
      </c>
      <c r="AE2842" s="197">
        <f t="shared" ca="1" si="626"/>
        <v>117914.16206205565</v>
      </c>
      <c r="AF2842" s="196">
        <f>IFERROR(G2842/SUMIF(A:A,A2842,G:G)*SUMIF(Summary!$A$166:$A$242,'Operations Support'!A2842,Summary!$Q$166:$Q$242),0)</f>
        <v>74137.348226507514</v>
      </c>
      <c r="AG2842" s="196">
        <f t="shared" ca="1" si="627"/>
        <v>117597.59929444248</v>
      </c>
      <c r="AI2842" s="196">
        <f>IFERROR($G2842/SUMIF($A:$A,$A2842,$G:$G)*SUMIF(Summary!$A$247:$A$283,$A2842,Summary!$P$247:$P$283),0)</f>
        <v>13463.069090535901</v>
      </c>
      <c r="AJ2842" s="196">
        <f>IFERROR($G2842/SUMIF($A:$A,$A2842,$G:$G)*(SUMIF(Summary!$A$247:$A$283,$A2842,Summary!$L$247:$L$283)+SUMIF(Summary!$A$297:$A$333,$A2842,Summary!$L$297:$L$333))-AI2842,0)</f>
        <v>128354.50100922125</v>
      </c>
      <c r="AK2842" s="196">
        <f>IFERROR($G2842/SUMIF($A:$A,$A2842,$G:$G)*SUMIF(Summary!$A$247:$A$283,$A2842,Summary!$Q$247:$Q$283),0)</f>
        <v>13520.802239612733</v>
      </c>
      <c r="AL2842" s="196">
        <f>IFERROR($G2842/SUMIF($A:$A,$A2842,$G:$G)*(SUMIF(Summary!$A$247:$A$283,$A2842,Summary!$L$247:$L$283)+SUMIF(Summary!$A$297:$A$333,$A2842,Summary!$L$297:$L$333))-AK2842,0)</f>
        <v>128296.76786014441</v>
      </c>
      <c r="AM2842" s="198"/>
      <c r="AN2842" s="196">
        <f t="shared" ca="1" si="628"/>
        <v>246268.66307127691</v>
      </c>
      <c r="AO2842" s="196">
        <f t="shared" ca="1" si="629"/>
        <v>245894.36715458689</v>
      </c>
    </row>
    <row r="2843" spans="1:41">
      <c r="A2843" s="189">
        <v>10298</v>
      </c>
      <c r="B2843" s="190">
        <v>1</v>
      </c>
      <c r="C2843" s="191" t="s">
        <v>223</v>
      </c>
      <c r="D2843" s="192">
        <f t="shared" si="616"/>
        <v>0</v>
      </c>
      <c r="E2843" s="192">
        <f t="shared" si="617"/>
        <v>0</v>
      </c>
      <c r="F2843" s="192">
        <f t="shared" si="618"/>
        <v>0</v>
      </c>
      <c r="G2843" s="193">
        <f t="shared" si="619"/>
        <v>0</v>
      </c>
      <c r="H2843" s="194">
        <v>0</v>
      </c>
      <c r="I2843" s="194">
        <v>0</v>
      </c>
      <c r="J2843" s="194">
        <v>0</v>
      </c>
      <c r="K2843" s="193">
        <f t="shared" si="620"/>
        <v>0</v>
      </c>
      <c r="L2843" s="194">
        <v>0</v>
      </c>
      <c r="M2843" s="194">
        <v>0</v>
      </c>
      <c r="N2843" s="194">
        <v>0</v>
      </c>
      <c r="O2843" s="193">
        <f t="shared" si="621"/>
        <v>0</v>
      </c>
      <c r="P2843" s="194">
        <v>0</v>
      </c>
      <c r="Q2843" s="194">
        <v>0</v>
      </c>
      <c r="R2843" s="194">
        <v>0</v>
      </c>
      <c r="S2843" s="193">
        <f t="shared" si="622"/>
        <v>0</v>
      </c>
      <c r="T2843" s="193">
        <f t="shared" si="623"/>
        <v>0</v>
      </c>
      <c r="U2843" s="193">
        <f ca="1">OFFSET('Expenditure Study'!$B$7,'Operations Support'!$C2843,'Operations Support'!$B2843)*$G2843</f>
        <v>0</v>
      </c>
      <c r="V2843" s="199">
        <f ca="1">U2843*'Expenditure Study'!$B$31</f>
        <v>0</v>
      </c>
      <c r="W2843" s="199">
        <f ca="1">IF(A2843=10298,1.51,1)*IF($B2843&lt;3,$D2843*'Expenditure Study'!$B$32*OFFSET('Expenditure Study'!$B$7,'Operations Support'!$C2843,'Operations Support'!$B2843),0)</f>
        <v>0</v>
      </c>
      <c r="X2843" s="200">
        <f ca="1">W2843*'Expenditure Study'!$B$31</f>
        <v>0</v>
      </c>
      <c r="Y2843" s="199">
        <f ca="1">U2843*'Expenditure Study'!$B$31</f>
        <v>0</v>
      </c>
      <c r="Z2843" s="200">
        <f ca="1">W2843*'Expenditure Study'!$B$31</f>
        <v>0</v>
      </c>
      <c r="AA2843" s="195">
        <f t="shared" ca="1" si="624"/>
        <v>0</v>
      </c>
      <c r="AB2843" s="195">
        <f t="shared" ca="1" si="625"/>
        <v>0</v>
      </c>
      <c r="AD2843" s="196">
        <f>IFERROR($G2843/SUMIF($A:$A,$A2843,$G:$G)*SUMIF(Summary!$A$166:$A$242,$A2843,Summary!$P$166:$P$242),0)</f>
        <v>0</v>
      </c>
      <c r="AE2843" s="197">
        <f t="shared" ca="1" si="626"/>
        <v>0</v>
      </c>
      <c r="AF2843" s="196">
        <f>IFERROR(G2843/SUMIF(A:A,A2843,G:G)*SUMIF(Summary!$A$166:$A$242,'Operations Support'!A2843,Summary!$Q$166:$Q$242),0)</f>
        <v>0</v>
      </c>
      <c r="AG2843" s="196">
        <f t="shared" ca="1" si="627"/>
        <v>0</v>
      </c>
      <c r="AI2843" s="196">
        <f>IFERROR($G2843/SUMIF($A:$A,$A2843,$G:$G)*SUMIF(Summary!$A$247:$A$283,$A2843,Summary!$P$247:$P$283),0)</f>
        <v>0</v>
      </c>
      <c r="AJ2843" s="196">
        <f>IFERROR($G2843/SUMIF($A:$A,$A2843,$G:$G)*(SUMIF(Summary!$A$247:$A$283,$A2843,Summary!$L$247:$L$283)+SUMIF(Summary!$A$297:$A$333,$A2843,Summary!$L$297:$L$333))-AI2843,0)</f>
        <v>0</v>
      </c>
      <c r="AK2843" s="196">
        <f>IFERROR($G2843/SUMIF($A:$A,$A2843,$G:$G)*SUMIF(Summary!$A$247:$A$283,$A2843,Summary!$Q$247:$Q$283),0)</f>
        <v>0</v>
      </c>
      <c r="AL2843" s="196">
        <f>IFERROR($G2843/SUMIF($A:$A,$A2843,$G:$G)*(SUMIF(Summary!$A$247:$A$283,$A2843,Summary!$L$247:$L$283)+SUMIF(Summary!$A$297:$A$333,$A2843,Summary!$L$297:$L$333))-AK2843,0)</f>
        <v>0</v>
      </c>
      <c r="AM2843" s="198"/>
      <c r="AN2843" s="196">
        <f t="shared" ca="1" si="628"/>
        <v>0</v>
      </c>
      <c r="AO2843" s="196">
        <f t="shared" ca="1" si="629"/>
        <v>0</v>
      </c>
    </row>
    <row r="2844" spans="1:41">
      <c r="A2844" s="189">
        <v>10298</v>
      </c>
      <c r="B2844" s="190">
        <v>1</v>
      </c>
      <c r="C2844" s="191" t="s">
        <v>224</v>
      </c>
      <c r="D2844" s="192">
        <f t="shared" si="616"/>
        <v>84</v>
      </c>
      <c r="E2844" s="192">
        <f t="shared" si="617"/>
        <v>14</v>
      </c>
      <c r="F2844" s="192">
        <f t="shared" si="618"/>
        <v>0</v>
      </c>
      <c r="G2844" s="193">
        <f t="shared" si="619"/>
        <v>147.97999999999999</v>
      </c>
      <c r="H2844" s="194">
        <v>0</v>
      </c>
      <c r="I2844" s="194">
        <v>12</v>
      </c>
      <c r="J2844" s="194">
        <v>0</v>
      </c>
      <c r="K2844" s="193">
        <f t="shared" si="620"/>
        <v>12</v>
      </c>
      <c r="L2844" s="194">
        <v>84</v>
      </c>
      <c r="M2844" s="194">
        <v>2</v>
      </c>
      <c r="N2844" s="194">
        <v>0</v>
      </c>
      <c r="O2844" s="193">
        <f t="shared" si="621"/>
        <v>86</v>
      </c>
      <c r="P2844" s="194">
        <v>0</v>
      </c>
      <c r="Q2844" s="194">
        <v>0</v>
      </c>
      <c r="R2844" s="194">
        <v>0</v>
      </c>
      <c r="S2844" s="193">
        <f t="shared" si="622"/>
        <v>0</v>
      </c>
      <c r="T2844" s="193">
        <f t="shared" si="623"/>
        <v>4.9326666666666661</v>
      </c>
      <c r="U2844" s="193">
        <f ca="1">OFFSET('Expenditure Study'!$B$7,'Operations Support'!$C2844,'Operations Support'!$B2844)*$G2844</f>
        <v>219.01039999999998</v>
      </c>
      <c r="V2844" s="199">
        <f ca="1">U2844*'Expenditure Study'!$B$31</f>
        <v>12939.831060280319</v>
      </c>
      <c r="W2844" s="199">
        <f ca="1">IF(A2844=10298,1.51,1)*IF($B2844&lt;3,$D2844*'Expenditure Study'!$B$32*OFFSET('Expenditure Study'!$B$7,'Operations Support'!$C2844,'Operations Support'!$B2844),0)</f>
        <v>18.772320000000001</v>
      </c>
      <c r="X2844" s="200">
        <f ca="1">W2844*'Expenditure Study'!$B$31</f>
        <v>1109.1283765954561</v>
      </c>
      <c r="Y2844" s="199">
        <f ca="1">U2844*'Expenditure Study'!$B$31</f>
        <v>12939.831060280319</v>
      </c>
      <c r="Z2844" s="200">
        <f ca="1">W2844*'Expenditure Study'!$B$31</f>
        <v>1109.1283765954561</v>
      </c>
      <c r="AA2844" s="195">
        <f t="shared" ca="1" si="624"/>
        <v>14048.959436875775</v>
      </c>
      <c r="AB2844" s="195">
        <f t="shared" ca="1" si="625"/>
        <v>14048.959436875775</v>
      </c>
      <c r="AD2844" s="196">
        <f>IFERROR($G2844/SUMIF($A:$A,$A2844,$G:$G)*SUMIF(Summary!$A$166:$A$242,$A2844,Summary!$P$166:$P$242),0)</f>
        <v>4709.9199055804984</v>
      </c>
      <c r="AE2844" s="197">
        <f t="shared" ca="1" si="626"/>
        <v>9339.0395312952769</v>
      </c>
      <c r="AF2844" s="196">
        <f>IFERROR(G2844/SUMIF(A:A,A2844,G:G)*SUMIF(Summary!$A$166:$A$242,'Operations Support'!A2844,Summary!$Q$166:$Q$242),0)</f>
        <v>4730.1172696599842</v>
      </c>
      <c r="AG2844" s="196">
        <f t="shared" ca="1" si="627"/>
        <v>9318.8421672157911</v>
      </c>
      <c r="AI2844" s="196">
        <f>IFERROR($G2844/SUMIF($A:$A,$A2844,$G:$G)*SUMIF(Summary!$A$247:$A$283,$A2844,Summary!$P$247:$P$283),0)</f>
        <v>858.97185603679566</v>
      </c>
      <c r="AJ2844" s="196">
        <f>IFERROR($G2844/SUMIF($A:$A,$A2844,$G:$G)*(SUMIF(Summary!$A$247:$A$283,$A2844,Summary!$L$247:$L$283)+SUMIF(Summary!$A$297:$A$333,$A2844,Summary!$L$297:$L$333))-AI2844,0)</f>
        <v>8189.2845695987498</v>
      </c>
      <c r="AK2844" s="196">
        <f>IFERROR($G2844/SUMIF($A:$A,$A2844,$G:$G)*SUMIF(Summary!$A$247:$A$283,$A2844,Summary!$Q$247:$Q$283),0)</f>
        <v>862.6553512252915</v>
      </c>
      <c r="AL2844" s="196">
        <f>IFERROR($G2844/SUMIF($A:$A,$A2844,$G:$G)*(SUMIF(Summary!$A$247:$A$283,$A2844,Summary!$L$247:$L$283)+SUMIF(Summary!$A$297:$A$333,$A2844,Summary!$L$297:$L$333))-AK2844,0)</f>
        <v>8185.6010744102541</v>
      </c>
      <c r="AM2844" s="198"/>
      <c r="AN2844" s="196">
        <f t="shared" ca="1" si="628"/>
        <v>17528.324100894028</v>
      </c>
      <c r="AO2844" s="196">
        <f t="shared" ca="1" si="629"/>
        <v>17504.443241626046</v>
      </c>
    </row>
    <row r="2845" spans="1:41" s="201" customFormat="1">
      <c r="A2845" s="189">
        <v>10298</v>
      </c>
      <c r="B2845" s="190">
        <v>1</v>
      </c>
      <c r="C2845" s="191" t="s">
        <v>225</v>
      </c>
      <c r="D2845" s="192">
        <f t="shared" si="616"/>
        <v>74.069999999999993</v>
      </c>
      <c r="E2845" s="192">
        <f t="shared" si="617"/>
        <v>2016.9299999999998</v>
      </c>
      <c r="F2845" s="192">
        <f t="shared" si="618"/>
        <v>0</v>
      </c>
      <c r="G2845" s="193">
        <f t="shared" si="619"/>
        <v>3157.41</v>
      </c>
      <c r="H2845" s="194">
        <v>71.069999999999993</v>
      </c>
      <c r="I2845" s="194">
        <v>691.93</v>
      </c>
      <c r="J2845" s="194">
        <v>0</v>
      </c>
      <c r="K2845" s="193">
        <f t="shared" si="620"/>
        <v>763</v>
      </c>
      <c r="L2845" s="194">
        <v>3</v>
      </c>
      <c r="M2845" s="194">
        <v>1325</v>
      </c>
      <c r="N2845" s="194">
        <v>0</v>
      </c>
      <c r="O2845" s="193">
        <f t="shared" si="621"/>
        <v>1328</v>
      </c>
      <c r="P2845" s="194">
        <v>0</v>
      </c>
      <c r="Q2845" s="194">
        <v>0</v>
      </c>
      <c r="R2845" s="194">
        <v>0</v>
      </c>
      <c r="S2845" s="193">
        <f t="shared" si="622"/>
        <v>0</v>
      </c>
      <c r="T2845" s="193">
        <f t="shared" si="623"/>
        <v>105.247</v>
      </c>
      <c r="U2845" s="193">
        <f ca="1">OFFSET('Expenditure Study'!$B$7,'Operations Support'!$C2845,'Operations Support'!$B2845)*$G2845</f>
        <v>5557.0415999999996</v>
      </c>
      <c r="V2845" s="199">
        <f ca="1">U2845*'Expenditure Study'!$B$31</f>
        <v>328327.69356592128</v>
      </c>
      <c r="W2845" s="199">
        <f ca="1">IF(A2845=10298,1.51,1)*IF($B2845&lt;3,$D2845*'Expenditure Study'!$B$32*OFFSET('Expenditure Study'!$B$7,'Operations Support'!$C2845,'Operations Support'!$B2845),0)</f>
        <v>19.6848432</v>
      </c>
      <c r="X2845" s="200">
        <f ca="1">W2845*'Expenditure Study'!$B$31</f>
        <v>1163.0431498052506</v>
      </c>
      <c r="Y2845" s="199">
        <f ca="1">U2845*'Expenditure Study'!$B$31</f>
        <v>328327.69356592128</v>
      </c>
      <c r="Z2845" s="200">
        <f ca="1">W2845*'Expenditure Study'!$B$31</f>
        <v>1163.0431498052506</v>
      </c>
      <c r="AA2845" s="195">
        <f t="shared" ca="1" si="624"/>
        <v>329490.73671572655</v>
      </c>
      <c r="AB2845" s="195">
        <f t="shared" ca="1" si="625"/>
        <v>329490.73671572655</v>
      </c>
      <c r="AD2845" s="196">
        <f>IFERROR($G2845/SUMIF($A:$A,$A2845,$G:$G)*SUMIF(Summary!$A$166:$A$242,$A2845,Summary!$P$166:$P$242),0)</f>
        <v>100494.31145478389</v>
      </c>
      <c r="AE2845" s="197">
        <f t="shared" ca="1" si="626"/>
        <v>228996.42526094266</v>
      </c>
      <c r="AF2845" s="196">
        <f>IFERROR(G2845/SUMIF(A:A,A2845,G:G)*SUMIF(Summary!$A$166:$A$242,'Operations Support'!A2845,Summary!$Q$166:$Q$242),0)</f>
        <v>100925.25725366354</v>
      </c>
      <c r="AG2845" s="196">
        <f t="shared" ca="1" si="627"/>
        <v>228565.479462063</v>
      </c>
      <c r="AH2845" s="180"/>
      <c r="AI2845" s="196">
        <f>IFERROR($G2845/SUMIF($A:$A,$A2845,$G:$G)*SUMIF(Summary!$A$247:$A$283,$A2845,Summary!$P$247:$P$283),0)</f>
        <v>18327.654601764691</v>
      </c>
      <c r="AJ2845" s="196">
        <f>IFERROR($G2845/SUMIF($A:$A,$A2845,$G:$G)*(SUMIF(Summary!$A$247:$A$283,$A2845,Summary!$L$247:$L$283)+SUMIF(Summary!$A$297:$A$333,$A2845,Summary!$L$297:$L$333))-AI2845,0)</f>
        <v>174732.59219419374</v>
      </c>
      <c r="AK2845" s="196">
        <f>IFERROR($G2845/SUMIF($A:$A,$A2845,$G:$G)*SUMIF(Summary!$A$247:$A$283,$A2845,Summary!$Q$247:$Q$283),0)</f>
        <v>18406.2483613478</v>
      </c>
      <c r="AL2845" s="196">
        <f>IFERROR($G2845/SUMIF($A:$A,$A2845,$G:$G)*(SUMIF(Summary!$A$247:$A$283,$A2845,Summary!$L$247:$L$283)+SUMIF(Summary!$A$297:$A$333,$A2845,Summary!$L$297:$L$333))-AK2845,0)</f>
        <v>174653.99843461064</v>
      </c>
      <c r="AM2845" s="198"/>
      <c r="AN2845" s="196">
        <f t="shared" ca="1" si="628"/>
        <v>403729.0174551364</v>
      </c>
      <c r="AO2845" s="196">
        <f t="shared" ca="1" si="629"/>
        <v>403219.4778966736</v>
      </c>
    </row>
    <row r="2846" spans="1:41">
      <c r="A2846" s="189">
        <v>10298</v>
      </c>
      <c r="B2846" s="190">
        <v>1</v>
      </c>
      <c r="C2846" s="191" t="s">
        <v>226</v>
      </c>
      <c r="D2846" s="192">
        <f t="shared" si="616"/>
        <v>0</v>
      </c>
      <c r="E2846" s="192">
        <f t="shared" si="617"/>
        <v>0</v>
      </c>
      <c r="F2846" s="192">
        <f t="shared" si="618"/>
        <v>0</v>
      </c>
      <c r="G2846" s="193">
        <f t="shared" si="619"/>
        <v>0</v>
      </c>
      <c r="H2846" s="194">
        <v>0</v>
      </c>
      <c r="I2846" s="194">
        <v>0</v>
      </c>
      <c r="J2846" s="194">
        <v>0</v>
      </c>
      <c r="K2846" s="193">
        <f t="shared" si="620"/>
        <v>0</v>
      </c>
      <c r="L2846" s="194">
        <v>0</v>
      </c>
      <c r="M2846" s="194">
        <v>0</v>
      </c>
      <c r="N2846" s="194">
        <v>0</v>
      </c>
      <c r="O2846" s="193">
        <f t="shared" si="621"/>
        <v>0</v>
      </c>
      <c r="P2846" s="194">
        <v>0</v>
      </c>
      <c r="Q2846" s="194">
        <v>0</v>
      </c>
      <c r="R2846" s="194">
        <v>0</v>
      </c>
      <c r="S2846" s="193">
        <f t="shared" si="622"/>
        <v>0</v>
      </c>
      <c r="T2846" s="193">
        <f t="shared" si="623"/>
        <v>0</v>
      </c>
      <c r="U2846" s="193">
        <f ca="1">OFFSET('Expenditure Study'!$B$7,'Operations Support'!$C2846,'Operations Support'!$B2846)*$G2846</f>
        <v>0</v>
      </c>
      <c r="V2846" s="199">
        <f ca="1">U2846*'Expenditure Study'!$B$31</f>
        <v>0</v>
      </c>
      <c r="W2846" s="199">
        <f ca="1">IF(A2846=10298,1.51,1)*IF($B2846&lt;3,$D2846*'Expenditure Study'!$B$32*OFFSET('Expenditure Study'!$B$7,'Operations Support'!$C2846,'Operations Support'!$B2846),0)</f>
        <v>0</v>
      </c>
      <c r="X2846" s="200">
        <f ca="1">W2846*'Expenditure Study'!$B$31</f>
        <v>0</v>
      </c>
      <c r="Y2846" s="199">
        <f ca="1">U2846*'Expenditure Study'!$B$31</f>
        <v>0</v>
      </c>
      <c r="Z2846" s="200">
        <f ca="1">W2846*'Expenditure Study'!$B$31</f>
        <v>0</v>
      </c>
      <c r="AA2846" s="195">
        <f t="shared" ca="1" si="624"/>
        <v>0</v>
      </c>
      <c r="AB2846" s="195">
        <f t="shared" ca="1" si="625"/>
        <v>0</v>
      </c>
      <c r="AD2846" s="196">
        <f>IFERROR($G2846/SUMIF($A:$A,$A2846,$G:$G)*SUMIF(Summary!$A$166:$A$242,$A2846,Summary!$P$166:$P$242),0)</f>
        <v>0</v>
      </c>
      <c r="AE2846" s="197">
        <f t="shared" ca="1" si="626"/>
        <v>0</v>
      </c>
      <c r="AF2846" s="196">
        <f>IFERROR(G2846/SUMIF(A:A,A2846,G:G)*SUMIF(Summary!$A$166:$A$242,'Operations Support'!A2846,Summary!$Q$166:$Q$242),0)</f>
        <v>0</v>
      </c>
      <c r="AG2846" s="196">
        <f t="shared" ca="1" si="627"/>
        <v>0</v>
      </c>
      <c r="AI2846" s="196">
        <f>IFERROR($G2846/SUMIF($A:$A,$A2846,$G:$G)*SUMIF(Summary!$A$247:$A$283,$A2846,Summary!$P$247:$P$283),0)</f>
        <v>0</v>
      </c>
      <c r="AJ2846" s="196">
        <f>IFERROR($G2846/SUMIF($A:$A,$A2846,$G:$G)*(SUMIF(Summary!$A$247:$A$283,$A2846,Summary!$L$247:$L$283)+SUMIF(Summary!$A$297:$A$333,$A2846,Summary!$L$297:$L$333))-AI2846,0)</f>
        <v>0</v>
      </c>
      <c r="AK2846" s="196">
        <f>IFERROR($G2846/SUMIF($A:$A,$A2846,$G:$G)*SUMIF(Summary!$A$247:$A$283,$A2846,Summary!$Q$247:$Q$283),0)</f>
        <v>0</v>
      </c>
      <c r="AL2846" s="196">
        <f>IFERROR($G2846/SUMIF($A:$A,$A2846,$G:$G)*(SUMIF(Summary!$A$247:$A$283,$A2846,Summary!$L$247:$L$283)+SUMIF(Summary!$A$297:$A$333,$A2846,Summary!$L$297:$L$333))-AK2846,0)</f>
        <v>0</v>
      </c>
      <c r="AM2846" s="198"/>
      <c r="AN2846" s="196">
        <f t="shared" ca="1" si="628"/>
        <v>0</v>
      </c>
      <c r="AO2846" s="196">
        <f t="shared" ca="1" si="629"/>
        <v>0</v>
      </c>
    </row>
    <row r="2847" spans="1:41">
      <c r="A2847" s="189">
        <v>10298</v>
      </c>
      <c r="B2847" s="190">
        <v>1</v>
      </c>
      <c r="C2847" s="191" t="s">
        <v>227</v>
      </c>
      <c r="D2847" s="192">
        <f t="shared" si="616"/>
        <v>0</v>
      </c>
      <c r="E2847" s="192">
        <f t="shared" si="617"/>
        <v>0</v>
      </c>
      <c r="F2847" s="192">
        <f t="shared" si="618"/>
        <v>0</v>
      </c>
      <c r="G2847" s="193">
        <f t="shared" si="619"/>
        <v>0</v>
      </c>
      <c r="H2847" s="194">
        <v>0</v>
      </c>
      <c r="I2847" s="194">
        <v>0</v>
      </c>
      <c r="J2847" s="194">
        <v>0</v>
      </c>
      <c r="K2847" s="193">
        <f t="shared" si="620"/>
        <v>0</v>
      </c>
      <c r="L2847" s="194">
        <v>0</v>
      </c>
      <c r="M2847" s="194">
        <v>0</v>
      </c>
      <c r="N2847" s="194">
        <v>0</v>
      </c>
      <c r="O2847" s="193">
        <f t="shared" si="621"/>
        <v>0</v>
      </c>
      <c r="P2847" s="194">
        <v>0</v>
      </c>
      <c r="Q2847" s="194">
        <v>0</v>
      </c>
      <c r="R2847" s="194">
        <v>0</v>
      </c>
      <c r="S2847" s="193">
        <f t="shared" si="622"/>
        <v>0</v>
      </c>
      <c r="T2847" s="193">
        <f t="shared" si="623"/>
        <v>0</v>
      </c>
      <c r="U2847" s="193">
        <f ca="1">OFFSET('Expenditure Study'!$B$7,'Operations Support'!$C2847,'Operations Support'!$B2847)*$G2847</f>
        <v>0</v>
      </c>
      <c r="V2847" s="199">
        <f ca="1">U2847*'Expenditure Study'!$B$31</f>
        <v>0</v>
      </c>
      <c r="W2847" s="199">
        <f ca="1">IF(A2847=10298,1.51,1)*IF($B2847&lt;3,$D2847*'Expenditure Study'!$B$32*OFFSET('Expenditure Study'!$B$7,'Operations Support'!$C2847,'Operations Support'!$B2847),0)</f>
        <v>0</v>
      </c>
      <c r="X2847" s="200">
        <f ca="1">W2847*'Expenditure Study'!$B$31</f>
        <v>0</v>
      </c>
      <c r="Y2847" s="199">
        <f ca="1">U2847*'Expenditure Study'!$B$31</f>
        <v>0</v>
      </c>
      <c r="Z2847" s="200">
        <f ca="1">W2847*'Expenditure Study'!$B$31</f>
        <v>0</v>
      </c>
      <c r="AA2847" s="195">
        <f t="shared" ca="1" si="624"/>
        <v>0</v>
      </c>
      <c r="AB2847" s="195">
        <f t="shared" ca="1" si="625"/>
        <v>0</v>
      </c>
      <c r="AD2847" s="196">
        <f>IFERROR($G2847/SUMIF($A:$A,$A2847,$G:$G)*SUMIF(Summary!$A$166:$A$242,$A2847,Summary!$P$166:$P$242),0)</f>
        <v>0</v>
      </c>
      <c r="AE2847" s="197">
        <f t="shared" ca="1" si="626"/>
        <v>0</v>
      </c>
      <c r="AF2847" s="196">
        <f>IFERROR(G2847/SUMIF(A:A,A2847,G:G)*SUMIF(Summary!$A$166:$A$242,'Operations Support'!A2847,Summary!$Q$166:$Q$242),0)</f>
        <v>0</v>
      </c>
      <c r="AG2847" s="196">
        <f t="shared" ca="1" si="627"/>
        <v>0</v>
      </c>
      <c r="AI2847" s="196">
        <f>IFERROR($G2847/SUMIF($A:$A,$A2847,$G:$G)*SUMIF(Summary!$A$247:$A$283,$A2847,Summary!$P$247:$P$283),0)</f>
        <v>0</v>
      </c>
      <c r="AJ2847" s="196">
        <f>IFERROR($G2847/SUMIF($A:$A,$A2847,$G:$G)*(SUMIF(Summary!$A$247:$A$283,$A2847,Summary!$L$247:$L$283)+SUMIF(Summary!$A$297:$A$333,$A2847,Summary!$L$297:$L$333))-AI2847,0)</f>
        <v>0</v>
      </c>
      <c r="AK2847" s="196">
        <f>IFERROR($G2847/SUMIF($A:$A,$A2847,$G:$G)*SUMIF(Summary!$A$247:$A$283,$A2847,Summary!$Q$247:$Q$283),0)</f>
        <v>0</v>
      </c>
      <c r="AL2847" s="196">
        <f>IFERROR($G2847/SUMIF($A:$A,$A2847,$G:$G)*(SUMIF(Summary!$A$247:$A$283,$A2847,Summary!$L$247:$L$283)+SUMIF(Summary!$A$297:$A$333,$A2847,Summary!$L$297:$L$333))-AK2847,0)</f>
        <v>0</v>
      </c>
      <c r="AM2847" s="198"/>
      <c r="AN2847" s="196">
        <f t="shared" ca="1" si="628"/>
        <v>0</v>
      </c>
      <c r="AO2847" s="196">
        <f t="shared" ca="1" si="629"/>
        <v>0</v>
      </c>
    </row>
    <row r="2848" spans="1:41">
      <c r="A2848" s="189">
        <v>10298</v>
      </c>
      <c r="B2848" s="190">
        <v>1</v>
      </c>
      <c r="C2848" s="191" t="s">
        <v>228</v>
      </c>
      <c r="D2848" s="192">
        <f t="shared" si="616"/>
        <v>0</v>
      </c>
      <c r="E2848" s="192">
        <f t="shared" si="617"/>
        <v>0</v>
      </c>
      <c r="F2848" s="192">
        <f t="shared" si="618"/>
        <v>0</v>
      </c>
      <c r="G2848" s="193">
        <f t="shared" si="619"/>
        <v>0</v>
      </c>
      <c r="H2848" s="194">
        <v>0</v>
      </c>
      <c r="I2848" s="194">
        <v>0</v>
      </c>
      <c r="J2848" s="194">
        <v>0</v>
      </c>
      <c r="K2848" s="193">
        <f t="shared" si="620"/>
        <v>0</v>
      </c>
      <c r="L2848" s="194">
        <v>0</v>
      </c>
      <c r="M2848" s="194">
        <v>0</v>
      </c>
      <c r="N2848" s="194">
        <v>0</v>
      </c>
      <c r="O2848" s="193">
        <f t="shared" si="621"/>
        <v>0</v>
      </c>
      <c r="P2848" s="194">
        <v>0</v>
      </c>
      <c r="Q2848" s="194">
        <v>0</v>
      </c>
      <c r="R2848" s="194">
        <v>0</v>
      </c>
      <c r="S2848" s="193">
        <f t="shared" si="622"/>
        <v>0</v>
      </c>
      <c r="T2848" s="193">
        <f t="shared" si="623"/>
        <v>0</v>
      </c>
      <c r="U2848" s="193">
        <f ca="1">OFFSET('Expenditure Study'!$B$7,'Operations Support'!$C2848,'Operations Support'!$B2848)*$G2848</f>
        <v>0</v>
      </c>
      <c r="V2848" s="199">
        <f ca="1">U2848*'Expenditure Study'!$B$31</f>
        <v>0</v>
      </c>
      <c r="W2848" s="199">
        <f ca="1">IF(A2848=10298,1.51,1)*IF($B2848&lt;3,$D2848*'Expenditure Study'!$B$32*OFFSET('Expenditure Study'!$B$7,'Operations Support'!$C2848,'Operations Support'!$B2848),0)</f>
        <v>0</v>
      </c>
      <c r="X2848" s="200">
        <f ca="1">W2848*'Expenditure Study'!$B$31</f>
        <v>0</v>
      </c>
      <c r="Y2848" s="199">
        <f ca="1">U2848*'Expenditure Study'!$B$31</f>
        <v>0</v>
      </c>
      <c r="Z2848" s="200">
        <f ca="1">W2848*'Expenditure Study'!$B$31</f>
        <v>0</v>
      </c>
      <c r="AA2848" s="195">
        <f t="shared" ca="1" si="624"/>
        <v>0</v>
      </c>
      <c r="AB2848" s="195">
        <f t="shared" ca="1" si="625"/>
        <v>0</v>
      </c>
      <c r="AD2848" s="196">
        <f>IFERROR($G2848/SUMIF($A:$A,$A2848,$G:$G)*SUMIF(Summary!$A$166:$A$242,$A2848,Summary!$P$166:$P$242),0)</f>
        <v>0</v>
      </c>
      <c r="AE2848" s="197">
        <f t="shared" ca="1" si="626"/>
        <v>0</v>
      </c>
      <c r="AF2848" s="196">
        <f>IFERROR(G2848/SUMIF(A:A,A2848,G:G)*SUMIF(Summary!$A$166:$A$242,'Operations Support'!A2848,Summary!$Q$166:$Q$242),0)</f>
        <v>0</v>
      </c>
      <c r="AG2848" s="196">
        <f t="shared" ca="1" si="627"/>
        <v>0</v>
      </c>
      <c r="AI2848" s="196">
        <f>IFERROR($G2848/SUMIF($A:$A,$A2848,$G:$G)*SUMIF(Summary!$A$247:$A$283,$A2848,Summary!$P$247:$P$283),0)</f>
        <v>0</v>
      </c>
      <c r="AJ2848" s="196">
        <f>IFERROR($G2848/SUMIF($A:$A,$A2848,$G:$G)*(SUMIF(Summary!$A$247:$A$283,$A2848,Summary!$L$247:$L$283)+SUMIF(Summary!$A$297:$A$333,$A2848,Summary!$L$297:$L$333))-AI2848,0)</f>
        <v>0</v>
      </c>
      <c r="AK2848" s="196">
        <f>IFERROR($G2848/SUMIF($A:$A,$A2848,$G:$G)*SUMIF(Summary!$A$247:$A$283,$A2848,Summary!$Q$247:$Q$283),0)</f>
        <v>0</v>
      </c>
      <c r="AL2848" s="196">
        <f>IFERROR($G2848/SUMIF($A:$A,$A2848,$G:$G)*(SUMIF(Summary!$A$247:$A$283,$A2848,Summary!$L$247:$L$283)+SUMIF(Summary!$A$297:$A$333,$A2848,Summary!$L$297:$L$333))-AK2848,0)</f>
        <v>0</v>
      </c>
      <c r="AM2848" s="198"/>
      <c r="AN2848" s="196">
        <f t="shared" ca="1" si="628"/>
        <v>0</v>
      </c>
      <c r="AO2848" s="196">
        <f t="shared" ca="1" si="629"/>
        <v>0</v>
      </c>
    </row>
    <row r="2849" spans="1:41">
      <c r="A2849" s="189">
        <v>10298</v>
      </c>
      <c r="B2849" s="190">
        <v>1</v>
      </c>
      <c r="C2849" s="191" t="s">
        <v>229</v>
      </c>
      <c r="D2849" s="192">
        <f t="shared" si="616"/>
        <v>0</v>
      </c>
      <c r="E2849" s="192">
        <f t="shared" si="617"/>
        <v>96</v>
      </c>
      <c r="F2849" s="192">
        <f t="shared" si="618"/>
        <v>0</v>
      </c>
      <c r="G2849" s="193">
        <f t="shared" si="619"/>
        <v>144.96</v>
      </c>
      <c r="H2849" s="194">
        <v>0</v>
      </c>
      <c r="I2849" s="194">
        <v>60</v>
      </c>
      <c r="J2849" s="194">
        <v>0</v>
      </c>
      <c r="K2849" s="193">
        <f t="shared" si="620"/>
        <v>60</v>
      </c>
      <c r="L2849" s="194">
        <v>0</v>
      </c>
      <c r="M2849" s="194">
        <v>36</v>
      </c>
      <c r="N2849" s="194">
        <v>0</v>
      </c>
      <c r="O2849" s="193">
        <f t="shared" si="621"/>
        <v>36</v>
      </c>
      <c r="P2849" s="194">
        <v>0</v>
      </c>
      <c r="Q2849" s="194">
        <v>0</v>
      </c>
      <c r="R2849" s="194">
        <v>0</v>
      </c>
      <c r="S2849" s="193">
        <f t="shared" si="622"/>
        <v>0</v>
      </c>
      <c r="T2849" s="193">
        <f t="shared" si="623"/>
        <v>4.8319999999999999</v>
      </c>
      <c r="U2849" s="193">
        <f ca="1">OFFSET('Expenditure Study'!$B$7,'Operations Support'!$C2849,'Operations Support'!$B2849)*$G2849</f>
        <v>482.71680000000003</v>
      </c>
      <c r="V2849" s="199">
        <f ca="1">U2849*'Expenditure Study'!$B$31</f>
        <v>28520.443969597443</v>
      </c>
      <c r="W2849" s="199">
        <f ca="1">IF(A2849=10298,1.51,1)*IF($B2849&lt;3,$D2849*'Expenditure Study'!$B$32*OFFSET('Expenditure Study'!$B$7,'Operations Support'!$C2849,'Operations Support'!$B2849),0)</f>
        <v>0</v>
      </c>
      <c r="X2849" s="200">
        <f ca="1">W2849*'Expenditure Study'!$B$31</f>
        <v>0</v>
      </c>
      <c r="Y2849" s="199">
        <f ca="1">U2849*'Expenditure Study'!$B$31</f>
        <v>28520.443969597443</v>
      </c>
      <c r="Z2849" s="200">
        <f ca="1">W2849*'Expenditure Study'!$B$31</f>
        <v>0</v>
      </c>
      <c r="AA2849" s="195">
        <f t="shared" ca="1" si="624"/>
        <v>28520.443969597443</v>
      </c>
      <c r="AB2849" s="195">
        <f t="shared" ca="1" si="625"/>
        <v>28520.443969597443</v>
      </c>
      <c r="AD2849" s="196">
        <f>IFERROR($G2849/SUMIF($A:$A,$A2849,$G:$G)*SUMIF(Summary!$A$166:$A$242,$A2849,Summary!$P$166:$P$242),0)</f>
        <v>4613.7990911808965</v>
      </c>
      <c r="AE2849" s="197">
        <f t="shared" ca="1" si="626"/>
        <v>23906.644878416548</v>
      </c>
      <c r="AF2849" s="196">
        <f>IFERROR(G2849/SUMIF(A:A,A2849,G:G)*SUMIF(Summary!$A$166:$A$242,'Operations Support'!A2849,Summary!$Q$166:$Q$242),0)</f>
        <v>4633.5842641567197</v>
      </c>
      <c r="AG2849" s="196">
        <f t="shared" ca="1" si="627"/>
        <v>23886.859705440722</v>
      </c>
      <c r="AI2849" s="196">
        <f>IFERROR($G2849/SUMIF($A:$A,$A2849,$G:$G)*SUMIF(Summary!$A$247:$A$283,$A2849,Summary!$P$247:$P$283),0)</f>
        <v>841.44181815849379</v>
      </c>
      <c r="AJ2849" s="196">
        <f>IFERROR($G2849/SUMIF($A:$A,$A2849,$G:$G)*(SUMIF(Summary!$A$247:$A$283,$A2849,Summary!$L$247:$L$283)+SUMIF(Summary!$A$297:$A$333,$A2849,Summary!$L$297:$L$333))-AI2849,0)</f>
        <v>8022.1563130763279</v>
      </c>
      <c r="AK2849" s="196">
        <f>IFERROR($G2849/SUMIF($A:$A,$A2849,$G:$G)*SUMIF(Summary!$A$247:$A$283,$A2849,Summary!$Q$247:$Q$283),0)</f>
        <v>845.05013997579579</v>
      </c>
      <c r="AL2849" s="196">
        <f>IFERROR($G2849/SUMIF($A:$A,$A2849,$G:$G)*(SUMIF(Summary!$A$247:$A$283,$A2849,Summary!$L$247:$L$283)+SUMIF(Summary!$A$297:$A$333,$A2849,Summary!$L$297:$L$333))-AK2849,0)</f>
        <v>8018.5479912590254</v>
      </c>
      <c r="AM2849" s="198"/>
      <c r="AN2849" s="196">
        <f t="shared" ca="1" si="628"/>
        <v>31928.801191492876</v>
      </c>
      <c r="AO2849" s="196">
        <f t="shared" ca="1" si="629"/>
        <v>31905.407696699745</v>
      </c>
    </row>
    <row r="2850" spans="1:41">
      <c r="A2850" s="189">
        <v>10298</v>
      </c>
      <c r="B2850" s="190">
        <v>1</v>
      </c>
      <c r="C2850" s="191" t="s">
        <v>230</v>
      </c>
      <c r="D2850" s="192">
        <f t="shared" si="616"/>
        <v>0</v>
      </c>
      <c r="E2850" s="192">
        <f t="shared" si="617"/>
        <v>0</v>
      </c>
      <c r="F2850" s="192">
        <f t="shared" si="618"/>
        <v>0</v>
      </c>
      <c r="G2850" s="193">
        <f t="shared" si="619"/>
        <v>0</v>
      </c>
      <c r="H2850" s="194">
        <v>0</v>
      </c>
      <c r="I2850" s="194">
        <v>0</v>
      </c>
      <c r="J2850" s="194">
        <v>0</v>
      </c>
      <c r="K2850" s="193">
        <f t="shared" si="620"/>
        <v>0</v>
      </c>
      <c r="L2850" s="194">
        <v>0</v>
      </c>
      <c r="M2850" s="194">
        <v>0</v>
      </c>
      <c r="N2850" s="194">
        <v>0</v>
      </c>
      <c r="O2850" s="193">
        <f t="shared" si="621"/>
        <v>0</v>
      </c>
      <c r="P2850" s="194">
        <v>0</v>
      </c>
      <c r="Q2850" s="194">
        <v>0</v>
      </c>
      <c r="R2850" s="194">
        <v>0</v>
      </c>
      <c r="S2850" s="193">
        <f t="shared" si="622"/>
        <v>0</v>
      </c>
      <c r="T2850" s="193">
        <f t="shared" si="623"/>
        <v>0</v>
      </c>
      <c r="U2850" s="193">
        <f ca="1">OFFSET('Expenditure Study'!$B$7,'Operations Support'!$C2850,'Operations Support'!$B2850)*$G2850</f>
        <v>0</v>
      </c>
      <c r="V2850" s="199">
        <f ca="1">U2850*'Expenditure Study'!$B$31</f>
        <v>0</v>
      </c>
      <c r="W2850" s="199">
        <f ca="1">IF(A2850=10298,1.51,1)*IF($B2850&lt;3,$D2850*'Expenditure Study'!$B$32*OFFSET('Expenditure Study'!$B$7,'Operations Support'!$C2850,'Operations Support'!$B2850),0)</f>
        <v>0</v>
      </c>
      <c r="X2850" s="200">
        <f ca="1">W2850*'Expenditure Study'!$B$31</f>
        <v>0</v>
      </c>
      <c r="Y2850" s="199">
        <f ca="1">U2850*'Expenditure Study'!$B$31</f>
        <v>0</v>
      </c>
      <c r="Z2850" s="200">
        <f ca="1">W2850*'Expenditure Study'!$B$31</f>
        <v>0</v>
      </c>
      <c r="AA2850" s="195">
        <f t="shared" ca="1" si="624"/>
        <v>0</v>
      </c>
      <c r="AB2850" s="195">
        <f t="shared" ca="1" si="625"/>
        <v>0</v>
      </c>
      <c r="AD2850" s="196">
        <f>IFERROR($G2850/SUMIF($A:$A,$A2850,$G:$G)*SUMIF(Summary!$A$166:$A$242,$A2850,Summary!$P$166:$P$242),0)</f>
        <v>0</v>
      </c>
      <c r="AE2850" s="197">
        <f t="shared" ca="1" si="626"/>
        <v>0</v>
      </c>
      <c r="AF2850" s="196">
        <f>IFERROR(G2850/SUMIF(A:A,A2850,G:G)*SUMIF(Summary!$A$166:$A$242,'Operations Support'!A2850,Summary!$Q$166:$Q$242),0)</f>
        <v>0</v>
      </c>
      <c r="AG2850" s="196">
        <f t="shared" ca="1" si="627"/>
        <v>0</v>
      </c>
      <c r="AI2850" s="196">
        <f>IFERROR($G2850/SUMIF($A:$A,$A2850,$G:$G)*SUMIF(Summary!$A$247:$A$283,$A2850,Summary!$P$247:$P$283),0)</f>
        <v>0</v>
      </c>
      <c r="AJ2850" s="196">
        <f>IFERROR($G2850/SUMIF($A:$A,$A2850,$G:$G)*(SUMIF(Summary!$A$247:$A$283,$A2850,Summary!$L$247:$L$283)+SUMIF(Summary!$A$297:$A$333,$A2850,Summary!$L$297:$L$333))-AI2850,0)</f>
        <v>0</v>
      </c>
      <c r="AK2850" s="196">
        <f>IFERROR($G2850/SUMIF($A:$A,$A2850,$G:$G)*SUMIF(Summary!$A$247:$A$283,$A2850,Summary!$Q$247:$Q$283),0)</f>
        <v>0</v>
      </c>
      <c r="AL2850" s="196">
        <f>IFERROR($G2850/SUMIF($A:$A,$A2850,$G:$G)*(SUMIF(Summary!$A$247:$A$283,$A2850,Summary!$L$247:$L$283)+SUMIF(Summary!$A$297:$A$333,$A2850,Summary!$L$297:$L$333))-AK2850,0)</f>
        <v>0</v>
      </c>
      <c r="AM2850" s="198"/>
      <c r="AN2850" s="196">
        <f t="shared" ca="1" si="628"/>
        <v>0</v>
      </c>
      <c r="AO2850" s="196">
        <f t="shared" ca="1" si="629"/>
        <v>0</v>
      </c>
    </row>
    <row r="2851" spans="1:41">
      <c r="A2851" s="189">
        <v>10298</v>
      </c>
      <c r="B2851" s="190">
        <v>1</v>
      </c>
      <c r="C2851" s="191" t="s">
        <v>231</v>
      </c>
      <c r="D2851" s="192">
        <f t="shared" si="616"/>
        <v>0</v>
      </c>
      <c r="E2851" s="192">
        <f t="shared" si="617"/>
        <v>3277</v>
      </c>
      <c r="F2851" s="192">
        <f t="shared" si="618"/>
        <v>0</v>
      </c>
      <c r="G2851" s="193">
        <f t="shared" si="619"/>
        <v>4948.2700000000004</v>
      </c>
      <c r="H2851" s="194">
        <v>0</v>
      </c>
      <c r="I2851" s="194">
        <v>1414</v>
      </c>
      <c r="J2851" s="194">
        <v>0</v>
      </c>
      <c r="K2851" s="193">
        <f t="shared" si="620"/>
        <v>1414</v>
      </c>
      <c r="L2851" s="194">
        <v>0</v>
      </c>
      <c r="M2851" s="194">
        <v>1607</v>
      </c>
      <c r="N2851" s="194">
        <v>0</v>
      </c>
      <c r="O2851" s="193">
        <f t="shared" si="621"/>
        <v>1607</v>
      </c>
      <c r="P2851" s="194">
        <v>0</v>
      </c>
      <c r="Q2851" s="194">
        <v>256</v>
      </c>
      <c r="R2851" s="194">
        <v>0</v>
      </c>
      <c r="S2851" s="193">
        <f t="shared" si="622"/>
        <v>256</v>
      </c>
      <c r="T2851" s="193">
        <f t="shared" si="623"/>
        <v>164.94233333333335</v>
      </c>
      <c r="U2851" s="193">
        <f ca="1">OFFSET('Expenditure Study'!$B$7,'Operations Support'!$C2851,'Operations Support'!$B2851)*$G2851</f>
        <v>7521.3704000000007</v>
      </c>
      <c r="V2851" s="199">
        <f ca="1">U2851*'Expenditure Study'!$B$31</f>
        <v>444386.48720696836</v>
      </c>
      <c r="W2851" s="199">
        <f ca="1">IF(A2851=10298,1.51,1)*IF($B2851&lt;3,$D2851*'Expenditure Study'!$B$32*OFFSET('Expenditure Study'!$B$7,'Operations Support'!$C2851,'Operations Support'!$B2851),0)</f>
        <v>0</v>
      </c>
      <c r="X2851" s="200">
        <f ca="1">W2851*'Expenditure Study'!$B$31</f>
        <v>0</v>
      </c>
      <c r="Y2851" s="199">
        <f ca="1">U2851*'Expenditure Study'!$B$31</f>
        <v>444386.48720696836</v>
      </c>
      <c r="Z2851" s="200">
        <f ca="1">W2851*'Expenditure Study'!$B$31</f>
        <v>0</v>
      </c>
      <c r="AA2851" s="195">
        <f t="shared" ca="1" si="624"/>
        <v>444386.48720696836</v>
      </c>
      <c r="AB2851" s="195">
        <f t="shared" ca="1" si="625"/>
        <v>444386.48720696836</v>
      </c>
      <c r="AD2851" s="196">
        <f>IFERROR($G2851/SUMIF($A:$A,$A2851,$G:$G)*SUMIF(Summary!$A$166:$A$242,$A2851,Summary!$P$166:$P$242),0)</f>
        <v>157493.9543937479</v>
      </c>
      <c r="AE2851" s="197">
        <f t="shared" ca="1" si="626"/>
        <v>286892.53281322046</v>
      </c>
      <c r="AF2851" s="196">
        <f>IFERROR(G2851/SUMIF(A:A,A2851,G:G)*SUMIF(Summary!$A$166:$A$242,'Operations Support'!A2851,Summary!$Q$166:$Q$242),0)</f>
        <v>158169.32951709972</v>
      </c>
      <c r="AG2851" s="196">
        <f t="shared" ca="1" si="627"/>
        <v>286217.15768986865</v>
      </c>
      <c r="AI2851" s="196">
        <f>IFERROR($G2851/SUMIF($A:$A,$A2851,$G:$G)*SUMIF(Summary!$A$247:$A$283,$A2851,Summary!$P$247:$P$283),0)</f>
        <v>28722.967063597753</v>
      </c>
      <c r="AJ2851" s="196">
        <f>IFERROR($G2851/SUMIF($A:$A,$A2851,$G:$G)*(SUMIF(Summary!$A$247:$A$283,$A2851,Summary!$L$247:$L$283)+SUMIF(Summary!$A$297:$A$333,$A2851,Summary!$L$297:$L$333))-AI2851,0)</f>
        <v>273839.6483119909</v>
      </c>
      <c r="AK2851" s="196">
        <f>IFERROR($G2851/SUMIF($A:$A,$A2851,$G:$G)*SUMIF(Summary!$A$247:$A$283,$A2851,Summary!$Q$247:$Q$283),0)</f>
        <v>28846.138632298782</v>
      </c>
      <c r="AL2851" s="196">
        <f>IFERROR($G2851/SUMIF($A:$A,$A2851,$G:$G)*(SUMIF(Summary!$A$247:$A$283,$A2851,Summary!$L$247:$L$283)+SUMIF(Summary!$A$297:$A$333,$A2851,Summary!$L$297:$L$333))-AK2851,0)</f>
        <v>273716.47674328985</v>
      </c>
      <c r="AM2851" s="198"/>
      <c r="AN2851" s="196">
        <f t="shared" ca="1" si="628"/>
        <v>560732.1811252113</v>
      </c>
      <c r="AO2851" s="196">
        <f t="shared" ca="1" si="629"/>
        <v>559933.63443315844</v>
      </c>
    </row>
    <row r="2852" spans="1:41">
      <c r="A2852" s="189">
        <v>10298</v>
      </c>
      <c r="B2852" s="190">
        <v>1</v>
      </c>
      <c r="C2852" s="191" t="s">
        <v>232</v>
      </c>
      <c r="D2852" s="192">
        <f t="shared" si="616"/>
        <v>0</v>
      </c>
      <c r="E2852" s="192">
        <f t="shared" si="617"/>
        <v>0</v>
      </c>
      <c r="F2852" s="192">
        <f t="shared" si="618"/>
        <v>0</v>
      </c>
      <c r="G2852" s="193">
        <f t="shared" si="619"/>
        <v>0</v>
      </c>
      <c r="H2852" s="194">
        <v>0</v>
      </c>
      <c r="I2852" s="194">
        <v>0</v>
      </c>
      <c r="J2852" s="194">
        <v>0</v>
      </c>
      <c r="K2852" s="193">
        <f t="shared" si="620"/>
        <v>0</v>
      </c>
      <c r="L2852" s="194">
        <v>0</v>
      </c>
      <c r="M2852" s="194">
        <v>0</v>
      </c>
      <c r="N2852" s="194">
        <v>0</v>
      </c>
      <c r="O2852" s="193">
        <f t="shared" si="621"/>
        <v>0</v>
      </c>
      <c r="P2852" s="194">
        <v>0</v>
      </c>
      <c r="Q2852" s="194">
        <v>0</v>
      </c>
      <c r="R2852" s="194">
        <v>0</v>
      </c>
      <c r="S2852" s="193">
        <f t="shared" si="622"/>
        <v>0</v>
      </c>
      <c r="T2852" s="193">
        <f t="shared" si="623"/>
        <v>0</v>
      </c>
      <c r="U2852" s="193">
        <f ca="1">OFFSET('Expenditure Study'!$B$7,'Operations Support'!$C2852,'Operations Support'!$B2852)*$G2852</f>
        <v>0</v>
      </c>
      <c r="V2852" s="199">
        <f ca="1">U2852*'Expenditure Study'!$B$31</f>
        <v>0</v>
      </c>
      <c r="W2852" s="199">
        <f ca="1">IF(A2852=10298,1.51,1)*IF($B2852&lt;3,$D2852*'Expenditure Study'!$B$32*OFFSET('Expenditure Study'!$B$7,'Operations Support'!$C2852,'Operations Support'!$B2852),0)</f>
        <v>0</v>
      </c>
      <c r="X2852" s="200">
        <f ca="1">W2852*'Expenditure Study'!$B$31</f>
        <v>0</v>
      </c>
      <c r="Y2852" s="199">
        <f ca="1">U2852*'Expenditure Study'!$B$31</f>
        <v>0</v>
      </c>
      <c r="Z2852" s="200">
        <f ca="1">W2852*'Expenditure Study'!$B$31</f>
        <v>0</v>
      </c>
      <c r="AA2852" s="195">
        <f t="shared" ca="1" si="624"/>
        <v>0</v>
      </c>
      <c r="AB2852" s="195">
        <f t="shared" ca="1" si="625"/>
        <v>0</v>
      </c>
      <c r="AD2852" s="196">
        <f>IFERROR($G2852/SUMIF($A:$A,$A2852,$G:$G)*SUMIF(Summary!$A$166:$A$242,$A2852,Summary!$P$166:$P$242),0)</f>
        <v>0</v>
      </c>
      <c r="AE2852" s="197">
        <f t="shared" ca="1" si="626"/>
        <v>0</v>
      </c>
      <c r="AF2852" s="196">
        <f>IFERROR(G2852/SUMIF(A:A,A2852,G:G)*SUMIF(Summary!$A$166:$A$242,'Operations Support'!A2852,Summary!$Q$166:$Q$242),0)</f>
        <v>0</v>
      </c>
      <c r="AG2852" s="196">
        <f t="shared" ca="1" si="627"/>
        <v>0</v>
      </c>
      <c r="AI2852" s="196">
        <f>IFERROR($G2852/SUMIF($A:$A,$A2852,$G:$G)*SUMIF(Summary!$A$247:$A$283,$A2852,Summary!$P$247:$P$283),0)</f>
        <v>0</v>
      </c>
      <c r="AJ2852" s="196">
        <f>IFERROR($G2852/SUMIF($A:$A,$A2852,$G:$G)*(SUMIF(Summary!$A$247:$A$283,$A2852,Summary!$L$247:$L$283)+SUMIF(Summary!$A$297:$A$333,$A2852,Summary!$L$297:$L$333))-AI2852,0)</f>
        <v>0</v>
      </c>
      <c r="AK2852" s="196">
        <f>IFERROR($G2852/SUMIF($A:$A,$A2852,$G:$G)*SUMIF(Summary!$A$247:$A$283,$A2852,Summary!$Q$247:$Q$283),0)</f>
        <v>0</v>
      </c>
      <c r="AL2852" s="196">
        <f>IFERROR($G2852/SUMIF($A:$A,$A2852,$G:$G)*(SUMIF(Summary!$A$247:$A$283,$A2852,Summary!$L$247:$L$283)+SUMIF(Summary!$A$297:$A$333,$A2852,Summary!$L$297:$L$333))-AK2852,0)</f>
        <v>0</v>
      </c>
      <c r="AM2852" s="198"/>
      <c r="AN2852" s="196">
        <f t="shared" ca="1" si="628"/>
        <v>0</v>
      </c>
      <c r="AO2852" s="196">
        <f t="shared" ca="1" si="629"/>
        <v>0</v>
      </c>
    </row>
    <row r="2853" spans="1:41">
      <c r="A2853" s="189">
        <v>10298</v>
      </c>
      <c r="B2853" s="190">
        <v>1</v>
      </c>
      <c r="C2853" s="191" t="s">
        <v>233</v>
      </c>
      <c r="D2853" s="192">
        <f t="shared" si="616"/>
        <v>0</v>
      </c>
      <c r="E2853" s="192">
        <f t="shared" si="617"/>
        <v>73</v>
      </c>
      <c r="F2853" s="192">
        <f t="shared" si="618"/>
        <v>0</v>
      </c>
      <c r="G2853" s="193">
        <f t="shared" si="619"/>
        <v>110.23</v>
      </c>
      <c r="H2853" s="194">
        <v>0</v>
      </c>
      <c r="I2853" s="194">
        <v>57</v>
      </c>
      <c r="J2853" s="194">
        <v>0</v>
      </c>
      <c r="K2853" s="193">
        <f t="shared" si="620"/>
        <v>57</v>
      </c>
      <c r="L2853" s="194">
        <v>0</v>
      </c>
      <c r="M2853" s="194">
        <v>16</v>
      </c>
      <c r="N2853" s="194">
        <v>0</v>
      </c>
      <c r="O2853" s="193">
        <f t="shared" si="621"/>
        <v>16</v>
      </c>
      <c r="P2853" s="194">
        <v>0</v>
      </c>
      <c r="Q2853" s="194">
        <v>0</v>
      </c>
      <c r="R2853" s="194">
        <v>0</v>
      </c>
      <c r="S2853" s="193">
        <f t="shared" si="622"/>
        <v>0</v>
      </c>
      <c r="T2853" s="193">
        <f t="shared" si="623"/>
        <v>3.6743333333333337</v>
      </c>
      <c r="U2853" s="193">
        <f ca="1">OFFSET('Expenditure Study'!$B$7,'Operations Support'!$C2853,'Operations Support'!$B2853)*$G2853</f>
        <v>105.82080000000001</v>
      </c>
      <c r="V2853" s="199">
        <f ca="1">U2853*'Expenditure Study'!$B$31</f>
        <v>6252.2294588006407</v>
      </c>
      <c r="W2853" s="199">
        <f ca="1">IF(A2853=10298,1.51,1)*IF($B2853&lt;3,$D2853*'Expenditure Study'!$B$32*OFFSET('Expenditure Study'!$B$7,'Operations Support'!$C2853,'Operations Support'!$B2853),0)</f>
        <v>0</v>
      </c>
      <c r="X2853" s="200">
        <f ca="1">W2853*'Expenditure Study'!$B$31</f>
        <v>0</v>
      </c>
      <c r="Y2853" s="199">
        <f ca="1">U2853*'Expenditure Study'!$B$31</f>
        <v>6252.2294588006407</v>
      </c>
      <c r="Z2853" s="200">
        <f ca="1">W2853*'Expenditure Study'!$B$31</f>
        <v>0</v>
      </c>
      <c r="AA2853" s="195">
        <f t="shared" ca="1" si="624"/>
        <v>6252.2294588006407</v>
      </c>
      <c r="AB2853" s="195">
        <f t="shared" ca="1" si="625"/>
        <v>6252.2294588006407</v>
      </c>
      <c r="AD2853" s="196">
        <f>IFERROR($G2853/SUMIF($A:$A,$A2853,$G:$G)*SUMIF(Summary!$A$166:$A$242,$A2853,Summary!$P$166:$P$242),0)</f>
        <v>3508.4097255854736</v>
      </c>
      <c r="AE2853" s="197">
        <f t="shared" ca="1" si="626"/>
        <v>2743.8197332151672</v>
      </c>
      <c r="AF2853" s="196">
        <f>IFERROR(G2853/SUMIF(A:A,A2853,G:G)*SUMIF(Summary!$A$166:$A$242,'Operations Support'!A2853,Summary!$Q$166:$Q$242),0)</f>
        <v>3523.4547008691725</v>
      </c>
      <c r="AG2853" s="196">
        <f t="shared" ca="1" si="627"/>
        <v>2728.7747579314682</v>
      </c>
      <c r="AI2853" s="196">
        <f>IFERROR($G2853/SUMIF($A:$A,$A2853,$G:$G)*SUMIF(Summary!$A$247:$A$283,$A2853,Summary!$P$247:$P$283),0)</f>
        <v>639.84638255802133</v>
      </c>
      <c r="AJ2853" s="196">
        <f>IFERROR($G2853/SUMIF($A:$A,$A2853,$G:$G)*(SUMIF(Summary!$A$247:$A$283,$A2853,Summary!$L$247:$L$283)+SUMIF(Summary!$A$297:$A$333,$A2853,Summary!$L$297:$L$333))-AI2853,0)</f>
        <v>6100.1813630684574</v>
      </c>
      <c r="AK2853" s="196">
        <f>IFERROR($G2853/SUMIF($A:$A,$A2853,$G:$G)*SUMIF(Summary!$A$247:$A$283,$A2853,Summary!$Q$247:$Q$283),0)</f>
        <v>642.59021060659472</v>
      </c>
      <c r="AL2853" s="196">
        <f>IFERROR($G2853/SUMIF($A:$A,$A2853,$G:$G)*(SUMIF(Summary!$A$247:$A$283,$A2853,Summary!$L$247:$L$283)+SUMIF(Summary!$A$297:$A$333,$A2853,Summary!$L$297:$L$333))-AK2853,0)</f>
        <v>6097.4375350198834</v>
      </c>
      <c r="AM2853" s="198"/>
      <c r="AN2853" s="196">
        <f t="shared" ca="1" si="628"/>
        <v>8844.0010962836241</v>
      </c>
      <c r="AO2853" s="196">
        <f t="shared" ca="1" si="629"/>
        <v>8826.2122929513516</v>
      </c>
    </row>
    <row r="2854" spans="1:41">
      <c r="A2854" s="189">
        <v>10298</v>
      </c>
      <c r="B2854" s="190">
        <v>1</v>
      </c>
      <c r="C2854" s="191" t="s">
        <v>234</v>
      </c>
      <c r="D2854" s="192">
        <f t="shared" si="616"/>
        <v>0</v>
      </c>
      <c r="E2854" s="192">
        <f t="shared" si="617"/>
        <v>0</v>
      </c>
      <c r="F2854" s="192">
        <f t="shared" si="618"/>
        <v>0</v>
      </c>
      <c r="G2854" s="193">
        <f t="shared" si="619"/>
        <v>0</v>
      </c>
      <c r="H2854" s="194">
        <v>0</v>
      </c>
      <c r="I2854" s="194">
        <v>0</v>
      </c>
      <c r="J2854" s="194">
        <v>0</v>
      </c>
      <c r="K2854" s="193">
        <f t="shared" si="620"/>
        <v>0</v>
      </c>
      <c r="L2854" s="194">
        <v>0</v>
      </c>
      <c r="M2854" s="194">
        <v>0</v>
      </c>
      <c r="N2854" s="194">
        <v>0</v>
      </c>
      <c r="O2854" s="193">
        <f t="shared" si="621"/>
        <v>0</v>
      </c>
      <c r="P2854" s="194">
        <v>0</v>
      </c>
      <c r="Q2854" s="194">
        <v>0</v>
      </c>
      <c r="R2854" s="194">
        <v>0</v>
      </c>
      <c r="S2854" s="193">
        <f t="shared" si="622"/>
        <v>0</v>
      </c>
      <c r="T2854" s="193">
        <f t="shared" si="623"/>
        <v>0</v>
      </c>
      <c r="U2854" s="193">
        <f ca="1">OFFSET('Expenditure Study'!$B$7,'Operations Support'!$C2854,'Operations Support'!$B2854)*$G2854</f>
        <v>0</v>
      </c>
      <c r="V2854" s="199">
        <f ca="1">U2854*'Expenditure Study'!$B$31</f>
        <v>0</v>
      </c>
      <c r="W2854" s="199">
        <f ca="1">IF(A2854=10298,1.51,1)*IF($B2854&lt;3,$D2854*'Expenditure Study'!$B$32*OFFSET('Expenditure Study'!$B$7,'Operations Support'!$C2854,'Operations Support'!$B2854),0)</f>
        <v>0</v>
      </c>
      <c r="X2854" s="200">
        <f ca="1">W2854*'Expenditure Study'!$B$31</f>
        <v>0</v>
      </c>
      <c r="Y2854" s="199">
        <f ca="1">U2854*'Expenditure Study'!$B$31</f>
        <v>0</v>
      </c>
      <c r="Z2854" s="200">
        <f ca="1">W2854*'Expenditure Study'!$B$31</f>
        <v>0</v>
      </c>
      <c r="AA2854" s="195">
        <f t="shared" ca="1" si="624"/>
        <v>0</v>
      </c>
      <c r="AB2854" s="195">
        <f t="shared" ca="1" si="625"/>
        <v>0</v>
      </c>
      <c r="AD2854" s="196">
        <f>IFERROR($G2854/SUMIF($A:$A,$A2854,$G:$G)*SUMIF(Summary!$A$166:$A$242,$A2854,Summary!$P$166:$P$242),0)</f>
        <v>0</v>
      </c>
      <c r="AE2854" s="197">
        <f t="shared" ca="1" si="626"/>
        <v>0</v>
      </c>
      <c r="AF2854" s="196">
        <f>IFERROR(G2854/SUMIF(A:A,A2854,G:G)*SUMIF(Summary!$A$166:$A$242,'Operations Support'!A2854,Summary!$Q$166:$Q$242),0)</f>
        <v>0</v>
      </c>
      <c r="AG2854" s="196">
        <f t="shared" ca="1" si="627"/>
        <v>0</v>
      </c>
      <c r="AI2854" s="196">
        <f>IFERROR($G2854/SUMIF($A:$A,$A2854,$G:$G)*SUMIF(Summary!$A$247:$A$283,$A2854,Summary!$P$247:$P$283),0)</f>
        <v>0</v>
      </c>
      <c r="AJ2854" s="196">
        <f>IFERROR($G2854/SUMIF($A:$A,$A2854,$G:$G)*(SUMIF(Summary!$A$247:$A$283,$A2854,Summary!$L$247:$L$283)+SUMIF(Summary!$A$297:$A$333,$A2854,Summary!$L$297:$L$333))-AI2854,0)</f>
        <v>0</v>
      </c>
      <c r="AK2854" s="196">
        <f>IFERROR($G2854/SUMIF($A:$A,$A2854,$G:$G)*SUMIF(Summary!$A$247:$A$283,$A2854,Summary!$Q$247:$Q$283),0)</f>
        <v>0</v>
      </c>
      <c r="AL2854" s="196">
        <f>IFERROR($G2854/SUMIF($A:$A,$A2854,$G:$G)*(SUMIF(Summary!$A$247:$A$283,$A2854,Summary!$L$247:$L$283)+SUMIF(Summary!$A$297:$A$333,$A2854,Summary!$L$297:$L$333))-AK2854,0)</f>
        <v>0</v>
      </c>
      <c r="AM2854" s="198"/>
      <c r="AN2854" s="196">
        <f t="shared" ca="1" si="628"/>
        <v>0</v>
      </c>
      <c r="AO2854" s="196">
        <f t="shared" ca="1" si="629"/>
        <v>0</v>
      </c>
    </row>
    <row r="2855" spans="1:41">
      <c r="A2855" s="189">
        <v>10298</v>
      </c>
      <c r="B2855" s="190">
        <v>1</v>
      </c>
      <c r="C2855" s="191" t="s">
        <v>235</v>
      </c>
      <c r="D2855" s="192">
        <f t="shared" si="616"/>
        <v>209</v>
      </c>
      <c r="E2855" s="192">
        <f t="shared" si="617"/>
        <v>1507</v>
      </c>
      <c r="F2855" s="192">
        <f t="shared" si="618"/>
        <v>0</v>
      </c>
      <c r="G2855" s="193">
        <f t="shared" si="619"/>
        <v>2591.16</v>
      </c>
      <c r="H2855" s="194">
        <v>89</v>
      </c>
      <c r="I2855" s="194">
        <v>512</v>
      </c>
      <c r="J2855" s="194">
        <v>0</v>
      </c>
      <c r="K2855" s="193">
        <f t="shared" si="620"/>
        <v>601</v>
      </c>
      <c r="L2855" s="194">
        <v>99</v>
      </c>
      <c r="M2855" s="194">
        <v>950</v>
      </c>
      <c r="N2855" s="194">
        <v>0</v>
      </c>
      <c r="O2855" s="193">
        <f t="shared" si="621"/>
        <v>1049</v>
      </c>
      <c r="P2855" s="194">
        <v>21</v>
      </c>
      <c r="Q2855" s="194">
        <v>45</v>
      </c>
      <c r="R2855" s="194">
        <v>0</v>
      </c>
      <c r="S2855" s="193">
        <f t="shared" si="622"/>
        <v>66</v>
      </c>
      <c r="T2855" s="193">
        <f t="shared" si="623"/>
        <v>86.372</v>
      </c>
      <c r="U2855" s="193">
        <f ca="1">OFFSET('Expenditure Study'!$B$7,'Operations Support'!$C2855,'Operations Support'!$B2855)*$G2855</f>
        <v>2850.2760000000003</v>
      </c>
      <c r="V2855" s="199">
        <f ca="1">U2855*'Expenditure Study'!$B$31</f>
        <v>168403.37223790082</v>
      </c>
      <c r="W2855" s="199">
        <f ca="1">IF(A2855=10298,1.51,1)*IF($B2855&lt;3,$D2855*'Expenditure Study'!$B$32*OFFSET('Expenditure Study'!$B$7,'Operations Support'!$C2855,'Operations Support'!$B2855),0)</f>
        <v>34.714900000000007</v>
      </c>
      <c r="X2855" s="200">
        <f ca="1">W2855*'Expenditure Study'!$B$31</f>
        <v>2051.0667131539203</v>
      </c>
      <c r="Y2855" s="199">
        <f ca="1">U2855*'Expenditure Study'!$B$31</f>
        <v>168403.37223790082</v>
      </c>
      <c r="Z2855" s="200">
        <f ca="1">W2855*'Expenditure Study'!$B$31</f>
        <v>2051.0667131539203</v>
      </c>
      <c r="AA2855" s="195">
        <f t="shared" ca="1" si="624"/>
        <v>170454.43895105473</v>
      </c>
      <c r="AB2855" s="195">
        <f t="shared" ca="1" si="625"/>
        <v>170454.43895105473</v>
      </c>
      <c r="AD2855" s="196">
        <f>IFERROR($G2855/SUMIF($A:$A,$A2855,$G:$G)*SUMIF(Summary!$A$166:$A$242,$A2855,Summary!$P$166:$P$242),0)</f>
        <v>82471.658754858523</v>
      </c>
      <c r="AE2855" s="197">
        <f t="shared" ca="1" si="626"/>
        <v>87982.78019619621</v>
      </c>
      <c r="AF2855" s="196">
        <f>IFERROR(G2855/SUMIF(A:A,A2855,G:G)*SUMIF(Summary!$A$166:$A$242,'Operations Support'!A2855,Summary!$Q$166:$Q$242),0)</f>
        <v>82825.318721801363</v>
      </c>
      <c r="AG2855" s="196">
        <f t="shared" ca="1" si="627"/>
        <v>87629.120229253371</v>
      </c>
      <c r="AI2855" s="196">
        <f>IFERROR($G2855/SUMIF($A:$A,$A2855,$G:$G)*SUMIF(Summary!$A$247:$A$283,$A2855,Summary!$P$247:$P$283),0)</f>
        <v>15040.772499583076</v>
      </c>
      <c r="AJ2855" s="196">
        <f>IFERROR($G2855/SUMIF($A:$A,$A2855,$G:$G)*(SUMIF(Summary!$A$247:$A$283,$A2855,Summary!$L$247:$L$283)+SUMIF(Summary!$A$297:$A$333,$A2855,Summary!$L$297:$L$333))-AI2855,0)</f>
        <v>143396.04409623935</v>
      </c>
      <c r="AK2855" s="196">
        <f>IFERROR($G2855/SUMIF($A:$A,$A2855,$G:$G)*SUMIF(Summary!$A$247:$A$283,$A2855,Summary!$Q$247:$Q$283),0)</f>
        <v>15105.271252067349</v>
      </c>
      <c r="AL2855" s="196">
        <f>IFERROR($G2855/SUMIF($A:$A,$A2855,$G:$G)*(SUMIF(Summary!$A$247:$A$283,$A2855,Summary!$L$247:$L$283)+SUMIF(Summary!$A$297:$A$333,$A2855,Summary!$L$297:$L$333))-AK2855,0)</f>
        <v>143331.54534375508</v>
      </c>
      <c r="AM2855" s="198"/>
      <c r="AN2855" s="196">
        <f t="shared" ca="1" si="628"/>
        <v>231378.82429243554</v>
      </c>
      <c r="AO2855" s="196">
        <f t="shared" ca="1" si="629"/>
        <v>230960.66557300845</v>
      </c>
    </row>
    <row r="2856" spans="1:41">
      <c r="A2856" s="189">
        <v>10298</v>
      </c>
      <c r="B2856" s="190">
        <v>1</v>
      </c>
      <c r="C2856" s="191" t="s">
        <v>236</v>
      </c>
      <c r="D2856" s="192">
        <f t="shared" si="616"/>
        <v>0</v>
      </c>
      <c r="E2856" s="192">
        <f t="shared" si="617"/>
        <v>0</v>
      </c>
      <c r="F2856" s="192">
        <f t="shared" si="618"/>
        <v>0</v>
      </c>
      <c r="G2856" s="193">
        <f t="shared" si="619"/>
        <v>0</v>
      </c>
      <c r="H2856" s="194">
        <v>0</v>
      </c>
      <c r="I2856" s="194">
        <v>0</v>
      </c>
      <c r="J2856" s="194">
        <v>0</v>
      </c>
      <c r="K2856" s="193">
        <f t="shared" si="620"/>
        <v>0</v>
      </c>
      <c r="L2856" s="194">
        <v>0</v>
      </c>
      <c r="M2856" s="194">
        <v>0</v>
      </c>
      <c r="N2856" s="194">
        <v>0</v>
      </c>
      <c r="O2856" s="193">
        <f t="shared" si="621"/>
        <v>0</v>
      </c>
      <c r="P2856" s="194">
        <v>0</v>
      </c>
      <c r="Q2856" s="194">
        <v>0</v>
      </c>
      <c r="R2856" s="194">
        <v>0</v>
      </c>
      <c r="S2856" s="193">
        <f t="shared" si="622"/>
        <v>0</v>
      </c>
      <c r="T2856" s="193">
        <f t="shared" si="623"/>
        <v>0</v>
      </c>
      <c r="U2856" s="193">
        <f ca="1">OFFSET('Expenditure Study'!$B$7,'Operations Support'!$C2856,'Operations Support'!$B2856)*$G2856</f>
        <v>0</v>
      </c>
      <c r="V2856" s="199">
        <f ca="1">U2856*'Expenditure Study'!$B$31</f>
        <v>0</v>
      </c>
      <c r="W2856" s="199">
        <f ca="1">IF(A2856=10298,1.51,1)*IF($B2856&lt;3,$D2856*'Expenditure Study'!$B$32*OFFSET('Expenditure Study'!$B$7,'Operations Support'!$C2856,'Operations Support'!$B2856),0)</f>
        <v>0</v>
      </c>
      <c r="X2856" s="200">
        <f ca="1">W2856*'Expenditure Study'!$B$31</f>
        <v>0</v>
      </c>
      <c r="Y2856" s="199">
        <f ca="1">U2856*'Expenditure Study'!$B$31</f>
        <v>0</v>
      </c>
      <c r="Z2856" s="200">
        <f ca="1">W2856*'Expenditure Study'!$B$31</f>
        <v>0</v>
      </c>
      <c r="AA2856" s="195">
        <f t="shared" ca="1" si="624"/>
        <v>0</v>
      </c>
      <c r="AB2856" s="195">
        <f t="shared" ca="1" si="625"/>
        <v>0</v>
      </c>
      <c r="AD2856" s="196">
        <f>IFERROR($G2856/SUMIF($A:$A,$A2856,$G:$G)*SUMIF(Summary!$A$166:$A$242,$A2856,Summary!$P$166:$P$242),0)</f>
        <v>0</v>
      </c>
      <c r="AE2856" s="197">
        <f t="shared" ca="1" si="626"/>
        <v>0</v>
      </c>
      <c r="AF2856" s="196">
        <f>IFERROR(G2856/SUMIF(A:A,A2856,G:G)*SUMIF(Summary!$A$166:$A$242,'Operations Support'!A2856,Summary!$Q$166:$Q$242),0)</f>
        <v>0</v>
      </c>
      <c r="AG2856" s="196">
        <f t="shared" ca="1" si="627"/>
        <v>0</v>
      </c>
      <c r="AI2856" s="196">
        <f>IFERROR($G2856/SUMIF($A:$A,$A2856,$G:$G)*SUMIF(Summary!$A$247:$A$283,$A2856,Summary!$P$247:$P$283),0)</f>
        <v>0</v>
      </c>
      <c r="AJ2856" s="196">
        <f>IFERROR($G2856/SUMIF($A:$A,$A2856,$G:$G)*(SUMIF(Summary!$A$247:$A$283,$A2856,Summary!$L$247:$L$283)+SUMIF(Summary!$A$297:$A$333,$A2856,Summary!$L$297:$L$333))-AI2856,0)</f>
        <v>0</v>
      </c>
      <c r="AK2856" s="196">
        <f>IFERROR($G2856/SUMIF($A:$A,$A2856,$G:$G)*SUMIF(Summary!$A$247:$A$283,$A2856,Summary!$Q$247:$Q$283),0)</f>
        <v>0</v>
      </c>
      <c r="AL2856" s="196">
        <f>IFERROR($G2856/SUMIF($A:$A,$A2856,$G:$G)*(SUMIF(Summary!$A$247:$A$283,$A2856,Summary!$L$247:$L$283)+SUMIF(Summary!$A$297:$A$333,$A2856,Summary!$L$297:$L$333))-AK2856,0)</f>
        <v>0</v>
      </c>
      <c r="AM2856" s="198"/>
      <c r="AN2856" s="196">
        <f t="shared" ca="1" si="628"/>
        <v>0</v>
      </c>
      <c r="AO2856" s="196">
        <f t="shared" ca="1" si="629"/>
        <v>0</v>
      </c>
    </row>
    <row r="2857" spans="1:41">
      <c r="A2857" s="189">
        <v>10298</v>
      </c>
      <c r="B2857" s="190">
        <v>1</v>
      </c>
      <c r="C2857" s="191" t="s">
        <v>237</v>
      </c>
      <c r="D2857" s="192">
        <f t="shared" si="616"/>
        <v>0</v>
      </c>
      <c r="E2857" s="192">
        <f t="shared" si="617"/>
        <v>0</v>
      </c>
      <c r="F2857" s="192">
        <f t="shared" si="618"/>
        <v>0</v>
      </c>
      <c r="G2857" s="193">
        <f t="shared" si="619"/>
        <v>0</v>
      </c>
      <c r="H2857" s="194">
        <v>0</v>
      </c>
      <c r="I2857" s="194">
        <v>0</v>
      </c>
      <c r="J2857" s="194">
        <v>0</v>
      </c>
      <c r="K2857" s="193">
        <f t="shared" si="620"/>
        <v>0</v>
      </c>
      <c r="L2857" s="194">
        <v>0</v>
      </c>
      <c r="M2857" s="194">
        <v>0</v>
      </c>
      <c r="N2857" s="194">
        <v>0</v>
      </c>
      <c r="O2857" s="193">
        <f t="shared" si="621"/>
        <v>0</v>
      </c>
      <c r="P2857" s="194">
        <v>0</v>
      </c>
      <c r="Q2857" s="194">
        <v>0</v>
      </c>
      <c r="R2857" s="194">
        <v>0</v>
      </c>
      <c r="S2857" s="193">
        <f t="shared" si="622"/>
        <v>0</v>
      </c>
      <c r="T2857" s="193">
        <f t="shared" si="623"/>
        <v>0</v>
      </c>
      <c r="U2857" s="193">
        <f ca="1">OFFSET('Expenditure Study'!$B$7,'Operations Support'!$C2857,'Operations Support'!$B2857)*$G2857</f>
        <v>0</v>
      </c>
      <c r="V2857" s="199">
        <f ca="1">U2857*'Expenditure Study'!$B$31</f>
        <v>0</v>
      </c>
      <c r="W2857" s="199">
        <f ca="1">IF(A2857=10298,1.51,1)*IF($B2857&lt;3,$D2857*'Expenditure Study'!$B$32*OFFSET('Expenditure Study'!$B$7,'Operations Support'!$C2857,'Operations Support'!$B2857),0)</f>
        <v>0</v>
      </c>
      <c r="X2857" s="200">
        <f ca="1">W2857*'Expenditure Study'!$B$31</f>
        <v>0</v>
      </c>
      <c r="Y2857" s="199">
        <f ca="1">U2857*'Expenditure Study'!$B$31</f>
        <v>0</v>
      </c>
      <c r="Z2857" s="200">
        <f ca="1">W2857*'Expenditure Study'!$B$31</f>
        <v>0</v>
      </c>
      <c r="AA2857" s="195">
        <f t="shared" ca="1" si="624"/>
        <v>0</v>
      </c>
      <c r="AB2857" s="195">
        <f t="shared" ca="1" si="625"/>
        <v>0</v>
      </c>
      <c r="AD2857" s="196">
        <f>IFERROR($G2857/SUMIF($A:$A,$A2857,$G:$G)*SUMIF(Summary!$A$166:$A$242,$A2857,Summary!$P$166:$P$242),0)</f>
        <v>0</v>
      </c>
      <c r="AE2857" s="197">
        <f t="shared" ca="1" si="626"/>
        <v>0</v>
      </c>
      <c r="AF2857" s="196">
        <f>IFERROR(G2857/SUMIF(A:A,A2857,G:G)*SUMIF(Summary!$A$166:$A$242,'Operations Support'!A2857,Summary!$Q$166:$Q$242),0)</f>
        <v>0</v>
      </c>
      <c r="AG2857" s="196">
        <f t="shared" ca="1" si="627"/>
        <v>0</v>
      </c>
      <c r="AI2857" s="196">
        <f>IFERROR($G2857/SUMIF($A:$A,$A2857,$G:$G)*SUMIF(Summary!$A$247:$A$283,$A2857,Summary!$P$247:$P$283),0)</f>
        <v>0</v>
      </c>
      <c r="AJ2857" s="196">
        <f>IFERROR($G2857/SUMIF($A:$A,$A2857,$G:$G)*(SUMIF(Summary!$A$247:$A$283,$A2857,Summary!$L$247:$L$283)+SUMIF(Summary!$A$297:$A$333,$A2857,Summary!$L$297:$L$333))-AI2857,0)</f>
        <v>0</v>
      </c>
      <c r="AK2857" s="196">
        <f>IFERROR($G2857/SUMIF($A:$A,$A2857,$G:$G)*SUMIF(Summary!$A$247:$A$283,$A2857,Summary!$Q$247:$Q$283),0)</f>
        <v>0</v>
      </c>
      <c r="AL2857" s="196">
        <f>IFERROR($G2857/SUMIF($A:$A,$A2857,$G:$G)*(SUMIF(Summary!$A$247:$A$283,$A2857,Summary!$L$247:$L$283)+SUMIF(Summary!$A$297:$A$333,$A2857,Summary!$L$297:$L$333))-AK2857,0)</f>
        <v>0</v>
      </c>
      <c r="AM2857" s="198"/>
      <c r="AN2857" s="196">
        <f t="shared" ca="1" si="628"/>
        <v>0</v>
      </c>
      <c r="AO2857" s="196">
        <f t="shared" ca="1" si="629"/>
        <v>0</v>
      </c>
    </row>
    <row r="2858" spans="1:41">
      <c r="A2858" s="189">
        <v>10298</v>
      </c>
      <c r="B2858" s="190">
        <v>1</v>
      </c>
      <c r="C2858" s="191" t="s">
        <v>238</v>
      </c>
      <c r="D2858" s="192">
        <f t="shared" si="616"/>
        <v>27</v>
      </c>
      <c r="E2858" s="192">
        <f t="shared" si="617"/>
        <v>435</v>
      </c>
      <c r="F2858" s="192">
        <f t="shared" si="618"/>
        <v>0</v>
      </c>
      <c r="G2858" s="193">
        <f t="shared" si="619"/>
        <v>697.62</v>
      </c>
      <c r="H2858" s="194">
        <v>3</v>
      </c>
      <c r="I2858" s="194">
        <v>167</v>
      </c>
      <c r="J2858" s="194">
        <v>0</v>
      </c>
      <c r="K2858" s="193">
        <f t="shared" si="620"/>
        <v>170</v>
      </c>
      <c r="L2858" s="194">
        <v>0</v>
      </c>
      <c r="M2858" s="194">
        <v>208</v>
      </c>
      <c r="N2858" s="194">
        <v>0</v>
      </c>
      <c r="O2858" s="193">
        <f t="shared" si="621"/>
        <v>208</v>
      </c>
      <c r="P2858" s="194">
        <v>24</v>
      </c>
      <c r="Q2858" s="194">
        <v>60</v>
      </c>
      <c r="R2858" s="194">
        <v>0</v>
      </c>
      <c r="S2858" s="193">
        <f t="shared" si="622"/>
        <v>84</v>
      </c>
      <c r="T2858" s="193">
        <f t="shared" si="623"/>
        <v>23.254000000000001</v>
      </c>
      <c r="U2858" s="193">
        <f ca="1">OFFSET('Expenditure Study'!$B$7,'Operations Support'!$C2858,'Operations Support'!$B2858)*$G2858</f>
        <v>1241.7636</v>
      </c>
      <c r="V2858" s="199">
        <f ca="1">U2858*'Expenditure Study'!$B$31</f>
        <v>73367.343289658878</v>
      </c>
      <c r="W2858" s="199">
        <f ca="1">IF(A2858=10298,1.51,1)*IF($B2858&lt;3,$D2858*'Expenditure Study'!$B$32*OFFSET('Expenditure Study'!$B$7,'Operations Support'!$C2858,'Operations Support'!$B2858),0)</f>
        <v>7.2570600000000001</v>
      </c>
      <c r="X2858" s="200">
        <f ca="1">W2858*'Expenditure Study'!$B$31</f>
        <v>428.77018805644803</v>
      </c>
      <c r="Y2858" s="199">
        <f ca="1">U2858*'Expenditure Study'!$B$31</f>
        <v>73367.343289658878</v>
      </c>
      <c r="Z2858" s="200">
        <f ca="1">W2858*'Expenditure Study'!$B$31</f>
        <v>428.77018805644803</v>
      </c>
      <c r="AA2858" s="195">
        <f t="shared" ca="1" si="624"/>
        <v>73796.11347771532</v>
      </c>
      <c r="AB2858" s="195">
        <f t="shared" ca="1" si="625"/>
        <v>73796.11347771532</v>
      </c>
      <c r="AD2858" s="196">
        <f>IFERROR($G2858/SUMIF($A:$A,$A2858,$G:$G)*SUMIF(Summary!$A$166:$A$242,$A2858,Summary!$P$166:$P$242),0)</f>
        <v>22203.908126308062</v>
      </c>
      <c r="AE2858" s="197">
        <f t="shared" ca="1" si="626"/>
        <v>51592.205351407261</v>
      </c>
      <c r="AF2858" s="196">
        <f>IFERROR(G2858/SUMIF(A:A,A2858,G:G)*SUMIF(Summary!$A$166:$A$242,'Operations Support'!A2858,Summary!$Q$166:$Q$242),0)</f>
        <v>22299.124271254212</v>
      </c>
      <c r="AG2858" s="196">
        <f t="shared" ca="1" si="627"/>
        <v>51496.989206461105</v>
      </c>
      <c r="AI2858" s="196">
        <f>IFERROR($G2858/SUMIF($A:$A,$A2858,$G:$G)*SUMIF(Summary!$A$247:$A$283,$A2858,Summary!$P$247:$P$283),0)</f>
        <v>4049.4387498877509</v>
      </c>
      <c r="AJ2858" s="196">
        <f>IFERROR($G2858/SUMIF($A:$A,$A2858,$G:$G)*(SUMIF(Summary!$A$247:$A$283,$A2858,Summary!$L$247:$L$283)+SUMIF(Summary!$A$297:$A$333,$A2858,Summary!$L$297:$L$333))-AI2858,0)</f>
        <v>38606.627256679829</v>
      </c>
      <c r="AK2858" s="196">
        <f>IFERROR($G2858/SUMIF($A:$A,$A2858,$G:$G)*SUMIF(Summary!$A$247:$A$283,$A2858,Summary!$Q$247:$Q$283),0)</f>
        <v>4066.8037986335171</v>
      </c>
      <c r="AL2858" s="196">
        <f>IFERROR($G2858/SUMIF($A:$A,$A2858,$G:$G)*(SUMIF(Summary!$A$247:$A$283,$A2858,Summary!$L$247:$L$283)+SUMIF(Summary!$A$297:$A$333,$A2858,Summary!$L$297:$L$333))-AK2858,0)</f>
        <v>38589.262207934058</v>
      </c>
      <c r="AM2858" s="198"/>
      <c r="AN2858" s="196">
        <f t="shared" ca="1" si="628"/>
        <v>90198.83260808709</v>
      </c>
      <c r="AO2858" s="196">
        <f t="shared" ca="1" si="629"/>
        <v>90086.25141439517</v>
      </c>
    </row>
    <row r="2859" spans="1:41">
      <c r="A2859" s="189">
        <v>10298</v>
      </c>
      <c r="B2859" s="190">
        <v>1</v>
      </c>
      <c r="C2859" s="191" t="s">
        <v>239</v>
      </c>
      <c r="D2859" s="192">
        <f t="shared" si="616"/>
        <v>0</v>
      </c>
      <c r="E2859" s="192">
        <f t="shared" si="617"/>
        <v>0</v>
      </c>
      <c r="F2859" s="192">
        <f t="shared" si="618"/>
        <v>0</v>
      </c>
      <c r="G2859" s="193">
        <f t="shared" si="619"/>
        <v>0</v>
      </c>
      <c r="H2859" s="194">
        <v>0</v>
      </c>
      <c r="I2859" s="194">
        <v>0</v>
      </c>
      <c r="J2859" s="194">
        <v>0</v>
      </c>
      <c r="K2859" s="193">
        <f t="shared" si="620"/>
        <v>0</v>
      </c>
      <c r="L2859" s="194">
        <v>0</v>
      </c>
      <c r="M2859" s="194">
        <v>0</v>
      </c>
      <c r="N2859" s="194">
        <v>0</v>
      </c>
      <c r="O2859" s="193">
        <f t="shared" si="621"/>
        <v>0</v>
      </c>
      <c r="P2859" s="194">
        <v>0</v>
      </c>
      <c r="Q2859" s="194">
        <v>0</v>
      </c>
      <c r="R2859" s="194">
        <v>0</v>
      </c>
      <c r="S2859" s="193">
        <f t="shared" si="622"/>
        <v>0</v>
      </c>
      <c r="T2859" s="193">
        <f t="shared" si="623"/>
        <v>0</v>
      </c>
      <c r="U2859" s="193">
        <f ca="1">OFFSET('Expenditure Study'!$B$7,'Operations Support'!$C2859,'Operations Support'!$B2859)*$G2859</f>
        <v>0</v>
      </c>
      <c r="V2859" s="199">
        <f ca="1">U2859*'Expenditure Study'!$B$31</f>
        <v>0</v>
      </c>
      <c r="W2859" s="199">
        <f ca="1">IF(A2859=10298,1.51,1)*IF($B2859&lt;3,$D2859*'Expenditure Study'!$B$32*OFFSET('Expenditure Study'!$B$7,'Operations Support'!$C2859,'Operations Support'!$B2859),0)</f>
        <v>0</v>
      </c>
      <c r="X2859" s="200">
        <f ca="1">W2859*'Expenditure Study'!$B$31</f>
        <v>0</v>
      </c>
      <c r="Y2859" s="199">
        <f ca="1">U2859*'Expenditure Study'!$B$31</f>
        <v>0</v>
      </c>
      <c r="Z2859" s="200">
        <f ca="1">W2859*'Expenditure Study'!$B$31</f>
        <v>0</v>
      </c>
      <c r="AA2859" s="195">
        <f t="shared" ca="1" si="624"/>
        <v>0</v>
      </c>
      <c r="AB2859" s="195">
        <f t="shared" ca="1" si="625"/>
        <v>0</v>
      </c>
      <c r="AD2859" s="196">
        <f>IFERROR($G2859/SUMIF($A:$A,$A2859,$G:$G)*SUMIF(Summary!$A$166:$A$242,$A2859,Summary!$P$166:$P$242),0)</f>
        <v>0</v>
      </c>
      <c r="AE2859" s="197">
        <f t="shared" ca="1" si="626"/>
        <v>0</v>
      </c>
      <c r="AF2859" s="196">
        <f>IFERROR(G2859/SUMIF(A:A,A2859,G:G)*SUMIF(Summary!$A$166:$A$242,'Operations Support'!A2859,Summary!$Q$166:$Q$242),0)</f>
        <v>0</v>
      </c>
      <c r="AG2859" s="196">
        <f t="shared" ca="1" si="627"/>
        <v>0</v>
      </c>
      <c r="AI2859" s="196">
        <f>IFERROR($G2859/SUMIF($A:$A,$A2859,$G:$G)*SUMIF(Summary!$A$247:$A$283,$A2859,Summary!$P$247:$P$283),0)</f>
        <v>0</v>
      </c>
      <c r="AJ2859" s="196">
        <f>IFERROR($G2859/SUMIF($A:$A,$A2859,$G:$G)*(SUMIF(Summary!$A$247:$A$283,$A2859,Summary!$L$247:$L$283)+SUMIF(Summary!$A$297:$A$333,$A2859,Summary!$L$297:$L$333))-AI2859,0)</f>
        <v>0</v>
      </c>
      <c r="AK2859" s="196">
        <f>IFERROR($G2859/SUMIF($A:$A,$A2859,$G:$G)*SUMIF(Summary!$A$247:$A$283,$A2859,Summary!$Q$247:$Q$283),0)</f>
        <v>0</v>
      </c>
      <c r="AL2859" s="196">
        <f>IFERROR($G2859/SUMIF($A:$A,$A2859,$G:$G)*(SUMIF(Summary!$A$247:$A$283,$A2859,Summary!$L$247:$L$283)+SUMIF(Summary!$A$297:$A$333,$A2859,Summary!$L$297:$L$333))-AK2859,0)</f>
        <v>0</v>
      </c>
      <c r="AM2859" s="198"/>
      <c r="AN2859" s="196">
        <f t="shared" ca="1" si="628"/>
        <v>0</v>
      </c>
      <c r="AO2859" s="196">
        <f t="shared" ca="1" si="629"/>
        <v>0</v>
      </c>
    </row>
    <row r="2860" spans="1:41">
      <c r="A2860" s="189">
        <v>10298</v>
      </c>
      <c r="B2860" s="190">
        <v>1</v>
      </c>
      <c r="C2860" s="191" t="s">
        <v>240</v>
      </c>
      <c r="D2860" s="192">
        <f t="shared" si="616"/>
        <v>0</v>
      </c>
      <c r="E2860" s="192">
        <f t="shared" si="617"/>
        <v>0</v>
      </c>
      <c r="F2860" s="192">
        <f t="shared" si="618"/>
        <v>0</v>
      </c>
      <c r="G2860" s="193">
        <f t="shared" si="619"/>
        <v>0</v>
      </c>
      <c r="H2860" s="194">
        <v>0</v>
      </c>
      <c r="I2860" s="194">
        <v>0</v>
      </c>
      <c r="J2860" s="194">
        <v>0</v>
      </c>
      <c r="K2860" s="193">
        <f t="shared" si="620"/>
        <v>0</v>
      </c>
      <c r="L2860" s="194">
        <v>0</v>
      </c>
      <c r="M2860" s="194">
        <v>0</v>
      </c>
      <c r="N2860" s="194">
        <v>0</v>
      </c>
      <c r="O2860" s="193">
        <f t="shared" si="621"/>
        <v>0</v>
      </c>
      <c r="P2860" s="194">
        <v>0</v>
      </c>
      <c r="Q2860" s="194">
        <v>0</v>
      </c>
      <c r="R2860" s="194">
        <v>0</v>
      </c>
      <c r="S2860" s="193">
        <f t="shared" si="622"/>
        <v>0</v>
      </c>
      <c r="T2860" s="193">
        <f t="shared" si="623"/>
        <v>0</v>
      </c>
      <c r="U2860" s="193">
        <f ca="1">OFFSET('Expenditure Study'!$B$7,'Operations Support'!$C2860,'Operations Support'!$B2860)*$G2860</f>
        <v>0</v>
      </c>
      <c r="V2860" s="199">
        <f ca="1">U2860*'Expenditure Study'!$B$31</f>
        <v>0</v>
      </c>
      <c r="W2860" s="199">
        <f ca="1">IF(A2860=10298,1.51,1)*IF($B2860&lt;3,$D2860*'Expenditure Study'!$B$32*OFFSET('Expenditure Study'!$B$7,'Operations Support'!$C2860,'Operations Support'!$B2860),0)</f>
        <v>0</v>
      </c>
      <c r="X2860" s="200">
        <f ca="1">W2860*'Expenditure Study'!$B$31</f>
        <v>0</v>
      </c>
      <c r="Y2860" s="199">
        <f ca="1">U2860*'Expenditure Study'!$B$31</f>
        <v>0</v>
      </c>
      <c r="Z2860" s="200">
        <f ca="1">W2860*'Expenditure Study'!$B$31</f>
        <v>0</v>
      </c>
      <c r="AA2860" s="195">
        <f t="shared" ca="1" si="624"/>
        <v>0</v>
      </c>
      <c r="AB2860" s="195">
        <f t="shared" ca="1" si="625"/>
        <v>0</v>
      </c>
      <c r="AD2860" s="196">
        <f>IFERROR($G2860/SUMIF($A:$A,$A2860,$G:$G)*SUMIF(Summary!$A$166:$A$242,$A2860,Summary!$P$166:$P$242),0)</f>
        <v>0</v>
      </c>
      <c r="AE2860" s="197">
        <f t="shared" ca="1" si="626"/>
        <v>0</v>
      </c>
      <c r="AF2860" s="196">
        <f>IFERROR(G2860/SUMIF(A:A,A2860,G:G)*SUMIF(Summary!$A$166:$A$242,'Operations Support'!A2860,Summary!$Q$166:$Q$242),0)</f>
        <v>0</v>
      </c>
      <c r="AG2860" s="196">
        <f t="shared" ca="1" si="627"/>
        <v>0</v>
      </c>
      <c r="AI2860" s="196">
        <f>IFERROR($G2860/SUMIF($A:$A,$A2860,$G:$G)*SUMIF(Summary!$A$247:$A$283,$A2860,Summary!$P$247:$P$283),0)</f>
        <v>0</v>
      </c>
      <c r="AJ2860" s="196">
        <f>IFERROR($G2860/SUMIF($A:$A,$A2860,$G:$G)*(SUMIF(Summary!$A$247:$A$283,$A2860,Summary!$L$247:$L$283)+SUMIF(Summary!$A$297:$A$333,$A2860,Summary!$L$297:$L$333))-AI2860,0)</f>
        <v>0</v>
      </c>
      <c r="AK2860" s="196">
        <f>IFERROR($G2860/SUMIF($A:$A,$A2860,$G:$G)*SUMIF(Summary!$A$247:$A$283,$A2860,Summary!$Q$247:$Q$283),0)</f>
        <v>0</v>
      </c>
      <c r="AL2860" s="196">
        <f>IFERROR($G2860/SUMIF($A:$A,$A2860,$G:$G)*(SUMIF(Summary!$A$247:$A$283,$A2860,Summary!$L$247:$L$283)+SUMIF(Summary!$A$297:$A$333,$A2860,Summary!$L$297:$L$333))-AK2860,0)</f>
        <v>0</v>
      </c>
      <c r="AM2860" s="198"/>
      <c r="AN2860" s="196">
        <f t="shared" ca="1" si="628"/>
        <v>0</v>
      </c>
      <c r="AO2860" s="196">
        <f t="shared" ca="1" si="629"/>
        <v>0</v>
      </c>
    </row>
    <row r="2861" spans="1:41">
      <c r="A2861" s="189">
        <v>10298</v>
      </c>
      <c r="B2861" s="190">
        <v>2</v>
      </c>
      <c r="C2861" s="191" t="s">
        <v>220</v>
      </c>
      <c r="D2861" s="192">
        <f t="shared" si="616"/>
        <v>396</v>
      </c>
      <c r="E2861" s="192">
        <f t="shared" si="617"/>
        <v>644</v>
      </c>
      <c r="F2861" s="192">
        <f t="shared" si="618"/>
        <v>0</v>
      </c>
      <c r="G2861" s="193">
        <f t="shared" si="619"/>
        <v>1570.4</v>
      </c>
      <c r="H2861" s="194">
        <v>123</v>
      </c>
      <c r="I2861" s="194">
        <v>369</v>
      </c>
      <c r="J2861" s="194">
        <v>0</v>
      </c>
      <c r="K2861" s="193">
        <f t="shared" si="620"/>
        <v>492</v>
      </c>
      <c r="L2861" s="194">
        <v>237</v>
      </c>
      <c r="M2861" s="194">
        <v>272</v>
      </c>
      <c r="N2861" s="194">
        <v>0</v>
      </c>
      <c r="O2861" s="193">
        <f t="shared" si="621"/>
        <v>509</v>
      </c>
      <c r="P2861" s="194">
        <v>36</v>
      </c>
      <c r="Q2861" s="194">
        <v>3</v>
      </c>
      <c r="R2861" s="194">
        <v>0</v>
      </c>
      <c r="S2861" s="193">
        <f t="shared" si="622"/>
        <v>39</v>
      </c>
      <c r="T2861" s="193">
        <f t="shared" si="623"/>
        <v>52.346666666666671</v>
      </c>
      <c r="U2861" s="193">
        <f ca="1">OFFSET('Expenditure Study'!$B$7,'Operations Support'!$C2861,'Operations Support'!$B2861)*$G2861</f>
        <v>2889.5360000000005</v>
      </c>
      <c r="V2861" s="199">
        <f ca="1">U2861*'Expenditure Study'!$B$31</f>
        <v>170722.97791610882</v>
      </c>
      <c r="W2861" s="199">
        <f ca="1">IF(A2861=10298,1.51,1)*IF($B2861&lt;3,$D2861*'Expenditure Study'!$B$32*OFFSET('Expenditure Study'!$B$7,'Operations Support'!$C2861,'Operations Support'!$B2861),0)</f>
        <v>110.02464000000001</v>
      </c>
      <c r="X2861" s="200">
        <f ca="1">W2861*'Expenditure Study'!$B$31</f>
        <v>6500.6056975749125</v>
      </c>
      <c r="Y2861" s="199">
        <f ca="1">U2861*'Expenditure Study'!$B$31</f>
        <v>170722.97791610882</v>
      </c>
      <c r="Z2861" s="200">
        <f ca="1">W2861*'Expenditure Study'!$B$31</f>
        <v>6500.6056975749125</v>
      </c>
      <c r="AA2861" s="195">
        <f t="shared" ca="1" si="624"/>
        <v>177223.58361368373</v>
      </c>
      <c r="AB2861" s="195">
        <f t="shared" ca="1" si="625"/>
        <v>177223.58361368373</v>
      </c>
      <c r="AD2861" s="196">
        <f>IFERROR($G2861/SUMIF($A:$A,$A2861,$G:$G)*SUMIF(Summary!$A$166:$A$242,$A2861,Summary!$P$166:$P$242),0)</f>
        <v>49982.823487793052</v>
      </c>
      <c r="AE2861" s="197">
        <f t="shared" ca="1" si="626"/>
        <v>127240.76012589068</v>
      </c>
      <c r="AF2861" s="196">
        <f>IFERROR(G2861/SUMIF(A:A,A2861,G:G)*SUMIF(Summary!$A$166:$A$242,'Operations Support'!A2861,Summary!$Q$166:$Q$242),0)</f>
        <v>50197.162861697805</v>
      </c>
      <c r="AG2861" s="196">
        <f t="shared" ca="1" si="627"/>
        <v>127026.42075198592</v>
      </c>
      <c r="AI2861" s="196">
        <f>IFERROR($G2861/SUMIF($A:$A,$A2861,$G:$G)*SUMIF(Summary!$A$247:$A$283,$A2861,Summary!$P$247:$P$283),0)</f>
        <v>9115.6196967170163</v>
      </c>
      <c r="AJ2861" s="196">
        <f>IFERROR($G2861/SUMIF($A:$A,$A2861,$G:$G)*(SUMIF(Summary!$A$247:$A$283,$A2861,Summary!$L$247:$L$283)+SUMIF(Summary!$A$297:$A$333,$A2861,Summary!$L$297:$L$333))-AI2861,0)</f>
        <v>86906.693391660228</v>
      </c>
      <c r="AK2861" s="196">
        <f>IFERROR($G2861/SUMIF($A:$A,$A2861,$G:$G)*SUMIF(Summary!$A$247:$A$283,$A2861,Summary!$Q$247:$Q$283),0)</f>
        <v>9154.7098497377883</v>
      </c>
      <c r="AL2861" s="196">
        <f>IFERROR($G2861/SUMIF($A:$A,$A2861,$G:$G)*(SUMIF(Summary!$A$247:$A$283,$A2861,Summary!$L$247:$L$283)+SUMIF(Summary!$A$297:$A$333,$A2861,Summary!$L$297:$L$333))-AK2861,0)</f>
        <v>86867.603238639451</v>
      </c>
      <c r="AM2861" s="198"/>
      <c r="AN2861" s="196">
        <f t="shared" ca="1" si="628"/>
        <v>214147.45351755089</v>
      </c>
      <c r="AO2861" s="196">
        <f t="shared" ca="1" si="629"/>
        <v>213894.02399062537</v>
      </c>
    </row>
    <row r="2862" spans="1:41">
      <c r="A2862" s="189">
        <v>10298</v>
      </c>
      <c r="B2862" s="190">
        <v>2</v>
      </c>
      <c r="C2862" s="191" t="s">
        <v>221</v>
      </c>
      <c r="D2862" s="192">
        <f t="shared" si="616"/>
        <v>2565</v>
      </c>
      <c r="E2862" s="192">
        <f t="shared" si="617"/>
        <v>2072</v>
      </c>
      <c r="F2862" s="192">
        <f t="shared" si="618"/>
        <v>0</v>
      </c>
      <c r="G2862" s="193">
        <f t="shared" si="619"/>
        <v>7001.87</v>
      </c>
      <c r="H2862" s="194">
        <v>1401</v>
      </c>
      <c r="I2862" s="194">
        <v>930</v>
      </c>
      <c r="J2862" s="194">
        <v>0</v>
      </c>
      <c r="K2862" s="193">
        <f t="shared" si="620"/>
        <v>2331</v>
      </c>
      <c r="L2862" s="194">
        <v>1136</v>
      </c>
      <c r="M2862" s="194">
        <v>1061</v>
      </c>
      <c r="N2862" s="194">
        <v>0</v>
      </c>
      <c r="O2862" s="193">
        <f t="shared" si="621"/>
        <v>2197</v>
      </c>
      <c r="P2862" s="194">
        <v>28</v>
      </c>
      <c r="Q2862" s="194">
        <v>81</v>
      </c>
      <c r="R2862" s="194">
        <v>0</v>
      </c>
      <c r="S2862" s="193">
        <f t="shared" si="622"/>
        <v>109</v>
      </c>
      <c r="T2862" s="193">
        <f t="shared" si="623"/>
        <v>233.39566666666667</v>
      </c>
      <c r="U2862" s="193">
        <f ca="1">OFFSET('Expenditure Study'!$B$7,'Operations Support'!$C2862,'Operations Support'!$B2862)*$G2862</f>
        <v>18414.918099999999</v>
      </c>
      <c r="V2862" s="199">
        <f ca="1">U2862*'Expenditure Study'!$B$31</f>
        <v>1088011.9355194925</v>
      </c>
      <c r="W2862" s="199">
        <f ca="1">IF(A2862=10298,1.51,1)*IF($B2862&lt;3,$D2862*'Expenditure Study'!$B$32*OFFSET('Expenditure Study'!$B$7,'Operations Support'!$C2862,'Operations Support'!$B2862),0)</f>
        <v>1018.63845</v>
      </c>
      <c r="X2862" s="200">
        <f ca="1">W2862*'Expenditure Study'!$B$31</f>
        <v>60184.399711181766</v>
      </c>
      <c r="Y2862" s="199">
        <f ca="1">U2862*'Expenditure Study'!$B$31</f>
        <v>1088011.9355194925</v>
      </c>
      <c r="Z2862" s="200">
        <f ca="1">W2862*'Expenditure Study'!$B$31</f>
        <v>60184.399711181766</v>
      </c>
      <c r="AA2862" s="195">
        <f t="shared" ca="1" si="624"/>
        <v>1148196.3352306744</v>
      </c>
      <c r="AB2862" s="195">
        <f t="shared" ca="1" si="625"/>
        <v>1148196.3352306744</v>
      </c>
      <c r="AD2862" s="196">
        <f>IFERROR($G2862/SUMIF($A:$A,$A2862,$G:$G)*SUMIF(Summary!$A$166:$A$242,$A2862,Summary!$P$166:$P$242),0)</f>
        <v>222856.10818547726</v>
      </c>
      <c r="AE2862" s="197">
        <f t="shared" ca="1" si="626"/>
        <v>925340.22704519704</v>
      </c>
      <c r="AF2862" s="196">
        <f>IFERROR(G2862/SUMIF(A:A,A2862,G:G)*SUMIF(Summary!$A$166:$A$242,'Operations Support'!A2862,Summary!$Q$166:$Q$242),0)</f>
        <v>223811.77325931989</v>
      </c>
      <c r="AG2862" s="196">
        <f t="shared" ca="1" si="627"/>
        <v>924384.56197135453</v>
      </c>
      <c r="AI2862" s="196">
        <f>IFERROR($G2862/SUMIF($A:$A,$A2862,$G:$G)*SUMIF(Summary!$A$247:$A$283,$A2862,Summary!$P$247:$P$283),0)</f>
        <v>40643.392820843081</v>
      </c>
      <c r="AJ2862" s="196">
        <f>IFERROR($G2862/SUMIF($A:$A,$A2862,$G:$G)*(SUMIF(Summary!$A$247:$A$283,$A2862,Summary!$L$247:$L$283)+SUMIF(Summary!$A$297:$A$333,$A2862,Summary!$L$297:$L$333))-AI2862,0)</f>
        <v>387486.86274723883</v>
      </c>
      <c r="AK2862" s="196">
        <f>IFERROR($G2862/SUMIF($A:$A,$A2862,$G:$G)*SUMIF(Summary!$A$247:$A$283,$A2862,Summary!$Q$247:$Q$283),0)</f>
        <v>40817.682281955887</v>
      </c>
      <c r="AL2862" s="196">
        <f>IFERROR($G2862/SUMIF($A:$A,$A2862,$G:$G)*(SUMIF(Summary!$A$247:$A$283,$A2862,Summary!$L$247:$L$283)+SUMIF(Summary!$A$297:$A$333,$A2862,Summary!$L$297:$L$333))-AK2862,0)</f>
        <v>387312.57328612602</v>
      </c>
      <c r="AM2862" s="198"/>
      <c r="AN2862" s="196">
        <f t="shared" ca="1" si="628"/>
        <v>1312827.089792436</v>
      </c>
      <c r="AO2862" s="196">
        <f t="shared" ca="1" si="629"/>
        <v>1311697.1352574807</v>
      </c>
    </row>
    <row r="2863" spans="1:41">
      <c r="A2863" s="189">
        <v>10298</v>
      </c>
      <c r="B2863" s="190">
        <v>2</v>
      </c>
      <c r="C2863" s="191" t="s">
        <v>222</v>
      </c>
      <c r="D2863" s="192">
        <f t="shared" si="616"/>
        <v>0</v>
      </c>
      <c r="E2863" s="192">
        <f t="shared" si="617"/>
        <v>96</v>
      </c>
      <c r="F2863" s="192">
        <f t="shared" si="618"/>
        <v>0</v>
      </c>
      <c r="G2863" s="193">
        <f t="shared" si="619"/>
        <v>144.96</v>
      </c>
      <c r="H2863" s="194">
        <v>0</v>
      </c>
      <c r="I2863" s="194">
        <v>30</v>
      </c>
      <c r="J2863" s="194">
        <v>0</v>
      </c>
      <c r="K2863" s="193">
        <f t="shared" si="620"/>
        <v>30</v>
      </c>
      <c r="L2863" s="194">
        <v>0</v>
      </c>
      <c r="M2863" s="194">
        <v>48</v>
      </c>
      <c r="N2863" s="194">
        <v>0</v>
      </c>
      <c r="O2863" s="193">
        <f t="shared" si="621"/>
        <v>48</v>
      </c>
      <c r="P2863" s="194">
        <v>0</v>
      </c>
      <c r="Q2863" s="194">
        <v>18</v>
      </c>
      <c r="R2863" s="194">
        <v>0</v>
      </c>
      <c r="S2863" s="193">
        <f t="shared" si="622"/>
        <v>18</v>
      </c>
      <c r="T2863" s="193">
        <f t="shared" si="623"/>
        <v>4.8319999999999999</v>
      </c>
      <c r="U2863" s="193">
        <f ca="1">OFFSET('Expenditure Study'!$B$7,'Operations Support'!$C2863,'Operations Support'!$B2863)*$G2863</f>
        <v>385.59360000000004</v>
      </c>
      <c r="V2863" s="199">
        <f ca="1">U2863*'Expenditure Study'!$B$31</f>
        <v>22782.096384122884</v>
      </c>
      <c r="W2863" s="199">
        <f ca="1">IF(A2863=10298,1.51,1)*IF($B2863&lt;3,$D2863*'Expenditure Study'!$B$32*OFFSET('Expenditure Study'!$B$7,'Operations Support'!$C2863,'Operations Support'!$B2863),0)</f>
        <v>0</v>
      </c>
      <c r="X2863" s="200">
        <f ca="1">W2863*'Expenditure Study'!$B$31</f>
        <v>0</v>
      </c>
      <c r="Y2863" s="199">
        <f ca="1">U2863*'Expenditure Study'!$B$31</f>
        <v>22782.096384122884</v>
      </c>
      <c r="Z2863" s="200">
        <f ca="1">W2863*'Expenditure Study'!$B$31</f>
        <v>0</v>
      </c>
      <c r="AA2863" s="195">
        <f t="shared" ca="1" si="624"/>
        <v>22782.096384122884</v>
      </c>
      <c r="AB2863" s="195">
        <f t="shared" ca="1" si="625"/>
        <v>22782.096384122884</v>
      </c>
      <c r="AD2863" s="196">
        <f>IFERROR($G2863/SUMIF($A:$A,$A2863,$G:$G)*SUMIF(Summary!$A$166:$A$242,$A2863,Summary!$P$166:$P$242),0)</f>
        <v>4613.7990911808965</v>
      </c>
      <c r="AE2863" s="197">
        <f t="shared" ca="1" si="626"/>
        <v>18168.297292941988</v>
      </c>
      <c r="AF2863" s="196">
        <f>IFERROR(G2863/SUMIF(A:A,A2863,G:G)*SUMIF(Summary!$A$166:$A$242,'Operations Support'!A2863,Summary!$Q$166:$Q$242),0)</f>
        <v>4633.5842641567197</v>
      </c>
      <c r="AG2863" s="196">
        <f t="shared" ca="1" si="627"/>
        <v>18148.512119966166</v>
      </c>
      <c r="AI2863" s="196">
        <f>IFERROR($G2863/SUMIF($A:$A,$A2863,$G:$G)*SUMIF(Summary!$A$247:$A$283,$A2863,Summary!$P$247:$P$283),0)</f>
        <v>841.44181815849379</v>
      </c>
      <c r="AJ2863" s="196">
        <f>IFERROR($G2863/SUMIF($A:$A,$A2863,$G:$G)*(SUMIF(Summary!$A$247:$A$283,$A2863,Summary!$L$247:$L$283)+SUMIF(Summary!$A$297:$A$333,$A2863,Summary!$L$297:$L$333))-AI2863,0)</f>
        <v>8022.1563130763279</v>
      </c>
      <c r="AK2863" s="196">
        <f>IFERROR($G2863/SUMIF($A:$A,$A2863,$G:$G)*SUMIF(Summary!$A$247:$A$283,$A2863,Summary!$Q$247:$Q$283),0)</f>
        <v>845.05013997579579</v>
      </c>
      <c r="AL2863" s="196">
        <f>IFERROR($G2863/SUMIF($A:$A,$A2863,$G:$G)*(SUMIF(Summary!$A$247:$A$283,$A2863,Summary!$L$247:$L$283)+SUMIF(Summary!$A$297:$A$333,$A2863,Summary!$L$297:$L$333))-AK2863,0)</f>
        <v>8018.5479912590254</v>
      </c>
      <c r="AM2863" s="198"/>
      <c r="AN2863" s="196">
        <f t="shared" ca="1" si="628"/>
        <v>26190.453606018316</v>
      </c>
      <c r="AO2863" s="196">
        <f t="shared" ca="1" si="629"/>
        <v>26167.06011122519</v>
      </c>
    </row>
    <row r="2864" spans="1:41">
      <c r="A2864" s="189">
        <v>10298</v>
      </c>
      <c r="B2864" s="190">
        <v>2</v>
      </c>
      <c r="C2864" s="191" t="s">
        <v>223</v>
      </c>
      <c r="D2864" s="192">
        <f t="shared" si="616"/>
        <v>0</v>
      </c>
      <c r="E2864" s="192">
        <f t="shared" si="617"/>
        <v>0</v>
      </c>
      <c r="F2864" s="192">
        <f t="shared" si="618"/>
        <v>0</v>
      </c>
      <c r="G2864" s="193">
        <f t="shared" si="619"/>
        <v>0</v>
      </c>
      <c r="H2864" s="194">
        <v>0</v>
      </c>
      <c r="I2864" s="194">
        <v>0</v>
      </c>
      <c r="J2864" s="194">
        <v>0</v>
      </c>
      <c r="K2864" s="193">
        <f t="shared" si="620"/>
        <v>0</v>
      </c>
      <c r="L2864" s="194">
        <v>0</v>
      </c>
      <c r="M2864" s="194">
        <v>0</v>
      </c>
      <c r="N2864" s="194">
        <v>0</v>
      </c>
      <c r="O2864" s="193">
        <f t="shared" si="621"/>
        <v>0</v>
      </c>
      <c r="P2864" s="194">
        <v>0</v>
      </c>
      <c r="Q2864" s="194">
        <v>0</v>
      </c>
      <c r="R2864" s="194">
        <v>0</v>
      </c>
      <c r="S2864" s="193">
        <f t="shared" si="622"/>
        <v>0</v>
      </c>
      <c r="T2864" s="193">
        <f t="shared" si="623"/>
        <v>0</v>
      </c>
      <c r="U2864" s="193">
        <f ca="1">OFFSET('Expenditure Study'!$B$7,'Operations Support'!$C2864,'Operations Support'!$B2864)*$G2864</f>
        <v>0</v>
      </c>
      <c r="V2864" s="199">
        <f ca="1">U2864*'Expenditure Study'!$B$31</f>
        <v>0</v>
      </c>
      <c r="W2864" s="199">
        <f ca="1">IF(A2864=10298,1.51,1)*IF($B2864&lt;3,$D2864*'Expenditure Study'!$B$32*OFFSET('Expenditure Study'!$B$7,'Operations Support'!$C2864,'Operations Support'!$B2864),0)</f>
        <v>0</v>
      </c>
      <c r="X2864" s="200">
        <f ca="1">W2864*'Expenditure Study'!$B$31</f>
        <v>0</v>
      </c>
      <c r="Y2864" s="199">
        <f ca="1">U2864*'Expenditure Study'!$B$31</f>
        <v>0</v>
      </c>
      <c r="Z2864" s="200">
        <f ca="1">W2864*'Expenditure Study'!$B$31</f>
        <v>0</v>
      </c>
      <c r="AA2864" s="195">
        <f t="shared" ca="1" si="624"/>
        <v>0</v>
      </c>
      <c r="AB2864" s="195">
        <f t="shared" ca="1" si="625"/>
        <v>0</v>
      </c>
      <c r="AD2864" s="196">
        <f>IFERROR($G2864/SUMIF($A:$A,$A2864,$G:$G)*SUMIF(Summary!$A$166:$A$242,$A2864,Summary!$P$166:$P$242),0)</f>
        <v>0</v>
      </c>
      <c r="AE2864" s="197">
        <f t="shared" ca="1" si="626"/>
        <v>0</v>
      </c>
      <c r="AF2864" s="196">
        <f>IFERROR(G2864/SUMIF(A:A,A2864,G:G)*SUMIF(Summary!$A$166:$A$242,'Operations Support'!A2864,Summary!$Q$166:$Q$242),0)</f>
        <v>0</v>
      </c>
      <c r="AG2864" s="196">
        <f t="shared" ca="1" si="627"/>
        <v>0</v>
      </c>
      <c r="AI2864" s="196">
        <f>IFERROR($G2864/SUMIF($A:$A,$A2864,$G:$G)*SUMIF(Summary!$A$247:$A$283,$A2864,Summary!$P$247:$P$283),0)</f>
        <v>0</v>
      </c>
      <c r="AJ2864" s="196">
        <f>IFERROR($G2864/SUMIF($A:$A,$A2864,$G:$G)*(SUMIF(Summary!$A$247:$A$283,$A2864,Summary!$L$247:$L$283)+SUMIF(Summary!$A$297:$A$333,$A2864,Summary!$L$297:$L$333))-AI2864,0)</f>
        <v>0</v>
      </c>
      <c r="AK2864" s="196">
        <f>IFERROR($G2864/SUMIF($A:$A,$A2864,$G:$G)*SUMIF(Summary!$A$247:$A$283,$A2864,Summary!$Q$247:$Q$283),0)</f>
        <v>0</v>
      </c>
      <c r="AL2864" s="196">
        <f>IFERROR($G2864/SUMIF($A:$A,$A2864,$G:$G)*(SUMIF(Summary!$A$247:$A$283,$A2864,Summary!$L$247:$L$283)+SUMIF(Summary!$A$297:$A$333,$A2864,Summary!$L$297:$L$333))-AK2864,0)</f>
        <v>0</v>
      </c>
      <c r="AM2864" s="198"/>
      <c r="AN2864" s="196">
        <f t="shared" ca="1" si="628"/>
        <v>0</v>
      </c>
      <c r="AO2864" s="196">
        <f t="shared" ca="1" si="629"/>
        <v>0</v>
      </c>
    </row>
    <row r="2865" spans="1:41">
      <c r="A2865" s="189">
        <v>10298</v>
      </c>
      <c r="B2865" s="190">
        <v>2</v>
      </c>
      <c r="C2865" s="191" t="s">
        <v>224</v>
      </c>
      <c r="D2865" s="192">
        <f t="shared" si="616"/>
        <v>301</v>
      </c>
      <c r="E2865" s="192">
        <f t="shared" si="617"/>
        <v>193</v>
      </c>
      <c r="F2865" s="192">
        <f t="shared" si="618"/>
        <v>0</v>
      </c>
      <c r="G2865" s="193">
        <f t="shared" si="619"/>
        <v>745.94</v>
      </c>
      <c r="H2865" s="194">
        <v>86</v>
      </c>
      <c r="I2865" s="194">
        <v>117</v>
      </c>
      <c r="J2865" s="194">
        <v>0</v>
      </c>
      <c r="K2865" s="193">
        <f t="shared" si="620"/>
        <v>203</v>
      </c>
      <c r="L2865" s="194">
        <v>211</v>
      </c>
      <c r="M2865" s="194">
        <v>74</v>
      </c>
      <c r="N2865" s="194">
        <v>0</v>
      </c>
      <c r="O2865" s="193">
        <f t="shared" si="621"/>
        <v>285</v>
      </c>
      <c r="P2865" s="194">
        <v>4</v>
      </c>
      <c r="Q2865" s="194">
        <v>2</v>
      </c>
      <c r="R2865" s="194">
        <v>0</v>
      </c>
      <c r="S2865" s="193">
        <f t="shared" si="622"/>
        <v>6</v>
      </c>
      <c r="T2865" s="193">
        <f t="shared" si="623"/>
        <v>24.864666666666668</v>
      </c>
      <c r="U2865" s="193">
        <f ca="1">OFFSET('Expenditure Study'!$B$7,'Operations Support'!$C2865,'Operations Support'!$B2865)*$G2865</f>
        <v>1693.2838000000002</v>
      </c>
      <c r="V2865" s="199">
        <f ca="1">U2865*'Expenditure Study'!$B$31</f>
        <v>100044.59290111106</v>
      </c>
      <c r="W2865" s="199">
        <f ca="1">IF(A2865=10298,1.51,1)*IF($B2865&lt;3,$D2865*'Expenditure Study'!$B$32*OFFSET('Expenditure Study'!$B$7,'Operations Support'!$C2865,'Operations Support'!$B2865),0)</f>
        <v>103.17377</v>
      </c>
      <c r="X2865" s="200">
        <f ca="1">W2865*'Expenditure Study'!$B$31</f>
        <v>6095.8345067276168</v>
      </c>
      <c r="Y2865" s="199">
        <f ca="1">U2865*'Expenditure Study'!$B$31</f>
        <v>100044.59290111106</v>
      </c>
      <c r="Z2865" s="200">
        <f ca="1">W2865*'Expenditure Study'!$B$31</f>
        <v>6095.8345067276168</v>
      </c>
      <c r="AA2865" s="195">
        <f t="shared" ca="1" si="624"/>
        <v>106140.42740783867</v>
      </c>
      <c r="AB2865" s="195">
        <f t="shared" ca="1" si="625"/>
        <v>106140.42740783867</v>
      </c>
      <c r="AD2865" s="196">
        <f>IFERROR($G2865/SUMIF($A:$A,$A2865,$G:$G)*SUMIF(Summary!$A$166:$A$242,$A2865,Summary!$P$166:$P$242),0)</f>
        <v>23741.841156701699</v>
      </c>
      <c r="AE2865" s="197">
        <f t="shared" ca="1" si="626"/>
        <v>82398.586251136963</v>
      </c>
      <c r="AF2865" s="196">
        <f>IFERROR(G2865/SUMIF(A:A,A2865,G:G)*SUMIF(Summary!$A$166:$A$242,'Operations Support'!A2865,Summary!$Q$166:$Q$242),0)</f>
        <v>23843.652359306456</v>
      </c>
      <c r="AG2865" s="196">
        <f t="shared" ca="1" si="627"/>
        <v>82296.775048532203</v>
      </c>
      <c r="AI2865" s="196">
        <f>IFERROR($G2865/SUMIF($A:$A,$A2865,$G:$G)*SUMIF(Summary!$A$247:$A$283,$A2865,Summary!$P$247:$P$283),0)</f>
        <v>4329.9193559405821</v>
      </c>
      <c r="AJ2865" s="196">
        <f>IFERROR($G2865/SUMIF($A:$A,$A2865,$G:$G)*(SUMIF(Summary!$A$247:$A$283,$A2865,Summary!$L$247:$L$283)+SUMIF(Summary!$A$297:$A$333,$A2865,Summary!$L$297:$L$333))-AI2865,0)</f>
        <v>41280.679361038601</v>
      </c>
      <c r="AK2865" s="196">
        <f>IFERROR($G2865/SUMIF($A:$A,$A2865,$G:$G)*SUMIF(Summary!$A$247:$A$283,$A2865,Summary!$Q$247:$Q$283),0)</f>
        <v>4348.4871786254489</v>
      </c>
      <c r="AL2865" s="196">
        <f>IFERROR($G2865/SUMIF($A:$A,$A2865,$G:$G)*(SUMIF(Summary!$A$247:$A$283,$A2865,Summary!$L$247:$L$283)+SUMIF(Summary!$A$297:$A$333,$A2865,Summary!$L$297:$L$333))-AK2865,0)</f>
        <v>41262.111538353733</v>
      </c>
      <c r="AM2865" s="198"/>
      <c r="AN2865" s="196">
        <f t="shared" ca="1" si="628"/>
        <v>123679.26561217557</v>
      </c>
      <c r="AO2865" s="196">
        <f t="shared" ca="1" si="629"/>
        <v>123558.88658688593</v>
      </c>
    </row>
    <row r="2866" spans="1:41">
      <c r="A2866" s="189">
        <v>10298</v>
      </c>
      <c r="B2866" s="190">
        <v>2</v>
      </c>
      <c r="C2866" s="191" t="s">
        <v>225</v>
      </c>
      <c r="D2866" s="192">
        <f t="shared" si="616"/>
        <v>457.41999999999996</v>
      </c>
      <c r="E2866" s="192">
        <f t="shared" si="617"/>
        <v>483.58</v>
      </c>
      <c r="F2866" s="192">
        <f t="shared" si="618"/>
        <v>0</v>
      </c>
      <c r="G2866" s="193">
        <f t="shared" si="619"/>
        <v>1420.91</v>
      </c>
      <c r="H2866" s="194">
        <v>205.92</v>
      </c>
      <c r="I2866" s="194">
        <v>268.08</v>
      </c>
      <c r="J2866" s="194">
        <v>0</v>
      </c>
      <c r="K2866" s="193">
        <f t="shared" si="620"/>
        <v>474</v>
      </c>
      <c r="L2866" s="194">
        <v>251.5</v>
      </c>
      <c r="M2866" s="194">
        <v>203.5</v>
      </c>
      <c r="N2866" s="194">
        <v>0</v>
      </c>
      <c r="O2866" s="193">
        <f t="shared" si="621"/>
        <v>455</v>
      </c>
      <c r="P2866" s="194">
        <v>0</v>
      </c>
      <c r="Q2866" s="194">
        <v>12</v>
      </c>
      <c r="R2866" s="194">
        <v>0</v>
      </c>
      <c r="S2866" s="193">
        <f t="shared" si="622"/>
        <v>12</v>
      </c>
      <c r="T2866" s="193">
        <f t="shared" si="623"/>
        <v>47.363666666666667</v>
      </c>
      <c r="U2866" s="193">
        <f ca="1">OFFSET('Expenditure Study'!$B$7,'Operations Support'!$C2866,'Operations Support'!$B2866)*$G2866</f>
        <v>3978.5479999999998</v>
      </c>
      <c r="V2866" s="199">
        <f ca="1">U2866*'Expenditure Study'!$B$31</f>
        <v>235065.27080547839</v>
      </c>
      <c r="W2866" s="199">
        <f ca="1">IF(A2866=10298,1.51,1)*IF($B2866&lt;3,$D2866*'Expenditure Study'!$B$32*OFFSET('Expenditure Study'!$B$7,'Operations Support'!$C2866,'Operations Support'!$B2866),0)</f>
        <v>193.39717599999997</v>
      </c>
      <c r="X2866" s="200">
        <f ca="1">W2866*'Expenditure Study'!$B$31</f>
        <v>11426.520315817419</v>
      </c>
      <c r="Y2866" s="199">
        <f ca="1">U2866*'Expenditure Study'!$B$31</f>
        <v>235065.27080547839</v>
      </c>
      <c r="Z2866" s="200">
        <f ca="1">W2866*'Expenditure Study'!$B$31</f>
        <v>11426.520315817419</v>
      </c>
      <c r="AA2866" s="195">
        <f t="shared" ca="1" si="624"/>
        <v>246491.7911212958</v>
      </c>
      <c r="AB2866" s="195">
        <f t="shared" ca="1" si="625"/>
        <v>246491.7911212958</v>
      </c>
      <c r="AD2866" s="196">
        <f>IFERROR($G2866/SUMIF($A:$A,$A2866,$G:$G)*SUMIF(Summary!$A$166:$A$242,$A2866,Summary!$P$166:$P$242),0)</f>
        <v>45224.843175012749</v>
      </c>
      <c r="AE2866" s="197">
        <f t="shared" ca="1" si="626"/>
        <v>201266.94794628303</v>
      </c>
      <c r="AF2866" s="196">
        <f>IFERROR(G2866/SUMIF(A:A,A2866,G:G)*SUMIF(Summary!$A$166:$A$242,'Operations Support'!A2866,Summary!$Q$166:$Q$242),0)</f>
        <v>45418.779089286181</v>
      </c>
      <c r="AG2866" s="196">
        <f t="shared" ca="1" si="627"/>
        <v>201073.0120320096</v>
      </c>
      <c r="AI2866" s="196">
        <f>IFERROR($G2866/SUMIF($A:$A,$A2866,$G:$G)*SUMIF(Summary!$A$247:$A$283,$A2866,Summary!$P$247:$P$283),0)</f>
        <v>8247.8828217410701</v>
      </c>
      <c r="AJ2866" s="196">
        <f>IFERROR($G2866/SUMIF($A:$A,$A2866,$G:$G)*(SUMIF(Summary!$A$247:$A$283,$A2866,Summary!$L$247:$L$283)+SUMIF(Summary!$A$297:$A$333,$A2866,Summary!$L$297:$L$333))-AI2866,0)</f>
        <v>78633.84469380026</v>
      </c>
      <c r="AK2866" s="196">
        <f>IFERROR($G2866/SUMIF($A:$A,$A2866,$G:$G)*SUMIF(Summary!$A$247:$A$283,$A2866,Summary!$Q$247:$Q$283),0)</f>
        <v>8283.2518928877489</v>
      </c>
      <c r="AL2866" s="196">
        <f>IFERROR($G2866/SUMIF($A:$A,$A2866,$G:$G)*(SUMIF(Summary!$A$247:$A$283,$A2866,Summary!$L$247:$L$283)+SUMIF(Summary!$A$297:$A$333,$A2866,Summary!$L$297:$L$333))-AK2866,0)</f>
        <v>78598.475622653568</v>
      </c>
      <c r="AM2866" s="198"/>
      <c r="AN2866" s="196">
        <f t="shared" ca="1" si="628"/>
        <v>279900.79264008329</v>
      </c>
      <c r="AO2866" s="196">
        <f t="shared" ca="1" si="629"/>
        <v>279671.48765466316</v>
      </c>
    </row>
    <row r="2867" spans="1:41" s="201" customFormat="1">
      <c r="A2867" s="189">
        <v>10298</v>
      </c>
      <c r="B2867" s="190">
        <v>2</v>
      </c>
      <c r="C2867" s="191" t="s">
        <v>226</v>
      </c>
      <c r="D2867" s="192">
        <f t="shared" si="616"/>
        <v>0</v>
      </c>
      <c r="E2867" s="192">
        <f t="shared" si="617"/>
        <v>0</v>
      </c>
      <c r="F2867" s="192">
        <f t="shared" si="618"/>
        <v>0</v>
      </c>
      <c r="G2867" s="193">
        <f t="shared" si="619"/>
        <v>0</v>
      </c>
      <c r="H2867" s="194">
        <v>0</v>
      </c>
      <c r="I2867" s="194">
        <v>0</v>
      </c>
      <c r="J2867" s="194">
        <v>0</v>
      </c>
      <c r="K2867" s="193">
        <f t="shared" si="620"/>
        <v>0</v>
      </c>
      <c r="L2867" s="194">
        <v>0</v>
      </c>
      <c r="M2867" s="194">
        <v>0</v>
      </c>
      <c r="N2867" s="194">
        <v>0</v>
      </c>
      <c r="O2867" s="193">
        <f t="shared" si="621"/>
        <v>0</v>
      </c>
      <c r="P2867" s="194">
        <v>0</v>
      </c>
      <c r="Q2867" s="194">
        <v>0</v>
      </c>
      <c r="R2867" s="194">
        <v>0</v>
      </c>
      <c r="S2867" s="193">
        <f t="shared" si="622"/>
        <v>0</v>
      </c>
      <c r="T2867" s="193">
        <f t="shared" si="623"/>
        <v>0</v>
      </c>
      <c r="U2867" s="193">
        <f ca="1">OFFSET('Expenditure Study'!$B$7,'Operations Support'!$C2867,'Operations Support'!$B2867)*$G2867</f>
        <v>0</v>
      </c>
      <c r="V2867" s="199">
        <f ca="1">U2867*'Expenditure Study'!$B$31</f>
        <v>0</v>
      </c>
      <c r="W2867" s="199">
        <f ca="1">IF(A2867=10298,1.51,1)*IF($B2867&lt;3,$D2867*'Expenditure Study'!$B$32*OFFSET('Expenditure Study'!$B$7,'Operations Support'!$C2867,'Operations Support'!$B2867),0)</f>
        <v>0</v>
      </c>
      <c r="X2867" s="200">
        <f ca="1">W2867*'Expenditure Study'!$B$31</f>
        <v>0</v>
      </c>
      <c r="Y2867" s="199">
        <f ca="1">U2867*'Expenditure Study'!$B$31</f>
        <v>0</v>
      </c>
      <c r="Z2867" s="200">
        <f ca="1">W2867*'Expenditure Study'!$B$31</f>
        <v>0</v>
      </c>
      <c r="AA2867" s="195">
        <f t="shared" ca="1" si="624"/>
        <v>0</v>
      </c>
      <c r="AB2867" s="195">
        <f t="shared" ca="1" si="625"/>
        <v>0</v>
      </c>
      <c r="AD2867" s="196">
        <f>IFERROR($G2867/SUMIF($A:$A,$A2867,$G:$G)*SUMIF(Summary!$A$166:$A$242,$A2867,Summary!$P$166:$P$242),0)</f>
        <v>0</v>
      </c>
      <c r="AE2867" s="197">
        <f t="shared" ca="1" si="626"/>
        <v>0</v>
      </c>
      <c r="AF2867" s="196">
        <f>IFERROR(G2867/SUMIF(A:A,A2867,G:G)*SUMIF(Summary!$A$166:$A$242,'Operations Support'!A2867,Summary!$Q$166:$Q$242),0)</f>
        <v>0</v>
      </c>
      <c r="AG2867" s="196">
        <f t="shared" ca="1" si="627"/>
        <v>0</v>
      </c>
      <c r="AH2867" s="180"/>
      <c r="AI2867" s="196">
        <f>IFERROR($G2867/SUMIF($A:$A,$A2867,$G:$G)*SUMIF(Summary!$A$247:$A$283,$A2867,Summary!$P$247:$P$283),0)</f>
        <v>0</v>
      </c>
      <c r="AJ2867" s="196">
        <f>IFERROR($G2867/SUMIF($A:$A,$A2867,$G:$G)*(SUMIF(Summary!$A$247:$A$283,$A2867,Summary!$L$247:$L$283)+SUMIF(Summary!$A$297:$A$333,$A2867,Summary!$L$297:$L$333))-AI2867,0)</f>
        <v>0</v>
      </c>
      <c r="AK2867" s="196">
        <f>IFERROR($G2867/SUMIF($A:$A,$A2867,$G:$G)*SUMIF(Summary!$A$247:$A$283,$A2867,Summary!$Q$247:$Q$283),0)</f>
        <v>0</v>
      </c>
      <c r="AL2867" s="196">
        <f>IFERROR($G2867/SUMIF($A:$A,$A2867,$G:$G)*(SUMIF(Summary!$A$247:$A$283,$A2867,Summary!$L$247:$L$283)+SUMIF(Summary!$A$297:$A$333,$A2867,Summary!$L$297:$L$333))-AK2867,0)</f>
        <v>0</v>
      </c>
      <c r="AM2867" s="198"/>
      <c r="AN2867" s="196">
        <f t="shared" ca="1" si="628"/>
        <v>0</v>
      </c>
      <c r="AO2867" s="196">
        <f t="shared" ca="1" si="629"/>
        <v>0</v>
      </c>
    </row>
    <row r="2868" spans="1:41">
      <c r="A2868" s="189">
        <v>10298</v>
      </c>
      <c r="B2868" s="190">
        <v>2</v>
      </c>
      <c r="C2868" s="191" t="s">
        <v>227</v>
      </c>
      <c r="D2868" s="192">
        <f t="shared" si="616"/>
        <v>0</v>
      </c>
      <c r="E2868" s="192">
        <f t="shared" si="617"/>
        <v>0</v>
      </c>
      <c r="F2868" s="192">
        <f t="shared" si="618"/>
        <v>0</v>
      </c>
      <c r="G2868" s="193">
        <f t="shared" si="619"/>
        <v>0</v>
      </c>
      <c r="H2868" s="194">
        <v>0</v>
      </c>
      <c r="I2868" s="194">
        <v>0</v>
      </c>
      <c r="J2868" s="194">
        <v>0</v>
      </c>
      <c r="K2868" s="193">
        <f t="shared" si="620"/>
        <v>0</v>
      </c>
      <c r="L2868" s="194">
        <v>0</v>
      </c>
      <c r="M2868" s="194">
        <v>0</v>
      </c>
      <c r="N2868" s="194">
        <v>0</v>
      </c>
      <c r="O2868" s="193">
        <f t="shared" si="621"/>
        <v>0</v>
      </c>
      <c r="P2868" s="194">
        <v>0</v>
      </c>
      <c r="Q2868" s="194">
        <v>0</v>
      </c>
      <c r="R2868" s="194">
        <v>0</v>
      </c>
      <c r="S2868" s="193">
        <f t="shared" si="622"/>
        <v>0</v>
      </c>
      <c r="T2868" s="193">
        <f t="shared" si="623"/>
        <v>0</v>
      </c>
      <c r="U2868" s="193">
        <f ca="1">OFFSET('Expenditure Study'!$B$7,'Operations Support'!$C2868,'Operations Support'!$B2868)*$G2868</f>
        <v>0</v>
      </c>
      <c r="V2868" s="199">
        <f ca="1">U2868*'Expenditure Study'!$B$31</f>
        <v>0</v>
      </c>
      <c r="W2868" s="199">
        <f ca="1">IF(A2868=10298,1.51,1)*IF($B2868&lt;3,$D2868*'Expenditure Study'!$B$32*OFFSET('Expenditure Study'!$B$7,'Operations Support'!$C2868,'Operations Support'!$B2868),0)</f>
        <v>0</v>
      </c>
      <c r="X2868" s="200">
        <f ca="1">W2868*'Expenditure Study'!$B$31</f>
        <v>0</v>
      </c>
      <c r="Y2868" s="199">
        <f ca="1">U2868*'Expenditure Study'!$B$31</f>
        <v>0</v>
      </c>
      <c r="Z2868" s="200">
        <f ca="1">W2868*'Expenditure Study'!$B$31</f>
        <v>0</v>
      </c>
      <c r="AA2868" s="195">
        <f t="shared" ca="1" si="624"/>
        <v>0</v>
      </c>
      <c r="AB2868" s="195">
        <f t="shared" ca="1" si="625"/>
        <v>0</v>
      </c>
      <c r="AD2868" s="196">
        <f>IFERROR($G2868/SUMIF($A:$A,$A2868,$G:$G)*SUMIF(Summary!$A$166:$A$242,$A2868,Summary!$P$166:$P$242),0)</f>
        <v>0</v>
      </c>
      <c r="AE2868" s="197">
        <f t="shared" ca="1" si="626"/>
        <v>0</v>
      </c>
      <c r="AF2868" s="196">
        <f>IFERROR(G2868/SUMIF(A:A,A2868,G:G)*SUMIF(Summary!$A$166:$A$242,'Operations Support'!A2868,Summary!$Q$166:$Q$242),0)</f>
        <v>0</v>
      </c>
      <c r="AG2868" s="196">
        <f t="shared" ca="1" si="627"/>
        <v>0</v>
      </c>
      <c r="AI2868" s="196">
        <f>IFERROR($G2868/SUMIF($A:$A,$A2868,$G:$G)*SUMIF(Summary!$A$247:$A$283,$A2868,Summary!$P$247:$P$283),0)</f>
        <v>0</v>
      </c>
      <c r="AJ2868" s="196">
        <f>IFERROR($G2868/SUMIF($A:$A,$A2868,$G:$G)*(SUMIF(Summary!$A$247:$A$283,$A2868,Summary!$L$247:$L$283)+SUMIF(Summary!$A$297:$A$333,$A2868,Summary!$L$297:$L$333))-AI2868,0)</f>
        <v>0</v>
      </c>
      <c r="AK2868" s="196">
        <f>IFERROR($G2868/SUMIF($A:$A,$A2868,$G:$G)*SUMIF(Summary!$A$247:$A$283,$A2868,Summary!$Q$247:$Q$283),0)</f>
        <v>0</v>
      </c>
      <c r="AL2868" s="196">
        <f>IFERROR($G2868/SUMIF($A:$A,$A2868,$G:$G)*(SUMIF(Summary!$A$247:$A$283,$A2868,Summary!$L$247:$L$283)+SUMIF(Summary!$A$297:$A$333,$A2868,Summary!$L$297:$L$333))-AK2868,0)</f>
        <v>0</v>
      </c>
      <c r="AM2868" s="198"/>
      <c r="AN2868" s="196">
        <f t="shared" ca="1" si="628"/>
        <v>0</v>
      </c>
      <c r="AO2868" s="196">
        <f t="shared" ca="1" si="629"/>
        <v>0</v>
      </c>
    </row>
    <row r="2869" spans="1:41">
      <c r="A2869" s="189">
        <v>10298</v>
      </c>
      <c r="B2869" s="190">
        <v>2</v>
      </c>
      <c r="C2869" s="191" t="s">
        <v>228</v>
      </c>
      <c r="D2869" s="192">
        <f t="shared" si="616"/>
        <v>0</v>
      </c>
      <c r="E2869" s="192">
        <f t="shared" si="617"/>
        <v>0</v>
      </c>
      <c r="F2869" s="192">
        <f t="shared" si="618"/>
        <v>0</v>
      </c>
      <c r="G2869" s="193">
        <f t="shared" si="619"/>
        <v>0</v>
      </c>
      <c r="H2869" s="194">
        <v>0</v>
      </c>
      <c r="I2869" s="194">
        <v>0</v>
      </c>
      <c r="J2869" s="194">
        <v>0</v>
      </c>
      <c r="K2869" s="193">
        <f t="shared" si="620"/>
        <v>0</v>
      </c>
      <c r="L2869" s="194">
        <v>0</v>
      </c>
      <c r="M2869" s="194">
        <v>0</v>
      </c>
      <c r="N2869" s="194">
        <v>0</v>
      </c>
      <c r="O2869" s="193">
        <f t="shared" si="621"/>
        <v>0</v>
      </c>
      <c r="P2869" s="194">
        <v>0</v>
      </c>
      <c r="Q2869" s="194">
        <v>0</v>
      </c>
      <c r="R2869" s="194">
        <v>0</v>
      </c>
      <c r="S2869" s="193">
        <f t="shared" si="622"/>
        <v>0</v>
      </c>
      <c r="T2869" s="193">
        <f t="shared" si="623"/>
        <v>0</v>
      </c>
      <c r="U2869" s="193">
        <f ca="1">OFFSET('Expenditure Study'!$B$7,'Operations Support'!$C2869,'Operations Support'!$B2869)*$G2869</f>
        <v>0</v>
      </c>
      <c r="V2869" s="199">
        <f ca="1">U2869*'Expenditure Study'!$B$31</f>
        <v>0</v>
      </c>
      <c r="W2869" s="199">
        <f ca="1">IF(A2869=10298,1.51,1)*IF($B2869&lt;3,$D2869*'Expenditure Study'!$B$32*OFFSET('Expenditure Study'!$B$7,'Operations Support'!$C2869,'Operations Support'!$B2869),0)</f>
        <v>0</v>
      </c>
      <c r="X2869" s="200">
        <f ca="1">W2869*'Expenditure Study'!$B$31</f>
        <v>0</v>
      </c>
      <c r="Y2869" s="199">
        <f ca="1">U2869*'Expenditure Study'!$B$31</f>
        <v>0</v>
      </c>
      <c r="Z2869" s="200">
        <f ca="1">W2869*'Expenditure Study'!$B$31</f>
        <v>0</v>
      </c>
      <c r="AA2869" s="195">
        <f t="shared" ca="1" si="624"/>
        <v>0</v>
      </c>
      <c r="AB2869" s="195">
        <f t="shared" ca="1" si="625"/>
        <v>0</v>
      </c>
      <c r="AD2869" s="196">
        <f>IFERROR($G2869/SUMIF($A:$A,$A2869,$G:$G)*SUMIF(Summary!$A$166:$A$242,$A2869,Summary!$P$166:$P$242),0)</f>
        <v>0</v>
      </c>
      <c r="AE2869" s="197">
        <f t="shared" ca="1" si="626"/>
        <v>0</v>
      </c>
      <c r="AF2869" s="196">
        <f>IFERROR(G2869/SUMIF(A:A,A2869,G:G)*SUMIF(Summary!$A$166:$A$242,'Operations Support'!A2869,Summary!$Q$166:$Q$242),0)</f>
        <v>0</v>
      </c>
      <c r="AG2869" s="196">
        <f t="shared" ca="1" si="627"/>
        <v>0</v>
      </c>
      <c r="AI2869" s="196">
        <f>IFERROR($G2869/SUMIF($A:$A,$A2869,$G:$G)*SUMIF(Summary!$A$247:$A$283,$A2869,Summary!$P$247:$P$283),0)</f>
        <v>0</v>
      </c>
      <c r="AJ2869" s="196">
        <f>IFERROR($G2869/SUMIF($A:$A,$A2869,$G:$G)*(SUMIF(Summary!$A$247:$A$283,$A2869,Summary!$L$247:$L$283)+SUMIF(Summary!$A$297:$A$333,$A2869,Summary!$L$297:$L$333))-AI2869,0)</f>
        <v>0</v>
      </c>
      <c r="AK2869" s="196">
        <f>IFERROR($G2869/SUMIF($A:$A,$A2869,$G:$G)*SUMIF(Summary!$A$247:$A$283,$A2869,Summary!$Q$247:$Q$283),0)</f>
        <v>0</v>
      </c>
      <c r="AL2869" s="196">
        <f>IFERROR($G2869/SUMIF($A:$A,$A2869,$G:$G)*(SUMIF(Summary!$A$247:$A$283,$A2869,Summary!$L$247:$L$283)+SUMIF(Summary!$A$297:$A$333,$A2869,Summary!$L$297:$L$333))-AK2869,0)</f>
        <v>0</v>
      </c>
      <c r="AM2869" s="198"/>
      <c r="AN2869" s="196">
        <f t="shared" ca="1" si="628"/>
        <v>0</v>
      </c>
      <c r="AO2869" s="196">
        <f t="shared" ca="1" si="629"/>
        <v>0</v>
      </c>
    </row>
    <row r="2870" spans="1:41">
      <c r="A2870" s="189">
        <v>10298</v>
      </c>
      <c r="B2870" s="190">
        <v>2</v>
      </c>
      <c r="C2870" s="191" t="s">
        <v>229</v>
      </c>
      <c r="D2870" s="192">
        <f t="shared" si="616"/>
        <v>0</v>
      </c>
      <c r="E2870" s="192">
        <f t="shared" si="617"/>
        <v>36</v>
      </c>
      <c r="F2870" s="192">
        <f t="shared" si="618"/>
        <v>0</v>
      </c>
      <c r="G2870" s="193">
        <f t="shared" si="619"/>
        <v>54.36</v>
      </c>
      <c r="H2870" s="194">
        <v>0</v>
      </c>
      <c r="I2870" s="194">
        <v>36</v>
      </c>
      <c r="J2870" s="194">
        <v>0</v>
      </c>
      <c r="K2870" s="193">
        <f t="shared" si="620"/>
        <v>36</v>
      </c>
      <c r="L2870" s="194">
        <v>0</v>
      </c>
      <c r="M2870" s="194">
        <v>0</v>
      </c>
      <c r="N2870" s="194">
        <v>0</v>
      </c>
      <c r="O2870" s="193">
        <f t="shared" si="621"/>
        <v>0</v>
      </c>
      <c r="P2870" s="194">
        <v>0</v>
      </c>
      <c r="Q2870" s="194">
        <v>0</v>
      </c>
      <c r="R2870" s="194">
        <v>0</v>
      </c>
      <c r="S2870" s="193">
        <f t="shared" si="622"/>
        <v>0</v>
      </c>
      <c r="T2870" s="193">
        <f t="shared" si="623"/>
        <v>1.8120000000000001</v>
      </c>
      <c r="U2870" s="193">
        <f ca="1">OFFSET('Expenditure Study'!$B$7,'Operations Support'!$C2870,'Operations Support'!$B2870)*$G2870</f>
        <v>104.3712</v>
      </c>
      <c r="V2870" s="199">
        <f ca="1">U2870*'Expenditure Study'!$B$31</f>
        <v>6166.5824799129605</v>
      </c>
      <c r="W2870" s="199">
        <f ca="1">IF(A2870=10298,1.51,1)*IF($B2870&lt;3,$D2870*'Expenditure Study'!$B$32*OFFSET('Expenditure Study'!$B$7,'Operations Support'!$C2870,'Operations Support'!$B2870),0)</f>
        <v>0</v>
      </c>
      <c r="X2870" s="200">
        <f ca="1">W2870*'Expenditure Study'!$B$31</f>
        <v>0</v>
      </c>
      <c r="Y2870" s="199">
        <f ca="1">U2870*'Expenditure Study'!$B$31</f>
        <v>6166.5824799129605</v>
      </c>
      <c r="Z2870" s="200">
        <f ca="1">W2870*'Expenditure Study'!$B$31</f>
        <v>0</v>
      </c>
      <c r="AA2870" s="195">
        <f t="shared" ca="1" si="624"/>
        <v>6166.5824799129605</v>
      </c>
      <c r="AB2870" s="195">
        <f t="shared" ca="1" si="625"/>
        <v>6166.5824799129605</v>
      </c>
      <c r="AD2870" s="196">
        <f>IFERROR($G2870/SUMIF($A:$A,$A2870,$G:$G)*SUMIF(Summary!$A$166:$A$242,$A2870,Summary!$P$166:$P$242),0)</f>
        <v>1730.1746591928363</v>
      </c>
      <c r="AE2870" s="197">
        <f t="shared" ca="1" si="626"/>
        <v>4436.4078207201237</v>
      </c>
      <c r="AF2870" s="196">
        <f>IFERROR(G2870/SUMIF(A:A,A2870,G:G)*SUMIF(Summary!$A$166:$A$242,'Operations Support'!A2870,Summary!$Q$166:$Q$242),0)</f>
        <v>1737.5940990587701</v>
      </c>
      <c r="AG2870" s="196">
        <f t="shared" ca="1" si="627"/>
        <v>4428.9883808541908</v>
      </c>
      <c r="AI2870" s="196">
        <f>IFERROR($G2870/SUMIF($A:$A,$A2870,$G:$G)*SUMIF(Summary!$A$247:$A$283,$A2870,Summary!$P$247:$P$283),0)</f>
        <v>315.54068180943517</v>
      </c>
      <c r="AJ2870" s="196">
        <f>IFERROR($G2870/SUMIF($A:$A,$A2870,$G:$G)*(SUMIF(Summary!$A$247:$A$283,$A2870,Summary!$L$247:$L$283)+SUMIF(Summary!$A$297:$A$333,$A2870,Summary!$L$297:$L$333))-AI2870,0)</f>
        <v>3008.308617403623</v>
      </c>
      <c r="AK2870" s="196">
        <f>IFERROR($G2870/SUMIF($A:$A,$A2870,$G:$G)*SUMIF(Summary!$A$247:$A$283,$A2870,Summary!$Q$247:$Q$283),0)</f>
        <v>316.89380249092341</v>
      </c>
      <c r="AL2870" s="196">
        <f>IFERROR($G2870/SUMIF($A:$A,$A2870,$G:$G)*(SUMIF(Summary!$A$247:$A$283,$A2870,Summary!$L$247:$L$283)+SUMIF(Summary!$A$297:$A$333,$A2870,Summary!$L$297:$L$333))-AK2870,0)</f>
        <v>3006.9554967221347</v>
      </c>
      <c r="AM2870" s="198"/>
      <c r="AN2870" s="196">
        <f t="shared" ca="1" si="628"/>
        <v>7444.7164381237471</v>
      </c>
      <c r="AO2870" s="196">
        <f t="shared" ca="1" si="629"/>
        <v>7435.9438775763256</v>
      </c>
    </row>
    <row r="2871" spans="1:41">
      <c r="A2871" s="189">
        <v>10298</v>
      </c>
      <c r="B2871" s="190">
        <v>2</v>
      </c>
      <c r="C2871" s="191" t="s">
        <v>230</v>
      </c>
      <c r="D2871" s="192">
        <f t="shared" si="616"/>
        <v>0</v>
      </c>
      <c r="E2871" s="192">
        <f t="shared" si="617"/>
        <v>0</v>
      </c>
      <c r="F2871" s="192">
        <f t="shared" si="618"/>
        <v>0</v>
      </c>
      <c r="G2871" s="193">
        <f t="shared" si="619"/>
        <v>0</v>
      </c>
      <c r="H2871" s="194">
        <v>0</v>
      </c>
      <c r="I2871" s="194">
        <v>0</v>
      </c>
      <c r="J2871" s="194">
        <v>0</v>
      </c>
      <c r="K2871" s="193">
        <f t="shared" si="620"/>
        <v>0</v>
      </c>
      <c r="L2871" s="194">
        <v>0</v>
      </c>
      <c r="M2871" s="194">
        <v>0</v>
      </c>
      <c r="N2871" s="194">
        <v>0</v>
      </c>
      <c r="O2871" s="193">
        <f t="shared" si="621"/>
        <v>0</v>
      </c>
      <c r="P2871" s="194">
        <v>0</v>
      </c>
      <c r="Q2871" s="194">
        <v>0</v>
      </c>
      <c r="R2871" s="194">
        <v>0</v>
      </c>
      <c r="S2871" s="193">
        <f t="shared" si="622"/>
        <v>0</v>
      </c>
      <c r="T2871" s="193">
        <f t="shared" si="623"/>
        <v>0</v>
      </c>
      <c r="U2871" s="193">
        <f ca="1">OFFSET('Expenditure Study'!$B$7,'Operations Support'!$C2871,'Operations Support'!$B2871)*$G2871</f>
        <v>0</v>
      </c>
      <c r="V2871" s="199">
        <f ca="1">U2871*'Expenditure Study'!$B$31</f>
        <v>0</v>
      </c>
      <c r="W2871" s="199">
        <f ca="1">IF(A2871=10298,1.51,1)*IF($B2871&lt;3,$D2871*'Expenditure Study'!$B$32*OFFSET('Expenditure Study'!$B$7,'Operations Support'!$C2871,'Operations Support'!$B2871),0)</f>
        <v>0</v>
      </c>
      <c r="X2871" s="200">
        <f ca="1">W2871*'Expenditure Study'!$B$31</f>
        <v>0</v>
      </c>
      <c r="Y2871" s="199">
        <f ca="1">U2871*'Expenditure Study'!$B$31</f>
        <v>0</v>
      </c>
      <c r="Z2871" s="200">
        <f ca="1">W2871*'Expenditure Study'!$B$31</f>
        <v>0</v>
      </c>
      <c r="AA2871" s="195">
        <f t="shared" ca="1" si="624"/>
        <v>0</v>
      </c>
      <c r="AB2871" s="195">
        <f t="shared" ca="1" si="625"/>
        <v>0</v>
      </c>
      <c r="AD2871" s="196">
        <f>IFERROR($G2871/SUMIF($A:$A,$A2871,$G:$G)*SUMIF(Summary!$A$166:$A$242,$A2871,Summary!$P$166:$P$242),0)</f>
        <v>0</v>
      </c>
      <c r="AE2871" s="197">
        <f t="shared" ca="1" si="626"/>
        <v>0</v>
      </c>
      <c r="AF2871" s="196">
        <f>IFERROR(G2871/SUMIF(A:A,A2871,G:G)*SUMIF(Summary!$A$166:$A$242,'Operations Support'!A2871,Summary!$Q$166:$Q$242),0)</f>
        <v>0</v>
      </c>
      <c r="AG2871" s="196">
        <f t="shared" ca="1" si="627"/>
        <v>0</v>
      </c>
      <c r="AI2871" s="196">
        <f>IFERROR($G2871/SUMIF($A:$A,$A2871,$G:$G)*SUMIF(Summary!$A$247:$A$283,$A2871,Summary!$P$247:$P$283),0)</f>
        <v>0</v>
      </c>
      <c r="AJ2871" s="196">
        <f>IFERROR($G2871/SUMIF($A:$A,$A2871,$G:$G)*(SUMIF(Summary!$A$247:$A$283,$A2871,Summary!$L$247:$L$283)+SUMIF(Summary!$A$297:$A$333,$A2871,Summary!$L$297:$L$333))-AI2871,0)</f>
        <v>0</v>
      </c>
      <c r="AK2871" s="196">
        <f>IFERROR($G2871/SUMIF($A:$A,$A2871,$G:$G)*SUMIF(Summary!$A$247:$A$283,$A2871,Summary!$Q$247:$Q$283),0)</f>
        <v>0</v>
      </c>
      <c r="AL2871" s="196">
        <f>IFERROR($G2871/SUMIF($A:$A,$A2871,$G:$G)*(SUMIF(Summary!$A$247:$A$283,$A2871,Summary!$L$247:$L$283)+SUMIF(Summary!$A$297:$A$333,$A2871,Summary!$L$297:$L$333))-AK2871,0)</f>
        <v>0</v>
      </c>
      <c r="AM2871" s="198"/>
      <c r="AN2871" s="196">
        <f t="shared" ca="1" si="628"/>
        <v>0</v>
      </c>
      <c r="AO2871" s="196">
        <f t="shared" ca="1" si="629"/>
        <v>0</v>
      </c>
    </row>
    <row r="2872" spans="1:41">
      <c r="A2872" s="189">
        <v>10298</v>
      </c>
      <c r="B2872" s="190">
        <v>2</v>
      </c>
      <c r="C2872" s="191" t="s">
        <v>231</v>
      </c>
      <c r="D2872" s="192">
        <f t="shared" si="616"/>
        <v>0</v>
      </c>
      <c r="E2872" s="192">
        <f t="shared" si="617"/>
        <v>1929</v>
      </c>
      <c r="F2872" s="192">
        <f t="shared" si="618"/>
        <v>0</v>
      </c>
      <c r="G2872" s="193">
        <f t="shared" si="619"/>
        <v>2912.79</v>
      </c>
      <c r="H2872" s="194">
        <v>0</v>
      </c>
      <c r="I2872" s="194">
        <v>698</v>
      </c>
      <c r="J2872" s="194">
        <v>0</v>
      </c>
      <c r="K2872" s="193">
        <f t="shared" si="620"/>
        <v>698</v>
      </c>
      <c r="L2872" s="194">
        <v>0</v>
      </c>
      <c r="M2872" s="194">
        <v>702</v>
      </c>
      <c r="N2872" s="194">
        <v>0</v>
      </c>
      <c r="O2872" s="193">
        <f t="shared" si="621"/>
        <v>702</v>
      </c>
      <c r="P2872" s="194">
        <v>0</v>
      </c>
      <c r="Q2872" s="194">
        <v>529</v>
      </c>
      <c r="R2872" s="194">
        <v>0</v>
      </c>
      <c r="S2872" s="193">
        <f t="shared" si="622"/>
        <v>529</v>
      </c>
      <c r="T2872" s="193">
        <f t="shared" si="623"/>
        <v>97.093000000000004</v>
      </c>
      <c r="U2872" s="193">
        <f ca="1">OFFSET('Expenditure Study'!$B$7,'Operations Support'!$C2872,'Operations Support'!$B2872)*$G2872</f>
        <v>10253.0208</v>
      </c>
      <c r="V2872" s="199">
        <f ca="1">U2872*'Expenditure Study'!$B$31</f>
        <v>605781.08167256066</v>
      </c>
      <c r="W2872" s="199">
        <f ca="1">IF(A2872=10298,1.51,1)*IF($B2872&lt;3,$D2872*'Expenditure Study'!$B$32*OFFSET('Expenditure Study'!$B$7,'Operations Support'!$C2872,'Operations Support'!$B2872),0)</f>
        <v>0</v>
      </c>
      <c r="X2872" s="200">
        <f ca="1">W2872*'Expenditure Study'!$B$31</f>
        <v>0</v>
      </c>
      <c r="Y2872" s="199">
        <f ca="1">U2872*'Expenditure Study'!$B$31</f>
        <v>605781.08167256066</v>
      </c>
      <c r="Z2872" s="200">
        <f ca="1">W2872*'Expenditure Study'!$B$31</f>
        <v>0</v>
      </c>
      <c r="AA2872" s="195">
        <f t="shared" ca="1" si="624"/>
        <v>605781.08167256066</v>
      </c>
      <c r="AB2872" s="195">
        <f t="shared" ca="1" si="625"/>
        <v>605781.08167256066</v>
      </c>
      <c r="AD2872" s="196">
        <f>IFERROR($G2872/SUMIF($A:$A,$A2872,$G:$G)*SUMIF(Summary!$A$166:$A$242,$A2872,Summary!$P$166:$P$242),0)</f>
        <v>92708.52548841614</v>
      </c>
      <c r="AE2872" s="197">
        <f t="shared" ca="1" si="626"/>
        <v>513072.55618414452</v>
      </c>
      <c r="AF2872" s="196">
        <f>IFERROR(G2872/SUMIF(A:A,A2872,G:G)*SUMIF(Summary!$A$166:$A$242,'Operations Support'!A2872,Summary!$Q$166:$Q$242),0)</f>
        <v>93106.083807899078</v>
      </c>
      <c r="AG2872" s="196">
        <f t="shared" ca="1" si="627"/>
        <v>512674.99786466156</v>
      </c>
      <c r="AI2872" s="196">
        <f>IFERROR($G2872/SUMIF($A:$A,$A2872,$G:$G)*SUMIF(Summary!$A$247:$A$283,$A2872,Summary!$P$247:$P$283),0)</f>
        <v>16907.721533622233</v>
      </c>
      <c r="AJ2872" s="196">
        <f>IFERROR($G2872/SUMIF($A:$A,$A2872,$G:$G)*(SUMIF(Summary!$A$247:$A$283,$A2872,Summary!$L$247:$L$283)+SUMIF(Summary!$A$297:$A$333,$A2872,Summary!$L$297:$L$333))-AI2872,0)</f>
        <v>161195.20341587742</v>
      </c>
      <c r="AK2872" s="196">
        <f>IFERROR($G2872/SUMIF($A:$A,$A2872,$G:$G)*SUMIF(Summary!$A$247:$A$283,$A2872,Summary!$Q$247:$Q$283),0)</f>
        <v>16980.226250138647</v>
      </c>
      <c r="AL2872" s="196">
        <f>IFERROR($G2872/SUMIF($A:$A,$A2872,$G:$G)*(SUMIF(Summary!$A$247:$A$283,$A2872,Summary!$L$247:$L$283)+SUMIF(Summary!$A$297:$A$333,$A2872,Summary!$L$297:$L$333))-AK2872,0)</f>
        <v>161122.698699361</v>
      </c>
      <c r="AM2872" s="198"/>
      <c r="AN2872" s="196">
        <f t="shared" ca="1" si="628"/>
        <v>674267.75960002188</v>
      </c>
      <c r="AO2872" s="196">
        <f t="shared" ca="1" si="629"/>
        <v>673797.69656402257</v>
      </c>
    </row>
    <row r="2873" spans="1:41">
      <c r="A2873" s="189">
        <v>10298</v>
      </c>
      <c r="B2873" s="190">
        <v>2</v>
      </c>
      <c r="C2873" s="191" t="s">
        <v>232</v>
      </c>
      <c r="D2873" s="192">
        <f t="shared" si="616"/>
        <v>0</v>
      </c>
      <c r="E2873" s="192">
        <f t="shared" si="617"/>
        <v>0</v>
      </c>
      <c r="F2873" s="192">
        <f t="shared" si="618"/>
        <v>0</v>
      </c>
      <c r="G2873" s="193">
        <f t="shared" si="619"/>
        <v>0</v>
      </c>
      <c r="H2873" s="194">
        <v>0</v>
      </c>
      <c r="I2873" s="194">
        <v>0</v>
      </c>
      <c r="J2873" s="194">
        <v>0</v>
      </c>
      <c r="K2873" s="193">
        <f t="shared" si="620"/>
        <v>0</v>
      </c>
      <c r="L2873" s="194">
        <v>0</v>
      </c>
      <c r="M2873" s="194">
        <v>0</v>
      </c>
      <c r="N2873" s="194">
        <v>0</v>
      </c>
      <c r="O2873" s="193">
        <f t="shared" si="621"/>
        <v>0</v>
      </c>
      <c r="P2873" s="194">
        <v>0</v>
      </c>
      <c r="Q2873" s="194">
        <v>0</v>
      </c>
      <c r="R2873" s="194">
        <v>0</v>
      </c>
      <c r="S2873" s="193">
        <f t="shared" si="622"/>
        <v>0</v>
      </c>
      <c r="T2873" s="193">
        <f t="shared" si="623"/>
        <v>0</v>
      </c>
      <c r="U2873" s="193">
        <f ca="1">OFFSET('Expenditure Study'!$B$7,'Operations Support'!$C2873,'Operations Support'!$B2873)*$G2873</f>
        <v>0</v>
      </c>
      <c r="V2873" s="199">
        <f ca="1">U2873*'Expenditure Study'!$B$31</f>
        <v>0</v>
      </c>
      <c r="W2873" s="199">
        <f ca="1">IF(A2873=10298,1.51,1)*IF($B2873&lt;3,$D2873*'Expenditure Study'!$B$32*OFFSET('Expenditure Study'!$B$7,'Operations Support'!$C2873,'Operations Support'!$B2873),0)</f>
        <v>0</v>
      </c>
      <c r="X2873" s="200">
        <f ca="1">W2873*'Expenditure Study'!$B$31</f>
        <v>0</v>
      </c>
      <c r="Y2873" s="199">
        <f ca="1">U2873*'Expenditure Study'!$B$31</f>
        <v>0</v>
      </c>
      <c r="Z2873" s="200">
        <f ca="1">W2873*'Expenditure Study'!$B$31</f>
        <v>0</v>
      </c>
      <c r="AA2873" s="195">
        <f t="shared" ca="1" si="624"/>
        <v>0</v>
      </c>
      <c r="AB2873" s="195">
        <f t="shared" ca="1" si="625"/>
        <v>0</v>
      </c>
      <c r="AD2873" s="196">
        <f>IFERROR($G2873/SUMIF($A:$A,$A2873,$G:$G)*SUMIF(Summary!$A$166:$A$242,$A2873,Summary!$P$166:$P$242),0)</f>
        <v>0</v>
      </c>
      <c r="AE2873" s="197">
        <f t="shared" ca="1" si="626"/>
        <v>0</v>
      </c>
      <c r="AF2873" s="196">
        <f>IFERROR(G2873/SUMIF(A:A,A2873,G:G)*SUMIF(Summary!$A$166:$A$242,'Operations Support'!A2873,Summary!$Q$166:$Q$242),0)</f>
        <v>0</v>
      </c>
      <c r="AG2873" s="196">
        <f t="shared" ca="1" si="627"/>
        <v>0</v>
      </c>
      <c r="AI2873" s="196">
        <f>IFERROR($G2873/SUMIF($A:$A,$A2873,$G:$G)*SUMIF(Summary!$A$247:$A$283,$A2873,Summary!$P$247:$P$283),0)</f>
        <v>0</v>
      </c>
      <c r="AJ2873" s="196">
        <f>IFERROR($G2873/SUMIF($A:$A,$A2873,$G:$G)*(SUMIF(Summary!$A$247:$A$283,$A2873,Summary!$L$247:$L$283)+SUMIF(Summary!$A$297:$A$333,$A2873,Summary!$L$297:$L$333))-AI2873,0)</f>
        <v>0</v>
      </c>
      <c r="AK2873" s="196">
        <f>IFERROR($G2873/SUMIF($A:$A,$A2873,$G:$G)*SUMIF(Summary!$A$247:$A$283,$A2873,Summary!$Q$247:$Q$283),0)</f>
        <v>0</v>
      </c>
      <c r="AL2873" s="196">
        <f>IFERROR($G2873/SUMIF($A:$A,$A2873,$G:$G)*(SUMIF(Summary!$A$247:$A$283,$A2873,Summary!$L$247:$L$283)+SUMIF(Summary!$A$297:$A$333,$A2873,Summary!$L$297:$L$333))-AK2873,0)</f>
        <v>0</v>
      </c>
      <c r="AM2873" s="198"/>
      <c r="AN2873" s="196">
        <f t="shared" ca="1" si="628"/>
        <v>0</v>
      </c>
      <c r="AO2873" s="196">
        <f t="shared" ca="1" si="629"/>
        <v>0</v>
      </c>
    </row>
    <row r="2874" spans="1:41">
      <c r="A2874" s="189">
        <v>10298</v>
      </c>
      <c r="B2874" s="190">
        <v>2</v>
      </c>
      <c r="C2874" s="191" t="s">
        <v>233</v>
      </c>
      <c r="D2874" s="192">
        <f t="shared" si="616"/>
        <v>0</v>
      </c>
      <c r="E2874" s="192">
        <f t="shared" si="617"/>
        <v>24</v>
      </c>
      <c r="F2874" s="192">
        <f t="shared" si="618"/>
        <v>0</v>
      </c>
      <c r="G2874" s="193">
        <f t="shared" si="619"/>
        <v>36.24</v>
      </c>
      <c r="H2874" s="194">
        <v>0</v>
      </c>
      <c r="I2874" s="194">
        <v>24</v>
      </c>
      <c r="J2874" s="194">
        <v>0</v>
      </c>
      <c r="K2874" s="193">
        <f t="shared" si="620"/>
        <v>24</v>
      </c>
      <c r="L2874" s="194">
        <v>0</v>
      </c>
      <c r="M2874" s="194">
        <v>0</v>
      </c>
      <c r="N2874" s="194">
        <v>0</v>
      </c>
      <c r="O2874" s="193">
        <f t="shared" si="621"/>
        <v>0</v>
      </c>
      <c r="P2874" s="194">
        <v>0</v>
      </c>
      <c r="Q2874" s="194">
        <v>0</v>
      </c>
      <c r="R2874" s="194">
        <v>0</v>
      </c>
      <c r="S2874" s="193">
        <f t="shared" si="622"/>
        <v>0</v>
      </c>
      <c r="T2874" s="193">
        <f t="shared" si="623"/>
        <v>1.208</v>
      </c>
      <c r="U2874" s="193">
        <f ca="1">OFFSET('Expenditure Study'!$B$7,'Operations Support'!$C2874,'Operations Support'!$B2874)*$G2874</f>
        <v>58.34640000000001</v>
      </c>
      <c r="V2874" s="199">
        <f ca="1">U2874*'Expenditure Study'!$B$31</f>
        <v>3447.2909002291208</v>
      </c>
      <c r="W2874" s="199">
        <f ca="1">IF(A2874=10298,1.51,1)*IF($B2874&lt;3,$D2874*'Expenditure Study'!$B$32*OFFSET('Expenditure Study'!$B$7,'Operations Support'!$C2874,'Operations Support'!$B2874),0)</f>
        <v>0</v>
      </c>
      <c r="X2874" s="200">
        <f ca="1">W2874*'Expenditure Study'!$B$31</f>
        <v>0</v>
      </c>
      <c r="Y2874" s="199">
        <f ca="1">U2874*'Expenditure Study'!$B$31</f>
        <v>3447.2909002291208</v>
      </c>
      <c r="Z2874" s="200">
        <f ca="1">W2874*'Expenditure Study'!$B$31</f>
        <v>0</v>
      </c>
      <c r="AA2874" s="195">
        <f t="shared" ca="1" si="624"/>
        <v>3447.2909002291208</v>
      </c>
      <c r="AB2874" s="195">
        <f t="shared" ca="1" si="625"/>
        <v>3447.2909002291208</v>
      </c>
      <c r="AD2874" s="196">
        <f>IFERROR($G2874/SUMIF($A:$A,$A2874,$G:$G)*SUMIF(Summary!$A$166:$A$242,$A2874,Summary!$P$166:$P$242),0)</f>
        <v>1153.4497727952241</v>
      </c>
      <c r="AE2874" s="197">
        <f t="shared" ca="1" si="626"/>
        <v>2293.8411274338969</v>
      </c>
      <c r="AF2874" s="196">
        <f>IFERROR(G2874/SUMIF(A:A,A2874,G:G)*SUMIF(Summary!$A$166:$A$242,'Operations Support'!A2874,Summary!$Q$166:$Q$242),0)</f>
        <v>1158.3960660391799</v>
      </c>
      <c r="AG2874" s="196">
        <f t="shared" ca="1" si="627"/>
        <v>2288.8948341899409</v>
      </c>
      <c r="AI2874" s="196">
        <f>IFERROR($G2874/SUMIF($A:$A,$A2874,$G:$G)*SUMIF(Summary!$A$247:$A$283,$A2874,Summary!$P$247:$P$283),0)</f>
        <v>210.36045453962345</v>
      </c>
      <c r="AJ2874" s="196">
        <f>IFERROR($G2874/SUMIF($A:$A,$A2874,$G:$G)*(SUMIF(Summary!$A$247:$A$283,$A2874,Summary!$L$247:$L$283)+SUMIF(Summary!$A$297:$A$333,$A2874,Summary!$L$297:$L$333))-AI2874,0)</f>
        <v>2005.539078269082</v>
      </c>
      <c r="AK2874" s="196">
        <f>IFERROR($G2874/SUMIF($A:$A,$A2874,$G:$G)*SUMIF(Summary!$A$247:$A$283,$A2874,Summary!$Q$247:$Q$283),0)</f>
        <v>211.26253499394895</v>
      </c>
      <c r="AL2874" s="196">
        <f>IFERROR($G2874/SUMIF($A:$A,$A2874,$G:$G)*(SUMIF(Summary!$A$247:$A$283,$A2874,Summary!$L$247:$L$283)+SUMIF(Summary!$A$297:$A$333,$A2874,Summary!$L$297:$L$333))-AK2874,0)</f>
        <v>2004.6369978147563</v>
      </c>
      <c r="AM2874" s="198"/>
      <c r="AN2874" s="196">
        <f t="shared" ca="1" si="628"/>
        <v>4299.3802057029789</v>
      </c>
      <c r="AO2874" s="196">
        <f t="shared" ca="1" si="629"/>
        <v>4293.5318320046972</v>
      </c>
    </row>
    <row r="2875" spans="1:41">
      <c r="A2875" s="189">
        <v>10298</v>
      </c>
      <c r="B2875" s="190">
        <v>2</v>
      </c>
      <c r="C2875" s="191" t="s">
        <v>234</v>
      </c>
      <c r="D2875" s="192">
        <f t="shared" si="616"/>
        <v>0</v>
      </c>
      <c r="E2875" s="192">
        <f t="shared" si="617"/>
        <v>0</v>
      </c>
      <c r="F2875" s="192">
        <f t="shared" si="618"/>
        <v>0</v>
      </c>
      <c r="G2875" s="193">
        <f t="shared" si="619"/>
        <v>0</v>
      </c>
      <c r="H2875" s="194">
        <v>0</v>
      </c>
      <c r="I2875" s="194">
        <v>0</v>
      </c>
      <c r="J2875" s="194">
        <v>0</v>
      </c>
      <c r="K2875" s="193">
        <f t="shared" si="620"/>
        <v>0</v>
      </c>
      <c r="L2875" s="194">
        <v>0</v>
      </c>
      <c r="M2875" s="194">
        <v>0</v>
      </c>
      <c r="N2875" s="194">
        <v>0</v>
      </c>
      <c r="O2875" s="193">
        <f t="shared" si="621"/>
        <v>0</v>
      </c>
      <c r="P2875" s="194">
        <v>0</v>
      </c>
      <c r="Q2875" s="194">
        <v>0</v>
      </c>
      <c r="R2875" s="194">
        <v>0</v>
      </c>
      <c r="S2875" s="193">
        <f t="shared" si="622"/>
        <v>0</v>
      </c>
      <c r="T2875" s="193">
        <f t="shared" si="623"/>
        <v>0</v>
      </c>
      <c r="U2875" s="193">
        <f ca="1">OFFSET('Expenditure Study'!$B$7,'Operations Support'!$C2875,'Operations Support'!$B2875)*$G2875</f>
        <v>0</v>
      </c>
      <c r="V2875" s="199">
        <f ca="1">U2875*'Expenditure Study'!$B$31</f>
        <v>0</v>
      </c>
      <c r="W2875" s="199">
        <f ca="1">IF(A2875=10298,1.51,1)*IF($B2875&lt;3,$D2875*'Expenditure Study'!$B$32*OFFSET('Expenditure Study'!$B$7,'Operations Support'!$C2875,'Operations Support'!$B2875),0)</f>
        <v>0</v>
      </c>
      <c r="X2875" s="200">
        <f ca="1">W2875*'Expenditure Study'!$B$31</f>
        <v>0</v>
      </c>
      <c r="Y2875" s="199">
        <f ca="1">U2875*'Expenditure Study'!$B$31</f>
        <v>0</v>
      </c>
      <c r="Z2875" s="200">
        <f ca="1">W2875*'Expenditure Study'!$B$31</f>
        <v>0</v>
      </c>
      <c r="AA2875" s="195">
        <f t="shared" ca="1" si="624"/>
        <v>0</v>
      </c>
      <c r="AB2875" s="195">
        <f t="shared" ca="1" si="625"/>
        <v>0</v>
      </c>
      <c r="AD2875" s="196">
        <f>IFERROR($G2875/SUMIF($A:$A,$A2875,$G:$G)*SUMIF(Summary!$A$166:$A$242,$A2875,Summary!$P$166:$P$242),0)</f>
        <v>0</v>
      </c>
      <c r="AE2875" s="197">
        <f t="shared" ca="1" si="626"/>
        <v>0</v>
      </c>
      <c r="AF2875" s="196">
        <f>IFERROR(G2875/SUMIF(A:A,A2875,G:G)*SUMIF(Summary!$A$166:$A$242,'Operations Support'!A2875,Summary!$Q$166:$Q$242),0)</f>
        <v>0</v>
      </c>
      <c r="AG2875" s="196">
        <f t="shared" ca="1" si="627"/>
        <v>0</v>
      </c>
      <c r="AI2875" s="196">
        <f>IFERROR($G2875/SUMIF($A:$A,$A2875,$G:$G)*SUMIF(Summary!$A$247:$A$283,$A2875,Summary!$P$247:$P$283),0)</f>
        <v>0</v>
      </c>
      <c r="AJ2875" s="196">
        <f>IFERROR($G2875/SUMIF($A:$A,$A2875,$G:$G)*(SUMIF(Summary!$A$247:$A$283,$A2875,Summary!$L$247:$L$283)+SUMIF(Summary!$A$297:$A$333,$A2875,Summary!$L$297:$L$333))-AI2875,0)</f>
        <v>0</v>
      </c>
      <c r="AK2875" s="196">
        <f>IFERROR($G2875/SUMIF($A:$A,$A2875,$G:$G)*SUMIF(Summary!$A$247:$A$283,$A2875,Summary!$Q$247:$Q$283),0)</f>
        <v>0</v>
      </c>
      <c r="AL2875" s="196">
        <f>IFERROR($G2875/SUMIF($A:$A,$A2875,$G:$G)*(SUMIF(Summary!$A$247:$A$283,$A2875,Summary!$L$247:$L$283)+SUMIF(Summary!$A$297:$A$333,$A2875,Summary!$L$297:$L$333))-AK2875,0)</f>
        <v>0</v>
      </c>
      <c r="AM2875" s="198"/>
      <c r="AN2875" s="196">
        <f t="shared" ca="1" si="628"/>
        <v>0</v>
      </c>
      <c r="AO2875" s="196">
        <f t="shared" ca="1" si="629"/>
        <v>0</v>
      </c>
    </row>
    <row r="2876" spans="1:41">
      <c r="A2876" s="189">
        <v>10298</v>
      </c>
      <c r="B2876" s="190">
        <v>2</v>
      </c>
      <c r="C2876" s="191" t="s">
        <v>235</v>
      </c>
      <c r="D2876" s="192">
        <f t="shared" si="616"/>
        <v>631</v>
      </c>
      <c r="E2876" s="192">
        <f t="shared" si="617"/>
        <v>3183</v>
      </c>
      <c r="F2876" s="192">
        <f t="shared" si="618"/>
        <v>0</v>
      </c>
      <c r="G2876" s="193">
        <f t="shared" si="619"/>
        <v>5759.14</v>
      </c>
      <c r="H2876" s="194">
        <v>216</v>
      </c>
      <c r="I2876" s="194">
        <v>1451</v>
      </c>
      <c r="J2876" s="194">
        <v>0</v>
      </c>
      <c r="K2876" s="193">
        <f t="shared" si="620"/>
        <v>1667</v>
      </c>
      <c r="L2876" s="194">
        <v>219</v>
      </c>
      <c r="M2876" s="194">
        <v>1288</v>
      </c>
      <c r="N2876" s="194">
        <v>0</v>
      </c>
      <c r="O2876" s="193">
        <f t="shared" si="621"/>
        <v>1507</v>
      </c>
      <c r="P2876" s="194">
        <v>196</v>
      </c>
      <c r="Q2876" s="194">
        <v>444</v>
      </c>
      <c r="R2876" s="194">
        <v>0</v>
      </c>
      <c r="S2876" s="193">
        <f t="shared" si="622"/>
        <v>640</v>
      </c>
      <c r="T2876" s="193">
        <f t="shared" si="623"/>
        <v>191.97133333333335</v>
      </c>
      <c r="U2876" s="193">
        <f ca="1">OFFSET('Expenditure Study'!$B$7,'Operations Support'!$C2876,'Operations Support'!$B2876)*$G2876</f>
        <v>10769.591800000002</v>
      </c>
      <c r="V2876" s="199">
        <f ca="1">U2876*'Expenditure Study'!$B$31</f>
        <v>636301.73946159752</v>
      </c>
      <c r="W2876" s="199">
        <f ca="1">IF(A2876=10298,1.51,1)*IF($B2876&lt;3,$D2876*'Expenditure Study'!$B$32*OFFSET('Expenditure Study'!$B$7,'Operations Support'!$C2876,'Operations Support'!$B2876),0)</f>
        <v>178.17547000000002</v>
      </c>
      <c r="X2876" s="200">
        <f ca="1">W2876*'Expenditure Study'!$B$31</f>
        <v>10527.173508134978</v>
      </c>
      <c r="Y2876" s="199">
        <f ca="1">U2876*'Expenditure Study'!$B$31</f>
        <v>636301.73946159752</v>
      </c>
      <c r="Z2876" s="200">
        <f ca="1">W2876*'Expenditure Study'!$B$31</f>
        <v>10527.173508134978</v>
      </c>
      <c r="AA2876" s="195">
        <f t="shared" ca="1" si="624"/>
        <v>646828.91296973254</v>
      </c>
      <c r="AB2876" s="195">
        <f t="shared" ca="1" si="625"/>
        <v>646828.91296973254</v>
      </c>
      <c r="AD2876" s="196">
        <f>IFERROR($G2876/SUMIF($A:$A,$A2876,$G:$G)*SUMIF(Summary!$A$166:$A$242,$A2876,Summary!$P$166:$P$242),0)</f>
        <v>183302.39306004104</v>
      </c>
      <c r="AE2876" s="197">
        <f t="shared" ca="1" si="626"/>
        <v>463526.51990969153</v>
      </c>
      <c r="AF2876" s="196">
        <f>IFERROR(G2876/SUMIF(A:A,A2876,G:G)*SUMIF(Summary!$A$166:$A$242,'Operations Support'!A2876,Summary!$Q$166:$Q$242),0)</f>
        <v>184088.44149472634</v>
      </c>
      <c r="AG2876" s="196">
        <f t="shared" ca="1" si="627"/>
        <v>462740.4714750062</v>
      </c>
      <c r="AI2876" s="196">
        <f>IFERROR($G2876/SUMIF($A:$A,$A2876,$G:$G)*SUMIF(Summary!$A$247:$A$283,$A2876,Summary!$P$247:$P$283),0)</f>
        <v>33429.782233921826</v>
      </c>
      <c r="AJ2876" s="196">
        <f>IFERROR($G2876/SUMIF($A:$A,$A2876,$G:$G)*(SUMIF(Summary!$A$247:$A$283,$A2876,Summary!$L$247:$L$283)+SUMIF(Summary!$A$297:$A$333,$A2876,Summary!$L$297:$L$333))-AI2876,0)</f>
        <v>318713.58518826158</v>
      </c>
      <c r="AK2876" s="196">
        <f>IFERROR($G2876/SUMIF($A:$A,$A2876,$G:$G)*SUMIF(Summary!$A$247:$A$283,$A2876,Summary!$Q$247:$Q$283),0)</f>
        <v>33573.137852788386</v>
      </c>
      <c r="AL2876" s="196">
        <f>IFERROR($G2876/SUMIF($A:$A,$A2876,$G:$G)*(SUMIF(Summary!$A$247:$A$283,$A2876,Summary!$L$247:$L$283)+SUMIF(Summary!$A$297:$A$333,$A2876,Summary!$L$297:$L$333))-AK2876,0)</f>
        <v>318570.22956939501</v>
      </c>
      <c r="AM2876" s="198"/>
      <c r="AN2876" s="196">
        <f t="shared" ca="1" si="628"/>
        <v>782240.10509795311</v>
      </c>
      <c r="AO2876" s="196">
        <f t="shared" ca="1" si="629"/>
        <v>781310.70104440115</v>
      </c>
    </row>
    <row r="2877" spans="1:41">
      <c r="A2877" s="189">
        <v>10298</v>
      </c>
      <c r="B2877" s="190">
        <v>2</v>
      </c>
      <c r="C2877" s="191" t="s">
        <v>236</v>
      </c>
      <c r="D2877" s="192">
        <f t="shared" si="616"/>
        <v>0</v>
      </c>
      <c r="E2877" s="192">
        <f t="shared" si="617"/>
        <v>0</v>
      </c>
      <c r="F2877" s="192">
        <f t="shared" si="618"/>
        <v>0</v>
      </c>
      <c r="G2877" s="193">
        <f t="shared" si="619"/>
        <v>0</v>
      </c>
      <c r="H2877" s="194">
        <v>0</v>
      </c>
      <c r="I2877" s="194">
        <v>0</v>
      </c>
      <c r="J2877" s="194">
        <v>0</v>
      </c>
      <c r="K2877" s="193">
        <f t="shared" si="620"/>
        <v>0</v>
      </c>
      <c r="L2877" s="194">
        <v>0</v>
      </c>
      <c r="M2877" s="194">
        <v>0</v>
      </c>
      <c r="N2877" s="194">
        <v>0</v>
      </c>
      <c r="O2877" s="193">
        <f t="shared" si="621"/>
        <v>0</v>
      </c>
      <c r="P2877" s="194">
        <v>0</v>
      </c>
      <c r="Q2877" s="194">
        <v>0</v>
      </c>
      <c r="R2877" s="194">
        <v>0</v>
      </c>
      <c r="S2877" s="193">
        <f t="shared" si="622"/>
        <v>0</v>
      </c>
      <c r="T2877" s="193">
        <f t="shared" si="623"/>
        <v>0</v>
      </c>
      <c r="U2877" s="193">
        <f ca="1">OFFSET('Expenditure Study'!$B$7,'Operations Support'!$C2877,'Operations Support'!$B2877)*$G2877</f>
        <v>0</v>
      </c>
      <c r="V2877" s="199">
        <f ca="1">U2877*'Expenditure Study'!$B$31</f>
        <v>0</v>
      </c>
      <c r="W2877" s="199">
        <f ca="1">IF(A2877=10298,1.51,1)*IF($B2877&lt;3,$D2877*'Expenditure Study'!$B$32*OFFSET('Expenditure Study'!$B$7,'Operations Support'!$C2877,'Operations Support'!$B2877),0)</f>
        <v>0</v>
      </c>
      <c r="X2877" s="200">
        <f ca="1">W2877*'Expenditure Study'!$B$31</f>
        <v>0</v>
      </c>
      <c r="Y2877" s="199">
        <f ca="1">U2877*'Expenditure Study'!$B$31</f>
        <v>0</v>
      </c>
      <c r="Z2877" s="200">
        <f ca="1">W2877*'Expenditure Study'!$B$31</f>
        <v>0</v>
      </c>
      <c r="AA2877" s="195">
        <f t="shared" ca="1" si="624"/>
        <v>0</v>
      </c>
      <c r="AB2877" s="195">
        <f t="shared" ca="1" si="625"/>
        <v>0</v>
      </c>
      <c r="AD2877" s="196">
        <f>IFERROR($G2877/SUMIF($A:$A,$A2877,$G:$G)*SUMIF(Summary!$A$166:$A$242,$A2877,Summary!$P$166:$P$242),0)</f>
        <v>0</v>
      </c>
      <c r="AE2877" s="197">
        <f t="shared" ca="1" si="626"/>
        <v>0</v>
      </c>
      <c r="AF2877" s="196">
        <f>IFERROR(G2877/SUMIF(A:A,A2877,G:G)*SUMIF(Summary!$A$166:$A$242,'Operations Support'!A2877,Summary!$Q$166:$Q$242),0)</f>
        <v>0</v>
      </c>
      <c r="AG2877" s="196">
        <f t="shared" ca="1" si="627"/>
        <v>0</v>
      </c>
      <c r="AI2877" s="196">
        <f>IFERROR($G2877/SUMIF($A:$A,$A2877,$G:$G)*SUMIF(Summary!$A$247:$A$283,$A2877,Summary!$P$247:$P$283),0)</f>
        <v>0</v>
      </c>
      <c r="AJ2877" s="196">
        <f>IFERROR($G2877/SUMIF($A:$A,$A2877,$G:$G)*(SUMIF(Summary!$A$247:$A$283,$A2877,Summary!$L$247:$L$283)+SUMIF(Summary!$A$297:$A$333,$A2877,Summary!$L$297:$L$333))-AI2877,0)</f>
        <v>0</v>
      </c>
      <c r="AK2877" s="196">
        <f>IFERROR($G2877/SUMIF($A:$A,$A2877,$G:$G)*SUMIF(Summary!$A$247:$A$283,$A2877,Summary!$Q$247:$Q$283),0)</f>
        <v>0</v>
      </c>
      <c r="AL2877" s="196">
        <f>IFERROR($G2877/SUMIF($A:$A,$A2877,$G:$G)*(SUMIF(Summary!$A$247:$A$283,$A2877,Summary!$L$247:$L$283)+SUMIF(Summary!$A$297:$A$333,$A2877,Summary!$L$297:$L$333))-AK2877,0)</f>
        <v>0</v>
      </c>
      <c r="AM2877" s="198"/>
      <c r="AN2877" s="196">
        <f t="shared" ca="1" si="628"/>
        <v>0</v>
      </c>
      <c r="AO2877" s="196">
        <f t="shared" ca="1" si="629"/>
        <v>0</v>
      </c>
    </row>
    <row r="2878" spans="1:41">
      <c r="A2878" s="189">
        <v>10298</v>
      </c>
      <c r="B2878" s="190">
        <v>2</v>
      </c>
      <c r="C2878" s="191" t="s">
        <v>237</v>
      </c>
      <c r="D2878" s="192">
        <f t="shared" si="616"/>
        <v>0</v>
      </c>
      <c r="E2878" s="192">
        <f t="shared" si="617"/>
        <v>0</v>
      </c>
      <c r="F2878" s="192">
        <f t="shared" si="618"/>
        <v>0</v>
      </c>
      <c r="G2878" s="193">
        <f t="shared" si="619"/>
        <v>0</v>
      </c>
      <c r="H2878" s="194">
        <v>0</v>
      </c>
      <c r="I2878" s="194">
        <v>0</v>
      </c>
      <c r="J2878" s="194">
        <v>0</v>
      </c>
      <c r="K2878" s="193">
        <f t="shared" si="620"/>
        <v>0</v>
      </c>
      <c r="L2878" s="194">
        <v>0</v>
      </c>
      <c r="M2878" s="194">
        <v>0</v>
      </c>
      <c r="N2878" s="194">
        <v>0</v>
      </c>
      <c r="O2878" s="193">
        <f t="shared" si="621"/>
        <v>0</v>
      </c>
      <c r="P2878" s="194">
        <v>0</v>
      </c>
      <c r="Q2878" s="194">
        <v>0</v>
      </c>
      <c r="R2878" s="194">
        <v>0</v>
      </c>
      <c r="S2878" s="193">
        <f t="shared" si="622"/>
        <v>0</v>
      </c>
      <c r="T2878" s="193">
        <f t="shared" si="623"/>
        <v>0</v>
      </c>
      <c r="U2878" s="193">
        <f ca="1">OFFSET('Expenditure Study'!$B$7,'Operations Support'!$C2878,'Operations Support'!$B2878)*$G2878</f>
        <v>0</v>
      </c>
      <c r="V2878" s="199">
        <f ca="1">U2878*'Expenditure Study'!$B$31</f>
        <v>0</v>
      </c>
      <c r="W2878" s="199">
        <f ca="1">IF(A2878=10298,1.51,1)*IF($B2878&lt;3,$D2878*'Expenditure Study'!$B$32*OFFSET('Expenditure Study'!$B$7,'Operations Support'!$C2878,'Operations Support'!$B2878),0)</f>
        <v>0</v>
      </c>
      <c r="X2878" s="200">
        <f ca="1">W2878*'Expenditure Study'!$B$31</f>
        <v>0</v>
      </c>
      <c r="Y2878" s="199">
        <f ca="1">U2878*'Expenditure Study'!$B$31</f>
        <v>0</v>
      </c>
      <c r="Z2878" s="200">
        <f ca="1">W2878*'Expenditure Study'!$B$31</f>
        <v>0</v>
      </c>
      <c r="AA2878" s="195">
        <f t="shared" ca="1" si="624"/>
        <v>0</v>
      </c>
      <c r="AB2878" s="195">
        <f t="shared" ca="1" si="625"/>
        <v>0</v>
      </c>
      <c r="AD2878" s="196">
        <f>IFERROR($G2878/SUMIF($A:$A,$A2878,$G:$G)*SUMIF(Summary!$A$166:$A$242,$A2878,Summary!$P$166:$P$242),0)</f>
        <v>0</v>
      </c>
      <c r="AE2878" s="197">
        <f t="shared" ca="1" si="626"/>
        <v>0</v>
      </c>
      <c r="AF2878" s="196">
        <f>IFERROR(G2878/SUMIF(A:A,A2878,G:G)*SUMIF(Summary!$A$166:$A$242,'Operations Support'!A2878,Summary!$Q$166:$Q$242),0)</f>
        <v>0</v>
      </c>
      <c r="AG2878" s="196">
        <f t="shared" ca="1" si="627"/>
        <v>0</v>
      </c>
      <c r="AI2878" s="196">
        <f>IFERROR($G2878/SUMIF($A:$A,$A2878,$G:$G)*SUMIF(Summary!$A$247:$A$283,$A2878,Summary!$P$247:$P$283),0)</f>
        <v>0</v>
      </c>
      <c r="AJ2878" s="196">
        <f>IFERROR($G2878/SUMIF($A:$A,$A2878,$G:$G)*(SUMIF(Summary!$A$247:$A$283,$A2878,Summary!$L$247:$L$283)+SUMIF(Summary!$A$297:$A$333,$A2878,Summary!$L$297:$L$333))-AI2878,0)</f>
        <v>0</v>
      </c>
      <c r="AK2878" s="196">
        <f>IFERROR($G2878/SUMIF($A:$A,$A2878,$G:$G)*SUMIF(Summary!$A$247:$A$283,$A2878,Summary!$Q$247:$Q$283),0)</f>
        <v>0</v>
      </c>
      <c r="AL2878" s="196">
        <f>IFERROR($G2878/SUMIF($A:$A,$A2878,$G:$G)*(SUMIF(Summary!$A$247:$A$283,$A2878,Summary!$L$247:$L$283)+SUMIF(Summary!$A$297:$A$333,$A2878,Summary!$L$297:$L$333))-AK2878,0)</f>
        <v>0</v>
      </c>
      <c r="AM2878" s="198"/>
      <c r="AN2878" s="196">
        <f t="shared" ca="1" si="628"/>
        <v>0</v>
      </c>
      <c r="AO2878" s="196">
        <f t="shared" ca="1" si="629"/>
        <v>0</v>
      </c>
    </row>
    <row r="2879" spans="1:41">
      <c r="A2879" s="189">
        <v>10298</v>
      </c>
      <c r="B2879" s="190">
        <v>2</v>
      </c>
      <c r="C2879" s="191" t="s">
        <v>238</v>
      </c>
      <c r="D2879" s="192">
        <f t="shared" si="616"/>
        <v>51</v>
      </c>
      <c r="E2879" s="192">
        <f t="shared" si="617"/>
        <v>574</v>
      </c>
      <c r="F2879" s="192">
        <f t="shared" si="618"/>
        <v>0</v>
      </c>
      <c r="G2879" s="193">
        <f t="shared" si="619"/>
        <v>943.75</v>
      </c>
      <c r="H2879" s="194">
        <v>36</v>
      </c>
      <c r="I2879" s="194">
        <v>237</v>
      </c>
      <c r="J2879" s="194">
        <v>0</v>
      </c>
      <c r="K2879" s="193">
        <f t="shared" si="620"/>
        <v>273</v>
      </c>
      <c r="L2879" s="194">
        <v>9</v>
      </c>
      <c r="M2879" s="194">
        <v>230</v>
      </c>
      <c r="N2879" s="194">
        <v>0</v>
      </c>
      <c r="O2879" s="193">
        <f t="shared" si="621"/>
        <v>239</v>
      </c>
      <c r="P2879" s="194">
        <v>6</v>
      </c>
      <c r="Q2879" s="194">
        <v>107</v>
      </c>
      <c r="R2879" s="194">
        <v>0</v>
      </c>
      <c r="S2879" s="193">
        <f t="shared" si="622"/>
        <v>113</v>
      </c>
      <c r="T2879" s="193">
        <f t="shared" si="623"/>
        <v>31.458333333333332</v>
      </c>
      <c r="U2879" s="193">
        <f ca="1">OFFSET('Expenditure Study'!$B$7,'Operations Support'!$C2879,'Operations Support'!$B2879)*$G2879</f>
        <v>2265</v>
      </c>
      <c r="V2879" s="199">
        <f ca="1">U2879*'Expenditure Study'!$B$31</f>
        <v>133823.40451200001</v>
      </c>
      <c r="W2879" s="199">
        <f ca="1">IF(A2879=10298,1.51,1)*IF($B2879&lt;3,$D2879*'Expenditure Study'!$B$32*OFFSET('Expenditure Study'!$B$7,'Operations Support'!$C2879,'Operations Support'!$B2879),0)</f>
        <v>18.482400000000002</v>
      </c>
      <c r="X2879" s="200">
        <f ca="1">W2879*'Expenditure Study'!$B$31</f>
        <v>1091.99898081792</v>
      </c>
      <c r="Y2879" s="199">
        <f ca="1">U2879*'Expenditure Study'!$B$31</f>
        <v>133823.40451200001</v>
      </c>
      <c r="Z2879" s="200">
        <f ca="1">W2879*'Expenditure Study'!$B$31</f>
        <v>1091.99898081792</v>
      </c>
      <c r="AA2879" s="195">
        <f t="shared" ca="1" si="624"/>
        <v>134915.40349281792</v>
      </c>
      <c r="AB2879" s="195">
        <f t="shared" ca="1" si="625"/>
        <v>134915.40349281792</v>
      </c>
      <c r="AD2879" s="196">
        <f>IFERROR($G2879/SUMIF($A:$A,$A2879,$G:$G)*SUMIF(Summary!$A$166:$A$242,$A2879,Summary!$P$166:$P$242),0)</f>
        <v>30037.754499875631</v>
      </c>
      <c r="AE2879" s="197">
        <f t="shared" ca="1" si="626"/>
        <v>104877.64899294228</v>
      </c>
      <c r="AF2879" s="196">
        <f>IFERROR(G2879/SUMIF(A:A,A2879,G:G)*SUMIF(Summary!$A$166:$A$242,'Operations Support'!A2879,Summary!$Q$166:$Q$242),0)</f>
        <v>30166.564219770313</v>
      </c>
      <c r="AG2879" s="196">
        <f t="shared" ca="1" si="627"/>
        <v>104748.8392730476</v>
      </c>
      <c r="AI2879" s="196">
        <f>IFERROR($G2879/SUMIF($A:$A,$A2879,$G:$G)*SUMIF(Summary!$A$247:$A$283,$A2879,Summary!$P$247:$P$283),0)</f>
        <v>5478.136836969361</v>
      </c>
      <c r="AJ2879" s="196">
        <f>IFERROR($G2879/SUMIF($A:$A,$A2879,$G:$G)*(SUMIF(Summary!$A$247:$A$283,$A2879,Summary!$L$247:$L$283)+SUMIF(Summary!$A$297:$A$333,$A2879,Summary!$L$297:$L$333))-AI2879,0)</f>
        <v>52227.580163257342</v>
      </c>
      <c r="AK2879" s="196">
        <f>IFERROR($G2879/SUMIF($A:$A,$A2879,$G:$G)*SUMIF(Summary!$A$247:$A$283,$A2879,Summary!$Q$247:$Q$283),0)</f>
        <v>5501.6285154674206</v>
      </c>
      <c r="AL2879" s="196">
        <f>IFERROR($G2879/SUMIF($A:$A,$A2879,$G:$G)*(SUMIF(Summary!$A$247:$A$283,$A2879,Summary!$L$247:$L$283)+SUMIF(Summary!$A$297:$A$333,$A2879,Summary!$L$297:$L$333))-AK2879,0)</f>
        <v>52204.088484759282</v>
      </c>
      <c r="AM2879" s="198"/>
      <c r="AN2879" s="196">
        <f t="shared" ca="1" si="628"/>
        <v>157105.22915619961</v>
      </c>
      <c r="AO2879" s="196">
        <f t="shared" ca="1" si="629"/>
        <v>156952.9277578069</v>
      </c>
    </row>
    <row r="2880" spans="1:41">
      <c r="A2880" s="189">
        <v>10298</v>
      </c>
      <c r="B2880" s="190">
        <v>2</v>
      </c>
      <c r="C2880" s="191" t="s">
        <v>239</v>
      </c>
      <c r="D2880" s="192">
        <f t="shared" si="616"/>
        <v>0</v>
      </c>
      <c r="E2880" s="192">
        <f t="shared" si="617"/>
        <v>0</v>
      </c>
      <c r="F2880" s="192">
        <f t="shared" si="618"/>
        <v>0</v>
      </c>
      <c r="G2880" s="193">
        <f t="shared" si="619"/>
        <v>0</v>
      </c>
      <c r="H2880" s="194">
        <v>0</v>
      </c>
      <c r="I2880" s="194">
        <v>0</v>
      </c>
      <c r="J2880" s="194">
        <v>0</v>
      </c>
      <c r="K2880" s="193">
        <f t="shared" si="620"/>
        <v>0</v>
      </c>
      <c r="L2880" s="194">
        <v>0</v>
      </c>
      <c r="M2880" s="194">
        <v>0</v>
      </c>
      <c r="N2880" s="194">
        <v>0</v>
      </c>
      <c r="O2880" s="193">
        <f t="shared" si="621"/>
        <v>0</v>
      </c>
      <c r="P2880" s="194">
        <v>0</v>
      </c>
      <c r="Q2880" s="194">
        <v>0</v>
      </c>
      <c r="R2880" s="194">
        <v>0</v>
      </c>
      <c r="S2880" s="193">
        <f t="shared" si="622"/>
        <v>0</v>
      </c>
      <c r="T2880" s="193">
        <f t="shared" si="623"/>
        <v>0</v>
      </c>
      <c r="U2880" s="193">
        <f ca="1">OFFSET('Expenditure Study'!$B$7,'Operations Support'!$C2880,'Operations Support'!$B2880)*$G2880</f>
        <v>0</v>
      </c>
      <c r="V2880" s="199">
        <f ca="1">U2880*'Expenditure Study'!$B$31</f>
        <v>0</v>
      </c>
      <c r="W2880" s="199">
        <f ca="1">IF(A2880=10298,1.51,1)*IF($B2880&lt;3,$D2880*'Expenditure Study'!$B$32*OFFSET('Expenditure Study'!$B$7,'Operations Support'!$C2880,'Operations Support'!$B2880),0)</f>
        <v>0</v>
      </c>
      <c r="X2880" s="200">
        <f ca="1">W2880*'Expenditure Study'!$B$31</f>
        <v>0</v>
      </c>
      <c r="Y2880" s="199">
        <f ca="1">U2880*'Expenditure Study'!$B$31</f>
        <v>0</v>
      </c>
      <c r="Z2880" s="200">
        <f ca="1">W2880*'Expenditure Study'!$B$31</f>
        <v>0</v>
      </c>
      <c r="AA2880" s="195">
        <f t="shared" ca="1" si="624"/>
        <v>0</v>
      </c>
      <c r="AB2880" s="195">
        <f t="shared" ca="1" si="625"/>
        <v>0</v>
      </c>
      <c r="AD2880" s="196">
        <f>IFERROR($G2880/SUMIF($A:$A,$A2880,$G:$G)*SUMIF(Summary!$A$166:$A$242,$A2880,Summary!$P$166:$P$242),0)</f>
        <v>0</v>
      </c>
      <c r="AE2880" s="197">
        <f t="shared" ca="1" si="626"/>
        <v>0</v>
      </c>
      <c r="AF2880" s="196">
        <f>IFERROR(G2880/SUMIF(A:A,A2880,G:G)*SUMIF(Summary!$A$166:$A$242,'Operations Support'!A2880,Summary!$Q$166:$Q$242),0)</f>
        <v>0</v>
      </c>
      <c r="AG2880" s="196">
        <f t="shared" ca="1" si="627"/>
        <v>0</v>
      </c>
      <c r="AI2880" s="196">
        <f>IFERROR($G2880/SUMIF($A:$A,$A2880,$G:$G)*SUMIF(Summary!$A$247:$A$283,$A2880,Summary!$P$247:$P$283),0)</f>
        <v>0</v>
      </c>
      <c r="AJ2880" s="196">
        <f>IFERROR($G2880/SUMIF($A:$A,$A2880,$G:$G)*(SUMIF(Summary!$A$247:$A$283,$A2880,Summary!$L$247:$L$283)+SUMIF(Summary!$A$297:$A$333,$A2880,Summary!$L$297:$L$333))-AI2880,0)</f>
        <v>0</v>
      </c>
      <c r="AK2880" s="196">
        <f>IFERROR($G2880/SUMIF($A:$A,$A2880,$G:$G)*SUMIF(Summary!$A$247:$A$283,$A2880,Summary!$Q$247:$Q$283),0)</f>
        <v>0</v>
      </c>
      <c r="AL2880" s="196">
        <f>IFERROR($G2880/SUMIF($A:$A,$A2880,$G:$G)*(SUMIF(Summary!$A$247:$A$283,$A2880,Summary!$L$247:$L$283)+SUMIF(Summary!$A$297:$A$333,$A2880,Summary!$L$297:$L$333))-AK2880,0)</f>
        <v>0</v>
      </c>
      <c r="AM2880" s="198"/>
      <c r="AN2880" s="196">
        <f t="shared" ca="1" si="628"/>
        <v>0</v>
      </c>
      <c r="AO2880" s="196">
        <f t="shared" ca="1" si="629"/>
        <v>0</v>
      </c>
    </row>
    <row r="2881" spans="1:41">
      <c r="A2881" s="189">
        <v>10298</v>
      </c>
      <c r="B2881" s="190">
        <v>2</v>
      </c>
      <c r="C2881" s="191" t="s">
        <v>240</v>
      </c>
      <c r="D2881" s="192">
        <f t="shared" si="616"/>
        <v>0</v>
      </c>
      <c r="E2881" s="192">
        <f t="shared" si="617"/>
        <v>0</v>
      </c>
      <c r="F2881" s="192">
        <f t="shared" si="618"/>
        <v>0</v>
      </c>
      <c r="G2881" s="193">
        <f t="shared" si="619"/>
        <v>0</v>
      </c>
      <c r="H2881" s="194">
        <v>0</v>
      </c>
      <c r="I2881" s="194">
        <v>0</v>
      </c>
      <c r="J2881" s="194">
        <v>0</v>
      </c>
      <c r="K2881" s="193">
        <f t="shared" si="620"/>
        <v>0</v>
      </c>
      <c r="L2881" s="194">
        <v>0</v>
      </c>
      <c r="M2881" s="194">
        <v>0</v>
      </c>
      <c r="N2881" s="194">
        <v>0</v>
      </c>
      <c r="O2881" s="193">
        <f t="shared" si="621"/>
        <v>0</v>
      </c>
      <c r="P2881" s="194">
        <v>0</v>
      </c>
      <c r="Q2881" s="194">
        <v>0</v>
      </c>
      <c r="R2881" s="194">
        <v>0</v>
      </c>
      <c r="S2881" s="193">
        <f t="shared" si="622"/>
        <v>0</v>
      </c>
      <c r="T2881" s="193">
        <f t="shared" si="623"/>
        <v>0</v>
      </c>
      <c r="U2881" s="193">
        <f ca="1">OFFSET('Expenditure Study'!$B$7,'Operations Support'!$C2881,'Operations Support'!$B2881)*$G2881</f>
        <v>0</v>
      </c>
      <c r="V2881" s="199">
        <f ca="1">U2881*'Expenditure Study'!$B$31</f>
        <v>0</v>
      </c>
      <c r="W2881" s="199">
        <f ca="1">IF(A2881=10298,1.51,1)*IF($B2881&lt;3,$D2881*'Expenditure Study'!$B$32*OFFSET('Expenditure Study'!$B$7,'Operations Support'!$C2881,'Operations Support'!$B2881),0)</f>
        <v>0</v>
      </c>
      <c r="X2881" s="200">
        <f ca="1">W2881*'Expenditure Study'!$B$31</f>
        <v>0</v>
      </c>
      <c r="Y2881" s="199">
        <f ca="1">U2881*'Expenditure Study'!$B$31</f>
        <v>0</v>
      </c>
      <c r="Z2881" s="200">
        <f ca="1">W2881*'Expenditure Study'!$B$31</f>
        <v>0</v>
      </c>
      <c r="AA2881" s="195">
        <f t="shared" ca="1" si="624"/>
        <v>0</v>
      </c>
      <c r="AB2881" s="195">
        <f t="shared" ca="1" si="625"/>
        <v>0</v>
      </c>
      <c r="AD2881" s="196">
        <f>IFERROR($G2881/SUMIF($A:$A,$A2881,$G:$G)*SUMIF(Summary!$A$166:$A$242,$A2881,Summary!$P$166:$P$242),0)</f>
        <v>0</v>
      </c>
      <c r="AE2881" s="197">
        <f t="shared" ca="1" si="626"/>
        <v>0</v>
      </c>
      <c r="AF2881" s="196">
        <f>IFERROR(G2881/SUMIF(A:A,A2881,G:G)*SUMIF(Summary!$A$166:$A$242,'Operations Support'!A2881,Summary!$Q$166:$Q$242),0)</f>
        <v>0</v>
      </c>
      <c r="AG2881" s="196">
        <f t="shared" ca="1" si="627"/>
        <v>0</v>
      </c>
      <c r="AI2881" s="196">
        <f>IFERROR($G2881/SUMIF($A:$A,$A2881,$G:$G)*SUMIF(Summary!$A$247:$A$283,$A2881,Summary!$P$247:$P$283),0)</f>
        <v>0</v>
      </c>
      <c r="AJ2881" s="196">
        <f>IFERROR($G2881/SUMIF($A:$A,$A2881,$G:$G)*(SUMIF(Summary!$A$247:$A$283,$A2881,Summary!$L$247:$L$283)+SUMIF(Summary!$A$297:$A$333,$A2881,Summary!$L$297:$L$333))-AI2881,0)</f>
        <v>0</v>
      </c>
      <c r="AK2881" s="196">
        <f>IFERROR($G2881/SUMIF($A:$A,$A2881,$G:$G)*SUMIF(Summary!$A$247:$A$283,$A2881,Summary!$Q$247:$Q$283),0)</f>
        <v>0</v>
      </c>
      <c r="AL2881" s="196">
        <f>IFERROR($G2881/SUMIF($A:$A,$A2881,$G:$G)*(SUMIF(Summary!$A$247:$A$283,$A2881,Summary!$L$247:$L$283)+SUMIF(Summary!$A$297:$A$333,$A2881,Summary!$L$297:$L$333))-AK2881,0)</f>
        <v>0</v>
      </c>
      <c r="AM2881" s="198"/>
      <c r="AN2881" s="196">
        <f t="shared" ca="1" si="628"/>
        <v>0</v>
      </c>
      <c r="AO2881" s="196">
        <f t="shared" ca="1" si="629"/>
        <v>0</v>
      </c>
    </row>
    <row r="2882" spans="1:41">
      <c r="A2882" s="189">
        <v>10298</v>
      </c>
      <c r="B2882" s="190">
        <v>3</v>
      </c>
      <c r="C2882" s="191" t="s">
        <v>220</v>
      </c>
      <c r="D2882" s="192">
        <f t="shared" si="616"/>
        <v>132</v>
      </c>
      <c r="E2882" s="192">
        <f t="shared" si="617"/>
        <v>0</v>
      </c>
      <c r="F2882" s="192">
        <f t="shared" si="618"/>
        <v>0</v>
      </c>
      <c r="G2882" s="193">
        <f t="shared" si="619"/>
        <v>199.32</v>
      </c>
      <c r="H2882" s="194">
        <v>96</v>
      </c>
      <c r="I2882" s="194">
        <v>0</v>
      </c>
      <c r="J2882" s="194">
        <v>0</v>
      </c>
      <c r="K2882" s="193">
        <f t="shared" si="620"/>
        <v>96</v>
      </c>
      <c r="L2882" s="194">
        <v>36</v>
      </c>
      <c r="M2882" s="194">
        <v>0</v>
      </c>
      <c r="N2882" s="194">
        <v>0</v>
      </c>
      <c r="O2882" s="193">
        <f t="shared" si="621"/>
        <v>36</v>
      </c>
      <c r="P2882" s="194">
        <v>0</v>
      </c>
      <c r="Q2882" s="194">
        <v>0</v>
      </c>
      <c r="R2882" s="194">
        <v>0</v>
      </c>
      <c r="S2882" s="193">
        <f t="shared" si="622"/>
        <v>0</v>
      </c>
      <c r="T2882" s="193">
        <f t="shared" si="623"/>
        <v>8.3049999999999997</v>
      </c>
      <c r="U2882" s="193">
        <f ca="1">OFFSET('Expenditure Study'!$B$7,'Operations Support'!$C2882,'Operations Support'!$B2882)*$G2882</f>
        <v>888.96719999999993</v>
      </c>
      <c r="V2882" s="199">
        <f ca="1">U2882*'Expenditure Study'!$B$31</f>
        <v>52523.009802869754</v>
      </c>
      <c r="W2882" s="199">
        <f ca="1">IF(A2882=10298,1.51,1)*IF($B2882&lt;3,$D2882*'Expenditure Study'!$B$32*OFFSET('Expenditure Study'!$B$7,'Operations Support'!$C2882,'Operations Support'!$B2882),0)</f>
        <v>0</v>
      </c>
      <c r="X2882" s="200">
        <f ca="1">W2882*'Expenditure Study'!$B$31</f>
        <v>0</v>
      </c>
      <c r="Y2882" s="199">
        <f ca="1">U2882*'Expenditure Study'!$B$31</f>
        <v>52523.009802869754</v>
      </c>
      <c r="Z2882" s="200">
        <f ca="1">W2882*'Expenditure Study'!$B$31</f>
        <v>0</v>
      </c>
      <c r="AA2882" s="195">
        <f t="shared" ca="1" si="624"/>
        <v>52523.009802869754</v>
      </c>
      <c r="AB2882" s="195">
        <f t="shared" ca="1" si="625"/>
        <v>52523.009802869754</v>
      </c>
      <c r="AD2882" s="196">
        <f>IFERROR($G2882/SUMIF($A:$A,$A2882,$G:$G)*SUMIF(Summary!$A$166:$A$242,$A2882,Summary!$P$166:$P$242),0)</f>
        <v>6343.9737503737324</v>
      </c>
      <c r="AE2882" s="197">
        <f t="shared" ca="1" si="626"/>
        <v>46179.03605249602</v>
      </c>
      <c r="AF2882" s="196">
        <f>IFERROR(G2882/SUMIF(A:A,A2882,G:G)*SUMIF(Summary!$A$166:$A$242,'Operations Support'!A2882,Summary!$Q$166:$Q$242),0)</f>
        <v>6371.1783632154893</v>
      </c>
      <c r="AG2882" s="196">
        <f t="shared" ca="1" si="627"/>
        <v>46151.831439654263</v>
      </c>
      <c r="AI2882" s="196">
        <f>IFERROR($G2882/SUMIF($A:$A,$A2882,$G:$G)*SUMIF(Summary!$A$247:$A$283,$A2882,Summary!$P$247:$P$283),0)</f>
        <v>1156.9824999679288</v>
      </c>
      <c r="AJ2882" s="196">
        <f>IFERROR($G2882/SUMIF($A:$A,$A2882,$G:$G)*(SUMIF(Summary!$A$247:$A$283,$A2882,Summary!$L$247:$L$283)+SUMIF(Summary!$A$297:$A$333,$A2882,Summary!$L$297:$L$333))-AI2882,0)</f>
        <v>11030.46493047995</v>
      </c>
      <c r="AK2882" s="196">
        <f>IFERROR($G2882/SUMIF($A:$A,$A2882,$G:$G)*SUMIF(Summary!$A$247:$A$283,$A2882,Summary!$Q$247:$Q$283),0)</f>
        <v>1161.9439424667191</v>
      </c>
      <c r="AL2882" s="196">
        <f>IFERROR($G2882/SUMIF($A:$A,$A2882,$G:$G)*(SUMIF(Summary!$A$247:$A$283,$A2882,Summary!$L$247:$L$283)+SUMIF(Summary!$A$297:$A$333,$A2882,Summary!$L$297:$L$333))-AK2882,0)</f>
        <v>11025.503487981159</v>
      </c>
      <c r="AM2882" s="198"/>
      <c r="AN2882" s="196">
        <f t="shared" ca="1" si="628"/>
        <v>57209.500982975966</v>
      </c>
      <c r="AO2882" s="196">
        <f t="shared" ca="1" si="629"/>
        <v>57177.33492763542</v>
      </c>
    </row>
    <row r="2883" spans="1:41">
      <c r="A2883" s="189">
        <v>10298</v>
      </c>
      <c r="B2883" s="190">
        <v>3</v>
      </c>
      <c r="C2883" s="191" t="s">
        <v>221</v>
      </c>
      <c r="D2883" s="192">
        <f t="shared" si="616"/>
        <v>496</v>
      </c>
      <c r="E2883" s="192">
        <f t="shared" si="617"/>
        <v>37</v>
      </c>
      <c r="F2883" s="192">
        <f t="shared" si="618"/>
        <v>0</v>
      </c>
      <c r="G2883" s="193">
        <f t="shared" si="619"/>
        <v>804.83</v>
      </c>
      <c r="H2883" s="194">
        <v>172</v>
      </c>
      <c r="I2883" s="194">
        <v>17</v>
      </c>
      <c r="J2883" s="194">
        <v>0</v>
      </c>
      <c r="K2883" s="193">
        <f t="shared" si="620"/>
        <v>189</v>
      </c>
      <c r="L2883" s="194">
        <v>242</v>
      </c>
      <c r="M2883" s="194">
        <v>20</v>
      </c>
      <c r="N2883" s="194">
        <v>0</v>
      </c>
      <c r="O2883" s="193">
        <f t="shared" si="621"/>
        <v>262</v>
      </c>
      <c r="P2883" s="194">
        <v>82</v>
      </c>
      <c r="Q2883" s="194">
        <v>0</v>
      </c>
      <c r="R2883" s="194">
        <v>0</v>
      </c>
      <c r="S2883" s="193">
        <f t="shared" si="622"/>
        <v>82</v>
      </c>
      <c r="T2883" s="193">
        <f t="shared" si="623"/>
        <v>33.534583333333337</v>
      </c>
      <c r="U2883" s="193">
        <f ca="1">OFFSET('Expenditure Study'!$B$7,'Operations Support'!$C2883,'Operations Support'!$B2883)*$G2883</f>
        <v>5633.81</v>
      </c>
      <c r="V2883" s="199">
        <f ca="1">U2883*'Expenditure Study'!$B$31</f>
        <v>332863.41482284805</v>
      </c>
      <c r="W2883" s="199">
        <f ca="1">IF(A2883=10298,1.51,1)*IF($B2883&lt;3,$D2883*'Expenditure Study'!$B$32*OFFSET('Expenditure Study'!$B$7,'Operations Support'!$C2883,'Operations Support'!$B2883),0)</f>
        <v>0</v>
      </c>
      <c r="X2883" s="200">
        <f ca="1">W2883*'Expenditure Study'!$B$31</f>
        <v>0</v>
      </c>
      <c r="Y2883" s="199">
        <f ca="1">U2883*'Expenditure Study'!$B$31</f>
        <v>332863.41482284805</v>
      </c>
      <c r="Z2883" s="200">
        <f ca="1">W2883*'Expenditure Study'!$B$31</f>
        <v>0</v>
      </c>
      <c r="AA2883" s="195">
        <f t="shared" ca="1" si="624"/>
        <v>332863.41482284805</v>
      </c>
      <c r="AB2883" s="195">
        <f t="shared" ca="1" si="625"/>
        <v>332863.41482284805</v>
      </c>
      <c r="AD2883" s="196">
        <f>IFERROR($G2883/SUMIF($A:$A,$A2883,$G:$G)*SUMIF(Summary!$A$166:$A$242,$A2883,Summary!$P$166:$P$242),0)</f>
        <v>25616.197037493937</v>
      </c>
      <c r="AE2883" s="197">
        <f t="shared" ca="1" si="626"/>
        <v>307247.21778535412</v>
      </c>
      <c r="AF2883" s="196">
        <f>IFERROR(G2883/SUMIF(A:A,A2883,G:G)*SUMIF(Summary!$A$166:$A$242,'Operations Support'!A2883,Summary!$Q$166:$Q$242),0)</f>
        <v>25726.04596662012</v>
      </c>
      <c r="AG2883" s="196">
        <f t="shared" ca="1" si="627"/>
        <v>307137.36885622796</v>
      </c>
      <c r="AI2883" s="196">
        <f>IFERROR($G2883/SUMIF($A:$A,$A2883,$G:$G)*SUMIF(Summary!$A$247:$A$283,$A2883,Summary!$P$247:$P$283),0)</f>
        <v>4671.7550945674702</v>
      </c>
      <c r="AJ2883" s="196">
        <f>IFERROR($G2883/SUMIF($A:$A,$A2883,$G:$G)*(SUMIF(Summary!$A$247:$A$283,$A2883,Summary!$L$247:$L$283)+SUMIF(Summary!$A$297:$A$333,$A2883,Summary!$L$297:$L$333))-AI2883,0)</f>
        <v>44539.680363225852</v>
      </c>
      <c r="AK2883" s="196">
        <f>IFERROR($G2883/SUMIF($A:$A,$A2883,$G:$G)*SUMIF(Summary!$A$247:$A$283,$A2883,Summary!$Q$247:$Q$283),0)</f>
        <v>4691.7887979906163</v>
      </c>
      <c r="AL2883" s="196">
        <f>IFERROR($G2883/SUMIF($A:$A,$A2883,$G:$G)*(SUMIF(Summary!$A$247:$A$283,$A2883,Summary!$L$247:$L$283)+SUMIF(Summary!$A$297:$A$333,$A2883,Summary!$L$297:$L$333))-AK2883,0)</f>
        <v>44519.646659802711</v>
      </c>
      <c r="AM2883" s="198"/>
      <c r="AN2883" s="196">
        <f t="shared" ca="1" si="628"/>
        <v>351786.89814857999</v>
      </c>
      <c r="AO2883" s="196">
        <f t="shared" ca="1" si="629"/>
        <v>351657.01551603066</v>
      </c>
    </row>
    <row r="2884" spans="1:41">
      <c r="A2884" s="189">
        <v>10298</v>
      </c>
      <c r="B2884" s="190">
        <v>3</v>
      </c>
      <c r="C2884" s="191" t="s">
        <v>222</v>
      </c>
      <c r="D2884" s="192">
        <f t="shared" si="616"/>
        <v>0</v>
      </c>
      <c r="E2884" s="192">
        <f t="shared" si="617"/>
        <v>0</v>
      </c>
      <c r="F2884" s="192">
        <f t="shared" si="618"/>
        <v>0</v>
      </c>
      <c r="G2884" s="193">
        <f t="shared" si="619"/>
        <v>0</v>
      </c>
      <c r="H2884" s="194">
        <v>0</v>
      </c>
      <c r="I2884" s="194">
        <v>0</v>
      </c>
      <c r="J2884" s="194">
        <v>0</v>
      </c>
      <c r="K2884" s="193">
        <f t="shared" si="620"/>
        <v>0</v>
      </c>
      <c r="L2884" s="194">
        <v>0</v>
      </c>
      <c r="M2884" s="194">
        <v>0</v>
      </c>
      <c r="N2884" s="194">
        <v>0</v>
      </c>
      <c r="O2884" s="193">
        <f t="shared" si="621"/>
        <v>0</v>
      </c>
      <c r="P2884" s="194">
        <v>0</v>
      </c>
      <c r="Q2884" s="194">
        <v>0</v>
      </c>
      <c r="R2884" s="194">
        <v>0</v>
      </c>
      <c r="S2884" s="193">
        <f t="shared" si="622"/>
        <v>0</v>
      </c>
      <c r="T2884" s="193">
        <f t="shared" si="623"/>
        <v>0</v>
      </c>
      <c r="U2884" s="193">
        <f ca="1">OFFSET('Expenditure Study'!$B$7,'Operations Support'!$C2884,'Operations Support'!$B2884)*$G2884</f>
        <v>0</v>
      </c>
      <c r="V2884" s="199">
        <f ca="1">U2884*'Expenditure Study'!$B$31</f>
        <v>0</v>
      </c>
      <c r="W2884" s="199">
        <f ca="1">IF(A2884=10298,1.51,1)*IF($B2884&lt;3,$D2884*'Expenditure Study'!$B$32*OFFSET('Expenditure Study'!$B$7,'Operations Support'!$C2884,'Operations Support'!$B2884),0)</f>
        <v>0</v>
      </c>
      <c r="X2884" s="200">
        <f ca="1">W2884*'Expenditure Study'!$B$31</f>
        <v>0</v>
      </c>
      <c r="Y2884" s="199">
        <f ca="1">U2884*'Expenditure Study'!$B$31</f>
        <v>0</v>
      </c>
      <c r="Z2884" s="200">
        <f ca="1">W2884*'Expenditure Study'!$B$31</f>
        <v>0</v>
      </c>
      <c r="AA2884" s="195">
        <f t="shared" ca="1" si="624"/>
        <v>0</v>
      </c>
      <c r="AB2884" s="195">
        <f t="shared" ca="1" si="625"/>
        <v>0</v>
      </c>
      <c r="AD2884" s="196">
        <f>IFERROR($G2884/SUMIF($A:$A,$A2884,$G:$G)*SUMIF(Summary!$A$166:$A$242,$A2884,Summary!$P$166:$P$242),0)</f>
        <v>0</v>
      </c>
      <c r="AE2884" s="197">
        <f t="shared" ca="1" si="626"/>
        <v>0</v>
      </c>
      <c r="AF2884" s="196">
        <f>IFERROR(G2884/SUMIF(A:A,A2884,G:G)*SUMIF(Summary!$A$166:$A$242,'Operations Support'!A2884,Summary!$Q$166:$Q$242),0)</f>
        <v>0</v>
      </c>
      <c r="AG2884" s="196">
        <f t="shared" ca="1" si="627"/>
        <v>0</v>
      </c>
      <c r="AI2884" s="196">
        <f>IFERROR($G2884/SUMIF($A:$A,$A2884,$G:$G)*SUMIF(Summary!$A$247:$A$283,$A2884,Summary!$P$247:$P$283),0)</f>
        <v>0</v>
      </c>
      <c r="AJ2884" s="196">
        <f>IFERROR($G2884/SUMIF($A:$A,$A2884,$G:$G)*(SUMIF(Summary!$A$247:$A$283,$A2884,Summary!$L$247:$L$283)+SUMIF(Summary!$A$297:$A$333,$A2884,Summary!$L$297:$L$333))-AI2884,0)</f>
        <v>0</v>
      </c>
      <c r="AK2884" s="196">
        <f>IFERROR($G2884/SUMIF($A:$A,$A2884,$G:$G)*SUMIF(Summary!$A$247:$A$283,$A2884,Summary!$Q$247:$Q$283),0)</f>
        <v>0</v>
      </c>
      <c r="AL2884" s="196">
        <f>IFERROR($G2884/SUMIF($A:$A,$A2884,$G:$G)*(SUMIF(Summary!$A$247:$A$283,$A2884,Summary!$L$247:$L$283)+SUMIF(Summary!$A$297:$A$333,$A2884,Summary!$L$297:$L$333))-AK2884,0)</f>
        <v>0</v>
      </c>
      <c r="AM2884" s="198"/>
      <c r="AN2884" s="196">
        <f t="shared" ca="1" si="628"/>
        <v>0</v>
      </c>
      <c r="AO2884" s="196">
        <f t="shared" ca="1" si="629"/>
        <v>0</v>
      </c>
    </row>
    <row r="2885" spans="1:41">
      <c r="A2885" s="189">
        <v>10298</v>
      </c>
      <c r="B2885" s="190">
        <v>3</v>
      </c>
      <c r="C2885" s="191" t="s">
        <v>223</v>
      </c>
      <c r="D2885" s="192">
        <f t="shared" ref="D2885:D2948" si="630">H2885+L2885+P2885</f>
        <v>0</v>
      </c>
      <c r="E2885" s="192">
        <f t="shared" ref="E2885:E2948" si="631">I2885+M2885+Q2885</f>
        <v>0</v>
      </c>
      <c r="F2885" s="192">
        <f t="shared" ref="F2885:F2948" si="632">J2885+N2885+R2885</f>
        <v>0</v>
      </c>
      <c r="G2885" s="193">
        <f t="shared" ref="G2885:G2948" si="633">(SUM(D2885:E2885)-F2885)*IF(A2885=10298,1.51,1)</f>
        <v>0</v>
      </c>
      <c r="H2885" s="194">
        <v>0</v>
      </c>
      <c r="I2885" s="194">
        <v>0</v>
      </c>
      <c r="J2885" s="194">
        <v>0</v>
      </c>
      <c r="K2885" s="193">
        <f t="shared" ref="K2885:K2948" si="634">SUM(H2885:I2885)-J2885</f>
        <v>0</v>
      </c>
      <c r="L2885" s="194">
        <v>0</v>
      </c>
      <c r="M2885" s="194">
        <v>0</v>
      </c>
      <c r="N2885" s="194">
        <v>0</v>
      </c>
      <c r="O2885" s="193">
        <f t="shared" ref="O2885:O2948" si="635">SUM(L2885:M2885)-N2885</f>
        <v>0</v>
      </c>
      <c r="P2885" s="194">
        <v>0</v>
      </c>
      <c r="Q2885" s="194">
        <v>0</v>
      </c>
      <c r="R2885" s="194">
        <v>0</v>
      </c>
      <c r="S2885" s="193">
        <f t="shared" ref="S2885:S2948" si="636">SUM(P2885:Q2885)-R2885</f>
        <v>0</v>
      </c>
      <c r="T2885" s="193">
        <f t="shared" ref="T2885:T2948" si="637">IF(OR(B2885=1,B2885=2),G2885/30,IF(OR(B2885=3,B2885=5),G2885/24,IF(B2885=4,G2885/18,0)))</f>
        <v>0</v>
      </c>
      <c r="U2885" s="193">
        <f ca="1">OFFSET('Expenditure Study'!$B$7,'Operations Support'!$C2885,'Operations Support'!$B2885)*$G2885</f>
        <v>0</v>
      </c>
      <c r="V2885" s="199">
        <f ca="1">U2885*'Expenditure Study'!$B$31</f>
        <v>0</v>
      </c>
      <c r="W2885" s="199">
        <f ca="1">IF(A2885=10298,1.51,1)*IF($B2885&lt;3,$D2885*'Expenditure Study'!$B$32*OFFSET('Expenditure Study'!$B$7,'Operations Support'!$C2885,'Operations Support'!$B2885),0)</f>
        <v>0</v>
      </c>
      <c r="X2885" s="200">
        <f ca="1">W2885*'Expenditure Study'!$B$31</f>
        <v>0</v>
      </c>
      <c r="Y2885" s="199">
        <f ca="1">U2885*'Expenditure Study'!$B$31</f>
        <v>0</v>
      </c>
      <c r="Z2885" s="200">
        <f ca="1">W2885*'Expenditure Study'!$B$31</f>
        <v>0</v>
      </c>
      <c r="AA2885" s="195">
        <f t="shared" ref="AA2885:AA2948" ca="1" si="638">V2885+X2885</f>
        <v>0</v>
      </c>
      <c r="AB2885" s="195">
        <f t="shared" ref="AB2885:AB2948" ca="1" si="639">Y2885+Z2885</f>
        <v>0</v>
      </c>
      <c r="AD2885" s="196">
        <f>IFERROR($G2885/SUMIF($A:$A,$A2885,$G:$G)*SUMIF(Summary!$A$166:$A$242,$A2885,Summary!$P$166:$P$242),0)</f>
        <v>0</v>
      </c>
      <c r="AE2885" s="197">
        <f t="shared" ca="1" si="626"/>
        <v>0</v>
      </c>
      <c r="AF2885" s="196">
        <f>IFERROR(G2885/SUMIF(A:A,A2885,G:G)*SUMIF(Summary!$A$166:$A$242,'Operations Support'!A2885,Summary!$Q$166:$Q$242),0)</f>
        <v>0</v>
      </c>
      <c r="AG2885" s="196">
        <f t="shared" ca="1" si="627"/>
        <v>0</v>
      </c>
      <c r="AI2885" s="196">
        <f>IFERROR($G2885/SUMIF($A:$A,$A2885,$G:$G)*SUMIF(Summary!$A$247:$A$283,$A2885,Summary!$P$247:$P$283),0)</f>
        <v>0</v>
      </c>
      <c r="AJ2885" s="196">
        <f>IFERROR($G2885/SUMIF($A:$A,$A2885,$G:$G)*(SUMIF(Summary!$A$247:$A$283,$A2885,Summary!$L$247:$L$283)+SUMIF(Summary!$A$297:$A$333,$A2885,Summary!$L$297:$L$333))-AI2885,0)</f>
        <v>0</v>
      </c>
      <c r="AK2885" s="196">
        <f>IFERROR($G2885/SUMIF($A:$A,$A2885,$G:$G)*SUMIF(Summary!$A$247:$A$283,$A2885,Summary!$Q$247:$Q$283),0)</f>
        <v>0</v>
      </c>
      <c r="AL2885" s="196">
        <f>IFERROR($G2885/SUMIF($A:$A,$A2885,$G:$G)*(SUMIF(Summary!$A$247:$A$283,$A2885,Summary!$L$247:$L$283)+SUMIF(Summary!$A$297:$A$333,$A2885,Summary!$L$297:$L$333))-AK2885,0)</f>
        <v>0</v>
      </c>
      <c r="AM2885" s="198"/>
      <c r="AN2885" s="196">
        <f t="shared" ca="1" si="628"/>
        <v>0</v>
      </c>
      <c r="AO2885" s="196">
        <f t="shared" ca="1" si="629"/>
        <v>0</v>
      </c>
    </row>
    <row r="2886" spans="1:41">
      <c r="A2886" s="189">
        <v>10298</v>
      </c>
      <c r="B2886" s="190">
        <v>3</v>
      </c>
      <c r="C2886" s="191" t="s">
        <v>224</v>
      </c>
      <c r="D2886" s="192">
        <f t="shared" si="630"/>
        <v>212.5</v>
      </c>
      <c r="E2886" s="192">
        <f t="shared" si="631"/>
        <v>161.5</v>
      </c>
      <c r="F2886" s="192">
        <f t="shared" si="632"/>
        <v>0</v>
      </c>
      <c r="G2886" s="193">
        <f t="shared" si="633"/>
        <v>564.74</v>
      </c>
      <c r="H2886" s="194">
        <v>73</v>
      </c>
      <c r="I2886" s="194">
        <v>87</v>
      </c>
      <c r="J2886" s="194">
        <v>0</v>
      </c>
      <c r="K2886" s="193">
        <f t="shared" si="634"/>
        <v>160</v>
      </c>
      <c r="L2886" s="194">
        <v>127.5</v>
      </c>
      <c r="M2886" s="194">
        <v>74.5</v>
      </c>
      <c r="N2886" s="194">
        <v>0</v>
      </c>
      <c r="O2886" s="193">
        <f t="shared" si="635"/>
        <v>202</v>
      </c>
      <c r="P2886" s="194">
        <v>12</v>
      </c>
      <c r="Q2886" s="194">
        <v>0</v>
      </c>
      <c r="R2886" s="194">
        <v>0</v>
      </c>
      <c r="S2886" s="193">
        <f t="shared" si="636"/>
        <v>12</v>
      </c>
      <c r="T2886" s="193">
        <f t="shared" si="637"/>
        <v>23.530833333333334</v>
      </c>
      <c r="U2886" s="193">
        <f ca="1">OFFSET('Expenditure Study'!$B$7,'Operations Support'!$C2886,'Operations Support'!$B2886)*$G2886</f>
        <v>5178.6657999999998</v>
      </c>
      <c r="V2886" s="199">
        <f ca="1">U2886*'Expenditure Study'!$B$31</f>
        <v>305972.04776417662</v>
      </c>
      <c r="W2886" s="199">
        <f ca="1">IF(A2886=10298,1.51,1)*IF($B2886&lt;3,$D2886*'Expenditure Study'!$B$32*OFFSET('Expenditure Study'!$B$7,'Operations Support'!$C2886,'Operations Support'!$B2886),0)</f>
        <v>0</v>
      </c>
      <c r="X2886" s="200">
        <f ca="1">W2886*'Expenditure Study'!$B$31</f>
        <v>0</v>
      </c>
      <c r="Y2886" s="199">
        <f ca="1">U2886*'Expenditure Study'!$B$31</f>
        <v>305972.04776417662</v>
      </c>
      <c r="Z2886" s="200">
        <f ca="1">W2886*'Expenditure Study'!$B$31</f>
        <v>0</v>
      </c>
      <c r="AA2886" s="195">
        <f t="shared" ca="1" si="638"/>
        <v>305972.04776417662</v>
      </c>
      <c r="AB2886" s="195">
        <f t="shared" ca="1" si="639"/>
        <v>305972.04776417662</v>
      </c>
      <c r="AD2886" s="196">
        <f>IFERROR($G2886/SUMIF($A:$A,$A2886,$G:$G)*SUMIF(Summary!$A$166:$A$242,$A2886,Summary!$P$166:$P$242),0)</f>
        <v>17974.592292725578</v>
      </c>
      <c r="AE2886" s="197">
        <f t="shared" ref="AE2886:AE2949" ca="1" si="640">V2886+X2886-AD2886</f>
        <v>287997.45547145105</v>
      </c>
      <c r="AF2886" s="196">
        <f>IFERROR(G2886/SUMIF(A:A,A2886,G:G)*SUMIF(Summary!$A$166:$A$242,'Operations Support'!A2886,Summary!$Q$166:$Q$242),0)</f>
        <v>18051.672029110556</v>
      </c>
      <c r="AG2886" s="196">
        <f t="shared" ref="AG2886:AG2949" ca="1" si="641">Y2886+Z2886-AF2886</f>
        <v>287920.37573506607</v>
      </c>
      <c r="AI2886" s="196">
        <f>IFERROR($G2886/SUMIF($A:$A,$A2886,$G:$G)*SUMIF(Summary!$A$247:$A$283,$A2886,Summary!$P$247:$P$283),0)</f>
        <v>3278.1170832424655</v>
      </c>
      <c r="AJ2886" s="196">
        <f>IFERROR($G2886/SUMIF($A:$A,$A2886,$G:$G)*(SUMIF(Summary!$A$247:$A$283,$A2886,Summary!$L$247:$L$283)+SUMIF(Summary!$A$297:$A$333,$A2886,Summary!$L$297:$L$333))-AI2886,0)</f>
        <v>31252.983969693192</v>
      </c>
      <c r="AK2886" s="196">
        <f>IFERROR($G2886/SUMIF($A:$A,$A2886,$G:$G)*SUMIF(Summary!$A$247:$A$283,$A2886,Summary!$Q$247:$Q$283),0)</f>
        <v>3292.1745036557045</v>
      </c>
      <c r="AL2886" s="196">
        <f>IFERROR($G2886/SUMIF($A:$A,$A2886,$G:$G)*(SUMIF(Summary!$A$247:$A$283,$A2886,Summary!$L$247:$L$283)+SUMIF(Summary!$A$297:$A$333,$A2886,Summary!$L$297:$L$333))-AK2886,0)</f>
        <v>31238.926549279953</v>
      </c>
      <c r="AM2886" s="198"/>
      <c r="AN2886" s="196">
        <f t="shared" ref="AN2886:AN2949" ca="1" si="642">AE2886+AJ2886</f>
        <v>319250.43944114423</v>
      </c>
      <c r="AO2886" s="196">
        <f t="shared" ref="AO2886:AO2949" ca="1" si="643">AG2886+AL2886</f>
        <v>319159.30228434602</v>
      </c>
    </row>
    <row r="2887" spans="1:41">
      <c r="A2887" s="189">
        <v>10298</v>
      </c>
      <c r="B2887" s="190">
        <v>3</v>
      </c>
      <c r="C2887" s="191" t="s">
        <v>225</v>
      </c>
      <c r="D2887" s="192">
        <f t="shared" si="630"/>
        <v>181</v>
      </c>
      <c r="E2887" s="192">
        <f t="shared" si="631"/>
        <v>54</v>
      </c>
      <c r="F2887" s="192">
        <f t="shared" si="632"/>
        <v>0</v>
      </c>
      <c r="G2887" s="193">
        <f t="shared" si="633"/>
        <v>354.85</v>
      </c>
      <c r="H2887" s="194">
        <v>75</v>
      </c>
      <c r="I2887" s="194">
        <v>18</v>
      </c>
      <c r="J2887" s="194">
        <v>0</v>
      </c>
      <c r="K2887" s="193">
        <f t="shared" si="634"/>
        <v>93</v>
      </c>
      <c r="L2887" s="194">
        <v>106</v>
      </c>
      <c r="M2887" s="194">
        <v>6</v>
      </c>
      <c r="N2887" s="194">
        <v>0</v>
      </c>
      <c r="O2887" s="193">
        <f t="shared" si="635"/>
        <v>112</v>
      </c>
      <c r="P2887" s="194">
        <v>0</v>
      </c>
      <c r="Q2887" s="194">
        <v>30</v>
      </c>
      <c r="R2887" s="194">
        <v>0</v>
      </c>
      <c r="S2887" s="193">
        <f t="shared" si="636"/>
        <v>30</v>
      </c>
      <c r="T2887" s="193">
        <f t="shared" si="637"/>
        <v>14.785416666666668</v>
      </c>
      <c r="U2887" s="193">
        <f ca="1">OFFSET('Expenditure Study'!$B$7,'Operations Support'!$C2887,'Operations Support'!$B2887)*$G2887</f>
        <v>2452.0135</v>
      </c>
      <c r="V2887" s="199">
        <f ca="1">U2887*'Expenditure Study'!$B$31</f>
        <v>144872.7569445408</v>
      </c>
      <c r="W2887" s="199">
        <f ca="1">IF(A2887=10298,1.51,1)*IF($B2887&lt;3,$D2887*'Expenditure Study'!$B$32*OFFSET('Expenditure Study'!$B$7,'Operations Support'!$C2887,'Operations Support'!$B2887),0)</f>
        <v>0</v>
      </c>
      <c r="X2887" s="200">
        <f ca="1">W2887*'Expenditure Study'!$B$31</f>
        <v>0</v>
      </c>
      <c r="Y2887" s="199">
        <f ca="1">U2887*'Expenditure Study'!$B$31</f>
        <v>144872.7569445408</v>
      </c>
      <c r="Z2887" s="200">
        <f ca="1">W2887*'Expenditure Study'!$B$31</f>
        <v>0</v>
      </c>
      <c r="AA2887" s="195">
        <f t="shared" ca="1" si="638"/>
        <v>144872.7569445408</v>
      </c>
      <c r="AB2887" s="195">
        <f t="shared" ca="1" si="639"/>
        <v>144872.7569445408</v>
      </c>
      <c r="AD2887" s="196">
        <f>IFERROR($G2887/SUMIF($A:$A,$A2887,$G:$G)*SUMIF(Summary!$A$166:$A$242,$A2887,Summary!$P$166:$P$242),0)</f>
        <v>11294.195691953239</v>
      </c>
      <c r="AE2887" s="197">
        <f t="shared" ca="1" si="640"/>
        <v>133578.56125258756</v>
      </c>
      <c r="AF2887" s="196">
        <f>IFERROR(G2887/SUMIF(A:A,A2887,G:G)*SUMIF(Summary!$A$166:$A$242,'Operations Support'!A2887,Summary!$Q$166:$Q$242),0)</f>
        <v>11342.628146633639</v>
      </c>
      <c r="AG2887" s="196">
        <f t="shared" ca="1" si="641"/>
        <v>133530.12879790715</v>
      </c>
      <c r="AI2887" s="196">
        <f>IFERROR($G2887/SUMIF($A:$A,$A2887,$G:$G)*SUMIF(Summary!$A$247:$A$283,$A2887,Summary!$P$247:$P$283),0)</f>
        <v>2059.7794507004801</v>
      </c>
      <c r="AJ2887" s="196">
        <f>IFERROR($G2887/SUMIF($A:$A,$A2887,$G:$G)*(SUMIF(Summary!$A$247:$A$283,$A2887,Summary!$L$247:$L$283)+SUMIF(Summary!$A$297:$A$333,$A2887,Summary!$L$297:$L$333))-AI2887,0)</f>
        <v>19637.570141384764</v>
      </c>
      <c r="AK2887" s="196">
        <f>IFERROR($G2887/SUMIF($A:$A,$A2887,$G:$G)*SUMIF(Summary!$A$247:$A$283,$A2887,Summary!$Q$247:$Q$283),0)</f>
        <v>2068.6123218157504</v>
      </c>
      <c r="AL2887" s="196">
        <f>IFERROR($G2887/SUMIF($A:$A,$A2887,$G:$G)*(SUMIF(Summary!$A$247:$A$283,$A2887,Summary!$L$247:$L$283)+SUMIF(Summary!$A$297:$A$333,$A2887,Summary!$L$297:$L$333))-AK2887,0)</f>
        <v>19628.737270269492</v>
      </c>
      <c r="AM2887" s="198"/>
      <c r="AN2887" s="196">
        <f t="shared" ca="1" si="642"/>
        <v>153216.13139397232</v>
      </c>
      <c r="AO2887" s="196">
        <f t="shared" ca="1" si="643"/>
        <v>153158.86606817663</v>
      </c>
    </row>
    <row r="2888" spans="1:41">
      <c r="A2888" s="189">
        <v>10298</v>
      </c>
      <c r="B2888" s="190">
        <v>3</v>
      </c>
      <c r="C2888" s="191" t="s">
        <v>226</v>
      </c>
      <c r="D2888" s="192">
        <f t="shared" si="630"/>
        <v>0</v>
      </c>
      <c r="E2888" s="192">
        <f t="shared" si="631"/>
        <v>0</v>
      </c>
      <c r="F2888" s="192">
        <f t="shared" si="632"/>
        <v>0</v>
      </c>
      <c r="G2888" s="193">
        <f t="shared" si="633"/>
        <v>0</v>
      </c>
      <c r="H2888" s="194">
        <v>0</v>
      </c>
      <c r="I2888" s="194">
        <v>0</v>
      </c>
      <c r="J2888" s="194">
        <v>0</v>
      </c>
      <c r="K2888" s="193">
        <f t="shared" si="634"/>
        <v>0</v>
      </c>
      <c r="L2888" s="194">
        <v>0</v>
      </c>
      <c r="M2888" s="194">
        <v>0</v>
      </c>
      <c r="N2888" s="194">
        <v>0</v>
      </c>
      <c r="O2888" s="193">
        <f t="shared" si="635"/>
        <v>0</v>
      </c>
      <c r="P2888" s="194">
        <v>0</v>
      </c>
      <c r="Q2888" s="194">
        <v>0</v>
      </c>
      <c r="R2888" s="194">
        <v>0</v>
      </c>
      <c r="S2888" s="193">
        <f t="shared" si="636"/>
        <v>0</v>
      </c>
      <c r="T2888" s="193">
        <f t="shared" si="637"/>
        <v>0</v>
      </c>
      <c r="U2888" s="193">
        <f ca="1">OFFSET('Expenditure Study'!$B$7,'Operations Support'!$C2888,'Operations Support'!$B2888)*$G2888</f>
        <v>0</v>
      </c>
      <c r="V2888" s="199">
        <f ca="1">U2888*'Expenditure Study'!$B$31</f>
        <v>0</v>
      </c>
      <c r="W2888" s="199">
        <f ca="1">IF(A2888=10298,1.51,1)*IF($B2888&lt;3,$D2888*'Expenditure Study'!$B$32*OFFSET('Expenditure Study'!$B$7,'Operations Support'!$C2888,'Operations Support'!$B2888),0)</f>
        <v>0</v>
      </c>
      <c r="X2888" s="200">
        <f ca="1">W2888*'Expenditure Study'!$B$31</f>
        <v>0</v>
      </c>
      <c r="Y2888" s="199">
        <f ca="1">U2888*'Expenditure Study'!$B$31</f>
        <v>0</v>
      </c>
      <c r="Z2888" s="200">
        <f ca="1">W2888*'Expenditure Study'!$B$31</f>
        <v>0</v>
      </c>
      <c r="AA2888" s="195">
        <f t="shared" ca="1" si="638"/>
        <v>0</v>
      </c>
      <c r="AB2888" s="195">
        <f t="shared" ca="1" si="639"/>
        <v>0</v>
      </c>
      <c r="AD2888" s="196">
        <f>IFERROR($G2888/SUMIF($A:$A,$A2888,$G:$G)*SUMIF(Summary!$A$166:$A$242,$A2888,Summary!$P$166:$P$242),0)</f>
        <v>0</v>
      </c>
      <c r="AE2888" s="197">
        <f t="shared" ca="1" si="640"/>
        <v>0</v>
      </c>
      <c r="AF2888" s="196">
        <f>IFERROR(G2888/SUMIF(A:A,A2888,G:G)*SUMIF(Summary!$A$166:$A$242,'Operations Support'!A2888,Summary!$Q$166:$Q$242),0)</f>
        <v>0</v>
      </c>
      <c r="AG2888" s="196">
        <f t="shared" ca="1" si="641"/>
        <v>0</v>
      </c>
      <c r="AI2888" s="196">
        <f>IFERROR($G2888/SUMIF($A:$A,$A2888,$G:$G)*SUMIF(Summary!$A$247:$A$283,$A2888,Summary!$P$247:$P$283),0)</f>
        <v>0</v>
      </c>
      <c r="AJ2888" s="196">
        <f>IFERROR($G2888/SUMIF($A:$A,$A2888,$G:$G)*(SUMIF(Summary!$A$247:$A$283,$A2888,Summary!$L$247:$L$283)+SUMIF(Summary!$A$297:$A$333,$A2888,Summary!$L$297:$L$333))-AI2888,0)</f>
        <v>0</v>
      </c>
      <c r="AK2888" s="196">
        <f>IFERROR($G2888/SUMIF($A:$A,$A2888,$G:$G)*SUMIF(Summary!$A$247:$A$283,$A2888,Summary!$Q$247:$Q$283),0)</f>
        <v>0</v>
      </c>
      <c r="AL2888" s="196">
        <f>IFERROR($G2888/SUMIF($A:$A,$A2888,$G:$G)*(SUMIF(Summary!$A$247:$A$283,$A2888,Summary!$L$247:$L$283)+SUMIF(Summary!$A$297:$A$333,$A2888,Summary!$L$297:$L$333))-AK2888,0)</f>
        <v>0</v>
      </c>
      <c r="AM2888" s="198"/>
      <c r="AN2888" s="196">
        <f t="shared" ca="1" si="642"/>
        <v>0</v>
      </c>
      <c r="AO2888" s="196">
        <f t="shared" ca="1" si="643"/>
        <v>0</v>
      </c>
    </row>
    <row r="2889" spans="1:41" s="201" customFormat="1">
      <c r="A2889" s="189">
        <v>10298</v>
      </c>
      <c r="B2889" s="190">
        <v>3</v>
      </c>
      <c r="C2889" s="191" t="s">
        <v>227</v>
      </c>
      <c r="D2889" s="192">
        <f t="shared" si="630"/>
        <v>0</v>
      </c>
      <c r="E2889" s="192">
        <f t="shared" si="631"/>
        <v>0</v>
      </c>
      <c r="F2889" s="192">
        <f t="shared" si="632"/>
        <v>0</v>
      </c>
      <c r="G2889" s="193">
        <f t="shared" si="633"/>
        <v>0</v>
      </c>
      <c r="H2889" s="194">
        <v>0</v>
      </c>
      <c r="I2889" s="194">
        <v>0</v>
      </c>
      <c r="J2889" s="194">
        <v>0</v>
      </c>
      <c r="K2889" s="193">
        <f t="shared" si="634"/>
        <v>0</v>
      </c>
      <c r="L2889" s="194">
        <v>0</v>
      </c>
      <c r="M2889" s="194">
        <v>0</v>
      </c>
      <c r="N2889" s="194">
        <v>0</v>
      </c>
      <c r="O2889" s="193">
        <f t="shared" si="635"/>
        <v>0</v>
      </c>
      <c r="P2889" s="194">
        <v>0</v>
      </c>
      <c r="Q2889" s="194">
        <v>0</v>
      </c>
      <c r="R2889" s="194">
        <v>0</v>
      </c>
      <c r="S2889" s="193">
        <f t="shared" si="636"/>
        <v>0</v>
      </c>
      <c r="T2889" s="193">
        <f t="shared" si="637"/>
        <v>0</v>
      </c>
      <c r="U2889" s="193">
        <f ca="1">OFFSET('Expenditure Study'!$B$7,'Operations Support'!$C2889,'Operations Support'!$B2889)*$G2889</f>
        <v>0</v>
      </c>
      <c r="V2889" s="199">
        <f ca="1">U2889*'Expenditure Study'!$B$31</f>
        <v>0</v>
      </c>
      <c r="W2889" s="199">
        <f ca="1">IF(A2889=10298,1.51,1)*IF($B2889&lt;3,$D2889*'Expenditure Study'!$B$32*OFFSET('Expenditure Study'!$B$7,'Operations Support'!$C2889,'Operations Support'!$B2889),0)</f>
        <v>0</v>
      </c>
      <c r="X2889" s="200">
        <f ca="1">W2889*'Expenditure Study'!$B$31</f>
        <v>0</v>
      </c>
      <c r="Y2889" s="199">
        <f ca="1">U2889*'Expenditure Study'!$B$31</f>
        <v>0</v>
      </c>
      <c r="Z2889" s="200">
        <f ca="1">W2889*'Expenditure Study'!$B$31</f>
        <v>0</v>
      </c>
      <c r="AA2889" s="195">
        <f t="shared" ca="1" si="638"/>
        <v>0</v>
      </c>
      <c r="AB2889" s="195">
        <f t="shared" ca="1" si="639"/>
        <v>0</v>
      </c>
      <c r="AD2889" s="196">
        <f>IFERROR($G2889/SUMIF($A:$A,$A2889,$G:$G)*SUMIF(Summary!$A$166:$A$242,$A2889,Summary!$P$166:$P$242),0)</f>
        <v>0</v>
      </c>
      <c r="AE2889" s="197">
        <f t="shared" ca="1" si="640"/>
        <v>0</v>
      </c>
      <c r="AF2889" s="196">
        <f>IFERROR(G2889/SUMIF(A:A,A2889,G:G)*SUMIF(Summary!$A$166:$A$242,'Operations Support'!A2889,Summary!$Q$166:$Q$242),0)</f>
        <v>0</v>
      </c>
      <c r="AG2889" s="196">
        <f t="shared" ca="1" si="641"/>
        <v>0</v>
      </c>
      <c r="AH2889" s="180"/>
      <c r="AI2889" s="196">
        <f>IFERROR($G2889/SUMIF($A:$A,$A2889,$G:$G)*SUMIF(Summary!$A$247:$A$283,$A2889,Summary!$P$247:$P$283),0)</f>
        <v>0</v>
      </c>
      <c r="AJ2889" s="196">
        <f>IFERROR($G2889/SUMIF($A:$A,$A2889,$G:$G)*(SUMIF(Summary!$A$247:$A$283,$A2889,Summary!$L$247:$L$283)+SUMIF(Summary!$A$297:$A$333,$A2889,Summary!$L$297:$L$333))-AI2889,0)</f>
        <v>0</v>
      </c>
      <c r="AK2889" s="196">
        <f>IFERROR($G2889/SUMIF($A:$A,$A2889,$G:$G)*SUMIF(Summary!$A$247:$A$283,$A2889,Summary!$Q$247:$Q$283),0)</f>
        <v>0</v>
      </c>
      <c r="AL2889" s="196">
        <f>IFERROR($G2889/SUMIF($A:$A,$A2889,$G:$G)*(SUMIF(Summary!$A$247:$A$283,$A2889,Summary!$L$247:$L$283)+SUMIF(Summary!$A$297:$A$333,$A2889,Summary!$L$297:$L$333))-AK2889,0)</f>
        <v>0</v>
      </c>
      <c r="AM2889" s="198"/>
      <c r="AN2889" s="196">
        <f t="shared" ca="1" si="642"/>
        <v>0</v>
      </c>
      <c r="AO2889" s="196">
        <f t="shared" ca="1" si="643"/>
        <v>0</v>
      </c>
    </row>
    <row r="2890" spans="1:41" s="201" customFormat="1">
      <c r="A2890" s="189">
        <v>10298</v>
      </c>
      <c r="B2890" s="190">
        <v>3</v>
      </c>
      <c r="C2890" s="191" t="s">
        <v>228</v>
      </c>
      <c r="D2890" s="192">
        <f t="shared" si="630"/>
        <v>0</v>
      </c>
      <c r="E2890" s="192">
        <f t="shared" si="631"/>
        <v>0</v>
      </c>
      <c r="F2890" s="192">
        <f t="shared" si="632"/>
        <v>0</v>
      </c>
      <c r="G2890" s="193">
        <f t="shared" si="633"/>
        <v>0</v>
      </c>
      <c r="H2890" s="194">
        <v>0</v>
      </c>
      <c r="I2890" s="194">
        <v>0</v>
      </c>
      <c r="J2890" s="194">
        <v>0</v>
      </c>
      <c r="K2890" s="193">
        <f t="shared" si="634"/>
        <v>0</v>
      </c>
      <c r="L2890" s="194">
        <v>0</v>
      </c>
      <c r="M2890" s="194">
        <v>0</v>
      </c>
      <c r="N2890" s="194">
        <v>0</v>
      </c>
      <c r="O2890" s="193">
        <f t="shared" si="635"/>
        <v>0</v>
      </c>
      <c r="P2890" s="194">
        <v>0</v>
      </c>
      <c r="Q2890" s="194">
        <v>0</v>
      </c>
      <c r="R2890" s="194">
        <v>0</v>
      </c>
      <c r="S2890" s="193">
        <f t="shared" si="636"/>
        <v>0</v>
      </c>
      <c r="T2890" s="193">
        <f t="shared" si="637"/>
        <v>0</v>
      </c>
      <c r="U2890" s="193">
        <f ca="1">OFFSET('Expenditure Study'!$B$7,'Operations Support'!$C2890,'Operations Support'!$B2890)*$G2890</f>
        <v>0</v>
      </c>
      <c r="V2890" s="199">
        <f ca="1">U2890*'Expenditure Study'!$B$31</f>
        <v>0</v>
      </c>
      <c r="W2890" s="199">
        <f ca="1">IF(A2890=10298,1.51,1)*IF($B2890&lt;3,$D2890*'Expenditure Study'!$B$32*OFFSET('Expenditure Study'!$B$7,'Operations Support'!$C2890,'Operations Support'!$B2890),0)</f>
        <v>0</v>
      </c>
      <c r="X2890" s="200">
        <f ca="1">W2890*'Expenditure Study'!$B$31</f>
        <v>0</v>
      </c>
      <c r="Y2890" s="199">
        <f ca="1">U2890*'Expenditure Study'!$B$31</f>
        <v>0</v>
      </c>
      <c r="Z2890" s="200">
        <f ca="1">W2890*'Expenditure Study'!$B$31</f>
        <v>0</v>
      </c>
      <c r="AA2890" s="195">
        <f t="shared" ca="1" si="638"/>
        <v>0</v>
      </c>
      <c r="AB2890" s="195">
        <f t="shared" ca="1" si="639"/>
        <v>0</v>
      </c>
      <c r="AD2890" s="196">
        <f>IFERROR($G2890/SUMIF($A:$A,$A2890,$G:$G)*SUMIF(Summary!$A$166:$A$242,$A2890,Summary!$P$166:$P$242),0)</f>
        <v>0</v>
      </c>
      <c r="AE2890" s="197">
        <f t="shared" ca="1" si="640"/>
        <v>0</v>
      </c>
      <c r="AF2890" s="196">
        <f>IFERROR(G2890/SUMIF(A:A,A2890,G:G)*SUMIF(Summary!$A$166:$A$242,'Operations Support'!A2890,Summary!$Q$166:$Q$242),0)</f>
        <v>0</v>
      </c>
      <c r="AG2890" s="196">
        <f t="shared" ca="1" si="641"/>
        <v>0</v>
      </c>
      <c r="AH2890" s="180"/>
      <c r="AI2890" s="196">
        <f>IFERROR($G2890/SUMIF($A:$A,$A2890,$G:$G)*SUMIF(Summary!$A$247:$A$283,$A2890,Summary!$P$247:$P$283),0)</f>
        <v>0</v>
      </c>
      <c r="AJ2890" s="196">
        <f>IFERROR($G2890/SUMIF($A:$A,$A2890,$G:$G)*(SUMIF(Summary!$A$247:$A$283,$A2890,Summary!$L$247:$L$283)+SUMIF(Summary!$A$297:$A$333,$A2890,Summary!$L$297:$L$333))-AI2890,0)</f>
        <v>0</v>
      </c>
      <c r="AK2890" s="196">
        <f>IFERROR($G2890/SUMIF($A:$A,$A2890,$G:$G)*SUMIF(Summary!$A$247:$A$283,$A2890,Summary!$Q$247:$Q$283),0)</f>
        <v>0</v>
      </c>
      <c r="AL2890" s="196">
        <f>IFERROR($G2890/SUMIF($A:$A,$A2890,$G:$G)*(SUMIF(Summary!$A$247:$A$283,$A2890,Summary!$L$247:$L$283)+SUMIF(Summary!$A$297:$A$333,$A2890,Summary!$L$297:$L$333))-AK2890,0)</f>
        <v>0</v>
      </c>
      <c r="AM2890" s="198"/>
      <c r="AN2890" s="196">
        <f t="shared" ca="1" si="642"/>
        <v>0</v>
      </c>
      <c r="AO2890" s="196">
        <f t="shared" ca="1" si="643"/>
        <v>0</v>
      </c>
    </row>
    <row r="2891" spans="1:41">
      <c r="A2891" s="189">
        <v>10298</v>
      </c>
      <c r="B2891" s="190">
        <v>3</v>
      </c>
      <c r="C2891" s="191" t="s">
        <v>229</v>
      </c>
      <c r="D2891" s="192">
        <f t="shared" si="630"/>
        <v>0</v>
      </c>
      <c r="E2891" s="192">
        <f t="shared" si="631"/>
        <v>0</v>
      </c>
      <c r="F2891" s="192">
        <f t="shared" si="632"/>
        <v>0</v>
      </c>
      <c r="G2891" s="193">
        <f t="shared" si="633"/>
        <v>0</v>
      </c>
      <c r="H2891" s="194">
        <v>0</v>
      </c>
      <c r="I2891" s="194">
        <v>0</v>
      </c>
      <c r="J2891" s="194">
        <v>0</v>
      </c>
      <c r="K2891" s="193">
        <f t="shared" si="634"/>
        <v>0</v>
      </c>
      <c r="L2891" s="194">
        <v>0</v>
      </c>
      <c r="M2891" s="194">
        <v>0</v>
      </c>
      <c r="N2891" s="194">
        <v>0</v>
      </c>
      <c r="O2891" s="193">
        <f t="shared" si="635"/>
        <v>0</v>
      </c>
      <c r="P2891" s="194">
        <v>0</v>
      </c>
      <c r="Q2891" s="194">
        <v>0</v>
      </c>
      <c r="R2891" s="194">
        <v>0</v>
      </c>
      <c r="S2891" s="193">
        <f t="shared" si="636"/>
        <v>0</v>
      </c>
      <c r="T2891" s="193">
        <f t="shared" si="637"/>
        <v>0</v>
      </c>
      <c r="U2891" s="193">
        <f ca="1">OFFSET('Expenditure Study'!$B$7,'Operations Support'!$C2891,'Operations Support'!$B2891)*$G2891</f>
        <v>0</v>
      </c>
      <c r="V2891" s="199">
        <f ca="1">U2891*'Expenditure Study'!$B$31</f>
        <v>0</v>
      </c>
      <c r="W2891" s="199">
        <f ca="1">IF(A2891=10298,1.51,1)*IF($B2891&lt;3,$D2891*'Expenditure Study'!$B$32*OFFSET('Expenditure Study'!$B$7,'Operations Support'!$C2891,'Operations Support'!$B2891),0)</f>
        <v>0</v>
      </c>
      <c r="X2891" s="200">
        <f ca="1">W2891*'Expenditure Study'!$B$31</f>
        <v>0</v>
      </c>
      <c r="Y2891" s="199">
        <f ca="1">U2891*'Expenditure Study'!$B$31</f>
        <v>0</v>
      </c>
      <c r="Z2891" s="200">
        <f ca="1">W2891*'Expenditure Study'!$B$31</f>
        <v>0</v>
      </c>
      <c r="AA2891" s="195">
        <f t="shared" ca="1" si="638"/>
        <v>0</v>
      </c>
      <c r="AB2891" s="195">
        <f t="shared" ca="1" si="639"/>
        <v>0</v>
      </c>
      <c r="AD2891" s="196">
        <f>IFERROR($G2891/SUMIF($A:$A,$A2891,$G:$G)*SUMIF(Summary!$A$166:$A$242,$A2891,Summary!$P$166:$P$242),0)</f>
        <v>0</v>
      </c>
      <c r="AE2891" s="197">
        <f t="shared" ca="1" si="640"/>
        <v>0</v>
      </c>
      <c r="AF2891" s="196">
        <f>IFERROR(G2891/SUMIF(A:A,A2891,G:G)*SUMIF(Summary!$A$166:$A$242,'Operations Support'!A2891,Summary!$Q$166:$Q$242),0)</f>
        <v>0</v>
      </c>
      <c r="AG2891" s="196">
        <f t="shared" ca="1" si="641"/>
        <v>0</v>
      </c>
      <c r="AI2891" s="196">
        <f>IFERROR($G2891/SUMIF($A:$A,$A2891,$G:$G)*SUMIF(Summary!$A$247:$A$283,$A2891,Summary!$P$247:$P$283),0)</f>
        <v>0</v>
      </c>
      <c r="AJ2891" s="196">
        <f>IFERROR($G2891/SUMIF($A:$A,$A2891,$G:$G)*(SUMIF(Summary!$A$247:$A$283,$A2891,Summary!$L$247:$L$283)+SUMIF(Summary!$A$297:$A$333,$A2891,Summary!$L$297:$L$333))-AI2891,0)</f>
        <v>0</v>
      </c>
      <c r="AK2891" s="196">
        <f>IFERROR($G2891/SUMIF($A:$A,$A2891,$G:$G)*SUMIF(Summary!$A$247:$A$283,$A2891,Summary!$Q$247:$Q$283),0)</f>
        <v>0</v>
      </c>
      <c r="AL2891" s="196">
        <f>IFERROR($G2891/SUMIF($A:$A,$A2891,$G:$G)*(SUMIF(Summary!$A$247:$A$283,$A2891,Summary!$L$247:$L$283)+SUMIF(Summary!$A$297:$A$333,$A2891,Summary!$L$297:$L$333))-AK2891,0)</f>
        <v>0</v>
      </c>
      <c r="AM2891" s="198"/>
      <c r="AN2891" s="196">
        <f t="shared" ca="1" si="642"/>
        <v>0</v>
      </c>
      <c r="AO2891" s="196">
        <f t="shared" ca="1" si="643"/>
        <v>0</v>
      </c>
    </row>
    <row r="2892" spans="1:41">
      <c r="A2892" s="189">
        <v>10298</v>
      </c>
      <c r="B2892" s="190">
        <v>3</v>
      </c>
      <c r="C2892" s="191" t="s">
        <v>230</v>
      </c>
      <c r="D2892" s="192">
        <f t="shared" si="630"/>
        <v>0</v>
      </c>
      <c r="E2892" s="192">
        <f t="shared" si="631"/>
        <v>0</v>
      </c>
      <c r="F2892" s="192">
        <f t="shared" si="632"/>
        <v>0</v>
      </c>
      <c r="G2892" s="193">
        <f t="shared" si="633"/>
        <v>0</v>
      </c>
      <c r="H2892" s="194">
        <v>0</v>
      </c>
      <c r="I2892" s="194">
        <v>0</v>
      </c>
      <c r="J2892" s="194">
        <v>0</v>
      </c>
      <c r="K2892" s="193">
        <f t="shared" si="634"/>
        <v>0</v>
      </c>
      <c r="L2892" s="194">
        <v>0</v>
      </c>
      <c r="M2892" s="194">
        <v>0</v>
      </c>
      <c r="N2892" s="194">
        <v>0</v>
      </c>
      <c r="O2892" s="193">
        <f t="shared" si="635"/>
        <v>0</v>
      </c>
      <c r="P2892" s="194">
        <v>0</v>
      </c>
      <c r="Q2892" s="194">
        <v>0</v>
      </c>
      <c r="R2892" s="194">
        <v>0</v>
      </c>
      <c r="S2892" s="193">
        <f t="shared" si="636"/>
        <v>0</v>
      </c>
      <c r="T2892" s="193">
        <f t="shared" si="637"/>
        <v>0</v>
      </c>
      <c r="U2892" s="193">
        <f ca="1">OFFSET('Expenditure Study'!$B$7,'Operations Support'!$C2892,'Operations Support'!$B2892)*$G2892</f>
        <v>0</v>
      </c>
      <c r="V2892" s="199">
        <f ca="1">U2892*'Expenditure Study'!$B$31</f>
        <v>0</v>
      </c>
      <c r="W2892" s="199">
        <f ca="1">IF(A2892=10298,1.51,1)*IF($B2892&lt;3,$D2892*'Expenditure Study'!$B$32*OFFSET('Expenditure Study'!$B$7,'Operations Support'!$C2892,'Operations Support'!$B2892),0)</f>
        <v>0</v>
      </c>
      <c r="X2892" s="200">
        <f ca="1">W2892*'Expenditure Study'!$B$31</f>
        <v>0</v>
      </c>
      <c r="Y2892" s="199">
        <f ca="1">U2892*'Expenditure Study'!$B$31</f>
        <v>0</v>
      </c>
      <c r="Z2892" s="200">
        <f ca="1">W2892*'Expenditure Study'!$B$31</f>
        <v>0</v>
      </c>
      <c r="AA2892" s="195">
        <f t="shared" ca="1" si="638"/>
        <v>0</v>
      </c>
      <c r="AB2892" s="195">
        <f t="shared" ca="1" si="639"/>
        <v>0</v>
      </c>
      <c r="AD2892" s="196">
        <f>IFERROR($G2892/SUMIF($A:$A,$A2892,$G:$G)*SUMIF(Summary!$A$166:$A$242,$A2892,Summary!$P$166:$P$242),0)</f>
        <v>0</v>
      </c>
      <c r="AE2892" s="197">
        <f t="shared" ca="1" si="640"/>
        <v>0</v>
      </c>
      <c r="AF2892" s="196">
        <f>IFERROR(G2892/SUMIF(A:A,A2892,G:G)*SUMIF(Summary!$A$166:$A$242,'Operations Support'!A2892,Summary!$Q$166:$Q$242),0)</f>
        <v>0</v>
      </c>
      <c r="AG2892" s="196">
        <f t="shared" ca="1" si="641"/>
        <v>0</v>
      </c>
      <c r="AI2892" s="196">
        <f>IFERROR($G2892/SUMIF($A:$A,$A2892,$G:$G)*SUMIF(Summary!$A$247:$A$283,$A2892,Summary!$P$247:$P$283),0)</f>
        <v>0</v>
      </c>
      <c r="AJ2892" s="196">
        <f>IFERROR($G2892/SUMIF($A:$A,$A2892,$G:$G)*(SUMIF(Summary!$A$247:$A$283,$A2892,Summary!$L$247:$L$283)+SUMIF(Summary!$A$297:$A$333,$A2892,Summary!$L$297:$L$333))-AI2892,0)</f>
        <v>0</v>
      </c>
      <c r="AK2892" s="196">
        <f>IFERROR($G2892/SUMIF($A:$A,$A2892,$G:$G)*SUMIF(Summary!$A$247:$A$283,$A2892,Summary!$Q$247:$Q$283),0)</f>
        <v>0</v>
      </c>
      <c r="AL2892" s="196">
        <f>IFERROR($G2892/SUMIF($A:$A,$A2892,$G:$G)*(SUMIF(Summary!$A$247:$A$283,$A2892,Summary!$L$247:$L$283)+SUMIF(Summary!$A$297:$A$333,$A2892,Summary!$L$297:$L$333))-AK2892,0)</f>
        <v>0</v>
      </c>
      <c r="AM2892" s="198"/>
      <c r="AN2892" s="196">
        <f t="shared" ca="1" si="642"/>
        <v>0</v>
      </c>
      <c r="AO2892" s="196">
        <f t="shared" ca="1" si="643"/>
        <v>0</v>
      </c>
    </row>
    <row r="2893" spans="1:41">
      <c r="A2893" s="189">
        <v>10298</v>
      </c>
      <c r="B2893" s="190">
        <v>3</v>
      </c>
      <c r="C2893" s="191" t="s">
        <v>231</v>
      </c>
      <c r="D2893" s="192">
        <f t="shared" si="630"/>
        <v>0</v>
      </c>
      <c r="E2893" s="192">
        <f t="shared" si="631"/>
        <v>0</v>
      </c>
      <c r="F2893" s="192">
        <f t="shared" si="632"/>
        <v>0</v>
      </c>
      <c r="G2893" s="193">
        <f t="shared" si="633"/>
        <v>0</v>
      </c>
      <c r="H2893" s="194">
        <v>0</v>
      </c>
      <c r="I2893" s="194">
        <v>0</v>
      </c>
      <c r="J2893" s="194">
        <v>0</v>
      </c>
      <c r="K2893" s="193">
        <f t="shared" si="634"/>
        <v>0</v>
      </c>
      <c r="L2893" s="194">
        <v>0</v>
      </c>
      <c r="M2893" s="194">
        <v>0</v>
      </c>
      <c r="N2893" s="194">
        <v>0</v>
      </c>
      <c r="O2893" s="193">
        <f t="shared" si="635"/>
        <v>0</v>
      </c>
      <c r="P2893" s="194">
        <v>0</v>
      </c>
      <c r="Q2893" s="194">
        <v>0</v>
      </c>
      <c r="R2893" s="194">
        <v>0</v>
      </c>
      <c r="S2893" s="193">
        <f t="shared" si="636"/>
        <v>0</v>
      </c>
      <c r="T2893" s="193">
        <f t="shared" si="637"/>
        <v>0</v>
      </c>
      <c r="U2893" s="193">
        <f ca="1">OFFSET('Expenditure Study'!$B$7,'Operations Support'!$C2893,'Operations Support'!$B2893)*$G2893</f>
        <v>0</v>
      </c>
      <c r="V2893" s="199">
        <f ca="1">U2893*'Expenditure Study'!$B$31</f>
        <v>0</v>
      </c>
      <c r="W2893" s="199">
        <f ca="1">IF(A2893=10298,1.51,1)*IF($B2893&lt;3,$D2893*'Expenditure Study'!$B$32*OFFSET('Expenditure Study'!$B$7,'Operations Support'!$C2893,'Operations Support'!$B2893),0)</f>
        <v>0</v>
      </c>
      <c r="X2893" s="200">
        <f ca="1">W2893*'Expenditure Study'!$B$31</f>
        <v>0</v>
      </c>
      <c r="Y2893" s="199">
        <f ca="1">U2893*'Expenditure Study'!$B$31</f>
        <v>0</v>
      </c>
      <c r="Z2893" s="200">
        <f ca="1">W2893*'Expenditure Study'!$B$31</f>
        <v>0</v>
      </c>
      <c r="AA2893" s="195">
        <f t="shared" ca="1" si="638"/>
        <v>0</v>
      </c>
      <c r="AB2893" s="195">
        <f t="shared" ca="1" si="639"/>
        <v>0</v>
      </c>
      <c r="AD2893" s="196">
        <f>IFERROR($G2893/SUMIF($A:$A,$A2893,$G:$G)*SUMIF(Summary!$A$166:$A$242,$A2893,Summary!$P$166:$P$242),0)</f>
        <v>0</v>
      </c>
      <c r="AE2893" s="197">
        <f t="shared" ca="1" si="640"/>
        <v>0</v>
      </c>
      <c r="AF2893" s="196">
        <f>IFERROR(G2893/SUMIF(A:A,A2893,G:G)*SUMIF(Summary!$A$166:$A$242,'Operations Support'!A2893,Summary!$Q$166:$Q$242),0)</f>
        <v>0</v>
      </c>
      <c r="AG2893" s="196">
        <f t="shared" ca="1" si="641"/>
        <v>0</v>
      </c>
      <c r="AI2893" s="196">
        <f>IFERROR($G2893/SUMIF($A:$A,$A2893,$G:$G)*SUMIF(Summary!$A$247:$A$283,$A2893,Summary!$P$247:$P$283),0)</f>
        <v>0</v>
      </c>
      <c r="AJ2893" s="196">
        <f>IFERROR($G2893/SUMIF($A:$A,$A2893,$G:$G)*(SUMIF(Summary!$A$247:$A$283,$A2893,Summary!$L$247:$L$283)+SUMIF(Summary!$A$297:$A$333,$A2893,Summary!$L$297:$L$333))-AI2893,0)</f>
        <v>0</v>
      </c>
      <c r="AK2893" s="196">
        <f>IFERROR($G2893/SUMIF($A:$A,$A2893,$G:$G)*SUMIF(Summary!$A$247:$A$283,$A2893,Summary!$Q$247:$Q$283),0)</f>
        <v>0</v>
      </c>
      <c r="AL2893" s="196">
        <f>IFERROR($G2893/SUMIF($A:$A,$A2893,$G:$G)*(SUMIF(Summary!$A$247:$A$283,$A2893,Summary!$L$247:$L$283)+SUMIF(Summary!$A$297:$A$333,$A2893,Summary!$L$297:$L$333))-AK2893,0)</f>
        <v>0</v>
      </c>
      <c r="AM2893" s="198"/>
      <c r="AN2893" s="196">
        <f t="shared" ca="1" si="642"/>
        <v>0</v>
      </c>
      <c r="AO2893" s="196">
        <f t="shared" ca="1" si="643"/>
        <v>0</v>
      </c>
    </row>
    <row r="2894" spans="1:41">
      <c r="A2894" s="189">
        <v>10298</v>
      </c>
      <c r="B2894" s="190">
        <v>3</v>
      </c>
      <c r="C2894" s="191" t="s">
        <v>232</v>
      </c>
      <c r="D2894" s="192">
        <f t="shared" si="630"/>
        <v>0</v>
      </c>
      <c r="E2894" s="192">
        <f t="shared" si="631"/>
        <v>0</v>
      </c>
      <c r="F2894" s="192">
        <f t="shared" si="632"/>
        <v>0</v>
      </c>
      <c r="G2894" s="193">
        <f t="shared" si="633"/>
        <v>0</v>
      </c>
      <c r="H2894" s="194">
        <v>0</v>
      </c>
      <c r="I2894" s="194">
        <v>0</v>
      </c>
      <c r="J2894" s="194">
        <v>0</v>
      </c>
      <c r="K2894" s="193">
        <f t="shared" si="634"/>
        <v>0</v>
      </c>
      <c r="L2894" s="194">
        <v>0</v>
      </c>
      <c r="M2894" s="194">
        <v>0</v>
      </c>
      <c r="N2894" s="194">
        <v>0</v>
      </c>
      <c r="O2894" s="193">
        <f t="shared" si="635"/>
        <v>0</v>
      </c>
      <c r="P2894" s="194">
        <v>0</v>
      </c>
      <c r="Q2894" s="194">
        <v>0</v>
      </c>
      <c r="R2894" s="194">
        <v>0</v>
      </c>
      <c r="S2894" s="193">
        <f t="shared" si="636"/>
        <v>0</v>
      </c>
      <c r="T2894" s="193">
        <f t="shared" si="637"/>
        <v>0</v>
      </c>
      <c r="U2894" s="193">
        <f ca="1">OFFSET('Expenditure Study'!$B$7,'Operations Support'!$C2894,'Operations Support'!$B2894)*$G2894</f>
        <v>0</v>
      </c>
      <c r="V2894" s="199">
        <f ca="1">U2894*'Expenditure Study'!$B$31</f>
        <v>0</v>
      </c>
      <c r="W2894" s="199">
        <f ca="1">IF(A2894=10298,1.51,1)*IF($B2894&lt;3,$D2894*'Expenditure Study'!$B$32*OFFSET('Expenditure Study'!$B$7,'Operations Support'!$C2894,'Operations Support'!$B2894),0)</f>
        <v>0</v>
      </c>
      <c r="X2894" s="200">
        <f ca="1">W2894*'Expenditure Study'!$B$31</f>
        <v>0</v>
      </c>
      <c r="Y2894" s="199">
        <f ca="1">U2894*'Expenditure Study'!$B$31</f>
        <v>0</v>
      </c>
      <c r="Z2894" s="200">
        <f ca="1">W2894*'Expenditure Study'!$B$31</f>
        <v>0</v>
      </c>
      <c r="AA2894" s="195">
        <f t="shared" ca="1" si="638"/>
        <v>0</v>
      </c>
      <c r="AB2894" s="195">
        <f t="shared" ca="1" si="639"/>
        <v>0</v>
      </c>
      <c r="AD2894" s="196">
        <f>IFERROR($G2894/SUMIF($A:$A,$A2894,$G:$G)*SUMIF(Summary!$A$166:$A$242,$A2894,Summary!$P$166:$P$242),0)</f>
        <v>0</v>
      </c>
      <c r="AE2894" s="197">
        <f t="shared" ca="1" si="640"/>
        <v>0</v>
      </c>
      <c r="AF2894" s="196">
        <f>IFERROR(G2894/SUMIF(A:A,A2894,G:G)*SUMIF(Summary!$A$166:$A$242,'Operations Support'!A2894,Summary!$Q$166:$Q$242),0)</f>
        <v>0</v>
      </c>
      <c r="AG2894" s="196">
        <f t="shared" ca="1" si="641"/>
        <v>0</v>
      </c>
      <c r="AI2894" s="196">
        <f>IFERROR($G2894/SUMIF($A:$A,$A2894,$G:$G)*SUMIF(Summary!$A$247:$A$283,$A2894,Summary!$P$247:$P$283),0)</f>
        <v>0</v>
      </c>
      <c r="AJ2894" s="196">
        <f>IFERROR($G2894/SUMIF($A:$A,$A2894,$G:$G)*(SUMIF(Summary!$A$247:$A$283,$A2894,Summary!$L$247:$L$283)+SUMIF(Summary!$A$297:$A$333,$A2894,Summary!$L$297:$L$333))-AI2894,0)</f>
        <v>0</v>
      </c>
      <c r="AK2894" s="196">
        <f>IFERROR($G2894/SUMIF($A:$A,$A2894,$G:$G)*SUMIF(Summary!$A$247:$A$283,$A2894,Summary!$Q$247:$Q$283),0)</f>
        <v>0</v>
      </c>
      <c r="AL2894" s="196">
        <f>IFERROR($G2894/SUMIF($A:$A,$A2894,$G:$G)*(SUMIF(Summary!$A$247:$A$283,$A2894,Summary!$L$247:$L$283)+SUMIF(Summary!$A$297:$A$333,$A2894,Summary!$L$297:$L$333))-AK2894,0)</f>
        <v>0</v>
      </c>
      <c r="AM2894" s="198"/>
      <c r="AN2894" s="196">
        <f t="shared" ca="1" si="642"/>
        <v>0</v>
      </c>
      <c r="AO2894" s="196">
        <f t="shared" ca="1" si="643"/>
        <v>0</v>
      </c>
    </row>
    <row r="2895" spans="1:41">
      <c r="A2895" s="189">
        <v>10298</v>
      </c>
      <c r="B2895" s="190">
        <v>3</v>
      </c>
      <c r="C2895" s="191" t="s">
        <v>233</v>
      </c>
      <c r="D2895" s="192">
        <f t="shared" si="630"/>
        <v>0</v>
      </c>
      <c r="E2895" s="192">
        <f t="shared" si="631"/>
        <v>0</v>
      </c>
      <c r="F2895" s="192">
        <f t="shared" si="632"/>
        <v>0</v>
      </c>
      <c r="G2895" s="193">
        <f t="shared" si="633"/>
        <v>0</v>
      </c>
      <c r="H2895" s="194">
        <v>0</v>
      </c>
      <c r="I2895" s="194">
        <v>0</v>
      </c>
      <c r="J2895" s="194">
        <v>0</v>
      </c>
      <c r="K2895" s="193">
        <f t="shared" si="634"/>
        <v>0</v>
      </c>
      <c r="L2895" s="194">
        <v>0</v>
      </c>
      <c r="M2895" s="194">
        <v>0</v>
      </c>
      <c r="N2895" s="194">
        <v>0</v>
      </c>
      <c r="O2895" s="193">
        <f t="shared" si="635"/>
        <v>0</v>
      </c>
      <c r="P2895" s="194">
        <v>0</v>
      </c>
      <c r="Q2895" s="194">
        <v>0</v>
      </c>
      <c r="R2895" s="194">
        <v>0</v>
      </c>
      <c r="S2895" s="193">
        <f t="shared" si="636"/>
        <v>0</v>
      </c>
      <c r="T2895" s="193">
        <f t="shared" si="637"/>
        <v>0</v>
      </c>
      <c r="U2895" s="193">
        <f ca="1">OFFSET('Expenditure Study'!$B$7,'Operations Support'!$C2895,'Operations Support'!$B2895)*$G2895</f>
        <v>0</v>
      </c>
      <c r="V2895" s="199">
        <f ca="1">U2895*'Expenditure Study'!$B$31</f>
        <v>0</v>
      </c>
      <c r="W2895" s="199">
        <f ca="1">IF(A2895=10298,1.51,1)*IF($B2895&lt;3,$D2895*'Expenditure Study'!$B$32*OFFSET('Expenditure Study'!$B$7,'Operations Support'!$C2895,'Operations Support'!$B2895),0)</f>
        <v>0</v>
      </c>
      <c r="X2895" s="200">
        <f ca="1">W2895*'Expenditure Study'!$B$31</f>
        <v>0</v>
      </c>
      <c r="Y2895" s="199">
        <f ca="1">U2895*'Expenditure Study'!$B$31</f>
        <v>0</v>
      </c>
      <c r="Z2895" s="200">
        <f ca="1">W2895*'Expenditure Study'!$B$31</f>
        <v>0</v>
      </c>
      <c r="AA2895" s="195">
        <f t="shared" ca="1" si="638"/>
        <v>0</v>
      </c>
      <c r="AB2895" s="195">
        <f t="shared" ca="1" si="639"/>
        <v>0</v>
      </c>
      <c r="AD2895" s="196">
        <f>IFERROR($G2895/SUMIF($A:$A,$A2895,$G:$G)*SUMIF(Summary!$A$166:$A$242,$A2895,Summary!$P$166:$P$242),0)</f>
        <v>0</v>
      </c>
      <c r="AE2895" s="197">
        <f t="shared" ca="1" si="640"/>
        <v>0</v>
      </c>
      <c r="AF2895" s="196">
        <f>IFERROR(G2895/SUMIF(A:A,A2895,G:G)*SUMIF(Summary!$A$166:$A$242,'Operations Support'!A2895,Summary!$Q$166:$Q$242),0)</f>
        <v>0</v>
      </c>
      <c r="AG2895" s="196">
        <f t="shared" ca="1" si="641"/>
        <v>0</v>
      </c>
      <c r="AI2895" s="196">
        <f>IFERROR($G2895/SUMIF($A:$A,$A2895,$G:$G)*SUMIF(Summary!$A$247:$A$283,$A2895,Summary!$P$247:$P$283),0)</f>
        <v>0</v>
      </c>
      <c r="AJ2895" s="196">
        <f>IFERROR($G2895/SUMIF($A:$A,$A2895,$G:$G)*(SUMIF(Summary!$A$247:$A$283,$A2895,Summary!$L$247:$L$283)+SUMIF(Summary!$A$297:$A$333,$A2895,Summary!$L$297:$L$333))-AI2895,0)</f>
        <v>0</v>
      </c>
      <c r="AK2895" s="196">
        <f>IFERROR($G2895/SUMIF($A:$A,$A2895,$G:$G)*SUMIF(Summary!$A$247:$A$283,$A2895,Summary!$Q$247:$Q$283),0)</f>
        <v>0</v>
      </c>
      <c r="AL2895" s="196">
        <f>IFERROR($G2895/SUMIF($A:$A,$A2895,$G:$G)*(SUMIF(Summary!$A$247:$A$283,$A2895,Summary!$L$247:$L$283)+SUMIF(Summary!$A$297:$A$333,$A2895,Summary!$L$297:$L$333))-AK2895,0)</f>
        <v>0</v>
      </c>
      <c r="AM2895" s="198"/>
      <c r="AN2895" s="196">
        <f t="shared" ca="1" si="642"/>
        <v>0</v>
      </c>
      <c r="AO2895" s="196">
        <f t="shared" ca="1" si="643"/>
        <v>0</v>
      </c>
    </row>
    <row r="2896" spans="1:41">
      <c r="A2896" s="189">
        <v>10298</v>
      </c>
      <c r="B2896" s="190">
        <v>3</v>
      </c>
      <c r="C2896" s="191" t="s">
        <v>234</v>
      </c>
      <c r="D2896" s="192">
        <f t="shared" si="630"/>
        <v>0</v>
      </c>
      <c r="E2896" s="192">
        <f t="shared" si="631"/>
        <v>0</v>
      </c>
      <c r="F2896" s="192">
        <f t="shared" si="632"/>
        <v>0</v>
      </c>
      <c r="G2896" s="193">
        <f t="shared" si="633"/>
        <v>0</v>
      </c>
      <c r="H2896" s="194">
        <v>0</v>
      </c>
      <c r="I2896" s="194">
        <v>0</v>
      </c>
      <c r="J2896" s="194">
        <v>0</v>
      </c>
      <c r="K2896" s="193">
        <f t="shared" si="634"/>
        <v>0</v>
      </c>
      <c r="L2896" s="194">
        <v>0</v>
      </c>
      <c r="M2896" s="194">
        <v>0</v>
      </c>
      <c r="N2896" s="194">
        <v>0</v>
      </c>
      <c r="O2896" s="193">
        <f t="shared" si="635"/>
        <v>0</v>
      </c>
      <c r="P2896" s="194">
        <v>0</v>
      </c>
      <c r="Q2896" s="194">
        <v>0</v>
      </c>
      <c r="R2896" s="194">
        <v>0</v>
      </c>
      <c r="S2896" s="193">
        <f t="shared" si="636"/>
        <v>0</v>
      </c>
      <c r="T2896" s="193">
        <f t="shared" si="637"/>
        <v>0</v>
      </c>
      <c r="U2896" s="193">
        <f ca="1">OFFSET('Expenditure Study'!$B$7,'Operations Support'!$C2896,'Operations Support'!$B2896)*$G2896</f>
        <v>0</v>
      </c>
      <c r="V2896" s="199">
        <f ca="1">U2896*'Expenditure Study'!$B$31</f>
        <v>0</v>
      </c>
      <c r="W2896" s="199">
        <f ca="1">IF(A2896=10298,1.51,1)*IF($B2896&lt;3,$D2896*'Expenditure Study'!$B$32*OFFSET('Expenditure Study'!$B$7,'Operations Support'!$C2896,'Operations Support'!$B2896),0)</f>
        <v>0</v>
      </c>
      <c r="X2896" s="200">
        <f ca="1">W2896*'Expenditure Study'!$B$31</f>
        <v>0</v>
      </c>
      <c r="Y2896" s="199">
        <f ca="1">U2896*'Expenditure Study'!$B$31</f>
        <v>0</v>
      </c>
      <c r="Z2896" s="200">
        <f ca="1">W2896*'Expenditure Study'!$B$31</f>
        <v>0</v>
      </c>
      <c r="AA2896" s="195">
        <f t="shared" ca="1" si="638"/>
        <v>0</v>
      </c>
      <c r="AB2896" s="195">
        <f t="shared" ca="1" si="639"/>
        <v>0</v>
      </c>
      <c r="AD2896" s="196">
        <f>IFERROR($G2896/SUMIF($A:$A,$A2896,$G:$G)*SUMIF(Summary!$A$166:$A$242,$A2896,Summary!$P$166:$P$242),0)</f>
        <v>0</v>
      </c>
      <c r="AE2896" s="197">
        <f t="shared" ca="1" si="640"/>
        <v>0</v>
      </c>
      <c r="AF2896" s="196">
        <f>IFERROR(G2896/SUMIF(A:A,A2896,G:G)*SUMIF(Summary!$A$166:$A$242,'Operations Support'!A2896,Summary!$Q$166:$Q$242),0)</f>
        <v>0</v>
      </c>
      <c r="AG2896" s="196">
        <f t="shared" ca="1" si="641"/>
        <v>0</v>
      </c>
      <c r="AI2896" s="196">
        <f>IFERROR($G2896/SUMIF($A:$A,$A2896,$G:$G)*SUMIF(Summary!$A$247:$A$283,$A2896,Summary!$P$247:$P$283),0)</f>
        <v>0</v>
      </c>
      <c r="AJ2896" s="196">
        <f>IFERROR($G2896/SUMIF($A:$A,$A2896,$G:$G)*(SUMIF(Summary!$A$247:$A$283,$A2896,Summary!$L$247:$L$283)+SUMIF(Summary!$A$297:$A$333,$A2896,Summary!$L$297:$L$333))-AI2896,0)</f>
        <v>0</v>
      </c>
      <c r="AK2896" s="196">
        <f>IFERROR($G2896/SUMIF($A:$A,$A2896,$G:$G)*SUMIF(Summary!$A$247:$A$283,$A2896,Summary!$Q$247:$Q$283),0)</f>
        <v>0</v>
      </c>
      <c r="AL2896" s="196">
        <f>IFERROR($G2896/SUMIF($A:$A,$A2896,$G:$G)*(SUMIF(Summary!$A$247:$A$283,$A2896,Summary!$L$247:$L$283)+SUMIF(Summary!$A$297:$A$333,$A2896,Summary!$L$297:$L$333))-AK2896,0)</f>
        <v>0</v>
      </c>
      <c r="AM2896" s="198"/>
      <c r="AN2896" s="196">
        <f t="shared" ca="1" si="642"/>
        <v>0</v>
      </c>
      <c r="AO2896" s="196">
        <f t="shared" ca="1" si="643"/>
        <v>0</v>
      </c>
    </row>
    <row r="2897" spans="1:41">
      <c r="A2897" s="189">
        <v>10298</v>
      </c>
      <c r="B2897" s="190">
        <v>3</v>
      </c>
      <c r="C2897" s="191" t="s">
        <v>235</v>
      </c>
      <c r="D2897" s="192">
        <f t="shared" si="630"/>
        <v>537</v>
      </c>
      <c r="E2897" s="192">
        <f t="shared" si="631"/>
        <v>333</v>
      </c>
      <c r="F2897" s="192">
        <f t="shared" si="632"/>
        <v>0</v>
      </c>
      <c r="G2897" s="193">
        <f t="shared" si="633"/>
        <v>1313.7</v>
      </c>
      <c r="H2897" s="194">
        <v>165</v>
      </c>
      <c r="I2897" s="194">
        <v>123</v>
      </c>
      <c r="J2897" s="194">
        <v>0</v>
      </c>
      <c r="K2897" s="193">
        <f t="shared" si="634"/>
        <v>288</v>
      </c>
      <c r="L2897" s="194">
        <v>228</v>
      </c>
      <c r="M2897" s="194">
        <v>195</v>
      </c>
      <c r="N2897" s="194">
        <v>0</v>
      </c>
      <c r="O2897" s="193">
        <f t="shared" si="635"/>
        <v>423</v>
      </c>
      <c r="P2897" s="194">
        <v>144</v>
      </c>
      <c r="Q2897" s="194">
        <v>15</v>
      </c>
      <c r="R2897" s="194">
        <v>0</v>
      </c>
      <c r="S2897" s="193">
        <f t="shared" si="636"/>
        <v>159</v>
      </c>
      <c r="T2897" s="193">
        <f t="shared" si="637"/>
        <v>54.737500000000004</v>
      </c>
      <c r="U2897" s="193">
        <f ca="1">OFFSET('Expenditure Study'!$B$7,'Operations Support'!$C2897,'Operations Support'!$B2897)*$G2897</f>
        <v>4151.2920000000004</v>
      </c>
      <c r="V2897" s="199">
        <f ca="1">U2897*'Expenditure Study'!$B$31</f>
        <v>245271.53578959362</v>
      </c>
      <c r="W2897" s="199">
        <f ca="1">IF(A2897=10298,1.51,1)*IF($B2897&lt;3,$D2897*'Expenditure Study'!$B$32*OFFSET('Expenditure Study'!$B$7,'Operations Support'!$C2897,'Operations Support'!$B2897),0)</f>
        <v>0</v>
      </c>
      <c r="X2897" s="200">
        <f ca="1">W2897*'Expenditure Study'!$B$31</f>
        <v>0</v>
      </c>
      <c r="Y2897" s="199">
        <f ca="1">U2897*'Expenditure Study'!$B$31</f>
        <v>245271.53578959362</v>
      </c>
      <c r="Z2897" s="200">
        <f ca="1">W2897*'Expenditure Study'!$B$31</f>
        <v>0</v>
      </c>
      <c r="AA2897" s="195">
        <f t="shared" ca="1" si="638"/>
        <v>245271.53578959362</v>
      </c>
      <c r="AB2897" s="195">
        <f t="shared" ca="1" si="639"/>
        <v>245271.53578959362</v>
      </c>
      <c r="AD2897" s="196">
        <f>IFERROR($G2897/SUMIF($A:$A,$A2897,$G:$G)*SUMIF(Summary!$A$166:$A$242,$A2897,Summary!$P$166:$P$242),0)</f>
        <v>41812.554263826874</v>
      </c>
      <c r="AE2897" s="197">
        <f t="shared" ca="1" si="640"/>
        <v>203458.98152576675</v>
      </c>
      <c r="AF2897" s="196">
        <f>IFERROR(G2897/SUMIF(A:A,A2897,G:G)*SUMIF(Summary!$A$166:$A$242,'Operations Support'!A2897,Summary!$Q$166:$Q$242),0)</f>
        <v>41991.857393920276</v>
      </c>
      <c r="AG2897" s="196">
        <f t="shared" ca="1" si="641"/>
        <v>203279.67839567334</v>
      </c>
      <c r="AI2897" s="196">
        <f>IFERROR($G2897/SUMIF($A:$A,$A2897,$G:$G)*SUMIF(Summary!$A$247:$A$283,$A2897,Summary!$P$247:$P$283),0)</f>
        <v>7625.5664770613494</v>
      </c>
      <c r="AJ2897" s="196">
        <f>IFERROR($G2897/SUMIF($A:$A,$A2897,$G:$G)*(SUMIF(Summary!$A$247:$A$283,$A2897,Summary!$L$247:$L$283)+SUMIF(Summary!$A$297:$A$333,$A2897,Summary!$L$297:$L$333))-AI2897,0)</f>
        <v>72700.791587254222</v>
      </c>
      <c r="AK2897" s="196">
        <f>IFERROR($G2897/SUMIF($A:$A,$A2897,$G:$G)*SUMIF(Summary!$A$247:$A$283,$A2897,Summary!$Q$247:$Q$283),0)</f>
        <v>7658.2668935306492</v>
      </c>
      <c r="AL2897" s="196">
        <f>IFERROR($G2897/SUMIF($A:$A,$A2897,$G:$G)*(SUMIF(Summary!$A$247:$A$283,$A2897,Summary!$L$247:$L$283)+SUMIF(Summary!$A$297:$A$333,$A2897,Summary!$L$297:$L$333))-AK2897,0)</f>
        <v>72668.09117078493</v>
      </c>
      <c r="AM2897" s="198"/>
      <c r="AN2897" s="196">
        <f t="shared" ca="1" si="642"/>
        <v>276159.77311302099</v>
      </c>
      <c r="AO2897" s="196">
        <f t="shared" ca="1" si="643"/>
        <v>275947.7695664583</v>
      </c>
    </row>
    <row r="2898" spans="1:41">
      <c r="A2898" s="189">
        <v>10298</v>
      </c>
      <c r="B2898" s="190">
        <v>3</v>
      </c>
      <c r="C2898" s="191" t="s">
        <v>236</v>
      </c>
      <c r="D2898" s="192">
        <f t="shared" si="630"/>
        <v>0</v>
      </c>
      <c r="E2898" s="192">
        <f t="shared" si="631"/>
        <v>0</v>
      </c>
      <c r="F2898" s="192">
        <f t="shared" si="632"/>
        <v>0</v>
      </c>
      <c r="G2898" s="193">
        <f t="shared" si="633"/>
        <v>0</v>
      </c>
      <c r="H2898" s="194">
        <v>0</v>
      </c>
      <c r="I2898" s="194">
        <v>0</v>
      </c>
      <c r="J2898" s="194">
        <v>0</v>
      </c>
      <c r="K2898" s="193">
        <f t="shared" si="634"/>
        <v>0</v>
      </c>
      <c r="L2898" s="194">
        <v>0</v>
      </c>
      <c r="M2898" s="194">
        <v>0</v>
      </c>
      <c r="N2898" s="194">
        <v>0</v>
      </c>
      <c r="O2898" s="193">
        <f t="shared" si="635"/>
        <v>0</v>
      </c>
      <c r="P2898" s="194">
        <v>0</v>
      </c>
      <c r="Q2898" s="194">
        <v>0</v>
      </c>
      <c r="R2898" s="194">
        <v>0</v>
      </c>
      <c r="S2898" s="193">
        <f t="shared" si="636"/>
        <v>0</v>
      </c>
      <c r="T2898" s="193">
        <f t="shared" si="637"/>
        <v>0</v>
      </c>
      <c r="U2898" s="193">
        <f ca="1">OFFSET('Expenditure Study'!$B$7,'Operations Support'!$C2898,'Operations Support'!$B2898)*$G2898</f>
        <v>0</v>
      </c>
      <c r="V2898" s="199">
        <f ca="1">U2898*'Expenditure Study'!$B$31</f>
        <v>0</v>
      </c>
      <c r="W2898" s="199">
        <f ca="1">IF(A2898=10298,1.51,1)*IF($B2898&lt;3,$D2898*'Expenditure Study'!$B$32*OFFSET('Expenditure Study'!$B$7,'Operations Support'!$C2898,'Operations Support'!$B2898),0)</f>
        <v>0</v>
      </c>
      <c r="X2898" s="200">
        <f ca="1">W2898*'Expenditure Study'!$B$31</f>
        <v>0</v>
      </c>
      <c r="Y2898" s="199">
        <f ca="1">U2898*'Expenditure Study'!$B$31</f>
        <v>0</v>
      </c>
      <c r="Z2898" s="200">
        <f ca="1">W2898*'Expenditure Study'!$B$31</f>
        <v>0</v>
      </c>
      <c r="AA2898" s="195">
        <f t="shared" ca="1" si="638"/>
        <v>0</v>
      </c>
      <c r="AB2898" s="195">
        <f t="shared" ca="1" si="639"/>
        <v>0</v>
      </c>
      <c r="AD2898" s="196">
        <f>IFERROR($G2898/SUMIF($A:$A,$A2898,$G:$G)*SUMIF(Summary!$A$166:$A$242,$A2898,Summary!$P$166:$P$242),0)</f>
        <v>0</v>
      </c>
      <c r="AE2898" s="197">
        <f t="shared" ca="1" si="640"/>
        <v>0</v>
      </c>
      <c r="AF2898" s="196">
        <f>IFERROR(G2898/SUMIF(A:A,A2898,G:G)*SUMIF(Summary!$A$166:$A$242,'Operations Support'!A2898,Summary!$Q$166:$Q$242),0)</f>
        <v>0</v>
      </c>
      <c r="AG2898" s="196">
        <f t="shared" ca="1" si="641"/>
        <v>0</v>
      </c>
      <c r="AI2898" s="196">
        <f>IFERROR($G2898/SUMIF($A:$A,$A2898,$G:$G)*SUMIF(Summary!$A$247:$A$283,$A2898,Summary!$P$247:$P$283),0)</f>
        <v>0</v>
      </c>
      <c r="AJ2898" s="196">
        <f>IFERROR($G2898/SUMIF($A:$A,$A2898,$G:$G)*(SUMIF(Summary!$A$247:$A$283,$A2898,Summary!$L$247:$L$283)+SUMIF(Summary!$A$297:$A$333,$A2898,Summary!$L$297:$L$333))-AI2898,0)</f>
        <v>0</v>
      </c>
      <c r="AK2898" s="196">
        <f>IFERROR($G2898/SUMIF($A:$A,$A2898,$G:$G)*SUMIF(Summary!$A$247:$A$283,$A2898,Summary!$Q$247:$Q$283),0)</f>
        <v>0</v>
      </c>
      <c r="AL2898" s="196">
        <f>IFERROR($G2898/SUMIF($A:$A,$A2898,$G:$G)*(SUMIF(Summary!$A$247:$A$283,$A2898,Summary!$L$247:$L$283)+SUMIF(Summary!$A$297:$A$333,$A2898,Summary!$L$297:$L$333))-AK2898,0)</f>
        <v>0</v>
      </c>
      <c r="AM2898" s="198"/>
      <c r="AN2898" s="196">
        <f t="shared" ca="1" si="642"/>
        <v>0</v>
      </c>
      <c r="AO2898" s="196">
        <f t="shared" ca="1" si="643"/>
        <v>0</v>
      </c>
    </row>
    <row r="2899" spans="1:41">
      <c r="A2899" s="189">
        <v>10298</v>
      </c>
      <c r="B2899" s="190">
        <v>3</v>
      </c>
      <c r="C2899" s="191" t="s">
        <v>237</v>
      </c>
      <c r="D2899" s="192">
        <f t="shared" si="630"/>
        <v>0</v>
      </c>
      <c r="E2899" s="192">
        <f t="shared" si="631"/>
        <v>0</v>
      </c>
      <c r="F2899" s="192">
        <f t="shared" si="632"/>
        <v>0</v>
      </c>
      <c r="G2899" s="193">
        <f t="shared" si="633"/>
        <v>0</v>
      </c>
      <c r="H2899" s="194">
        <v>0</v>
      </c>
      <c r="I2899" s="194">
        <v>0</v>
      </c>
      <c r="J2899" s="194">
        <v>0</v>
      </c>
      <c r="K2899" s="193">
        <f t="shared" si="634"/>
        <v>0</v>
      </c>
      <c r="L2899" s="194">
        <v>0</v>
      </c>
      <c r="M2899" s="194">
        <v>0</v>
      </c>
      <c r="N2899" s="194">
        <v>0</v>
      </c>
      <c r="O2899" s="193">
        <f t="shared" si="635"/>
        <v>0</v>
      </c>
      <c r="P2899" s="194">
        <v>0</v>
      </c>
      <c r="Q2899" s="194">
        <v>0</v>
      </c>
      <c r="R2899" s="194">
        <v>0</v>
      </c>
      <c r="S2899" s="193">
        <f t="shared" si="636"/>
        <v>0</v>
      </c>
      <c r="T2899" s="193">
        <f t="shared" si="637"/>
        <v>0</v>
      </c>
      <c r="U2899" s="193">
        <f ca="1">OFFSET('Expenditure Study'!$B$7,'Operations Support'!$C2899,'Operations Support'!$B2899)*$G2899</f>
        <v>0</v>
      </c>
      <c r="V2899" s="199">
        <f ca="1">U2899*'Expenditure Study'!$B$31</f>
        <v>0</v>
      </c>
      <c r="W2899" s="199">
        <f ca="1">IF(A2899=10298,1.51,1)*IF($B2899&lt;3,$D2899*'Expenditure Study'!$B$32*OFFSET('Expenditure Study'!$B$7,'Operations Support'!$C2899,'Operations Support'!$B2899),0)</f>
        <v>0</v>
      </c>
      <c r="X2899" s="200">
        <f ca="1">W2899*'Expenditure Study'!$B$31</f>
        <v>0</v>
      </c>
      <c r="Y2899" s="199">
        <f ca="1">U2899*'Expenditure Study'!$B$31</f>
        <v>0</v>
      </c>
      <c r="Z2899" s="200">
        <f ca="1">W2899*'Expenditure Study'!$B$31</f>
        <v>0</v>
      </c>
      <c r="AA2899" s="195">
        <f t="shared" ca="1" si="638"/>
        <v>0</v>
      </c>
      <c r="AB2899" s="195">
        <f t="shared" ca="1" si="639"/>
        <v>0</v>
      </c>
      <c r="AD2899" s="196">
        <f>IFERROR($G2899/SUMIF($A:$A,$A2899,$G:$G)*SUMIF(Summary!$A$166:$A$242,$A2899,Summary!$P$166:$P$242),0)</f>
        <v>0</v>
      </c>
      <c r="AE2899" s="197">
        <f t="shared" ca="1" si="640"/>
        <v>0</v>
      </c>
      <c r="AF2899" s="196">
        <f>IFERROR(G2899/SUMIF(A:A,A2899,G:G)*SUMIF(Summary!$A$166:$A$242,'Operations Support'!A2899,Summary!$Q$166:$Q$242),0)</f>
        <v>0</v>
      </c>
      <c r="AG2899" s="196">
        <f t="shared" ca="1" si="641"/>
        <v>0</v>
      </c>
      <c r="AI2899" s="196">
        <f>IFERROR($G2899/SUMIF($A:$A,$A2899,$G:$G)*SUMIF(Summary!$A$247:$A$283,$A2899,Summary!$P$247:$P$283),0)</f>
        <v>0</v>
      </c>
      <c r="AJ2899" s="196">
        <f>IFERROR($G2899/SUMIF($A:$A,$A2899,$G:$G)*(SUMIF(Summary!$A$247:$A$283,$A2899,Summary!$L$247:$L$283)+SUMIF(Summary!$A$297:$A$333,$A2899,Summary!$L$297:$L$333))-AI2899,0)</f>
        <v>0</v>
      </c>
      <c r="AK2899" s="196">
        <f>IFERROR($G2899/SUMIF($A:$A,$A2899,$G:$G)*SUMIF(Summary!$A$247:$A$283,$A2899,Summary!$Q$247:$Q$283),0)</f>
        <v>0</v>
      </c>
      <c r="AL2899" s="196">
        <f>IFERROR($G2899/SUMIF($A:$A,$A2899,$G:$G)*(SUMIF(Summary!$A$247:$A$283,$A2899,Summary!$L$247:$L$283)+SUMIF(Summary!$A$297:$A$333,$A2899,Summary!$L$297:$L$333))-AK2899,0)</f>
        <v>0</v>
      </c>
      <c r="AM2899" s="198"/>
      <c r="AN2899" s="196">
        <f t="shared" ca="1" si="642"/>
        <v>0</v>
      </c>
      <c r="AO2899" s="196">
        <f t="shared" ca="1" si="643"/>
        <v>0</v>
      </c>
    </row>
    <row r="2900" spans="1:41">
      <c r="A2900" s="189">
        <v>10298</v>
      </c>
      <c r="B2900" s="190">
        <v>3</v>
      </c>
      <c r="C2900" s="191" t="s">
        <v>238</v>
      </c>
      <c r="D2900" s="192">
        <f t="shared" si="630"/>
        <v>0</v>
      </c>
      <c r="E2900" s="192">
        <f t="shared" si="631"/>
        <v>0</v>
      </c>
      <c r="F2900" s="192">
        <f t="shared" si="632"/>
        <v>0</v>
      </c>
      <c r="G2900" s="193">
        <f t="shared" si="633"/>
        <v>0</v>
      </c>
      <c r="H2900" s="194">
        <v>0</v>
      </c>
      <c r="I2900" s="194">
        <v>0</v>
      </c>
      <c r="J2900" s="194">
        <v>0</v>
      </c>
      <c r="K2900" s="193">
        <f t="shared" si="634"/>
        <v>0</v>
      </c>
      <c r="L2900" s="194">
        <v>0</v>
      </c>
      <c r="M2900" s="194">
        <v>0</v>
      </c>
      <c r="N2900" s="194">
        <v>0</v>
      </c>
      <c r="O2900" s="193">
        <f t="shared" si="635"/>
        <v>0</v>
      </c>
      <c r="P2900" s="194">
        <v>0</v>
      </c>
      <c r="Q2900" s="194">
        <v>0</v>
      </c>
      <c r="R2900" s="194">
        <v>0</v>
      </c>
      <c r="S2900" s="193">
        <f t="shared" si="636"/>
        <v>0</v>
      </c>
      <c r="T2900" s="193">
        <f t="shared" si="637"/>
        <v>0</v>
      </c>
      <c r="U2900" s="193">
        <f ca="1">OFFSET('Expenditure Study'!$B$7,'Operations Support'!$C2900,'Operations Support'!$B2900)*$G2900</f>
        <v>0</v>
      </c>
      <c r="V2900" s="199">
        <f ca="1">U2900*'Expenditure Study'!$B$31</f>
        <v>0</v>
      </c>
      <c r="W2900" s="199">
        <f ca="1">IF(A2900=10298,1.51,1)*IF($B2900&lt;3,$D2900*'Expenditure Study'!$B$32*OFFSET('Expenditure Study'!$B$7,'Operations Support'!$C2900,'Operations Support'!$B2900),0)</f>
        <v>0</v>
      </c>
      <c r="X2900" s="200">
        <f ca="1">W2900*'Expenditure Study'!$B$31</f>
        <v>0</v>
      </c>
      <c r="Y2900" s="199">
        <f ca="1">U2900*'Expenditure Study'!$B$31</f>
        <v>0</v>
      </c>
      <c r="Z2900" s="200">
        <f ca="1">W2900*'Expenditure Study'!$B$31</f>
        <v>0</v>
      </c>
      <c r="AA2900" s="195">
        <f t="shared" ca="1" si="638"/>
        <v>0</v>
      </c>
      <c r="AB2900" s="195">
        <f t="shared" ca="1" si="639"/>
        <v>0</v>
      </c>
      <c r="AD2900" s="196">
        <f>IFERROR($G2900/SUMIF($A:$A,$A2900,$G:$G)*SUMIF(Summary!$A$166:$A$242,$A2900,Summary!$P$166:$P$242),0)</f>
        <v>0</v>
      </c>
      <c r="AE2900" s="197">
        <f t="shared" ca="1" si="640"/>
        <v>0</v>
      </c>
      <c r="AF2900" s="196">
        <f>IFERROR(G2900/SUMIF(A:A,A2900,G:G)*SUMIF(Summary!$A$166:$A$242,'Operations Support'!A2900,Summary!$Q$166:$Q$242),0)</f>
        <v>0</v>
      </c>
      <c r="AG2900" s="196">
        <f t="shared" ca="1" si="641"/>
        <v>0</v>
      </c>
      <c r="AI2900" s="196">
        <f>IFERROR($G2900/SUMIF($A:$A,$A2900,$G:$G)*SUMIF(Summary!$A$247:$A$283,$A2900,Summary!$P$247:$P$283),0)</f>
        <v>0</v>
      </c>
      <c r="AJ2900" s="196">
        <f>IFERROR($G2900/SUMIF($A:$A,$A2900,$G:$G)*(SUMIF(Summary!$A$247:$A$283,$A2900,Summary!$L$247:$L$283)+SUMIF(Summary!$A$297:$A$333,$A2900,Summary!$L$297:$L$333))-AI2900,0)</f>
        <v>0</v>
      </c>
      <c r="AK2900" s="196">
        <f>IFERROR($G2900/SUMIF($A:$A,$A2900,$G:$G)*SUMIF(Summary!$A$247:$A$283,$A2900,Summary!$Q$247:$Q$283),0)</f>
        <v>0</v>
      </c>
      <c r="AL2900" s="196">
        <f>IFERROR($G2900/SUMIF($A:$A,$A2900,$G:$G)*(SUMIF(Summary!$A$247:$A$283,$A2900,Summary!$L$247:$L$283)+SUMIF(Summary!$A$297:$A$333,$A2900,Summary!$L$297:$L$333))-AK2900,0)</f>
        <v>0</v>
      </c>
      <c r="AM2900" s="198"/>
      <c r="AN2900" s="196">
        <f t="shared" ca="1" si="642"/>
        <v>0</v>
      </c>
      <c r="AO2900" s="196">
        <f t="shared" ca="1" si="643"/>
        <v>0</v>
      </c>
    </row>
    <row r="2901" spans="1:41">
      <c r="A2901" s="189">
        <v>10298</v>
      </c>
      <c r="B2901" s="190">
        <v>3</v>
      </c>
      <c r="C2901" s="191" t="s">
        <v>239</v>
      </c>
      <c r="D2901" s="192">
        <f t="shared" si="630"/>
        <v>0</v>
      </c>
      <c r="E2901" s="192">
        <f t="shared" si="631"/>
        <v>0</v>
      </c>
      <c r="F2901" s="192">
        <f t="shared" si="632"/>
        <v>0</v>
      </c>
      <c r="G2901" s="193">
        <f t="shared" si="633"/>
        <v>0</v>
      </c>
      <c r="H2901" s="194">
        <v>0</v>
      </c>
      <c r="I2901" s="194">
        <v>0</v>
      </c>
      <c r="J2901" s="194">
        <v>0</v>
      </c>
      <c r="K2901" s="193">
        <f t="shared" si="634"/>
        <v>0</v>
      </c>
      <c r="L2901" s="194">
        <v>0</v>
      </c>
      <c r="M2901" s="194">
        <v>0</v>
      </c>
      <c r="N2901" s="194">
        <v>0</v>
      </c>
      <c r="O2901" s="193">
        <f t="shared" si="635"/>
        <v>0</v>
      </c>
      <c r="P2901" s="194">
        <v>0</v>
      </c>
      <c r="Q2901" s="194">
        <v>0</v>
      </c>
      <c r="R2901" s="194">
        <v>0</v>
      </c>
      <c r="S2901" s="193">
        <f t="shared" si="636"/>
        <v>0</v>
      </c>
      <c r="T2901" s="193">
        <f t="shared" si="637"/>
        <v>0</v>
      </c>
      <c r="U2901" s="193">
        <f ca="1">OFFSET('Expenditure Study'!$B$7,'Operations Support'!$C2901,'Operations Support'!$B2901)*$G2901</f>
        <v>0</v>
      </c>
      <c r="V2901" s="199">
        <f ca="1">U2901*'Expenditure Study'!$B$31</f>
        <v>0</v>
      </c>
      <c r="W2901" s="199">
        <f ca="1">IF(A2901=10298,1.51,1)*IF($B2901&lt;3,$D2901*'Expenditure Study'!$B$32*OFFSET('Expenditure Study'!$B$7,'Operations Support'!$C2901,'Operations Support'!$B2901),0)</f>
        <v>0</v>
      </c>
      <c r="X2901" s="200">
        <f ca="1">W2901*'Expenditure Study'!$B$31</f>
        <v>0</v>
      </c>
      <c r="Y2901" s="199">
        <f ca="1">U2901*'Expenditure Study'!$B$31</f>
        <v>0</v>
      </c>
      <c r="Z2901" s="200">
        <f ca="1">W2901*'Expenditure Study'!$B$31</f>
        <v>0</v>
      </c>
      <c r="AA2901" s="195">
        <f t="shared" ca="1" si="638"/>
        <v>0</v>
      </c>
      <c r="AB2901" s="195">
        <f t="shared" ca="1" si="639"/>
        <v>0</v>
      </c>
      <c r="AD2901" s="196">
        <f>IFERROR($G2901/SUMIF($A:$A,$A2901,$G:$G)*SUMIF(Summary!$A$166:$A$242,$A2901,Summary!$P$166:$P$242),0)</f>
        <v>0</v>
      </c>
      <c r="AE2901" s="197">
        <f t="shared" ca="1" si="640"/>
        <v>0</v>
      </c>
      <c r="AF2901" s="196">
        <f>IFERROR(G2901/SUMIF(A:A,A2901,G:G)*SUMIF(Summary!$A$166:$A$242,'Operations Support'!A2901,Summary!$Q$166:$Q$242),0)</f>
        <v>0</v>
      </c>
      <c r="AG2901" s="196">
        <f t="shared" ca="1" si="641"/>
        <v>0</v>
      </c>
      <c r="AI2901" s="196">
        <f>IFERROR($G2901/SUMIF($A:$A,$A2901,$G:$G)*SUMIF(Summary!$A$247:$A$283,$A2901,Summary!$P$247:$P$283),0)</f>
        <v>0</v>
      </c>
      <c r="AJ2901" s="196">
        <f>IFERROR($G2901/SUMIF($A:$A,$A2901,$G:$G)*(SUMIF(Summary!$A$247:$A$283,$A2901,Summary!$L$247:$L$283)+SUMIF(Summary!$A$297:$A$333,$A2901,Summary!$L$297:$L$333))-AI2901,0)</f>
        <v>0</v>
      </c>
      <c r="AK2901" s="196">
        <f>IFERROR($G2901/SUMIF($A:$A,$A2901,$G:$G)*SUMIF(Summary!$A$247:$A$283,$A2901,Summary!$Q$247:$Q$283),0)</f>
        <v>0</v>
      </c>
      <c r="AL2901" s="196">
        <f>IFERROR($G2901/SUMIF($A:$A,$A2901,$G:$G)*(SUMIF(Summary!$A$247:$A$283,$A2901,Summary!$L$247:$L$283)+SUMIF(Summary!$A$297:$A$333,$A2901,Summary!$L$297:$L$333))-AK2901,0)</f>
        <v>0</v>
      </c>
      <c r="AM2901" s="198"/>
      <c r="AN2901" s="196">
        <f t="shared" ca="1" si="642"/>
        <v>0</v>
      </c>
      <c r="AO2901" s="196">
        <f t="shared" ca="1" si="643"/>
        <v>0</v>
      </c>
    </row>
    <row r="2902" spans="1:41">
      <c r="A2902" s="189">
        <v>10298</v>
      </c>
      <c r="B2902" s="190">
        <v>3</v>
      </c>
      <c r="C2902" s="191" t="s">
        <v>240</v>
      </c>
      <c r="D2902" s="192">
        <f t="shared" si="630"/>
        <v>0</v>
      </c>
      <c r="E2902" s="192">
        <f t="shared" si="631"/>
        <v>0</v>
      </c>
      <c r="F2902" s="192">
        <f t="shared" si="632"/>
        <v>0</v>
      </c>
      <c r="G2902" s="193">
        <f t="shared" si="633"/>
        <v>0</v>
      </c>
      <c r="H2902" s="194">
        <v>0</v>
      </c>
      <c r="I2902" s="194">
        <v>0</v>
      </c>
      <c r="J2902" s="194">
        <v>0</v>
      </c>
      <c r="K2902" s="193">
        <f t="shared" si="634"/>
        <v>0</v>
      </c>
      <c r="L2902" s="194">
        <v>0</v>
      </c>
      <c r="M2902" s="194">
        <v>0</v>
      </c>
      <c r="N2902" s="194">
        <v>0</v>
      </c>
      <c r="O2902" s="193">
        <f t="shared" si="635"/>
        <v>0</v>
      </c>
      <c r="P2902" s="194">
        <v>0</v>
      </c>
      <c r="Q2902" s="194">
        <v>0</v>
      </c>
      <c r="R2902" s="194">
        <v>0</v>
      </c>
      <c r="S2902" s="193">
        <f t="shared" si="636"/>
        <v>0</v>
      </c>
      <c r="T2902" s="193">
        <f t="shared" si="637"/>
        <v>0</v>
      </c>
      <c r="U2902" s="193">
        <f ca="1">OFFSET('Expenditure Study'!$B$7,'Operations Support'!$C2902,'Operations Support'!$B2902)*$G2902</f>
        <v>0</v>
      </c>
      <c r="V2902" s="199">
        <f ca="1">U2902*'Expenditure Study'!$B$31</f>
        <v>0</v>
      </c>
      <c r="W2902" s="199">
        <f ca="1">IF(A2902=10298,1.51,1)*IF($B2902&lt;3,$D2902*'Expenditure Study'!$B$32*OFFSET('Expenditure Study'!$B$7,'Operations Support'!$C2902,'Operations Support'!$B2902),0)</f>
        <v>0</v>
      </c>
      <c r="X2902" s="200">
        <f ca="1">W2902*'Expenditure Study'!$B$31</f>
        <v>0</v>
      </c>
      <c r="Y2902" s="199">
        <f ca="1">U2902*'Expenditure Study'!$B$31</f>
        <v>0</v>
      </c>
      <c r="Z2902" s="200">
        <f ca="1">W2902*'Expenditure Study'!$B$31</f>
        <v>0</v>
      </c>
      <c r="AA2902" s="195">
        <f t="shared" ca="1" si="638"/>
        <v>0</v>
      </c>
      <c r="AB2902" s="195">
        <f t="shared" ca="1" si="639"/>
        <v>0</v>
      </c>
      <c r="AD2902" s="196">
        <f>IFERROR($G2902/SUMIF($A:$A,$A2902,$G:$G)*SUMIF(Summary!$A$166:$A$242,$A2902,Summary!$P$166:$P$242),0)</f>
        <v>0</v>
      </c>
      <c r="AE2902" s="197">
        <f t="shared" ca="1" si="640"/>
        <v>0</v>
      </c>
      <c r="AF2902" s="196">
        <f>IFERROR(G2902/SUMIF(A:A,A2902,G:G)*SUMIF(Summary!$A$166:$A$242,'Operations Support'!A2902,Summary!$Q$166:$Q$242),0)</f>
        <v>0</v>
      </c>
      <c r="AG2902" s="196">
        <f t="shared" ca="1" si="641"/>
        <v>0</v>
      </c>
      <c r="AI2902" s="196">
        <f>IFERROR($G2902/SUMIF($A:$A,$A2902,$G:$G)*SUMIF(Summary!$A$247:$A$283,$A2902,Summary!$P$247:$P$283),0)</f>
        <v>0</v>
      </c>
      <c r="AJ2902" s="196">
        <f>IFERROR($G2902/SUMIF($A:$A,$A2902,$G:$G)*(SUMIF(Summary!$A$247:$A$283,$A2902,Summary!$L$247:$L$283)+SUMIF(Summary!$A$297:$A$333,$A2902,Summary!$L$297:$L$333))-AI2902,0)</f>
        <v>0</v>
      </c>
      <c r="AK2902" s="196">
        <f>IFERROR($G2902/SUMIF($A:$A,$A2902,$G:$G)*SUMIF(Summary!$A$247:$A$283,$A2902,Summary!$Q$247:$Q$283),0)</f>
        <v>0</v>
      </c>
      <c r="AL2902" s="196">
        <f>IFERROR($G2902/SUMIF($A:$A,$A2902,$G:$G)*(SUMIF(Summary!$A$247:$A$283,$A2902,Summary!$L$247:$L$283)+SUMIF(Summary!$A$297:$A$333,$A2902,Summary!$L$297:$L$333))-AK2902,0)</f>
        <v>0</v>
      </c>
      <c r="AM2902" s="198"/>
      <c r="AN2902" s="196">
        <f t="shared" ca="1" si="642"/>
        <v>0</v>
      </c>
      <c r="AO2902" s="196">
        <f t="shared" ca="1" si="643"/>
        <v>0</v>
      </c>
    </row>
    <row r="2903" spans="1:41">
      <c r="A2903" s="189">
        <v>10298</v>
      </c>
      <c r="B2903" s="190">
        <v>4</v>
      </c>
      <c r="C2903" s="191" t="s">
        <v>220</v>
      </c>
      <c r="D2903" s="192">
        <f t="shared" si="630"/>
        <v>6</v>
      </c>
      <c r="E2903" s="192">
        <f t="shared" si="631"/>
        <v>0</v>
      </c>
      <c r="F2903" s="192">
        <f t="shared" si="632"/>
        <v>0</v>
      </c>
      <c r="G2903" s="193">
        <f t="shared" si="633"/>
        <v>9.06</v>
      </c>
      <c r="H2903" s="194">
        <v>6</v>
      </c>
      <c r="I2903" s="194">
        <v>0</v>
      </c>
      <c r="J2903" s="194">
        <v>0</v>
      </c>
      <c r="K2903" s="193">
        <f t="shared" si="634"/>
        <v>6</v>
      </c>
      <c r="L2903" s="194">
        <v>0</v>
      </c>
      <c r="M2903" s="194">
        <v>0</v>
      </c>
      <c r="N2903" s="194">
        <v>0</v>
      </c>
      <c r="O2903" s="193">
        <f t="shared" si="635"/>
        <v>0</v>
      </c>
      <c r="P2903" s="194">
        <v>0</v>
      </c>
      <c r="Q2903" s="194">
        <v>0</v>
      </c>
      <c r="R2903" s="194">
        <v>0</v>
      </c>
      <c r="S2903" s="193">
        <f t="shared" si="636"/>
        <v>0</v>
      </c>
      <c r="T2903" s="193">
        <f t="shared" si="637"/>
        <v>0.50333333333333341</v>
      </c>
      <c r="U2903" s="193">
        <f ca="1">OFFSET('Expenditure Study'!$B$7,'Operations Support'!$C2903,'Operations Support'!$B2903)*$G2903</f>
        <v>133.4538</v>
      </c>
      <c r="V2903" s="199">
        <f ca="1">U2903*'Expenditure Study'!$B$31</f>
        <v>7884.8749938470401</v>
      </c>
      <c r="W2903" s="199">
        <f ca="1">IF(A2903=10298,1.51,1)*IF($B2903&lt;3,$D2903*'Expenditure Study'!$B$32*OFFSET('Expenditure Study'!$B$7,'Operations Support'!$C2903,'Operations Support'!$B2903),0)</f>
        <v>0</v>
      </c>
      <c r="X2903" s="200">
        <f ca="1">W2903*'Expenditure Study'!$B$31</f>
        <v>0</v>
      </c>
      <c r="Y2903" s="199">
        <f ca="1">U2903*'Expenditure Study'!$B$31</f>
        <v>7884.8749938470401</v>
      </c>
      <c r="Z2903" s="200">
        <f ca="1">W2903*'Expenditure Study'!$B$31</f>
        <v>0</v>
      </c>
      <c r="AA2903" s="195">
        <f t="shared" ca="1" si="638"/>
        <v>7884.8749938470401</v>
      </c>
      <c r="AB2903" s="195">
        <f t="shared" ca="1" si="639"/>
        <v>7884.8749938470401</v>
      </c>
      <c r="AD2903" s="196">
        <f>IFERROR($G2903/SUMIF($A:$A,$A2903,$G:$G)*SUMIF(Summary!$A$166:$A$242,$A2903,Summary!$P$166:$P$242),0)</f>
        <v>288.36244319880603</v>
      </c>
      <c r="AE2903" s="197">
        <f t="shared" ca="1" si="640"/>
        <v>7596.5125506482336</v>
      </c>
      <c r="AF2903" s="196">
        <f>IFERROR(G2903/SUMIF(A:A,A2903,G:G)*SUMIF(Summary!$A$166:$A$242,'Operations Support'!A2903,Summary!$Q$166:$Q$242),0)</f>
        <v>289.59901650979498</v>
      </c>
      <c r="AG2903" s="196">
        <f t="shared" ca="1" si="641"/>
        <v>7595.2759773372454</v>
      </c>
      <c r="AI2903" s="196">
        <f>IFERROR($G2903/SUMIF($A:$A,$A2903,$G:$G)*SUMIF(Summary!$A$247:$A$283,$A2903,Summary!$P$247:$P$283),0)</f>
        <v>52.590113634905862</v>
      </c>
      <c r="AJ2903" s="196">
        <f>IFERROR($G2903/SUMIF($A:$A,$A2903,$G:$G)*(SUMIF(Summary!$A$247:$A$283,$A2903,Summary!$L$247:$L$283)+SUMIF(Summary!$A$297:$A$333,$A2903,Summary!$L$297:$L$333))-AI2903,0)</f>
        <v>501.3847695672705</v>
      </c>
      <c r="AK2903" s="196">
        <f>IFERROR($G2903/SUMIF($A:$A,$A2903,$G:$G)*SUMIF(Summary!$A$247:$A$283,$A2903,Summary!$Q$247:$Q$283),0)</f>
        <v>52.815633748487237</v>
      </c>
      <c r="AL2903" s="196">
        <f>IFERROR($G2903/SUMIF($A:$A,$A2903,$G:$G)*(SUMIF(Summary!$A$247:$A$283,$A2903,Summary!$L$247:$L$283)+SUMIF(Summary!$A$297:$A$333,$A2903,Summary!$L$297:$L$333))-AK2903,0)</f>
        <v>501.15924945368909</v>
      </c>
      <c r="AM2903" s="198"/>
      <c r="AN2903" s="196">
        <f t="shared" ca="1" si="642"/>
        <v>8097.8973202155039</v>
      </c>
      <c r="AO2903" s="196">
        <f t="shared" ca="1" si="643"/>
        <v>8096.4352267909344</v>
      </c>
    </row>
    <row r="2904" spans="1:41">
      <c r="A2904" s="189">
        <v>10298</v>
      </c>
      <c r="B2904" s="190">
        <v>4</v>
      </c>
      <c r="C2904" s="191" t="s">
        <v>221</v>
      </c>
      <c r="D2904" s="192">
        <f t="shared" si="630"/>
        <v>804</v>
      </c>
      <c r="E2904" s="192">
        <f t="shared" si="631"/>
        <v>9</v>
      </c>
      <c r="F2904" s="192">
        <f t="shared" si="632"/>
        <v>76</v>
      </c>
      <c r="G2904" s="193">
        <f t="shared" si="633"/>
        <v>1112.8700000000001</v>
      </c>
      <c r="H2904" s="194">
        <v>284</v>
      </c>
      <c r="I2904" s="194">
        <v>5</v>
      </c>
      <c r="J2904" s="194">
        <v>12</v>
      </c>
      <c r="K2904" s="193">
        <f t="shared" si="634"/>
        <v>277</v>
      </c>
      <c r="L2904" s="194">
        <v>293</v>
      </c>
      <c r="M2904" s="194">
        <v>4</v>
      </c>
      <c r="N2904" s="194">
        <v>36</v>
      </c>
      <c r="O2904" s="193">
        <f t="shared" si="635"/>
        <v>261</v>
      </c>
      <c r="P2904" s="194">
        <v>227</v>
      </c>
      <c r="Q2904" s="194">
        <v>0</v>
      </c>
      <c r="R2904" s="194">
        <v>28</v>
      </c>
      <c r="S2904" s="193">
        <f t="shared" si="636"/>
        <v>199</v>
      </c>
      <c r="T2904" s="193">
        <f t="shared" si="637"/>
        <v>61.826111111111118</v>
      </c>
      <c r="U2904" s="193">
        <f ca="1">OFFSET('Expenditure Study'!$B$7,'Operations Support'!$C2904,'Operations Support'!$B2904)*$G2904</f>
        <v>24193.793799999999</v>
      </c>
      <c r="V2904" s="199">
        <f ca="1">U2904*'Expenditure Study'!$B$31</f>
        <v>1429446.2933233189</v>
      </c>
      <c r="W2904" s="199">
        <f ca="1">IF(A2904=10298,1.51,1)*IF($B2904&lt;3,$D2904*'Expenditure Study'!$B$32*OFFSET('Expenditure Study'!$B$7,'Operations Support'!$C2904,'Operations Support'!$B2904),0)</f>
        <v>0</v>
      </c>
      <c r="X2904" s="200">
        <f ca="1">W2904*'Expenditure Study'!$B$31</f>
        <v>0</v>
      </c>
      <c r="Y2904" s="199">
        <f ca="1">U2904*'Expenditure Study'!$B$31</f>
        <v>1429446.2933233189</v>
      </c>
      <c r="Z2904" s="200">
        <f ca="1">W2904*'Expenditure Study'!$B$31</f>
        <v>0</v>
      </c>
      <c r="AA2904" s="195">
        <f t="shared" ca="1" si="638"/>
        <v>1429446.2933233189</v>
      </c>
      <c r="AB2904" s="195">
        <f t="shared" ca="1" si="639"/>
        <v>1429446.2933233189</v>
      </c>
      <c r="AD2904" s="196">
        <f>IFERROR($G2904/SUMIF($A:$A,$A2904,$G:$G)*SUMIF(Summary!$A$166:$A$242,$A2904,Summary!$P$166:$P$242),0)</f>
        <v>35420.520106253345</v>
      </c>
      <c r="AE2904" s="197">
        <f t="shared" ca="1" si="640"/>
        <v>1394025.7732170655</v>
      </c>
      <c r="AF2904" s="196">
        <f>IFERROR(G2904/SUMIF(A:A,A2904,G:G)*SUMIF(Summary!$A$166:$A$242,'Operations Support'!A2904,Summary!$Q$166:$Q$242),0)</f>
        <v>35572.412527953151</v>
      </c>
      <c r="AG2904" s="196">
        <f t="shared" ca="1" si="641"/>
        <v>1393873.8807953659</v>
      </c>
      <c r="AI2904" s="196">
        <f>IFERROR($G2904/SUMIF($A:$A,$A2904,$G:$G)*SUMIF(Summary!$A$247:$A$283,$A2904,Summary!$P$247:$P$283),0)</f>
        <v>6459.8189581542701</v>
      </c>
      <c r="AJ2904" s="196">
        <f>IFERROR($G2904/SUMIF($A:$A,$A2904,$G:$G)*(SUMIF(Summary!$A$247:$A$283,$A2904,Summary!$L$247:$L$283)+SUMIF(Summary!$A$297:$A$333,$A2904,Summary!$L$297:$L$333))-AI2904,0)</f>
        <v>61586.762528513063</v>
      </c>
      <c r="AK2904" s="196">
        <f>IFERROR($G2904/SUMIF($A:$A,$A2904,$G:$G)*SUMIF(Summary!$A$247:$A$283,$A2904,Summary!$Q$247:$Q$283),0)</f>
        <v>6487.5203454391831</v>
      </c>
      <c r="AL2904" s="196">
        <f>IFERROR($G2904/SUMIF($A:$A,$A2904,$G:$G)*(SUMIF(Summary!$A$247:$A$283,$A2904,Summary!$L$247:$L$283)+SUMIF(Summary!$A$297:$A$333,$A2904,Summary!$L$297:$L$333))-AK2904,0)</f>
        <v>61559.061141228151</v>
      </c>
      <c r="AM2904" s="198"/>
      <c r="AN2904" s="196">
        <f t="shared" ca="1" si="642"/>
        <v>1455612.5357455786</v>
      </c>
      <c r="AO2904" s="196">
        <f t="shared" ca="1" si="643"/>
        <v>1455432.941936594</v>
      </c>
    </row>
    <row r="2905" spans="1:41">
      <c r="A2905" s="189">
        <v>10298</v>
      </c>
      <c r="B2905" s="190">
        <v>4</v>
      </c>
      <c r="C2905" s="191" t="s">
        <v>222</v>
      </c>
      <c r="D2905" s="192">
        <f t="shared" si="630"/>
        <v>0</v>
      </c>
      <c r="E2905" s="192">
        <f t="shared" si="631"/>
        <v>0</v>
      </c>
      <c r="F2905" s="192">
        <f t="shared" si="632"/>
        <v>0</v>
      </c>
      <c r="G2905" s="193">
        <f t="shared" si="633"/>
        <v>0</v>
      </c>
      <c r="H2905" s="194">
        <v>0</v>
      </c>
      <c r="I2905" s="194">
        <v>0</v>
      </c>
      <c r="J2905" s="194">
        <v>0</v>
      </c>
      <c r="K2905" s="193">
        <f t="shared" si="634"/>
        <v>0</v>
      </c>
      <c r="L2905" s="194">
        <v>0</v>
      </c>
      <c r="M2905" s="194">
        <v>0</v>
      </c>
      <c r="N2905" s="194">
        <v>0</v>
      </c>
      <c r="O2905" s="193">
        <f t="shared" si="635"/>
        <v>0</v>
      </c>
      <c r="P2905" s="194">
        <v>0</v>
      </c>
      <c r="Q2905" s="194">
        <v>0</v>
      </c>
      <c r="R2905" s="194">
        <v>0</v>
      </c>
      <c r="S2905" s="193">
        <f t="shared" si="636"/>
        <v>0</v>
      </c>
      <c r="T2905" s="193">
        <f t="shared" si="637"/>
        <v>0</v>
      </c>
      <c r="U2905" s="193">
        <f ca="1">OFFSET('Expenditure Study'!$B$7,'Operations Support'!$C2905,'Operations Support'!$B2905)*$G2905</f>
        <v>0</v>
      </c>
      <c r="V2905" s="199">
        <f ca="1">U2905*'Expenditure Study'!$B$31</f>
        <v>0</v>
      </c>
      <c r="W2905" s="199">
        <f ca="1">IF(A2905=10298,1.51,1)*IF($B2905&lt;3,$D2905*'Expenditure Study'!$B$32*OFFSET('Expenditure Study'!$B$7,'Operations Support'!$C2905,'Operations Support'!$B2905),0)</f>
        <v>0</v>
      </c>
      <c r="X2905" s="200">
        <f ca="1">W2905*'Expenditure Study'!$B$31</f>
        <v>0</v>
      </c>
      <c r="Y2905" s="199">
        <f ca="1">U2905*'Expenditure Study'!$B$31</f>
        <v>0</v>
      </c>
      <c r="Z2905" s="200">
        <f ca="1">W2905*'Expenditure Study'!$B$31</f>
        <v>0</v>
      </c>
      <c r="AA2905" s="195">
        <f t="shared" ca="1" si="638"/>
        <v>0</v>
      </c>
      <c r="AB2905" s="195">
        <f t="shared" ca="1" si="639"/>
        <v>0</v>
      </c>
      <c r="AD2905" s="196">
        <f>IFERROR($G2905/SUMIF($A:$A,$A2905,$G:$G)*SUMIF(Summary!$A$166:$A$242,$A2905,Summary!$P$166:$P$242),0)</f>
        <v>0</v>
      </c>
      <c r="AE2905" s="197">
        <f t="shared" ca="1" si="640"/>
        <v>0</v>
      </c>
      <c r="AF2905" s="196">
        <f>IFERROR(G2905/SUMIF(A:A,A2905,G:G)*SUMIF(Summary!$A$166:$A$242,'Operations Support'!A2905,Summary!$Q$166:$Q$242),0)</f>
        <v>0</v>
      </c>
      <c r="AG2905" s="196">
        <f t="shared" ca="1" si="641"/>
        <v>0</v>
      </c>
      <c r="AI2905" s="196">
        <f>IFERROR($G2905/SUMIF($A:$A,$A2905,$G:$G)*SUMIF(Summary!$A$247:$A$283,$A2905,Summary!$P$247:$P$283),0)</f>
        <v>0</v>
      </c>
      <c r="AJ2905" s="196">
        <f>IFERROR($G2905/SUMIF($A:$A,$A2905,$G:$G)*(SUMIF(Summary!$A$247:$A$283,$A2905,Summary!$L$247:$L$283)+SUMIF(Summary!$A$297:$A$333,$A2905,Summary!$L$297:$L$333))-AI2905,0)</f>
        <v>0</v>
      </c>
      <c r="AK2905" s="196">
        <f>IFERROR($G2905/SUMIF($A:$A,$A2905,$G:$G)*SUMIF(Summary!$A$247:$A$283,$A2905,Summary!$Q$247:$Q$283),0)</f>
        <v>0</v>
      </c>
      <c r="AL2905" s="196">
        <f>IFERROR($G2905/SUMIF($A:$A,$A2905,$G:$G)*(SUMIF(Summary!$A$247:$A$283,$A2905,Summary!$L$247:$L$283)+SUMIF(Summary!$A$297:$A$333,$A2905,Summary!$L$297:$L$333))-AK2905,0)</f>
        <v>0</v>
      </c>
      <c r="AM2905" s="198"/>
      <c r="AN2905" s="196">
        <f t="shared" ca="1" si="642"/>
        <v>0</v>
      </c>
      <c r="AO2905" s="196">
        <f t="shared" ca="1" si="643"/>
        <v>0</v>
      </c>
    </row>
    <row r="2906" spans="1:41">
      <c r="A2906" s="189">
        <v>10298</v>
      </c>
      <c r="B2906" s="190">
        <v>4</v>
      </c>
      <c r="C2906" s="191" t="s">
        <v>223</v>
      </c>
      <c r="D2906" s="192">
        <f t="shared" si="630"/>
        <v>0</v>
      </c>
      <c r="E2906" s="192">
        <f t="shared" si="631"/>
        <v>0</v>
      </c>
      <c r="F2906" s="192">
        <f t="shared" si="632"/>
        <v>0</v>
      </c>
      <c r="G2906" s="193">
        <f t="shared" si="633"/>
        <v>0</v>
      </c>
      <c r="H2906" s="194">
        <v>0</v>
      </c>
      <c r="I2906" s="194">
        <v>0</v>
      </c>
      <c r="J2906" s="194">
        <v>0</v>
      </c>
      <c r="K2906" s="193">
        <f t="shared" si="634"/>
        <v>0</v>
      </c>
      <c r="L2906" s="194">
        <v>0</v>
      </c>
      <c r="M2906" s="194">
        <v>0</v>
      </c>
      <c r="N2906" s="194">
        <v>0</v>
      </c>
      <c r="O2906" s="193">
        <f t="shared" si="635"/>
        <v>0</v>
      </c>
      <c r="P2906" s="194">
        <v>0</v>
      </c>
      <c r="Q2906" s="194">
        <v>0</v>
      </c>
      <c r="R2906" s="194">
        <v>0</v>
      </c>
      <c r="S2906" s="193">
        <f t="shared" si="636"/>
        <v>0</v>
      </c>
      <c r="T2906" s="193">
        <f t="shared" si="637"/>
        <v>0</v>
      </c>
      <c r="U2906" s="193">
        <f ca="1">OFFSET('Expenditure Study'!$B$7,'Operations Support'!$C2906,'Operations Support'!$B2906)*$G2906</f>
        <v>0</v>
      </c>
      <c r="V2906" s="199">
        <f ca="1">U2906*'Expenditure Study'!$B$31</f>
        <v>0</v>
      </c>
      <c r="W2906" s="199">
        <f ca="1">IF(A2906=10298,1.51,1)*IF($B2906&lt;3,$D2906*'Expenditure Study'!$B$32*OFFSET('Expenditure Study'!$B$7,'Operations Support'!$C2906,'Operations Support'!$B2906),0)</f>
        <v>0</v>
      </c>
      <c r="X2906" s="200">
        <f ca="1">W2906*'Expenditure Study'!$B$31</f>
        <v>0</v>
      </c>
      <c r="Y2906" s="199">
        <f ca="1">U2906*'Expenditure Study'!$B$31</f>
        <v>0</v>
      </c>
      <c r="Z2906" s="200">
        <f ca="1">W2906*'Expenditure Study'!$B$31</f>
        <v>0</v>
      </c>
      <c r="AA2906" s="195">
        <f t="shared" ca="1" si="638"/>
        <v>0</v>
      </c>
      <c r="AB2906" s="195">
        <f t="shared" ca="1" si="639"/>
        <v>0</v>
      </c>
      <c r="AD2906" s="196">
        <f>IFERROR($G2906/SUMIF($A:$A,$A2906,$G:$G)*SUMIF(Summary!$A$166:$A$242,$A2906,Summary!$P$166:$P$242),0)</f>
        <v>0</v>
      </c>
      <c r="AE2906" s="197">
        <f t="shared" ca="1" si="640"/>
        <v>0</v>
      </c>
      <c r="AF2906" s="196">
        <f>IFERROR(G2906/SUMIF(A:A,A2906,G:G)*SUMIF(Summary!$A$166:$A$242,'Operations Support'!A2906,Summary!$Q$166:$Q$242),0)</f>
        <v>0</v>
      </c>
      <c r="AG2906" s="196">
        <f t="shared" ca="1" si="641"/>
        <v>0</v>
      </c>
      <c r="AI2906" s="196">
        <f>IFERROR($G2906/SUMIF($A:$A,$A2906,$G:$G)*SUMIF(Summary!$A$247:$A$283,$A2906,Summary!$P$247:$P$283),0)</f>
        <v>0</v>
      </c>
      <c r="AJ2906" s="196">
        <f>IFERROR($G2906/SUMIF($A:$A,$A2906,$G:$G)*(SUMIF(Summary!$A$247:$A$283,$A2906,Summary!$L$247:$L$283)+SUMIF(Summary!$A$297:$A$333,$A2906,Summary!$L$297:$L$333))-AI2906,0)</f>
        <v>0</v>
      </c>
      <c r="AK2906" s="196">
        <f>IFERROR($G2906/SUMIF($A:$A,$A2906,$G:$G)*SUMIF(Summary!$A$247:$A$283,$A2906,Summary!$Q$247:$Q$283),0)</f>
        <v>0</v>
      </c>
      <c r="AL2906" s="196">
        <f>IFERROR($G2906/SUMIF($A:$A,$A2906,$G:$G)*(SUMIF(Summary!$A$247:$A$283,$A2906,Summary!$L$247:$L$283)+SUMIF(Summary!$A$297:$A$333,$A2906,Summary!$L$297:$L$333))-AK2906,0)</f>
        <v>0</v>
      </c>
      <c r="AM2906" s="198"/>
      <c r="AN2906" s="196">
        <f t="shared" ca="1" si="642"/>
        <v>0</v>
      </c>
      <c r="AO2906" s="196">
        <f t="shared" ca="1" si="643"/>
        <v>0</v>
      </c>
    </row>
    <row r="2907" spans="1:41">
      <c r="A2907" s="189">
        <v>10298</v>
      </c>
      <c r="B2907" s="190">
        <v>4</v>
      </c>
      <c r="C2907" s="191" t="s">
        <v>224</v>
      </c>
      <c r="D2907" s="192">
        <f t="shared" si="630"/>
        <v>30</v>
      </c>
      <c r="E2907" s="192">
        <f t="shared" si="631"/>
        <v>28</v>
      </c>
      <c r="F2907" s="192">
        <f t="shared" si="632"/>
        <v>0</v>
      </c>
      <c r="G2907" s="193">
        <f t="shared" si="633"/>
        <v>87.58</v>
      </c>
      <c r="H2907" s="194">
        <v>6</v>
      </c>
      <c r="I2907" s="194">
        <v>8</v>
      </c>
      <c r="J2907" s="194">
        <v>0</v>
      </c>
      <c r="K2907" s="193">
        <f t="shared" si="634"/>
        <v>14</v>
      </c>
      <c r="L2907" s="194">
        <v>24</v>
      </c>
      <c r="M2907" s="194">
        <v>20</v>
      </c>
      <c r="N2907" s="194">
        <v>0</v>
      </c>
      <c r="O2907" s="193">
        <f t="shared" si="635"/>
        <v>44</v>
      </c>
      <c r="P2907" s="194">
        <v>0</v>
      </c>
      <c r="Q2907" s="194">
        <v>0</v>
      </c>
      <c r="R2907" s="194">
        <v>0</v>
      </c>
      <c r="S2907" s="193">
        <f t="shared" si="636"/>
        <v>0</v>
      </c>
      <c r="T2907" s="193">
        <f t="shared" si="637"/>
        <v>4.8655555555555559</v>
      </c>
      <c r="U2907" s="193">
        <f ca="1">OFFSET('Expenditure Study'!$B$7,'Operations Support'!$C2907,'Operations Support'!$B2907)*$G2907</f>
        <v>1267.2826</v>
      </c>
      <c r="V2907" s="199">
        <f ca="1">U2907*'Expenditure Study'!$B$31</f>
        <v>74875.086980494088</v>
      </c>
      <c r="W2907" s="199">
        <f ca="1">IF(A2907=10298,1.51,1)*IF($B2907&lt;3,$D2907*'Expenditure Study'!$B$32*OFFSET('Expenditure Study'!$B$7,'Operations Support'!$C2907,'Operations Support'!$B2907),0)</f>
        <v>0</v>
      </c>
      <c r="X2907" s="200">
        <f ca="1">W2907*'Expenditure Study'!$B$31</f>
        <v>0</v>
      </c>
      <c r="Y2907" s="199">
        <f ca="1">U2907*'Expenditure Study'!$B$31</f>
        <v>74875.086980494088</v>
      </c>
      <c r="Z2907" s="200">
        <f ca="1">W2907*'Expenditure Study'!$B$31</f>
        <v>0</v>
      </c>
      <c r="AA2907" s="195">
        <f t="shared" ca="1" si="638"/>
        <v>74875.086980494088</v>
      </c>
      <c r="AB2907" s="195">
        <f t="shared" ca="1" si="639"/>
        <v>74875.086980494088</v>
      </c>
      <c r="AD2907" s="196">
        <f>IFERROR($G2907/SUMIF($A:$A,$A2907,$G:$G)*SUMIF(Summary!$A$166:$A$242,$A2907,Summary!$P$166:$P$242),0)</f>
        <v>2787.5036175884584</v>
      </c>
      <c r="AE2907" s="197">
        <f t="shared" ca="1" si="640"/>
        <v>72087.583362905629</v>
      </c>
      <c r="AF2907" s="196">
        <f>IFERROR(G2907/SUMIF(A:A,A2907,G:G)*SUMIF(Summary!$A$166:$A$242,'Operations Support'!A2907,Summary!$Q$166:$Q$242),0)</f>
        <v>2799.457159594685</v>
      </c>
      <c r="AG2907" s="196">
        <f t="shared" ca="1" si="641"/>
        <v>72075.629820899398</v>
      </c>
      <c r="AI2907" s="196">
        <f>IFERROR($G2907/SUMIF($A:$A,$A2907,$G:$G)*SUMIF(Summary!$A$247:$A$283,$A2907,Summary!$P$247:$P$283),0)</f>
        <v>508.37109847075664</v>
      </c>
      <c r="AJ2907" s="196">
        <f>IFERROR($G2907/SUMIF($A:$A,$A2907,$G:$G)*(SUMIF(Summary!$A$247:$A$283,$A2907,Summary!$L$247:$L$283)+SUMIF(Summary!$A$297:$A$333,$A2907,Summary!$L$297:$L$333))-AI2907,0)</f>
        <v>4846.7194391502808</v>
      </c>
      <c r="AK2907" s="196">
        <f>IFERROR($G2907/SUMIF($A:$A,$A2907,$G:$G)*SUMIF(Summary!$A$247:$A$283,$A2907,Summary!$Q$247:$Q$283),0)</f>
        <v>510.55112623537661</v>
      </c>
      <c r="AL2907" s="196">
        <f>IFERROR($G2907/SUMIF($A:$A,$A2907,$G:$G)*(SUMIF(Summary!$A$247:$A$283,$A2907,Summary!$L$247:$L$283)+SUMIF(Summary!$A$297:$A$333,$A2907,Summary!$L$297:$L$333))-AK2907,0)</f>
        <v>4844.539411385661</v>
      </c>
      <c r="AM2907" s="198"/>
      <c r="AN2907" s="196">
        <f t="shared" ca="1" si="642"/>
        <v>76934.302802055914</v>
      </c>
      <c r="AO2907" s="196">
        <f t="shared" ca="1" si="643"/>
        <v>76920.169232285058</v>
      </c>
    </row>
    <row r="2908" spans="1:41">
      <c r="A2908" s="189">
        <v>10298</v>
      </c>
      <c r="B2908" s="190">
        <v>4</v>
      </c>
      <c r="C2908" s="191" t="s">
        <v>225</v>
      </c>
      <c r="D2908" s="192">
        <f t="shared" si="630"/>
        <v>212</v>
      </c>
      <c r="E2908" s="192">
        <f t="shared" si="631"/>
        <v>38</v>
      </c>
      <c r="F2908" s="192">
        <f t="shared" si="632"/>
        <v>0</v>
      </c>
      <c r="G2908" s="193">
        <f t="shared" si="633"/>
        <v>377.5</v>
      </c>
      <c r="H2908" s="194">
        <v>82</v>
      </c>
      <c r="I2908" s="194">
        <v>21</v>
      </c>
      <c r="J2908" s="194">
        <v>0</v>
      </c>
      <c r="K2908" s="193">
        <f t="shared" si="634"/>
        <v>103</v>
      </c>
      <c r="L2908" s="194">
        <v>98</v>
      </c>
      <c r="M2908" s="194">
        <v>11</v>
      </c>
      <c r="N2908" s="194">
        <v>0</v>
      </c>
      <c r="O2908" s="193">
        <f t="shared" si="635"/>
        <v>109</v>
      </c>
      <c r="P2908" s="194">
        <v>32</v>
      </c>
      <c r="Q2908" s="194">
        <v>6</v>
      </c>
      <c r="R2908" s="194">
        <v>0</v>
      </c>
      <c r="S2908" s="193">
        <f t="shared" si="636"/>
        <v>38</v>
      </c>
      <c r="T2908" s="193">
        <f t="shared" si="637"/>
        <v>20.972222222222221</v>
      </c>
      <c r="U2908" s="193">
        <f ca="1">OFFSET('Expenditure Study'!$B$7,'Operations Support'!$C2908,'Operations Support'!$B2908)*$G2908</f>
        <v>7093.2249999999995</v>
      </c>
      <c r="V2908" s="199">
        <f ca="1">U2908*'Expenditure Study'!$B$31</f>
        <v>419090.29513007996</v>
      </c>
      <c r="W2908" s="199">
        <f ca="1">IF(A2908=10298,1.51,1)*IF($B2908&lt;3,$D2908*'Expenditure Study'!$B$32*OFFSET('Expenditure Study'!$B$7,'Operations Support'!$C2908,'Operations Support'!$B2908),0)</f>
        <v>0</v>
      </c>
      <c r="X2908" s="200">
        <f ca="1">W2908*'Expenditure Study'!$B$31</f>
        <v>0</v>
      </c>
      <c r="Y2908" s="199">
        <f ca="1">U2908*'Expenditure Study'!$B$31</f>
        <v>419090.29513007996</v>
      </c>
      <c r="Z2908" s="200">
        <f ca="1">W2908*'Expenditure Study'!$B$31</f>
        <v>0</v>
      </c>
      <c r="AA2908" s="195">
        <f t="shared" ca="1" si="638"/>
        <v>419090.29513007996</v>
      </c>
      <c r="AB2908" s="195">
        <f t="shared" ca="1" si="639"/>
        <v>419090.29513007996</v>
      </c>
      <c r="AD2908" s="196">
        <f>IFERROR($G2908/SUMIF($A:$A,$A2908,$G:$G)*SUMIF(Summary!$A$166:$A$242,$A2908,Summary!$P$166:$P$242),0)</f>
        <v>12015.101799950251</v>
      </c>
      <c r="AE2908" s="197">
        <f t="shared" ca="1" si="640"/>
        <v>407075.19333012972</v>
      </c>
      <c r="AF2908" s="196">
        <f>IFERROR(G2908/SUMIF(A:A,A2908,G:G)*SUMIF(Summary!$A$166:$A$242,'Operations Support'!A2908,Summary!$Q$166:$Q$242),0)</f>
        <v>12066.625687908125</v>
      </c>
      <c r="AG2908" s="196">
        <f t="shared" ca="1" si="641"/>
        <v>407023.66944217181</v>
      </c>
      <c r="AI2908" s="196">
        <f>IFERROR($G2908/SUMIF($A:$A,$A2908,$G:$G)*SUMIF(Summary!$A$247:$A$283,$A2908,Summary!$P$247:$P$283),0)</f>
        <v>2191.2547347877439</v>
      </c>
      <c r="AJ2908" s="196">
        <f>IFERROR($G2908/SUMIF($A:$A,$A2908,$G:$G)*(SUMIF(Summary!$A$247:$A$283,$A2908,Summary!$L$247:$L$283)+SUMIF(Summary!$A$297:$A$333,$A2908,Summary!$L$297:$L$333))-AI2908,0)</f>
        <v>20891.032065302934</v>
      </c>
      <c r="AK2908" s="196">
        <f>IFERROR($G2908/SUMIF($A:$A,$A2908,$G:$G)*SUMIF(Summary!$A$247:$A$283,$A2908,Summary!$Q$247:$Q$283),0)</f>
        <v>2200.651406186968</v>
      </c>
      <c r="AL2908" s="196">
        <f>IFERROR($G2908/SUMIF($A:$A,$A2908,$G:$G)*(SUMIF(Summary!$A$247:$A$283,$A2908,Summary!$L$247:$L$283)+SUMIF(Summary!$A$297:$A$333,$A2908,Summary!$L$297:$L$333))-AK2908,0)</f>
        <v>20881.635393903711</v>
      </c>
      <c r="AM2908" s="198"/>
      <c r="AN2908" s="196">
        <f t="shared" ca="1" si="642"/>
        <v>427966.22539543267</v>
      </c>
      <c r="AO2908" s="196">
        <f t="shared" ca="1" si="643"/>
        <v>427905.30483607552</v>
      </c>
    </row>
    <row r="2909" spans="1:41">
      <c r="A2909" s="189">
        <v>10298</v>
      </c>
      <c r="B2909" s="190">
        <v>4</v>
      </c>
      <c r="C2909" s="191" t="s">
        <v>226</v>
      </c>
      <c r="D2909" s="192">
        <f t="shared" si="630"/>
        <v>0</v>
      </c>
      <c r="E2909" s="192">
        <f t="shared" si="631"/>
        <v>0</v>
      </c>
      <c r="F2909" s="192">
        <f t="shared" si="632"/>
        <v>0</v>
      </c>
      <c r="G2909" s="193">
        <f t="shared" si="633"/>
        <v>0</v>
      </c>
      <c r="H2909" s="194">
        <v>0</v>
      </c>
      <c r="I2909" s="194">
        <v>0</v>
      </c>
      <c r="J2909" s="194">
        <v>0</v>
      </c>
      <c r="K2909" s="193">
        <f t="shared" si="634"/>
        <v>0</v>
      </c>
      <c r="L2909" s="194">
        <v>0</v>
      </c>
      <c r="M2909" s="194">
        <v>0</v>
      </c>
      <c r="N2909" s="194">
        <v>0</v>
      </c>
      <c r="O2909" s="193">
        <f t="shared" si="635"/>
        <v>0</v>
      </c>
      <c r="P2909" s="194">
        <v>0</v>
      </c>
      <c r="Q2909" s="194">
        <v>0</v>
      </c>
      <c r="R2909" s="194">
        <v>0</v>
      </c>
      <c r="S2909" s="193">
        <f t="shared" si="636"/>
        <v>0</v>
      </c>
      <c r="T2909" s="193">
        <f t="shared" si="637"/>
        <v>0</v>
      </c>
      <c r="U2909" s="193">
        <f ca="1">OFFSET('Expenditure Study'!$B$7,'Operations Support'!$C2909,'Operations Support'!$B2909)*$G2909</f>
        <v>0</v>
      </c>
      <c r="V2909" s="199">
        <f ca="1">U2909*'Expenditure Study'!$B$31</f>
        <v>0</v>
      </c>
      <c r="W2909" s="199">
        <f ca="1">IF(A2909=10298,1.51,1)*IF($B2909&lt;3,$D2909*'Expenditure Study'!$B$32*OFFSET('Expenditure Study'!$B$7,'Operations Support'!$C2909,'Operations Support'!$B2909),0)</f>
        <v>0</v>
      </c>
      <c r="X2909" s="200">
        <f ca="1">W2909*'Expenditure Study'!$B$31</f>
        <v>0</v>
      </c>
      <c r="Y2909" s="199">
        <f ca="1">U2909*'Expenditure Study'!$B$31</f>
        <v>0</v>
      </c>
      <c r="Z2909" s="200">
        <f ca="1">W2909*'Expenditure Study'!$B$31</f>
        <v>0</v>
      </c>
      <c r="AA2909" s="195">
        <f t="shared" ca="1" si="638"/>
        <v>0</v>
      </c>
      <c r="AB2909" s="195">
        <f t="shared" ca="1" si="639"/>
        <v>0</v>
      </c>
      <c r="AD2909" s="196">
        <f>IFERROR($G2909/SUMIF($A:$A,$A2909,$G:$G)*SUMIF(Summary!$A$166:$A$242,$A2909,Summary!$P$166:$P$242),0)</f>
        <v>0</v>
      </c>
      <c r="AE2909" s="197">
        <f t="shared" ca="1" si="640"/>
        <v>0</v>
      </c>
      <c r="AF2909" s="196">
        <f>IFERROR(G2909/SUMIF(A:A,A2909,G:G)*SUMIF(Summary!$A$166:$A$242,'Operations Support'!A2909,Summary!$Q$166:$Q$242),0)</f>
        <v>0</v>
      </c>
      <c r="AG2909" s="196">
        <f t="shared" ca="1" si="641"/>
        <v>0</v>
      </c>
      <c r="AI2909" s="196">
        <f>IFERROR($G2909/SUMIF($A:$A,$A2909,$G:$G)*SUMIF(Summary!$A$247:$A$283,$A2909,Summary!$P$247:$P$283),0)</f>
        <v>0</v>
      </c>
      <c r="AJ2909" s="196">
        <f>IFERROR($G2909/SUMIF($A:$A,$A2909,$G:$G)*(SUMIF(Summary!$A$247:$A$283,$A2909,Summary!$L$247:$L$283)+SUMIF(Summary!$A$297:$A$333,$A2909,Summary!$L$297:$L$333))-AI2909,0)</f>
        <v>0</v>
      </c>
      <c r="AK2909" s="196">
        <f>IFERROR($G2909/SUMIF($A:$A,$A2909,$G:$G)*SUMIF(Summary!$A$247:$A$283,$A2909,Summary!$Q$247:$Q$283),0)</f>
        <v>0</v>
      </c>
      <c r="AL2909" s="196">
        <f>IFERROR($G2909/SUMIF($A:$A,$A2909,$G:$G)*(SUMIF(Summary!$A$247:$A$283,$A2909,Summary!$L$247:$L$283)+SUMIF(Summary!$A$297:$A$333,$A2909,Summary!$L$297:$L$333))-AK2909,0)</f>
        <v>0</v>
      </c>
      <c r="AM2909" s="198"/>
      <c r="AN2909" s="196">
        <f t="shared" ca="1" si="642"/>
        <v>0</v>
      </c>
      <c r="AO2909" s="196">
        <f t="shared" ca="1" si="643"/>
        <v>0</v>
      </c>
    </row>
    <row r="2910" spans="1:41">
      <c r="A2910" s="189">
        <v>10298</v>
      </c>
      <c r="B2910" s="190">
        <v>4</v>
      </c>
      <c r="C2910" s="191" t="s">
        <v>227</v>
      </c>
      <c r="D2910" s="192">
        <f t="shared" si="630"/>
        <v>0</v>
      </c>
      <c r="E2910" s="192">
        <f t="shared" si="631"/>
        <v>0</v>
      </c>
      <c r="F2910" s="192">
        <f t="shared" si="632"/>
        <v>0</v>
      </c>
      <c r="G2910" s="193">
        <f t="shared" si="633"/>
        <v>0</v>
      </c>
      <c r="H2910" s="194">
        <v>0</v>
      </c>
      <c r="I2910" s="194">
        <v>0</v>
      </c>
      <c r="J2910" s="194">
        <v>0</v>
      </c>
      <c r="K2910" s="193">
        <f t="shared" si="634"/>
        <v>0</v>
      </c>
      <c r="L2910" s="194">
        <v>0</v>
      </c>
      <c r="M2910" s="194">
        <v>0</v>
      </c>
      <c r="N2910" s="194">
        <v>0</v>
      </c>
      <c r="O2910" s="193">
        <f t="shared" si="635"/>
        <v>0</v>
      </c>
      <c r="P2910" s="194">
        <v>0</v>
      </c>
      <c r="Q2910" s="194">
        <v>0</v>
      </c>
      <c r="R2910" s="194">
        <v>0</v>
      </c>
      <c r="S2910" s="193">
        <f t="shared" si="636"/>
        <v>0</v>
      </c>
      <c r="T2910" s="193">
        <f t="shared" si="637"/>
        <v>0</v>
      </c>
      <c r="U2910" s="193">
        <f ca="1">OFFSET('Expenditure Study'!$B$7,'Operations Support'!$C2910,'Operations Support'!$B2910)*$G2910</f>
        <v>0</v>
      </c>
      <c r="V2910" s="199">
        <f ca="1">U2910*'Expenditure Study'!$B$31</f>
        <v>0</v>
      </c>
      <c r="W2910" s="199">
        <f ca="1">IF(A2910=10298,1.51,1)*IF($B2910&lt;3,$D2910*'Expenditure Study'!$B$32*OFFSET('Expenditure Study'!$B$7,'Operations Support'!$C2910,'Operations Support'!$B2910),0)</f>
        <v>0</v>
      </c>
      <c r="X2910" s="200">
        <f ca="1">W2910*'Expenditure Study'!$B$31</f>
        <v>0</v>
      </c>
      <c r="Y2910" s="199">
        <f ca="1">U2910*'Expenditure Study'!$B$31</f>
        <v>0</v>
      </c>
      <c r="Z2910" s="200">
        <f ca="1">W2910*'Expenditure Study'!$B$31</f>
        <v>0</v>
      </c>
      <c r="AA2910" s="195">
        <f t="shared" ca="1" si="638"/>
        <v>0</v>
      </c>
      <c r="AB2910" s="195">
        <f t="shared" ca="1" si="639"/>
        <v>0</v>
      </c>
      <c r="AD2910" s="196">
        <f>IFERROR($G2910/SUMIF($A:$A,$A2910,$G:$G)*SUMIF(Summary!$A$166:$A$242,$A2910,Summary!$P$166:$P$242),0)</f>
        <v>0</v>
      </c>
      <c r="AE2910" s="197">
        <f t="shared" ca="1" si="640"/>
        <v>0</v>
      </c>
      <c r="AF2910" s="196">
        <f>IFERROR(G2910/SUMIF(A:A,A2910,G:G)*SUMIF(Summary!$A$166:$A$242,'Operations Support'!A2910,Summary!$Q$166:$Q$242),0)</f>
        <v>0</v>
      </c>
      <c r="AG2910" s="196">
        <f t="shared" ca="1" si="641"/>
        <v>0</v>
      </c>
      <c r="AI2910" s="196">
        <f>IFERROR($G2910/SUMIF($A:$A,$A2910,$G:$G)*SUMIF(Summary!$A$247:$A$283,$A2910,Summary!$P$247:$P$283),0)</f>
        <v>0</v>
      </c>
      <c r="AJ2910" s="196">
        <f>IFERROR($G2910/SUMIF($A:$A,$A2910,$G:$G)*(SUMIF(Summary!$A$247:$A$283,$A2910,Summary!$L$247:$L$283)+SUMIF(Summary!$A$297:$A$333,$A2910,Summary!$L$297:$L$333))-AI2910,0)</f>
        <v>0</v>
      </c>
      <c r="AK2910" s="196">
        <f>IFERROR($G2910/SUMIF($A:$A,$A2910,$G:$G)*SUMIF(Summary!$A$247:$A$283,$A2910,Summary!$Q$247:$Q$283),0)</f>
        <v>0</v>
      </c>
      <c r="AL2910" s="196">
        <f>IFERROR($G2910/SUMIF($A:$A,$A2910,$G:$G)*(SUMIF(Summary!$A$247:$A$283,$A2910,Summary!$L$247:$L$283)+SUMIF(Summary!$A$297:$A$333,$A2910,Summary!$L$297:$L$333))-AK2910,0)</f>
        <v>0</v>
      </c>
      <c r="AM2910" s="198"/>
      <c r="AN2910" s="196">
        <f t="shared" ca="1" si="642"/>
        <v>0</v>
      </c>
      <c r="AO2910" s="196">
        <f t="shared" ca="1" si="643"/>
        <v>0</v>
      </c>
    </row>
    <row r="2911" spans="1:41">
      <c r="A2911" s="189">
        <v>10298</v>
      </c>
      <c r="B2911" s="190">
        <v>4</v>
      </c>
      <c r="C2911" s="191" t="s">
        <v>228</v>
      </c>
      <c r="D2911" s="192">
        <f t="shared" si="630"/>
        <v>0</v>
      </c>
      <c r="E2911" s="192">
        <f t="shared" si="631"/>
        <v>0</v>
      </c>
      <c r="F2911" s="192">
        <f t="shared" si="632"/>
        <v>0</v>
      </c>
      <c r="G2911" s="193">
        <f t="shared" si="633"/>
        <v>0</v>
      </c>
      <c r="H2911" s="194">
        <v>0</v>
      </c>
      <c r="I2911" s="194">
        <v>0</v>
      </c>
      <c r="J2911" s="194">
        <v>0</v>
      </c>
      <c r="K2911" s="193">
        <f t="shared" si="634"/>
        <v>0</v>
      </c>
      <c r="L2911" s="194">
        <v>0</v>
      </c>
      <c r="M2911" s="194">
        <v>0</v>
      </c>
      <c r="N2911" s="194">
        <v>0</v>
      </c>
      <c r="O2911" s="193">
        <f t="shared" si="635"/>
        <v>0</v>
      </c>
      <c r="P2911" s="194">
        <v>0</v>
      </c>
      <c r="Q2911" s="194">
        <v>0</v>
      </c>
      <c r="R2911" s="194">
        <v>0</v>
      </c>
      <c r="S2911" s="193">
        <f t="shared" si="636"/>
        <v>0</v>
      </c>
      <c r="T2911" s="193">
        <f t="shared" si="637"/>
        <v>0</v>
      </c>
      <c r="U2911" s="193">
        <f ca="1">OFFSET('Expenditure Study'!$B$7,'Operations Support'!$C2911,'Operations Support'!$B2911)*$G2911</f>
        <v>0</v>
      </c>
      <c r="V2911" s="199">
        <f ca="1">U2911*'Expenditure Study'!$B$31</f>
        <v>0</v>
      </c>
      <c r="W2911" s="199">
        <f ca="1">IF(A2911=10298,1.51,1)*IF($B2911&lt;3,$D2911*'Expenditure Study'!$B$32*OFFSET('Expenditure Study'!$B$7,'Operations Support'!$C2911,'Operations Support'!$B2911),0)</f>
        <v>0</v>
      </c>
      <c r="X2911" s="200">
        <f ca="1">W2911*'Expenditure Study'!$B$31</f>
        <v>0</v>
      </c>
      <c r="Y2911" s="199">
        <f ca="1">U2911*'Expenditure Study'!$B$31</f>
        <v>0</v>
      </c>
      <c r="Z2911" s="200">
        <f ca="1">W2911*'Expenditure Study'!$B$31</f>
        <v>0</v>
      </c>
      <c r="AA2911" s="195">
        <f t="shared" ca="1" si="638"/>
        <v>0</v>
      </c>
      <c r="AB2911" s="195">
        <f t="shared" ca="1" si="639"/>
        <v>0</v>
      </c>
      <c r="AD2911" s="196">
        <f>IFERROR($G2911/SUMIF($A:$A,$A2911,$G:$G)*SUMIF(Summary!$A$166:$A$242,$A2911,Summary!$P$166:$P$242),0)</f>
        <v>0</v>
      </c>
      <c r="AE2911" s="197">
        <f t="shared" ca="1" si="640"/>
        <v>0</v>
      </c>
      <c r="AF2911" s="196">
        <f>IFERROR(G2911/SUMIF(A:A,A2911,G:G)*SUMIF(Summary!$A$166:$A$242,'Operations Support'!A2911,Summary!$Q$166:$Q$242),0)</f>
        <v>0</v>
      </c>
      <c r="AG2911" s="196">
        <f t="shared" ca="1" si="641"/>
        <v>0</v>
      </c>
      <c r="AI2911" s="196">
        <f>IFERROR($G2911/SUMIF($A:$A,$A2911,$G:$G)*SUMIF(Summary!$A$247:$A$283,$A2911,Summary!$P$247:$P$283),0)</f>
        <v>0</v>
      </c>
      <c r="AJ2911" s="196">
        <f>IFERROR($G2911/SUMIF($A:$A,$A2911,$G:$G)*(SUMIF(Summary!$A$247:$A$283,$A2911,Summary!$L$247:$L$283)+SUMIF(Summary!$A$297:$A$333,$A2911,Summary!$L$297:$L$333))-AI2911,0)</f>
        <v>0</v>
      </c>
      <c r="AK2911" s="196">
        <f>IFERROR($G2911/SUMIF($A:$A,$A2911,$G:$G)*SUMIF(Summary!$A$247:$A$283,$A2911,Summary!$Q$247:$Q$283),0)</f>
        <v>0</v>
      </c>
      <c r="AL2911" s="196">
        <f>IFERROR($G2911/SUMIF($A:$A,$A2911,$G:$G)*(SUMIF(Summary!$A$247:$A$283,$A2911,Summary!$L$247:$L$283)+SUMIF(Summary!$A$297:$A$333,$A2911,Summary!$L$297:$L$333))-AK2911,0)</f>
        <v>0</v>
      </c>
      <c r="AM2911" s="198"/>
      <c r="AN2911" s="196">
        <f t="shared" ca="1" si="642"/>
        <v>0</v>
      </c>
      <c r="AO2911" s="196">
        <f t="shared" ca="1" si="643"/>
        <v>0</v>
      </c>
    </row>
    <row r="2912" spans="1:41" s="201" customFormat="1">
      <c r="A2912" s="189">
        <v>10298</v>
      </c>
      <c r="B2912" s="190">
        <v>4</v>
      </c>
      <c r="C2912" s="191" t="s">
        <v>229</v>
      </c>
      <c r="D2912" s="192">
        <f t="shared" si="630"/>
        <v>0</v>
      </c>
      <c r="E2912" s="192">
        <f t="shared" si="631"/>
        <v>0</v>
      </c>
      <c r="F2912" s="192">
        <f t="shared" si="632"/>
        <v>0</v>
      </c>
      <c r="G2912" s="193">
        <f t="shared" si="633"/>
        <v>0</v>
      </c>
      <c r="H2912" s="194">
        <v>0</v>
      </c>
      <c r="I2912" s="194">
        <v>0</v>
      </c>
      <c r="J2912" s="194">
        <v>0</v>
      </c>
      <c r="K2912" s="193">
        <f t="shared" si="634"/>
        <v>0</v>
      </c>
      <c r="L2912" s="194">
        <v>0</v>
      </c>
      <c r="M2912" s="194">
        <v>0</v>
      </c>
      <c r="N2912" s="194">
        <v>0</v>
      </c>
      <c r="O2912" s="193">
        <f t="shared" si="635"/>
        <v>0</v>
      </c>
      <c r="P2912" s="194">
        <v>0</v>
      </c>
      <c r="Q2912" s="194">
        <v>0</v>
      </c>
      <c r="R2912" s="194">
        <v>0</v>
      </c>
      <c r="S2912" s="193">
        <f t="shared" si="636"/>
        <v>0</v>
      </c>
      <c r="T2912" s="193">
        <f t="shared" si="637"/>
        <v>0</v>
      </c>
      <c r="U2912" s="193">
        <f ca="1">OFFSET('Expenditure Study'!$B$7,'Operations Support'!$C2912,'Operations Support'!$B2912)*$G2912</f>
        <v>0</v>
      </c>
      <c r="V2912" s="199">
        <f ca="1">U2912*'Expenditure Study'!$B$31</f>
        <v>0</v>
      </c>
      <c r="W2912" s="199">
        <f ca="1">IF(A2912=10298,1.51,1)*IF($B2912&lt;3,$D2912*'Expenditure Study'!$B$32*OFFSET('Expenditure Study'!$B$7,'Operations Support'!$C2912,'Operations Support'!$B2912),0)</f>
        <v>0</v>
      </c>
      <c r="X2912" s="200">
        <f ca="1">W2912*'Expenditure Study'!$B$31</f>
        <v>0</v>
      </c>
      <c r="Y2912" s="199">
        <f ca="1">U2912*'Expenditure Study'!$B$31</f>
        <v>0</v>
      </c>
      <c r="Z2912" s="200">
        <f ca="1">W2912*'Expenditure Study'!$B$31</f>
        <v>0</v>
      </c>
      <c r="AA2912" s="195">
        <f t="shared" ca="1" si="638"/>
        <v>0</v>
      </c>
      <c r="AB2912" s="195">
        <f t="shared" ca="1" si="639"/>
        <v>0</v>
      </c>
      <c r="AD2912" s="196">
        <f>IFERROR($G2912/SUMIF($A:$A,$A2912,$G:$G)*SUMIF(Summary!$A$166:$A$242,$A2912,Summary!$P$166:$P$242),0)</f>
        <v>0</v>
      </c>
      <c r="AE2912" s="197">
        <f t="shared" ca="1" si="640"/>
        <v>0</v>
      </c>
      <c r="AF2912" s="196">
        <f>IFERROR(G2912/SUMIF(A:A,A2912,G:G)*SUMIF(Summary!$A$166:$A$242,'Operations Support'!A2912,Summary!$Q$166:$Q$242),0)</f>
        <v>0</v>
      </c>
      <c r="AG2912" s="196">
        <f t="shared" ca="1" si="641"/>
        <v>0</v>
      </c>
      <c r="AH2912" s="180"/>
      <c r="AI2912" s="196">
        <f>IFERROR($G2912/SUMIF($A:$A,$A2912,$G:$G)*SUMIF(Summary!$A$247:$A$283,$A2912,Summary!$P$247:$P$283),0)</f>
        <v>0</v>
      </c>
      <c r="AJ2912" s="196">
        <f>IFERROR($G2912/SUMIF($A:$A,$A2912,$G:$G)*(SUMIF(Summary!$A$247:$A$283,$A2912,Summary!$L$247:$L$283)+SUMIF(Summary!$A$297:$A$333,$A2912,Summary!$L$297:$L$333))-AI2912,0)</f>
        <v>0</v>
      </c>
      <c r="AK2912" s="196">
        <f>IFERROR($G2912/SUMIF($A:$A,$A2912,$G:$G)*SUMIF(Summary!$A$247:$A$283,$A2912,Summary!$Q$247:$Q$283),0)</f>
        <v>0</v>
      </c>
      <c r="AL2912" s="196">
        <f>IFERROR($G2912/SUMIF($A:$A,$A2912,$G:$G)*(SUMIF(Summary!$A$247:$A$283,$A2912,Summary!$L$247:$L$283)+SUMIF(Summary!$A$297:$A$333,$A2912,Summary!$L$297:$L$333))-AK2912,0)</f>
        <v>0</v>
      </c>
      <c r="AM2912" s="198"/>
      <c r="AN2912" s="196">
        <f t="shared" ca="1" si="642"/>
        <v>0</v>
      </c>
      <c r="AO2912" s="196">
        <f t="shared" ca="1" si="643"/>
        <v>0</v>
      </c>
    </row>
    <row r="2913" spans="1:41">
      <c r="A2913" s="189">
        <v>10298</v>
      </c>
      <c r="B2913" s="190">
        <v>4</v>
      </c>
      <c r="C2913" s="191" t="s">
        <v>230</v>
      </c>
      <c r="D2913" s="192">
        <f t="shared" si="630"/>
        <v>0</v>
      </c>
      <c r="E2913" s="192">
        <f t="shared" si="631"/>
        <v>0</v>
      </c>
      <c r="F2913" s="192">
        <f t="shared" si="632"/>
        <v>0</v>
      </c>
      <c r="G2913" s="193">
        <f t="shared" si="633"/>
        <v>0</v>
      </c>
      <c r="H2913" s="194">
        <v>0</v>
      </c>
      <c r="I2913" s="194">
        <v>0</v>
      </c>
      <c r="J2913" s="194">
        <v>0</v>
      </c>
      <c r="K2913" s="193">
        <f t="shared" si="634"/>
        <v>0</v>
      </c>
      <c r="L2913" s="194">
        <v>0</v>
      </c>
      <c r="M2913" s="194">
        <v>0</v>
      </c>
      <c r="N2913" s="194">
        <v>0</v>
      </c>
      <c r="O2913" s="193">
        <f t="shared" si="635"/>
        <v>0</v>
      </c>
      <c r="P2913" s="194">
        <v>0</v>
      </c>
      <c r="Q2913" s="194">
        <v>0</v>
      </c>
      <c r="R2913" s="194">
        <v>0</v>
      </c>
      <c r="S2913" s="193">
        <f t="shared" si="636"/>
        <v>0</v>
      </c>
      <c r="T2913" s="193">
        <f t="shared" si="637"/>
        <v>0</v>
      </c>
      <c r="U2913" s="193">
        <f ca="1">OFFSET('Expenditure Study'!$B$7,'Operations Support'!$C2913,'Operations Support'!$B2913)*$G2913</f>
        <v>0</v>
      </c>
      <c r="V2913" s="199">
        <f ca="1">U2913*'Expenditure Study'!$B$31</f>
        <v>0</v>
      </c>
      <c r="W2913" s="199">
        <f ca="1">IF(A2913=10298,1.51,1)*IF($B2913&lt;3,$D2913*'Expenditure Study'!$B$32*OFFSET('Expenditure Study'!$B$7,'Operations Support'!$C2913,'Operations Support'!$B2913),0)</f>
        <v>0</v>
      </c>
      <c r="X2913" s="200">
        <f ca="1">W2913*'Expenditure Study'!$B$31</f>
        <v>0</v>
      </c>
      <c r="Y2913" s="199">
        <f ca="1">U2913*'Expenditure Study'!$B$31</f>
        <v>0</v>
      </c>
      <c r="Z2913" s="200">
        <f ca="1">W2913*'Expenditure Study'!$B$31</f>
        <v>0</v>
      </c>
      <c r="AA2913" s="195">
        <f t="shared" ca="1" si="638"/>
        <v>0</v>
      </c>
      <c r="AB2913" s="195">
        <f t="shared" ca="1" si="639"/>
        <v>0</v>
      </c>
      <c r="AD2913" s="196">
        <f>IFERROR($G2913/SUMIF($A:$A,$A2913,$G:$G)*SUMIF(Summary!$A$166:$A$242,$A2913,Summary!$P$166:$P$242),0)</f>
        <v>0</v>
      </c>
      <c r="AE2913" s="197">
        <f t="shared" ca="1" si="640"/>
        <v>0</v>
      </c>
      <c r="AF2913" s="196">
        <f>IFERROR(G2913/SUMIF(A:A,A2913,G:G)*SUMIF(Summary!$A$166:$A$242,'Operations Support'!A2913,Summary!$Q$166:$Q$242),0)</f>
        <v>0</v>
      </c>
      <c r="AG2913" s="196">
        <f t="shared" ca="1" si="641"/>
        <v>0</v>
      </c>
      <c r="AI2913" s="196">
        <f>IFERROR($G2913/SUMIF($A:$A,$A2913,$G:$G)*SUMIF(Summary!$A$247:$A$283,$A2913,Summary!$P$247:$P$283),0)</f>
        <v>0</v>
      </c>
      <c r="AJ2913" s="196">
        <f>IFERROR($G2913/SUMIF($A:$A,$A2913,$G:$G)*(SUMIF(Summary!$A$247:$A$283,$A2913,Summary!$L$247:$L$283)+SUMIF(Summary!$A$297:$A$333,$A2913,Summary!$L$297:$L$333))-AI2913,0)</f>
        <v>0</v>
      </c>
      <c r="AK2913" s="196">
        <f>IFERROR($G2913/SUMIF($A:$A,$A2913,$G:$G)*SUMIF(Summary!$A$247:$A$283,$A2913,Summary!$Q$247:$Q$283),0)</f>
        <v>0</v>
      </c>
      <c r="AL2913" s="196">
        <f>IFERROR($G2913/SUMIF($A:$A,$A2913,$G:$G)*(SUMIF(Summary!$A$247:$A$283,$A2913,Summary!$L$247:$L$283)+SUMIF(Summary!$A$297:$A$333,$A2913,Summary!$L$297:$L$333))-AK2913,0)</f>
        <v>0</v>
      </c>
      <c r="AM2913" s="198"/>
      <c r="AN2913" s="196">
        <f t="shared" ca="1" si="642"/>
        <v>0</v>
      </c>
      <c r="AO2913" s="196">
        <f t="shared" ca="1" si="643"/>
        <v>0</v>
      </c>
    </row>
    <row r="2914" spans="1:41">
      <c r="A2914" s="189">
        <v>10298</v>
      </c>
      <c r="B2914" s="190">
        <v>4</v>
      </c>
      <c r="C2914" s="191" t="s">
        <v>231</v>
      </c>
      <c r="D2914" s="192">
        <f t="shared" si="630"/>
        <v>0</v>
      </c>
      <c r="E2914" s="192">
        <f t="shared" si="631"/>
        <v>0</v>
      </c>
      <c r="F2914" s="192">
        <f t="shared" si="632"/>
        <v>0</v>
      </c>
      <c r="G2914" s="193">
        <f t="shared" si="633"/>
        <v>0</v>
      </c>
      <c r="H2914" s="194">
        <v>0</v>
      </c>
      <c r="I2914" s="194">
        <v>0</v>
      </c>
      <c r="J2914" s="194">
        <v>0</v>
      </c>
      <c r="K2914" s="193">
        <f t="shared" si="634"/>
        <v>0</v>
      </c>
      <c r="L2914" s="194">
        <v>0</v>
      </c>
      <c r="M2914" s="194">
        <v>0</v>
      </c>
      <c r="N2914" s="194">
        <v>0</v>
      </c>
      <c r="O2914" s="193">
        <f t="shared" si="635"/>
        <v>0</v>
      </c>
      <c r="P2914" s="194">
        <v>0</v>
      </c>
      <c r="Q2914" s="194">
        <v>0</v>
      </c>
      <c r="R2914" s="194">
        <v>0</v>
      </c>
      <c r="S2914" s="193">
        <f t="shared" si="636"/>
        <v>0</v>
      </c>
      <c r="T2914" s="193">
        <f t="shared" si="637"/>
        <v>0</v>
      </c>
      <c r="U2914" s="193">
        <f ca="1">OFFSET('Expenditure Study'!$B$7,'Operations Support'!$C2914,'Operations Support'!$B2914)*$G2914</f>
        <v>0</v>
      </c>
      <c r="V2914" s="199">
        <f ca="1">U2914*'Expenditure Study'!$B$31</f>
        <v>0</v>
      </c>
      <c r="W2914" s="199">
        <f ca="1">IF(A2914=10298,1.51,1)*IF($B2914&lt;3,$D2914*'Expenditure Study'!$B$32*OFFSET('Expenditure Study'!$B$7,'Operations Support'!$C2914,'Operations Support'!$B2914),0)</f>
        <v>0</v>
      </c>
      <c r="X2914" s="200">
        <f ca="1">W2914*'Expenditure Study'!$B$31</f>
        <v>0</v>
      </c>
      <c r="Y2914" s="199">
        <f ca="1">U2914*'Expenditure Study'!$B$31</f>
        <v>0</v>
      </c>
      <c r="Z2914" s="200">
        <f ca="1">W2914*'Expenditure Study'!$B$31</f>
        <v>0</v>
      </c>
      <c r="AA2914" s="195">
        <f t="shared" ca="1" si="638"/>
        <v>0</v>
      </c>
      <c r="AB2914" s="195">
        <f t="shared" ca="1" si="639"/>
        <v>0</v>
      </c>
      <c r="AD2914" s="196">
        <f>IFERROR($G2914/SUMIF($A:$A,$A2914,$G:$G)*SUMIF(Summary!$A$166:$A$242,$A2914,Summary!$P$166:$P$242),0)</f>
        <v>0</v>
      </c>
      <c r="AE2914" s="197">
        <f t="shared" ca="1" si="640"/>
        <v>0</v>
      </c>
      <c r="AF2914" s="196">
        <f>IFERROR(G2914/SUMIF(A:A,A2914,G:G)*SUMIF(Summary!$A$166:$A$242,'Operations Support'!A2914,Summary!$Q$166:$Q$242),0)</f>
        <v>0</v>
      </c>
      <c r="AG2914" s="196">
        <f t="shared" ca="1" si="641"/>
        <v>0</v>
      </c>
      <c r="AI2914" s="196">
        <f>IFERROR($G2914/SUMIF($A:$A,$A2914,$G:$G)*SUMIF(Summary!$A$247:$A$283,$A2914,Summary!$P$247:$P$283),0)</f>
        <v>0</v>
      </c>
      <c r="AJ2914" s="196">
        <f>IFERROR($G2914/SUMIF($A:$A,$A2914,$G:$G)*(SUMIF(Summary!$A$247:$A$283,$A2914,Summary!$L$247:$L$283)+SUMIF(Summary!$A$297:$A$333,$A2914,Summary!$L$297:$L$333))-AI2914,0)</f>
        <v>0</v>
      </c>
      <c r="AK2914" s="196">
        <f>IFERROR($G2914/SUMIF($A:$A,$A2914,$G:$G)*SUMIF(Summary!$A$247:$A$283,$A2914,Summary!$Q$247:$Q$283),0)</f>
        <v>0</v>
      </c>
      <c r="AL2914" s="196">
        <f>IFERROR($G2914/SUMIF($A:$A,$A2914,$G:$G)*(SUMIF(Summary!$A$247:$A$283,$A2914,Summary!$L$247:$L$283)+SUMIF(Summary!$A$297:$A$333,$A2914,Summary!$L$297:$L$333))-AK2914,0)</f>
        <v>0</v>
      </c>
      <c r="AM2914" s="198"/>
      <c r="AN2914" s="196">
        <f t="shared" ca="1" si="642"/>
        <v>0</v>
      </c>
      <c r="AO2914" s="196">
        <f t="shared" ca="1" si="643"/>
        <v>0</v>
      </c>
    </row>
    <row r="2915" spans="1:41">
      <c r="A2915" s="189">
        <v>10298</v>
      </c>
      <c r="B2915" s="190">
        <v>4</v>
      </c>
      <c r="C2915" s="191" t="s">
        <v>232</v>
      </c>
      <c r="D2915" s="192">
        <f t="shared" si="630"/>
        <v>0</v>
      </c>
      <c r="E2915" s="192">
        <f t="shared" si="631"/>
        <v>0</v>
      </c>
      <c r="F2915" s="192">
        <f t="shared" si="632"/>
        <v>0</v>
      </c>
      <c r="G2915" s="193">
        <f t="shared" si="633"/>
        <v>0</v>
      </c>
      <c r="H2915" s="194">
        <v>0</v>
      </c>
      <c r="I2915" s="194">
        <v>0</v>
      </c>
      <c r="J2915" s="194">
        <v>0</v>
      </c>
      <c r="K2915" s="193">
        <f t="shared" si="634"/>
        <v>0</v>
      </c>
      <c r="L2915" s="194">
        <v>0</v>
      </c>
      <c r="M2915" s="194">
        <v>0</v>
      </c>
      <c r="N2915" s="194">
        <v>0</v>
      </c>
      <c r="O2915" s="193">
        <f t="shared" si="635"/>
        <v>0</v>
      </c>
      <c r="P2915" s="194">
        <v>0</v>
      </c>
      <c r="Q2915" s="194">
        <v>0</v>
      </c>
      <c r="R2915" s="194">
        <v>0</v>
      </c>
      <c r="S2915" s="193">
        <f t="shared" si="636"/>
        <v>0</v>
      </c>
      <c r="T2915" s="193">
        <f t="shared" si="637"/>
        <v>0</v>
      </c>
      <c r="U2915" s="193">
        <f ca="1">OFFSET('Expenditure Study'!$B$7,'Operations Support'!$C2915,'Operations Support'!$B2915)*$G2915</f>
        <v>0</v>
      </c>
      <c r="V2915" s="199">
        <f ca="1">U2915*'Expenditure Study'!$B$31</f>
        <v>0</v>
      </c>
      <c r="W2915" s="199">
        <f ca="1">IF(A2915=10298,1.51,1)*IF($B2915&lt;3,$D2915*'Expenditure Study'!$B$32*OFFSET('Expenditure Study'!$B$7,'Operations Support'!$C2915,'Operations Support'!$B2915),0)</f>
        <v>0</v>
      </c>
      <c r="X2915" s="200">
        <f ca="1">W2915*'Expenditure Study'!$B$31</f>
        <v>0</v>
      </c>
      <c r="Y2915" s="199">
        <f ca="1">U2915*'Expenditure Study'!$B$31</f>
        <v>0</v>
      </c>
      <c r="Z2915" s="200">
        <f ca="1">W2915*'Expenditure Study'!$B$31</f>
        <v>0</v>
      </c>
      <c r="AA2915" s="195">
        <f t="shared" ca="1" si="638"/>
        <v>0</v>
      </c>
      <c r="AB2915" s="195">
        <f t="shared" ca="1" si="639"/>
        <v>0</v>
      </c>
      <c r="AD2915" s="196">
        <f>IFERROR($G2915/SUMIF($A:$A,$A2915,$G:$G)*SUMIF(Summary!$A$166:$A$242,$A2915,Summary!$P$166:$P$242),0)</f>
        <v>0</v>
      </c>
      <c r="AE2915" s="197">
        <f t="shared" ca="1" si="640"/>
        <v>0</v>
      </c>
      <c r="AF2915" s="196">
        <f>IFERROR(G2915/SUMIF(A:A,A2915,G:G)*SUMIF(Summary!$A$166:$A$242,'Operations Support'!A2915,Summary!$Q$166:$Q$242),0)</f>
        <v>0</v>
      </c>
      <c r="AG2915" s="196">
        <f t="shared" ca="1" si="641"/>
        <v>0</v>
      </c>
      <c r="AI2915" s="196">
        <f>IFERROR($G2915/SUMIF($A:$A,$A2915,$G:$G)*SUMIF(Summary!$A$247:$A$283,$A2915,Summary!$P$247:$P$283),0)</f>
        <v>0</v>
      </c>
      <c r="AJ2915" s="196">
        <f>IFERROR($G2915/SUMIF($A:$A,$A2915,$G:$G)*(SUMIF(Summary!$A$247:$A$283,$A2915,Summary!$L$247:$L$283)+SUMIF(Summary!$A$297:$A$333,$A2915,Summary!$L$297:$L$333))-AI2915,0)</f>
        <v>0</v>
      </c>
      <c r="AK2915" s="196">
        <f>IFERROR($G2915/SUMIF($A:$A,$A2915,$G:$G)*SUMIF(Summary!$A$247:$A$283,$A2915,Summary!$Q$247:$Q$283),0)</f>
        <v>0</v>
      </c>
      <c r="AL2915" s="196">
        <f>IFERROR($G2915/SUMIF($A:$A,$A2915,$G:$G)*(SUMIF(Summary!$A$247:$A$283,$A2915,Summary!$L$247:$L$283)+SUMIF(Summary!$A$297:$A$333,$A2915,Summary!$L$297:$L$333))-AK2915,0)</f>
        <v>0</v>
      </c>
      <c r="AM2915" s="198"/>
      <c r="AN2915" s="196">
        <f t="shared" ca="1" si="642"/>
        <v>0</v>
      </c>
      <c r="AO2915" s="196">
        <f t="shared" ca="1" si="643"/>
        <v>0</v>
      </c>
    </row>
    <row r="2916" spans="1:41">
      <c r="A2916" s="189">
        <v>10298</v>
      </c>
      <c r="B2916" s="190">
        <v>4</v>
      </c>
      <c r="C2916" s="191" t="s">
        <v>233</v>
      </c>
      <c r="D2916" s="192">
        <f t="shared" si="630"/>
        <v>0</v>
      </c>
      <c r="E2916" s="192">
        <f t="shared" si="631"/>
        <v>0</v>
      </c>
      <c r="F2916" s="192">
        <f t="shared" si="632"/>
        <v>0</v>
      </c>
      <c r="G2916" s="193">
        <f t="shared" si="633"/>
        <v>0</v>
      </c>
      <c r="H2916" s="194">
        <v>0</v>
      </c>
      <c r="I2916" s="194">
        <v>0</v>
      </c>
      <c r="J2916" s="194">
        <v>0</v>
      </c>
      <c r="K2916" s="193">
        <f t="shared" si="634"/>
        <v>0</v>
      </c>
      <c r="L2916" s="194">
        <v>0</v>
      </c>
      <c r="M2916" s="194">
        <v>0</v>
      </c>
      <c r="N2916" s="194">
        <v>0</v>
      </c>
      <c r="O2916" s="193">
        <f t="shared" si="635"/>
        <v>0</v>
      </c>
      <c r="P2916" s="194">
        <v>0</v>
      </c>
      <c r="Q2916" s="194">
        <v>0</v>
      </c>
      <c r="R2916" s="194">
        <v>0</v>
      </c>
      <c r="S2916" s="193">
        <f t="shared" si="636"/>
        <v>0</v>
      </c>
      <c r="T2916" s="193">
        <f t="shared" si="637"/>
        <v>0</v>
      </c>
      <c r="U2916" s="193">
        <f ca="1">OFFSET('Expenditure Study'!$B$7,'Operations Support'!$C2916,'Operations Support'!$B2916)*$G2916</f>
        <v>0</v>
      </c>
      <c r="V2916" s="199">
        <f ca="1">U2916*'Expenditure Study'!$B$31</f>
        <v>0</v>
      </c>
      <c r="W2916" s="199">
        <f ca="1">IF(A2916=10298,1.51,1)*IF($B2916&lt;3,$D2916*'Expenditure Study'!$B$32*OFFSET('Expenditure Study'!$B$7,'Operations Support'!$C2916,'Operations Support'!$B2916),0)</f>
        <v>0</v>
      </c>
      <c r="X2916" s="200">
        <f ca="1">W2916*'Expenditure Study'!$B$31</f>
        <v>0</v>
      </c>
      <c r="Y2916" s="199">
        <f ca="1">U2916*'Expenditure Study'!$B$31</f>
        <v>0</v>
      </c>
      <c r="Z2916" s="200">
        <f ca="1">W2916*'Expenditure Study'!$B$31</f>
        <v>0</v>
      </c>
      <c r="AA2916" s="195">
        <f t="shared" ca="1" si="638"/>
        <v>0</v>
      </c>
      <c r="AB2916" s="195">
        <f t="shared" ca="1" si="639"/>
        <v>0</v>
      </c>
      <c r="AD2916" s="196">
        <f>IFERROR($G2916/SUMIF($A:$A,$A2916,$G:$G)*SUMIF(Summary!$A$166:$A$242,$A2916,Summary!$P$166:$P$242),0)</f>
        <v>0</v>
      </c>
      <c r="AE2916" s="197">
        <f t="shared" ca="1" si="640"/>
        <v>0</v>
      </c>
      <c r="AF2916" s="196">
        <f>IFERROR(G2916/SUMIF(A:A,A2916,G:G)*SUMIF(Summary!$A$166:$A$242,'Operations Support'!A2916,Summary!$Q$166:$Q$242),0)</f>
        <v>0</v>
      </c>
      <c r="AG2916" s="196">
        <f t="shared" ca="1" si="641"/>
        <v>0</v>
      </c>
      <c r="AI2916" s="196">
        <f>IFERROR($G2916/SUMIF($A:$A,$A2916,$G:$G)*SUMIF(Summary!$A$247:$A$283,$A2916,Summary!$P$247:$P$283),0)</f>
        <v>0</v>
      </c>
      <c r="AJ2916" s="196">
        <f>IFERROR($G2916/SUMIF($A:$A,$A2916,$G:$G)*(SUMIF(Summary!$A$247:$A$283,$A2916,Summary!$L$247:$L$283)+SUMIF(Summary!$A$297:$A$333,$A2916,Summary!$L$297:$L$333))-AI2916,0)</f>
        <v>0</v>
      </c>
      <c r="AK2916" s="196">
        <f>IFERROR($G2916/SUMIF($A:$A,$A2916,$G:$G)*SUMIF(Summary!$A$247:$A$283,$A2916,Summary!$Q$247:$Q$283),0)</f>
        <v>0</v>
      </c>
      <c r="AL2916" s="196">
        <f>IFERROR($G2916/SUMIF($A:$A,$A2916,$G:$G)*(SUMIF(Summary!$A$247:$A$283,$A2916,Summary!$L$247:$L$283)+SUMIF(Summary!$A$297:$A$333,$A2916,Summary!$L$297:$L$333))-AK2916,0)</f>
        <v>0</v>
      </c>
      <c r="AM2916" s="198"/>
      <c r="AN2916" s="196">
        <f t="shared" ca="1" si="642"/>
        <v>0</v>
      </c>
      <c r="AO2916" s="196">
        <f t="shared" ca="1" si="643"/>
        <v>0</v>
      </c>
    </row>
    <row r="2917" spans="1:41">
      <c r="A2917" s="189">
        <v>10298</v>
      </c>
      <c r="B2917" s="190">
        <v>4</v>
      </c>
      <c r="C2917" s="191" t="s">
        <v>234</v>
      </c>
      <c r="D2917" s="192">
        <f t="shared" si="630"/>
        <v>0</v>
      </c>
      <c r="E2917" s="192">
        <f t="shared" si="631"/>
        <v>0</v>
      </c>
      <c r="F2917" s="192">
        <f t="shared" si="632"/>
        <v>0</v>
      </c>
      <c r="G2917" s="193">
        <f t="shared" si="633"/>
        <v>0</v>
      </c>
      <c r="H2917" s="194">
        <v>0</v>
      </c>
      <c r="I2917" s="194">
        <v>0</v>
      </c>
      <c r="J2917" s="194">
        <v>0</v>
      </c>
      <c r="K2917" s="193">
        <f t="shared" si="634"/>
        <v>0</v>
      </c>
      <c r="L2917" s="194">
        <v>0</v>
      </c>
      <c r="M2917" s="194">
        <v>0</v>
      </c>
      <c r="N2917" s="194">
        <v>0</v>
      </c>
      <c r="O2917" s="193">
        <f t="shared" si="635"/>
        <v>0</v>
      </c>
      <c r="P2917" s="194">
        <v>0</v>
      </c>
      <c r="Q2917" s="194">
        <v>0</v>
      </c>
      <c r="R2917" s="194">
        <v>0</v>
      </c>
      <c r="S2917" s="193">
        <f t="shared" si="636"/>
        <v>0</v>
      </c>
      <c r="T2917" s="193">
        <f t="shared" si="637"/>
        <v>0</v>
      </c>
      <c r="U2917" s="193">
        <f ca="1">OFFSET('Expenditure Study'!$B$7,'Operations Support'!$C2917,'Operations Support'!$B2917)*$G2917</f>
        <v>0</v>
      </c>
      <c r="V2917" s="199">
        <f ca="1">U2917*'Expenditure Study'!$B$31</f>
        <v>0</v>
      </c>
      <c r="W2917" s="199">
        <f ca="1">IF(A2917=10298,1.51,1)*IF($B2917&lt;3,$D2917*'Expenditure Study'!$B$32*OFFSET('Expenditure Study'!$B$7,'Operations Support'!$C2917,'Operations Support'!$B2917),0)</f>
        <v>0</v>
      </c>
      <c r="X2917" s="200">
        <f ca="1">W2917*'Expenditure Study'!$B$31</f>
        <v>0</v>
      </c>
      <c r="Y2917" s="199">
        <f ca="1">U2917*'Expenditure Study'!$B$31</f>
        <v>0</v>
      </c>
      <c r="Z2917" s="200">
        <f ca="1">W2917*'Expenditure Study'!$B$31</f>
        <v>0</v>
      </c>
      <c r="AA2917" s="195">
        <f t="shared" ca="1" si="638"/>
        <v>0</v>
      </c>
      <c r="AB2917" s="195">
        <f t="shared" ca="1" si="639"/>
        <v>0</v>
      </c>
      <c r="AD2917" s="196">
        <f>IFERROR($G2917/SUMIF($A:$A,$A2917,$G:$G)*SUMIF(Summary!$A$166:$A$242,$A2917,Summary!$P$166:$P$242),0)</f>
        <v>0</v>
      </c>
      <c r="AE2917" s="197">
        <f t="shared" ca="1" si="640"/>
        <v>0</v>
      </c>
      <c r="AF2917" s="196">
        <f>IFERROR(G2917/SUMIF(A:A,A2917,G:G)*SUMIF(Summary!$A$166:$A$242,'Operations Support'!A2917,Summary!$Q$166:$Q$242),0)</f>
        <v>0</v>
      </c>
      <c r="AG2917" s="196">
        <f t="shared" ca="1" si="641"/>
        <v>0</v>
      </c>
      <c r="AI2917" s="196">
        <f>IFERROR($G2917/SUMIF($A:$A,$A2917,$G:$G)*SUMIF(Summary!$A$247:$A$283,$A2917,Summary!$P$247:$P$283),0)</f>
        <v>0</v>
      </c>
      <c r="AJ2917" s="196">
        <f>IFERROR($G2917/SUMIF($A:$A,$A2917,$G:$G)*(SUMIF(Summary!$A$247:$A$283,$A2917,Summary!$L$247:$L$283)+SUMIF(Summary!$A$297:$A$333,$A2917,Summary!$L$297:$L$333))-AI2917,0)</f>
        <v>0</v>
      </c>
      <c r="AK2917" s="196">
        <f>IFERROR($G2917/SUMIF($A:$A,$A2917,$G:$G)*SUMIF(Summary!$A$247:$A$283,$A2917,Summary!$Q$247:$Q$283),0)</f>
        <v>0</v>
      </c>
      <c r="AL2917" s="196">
        <f>IFERROR($G2917/SUMIF($A:$A,$A2917,$G:$G)*(SUMIF(Summary!$A$247:$A$283,$A2917,Summary!$L$247:$L$283)+SUMIF(Summary!$A$297:$A$333,$A2917,Summary!$L$297:$L$333))-AK2917,0)</f>
        <v>0</v>
      </c>
      <c r="AM2917" s="198"/>
      <c r="AN2917" s="196">
        <f t="shared" ca="1" si="642"/>
        <v>0</v>
      </c>
      <c r="AO2917" s="196">
        <f t="shared" ca="1" si="643"/>
        <v>0</v>
      </c>
    </row>
    <row r="2918" spans="1:41">
      <c r="A2918" s="189">
        <v>10298</v>
      </c>
      <c r="B2918" s="190">
        <v>4</v>
      </c>
      <c r="C2918" s="191" t="s">
        <v>235</v>
      </c>
      <c r="D2918" s="192">
        <f t="shared" si="630"/>
        <v>0</v>
      </c>
      <c r="E2918" s="192">
        <f t="shared" si="631"/>
        <v>0</v>
      </c>
      <c r="F2918" s="192">
        <f t="shared" si="632"/>
        <v>0</v>
      </c>
      <c r="G2918" s="193">
        <f t="shared" si="633"/>
        <v>0</v>
      </c>
      <c r="H2918" s="194">
        <v>0</v>
      </c>
      <c r="I2918" s="194">
        <v>0</v>
      </c>
      <c r="J2918" s="194">
        <v>0</v>
      </c>
      <c r="K2918" s="193">
        <f t="shared" si="634"/>
        <v>0</v>
      </c>
      <c r="L2918" s="194">
        <v>0</v>
      </c>
      <c r="M2918" s="194">
        <v>0</v>
      </c>
      <c r="N2918" s="194">
        <v>0</v>
      </c>
      <c r="O2918" s="193">
        <f t="shared" si="635"/>
        <v>0</v>
      </c>
      <c r="P2918" s="194">
        <v>0</v>
      </c>
      <c r="Q2918" s="194">
        <v>0</v>
      </c>
      <c r="R2918" s="194">
        <v>0</v>
      </c>
      <c r="S2918" s="193">
        <f t="shared" si="636"/>
        <v>0</v>
      </c>
      <c r="T2918" s="193">
        <f t="shared" si="637"/>
        <v>0</v>
      </c>
      <c r="U2918" s="193">
        <f ca="1">OFFSET('Expenditure Study'!$B$7,'Operations Support'!$C2918,'Operations Support'!$B2918)*$G2918</f>
        <v>0</v>
      </c>
      <c r="V2918" s="199">
        <f ca="1">U2918*'Expenditure Study'!$B$31</f>
        <v>0</v>
      </c>
      <c r="W2918" s="199">
        <f ca="1">IF(A2918=10298,1.51,1)*IF($B2918&lt;3,$D2918*'Expenditure Study'!$B$32*OFFSET('Expenditure Study'!$B$7,'Operations Support'!$C2918,'Operations Support'!$B2918),0)</f>
        <v>0</v>
      </c>
      <c r="X2918" s="200">
        <f ca="1">W2918*'Expenditure Study'!$B$31</f>
        <v>0</v>
      </c>
      <c r="Y2918" s="199">
        <f ca="1">U2918*'Expenditure Study'!$B$31</f>
        <v>0</v>
      </c>
      <c r="Z2918" s="200">
        <f ca="1">W2918*'Expenditure Study'!$B$31</f>
        <v>0</v>
      </c>
      <c r="AA2918" s="195">
        <f t="shared" ca="1" si="638"/>
        <v>0</v>
      </c>
      <c r="AB2918" s="195">
        <f t="shared" ca="1" si="639"/>
        <v>0</v>
      </c>
      <c r="AD2918" s="196">
        <f>IFERROR($G2918/SUMIF($A:$A,$A2918,$G:$G)*SUMIF(Summary!$A$166:$A$242,$A2918,Summary!$P$166:$P$242),0)</f>
        <v>0</v>
      </c>
      <c r="AE2918" s="197">
        <f t="shared" ca="1" si="640"/>
        <v>0</v>
      </c>
      <c r="AF2918" s="196">
        <f>IFERROR(G2918/SUMIF(A:A,A2918,G:G)*SUMIF(Summary!$A$166:$A$242,'Operations Support'!A2918,Summary!$Q$166:$Q$242),0)</f>
        <v>0</v>
      </c>
      <c r="AG2918" s="196">
        <f t="shared" ca="1" si="641"/>
        <v>0</v>
      </c>
      <c r="AI2918" s="196">
        <f>IFERROR($G2918/SUMIF($A:$A,$A2918,$G:$G)*SUMIF(Summary!$A$247:$A$283,$A2918,Summary!$P$247:$P$283),0)</f>
        <v>0</v>
      </c>
      <c r="AJ2918" s="196">
        <f>IFERROR($G2918/SUMIF($A:$A,$A2918,$G:$G)*(SUMIF(Summary!$A$247:$A$283,$A2918,Summary!$L$247:$L$283)+SUMIF(Summary!$A$297:$A$333,$A2918,Summary!$L$297:$L$333))-AI2918,0)</f>
        <v>0</v>
      </c>
      <c r="AK2918" s="196">
        <f>IFERROR($G2918/SUMIF($A:$A,$A2918,$G:$G)*SUMIF(Summary!$A$247:$A$283,$A2918,Summary!$Q$247:$Q$283),0)</f>
        <v>0</v>
      </c>
      <c r="AL2918" s="196">
        <f>IFERROR($G2918/SUMIF($A:$A,$A2918,$G:$G)*(SUMIF(Summary!$A$247:$A$283,$A2918,Summary!$L$247:$L$283)+SUMIF(Summary!$A$297:$A$333,$A2918,Summary!$L$297:$L$333))-AK2918,0)</f>
        <v>0</v>
      </c>
      <c r="AM2918" s="198"/>
      <c r="AN2918" s="196">
        <f t="shared" ca="1" si="642"/>
        <v>0</v>
      </c>
      <c r="AO2918" s="196">
        <f t="shared" ca="1" si="643"/>
        <v>0</v>
      </c>
    </row>
    <row r="2919" spans="1:41">
      <c r="A2919" s="189">
        <v>10298</v>
      </c>
      <c r="B2919" s="190">
        <v>4</v>
      </c>
      <c r="C2919" s="191" t="s">
        <v>236</v>
      </c>
      <c r="D2919" s="192">
        <f t="shared" si="630"/>
        <v>0</v>
      </c>
      <c r="E2919" s="192">
        <f t="shared" si="631"/>
        <v>0</v>
      </c>
      <c r="F2919" s="192">
        <f t="shared" si="632"/>
        <v>0</v>
      </c>
      <c r="G2919" s="193">
        <f t="shared" si="633"/>
        <v>0</v>
      </c>
      <c r="H2919" s="194">
        <v>0</v>
      </c>
      <c r="I2919" s="194">
        <v>0</v>
      </c>
      <c r="J2919" s="194">
        <v>0</v>
      </c>
      <c r="K2919" s="193">
        <f t="shared" si="634"/>
        <v>0</v>
      </c>
      <c r="L2919" s="194">
        <v>0</v>
      </c>
      <c r="M2919" s="194">
        <v>0</v>
      </c>
      <c r="N2919" s="194">
        <v>0</v>
      </c>
      <c r="O2919" s="193">
        <f t="shared" si="635"/>
        <v>0</v>
      </c>
      <c r="P2919" s="194">
        <v>0</v>
      </c>
      <c r="Q2919" s="194">
        <v>0</v>
      </c>
      <c r="R2919" s="194">
        <v>0</v>
      </c>
      <c r="S2919" s="193">
        <f t="shared" si="636"/>
        <v>0</v>
      </c>
      <c r="T2919" s="193">
        <f t="shared" si="637"/>
        <v>0</v>
      </c>
      <c r="U2919" s="193">
        <f ca="1">OFFSET('Expenditure Study'!$B$7,'Operations Support'!$C2919,'Operations Support'!$B2919)*$G2919</f>
        <v>0</v>
      </c>
      <c r="V2919" s="199">
        <f ca="1">U2919*'Expenditure Study'!$B$31</f>
        <v>0</v>
      </c>
      <c r="W2919" s="199">
        <f ca="1">IF(A2919=10298,1.51,1)*IF($B2919&lt;3,$D2919*'Expenditure Study'!$B$32*OFFSET('Expenditure Study'!$B$7,'Operations Support'!$C2919,'Operations Support'!$B2919),0)</f>
        <v>0</v>
      </c>
      <c r="X2919" s="200">
        <f ca="1">W2919*'Expenditure Study'!$B$31</f>
        <v>0</v>
      </c>
      <c r="Y2919" s="199">
        <f ca="1">U2919*'Expenditure Study'!$B$31</f>
        <v>0</v>
      </c>
      <c r="Z2919" s="200">
        <f ca="1">W2919*'Expenditure Study'!$B$31</f>
        <v>0</v>
      </c>
      <c r="AA2919" s="195">
        <f t="shared" ca="1" si="638"/>
        <v>0</v>
      </c>
      <c r="AB2919" s="195">
        <f t="shared" ca="1" si="639"/>
        <v>0</v>
      </c>
      <c r="AD2919" s="196">
        <f>IFERROR($G2919/SUMIF($A:$A,$A2919,$G:$G)*SUMIF(Summary!$A$166:$A$242,$A2919,Summary!$P$166:$P$242),0)</f>
        <v>0</v>
      </c>
      <c r="AE2919" s="197">
        <f t="shared" ca="1" si="640"/>
        <v>0</v>
      </c>
      <c r="AF2919" s="196">
        <f>IFERROR(G2919/SUMIF(A:A,A2919,G:G)*SUMIF(Summary!$A$166:$A$242,'Operations Support'!A2919,Summary!$Q$166:$Q$242),0)</f>
        <v>0</v>
      </c>
      <c r="AG2919" s="196">
        <f t="shared" ca="1" si="641"/>
        <v>0</v>
      </c>
      <c r="AI2919" s="196">
        <f>IFERROR($G2919/SUMIF($A:$A,$A2919,$G:$G)*SUMIF(Summary!$A$247:$A$283,$A2919,Summary!$P$247:$P$283),0)</f>
        <v>0</v>
      </c>
      <c r="AJ2919" s="196">
        <f>IFERROR($G2919/SUMIF($A:$A,$A2919,$G:$G)*(SUMIF(Summary!$A$247:$A$283,$A2919,Summary!$L$247:$L$283)+SUMIF(Summary!$A$297:$A$333,$A2919,Summary!$L$297:$L$333))-AI2919,0)</f>
        <v>0</v>
      </c>
      <c r="AK2919" s="196">
        <f>IFERROR($G2919/SUMIF($A:$A,$A2919,$G:$G)*SUMIF(Summary!$A$247:$A$283,$A2919,Summary!$Q$247:$Q$283),0)</f>
        <v>0</v>
      </c>
      <c r="AL2919" s="196">
        <f>IFERROR($G2919/SUMIF($A:$A,$A2919,$G:$G)*(SUMIF(Summary!$A$247:$A$283,$A2919,Summary!$L$247:$L$283)+SUMIF(Summary!$A$297:$A$333,$A2919,Summary!$L$297:$L$333))-AK2919,0)</f>
        <v>0</v>
      </c>
      <c r="AM2919" s="198"/>
      <c r="AN2919" s="196">
        <f t="shared" ca="1" si="642"/>
        <v>0</v>
      </c>
      <c r="AO2919" s="196">
        <f t="shared" ca="1" si="643"/>
        <v>0</v>
      </c>
    </row>
    <row r="2920" spans="1:41">
      <c r="A2920" s="189">
        <v>10298</v>
      </c>
      <c r="B2920" s="190">
        <v>4</v>
      </c>
      <c r="C2920" s="191" t="s">
        <v>237</v>
      </c>
      <c r="D2920" s="192">
        <f t="shared" si="630"/>
        <v>0</v>
      </c>
      <c r="E2920" s="192">
        <f t="shared" si="631"/>
        <v>0</v>
      </c>
      <c r="F2920" s="192">
        <f t="shared" si="632"/>
        <v>0</v>
      </c>
      <c r="G2920" s="193">
        <f t="shared" si="633"/>
        <v>0</v>
      </c>
      <c r="H2920" s="194">
        <v>0</v>
      </c>
      <c r="I2920" s="194">
        <v>0</v>
      </c>
      <c r="J2920" s="194">
        <v>0</v>
      </c>
      <c r="K2920" s="193">
        <f t="shared" si="634"/>
        <v>0</v>
      </c>
      <c r="L2920" s="194">
        <v>0</v>
      </c>
      <c r="M2920" s="194">
        <v>0</v>
      </c>
      <c r="N2920" s="194">
        <v>0</v>
      </c>
      <c r="O2920" s="193">
        <f t="shared" si="635"/>
        <v>0</v>
      </c>
      <c r="P2920" s="194">
        <v>0</v>
      </c>
      <c r="Q2920" s="194">
        <v>0</v>
      </c>
      <c r="R2920" s="194">
        <v>0</v>
      </c>
      <c r="S2920" s="193">
        <f t="shared" si="636"/>
        <v>0</v>
      </c>
      <c r="T2920" s="193">
        <f t="shared" si="637"/>
        <v>0</v>
      </c>
      <c r="U2920" s="193">
        <f ca="1">OFFSET('Expenditure Study'!$B$7,'Operations Support'!$C2920,'Operations Support'!$B2920)*$G2920</f>
        <v>0</v>
      </c>
      <c r="V2920" s="199">
        <f ca="1">U2920*'Expenditure Study'!$B$31</f>
        <v>0</v>
      </c>
      <c r="W2920" s="199">
        <f ca="1">IF(A2920=10298,1.51,1)*IF($B2920&lt;3,$D2920*'Expenditure Study'!$B$32*OFFSET('Expenditure Study'!$B$7,'Operations Support'!$C2920,'Operations Support'!$B2920),0)</f>
        <v>0</v>
      </c>
      <c r="X2920" s="200">
        <f ca="1">W2920*'Expenditure Study'!$B$31</f>
        <v>0</v>
      </c>
      <c r="Y2920" s="199">
        <f ca="1">U2920*'Expenditure Study'!$B$31</f>
        <v>0</v>
      </c>
      <c r="Z2920" s="200">
        <f ca="1">W2920*'Expenditure Study'!$B$31</f>
        <v>0</v>
      </c>
      <c r="AA2920" s="195">
        <f t="shared" ca="1" si="638"/>
        <v>0</v>
      </c>
      <c r="AB2920" s="195">
        <f t="shared" ca="1" si="639"/>
        <v>0</v>
      </c>
      <c r="AD2920" s="196">
        <f>IFERROR($G2920/SUMIF($A:$A,$A2920,$G:$G)*SUMIF(Summary!$A$166:$A$242,$A2920,Summary!$P$166:$P$242),0)</f>
        <v>0</v>
      </c>
      <c r="AE2920" s="197">
        <f t="shared" ca="1" si="640"/>
        <v>0</v>
      </c>
      <c r="AF2920" s="196">
        <f>IFERROR(G2920/SUMIF(A:A,A2920,G:G)*SUMIF(Summary!$A$166:$A$242,'Operations Support'!A2920,Summary!$Q$166:$Q$242),0)</f>
        <v>0</v>
      </c>
      <c r="AG2920" s="196">
        <f t="shared" ca="1" si="641"/>
        <v>0</v>
      </c>
      <c r="AI2920" s="196">
        <f>IFERROR($G2920/SUMIF($A:$A,$A2920,$G:$G)*SUMIF(Summary!$A$247:$A$283,$A2920,Summary!$P$247:$P$283),0)</f>
        <v>0</v>
      </c>
      <c r="AJ2920" s="196">
        <f>IFERROR($G2920/SUMIF($A:$A,$A2920,$G:$G)*(SUMIF(Summary!$A$247:$A$283,$A2920,Summary!$L$247:$L$283)+SUMIF(Summary!$A$297:$A$333,$A2920,Summary!$L$297:$L$333))-AI2920,0)</f>
        <v>0</v>
      </c>
      <c r="AK2920" s="196">
        <f>IFERROR($G2920/SUMIF($A:$A,$A2920,$G:$G)*SUMIF(Summary!$A$247:$A$283,$A2920,Summary!$Q$247:$Q$283),0)</f>
        <v>0</v>
      </c>
      <c r="AL2920" s="196">
        <f>IFERROR($G2920/SUMIF($A:$A,$A2920,$G:$G)*(SUMIF(Summary!$A$247:$A$283,$A2920,Summary!$L$247:$L$283)+SUMIF(Summary!$A$297:$A$333,$A2920,Summary!$L$297:$L$333))-AK2920,0)</f>
        <v>0</v>
      </c>
      <c r="AM2920" s="198"/>
      <c r="AN2920" s="196">
        <f t="shared" ca="1" si="642"/>
        <v>0</v>
      </c>
      <c r="AO2920" s="196">
        <f t="shared" ca="1" si="643"/>
        <v>0</v>
      </c>
    </row>
    <row r="2921" spans="1:41">
      <c r="A2921" s="189">
        <v>10298</v>
      </c>
      <c r="B2921" s="190">
        <v>4</v>
      </c>
      <c r="C2921" s="191" t="s">
        <v>238</v>
      </c>
      <c r="D2921" s="192">
        <f t="shared" si="630"/>
        <v>0</v>
      </c>
      <c r="E2921" s="192">
        <f t="shared" si="631"/>
        <v>0</v>
      </c>
      <c r="F2921" s="192">
        <f t="shared" si="632"/>
        <v>0</v>
      </c>
      <c r="G2921" s="193">
        <f t="shared" si="633"/>
        <v>0</v>
      </c>
      <c r="H2921" s="194">
        <v>0</v>
      </c>
      <c r="I2921" s="194">
        <v>0</v>
      </c>
      <c r="J2921" s="194">
        <v>0</v>
      </c>
      <c r="K2921" s="193">
        <f t="shared" si="634"/>
        <v>0</v>
      </c>
      <c r="L2921" s="194">
        <v>0</v>
      </c>
      <c r="M2921" s="194">
        <v>0</v>
      </c>
      <c r="N2921" s="194">
        <v>0</v>
      </c>
      <c r="O2921" s="193">
        <f t="shared" si="635"/>
        <v>0</v>
      </c>
      <c r="P2921" s="194">
        <v>0</v>
      </c>
      <c r="Q2921" s="194">
        <v>0</v>
      </c>
      <c r="R2921" s="194">
        <v>0</v>
      </c>
      <c r="S2921" s="193">
        <f t="shared" si="636"/>
        <v>0</v>
      </c>
      <c r="T2921" s="193">
        <f t="shared" si="637"/>
        <v>0</v>
      </c>
      <c r="U2921" s="193">
        <f ca="1">OFFSET('Expenditure Study'!$B$7,'Operations Support'!$C2921,'Operations Support'!$B2921)*$G2921</f>
        <v>0</v>
      </c>
      <c r="V2921" s="199">
        <f ca="1">U2921*'Expenditure Study'!$B$31</f>
        <v>0</v>
      </c>
      <c r="W2921" s="199">
        <f ca="1">IF(A2921=10298,1.51,1)*IF($B2921&lt;3,$D2921*'Expenditure Study'!$B$32*OFFSET('Expenditure Study'!$B$7,'Operations Support'!$C2921,'Operations Support'!$B2921),0)</f>
        <v>0</v>
      </c>
      <c r="X2921" s="200">
        <f ca="1">W2921*'Expenditure Study'!$B$31</f>
        <v>0</v>
      </c>
      <c r="Y2921" s="199">
        <f ca="1">U2921*'Expenditure Study'!$B$31</f>
        <v>0</v>
      </c>
      <c r="Z2921" s="200">
        <f ca="1">W2921*'Expenditure Study'!$B$31</f>
        <v>0</v>
      </c>
      <c r="AA2921" s="195">
        <f t="shared" ca="1" si="638"/>
        <v>0</v>
      </c>
      <c r="AB2921" s="195">
        <f t="shared" ca="1" si="639"/>
        <v>0</v>
      </c>
      <c r="AD2921" s="196">
        <f>IFERROR($G2921/SUMIF($A:$A,$A2921,$G:$G)*SUMIF(Summary!$A$166:$A$242,$A2921,Summary!$P$166:$P$242),0)</f>
        <v>0</v>
      </c>
      <c r="AE2921" s="197">
        <f t="shared" ca="1" si="640"/>
        <v>0</v>
      </c>
      <c r="AF2921" s="196">
        <f>IFERROR(G2921/SUMIF(A:A,A2921,G:G)*SUMIF(Summary!$A$166:$A$242,'Operations Support'!A2921,Summary!$Q$166:$Q$242),0)</f>
        <v>0</v>
      </c>
      <c r="AG2921" s="196">
        <f t="shared" ca="1" si="641"/>
        <v>0</v>
      </c>
      <c r="AI2921" s="196">
        <f>IFERROR($G2921/SUMIF($A:$A,$A2921,$G:$G)*SUMIF(Summary!$A$247:$A$283,$A2921,Summary!$P$247:$P$283),0)</f>
        <v>0</v>
      </c>
      <c r="AJ2921" s="196">
        <f>IFERROR($G2921/SUMIF($A:$A,$A2921,$G:$G)*(SUMIF(Summary!$A$247:$A$283,$A2921,Summary!$L$247:$L$283)+SUMIF(Summary!$A$297:$A$333,$A2921,Summary!$L$297:$L$333))-AI2921,0)</f>
        <v>0</v>
      </c>
      <c r="AK2921" s="196">
        <f>IFERROR($G2921/SUMIF($A:$A,$A2921,$G:$G)*SUMIF(Summary!$A$247:$A$283,$A2921,Summary!$Q$247:$Q$283),0)</f>
        <v>0</v>
      </c>
      <c r="AL2921" s="196">
        <f>IFERROR($G2921/SUMIF($A:$A,$A2921,$G:$G)*(SUMIF(Summary!$A$247:$A$283,$A2921,Summary!$L$247:$L$283)+SUMIF(Summary!$A$297:$A$333,$A2921,Summary!$L$297:$L$333))-AK2921,0)</f>
        <v>0</v>
      </c>
      <c r="AM2921" s="198"/>
      <c r="AN2921" s="196">
        <f t="shared" ca="1" si="642"/>
        <v>0</v>
      </c>
      <c r="AO2921" s="196">
        <f t="shared" ca="1" si="643"/>
        <v>0</v>
      </c>
    </row>
    <row r="2922" spans="1:41">
      <c r="A2922" s="189">
        <v>10298</v>
      </c>
      <c r="B2922" s="190">
        <v>4</v>
      </c>
      <c r="C2922" s="191" t="s">
        <v>239</v>
      </c>
      <c r="D2922" s="192">
        <f t="shared" si="630"/>
        <v>0</v>
      </c>
      <c r="E2922" s="192">
        <f t="shared" si="631"/>
        <v>0</v>
      </c>
      <c r="F2922" s="192">
        <f t="shared" si="632"/>
        <v>0</v>
      </c>
      <c r="G2922" s="193">
        <f t="shared" si="633"/>
        <v>0</v>
      </c>
      <c r="H2922" s="194">
        <v>0</v>
      </c>
      <c r="I2922" s="194">
        <v>0</v>
      </c>
      <c r="J2922" s="194">
        <v>0</v>
      </c>
      <c r="K2922" s="193">
        <f t="shared" si="634"/>
        <v>0</v>
      </c>
      <c r="L2922" s="194">
        <v>0</v>
      </c>
      <c r="M2922" s="194">
        <v>0</v>
      </c>
      <c r="N2922" s="194">
        <v>0</v>
      </c>
      <c r="O2922" s="193">
        <f t="shared" si="635"/>
        <v>0</v>
      </c>
      <c r="P2922" s="194">
        <v>0</v>
      </c>
      <c r="Q2922" s="194">
        <v>0</v>
      </c>
      <c r="R2922" s="194">
        <v>0</v>
      </c>
      <c r="S2922" s="193">
        <f t="shared" si="636"/>
        <v>0</v>
      </c>
      <c r="T2922" s="193">
        <f t="shared" si="637"/>
        <v>0</v>
      </c>
      <c r="U2922" s="193">
        <f ca="1">OFFSET('Expenditure Study'!$B$7,'Operations Support'!$C2922,'Operations Support'!$B2922)*$G2922</f>
        <v>0</v>
      </c>
      <c r="V2922" s="199">
        <f ca="1">U2922*'Expenditure Study'!$B$31</f>
        <v>0</v>
      </c>
      <c r="W2922" s="199">
        <f ca="1">IF(A2922=10298,1.51,1)*IF($B2922&lt;3,$D2922*'Expenditure Study'!$B$32*OFFSET('Expenditure Study'!$B$7,'Operations Support'!$C2922,'Operations Support'!$B2922),0)</f>
        <v>0</v>
      </c>
      <c r="X2922" s="200">
        <f ca="1">W2922*'Expenditure Study'!$B$31</f>
        <v>0</v>
      </c>
      <c r="Y2922" s="199">
        <f ca="1">U2922*'Expenditure Study'!$B$31</f>
        <v>0</v>
      </c>
      <c r="Z2922" s="200">
        <f ca="1">W2922*'Expenditure Study'!$B$31</f>
        <v>0</v>
      </c>
      <c r="AA2922" s="195">
        <f t="shared" ca="1" si="638"/>
        <v>0</v>
      </c>
      <c r="AB2922" s="195">
        <f t="shared" ca="1" si="639"/>
        <v>0</v>
      </c>
      <c r="AD2922" s="196">
        <f>IFERROR($G2922/SUMIF($A:$A,$A2922,$G:$G)*SUMIF(Summary!$A$166:$A$242,$A2922,Summary!$P$166:$P$242),0)</f>
        <v>0</v>
      </c>
      <c r="AE2922" s="197">
        <f t="shared" ca="1" si="640"/>
        <v>0</v>
      </c>
      <c r="AF2922" s="196">
        <f>IFERROR(G2922/SUMIF(A:A,A2922,G:G)*SUMIF(Summary!$A$166:$A$242,'Operations Support'!A2922,Summary!$Q$166:$Q$242),0)</f>
        <v>0</v>
      </c>
      <c r="AG2922" s="196">
        <f t="shared" ca="1" si="641"/>
        <v>0</v>
      </c>
      <c r="AI2922" s="196">
        <f>IFERROR($G2922/SUMIF($A:$A,$A2922,$G:$G)*SUMIF(Summary!$A$247:$A$283,$A2922,Summary!$P$247:$P$283),0)</f>
        <v>0</v>
      </c>
      <c r="AJ2922" s="196">
        <f>IFERROR($G2922/SUMIF($A:$A,$A2922,$G:$G)*(SUMIF(Summary!$A$247:$A$283,$A2922,Summary!$L$247:$L$283)+SUMIF(Summary!$A$297:$A$333,$A2922,Summary!$L$297:$L$333))-AI2922,0)</f>
        <v>0</v>
      </c>
      <c r="AK2922" s="196">
        <f>IFERROR($G2922/SUMIF($A:$A,$A2922,$G:$G)*SUMIF(Summary!$A$247:$A$283,$A2922,Summary!$Q$247:$Q$283),0)</f>
        <v>0</v>
      </c>
      <c r="AL2922" s="196">
        <f>IFERROR($G2922/SUMIF($A:$A,$A2922,$G:$G)*(SUMIF(Summary!$A$247:$A$283,$A2922,Summary!$L$247:$L$283)+SUMIF(Summary!$A$297:$A$333,$A2922,Summary!$L$297:$L$333))-AK2922,0)</f>
        <v>0</v>
      </c>
      <c r="AM2922" s="198"/>
      <c r="AN2922" s="196">
        <f t="shared" ca="1" si="642"/>
        <v>0</v>
      </c>
      <c r="AO2922" s="196">
        <f t="shared" ca="1" si="643"/>
        <v>0</v>
      </c>
    </row>
    <row r="2923" spans="1:41">
      <c r="A2923" s="189">
        <v>10298</v>
      </c>
      <c r="B2923" s="190">
        <v>4</v>
      </c>
      <c r="C2923" s="191" t="s">
        <v>240</v>
      </c>
      <c r="D2923" s="192">
        <f t="shared" si="630"/>
        <v>0</v>
      </c>
      <c r="E2923" s="192">
        <f t="shared" si="631"/>
        <v>0</v>
      </c>
      <c r="F2923" s="192">
        <f t="shared" si="632"/>
        <v>0</v>
      </c>
      <c r="G2923" s="193">
        <f t="shared" si="633"/>
        <v>0</v>
      </c>
      <c r="H2923" s="194">
        <v>0</v>
      </c>
      <c r="I2923" s="194">
        <v>0</v>
      </c>
      <c r="J2923" s="194">
        <v>0</v>
      </c>
      <c r="K2923" s="193">
        <f t="shared" si="634"/>
        <v>0</v>
      </c>
      <c r="L2923" s="194">
        <v>0</v>
      </c>
      <c r="M2923" s="194">
        <v>0</v>
      </c>
      <c r="N2923" s="194">
        <v>0</v>
      </c>
      <c r="O2923" s="193">
        <f t="shared" si="635"/>
        <v>0</v>
      </c>
      <c r="P2923" s="194">
        <v>0</v>
      </c>
      <c r="Q2923" s="194">
        <v>0</v>
      </c>
      <c r="R2923" s="194">
        <v>0</v>
      </c>
      <c r="S2923" s="193">
        <f t="shared" si="636"/>
        <v>0</v>
      </c>
      <c r="T2923" s="193">
        <f t="shared" si="637"/>
        <v>0</v>
      </c>
      <c r="U2923" s="193">
        <f ca="1">OFFSET('Expenditure Study'!$B$7,'Operations Support'!$C2923,'Operations Support'!$B2923)*$G2923</f>
        <v>0</v>
      </c>
      <c r="V2923" s="199">
        <f ca="1">U2923*'Expenditure Study'!$B$31</f>
        <v>0</v>
      </c>
      <c r="W2923" s="199">
        <f ca="1">IF(A2923=10298,1.51,1)*IF($B2923&lt;3,$D2923*'Expenditure Study'!$B$32*OFFSET('Expenditure Study'!$B$7,'Operations Support'!$C2923,'Operations Support'!$B2923),0)</f>
        <v>0</v>
      </c>
      <c r="X2923" s="200">
        <f ca="1">W2923*'Expenditure Study'!$B$31</f>
        <v>0</v>
      </c>
      <c r="Y2923" s="199">
        <f ca="1">U2923*'Expenditure Study'!$B$31</f>
        <v>0</v>
      </c>
      <c r="Z2923" s="200">
        <f ca="1">W2923*'Expenditure Study'!$B$31</f>
        <v>0</v>
      </c>
      <c r="AA2923" s="195">
        <f t="shared" ca="1" si="638"/>
        <v>0</v>
      </c>
      <c r="AB2923" s="195">
        <f t="shared" ca="1" si="639"/>
        <v>0</v>
      </c>
      <c r="AD2923" s="196">
        <f>IFERROR($G2923/SUMIF($A:$A,$A2923,$G:$G)*SUMIF(Summary!$A$166:$A$242,$A2923,Summary!$P$166:$P$242),0)</f>
        <v>0</v>
      </c>
      <c r="AE2923" s="197">
        <f t="shared" ca="1" si="640"/>
        <v>0</v>
      </c>
      <c r="AF2923" s="196">
        <f>IFERROR(G2923/SUMIF(A:A,A2923,G:G)*SUMIF(Summary!$A$166:$A$242,'Operations Support'!A2923,Summary!$Q$166:$Q$242),0)</f>
        <v>0</v>
      </c>
      <c r="AG2923" s="196">
        <f t="shared" ca="1" si="641"/>
        <v>0</v>
      </c>
      <c r="AI2923" s="196">
        <f>IFERROR($G2923/SUMIF($A:$A,$A2923,$G:$G)*SUMIF(Summary!$A$247:$A$283,$A2923,Summary!$P$247:$P$283),0)</f>
        <v>0</v>
      </c>
      <c r="AJ2923" s="196">
        <f>IFERROR($G2923/SUMIF($A:$A,$A2923,$G:$G)*(SUMIF(Summary!$A$247:$A$283,$A2923,Summary!$L$247:$L$283)+SUMIF(Summary!$A$297:$A$333,$A2923,Summary!$L$297:$L$333))-AI2923,0)</f>
        <v>0</v>
      </c>
      <c r="AK2923" s="196">
        <f>IFERROR($G2923/SUMIF($A:$A,$A2923,$G:$G)*SUMIF(Summary!$A$247:$A$283,$A2923,Summary!$Q$247:$Q$283),0)</f>
        <v>0</v>
      </c>
      <c r="AL2923" s="196">
        <f>IFERROR($G2923/SUMIF($A:$A,$A2923,$G:$G)*(SUMIF(Summary!$A$247:$A$283,$A2923,Summary!$L$247:$L$283)+SUMIF(Summary!$A$297:$A$333,$A2923,Summary!$L$297:$L$333))-AK2923,0)</f>
        <v>0</v>
      </c>
      <c r="AM2923" s="198"/>
      <c r="AN2923" s="196">
        <f t="shared" ca="1" si="642"/>
        <v>0</v>
      </c>
      <c r="AO2923" s="196">
        <f t="shared" ca="1" si="643"/>
        <v>0</v>
      </c>
    </row>
    <row r="2924" spans="1:41">
      <c r="A2924" s="189">
        <v>10298</v>
      </c>
      <c r="B2924" s="190">
        <v>5</v>
      </c>
      <c r="C2924" s="191" t="s">
        <v>220</v>
      </c>
      <c r="D2924" s="192">
        <f t="shared" si="630"/>
        <v>0</v>
      </c>
      <c r="E2924" s="192">
        <f t="shared" si="631"/>
        <v>0</v>
      </c>
      <c r="F2924" s="192">
        <f t="shared" si="632"/>
        <v>0</v>
      </c>
      <c r="G2924" s="193">
        <f t="shared" si="633"/>
        <v>0</v>
      </c>
      <c r="H2924" s="194">
        <v>0</v>
      </c>
      <c r="I2924" s="194">
        <v>0</v>
      </c>
      <c r="J2924" s="194">
        <v>0</v>
      </c>
      <c r="K2924" s="193">
        <f t="shared" si="634"/>
        <v>0</v>
      </c>
      <c r="L2924" s="194">
        <v>0</v>
      </c>
      <c r="M2924" s="194">
        <v>0</v>
      </c>
      <c r="N2924" s="194">
        <v>0</v>
      </c>
      <c r="O2924" s="193">
        <f t="shared" si="635"/>
        <v>0</v>
      </c>
      <c r="P2924" s="194">
        <v>0</v>
      </c>
      <c r="Q2924" s="194">
        <v>0</v>
      </c>
      <c r="R2924" s="194">
        <v>0</v>
      </c>
      <c r="S2924" s="193">
        <f t="shared" si="636"/>
        <v>0</v>
      </c>
      <c r="T2924" s="193">
        <f t="shared" si="637"/>
        <v>0</v>
      </c>
      <c r="U2924" s="193">
        <f ca="1">OFFSET('Expenditure Study'!$B$7,'Operations Support'!$C2924,'Operations Support'!$B2924)*$G2924</f>
        <v>0</v>
      </c>
      <c r="V2924" s="199">
        <f ca="1">U2924*'Expenditure Study'!$B$31</f>
        <v>0</v>
      </c>
      <c r="W2924" s="199">
        <f ca="1">IF(A2924=10298,1.51,1)*IF($B2924&lt;3,$D2924*'Expenditure Study'!$B$32*OFFSET('Expenditure Study'!$B$7,'Operations Support'!$C2924,'Operations Support'!$B2924),0)</f>
        <v>0</v>
      </c>
      <c r="X2924" s="200">
        <f ca="1">W2924*'Expenditure Study'!$B$31</f>
        <v>0</v>
      </c>
      <c r="Y2924" s="199">
        <f ca="1">U2924*'Expenditure Study'!$B$31</f>
        <v>0</v>
      </c>
      <c r="Z2924" s="200">
        <f ca="1">W2924*'Expenditure Study'!$B$31</f>
        <v>0</v>
      </c>
      <c r="AA2924" s="195">
        <f t="shared" ca="1" si="638"/>
        <v>0</v>
      </c>
      <c r="AB2924" s="195">
        <f t="shared" ca="1" si="639"/>
        <v>0</v>
      </c>
      <c r="AD2924" s="196">
        <f>IFERROR($G2924/SUMIF($A:$A,$A2924,$G:$G)*SUMIF(Summary!$A$166:$A$242,$A2924,Summary!$P$166:$P$242),0)</f>
        <v>0</v>
      </c>
      <c r="AE2924" s="197">
        <f t="shared" ca="1" si="640"/>
        <v>0</v>
      </c>
      <c r="AF2924" s="196">
        <f>IFERROR(G2924/SUMIF(A:A,A2924,G:G)*SUMIF(Summary!$A$166:$A$242,'Operations Support'!A2924,Summary!$Q$166:$Q$242),0)</f>
        <v>0</v>
      </c>
      <c r="AG2924" s="196">
        <f t="shared" ca="1" si="641"/>
        <v>0</v>
      </c>
      <c r="AI2924" s="196">
        <f>IFERROR($G2924/SUMIF($A:$A,$A2924,$G:$G)*SUMIF(Summary!$A$247:$A$283,$A2924,Summary!$P$247:$P$283),0)</f>
        <v>0</v>
      </c>
      <c r="AJ2924" s="196">
        <f>IFERROR($G2924/SUMIF($A:$A,$A2924,$G:$G)*(SUMIF(Summary!$A$247:$A$283,$A2924,Summary!$L$247:$L$283)+SUMIF(Summary!$A$297:$A$333,$A2924,Summary!$L$297:$L$333))-AI2924,0)</f>
        <v>0</v>
      </c>
      <c r="AK2924" s="196">
        <f>IFERROR($G2924/SUMIF($A:$A,$A2924,$G:$G)*SUMIF(Summary!$A$247:$A$283,$A2924,Summary!$Q$247:$Q$283),0)</f>
        <v>0</v>
      </c>
      <c r="AL2924" s="196">
        <f>IFERROR($G2924/SUMIF($A:$A,$A2924,$G:$G)*(SUMIF(Summary!$A$247:$A$283,$A2924,Summary!$L$247:$L$283)+SUMIF(Summary!$A$297:$A$333,$A2924,Summary!$L$297:$L$333))-AK2924,0)</f>
        <v>0</v>
      </c>
      <c r="AM2924" s="198"/>
      <c r="AN2924" s="196">
        <f t="shared" ca="1" si="642"/>
        <v>0</v>
      </c>
      <c r="AO2924" s="196">
        <f t="shared" ca="1" si="643"/>
        <v>0</v>
      </c>
    </row>
    <row r="2925" spans="1:41">
      <c r="A2925" s="189">
        <v>10298</v>
      </c>
      <c r="B2925" s="190">
        <v>5</v>
      </c>
      <c r="C2925" s="191" t="s">
        <v>221</v>
      </c>
      <c r="D2925" s="192">
        <f t="shared" si="630"/>
        <v>0</v>
      </c>
      <c r="E2925" s="192">
        <f t="shared" si="631"/>
        <v>0</v>
      </c>
      <c r="F2925" s="192">
        <f t="shared" si="632"/>
        <v>0</v>
      </c>
      <c r="G2925" s="193">
        <f t="shared" si="633"/>
        <v>0</v>
      </c>
      <c r="H2925" s="194">
        <v>0</v>
      </c>
      <c r="I2925" s="194">
        <v>0</v>
      </c>
      <c r="J2925" s="194">
        <v>0</v>
      </c>
      <c r="K2925" s="193">
        <f t="shared" si="634"/>
        <v>0</v>
      </c>
      <c r="L2925" s="194">
        <v>0</v>
      </c>
      <c r="M2925" s="194">
        <v>0</v>
      </c>
      <c r="N2925" s="194">
        <v>0</v>
      </c>
      <c r="O2925" s="193">
        <f t="shared" si="635"/>
        <v>0</v>
      </c>
      <c r="P2925" s="194">
        <v>0</v>
      </c>
      <c r="Q2925" s="194">
        <v>0</v>
      </c>
      <c r="R2925" s="194">
        <v>0</v>
      </c>
      <c r="S2925" s="193">
        <f t="shared" si="636"/>
        <v>0</v>
      </c>
      <c r="T2925" s="193">
        <f t="shared" si="637"/>
        <v>0</v>
      </c>
      <c r="U2925" s="193">
        <f ca="1">OFFSET('Expenditure Study'!$B$7,'Operations Support'!$C2925,'Operations Support'!$B2925)*$G2925</f>
        <v>0</v>
      </c>
      <c r="V2925" s="199">
        <f ca="1">U2925*'Expenditure Study'!$B$31</f>
        <v>0</v>
      </c>
      <c r="W2925" s="199">
        <f ca="1">IF(A2925=10298,1.51,1)*IF($B2925&lt;3,$D2925*'Expenditure Study'!$B$32*OFFSET('Expenditure Study'!$B$7,'Operations Support'!$C2925,'Operations Support'!$B2925),0)</f>
        <v>0</v>
      </c>
      <c r="X2925" s="200">
        <f ca="1">W2925*'Expenditure Study'!$B$31</f>
        <v>0</v>
      </c>
      <c r="Y2925" s="199">
        <f ca="1">U2925*'Expenditure Study'!$B$31</f>
        <v>0</v>
      </c>
      <c r="Z2925" s="200">
        <f ca="1">W2925*'Expenditure Study'!$B$31</f>
        <v>0</v>
      </c>
      <c r="AA2925" s="195">
        <f t="shared" ca="1" si="638"/>
        <v>0</v>
      </c>
      <c r="AB2925" s="195">
        <f t="shared" ca="1" si="639"/>
        <v>0</v>
      </c>
      <c r="AD2925" s="196">
        <f>IFERROR($G2925/SUMIF($A:$A,$A2925,$G:$G)*SUMIF(Summary!$A$166:$A$242,$A2925,Summary!$P$166:$P$242),0)</f>
        <v>0</v>
      </c>
      <c r="AE2925" s="197">
        <f t="shared" ca="1" si="640"/>
        <v>0</v>
      </c>
      <c r="AF2925" s="196">
        <f>IFERROR(G2925/SUMIF(A:A,A2925,G:G)*SUMIF(Summary!$A$166:$A$242,'Operations Support'!A2925,Summary!$Q$166:$Q$242),0)</f>
        <v>0</v>
      </c>
      <c r="AG2925" s="196">
        <f t="shared" ca="1" si="641"/>
        <v>0</v>
      </c>
      <c r="AI2925" s="196">
        <f>IFERROR($G2925/SUMIF($A:$A,$A2925,$G:$G)*SUMIF(Summary!$A$247:$A$283,$A2925,Summary!$P$247:$P$283),0)</f>
        <v>0</v>
      </c>
      <c r="AJ2925" s="196">
        <f>IFERROR($G2925/SUMIF($A:$A,$A2925,$G:$G)*(SUMIF(Summary!$A$247:$A$283,$A2925,Summary!$L$247:$L$283)+SUMIF(Summary!$A$297:$A$333,$A2925,Summary!$L$297:$L$333))-AI2925,0)</f>
        <v>0</v>
      </c>
      <c r="AK2925" s="196">
        <f>IFERROR($G2925/SUMIF($A:$A,$A2925,$G:$G)*SUMIF(Summary!$A$247:$A$283,$A2925,Summary!$Q$247:$Q$283),0)</f>
        <v>0</v>
      </c>
      <c r="AL2925" s="196">
        <f>IFERROR($G2925/SUMIF($A:$A,$A2925,$G:$G)*(SUMIF(Summary!$A$247:$A$283,$A2925,Summary!$L$247:$L$283)+SUMIF(Summary!$A$297:$A$333,$A2925,Summary!$L$297:$L$333))-AK2925,0)</f>
        <v>0</v>
      </c>
      <c r="AM2925" s="198"/>
      <c r="AN2925" s="196">
        <f t="shared" ca="1" si="642"/>
        <v>0</v>
      </c>
      <c r="AO2925" s="196">
        <f t="shared" ca="1" si="643"/>
        <v>0</v>
      </c>
    </row>
    <row r="2926" spans="1:41">
      <c r="A2926" s="189">
        <v>10298</v>
      </c>
      <c r="B2926" s="190">
        <v>5</v>
      </c>
      <c r="C2926" s="191" t="s">
        <v>222</v>
      </c>
      <c r="D2926" s="192">
        <f t="shared" si="630"/>
        <v>0</v>
      </c>
      <c r="E2926" s="192">
        <f t="shared" si="631"/>
        <v>0</v>
      </c>
      <c r="F2926" s="192">
        <f t="shared" si="632"/>
        <v>0</v>
      </c>
      <c r="G2926" s="193">
        <f t="shared" si="633"/>
        <v>0</v>
      </c>
      <c r="H2926" s="194">
        <v>0</v>
      </c>
      <c r="I2926" s="194">
        <v>0</v>
      </c>
      <c r="J2926" s="194">
        <v>0</v>
      </c>
      <c r="K2926" s="193">
        <f t="shared" si="634"/>
        <v>0</v>
      </c>
      <c r="L2926" s="194">
        <v>0</v>
      </c>
      <c r="M2926" s="194">
        <v>0</v>
      </c>
      <c r="N2926" s="194">
        <v>0</v>
      </c>
      <c r="O2926" s="193">
        <f t="shared" si="635"/>
        <v>0</v>
      </c>
      <c r="P2926" s="194">
        <v>0</v>
      </c>
      <c r="Q2926" s="194">
        <v>0</v>
      </c>
      <c r="R2926" s="194">
        <v>0</v>
      </c>
      <c r="S2926" s="193">
        <f t="shared" si="636"/>
        <v>0</v>
      </c>
      <c r="T2926" s="193">
        <f t="shared" si="637"/>
        <v>0</v>
      </c>
      <c r="U2926" s="193">
        <f ca="1">OFFSET('Expenditure Study'!$B$7,'Operations Support'!$C2926,'Operations Support'!$B2926)*$G2926</f>
        <v>0</v>
      </c>
      <c r="V2926" s="199">
        <f ca="1">U2926*'Expenditure Study'!$B$31</f>
        <v>0</v>
      </c>
      <c r="W2926" s="199">
        <f ca="1">IF(A2926=10298,1.51,1)*IF($B2926&lt;3,$D2926*'Expenditure Study'!$B$32*OFFSET('Expenditure Study'!$B$7,'Operations Support'!$C2926,'Operations Support'!$B2926),0)</f>
        <v>0</v>
      </c>
      <c r="X2926" s="200">
        <f ca="1">W2926*'Expenditure Study'!$B$31</f>
        <v>0</v>
      </c>
      <c r="Y2926" s="199">
        <f ca="1">U2926*'Expenditure Study'!$B$31</f>
        <v>0</v>
      </c>
      <c r="Z2926" s="200">
        <f ca="1">W2926*'Expenditure Study'!$B$31</f>
        <v>0</v>
      </c>
      <c r="AA2926" s="195">
        <f t="shared" ca="1" si="638"/>
        <v>0</v>
      </c>
      <c r="AB2926" s="195">
        <f t="shared" ca="1" si="639"/>
        <v>0</v>
      </c>
      <c r="AD2926" s="196">
        <f>IFERROR($G2926/SUMIF($A:$A,$A2926,$G:$G)*SUMIF(Summary!$A$166:$A$242,$A2926,Summary!$P$166:$P$242),0)</f>
        <v>0</v>
      </c>
      <c r="AE2926" s="197">
        <f t="shared" ca="1" si="640"/>
        <v>0</v>
      </c>
      <c r="AF2926" s="196">
        <f>IFERROR(G2926/SUMIF(A:A,A2926,G:G)*SUMIF(Summary!$A$166:$A$242,'Operations Support'!A2926,Summary!$Q$166:$Q$242),0)</f>
        <v>0</v>
      </c>
      <c r="AG2926" s="196">
        <f t="shared" ca="1" si="641"/>
        <v>0</v>
      </c>
      <c r="AI2926" s="196">
        <f>IFERROR($G2926/SUMIF($A:$A,$A2926,$G:$G)*SUMIF(Summary!$A$247:$A$283,$A2926,Summary!$P$247:$P$283),0)</f>
        <v>0</v>
      </c>
      <c r="AJ2926" s="196">
        <f>IFERROR($G2926/SUMIF($A:$A,$A2926,$G:$G)*(SUMIF(Summary!$A$247:$A$283,$A2926,Summary!$L$247:$L$283)+SUMIF(Summary!$A$297:$A$333,$A2926,Summary!$L$297:$L$333))-AI2926,0)</f>
        <v>0</v>
      </c>
      <c r="AK2926" s="196">
        <f>IFERROR($G2926/SUMIF($A:$A,$A2926,$G:$G)*SUMIF(Summary!$A$247:$A$283,$A2926,Summary!$Q$247:$Q$283),0)</f>
        <v>0</v>
      </c>
      <c r="AL2926" s="196">
        <f>IFERROR($G2926/SUMIF($A:$A,$A2926,$G:$G)*(SUMIF(Summary!$A$247:$A$283,$A2926,Summary!$L$247:$L$283)+SUMIF(Summary!$A$297:$A$333,$A2926,Summary!$L$297:$L$333))-AK2926,0)</f>
        <v>0</v>
      </c>
      <c r="AM2926" s="198"/>
      <c r="AN2926" s="196">
        <f t="shared" ca="1" si="642"/>
        <v>0</v>
      </c>
      <c r="AO2926" s="196">
        <f t="shared" ca="1" si="643"/>
        <v>0</v>
      </c>
    </row>
    <row r="2927" spans="1:41">
      <c r="A2927" s="189">
        <v>10298</v>
      </c>
      <c r="B2927" s="190">
        <v>5</v>
      </c>
      <c r="C2927" s="191" t="s">
        <v>223</v>
      </c>
      <c r="D2927" s="192">
        <f t="shared" si="630"/>
        <v>0</v>
      </c>
      <c r="E2927" s="192">
        <f t="shared" si="631"/>
        <v>0</v>
      </c>
      <c r="F2927" s="192">
        <f t="shared" si="632"/>
        <v>0</v>
      </c>
      <c r="G2927" s="193">
        <f t="shared" si="633"/>
        <v>0</v>
      </c>
      <c r="H2927" s="194">
        <v>0</v>
      </c>
      <c r="I2927" s="194">
        <v>0</v>
      </c>
      <c r="J2927" s="194">
        <v>0</v>
      </c>
      <c r="K2927" s="193">
        <f t="shared" si="634"/>
        <v>0</v>
      </c>
      <c r="L2927" s="194">
        <v>0</v>
      </c>
      <c r="M2927" s="194">
        <v>0</v>
      </c>
      <c r="N2927" s="194">
        <v>0</v>
      </c>
      <c r="O2927" s="193">
        <f t="shared" si="635"/>
        <v>0</v>
      </c>
      <c r="P2927" s="194">
        <v>0</v>
      </c>
      <c r="Q2927" s="194">
        <v>0</v>
      </c>
      <c r="R2927" s="194">
        <v>0</v>
      </c>
      <c r="S2927" s="193">
        <f t="shared" si="636"/>
        <v>0</v>
      </c>
      <c r="T2927" s="193">
        <f t="shared" si="637"/>
        <v>0</v>
      </c>
      <c r="U2927" s="193">
        <f ca="1">OFFSET('Expenditure Study'!$B$7,'Operations Support'!$C2927,'Operations Support'!$B2927)*$G2927</f>
        <v>0</v>
      </c>
      <c r="V2927" s="199">
        <f ca="1">U2927*'Expenditure Study'!$B$31</f>
        <v>0</v>
      </c>
      <c r="W2927" s="199">
        <f ca="1">IF(A2927=10298,1.51,1)*IF($B2927&lt;3,$D2927*'Expenditure Study'!$B$32*OFFSET('Expenditure Study'!$B$7,'Operations Support'!$C2927,'Operations Support'!$B2927),0)</f>
        <v>0</v>
      </c>
      <c r="X2927" s="200">
        <f ca="1">W2927*'Expenditure Study'!$B$31</f>
        <v>0</v>
      </c>
      <c r="Y2927" s="199">
        <f ca="1">U2927*'Expenditure Study'!$B$31</f>
        <v>0</v>
      </c>
      <c r="Z2927" s="200">
        <f ca="1">W2927*'Expenditure Study'!$B$31</f>
        <v>0</v>
      </c>
      <c r="AA2927" s="195">
        <f t="shared" ca="1" si="638"/>
        <v>0</v>
      </c>
      <c r="AB2927" s="195">
        <f t="shared" ca="1" si="639"/>
        <v>0</v>
      </c>
      <c r="AD2927" s="196">
        <f>IFERROR($G2927/SUMIF($A:$A,$A2927,$G:$G)*SUMIF(Summary!$A$166:$A$242,$A2927,Summary!$P$166:$P$242),0)</f>
        <v>0</v>
      </c>
      <c r="AE2927" s="197">
        <f t="shared" ca="1" si="640"/>
        <v>0</v>
      </c>
      <c r="AF2927" s="196">
        <f>IFERROR(G2927/SUMIF(A:A,A2927,G:G)*SUMIF(Summary!$A$166:$A$242,'Operations Support'!A2927,Summary!$Q$166:$Q$242),0)</f>
        <v>0</v>
      </c>
      <c r="AG2927" s="196">
        <f t="shared" ca="1" si="641"/>
        <v>0</v>
      </c>
      <c r="AI2927" s="196">
        <f>IFERROR($G2927/SUMIF($A:$A,$A2927,$G:$G)*SUMIF(Summary!$A$247:$A$283,$A2927,Summary!$P$247:$P$283),0)</f>
        <v>0</v>
      </c>
      <c r="AJ2927" s="196">
        <f>IFERROR($G2927/SUMIF($A:$A,$A2927,$G:$G)*(SUMIF(Summary!$A$247:$A$283,$A2927,Summary!$L$247:$L$283)+SUMIF(Summary!$A$297:$A$333,$A2927,Summary!$L$297:$L$333))-AI2927,0)</f>
        <v>0</v>
      </c>
      <c r="AK2927" s="196">
        <f>IFERROR($G2927/SUMIF($A:$A,$A2927,$G:$G)*SUMIF(Summary!$A$247:$A$283,$A2927,Summary!$Q$247:$Q$283),0)</f>
        <v>0</v>
      </c>
      <c r="AL2927" s="196">
        <f>IFERROR($G2927/SUMIF($A:$A,$A2927,$G:$G)*(SUMIF(Summary!$A$247:$A$283,$A2927,Summary!$L$247:$L$283)+SUMIF(Summary!$A$297:$A$333,$A2927,Summary!$L$297:$L$333))-AK2927,0)</f>
        <v>0</v>
      </c>
      <c r="AM2927" s="198"/>
      <c r="AN2927" s="196">
        <f t="shared" ca="1" si="642"/>
        <v>0</v>
      </c>
      <c r="AO2927" s="196">
        <f t="shared" ca="1" si="643"/>
        <v>0</v>
      </c>
    </row>
    <row r="2928" spans="1:41">
      <c r="A2928" s="189">
        <v>10298</v>
      </c>
      <c r="B2928" s="190">
        <v>5</v>
      </c>
      <c r="C2928" s="191" t="s">
        <v>224</v>
      </c>
      <c r="D2928" s="192">
        <f t="shared" si="630"/>
        <v>0</v>
      </c>
      <c r="E2928" s="192">
        <f t="shared" si="631"/>
        <v>0</v>
      </c>
      <c r="F2928" s="192">
        <f t="shared" si="632"/>
        <v>0</v>
      </c>
      <c r="G2928" s="193">
        <f t="shared" si="633"/>
        <v>0</v>
      </c>
      <c r="H2928" s="194">
        <v>0</v>
      </c>
      <c r="I2928" s="194">
        <v>0</v>
      </c>
      <c r="J2928" s="194">
        <v>0</v>
      </c>
      <c r="K2928" s="193">
        <f t="shared" si="634"/>
        <v>0</v>
      </c>
      <c r="L2928" s="194">
        <v>0</v>
      </c>
      <c r="M2928" s="194">
        <v>0</v>
      </c>
      <c r="N2928" s="194">
        <v>0</v>
      </c>
      <c r="O2928" s="193">
        <f t="shared" si="635"/>
        <v>0</v>
      </c>
      <c r="P2928" s="194">
        <v>0</v>
      </c>
      <c r="Q2928" s="194">
        <v>0</v>
      </c>
      <c r="R2928" s="194">
        <v>0</v>
      </c>
      <c r="S2928" s="193">
        <f t="shared" si="636"/>
        <v>0</v>
      </c>
      <c r="T2928" s="193">
        <f t="shared" si="637"/>
        <v>0</v>
      </c>
      <c r="U2928" s="193">
        <f ca="1">OFFSET('Expenditure Study'!$B$7,'Operations Support'!$C2928,'Operations Support'!$B2928)*$G2928</f>
        <v>0</v>
      </c>
      <c r="V2928" s="199">
        <f ca="1">U2928*'Expenditure Study'!$B$31</f>
        <v>0</v>
      </c>
      <c r="W2928" s="199">
        <f ca="1">IF(A2928=10298,1.51,1)*IF($B2928&lt;3,$D2928*'Expenditure Study'!$B$32*OFFSET('Expenditure Study'!$B$7,'Operations Support'!$C2928,'Operations Support'!$B2928),0)</f>
        <v>0</v>
      </c>
      <c r="X2928" s="200">
        <f ca="1">W2928*'Expenditure Study'!$B$31</f>
        <v>0</v>
      </c>
      <c r="Y2928" s="199">
        <f ca="1">U2928*'Expenditure Study'!$B$31</f>
        <v>0</v>
      </c>
      <c r="Z2928" s="200">
        <f ca="1">W2928*'Expenditure Study'!$B$31</f>
        <v>0</v>
      </c>
      <c r="AA2928" s="195">
        <f t="shared" ca="1" si="638"/>
        <v>0</v>
      </c>
      <c r="AB2928" s="195">
        <f t="shared" ca="1" si="639"/>
        <v>0</v>
      </c>
      <c r="AD2928" s="196">
        <f>IFERROR($G2928/SUMIF($A:$A,$A2928,$G:$G)*SUMIF(Summary!$A$166:$A$242,$A2928,Summary!$P$166:$P$242),0)</f>
        <v>0</v>
      </c>
      <c r="AE2928" s="197">
        <f t="shared" ca="1" si="640"/>
        <v>0</v>
      </c>
      <c r="AF2928" s="196">
        <f>IFERROR(G2928/SUMIF(A:A,A2928,G:G)*SUMIF(Summary!$A$166:$A$242,'Operations Support'!A2928,Summary!$Q$166:$Q$242),0)</f>
        <v>0</v>
      </c>
      <c r="AG2928" s="196">
        <f t="shared" ca="1" si="641"/>
        <v>0</v>
      </c>
      <c r="AI2928" s="196">
        <f>IFERROR($G2928/SUMIF($A:$A,$A2928,$G:$G)*SUMIF(Summary!$A$247:$A$283,$A2928,Summary!$P$247:$P$283),0)</f>
        <v>0</v>
      </c>
      <c r="AJ2928" s="196">
        <f>IFERROR($G2928/SUMIF($A:$A,$A2928,$G:$G)*(SUMIF(Summary!$A$247:$A$283,$A2928,Summary!$L$247:$L$283)+SUMIF(Summary!$A$297:$A$333,$A2928,Summary!$L$297:$L$333))-AI2928,0)</f>
        <v>0</v>
      </c>
      <c r="AK2928" s="196">
        <f>IFERROR($G2928/SUMIF($A:$A,$A2928,$G:$G)*SUMIF(Summary!$A$247:$A$283,$A2928,Summary!$Q$247:$Q$283),0)</f>
        <v>0</v>
      </c>
      <c r="AL2928" s="196">
        <f>IFERROR($G2928/SUMIF($A:$A,$A2928,$G:$G)*(SUMIF(Summary!$A$247:$A$283,$A2928,Summary!$L$247:$L$283)+SUMIF(Summary!$A$297:$A$333,$A2928,Summary!$L$297:$L$333))-AK2928,0)</f>
        <v>0</v>
      </c>
      <c r="AM2928" s="198"/>
      <c r="AN2928" s="196">
        <f t="shared" ca="1" si="642"/>
        <v>0</v>
      </c>
      <c r="AO2928" s="196">
        <f t="shared" ca="1" si="643"/>
        <v>0</v>
      </c>
    </row>
    <row r="2929" spans="1:41">
      <c r="A2929" s="189">
        <v>10298</v>
      </c>
      <c r="B2929" s="190">
        <v>5</v>
      </c>
      <c r="C2929" s="191" t="s">
        <v>225</v>
      </c>
      <c r="D2929" s="192">
        <f t="shared" si="630"/>
        <v>0</v>
      </c>
      <c r="E2929" s="192">
        <f t="shared" si="631"/>
        <v>0</v>
      </c>
      <c r="F2929" s="192">
        <f t="shared" si="632"/>
        <v>0</v>
      </c>
      <c r="G2929" s="193">
        <f t="shared" si="633"/>
        <v>0</v>
      </c>
      <c r="H2929" s="194">
        <v>0</v>
      </c>
      <c r="I2929" s="194">
        <v>0</v>
      </c>
      <c r="J2929" s="194">
        <v>0</v>
      </c>
      <c r="K2929" s="193">
        <f t="shared" si="634"/>
        <v>0</v>
      </c>
      <c r="L2929" s="194">
        <v>0</v>
      </c>
      <c r="M2929" s="194">
        <v>0</v>
      </c>
      <c r="N2929" s="194">
        <v>0</v>
      </c>
      <c r="O2929" s="193">
        <f t="shared" si="635"/>
        <v>0</v>
      </c>
      <c r="P2929" s="194">
        <v>0</v>
      </c>
      <c r="Q2929" s="194">
        <v>0</v>
      </c>
      <c r="R2929" s="194">
        <v>0</v>
      </c>
      <c r="S2929" s="193">
        <f t="shared" si="636"/>
        <v>0</v>
      </c>
      <c r="T2929" s="193">
        <f t="shared" si="637"/>
        <v>0</v>
      </c>
      <c r="U2929" s="193">
        <f ca="1">OFFSET('Expenditure Study'!$B$7,'Operations Support'!$C2929,'Operations Support'!$B2929)*$G2929</f>
        <v>0</v>
      </c>
      <c r="V2929" s="199">
        <f ca="1">U2929*'Expenditure Study'!$B$31</f>
        <v>0</v>
      </c>
      <c r="W2929" s="199">
        <f ca="1">IF(A2929=10298,1.51,1)*IF($B2929&lt;3,$D2929*'Expenditure Study'!$B$32*OFFSET('Expenditure Study'!$B$7,'Operations Support'!$C2929,'Operations Support'!$B2929),0)</f>
        <v>0</v>
      </c>
      <c r="X2929" s="200">
        <f ca="1">W2929*'Expenditure Study'!$B$31</f>
        <v>0</v>
      </c>
      <c r="Y2929" s="199">
        <f ca="1">U2929*'Expenditure Study'!$B$31</f>
        <v>0</v>
      </c>
      <c r="Z2929" s="200">
        <f ca="1">W2929*'Expenditure Study'!$B$31</f>
        <v>0</v>
      </c>
      <c r="AA2929" s="195">
        <f t="shared" ca="1" si="638"/>
        <v>0</v>
      </c>
      <c r="AB2929" s="195">
        <f t="shared" ca="1" si="639"/>
        <v>0</v>
      </c>
      <c r="AD2929" s="196">
        <f>IFERROR($G2929/SUMIF($A:$A,$A2929,$G:$G)*SUMIF(Summary!$A$166:$A$242,$A2929,Summary!$P$166:$P$242),0)</f>
        <v>0</v>
      </c>
      <c r="AE2929" s="197">
        <f t="shared" ca="1" si="640"/>
        <v>0</v>
      </c>
      <c r="AF2929" s="196">
        <f>IFERROR(G2929/SUMIF(A:A,A2929,G:G)*SUMIF(Summary!$A$166:$A$242,'Operations Support'!A2929,Summary!$Q$166:$Q$242),0)</f>
        <v>0</v>
      </c>
      <c r="AG2929" s="196">
        <f t="shared" ca="1" si="641"/>
        <v>0</v>
      </c>
      <c r="AI2929" s="196">
        <f>IFERROR($G2929/SUMIF($A:$A,$A2929,$G:$G)*SUMIF(Summary!$A$247:$A$283,$A2929,Summary!$P$247:$P$283),0)</f>
        <v>0</v>
      </c>
      <c r="AJ2929" s="196">
        <f>IFERROR($G2929/SUMIF($A:$A,$A2929,$G:$G)*(SUMIF(Summary!$A$247:$A$283,$A2929,Summary!$L$247:$L$283)+SUMIF(Summary!$A$297:$A$333,$A2929,Summary!$L$297:$L$333))-AI2929,0)</f>
        <v>0</v>
      </c>
      <c r="AK2929" s="196">
        <f>IFERROR($G2929/SUMIF($A:$A,$A2929,$G:$G)*SUMIF(Summary!$A$247:$A$283,$A2929,Summary!$Q$247:$Q$283),0)</f>
        <v>0</v>
      </c>
      <c r="AL2929" s="196">
        <f>IFERROR($G2929/SUMIF($A:$A,$A2929,$G:$G)*(SUMIF(Summary!$A$247:$A$283,$A2929,Summary!$L$247:$L$283)+SUMIF(Summary!$A$297:$A$333,$A2929,Summary!$L$297:$L$333))-AK2929,0)</f>
        <v>0</v>
      </c>
      <c r="AM2929" s="198"/>
      <c r="AN2929" s="196">
        <f t="shared" ca="1" si="642"/>
        <v>0</v>
      </c>
      <c r="AO2929" s="196">
        <f t="shared" ca="1" si="643"/>
        <v>0</v>
      </c>
    </row>
    <row r="2930" spans="1:41">
      <c r="A2930" s="189">
        <v>10298</v>
      </c>
      <c r="B2930" s="190">
        <v>5</v>
      </c>
      <c r="C2930" s="191" t="s">
        <v>226</v>
      </c>
      <c r="D2930" s="192">
        <f t="shared" si="630"/>
        <v>0</v>
      </c>
      <c r="E2930" s="192">
        <f t="shared" si="631"/>
        <v>0</v>
      </c>
      <c r="F2930" s="192">
        <f t="shared" si="632"/>
        <v>0</v>
      </c>
      <c r="G2930" s="193">
        <f t="shared" si="633"/>
        <v>0</v>
      </c>
      <c r="H2930" s="194">
        <v>0</v>
      </c>
      <c r="I2930" s="194">
        <v>0</v>
      </c>
      <c r="J2930" s="194">
        <v>0</v>
      </c>
      <c r="K2930" s="193">
        <f t="shared" si="634"/>
        <v>0</v>
      </c>
      <c r="L2930" s="194">
        <v>0</v>
      </c>
      <c r="M2930" s="194">
        <v>0</v>
      </c>
      <c r="N2930" s="194">
        <v>0</v>
      </c>
      <c r="O2930" s="193">
        <f t="shared" si="635"/>
        <v>0</v>
      </c>
      <c r="P2930" s="194">
        <v>0</v>
      </c>
      <c r="Q2930" s="194">
        <v>0</v>
      </c>
      <c r="R2930" s="194">
        <v>0</v>
      </c>
      <c r="S2930" s="193">
        <f t="shared" si="636"/>
        <v>0</v>
      </c>
      <c r="T2930" s="193">
        <f t="shared" si="637"/>
        <v>0</v>
      </c>
      <c r="U2930" s="193">
        <f ca="1">OFFSET('Expenditure Study'!$B$7,'Operations Support'!$C2930,'Operations Support'!$B2930)*$G2930</f>
        <v>0</v>
      </c>
      <c r="V2930" s="199">
        <f ca="1">U2930*'Expenditure Study'!$B$31</f>
        <v>0</v>
      </c>
      <c r="W2930" s="199">
        <f ca="1">IF(A2930=10298,1.51,1)*IF($B2930&lt;3,$D2930*'Expenditure Study'!$B$32*OFFSET('Expenditure Study'!$B$7,'Operations Support'!$C2930,'Operations Support'!$B2930),0)</f>
        <v>0</v>
      </c>
      <c r="X2930" s="200">
        <f ca="1">W2930*'Expenditure Study'!$B$31</f>
        <v>0</v>
      </c>
      <c r="Y2930" s="199">
        <f ca="1">U2930*'Expenditure Study'!$B$31</f>
        <v>0</v>
      </c>
      <c r="Z2930" s="200">
        <f ca="1">W2930*'Expenditure Study'!$B$31</f>
        <v>0</v>
      </c>
      <c r="AA2930" s="195">
        <f t="shared" ca="1" si="638"/>
        <v>0</v>
      </c>
      <c r="AB2930" s="195">
        <f t="shared" ca="1" si="639"/>
        <v>0</v>
      </c>
      <c r="AD2930" s="196">
        <f>IFERROR($G2930/SUMIF($A:$A,$A2930,$G:$G)*SUMIF(Summary!$A$166:$A$242,$A2930,Summary!$P$166:$P$242),0)</f>
        <v>0</v>
      </c>
      <c r="AE2930" s="197">
        <f t="shared" ca="1" si="640"/>
        <v>0</v>
      </c>
      <c r="AF2930" s="196">
        <f>IFERROR(G2930/SUMIF(A:A,A2930,G:G)*SUMIF(Summary!$A$166:$A$242,'Operations Support'!A2930,Summary!$Q$166:$Q$242),0)</f>
        <v>0</v>
      </c>
      <c r="AG2930" s="196">
        <f t="shared" ca="1" si="641"/>
        <v>0</v>
      </c>
      <c r="AI2930" s="196">
        <f>IFERROR($G2930/SUMIF($A:$A,$A2930,$G:$G)*SUMIF(Summary!$A$247:$A$283,$A2930,Summary!$P$247:$P$283),0)</f>
        <v>0</v>
      </c>
      <c r="AJ2930" s="196">
        <f>IFERROR($G2930/SUMIF($A:$A,$A2930,$G:$G)*(SUMIF(Summary!$A$247:$A$283,$A2930,Summary!$L$247:$L$283)+SUMIF(Summary!$A$297:$A$333,$A2930,Summary!$L$297:$L$333))-AI2930,0)</f>
        <v>0</v>
      </c>
      <c r="AK2930" s="196">
        <f>IFERROR($G2930/SUMIF($A:$A,$A2930,$G:$G)*SUMIF(Summary!$A$247:$A$283,$A2930,Summary!$Q$247:$Q$283),0)</f>
        <v>0</v>
      </c>
      <c r="AL2930" s="196">
        <f>IFERROR($G2930/SUMIF($A:$A,$A2930,$G:$G)*(SUMIF(Summary!$A$247:$A$283,$A2930,Summary!$L$247:$L$283)+SUMIF(Summary!$A$297:$A$333,$A2930,Summary!$L$297:$L$333))-AK2930,0)</f>
        <v>0</v>
      </c>
      <c r="AM2930" s="198"/>
      <c r="AN2930" s="196">
        <f t="shared" ca="1" si="642"/>
        <v>0</v>
      </c>
      <c r="AO2930" s="196">
        <f t="shared" ca="1" si="643"/>
        <v>0</v>
      </c>
    </row>
    <row r="2931" spans="1:41">
      <c r="A2931" s="189">
        <v>10298</v>
      </c>
      <c r="B2931" s="190">
        <v>5</v>
      </c>
      <c r="C2931" s="191" t="s">
        <v>227</v>
      </c>
      <c r="D2931" s="192">
        <f t="shared" si="630"/>
        <v>0</v>
      </c>
      <c r="E2931" s="192">
        <f t="shared" si="631"/>
        <v>0</v>
      </c>
      <c r="F2931" s="192">
        <f t="shared" si="632"/>
        <v>0</v>
      </c>
      <c r="G2931" s="193">
        <f t="shared" si="633"/>
        <v>0</v>
      </c>
      <c r="H2931" s="194">
        <v>0</v>
      </c>
      <c r="I2931" s="194">
        <v>0</v>
      </c>
      <c r="J2931" s="194">
        <v>0</v>
      </c>
      <c r="K2931" s="193">
        <f t="shared" si="634"/>
        <v>0</v>
      </c>
      <c r="L2931" s="194">
        <v>0</v>
      </c>
      <c r="M2931" s="194">
        <v>0</v>
      </c>
      <c r="N2931" s="194">
        <v>0</v>
      </c>
      <c r="O2931" s="193">
        <f t="shared" si="635"/>
        <v>0</v>
      </c>
      <c r="P2931" s="194">
        <v>0</v>
      </c>
      <c r="Q2931" s="194">
        <v>0</v>
      </c>
      <c r="R2931" s="194">
        <v>0</v>
      </c>
      <c r="S2931" s="193">
        <f t="shared" si="636"/>
        <v>0</v>
      </c>
      <c r="T2931" s="193">
        <f t="shared" si="637"/>
        <v>0</v>
      </c>
      <c r="U2931" s="193">
        <f ca="1">OFFSET('Expenditure Study'!$B$7,'Operations Support'!$C2931,'Operations Support'!$B2931)*$G2931</f>
        <v>0</v>
      </c>
      <c r="V2931" s="199">
        <f ca="1">U2931*'Expenditure Study'!$B$31</f>
        <v>0</v>
      </c>
      <c r="W2931" s="199">
        <f ca="1">IF(A2931=10298,1.51,1)*IF($B2931&lt;3,$D2931*'Expenditure Study'!$B$32*OFFSET('Expenditure Study'!$B$7,'Operations Support'!$C2931,'Operations Support'!$B2931),0)</f>
        <v>0</v>
      </c>
      <c r="X2931" s="200">
        <f ca="1">W2931*'Expenditure Study'!$B$31</f>
        <v>0</v>
      </c>
      <c r="Y2931" s="199">
        <f ca="1">U2931*'Expenditure Study'!$B$31</f>
        <v>0</v>
      </c>
      <c r="Z2931" s="200">
        <f ca="1">W2931*'Expenditure Study'!$B$31</f>
        <v>0</v>
      </c>
      <c r="AA2931" s="195">
        <f t="shared" ca="1" si="638"/>
        <v>0</v>
      </c>
      <c r="AB2931" s="195">
        <f t="shared" ca="1" si="639"/>
        <v>0</v>
      </c>
      <c r="AD2931" s="196">
        <f>IFERROR($G2931/SUMIF($A:$A,$A2931,$G:$G)*SUMIF(Summary!$A$166:$A$242,$A2931,Summary!$P$166:$P$242),0)</f>
        <v>0</v>
      </c>
      <c r="AE2931" s="197">
        <f t="shared" ca="1" si="640"/>
        <v>0</v>
      </c>
      <c r="AF2931" s="196">
        <f>IFERROR(G2931/SUMIF(A:A,A2931,G:G)*SUMIF(Summary!$A$166:$A$242,'Operations Support'!A2931,Summary!$Q$166:$Q$242),0)</f>
        <v>0</v>
      </c>
      <c r="AG2931" s="196">
        <f t="shared" ca="1" si="641"/>
        <v>0</v>
      </c>
      <c r="AI2931" s="196">
        <f>IFERROR($G2931/SUMIF($A:$A,$A2931,$G:$G)*SUMIF(Summary!$A$247:$A$283,$A2931,Summary!$P$247:$P$283),0)</f>
        <v>0</v>
      </c>
      <c r="AJ2931" s="196">
        <f>IFERROR($G2931/SUMIF($A:$A,$A2931,$G:$G)*(SUMIF(Summary!$A$247:$A$283,$A2931,Summary!$L$247:$L$283)+SUMIF(Summary!$A$297:$A$333,$A2931,Summary!$L$297:$L$333))-AI2931,0)</f>
        <v>0</v>
      </c>
      <c r="AK2931" s="196">
        <f>IFERROR($G2931/SUMIF($A:$A,$A2931,$G:$G)*SUMIF(Summary!$A$247:$A$283,$A2931,Summary!$Q$247:$Q$283),0)</f>
        <v>0</v>
      </c>
      <c r="AL2931" s="196">
        <f>IFERROR($G2931/SUMIF($A:$A,$A2931,$G:$G)*(SUMIF(Summary!$A$247:$A$283,$A2931,Summary!$L$247:$L$283)+SUMIF(Summary!$A$297:$A$333,$A2931,Summary!$L$297:$L$333))-AK2931,0)</f>
        <v>0</v>
      </c>
      <c r="AM2931" s="198"/>
      <c r="AN2931" s="196">
        <f t="shared" ca="1" si="642"/>
        <v>0</v>
      </c>
      <c r="AO2931" s="196">
        <f t="shared" ca="1" si="643"/>
        <v>0</v>
      </c>
    </row>
    <row r="2932" spans="1:41">
      <c r="A2932" s="189">
        <v>10298</v>
      </c>
      <c r="B2932" s="190">
        <v>5</v>
      </c>
      <c r="C2932" s="191" t="s">
        <v>228</v>
      </c>
      <c r="D2932" s="192">
        <f t="shared" si="630"/>
        <v>0</v>
      </c>
      <c r="E2932" s="192">
        <f t="shared" si="631"/>
        <v>0</v>
      </c>
      <c r="F2932" s="192">
        <f t="shared" si="632"/>
        <v>0</v>
      </c>
      <c r="G2932" s="193">
        <f t="shared" si="633"/>
        <v>0</v>
      </c>
      <c r="H2932" s="194">
        <v>0</v>
      </c>
      <c r="I2932" s="194">
        <v>0</v>
      </c>
      <c r="J2932" s="194">
        <v>0</v>
      </c>
      <c r="K2932" s="193">
        <f t="shared" si="634"/>
        <v>0</v>
      </c>
      <c r="L2932" s="194">
        <v>0</v>
      </c>
      <c r="M2932" s="194">
        <v>0</v>
      </c>
      <c r="N2932" s="194">
        <v>0</v>
      </c>
      <c r="O2932" s="193">
        <f t="shared" si="635"/>
        <v>0</v>
      </c>
      <c r="P2932" s="194">
        <v>0</v>
      </c>
      <c r="Q2932" s="194">
        <v>0</v>
      </c>
      <c r="R2932" s="194">
        <v>0</v>
      </c>
      <c r="S2932" s="193">
        <f t="shared" si="636"/>
        <v>0</v>
      </c>
      <c r="T2932" s="193">
        <f t="shared" si="637"/>
        <v>0</v>
      </c>
      <c r="U2932" s="193">
        <f ca="1">OFFSET('Expenditure Study'!$B$7,'Operations Support'!$C2932,'Operations Support'!$B2932)*$G2932</f>
        <v>0</v>
      </c>
      <c r="V2932" s="199">
        <f ca="1">U2932*'Expenditure Study'!$B$31</f>
        <v>0</v>
      </c>
      <c r="W2932" s="199">
        <f ca="1">IF(A2932=10298,1.51,1)*IF($B2932&lt;3,$D2932*'Expenditure Study'!$B$32*OFFSET('Expenditure Study'!$B$7,'Operations Support'!$C2932,'Operations Support'!$B2932),0)</f>
        <v>0</v>
      </c>
      <c r="X2932" s="200">
        <f ca="1">W2932*'Expenditure Study'!$B$31</f>
        <v>0</v>
      </c>
      <c r="Y2932" s="199">
        <f ca="1">U2932*'Expenditure Study'!$B$31</f>
        <v>0</v>
      </c>
      <c r="Z2932" s="200">
        <f ca="1">W2932*'Expenditure Study'!$B$31</f>
        <v>0</v>
      </c>
      <c r="AA2932" s="195">
        <f t="shared" ca="1" si="638"/>
        <v>0</v>
      </c>
      <c r="AB2932" s="195">
        <f t="shared" ca="1" si="639"/>
        <v>0</v>
      </c>
      <c r="AD2932" s="196">
        <f>IFERROR($G2932/SUMIF($A:$A,$A2932,$G:$G)*SUMIF(Summary!$A$166:$A$242,$A2932,Summary!$P$166:$P$242),0)</f>
        <v>0</v>
      </c>
      <c r="AE2932" s="197">
        <f t="shared" ca="1" si="640"/>
        <v>0</v>
      </c>
      <c r="AF2932" s="196">
        <f>IFERROR(G2932/SUMIF(A:A,A2932,G:G)*SUMIF(Summary!$A$166:$A$242,'Operations Support'!A2932,Summary!$Q$166:$Q$242),0)</f>
        <v>0</v>
      </c>
      <c r="AG2932" s="196">
        <f t="shared" ca="1" si="641"/>
        <v>0</v>
      </c>
      <c r="AI2932" s="196">
        <f>IFERROR($G2932/SUMIF($A:$A,$A2932,$G:$G)*SUMIF(Summary!$A$247:$A$283,$A2932,Summary!$P$247:$P$283),0)</f>
        <v>0</v>
      </c>
      <c r="AJ2932" s="196">
        <f>IFERROR($G2932/SUMIF($A:$A,$A2932,$G:$G)*(SUMIF(Summary!$A$247:$A$283,$A2932,Summary!$L$247:$L$283)+SUMIF(Summary!$A$297:$A$333,$A2932,Summary!$L$297:$L$333))-AI2932,0)</f>
        <v>0</v>
      </c>
      <c r="AK2932" s="196">
        <f>IFERROR($G2932/SUMIF($A:$A,$A2932,$G:$G)*SUMIF(Summary!$A$247:$A$283,$A2932,Summary!$Q$247:$Q$283),0)</f>
        <v>0</v>
      </c>
      <c r="AL2932" s="196">
        <f>IFERROR($G2932/SUMIF($A:$A,$A2932,$G:$G)*(SUMIF(Summary!$A$247:$A$283,$A2932,Summary!$L$247:$L$283)+SUMIF(Summary!$A$297:$A$333,$A2932,Summary!$L$297:$L$333))-AK2932,0)</f>
        <v>0</v>
      </c>
      <c r="AM2932" s="198"/>
      <c r="AN2932" s="196">
        <f t="shared" ca="1" si="642"/>
        <v>0</v>
      </c>
      <c r="AO2932" s="196">
        <f t="shared" ca="1" si="643"/>
        <v>0</v>
      </c>
    </row>
    <row r="2933" spans="1:41">
      <c r="A2933" s="189">
        <v>10298</v>
      </c>
      <c r="B2933" s="190">
        <v>5</v>
      </c>
      <c r="C2933" s="191" t="s">
        <v>229</v>
      </c>
      <c r="D2933" s="192">
        <f t="shared" si="630"/>
        <v>0</v>
      </c>
      <c r="E2933" s="192">
        <f t="shared" si="631"/>
        <v>0</v>
      </c>
      <c r="F2933" s="192">
        <f t="shared" si="632"/>
        <v>0</v>
      </c>
      <c r="G2933" s="193">
        <f t="shared" si="633"/>
        <v>0</v>
      </c>
      <c r="H2933" s="194">
        <v>0</v>
      </c>
      <c r="I2933" s="194">
        <v>0</v>
      </c>
      <c r="J2933" s="194">
        <v>0</v>
      </c>
      <c r="K2933" s="193">
        <f t="shared" si="634"/>
        <v>0</v>
      </c>
      <c r="L2933" s="194">
        <v>0</v>
      </c>
      <c r="M2933" s="194">
        <v>0</v>
      </c>
      <c r="N2933" s="194">
        <v>0</v>
      </c>
      <c r="O2933" s="193">
        <f t="shared" si="635"/>
        <v>0</v>
      </c>
      <c r="P2933" s="194">
        <v>0</v>
      </c>
      <c r="Q2933" s="194">
        <v>0</v>
      </c>
      <c r="R2933" s="194">
        <v>0</v>
      </c>
      <c r="S2933" s="193">
        <f t="shared" si="636"/>
        <v>0</v>
      </c>
      <c r="T2933" s="193">
        <f t="shared" si="637"/>
        <v>0</v>
      </c>
      <c r="U2933" s="193">
        <f ca="1">OFFSET('Expenditure Study'!$B$7,'Operations Support'!$C2933,'Operations Support'!$B2933)*$G2933</f>
        <v>0</v>
      </c>
      <c r="V2933" s="199">
        <f ca="1">U2933*'Expenditure Study'!$B$31</f>
        <v>0</v>
      </c>
      <c r="W2933" s="199">
        <f ca="1">IF(A2933=10298,1.51,1)*IF($B2933&lt;3,$D2933*'Expenditure Study'!$B$32*OFFSET('Expenditure Study'!$B$7,'Operations Support'!$C2933,'Operations Support'!$B2933),0)</f>
        <v>0</v>
      </c>
      <c r="X2933" s="200">
        <f ca="1">W2933*'Expenditure Study'!$B$31</f>
        <v>0</v>
      </c>
      <c r="Y2933" s="199">
        <f ca="1">U2933*'Expenditure Study'!$B$31</f>
        <v>0</v>
      </c>
      <c r="Z2933" s="200">
        <f ca="1">W2933*'Expenditure Study'!$B$31</f>
        <v>0</v>
      </c>
      <c r="AA2933" s="195">
        <f t="shared" ca="1" si="638"/>
        <v>0</v>
      </c>
      <c r="AB2933" s="195">
        <f t="shared" ca="1" si="639"/>
        <v>0</v>
      </c>
      <c r="AD2933" s="196">
        <f>IFERROR($G2933/SUMIF($A:$A,$A2933,$G:$G)*SUMIF(Summary!$A$166:$A$242,$A2933,Summary!$P$166:$P$242),0)</f>
        <v>0</v>
      </c>
      <c r="AE2933" s="197">
        <f t="shared" ca="1" si="640"/>
        <v>0</v>
      </c>
      <c r="AF2933" s="196">
        <f>IFERROR(G2933/SUMIF(A:A,A2933,G:G)*SUMIF(Summary!$A$166:$A$242,'Operations Support'!A2933,Summary!$Q$166:$Q$242),0)</f>
        <v>0</v>
      </c>
      <c r="AG2933" s="196">
        <f t="shared" ca="1" si="641"/>
        <v>0</v>
      </c>
      <c r="AI2933" s="196">
        <f>IFERROR($G2933/SUMIF($A:$A,$A2933,$G:$G)*SUMIF(Summary!$A$247:$A$283,$A2933,Summary!$P$247:$P$283),0)</f>
        <v>0</v>
      </c>
      <c r="AJ2933" s="196">
        <f>IFERROR($G2933/SUMIF($A:$A,$A2933,$G:$G)*(SUMIF(Summary!$A$247:$A$283,$A2933,Summary!$L$247:$L$283)+SUMIF(Summary!$A$297:$A$333,$A2933,Summary!$L$297:$L$333))-AI2933,0)</f>
        <v>0</v>
      </c>
      <c r="AK2933" s="196">
        <f>IFERROR($G2933/SUMIF($A:$A,$A2933,$G:$G)*SUMIF(Summary!$A$247:$A$283,$A2933,Summary!$Q$247:$Q$283),0)</f>
        <v>0</v>
      </c>
      <c r="AL2933" s="196">
        <f>IFERROR($G2933/SUMIF($A:$A,$A2933,$G:$G)*(SUMIF(Summary!$A$247:$A$283,$A2933,Summary!$L$247:$L$283)+SUMIF(Summary!$A$297:$A$333,$A2933,Summary!$L$297:$L$333))-AK2933,0)</f>
        <v>0</v>
      </c>
      <c r="AM2933" s="198"/>
      <c r="AN2933" s="196">
        <f t="shared" ca="1" si="642"/>
        <v>0</v>
      </c>
      <c r="AO2933" s="196">
        <f t="shared" ca="1" si="643"/>
        <v>0</v>
      </c>
    </row>
    <row r="2934" spans="1:41" s="201" customFormat="1">
      <c r="A2934" s="189">
        <v>10298</v>
      </c>
      <c r="B2934" s="190">
        <v>5</v>
      </c>
      <c r="C2934" s="191" t="s">
        <v>230</v>
      </c>
      <c r="D2934" s="192">
        <f t="shared" si="630"/>
        <v>0</v>
      </c>
      <c r="E2934" s="192">
        <f t="shared" si="631"/>
        <v>0</v>
      </c>
      <c r="F2934" s="192">
        <f t="shared" si="632"/>
        <v>0</v>
      </c>
      <c r="G2934" s="193">
        <f t="shared" si="633"/>
        <v>0</v>
      </c>
      <c r="H2934" s="194">
        <v>0</v>
      </c>
      <c r="I2934" s="194">
        <v>0</v>
      </c>
      <c r="J2934" s="194">
        <v>0</v>
      </c>
      <c r="K2934" s="193">
        <f t="shared" si="634"/>
        <v>0</v>
      </c>
      <c r="L2934" s="194">
        <v>0</v>
      </c>
      <c r="M2934" s="194">
        <v>0</v>
      </c>
      <c r="N2934" s="194">
        <v>0</v>
      </c>
      <c r="O2934" s="193">
        <f t="shared" si="635"/>
        <v>0</v>
      </c>
      <c r="P2934" s="194">
        <v>0</v>
      </c>
      <c r="Q2934" s="194">
        <v>0</v>
      </c>
      <c r="R2934" s="194">
        <v>0</v>
      </c>
      <c r="S2934" s="193">
        <f t="shared" si="636"/>
        <v>0</v>
      </c>
      <c r="T2934" s="193">
        <f t="shared" si="637"/>
        <v>0</v>
      </c>
      <c r="U2934" s="193">
        <f ca="1">OFFSET('Expenditure Study'!$B$7,'Operations Support'!$C2934,'Operations Support'!$B2934)*$G2934</f>
        <v>0</v>
      </c>
      <c r="V2934" s="199">
        <f ca="1">U2934*'Expenditure Study'!$B$31</f>
        <v>0</v>
      </c>
      <c r="W2934" s="199">
        <f ca="1">IF(A2934=10298,1.51,1)*IF($B2934&lt;3,$D2934*'Expenditure Study'!$B$32*OFFSET('Expenditure Study'!$B$7,'Operations Support'!$C2934,'Operations Support'!$B2934),0)</f>
        <v>0</v>
      </c>
      <c r="X2934" s="200">
        <f ca="1">W2934*'Expenditure Study'!$B$31</f>
        <v>0</v>
      </c>
      <c r="Y2934" s="199">
        <f ca="1">U2934*'Expenditure Study'!$B$31</f>
        <v>0</v>
      </c>
      <c r="Z2934" s="200">
        <f ca="1">W2934*'Expenditure Study'!$B$31</f>
        <v>0</v>
      </c>
      <c r="AA2934" s="195">
        <f t="shared" ca="1" si="638"/>
        <v>0</v>
      </c>
      <c r="AB2934" s="195">
        <f t="shared" ca="1" si="639"/>
        <v>0</v>
      </c>
      <c r="AD2934" s="196">
        <f>IFERROR($G2934/SUMIF($A:$A,$A2934,$G:$G)*SUMIF(Summary!$A$166:$A$242,$A2934,Summary!$P$166:$P$242),0)</f>
        <v>0</v>
      </c>
      <c r="AE2934" s="197">
        <f t="shared" ca="1" si="640"/>
        <v>0</v>
      </c>
      <c r="AF2934" s="196">
        <f>IFERROR(G2934/SUMIF(A:A,A2934,G:G)*SUMIF(Summary!$A$166:$A$242,'Operations Support'!A2934,Summary!$Q$166:$Q$242),0)</f>
        <v>0</v>
      </c>
      <c r="AG2934" s="196">
        <f t="shared" ca="1" si="641"/>
        <v>0</v>
      </c>
      <c r="AH2934" s="180"/>
      <c r="AI2934" s="196">
        <f>IFERROR($G2934/SUMIF($A:$A,$A2934,$G:$G)*SUMIF(Summary!$A$247:$A$283,$A2934,Summary!$P$247:$P$283),0)</f>
        <v>0</v>
      </c>
      <c r="AJ2934" s="196">
        <f>IFERROR($G2934/SUMIF($A:$A,$A2934,$G:$G)*(SUMIF(Summary!$A$247:$A$283,$A2934,Summary!$L$247:$L$283)+SUMIF(Summary!$A$297:$A$333,$A2934,Summary!$L$297:$L$333))-AI2934,0)</f>
        <v>0</v>
      </c>
      <c r="AK2934" s="196">
        <f>IFERROR($G2934/SUMIF($A:$A,$A2934,$G:$G)*SUMIF(Summary!$A$247:$A$283,$A2934,Summary!$Q$247:$Q$283),0)</f>
        <v>0</v>
      </c>
      <c r="AL2934" s="196">
        <f>IFERROR($G2934/SUMIF($A:$A,$A2934,$G:$G)*(SUMIF(Summary!$A$247:$A$283,$A2934,Summary!$L$247:$L$283)+SUMIF(Summary!$A$297:$A$333,$A2934,Summary!$L$297:$L$333))-AK2934,0)</f>
        <v>0</v>
      </c>
      <c r="AM2934" s="198"/>
      <c r="AN2934" s="196">
        <f t="shared" ca="1" si="642"/>
        <v>0</v>
      </c>
      <c r="AO2934" s="196">
        <f t="shared" ca="1" si="643"/>
        <v>0</v>
      </c>
    </row>
    <row r="2935" spans="1:41">
      <c r="A2935" s="189">
        <v>10298</v>
      </c>
      <c r="B2935" s="190">
        <v>5</v>
      </c>
      <c r="C2935" s="191" t="s">
        <v>231</v>
      </c>
      <c r="D2935" s="192">
        <f t="shared" si="630"/>
        <v>0</v>
      </c>
      <c r="E2935" s="192">
        <f t="shared" si="631"/>
        <v>0</v>
      </c>
      <c r="F2935" s="192">
        <f t="shared" si="632"/>
        <v>0</v>
      </c>
      <c r="G2935" s="193">
        <f t="shared" si="633"/>
        <v>0</v>
      </c>
      <c r="H2935" s="194">
        <v>0</v>
      </c>
      <c r="I2935" s="194">
        <v>0</v>
      </c>
      <c r="J2935" s="194">
        <v>0</v>
      </c>
      <c r="K2935" s="193">
        <f t="shared" si="634"/>
        <v>0</v>
      </c>
      <c r="L2935" s="194">
        <v>0</v>
      </c>
      <c r="M2935" s="194">
        <v>0</v>
      </c>
      <c r="N2935" s="194">
        <v>0</v>
      </c>
      <c r="O2935" s="193">
        <f t="shared" si="635"/>
        <v>0</v>
      </c>
      <c r="P2935" s="194">
        <v>0</v>
      </c>
      <c r="Q2935" s="194">
        <v>0</v>
      </c>
      <c r="R2935" s="194">
        <v>0</v>
      </c>
      <c r="S2935" s="193">
        <f t="shared" si="636"/>
        <v>0</v>
      </c>
      <c r="T2935" s="193">
        <f t="shared" si="637"/>
        <v>0</v>
      </c>
      <c r="U2935" s="193">
        <f ca="1">OFFSET('Expenditure Study'!$B$7,'Operations Support'!$C2935,'Operations Support'!$B2935)*$G2935</f>
        <v>0</v>
      </c>
      <c r="V2935" s="199">
        <f ca="1">U2935*'Expenditure Study'!$B$31</f>
        <v>0</v>
      </c>
      <c r="W2935" s="199">
        <f ca="1">IF(A2935=10298,1.51,1)*IF($B2935&lt;3,$D2935*'Expenditure Study'!$B$32*OFFSET('Expenditure Study'!$B$7,'Operations Support'!$C2935,'Operations Support'!$B2935),0)</f>
        <v>0</v>
      </c>
      <c r="X2935" s="200">
        <f ca="1">W2935*'Expenditure Study'!$B$31</f>
        <v>0</v>
      </c>
      <c r="Y2935" s="199">
        <f ca="1">U2935*'Expenditure Study'!$B$31</f>
        <v>0</v>
      </c>
      <c r="Z2935" s="200">
        <f ca="1">W2935*'Expenditure Study'!$B$31</f>
        <v>0</v>
      </c>
      <c r="AA2935" s="195">
        <f t="shared" ca="1" si="638"/>
        <v>0</v>
      </c>
      <c r="AB2935" s="195">
        <f t="shared" ca="1" si="639"/>
        <v>0</v>
      </c>
      <c r="AD2935" s="196">
        <f>IFERROR($G2935/SUMIF($A:$A,$A2935,$G:$G)*SUMIF(Summary!$A$166:$A$242,$A2935,Summary!$P$166:$P$242),0)</f>
        <v>0</v>
      </c>
      <c r="AE2935" s="197">
        <f t="shared" ca="1" si="640"/>
        <v>0</v>
      </c>
      <c r="AF2935" s="196">
        <f>IFERROR(G2935/SUMIF(A:A,A2935,G:G)*SUMIF(Summary!$A$166:$A$242,'Operations Support'!A2935,Summary!$Q$166:$Q$242),0)</f>
        <v>0</v>
      </c>
      <c r="AG2935" s="196">
        <f t="shared" ca="1" si="641"/>
        <v>0</v>
      </c>
      <c r="AI2935" s="196">
        <f>IFERROR($G2935/SUMIF($A:$A,$A2935,$G:$G)*SUMIF(Summary!$A$247:$A$283,$A2935,Summary!$P$247:$P$283),0)</f>
        <v>0</v>
      </c>
      <c r="AJ2935" s="196">
        <f>IFERROR($G2935/SUMIF($A:$A,$A2935,$G:$G)*(SUMIF(Summary!$A$247:$A$283,$A2935,Summary!$L$247:$L$283)+SUMIF(Summary!$A$297:$A$333,$A2935,Summary!$L$297:$L$333))-AI2935,0)</f>
        <v>0</v>
      </c>
      <c r="AK2935" s="196">
        <f>IFERROR($G2935/SUMIF($A:$A,$A2935,$G:$G)*SUMIF(Summary!$A$247:$A$283,$A2935,Summary!$Q$247:$Q$283),0)</f>
        <v>0</v>
      </c>
      <c r="AL2935" s="196">
        <f>IFERROR($G2935/SUMIF($A:$A,$A2935,$G:$G)*(SUMIF(Summary!$A$247:$A$283,$A2935,Summary!$L$247:$L$283)+SUMIF(Summary!$A$297:$A$333,$A2935,Summary!$L$297:$L$333))-AK2935,0)</f>
        <v>0</v>
      </c>
      <c r="AM2935" s="198"/>
      <c r="AN2935" s="196">
        <f t="shared" ca="1" si="642"/>
        <v>0</v>
      </c>
      <c r="AO2935" s="196">
        <f t="shared" ca="1" si="643"/>
        <v>0</v>
      </c>
    </row>
    <row r="2936" spans="1:41">
      <c r="A2936" s="189">
        <v>10298</v>
      </c>
      <c r="B2936" s="190">
        <v>5</v>
      </c>
      <c r="C2936" s="191" t="s">
        <v>232</v>
      </c>
      <c r="D2936" s="192">
        <f t="shared" si="630"/>
        <v>0</v>
      </c>
      <c r="E2936" s="192">
        <f t="shared" si="631"/>
        <v>0</v>
      </c>
      <c r="F2936" s="192">
        <f t="shared" si="632"/>
        <v>0</v>
      </c>
      <c r="G2936" s="193">
        <f t="shared" si="633"/>
        <v>0</v>
      </c>
      <c r="H2936" s="194">
        <v>0</v>
      </c>
      <c r="I2936" s="194">
        <v>0</v>
      </c>
      <c r="J2936" s="194">
        <v>0</v>
      </c>
      <c r="K2936" s="193">
        <f t="shared" si="634"/>
        <v>0</v>
      </c>
      <c r="L2936" s="194">
        <v>0</v>
      </c>
      <c r="M2936" s="194">
        <v>0</v>
      </c>
      <c r="N2936" s="194">
        <v>0</v>
      </c>
      <c r="O2936" s="193">
        <f t="shared" si="635"/>
        <v>0</v>
      </c>
      <c r="P2936" s="194">
        <v>0</v>
      </c>
      <c r="Q2936" s="194">
        <v>0</v>
      </c>
      <c r="R2936" s="194">
        <v>0</v>
      </c>
      <c r="S2936" s="193">
        <f t="shared" si="636"/>
        <v>0</v>
      </c>
      <c r="T2936" s="193">
        <f t="shared" si="637"/>
        <v>0</v>
      </c>
      <c r="U2936" s="193">
        <f ca="1">OFFSET('Expenditure Study'!$B$7,'Operations Support'!$C2936,'Operations Support'!$B2936)*$G2936</f>
        <v>0</v>
      </c>
      <c r="V2936" s="199">
        <f ca="1">U2936*'Expenditure Study'!$B$31</f>
        <v>0</v>
      </c>
      <c r="W2936" s="199">
        <f ca="1">IF(A2936=10298,1.51,1)*IF($B2936&lt;3,$D2936*'Expenditure Study'!$B$32*OFFSET('Expenditure Study'!$B$7,'Operations Support'!$C2936,'Operations Support'!$B2936),0)</f>
        <v>0</v>
      </c>
      <c r="X2936" s="200">
        <f ca="1">W2936*'Expenditure Study'!$B$31</f>
        <v>0</v>
      </c>
      <c r="Y2936" s="199">
        <f ca="1">U2936*'Expenditure Study'!$B$31</f>
        <v>0</v>
      </c>
      <c r="Z2936" s="200">
        <f ca="1">W2936*'Expenditure Study'!$B$31</f>
        <v>0</v>
      </c>
      <c r="AA2936" s="195">
        <f t="shared" ca="1" si="638"/>
        <v>0</v>
      </c>
      <c r="AB2936" s="195">
        <f t="shared" ca="1" si="639"/>
        <v>0</v>
      </c>
      <c r="AD2936" s="196">
        <f>IFERROR($G2936/SUMIF($A:$A,$A2936,$G:$G)*SUMIF(Summary!$A$166:$A$242,$A2936,Summary!$P$166:$P$242),0)</f>
        <v>0</v>
      </c>
      <c r="AE2936" s="197">
        <f t="shared" ca="1" si="640"/>
        <v>0</v>
      </c>
      <c r="AF2936" s="196">
        <f>IFERROR(G2936/SUMIF(A:A,A2936,G:G)*SUMIF(Summary!$A$166:$A$242,'Operations Support'!A2936,Summary!$Q$166:$Q$242),0)</f>
        <v>0</v>
      </c>
      <c r="AG2936" s="196">
        <f t="shared" ca="1" si="641"/>
        <v>0</v>
      </c>
      <c r="AI2936" s="196">
        <f>IFERROR($G2936/SUMIF($A:$A,$A2936,$G:$G)*SUMIF(Summary!$A$247:$A$283,$A2936,Summary!$P$247:$P$283),0)</f>
        <v>0</v>
      </c>
      <c r="AJ2936" s="196">
        <f>IFERROR($G2936/SUMIF($A:$A,$A2936,$G:$G)*(SUMIF(Summary!$A$247:$A$283,$A2936,Summary!$L$247:$L$283)+SUMIF(Summary!$A$297:$A$333,$A2936,Summary!$L$297:$L$333))-AI2936,0)</f>
        <v>0</v>
      </c>
      <c r="AK2936" s="196">
        <f>IFERROR($G2936/SUMIF($A:$A,$A2936,$G:$G)*SUMIF(Summary!$A$247:$A$283,$A2936,Summary!$Q$247:$Q$283),0)</f>
        <v>0</v>
      </c>
      <c r="AL2936" s="196">
        <f>IFERROR($G2936/SUMIF($A:$A,$A2936,$G:$G)*(SUMIF(Summary!$A$247:$A$283,$A2936,Summary!$L$247:$L$283)+SUMIF(Summary!$A$297:$A$333,$A2936,Summary!$L$297:$L$333))-AK2936,0)</f>
        <v>0</v>
      </c>
      <c r="AM2936" s="198"/>
      <c r="AN2936" s="196">
        <f t="shared" ca="1" si="642"/>
        <v>0</v>
      </c>
      <c r="AO2936" s="196">
        <f t="shared" ca="1" si="643"/>
        <v>0</v>
      </c>
    </row>
    <row r="2937" spans="1:41">
      <c r="A2937" s="189">
        <v>10298</v>
      </c>
      <c r="B2937" s="190">
        <v>5</v>
      </c>
      <c r="C2937" s="191" t="s">
        <v>233</v>
      </c>
      <c r="D2937" s="192">
        <f t="shared" si="630"/>
        <v>0</v>
      </c>
      <c r="E2937" s="192">
        <f t="shared" si="631"/>
        <v>0</v>
      </c>
      <c r="F2937" s="192">
        <f t="shared" si="632"/>
        <v>0</v>
      </c>
      <c r="G2937" s="193">
        <f t="shared" si="633"/>
        <v>0</v>
      </c>
      <c r="H2937" s="194">
        <v>0</v>
      </c>
      <c r="I2937" s="194">
        <v>0</v>
      </c>
      <c r="J2937" s="194">
        <v>0</v>
      </c>
      <c r="K2937" s="193">
        <f t="shared" si="634"/>
        <v>0</v>
      </c>
      <c r="L2937" s="194">
        <v>0</v>
      </c>
      <c r="M2937" s="194">
        <v>0</v>
      </c>
      <c r="N2937" s="194">
        <v>0</v>
      </c>
      <c r="O2937" s="193">
        <f t="shared" si="635"/>
        <v>0</v>
      </c>
      <c r="P2937" s="194">
        <v>0</v>
      </c>
      <c r="Q2937" s="194">
        <v>0</v>
      </c>
      <c r="R2937" s="194">
        <v>0</v>
      </c>
      <c r="S2937" s="193">
        <f t="shared" si="636"/>
        <v>0</v>
      </c>
      <c r="T2937" s="193">
        <f t="shared" si="637"/>
        <v>0</v>
      </c>
      <c r="U2937" s="193">
        <f ca="1">OFFSET('Expenditure Study'!$B$7,'Operations Support'!$C2937,'Operations Support'!$B2937)*$G2937</f>
        <v>0</v>
      </c>
      <c r="V2937" s="199">
        <f ca="1">U2937*'Expenditure Study'!$B$31</f>
        <v>0</v>
      </c>
      <c r="W2937" s="199">
        <f ca="1">IF(A2937=10298,1.51,1)*IF($B2937&lt;3,$D2937*'Expenditure Study'!$B$32*OFFSET('Expenditure Study'!$B$7,'Operations Support'!$C2937,'Operations Support'!$B2937),0)</f>
        <v>0</v>
      </c>
      <c r="X2937" s="200">
        <f ca="1">W2937*'Expenditure Study'!$B$31</f>
        <v>0</v>
      </c>
      <c r="Y2937" s="199">
        <f ca="1">U2937*'Expenditure Study'!$B$31</f>
        <v>0</v>
      </c>
      <c r="Z2937" s="200">
        <f ca="1">W2937*'Expenditure Study'!$B$31</f>
        <v>0</v>
      </c>
      <c r="AA2937" s="195">
        <f t="shared" ca="1" si="638"/>
        <v>0</v>
      </c>
      <c r="AB2937" s="195">
        <f t="shared" ca="1" si="639"/>
        <v>0</v>
      </c>
      <c r="AD2937" s="196">
        <f>IFERROR($G2937/SUMIF($A:$A,$A2937,$G:$G)*SUMIF(Summary!$A$166:$A$242,$A2937,Summary!$P$166:$P$242),0)</f>
        <v>0</v>
      </c>
      <c r="AE2937" s="197">
        <f t="shared" ca="1" si="640"/>
        <v>0</v>
      </c>
      <c r="AF2937" s="196">
        <f>IFERROR(G2937/SUMIF(A:A,A2937,G:G)*SUMIF(Summary!$A$166:$A$242,'Operations Support'!A2937,Summary!$Q$166:$Q$242),0)</f>
        <v>0</v>
      </c>
      <c r="AG2937" s="196">
        <f t="shared" ca="1" si="641"/>
        <v>0</v>
      </c>
      <c r="AI2937" s="196">
        <f>IFERROR($G2937/SUMIF($A:$A,$A2937,$G:$G)*SUMIF(Summary!$A$247:$A$283,$A2937,Summary!$P$247:$P$283),0)</f>
        <v>0</v>
      </c>
      <c r="AJ2937" s="196">
        <f>IFERROR($G2937/SUMIF($A:$A,$A2937,$G:$G)*(SUMIF(Summary!$A$247:$A$283,$A2937,Summary!$L$247:$L$283)+SUMIF(Summary!$A$297:$A$333,$A2937,Summary!$L$297:$L$333))-AI2937,0)</f>
        <v>0</v>
      </c>
      <c r="AK2937" s="196">
        <f>IFERROR($G2937/SUMIF($A:$A,$A2937,$G:$G)*SUMIF(Summary!$A$247:$A$283,$A2937,Summary!$Q$247:$Q$283),0)</f>
        <v>0</v>
      </c>
      <c r="AL2937" s="196">
        <f>IFERROR($G2937/SUMIF($A:$A,$A2937,$G:$G)*(SUMIF(Summary!$A$247:$A$283,$A2937,Summary!$L$247:$L$283)+SUMIF(Summary!$A$297:$A$333,$A2937,Summary!$L$297:$L$333))-AK2937,0)</f>
        <v>0</v>
      </c>
      <c r="AM2937" s="198"/>
      <c r="AN2937" s="196">
        <f t="shared" ca="1" si="642"/>
        <v>0</v>
      </c>
      <c r="AO2937" s="196">
        <f t="shared" ca="1" si="643"/>
        <v>0</v>
      </c>
    </row>
    <row r="2938" spans="1:41">
      <c r="A2938" s="189">
        <v>10298</v>
      </c>
      <c r="B2938" s="190">
        <v>5</v>
      </c>
      <c r="C2938" s="191" t="s">
        <v>234</v>
      </c>
      <c r="D2938" s="192">
        <f t="shared" si="630"/>
        <v>0</v>
      </c>
      <c r="E2938" s="192">
        <f t="shared" si="631"/>
        <v>0</v>
      </c>
      <c r="F2938" s="192">
        <f t="shared" si="632"/>
        <v>0</v>
      </c>
      <c r="G2938" s="193">
        <f t="shared" si="633"/>
        <v>0</v>
      </c>
      <c r="H2938" s="194">
        <v>0</v>
      </c>
      <c r="I2938" s="194">
        <v>0</v>
      </c>
      <c r="J2938" s="194">
        <v>0</v>
      </c>
      <c r="K2938" s="193">
        <f t="shared" si="634"/>
        <v>0</v>
      </c>
      <c r="L2938" s="194">
        <v>0</v>
      </c>
      <c r="M2938" s="194">
        <v>0</v>
      </c>
      <c r="N2938" s="194">
        <v>0</v>
      </c>
      <c r="O2938" s="193">
        <f t="shared" si="635"/>
        <v>0</v>
      </c>
      <c r="P2938" s="194">
        <v>0</v>
      </c>
      <c r="Q2938" s="194">
        <v>0</v>
      </c>
      <c r="R2938" s="194">
        <v>0</v>
      </c>
      <c r="S2938" s="193">
        <f t="shared" si="636"/>
        <v>0</v>
      </c>
      <c r="T2938" s="193">
        <f t="shared" si="637"/>
        <v>0</v>
      </c>
      <c r="U2938" s="193">
        <f ca="1">OFFSET('Expenditure Study'!$B$7,'Operations Support'!$C2938,'Operations Support'!$B2938)*$G2938</f>
        <v>0</v>
      </c>
      <c r="V2938" s="199">
        <f ca="1">U2938*'Expenditure Study'!$B$31</f>
        <v>0</v>
      </c>
      <c r="W2938" s="199">
        <f ca="1">IF(A2938=10298,1.51,1)*IF($B2938&lt;3,$D2938*'Expenditure Study'!$B$32*OFFSET('Expenditure Study'!$B$7,'Operations Support'!$C2938,'Operations Support'!$B2938),0)</f>
        <v>0</v>
      </c>
      <c r="X2938" s="200">
        <f ca="1">W2938*'Expenditure Study'!$B$31</f>
        <v>0</v>
      </c>
      <c r="Y2938" s="199">
        <f ca="1">U2938*'Expenditure Study'!$B$31</f>
        <v>0</v>
      </c>
      <c r="Z2938" s="200">
        <f ca="1">W2938*'Expenditure Study'!$B$31</f>
        <v>0</v>
      </c>
      <c r="AA2938" s="195">
        <f t="shared" ca="1" si="638"/>
        <v>0</v>
      </c>
      <c r="AB2938" s="195">
        <f t="shared" ca="1" si="639"/>
        <v>0</v>
      </c>
      <c r="AD2938" s="196">
        <f>IFERROR($G2938/SUMIF($A:$A,$A2938,$G:$G)*SUMIF(Summary!$A$166:$A$242,$A2938,Summary!$P$166:$P$242),0)</f>
        <v>0</v>
      </c>
      <c r="AE2938" s="197">
        <f t="shared" ca="1" si="640"/>
        <v>0</v>
      </c>
      <c r="AF2938" s="196">
        <f>IFERROR(G2938/SUMIF(A:A,A2938,G:G)*SUMIF(Summary!$A$166:$A$242,'Operations Support'!A2938,Summary!$Q$166:$Q$242),0)</f>
        <v>0</v>
      </c>
      <c r="AG2938" s="196">
        <f t="shared" ca="1" si="641"/>
        <v>0</v>
      </c>
      <c r="AI2938" s="196">
        <f>IFERROR($G2938/SUMIF($A:$A,$A2938,$G:$G)*SUMIF(Summary!$A$247:$A$283,$A2938,Summary!$P$247:$P$283),0)</f>
        <v>0</v>
      </c>
      <c r="AJ2938" s="196">
        <f>IFERROR($G2938/SUMIF($A:$A,$A2938,$G:$G)*(SUMIF(Summary!$A$247:$A$283,$A2938,Summary!$L$247:$L$283)+SUMIF(Summary!$A$297:$A$333,$A2938,Summary!$L$297:$L$333))-AI2938,0)</f>
        <v>0</v>
      </c>
      <c r="AK2938" s="196">
        <f>IFERROR($G2938/SUMIF($A:$A,$A2938,$G:$G)*SUMIF(Summary!$A$247:$A$283,$A2938,Summary!$Q$247:$Q$283),0)</f>
        <v>0</v>
      </c>
      <c r="AL2938" s="196">
        <f>IFERROR($G2938/SUMIF($A:$A,$A2938,$G:$G)*(SUMIF(Summary!$A$247:$A$283,$A2938,Summary!$L$247:$L$283)+SUMIF(Summary!$A$297:$A$333,$A2938,Summary!$L$297:$L$333))-AK2938,0)</f>
        <v>0</v>
      </c>
      <c r="AM2938" s="198"/>
      <c r="AN2938" s="196">
        <f t="shared" ca="1" si="642"/>
        <v>0</v>
      </c>
      <c r="AO2938" s="196">
        <f t="shared" ca="1" si="643"/>
        <v>0</v>
      </c>
    </row>
    <row r="2939" spans="1:41">
      <c r="A2939" s="189">
        <v>10298</v>
      </c>
      <c r="B2939" s="190">
        <v>5</v>
      </c>
      <c r="C2939" s="191" t="s">
        <v>235</v>
      </c>
      <c r="D2939" s="192">
        <f t="shared" si="630"/>
        <v>0</v>
      </c>
      <c r="E2939" s="192">
        <f t="shared" si="631"/>
        <v>0</v>
      </c>
      <c r="F2939" s="192">
        <f t="shared" si="632"/>
        <v>0</v>
      </c>
      <c r="G2939" s="193">
        <f t="shared" si="633"/>
        <v>0</v>
      </c>
      <c r="H2939" s="194">
        <v>0</v>
      </c>
      <c r="I2939" s="194">
        <v>0</v>
      </c>
      <c r="J2939" s="194">
        <v>0</v>
      </c>
      <c r="K2939" s="193">
        <f t="shared" si="634"/>
        <v>0</v>
      </c>
      <c r="L2939" s="194">
        <v>0</v>
      </c>
      <c r="M2939" s="194">
        <v>0</v>
      </c>
      <c r="N2939" s="194">
        <v>0</v>
      </c>
      <c r="O2939" s="193">
        <f t="shared" si="635"/>
        <v>0</v>
      </c>
      <c r="P2939" s="194">
        <v>0</v>
      </c>
      <c r="Q2939" s="194">
        <v>0</v>
      </c>
      <c r="R2939" s="194">
        <v>0</v>
      </c>
      <c r="S2939" s="193">
        <f t="shared" si="636"/>
        <v>0</v>
      </c>
      <c r="T2939" s="193">
        <f t="shared" si="637"/>
        <v>0</v>
      </c>
      <c r="U2939" s="193">
        <f ca="1">OFFSET('Expenditure Study'!$B$7,'Operations Support'!$C2939,'Operations Support'!$B2939)*$G2939</f>
        <v>0</v>
      </c>
      <c r="V2939" s="199">
        <f ca="1">U2939*'Expenditure Study'!$B$31</f>
        <v>0</v>
      </c>
      <c r="W2939" s="199">
        <f ca="1">IF(A2939=10298,1.51,1)*IF($B2939&lt;3,$D2939*'Expenditure Study'!$B$32*OFFSET('Expenditure Study'!$B$7,'Operations Support'!$C2939,'Operations Support'!$B2939),0)</f>
        <v>0</v>
      </c>
      <c r="X2939" s="200">
        <f ca="1">W2939*'Expenditure Study'!$B$31</f>
        <v>0</v>
      </c>
      <c r="Y2939" s="199">
        <f ca="1">U2939*'Expenditure Study'!$B$31</f>
        <v>0</v>
      </c>
      <c r="Z2939" s="200">
        <f ca="1">W2939*'Expenditure Study'!$B$31</f>
        <v>0</v>
      </c>
      <c r="AA2939" s="195">
        <f t="shared" ca="1" si="638"/>
        <v>0</v>
      </c>
      <c r="AB2939" s="195">
        <f t="shared" ca="1" si="639"/>
        <v>0</v>
      </c>
      <c r="AD2939" s="196">
        <f>IFERROR($G2939/SUMIF($A:$A,$A2939,$G:$G)*SUMIF(Summary!$A$166:$A$242,$A2939,Summary!$P$166:$P$242),0)</f>
        <v>0</v>
      </c>
      <c r="AE2939" s="197">
        <f t="shared" ca="1" si="640"/>
        <v>0</v>
      </c>
      <c r="AF2939" s="196">
        <f>IFERROR(G2939/SUMIF(A:A,A2939,G:G)*SUMIF(Summary!$A$166:$A$242,'Operations Support'!A2939,Summary!$Q$166:$Q$242),0)</f>
        <v>0</v>
      </c>
      <c r="AG2939" s="196">
        <f t="shared" ca="1" si="641"/>
        <v>0</v>
      </c>
      <c r="AI2939" s="196">
        <f>IFERROR($G2939/SUMIF($A:$A,$A2939,$G:$G)*SUMIF(Summary!$A$247:$A$283,$A2939,Summary!$P$247:$P$283),0)</f>
        <v>0</v>
      </c>
      <c r="AJ2939" s="196">
        <f>IFERROR($G2939/SUMIF($A:$A,$A2939,$G:$G)*(SUMIF(Summary!$A$247:$A$283,$A2939,Summary!$L$247:$L$283)+SUMIF(Summary!$A$297:$A$333,$A2939,Summary!$L$297:$L$333))-AI2939,0)</f>
        <v>0</v>
      </c>
      <c r="AK2939" s="196">
        <f>IFERROR($G2939/SUMIF($A:$A,$A2939,$G:$G)*SUMIF(Summary!$A$247:$A$283,$A2939,Summary!$Q$247:$Q$283),0)</f>
        <v>0</v>
      </c>
      <c r="AL2939" s="196">
        <f>IFERROR($G2939/SUMIF($A:$A,$A2939,$G:$G)*(SUMIF(Summary!$A$247:$A$283,$A2939,Summary!$L$247:$L$283)+SUMIF(Summary!$A$297:$A$333,$A2939,Summary!$L$297:$L$333))-AK2939,0)</f>
        <v>0</v>
      </c>
      <c r="AM2939" s="198"/>
      <c r="AN2939" s="196">
        <f t="shared" ca="1" si="642"/>
        <v>0</v>
      </c>
      <c r="AO2939" s="196">
        <f t="shared" ca="1" si="643"/>
        <v>0</v>
      </c>
    </row>
    <row r="2940" spans="1:41">
      <c r="A2940" s="189">
        <v>10298</v>
      </c>
      <c r="B2940" s="190">
        <v>5</v>
      </c>
      <c r="C2940" s="191" t="s">
        <v>236</v>
      </c>
      <c r="D2940" s="192">
        <f t="shared" si="630"/>
        <v>0</v>
      </c>
      <c r="E2940" s="192">
        <f t="shared" si="631"/>
        <v>0</v>
      </c>
      <c r="F2940" s="192">
        <f t="shared" si="632"/>
        <v>0</v>
      </c>
      <c r="G2940" s="193">
        <f t="shared" si="633"/>
        <v>0</v>
      </c>
      <c r="H2940" s="194">
        <v>0</v>
      </c>
      <c r="I2940" s="194">
        <v>0</v>
      </c>
      <c r="J2940" s="194">
        <v>0</v>
      </c>
      <c r="K2940" s="193">
        <f t="shared" si="634"/>
        <v>0</v>
      </c>
      <c r="L2940" s="194">
        <v>0</v>
      </c>
      <c r="M2940" s="194">
        <v>0</v>
      </c>
      <c r="N2940" s="194">
        <v>0</v>
      </c>
      <c r="O2940" s="193">
        <f t="shared" si="635"/>
        <v>0</v>
      </c>
      <c r="P2940" s="194">
        <v>0</v>
      </c>
      <c r="Q2940" s="194">
        <v>0</v>
      </c>
      <c r="R2940" s="194">
        <v>0</v>
      </c>
      <c r="S2940" s="193">
        <f t="shared" si="636"/>
        <v>0</v>
      </c>
      <c r="T2940" s="193">
        <f t="shared" si="637"/>
        <v>0</v>
      </c>
      <c r="U2940" s="193">
        <f ca="1">OFFSET('Expenditure Study'!$B$7,'Operations Support'!$C2940,'Operations Support'!$B2940)*$G2940</f>
        <v>0</v>
      </c>
      <c r="V2940" s="199">
        <f ca="1">U2940*'Expenditure Study'!$B$31</f>
        <v>0</v>
      </c>
      <c r="W2940" s="199">
        <f ca="1">IF(A2940=10298,1.51,1)*IF($B2940&lt;3,$D2940*'Expenditure Study'!$B$32*OFFSET('Expenditure Study'!$B$7,'Operations Support'!$C2940,'Operations Support'!$B2940),0)</f>
        <v>0</v>
      </c>
      <c r="X2940" s="200">
        <f ca="1">W2940*'Expenditure Study'!$B$31</f>
        <v>0</v>
      </c>
      <c r="Y2940" s="199">
        <f ca="1">U2940*'Expenditure Study'!$B$31</f>
        <v>0</v>
      </c>
      <c r="Z2940" s="200">
        <f ca="1">W2940*'Expenditure Study'!$B$31</f>
        <v>0</v>
      </c>
      <c r="AA2940" s="195">
        <f t="shared" ca="1" si="638"/>
        <v>0</v>
      </c>
      <c r="AB2940" s="195">
        <f t="shared" ca="1" si="639"/>
        <v>0</v>
      </c>
      <c r="AD2940" s="196">
        <f>IFERROR($G2940/SUMIF($A:$A,$A2940,$G:$G)*SUMIF(Summary!$A$166:$A$242,$A2940,Summary!$P$166:$P$242),0)</f>
        <v>0</v>
      </c>
      <c r="AE2940" s="197">
        <f t="shared" ca="1" si="640"/>
        <v>0</v>
      </c>
      <c r="AF2940" s="196">
        <f>IFERROR(G2940/SUMIF(A:A,A2940,G:G)*SUMIF(Summary!$A$166:$A$242,'Operations Support'!A2940,Summary!$Q$166:$Q$242),0)</f>
        <v>0</v>
      </c>
      <c r="AG2940" s="196">
        <f t="shared" ca="1" si="641"/>
        <v>0</v>
      </c>
      <c r="AI2940" s="196">
        <f>IFERROR($G2940/SUMIF($A:$A,$A2940,$G:$G)*SUMIF(Summary!$A$247:$A$283,$A2940,Summary!$P$247:$P$283),0)</f>
        <v>0</v>
      </c>
      <c r="AJ2940" s="196">
        <f>IFERROR($G2940/SUMIF($A:$A,$A2940,$G:$G)*(SUMIF(Summary!$A$247:$A$283,$A2940,Summary!$L$247:$L$283)+SUMIF(Summary!$A$297:$A$333,$A2940,Summary!$L$297:$L$333))-AI2940,0)</f>
        <v>0</v>
      </c>
      <c r="AK2940" s="196">
        <f>IFERROR($G2940/SUMIF($A:$A,$A2940,$G:$G)*SUMIF(Summary!$A$247:$A$283,$A2940,Summary!$Q$247:$Q$283),0)</f>
        <v>0</v>
      </c>
      <c r="AL2940" s="196">
        <f>IFERROR($G2940/SUMIF($A:$A,$A2940,$G:$G)*(SUMIF(Summary!$A$247:$A$283,$A2940,Summary!$L$247:$L$283)+SUMIF(Summary!$A$297:$A$333,$A2940,Summary!$L$297:$L$333))-AK2940,0)</f>
        <v>0</v>
      </c>
      <c r="AM2940" s="198"/>
      <c r="AN2940" s="196">
        <f t="shared" ca="1" si="642"/>
        <v>0</v>
      </c>
      <c r="AO2940" s="196">
        <f t="shared" ca="1" si="643"/>
        <v>0</v>
      </c>
    </row>
    <row r="2941" spans="1:41">
      <c r="A2941" s="189">
        <v>10298</v>
      </c>
      <c r="B2941" s="190">
        <v>5</v>
      </c>
      <c r="C2941" s="191" t="s">
        <v>237</v>
      </c>
      <c r="D2941" s="192">
        <f t="shared" si="630"/>
        <v>0</v>
      </c>
      <c r="E2941" s="192">
        <f t="shared" si="631"/>
        <v>0</v>
      </c>
      <c r="F2941" s="192">
        <f t="shared" si="632"/>
        <v>0</v>
      </c>
      <c r="G2941" s="193">
        <f t="shared" si="633"/>
        <v>0</v>
      </c>
      <c r="H2941" s="194">
        <v>0</v>
      </c>
      <c r="I2941" s="194">
        <v>0</v>
      </c>
      <c r="J2941" s="194">
        <v>0</v>
      </c>
      <c r="K2941" s="193">
        <f t="shared" si="634"/>
        <v>0</v>
      </c>
      <c r="L2941" s="194">
        <v>0</v>
      </c>
      <c r="M2941" s="194">
        <v>0</v>
      </c>
      <c r="N2941" s="194">
        <v>0</v>
      </c>
      <c r="O2941" s="193">
        <f t="shared" si="635"/>
        <v>0</v>
      </c>
      <c r="P2941" s="194">
        <v>0</v>
      </c>
      <c r="Q2941" s="194">
        <v>0</v>
      </c>
      <c r="R2941" s="194">
        <v>0</v>
      </c>
      <c r="S2941" s="193">
        <f t="shared" si="636"/>
        <v>0</v>
      </c>
      <c r="T2941" s="193">
        <f t="shared" si="637"/>
        <v>0</v>
      </c>
      <c r="U2941" s="193">
        <f ca="1">OFFSET('Expenditure Study'!$B$7,'Operations Support'!$C2941,'Operations Support'!$B2941)*$G2941</f>
        <v>0</v>
      </c>
      <c r="V2941" s="199">
        <f ca="1">U2941*'Expenditure Study'!$B$31</f>
        <v>0</v>
      </c>
      <c r="W2941" s="199">
        <f ca="1">IF(A2941=10298,1.51,1)*IF($B2941&lt;3,$D2941*'Expenditure Study'!$B$32*OFFSET('Expenditure Study'!$B$7,'Operations Support'!$C2941,'Operations Support'!$B2941),0)</f>
        <v>0</v>
      </c>
      <c r="X2941" s="200">
        <f ca="1">W2941*'Expenditure Study'!$B$31</f>
        <v>0</v>
      </c>
      <c r="Y2941" s="199">
        <f ca="1">U2941*'Expenditure Study'!$B$31</f>
        <v>0</v>
      </c>
      <c r="Z2941" s="200">
        <f ca="1">W2941*'Expenditure Study'!$B$31</f>
        <v>0</v>
      </c>
      <c r="AA2941" s="195">
        <f t="shared" ca="1" si="638"/>
        <v>0</v>
      </c>
      <c r="AB2941" s="195">
        <f t="shared" ca="1" si="639"/>
        <v>0</v>
      </c>
      <c r="AD2941" s="196">
        <f>IFERROR($G2941/SUMIF($A:$A,$A2941,$G:$G)*SUMIF(Summary!$A$166:$A$242,$A2941,Summary!$P$166:$P$242),0)</f>
        <v>0</v>
      </c>
      <c r="AE2941" s="197">
        <f t="shared" ca="1" si="640"/>
        <v>0</v>
      </c>
      <c r="AF2941" s="196">
        <f>IFERROR(G2941/SUMIF(A:A,A2941,G:G)*SUMIF(Summary!$A$166:$A$242,'Operations Support'!A2941,Summary!$Q$166:$Q$242),0)</f>
        <v>0</v>
      </c>
      <c r="AG2941" s="196">
        <f t="shared" ca="1" si="641"/>
        <v>0</v>
      </c>
      <c r="AI2941" s="196">
        <f>IFERROR($G2941/SUMIF($A:$A,$A2941,$G:$G)*SUMIF(Summary!$A$247:$A$283,$A2941,Summary!$P$247:$P$283),0)</f>
        <v>0</v>
      </c>
      <c r="AJ2941" s="196">
        <f>IFERROR($G2941/SUMIF($A:$A,$A2941,$G:$G)*(SUMIF(Summary!$A$247:$A$283,$A2941,Summary!$L$247:$L$283)+SUMIF(Summary!$A$297:$A$333,$A2941,Summary!$L$297:$L$333))-AI2941,0)</f>
        <v>0</v>
      </c>
      <c r="AK2941" s="196">
        <f>IFERROR($G2941/SUMIF($A:$A,$A2941,$G:$G)*SUMIF(Summary!$A$247:$A$283,$A2941,Summary!$Q$247:$Q$283),0)</f>
        <v>0</v>
      </c>
      <c r="AL2941" s="196">
        <f>IFERROR($G2941/SUMIF($A:$A,$A2941,$G:$G)*(SUMIF(Summary!$A$247:$A$283,$A2941,Summary!$L$247:$L$283)+SUMIF(Summary!$A$297:$A$333,$A2941,Summary!$L$297:$L$333))-AK2941,0)</f>
        <v>0</v>
      </c>
      <c r="AM2941" s="198"/>
      <c r="AN2941" s="196">
        <f t="shared" ca="1" si="642"/>
        <v>0</v>
      </c>
      <c r="AO2941" s="196">
        <f t="shared" ca="1" si="643"/>
        <v>0</v>
      </c>
    </row>
    <row r="2942" spans="1:41">
      <c r="A2942" s="189">
        <v>10298</v>
      </c>
      <c r="B2942" s="190">
        <v>5</v>
      </c>
      <c r="C2942" s="191" t="s">
        <v>238</v>
      </c>
      <c r="D2942" s="192">
        <f t="shared" si="630"/>
        <v>0</v>
      </c>
      <c r="E2942" s="192">
        <f t="shared" si="631"/>
        <v>0</v>
      </c>
      <c r="F2942" s="192">
        <f t="shared" si="632"/>
        <v>0</v>
      </c>
      <c r="G2942" s="193">
        <f t="shared" si="633"/>
        <v>0</v>
      </c>
      <c r="H2942" s="194">
        <v>0</v>
      </c>
      <c r="I2942" s="194">
        <v>0</v>
      </c>
      <c r="J2942" s="194">
        <v>0</v>
      </c>
      <c r="K2942" s="193">
        <f t="shared" si="634"/>
        <v>0</v>
      </c>
      <c r="L2942" s="194">
        <v>0</v>
      </c>
      <c r="M2942" s="194">
        <v>0</v>
      </c>
      <c r="N2942" s="194">
        <v>0</v>
      </c>
      <c r="O2942" s="193">
        <f t="shared" si="635"/>
        <v>0</v>
      </c>
      <c r="P2942" s="194">
        <v>0</v>
      </c>
      <c r="Q2942" s="194">
        <v>0</v>
      </c>
      <c r="R2942" s="194">
        <v>0</v>
      </c>
      <c r="S2942" s="193">
        <f t="shared" si="636"/>
        <v>0</v>
      </c>
      <c r="T2942" s="193">
        <f t="shared" si="637"/>
        <v>0</v>
      </c>
      <c r="U2942" s="193">
        <f ca="1">OFFSET('Expenditure Study'!$B$7,'Operations Support'!$C2942,'Operations Support'!$B2942)*$G2942</f>
        <v>0</v>
      </c>
      <c r="V2942" s="199">
        <f ca="1">U2942*'Expenditure Study'!$B$31</f>
        <v>0</v>
      </c>
      <c r="W2942" s="199">
        <f ca="1">IF(A2942=10298,1.51,1)*IF($B2942&lt;3,$D2942*'Expenditure Study'!$B$32*OFFSET('Expenditure Study'!$B$7,'Operations Support'!$C2942,'Operations Support'!$B2942),0)</f>
        <v>0</v>
      </c>
      <c r="X2942" s="200">
        <f ca="1">W2942*'Expenditure Study'!$B$31</f>
        <v>0</v>
      </c>
      <c r="Y2942" s="199">
        <f ca="1">U2942*'Expenditure Study'!$B$31</f>
        <v>0</v>
      </c>
      <c r="Z2942" s="200">
        <f ca="1">W2942*'Expenditure Study'!$B$31</f>
        <v>0</v>
      </c>
      <c r="AA2942" s="195">
        <f t="shared" ca="1" si="638"/>
        <v>0</v>
      </c>
      <c r="AB2942" s="195">
        <f t="shared" ca="1" si="639"/>
        <v>0</v>
      </c>
      <c r="AD2942" s="196">
        <f>IFERROR($G2942/SUMIF($A:$A,$A2942,$G:$G)*SUMIF(Summary!$A$166:$A$242,$A2942,Summary!$P$166:$P$242),0)</f>
        <v>0</v>
      </c>
      <c r="AE2942" s="197">
        <f t="shared" ca="1" si="640"/>
        <v>0</v>
      </c>
      <c r="AF2942" s="196">
        <f>IFERROR(G2942/SUMIF(A:A,A2942,G:G)*SUMIF(Summary!$A$166:$A$242,'Operations Support'!A2942,Summary!$Q$166:$Q$242),0)</f>
        <v>0</v>
      </c>
      <c r="AG2942" s="196">
        <f t="shared" ca="1" si="641"/>
        <v>0</v>
      </c>
      <c r="AI2942" s="196">
        <f>IFERROR($G2942/SUMIF($A:$A,$A2942,$G:$G)*SUMIF(Summary!$A$247:$A$283,$A2942,Summary!$P$247:$P$283),0)</f>
        <v>0</v>
      </c>
      <c r="AJ2942" s="196">
        <f>IFERROR($G2942/SUMIF($A:$A,$A2942,$G:$G)*(SUMIF(Summary!$A$247:$A$283,$A2942,Summary!$L$247:$L$283)+SUMIF(Summary!$A$297:$A$333,$A2942,Summary!$L$297:$L$333))-AI2942,0)</f>
        <v>0</v>
      </c>
      <c r="AK2942" s="196">
        <f>IFERROR($G2942/SUMIF($A:$A,$A2942,$G:$G)*SUMIF(Summary!$A$247:$A$283,$A2942,Summary!$Q$247:$Q$283),0)</f>
        <v>0</v>
      </c>
      <c r="AL2942" s="196">
        <f>IFERROR($G2942/SUMIF($A:$A,$A2942,$G:$G)*(SUMIF(Summary!$A$247:$A$283,$A2942,Summary!$L$247:$L$283)+SUMIF(Summary!$A$297:$A$333,$A2942,Summary!$L$297:$L$333))-AK2942,0)</f>
        <v>0</v>
      </c>
      <c r="AM2942" s="198"/>
      <c r="AN2942" s="196">
        <f t="shared" ca="1" si="642"/>
        <v>0</v>
      </c>
      <c r="AO2942" s="196">
        <f t="shared" ca="1" si="643"/>
        <v>0</v>
      </c>
    </row>
    <row r="2943" spans="1:41">
      <c r="A2943" s="189">
        <v>10298</v>
      </c>
      <c r="B2943" s="190">
        <v>5</v>
      </c>
      <c r="C2943" s="191" t="s">
        <v>239</v>
      </c>
      <c r="D2943" s="192">
        <f t="shared" si="630"/>
        <v>0</v>
      </c>
      <c r="E2943" s="192">
        <f t="shared" si="631"/>
        <v>0</v>
      </c>
      <c r="F2943" s="192">
        <f t="shared" si="632"/>
        <v>0</v>
      </c>
      <c r="G2943" s="193">
        <f t="shared" si="633"/>
        <v>0</v>
      </c>
      <c r="H2943" s="194">
        <v>0</v>
      </c>
      <c r="I2943" s="194">
        <v>0</v>
      </c>
      <c r="J2943" s="194">
        <v>0</v>
      </c>
      <c r="K2943" s="193">
        <f t="shared" si="634"/>
        <v>0</v>
      </c>
      <c r="L2943" s="194">
        <v>0</v>
      </c>
      <c r="M2943" s="194">
        <v>0</v>
      </c>
      <c r="N2943" s="194">
        <v>0</v>
      </c>
      <c r="O2943" s="193">
        <f t="shared" si="635"/>
        <v>0</v>
      </c>
      <c r="P2943" s="194">
        <v>0</v>
      </c>
      <c r="Q2943" s="194">
        <v>0</v>
      </c>
      <c r="R2943" s="194">
        <v>0</v>
      </c>
      <c r="S2943" s="193">
        <f t="shared" si="636"/>
        <v>0</v>
      </c>
      <c r="T2943" s="193">
        <f t="shared" si="637"/>
        <v>0</v>
      </c>
      <c r="U2943" s="193">
        <f ca="1">OFFSET('Expenditure Study'!$B$7,'Operations Support'!$C2943,'Operations Support'!$B2943)*$G2943</f>
        <v>0</v>
      </c>
      <c r="V2943" s="199">
        <f ca="1">U2943*'Expenditure Study'!$B$31</f>
        <v>0</v>
      </c>
      <c r="W2943" s="199">
        <f ca="1">IF(A2943=10298,1.51,1)*IF($B2943&lt;3,$D2943*'Expenditure Study'!$B$32*OFFSET('Expenditure Study'!$B$7,'Operations Support'!$C2943,'Operations Support'!$B2943),0)</f>
        <v>0</v>
      </c>
      <c r="X2943" s="200">
        <f ca="1">W2943*'Expenditure Study'!$B$31</f>
        <v>0</v>
      </c>
      <c r="Y2943" s="199">
        <f ca="1">U2943*'Expenditure Study'!$B$31</f>
        <v>0</v>
      </c>
      <c r="Z2943" s="200">
        <f ca="1">W2943*'Expenditure Study'!$B$31</f>
        <v>0</v>
      </c>
      <c r="AA2943" s="195">
        <f t="shared" ca="1" si="638"/>
        <v>0</v>
      </c>
      <c r="AB2943" s="195">
        <f t="shared" ca="1" si="639"/>
        <v>0</v>
      </c>
      <c r="AD2943" s="196">
        <f>IFERROR($G2943/SUMIF($A:$A,$A2943,$G:$G)*SUMIF(Summary!$A$166:$A$242,$A2943,Summary!$P$166:$P$242),0)</f>
        <v>0</v>
      </c>
      <c r="AE2943" s="197">
        <f t="shared" ca="1" si="640"/>
        <v>0</v>
      </c>
      <c r="AF2943" s="196">
        <f>IFERROR(G2943/SUMIF(A:A,A2943,G:G)*SUMIF(Summary!$A$166:$A$242,'Operations Support'!A2943,Summary!$Q$166:$Q$242),0)</f>
        <v>0</v>
      </c>
      <c r="AG2943" s="196">
        <f t="shared" ca="1" si="641"/>
        <v>0</v>
      </c>
      <c r="AI2943" s="196">
        <f>IFERROR($G2943/SUMIF($A:$A,$A2943,$G:$G)*SUMIF(Summary!$A$247:$A$283,$A2943,Summary!$P$247:$P$283),0)</f>
        <v>0</v>
      </c>
      <c r="AJ2943" s="196">
        <f>IFERROR($G2943/SUMIF($A:$A,$A2943,$G:$G)*(SUMIF(Summary!$A$247:$A$283,$A2943,Summary!$L$247:$L$283)+SUMIF(Summary!$A$297:$A$333,$A2943,Summary!$L$297:$L$333))-AI2943,0)</f>
        <v>0</v>
      </c>
      <c r="AK2943" s="196">
        <f>IFERROR($G2943/SUMIF($A:$A,$A2943,$G:$G)*SUMIF(Summary!$A$247:$A$283,$A2943,Summary!$Q$247:$Q$283),0)</f>
        <v>0</v>
      </c>
      <c r="AL2943" s="196">
        <f>IFERROR($G2943/SUMIF($A:$A,$A2943,$G:$G)*(SUMIF(Summary!$A$247:$A$283,$A2943,Summary!$L$247:$L$283)+SUMIF(Summary!$A$297:$A$333,$A2943,Summary!$L$297:$L$333))-AK2943,0)</f>
        <v>0</v>
      </c>
      <c r="AM2943" s="198"/>
      <c r="AN2943" s="196">
        <f t="shared" ca="1" si="642"/>
        <v>0</v>
      </c>
      <c r="AO2943" s="196">
        <f t="shared" ca="1" si="643"/>
        <v>0</v>
      </c>
    </row>
    <row r="2944" spans="1:41">
      <c r="A2944" s="189">
        <v>10298</v>
      </c>
      <c r="B2944" s="190">
        <v>5</v>
      </c>
      <c r="C2944" s="191" t="s">
        <v>240</v>
      </c>
      <c r="D2944" s="192">
        <f t="shared" si="630"/>
        <v>0</v>
      </c>
      <c r="E2944" s="192">
        <f t="shared" si="631"/>
        <v>0</v>
      </c>
      <c r="F2944" s="192">
        <f t="shared" si="632"/>
        <v>0</v>
      </c>
      <c r="G2944" s="193">
        <f t="shared" si="633"/>
        <v>0</v>
      </c>
      <c r="H2944" s="194">
        <v>0</v>
      </c>
      <c r="I2944" s="194">
        <v>0</v>
      </c>
      <c r="J2944" s="194">
        <v>0</v>
      </c>
      <c r="K2944" s="193">
        <f t="shared" si="634"/>
        <v>0</v>
      </c>
      <c r="L2944" s="194">
        <v>0</v>
      </c>
      <c r="M2944" s="194">
        <v>0</v>
      </c>
      <c r="N2944" s="194">
        <v>0</v>
      </c>
      <c r="O2944" s="193">
        <f t="shared" si="635"/>
        <v>0</v>
      </c>
      <c r="P2944" s="194">
        <v>0</v>
      </c>
      <c r="Q2944" s="194">
        <v>0</v>
      </c>
      <c r="R2944" s="194">
        <v>0</v>
      </c>
      <c r="S2944" s="193">
        <f t="shared" si="636"/>
        <v>0</v>
      </c>
      <c r="T2944" s="193">
        <f t="shared" si="637"/>
        <v>0</v>
      </c>
      <c r="U2944" s="193">
        <f ca="1">OFFSET('Expenditure Study'!$B$7,'Operations Support'!$C2944,'Operations Support'!$B2944)*$G2944</f>
        <v>0</v>
      </c>
      <c r="V2944" s="199">
        <f ca="1">U2944*'Expenditure Study'!$B$31</f>
        <v>0</v>
      </c>
      <c r="W2944" s="199">
        <f ca="1">IF(A2944=10298,1.51,1)*IF($B2944&lt;3,$D2944*'Expenditure Study'!$B$32*OFFSET('Expenditure Study'!$B$7,'Operations Support'!$C2944,'Operations Support'!$B2944),0)</f>
        <v>0</v>
      </c>
      <c r="X2944" s="200">
        <f ca="1">W2944*'Expenditure Study'!$B$31</f>
        <v>0</v>
      </c>
      <c r="Y2944" s="199">
        <f ca="1">U2944*'Expenditure Study'!$B$31</f>
        <v>0</v>
      </c>
      <c r="Z2944" s="200">
        <f ca="1">W2944*'Expenditure Study'!$B$31</f>
        <v>0</v>
      </c>
      <c r="AA2944" s="195">
        <f t="shared" ca="1" si="638"/>
        <v>0</v>
      </c>
      <c r="AB2944" s="195">
        <f t="shared" ca="1" si="639"/>
        <v>0</v>
      </c>
      <c r="AD2944" s="196">
        <f>IFERROR($G2944/SUMIF($A:$A,$A2944,$G:$G)*SUMIF(Summary!$A$166:$A$242,$A2944,Summary!$P$166:$P$242),0)</f>
        <v>0</v>
      </c>
      <c r="AE2944" s="197">
        <f t="shared" ca="1" si="640"/>
        <v>0</v>
      </c>
      <c r="AF2944" s="196">
        <f>IFERROR(G2944/SUMIF(A:A,A2944,G:G)*SUMIF(Summary!$A$166:$A$242,'Operations Support'!A2944,Summary!$Q$166:$Q$242),0)</f>
        <v>0</v>
      </c>
      <c r="AG2944" s="196">
        <f t="shared" ca="1" si="641"/>
        <v>0</v>
      </c>
      <c r="AI2944" s="196">
        <f>IFERROR($G2944/SUMIF($A:$A,$A2944,$G:$G)*SUMIF(Summary!$A$247:$A$283,$A2944,Summary!$P$247:$P$283),0)</f>
        <v>0</v>
      </c>
      <c r="AJ2944" s="196">
        <f>IFERROR($G2944/SUMIF($A:$A,$A2944,$G:$G)*(SUMIF(Summary!$A$247:$A$283,$A2944,Summary!$L$247:$L$283)+SUMIF(Summary!$A$297:$A$333,$A2944,Summary!$L$297:$L$333))-AI2944,0)</f>
        <v>0</v>
      </c>
      <c r="AK2944" s="196">
        <f>IFERROR($G2944/SUMIF($A:$A,$A2944,$G:$G)*SUMIF(Summary!$A$247:$A$283,$A2944,Summary!$Q$247:$Q$283),0)</f>
        <v>0</v>
      </c>
      <c r="AL2944" s="196">
        <f>IFERROR($G2944/SUMIF($A:$A,$A2944,$G:$G)*(SUMIF(Summary!$A$247:$A$283,$A2944,Summary!$L$247:$L$283)+SUMIF(Summary!$A$297:$A$333,$A2944,Summary!$L$297:$L$333))-AK2944,0)</f>
        <v>0</v>
      </c>
      <c r="AM2944" s="198"/>
      <c r="AN2944" s="196">
        <f t="shared" ca="1" si="642"/>
        <v>0</v>
      </c>
      <c r="AO2944" s="196">
        <f t="shared" ca="1" si="643"/>
        <v>0</v>
      </c>
    </row>
    <row r="2945" spans="1:41">
      <c r="A2945" s="189">
        <v>11161</v>
      </c>
      <c r="B2945" s="190">
        <v>1</v>
      </c>
      <c r="C2945" s="191" t="s">
        <v>220</v>
      </c>
      <c r="D2945" s="192">
        <f t="shared" si="630"/>
        <v>27565</v>
      </c>
      <c r="E2945" s="192">
        <f t="shared" si="631"/>
        <v>37869</v>
      </c>
      <c r="F2945" s="192">
        <f t="shared" si="632"/>
        <v>0</v>
      </c>
      <c r="G2945" s="193">
        <f t="shared" si="633"/>
        <v>65434</v>
      </c>
      <c r="H2945" s="194">
        <v>11104</v>
      </c>
      <c r="I2945" s="194">
        <v>17201</v>
      </c>
      <c r="J2945" s="194">
        <v>0</v>
      </c>
      <c r="K2945" s="193">
        <f t="shared" si="634"/>
        <v>28305</v>
      </c>
      <c r="L2945" s="194">
        <v>13412</v>
      </c>
      <c r="M2945" s="194">
        <v>18684</v>
      </c>
      <c r="N2945" s="194">
        <v>0</v>
      </c>
      <c r="O2945" s="193">
        <f t="shared" si="635"/>
        <v>32096</v>
      </c>
      <c r="P2945" s="194">
        <v>3049</v>
      </c>
      <c r="Q2945" s="194">
        <v>1984</v>
      </c>
      <c r="R2945" s="194">
        <v>0</v>
      </c>
      <c r="S2945" s="193">
        <f t="shared" si="636"/>
        <v>5033</v>
      </c>
      <c r="T2945" s="193">
        <f t="shared" si="637"/>
        <v>2181.1333333333332</v>
      </c>
      <c r="U2945" s="193">
        <f ca="1">OFFSET('Expenditure Study'!$B$7,'Operations Support'!$C2945,'Operations Support'!$B2945)*$G2945</f>
        <v>65434</v>
      </c>
      <c r="V2945" s="199">
        <f ca="1">U2945*'Expenditure Study'!$B$31</f>
        <v>3866048.8524672003</v>
      </c>
      <c r="W2945" s="199">
        <f ca="1">IF(A2945=10298,1.51,1)*IF($B2945&lt;3,$D2945*'Expenditure Study'!$B$32*OFFSET('Expenditure Study'!$B$7,'Operations Support'!$C2945,'Operations Support'!$B2945),0)</f>
        <v>2756.5</v>
      </c>
      <c r="X2945" s="200">
        <f ca="1">W2945*'Expenditure Study'!$B$31</f>
        <v>162862.78787520001</v>
      </c>
      <c r="Y2945" s="199">
        <f ca="1">U2945*'Expenditure Study'!$B$31</f>
        <v>3866048.8524672003</v>
      </c>
      <c r="Z2945" s="200">
        <f ca="1">W2945*'Expenditure Study'!$B$31</f>
        <v>162862.78787520001</v>
      </c>
      <c r="AA2945" s="195">
        <f t="shared" ca="1" si="638"/>
        <v>4028911.6403424004</v>
      </c>
      <c r="AB2945" s="195">
        <f t="shared" ca="1" si="639"/>
        <v>4028911.6403424004</v>
      </c>
      <c r="AD2945" s="196">
        <f>IFERROR($G2945/SUMIF($A:$A,$A2945,$G:$G)*SUMIF(Summary!$A$166:$A$242,$A2945,Summary!$P$166:$P$242),0)</f>
        <v>2349149.1707671746</v>
      </c>
      <c r="AE2945" s="197">
        <f t="shared" ca="1" si="640"/>
        <v>1679762.4695752258</v>
      </c>
      <c r="AF2945" s="196">
        <f>IFERROR(G2945/SUMIF(A:A,A2945,G:G)*SUMIF(Summary!$A$166:$A$242,'Operations Support'!A2945,Summary!$Q$166:$Q$242),0)</f>
        <v>2349738.5871850504</v>
      </c>
      <c r="AG2945" s="196">
        <f t="shared" ca="1" si="641"/>
        <v>1679173.05315735</v>
      </c>
      <c r="AI2945" s="196">
        <f>IFERROR($G2945/SUMIF($A:$A,$A2945,$G:$G)*SUMIF(Summary!$A$247:$A$283,$A2945,Summary!$P$247:$P$283),0)</f>
        <v>428426.18638383801</v>
      </c>
      <c r="AJ2945" s="196">
        <f>IFERROR($G2945/SUMIF($A:$A,$A2945,$G:$G)*(SUMIF(Summary!$A$247:$A$283,$A2945,Summary!$L$247:$L$283)+SUMIF(Summary!$A$297:$A$333,$A2945,Summary!$L$297:$L$333))-AI2945,0)</f>
        <v>1295869.0811631011</v>
      </c>
      <c r="AK2945" s="196">
        <f>IFERROR($G2945/SUMIF($A:$A,$A2945,$G:$G)*SUMIF(Summary!$A$247:$A$283,$A2945,Summary!$Q$247:$Q$283),0)</f>
        <v>428533.68122973584</v>
      </c>
      <c r="AL2945" s="196">
        <f>IFERROR($G2945/SUMIF($A:$A,$A2945,$G:$G)*(SUMIF(Summary!$A$247:$A$283,$A2945,Summary!$L$247:$L$283)+SUMIF(Summary!$A$297:$A$333,$A2945,Summary!$L$297:$L$333))-AK2945,0)</f>
        <v>1295761.5863172035</v>
      </c>
      <c r="AM2945" s="198"/>
      <c r="AN2945" s="196">
        <f t="shared" ca="1" si="642"/>
        <v>2975631.5507383272</v>
      </c>
      <c r="AO2945" s="196">
        <f t="shared" ca="1" si="643"/>
        <v>2974934.6394745535</v>
      </c>
    </row>
    <row r="2946" spans="1:41">
      <c r="A2946" s="189">
        <v>11161</v>
      </c>
      <c r="B2946" s="190">
        <v>1</v>
      </c>
      <c r="C2946" s="191" t="s">
        <v>221</v>
      </c>
      <c r="D2946" s="192">
        <f t="shared" si="630"/>
        <v>7368</v>
      </c>
      <c r="E2946" s="192">
        <f t="shared" si="631"/>
        <v>20284</v>
      </c>
      <c r="F2946" s="192">
        <f t="shared" si="632"/>
        <v>0</v>
      </c>
      <c r="G2946" s="193">
        <f t="shared" si="633"/>
        <v>27652</v>
      </c>
      <c r="H2946" s="194">
        <v>2634</v>
      </c>
      <c r="I2946" s="194">
        <v>9527</v>
      </c>
      <c r="J2946" s="194">
        <v>0</v>
      </c>
      <c r="K2946" s="193">
        <f t="shared" si="634"/>
        <v>12161</v>
      </c>
      <c r="L2946" s="194">
        <v>3937</v>
      </c>
      <c r="M2946" s="194">
        <v>9603</v>
      </c>
      <c r="N2946" s="194">
        <v>0</v>
      </c>
      <c r="O2946" s="193">
        <f t="shared" si="635"/>
        <v>13540</v>
      </c>
      <c r="P2946" s="194">
        <v>797</v>
      </c>
      <c r="Q2946" s="194">
        <v>1154</v>
      </c>
      <c r="R2946" s="194">
        <v>0</v>
      </c>
      <c r="S2946" s="193">
        <f t="shared" si="636"/>
        <v>1951</v>
      </c>
      <c r="T2946" s="193">
        <f t="shared" si="637"/>
        <v>921.73333333333335</v>
      </c>
      <c r="U2946" s="193">
        <f ca="1">OFFSET('Expenditure Study'!$B$7,'Operations Support'!$C2946,'Operations Support'!$B2946)*$G2946</f>
        <v>37053.68</v>
      </c>
      <c r="V2946" s="199">
        <f ca="1">U2946*'Expenditure Study'!$B$31</f>
        <v>2189249.2747453442</v>
      </c>
      <c r="W2946" s="199">
        <f ca="1">IF(A2946=10298,1.51,1)*IF($B2946&lt;3,$D2946*'Expenditure Study'!$B$32*OFFSET('Expenditure Study'!$B$7,'Operations Support'!$C2946,'Operations Support'!$B2946),0)</f>
        <v>987.31200000000013</v>
      </c>
      <c r="X2946" s="200">
        <f ca="1">W2946*'Expenditure Study'!$B$31</f>
        <v>58333.533402009605</v>
      </c>
      <c r="Y2946" s="199">
        <f ca="1">U2946*'Expenditure Study'!$B$31</f>
        <v>2189249.2747453442</v>
      </c>
      <c r="Z2946" s="200">
        <f ca="1">W2946*'Expenditure Study'!$B$31</f>
        <v>58333.533402009605</v>
      </c>
      <c r="AA2946" s="195">
        <f t="shared" ca="1" si="638"/>
        <v>2247582.8081473536</v>
      </c>
      <c r="AB2946" s="195">
        <f t="shared" ca="1" si="639"/>
        <v>2247582.8081473536</v>
      </c>
      <c r="AD2946" s="196">
        <f>IFERROR($G2946/SUMIF($A:$A,$A2946,$G:$G)*SUMIF(Summary!$A$166:$A$242,$A2946,Summary!$P$166:$P$242),0)</f>
        <v>992735.77757823013</v>
      </c>
      <c r="AE2946" s="197">
        <f t="shared" ca="1" si="640"/>
        <v>1254847.0305691236</v>
      </c>
      <c r="AF2946" s="196">
        <f>IFERROR(G2946/SUMIF(A:A,A2946,G:G)*SUMIF(Summary!$A$166:$A$242,'Operations Support'!A2946,Summary!$Q$166:$Q$242),0)</f>
        <v>992984.86127763882</v>
      </c>
      <c r="AG2946" s="196">
        <f t="shared" ca="1" si="641"/>
        <v>1254597.9468697147</v>
      </c>
      <c r="AI2946" s="196">
        <f>IFERROR($G2946/SUMIF($A:$A,$A2946,$G:$G)*SUMIF(Summary!$A$247:$A$283,$A2946,Summary!$P$247:$P$283),0)</f>
        <v>181050.23238508863</v>
      </c>
      <c r="AJ2946" s="196">
        <f>IFERROR($G2946/SUMIF($A:$A,$A2946,$G:$G)*(SUMIF(Summary!$A$247:$A$283,$A2946,Summary!$L$247:$L$283)+SUMIF(Summary!$A$297:$A$333,$A2946,Summary!$L$297:$L$333))-AI2946,0)</f>
        <v>547626.18565764092</v>
      </c>
      <c r="AK2946" s="196">
        <f>IFERROR($G2946/SUMIF($A:$A,$A2946,$G:$G)*SUMIF(Summary!$A$247:$A$283,$A2946,Summary!$Q$247:$Q$283),0)</f>
        <v>181095.65903604633</v>
      </c>
      <c r="AL2946" s="196">
        <f>IFERROR($G2946/SUMIF($A:$A,$A2946,$G:$G)*(SUMIF(Summary!$A$247:$A$283,$A2946,Summary!$L$247:$L$283)+SUMIF(Summary!$A$297:$A$333,$A2946,Summary!$L$297:$L$333))-AK2946,0)</f>
        <v>547580.75900668313</v>
      </c>
      <c r="AM2946" s="198"/>
      <c r="AN2946" s="196">
        <f t="shared" ca="1" si="642"/>
        <v>1802473.2162267645</v>
      </c>
      <c r="AO2946" s="196">
        <f t="shared" ca="1" si="643"/>
        <v>1802178.7058763979</v>
      </c>
    </row>
    <row r="2947" spans="1:41">
      <c r="A2947" s="189">
        <v>11161</v>
      </c>
      <c r="B2947" s="190">
        <v>1</v>
      </c>
      <c r="C2947" s="191" t="s">
        <v>222</v>
      </c>
      <c r="D2947" s="192">
        <f t="shared" si="630"/>
        <v>5517</v>
      </c>
      <c r="E2947" s="192">
        <f t="shared" si="631"/>
        <v>4778</v>
      </c>
      <c r="F2947" s="192">
        <f t="shared" si="632"/>
        <v>0</v>
      </c>
      <c r="G2947" s="193">
        <f t="shared" si="633"/>
        <v>10295</v>
      </c>
      <c r="H2947" s="194">
        <v>2217</v>
      </c>
      <c r="I2947" s="194">
        <v>2010</v>
      </c>
      <c r="J2947" s="194">
        <v>0</v>
      </c>
      <c r="K2947" s="193">
        <f t="shared" si="634"/>
        <v>4227</v>
      </c>
      <c r="L2947" s="194">
        <v>2907</v>
      </c>
      <c r="M2947" s="194">
        <v>2623</v>
      </c>
      <c r="N2947" s="194">
        <v>0</v>
      </c>
      <c r="O2947" s="193">
        <f t="shared" si="635"/>
        <v>5530</v>
      </c>
      <c r="P2947" s="194">
        <v>393</v>
      </c>
      <c r="Q2947" s="194">
        <v>145</v>
      </c>
      <c r="R2947" s="194">
        <v>0</v>
      </c>
      <c r="S2947" s="193">
        <f t="shared" si="636"/>
        <v>538</v>
      </c>
      <c r="T2947" s="193">
        <f t="shared" si="637"/>
        <v>343.16666666666669</v>
      </c>
      <c r="U2947" s="193">
        <f ca="1">OFFSET('Expenditure Study'!$B$7,'Operations Support'!$C2947,'Operations Support'!$B2947)*$G2947</f>
        <v>14104.150000000001</v>
      </c>
      <c r="V2947" s="199">
        <f ca="1">U2947*'Expenditure Study'!$B$31</f>
        <v>833318.04448032007</v>
      </c>
      <c r="W2947" s="199">
        <f ca="1">IF(A2947=10298,1.51,1)*IF($B2947&lt;3,$D2947*'Expenditure Study'!$B$32*OFFSET('Expenditure Study'!$B$7,'Operations Support'!$C2947,'Operations Support'!$B2947),0)</f>
        <v>755.82900000000006</v>
      </c>
      <c r="X2947" s="200">
        <f ca="1">W2947*'Expenditure Study'!$B$31</f>
        <v>44656.781460883205</v>
      </c>
      <c r="Y2947" s="199">
        <f ca="1">U2947*'Expenditure Study'!$B$31</f>
        <v>833318.04448032007</v>
      </c>
      <c r="Z2947" s="200">
        <f ca="1">W2947*'Expenditure Study'!$B$31</f>
        <v>44656.781460883205</v>
      </c>
      <c r="AA2947" s="195">
        <f t="shared" ca="1" si="638"/>
        <v>877974.82594120328</v>
      </c>
      <c r="AB2947" s="195">
        <f t="shared" ca="1" si="639"/>
        <v>877974.82594120328</v>
      </c>
      <c r="AD2947" s="196">
        <f>IFERROR($G2947/SUMIF($A:$A,$A2947,$G:$G)*SUMIF(Summary!$A$166:$A$242,$A2947,Summary!$P$166:$P$242),0)</f>
        <v>369601.28852046427</v>
      </c>
      <c r="AE2947" s="197">
        <f t="shared" ca="1" si="640"/>
        <v>508373.53742073901</v>
      </c>
      <c r="AF2947" s="196">
        <f>IFERROR(G2947/SUMIF(A:A,A2947,G:G)*SUMIF(Summary!$A$166:$A$242,'Operations Support'!A2947,Summary!$Q$166:$Q$242),0)</f>
        <v>369694.02382660535</v>
      </c>
      <c r="AG2947" s="196">
        <f t="shared" ca="1" si="641"/>
        <v>508280.80211459793</v>
      </c>
      <c r="AI2947" s="196">
        <f>IFERROR($G2947/SUMIF($A:$A,$A2947,$G:$G)*SUMIF(Summary!$A$247:$A$283,$A2947,Summary!$P$247:$P$283),0)</f>
        <v>67406.051728789505</v>
      </c>
      <c r="AJ2947" s="196">
        <f>IFERROR($G2947/SUMIF($A:$A,$A2947,$G:$G)*(SUMIF(Summary!$A$247:$A$283,$A2947,Summary!$L$247:$L$283)+SUMIF(Summary!$A$297:$A$333,$A2947,Summary!$L$297:$L$333))-AI2947,0)</f>
        <v>203884.40551661403</v>
      </c>
      <c r="AK2947" s="196">
        <f>IFERROR($G2947/SUMIF($A:$A,$A2947,$G:$G)*SUMIF(Summary!$A$247:$A$283,$A2947,Summary!$Q$247:$Q$283),0)</f>
        <v>67422.96433444586</v>
      </c>
      <c r="AL2947" s="196">
        <f>IFERROR($G2947/SUMIF($A:$A,$A2947,$G:$G)*(SUMIF(Summary!$A$247:$A$283,$A2947,Summary!$L$247:$L$283)+SUMIF(Summary!$A$297:$A$333,$A2947,Summary!$L$297:$L$333))-AK2947,0)</f>
        <v>203867.49291095769</v>
      </c>
      <c r="AM2947" s="198"/>
      <c r="AN2947" s="196">
        <f t="shared" ca="1" si="642"/>
        <v>712257.94293735304</v>
      </c>
      <c r="AO2947" s="196">
        <f t="shared" ca="1" si="643"/>
        <v>712148.29502555565</v>
      </c>
    </row>
    <row r="2948" spans="1:41">
      <c r="A2948" s="189">
        <v>11161</v>
      </c>
      <c r="B2948" s="190">
        <v>1</v>
      </c>
      <c r="C2948" s="191" t="s">
        <v>223</v>
      </c>
      <c r="D2948" s="192">
        <f t="shared" si="630"/>
        <v>348</v>
      </c>
      <c r="E2948" s="192">
        <f t="shared" si="631"/>
        <v>687</v>
      </c>
      <c r="F2948" s="192">
        <f t="shared" si="632"/>
        <v>0</v>
      </c>
      <c r="G2948" s="193">
        <f t="shared" si="633"/>
        <v>1035</v>
      </c>
      <c r="H2948" s="194">
        <v>126</v>
      </c>
      <c r="I2948" s="194">
        <v>300</v>
      </c>
      <c r="J2948" s="194">
        <v>0</v>
      </c>
      <c r="K2948" s="193">
        <f t="shared" si="634"/>
        <v>426</v>
      </c>
      <c r="L2948" s="194">
        <v>177</v>
      </c>
      <c r="M2948" s="194">
        <v>369</v>
      </c>
      <c r="N2948" s="194">
        <v>0</v>
      </c>
      <c r="O2948" s="193">
        <f t="shared" si="635"/>
        <v>546</v>
      </c>
      <c r="P2948" s="194">
        <v>45</v>
      </c>
      <c r="Q2948" s="194">
        <v>18</v>
      </c>
      <c r="R2948" s="194">
        <v>0</v>
      </c>
      <c r="S2948" s="193">
        <f t="shared" si="636"/>
        <v>63</v>
      </c>
      <c r="T2948" s="193">
        <f t="shared" si="637"/>
        <v>34.5</v>
      </c>
      <c r="U2948" s="193">
        <f ca="1">OFFSET('Expenditure Study'!$B$7,'Operations Support'!$C2948,'Operations Support'!$B2948)*$G2948</f>
        <v>1304.0999999999999</v>
      </c>
      <c r="V2948" s="199">
        <f ca="1">U2948*'Expenditure Study'!$B$31</f>
        <v>77050.376081280003</v>
      </c>
      <c r="W2948" s="199">
        <f ca="1">IF(A2948=10298,1.51,1)*IF($B2948&lt;3,$D2948*'Expenditure Study'!$B$32*OFFSET('Expenditure Study'!$B$7,'Operations Support'!$C2948,'Operations Support'!$B2948),0)</f>
        <v>43.848000000000006</v>
      </c>
      <c r="X2948" s="200">
        <f ca="1">W2948*'Expenditure Study'!$B$31</f>
        <v>2590.6793117184002</v>
      </c>
      <c r="Y2948" s="199">
        <f ca="1">U2948*'Expenditure Study'!$B$31</f>
        <v>77050.376081280003</v>
      </c>
      <c r="Z2948" s="200">
        <f ca="1">W2948*'Expenditure Study'!$B$31</f>
        <v>2590.6793117184002</v>
      </c>
      <c r="AA2948" s="195">
        <f t="shared" ca="1" si="638"/>
        <v>79641.055392998402</v>
      </c>
      <c r="AB2948" s="195">
        <f t="shared" ca="1" si="639"/>
        <v>79641.055392998402</v>
      </c>
      <c r="AD2948" s="196">
        <f>IFERROR($G2948/SUMIF($A:$A,$A2948,$G:$G)*SUMIF(Summary!$A$166:$A$242,$A2948,Summary!$P$166:$P$242),0)</f>
        <v>37157.584615704764</v>
      </c>
      <c r="AE2948" s="197">
        <f t="shared" ca="1" si="640"/>
        <v>42483.470777293638</v>
      </c>
      <c r="AF2948" s="196">
        <f>IFERROR(G2948/SUMIF(A:A,A2948,G:G)*SUMIF(Summary!$A$166:$A$242,'Operations Support'!A2948,Summary!$Q$166:$Q$242),0)</f>
        <v>37166.907689221618</v>
      </c>
      <c r="AG2948" s="196">
        <f t="shared" ca="1" si="641"/>
        <v>42474.147703776784</v>
      </c>
      <c r="AI2948" s="196">
        <f>IFERROR($G2948/SUMIF($A:$A,$A2948,$G:$G)*SUMIF(Summary!$A$247:$A$283,$A2948,Summary!$P$247:$P$283),0)</f>
        <v>6776.616176716575</v>
      </c>
      <c r="AJ2948" s="196">
        <f>IFERROR($G2948/SUMIF($A:$A,$A2948,$G:$G)*(SUMIF(Summary!$A$247:$A$283,$A2948,Summary!$L$247:$L$283)+SUMIF(Summary!$A$297:$A$333,$A2948,Summary!$L$297:$L$333))-AI2948,0)</f>
        <v>20497.363740621229</v>
      </c>
      <c r="AK2948" s="196">
        <f>IFERROR($G2948/SUMIF($A:$A,$A2948,$G:$G)*SUMIF(Summary!$A$247:$A$283,$A2948,Summary!$Q$247:$Q$283),0)</f>
        <v>6778.3164726713421</v>
      </c>
      <c r="AL2948" s="196">
        <f>IFERROR($G2948/SUMIF($A:$A,$A2948,$G:$G)*(SUMIF(Summary!$A$247:$A$283,$A2948,Summary!$L$247:$L$283)+SUMIF(Summary!$A$297:$A$333,$A2948,Summary!$L$297:$L$333))-AK2948,0)</f>
        <v>20495.663444666461</v>
      </c>
      <c r="AM2948" s="198"/>
      <c r="AN2948" s="196">
        <f t="shared" ca="1" si="642"/>
        <v>62980.834517914867</v>
      </c>
      <c r="AO2948" s="196">
        <f t="shared" ca="1" si="643"/>
        <v>62969.811148443245</v>
      </c>
    </row>
    <row r="2949" spans="1:41">
      <c r="A2949" s="189">
        <v>11161</v>
      </c>
      <c r="B2949" s="190">
        <v>1</v>
      </c>
      <c r="C2949" s="191" t="s">
        <v>224</v>
      </c>
      <c r="D2949" s="192">
        <f t="shared" ref="D2949:D3012" si="644">H2949+L2949+P2949</f>
        <v>0</v>
      </c>
      <c r="E2949" s="192">
        <f t="shared" ref="E2949:E3012" si="645">I2949+M2949+Q2949</f>
        <v>3</v>
      </c>
      <c r="F2949" s="192">
        <f t="shared" ref="F2949:F3012" si="646">J2949+N2949+R2949</f>
        <v>0</v>
      </c>
      <c r="G2949" s="193">
        <f t="shared" ref="G2949:G3012" si="647">(SUM(D2949:E2949)-F2949)*IF(A2949=10298,1.51,1)</f>
        <v>3</v>
      </c>
      <c r="H2949" s="194">
        <v>0</v>
      </c>
      <c r="I2949" s="194">
        <v>0</v>
      </c>
      <c r="J2949" s="194">
        <v>0</v>
      </c>
      <c r="K2949" s="193">
        <f t="shared" ref="K2949:K3012" si="648">SUM(H2949:I2949)-J2949</f>
        <v>0</v>
      </c>
      <c r="L2949" s="194">
        <v>0</v>
      </c>
      <c r="M2949" s="194">
        <v>3</v>
      </c>
      <c r="N2949" s="194">
        <v>0</v>
      </c>
      <c r="O2949" s="193">
        <f t="shared" ref="O2949:O3012" si="649">SUM(L2949:M2949)-N2949</f>
        <v>3</v>
      </c>
      <c r="P2949" s="194">
        <v>0</v>
      </c>
      <c r="Q2949" s="194">
        <v>0</v>
      </c>
      <c r="R2949" s="194">
        <v>0</v>
      </c>
      <c r="S2949" s="193">
        <f t="shared" ref="S2949:S3012" si="650">SUM(P2949:Q2949)-R2949</f>
        <v>0</v>
      </c>
      <c r="T2949" s="193">
        <f t="shared" ref="T2949:T3012" si="651">IF(OR(B2949=1,B2949=2),G2949/30,IF(OR(B2949=3,B2949=5),G2949/24,IF(B2949=4,G2949/18,0)))</f>
        <v>0.1</v>
      </c>
      <c r="U2949" s="193">
        <f ca="1">OFFSET('Expenditure Study'!$B$7,'Operations Support'!$C2949,'Operations Support'!$B2949)*$G2949</f>
        <v>4.4399999999999995</v>
      </c>
      <c r="V2949" s="199">
        <f ca="1">U2949*'Expenditure Study'!$B$31</f>
        <v>262.329322752</v>
      </c>
      <c r="W2949" s="199">
        <f ca="1">IF(A2949=10298,1.51,1)*IF($B2949&lt;3,$D2949*'Expenditure Study'!$B$32*OFFSET('Expenditure Study'!$B$7,'Operations Support'!$C2949,'Operations Support'!$B2949),0)</f>
        <v>0</v>
      </c>
      <c r="X2949" s="200">
        <f ca="1">W2949*'Expenditure Study'!$B$31</f>
        <v>0</v>
      </c>
      <c r="Y2949" s="199">
        <f ca="1">U2949*'Expenditure Study'!$B$31</f>
        <v>262.329322752</v>
      </c>
      <c r="Z2949" s="200">
        <f ca="1">W2949*'Expenditure Study'!$B$31</f>
        <v>0</v>
      </c>
      <c r="AA2949" s="195">
        <f t="shared" ref="AA2949:AA3012" ca="1" si="652">V2949+X2949</f>
        <v>262.329322752</v>
      </c>
      <c r="AB2949" s="195">
        <f t="shared" ref="AB2949:AB3012" ca="1" si="653">Y2949+Z2949</f>
        <v>262.329322752</v>
      </c>
      <c r="AD2949" s="196">
        <f>IFERROR($G2949/SUMIF($A:$A,$A2949,$G:$G)*SUMIF(Summary!$A$166:$A$242,$A2949,Summary!$P$166:$P$242),0)</f>
        <v>107.703143813637</v>
      </c>
      <c r="AE2949" s="197">
        <f t="shared" ca="1" si="640"/>
        <v>154.62617893836301</v>
      </c>
      <c r="AF2949" s="196">
        <f>IFERROR(G2949/SUMIF(A:A,A2949,G:G)*SUMIF(Summary!$A$166:$A$242,'Operations Support'!A2949,Summary!$Q$166:$Q$242),0)</f>
        <v>107.73016721513513</v>
      </c>
      <c r="AG2949" s="196">
        <f t="shared" ca="1" si="641"/>
        <v>154.59915553686488</v>
      </c>
      <c r="AI2949" s="196">
        <f>IFERROR($G2949/SUMIF($A:$A,$A2949,$G:$G)*SUMIF(Summary!$A$247:$A$283,$A2949,Summary!$P$247:$P$283),0)</f>
        <v>19.64236572961326</v>
      </c>
      <c r="AJ2949" s="196">
        <f>IFERROR($G2949/SUMIF($A:$A,$A2949,$G:$G)*(SUMIF(Summary!$A$247:$A$283,$A2949,Summary!$L$247:$L$283)+SUMIF(Summary!$A$297:$A$333,$A2949,Summary!$L$297:$L$333))-AI2949,0)</f>
        <v>59.412648523539801</v>
      </c>
      <c r="AK2949" s="196">
        <f>IFERROR($G2949/SUMIF($A:$A,$A2949,$G:$G)*SUMIF(Summary!$A$247:$A$283,$A2949,Summary!$Q$247:$Q$283),0)</f>
        <v>19.64729412368505</v>
      </c>
      <c r="AL2949" s="196">
        <f>IFERROR($G2949/SUMIF($A:$A,$A2949,$G:$G)*(SUMIF(Summary!$A$247:$A$283,$A2949,Summary!$L$247:$L$283)+SUMIF(Summary!$A$297:$A$333,$A2949,Summary!$L$297:$L$333))-AK2949,0)</f>
        <v>59.407720129468011</v>
      </c>
      <c r="AM2949" s="198"/>
      <c r="AN2949" s="196">
        <f t="shared" ca="1" si="642"/>
        <v>214.03882746190283</v>
      </c>
      <c r="AO2949" s="196">
        <f t="shared" ca="1" si="643"/>
        <v>214.00687566633289</v>
      </c>
    </row>
    <row r="2950" spans="1:41">
      <c r="A2950" s="189">
        <v>11161</v>
      </c>
      <c r="B2950" s="190">
        <v>1</v>
      </c>
      <c r="C2950" s="191" t="s">
        <v>225</v>
      </c>
      <c r="D2950" s="192">
        <f t="shared" si="644"/>
        <v>538</v>
      </c>
      <c r="E2950" s="192">
        <f t="shared" si="645"/>
        <v>3956</v>
      </c>
      <c r="F2950" s="192">
        <f t="shared" si="646"/>
        <v>0</v>
      </c>
      <c r="G2950" s="193">
        <f t="shared" si="647"/>
        <v>4494</v>
      </c>
      <c r="H2950" s="194">
        <v>160</v>
      </c>
      <c r="I2950" s="194">
        <v>2032</v>
      </c>
      <c r="J2950" s="194">
        <v>0</v>
      </c>
      <c r="K2950" s="193">
        <f t="shared" si="648"/>
        <v>2192</v>
      </c>
      <c r="L2950" s="194">
        <v>336</v>
      </c>
      <c r="M2950" s="194">
        <v>1901</v>
      </c>
      <c r="N2950" s="194">
        <v>0</v>
      </c>
      <c r="O2950" s="193">
        <f t="shared" si="649"/>
        <v>2237</v>
      </c>
      <c r="P2950" s="194">
        <v>42</v>
      </c>
      <c r="Q2950" s="194">
        <v>23</v>
      </c>
      <c r="R2950" s="194">
        <v>0</v>
      </c>
      <c r="S2950" s="193">
        <f t="shared" si="650"/>
        <v>65</v>
      </c>
      <c r="T2950" s="193">
        <f t="shared" si="651"/>
        <v>149.80000000000001</v>
      </c>
      <c r="U2950" s="193">
        <f ca="1">OFFSET('Expenditure Study'!$B$7,'Operations Support'!$C2950,'Operations Support'!$B2950)*$G2950</f>
        <v>7909.44</v>
      </c>
      <c r="V2950" s="199">
        <f ca="1">U2950*'Expenditure Study'!$B$31</f>
        <v>467314.87354675197</v>
      </c>
      <c r="W2950" s="199">
        <f ca="1">IF(A2950=10298,1.51,1)*IF($B2950&lt;3,$D2950*'Expenditure Study'!$B$32*OFFSET('Expenditure Study'!$B$7,'Operations Support'!$C2950,'Operations Support'!$B2950),0)</f>
        <v>94.688000000000002</v>
      </c>
      <c r="X2950" s="200">
        <f ca="1">W2950*'Expenditure Study'!$B$31</f>
        <v>5594.4682235904002</v>
      </c>
      <c r="Y2950" s="199">
        <f ca="1">U2950*'Expenditure Study'!$B$31</f>
        <v>467314.87354675197</v>
      </c>
      <c r="Z2950" s="200">
        <f ca="1">W2950*'Expenditure Study'!$B$31</f>
        <v>5594.4682235904002</v>
      </c>
      <c r="AA2950" s="195">
        <f t="shared" ca="1" si="652"/>
        <v>472909.34177034238</v>
      </c>
      <c r="AB2950" s="195">
        <f t="shared" ca="1" si="653"/>
        <v>472909.34177034238</v>
      </c>
      <c r="AD2950" s="196">
        <f>IFERROR($G2950/SUMIF($A:$A,$A2950,$G:$G)*SUMIF(Summary!$A$166:$A$242,$A2950,Summary!$P$166:$P$242),0)</f>
        <v>161339.30943282825</v>
      </c>
      <c r="AE2950" s="197">
        <f t="shared" ref="AE2950:AE3013" ca="1" si="654">V2950+X2950-AD2950</f>
        <v>311570.0323375141</v>
      </c>
      <c r="AF2950" s="196">
        <f>IFERROR(G2950/SUMIF(A:A,A2950,G:G)*SUMIF(Summary!$A$166:$A$242,'Operations Support'!A2950,Summary!$Q$166:$Q$242),0)</f>
        <v>161379.79048827244</v>
      </c>
      <c r="AG2950" s="196">
        <f t="shared" ref="AG2950:AG3013" ca="1" si="655">Y2950+Z2950-AF2950</f>
        <v>311529.55128206994</v>
      </c>
      <c r="AI2950" s="196">
        <f>IFERROR($G2950/SUMIF($A:$A,$A2950,$G:$G)*SUMIF(Summary!$A$247:$A$283,$A2950,Summary!$P$247:$P$283),0)</f>
        <v>29424.263862960666</v>
      </c>
      <c r="AJ2950" s="196">
        <f>IFERROR($G2950/SUMIF($A:$A,$A2950,$G:$G)*(SUMIF(Summary!$A$247:$A$283,$A2950,Summary!$L$247:$L$283)+SUMIF(Summary!$A$297:$A$333,$A2950,Summary!$L$297:$L$333))-AI2950,0)</f>
        <v>89000.147488262621</v>
      </c>
      <c r="AK2950" s="196">
        <f>IFERROR($G2950/SUMIF($A:$A,$A2950,$G:$G)*SUMIF(Summary!$A$247:$A$283,$A2950,Summary!$Q$247:$Q$283),0)</f>
        <v>29431.646597280207</v>
      </c>
      <c r="AL2950" s="196">
        <f>IFERROR($G2950/SUMIF($A:$A,$A2950,$G:$G)*(SUMIF(Summary!$A$247:$A$283,$A2950,Summary!$L$247:$L$283)+SUMIF(Summary!$A$297:$A$333,$A2950,Summary!$L$297:$L$333))-AK2950,0)</f>
        <v>88992.764753943076</v>
      </c>
      <c r="AM2950" s="198"/>
      <c r="AN2950" s="196">
        <f t="shared" ref="AN2950:AN3013" ca="1" si="656">AE2950+AJ2950</f>
        <v>400570.17982577672</v>
      </c>
      <c r="AO2950" s="196">
        <f t="shared" ref="AO2950:AO3013" ca="1" si="657">AG2950+AL2950</f>
        <v>400522.31603601301</v>
      </c>
    </row>
    <row r="2951" spans="1:41">
      <c r="A2951" s="189">
        <v>11161</v>
      </c>
      <c r="B2951" s="190">
        <v>1</v>
      </c>
      <c r="C2951" s="191" t="s">
        <v>226</v>
      </c>
      <c r="D2951" s="192">
        <f t="shared" si="644"/>
        <v>0</v>
      </c>
      <c r="E2951" s="192">
        <f t="shared" si="645"/>
        <v>0</v>
      </c>
      <c r="F2951" s="192">
        <f t="shared" si="646"/>
        <v>0</v>
      </c>
      <c r="G2951" s="193">
        <f t="shared" si="647"/>
        <v>0</v>
      </c>
      <c r="H2951" s="194">
        <v>0</v>
      </c>
      <c r="I2951" s="194">
        <v>0</v>
      </c>
      <c r="J2951" s="194">
        <v>0</v>
      </c>
      <c r="K2951" s="193">
        <f t="shared" si="648"/>
        <v>0</v>
      </c>
      <c r="L2951" s="194">
        <v>0</v>
      </c>
      <c r="M2951" s="194">
        <v>0</v>
      </c>
      <c r="N2951" s="194">
        <v>0</v>
      </c>
      <c r="O2951" s="193">
        <f t="shared" si="649"/>
        <v>0</v>
      </c>
      <c r="P2951" s="194">
        <v>0</v>
      </c>
      <c r="Q2951" s="194">
        <v>0</v>
      </c>
      <c r="R2951" s="194">
        <v>0</v>
      </c>
      <c r="S2951" s="193">
        <f t="shared" si="650"/>
        <v>0</v>
      </c>
      <c r="T2951" s="193">
        <f t="shared" si="651"/>
        <v>0</v>
      </c>
      <c r="U2951" s="193">
        <f ca="1">OFFSET('Expenditure Study'!$B$7,'Operations Support'!$C2951,'Operations Support'!$B2951)*$G2951</f>
        <v>0</v>
      </c>
      <c r="V2951" s="199">
        <f ca="1">U2951*'Expenditure Study'!$B$31</f>
        <v>0</v>
      </c>
      <c r="W2951" s="199">
        <f ca="1">IF(A2951=10298,1.51,1)*IF($B2951&lt;3,$D2951*'Expenditure Study'!$B$32*OFFSET('Expenditure Study'!$B$7,'Operations Support'!$C2951,'Operations Support'!$B2951),0)</f>
        <v>0</v>
      </c>
      <c r="X2951" s="200">
        <f ca="1">W2951*'Expenditure Study'!$B$31</f>
        <v>0</v>
      </c>
      <c r="Y2951" s="199">
        <f ca="1">U2951*'Expenditure Study'!$B$31</f>
        <v>0</v>
      </c>
      <c r="Z2951" s="200">
        <f ca="1">W2951*'Expenditure Study'!$B$31</f>
        <v>0</v>
      </c>
      <c r="AA2951" s="195">
        <f t="shared" ca="1" si="652"/>
        <v>0</v>
      </c>
      <c r="AB2951" s="195">
        <f t="shared" ca="1" si="653"/>
        <v>0</v>
      </c>
      <c r="AD2951" s="196">
        <f>IFERROR($G2951/SUMIF($A:$A,$A2951,$G:$G)*SUMIF(Summary!$A$166:$A$242,$A2951,Summary!$P$166:$P$242),0)</f>
        <v>0</v>
      </c>
      <c r="AE2951" s="197">
        <f t="shared" ca="1" si="654"/>
        <v>0</v>
      </c>
      <c r="AF2951" s="196">
        <f>IFERROR(G2951/SUMIF(A:A,A2951,G:G)*SUMIF(Summary!$A$166:$A$242,'Operations Support'!A2951,Summary!$Q$166:$Q$242),0)</f>
        <v>0</v>
      </c>
      <c r="AG2951" s="196">
        <f t="shared" ca="1" si="655"/>
        <v>0</v>
      </c>
      <c r="AI2951" s="196">
        <f>IFERROR($G2951/SUMIF($A:$A,$A2951,$G:$G)*SUMIF(Summary!$A$247:$A$283,$A2951,Summary!$P$247:$P$283),0)</f>
        <v>0</v>
      </c>
      <c r="AJ2951" s="196">
        <f>IFERROR($G2951/SUMIF($A:$A,$A2951,$G:$G)*(SUMIF(Summary!$A$247:$A$283,$A2951,Summary!$L$247:$L$283)+SUMIF(Summary!$A$297:$A$333,$A2951,Summary!$L$297:$L$333))-AI2951,0)</f>
        <v>0</v>
      </c>
      <c r="AK2951" s="196">
        <f>IFERROR($G2951/SUMIF($A:$A,$A2951,$G:$G)*SUMIF(Summary!$A$247:$A$283,$A2951,Summary!$Q$247:$Q$283),0)</f>
        <v>0</v>
      </c>
      <c r="AL2951" s="196">
        <f>IFERROR($G2951/SUMIF($A:$A,$A2951,$G:$G)*(SUMIF(Summary!$A$247:$A$283,$A2951,Summary!$L$247:$L$283)+SUMIF(Summary!$A$297:$A$333,$A2951,Summary!$L$297:$L$333))-AK2951,0)</f>
        <v>0</v>
      </c>
      <c r="AM2951" s="198"/>
      <c r="AN2951" s="196">
        <f t="shared" ca="1" si="656"/>
        <v>0</v>
      </c>
      <c r="AO2951" s="196">
        <f t="shared" ca="1" si="657"/>
        <v>0</v>
      </c>
    </row>
    <row r="2952" spans="1:41">
      <c r="A2952" s="189">
        <v>11161</v>
      </c>
      <c r="B2952" s="190">
        <v>1</v>
      </c>
      <c r="C2952" s="191" t="s">
        <v>227</v>
      </c>
      <c r="D2952" s="192">
        <f t="shared" si="644"/>
        <v>0</v>
      </c>
      <c r="E2952" s="192">
        <f t="shared" si="645"/>
        <v>0</v>
      </c>
      <c r="F2952" s="192">
        <f t="shared" si="646"/>
        <v>0</v>
      </c>
      <c r="G2952" s="193">
        <f t="shared" si="647"/>
        <v>0</v>
      </c>
      <c r="H2952" s="194">
        <v>0</v>
      </c>
      <c r="I2952" s="194">
        <v>0</v>
      </c>
      <c r="J2952" s="194">
        <v>0</v>
      </c>
      <c r="K2952" s="193">
        <f t="shared" si="648"/>
        <v>0</v>
      </c>
      <c r="L2952" s="194">
        <v>0</v>
      </c>
      <c r="M2952" s="194">
        <v>0</v>
      </c>
      <c r="N2952" s="194">
        <v>0</v>
      </c>
      <c r="O2952" s="193">
        <f t="shared" si="649"/>
        <v>0</v>
      </c>
      <c r="P2952" s="194">
        <v>0</v>
      </c>
      <c r="Q2952" s="194">
        <v>0</v>
      </c>
      <c r="R2952" s="194">
        <v>0</v>
      </c>
      <c r="S2952" s="193">
        <f t="shared" si="650"/>
        <v>0</v>
      </c>
      <c r="T2952" s="193">
        <f t="shared" si="651"/>
        <v>0</v>
      </c>
      <c r="U2952" s="193">
        <f ca="1">OFFSET('Expenditure Study'!$B$7,'Operations Support'!$C2952,'Operations Support'!$B2952)*$G2952</f>
        <v>0</v>
      </c>
      <c r="V2952" s="199">
        <f ca="1">U2952*'Expenditure Study'!$B$31</f>
        <v>0</v>
      </c>
      <c r="W2952" s="199">
        <f ca="1">IF(A2952=10298,1.51,1)*IF($B2952&lt;3,$D2952*'Expenditure Study'!$B$32*OFFSET('Expenditure Study'!$B$7,'Operations Support'!$C2952,'Operations Support'!$B2952),0)</f>
        <v>0</v>
      </c>
      <c r="X2952" s="200">
        <f ca="1">W2952*'Expenditure Study'!$B$31</f>
        <v>0</v>
      </c>
      <c r="Y2952" s="199">
        <f ca="1">U2952*'Expenditure Study'!$B$31</f>
        <v>0</v>
      </c>
      <c r="Z2952" s="200">
        <f ca="1">W2952*'Expenditure Study'!$B$31</f>
        <v>0</v>
      </c>
      <c r="AA2952" s="195">
        <f t="shared" ca="1" si="652"/>
        <v>0</v>
      </c>
      <c r="AB2952" s="195">
        <f t="shared" ca="1" si="653"/>
        <v>0</v>
      </c>
      <c r="AD2952" s="196">
        <f>IFERROR($G2952/SUMIF($A:$A,$A2952,$G:$G)*SUMIF(Summary!$A$166:$A$242,$A2952,Summary!$P$166:$P$242),0)</f>
        <v>0</v>
      </c>
      <c r="AE2952" s="197">
        <f t="shared" ca="1" si="654"/>
        <v>0</v>
      </c>
      <c r="AF2952" s="196">
        <f>IFERROR(G2952/SUMIF(A:A,A2952,G:G)*SUMIF(Summary!$A$166:$A$242,'Operations Support'!A2952,Summary!$Q$166:$Q$242),0)</f>
        <v>0</v>
      </c>
      <c r="AG2952" s="196">
        <f t="shared" ca="1" si="655"/>
        <v>0</v>
      </c>
      <c r="AI2952" s="196">
        <f>IFERROR($G2952/SUMIF($A:$A,$A2952,$G:$G)*SUMIF(Summary!$A$247:$A$283,$A2952,Summary!$P$247:$P$283),0)</f>
        <v>0</v>
      </c>
      <c r="AJ2952" s="196">
        <f>IFERROR($G2952/SUMIF($A:$A,$A2952,$G:$G)*(SUMIF(Summary!$A$247:$A$283,$A2952,Summary!$L$247:$L$283)+SUMIF(Summary!$A$297:$A$333,$A2952,Summary!$L$297:$L$333))-AI2952,0)</f>
        <v>0</v>
      </c>
      <c r="AK2952" s="196">
        <f>IFERROR($G2952/SUMIF($A:$A,$A2952,$G:$G)*SUMIF(Summary!$A$247:$A$283,$A2952,Summary!$Q$247:$Q$283),0)</f>
        <v>0</v>
      </c>
      <c r="AL2952" s="196">
        <f>IFERROR($G2952/SUMIF($A:$A,$A2952,$G:$G)*(SUMIF(Summary!$A$247:$A$283,$A2952,Summary!$L$247:$L$283)+SUMIF(Summary!$A$297:$A$333,$A2952,Summary!$L$297:$L$333))-AK2952,0)</f>
        <v>0</v>
      </c>
      <c r="AM2952" s="198"/>
      <c r="AN2952" s="196">
        <f t="shared" ca="1" si="656"/>
        <v>0</v>
      </c>
      <c r="AO2952" s="196">
        <f t="shared" ca="1" si="657"/>
        <v>0</v>
      </c>
    </row>
    <row r="2953" spans="1:41">
      <c r="A2953" s="189">
        <v>11161</v>
      </c>
      <c r="B2953" s="190">
        <v>1</v>
      </c>
      <c r="C2953" s="191" t="s">
        <v>228</v>
      </c>
      <c r="D2953" s="192">
        <f t="shared" si="644"/>
        <v>0</v>
      </c>
      <c r="E2953" s="192">
        <f t="shared" si="645"/>
        <v>81</v>
      </c>
      <c r="F2953" s="192">
        <f t="shared" si="646"/>
        <v>0</v>
      </c>
      <c r="G2953" s="193">
        <f t="shared" si="647"/>
        <v>81</v>
      </c>
      <c r="H2953" s="194">
        <v>0</v>
      </c>
      <c r="I2953" s="194">
        <v>0</v>
      </c>
      <c r="J2953" s="194">
        <v>0</v>
      </c>
      <c r="K2953" s="193">
        <f t="shared" si="648"/>
        <v>0</v>
      </c>
      <c r="L2953" s="194">
        <v>0</v>
      </c>
      <c r="M2953" s="194">
        <v>81</v>
      </c>
      <c r="N2953" s="194">
        <v>0</v>
      </c>
      <c r="O2953" s="193">
        <f t="shared" si="649"/>
        <v>81</v>
      </c>
      <c r="P2953" s="194">
        <v>0</v>
      </c>
      <c r="Q2953" s="194">
        <v>0</v>
      </c>
      <c r="R2953" s="194">
        <v>0</v>
      </c>
      <c r="S2953" s="193">
        <f t="shared" si="650"/>
        <v>0</v>
      </c>
      <c r="T2953" s="193">
        <f t="shared" si="651"/>
        <v>2.7</v>
      </c>
      <c r="U2953" s="193">
        <f ca="1">OFFSET('Expenditure Study'!$B$7,'Operations Support'!$C2953,'Operations Support'!$B2953)*$G2953</f>
        <v>127.98</v>
      </c>
      <c r="V2953" s="199">
        <f ca="1">U2953*'Expenditure Study'!$B$31</f>
        <v>7561.465478784</v>
      </c>
      <c r="W2953" s="199">
        <f ca="1">IF(A2953=10298,1.51,1)*IF($B2953&lt;3,$D2953*'Expenditure Study'!$B$32*OFFSET('Expenditure Study'!$B$7,'Operations Support'!$C2953,'Operations Support'!$B2953),0)</f>
        <v>0</v>
      </c>
      <c r="X2953" s="200">
        <f ca="1">W2953*'Expenditure Study'!$B$31</f>
        <v>0</v>
      </c>
      <c r="Y2953" s="199">
        <f ca="1">U2953*'Expenditure Study'!$B$31</f>
        <v>7561.465478784</v>
      </c>
      <c r="Z2953" s="200">
        <f ca="1">W2953*'Expenditure Study'!$B$31</f>
        <v>0</v>
      </c>
      <c r="AA2953" s="195">
        <f t="shared" ca="1" si="652"/>
        <v>7561.465478784</v>
      </c>
      <c r="AB2953" s="195">
        <f t="shared" ca="1" si="653"/>
        <v>7561.465478784</v>
      </c>
      <c r="AD2953" s="196">
        <f>IFERROR($G2953/SUMIF($A:$A,$A2953,$G:$G)*SUMIF(Summary!$A$166:$A$242,$A2953,Summary!$P$166:$P$242),0)</f>
        <v>2907.9848829681987</v>
      </c>
      <c r="AE2953" s="197">
        <f t="shared" ca="1" si="654"/>
        <v>4653.4805958158013</v>
      </c>
      <c r="AF2953" s="196">
        <f>IFERROR(G2953/SUMIF(A:A,A2953,G:G)*SUMIF(Summary!$A$166:$A$242,'Operations Support'!A2953,Summary!$Q$166:$Q$242),0)</f>
        <v>2908.7145148086483</v>
      </c>
      <c r="AG2953" s="196">
        <f t="shared" ca="1" si="655"/>
        <v>4652.7509639753516</v>
      </c>
      <c r="AI2953" s="196">
        <f>IFERROR($G2953/SUMIF($A:$A,$A2953,$G:$G)*SUMIF(Summary!$A$247:$A$283,$A2953,Summary!$P$247:$P$283),0)</f>
        <v>530.343874699558</v>
      </c>
      <c r="AJ2953" s="196">
        <f>IFERROR($G2953/SUMIF($A:$A,$A2953,$G:$G)*(SUMIF(Summary!$A$247:$A$283,$A2953,Summary!$L$247:$L$283)+SUMIF(Summary!$A$297:$A$333,$A2953,Summary!$L$297:$L$333))-AI2953,0)</f>
        <v>1604.1415101355747</v>
      </c>
      <c r="AK2953" s="196">
        <f>IFERROR($G2953/SUMIF($A:$A,$A2953,$G:$G)*SUMIF(Summary!$A$247:$A$283,$A2953,Summary!$Q$247:$Q$283),0)</f>
        <v>530.47694133949631</v>
      </c>
      <c r="AL2953" s="196">
        <f>IFERROR($G2953/SUMIF($A:$A,$A2953,$G:$G)*(SUMIF(Summary!$A$247:$A$283,$A2953,Summary!$L$247:$L$283)+SUMIF(Summary!$A$297:$A$333,$A2953,Summary!$L$297:$L$333))-AK2953,0)</f>
        <v>1604.0084434956364</v>
      </c>
      <c r="AM2953" s="198"/>
      <c r="AN2953" s="196">
        <f t="shared" ca="1" si="656"/>
        <v>6257.6221059513755</v>
      </c>
      <c r="AO2953" s="196">
        <f t="shared" ca="1" si="657"/>
        <v>6256.7594074709878</v>
      </c>
    </row>
    <row r="2954" spans="1:41">
      <c r="A2954" s="189">
        <v>11161</v>
      </c>
      <c r="B2954" s="190">
        <v>1</v>
      </c>
      <c r="C2954" s="191" t="s">
        <v>229</v>
      </c>
      <c r="D2954" s="192">
        <f t="shared" si="644"/>
        <v>0</v>
      </c>
      <c r="E2954" s="192">
        <f t="shared" si="645"/>
        <v>0</v>
      </c>
      <c r="F2954" s="192">
        <f t="shared" si="646"/>
        <v>0</v>
      </c>
      <c r="G2954" s="193">
        <f t="shared" si="647"/>
        <v>0</v>
      </c>
      <c r="H2954" s="194">
        <v>0</v>
      </c>
      <c r="I2954" s="194">
        <v>0</v>
      </c>
      <c r="J2954" s="194">
        <v>0</v>
      </c>
      <c r="K2954" s="193">
        <f t="shared" si="648"/>
        <v>0</v>
      </c>
      <c r="L2954" s="194">
        <v>0</v>
      </c>
      <c r="M2954" s="194">
        <v>0</v>
      </c>
      <c r="N2954" s="194">
        <v>0</v>
      </c>
      <c r="O2954" s="193">
        <f t="shared" si="649"/>
        <v>0</v>
      </c>
      <c r="P2954" s="194">
        <v>0</v>
      </c>
      <c r="Q2954" s="194">
        <v>0</v>
      </c>
      <c r="R2954" s="194">
        <v>0</v>
      </c>
      <c r="S2954" s="193">
        <f t="shared" si="650"/>
        <v>0</v>
      </c>
      <c r="T2954" s="193">
        <f t="shared" si="651"/>
        <v>0</v>
      </c>
      <c r="U2954" s="193">
        <f ca="1">OFFSET('Expenditure Study'!$B$7,'Operations Support'!$C2954,'Operations Support'!$B2954)*$G2954</f>
        <v>0</v>
      </c>
      <c r="V2954" s="199">
        <f ca="1">U2954*'Expenditure Study'!$B$31</f>
        <v>0</v>
      </c>
      <c r="W2954" s="199">
        <f ca="1">IF(A2954=10298,1.51,1)*IF($B2954&lt;3,$D2954*'Expenditure Study'!$B$32*OFFSET('Expenditure Study'!$B$7,'Operations Support'!$C2954,'Operations Support'!$B2954),0)</f>
        <v>0</v>
      </c>
      <c r="X2954" s="200">
        <f ca="1">W2954*'Expenditure Study'!$B$31</f>
        <v>0</v>
      </c>
      <c r="Y2954" s="199">
        <f ca="1">U2954*'Expenditure Study'!$B$31</f>
        <v>0</v>
      </c>
      <c r="Z2954" s="200">
        <f ca="1">W2954*'Expenditure Study'!$B$31</f>
        <v>0</v>
      </c>
      <c r="AA2954" s="195">
        <f t="shared" ca="1" si="652"/>
        <v>0</v>
      </c>
      <c r="AB2954" s="195">
        <f t="shared" ca="1" si="653"/>
        <v>0</v>
      </c>
      <c r="AD2954" s="196">
        <f>IFERROR($G2954/SUMIF($A:$A,$A2954,$G:$G)*SUMIF(Summary!$A$166:$A$242,$A2954,Summary!$P$166:$P$242),0)</f>
        <v>0</v>
      </c>
      <c r="AE2954" s="197">
        <f t="shared" ca="1" si="654"/>
        <v>0</v>
      </c>
      <c r="AF2954" s="196">
        <f>IFERROR(G2954/SUMIF(A:A,A2954,G:G)*SUMIF(Summary!$A$166:$A$242,'Operations Support'!A2954,Summary!$Q$166:$Q$242),0)</f>
        <v>0</v>
      </c>
      <c r="AG2954" s="196">
        <f t="shared" ca="1" si="655"/>
        <v>0</v>
      </c>
      <c r="AI2954" s="196">
        <f>IFERROR($G2954/SUMIF($A:$A,$A2954,$G:$G)*SUMIF(Summary!$A$247:$A$283,$A2954,Summary!$P$247:$P$283),0)</f>
        <v>0</v>
      </c>
      <c r="AJ2954" s="196">
        <f>IFERROR($G2954/SUMIF($A:$A,$A2954,$G:$G)*(SUMIF(Summary!$A$247:$A$283,$A2954,Summary!$L$247:$L$283)+SUMIF(Summary!$A$297:$A$333,$A2954,Summary!$L$297:$L$333))-AI2954,0)</f>
        <v>0</v>
      </c>
      <c r="AK2954" s="196">
        <f>IFERROR($G2954/SUMIF($A:$A,$A2954,$G:$G)*SUMIF(Summary!$A$247:$A$283,$A2954,Summary!$Q$247:$Q$283),0)</f>
        <v>0</v>
      </c>
      <c r="AL2954" s="196">
        <f>IFERROR($G2954/SUMIF($A:$A,$A2954,$G:$G)*(SUMIF(Summary!$A$247:$A$283,$A2954,Summary!$L$247:$L$283)+SUMIF(Summary!$A$297:$A$333,$A2954,Summary!$L$297:$L$333))-AK2954,0)</f>
        <v>0</v>
      </c>
      <c r="AM2954" s="198"/>
      <c r="AN2954" s="196">
        <f t="shared" ca="1" si="656"/>
        <v>0</v>
      </c>
      <c r="AO2954" s="196">
        <f t="shared" ca="1" si="657"/>
        <v>0</v>
      </c>
    </row>
    <row r="2955" spans="1:41">
      <c r="A2955" s="189">
        <v>11161</v>
      </c>
      <c r="B2955" s="190">
        <v>1</v>
      </c>
      <c r="C2955" s="191" t="s">
        <v>230</v>
      </c>
      <c r="D2955" s="192">
        <f t="shared" si="644"/>
        <v>0</v>
      </c>
      <c r="E2955" s="192">
        <f t="shared" si="645"/>
        <v>0</v>
      </c>
      <c r="F2955" s="192">
        <f t="shared" si="646"/>
        <v>0</v>
      </c>
      <c r="G2955" s="193">
        <f t="shared" si="647"/>
        <v>0</v>
      </c>
      <c r="H2955" s="194">
        <v>0</v>
      </c>
      <c r="I2955" s="194">
        <v>0</v>
      </c>
      <c r="J2955" s="194">
        <v>0</v>
      </c>
      <c r="K2955" s="193">
        <f t="shared" si="648"/>
        <v>0</v>
      </c>
      <c r="L2955" s="194">
        <v>0</v>
      </c>
      <c r="M2955" s="194">
        <v>0</v>
      </c>
      <c r="N2955" s="194">
        <v>0</v>
      </c>
      <c r="O2955" s="193">
        <f t="shared" si="649"/>
        <v>0</v>
      </c>
      <c r="P2955" s="194">
        <v>0</v>
      </c>
      <c r="Q2955" s="194">
        <v>0</v>
      </c>
      <c r="R2955" s="194">
        <v>0</v>
      </c>
      <c r="S2955" s="193">
        <f t="shared" si="650"/>
        <v>0</v>
      </c>
      <c r="T2955" s="193">
        <f t="shared" si="651"/>
        <v>0</v>
      </c>
      <c r="U2955" s="193">
        <f ca="1">OFFSET('Expenditure Study'!$B$7,'Operations Support'!$C2955,'Operations Support'!$B2955)*$G2955</f>
        <v>0</v>
      </c>
      <c r="V2955" s="199">
        <f ca="1">U2955*'Expenditure Study'!$B$31</f>
        <v>0</v>
      </c>
      <c r="W2955" s="199">
        <f ca="1">IF(A2955=10298,1.51,1)*IF($B2955&lt;3,$D2955*'Expenditure Study'!$B$32*OFFSET('Expenditure Study'!$B$7,'Operations Support'!$C2955,'Operations Support'!$B2955),0)</f>
        <v>0</v>
      </c>
      <c r="X2955" s="200">
        <f ca="1">W2955*'Expenditure Study'!$B$31</f>
        <v>0</v>
      </c>
      <c r="Y2955" s="199">
        <f ca="1">U2955*'Expenditure Study'!$B$31</f>
        <v>0</v>
      </c>
      <c r="Z2955" s="200">
        <f ca="1">W2955*'Expenditure Study'!$B$31</f>
        <v>0</v>
      </c>
      <c r="AA2955" s="195">
        <f t="shared" ca="1" si="652"/>
        <v>0</v>
      </c>
      <c r="AB2955" s="195">
        <f t="shared" ca="1" si="653"/>
        <v>0</v>
      </c>
      <c r="AD2955" s="196">
        <f>IFERROR($G2955/SUMIF($A:$A,$A2955,$G:$G)*SUMIF(Summary!$A$166:$A$242,$A2955,Summary!$P$166:$P$242),0)</f>
        <v>0</v>
      </c>
      <c r="AE2955" s="197">
        <f t="shared" ca="1" si="654"/>
        <v>0</v>
      </c>
      <c r="AF2955" s="196">
        <f>IFERROR(G2955/SUMIF(A:A,A2955,G:G)*SUMIF(Summary!$A$166:$A$242,'Operations Support'!A2955,Summary!$Q$166:$Q$242),0)</f>
        <v>0</v>
      </c>
      <c r="AG2955" s="196">
        <f t="shared" ca="1" si="655"/>
        <v>0</v>
      </c>
      <c r="AI2955" s="196">
        <f>IFERROR($G2955/SUMIF($A:$A,$A2955,$G:$G)*SUMIF(Summary!$A$247:$A$283,$A2955,Summary!$P$247:$P$283),0)</f>
        <v>0</v>
      </c>
      <c r="AJ2955" s="196">
        <f>IFERROR($G2955/SUMIF($A:$A,$A2955,$G:$G)*(SUMIF(Summary!$A$247:$A$283,$A2955,Summary!$L$247:$L$283)+SUMIF(Summary!$A$297:$A$333,$A2955,Summary!$L$297:$L$333))-AI2955,0)</f>
        <v>0</v>
      </c>
      <c r="AK2955" s="196">
        <f>IFERROR($G2955/SUMIF($A:$A,$A2955,$G:$G)*SUMIF(Summary!$A$247:$A$283,$A2955,Summary!$Q$247:$Q$283),0)</f>
        <v>0</v>
      </c>
      <c r="AL2955" s="196">
        <f>IFERROR($G2955/SUMIF($A:$A,$A2955,$G:$G)*(SUMIF(Summary!$A$247:$A$283,$A2955,Summary!$L$247:$L$283)+SUMIF(Summary!$A$297:$A$333,$A2955,Summary!$L$297:$L$333))-AK2955,0)</f>
        <v>0</v>
      </c>
      <c r="AM2955" s="198"/>
      <c r="AN2955" s="196">
        <f t="shared" ca="1" si="656"/>
        <v>0</v>
      </c>
      <c r="AO2955" s="196">
        <f t="shared" ca="1" si="657"/>
        <v>0</v>
      </c>
    </row>
    <row r="2956" spans="1:41" s="201" customFormat="1">
      <c r="A2956" s="189">
        <v>11161</v>
      </c>
      <c r="B2956" s="190">
        <v>1</v>
      </c>
      <c r="C2956" s="191" t="s">
        <v>231</v>
      </c>
      <c r="D2956" s="192">
        <f t="shared" si="644"/>
        <v>0</v>
      </c>
      <c r="E2956" s="192">
        <f t="shared" si="645"/>
        <v>0</v>
      </c>
      <c r="F2956" s="192">
        <f t="shared" si="646"/>
        <v>0</v>
      </c>
      <c r="G2956" s="193">
        <f t="shared" si="647"/>
        <v>0</v>
      </c>
      <c r="H2956" s="194">
        <v>0</v>
      </c>
      <c r="I2956" s="194">
        <v>0</v>
      </c>
      <c r="J2956" s="194">
        <v>0</v>
      </c>
      <c r="K2956" s="193">
        <f t="shared" si="648"/>
        <v>0</v>
      </c>
      <c r="L2956" s="194">
        <v>0</v>
      </c>
      <c r="M2956" s="194">
        <v>0</v>
      </c>
      <c r="N2956" s="194">
        <v>0</v>
      </c>
      <c r="O2956" s="193">
        <f t="shared" si="649"/>
        <v>0</v>
      </c>
      <c r="P2956" s="194">
        <v>0</v>
      </c>
      <c r="Q2956" s="194">
        <v>0</v>
      </c>
      <c r="R2956" s="194">
        <v>0</v>
      </c>
      <c r="S2956" s="193">
        <f t="shared" si="650"/>
        <v>0</v>
      </c>
      <c r="T2956" s="193">
        <f t="shared" si="651"/>
        <v>0</v>
      </c>
      <c r="U2956" s="193">
        <f ca="1">OFFSET('Expenditure Study'!$B$7,'Operations Support'!$C2956,'Operations Support'!$B2956)*$G2956</f>
        <v>0</v>
      </c>
      <c r="V2956" s="199">
        <f ca="1">U2956*'Expenditure Study'!$B$31</f>
        <v>0</v>
      </c>
      <c r="W2956" s="199">
        <f ca="1">IF(A2956=10298,1.51,1)*IF($B2956&lt;3,$D2956*'Expenditure Study'!$B$32*OFFSET('Expenditure Study'!$B$7,'Operations Support'!$C2956,'Operations Support'!$B2956),0)</f>
        <v>0</v>
      </c>
      <c r="X2956" s="200">
        <f ca="1">W2956*'Expenditure Study'!$B$31</f>
        <v>0</v>
      </c>
      <c r="Y2956" s="199">
        <f ca="1">U2956*'Expenditure Study'!$B$31</f>
        <v>0</v>
      </c>
      <c r="Z2956" s="200">
        <f ca="1">W2956*'Expenditure Study'!$B$31</f>
        <v>0</v>
      </c>
      <c r="AA2956" s="195">
        <f t="shared" ca="1" si="652"/>
        <v>0</v>
      </c>
      <c r="AB2956" s="195">
        <f t="shared" ca="1" si="653"/>
        <v>0</v>
      </c>
      <c r="AD2956" s="196">
        <f>IFERROR($G2956/SUMIF($A:$A,$A2956,$G:$G)*SUMIF(Summary!$A$166:$A$242,$A2956,Summary!$P$166:$P$242),0)</f>
        <v>0</v>
      </c>
      <c r="AE2956" s="197">
        <f t="shared" ca="1" si="654"/>
        <v>0</v>
      </c>
      <c r="AF2956" s="196">
        <f>IFERROR(G2956/SUMIF(A:A,A2956,G:G)*SUMIF(Summary!$A$166:$A$242,'Operations Support'!A2956,Summary!$Q$166:$Q$242),0)</f>
        <v>0</v>
      </c>
      <c r="AG2956" s="196">
        <f t="shared" ca="1" si="655"/>
        <v>0</v>
      </c>
      <c r="AH2956" s="180"/>
      <c r="AI2956" s="196">
        <f>IFERROR($G2956/SUMIF($A:$A,$A2956,$G:$G)*SUMIF(Summary!$A$247:$A$283,$A2956,Summary!$P$247:$P$283),0)</f>
        <v>0</v>
      </c>
      <c r="AJ2956" s="196">
        <f>IFERROR($G2956/SUMIF($A:$A,$A2956,$G:$G)*(SUMIF(Summary!$A$247:$A$283,$A2956,Summary!$L$247:$L$283)+SUMIF(Summary!$A$297:$A$333,$A2956,Summary!$L$297:$L$333))-AI2956,0)</f>
        <v>0</v>
      </c>
      <c r="AK2956" s="196">
        <f>IFERROR($G2956/SUMIF($A:$A,$A2956,$G:$G)*SUMIF(Summary!$A$247:$A$283,$A2956,Summary!$Q$247:$Q$283),0)</f>
        <v>0</v>
      </c>
      <c r="AL2956" s="196">
        <f>IFERROR($G2956/SUMIF($A:$A,$A2956,$G:$G)*(SUMIF(Summary!$A$247:$A$283,$A2956,Summary!$L$247:$L$283)+SUMIF(Summary!$A$297:$A$333,$A2956,Summary!$L$297:$L$333))-AK2956,0)</f>
        <v>0</v>
      </c>
      <c r="AM2956" s="198"/>
      <c r="AN2956" s="196">
        <f t="shared" ca="1" si="656"/>
        <v>0</v>
      </c>
      <c r="AO2956" s="196">
        <f t="shared" ca="1" si="657"/>
        <v>0</v>
      </c>
    </row>
    <row r="2957" spans="1:41">
      <c r="A2957" s="189">
        <v>11161</v>
      </c>
      <c r="B2957" s="190">
        <v>1</v>
      </c>
      <c r="C2957" s="191" t="s">
        <v>232</v>
      </c>
      <c r="D2957" s="192">
        <f t="shared" si="644"/>
        <v>0</v>
      </c>
      <c r="E2957" s="192">
        <f t="shared" si="645"/>
        <v>0</v>
      </c>
      <c r="F2957" s="192">
        <f t="shared" si="646"/>
        <v>0</v>
      </c>
      <c r="G2957" s="193">
        <f t="shared" si="647"/>
        <v>0</v>
      </c>
      <c r="H2957" s="194">
        <v>0</v>
      </c>
      <c r="I2957" s="194">
        <v>0</v>
      </c>
      <c r="J2957" s="194">
        <v>0</v>
      </c>
      <c r="K2957" s="193">
        <f t="shared" si="648"/>
        <v>0</v>
      </c>
      <c r="L2957" s="194">
        <v>0</v>
      </c>
      <c r="M2957" s="194">
        <v>0</v>
      </c>
      <c r="N2957" s="194">
        <v>0</v>
      </c>
      <c r="O2957" s="193">
        <f t="shared" si="649"/>
        <v>0</v>
      </c>
      <c r="P2957" s="194">
        <v>0</v>
      </c>
      <c r="Q2957" s="194">
        <v>0</v>
      </c>
      <c r="R2957" s="194">
        <v>0</v>
      </c>
      <c r="S2957" s="193">
        <f t="shared" si="650"/>
        <v>0</v>
      </c>
      <c r="T2957" s="193">
        <f t="shared" si="651"/>
        <v>0</v>
      </c>
      <c r="U2957" s="193">
        <f ca="1">OFFSET('Expenditure Study'!$B$7,'Operations Support'!$C2957,'Operations Support'!$B2957)*$G2957</f>
        <v>0</v>
      </c>
      <c r="V2957" s="199">
        <f ca="1">U2957*'Expenditure Study'!$B$31</f>
        <v>0</v>
      </c>
      <c r="W2957" s="199">
        <f ca="1">IF(A2957=10298,1.51,1)*IF($B2957&lt;3,$D2957*'Expenditure Study'!$B$32*OFFSET('Expenditure Study'!$B$7,'Operations Support'!$C2957,'Operations Support'!$B2957),0)</f>
        <v>0</v>
      </c>
      <c r="X2957" s="200">
        <f ca="1">W2957*'Expenditure Study'!$B$31</f>
        <v>0</v>
      </c>
      <c r="Y2957" s="199">
        <f ca="1">U2957*'Expenditure Study'!$B$31</f>
        <v>0</v>
      </c>
      <c r="Z2957" s="200">
        <f ca="1">W2957*'Expenditure Study'!$B$31</f>
        <v>0</v>
      </c>
      <c r="AA2957" s="195">
        <f t="shared" ca="1" si="652"/>
        <v>0</v>
      </c>
      <c r="AB2957" s="195">
        <f t="shared" ca="1" si="653"/>
        <v>0</v>
      </c>
      <c r="AD2957" s="196">
        <f>IFERROR($G2957/SUMIF($A:$A,$A2957,$G:$G)*SUMIF(Summary!$A$166:$A$242,$A2957,Summary!$P$166:$P$242),0)</f>
        <v>0</v>
      </c>
      <c r="AE2957" s="197">
        <f t="shared" ca="1" si="654"/>
        <v>0</v>
      </c>
      <c r="AF2957" s="196">
        <f>IFERROR(G2957/SUMIF(A:A,A2957,G:G)*SUMIF(Summary!$A$166:$A$242,'Operations Support'!A2957,Summary!$Q$166:$Q$242),0)</f>
        <v>0</v>
      </c>
      <c r="AG2957" s="196">
        <f t="shared" ca="1" si="655"/>
        <v>0</v>
      </c>
      <c r="AI2957" s="196">
        <f>IFERROR($G2957/SUMIF($A:$A,$A2957,$G:$G)*SUMIF(Summary!$A$247:$A$283,$A2957,Summary!$P$247:$P$283),0)</f>
        <v>0</v>
      </c>
      <c r="AJ2957" s="196">
        <f>IFERROR($G2957/SUMIF($A:$A,$A2957,$G:$G)*(SUMIF(Summary!$A$247:$A$283,$A2957,Summary!$L$247:$L$283)+SUMIF(Summary!$A$297:$A$333,$A2957,Summary!$L$297:$L$333))-AI2957,0)</f>
        <v>0</v>
      </c>
      <c r="AK2957" s="196">
        <f>IFERROR($G2957/SUMIF($A:$A,$A2957,$G:$G)*SUMIF(Summary!$A$247:$A$283,$A2957,Summary!$Q$247:$Q$283),0)</f>
        <v>0</v>
      </c>
      <c r="AL2957" s="196">
        <f>IFERROR($G2957/SUMIF($A:$A,$A2957,$G:$G)*(SUMIF(Summary!$A$247:$A$283,$A2957,Summary!$L$247:$L$283)+SUMIF(Summary!$A$297:$A$333,$A2957,Summary!$L$297:$L$333))-AK2957,0)</f>
        <v>0</v>
      </c>
      <c r="AM2957" s="198"/>
      <c r="AN2957" s="196">
        <f t="shared" ca="1" si="656"/>
        <v>0</v>
      </c>
      <c r="AO2957" s="196">
        <f t="shared" ca="1" si="657"/>
        <v>0</v>
      </c>
    </row>
    <row r="2958" spans="1:41">
      <c r="A2958" s="189">
        <v>11161</v>
      </c>
      <c r="B2958" s="190">
        <v>1</v>
      </c>
      <c r="C2958" s="191" t="s">
        <v>233</v>
      </c>
      <c r="D2958" s="192">
        <f t="shared" si="644"/>
        <v>456</v>
      </c>
      <c r="E2958" s="192">
        <f t="shared" si="645"/>
        <v>956</v>
      </c>
      <c r="F2958" s="192">
        <f t="shared" si="646"/>
        <v>0</v>
      </c>
      <c r="G2958" s="193">
        <f t="shared" si="647"/>
        <v>1412</v>
      </c>
      <c r="H2958" s="194">
        <v>204</v>
      </c>
      <c r="I2958" s="194">
        <v>525</v>
      </c>
      <c r="J2958" s="194">
        <v>0</v>
      </c>
      <c r="K2958" s="193">
        <f t="shared" si="648"/>
        <v>729</v>
      </c>
      <c r="L2958" s="194">
        <v>236</v>
      </c>
      <c r="M2958" s="194">
        <v>339</v>
      </c>
      <c r="N2958" s="194">
        <v>0</v>
      </c>
      <c r="O2958" s="193">
        <f t="shared" si="649"/>
        <v>575</v>
      </c>
      <c r="P2958" s="194">
        <v>16</v>
      </c>
      <c r="Q2958" s="194">
        <v>92</v>
      </c>
      <c r="R2958" s="194">
        <v>0</v>
      </c>
      <c r="S2958" s="193">
        <f t="shared" si="650"/>
        <v>108</v>
      </c>
      <c r="T2958" s="193">
        <f t="shared" si="651"/>
        <v>47.06666666666667</v>
      </c>
      <c r="U2958" s="193">
        <f ca="1">OFFSET('Expenditure Study'!$B$7,'Operations Support'!$C2958,'Operations Support'!$B2958)*$G2958</f>
        <v>1355.52</v>
      </c>
      <c r="V2958" s="199">
        <f ca="1">U2958*'Expenditure Study'!$B$31</f>
        <v>80088.433238016005</v>
      </c>
      <c r="W2958" s="199">
        <f ca="1">IF(A2958=10298,1.51,1)*IF($B2958&lt;3,$D2958*'Expenditure Study'!$B$32*OFFSET('Expenditure Study'!$B$7,'Operations Support'!$C2958,'Operations Support'!$B2958),0)</f>
        <v>43.775999999999996</v>
      </c>
      <c r="X2958" s="200">
        <f ca="1">W2958*'Expenditure Study'!$B$31</f>
        <v>2586.4253227007998</v>
      </c>
      <c r="Y2958" s="199">
        <f ca="1">U2958*'Expenditure Study'!$B$31</f>
        <v>80088.433238016005</v>
      </c>
      <c r="Z2958" s="200">
        <f ca="1">W2958*'Expenditure Study'!$B$31</f>
        <v>2586.4253227007998</v>
      </c>
      <c r="AA2958" s="195">
        <f t="shared" ca="1" si="652"/>
        <v>82674.858560716806</v>
      </c>
      <c r="AB2958" s="195">
        <f t="shared" ca="1" si="653"/>
        <v>82674.858560716806</v>
      </c>
      <c r="AD2958" s="196">
        <f>IFERROR($G2958/SUMIF($A:$A,$A2958,$G:$G)*SUMIF(Summary!$A$166:$A$242,$A2958,Summary!$P$166:$P$242),0)</f>
        <v>50692.279688285147</v>
      </c>
      <c r="AE2958" s="197">
        <f t="shared" ca="1" si="654"/>
        <v>31982.578872431659</v>
      </c>
      <c r="AF2958" s="196">
        <f>IFERROR(G2958/SUMIF(A:A,A2958,G:G)*SUMIF(Summary!$A$166:$A$242,'Operations Support'!A2958,Summary!$Q$166:$Q$242),0)</f>
        <v>50704.998702590266</v>
      </c>
      <c r="AG2958" s="196">
        <f t="shared" ca="1" si="655"/>
        <v>31969.85985812654</v>
      </c>
      <c r="AI2958" s="196">
        <f>IFERROR($G2958/SUMIF($A:$A,$A2958,$G:$G)*SUMIF(Summary!$A$247:$A$283,$A2958,Summary!$P$247:$P$283),0)</f>
        <v>9245.0068034046399</v>
      </c>
      <c r="AJ2958" s="196">
        <f>IFERROR($G2958/SUMIF($A:$A,$A2958,$G:$G)*(SUMIF(Summary!$A$247:$A$283,$A2958,Summary!$L$247:$L$283)+SUMIF(Summary!$A$297:$A$333,$A2958,Summary!$L$297:$L$333))-AI2958,0)</f>
        <v>27963.553238412729</v>
      </c>
      <c r="AK2958" s="196">
        <f>IFERROR($G2958/SUMIF($A:$A,$A2958,$G:$G)*SUMIF(Summary!$A$247:$A$283,$A2958,Summary!$Q$247:$Q$283),0)</f>
        <v>9247.3264342144303</v>
      </c>
      <c r="AL2958" s="196">
        <f>IFERROR($G2958/SUMIF($A:$A,$A2958,$G:$G)*(SUMIF(Summary!$A$247:$A$283,$A2958,Summary!$L$247:$L$283)+SUMIF(Summary!$A$297:$A$333,$A2958,Summary!$L$297:$L$333))-AK2958,0)</f>
        <v>27961.233607602939</v>
      </c>
      <c r="AM2958" s="198"/>
      <c r="AN2958" s="196">
        <f t="shared" ca="1" si="656"/>
        <v>59946.132110844388</v>
      </c>
      <c r="AO2958" s="196">
        <f t="shared" ca="1" si="657"/>
        <v>59931.093465729478</v>
      </c>
    </row>
    <row r="2959" spans="1:41">
      <c r="A2959" s="189">
        <v>11161</v>
      </c>
      <c r="B2959" s="190">
        <v>1</v>
      </c>
      <c r="C2959" s="191" t="s">
        <v>234</v>
      </c>
      <c r="D2959" s="192">
        <f t="shared" si="644"/>
        <v>0</v>
      </c>
      <c r="E2959" s="192">
        <f t="shared" si="645"/>
        <v>0</v>
      </c>
      <c r="F2959" s="192">
        <f t="shared" si="646"/>
        <v>0</v>
      </c>
      <c r="G2959" s="193">
        <f t="shared" si="647"/>
        <v>0</v>
      </c>
      <c r="H2959" s="194">
        <v>0</v>
      </c>
      <c r="I2959" s="194">
        <v>0</v>
      </c>
      <c r="J2959" s="194">
        <v>0</v>
      </c>
      <c r="K2959" s="193">
        <f t="shared" si="648"/>
        <v>0</v>
      </c>
      <c r="L2959" s="194">
        <v>0</v>
      </c>
      <c r="M2959" s="194">
        <v>0</v>
      </c>
      <c r="N2959" s="194">
        <v>0</v>
      </c>
      <c r="O2959" s="193">
        <f t="shared" si="649"/>
        <v>0</v>
      </c>
      <c r="P2959" s="194">
        <v>0</v>
      </c>
      <c r="Q2959" s="194">
        <v>0</v>
      </c>
      <c r="R2959" s="194">
        <v>0</v>
      </c>
      <c r="S2959" s="193">
        <f t="shared" si="650"/>
        <v>0</v>
      </c>
      <c r="T2959" s="193">
        <f t="shared" si="651"/>
        <v>0</v>
      </c>
      <c r="U2959" s="193">
        <f ca="1">OFFSET('Expenditure Study'!$B$7,'Operations Support'!$C2959,'Operations Support'!$B2959)*$G2959</f>
        <v>0</v>
      </c>
      <c r="V2959" s="199">
        <f ca="1">U2959*'Expenditure Study'!$B$31</f>
        <v>0</v>
      </c>
      <c r="W2959" s="199">
        <f ca="1">IF(A2959=10298,1.51,1)*IF($B2959&lt;3,$D2959*'Expenditure Study'!$B$32*OFFSET('Expenditure Study'!$B$7,'Operations Support'!$C2959,'Operations Support'!$B2959),0)</f>
        <v>0</v>
      </c>
      <c r="X2959" s="200">
        <f ca="1">W2959*'Expenditure Study'!$B$31</f>
        <v>0</v>
      </c>
      <c r="Y2959" s="199">
        <f ca="1">U2959*'Expenditure Study'!$B$31</f>
        <v>0</v>
      </c>
      <c r="Z2959" s="200">
        <f ca="1">W2959*'Expenditure Study'!$B$31</f>
        <v>0</v>
      </c>
      <c r="AA2959" s="195">
        <f t="shared" ca="1" si="652"/>
        <v>0</v>
      </c>
      <c r="AB2959" s="195">
        <f t="shared" ca="1" si="653"/>
        <v>0</v>
      </c>
      <c r="AD2959" s="196">
        <f>IFERROR($G2959/SUMIF($A:$A,$A2959,$G:$G)*SUMIF(Summary!$A$166:$A$242,$A2959,Summary!$P$166:$P$242),0)</f>
        <v>0</v>
      </c>
      <c r="AE2959" s="197">
        <f t="shared" ca="1" si="654"/>
        <v>0</v>
      </c>
      <c r="AF2959" s="196">
        <f>IFERROR(G2959/SUMIF(A:A,A2959,G:G)*SUMIF(Summary!$A$166:$A$242,'Operations Support'!A2959,Summary!$Q$166:$Q$242),0)</f>
        <v>0</v>
      </c>
      <c r="AG2959" s="196">
        <f t="shared" ca="1" si="655"/>
        <v>0</v>
      </c>
      <c r="AI2959" s="196">
        <f>IFERROR($G2959/SUMIF($A:$A,$A2959,$G:$G)*SUMIF(Summary!$A$247:$A$283,$A2959,Summary!$P$247:$P$283),0)</f>
        <v>0</v>
      </c>
      <c r="AJ2959" s="196">
        <f>IFERROR($G2959/SUMIF($A:$A,$A2959,$G:$G)*(SUMIF(Summary!$A$247:$A$283,$A2959,Summary!$L$247:$L$283)+SUMIF(Summary!$A$297:$A$333,$A2959,Summary!$L$297:$L$333))-AI2959,0)</f>
        <v>0</v>
      </c>
      <c r="AK2959" s="196">
        <f>IFERROR($G2959/SUMIF($A:$A,$A2959,$G:$G)*SUMIF(Summary!$A$247:$A$283,$A2959,Summary!$Q$247:$Q$283),0)</f>
        <v>0</v>
      </c>
      <c r="AL2959" s="196">
        <f>IFERROR($G2959/SUMIF($A:$A,$A2959,$G:$G)*(SUMIF(Summary!$A$247:$A$283,$A2959,Summary!$L$247:$L$283)+SUMIF(Summary!$A$297:$A$333,$A2959,Summary!$L$297:$L$333))-AK2959,0)</f>
        <v>0</v>
      </c>
      <c r="AM2959" s="198"/>
      <c r="AN2959" s="196">
        <f t="shared" ca="1" si="656"/>
        <v>0</v>
      </c>
      <c r="AO2959" s="196">
        <f t="shared" ca="1" si="657"/>
        <v>0</v>
      </c>
    </row>
    <row r="2960" spans="1:41">
      <c r="A2960" s="189">
        <v>11161</v>
      </c>
      <c r="B2960" s="190">
        <v>1</v>
      </c>
      <c r="C2960" s="191" t="s">
        <v>235</v>
      </c>
      <c r="D2960" s="192">
        <f t="shared" si="644"/>
        <v>2970</v>
      </c>
      <c r="E2960" s="192">
        <f t="shared" si="645"/>
        <v>2823</v>
      </c>
      <c r="F2960" s="192">
        <f t="shared" si="646"/>
        <v>0</v>
      </c>
      <c r="G2960" s="193">
        <f t="shared" si="647"/>
        <v>5793</v>
      </c>
      <c r="H2960" s="194">
        <v>1113</v>
      </c>
      <c r="I2960" s="194">
        <v>1581</v>
      </c>
      <c r="J2960" s="194">
        <v>0</v>
      </c>
      <c r="K2960" s="193">
        <f t="shared" si="648"/>
        <v>2694</v>
      </c>
      <c r="L2960" s="194">
        <v>1467</v>
      </c>
      <c r="M2960" s="194">
        <v>1182</v>
      </c>
      <c r="N2960" s="194">
        <v>0</v>
      </c>
      <c r="O2960" s="193">
        <f t="shared" si="649"/>
        <v>2649</v>
      </c>
      <c r="P2960" s="194">
        <v>390</v>
      </c>
      <c r="Q2960" s="194">
        <v>60</v>
      </c>
      <c r="R2960" s="194">
        <v>0</v>
      </c>
      <c r="S2960" s="193">
        <f t="shared" si="650"/>
        <v>450</v>
      </c>
      <c r="T2960" s="193">
        <f t="shared" si="651"/>
        <v>193.1</v>
      </c>
      <c r="U2960" s="193">
        <f ca="1">OFFSET('Expenditure Study'!$B$7,'Operations Support'!$C2960,'Operations Support'!$B2960)*$G2960</f>
        <v>6372.3</v>
      </c>
      <c r="V2960" s="199">
        <f ca="1">U2960*'Expenditure Study'!$B$31</f>
        <v>376495.75301183999</v>
      </c>
      <c r="W2960" s="199">
        <f ca="1">IF(A2960=10298,1.51,1)*IF($B2960&lt;3,$D2960*'Expenditure Study'!$B$32*OFFSET('Expenditure Study'!$B$7,'Operations Support'!$C2960,'Operations Support'!$B2960),0)</f>
        <v>326.70000000000005</v>
      </c>
      <c r="X2960" s="200">
        <f ca="1">W2960*'Expenditure Study'!$B$31</f>
        <v>19302.475167360004</v>
      </c>
      <c r="Y2960" s="199">
        <f ca="1">U2960*'Expenditure Study'!$B$31</f>
        <v>376495.75301183999</v>
      </c>
      <c r="Z2960" s="200">
        <f ca="1">W2960*'Expenditure Study'!$B$31</f>
        <v>19302.475167360004</v>
      </c>
      <c r="AA2960" s="195">
        <f t="shared" ca="1" si="652"/>
        <v>395798.22817919997</v>
      </c>
      <c r="AB2960" s="195">
        <f t="shared" ca="1" si="653"/>
        <v>395798.22817919997</v>
      </c>
      <c r="AD2960" s="196">
        <f>IFERROR($G2960/SUMIF($A:$A,$A2960,$G:$G)*SUMIF(Summary!$A$166:$A$242,$A2960,Summary!$P$166:$P$242),0)</f>
        <v>207974.77070413306</v>
      </c>
      <c r="AE2960" s="197">
        <f t="shared" ca="1" si="654"/>
        <v>187823.45747506691</v>
      </c>
      <c r="AF2960" s="196">
        <f>IFERROR(G2960/SUMIF(A:A,A2960,G:G)*SUMIF(Summary!$A$166:$A$242,'Operations Support'!A2960,Summary!$Q$166:$Q$242),0)</f>
        <v>208026.95289242594</v>
      </c>
      <c r="AG2960" s="196">
        <f t="shared" ca="1" si="655"/>
        <v>187771.27528677403</v>
      </c>
      <c r="AI2960" s="196">
        <f>IFERROR($G2960/SUMIF($A:$A,$A2960,$G:$G)*SUMIF(Summary!$A$247:$A$283,$A2960,Summary!$P$247:$P$283),0)</f>
        <v>37929.408223883205</v>
      </c>
      <c r="AJ2960" s="196">
        <f>IFERROR($G2960/SUMIF($A:$A,$A2960,$G:$G)*(SUMIF(Summary!$A$247:$A$283,$A2960,Summary!$L$247:$L$283)+SUMIF(Summary!$A$297:$A$333,$A2960,Summary!$L$297:$L$333))-AI2960,0)</f>
        <v>114725.82429895534</v>
      </c>
      <c r="AK2960" s="196">
        <f>IFERROR($G2960/SUMIF($A:$A,$A2960,$G:$G)*SUMIF(Summary!$A$247:$A$283,$A2960,Summary!$Q$247:$Q$283),0)</f>
        <v>37938.924952835827</v>
      </c>
      <c r="AL2960" s="196">
        <f>IFERROR($G2960/SUMIF($A:$A,$A2960,$G:$G)*(SUMIF(Summary!$A$247:$A$283,$A2960,Summary!$L$247:$L$283)+SUMIF(Summary!$A$297:$A$333,$A2960,Summary!$L$297:$L$333))-AK2960,0)</f>
        <v>114716.30757000271</v>
      </c>
      <c r="AM2960" s="198"/>
      <c r="AN2960" s="196">
        <f t="shared" ca="1" si="656"/>
        <v>302549.28177402227</v>
      </c>
      <c r="AO2960" s="196">
        <f t="shared" ca="1" si="657"/>
        <v>302487.58285677677</v>
      </c>
    </row>
    <row r="2961" spans="1:41">
      <c r="A2961" s="189">
        <v>11161</v>
      </c>
      <c r="B2961" s="190">
        <v>1</v>
      </c>
      <c r="C2961" s="191" t="s">
        <v>236</v>
      </c>
      <c r="D2961" s="192">
        <f t="shared" si="644"/>
        <v>0</v>
      </c>
      <c r="E2961" s="192">
        <f t="shared" si="645"/>
        <v>0</v>
      </c>
      <c r="F2961" s="192">
        <f t="shared" si="646"/>
        <v>0</v>
      </c>
      <c r="G2961" s="193">
        <f t="shared" si="647"/>
        <v>0</v>
      </c>
      <c r="H2961" s="194">
        <v>0</v>
      </c>
      <c r="I2961" s="194">
        <v>0</v>
      </c>
      <c r="J2961" s="194">
        <v>0</v>
      </c>
      <c r="K2961" s="193">
        <f t="shared" si="648"/>
        <v>0</v>
      </c>
      <c r="L2961" s="194">
        <v>0</v>
      </c>
      <c r="M2961" s="194">
        <v>0</v>
      </c>
      <c r="N2961" s="194">
        <v>0</v>
      </c>
      <c r="O2961" s="193">
        <f t="shared" si="649"/>
        <v>0</v>
      </c>
      <c r="P2961" s="194">
        <v>0</v>
      </c>
      <c r="Q2961" s="194">
        <v>0</v>
      </c>
      <c r="R2961" s="194">
        <v>0</v>
      </c>
      <c r="S2961" s="193">
        <f t="shared" si="650"/>
        <v>0</v>
      </c>
      <c r="T2961" s="193">
        <f t="shared" si="651"/>
        <v>0</v>
      </c>
      <c r="U2961" s="193">
        <f ca="1">OFFSET('Expenditure Study'!$B$7,'Operations Support'!$C2961,'Operations Support'!$B2961)*$G2961</f>
        <v>0</v>
      </c>
      <c r="V2961" s="199">
        <f ca="1">U2961*'Expenditure Study'!$B$31</f>
        <v>0</v>
      </c>
      <c r="W2961" s="199">
        <f ca="1">IF(A2961=10298,1.51,1)*IF($B2961&lt;3,$D2961*'Expenditure Study'!$B$32*OFFSET('Expenditure Study'!$B$7,'Operations Support'!$C2961,'Operations Support'!$B2961),0)</f>
        <v>0</v>
      </c>
      <c r="X2961" s="200">
        <f ca="1">W2961*'Expenditure Study'!$B$31</f>
        <v>0</v>
      </c>
      <c r="Y2961" s="199">
        <f ca="1">U2961*'Expenditure Study'!$B$31</f>
        <v>0</v>
      </c>
      <c r="Z2961" s="200">
        <f ca="1">W2961*'Expenditure Study'!$B$31</f>
        <v>0</v>
      </c>
      <c r="AA2961" s="195">
        <f t="shared" ca="1" si="652"/>
        <v>0</v>
      </c>
      <c r="AB2961" s="195">
        <f t="shared" ca="1" si="653"/>
        <v>0</v>
      </c>
      <c r="AD2961" s="196">
        <f>IFERROR($G2961/SUMIF($A:$A,$A2961,$G:$G)*SUMIF(Summary!$A$166:$A$242,$A2961,Summary!$P$166:$P$242),0)</f>
        <v>0</v>
      </c>
      <c r="AE2961" s="197">
        <f t="shared" ca="1" si="654"/>
        <v>0</v>
      </c>
      <c r="AF2961" s="196">
        <f>IFERROR(G2961/SUMIF(A:A,A2961,G:G)*SUMIF(Summary!$A$166:$A$242,'Operations Support'!A2961,Summary!$Q$166:$Q$242),0)</f>
        <v>0</v>
      </c>
      <c r="AG2961" s="196">
        <f t="shared" ca="1" si="655"/>
        <v>0</v>
      </c>
      <c r="AI2961" s="196">
        <f>IFERROR($G2961/SUMIF($A:$A,$A2961,$G:$G)*SUMIF(Summary!$A$247:$A$283,$A2961,Summary!$P$247:$P$283),0)</f>
        <v>0</v>
      </c>
      <c r="AJ2961" s="196">
        <f>IFERROR($G2961/SUMIF($A:$A,$A2961,$G:$G)*(SUMIF(Summary!$A$247:$A$283,$A2961,Summary!$L$247:$L$283)+SUMIF(Summary!$A$297:$A$333,$A2961,Summary!$L$297:$L$333))-AI2961,0)</f>
        <v>0</v>
      </c>
      <c r="AK2961" s="196">
        <f>IFERROR($G2961/SUMIF($A:$A,$A2961,$G:$G)*SUMIF(Summary!$A$247:$A$283,$A2961,Summary!$Q$247:$Q$283),0)</f>
        <v>0</v>
      </c>
      <c r="AL2961" s="196">
        <f>IFERROR($G2961/SUMIF($A:$A,$A2961,$G:$G)*(SUMIF(Summary!$A$247:$A$283,$A2961,Summary!$L$247:$L$283)+SUMIF(Summary!$A$297:$A$333,$A2961,Summary!$L$297:$L$333))-AK2961,0)</f>
        <v>0</v>
      </c>
      <c r="AM2961" s="198"/>
      <c r="AN2961" s="196">
        <f t="shared" ca="1" si="656"/>
        <v>0</v>
      </c>
      <c r="AO2961" s="196">
        <f t="shared" ca="1" si="657"/>
        <v>0</v>
      </c>
    </row>
    <row r="2962" spans="1:41">
      <c r="A2962" s="189">
        <v>11161</v>
      </c>
      <c r="B2962" s="190">
        <v>1</v>
      </c>
      <c r="C2962" s="191" t="s">
        <v>237</v>
      </c>
      <c r="D2962" s="192">
        <f t="shared" si="644"/>
        <v>0</v>
      </c>
      <c r="E2962" s="192">
        <f t="shared" si="645"/>
        <v>0</v>
      </c>
      <c r="F2962" s="192">
        <f t="shared" si="646"/>
        <v>0</v>
      </c>
      <c r="G2962" s="193">
        <f t="shared" si="647"/>
        <v>0</v>
      </c>
      <c r="H2962" s="194">
        <v>0</v>
      </c>
      <c r="I2962" s="194">
        <v>0</v>
      </c>
      <c r="J2962" s="194">
        <v>0</v>
      </c>
      <c r="K2962" s="193">
        <f t="shared" si="648"/>
        <v>0</v>
      </c>
      <c r="L2962" s="194">
        <v>0</v>
      </c>
      <c r="M2962" s="194">
        <v>0</v>
      </c>
      <c r="N2962" s="194">
        <v>0</v>
      </c>
      <c r="O2962" s="193">
        <f t="shared" si="649"/>
        <v>0</v>
      </c>
      <c r="P2962" s="194">
        <v>0</v>
      </c>
      <c r="Q2962" s="194">
        <v>0</v>
      </c>
      <c r="R2962" s="194">
        <v>0</v>
      </c>
      <c r="S2962" s="193">
        <f t="shared" si="650"/>
        <v>0</v>
      </c>
      <c r="T2962" s="193">
        <f t="shared" si="651"/>
        <v>0</v>
      </c>
      <c r="U2962" s="193">
        <f ca="1">OFFSET('Expenditure Study'!$B$7,'Operations Support'!$C2962,'Operations Support'!$B2962)*$G2962</f>
        <v>0</v>
      </c>
      <c r="V2962" s="199">
        <f ca="1">U2962*'Expenditure Study'!$B$31</f>
        <v>0</v>
      </c>
      <c r="W2962" s="199">
        <f ca="1">IF(A2962=10298,1.51,1)*IF($B2962&lt;3,$D2962*'Expenditure Study'!$B$32*OFFSET('Expenditure Study'!$B$7,'Operations Support'!$C2962,'Operations Support'!$B2962),0)</f>
        <v>0</v>
      </c>
      <c r="X2962" s="200">
        <f ca="1">W2962*'Expenditure Study'!$B$31</f>
        <v>0</v>
      </c>
      <c r="Y2962" s="199">
        <f ca="1">U2962*'Expenditure Study'!$B$31</f>
        <v>0</v>
      </c>
      <c r="Z2962" s="200">
        <f ca="1">W2962*'Expenditure Study'!$B$31</f>
        <v>0</v>
      </c>
      <c r="AA2962" s="195">
        <f t="shared" ca="1" si="652"/>
        <v>0</v>
      </c>
      <c r="AB2962" s="195">
        <f t="shared" ca="1" si="653"/>
        <v>0</v>
      </c>
      <c r="AD2962" s="196">
        <f>IFERROR($G2962/SUMIF($A:$A,$A2962,$G:$G)*SUMIF(Summary!$A$166:$A$242,$A2962,Summary!$P$166:$P$242),0)</f>
        <v>0</v>
      </c>
      <c r="AE2962" s="197">
        <f t="shared" ca="1" si="654"/>
        <v>0</v>
      </c>
      <c r="AF2962" s="196">
        <f>IFERROR(G2962/SUMIF(A:A,A2962,G:G)*SUMIF(Summary!$A$166:$A$242,'Operations Support'!A2962,Summary!$Q$166:$Q$242),0)</f>
        <v>0</v>
      </c>
      <c r="AG2962" s="196">
        <f t="shared" ca="1" si="655"/>
        <v>0</v>
      </c>
      <c r="AI2962" s="196">
        <f>IFERROR($G2962/SUMIF($A:$A,$A2962,$G:$G)*SUMIF(Summary!$A$247:$A$283,$A2962,Summary!$P$247:$P$283),0)</f>
        <v>0</v>
      </c>
      <c r="AJ2962" s="196">
        <f>IFERROR($G2962/SUMIF($A:$A,$A2962,$G:$G)*(SUMIF(Summary!$A$247:$A$283,$A2962,Summary!$L$247:$L$283)+SUMIF(Summary!$A$297:$A$333,$A2962,Summary!$L$297:$L$333))-AI2962,0)</f>
        <v>0</v>
      </c>
      <c r="AK2962" s="196">
        <f>IFERROR($G2962/SUMIF($A:$A,$A2962,$G:$G)*SUMIF(Summary!$A$247:$A$283,$A2962,Summary!$Q$247:$Q$283),0)</f>
        <v>0</v>
      </c>
      <c r="AL2962" s="196">
        <f>IFERROR($G2962/SUMIF($A:$A,$A2962,$G:$G)*(SUMIF(Summary!$A$247:$A$283,$A2962,Summary!$L$247:$L$283)+SUMIF(Summary!$A$297:$A$333,$A2962,Summary!$L$297:$L$333))-AK2962,0)</f>
        <v>0</v>
      </c>
      <c r="AM2962" s="198"/>
      <c r="AN2962" s="196">
        <f t="shared" ca="1" si="656"/>
        <v>0</v>
      </c>
      <c r="AO2962" s="196">
        <f t="shared" ca="1" si="657"/>
        <v>0</v>
      </c>
    </row>
    <row r="2963" spans="1:41">
      <c r="A2963" s="189">
        <v>11161</v>
      </c>
      <c r="B2963" s="190">
        <v>1</v>
      </c>
      <c r="C2963" s="191" t="s">
        <v>238</v>
      </c>
      <c r="D2963" s="192">
        <f t="shared" si="644"/>
        <v>40</v>
      </c>
      <c r="E2963" s="192">
        <f t="shared" si="645"/>
        <v>263</v>
      </c>
      <c r="F2963" s="192">
        <f t="shared" si="646"/>
        <v>0</v>
      </c>
      <c r="G2963" s="193">
        <f t="shared" si="647"/>
        <v>303</v>
      </c>
      <c r="H2963" s="194">
        <v>0</v>
      </c>
      <c r="I2963" s="194">
        <v>108</v>
      </c>
      <c r="J2963" s="194">
        <v>0</v>
      </c>
      <c r="K2963" s="193">
        <f t="shared" si="648"/>
        <v>108</v>
      </c>
      <c r="L2963" s="194">
        <v>40</v>
      </c>
      <c r="M2963" s="194">
        <v>155</v>
      </c>
      <c r="N2963" s="194">
        <v>0</v>
      </c>
      <c r="O2963" s="193">
        <f t="shared" si="649"/>
        <v>195</v>
      </c>
      <c r="P2963" s="194">
        <v>0</v>
      </c>
      <c r="Q2963" s="194">
        <v>0</v>
      </c>
      <c r="R2963" s="194">
        <v>0</v>
      </c>
      <c r="S2963" s="193">
        <f t="shared" si="650"/>
        <v>0</v>
      </c>
      <c r="T2963" s="193">
        <f t="shared" si="651"/>
        <v>10.1</v>
      </c>
      <c r="U2963" s="193">
        <f ca="1">OFFSET('Expenditure Study'!$B$7,'Operations Support'!$C2963,'Operations Support'!$B2963)*$G2963</f>
        <v>539.34</v>
      </c>
      <c r="V2963" s="199">
        <f ca="1">U2963*'Expenditure Study'!$B$31</f>
        <v>31865.922732672003</v>
      </c>
      <c r="W2963" s="199">
        <f ca="1">IF(A2963=10298,1.51,1)*IF($B2963&lt;3,$D2963*'Expenditure Study'!$B$32*OFFSET('Expenditure Study'!$B$7,'Operations Support'!$C2963,'Operations Support'!$B2963),0)</f>
        <v>7.12</v>
      </c>
      <c r="X2963" s="200">
        <f ca="1">W2963*'Expenditure Study'!$B$31</f>
        <v>420.67224729600002</v>
      </c>
      <c r="Y2963" s="199">
        <f ca="1">U2963*'Expenditure Study'!$B$31</f>
        <v>31865.922732672003</v>
      </c>
      <c r="Z2963" s="200">
        <f ca="1">W2963*'Expenditure Study'!$B$31</f>
        <v>420.67224729600002</v>
      </c>
      <c r="AA2963" s="195">
        <f t="shared" ca="1" si="652"/>
        <v>32286.594979968002</v>
      </c>
      <c r="AB2963" s="195">
        <f t="shared" ca="1" si="653"/>
        <v>32286.594979968002</v>
      </c>
      <c r="AD2963" s="196">
        <f>IFERROR($G2963/SUMIF($A:$A,$A2963,$G:$G)*SUMIF(Summary!$A$166:$A$242,$A2963,Summary!$P$166:$P$242),0)</f>
        <v>10878.017525177336</v>
      </c>
      <c r="AE2963" s="197">
        <f t="shared" ca="1" si="654"/>
        <v>21408.577454790666</v>
      </c>
      <c r="AF2963" s="196">
        <f>IFERROR(G2963/SUMIF(A:A,A2963,G:G)*SUMIF(Summary!$A$166:$A$242,'Operations Support'!A2963,Summary!$Q$166:$Q$242),0)</f>
        <v>10880.746888728647</v>
      </c>
      <c r="AG2963" s="196">
        <f t="shared" ca="1" si="655"/>
        <v>21405.848091239357</v>
      </c>
      <c r="AI2963" s="196">
        <f>IFERROR($G2963/SUMIF($A:$A,$A2963,$G:$G)*SUMIF(Summary!$A$247:$A$283,$A2963,Summary!$P$247:$P$283),0)</f>
        <v>1983.8789386909391</v>
      </c>
      <c r="AJ2963" s="196">
        <f>IFERROR($G2963/SUMIF($A:$A,$A2963,$G:$G)*(SUMIF(Summary!$A$247:$A$283,$A2963,Summary!$L$247:$L$283)+SUMIF(Summary!$A$297:$A$333,$A2963,Summary!$L$297:$L$333))-AI2963,0)</f>
        <v>6000.6775008775194</v>
      </c>
      <c r="AK2963" s="196">
        <f>IFERROR($G2963/SUMIF($A:$A,$A2963,$G:$G)*SUMIF(Summary!$A$247:$A$283,$A2963,Summary!$Q$247:$Q$283),0)</f>
        <v>1984.3767064921899</v>
      </c>
      <c r="AL2963" s="196">
        <f>IFERROR($G2963/SUMIF($A:$A,$A2963,$G:$G)*(SUMIF(Summary!$A$247:$A$283,$A2963,Summary!$L$247:$L$283)+SUMIF(Summary!$A$297:$A$333,$A2963,Summary!$L$297:$L$333))-AK2963,0)</f>
        <v>6000.1797330762693</v>
      </c>
      <c r="AM2963" s="198"/>
      <c r="AN2963" s="196">
        <f t="shared" ca="1" si="656"/>
        <v>27409.254955668184</v>
      </c>
      <c r="AO2963" s="196">
        <f t="shared" ca="1" si="657"/>
        <v>27406.027824315628</v>
      </c>
    </row>
    <row r="2964" spans="1:41">
      <c r="A2964" s="189">
        <v>11161</v>
      </c>
      <c r="B2964" s="190">
        <v>1</v>
      </c>
      <c r="C2964" s="191" t="s">
        <v>239</v>
      </c>
      <c r="D2964" s="192">
        <f t="shared" si="644"/>
        <v>0</v>
      </c>
      <c r="E2964" s="192">
        <f t="shared" si="645"/>
        <v>98</v>
      </c>
      <c r="F2964" s="192">
        <f t="shared" si="646"/>
        <v>0</v>
      </c>
      <c r="G2964" s="193">
        <f t="shared" si="647"/>
        <v>98</v>
      </c>
      <c r="H2964" s="194">
        <v>0</v>
      </c>
      <c r="I2964" s="194">
        <v>13</v>
      </c>
      <c r="J2964" s="194">
        <v>0</v>
      </c>
      <c r="K2964" s="193">
        <f t="shared" si="648"/>
        <v>13</v>
      </c>
      <c r="L2964" s="194">
        <v>0</v>
      </c>
      <c r="M2964" s="194">
        <v>85</v>
      </c>
      <c r="N2964" s="194">
        <v>0</v>
      </c>
      <c r="O2964" s="193">
        <f t="shared" si="649"/>
        <v>85</v>
      </c>
      <c r="P2964" s="194">
        <v>0</v>
      </c>
      <c r="Q2964" s="194">
        <v>0</v>
      </c>
      <c r="R2964" s="194">
        <v>0</v>
      </c>
      <c r="S2964" s="193">
        <f t="shared" si="650"/>
        <v>0</v>
      </c>
      <c r="T2964" s="193">
        <f t="shared" si="651"/>
        <v>3.2666666666666666</v>
      </c>
      <c r="U2964" s="193">
        <f ca="1">OFFSET('Expenditure Study'!$B$7,'Operations Support'!$C2964,'Operations Support'!$B2964)*$G2964</f>
        <v>151.9</v>
      </c>
      <c r="V2964" s="199">
        <f ca="1">U2964*'Expenditure Study'!$B$31</f>
        <v>8974.7351635200012</v>
      </c>
      <c r="W2964" s="199">
        <f ca="1">IF(A2964=10298,1.51,1)*IF($B2964&lt;3,$D2964*'Expenditure Study'!$B$32*OFFSET('Expenditure Study'!$B$7,'Operations Support'!$C2964,'Operations Support'!$B2964),0)</f>
        <v>0</v>
      </c>
      <c r="X2964" s="200">
        <f ca="1">W2964*'Expenditure Study'!$B$31</f>
        <v>0</v>
      </c>
      <c r="Y2964" s="199">
        <f ca="1">U2964*'Expenditure Study'!$B$31</f>
        <v>8974.7351635200012</v>
      </c>
      <c r="Z2964" s="200">
        <f ca="1">W2964*'Expenditure Study'!$B$31</f>
        <v>0</v>
      </c>
      <c r="AA2964" s="195">
        <f t="shared" ca="1" si="652"/>
        <v>8974.7351635200012</v>
      </c>
      <c r="AB2964" s="195">
        <f t="shared" ca="1" si="653"/>
        <v>8974.7351635200012</v>
      </c>
      <c r="AD2964" s="196">
        <f>IFERROR($G2964/SUMIF($A:$A,$A2964,$G:$G)*SUMIF(Summary!$A$166:$A$242,$A2964,Summary!$P$166:$P$242),0)</f>
        <v>3518.3026979121419</v>
      </c>
      <c r="AE2964" s="197">
        <f t="shared" ca="1" si="654"/>
        <v>5456.4324656078588</v>
      </c>
      <c r="AF2964" s="196">
        <f>IFERROR(G2964/SUMIF(A:A,A2964,G:G)*SUMIF(Summary!$A$166:$A$242,'Operations Support'!A2964,Summary!$Q$166:$Q$242),0)</f>
        <v>3519.1854623610807</v>
      </c>
      <c r="AG2964" s="196">
        <f t="shared" ca="1" si="655"/>
        <v>5455.5497011589205</v>
      </c>
      <c r="AI2964" s="196">
        <f>IFERROR($G2964/SUMIF($A:$A,$A2964,$G:$G)*SUMIF(Summary!$A$247:$A$283,$A2964,Summary!$P$247:$P$283),0)</f>
        <v>641.65061383403315</v>
      </c>
      <c r="AJ2964" s="196">
        <f>IFERROR($G2964/SUMIF($A:$A,$A2964,$G:$G)*(SUMIF(Summary!$A$247:$A$283,$A2964,Summary!$L$247:$L$283)+SUMIF(Summary!$A$297:$A$333,$A2964,Summary!$L$297:$L$333))-AI2964,0)</f>
        <v>1940.8131851022999</v>
      </c>
      <c r="AK2964" s="196">
        <f>IFERROR($G2964/SUMIF($A:$A,$A2964,$G:$G)*SUMIF(Summary!$A$247:$A$283,$A2964,Summary!$Q$247:$Q$283),0)</f>
        <v>641.81160804037825</v>
      </c>
      <c r="AL2964" s="196">
        <f>IFERROR($G2964/SUMIF($A:$A,$A2964,$G:$G)*(SUMIF(Summary!$A$247:$A$283,$A2964,Summary!$L$247:$L$283)+SUMIF(Summary!$A$297:$A$333,$A2964,Summary!$L$297:$L$333))-AK2964,0)</f>
        <v>1940.6521908959548</v>
      </c>
      <c r="AM2964" s="198"/>
      <c r="AN2964" s="196">
        <f t="shared" ca="1" si="656"/>
        <v>7397.2456507101588</v>
      </c>
      <c r="AO2964" s="196">
        <f t="shared" ca="1" si="657"/>
        <v>7396.2018920548753</v>
      </c>
    </row>
    <row r="2965" spans="1:41">
      <c r="A2965" s="189">
        <v>11161</v>
      </c>
      <c r="B2965" s="190">
        <v>1</v>
      </c>
      <c r="C2965" s="191" t="s">
        <v>240</v>
      </c>
      <c r="D2965" s="192">
        <f t="shared" si="644"/>
        <v>0</v>
      </c>
      <c r="E2965" s="192">
        <f t="shared" si="645"/>
        <v>1228</v>
      </c>
      <c r="F2965" s="192">
        <f t="shared" si="646"/>
        <v>0</v>
      </c>
      <c r="G2965" s="193">
        <f t="shared" si="647"/>
        <v>1228</v>
      </c>
      <c r="H2965" s="194">
        <v>0</v>
      </c>
      <c r="I2965" s="194">
        <v>410</v>
      </c>
      <c r="J2965" s="194">
        <v>0</v>
      </c>
      <c r="K2965" s="193">
        <f t="shared" si="648"/>
        <v>410</v>
      </c>
      <c r="L2965" s="194">
        <v>0</v>
      </c>
      <c r="M2965" s="194">
        <v>818</v>
      </c>
      <c r="N2965" s="194">
        <v>0</v>
      </c>
      <c r="O2965" s="193">
        <f t="shared" si="649"/>
        <v>818</v>
      </c>
      <c r="P2965" s="194">
        <v>0</v>
      </c>
      <c r="Q2965" s="194">
        <v>0</v>
      </c>
      <c r="R2965" s="194">
        <v>0</v>
      </c>
      <c r="S2965" s="193">
        <f t="shared" si="650"/>
        <v>0</v>
      </c>
      <c r="T2965" s="193">
        <f t="shared" si="651"/>
        <v>40.93333333333333</v>
      </c>
      <c r="U2965" s="193">
        <f ca="1">OFFSET('Expenditure Study'!$B$7,'Operations Support'!$C2965,'Operations Support'!$B2965)*$G2965</f>
        <v>1228</v>
      </c>
      <c r="V2965" s="199">
        <f ca="1">U2965*'Expenditure Study'!$B$31</f>
        <v>72554.146022400004</v>
      </c>
      <c r="W2965" s="199">
        <f ca="1">IF(A2965=10298,1.51,1)*IF($B2965&lt;3,$D2965*'Expenditure Study'!$B$32*OFFSET('Expenditure Study'!$B$7,'Operations Support'!$C2965,'Operations Support'!$B2965),0)</f>
        <v>0</v>
      </c>
      <c r="X2965" s="200">
        <f ca="1">W2965*'Expenditure Study'!$B$31</f>
        <v>0</v>
      </c>
      <c r="Y2965" s="199">
        <f ca="1">U2965*'Expenditure Study'!$B$31</f>
        <v>72554.146022400004</v>
      </c>
      <c r="Z2965" s="200">
        <f ca="1">W2965*'Expenditure Study'!$B$31</f>
        <v>0</v>
      </c>
      <c r="AA2965" s="195">
        <f t="shared" ca="1" si="652"/>
        <v>72554.146022400004</v>
      </c>
      <c r="AB2965" s="195">
        <f t="shared" ca="1" si="653"/>
        <v>72554.146022400004</v>
      </c>
      <c r="AD2965" s="196">
        <f>IFERROR($G2965/SUMIF($A:$A,$A2965,$G:$G)*SUMIF(Summary!$A$166:$A$242,$A2965,Summary!$P$166:$P$242),0)</f>
        <v>44086.486867715408</v>
      </c>
      <c r="AE2965" s="197">
        <f t="shared" ca="1" si="654"/>
        <v>28467.659154684596</v>
      </c>
      <c r="AF2965" s="196">
        <f>IFERROR(G2965/SUMIF(A:A,A2965,G:G)*SUMIF(Summary!$A$166:$A$242,'Operations Support'!A2965,Summary!$Q$166:$Q$242),0)</f>
        <v>44097.548446728644</v>
      </c>
      <c r="AG2965" s="196">
        <f t="shared" ca="1" si="655"/>
        <v>28456.59757567136</v>
      </c>
      <c r="AI2965" s="196">
        <f>IFERROR($G2965/SUMIF($A:$A,$A2965,$G:$G)*SUMIF(Summary!$A$247:$A$283,$A2965,Summary!$P$247:$P$283),0)</f>
        <v>8040.2750386550269</v>
      </c>
      <c r="AJ2965" s="196">
        <f>IFERROR($G2965/SUMIF($A:$A,$A2965,$G:$G)*(SUMIF(Summary!$A$247:$A$283,$A2965,Summary!$L$247:$L$283)+SUMIF(Summary!$A$297:$A$333,$A2965,Summary!$L$297:$L$333))-AI2965,0)</f>
        <v>24319.577462302288</v>
      </c>
      <c r="AK2965" s="196">
        <f>IFERROR($G2965/SUMIF($A:$A,$A2965,$G:$G)*SUMIF(Summary!$A$247:$A$283,$A2965,Summary!$Q$247:$Q$283),0)</f>
        <v>8042.2923946284127</v>
      </c>
      <c r="AL2965" s="196">
        <f>IFERROR($G2965/SUMIF($A:$A,$A2965,$G:$G)*(SUMIF(Summary!$A$247:$A$283,$A2965,Summary!$L$247:$L$283)+SUMIF(Summary!$A$297:$A$333,$A2965,Summary!$L$297:$L$333))-AK2965,0)</f>
        <v>24317.560106328903</v>
      </c>
      <c r="AM2965" s="198"/>
      <c r="AN2965" s="196">
        <f t="shared" ca="1" si="656"/>
        <v>52787.236616986884</v>
      </c>
      <c r="AO2965" s="196">
        <f t="shared" ca="1" si="657"/>
        <v>52774.157682000267</v>
      </c>
    </row>
    <row r="2966" spans="1:41">
      <c r="A2966" s="189">
        <v>11161</v>
      </c>
      <c r="B2966" s="190">
        <v>2</v>
      </c>
      <c r="C2966" s="191" t="s">
        <v>220</v>
      </c>
      <c r="D2966" s="192">
        <f t="shared" si="644"/>
        <v>14498</v>
      </c>
      <c r="E2966" s="192">
        <f t="shared" si="645"/>
        <v>2600</v>
      </c>
      <c r="F2966" s="192">
        <f t="shared" si="646"/>
        <v>0</v>
      </c>
      <c r="G2966" s="193">
        <f t="shared" si="647"/>
        <v>17098</v>
      </c>
      <c r="H2966" s="194">
        <v>6210</v>
      </c>
      <c r="I2966" s="194">
        <v>1389</v>
      </c>
      <c r="J2966" s="194">
        <v>0</v>
      </c>
      <c r="K2966" s="193">
        <f t="shared" si="648"/>
        <v>7599</v>
      </c>
      <c r="L2966" s="194">
        <v>6261</v>
      </c>
      <c r="M2966" s="194">
        <v>996</v>
      </c>
      <c r="N2966" s="194">
        <v>0</v>
      </c>
      <c r="O2966" s="193">
        <f t="shared" si="649"/>
        <v>7257</v>
      </c>
      <c r="P2966" s="194">
        <v>2027</v>
      </c>
      <c r="Q2966" s="194">
        <v>215</v>
      </c>
      <c r="R2966" s="194">
        <v>0</v>
      </c>
      <c r="S2966" s="193">
        <f t="shared" si="650"/>
        <v>2242</v>
      </c>
      <c r="T2966" s="193">
        <f t="shared" si="651"/>
        <v>569.93333333333328</v>
      </c>
      <c r="U2966" s="193">
        <f ca="1">OFFSET('Expenditure Study'!$B$7,'Operations Support'!$C2966,'Operations Support'!$B2966)*$G2966</f>
        <v>31460.32</v>
      </c>
      <c r="V2966" s="199">
        <f ca="1">U2966*'Expenditure Study'!$B$31</f>
        <v>1858775.7745858561</v>
      </c>
      <c r="W2966" s="199">
        <f ca="1">IF(A2966=10298,1.51,1)*IF($B2966&lt;3,$D2966*'Expenditure Study'!$B$32*OFFSET('Expenditure Study'!$B$7,'Operations Support'!$C2966,'Operations Support'!$B2966),0)</f>
        <v>2667.6320000000005</v>
      </c>
      <c r="X2966" s="200">
        <f ca="1">W2966*'Expenditure Study'!$B$31</f>
        <v>157612.18376386564</v>
      </c>
      <c r="Y2966" s="199">
        <f ca="1">U2966*'Expenditure Study'!$B$31</f>
        <v>1858775.7745858561</v>
      </c>
      <c r="Z2966" s="200">
        <f ca="1">W2966*'Expenditure Study'!$B$31</f>
        <v>157612.18376386564</v>
      </c>
      <c r="AA2966" s="195">
        <f t="shared" ca="1" si="652"/>
        <v>2016387.9583497217</v>
      </c>
      <c r="AB2966" s="195">
        <f t="shared" ca="1" si="653"/>
        <v>2016387.9583497217</v>
      </c>
      <c r="AD2966" s="196">
        <f>IFERROR($G2966/SUMIF($A:$A,$A2966,$G:$G)*SUMIF(Summary!$A$166:$A$242,$A2966,Summary!$P$166:$P$242),0)</f>
        <v>613836.11764185515</v>
      </c>
      <c r="AE2966" s="197">
        <f t="shared" ca="1" si="654"/>
        <v>1402551.8407078665</v>
      </c>
      <c r="AF2966" s="196">
        <f>IFERROR(G2966/SUMIF(A:A,A2966,G:G)*SUMIF(Summary!$A$166:$A$242,'Operations Support'!A2966,Summary!$Q$166:$Q$242),0)</f>
        <v>613990.13301479351</v>
      </c>
      <c r="AG2966" s="196">
        <f t="shared" ca="1" si="655"/>
        <v>1402397.8253349282</v>
      </c>
      <c r="AI2966" s="196">
        <f>IFERROR($G2966/SUMIF($A:$A,$A2966,$G:$G)*SUMIF(Summary!$A$247:$A$283,$A2966,Summary!$P$247:$P$283),0)</f>
        <v>111948.38974830919</v>
      </c>
      <c r="AJ2966" s="196">
        <f>IFERROR($G2966/SUMIF($A:$A,$A2966,$G:$G)*(SUMIF(Summary!$A$247:$A$283,$A2966,Summary!$L$247:$L$283)+SUMIF(Summary!$A$297:$A$333,$A2966,Summary!$L$297:$L$333))-AI2966,0)</f>
        <v>338612.48815182783</v>
      </c>
      <c r="AK2966" s="196">
        <f>IFERROR($G2966/SUMIF($A:$A,$A2966,$G:$G)*SUMIF(Summary!$A$247:$A$283,$A2966,Summary!$Q$247:$Q$283),0)</f>
        <v>111976.47830892233</v>
      </c>
      <c r="AL2966" s="196">
        <f>IFERROR($G2966/SUMIF($A:$A,$A2966,$G:$G)*(SUMIF(Summary!$A$247:$A$283,$A2966,Summary!$L$247:$L$283)+SUMIF(Summary!$A$297:$A$333,$A2966,Summary!$L$297:$L$333))-AK2966,0)</f>
        <v>338584.39959121472</v>
      </c>
      <c r="AM2966" s="198"/>
      <c r="AN2966" s="196">
        <f t="shared" ca="1" si="656"/>
        <v>1741164.3288596943</v>
      </c>
      <c r="AO2966" s="196">
        <f t="shared" ca="1" si="657"/>
        <v>1740982.224926143</v>
      </c>
    </row>
    <row r="2967" spans="1:41">
      <c r="A2967" s="189">
        <v>11161</v>
      </c>
      <c r="B2967" s="190">
        <v>2</v>
      </c>
      <c r="C2967" s="191" t="s">
        <v>221</v>
      </c>
      <c r="D2967" s="192">
        <f t="shared" si="644"/>
        <v>10762.5</v>
      </c>
      <c r="E2967" s="192">
        <f t="shared" si="645"/>
        <v>6419.5</v>
      </c>
      <c r="F2967" s="192">
        <f t="shared" si="646"/>
        <v>0</v>
      </c>
      <c r="G2967" s="193">
        <f t="shared" si="647"/>
        <v>17182</v>
      </c>
      <c r="H2967" s="194">
        <v>4700</v>
      </c>
      <c r="I2967" s="194">
        <v>2582</v>
      </c>
      <c r="J2967" s="194">
        <v>0</v>
      </c>
      <c r="K2967" s="193">
        <f t="shared" si="648"/>
        <v>7282</v>
      </c>
      <c r="L2967" s="194">
        <v>4470</v>
      </c>
      <c r="M2967" s="194">
        <v>2468</v>
      </c>
      <c r="N2967" s="194">
        <v>0</v>
      </c>
      <c r="O2967" s="193">
        <f t="shared" si="649"/>
        <v>6938</v>
      </c>
      <c r="P2967" s="194">
        <v>1592.5</v>
      </c>
      <c r="Q2967" s="194">
        <v>1369.5</v>
      </c>
      <c r="R2967" s="194">
        <v>0</v>
      </c>
      <c r="S2967" s="193">
        <f t="shared" si="650"/>
        <v>2962</v>
      </c>
      <c r="T2967" s="193">
        <f t="shared" si="651"/>
        <v>572.73333333333335</v>
      </c>
      <c r="U2967" s="193">
        <f ca="1">OFFSET('Expenditure Study'!$B$7,'Operations Support'!$C2967,'Operations Support'!$B2967)*$G2967</f>
        <v>45188.659999999996</v>
      </c>
      <c r="V2967" s="199">
        <f ca="1">U2967*'Expenditure Study'!$B$31</f>
        <v>2669889.768889728</v>
      </c>
      <c r="W2967" s="199">
        <f ca="1">IF(A2967=10298,1.51,1)*IF($B2967&lt;3,$D2967*'Expenditure Study'!$B$32*OFFSET('Expenditure Study'!$B$7,'Operations Support'!$C2967,'Operations Support'!$B2967),0)</f>
        <v>2830.5374999999999</v>
      </c>
      <c r="X2967" s="200">
        <f ca="1">W2967*'Expenditure Study'!$B$31</f>
        <v>167237.15887367999</v>
      </c>
      <c r="Y2967" s="199">
        <f ca="1">U2967*'Expenditure Study'!$B$31</f>
        <v>2669889.768889728</v>
      </c>
      <c r="Z2967" s="200">
        <f ca="1">W2967*'Expenditure Study'!$B$31</f>
        <v>167237.15887367999</v>
      </c>
      <c r="AA2967" s="195">
        <f t="shared" ca="1" si="652"/>
        <v>2837126.927763408</v>
      </c>
      <c r="AB2967" s="195">
        <f t="shared" ca="1" si="653"/>
        <v>2837126.927763408</v>
      </c>
      <c r="AD2967" s="196">
        <f>IFERROR($G2967/SUMIF($A:$A,$A2967,$G:$G)*SUMIF(Summary!$A$166:$A$242,$A2967,Summary!$P$166:$P$242),0)</f>
        <v>616851.80566863704</v>
      </c>
      <c r="AE2967" s="197">
        <f t="shared" ca="1" si="654"/>
        <v>2220275.1220947709</v>
      </c>
      <c r="AF2967" s="196">
        <f>IFERROR(G2967/SUMIF(A:A,A2967,G:G)*SUMIF(Summary!$A$166:$A$242,'Operations Support'!A2967,Summary!$Q$166:$Q$242),0)</f>
        <v>617006.57769681723</v>
      </c>
      <c r="AG2967" s="196">
        <f t="shared" ca="1" si="655"/>
        <v>2220120.3500665911</v>
      </c>
      <c r="AI2967" s="196">
        <f>IFERROR($G2967/SUMIF($A:$A,$A2967,$G:$G)*SUMIF(Summary!$A$247:$A$283,$A2967,Summary!$P$247:$P$283),0)</f>
        <v>112498.37598873835</v>
      </c>
      <c r="AJ2967" s="196">
        <f>IFERROR($G2967/SUMIF($A:$A,$A2967,$G:$G)*(SUMIF(Summary!$A$247:$A$283,$A2967,Summary!$L$247:$L$283)+SUMIF(Summary!$A$297:$A$333,$A2967,Summary!$L$297:$L$333))-AI2967,0)</f>
        <v>340276.0423104869</v>
      </c>
      <c r="AK2967" s="196">
        <f>IFERROR($G2967/SUMIF($A:$A,$A2967,$G:$G)*SUMIF(Summary!$A$247:$A$283,$A2967,Summary!$Q$247:$Q$283),0)</f>
        <v>112526.6025443855</v>
      </c>
      <c r="AL2967" s="196">
        <f>IFERROR($G2967/SUMIF($A:$A,$A2967,$G:$G)*(SUMIF(Summary!$A$247:$A$283,$A2967,Summary!$L$247:$L$283)+SUMIF(Summary!$A$297:$A$333,$A2967,Summary!$L$297:$L$333))-AK2967,0)</f>
        <v>340247.8157548398</v>
      </c>
      <c r="AM2967" s="198"/>
      <c r="AN2967" s="196">
        <f t="shared" ca="1" si="656"/>
        <v>2560551.1644052579</v>
      </c>
      <c r="AO2967" s="196">
        <f t="shared" ca="1" si="657"/>
        <v>2560368.1658214307</v>
      </c>
    </row>
    <row r="2968" spans="1:41">
      <c r="A2968" s="189">
        <v>11161</v>
      </c>
      <c r="B2968" s="190">
        <v>2</v>
      </c>
      <c r="C2968" s="191" t="s">
        <v>222</v>
      </c>
      <c r="D2968" s="192">
        <f t="shared" si="644"/>
        <v>2819</v>
      </c>
      <c r="E2968" s="192">
        <f t="shared" si="645"/>
        <v>864</v>
      </c>
      <c r="F2968" s="192">
        <f t="shared" si="646"/>
        <v>0</v>
      </c>
      <c r="G2968" s="193">
        <f t="shared" si="647"/>
        <v>3683</v>
      </c>
      <c r="H2968" s="194">
        <v>1398</v>
      </c>
      <c r="I2968" s="194">
        <v>403</v>
      </c>
      <c r="J2968" s="194">
        <v>0</v>
      </c>
      <c r="K2968" s="193">
        <f t="shared" si="648"/>
        <v>1801</v>
      </c>
      <c r="L2968" s="194">
        <v>1142</v>
      </c>
      <c r="M2968" s="194">
        <v>422</v>
      </c>
      <c r="N2968" s="194">
        <v>0</v>
      </c>
      <c r="O2968" s="193">
        <f t="shared" si="649"/>
        <v>1564</v>
      </c>
      <c r="P2968" s="194">
        <v>279</v>
      </c>
      <c r="Q2968" s="194">
        <v>39</v>
      </c>
      <c r="R2968" s="194">
        <v>0</v>
      </c>
      <c r="S2968" s="193">
        <f t="shared" si="650"/>
        <v>318</v>
      </c>
      <c r="T2968" s="193">
        <f t="shared" si="651"/>
        <v>122.76666666666667</v>
      </c>
      <c r="U2968" s="193">
        <f ca="1">OFFSET('Expenditure Study'!$B$7,'Operations Support'!$C2968,'Operations Support'!$B2968)*$G2968</f>
        <v>9796.7800000000007</v>
      </c>
      <c r="V2968" s="199">
        <f ca="1">U2968*'Expenditure Study'!$B$31</f>
        <v>578824.92399782408</v>
      </c>
      <c r="W2968" s="199">
        <f ca="1">IF(A2968=10298,1.51,1)*IF($B2968&lt;3,$D2968*'Expenditure Study'!$B$32*OFFSET('Expenditure Study'!$B$7,'Operations Support'!$C2968,'Operations Support'!$B2968),0)</f>
        <v>749.85400000000016</v>
      </c>
      <c r="X2968" s="200">
        <f ca="1">W2968*'Expenditure Study'!$B$31</f>
        <v>44303.759455603213</v>
      </c>
      <c r="Y2968" s="199">
        <f ca="1">U2968*'Expenditure Study'!$B$31</f>
        <v>578824.92399782408</v>
      </c>
      <c r="Z2968" s="200">
        <f ca="1">W2968*'Expenditure Study'!$B$31</f>
        <v>44303.759455603213</v>
      </c>
      <c r="AA2968" s="195">
        <f t="shared" ca="1" si="652"/>
        <v>623128.68345342728</v>
      </c>
      <c r="AB2968" s="195">
        <f t="shared" ca="1" si="653"/>
        <v>623128.68345342728</v>
      </c>
      <c r="AD2968" s="196">
        <f>IFERROR($G2968/SUMIF($A:$A,$A2968,$G:$G)*SUMIF(Summary!$A$166:$A$242,$A2968,Summary!$P$166:$P$242),0)</f>
        <v>132223.55955520837</v>
      </c>
      <c r="AE2968" s="197">
        <f t="shared" ca="1" si="654"/>
        <v>490905.12389821891</v>
      </c>
      <c r="AF2968" s="196">
        <f>IFERROR(G2968/SUMIF(A:A,A2968,G:G)*SUMIF(Summary!$A$166:$A$242,'Operations Support'!A2968,Summary!$Q$166:$Q$242),0)</f>
        <v>132256.73528444755</v>
      </c>
      <c r="AG2968" s="196">
        <f t="shared" ca="1" si="655"/>
        <v>490871.94816897972</v>
      </c>
      <c r="AI2968" s="196">
        <f>IFERROR($G2968/SUMIF($A:$A,$A2968,$G:$G)*SUMIF(Summary!$A$247:$A$283,$A2968,Summary!$P$247:$P$283),0)</f>
        <v>24114.277660721877</v>
      </c>
      <c r="AJ2968" s="196">
        <f>IFERROR($G2968/SUMIF($A:$A,$A2968,$G:$G)*(SUMIF(Summary!$A$247:$A$283,$A2968,Summary!$L$247:$L$283)+SUMIF(Summary!$A$297:$A$333,$A2968,Summary!$L$297:$L$333))-AI2968,0)</f>
        <v>72938.928170732368</v>
      </c>
      <c r="AK2968" s="196">
        <f>IFERROR($G2968/SUMIF($A:$A,$A2968,$G:$G)*SUMIF(Summary!$A$247:$A$283,$A2968,Summary!$Q$247:$Q$283),0)</f>
        <v>24120.328085844012</v>
      </c>
      <c r="AL2968" s="196">
        <f>IFERROR($G2968/SUMIF($A:$A,$A2968,$G:$G)*(SUMIF(Summary!$A$247:$A$283,$A2968,Summary!$L$247:$L$283)+SUMIF(Summary!$A$297:$A$333,$A2968,Summary!$L$297:$L$333))-AK2968,0)</f>
        <v>72932.877745610225</v>
      </c>
      <c r="AM2968" s="198"/>
      <c r="AN2968" s="196">
        <f t="shared" ca="1" si="656"/>
        <v>563844.05206895131</v>
      </c>
      <c r="AO2968" s="196">
        <f t="shared" ca="1" si="657"/>
        <v>563804.82591458992</v>
      </c>
    </row>
    <row r="2969" spans="1:41">
      <c r="A2969" s="189">
        <v>11161</v>
      </c>
      <c r="B2969" s="190">
        <v>2</v>
      </c>
      <c r="C2969" s="191" t="s">
        <v>223</v>
      </c>
      <c r="D2969" s="192">
        <f t="shared" si="644"/>
        <v>2300</v>
      </c>
      <c r="E2969" s="192">
        <f t="shared" si="645"/>
        <v>3068</v>
      </c>
      <c r="F2969" s="192">
        <f t="shared" si="646"/>
        <v>0</v>
      </c>
      <c r="G2969" s="193">
        <f t="shared" si="647"/>
        <v>5368</v>
      </c>
      <c r="H2969" s="194">
        <v>639</v>
      </c>
      <c r="I2969" s="194">
        <v>1386</v>
      </c>
      <c r="J2969" s="194">
        <v>0</v>
      </c>
      <c r="K2969" s="193">
        <f t="shared" si="648"/>
        <v>2025</v>
      </c>
      <c r="L2969" s="194">
        <v>852</v>
      </c>
      <c r="M2969" s="194">
        <v>1448</v>
      </c>
      <c r="N2969" s="194">
        <v>0</v>
      </c>
      <c r="O2969" s="193">
        <f t="shared" si="649"/>
        <v>2300</v>
      </c>
      <c r="P2969" s="194">
        <v>809</v>
      </c>
      <c r="Q2969" s="194">
        <v>234</v>
      </c>
      <c r="R2969" s="194">
        <v>0</v>
      </c>
      <c r="S2969" s="193">
        <f t="shared" si="650"/>
        <v>1043</v>
      </c>
      <c r="T2969" s="193">
        <f t="shared" si="651"/>
        <v>178.93333333333334</v>
      </c>
      <c r="U2969" s="193">
        <f ca="1">OFFSET('Expenditure Study'!$B$7,'Operations Support'!$C2969,'Operations Support'!$B2969)*$G2969</f>
        <v>10199.199999999999</v>
      </c>
      <c r="V2969" s="199">
        <f ca="1">U2969*'Expenditure Study'!$B$31</f>
        <v>602601.17761535989</v>
      </c>
      <c r="W2969" s="199">
        <f ca="1">IF(A2969=10298,1.51,1)*IF($B2969&lt;3,$D2969*'Expenditure Study'!$B$32*OFFSET('Expenditure Study'!$B$7,'Operations Support'!$C2969,'Operations Support'!$B2969),0)</f>
        <v>437</v>
      </c>
      <c r="X2969" s="200">
        <f ca="1">W2969*'Expenditure Study'!$B$31</f>
        <v>25819.350009599999</v>
      </c>
      <c r="Y2969" s="199">
        <f ca="1">U2969*'Expenditure Study'!$B$31</f>
        <v>602601.17761535989</v>
      </c>
      <c r="Z2969" s="200">
        <f ca="1">W2969*'Expenditure Study'!$B$31</f>
        <v>25819.350009599999</v>
      </c>
      <c r="AA2969" s="195">
        <f t="shared" ca="1" si="652"/>
        <v>628420.52762495994</v>
      </c>
      <c r="AB2969" s="195">
        <f t="shared" ca="1" si="653"/>
        <v>628420.52762495994</v>
      </c>
      <c r="AD2969" s="196">
        <f>IFERROR($G2969/SUMIF($A:$A,$A2969,$G:$G)*SUMIF(Summary!$A$166:$A$242,$A2969,Summary!$P$166:$P$242),0)</f>
        <v>192716.82533053446</v>
      </c>
      <c r="AE2969" s="197">
        <f t="shared" ca="1" si="654"/>
        <v>435703.70229442546</v>
      </c>
      <c r="AF2969" s="196">
        <f>IFERROR(G2969/SUMIF(A:A,A2969,G:G)*SUMIF(Summary!$A$166:$A$242,'Operations Support'!A2969,Summary!$Q$166:$Q$242),0)</f>
        <v>192765.17920361512</v>
      </c>
      <c r="AG2969" s="196">
        <f t="shared" ca="1" si="655"/>
        <v>435655.34842134482</v>
      </c>
      <c r="AI2969" s="196">
        <f>IFERROR($G2969/SUMIF($A:$A,$A2969,$G:$G)*SUMIF(Summary!$A$247:$A$283,$A2969,Summary!$P$247:$P$283),0)</f>
        <v>35146.739745521321</v>
      </c>
      <c r="AJ2969" s="196">
        <f>IFERROR($G2969/SUMIF($A:$A,$A2969,$G:$G)*(SUMIF(Summary!$A$247:$A$283,$A2969,Summary!$L$247:$L$283)+SUMIF(Summary!$A$297:$A$333,$A2969,Summary!$L$297:$L$333))-AI2969,0)</f>
        <v>106309.03242478722</v>
      </c>
      <c r="AK2969" s="196">
        <f>IFERROR($G2969/SUMIF($A:$A,$A2969,$G:$G)*SUMIF(Summary!$A$247:$A$283,$A2969,Summary!$Q$247:$Q$283),0)</f>
        <v>35155.558285313782</v>
      </c>
      <c r="AL2969" s="196">
        <f>IFERROR($G2969/SUMIF($A:$A,$A2969,$G:$G)*(SUMIF(Summary!$A$247:$A$283,$A2969,Summary!$L$247:$L$283)+SUMIF(Summary!$A$297:$A$333,$A2969,Summary!$L$297:$L$333))-AK2969,0)</f>
        <v>106300.21388499477</v>
      </c>
      <c r="AM2969" s="198"/>
      <c r="AN2969" s="196">
        <f t="shared" ca="1" si="656"/>
        <v>542012.73471921263</v>
      </c>
      <c r="AO2969" s="196">
        <f t="shared" ca="1" si="657"/>
        <v>541955.56230633962</v>
      </c>
    </row>
    <row r="2970" spans="1:41">
      <c r="A2970" s="189">
        <v>11161</v>
      </c>
      <c r="B2970" s="190">
        <v>2</v>
      </c>
      <c r="C2970" s="191" t="s">
        <v>224</v>
      </c>
      <c r="D2970" s="192">
        <f t="shared" si="644"/>
        <v>0</v>
      </c>
      <c r="E2970" s="192">
        <f t="shared" si="645"/>
        <v>201</v>
      </c>
      <c r="F2970" s="192">
        <f t="shared" si="646"/>
        <v>0</v>
      </c>
      <c r="G2970" s="193">
        <f t="shared" si="647"/>
        <v>201</v>
      </c>
      <c r="H2970" s="194">
        <v>0</v>
      </c>
      <c r="I2970" s="194">
        <v>129</v>
      </c>
      <c r="J2970" s="194">
        <v>0</v>
      </c>
      <c r="K2970" s="193">
        <f t="shared" si="648"/>
        <v>129</v>
      </c>
      <c r="L2970" s="194">
        <v>0</v>
      </c>
      <c r="M2970" s="194">
        <v>72</v>
      </c>
      <c r="N2970" s="194">
        <v>0</v>
      </c>
      <c r="O2970" s="193">
        <f t="shared" si="649"/>
        <v>72</v>
      </c>
      <c r="P2970" s="194">
        <v>0</v>
      </c>
      <c r="Q2970" s="194">
        <v>0</v>
      </c>
      <c r="R2970" s="194">
        <v>0</v>
      </c>
      <c r="S2970" s="193">
        <f t="shared" si="650"/>
        <v>0</v>
      </c>
      <c r="T2970" s="193">
        <f t="shared" si="651"/>
        <v>6.7</v>
      </c>
      <c r="U2970" s="193">
        <f ca="1">OFFSET('Expenditure Study'!$B$7,'Operations Support'!$C2970,'Operations Support'!$B2970)*$G2970</f>
        <v>456.27</v>
      </c>
      <c r="V2970" s="199">
        <f ca="1">U2970*'Expenditure Study'!$B$31</f>
        <v>26957.882903615999</v>
      </c>
      <c r="W2970" s="199">
        <f ca="1">IF(A2970=10298,1.51,1)*IF($B2970&lt;3,$D2970*'Expenditure Study'!$B$32*OFFSET('Expenditure Study'!$B$7,'Operations Support'!$C2970,'Operations Support'!$B2970),0)</f>
        <v>0</v>
      </c>
      <c r="X2970" s="200">
        <f ca="1">W2970*'Expenditure Study'!$B$31</f>
        <v>0</v>
      </c>
      <c r="Y2970" s="199">
        <f ca="1">U2970*'Expenditure Study'!$B$31</f>
        <v>26957.882903615999</v>
      </c>
      <c r="Z2970" s="200">
        <f ca="1">W2970*'Expenditure Study'!$B$31</f>
        <v>0</v>
      </c>
      <c r="AA2970" s="195">
        <f t="shared" ca="1" si="652"/>
        <v>26957.882903615999</v>
      </c>
      <c r="AB2970" s="195">
        <f t="shared" ca="1" si="653"/>
        <v>26957.882903615999</v>
      </c>
      <c r="AD2970" s="196">
        <f>IFERROR($G2970/SUMIF($A:$A,$A2970,$G:$G)*SUMIF(Summary!$A$166:$A$242,$A2970,Summary!$P$166:$P$242),0)</f>
        <v>7216.110635513679</v>
      </c>
      <c r="AE2970" s="197">
        <f t="shared" ca="1" si="654"/>
        <v>19741.772268102319</v>
      </c>
      <c r="AF2970" s="196">
        <f>IFERROR(G2970/SUMIF(A:A,A2970,G:G)*SUMIF(Summary!$A$166:$A$242,'Operations Support'!A2970,Summary!$Q$166:$Q$242),0)</f>
        <v>7217.9212034140537</v>
      </c>
      <c r="AG2970" s="196">
        <f t="shared" ca="1" si="655"/>
        <v>19739.961700201944</v>
      </c>
      <c r="AI2970" s="196">
        <f>IFERROR($G2970/SUMIF($A:$A,$A2970,$G:$G)*SUMIF(Summary!$A$247:$A$283,$A2970,Summary!$P$247:$P$283),0)</f>
        <v>1316.0385038840884</v>
      </c>
      <c r="AJ2970" s="196">
        <f>IFERROR($G2970/SUMIF($A:$A,$A2970,$G:$G)*(SUMIF(Summary!$A$247:$A$283,$A2970,Summary!$L$247:$L$283)+SUMIF(Summary!$A$297:$A$333,$A2970,Summary!$L$297:$L$333))-AI2970,0)</f>
        <v>3980.6474510771659</v>
      </c>
      <c r="AK2970" s="196">
        <f>IFERROR($G2970/SUMIF($A:$A,$A2970,$G:$G)*SUMIF(Summary!$A$247:$A$283,$A2970,Summary!$Q$247:$Q$283),0)</f>
        <v>1316.3687062868983</v>
      </c>
      <c r="AL2970" s="196">
        <f>IFERROR($G2970/SUMIF($A:$A,$A2970,$G:$G)*(SUMIF(Summary!$A$247:$A$283,$A2970,Summary!$L$247:$L$283)+SUMIF(Summary!$A$297:$A$333,$A2970,Summary!$L$297:$L$333))-AK2970,0)</f>
        <v>3980.3172486743561</v>
      </c>
      <c r="AM2970" s="198"/>
      <c r="AN2970" s="196">
        <f t="shared" ca="1" si="656"/>
        <v>23722.419719179485</v>
      </c>
      <c r="AO2970" s="196">
        <f t="shared" ca="1" si="657"/>
        <v>23720.278948876301</v>
      </c>
    </row>
    <row r="2971" spans="1:41">
      <c r="A2971" s="189">
        <v>11161</v>
      </c>
      <c r="B2971" s="190">
        <v>2</v>
      </c>
      <c r="C2971" s="191" t="s">
        <v>225</v>
      </c>
      <c r="D2971" s="192">
        <f t="shared" si="644"/>
        <v>2584.5</v>
      </c>
      <c r="E2971" s="192">
        <f t="shared" si="645"/>
        <v>2685.5</v>
      </c>
      <c r="F2971" s="192">
        <f t="shared" si="646"/>
        <v>0</v>
      </c>
      <c r="G2971" s="193">
        <f t="shared" si="647"/>
        <v>5270</v>
      </c>
      <c r="H2971" s="194">
        <v>1141.5</v>
      </c>
      <c r="I2971" s="194">
        <v>1234.5</v>
      </c>
      <c r="J2971" s="194">
        <v>0</v>
      </c>
      <c r="K2971" s="193">
        <f t="shared" si="648"/>
        <v>2376</v>
      </c>
      <c r="L2971" s="194">
        <v>1254</v>
      </c>
      <c r="M2971" s="194">
        <v>1241</v>
      </c>
      <c r="N2971" s="194">
        <v>0</v>
      </c>
      <c r="O2971" s="193">
        <f t="shared" si="649"/>
        <v>2495</v>
      </c>
      <c r="P2971" s="194">
        <v>189</v>
      </c>
      <c r="Q2971" s="194">
        <v>210</v>
      </c>
      <c r="R2971" s="194">
        <v>0</v>
      </c>
      <c r="S2971" s="193">
        <f t="shared" si="650"/>
        <v>399</v>
      </c>
      <c r="T2971" s="193">
        <f t="shared" si="651"/>
        <v>175.66666666666666</v>
      </c>
      <c r="U2971" s="193">
        <f ca="1">OFFSET('Expenditure Study'!$B$7,'Operations Support'!$C2971,'Operations Support'!$B2971)*$G2971</f>
        <v>14755.999999999998</v>
      </c>
      <c r="V2971" s="199">
        <f ca="1">U2971*'Expenditure Study'!$B$31</f>
        <v>871831.41588479991</v>
      </c>
      <c r="W2971" s="199">
        <f ca="1">IF(A2971=10298,1.51,1)*IF($B2971&lt;3,$D2971*'Expenditure Study'!$B$32*OFFSET('Expenditure Study'!$B$7,'Operations Support'!$C2971,'Operations Support'!$B2971),0)</f>
        <v>723.66</v>
      </c>
      <c r="X2971" s="200">
        <f ca="1">W2971*'Expenditure Study'!$B$31</f>
        <v>42756.134617727999</v>
      </c>
      <c r="Y2971" s="199">
        <f ca="1">U2971*'Expenditure Study'!$B$31</f>
        <v>871831.41588479991</v>
      </c>
      <c r="Z2971" s="200">
        <f ca="1">W2971*'Expenditure Study'!$B$31</f>
        <v>42756.134617727999</v>
      </c>
      <c r="AA2971" s="195">
        <f t="shared" ca="1" si="652"/>
        <v>914587.55050252785</v>
      </c>
      <c r="AB2971" s="195">
        <f t="shared" ca="1" si="653"/>
        <v>914587.55050252785</v>
      </c>
      <c r="AD2971" s="196">
        <f>IFERROR($G2971/SUMIF($A:$A,$A2971,$G:$G)*SUMIF(Summary!$A$166:$A$242,$A2971,Summary!$P$166:$P$242),0)</f>
        <v>189198.52263262233</v>
      </c>
      <c r="AE2971" s="197">
        <f t="shared" ca="1" si="654"/>
        <v>725389.02786990558</v>
      </c>
      <c r="AF2971" s="196">
        <f>IFERROR(G2971/SUMIF(A:A,A2971,G:G)*SUMIF(Summary!$A$166:$A$242,'Operations Support'!A2971,Summary!$Q$166:$Q$242),0)</f>
        <v>189245.99374125406</v>
      </c>
      <c r="AG2971" s="196">
        <f t="shared" ca="1" si="655"/>
        <v>725341.55676127377</v>
      </c>
      <c r="AI2971" s="196">
        <f>IFERROR($G2971/SUMIF($A:$A,$A2971,$G:$G)*SUMIF(Summary!$A$247:$A$283,$A2971,Summary!$P$247:$P$283),0)</f>
        <v>34505.089131687295</v>
      </c>
      <c r="AJ2971" s="196">
        <f>IFERROR($G2971/SUMIF($A:$A,$A2971,$G:$G)*(SUMIF(Summary!$A$247:$A$283,$A2971,Summary!$L$247:$L$283)+SUMIF(Summary!$A$297:$A$333,$A2971,Summary!$L$297:$L$333))-AI2971,0)</f>
        <v>104368.21923968493</v>
      </c>
      <c r="AK2971" s="196">
        <f>IFERROR($G2971/SUMIF($A:$A,$A2971,$G:$G)*SUMIF(Summary!$A$247:$A$283,$A2971,Summary!$Q$247:$Q$283),0)</f>
        <v>34513.746677273404</v>
      </c>
      <c r="AL2971" s="196">
        <f>IFERROR($G2971/SUMIF($A:$A,$A2971,$G:$G)*(SUMIF(Summary!$A$247:$A$283,$A2971,Summary!$L$247:$L$283)+SUMIF(Summary!$A$297:$A$333,$A2971,Summary!$L$297:$L$333))-AK2971,0)</f>
        <v>104359.56169409883</v>
      </c>
      <c r="AM2971" s="198"/>
      <c r="AN2971" s="196">
        <f t="shared" ca="1" si="656"/>
        <v>829757.24710959056</v>
      </c>
      <c r="AO2971" s="196">
        <f t="shared" ca="1" si="657"/>
        <v>829701.11845537263</v>
      </c>
    </row>
    <row r="2972" spans="1:41">
      <c r="A2972" s="189">
        <v>11161</v>
      </c>
      <c r="B2972" s="190">
        <v>2</v>
      </c>
      <c r="C2972" s="191" t="s">
        <v>226</v>
      </c>
      <c r="D2972" s="192">
        <f t="shared" si="644"/>
        <v>0</v>
      </c>
      <c r="E2972" s="192">
        <f t="shared" si="645"/>
        <v>0</v>
      </c>
      <c r="F2972" s="192">
        <f t="shared" si="646"/>
        <v>0</v>
      </c>
      <c r="G2972" s="193">
        <f t="shared" si="647"/>
        <v>0</v>
      </c>
      <c r="H2972" s="194">
        <v>0</v>
      </c>
      <c r="I2972" s="194">
        <v>0</v>
      </c>
      <c r="J2972" s="194">
        <v>0</v>
      </c>
      <c r="K2972" s="193">
        <f t="shared" si="648"/>
        <v>0</v>
      </c>
      <c r="L2972" s="194">
        <v>0</v>
      </c>
      <c r="M2972" s="194">
        <v>0</v>
      </c>
      <c r="N2972" s="194">
        <v>0</v>
      </c>
      <c r="O2972" s="193">
        <f t="shared" si="649"/>
        <v>0</v>
      </c>
      <c r="P2972" s="194">
        <v>0</v>
      </c>
      <c r="Q2972" s="194">
        <v>0</v>
      </c>
      <c r="R2972" s="194">
        <v>0</v>
      </c>
      <c r="S2972" s="193">
        <f t="shared" si="650"/>
        <v>0</v>
      </c>
      <c r="T2972" s="193">
        <f t="shared" si="651"/>
        <v>0</v>
      </c>
      <c r="U2972" s="193">
        <f ca="1">OFFSET('Expenditure Study'!$B$7,'Operations Support'!$C2972,'Operations Support'!$B2972)*$G2972</f>
        <v>0</v>
      </c>
      <c r="V2972" s="199">
        <f ca="1">U2972*'Expenditure Study'!$B$31</f>
        <v>0</v>
      </c>
      <c r="W2972" s="199">
        <f ca="1">IF(A2972=10298,1.51,1)*IF($B2972&lt;3,$D2972*'Expenditure Study'!$B$32*OFFSET('Expenditure Study'!$B$7,'Operations Support'!$C2972,'Operations Support'!$B2972),0)</f>
        <v>0</v>
      </c>
      <c r="X2972" s="200">
        <f ca="1">W2972*'Expenditure Study'!$B$31</f>
        <v>0</v>
      </c>
      <c r="Y2972" s="199">
        <f ca="1">U2972*'Expenditure Study'!$B$31</f>
        <v>0</v>
      </c>
      <c r="Z2972" s="200">
        <f ca="1">W2972*'Expenditure Study'!$B$31</f>
        <v>0</v>
      </c>
      <c r="AA2972" s="195">
        <f t="shared" ca="1" si="652"/>
        <v>0</v>
      </c>
      <c r="AB2972" s="195">
        <f t="shared" ca="1" si="653"/>
        <v>0</v>
      </c>
      <c r="AD2972" s="196">
        <f>IFERROR($G2972/SUMIF($A:$A,$A2972,$G:$G)*SUMIF(Summary!$A$166:$A$242,$A2972,Summary!$P$166:$P$242),0)</f>
        <v>0</v>
      </c>
      <c r="AE2972" s="197">
        <f t="shared" ca="1" si="654"/>
        <v>0</v>
      </c>
      <c r="AF2972" s="196">
        <f>IFERROR(G2972/SUMIF(A:A,A2972,G:G)*SUMIF(Summary!$A$166:$A$242,'Operations Support'!A2972,Summary!$Q$166:$Q$242),0)</f>
        <v>0</v>
      </c>
      <c r="AG2972" s="196">
        <f t="shared" ca="1" si="655"/>
        <v>0</v>
      </c>
      <c r="AI2972" s="196">
        <f>IFERROR($G2972/SUMIF($A:$A,$A2972,$G:$G)*SUMIF(Summary!$A$247:$A$283,$A2972,Summary!$P$247:$P$283),0)</f>
        <v>0</v>
      </c>
      <c r="AJ2972" s="196">
        <f>IFERROR($G2972/SUMIF($A:$A,$A2972,$G:$G)*(SUMIF(Summary!$A$247:$A$283,$A2972,Summary!$L$247:$L$283)+SUMIF(Summary!$A$297:$A$333,$A2972,Summary!$L$297:$L$333))-AI2972,0)</f>
        <v>0</v>
      </c>
      <c r="AK2972" s="196">
        <f>IFERROR($G2972/SUMIF($A:$A,$A2972,$G:$G)*SUMIF(Summary!$A$247:$A$283,$A2972,Summary!$Q$247:$Q$283),0)</f>
        <v>0</v>
      </c>
      <c r="AL2972" s="196">
        <f>IFERROR($G2972/SUMIF($A:$A,$A2972,$G:$G)*(SUMIF(Summary!$A$247:$A$283,$A2972,Summary!$L$247:$L$283)+SUMIF(Summary!$A$297:$A$333,$A2972,Summary!$L$297:$L$333))-AK2972,0)</f>
        <v>0</v>
      </c>
      <c r="AM2972" s="198"/>
      <c r="AN2972" s="196">
        <f t="shared" ca="1" si="656"/>
        <v>0</v>
      </c>
      <c r="AO2972" s="196">
        <f t="shared" ca="1" si="657"/>
        <v>0</v>
      </c>
    </row>
    <row r="2973" spans="1:41">
      <c r="A2973" s="189">
        <v>11161</v>
      </c>
      <c r="B2973" s="190">
        <v>2</v>
      </c>
      <c r="C2973" s="191" t="s">
        <v>227</v>
      </c>
      <c r="D2973" s="192">
        <f t="shared" si="644"/>
        <v>0</v>
      </c>
      <c r="E2973" s="192">
        <f t="shared" si="645"/>
        <v>0</v>
      </c>
      <c r="F2973" s="192">
        <f t="shared" si="646"/>
        <v>0</v>
      </c>
      <c r="G2973" s="193">
        <f t="shared" si="647"/>
        <v>0</v>
      </c>
      <c r="H2973" s="194">
        <v>0</v>
      </c>
      <c r="I2973" s="194">
        <v>0</v>
      </c>
      <c r="J2973" s="194">
        <v>0</v>
      </c>
      <c r="K2973" s="193">
        <f t="shared" si="648"/>
        <v>0</v>
      </c>
      <c r="L2973" s="194">
        <v>0</v>
      </c>
      <c r="M2973" s="194">
        <v>0</v>
      </c>
      <c r="N2973" s="194">
        <v>0</v>
      </c>
      <c r="O2973" s="193">
        <f t="shared" si="649"/>
        <v>0</v>
      </c>
      <c r="P2973" s="194">
        <v>0</v>
      </c>
      <c r="Q2973" s="194">
        <v>0</v>
      </c>
      <c r="R2973" s="194">
        <v>0</v>
      </c>
      <c r="S2973" s="193">
        <f t="shared" si="650"/>
        <v>0</v>
      </c>
      <c r="T2973" s="193">
        <f t="shared" si="651"/>
        <v>0</v>
      </c>
      <c r="U2973" s="193">
        <f ca="1">OFFSET('Expenditure Study'!$B$7,'Operations Support'!$C2973,'Operations Support'!$B2973)*$G2973</f>
        <v>0</v>
      </c>
      <c r="V2973" s="199">
        <f ca="1">U2973*'Expenditure Study'!$B$31</f>
        <v>0</v>
      </c>
      <c r="W2973" s="199">
        <f ca="1">IF(A2973=10298,1.51,1)*IF($B2973&lt;3,$D2973*'Expenditure Study'!$B$32*OFFSET('Expenditure Study'!$B$7,'Operations Support'!$C2973,'Operations Support'!$B2973),0)</f>
        <v>0</v>
      </c>
      <c r="X2973" s="200">
        <f ca="1">W2973*'Expenditure Study'!$B$31</f>
        <v>0</v>
      </c>
      <c r="Y2973" s="199">
        <f ca="1">U2973*'Expenditure Study'!$B$31</f>
        <v>0</v>
      </c>
      <c r="Z2973" s="200">
        <f ca="1">W2973*'Expenditure Study'!$B$31</f>
        <v>0</v>
      </c>
      <c r="AA2973" s="195">
        <f t="shared" ca="1" si="652"/>
        <v>0</v>
      </c>
      <c r="AB2973" s="195">
        <f t="shared" ca="1" si="653"/>
        <v>0</v>
      </c>
      <c r="AD2973" s="196">
        <f>IFERROR($G2973/SUMIF($A:$A,$A2973,$G:$G)*SUMIF(Summary!$A$166:$A$242,$A2973,Summary!$P$166:$P$242),0)</f>
        <v>0</v>
      </c>
      <c r="AE2973" s="197">
        <f t="shared" ca="1" si="654"/>
        <v>0</v>
      </c>
      <c r="AF2973" s="196">
        <f>IFERROR(G2973/SUMIF(A:A,A2973,G:G)*SUMIF(Summary!$A$166:$A$242,'Operations Support'!A2973,Summary!$Q$166:$Q$242),0)</f>
        <v>0</v>
      </c>
      <c r="AG2973" s="196">
        <f t="shared" ca="1" si="655"/>
        <v>0</v>
      </c>
      <c r="AI2973" s="196">
        <f>IFERROR($G2973/SUMIF($A:$A,$A2973,$G:$G)*SUMIF(Summary!$A$247:$A$283,$A2973,Summary!$P$247:$P$283),0)</f>
        <v>0</v>
      </c>
      <c r="AJ2973" s="196">
        <f>IFERROR($G2973/SUMIF($A:$A,$A2973,$G:$G)*(SUMIF(Summary!$A$247:$A$283,$A2973,Summary!$L$247:$L$283)+SUMIF(Summary!$A$297:$A$333,$A2973,Summary!$L$297:$L$333))-AI2973,0)</f>
        <v>0</v>
      </c>
      <c r="AK2973" s="196">
        <f>IFERROR($G2973/SUMIF($A:$A,$A2973,$G:$G)*SUMIF(Summary!$A$247:$A$283,$A2973,Summary!$Q$247:$Q$283),0)</f>
        <v>0</v>
      </c>
      <c r="AL2973" s="196">
        <f>IFERROR($G2973/SUMIF($A:$A,$A2973,$G:$G)*(SUMIF(Summary!$A$247:$A$283,$A2973,Summary!$L$247:$L$283)+SUMIF(Summary!$A$297:$A$333,$A2973,Summary!$L$297:$L$333))-AK2973,0)</f>
        <v>0</v>
      </c>
      <c r="AM2973" s="198"/>
      <c r="AN2973" s="196">
        <f t="shared" ca="1" si="656"/>
        <v>0</v>
      </c>
      <c r="AO2973" s="196">
        <f t="shared" ca="1" si="657"/>
        <v>0</v>
      </c>
    </row>
    <row r="2974" spans="1:41">
      <c r="A2974" s="189">
        <v>11161</v>
      </c>
      <c r="B2974" s="190">
        <v>2</v>
      </c>
      <c r="C2974" s="191" t="s">
        <v>228</v>
      </c>
      <c r="D2974" s="192">
        <f t="shared" si="644"/>
        <v>0</v>
      </c>
      <c r="E2974" s="192">
        <f t="shared" si="645"/>
        <v>60</v>
      </c>
      <c r="F2974" s="192">
        <f t="shared" si="646"/>
        <v>0</v>
      </c>
      <c r="G2974" s="193">
        <f t="shared" si="647"/>
        <v>60</v>
      </c>
      <c r="H2974" s="194">
        <v>0</v>
      </c>
      <c r="I2974" s="194">
        <v>45</v>
      </c>
      <c r="J2974" s="194">
        <v>0</v>
      </c>
      <c r="K2974" s="193">
        <f t="shared" si="648"/>
        <v>45</v>
      </c>
      <c r="L2974" s="194">
        <v>0</v>
      </c>
      <c r="M2974" s="194">
        <v>15</v>
      </c>
      <c r="N2974" s="194">
        <v>0</v>
      </c>
      <c r="O2974" s="193">
        <f t="shared" si="649"/>
        <v>15</v>
      </c>
      <c r="P2974" s="194">
        <v>0</v>
      </c>
      <c r="Q2974" s="194">
        <v>0</v>
      </c>
      <c r="R2974" s="194">
        <v>0</v>
      </c>
      <c r="S2974" s="193">
        <f t="shared" si="650"/>
        <v>0</v>
      </c>
      <c r="T2974" s="193">
        <f t="shared" si="651"/>
        <v>2</v>
      </c>
      <c r="U2974" s="193">
        <f ca="1">OFFSET('Expenditure Study'!$B$7,'Operations Support'!$C2974,'Operations Support'!$B2974)*$G2974</f>
        <v>114.6</v>
      </c>
      <c r="V2974" s="199">
        <f ca="1">U2974*'Expenditure Study'!$B$31</f>
        <v>6770.93251968</v>
      </c>
      <c r="W2974" s="199">
        <f ca="1">IF(A2974=10298,1.51,1)*IF($B2974&lt;3,$D2974*'Expenditure Study'!$B$32*OFFSET('Expenditure Study'!$B$7,'Operations Support'!$C2974,'Operations Support'!$B2974),0)</f>
        <v>0</v>
      </c>
      <c r="X2974" s="200">
        <f ca="1">W2974*'Expenditure Study'!$B$31</f>
        <v>0</v>
      </c>
      <c r="Y2974" s="199">
        <f ca="1">U2974*'Expenditure Study'!$B$31</f>
        <v>6770.93251968</v>
      </c>
      <c r="Z2974" s="200">
        <f ca="1">W2974*'Expenditure Study'!$B$31</f>
        <v>0</v>
      </c>
      <c r="AA2974" s="195">
        <f t="shared" ca="1" si="652"/>
        <v>6770.93251968</v>
      </c>
      <c r="AB2974" s="195">
        <f t="shared" ca="1" si="653"/>
        <v>6770.93251968</v>
      </c>
      <c r="AD2974" s="196">
        <f>IFERROR($G2974/SUMIF($A:$A,$A2974,$G:$G)*SUMIF(Summary!$A$166:$A$242,$A2974,Summary!$P$166:$P$242),0)</f>
        <v>2154.0628762727401</v>
      </c>
      <c r="AE2974" s="197">
        <f t="shared" ca="1" si="654"/>
        <v>4616.8696434072599</v>
      </c>
      <c r="AF2974" s="196">
        <f>IFERROR(G2974/SUMIF(A:A,A2974,G:G)*SUMIF(Summary!$A$166:$A$242,'Operations Support'!A2974,Summary!$Q$166:$Q$242),0)</f>
        <v>2154.6033443027027</v>
      </c>
      <c r="AG2974" s="196">
        <f t="shared" ca="1" si="655"/>
        <v>4616.3291753772974</v>
      </c>
      <c r="AI2974" s="196">
        <f>IFERROR($G2974/SUMIF($A:$A,$A2974,$G:$G)*SUMIF(Summary!$A$247:$A$283,$A2974,Summary!$P$247:$P$283),0)</f>
        <v>392.84731459226521</v>
      </c>
      <c r="AJ2974" s="196">
        <f>IFERROR($G2974/SUMIF($A:$A,$A2974,$G:$G)*(SUMIF(Summary!$A$247:$A$283,$A2974,Summary!$L$247:$L$283)+SUMIF(Summary!$A$297:$A$333,$A2974,Summary!$L$297:$L$333))-AI2974,0)</f>
        <v>1188.2529704707958</v>
      </c>
      <c r="AK2974" s="196">
        <f>IFERROR($G2974/SUMIF($A:$A,$A2974,$G:$G)*SUMIF(Summary!$A$247:$A$283,$A2974,Summary!$Q$247:$Q$283),0)</f>
        <v>392.94588247370098</v>
      </c>
      <c r="AL2974" s="196">
        <f>IFERROR($G2974/SUMIF($A:$A,$A2974,$G:$G)*(SUMIF(Summary!$A$247:$A$283,$A2974,Summary!$L$247:$L$283)+SUMIF(Summary!$A$297:$A$333,$A2974,Summary!$L$297:$L$333))-AK2974,0)</f>
        <v>1188.1544025893602</v>
      </c>
      <c r="AM2974" s="198"/>
      <c r="AN2974" s="196">
        <f t="shared" ca="1" si="656"/>
        <v>5805.1226138780557</v>
      </c>
      <c r="AO2974" s="196">
        <f t="shared" ca="1" si="657"/>
        <v>5804.4835779666573</v>
      </c>
    </row>
    <row r="2975" spans="1:41">
      <c r="A2975" s="189">
        <v>11161</v>
      </c>
      <c r="B2975" s="190">
        <v>2</v>
      </c>
      <c r="C2975" s="191" t="s">
        <v>229</v>
      </c>
      <c r="D2975" s="192">
        <f t="shared" si="644"/>
        <v>0</v>
      </c>
      <c r="E2975" s="192">
        <f t="shared" si="645"/>
        <v>0</v>
      </c>
      <c r="F2975" s="192">
        <f t="shared" si="646"/>
        <v>0</v>
      </c>
      <c r="G2975" s="193">
        <f t="shared" si="647"/>
        <v>0</v>
      </c>
      <c r="H2975" s="194">
        <v>0</v>
      </c>
      <c r="I2975" s="194">
        <v>0</v>
      </c>
      <c r="J2975" s="194">
        <v>0</v>
      </c>
      <c r="K2975" s="193">
        <f t="shared" si="648"/>
        <v>0</v>
      </c>
      <c r="L2975" s="194">
        <v>0</v>
      </c>
      <c r="M2975" s="194">
        <v>0</v>
      </c>
      <c r="N2975" s="194">
        <v>0</v>
      </c>
      <c r="O2975" s="193">
        <f t="shared" si="649"/>
        <v>0</v>
      </c>
      <c r="P2975" s="194">
        <v>0</v>
      </c>
      <c r="Q2975" s="194">
        <v>0</v>
      </c>
      <c r="R2975" s="194">
        <v>0</v>
      </c>
      <c r="S2975" s="193">
        <f t="shared" si="650"/>
        <v>0</v>
      </c>
      <c r="T2975" s="193">
        <f t="shared" si="651"/>
        <v>0</v>
      </c>
      <c r="U2975" s="193">
        <f ca="1">OFFSET('Expenditure Study'!$B$7,'Operations Support'!$C2975,'Operations Support'!$B2975)*$G2975</f>
        <v>0</v>
      </c>
      <c r="V2975" s="199">
        <f ca="1">U2975*'Expenditure Study'!$B$31</f>
        <v>0</v>
      </c>
      <c r="W2975" s="199">
        <f ca="1">IF(A2975=10298,1.51,1)*IF($B2975&lt;3,$D2975*'Expenditure Study'!$B$32*OFFSET('Expenditure Study'!$B$7,'Operations Support'!$C2975,'Operations Support'!$B2975),0)</f>
        <v>0</v>
      </c>
      <c r="X2975" s="200">
        <f ca="1">W2975*'Expenditure Study'!$B$31</f>
        <v>0</v>
      </c>
      <c r="Y2975" s="199">
        <f ca="1">U2975*'Expenditure Study'!$B$31</f>
        <v>0</v>
      </c>
      <c r="Z2975" s="200">
        <f ca="1">W2975*'Expenditure Study'!$B$31</f>
        <v>0</v>
      </c>
      <c r="AA2975" s="195">
        <f t="shared" ca="1" si="652"/>
        <v>0</v>
      </c>
      <c r="AB2975" s="195">
        <f t="shared" ca="1" si="653"/>
        <v>0</v>
      </c>
      <c r="AD2975" s="196">
        <f>IFERROR($G2975/SUMIF($A:$A,$A2975,$G:$G)*SUMIF(Summary!$A$166:$A$242,$A2975,Summary!$P$166:$P$242),0)</f>
        <v>0</v>
      </c>
      <c r="AE2975" s="197">
        <f t="shared" ca="1" si="654"/>
        <v>0</v>
      </c>
      <c r="AF2975" s="196">
        <f>IFERROR(G2975/SUMIF(A:A,A2975,G:G)*SUMIF(Summary!$A$166:$A$242,'Operations Support'!A2975,Summary!$Q$166:$Q$242),0)</f>
        <v>0</v>
      </c>
      <c r="AG2975" s="196">
        <f t="shared" ca="1" si="655"/>
        <v>0</v>
      </c>
      <c r="AI2975" s="196">
        <f>IFERROR($G2975/SUMIF($A:$A,$A2975,$G:$G)*SUMIF(Summary!$A$247:$A$283,$A2975,Summary!$P$247:$P$283),0)</f>
        <v>0</v>
      </c>
      <c r="AJ2975" s="196">
        <f>IFERROR($G2975/SUMIF($A:$A,$A2975,$G:$G)*(SUMIF(Summary!$A$247:$A$283,$A2975,Summary!$L$247:$L$283)+SUMIF(Summary!$A$297:$A$333,$A2975,Summary!$L$297:$L$333))-AI2975,0)</f>
        <v>0</v>
      </c>
      <c r="AK2975" s="196">
        <f>IFERROR($G2975/SUMIF($A:$A,$A2975,$G:$G)*SUMIF(Summary!$A$247:$A$283,$A2975,Summary!$Q$247:$Q$283),0)</f>
        <v>0</v>
      </c>
      <c r="AL2975" s="196">
        <f>IFERROR($G2975/SUMIF($A:$A,$A2975,$G:$G)*(SUMIF(Summary!$A$247:$A$283,$A2975,Summary!$L$247:$L$283)+SUMIF(Summary!$A$297:$A$333,$A2975,Summary!$L$297:$L$333))-AK2975,0)</f>
        <v>0</v>
      </c>
      <c r="AM2975" s="198"/>
      <c r="AN2975" s="196">
        <f t="shared" ca="1" si="656"/>
        <v>0</v>
      </c>
      <c r="AO2975" s="196">
        <f t="shared" ca="1" si="657"/>
        <v>0</v>
      </c>
    </row>
    <row r="2976" spans="1:41">
      <c r="A2976" s="189">
        <v>11161</v>
      </c>
      <c r="B2976" s="190">
        <v>2</v>
      </c>
      <c r="C2976" s="191" t="s">
        <v>230</v>
      </c>
      <c r="D2976" s="192">
        <f t="shared" si="644"/>
        <v>0</v>
      </c>
      <c r="E2976" s="192">
        <f t="shared" si="645"/>
        <v>0</v>
      </c>
      <c r="F2976" s="192">
        <f t="shared" si="646"/>
        <v>0</v>
      </c>
      <c r="G2976" s="193">
        <f t="shared" si="647"/>
        <v>0</v>
      </c>
      <c r="H2976" s="194">
        <v>0</v>
      </c>
      <c r="I2976" s="194">
        <v>0</v>
      </c>
      <c r="J2976" s="194">
        <v>0</v>
      </c>
      <c r="K2976" s="193">
        <f t="shared" si="648"/>
        <v>0</v>
      </c>
      <c r="L2976" s="194">
        <v>0</v>
      </c>
      <c r="M2976" s="194">
        <v>0</v>
      </c>
      <c r="N2976" s="194">
        <v>0</v>
      </c>
      <c r="O2976" s="193">
        <f t="shared" si="649"/>
        <v>0</v>
      </c>
      <c r="P2976" s="194">
        <v>0</v>
      </c>
      <c r="Q2976" s="194">
        <v>0</v>
      </c>
      <c r="R2976" s="194">
        <v>0</v>
      </c>
      <c r="S2976" s="193">
        <f t="shared" si="650"/>
        <v>0</v>
      </c>
      <c r="T2976" s="193">
        <f t="shared" si="651"/>
        <v>0</v>
      </c>
      <c r="U2976" s="193">
        <f ca="1">OFFSET('Expenditure Study'!$B$7,'Operations Support'!$C2976,'Operations Support'!$B2976)*$G2976</f>
        <v>0</v>
      </c>
      <c r="V2976" s="199">
        <f ca="1">U2976*'Expenditure Study'!$B$31</f>
        <v>0</v>
      </c>
      <c r="W2976" s="199">
        <f ca="1">IF(A2976=10298,1.51,1)*IF($B2976&lt;3,$D2976*'Expenditure Study'!$B$32*OFFSET('Expenditure Study'!$B$7,'Operations Support'!$C2976,'Operations Support'!$B2976),0)</f>
        <v>0</v>
      </c>
      <c r="X2976" s="200">
        <f ca="1">W2976*'Expenditure Study'!$B$31</f>
        <v>0</v>
      </c>
      <c r="Y2976" s="199">
        <f ca="1">U2976*'Expenditure Study'!$B$31</f>
        <v>0</v>
      </c>
      <c r="Z2976" s="200">
        <f ca="1">W2976*'Expenditure Study'!$B$31</f>
        <v>0</v>
      </c>
      <c r="AA2976" s="195">
        <f t="shared" ca="1" si="652"/>
        <v>0</v>
      </c>
      <c r="AB2976" s="195">
        <f t="shared" ca="1" si="653"/>
        <v>0</v>
      </c>
      <c r="AD2976" s="196">
        <f>IFERROR($G2976/SUMIF($A:$A,$A2976,$G:$G)*SUMIF(Summary!$A$166:$A$242,$A2976,Summary!$P$166:$P$242),0)</f>
        <v>0</v>
      </c>
      <c r="AE2976" s="197">
        <f t="shared" ca="1" si="654"/>
        <v>0</v>
      </c>
      <c r="AF2976" s="196">
        <f>IFERROR(G2976/SUMIF(A:A,A2976,G:G)*SUMIF(Summary!$A$166:$A$242,'Operations Support'!A2976,Summary!$Q$166:$Q$242),0)</f>
        <v>0</v>
      </c>
      <c r="AG2976" s="196">
        <f t="shared" ca="1" si="655"/>
        <v>0</v>
      </c>
      <c r="AI2976" s="196">
        <f>IFERROR($G2976/SUMIF($A:$A,$A2976,$G:$G)*SUMIF(Summary!$A$247:$A$283,$A2976,Summary!$P$247:$P$283),0)</f>
        <v>0</v>
      </c>
      <c r="AJ2976" s="196">
        <f>IFERROR($G2976/SUMIF($A:$A,$A2976,$G:$G)*(SUMIF(Summary!$A$247:$A$283,$A2976,Summary!$L$247:$L$283)+SUMIF(Summary!$A$297:$A$333,$A2976,Summary!$L$297:$L$333))-AI2976,0)</f>
        <v>0</v>
      </c>
      <c r="AK2976" s="196">
        <f>IFERROR($G2976/SUMIF($A:$A,$A2976,$G:$G)*SUMIF(Summary!$A$247:$A$283,$A2976,Summary!$Q$247:$Q$283),0)</f>
        <v>0</v>
      </c>
      <c r="AL2976" s="196">
        <f>IFERROR($G2976/SUMIF($A:$A,$A2976,$G:$G)*(SUMIF(Summary!$A$247:$A$283,$A2976,Summary!$L$247:$L$283)+SUMIF(Summary!$A$297:$A$333,$A2976,Summary!$L$297:$L$333))-AK2976,0)</f>
        <v>0</v>
      </c>
      <c r="AM2976" s="198"/>
      <c r="AN2976" s="196">
        <f t="shared" ca="1" si="656"/>
        <v>0</v>
      </c>
      <c r="AO2976" s="196">
        <f t="shared" ca="1" si="657"/>
        <v>0</v>
      </c>
    </row>
    <row r="2977" spans="1:41">
      <c r="A2977" s="189">
        <v>11161</v>
      </c>
      <c r="B2977" s="190">
        <v>2</v>
      </c>
      <c r="C2977" s="191" t="s">
        <v>231</v>
      </c>
      <c r="D2977" s="192">
        <f t="shared" si="644"/>
        <v>0</v>
      </c>
      <c r="E2977" s="192">
        <f t="shared" si="645"/>
        <v>0</v>
      </c>
      <c r="F2977" s="192">
        <f t="shared" si="646"/>
        <v>0</v>
      </c>
      <c r="G2977" s="193">
        <f t="shared" si="647"/>
        <v>0</v>
      </c>
      <c r="H2977" s="194">
        <v>0</v>
      </c>
      <c r="I2977" s="194">
        <v>0</v>
      </c>
      <c r="J2977" s="194">
        <v>0</v>
      </c>
      <c r="K2977" s="193">
        <f t="shared" si="648"/>
        <v>0</v>
      </c>
      <c r="L2977" s="194">
        <v>0</v>
      </c>
      <c r="M2977" s="194">
        <v>0</v>
      </c>
      <c r="N2977" s="194">
        <v>0</v>
      </c>
      <c r="O2977" s="193">
        <f t="shared" si="649"/>
        <v>0</v>
      </c>
      <c r="P2977" s="194">
        <v>0</v>
      </c>
      <c r="Q2977" s="194">
        <v>0</v>
      </c>
      <c r="R2977" s="194">
        <v>0</v>
      </c>
      <c r="S2977" s="193">
        <f t="shared" si="650"/>
        <v>0</v>
      </c>
      <c r="T2977" s="193">
        <f t="shared" si="651"/>
        <v>0</v>
      </c>
      <c r="U2977" s="193">
        <f ca="1">OFFSET('Expenditure Study'!$B$7,'Operations Support'!$C2977,'Operations Support'!$B2977)*$G2977</f>
        <v>0</v>
      </c>
      <c r="V2977" s="199">
        <f ca="1">U2977*'Expenditure Study'!$B$31</f>
        <v>0</v>
      </c>
      <c r="W2977" s="199">
        <f ca="1">IF(A2977=10298,1.51,1)*IF($B2977&lt;3,$D2977*'Expenditure Study'!$B$32*OFFSET('Expenditure Study'!$B$7,'Operations Support'!$C2977,'Operations Support'!$B2977),0)</f>
        <v>0</v>
      </c>
      <c r="X2977" s="200">
        <f ca="1">W2977*'Expenditure Study'!$B$31</f>
        <v>0</v>
      </c>
      <c r="Y2977" s="199">
        <f ca="1">U2977*'Expenditure Study'!$B$31</f>
        <v>0</v>
      </c>
      <c r="Z2977" s="200">
        <f ca="1">W2977*'Expenditure Study'!$B$31</f>
        <v>0</v>
      </c>
      <c r="AA2977" s="195">
        <f t="shared" ca="1" si="652"/>
        <v>0</v>
      </c>
      <c r="AB2977" s="195">
        <f t="shared" ca="1" si="653"/>
        <v>0</v>
      </c>
      <c r="AD2977" s="196">
        <f>IFERROR($G2977/SUMIF($A:$A,$A2977,$G:$G)*SUMIF(Summary!$A$166:$A$242,$A2977,Summary!$P$166:$P$242),0)</f>
        <v>0</v>
      </c>
      <c r="AE2977" s="197">
        <f t="shared" ca="1" si="654"/>
        <v>0</v>
      </c>
      <c r="AF2977" s="196">
        <f>IFERROR(G2977/SUMIF(A:A,A2977,G:G)*SUMIF(Summary!$A$166:$A$242,'Operations Support'!A2977,Summary!$Q$166:$Q$242),0)</f>
        <v>0</v>
      </c>
      <c r="AG2977" s="196">
        <f t="shared" ca="1" si="655"/>
        <v>0</v>
      </c>
      <c r="AI2977" s="196">
        <f>IFERROR($G2977/SUMIF($A:$A,$A2977,$G:$G)*SUMIF(Summary!$A$247:$A$283,$A2977,Summary!$P$247:$P$283),0)</f>
        <v>0</v>
      </c>
      <c r="AJ2977" s="196">
        <f>IFERROR($G2977/SUMIF($A:$A,$A2977,$G:$G)*(SUMIF(Summary!$A$247:$A$283,$A2977,Summary!$L$247:$L$283)+SUMIF(Summary!$A$297:$A$333,$A2977,Summary!$L$297:$L$333))-AI2977,0)</f>
        <v>0</v>
      </c>
      <c r="AK2977" s="196">
        <f>IFERROR($G2977/SUMIF($A:$A,$A2977,$G:$G)*SUMIF(Summary!$A$247:$A$283,$A2977,Summary!$Q$247:$Q$283),0)</f>
        <v>0</v>
      </c>
      <c r="AL2977" s="196">
        <f>IFERROR($G2977/SUMIF($A:$A,$A2977,$G:$G)*(SUMIF(Summary!$A$247:$A$283,$A2977,Summary!$L$247:$L$283)+SUMIF(Summary!$A$297:$A$333,$A2977,Summary!$L$297:$L$333))-AK2977,0)</f>
        <v>0</v>
      </c>
      <c r="AM2977" s="198"/>
      <c r="AN2977" s="196">
        <f t="shared" ca="1" si="656"/>
        <v>0</v>
      </c>
      <c r="AO2977" s="196">
        <f t="shared" ca="1" si="657"/>
        <v>0</v>
      </c>
    </row>
    <row r="2978" spans="1:41" s="201" customFormat="1" ht="14.25" customHeight="1">
      <c r="A2978" s="189">
        <v>11161</v>
      </c>
      <c r="B2978" s="190">
        <v>2</v>
      </c>
      <c r="C2978" s="191" t="s">
        <v>232</v>
      </c>
      <c r="D2978" s="192">
        <f t="shared" si="644"/>
        <v>0</v>
      </c>
      <c r="E2978" s="192">
        <f t="shared" si="645"/>
        <v>0</v>
      </c>
      <c r="F2978" s="192">
        <f t="shared" si="646"/>
        <v>0</v>
      </c>
      <c r="G2978" s="193">
        <f t="shared" si="647"/>
        <v>0</v>
      </c>
      <c r="H2978" s="194">
        <v>0</v>
      </c>
      <c r="I2978" s="194">
        <v>0</v>
      </c>
      <c r="J2978" s="194">
        <v>0</v>
      </c>
      <c r="K2978" s="193">
        <f t="shared" si="648"/>
        <v>0</v>
      </c>
      <c r="L2978" s="194">
        <v>0</v>
      </c>
      <c r="M2978" s="194">
        <v>0</v>
      </c>
      <c r="N2978" s="194">
        <v>0</v>
      </c>
      <c r="O2978" s="193">
        <f t="shared" si="649"/>
        <v>0</v>
      </c>
      <c r="P2978" s="194">
        <v>0</v>
      </c>
      <c r="Q2978" s="194">
        <v>0</v>
      </c>
      <c r="R2978" s="194">
        <v>0</v>
      </c>
      <c r="S2978" s="193">
        <f t="shared" si="650"/>
        <v>0</v>
      </c>
      <c r="T2978" s="193">
        <f t="shared" si="651"/>
        <v>0</v>
      </c>
      <c r="U2978" s="193">
        <f ca="1">OFFSET('Expenditure Study'!$B$7,'Operations Support'!$C2978,'Operations Support'!$B2978)*$G2978</f>
        <v>0</v>
      </c>
      <c r="V2978" s="199">
        <f ca="1">U2978*'Expenditure Study'!$B$31</f>
        <v>0</v>
      </c>
      <c r="W2978" s="199">
        <f ca="1">IF(A2978=10298,1.51,1)*IF($B2978&lt;3,$D2978*'Expenditure Study'!$B$32*OFFSET('Expenditure Study'!$B$7,'Operations Support'!$C2978,'Operations Support'!$B2978),0)</f>
        <v>0</v>
      </c>
      <c r="X2978" s="200">
        <f ca="1">W2978*'Expenditure Study'!$B$31</f>
        <v>0</v>
      </c>
      <c r="Y2978" s="199">
        <f ca="1">U2978*'Expenditure Study'!$B$31</f>
        <v>0</v>
      </c>
      <c r="Z2978" s="200">
        <f ca="1">W2978*'Expenditure Study'!$B$31</f>
        <v>0</v>
      </c>
      <c r="AA2978" s="195">
        <f t="shared" ca="1" si="652"/>
        <v>0</v>
      </c>
      <c r="AB2978" s="195">
        <f t="shared" ca="1" si="653"/>
        <v>0</v>
      </c>
      <c r="AD2978" s="196">
        <f>IFERROR($G2978/SUMIF($A:$A,$A2978,$G:$G)*SUMIF(Summary!$A$166:$A$242,$A2978,Summary!$P$166:$P$242),0)</f>
        <v>0</v>
      </c>
      <c r="AE2978" s="197">
        <f t="shared" ca="1" si="654"/>
        <v>0</v>
      </c>
      <c r="AF2978" s="196">
        <f>IFERROR(G2978/SUMIF(A:A,A2978,G:G)*SUMIF(Summary!$A$166:$A$242,'Operations Support'!A2978,Summary!$Q$166:$Q$242),0)</f>
        <v>0</v>
      </c>
      <c r="AG2978" s="196">
        <f t="shared" ca="1" si="655"/>
        <v>0</v>
      </c>
      <c r="AH2978" s="180"/>
      <c r="AI2978" s="196">
        <f>IFERROR($G2978/SUMIF($A:$A,$A2978,$G:$G)*SUMIF(Summary!$A$247:$A$283,$A2978,Summary!$P$247:$P$283),0)</f>
        <v>0</v>
      </c>
      <c r="AJ2978" s="196">
        <f>IFERROR($G2978/SUMIF($A:$A,$A2978,$G:$G)*(SUMIF(Summary!$A$247:$A$283,$A2978,Summary!$L$247:$L$283)+SUMIF(Summary!$A$297:$A$333,$A2978,Summary!$L$297:$L$333))-AI2978,0)</f>
        <v>0</v>
      </c>
      <c r="AK2978" s="196">
        <f>IFERROR($G2978/SUMIF($A:$A,$A2978,$G:$G)*SUMIF(Summary!$A$247:$A$283,$A2978,Summary!$Q$247:$Q$283),0)</f>
        <v>0</v>
      </c>
      <c r="AL2978" s="196">
        <f>IFERROR($G2978/SUMIF($A:$A,$A2978,$G:$G)*(SUMIF(Summary!$A$247:$A$283,$A2978,Summary!$L$247:$L$283)+SUMIF(Summary!$A$297:$A$333,$A2978,Summary!$L$297:$L$333))-AK2978,0)</f>
        <v>0</v>
      </c>
      <c r="AM2978" s="198"/>
      <c r="AN2978" s="196">
        <f t="shared" ca="1" si="656"/>
        <v>0</v>
      </c>
      <c r="AO2978" s="196">
        <f t="shared" ca="1" si="657"/>
        <v>0</v>
      </c>
    </row>
    <row r="2979" spans="1:41">
      <c r="A2979" s="189">
        <v>11161</v>
      </c>
      <c r="B2979" s="190">
        <v>2</v>
      </c>
      <c r="C2979" s="191" t="s">
        <v>233</v>
      </c>
      <c r="D2979" s="192">
        <f t="shared" si="644"/>
        <v>1774</v>
      </c>
      <c r="E2979" s="192">
        <f t="shared" si="645"/>
        <v>1622</v>
      </c>
      <c r="F2979" s="192">
        <f t="shared" si="646"/>
        <v>0</v>
      </c>
      <c r="G2979" s="193">
        <f t="shared" si="647"/>
        <v>3396</v>
      </c>
      <c r="H2979" s="194">
        <v>552</v>
      </c>
      <c r="I2979" s="194">
        <v>649</v>
      </c>
      <c r="J2979" s="194">
        <v>0</v>
      </c>
      <c r="K2979" s="193">
        <f t="shared" si="648"/>
        <v>1201</v>
      </c>
      <c r="L2979" s="194">
        <v>709</v>
      </c>
      <c r="M2979" s="194">
        <v>830</v>
      </c>
      <c r="N2979" s="194">
        <v>0</v>
      </c>
      <c r="O2979" s="193">
        <f t="shared" si="649"/>
        <v>1539</v>
      </c>
      <c r="P2979" s="194">
        <v>513</v>
      </c>
      <c r="Q2979" s="194">
        <v>143</v>
      </c>
      <c r="R2979" s="194">
        <v>0</v>
      </c>
      <c r="S2979" s="193">
        <f t="shared" si="650"/>
        <v>656</v>
      </c>
      <c r="T2979" s="193">
        <f t="shared" si="651"/>
        <v>113.2</v>
      </c>
      <c r="U2979" s="193">
        <f ca="1">OFFSET('Expenditure Study'!$B$7,'Operations Support'!$C2979,'Operations Support'!$B2979)*$G2979</f>
        <v>5467.56</v>
      </c>
      <c r="V2979" s="199">
        <f ca="1">U2979*'Expenditure Study'!$B$31</f>
        <v>323040.83601484803</v>
      </c>
      <c r="W2979" s="199">
        <f ca="1">IF(A2979=10298,1.51,1)*IF($B2979&lt;3,$D2979*'Expenditure Study'!$B$32*OFFSET('Expenditure Study'!$B$7,'Operations Support'!$C2979,'Operations Support'!$B2979),0)</f>
        <v>285.61400000000003</v>
      </c>
      <c r="X2979" s="200">
        <f ca="1">W2979*'Expenditure Study'!$B$31</f>
        <v>16874.983601011201</v>
      </c>
      <c r="Y2979" s="199">
        <f ca="1">U2979*'Expenditure Study'!$B$31</f>
        <v>323040.83601484803</v>
      </c>
      <c r="Z2979" s="200">
        <f ca="1">W2979*'Expenditure Study'!$B$31</f>
        <v>16874.983601011201</v>
      </c>
      <c r="AA2979" s="195">
        <f t="shared" ca="1" si="652"/>
        <v>339915.81961585925</v>
      </c>
      <c r="AB2979" s="195">
        <f t="shared" ca="1" si="653"/>
        <v>339915.81961585925</v>
      </c>
      <c r="AD2979" s="196">
        <f>IFERROR($G2979/SUMIF($A:$A,$A2979,$G:$G)*SUMIF(Summary!$A$166:$A$242,$A2979,Summary!$P$166:$P$242),0)</f>
        <v>121919.95879703708</v>
      </c>
      <c r="AE2979" s="197">
        <f t="shared" ca="1" si="654"/>
        <v>217995.86081882217</v>
      </c>
      <c r="AF2979" s="196">
        <f>IFERROR(G2979/SUMIF(A:A,A2979,G:G)*SUMIF(Summary!$A$166:$A$242,'Operations Support'!A2979,Summary!$Q$166:$Q$242),0)</f>
        <v>121950.54928753297</v>
      </c>
      <c r="AG2979" s="196">
        <f t="shared" ca="1" si="655"/>
        <v>217965.27032832627</v>
      </c>
      <c r="AI2979" s="196">
        <f>IFERROR($G2979/SUMIF($A:$A,$A2979,$G:$G)*SUMIF(Summary!$A$247:$A$283,$A2979,Summary!$P$247:$P$283),0)</f>
        <v>22235.158005922211</v>
      </c>
      <c r="AJ2979" s="196">
        <f>IFERROR($G2979/SUMIF($A:$A,$A2979,$G:$G)*(SUMIF(Summary!$A$247:$A$283,$A2979,Summary!$L$247:$L$283)+SUMIF(Summary!$A$297:$A$333,$A2979,Summary!$L$297:$L$333))-AI2979,0)</f>
        <v>67255.118128647067</v>
      </c>
      <c r="AK2979" s="196">
        <f>IFERROR($G2979/SUMIF($A:$A,$A2979,$G:$G)*SUMIF(Summary!$A$247:$A$283,$A2979,Summary!$Q$247:$Q$283),0)</f>
        <v>22240.736948011476</v>
      </c>
      <c r="AL2979" s="196">
        <f>IFERROR($G2979/SUMIF($A:$A,$A2979,$G:$G)*(SUMIF(Summary!$A$247:$A$283,$A2979,Summary!$L$247:$L$283)+SUMIF(Summary!$A$297:$A$333,$A2979,Summary!$L$297:$L$333))-AK2979,0)</f>
        <v>67249.539186557799</v>
      </c>
      <c r="AM2979" s="198"/>
      <c r="AN2979" s="196">
        <f t="shared" ca="1" si="656"/>
        <v>285250.97894746927</v>
      </c>
      <c r="AO2979" s="196">
        <f t="shared" ca="1" si="657"/>
        <v>285214.80951488408</v>
      </c>
    </row>
    <row r="2980" spans="1:41">
      <c r="A2980" s="189">
        <v>11161</v>
      </c>
      <c r="B2980" s="190">
        <v>2</v>
      </c>
      <c r="C2980" s="191" t="s">
        <v>234</v>
      </c>
      <c r="D2980" s="192">
        <f t="shared" si="644"/>
        <v>0</v>
      </c>
      <c r="E2980" s="192">
        <f t="shared" si="645"/>
        <v>0</v>
      </c>
      <c r="F2980" s="192">
        <f t="shared" si="646"/>
        <v>0</v>
      </c>
      <c r="G2980" s="193">
        <f t="shared" si="647"/>
        <v>0</v>
      </c>
      <c r="H2980" s="194">
        <v>0</v>
      </c>
      <c r="I2980" s="194">
        <v>0</v>
      </c>
      <c r="J2980" s="194">
        <v>0</v>
      </c>
      <c r="K2980" s="193">
        <f t="shared" si="648"/>
        <v>0</v>
      </c>
      <c r="L2980" s="194">
        <v>0</v>
      </c>
      <c r="M2980" s="194">
        <v>0</v>
      </c>
      <c r="N2980" s="194">
        <v>0</v>
      </c>
      <c r="O2980" s="193">
        <f t="shared" si="649"/>
        <v>0</v>
      </c>
      <c r="P2980" s="194">
        <v>0</v>
      </c>
      <c r="Q2980" s="194">
        <v>0</v>
      </c>
      <c r="R2980" s="194">
        <v>0</v>
      </c>
      <c r="S2980" s="193">
        <f t="shared" si="650"/>
        <v>0</v>
      </c>
      <c r="T2980" s="193">
        <f t="shared" si="651"/>
        <v>0</v>
      </c>
      <c r="U2980" s="193">
        <f ca="1">OFFSET('Expenditure Study'!$B$7,'Operations Support'!$C2980,'Operations Support'!$B2980)*$G2980</f>
        <v>0</v>
      </c>
      <c r="V2980" s="199">
        <f ca="1">U2980*'Expenditure Study'!$B$31</f>
        <v>0</v>
      </c>
      <c r="W2980" s="199">
        <f ca="1">IF(A2980=10298,1.51,1)*IF($B2980&lt;3,$D2980*'Expenditure Study'!$B$32*OFFSET('Expenditure Study'!$B$7,'Operations Support'!$C2980,'Operations Support'!$B2980),0)</f>
        <v>0</v>
      </c>
      <c r="X2980" s="200">
        <f ca="1">W2980*'Expenditure Study'!$B$31</f>
        <v>0</v>
      </c>
      <c r="Y2980" s="199">
        <f ca="1">U2980*'Expenditure Study'!$B$31</f>
        <v>0</v>
      </c>
      <c r="Z2980" s="200">
        <f ca="1">W2980*'Expenditure Study'!$B$31</f>
        <v>0</v>
      </c>
      <c r="AA2980" s="195">
        <f t="shared" ca="1" si="652"/>
        <v>0</v>
      </c>
      <c r="AB2980" s="195">
        <f t="shared" ca="1" si="653"/>
        <v>0</v>
      </c>
      <c r="AD2980" s="196">
        <f>IFERROR($G2980/SUMIF($A:$A,$A2980,$G:$G)*SUMIF(Summary!$A$166:$A$242,$A2980,Summary!$P$166:$P$242),0)</f>
        <v>0</v>
      </c>
      <c r="AE2980" s="197">
        <f t="shared" ca="1" si="654"/>
        <v>0</v>
      </c>
      <c r="AF2980" s="196">
        <f>IFERROR(G2980/SUMIF(A:A,A2980,G:G)*SUMIF(Summary!$A$166:$A$242,'Operations Support'!A2980,Summary!$Q$166:$Q$242),0)</f>
        <v>0</v>
      </c>
      <c r="AG2980" s="196">
        <f t="shared" ca="1" si="655"/>
        <v>0</v>
      </c>
      <c r="AI2980" s="196">
        <f>IFERROR($G2980/SUMIF($A:$A,$A2980,$G:$G)*SUMIF(Summary!$A$247:$A$283,$A2980,Summary!$P$247:$P$283),0)</f>
        <v>0</v>
      </c>
      <c r="AJ2980" s="196">
        <f>IFERROR($G2980/SUMIF($A:$A,$A2980,$G:$G)*(SUMIF(Summary!$A$247:$A$283,$A2980,Summary!$L$247:$L$283)+SUMIF(Summary!$A$297:$A$333,$A2980,Summary!$L$297:$L$333))-AI2980,0)</f>
        <v>0</v>
      </c>
      <c r="AK2980" s="196">
        <f>IFERROR($G2980/SUMIF($A:$A,$A2980,$G:$G)*SUMIF(Summary!$A$247:$A$283,$A2980,Summary!$Q$247:$Q$283),0)</f>
        <v>0</v>
      </c>
      <c r="AL2980" s="196">
        <f>IFERROR($G2980/SUMIF($A:$A,$A2980,$G:$G)*(SUMIF(Summary!$A$247:$A$283,$A2980,Summary!$L$247:$L$283)+SUMIF(Summary!$A$297:$A$333,$A2980,Summary!$L$297:$L$333))-AK2980,0)</f>
        <v>0</v>
      </c>
      <c r="AM2980" s="198"/>
      <c r="AN2980" s="196">
        <f t="shared" ca="1" si="656"/>
        <v>0</v>
      </c>
      <c r="AO2980" s="196">
        <f t="shared" ca="1" si="657"/>
        <v>0</v>
      </c>
    </row>
    <row r="2981" spans="1:41">
      <c r="A2981" s="189">
        <v>11161</v>
      </c>
      <c r="B2981" s="190">
        <v>2</v>
      </c>
      <c r="C2981" s="191" t="s">
        <v>235</v>
      </c>
      <c r="D2981" s="192">
        <f t="shared" si="644"/>
        <v>13266</v>
      </c>
      <c r="E2981" s="192">
        <f t="shared" si="645"/>
        <v>5052</v>
      </c>
      <c r="F2981" s="192">
        <f t="shared" si="646"/>
        <v>0</v>
      </c>
      <c r="G2981" s="193">
        <f t="shared" si="647"/>
        <v>18318</v>
      </c>
      <c r="H2981" s="194">
        <v>5541</v>
      </c>
      <c r="I2981" s="194">
        <v>2574</v>
      </c>
      <c r="J2981" s="194">
        <v>0</v>
      </c>
      <c r="K2981" s="193">
        <f t="shared" si="648"/>
        <v>8115</v>
      </c>
      <c r="L2981" s="194">
        <v>4341</v>
      </c>
      <c r="M2981" s="194">
        <v>1659</v>
      </c>
      <c r="N2981" s="194">
        <v>0</v>
      </c>
      <c r="O2981" s="193">
        <f t="shared" si="649"/>
        <v>6000</v>
      </c>
      <c r="P2981" s="194">
        <v>3384</v>
      </c>
      <c r="Q2981" s="194">
        <v>819</v>
      </c>
      <c r="R2981" s="194">
        <v>0</v>
      </c>
      <c r="S2981" s="193">
        <f t="shared" si="650"/>
        <v>4203</v>
      </c>
      <c r="T2981" s="193">
        <f t="shared" si="651"/>
        <v>610.6</v>
      </c>
      <c r="U2981" s="193">
        <f ca="1">OFFSET('Expenditure Study'!$B$7,'Operations Support'!$C2981,'Operations Support'!$B2981)*$G2981</f>
        <v>34254.660000000003</v>
      </c>
      <c r="V2981" s="199">
        <f ca="1">U2981*'Expenditure Study'!$B$31</f>
        <v>2023874.2700225282</v>
      </c>
      <c r="W2981" s="199">
        <f ca="1">IF(A2981=10298,1.51,1)*IF($B2981&lt;3,$D2981*'Expenditure Study'!$B$32*OFFSET('Expenditure Study'!$B$7,'Operations Support'!$C2981,'Operations Support'!$B2981),0)</f>
        <v>2480.7420000000002</v>
      </c>
      <c r="X2981" s="200">
        <f ca="1">W2981*'Expenditure Study'!$B$31</f>
        <v>146570.12810415361</v>
      </c>
      <c r="Y2981" s="199">
        <f ca="1">U2981*'Expenditure Study'!$B$31</f>
        <v>2023874.2700225282</v>
      </c>
      <c r="Z2981" s="200">
        <f ca="1">W2981*'Expenditure Study'!$B$31</f>
        <v>146570.12810415361</v>
      </c>
      <c r="AA2981" s="195">
        <f t="shared" ca="1" si="652"/>
        <v>2170444.3981266818</v>
      </c>
      <c r="AB2981" s="195">
        <f t="shared" ca="1" si="653"/>
        <v>2170444.3981266818</v>
      </c>
      <c r="AD2981" s="196">
        <f>IFERROR($G2981/SUMIF($A:$A,$A2981,$G:$G)*SUMIF(Summary!$A$166:$A$242,$A2981,Summary!$P$166:$P$242),0)</f>
        <v>657635.39612606762</v>
      </c>
      <c r="AE2981" s="197">
        <f t="shared" ca="1" si="654"/>
        <v>1512809.0020006141</v>
      </c>
      <c r="AF2981" s="196">
        <f>IFERROR(G2981/SUMIF(A:A,A2981,G:G)*SUMIF(Summary!$A$166:$A$242,'Operations Support'!A2981,Summary!$Q$166:$Q$242),0)</f>
        <v>657800.40101561509</v>
      </c>
      <c r="AG2981" s="196">
        <f t="shared" ca="1" si="655"/>
        <v>1512643.9971110667</v>
      </c>
      <c r="AI2981" s="196">
        <f>IFERROR($G2981/SUMIF($A:$A,$A2981,$G:$G)*SUMIF(Summary!$A$247:$A$283,$A2981,Summary!$P$247:$P$283),0)</f>
        <v>119936.28514501857</v>
      </c>
      <c r="AJ2981" s="196">
        <f>IFERROR($G2981/SUMIF($A:$A,$A2981,$G:$G)*(SUMIF(Summary!$A$247:$A$283,$A2981,Summary!$L$247:$L$283)+SUMIF(Summary!$A$297:$A$333,$A2981,Summary!$L$297:$L$333))-AI2981,0)</f>
        <v>362773.63188473403</v>
      </c>
      <c r="AK2981" s="196">
        <f>IFERROR($G2981/SUMIF($A:$A,$A2981,$G:$G)*SUMIF(Summary!$A$247:$A$283,$A2981,Summary!$Q$247:$Q$283),0)</f>
        <v>119966.37791922092</v>
      </c>
      <c r="AL2981" s="196">
        <f>IFERROR($G2981/SUMIF($A:$A,$A2981,$G:$G)*(SUMIF(Summary!$A$247:$A$283,$A2981,Summary!$L$247:$L$283)+SUMIF(Summary!$A$297:$A$333,$A2981,Summary!$L$297:$L$333))-AK2981,0)</f>
        <v>362743.53911053168</v>
      </c>
      <c r="AM2981" s="198"/>
      <c r="AN2981" s="196">
        <f t="shared" ca="1" si="656"/>
        <v>1875582.6338853482</v>
      </c>
      <c r="AO2981" s="196">
        <f t="shared" ca="1" si="657"/>
        <v>1875387.5362215983</v>
      </c>
    </row>
    <row r="2982" spans="1:41">
      <c r="A2982" s="189">
        <v>11161</v>
      </c>
      <c r="B2982" s="190">
        <v>2</v>
      </c>
      <c r="C2982" s="191" t="s">
        <v>236</v>
      </c>
      <c r="D2982" s="192">
        <f t="shared" si="644"/>
        <v>0</v>
      </c>
      <c r="E2982" s="192">
        <f t="shared" si="645"/>
        <v>0</v>
      </c>
      <c r="F2982" s="192">
        <f t="shared" si="646"/>
        <v>0</v>
      </c>
      <c r="G2982" s="193">
        <f t="shared" si="647"/>
        <v>0</v>
      </c>
      <c r="H2982" s="194">
        <v>0</v>
      </c>
      <c r="I2982" s="194">
        <v>0</v>
      </c>
      <c r="J2982" s="194">
        <v>0</v>
      </c>
      <c r="K2982" s="193">
        <f t="shared" si="648"/>
        <v>0</v>
      </c>
      <c r="L2982" s="194">
        <v>0</v>
      </c>
      <c r="M2982" s="194">
        <v>0</v>
      </c>
      <c r="N2982" s="194">
        <v>0</v>
      </c>
      <c r="O2982" s="193">
        <f t="shared" si="649"/>
        <v>0</v>
      </c>
      <c r="P2982" s="194">
        <v>0</v>
      </c>
      <c r="Q2982" s="194">
        <v>0</v>
      </c>
      <c r="R2982" s="194">
        <v>0</v>
      </c>
      <c r="S2982" s="193">
        <f t="shared" si="650"/>
        <v>0</v>
      </c>
      <c r="T2982" s="193">
        <f t="shared" si="651"/>
        <v>0</v>
      </c>
      <c r="U2982" s="193">
        <f ca="1">OFFSET('Expenditure Study'!$B$7,'Operations Support'!$C2982,'Operations Support'!$B2982)*$G2982</f>
        <v>0</v>
      </c>
      <c r="V2982" s="199">
        <f ca="1">U2982*'Expenditure Study'!$B$31</f>
        <v>0</v>
      </c>
      <c r="W2982" s="199">
        <f ca="1">IF(A2982=10298,1.51,1)*IF($B2982&lt;3,$D2982*'Expenditure Study'!$B$32*OFFSET('Expenditure Study'!$B$7,'Operations Support'!$C2982,'Operations Support'!$B2982),0)</f>
        <v>0</v>
      </c>
      <c r="X2982" s="200">
        <f ca="1">W2982*'Expenditure Study'!$B$31</f>
        <v>0</v>
      </c>
      <c r="Y2982" s="199">
        <f ca="1">U2982*'Expenditure Study'!$B$31</f>
        <v>0</v>
      </c>
      <c r="Z2982" s="200">
        <f ca="1">W2982*'Expenditure Study'!$B$31</f>
        <v>0</v>
      </c>
      <c r="AA2982" s="195">
        <f t="shared" ca="1" si="652"/>
        <v>0</v>
      </c>
      <c r="AB2982" s="195">
        <f t="shared" ca="1" si="653"/>
        <v>0</v>
      </c>
      <c r="AD2982" s="196">
        <f>IFERROR($G2982/SUMIF($A:$A,$A2982,$G:$G)*SUMIF(Summary!$A$166:$A$242,$A2982,Summary!$P$166:$P$242),0)</f>
        <v>0</v>
      </c>
      <c r="AE2982" s="197">
        <f t="shared" ca="1" si="654"/>
        <v>0</v>
      </c>
      <c r="AF2982" s="196">
        <f>IFERROR(G2982/SUMIF(A:A,A2982,G:G)*SUMIF(Summary!$A$166:$A$242,'Operations Support'!A2982,Summary!$Q$166:$Q$242),0)</f>
        <v>0</v>
      </c>
      <c r="AG2982" s="196">
        <f t="shared" ca="1" si="655"/>
        <v>0</v>
      </c>
      <c r="AI2982" s="196">
        <f>IFERROR($G2982/SUMIF($A:$A,$A2982,$G:$G)*SUMIF(Summary!$A$247:$A$283,$A2982,Summary!$P$247:$P$283),0)</f>
        <v>0</v>
      </c>
      <c r="AJ2982" s="196">
        <f>IFERROR($G2982/SUMIF($A:$A,$A2982,$G:$G)*(SUMIF(Summary!$A$247:$A$283,$A2982,Summary!$L$247:$L$283)+SUMIF(Summary!$A$297:$A$333,$A2982,Summary!$L$297:$L$333))-AI2982,0)</f>
        <v>0</v>
      </c>
      <c r="AK2982" s="196">
        <f>IFERROR($G2982/SUMIF($A:$A,$A2982,$G:$G)*SUMIF(Summary!$A$247:$A$283,$A2982,Summary!$Q$247:$Q$283),0)</f>
        <v>0</v>
      </c>
      <c r="AL2982" s="196">
        <f>IFERROR($G2982/SUMIF($A:$A,$A2982,$G:$G)*(SUMIF(Summary!$A$247:$A$283,$A2982,Summary!$L$247:$L$283)+SUMIF(Summary!$A$297:$A$333,$A2982,Summary!$L$297:$L$333))-AK2982,0)</f>
        <v>0</v>
      </c>
      <c r="AM2982" s="198"/>
      <c r="AN2982" s="196">
        <f t="shared" ca="1" si="656"/>
        <v>0</v>
      </c>
      <c r="AO2982" s="196">
        <f t="shared" ca="1" si="657"/>
        <v>0</v>
      </c>
    </row>
    <row r="2983" spans="1:41">
      <c r="A2983" s="189">
        <v>11161</v>
      </c>
      <c r="B2983" s="190">
        <v>2</v>
      </c>
      <c r="C2983" s="191" t="s">
        <v>237</v>
      </c>
      <c r="D2983" s="192">
        <f t="shared" si="644"/>
        <v>177</v>
      </c>
      <c r="E2983" s="192">
        <f t="shared" si="645"/>
        <v>771</v>
      </c>
      <c r="F2983" s="192">
        <f t="shared" si="646"/>
        <v>0</v>
      </c>
      <c r="G2983" s="193">
        <f t="shared" si="647"/>
        <v>948</v>
      </c>
      <c r="H2983" s="194">
        <v>150</v>
      </c>
      <c r="I2983" s="194">
        <v>330</v>
      </c>
      <c r="J2983" s="194">
        <v>0</v>
      </c>
      <c r="K2983" s="193">
        <f t="shared" si="648"/>
        <v>480</v>
      </c>
      <c r="L2983" s="194">
        <v>27</v>
      </c>
      <c r="M2983" s="194">
        <v>441</v>
      </c>
      <c r="N2983" s="194">
        <v>0</v>
      </c>
      <c r="O2983" s="193">
        <f t="shared" si="649"/>
        <v>468</v>
      </c>
      <c r="P2983" s="194">
        <v>0</v>
      </c>
      <c r="Q2983" s="194">
        <v>0</v>
      </c>
      <c r="R2983" s="194">
        <v>0</v>
      </c>
      <c r="S2983" s="193">
        <f t="shared" si="650"/>
        <v>0</v>
      </c>
      <c r="T2983" s="193">
        <f t="shared" si="651"/>
        <v>31.6</v>
      </c>
      <c r="U2983" s="193">
        <f ca="1">OFFSET('Expenditure Study'!$B$7,'Operations Support'!$C2983,'Operations Support'!$B2983)*$G2983</f>
        <v>2218.3199999999997</v>
      </c>
      <c r="V2983" s="199">
        <f ca="1">U2983*'Expenditure Study'!$B$31</f>
        <v>131065.40163225599</v>
      </c>
      <c r="W2983" s="199">
        <f ca="1">IF(A2983=10298,1.51,1)*IF($B2983&lt;3,$D2983*'Expenditure Study'!$B$32*OFFSET('Expenditure Study'!$B$7,'Operations Support'!$C2983,'Operations Support'!$B2983),0)</f>
        <v>41.417999999999999</v>
      </c>
      <c r="X2983" s="200">
        <f ca="1">W2983*'Expenditure Study'!$B$31</f>
        <v>2447.1071823744001</v>
      </c>
      <c r="Y2983" s="199">
        <f ca="1">U2983*'Expenditure Study'!$B$31</f>
        <v>131065.40163225599</v>
      </c>
      <c r="Z2983" s="200">
        <f ca="1">W2983*'Expenditure Study'!$B$31</f>
        <v>2447.1071823744001</v>
      </c>
      <c r="AA2983" s="195">
        <f t="shared" ca="1" si="652"/>
        <v>133512.50881463039</v>
      </c>
      <c r="AB2983" s="195">
        <f t="shared" ca="1" si="653"/>
        <v>133512.50881463039</v>
      </c>
      <c r="AD2983" s="196">
        <f>IFERROR($G2983/SUMIF($A:$A,$A2983,$G:$G)*SUMIF(Summary!$A$166:$A$242,$A2983,Summary!$P$166:$P$242),0)</f>
        <v>34034.193445109289</v>
      </c>
      <c r="AE2983" s="197">
        <f t="shared" ca="1" si="654"/>
        <v>99478.315369521093</v>
      </c>
      <c r="AF2983" s="196">
        <f>IFERROR(G2983/SUMIF(A:A,A2983,G:G)*SUMIF(Summary!$A$166:$A$242,'Operations Support'!A2983,Summary!$Q$166:$Q$242),0)</f>
        <v>34042.732839982702</v>
      </c>
      <c r="AG2983" s="196">
        <f t="shared" ca="1" si="655"/>
        <v>99469.775974647695</v>
      </c>
      <c r="AI2983" s="196">
        <f>IFERROR($G2983/SUMIF($A:$A,$A2983,$G:$G)*SUMIF(Summary!$A$247:$A$283,$A2983,Summary!$P$247:$P$283),0)</f>
        <v>6206.9875705577897</v>
      </c>
      <c r="AJ2983" s="196">
        <f>IFERROR($G2983/SUMIF($A:$A,$A2983,$G:$G)*(SUMIF(Summary!$A$247:$A$283,$A2983,Summary!$L$247:$L$283)+SUMIF(Summary!$A$297:$A$333,$A2983,Summary!$L$297:$L$333))-AI2983,0)</f>
        <v>18774.396933438577</v>
      </c>
      <c r="AK2983" s="196">
        <f>IFERROR($G2983/SUMIF($A:$A,$A2983,$G:$G)*SUMIF(Summary!$A$247:$A$283,$A2983,Summary!$Q$247:$Q$283),0)</f>
        <v>6208.5449430844756</v>
      </c>
      <c r="AL2983" s="196">
        <f>IFERROR($G2983/SUMIF($A:$A,$A2983,$G:$G)*(SUMIF(Summary!$A$247:$A$283,$A2983,Summary!$L$247:$L$283)+SUMIF(Summary!$A$297:$A$333,$A2983,Summary!$L$297:$L$333))-AK2983,0)</f>
        <v>18772.839560911892</v>
      </c>
      <c r="AM2983" s="198"/>
      <c r="AN2983" s="196">
        <f t="shared" ca="1" si="656"/>
        <v>118252.71230295967</v>
      </c>
      <c r="AO2983" s="196">
        <f t="shared" ca="1" si="657"/>
        <v>118242.61553555958</v>
      </c>
    </row>
    <row r="2984" spans="1:41">
      <c r="A2984" s="189">
        <v>11161</v>
      </c>
      <c r="B2984" s="190">
        <v>2</v>
      </c>
      <c r="C2984" s="191" t="s">
        <v>238</v>
      </c>
      <c r="D2984" s="192">
        <f t="shared" si="644"/>
        <v>291</v>
      </c>
      <c r="E2984" s="192">
        <f t="shared" si="645"/>
        <v>488</v>
      </c>
      <c r="F2984" s="192">
        <f t="shared" si="646"/>
        <v>0</v>
      </c>
      <c r="G2984" s="193">
        <f t="shared" si="647"/>
        <v>779</v>
      </c>
      <c r="H2984" s="194">
        <v>57</v>
      </c>
      <c r="I2984" s="194">
        <v>293</v>
      </c>
      <c r="J2984" s="194">
        <v>0</v>
      </c>
      <c r="K2984" s="193">
        <f t="shared" si="648"/>
        <v>350</v>
      </c>
      <c r="L2984" s="194">
        <v>234</v>
      </c>
      <c r="M2984" s="194">
        <v>108</v>
      </c>
      <c r="N2984" s="194">
        <v>0</v>
      </c>
      <c r="O2984" s="193">
        <f t="shared" si="649"/>
        <v>342</v>
      </c>
      <c r="P2984" s="194">
        <v>0</v>
      </c>
      <c r="Q2984" s="194">
        <v>87</v>
      </c>
      <c r="R2984" s="194">
        <v>0</v>
      </c>
      <c r="S2984" s="193">
        <f t="shared" si="650"/>
        <v>87</v>
      </c>
      <c r="T2984" s="193">
        <f t="shared" si="651"/>
        <v>25.966666666666665</v>
      </c>
      <c r="U2984" s="193">
        <f ca="1">OFFSET('Expenditure Study'!$B$7,'Operations Support'!$C2984,'Operations Support'!$B2984)*$G2984</f>
        <v>1869.6</v>
      </c>
      <c r="V2984" s="199">
        <f ca="1">U2984*'Expenditure Study'!$B$31</f>
        <v>110461.91482368</v>
      </c>
      <c r="W2984" s="199">
        <f ca="1">IF(A2984=10298,1.51,1)*IF($B2984&lt;3,$D2984*'Expenditure Study'!$B$32*OFFSET('Expenditure Study'!$B$7,'Operations Support'!$C2984,'Operations Support'!$B2984),0)</f>
        <v>69.84</v>
      </c>
      <c r="X2984" s="200">
        <f ca="1">W2984*'Expenditure Study'!$B$31</f>
        <v>4126.369347072</v>
      </c>
      <c r="Y2984" s="199">
        <f ca="1">U2984*'Expenditure Study'!$B$31</f>
        <v>110461.91482368</v>
      </c>
      <c r="Z2984" s="200">
        <f ca="1">W2984*'Expenditure Study'!$B$31</f>
        <v>4126.369347072</v>
      </c>
      <c r="AA2984" s="195">
        <f t="shared" ca="1" si="652"/>
        <v>114588.284170752</v>
      </c>
      <c r="AB2984" s="195">
        <f t="shared" ca="1" si="653"/>
        <v>114588.284170752</v>
      </c>
      <c r="AD2984" s="196">
        <f>IFERROR($G2984/SUMIF($A:$A,$A2984,$G:$G)*SUMIF(Summary!$A$166:$A$242,$A2984,Summary!$P$166:$P$242),0)</f>
        <v>27966.91634360774</v>
      </c>
      <c r="AE2984" s="197">
        <f t="shared" ca="1" si="654"/>
        <v>86621.367827144262</v>
      </c>
      <c r="AF2984" s="196">
        <f>IFERROR(G2984/SUMIF(A:A,A2984,G:G)*SUMIF(Summary!$A$166:$A$242,'Operations Support'!A2984,Summary!$Q$166:$Q$242),0)</f>
        <v>27973.933420196754</v>
      </c>
      <c r="AG2984" s="196">
        <f t="shared" ca="1" si="655"/>
        <v>86614.350750555241</v>
      </c>
      <c r="AI2984" s="196">
        <f>IFERROR($G2984/SUMIF($A:$A,$A2984,$G:$G)*SUMIF(Summary!$A$247:$A$283,$A2984,Summary!$P$247:$P$283),0)</f>
        <v>5100.4676344562431</v>
      </c>
      <c r="AJ2984" s="196">
        <f>IFERROR($G2984/SUMIF($A:$A,$A2984,$G:$G)*(SUMIF(Summary!$A$247:$A$283,$A2984,Summary!$L$247:$L$283)+SUMIF(Summary!$A$297:$A$333,$A2984,Summary!$L$297:$L$333))-AI2984,0)</f>
        <v>15427.484399945835</v>
      </c>
      <c r="AK2984" s="196">
        <f>IFERROR($G2984/SUMIF($A:$A,$A2984,$G:$G)*SUMIF(Summary!$A$247:$A$283,$A2984,Summary!$Q$247:$Q$283),0)</f>
        <v>5101.7473741168842</v>
      </c>
      <c r="AL2984" s="196">
        <f>IFERROR($G2984/SUMIF($A:$A,$A2984,$G:$G)*(SUMIF(Summary!$A$247:$A$283,$A2984,Summary!$L$247:$L$283)+SUMIF(Summary!$A$297:$A$333,$A2984,Summary!$L$297:$L$333))-AK2984,0)</f>
        <v>15426.204660285195</v>
      </c>
      <c r="AM2984" s="198"/>
      <c r="AN2984" s="196">
        <f t="shared" ca="1" si="656"/>
        <v>102048.8522270901</v>
      </c>
      <c r="AO2984" s="196">
        <f t="shared" ca="1" si="657"/>
        <v>102040.55541084043</v>
      </c>
    </row>
    <row r="2985" spans="1:41">
      <c r="A2985" s="189">
        <v>11161</v>
      </c>
      <c r="B2985" s="190">
        <v>2</v>
      </c>
      <c r="C2985" s="191" t="s">
        <v>239</v>
      </c>
      <c r="D2985" s="192">
        <f t="shared" si="644"/>
        <v>652.5</v>
      </c>
      <c r="E2985" s="192">
        <f t="shared" si="645"/>
        <v>10738.5</v>
      </c>
      <c r="F2985" s="192">
        <f t="shared" si="646"/>
        <v>0</v>
      </c>
      <c r="G2985" s="193">
        <f t="shared" si="647"/>
        <v>11391</v>
      </c>
      <c r="H2985" s="194">
        <v>270</v>
      </c>
      <c r="I2985" s="194">
        <v>4162</v>
      </c>
      <c r="J2985" s="194">
        <v>0</v>
      </c>
      <c r="K2985" s="193">
        <f t="shared" si="648"/>
        <v>4432</v>
      </c>
      <c r="L2985" s="194">
        <v>303</v>
      </c>
      <c r="M2985" s="194">
        <v>3548</v>
      </c>
      <c r="N2985" s="194">
        <v>0</v>
      </c>
      <c r="O2985" s="193">
        <f t="shared" si="649"/>
        <v>3851</v>
      </c>
      <c r="P2985" s="194">
        <v>79.5</v>
      </c>
      <c r="Q2985" s="194">
        <v>3028.5</v>
      </c>
      <c r="R2985" s="194">
        <v>0</v>
      </c>
      <c r="S2985" s="193">
        <f t="shared" si="650"/>
        <v>3108</v>
      </c>
      <c r="T2985" s="193">
        <f t="shared" si="651"/>
        <v>379.7</v>
      </c>
      <c r="U2985" s="193">
        <f ca="1">OFFSET('Expenditure Study'!$B$7,'Operations Support'!$C2985,'Operations Support'!$B2985)*$G2985</f>
        <v>23693.280000000002</v>
      </c>
      <c r="V2985" s="199">
        <f ca="1">U2985*'Expenditure Study'!$B$31</f>
        <v>1399874.3459850242</v>
      </c>
      <c r="W2985" s="199">
        <f ca="1">IF(A2985=10298,1.51,1)*IF($B2985&lt;3,$D2985*'Expenditure Study'!$B$32*OFFSET('Expenditure Study'!$B$7,'Operations Support'!$C2985,'Operations Support'!$B2985),0)</f>
        <v>135.72</v>
      </c>
      <c r="X2985" s="200">
        <f ca="1">W2985*'Expenditure Study'!$B$31</f>
        <v>8018.7692981760001</v>
      </c>
      <c r="Y2985" s="199">
        <f ca="1">U2985*'Expenditure Study'!$B$31</f>
        <v>1399874.3459850242</v>
      </c>
      <c r="Z2985" s="200">
        <f ca="1">W2985*'Expenditure Study'!$B$31</f>
        <v>8018.7692981760001</v>
      </c>
      <c r="AA2985" s="195">
        <f t="shared" ca="1" si="652"/>
        <v>1407893.1152832003</v>
      </c>
      <c r="AB2985" s="195">
        <f t="shared" ca="1" si="653"/>
        <v>1407893.1152832003</v>
      </c>
      <c r="AD2985" s="196">
        <f>IFERROR($G2985/SUMIF($A:$A,$A2985,$G:$G)*SUMIF(Summary!$A$166:$A$242,$A2985,Summary!$P$166:$P$242),0)</f>
        <v>408948.83706037968</v>
      </c>
      <c r="AE2985" s="197">
        <f t="shared" ca="1" si="654"/>
        <v>998944.27822282061</v>
      </c>
      <c r="AF2985" s="196">
        <f>IFERROR(G2985/SUMIF(A:A,A2985,G:G)*SUMIF(Summary!$A$166:$A$242,'Operations Support'!A2985,Summary!$Q$166:$Q$242),0)</f>
        <v>409051.44491586811</v>
      </c>
      <c r="AG2985" s="196">
        <f t="shared" ca="1" si="655"/>
        <v>998841.67036733218</v>
      </c>
      <c r="AI2985" s="196">
        <f>IFERROR($G2985/SUMIF($A:$A,$A2985,$G:$G)*SUMIF(Summary!$A$247:$A$283,$A2985,Summary!$P$247:$P$283),0)</f>
        <v>74582.062675341556</v>
      </c>
      <c r="AJ2985" s="196">
        <f>IFERROR($G2985/SUMIF($A:$A,$A2985,$G:$G)*(SUMIF(Summary!$A$247:$A$283,$A2985,Summary!$L$247:$L$283)+SUMIF(Summary!$A$297:$A$333,$A2985,Summary!$L$297:$L$333))-AI2985,0)</f>
        <v>225589.82644388062</v>
      </c>
      <c r="AK2985" s="196">
        <f>IFERROR($G2985/SUMIF($A:$A,$A2985,$G:$G)*SUMIF(Summary!$A$247:$A$283,$A2985,Summary!$Q$247:$Q$283),0)</f>
        <v>74600.775787632141</v>
      </c>
      <c r="AL2985" s="196">
        <f>IFERROR($G2985/SUMIF($A:$A,$A2985,$G:$G)*(SUMIF(Summary!$A$247:$A$283,$A2985,Summary!$L$247:$L$283)+SUMIF(Summary!$A$297:$A$333,$A2985,Summary!$L$297:$L$333))-AK2985,0)</f>
        <v>225571.11333159002</v>
      </c>
      <c r="AM2985" s="198"/>
      <c r="AN2985" s="196">
        <f t="shared" ca="1" si="656"/>
        <v>1224534.1046667013</v>
      </c>
      <c r="AO2985" s="196">
        <f t="shared" ca="1" si="657"/>
        <v>1224412.7836989223</v>
      </c>
    </row>
    <row r="2986" spans="1:41">
      <c r="A2986" s="189">
        <v>11161</v>
      </c>
      <c r="B2986" s="190">
        <v>2</v>
      </c>
      <c r="C2986" s="191" t="s">
        <v>240</v>
      </c>
      <c r="D2986" s="192">
        <f t="shared" si="644"/>
        <v>0</v>
      </c>
      <c r="E2986" s="192">
        <f t="shared" si="645"/>
        <v>0</v>
      </c>
      <c r="F2986" s="192">
        <f t="shared" si="646"/>
        <v>0</v>
      </c>
      <c r="G2986" s="193">
        <f t="shared" si="647"/>
        <v>0</v>
      </c>
      <c r="H2986" s="194">
        <v>0</v>
      </c>
      <c r="I2986" s="194">
        <v>0</v>
      </c>
      <c r="J2986" s="194">
        <v>0</v>
      </c>
      <c r="K2986" s="193">
        <f t="shared" si="648"/>
        <v>0</v>
      </c>
      <c r="L2986" s="194">
        <v>0</v>
      </c>
      <c r="M2986" s="194">
        <v>0</v>
      </c>
      <c r="N2986" s="194">
        <v>0</v>
      </c>
      <c r="O2986" s="193">
        <f t="shared" si="649"/>
        <v>0</v>
      </c>
      <c r="P2986" s="194">
        <v>0</v>
      </c>
      <c r="Q2986" s="194">
        <v>0</v>
      </c>
      <c r="R2986" s="194">
        <v>0</v>
      </c>
      <c r="S2986" s="193">
        <f t="shared" si="650"/>
        <v>0</v>
      </c>
      <c r="T2986" s="193">
        <f t="shared" si="651"/>
        <v>0</v>
      </c>
      <c r="U2986" s="193">
        <f ca="1">OFFSET('Expenditure Study'!$B$7,'Operations Support'!$C2986,'Operations Support'!$B2986)*$G2986</f>
        <v>0</v>
      </c>
      <c r="V2986" s="199">
        <f ca="1">U2986*'Expenditure Study'!$B$31</f>
        <v>0</v>
      </c>
      <c r="W2986" s="199">
        <f ca="1">IF(A2986=10298,1.51,1)*IF($B2986&lt;3,$D2986*'Expenditure Study'!$B$32*OFFSET('Expenditure Study'!$B$7,'Operations Support'!$C2986,'Operations Support'!$B2986),0)</f>
        <v>0</v>
      </c>
      <c r="X2986" s="200">
        <f ca="1">W2986*'Expenditure Study'!$B$31</f>
        <v>0</v>
      </c>
      <c r="Y2986" s="199">
        <f ca="1">U2986*'Expenditure Study'!$B$31</f>
        <v>0</v>
      </c>
      <c r="Z2986" s="200">
        <f ca="1">W2986*'Expenditure Study'!$B$31</f>
        <v>0</v>
      </c>
      <c r="AA2986" s="195">
        <f t="shared" ca="1" si="652"/>
        <v>0</v>
      </c>
      <c r="AB2986" s="195">
        <f t="shared" ca="1" si="653"/>
        <v>0</v>
      </c>
      <c r="AD2986" s="196">
        <f>IFERROR($G2986/SUMIF($A:$A,$A2986,$G:$G)*SUMIF(Summary!$A$166:$A$242,$A2986,Summary!$P$166:$P$242),0)</f>
        <v>0</v>
      </c>
      <c r="AE2986" s="197">
        <f t="shared" ca="1" si="654"/>
        <v>0</v>
      </c>
      <c r="AF2986" s="196">
        <f>IFERROR(G2986/SUMIF(A:A,A2986,G:G)*SUMIF(Summary!$A$166:$A$242,'Operations Support'!A2986,Summary!$Q$166:$Q$242),0)</f>
        <v>0</v>
      </c>
      <c r="AG2986" s="196">
        <f t="shared" ca="1" si="655"/>
        <v>0</v>
      </c>
      <c r="AI2986" s="196">
        <f>IFERROR($G2986/SUMIF($A:$A,$A2986,$G:$G)*SUMIF(Summary!$A$247:$A$283,$A2986,Summary!$P$247:$P$283),0)</f>
        <v>0</v>
      </c>
      <c r="AJ2986" s="196">
        <f>IFERROR($G2986/SUMIF($A:$A,$A2986,$G:$G)*(SUMIF(Summary!$A$247:$A$283,$A2986,Summary!$L$247:$L$283)+SUMIF(Summary!$A$297:$A$333,$A2986,Summary!$L$297:$L$333))-AI2986,0)</f>
        <v>0</v>
      </c>
      <c r="AK2986" s="196">
        <f>IFERROR($G2986/SUMIF($A:$A,$A2986,$G:$G)*SUMIF(Summary!$A$247:$A$283,$A2986,Summary!$Q$247:$Q$283),0)</f>
        <v>0</v>
      </c>
      <c r="AL2986" s="196">
        <f>IFERROR($G2986/SUMIF($A:$A,$A2986,$G:$G)*(SUMIF(Summary!$A$247:$A$283,$A2986,Summary!$L$247:$L$283)+SUMIF(Summary!$A$297:$A$333,$A2986,Summary!$L$297:$L$333))-AK2986,0)</f>
        <v>0</v>
      </c>
      <c r="AM2986" s="198"/>
      <c r="AN2986" s="196">
        <f t="shared" ca="1" si="656"/>
        <v>0</v>
      </c>
      <c r="AO2986" s="196">
        <f t="shared" ca="1" si="657"/>
        <v>0</v>
      </c>
    </row>
    <row r="2987" spans="1:41">
      <c r="A2987" s="189">
        <v>11161</v>
      </c>
      <c r="B2987" s="190">
        <v>3</v>
      </c>
      <c r="C2987" s="191" t="s">
        <v>220</v>
      </c>
      <c r="D2987" s="192">
        <f t="shared" si="644"/>
        <v>4435.5</v>
      </c>
      <c r="E2987" s="192">
        <f t="shared" si="645"/>
        <v>613.5</v>
      </c>
      <c r="F2987" s="192">
        <f t="shared" si="646"/>
        <v>0</v>
      </c>
      <c r="G2987" s="193">
        <f t="shared" si="647"/>
        <v>5049</v>
      </c>
      <c r="H2987" s="194">
        <v>1537</v>
      </c>
      <c r="I2987" s="194">
        <v>276</v>
      </c>
      <c r="J2987" s="194">
        <v>0</v>
      </c>
      <c r="K2987" s="193">
        <f t="shared" si="648"/>
        <v>1813</v>
      </c>
      <c r="L2987" s="194">
        <v>1367</v>
      </c>
      <c r="M2987" s="194">
        <v>78</v>
      </c>
      <c r="N2987" s="194">
        <v>0</v>
      </c>
      <c r="O2987" s="193">
        <f t="shared" si="649"/>
        <v>1445</v>
      </c>
      <c r="P2987" s="194">
        <v>1531.5</v>
      </c>
      <c r="Q2987" s="194">
        <v>259.5</v>
      </c>
      <c r="R2987" s="194">
        <v>0</v>
      </c>
      <c r="S2987" s="193">
        <f t="shared" si="650"/>
        <v>1791</v>
      </c>
      <c r="T2987" s="193">
        <f t="shared" si="651"/>
        <v>210.375</v>
      </c>
      <c r="U2987" s="193">
        <f ca="1">OFFSET('Expenditure Study'!$B$7,'Operations Support'!$C2987,'Operations Support'!$B2987)*$G2987</f>
        <v>22518.54</v>
      </c>
      <c r="V2987" s="199">
        <f ca="1">U2987*'Expenditure Study'!$B$31</f>
        <v>1330466.970172032</v>
      </c>
      <c r="W2987" s="199">
        <f ca="1">IF(A2987=10298,1.51,1)*IF($B2987&lt;3,$D2987*'Expenditure Study'!$B$32*OFFSET('Expenditure Study'!$B$7,'Operations Support'!$C2987,'Operations Support'!$B2987),0)</f>
        <v>0</v>
      </c>
      <c r="X2987" s="200">
        <f ca="1">W2987*'Expenditure Study'!$B$31</f>
        <v>0</v>
      </c>
      <c r="Y2987" s="199">
        <f ca="1">U2987*'Expenditure Study'!$B$31</f>
        <v>1330466.970172032</v>
      </c>
      <c r="Z2987" s="200">
        <f ca="1">W2987*'Expenditure Study'!$B$31</f>
        <v>0</v>
      </c>
      <c r="AA2987" s="195">
        <f t="shared" ca="1" si="652"/>
        <v>1330466.970172032</v>
      </c>
      <c r="AB2987" s="195">
        <f t="shared" ca="1" si="653"/>
        <v>1330466.970172032</v>
      </c>
      <c r="AD2987" s="196">
        <f>IFERROR($G2987/SUMIF($A:$A,$A2987,$G:$G)*SUMIF(Summary!$A$166:$A$242,$A2987,Summary!$P$166:$P$242),0)</f>
        <v>181264.39103835108</v>
      </c>
      <c r="AE2987" s="197">
        <f t="shared" ca="1" si="654"/>
        <v>1149202.579133681</v>
      </c>
      <c r="AF2987" s="196">
        <f>IFERROR(G2987/SUMIF(A:A,A2987,G:G)*SUMIF(Summary!$A$166:$A$242,'Operations Support'!A2987,Summary!$Q$166:$Q$242),0)</f>
        <v>181309.87142307241</v>
      </c>
      <c r="AG2987" s="196">
        <f t="shared" ca="1" si="655"/>
        <v>1149157.0987489596</v>
      </c>
      <c r="AI2987" s="196">
        <f>IFERROR($G2987/SUMIF($A:$A,$A2987,$G:$G)*SUMIF(Summary!$A$247:$A$283,$A2987,Summary!$P$247:$P$283),0)</f>
        <v>33058.101522939112</v>
      </c>
      <c r="AJ2987" s="196">
        <f>IFERROR($G2987/SUMIF($A:$A,$A2987,$G:$G)*(SUMIF(Summary!$A$247:$A$283,$A2987,Summary!$L$247:$L$283)+SUMIF(Summary!$A$297:$A$333,$A2987,Summary!$L$297:$L$333))-AI2987,0)</f>
        <v>99991.487465117505</v>
      </c>
      <c r="AK2987" s="196">
        <f>IFERROR($G2987/SUMIF($A:$A,$A2987,$G:$G)*SUMIF(Summary!$A$247:$A$283,$A2987,Summary!$Q$247:$Q$283),0)</f>
        <v>33066.396010161938</v>
      </c>
      <c r="AL2987" s="196">
        <f>IFERROR($G2987/SUMIF($A:$A,$A2987,$G:$G)*(SUMIF(Summary!$A$247:$A$283,$A2987,Summary!$L$247:$L$283)+SUMIF(Summary!$A$297:$A$333,$A2987,Summary!$L$297:$L$333))-AK2987,0)</f>
        <v>99983.19297789468</v>
      </c>
      <c r="AM2987" s="198"/>
      <c r="AN2987" s="196">
        <f t="shared" ca="1" si="656"/>
        <v>1249194.0665987986</v>
      </c>
      <c r="AO2987" s="196">
        <f t="shared" ca="1" si="657"/>
        <v>1249140.2917268542</v>
      </c>
    </row>
    <row r="2988" spans="1:41">
      <c r="A2988" s="189">
        <v>11161</v>
      </c>
      <c r="B2988" s="190">
        <v>3</v>
      </c>
      <c r="C2988" s="191" t="s">
        <v>221</v>
      </c>
      <c r="D2988" s="192">
        <f t="shared" si="644"/>
        <v>3446.5</v>
      </c>
      <c r="E2988" s="192">
        <f t="shared" si="645"/>
        <v>1232.5</v>
      </c>
      <c r="F2988" s="192">
        <f t="shared" si="646"/>
        <v>0</v>
      </c>
      <c r="G2988" s="193">
        <f t="shared" si="647"/>
        <v>4679</v>
      </c>
      <c r="H2988" s="194">
        <v>1436</v>
      </c>
      <c r="I2988" s="194">
        <v>496</v>
      </c>
      <c r="J2988" s="194">
        <v>0</v>
      </c>
      <c r="K2988" s="193">
        <f t="shared" si="648"/>
        <v>1932</v>
      </c>
      <c r="L2988" s="194">
        <v>1189.5</v>
      </c>
      <c r="M2988" s="194">
        <v>376.5</v>
      </c>
      <c r="N2988" s="194">
        <v>0</v>
      </c>
      <c r="O2988" s="193">
        <f t="shared" si="649"/>
        <v>1566</v>
      </c>
      <c r="P2988" s="194">
        <v>821</v>
      </c>
      <c r="Q2988" s="194">
        <v>360</v>
      </c>
      <c r="R2988" s="194">
        <v>0</v>
      </c>
      <c r="S2988" s="193">
        <f t="shared" si="650"/>
        <v>1181</v>
      </c>
      <c r="T2988" s="193">
        <f t="shared" si="651"/>
        <v>194.95833333333334</v>
      </c>
      <c r="U2988" s="193">
        <f ca="1">OFFSET('Expenditure Study'!$B$7,'Operations Support'!$C2988,'Operations Support'!$B2988)*$G2988</f>
        <v>32753</v>
      </c>
      <c r="V2988" s="199">
        <f ca="1">U2988*'Expenditure Study'!$B$31</f>
        <v>1935151.4207424</v>
      </c>
      <c r="W2988" s="199">
        <f ca="1">IF(A2988=10298,1.51,1)*IF($B2988&lt;3,$D2988*'Expenditure Study'!$B$32*OFFSET('Expenditure Study'!$B$7,'Operations Support'!$C2988,'Operations Support'!$B2988),0)</f>
        <v>0</v>
      </c>
      <c r="X2988" s="200">
        <f ca="1">W2988*'Expenditure Study'!$B$31</f>
        <v>0</v>
      </c>
      <c r="Y2988" s="199">
        <f ca="1">U2988*'Expenditure Study'!$B$31</f>
        <v>1935151.4207424</v>
      </c>
      <c r="Z2988" s="200">
        <f ca="1">W2988*'Expenditure Study'!$B$31</f>
        <v>0</v>
      </c>
      <c r="AA2988" s="195">
        <f t="shared" ca="1" si="652"/>
        <v>1935151.4207424</v>
      </c>
      <c r="AB2988" s="195">
        <f t="shared" ca="1" si="653"/>
        <v>1935151.4207424</v>
      </c>
      <c r="AD2988" s="196">
        <f>IFERROR($G2988/SUMIF($A:$A,$A2988,$G:$G)*SUMIF(Summary!$A$166:$A$242,$A2988,Summary!$P$166:$P$242),0)</f>
        <v>167981.00330133585</v>
      </c>
      <c r="AE2988" s="197">
        <f t="shared" ca="1" si="654"/>
        <v>1767170.417441064</v>
      </c>
      <c r="AF2988" s="196">
        <f>IFERROR(G2988/SUMIF(A:A,A2988,G:G)*SUMIF(Summary!$A$166:$A$242,'Operations Support'!A2988,Summary!$Q$166:$Q$242),0)</f>
        <v>168023.15079987244</v>
      </c>
      <c r="AG2988" s="196">
        <f t="shared" ca="1" si="655"/>
        <v>1767128.2699425276</v>
      </c>
      <c r="AI2988" s="196">
        <f>IFERROR($G2988/SUMIF($A:$A,$A2988,$G:$G)*SUMIF(Summary!$A$247:$A$283,$A2988,Summary!$P$247:$P$283),0)</f>
        <v>30635.543082953485</v>
      </c>
      <c r="AJ2988" s="196">
        <f>IFERROR($G2988/SUMIF($A:$A,$A2988,$G:$G)*(SUMIF(Summary!$A$247:$A$283,$A2988,Summary!$L$247:$L$283)+SUMIF(Summary!$A$297:$A$333,$A2988,Summary!$L$297:$L$333))-AI2988,0)</f>
        <v>92663.927480547587</v>
      </c>
      <c r="AK2988" s="196">
        <f>IFERROR($G2988/SUMIF($A:$A,$A2988,$G:$G)*SUMIF(Summary!$A$247:$A$283,$A2988,Summary!$Q$247:$Q$283),0)</f>
        <v>30643.229734907451</v>
      </c>
      <c r="AL2988" s="196">
        <f>IFERROR($G2988/SUMIF($A:$A,$A2988,$G:$G)*(SUMIF(Summary!$A$247:$A$283,$A2988,Summary!$L$247:$L$283)+SUMIF(Summary!$A$297:$A$333,$A2988,Summary!$L$297:$L$333))-AK2988,0)</f>
        <v>92656.240828593625</v>
      </c>
      <c r="AM2988" s="198"/>
      <c r="AN2988" s="196">
        <f t="shared" ca="1" si="656"/>
        <v>1859834.3449216117</v>
      </c>
      <c r="AO2988" s="196">
        <f t="shared" ca="1" si="657"/>
        <v>1859784.5107711214</v>
      </c>
    </row>
    <row r="2989" spans="1:41">
      <c r="A2989" s="189">
        <v>11161</v>
      </c>
      <c r="B2989" s="190">
        <v>3</v>
      </c>
      <c r="C2989" s="191" t="s">
        <v>222</v>
      </c>
      <c r="D2989" s="192">
        <f t="shared" si="644"/>
        <v>160</v>
      </c>
      <c r="E2989" s="192">
        <f t="shared" si="645"/>
        <v>42</v>
      </c>
      <c r="F2989" s="192">
        <f t="shared" si="646"/>
        <v>0</v>
      </c>
      <c r="G2989" s="193">
        <f t="shared" si="647"/>
        <v>202</v>
      </c>
      <c r="H2989" s="194">
        <v>91</v>
      </c>
      <c r="I2989" s="194">
        <v>9</v>
      </c>
      <c r="J2989" s="194">
        <v>0</v>
      </c>
      <c r="K2989" s="193">
        <f t="shared" si="648"/>
        <v>100</v>
      </c>
      <c r="L2989" s="194">
        <v>63</v>
      </c>
      <c r="M2989" s="194">
        <v>33</v>
      </c>
      <c r="N2989" s="194">
        <v>0</v>
      </c>
      <c r="O2989" s="193">
        <f t="shared" si="649"/>
        <v>96</v>
      </c>
      <c r="P2989" s="194">
        <v>6</v>
      </c>
      <c r="Q2989" s="194">
        <v>0</v>
      </c>
      <c r="R2989" s="194">
        <v>0</v>
      </c>
      <c r="S2989" s="193">
        <f t="shared" si="650"/>
        <v>6</v>
      </c>
      <c r="T2989" s="193">
        <f t="shared" si="651"/>
        <v>8.4166666666666661</v>
      </c>
      <c r="U2989" s="193">
        <f ca="1">OFFSET('Expenditure Study'!$B$7,'Operations Support'!$C2989,'Operations Support'!$B2989)*$G2989</f>
        <v>1517.02</v>
      </c>
      <c r="V2989" s="199">
        <f ca="1">U2989*'Expenditure Study'!$B$31</f>
        <v>89630.366937216007</v>
      </c>
      <c r="W2989" s="199">
        <f ca="1">IF(A2989=10298,1.51,1)*IF($B2989&lt;3,$D2989*'Expenditure Study'!$B$32*OFFSET('Expenditure Study'!$B$7,'Operations Support'!$C2989,'Operations Support'!$B2989),0)</f>
        <v>0</v>
      </c>
      <c r="X2989" s="200">
        <f ca="1">W2989*'Expenditure Study'!$B$31</f>
        <v>0</v>
      </c>
      <c r="Y2989" s="199">
        <f ca="1">U2989*'Expenditure Study'!$B$31</f>
        <v>89630.366937216007</v>
      </c>
      <c r="Z2989" s="200">
        <f ca="1">W2989*'Expenditure Study'!$B$31</f>
        <v>0</v>
      </c>
      <c r="AA2989" s="195">
        <f t="shared" ca="1" si="652"/>
        <v>89630.366937216007</v>
      </c>
      <c r="AB2989" s="195">
        <f t="shared" ca="1" si="653"/>
        <v>89630.366937216007</v>
      </c>
      <c r="AD2989" s="196">
        <f>IFERROR($G2989/SUMIF($A:$A,$A2989,$G:$G)*SUMIF(Summary!$A$166:$A$242,$A2989,Summary!$P$166:$P$242),0)</f>
        <v>7252.0116834515584</v>
      </c>
      <c r="AE2989" s="197">
        <f t="shared" ca="1" si="654"/>
        <v>82378.355253764443</v>
      </c>
      <c r="AF2989" s="196">
        <f>IFERROR(G2989/SUMIF(A:A,A2989,G:G)*SUMIF(Summary!$A$166:$A$242,'Operations Support'!A2989,Summary!$Q$166:$Q$242),0)</f>
        <v>7253.8312591524318</v>
      </c>
      <c r="AG2989" s="196">
        <f t="shared" ca="1" si="655"/>
        <v>82376.535678063578</v>
      </c>
      <c r="AI2989" s="196">
        <f>IFERROR($G2989/SUMIF($A:$A,$A2989,$G:$G)*SUMIF(Summary!$A$247:$A$283,$A2989,Summary!$P$247:$P$283),0)</f>
        <v>1322.5859591272929</v>
      </c>
      <c r="AJ2989" s="196">
        <f>IFERROR($G2989/SUMIF($A:$A,$A2989,$G:$G)*(SUMIF(Summary!$A$247:$A$283,$A2989,Summary!$L$247:$L$283)+SUMIF(Summary!$A$297:$A$333,$A2989,Summary!$L$297:$L$333))-AI2989,0)</f>
        <v>4000.4516672516802</v>
      </c>
      <c r="AK2989" s="196">
        <f>IFERROR($G2989/SUMIF($A:$A,$A2989,$G:$G)*SUMIF(Summary!$A$247:$A$283,$A2989,Summary!$Q$247:$Q$283),0)</f>
        <v>1322.9178043281265</v>
      </c>
      <c r="AL2989" s="196">
        <f>IFERROR($G2989/SUMIF($A:$A,$A2989,$G:$G)*(SUMIF(Summary!$A$247:$A$283,$A2989,Summary!$L$247:$L$283)+SUMIF(Summary!$A$297:$A$333,$A2989,Summary!$L$297:$L$333))-AK2989,0)</f>
        <v>4000.1198220508468</v>
      </c>
      <c r="AM2989" s="198"/>
      <c r="AN2989" s="196">
        <f t="shared" ca="1" si="656"/>
        <v>86378.806921016119</v>
      </c>
      <c r="AO2989" s="196">
        <f t="shared" ca="1" si="657"/>
        <v>86376.65550011443</v>
      </c>
    </row>
    <row r="2990" spans="1:41">
      <c r="A2990" s="189">
        <v>11161</v>
      </c>
      <c r="B2990" s="190">
        <v>3</v>
      </c>
      <c r="C2990" s="191" t="s">
        <v>223</v>
      </c>
      <c r="D2990" s="192">
        <f t="shared" si="644"/>
        <v>1626</v>
      </c>
      <c r="E2990" s="192">
        <f t="shared" si="645"/>
        <v>768</v>
      </c>
      <c r="F2990" s="192">
        <f t="shared" si="646"/>
        <v>0</v>
      </c>
      <c r="G2990" s="193">
        <f t="shared" si="647"/>
        <v>2394</v>
      </c>
      <c r="H2990" s="194">
        <v>537</v>
      </c>
      <c r="I2990" s="194">
        <v>345</v>
      </c>
      <c r="J2990" s="194">
        <v>0</v>
      </c>
      <c r="K2990" s="193">
        <f t="shared" si="648"/>
        <v>882</v>
      </c>
      <c r="L2990" s="194">
        <v>333</v>
      </c>
      <c r="M2990" s="194">
        <v>306</v>
      </c>
      <c r="N2990" s="194">
        <v>0</v>
      </c>
      <c r="O2990" s="193">
        <f t="shared" si="649"/>
        <v>639</v>
      </c>
      <c r="P2990" s="194">
        <v>756</v>
      </c>
      <c r="Q2990" s="194">
        <v>117</v>
      </c>
      <c r="R2990" s="194">
        <v>0</v>
      </c>
      <c r="S2990" s="193">
        <f t="shared" si="650"/>
        <v>873</v>
      </c>
      <c r="T2990" s="193">
        <f t="shared" si="651"/>
        <v>99.75</v>
      </c>
      <c r="U2990" s="193">
        <f ca="1">OFFSET('Expenditure Study'!$B$7,'Operations Support'!$C2990,'Operations Support'!$B2990)*$G2990</f>
        <v>5362.56</v>
      </c>
      <c r="V2990" s="199">
        <f ca="1">U2990*'Expenditure Study'!$B$31</f>
        <v>316837.10203084804</v>
      </c>
      <c r="W2990" s="199">
        <f ca="1">IF(A2990=10298,1.51,1)*IF($B2990&lt;3,$D2990*'Expenditure Study'!$B$32*OFFSET('Expenditure Study'!$B$7,'Operations Support'!$C2990,'Operations Support'!$B2990),0)</f>
        <v>0</v>
      </c>
      <c r="X2990" s="200">
        <f ca="1">W2990*'Expenditure Study'!$B$31</f>
        <v>0</v>
      </c>
      <c r="Y2990" s="199">
        <f ca="1">U2990*'Expenditure Study'!$B$31</f>
        <v>316837.10203084804</v>
      </c>
      <c r="Z2990" s="200">
        <f ca="1">W2990*'Expenditure Study'!$B$31</f>
        <v>0</v>
      </c>
      <c r="AA2990" s="195">
        <f t="shared" ca="1" si="652"/>
        <v>316837.10203084804</v>
      </c>
      <c r="AB2990" s="195">
        <f t="shared" ca="1" si="653"/>
        <v>316837.10203084804</v>
      </c>
      <c r="AD2990" s="196">
        <f>IFERROR($G2990/SUMIF($A:$A,$A2990,$G:$G)*SUMIF(Summary!$A$166:$A$242,$A2990,Summary!$P$166:$P$242),0)</f>
        <v>85947.108763282333</v>
      </c>
      <c r="AE2990" s="197">
        <f t="shared" ca="1" si="654"/>
        <v>230889.9932675657</v>
      </c>
      <c r="AF2990" s="196">
        <f>IFERROR(G2990/SUMIF(A:A,A2990,G:G)*SUMIF(Summary!$A$166:$A$242,'Operations Support'!A2990,Summary!$Q$166:$Q$242),0)</f>
        <v>85968.673437677833</v>
      </c>
      <c r="AG2990" s="196">
        <f t="shared" ca="1" si="655"/>
        <v>230868.42859317019</v>
      </c>
      <c r="AI2990" s="196">
        <f>IFERROR($G2990/SUMIF($A:$A,$A2990,$G:$G)*SUMIF(Summary!$A$247:$A$283,$A2990,Summary!$P$247:$P$283),0)</f>
        <v>15674.607852231382</v>
      </c>
      <c r="AJ2990" s="196">
        <f>IFERROR($G2990/SUMIF($A:$A,$A2990,$G:$G)*(SUMIF(Summary!$A$247:$A$283,$A2990,Summary!$L$247:$L$283)+SUMIF(Summary!$A$297:$A$333,$A2990,Summary!$L$297:$L$333))-AI2990,0)</f>
        <v>47411.293521784763</v>
      </c>
      <c r="AK2990" s="196">
        <f>IFERROR($G2990/SUMIF($A:$A,$A2990,$G:$G)*SUMIF(Summary!$A$247:$A$283,$A2990,Summary!$Q$247:$Q$283),0)</f>
        <v>15678.54071070067</v>
      </c>
      <c r="AL2990" s="196">
        <f>IFERROR($G2990/SUMIF($A:$A,$A2990,$G:$G)*(SUMIF(Summary!$A$247:$A$283,$A2990,Summary!$L$247:$L$283)+SUMIF(Summary!$A$297:$A$333,$A2990,Summary!$L$297:$L$333))-AK2990,0)</f>
        <v>47407.360663315478</v>
      </c>
      <c r="AM2990" s="198"/>
      <c r="AN2990" s="196">
        <f t="shared" ca="1" si="656"/>
        <v>278301.28678935044</v>
      </c>
      <c r="AO2990" s="196">
        <f t="shared" ca="1" si="657"/>
        <v>278275.78925648564</v>
      </c>
    </row>
    <row r="2991" spans="1:41">
      <c r="A2991" s="189">
        <v>11161</v>
      </c>
      <c r="B2991" s="190">
        <v>3</v>
      </c>
      <c r="C2991" s="191" t="s">
        <v>224</v>
      </c>
      <c r="D2991" s="192">
        <f t="shared" si="644"/>
        <v>114</v>
      </c>
      <c r="E2991" s="192">
        <f t="shared" si="645"/>
        <v>15</v>
      </c>
      <c r="F2991" s="192">
        <f t="shared" si="646"/>
        <v>0</v>
      </c>
      <c r="G2991" s="193">
        <f t="shared" si="647"/>
        <v>129</v>
      </c>
      <c r="H2991" s="194">
        <v>49</v>
      </c>
      <c r="I2991" s="194">
        <v>12</v>
      </c>
      <c r="J2991" s="194">
        <v>0</v>
      </c>
      <c r="K2991" s="193">
        <f t="shared" si="648"/>
        <v>61</v>
      </c>
      <c r="L2991" s="194">
        <v>47</v>
      </c>
      <c r="M2991" s="194">
        <v>3</v>
      </c>
      <c r="N2991" s="194">
        <v>0</v>
      </c>
      <c r="O2991" s="193">
        <f t="shared" si="649"/>
        <v>50</v>
      </c>
      <c r="P2991" s="194">
        <v>18</v>
      </c>
      <c r="Q2991" s="194">
        <v>0</v>
      </c>
      <c r="R2991" s="194">
        <v>0</v>
      </c>
      <c r="S2991" s="193">
        <f t="shared" si="650"/>
        <v>18</v>
      </c>
      <c r="T2991" s="193">
        <f t="shared" si="651"/>
        <v>5.375</v>
      </c>
      <c r="U2991" s="193">
        <f ca="1">OFFSET('Expenditure Study'!$B$7,'Operations Support'!$C2991,'Operations Support'!$B2991)*$G2991</f>
        <v>1182.93</v>
      </c>
      <c r="V2991" s="199">
        <f ca="1">U2991*'Expenditure Study'!$B$31</f>
        <v>69891.267063744002</v>
      </c>
      <c r="W2991" s="199">
        <f ca="1">IF(A2991=10298,1.51,1)*IF($B2991&lt;3,$D2991*'Expenditure Study'!$B$32*OFFSET('Expenditure Study'!$B$7,'Operations Support'!$C2991,'Operations Support'!$B2991),0)</f>
        <v>0</v>
      </c>
      <c r="X2991" s="200">
        <f ca="1">W2991*'Expenditure Study'!$B$31</f>
        <v>0</v>
      </c>
      <c r="Y2991" s="199">
        <f ca="1">U2991*'Expenditure Study'!$B$31</f>
        <v>69891.267063744002</v>
      </c>
      <c r="Z2991" s="200">
        <f ca="1">W2991*'Expenditure Study'!$B$31</f>
        <v>0</v>
      </c>
      <c r="AA2991" s="195">
        <f t="shared" ca="1" si="652"/>
        <v>69891.267063744002</v>
      </c>
      <c r="AB2991" s="195">
        <f t="shared" ca="1" si="653"/>
        <v>69891.267063744002</v>
      </c>
      <c r="AD2991" s="196">
        <f>IFERROR($G2991/SUMIF($A:$A,$A2991,$G:$G)*SUMIF(Summary!$A$166:$A$242,$A2991,Summary!$P$166:$P$242),0)</f>
        <v>4631.2351839863913</v>
      </c>
      <c r="AE2991" s="197">
        <f t="shared" ca="1" si="654"/>
        <v>65260.031879757611</v>
      </c>
      <c r="AF2991" s="196">
        <f>IFERROR(G2991/SUMIF(A:A,A2991,G:G)*SUMIF(Summary!$A$166:$A$242,'Operations Support'!A2991,Summary!$Q$166:$Q$242),0)</f>
        <v>4632.397190250811</v>
      </c>
      <c r="AG2991" s="196">
        <f t="shared" ca="1" si="655"/>
        <v>65258.86987349319</v>
      </c>
      <c r="AI2991" s="196">
        <f>IFERROR($G2991/SUMIF($A:$A,$A2991,$G:$G)*SUMIF(Summary!$A$247:$A$283,$A2991,Summary!$P$247:$P$283),0)</f>
        <v>844.62172637337028</v>
      </c>
      <c r="AJ2991" s="196">
        <f>IFERROR($G2991/SUMIF($A:$A,$A2991,$G:$G)*(SUMIF(Summary!$A$247:$A$283,$A2991,Summary!$L$247:$L$283)+SUMIF(Summary!$A$297:$A$333,$A2991,Summary!$L$297:$L$333))-AI2991,0)</f>
        <v>2554.7438865122117</v>
      </c>
      <c r="AK2991" s="196">
        <f>IFERROR($G2991/SUMIF($A:$A,$A2991,$G:$G)*SUMIF(Summary!$A$247:$A$283,$A2991,Summary!$Q$247:$Q$283),0)</f>
        <v>844.83364731845722</v>
      </c>
      <c r="AL2991" s="196">
        <f>IFERROR($G2991/SUMIF($A:$A,$A2991,$G:$G)*(SUMIF(Summary!$A$247:$A$283,$A2991,Summary!$L$247:$L$283)+SUMIF(Summary!$A$297:$A$333,$A2991,Summary!$L$297:$L$333))-AK2991,0)</f>
        <v>2554.5319655671246</v>
      </c>
      <c r="AM2991" s="198"/>
      <c r="AN2991" s="196">
        <f t="shared" ca="1" si="656"/>
        <v>67814.775766269828</v>
      </c>
      <c r="AO2991" s="196">
        <f t="shared" ca="1" si="657"/>
        <v>67813.401839060316</v>
      </c>
    </row>
    <row r="2992" spans="1:41">
      <c r="A2992" s="189">
        <v>11161</v>
      </c>
      <c r="B2992" s="190">
        <v>3</v>
      </c>
      <c r="C2992" s="191" t="s">
        <v>225</v>
      </c>
      <c r="D2992" s="192">
        <f t="shared" si="644"/>
        <v>2674</v>
      </c>
      <c r="E2992" s="192">
        <f t="shared" si="645"/>
        <v>5283</v>
      </c>
      <c r="F2992" s="192">
        <f t="shared" si="646"/>
        <v>0</v>
      </c>
      <c r="G2992" s="193">
        <f t="shared" si="647"/>
        <v>7957</v>
      </c>
      <c r="H2992" s="194">
        <v>1447</v>
      </c>
      <c r="I2992" s="194">
        <v>2196</v>
      </c>
      <c r="J2992" s="194">
        <v>0</v>
      </c>
      <c r="K2992" s="193">
        <f t="shared" si="648"/>
        <v>3643</v>
      </c>
      <c r="L2992" s="194">
        <v>807</v>
      </c>
      <c r="M2992" s="194">
        <v>1773</v>
      </c>
      <c r="N2992" s="194">
        <v>0</v>
      </c>
      <c r="O2992" s="193">
        <f t="shared" si="649"/>
        <v>2580</v>
      </c>
      <c r="P2992" s="194">
        <v>420</v>
      </c>
      <c r="Q2992" s="194">
        <v>1314</v>
      </c>
      <c r="R2992" s="194">
        <v>0</v>
      </c>
      <c r="S2992" s="193">
        <f t="shared" si="650"/>
        <v>1734</v>
      </c>
      <c r="T2992" s="193">
        <f t="shared" si="651"/>
        <v>331.54166666666669</v>
      </c>
      <c r="U2992" s="193">
        <f ca="1">OFFSET('Expenditure Study'!$B$7,'Operations Support'!$C2992,'Operations Support'!$B2992)*$G2992</f>
        <v>54982.87</v>
      </c>
      <c r="V2992" s="199">
        <f ca="1">U2992*'Expenditure Study'!$B$31</f>
        <v>3248562.8491128962</v>
      </c>
      <c r="W2992" s="199">
        <f ca="1">IF(A2992=10298,1.51,1)*IF($B2992&lt;3,$D2992*'Expenditure Study'!$B$32*OFFSET('Expenditure Study'!$B$7,'Operations Support'!$C2992,'Operations Support'!$B2992),0)</f>
        <v>0</v>
      </c>
      <c r="X2992" s="200">
        <f ca="1">W2992*'Expenditure Study'!$B$31</f>
        <v>0</v>
      </c>
      <c r="Y2992" s="199">
        <f ca="1">U2992*'Expenditure Study'!$B$31</f>
        <v>3248562.8491128962</v>
      </c>
      <c r="Z2992" s="200">
        <f ca="1">W2992*'Expenditure Study'!$B$31</f>
        <v>0</v>
      </c>
      <c r="AA2992" s="195">
        <f t="shared" ca="1" si="652"/>
        <v>3248562.8491128962</v>
      </c>
      <c r="AB2992" s="195">
        <f t="shared" ca="1" si="653"/>
        <v>3248562.8491128962</v>
      </c>
      <c r="AD2992" s="196">
        <f>IFERROR($G2992/SUMIF($A:$A,$A2992,$G:$G)*SUMIF(Summary!$A$166:$A$242,$A2992,Summary!$P$166:$P$242),0)</f>
        <v>285664.63844170322</v>
      </c>
      <c r="AE2992" s="197">
        <f t="shared" ca="1" si="654"/>
        <v>2962898.210671193</v>
      </c>
      <c r="AF2992" s="196">
        <f>IFERROR(G2992/SUMIF(A:A,A2992,G:G)*SUMIF(Summary!$A$166:$A$242,'Operations Support'!A2992,Summary!$Q$166:$Q$242),0)</f>
        <v>285736.31351027673</v>
      </c>
      <c r="AG2992" s="196">
        <f t="shared" ca="1" si="655"/>
        <v>2962826.5356026194</v>
      </c>
      <c r="AI2992" s="196">
        <f>IFERROR($G2992/SUMIF($A:$A,$A2992,$G:$G)*SUMIF(Summary!$A$247:$A$283,$A2992,Summary!$P$247:$P$283),0)</f>
        <v>52098.101370177574</v>
      </c>
      <c r="AJ2992" s="196">
        <f>IFERROR($G2992/SUMIF($A:$A,$A2992,$G:$G)*(SUMIF(Summary!$A$247:$A$283,$A2992,Summary!$L$247:$L$283)+SUMIF(Summary!$A$297:$A$333,$A2992,Summary!$L$297:$L$333))-AI2992,0)</f>
        <v>157582.14810060206</v>
      </c>
      <c r="AK2992" s="196">
        <f>IFERROR($G2992/SUMIF($A:$A,$A2992,$G:$G)*SUMIF(Summary!$A$247:$A$283,$A2992,Summary!$Q$247:$Q$283),0)</f>
        <v>52111.173114053985</v>
      </c>
      <c r="AL2992" s="196">
        <f>IFERROR($G2992/SUMIF($A:$A,$A2992,$G:$G)*(SUMIF(Summary!$A$247:$A$283,$A2992,Summary!$L$247:$L$283)+SUMIF(Summary!$A$297:$A$333,$A2992,Summary!$L$297:$L$333))-AK2992,0)</f>
        <v>157569.07635672565</v>
      </c>
      <c r="AM2992" s="198"/>
      <c r="AN2992" s="196">
        <f t="shared" ca="1" si="656"/>
        <v>3120480.3587717949</v>
      </c>
      <c r="AO2992" s="196">
        <f t="shared" ca="1" si="657"/>
        <v>3120395.6119593452</v>
      </c>
    </row>
    <row r="2993" spans="1:41">
      <c r="A2993" s="189">
        <v>11161</v>
      </c>
      <c r="B2993" s="190">
        <v>3</v>
      </c>
      <c r="C2993" s="191" t="s">
        <v>226</v>
      </c>
      <c r="D2993" s="192">
        <f t="shared" si="644"/>
        <v>0</v>
      </c>
      <c r="E2993" s="192">
        <f t="shared" si="645"/>
        <v>0</v>
      </c>
      <c r="F2993" s="192">
        <f t="shared" si="646"/>
        <v>0</v>
      </c>
      <c r="G2993" s="193">
        <f t="shared" si="647"/>
        <v>0</v>
      </c>
      <c r="H2993" s="194">
        <v>0</v>
      </c>
      <c r="I2993" s="194">
        <v>0</v>
      </c>
      <c r="J2993" s="194">
        <v>0</v>
      </c>
      <c r="K2993" s="193">
        <f t="shared" si="648"/>
        <v>0</v>
      </c>
      <c r="L2993" s="194">
        <v>0</v>
      </c>
      <c r="M2993" s="194">
        <v>0</v>
      </c>
      <c r="N2993" s="194">
        <v>0</v>
      </c>
      <c r="O2993" s="193">
        <f t="shared" si="649"/>
        <v>0</v>
      </c>
      <c r="P2993" s="194">
        <v>0</v>
      </c>
      <c r="Q2993" s="194">
        <v>0</v>
      </c>
      <c r="R2993" s="194">
        <v>0</v>
      </c>
      <c r="S2993" s="193">
        <f t="shared" si="650"/>
        <v>0</v>
      </c>
      <c r="T2993" s="193">
        <f t="shared" si="651"/>
        <v>0</v>
      </c>
      <c r="U2993" s="193">
        <f ca="1">OFFSET('Expenditure Study'!$B$7,'Operations Support'!$C2993,'Operations Support'!$B2993)*$G2993</f>
        <v>0</v>
      </c>
      <c r="V2993" s="199">
        <f ca="1">U2993*'Expenditure Study'!$B$31</f>
        <v>0</v>
      </c>
      <c r="W2993" s="199">
        <f ca="1">IF(A2993=10298,1.51,1)*IF($B2993&lt;3,$D2993*'Expenditure Study'!$B$32*OFFSET('Expenditure Study'!$B$7,'Operations Support'!$C2993,'Operations Support'!$B2993),0)</f>
        <v>0</v>
      </c>
      <c r="X2993" s="200">
        <f ca="1">W2993*'Expenditure Study'!$B$31</f>
        <v>0</v>
      </c>
      <c r="Y2993" s="199">
        <f ca="1">U2993*'Expenditure Study'!$B$31</f>
        <v>0</v>
      </c>
      <c r="Z2993" s="200">
        <f ca="1">W2993*'Expenditure Study'!$B$31</f>
        <v>0</v>
      </c>
      <c r="AA2993" s="195">
        <f t="shared" ca="1" si="652"/>
        <v>0</v>
      </c>
      <c r="AB2993" s="195">
        <f t="shared" ca="1" si="653"/>
        <v>0</v>
      </c>
      <c r="AD2993" s="196">
        <f>IFERROR($G2993/SUMIF($A:$A,$A2993,$G:$G)*SUMIF(Summary!$A$166:$A$242,$A2993,Summary!$P$166:$P$242),0)</f>
        <v>0</v>
      </c>
      <c r="AE2993" s="197">
        <f t="shared" ca="1" si="654"/>
        <v>0</v>
      </c>
      <c r="AF2993" s="196">
        <f>IFERROR(G2993/SUMIF(A:A,A2993,G:G)*SUMIF(Summary!$A$166:$A$242,'Operations Support'!A2993,Summary!$Q$166:$Q$242),0)</f>
        <v>0</v>
      </c>
      <c r="AG2993" s="196">
        <f t="shared" ca="1" si="655"/>
        <v>0</v>
      </c>
      <c r="AI2993" s="196">
        <f>IFERROR($G2993/SUMIF($A:$A,$A2993,$G:$G)*SUMIF(Summary!$A$247:$A$283,$A2993,Summary!$P$247:$P$283),0)</f>
        <v>0</v>
      </c>
      <c r="AJ2993" s="196">
        <f>IFERROR($G2993/SUMIF($A:$A,$A2993,$G:$G)*(SUMIF(Summary!$A$247:$A$283,$A2993,Summary!$L$247:$L$283)+SUMIF(Summary!$A$297:$A$333,$A2993,Summary!$L$297:$L$333))-AI2993,0)</f>
        <v>0</v>
      </c>
      <c r="AK2993" s="196">
        <f>IFERROR($G2993/SUMIF($A:$A,$A2993,$G:$G)*SUMIF(Summary!$A$247:$A$283,$A2993,Summary!$Q$247:$Q$283),0)</f>
        <v>0</v>
      </c>
      <c r="AL2993" s="196">
        <f>IFERROR($G2993/SUMIF($A:$A,$A2993,$G:$G)*(SUMIF(Summary!$A$247:$A$283,$A2993,Summary!$L$247:$L$283)+SUMIF(Summary!$A$297:$A$333,$A2993,Summary!$L$297:$L$333))-AK2993,0)</f>
        <v>0</v>
      </c>
      <c r="AM2993" s="198"/>
      <c r="AN2993" s="196">
        <f t="shared" ca="1" si="656"/>
        <v>0</v>
      </c>
      <c r="AO2993" s="196">
        <f t="shared" ca="1" si="657"/>
        <v>0</v>
      </c>
    </row>
    <row r="2994" spans="1:41">
      <c r="A2994" s="189">
        <v>11161</v>
      </c>
      <c r="B2994" s="190">
        <v>3</v>
      </c>
      <c r="C2994" s="191" t="s">
        <v>227</v>
      </c>
      <c r="D2994" s="192">
        <f t="shared" si="644"/>
        <v>0</v>
      </c>
      <c r="E2994" s="192">
        <f t="shared" si="645"/>
        <v>0</v>
      </c>
      <c r="F2994" s="192">
        <f t="shared" si="646"/>
        <v>0</v>
      </c>
      <c r="G2994" s="193">
        <f t="shared" si="647"/>
        <v>0</v>
      </c>
      <c r="H2994" s="194">
        <v>0</v>
      </c>
      <c r="I2994" s="194">
        <v>0</v>
      </c>
      <c r="J2994" s="194">
        <v>0</v>
      </c>
      <c r="K2994" s="193">
        <f t="shared" si="648"/>
        <v>0</v>
      </c>
      <c r="L2994" s="194">
        <v>0</v>
      </c>
      <c r="M2994" s="194">
        <v>0</v>
      </c>
      <c r="N2994" s="194">
        <v>0</v>
      </c>
      <c r="O2994" s="193">
        <f t="shared" si="649"/>
        <v>0</v>
      </c>
      <c r="P2994" s="194">
        <v>0</v>
      </c>
      <c r="Q2994" s="194">
        <v>0</v>
      </c>
      <c r="R2994" s="194">
        <v>0</v>
      </c>
      <c r="S2994" s="193">
        <f t="shared" si="650"/>
        <v>0</v>
      </c>
      <c r="T2994" s="193">
        <f t="shared" si="651"/>
        <v>0</v>
      </c>
      <c r="U2994" s="193">
        <f ca="1">OFFSET('Expenditure Study'!$B$7,'Operations Support'!$C2994,'Operations Support'!$B2994)*$G2994</f>
        <v>0</v>
      </c>
      <c r="V2994" s="199">
        <f ca="1">U2994*'Expenditure Study'!$B$31</f>
        <v>0</v>
      </c>
      <c r="W2994" s="199">
        <f ca="1">IF(A2994=10298,1.51,1)*IF($B2994&lt;3,$D2994*'Expenditure Study'!$B$32*OFFSET('Expenditure Study'!$B$7,'Operations Support'!$C2994,'Operations Support'!$B2994),0)</f>
        <v>0</v>
      </c>
      <c r="X2994" s="200">
        <f ca="1">W2994*'Expenditure Study'!$B$31</f>
        <v>0</v>
      </c>
      <c r="Y2994" s="199">
        <f ca="1">U2994*'Expenditure Study'!$B$31</f>
        <v>0</v>
      </c>
      <c r="Z2994" s="200">
        <f ca="1">W2994*'Expenditure Study'!$B$31</f>
        <v>0</v>
      </c>
      <c r="AA2994" s="195">
        <f t="shared" ca="1" si="652"/>
        <v>0</v>
      </c>
      <c r="AB2994" s="195">
        <f t="shared" ca="1" si="653"/>
        <v>0</v>
      </c>
      <c r="AD2994" s="196">
        <f>IFERROR($G2994/SUMIF($A:$A,$A2994,$G:$G)*SUMIF(Summary!$A$166:$A$242,$A2994,Summary!$P$166:$P$242),0)</f>
        <v>0</v>
      </c>
      <c r="AE2994" s="197">
        <f t="shared" ca="1" si="654"/>
        <v>0</v>
      </c>
      <c r="AF2994" s="196">
        <f>IFERROR(G2994/SUMIF(A:A,A2994,G:G)*SUMIF(Summary!$A$166:$A$242,'Operations Support'!A2994,Summary!$Q$166:$Q$242),0)</f>
        <v>0</v>
      </c>
      <c r="AG2994" s="196">
        <f t="shared" ca="1" si="655"/>
        <v>0</v>
      </c>
      <c r="AI2994" s="196">
        <f>IFERROR($G2994/SUMIF($A:$A,$A2994,$G:$G)*SUMIF(Summary!$A$247:$A$283,$A2994,Summary!$P$247:$P$283),0)</f>
        <v>0</v>
      </c>
      <c r="AJ2994" s="196">
        <f>IFERROR($G2994/SUMIF($A:$A,$A2994,$G:$G)*(SUMIF(Summary!$A$247:$A$283,$A2994,Summary!$L$247:$L$283)+SUMIF(Summary!$A$297:$A$333,$A2994,Summary!$L$297:$L$333))-AI2994,0)</f>
        <v>0</v>
      </c>
      <c r="AK2994" s="196">
        <f>IFERROR($G2994/SUMIF($A:$A,$A2994,$G:$G)*SUMIF(Summary!$A$247:$A$283,$A2994,Summary!$Q$247:$Q$283),0)</f>
        <v>0</v>
      </c>
      <c r="AL2994" s="196">
        <f>IFERROR($G2994/SUMIF($A:$A,$A2994,$G:$G)*(SUMIF(Summary!$A$247:$A$283,$A2994,Summary!$L$247:$L$283)+SUMIF(Summary!$A$297:$A$333,$A2994,Summary!$L$297:$L$333))-AK2994,0)</f>
        <v>0</v>
      </c>
      <c r="AM2994" s="198"/>
      <c r="AN2994" s="196">
        <f t="shared" ca="1" si="656"/>
        <v>0</v>
      </c>
      <c r="AO2994" s="196">
        <f t="shared" ca="1" si="657"/>
        <v>0</v>
      </c>
    </row>
    <row r="2995" spans="1:41">
      <c r="A2995" s="189">
        <v>11161</v>
      </c>
      <c r="B2995" s="190">
        <v>3</v>
      </c>
      <c r="C2995" s="191" t="s">
        <v>228</v>
      </c>
      <c r="D2995" s="192">
        <f t="shared" si="644"/>
        <v>0</v>
      </c>
      <c r="E2995" s="192">
        <f t="shared" si="645"/>
        <v>0</v>
      </c>
      <c r="F2995" s="192">
        <f t="shared" si="646"/>
        <v>0</v>
      </c>
      <c r="G2995" s="193">
        <f t="shared" si="647"/>
        <v>0</v>
      </c>
      <c r="H2995" s="194">
        <v>0</v>
      </c>
      <c r="I2995" s="194">
        <v>0</v>
      </c>
      <c r="J2995" s="194">
        <v>0</v>
      </c>
      <c r="K2995" s="193">
        <f t="shared" si="648"/>
        <v>0</v>
      </c>
      <c r="L2995" s="194">
        <v>0</v>
      </c>
      <c r="M2995" s="194">
        <v>0</v>
      </c>
      <c r="N2995" s="194">
        <v>0</v>
      </c>
      <c r="O2995" s="193">
        <f t="shared" si="649"/>
        <v>0</v>
      </c>
      <c r="P2995" s="194">
        <v>0</v>
      </c>
      <c r="Q2995" s="194">
        <v>0</v>
      </c>
      <c r="R2995" s="194">
        <v>0</v>
      </c>
      <c r="S2995" s="193">
        <f t="shared" si="650"/>
        <v>0</v>
      </c>
      <c r="T2995" s="193">
        <f t="shared" si="651"/>
        <v>0</v>
      </c>
      <c r="U2995" s="193">
        <f ca="1">OFFSET('Expenditure Study'!$B$7,'Operations Support'!$C2995,'Operations Support'!$B2995)*$G2995</f>
        <v>0</v>
      </c>
      <c r="V2995" s="199">
        <f ca="1">U2995*'Expenditure Study'!$B$31</f>
        <v>0</v>
      </c>
      <c r="W2995" s="199">
        <f ca="1">IF(A2995=10298,1.51,1)*IF($B2995&lt;3,$D2995*'Expenditure Study'!$B$32*OFFSET('Expenditure Study'!$B$7,'Operations Support'!$C2995,'Operations Support'!$B2995),0)</f>
        <v>0</v>
      </c>
      <c r="X2995" s="200">
        <f ca="1">W2995*'Expenditure Study'!$B$31</f>
        <v>0</v>
      </c>
      <c r="Y2995" s="199">
        <f ca="1">U2995*'Expenditure Study'!$B$31</f>
        <v>0</v>
      </c>
      <c r="Z2995" s="200">
        <f ca="1">W2995*'Expenditure Study'!$B$31</f>
        <v>0</v>
      </c>
      <c r="AA2995" s="195">
        <f t="shared" ca="1" si="652"/>
        <v>0</v>
      </c>
      <c r="AB2995" s="195">
        <f t="shared" ca="1" si="653"/>
        <v>0</v>
      </c>
      <c r="AD2995" s="196">
        <f>IFERROR($G2995/SUMIF($A:$A,$A2995,$G:$G)*SUMIF(Summary!$A$166:$A$242,$A2995,Summary!$P$166:$P$242),0)</f>
        <v>0</v>
      </c>
      <c r="AE2995" s="197">
        <f t="shared" ca="1" si="654"/>
        <v>0</v>
      </c>
      <c r="AF2995" s="196">
        <f>IFERROR(G2995/SUMIF(A:A,A2995,G:G)*SUMIF(Summary!$A$166:$A$242,'Operations Support'!A2995,Summary!$Q$166:$Q$242),0)</f>
        <v>0</v>
      </c>
      <c r="AG2995" s="196">
        <f t="shared" ca="1" si="655"/>
        <v>0</v>
      </c>
      <c r="AI2995" s="196">
        <f>IFERROR($G2995/SUMIF($A:$A,$A2995,$G:$G)*SUMIF(Summary!$A$247:$A$283,$A2995,Summary!$P$247:$P$283),0)</f>
        <v>0</v>
      </c>
      <c r="AJ2995" s="196">
        <f>IFERROR($G2995/SUMIF($A:$A,$A2995,$G:$G)*(SUMIF(Summary!$A$247:$A$283,$A2995,Summary!$L$247:$L$283)+SUMIF(Summary!$A$297:$A$333,$A2995,Summary!$L$297:$L$333))-AI2995,0)</f>
        <v>0</v>
      </c>
      <c r="AK2995" s="196">
        <f>IFERROR($G2995/SUMIF($A:$A,$A2995,$G:$G)*SUMIF(Summary!$A$247:$A$283,$A2995,Summary!$Q$247:$Q$283),0)</f>
        <v>0</v>
      </c>
      <c r="AL2995" s="196">
        <f>IFERROR($G2995/SUMIF($A:$A,$A2995,$G:$G)*(SUMIF(Summary!$A$247:$A$283,$A2995,Summary!$L$247:$L$283)+SUMIF(Summary!$A$297:$A$333,$A2995,Summary!$L$297:$L$333))-AK2995,0)</f>
        <v>0</v>
      </c>
      <c r="AM2995" s="198"/>
      <c r="AN2995" s="196">
        <f t="shared" ca="1" si="656"/>
        <v>0</v>
      </c>
      <c r="AO2995" s="196">
        <f t="shared" ca="1" si="657"/>
        <v>0</v>
      </c>
    </row>
    <row r="2996" spans="1:41">
      <c r="A2996" s="189">
        <v>11161</v>
      </c>
      <c r="B2996" s="190">
        <v>3</v>
      </c>
      <c r="C2996" s="191" t="s">
        <v>229</v>
      </c>
      <c r="D2996" s="192">
        <f t="shared" si="644"/>
        <v>0</v>
      </c>
      <c r="E2996" s="192">
        <f t="shared" si="645"/>
        <v>0</v>
      </c>
      <c r="F2996" s="192">
        <f t="shared" si="646"/>
        <v>0</v>
      </c>
      <c r="G2996" s="193">
        <f t="shared" si="647"/>
        <v>0</v>
      </c>
      <c r="H2996" s="194">
        <v>0</v>
      </c>
      <c r="I2996" s="194">
        <v>0</v>
      </c>
      <c r="J2996" s="194">
        <v>0</v>
      </c>
      <c r="K2996" s="193">
        <f t="shared" si="648"/>
        <v>0</v>
      </c>
      <c r="L2996" s="194">
        <v>0</v>
      </c>
      <c r="M2996" s="194">
        <v>0</v>
      </c>
      <c r="N2996" s="194">
        <v>0</v>
      </c>
      <c r="O2996" s="193">
        <f t="shared" si="649"/>
        <v>0</v>
      </c>
      <c r="P2996" s="194">
        <v>0</v>
      </c>
      <c r="Q2996" s="194">
        <v>0</v>
      </c>
      <c r="R2996" s="194">
        <v>0</v>
      </c>
      <c r="S2996" s="193">
        <f t="shared" si="650"/>
        <v>0</v>
      </c>
      <c r="T2996" s="193">
        <f t="shared" si="651"/>
        <v>0</v>
      </c>
      <c r="U2996" s="193">
        <f ca="1">OFFSET('Expenditure Study'!$B$7,'Operations Support'!$C2996,'Operations Support'!$B2996)*$G2996</f>
        <v>0</v>
      </c>
      <c r="V2996" s="199">
        <f ca="1">U2996*'Expenditure Study'!$B$31</f>
        <v>0</v>
      </c>
      <c r="W2996" s="199">
        <f ca="1">IF(A2996=10298,1.51,1)*IF($B2996&lt;3,$D2996*'Expenditure Study'!$B$32*OFFSET('Expenditure Study'!$B$7,'Operations Support'!$C2996,'Operations Support'!$B2996),0)</f>
        <v>0</v>
      </c>
      <c r="X2996" s="200">
        <f ca="1">W2996*'Expenditure Study'!$B$31</f>
        <v>0</v>
      </c>
      <c r="Y2996" s="199">
        <f ca="1">U2996*'Expenditure Study'!$B$31</f>
        <v>0</v>
      </c>
      <c r="Z2996" s="200">
        <f ca="1">W2996*'Expenditure Study'!$B$31</f>
        <v>0</v>
      </c>
      <c r="AA2996" s="195">
        <f t="shared" ca="1" si="652"/>
        <v>0</v>
      </c>
      <c r="AB2996" s="195">
        <f t="shared" ca="1" si="653"/>
        <v>0</v>
      </c>
      <c r="AD2996" s="196">
        <f>IFERROR($G2996/SUMIF($A:$A,$A2996,$G:$G)*SUMIF(Summary!$A$166:$A$242,$A2996,Summary!$P$166:$P$242),0)</f>
        <v>0</v>
      </c>
      <c r="AE2996" s="197">
        <f t="shared" ca="1" si="654"/>
        <v>0</v>
      </c>
      <c r="AF2996" s="196">
        <f>IFERROR(G2996/SUMIF(A:A,A2996,G:G)*SUMIF(Summary!$A$166:$A$242,'Operations Support'!A2996,Summary!$Q$166:$Q$242),0)</f>
        <v>0</v>
      </c>
      <c r="AG2996" s="196">
        <f t="shared" ca="1" si="655"/>
        <v>0</v>
      </c>
      <c r="AI2996" s="196">
        <f>IFERROR($G2996/SUMIF($A:$A,$A2996,$G:$G)*SUMIF(Summary!$A$247:$A$283,$A2996,Summary!$P$247:$P$283),0)</f>
        <v>0</v>
      </c>
      <c r="AJ2996" s="196">
        <f>IFERROR($G2996/SUMIF($A:$A,$A2996,$G:$G)*(SUMIF(Summary!$A$247:$A$283,$A2996,Summary!$L$247:$L$283)+SUMIF(Summary!$A$297:$A$333,$A2996,Summary!$L$297:$L$333))-AI2996,0)</f>
        <v>0</v>
      </c>
      <c r="AK2996" s="196">
        <f>IFERROR($G2996/SUMIF($A:$A,$A2996,$G:$G)*SUMIF(Summary!$A$247:$A$283,$A2996,Summary!$Q$247:$Q$283),0)</f>
        <v>0</v>
      </c>
      <c r="AL2996" s="196">
        <f>IFERROR($G2996/SUMIF($A:$A,$A2996,$G:$G)*(SUMIF(Summary!$A$247:$A$283,$A2996,Summary!$L$247:$L$283)+SUMIF(Summary!$A$297:$A$333,$A2996,Summary!$L$297:$L$333))-AK2996,0)</f>
        <v>0</v>
      </c>
      <c r="AM2996" s="198"/>
      <c r="AN2996" s="196">
        <f t="shared" ca="1" si="656"/>
        <v>0</v>
      </c>
      <c r="AO2996" s="196">
        <f t="shared" ca="1" si="657"/>
        <v>0</v>
      </c>
    </row>
    <row r="2997" spans="1:41">
      <c r="A2997" s="189">
        <v>11161</v>
      </c>
      <c r="B2997" s="190">
        <v>3</v>
      </c>
      <c r="C2997" s="191" t="s">
        <v>230</v>
      </c>
      <c r="D2997" s="192">
        <f t="shared" si="644"/>
        <v>0</v>
      </c>
      <c r="E2997" s="192">
        <f t="shared" si="645"/>
        <v>0</v>
      </c>
      <c r="F2997" s="192">
        <f t="shared" si="646"/>
        <v>0</v>
      </c>
      <c r="G2997" s="193">
        <f t="shared" si="647"/>
        <v>0</v>
      </c>
      <c r="H2997" s="194">
        <v>0</v>
      </c>
      <c r="I2997" s="194">
        <v>0</v>
      </c>
      <c r="J2997" s="194">
        <v>0</v>
      </c>
      <c r="K2997" s="193">
        <f t="shared" si="648"/>
        <v>0</v>
      </c>
      <c r="L2997" s="194">
        <v>0</v>
      </c>
      <c r="M2997" s="194">
        <v>0</v>
      </c>
      <c r="N2997" s="194">
        <v>0</v>
      </c>
      <c r="O2997" s="193">
        <f t="shared" si="649"/>
        <v>0</v>
      </c>
      <c r="P2997" s="194">
        <v>0</v>
      </c>
      <c r="Q2997" s="194">
        <v>0</v>
      </c>
      <c r="R2997" s="194">
        <v>0</v>
      </c>
      <c r="S2997" s="193">
        <f t="shared" si="650"/>
        <v>0</v>
      </c>
      <c r="T2997" s="193">
        <f t="shared" si="651"/>
        <v>0</v>
      </c>
      <c r="U2997" s="193">
        <f ca="1">OFFSET('Expenditure Study'!$B$7,'Operations Support'!$C2997,'Operations Support'!$B2997)*$G2997</f>
        <v>0</v>
      </c>
      <c r="V2997" s="199">
        <f ca="1">U2997*'Expenditure Study'!$B$31</f>
        <v>0</v>
      </c>
      <c r="W2997" s="199">
        <f ca="1">IF(A2997=10298,1.51,1)*IF($B2997&lt;3,$D2997*'Expenditure Study'!$B$32*OFFSET('Expenditure Study'!$B$7,'Operations Support'!$C2997,'Operations Support'!$B2997),0)</f>
        <v>0</v>
      </c>
      <c r="X2997" s="200">
        <f ca="1">W2997*'Expenditure Study'!$B$31</f>
        <v>0</v>
      </c>
      <c r="Y2997" s="199">
        <f ca="1">U2997*'Expenditure Study'!$B$31</f>
        <v>0</v>
      </c>
      <c r="Z2997" s="200">
        <f ca="1">W2997*'Expenditure Study'!$B$31</f>
        <v>0</v>
      </c>
      <c r="AA2997" s="195">
        <f t="shared" ca="1" si="652"/>
        <v>0</v>
      </c>
      <c r="AB2997" s="195">
        <f t="shared" ca="1" si="653"/>
        <v>0</v>
      </c>
      <c r="AD2997" s="196">
        <f>IFERROR($G2997/SUMIF($A:$A,$A2997,$G:$G)*SUMIF(Summary!$A$166:$A$242,$A2997,Summary!$P$166:$P$242),0)</f>
        <v>0</v>
      </c>
      <c r="AE2997" s="197">
        <f t="shared" ca="1" si="654"/>
        <v>0</v>
      </c>
      <c r="AF2997" s="196">
        <f>IFERROR(G2997/SUMIF(A:A,A2997,G:G)*SUMIF(Summary!$A$166:$A$242,'Operations Support'!A2997,Summary!$Q$166:$Q$242),0)</f>
        <v>0</v>
      </c>
      <c r="AG2997" s="196">
        <f t="shared" ca="1" si="655"/>
        <v>0</v>
      </c>
      <c r="AI2997" s="196">
        <f>IFERROR($G2997/SUMIF($A:$A,$A2997,$G:$G)*SUMIF(Summary!$A$247:$A$283,$A2997,Summary!$P$247:$P$283),0)</f>
        <v>0</v>
      </c>
      <c r="AJ2997" s="196">
        <f>IFERROR($G2997/SUMIF($A:$A,$A2997,$G:$G)*(SUMIF(Summary!$A$247:$A$283,$A2997,Summary!$L$247:$L$283)+SUMIF(Summary!$A$297:$A$333,$A2997,Summary!$L$297:$L$333))-AI2997,0)</f>
        <v>0</v>
      </c>
      <c r="AK2997" s="196">
        <f>IFERROR($G2997/SUMIF($A:$A,$A2997,$G:$G)*SUMIF(Summary!$A$247:$A$283,$A2997,Summary!$Q$247:$Q$283),0)</f>
        <v>0</v>
      </c>
      <c r="AL2997" s="196">
        <f>IFERROR($G2997/SUMIF($A:$A,$A2997,$G:$G)*(SUMIF(Summary!$A$247:$A$283,$A2997,Summary!$L$247:$L$283)+SUMIF(Summary!$A$297:$A$333,$A2997,Summary!$L$297:$L$333))-AK2997,0)</f>
        <v>0</v>
      </c>
      <c r="AM2997" s="198"/>
      <c r="AN2997" s="196">
        <f t="shared" ca="1" si="656"/>
        <v>0</v>
      </c>
      <c r="AO2997" s="196">
        <f t="shared" ca="1" si="657"/>
        <v>0</v>
      </c>
    </row>
    <row r="2998" spans="1:41">
      <c r="A2998" s="189">
        <v>11161</v>
      </c>
      <c r="B2998" s="190">
        <v>3</v>
      </c>
      <c r="C2998" s="191" t="s">
        <v>231</v>
      </c>
      <c r="D2998" s="192">
        <f t="shared" si="644"/>
        <v>0</v>
      </c>
      <c r="E2998" s="192">
        <f t="shared" si="645"/>
        <v>0</v>
      </c>
      <c r="F2998" s="192">
        <f t="shared" si="646"/>
        <v>0</v>
      </c>
      <c r="G2998" s="193">
        <f t="shared" si="647"/>
        <v>0</v>
      </c>
      <c r="H2998" s="194">
        <v>0</v>
      </c>
      <c r="I2998" s="194">
        <v>0</v>
      </c>
      <c r="J2998" s="194">
        <v>0</v>
      </c>
      <c r="K2998" s="193">
        <f t="shared" si="648"/>
        <v>0</v>
      </c>
      <c r="L2998" s="194">
        <v>0</v>
      </c>
      <c r="M2998" s="194">
        <v>0</v>
      </c>
      <c r="N2998" s="194">
        <v>0</v>
      </c>
      <c r="O2998" s="193">
        <f t="shared" si="649"/>
        <v>0</v>
      </c>
      <c r="P2998" s="194">
        <v>0</v>
      </c>
      <c r="Q2998" s="194">
        <v>0</v>
      </c>
      <c r="R2998" s="194">
        <v>0</v>
      </c>
      <c r="S2998" s="193">
        <f t="shared" si="650"/>
        <v>0</v>
      </c>
      <c r="T2998" s="193">
        <f t="shared" si="651"/>
        <v>0</v>
      </c>
      <c r="U2998" s="193">
        <f ca="1">OFFSET('Expenditure Study'!$B$7,'Operations Support'!$C2998,'Operations Support'!$B2998)*$G2998</f>
        <v>0</v>
      </c>
      <c r="V2998" s="199">
        <f ca="1">U2998*'Expenditure Study'!$B$31</f>
        <v>0</v>
      </c>
      <c r="W2998" s="199">
        <f ca="1">IF(A2998=10298,1.51,1)*IF($B2998&lt;3,$D2998*'Expenditure Study'!$B$32*OFFSET('Expenditure Study'!$B$7,'Operations Support'!$C2998,'Operations Support'!$B2998),0)</f>
        <v>0</v>
      </c>
      <c r="X2998" s="200">
        <f ca="1">W2998*'Expenditure Study'!$B$31</f>
        <v>0</v>
      </c>
      <c r="Y2998" s="199">
        <f ca="1">U2998*'Expenditure Study'!$B$31</f>
        <v>0</v>
      </c>
      <c r="Z2998" s="200">
        <f ca="1">W2998*'Expenditure Study'!$B$31</f>
        <v>0</v>
      </c>
      <c r="AA2998" s="195">
        <f t="shared" ca="1" si="652"/>
        <v>0</v>
      </c>
      <c r="AB2998" s="195">
        <f t="shared" ca="1" si="653"/>
        <v>0</v>
      </c>
      <c r="AD2998" s="196">
        <f>IFERROR($G2998/SUMIF($A:$A,$A2998,$G:$G)*SUMIF(Summary!$A$166:$A$242,$A2998,Summary!$P$166:$P$242),0)</f>
        <v>0</v>
      </c>
      <c r="AE2998" s="197">
        <f t="shared" ca="1" si="654"/>
        <v>0</v>
      </c>
      <c r="AF2998" s="196">
        <f>IFERROR(G2998/SUMIF(A:A,A2998,G:G)*SUMIF(Summary!$A$166:$A$242,'Operations Support'!A2998,Summary!$Q$166:$Q$242),0)</f>
        <v>0</v>
      </c>
      <c r="AG2998" s="196">
        <f t="shared" ca="1" si="655"/>
        <v>0</v>
      </c>
      <c r="AI2998" s="196">
        <f>IFERROR($G2998/SUMIF($A:$A,$A2998,$G:$G)*SUMIF(Summary!$A$247:$A$283,$A2998,Summary!$P$247:$P$283),0)</f>
        <v>0</v>
      </c>
      <c r="AJ2998" s="196">
        <f>IFERROR($G2998/SUMIF($A:$A,$A2998,$G:$G)*(SUMIF(Summary!$A$247:$A$283,$A2998,Summary!$L$247:$L$283)+SUMIF(Summary!$A$297:$A$333,$A2998,Summary!$L$297:$L$333))-AI2998,0)</f>
        <v>0</v>
      </c>
      <c r="AK2998" s="196">
        <f>IFERROR($G2998/SUMIF($A:$A,$A2998,$G:$G)*SUMIF(Summary!$A$247:$A$283,$A2998,Summary!$Q$247:$Q$283),0)</f>
        <v>0</v>
      </c>
      <c r="AL2998" s="196">
        <f>IFERROR($G2998/SUMIF($A:$A,$A2998,$G:$G)*(SUMIF(Summary!$A$247:$A$283,$A2998,Summary!$L$247:$L$283)+SUMIF(Summary!$A$297:$A$333,$A2998,Summary!$L$297:$L$333))-AK2998,0)</f>
        <v>0</v>
      </c>
      <c r="AM2998" s="198"/>
      <c r="AN2998" s="196">
        <f t="shared" ca="1" si="656"/>
        <v>0</v>
      </c>
      <c r="AO2998" s="196">
        <f t="shared" ca="1" si="657"/>
        <v>0</v>
      </c>
    </row>
    <row r="2999" spans="1:41">
      <c r="A2999" s="189">
        <v>11161</v>
      </c>
      <c r="B2999" s="190">
        <v>3</v>
      </c>
      <c r="C2999" s="191" t="s">
        <v>232</v>
      </c>
      <c r="D2999" s="192">
        <f t="shared" si="644"/>
        <v>0</v>
      </c>
      <c r="E2999" s="192">
        <f t="shared" si="645"/>
        <v>0</v>
      </c>
      <c r="F2999" s="192">
        <f t="shared" si="646"/>
        <v>0</v>
      </c>
      <c r="G2999" s="193">
        <f t="shared" si="647"/>
        <v>0</v>
      </c>
      <c r="H2999" s="194">
        <v>0</v>
      </c>
      <c r="I2999" s="194">
        <v>0</v>
      </c>
      <c r="J2999" s="194">
        <v>0</v>
      </c>
      <c r="K2999" s="193">
        <f t="shared" si="648"/>
        <v>0</v>
      </c>
      <c r="L2999" s="194">
        <v>0</v>
      </c>
      <c r="M2999" s="194">
        <v>0</v>
      </c>
      <c r="N2999" s="194">
        <v>0</v>
      </c>
      <c r="O2999" s="193">
        <f t="shared" si="649"/>
        <v>0</v>
      </c>
      <c r="P2999" s="194">
        <v>0</v>
      </c>
      <c r="Q2999" s="194">
        <v>0</v>
      </c>
      <c r="R2999" s="194">
        <v>0</v>
      </c>
      <c r="S2999" s="193">
        <f t="shared" si="650"/>
        <v>0</v>
      </c>
      <c r="T2999" s="193">
        <f t="shared" si="651"/>
        <v>0</v>
      </c>
      <c r="U2999" s="193">
        <f ca="1">OFFSET('Expenditure Study'!$B$7,'Operations Support'!$C2999,'Operations Support'!$B2999)*$G2999</f>
        <v>0</v>
      </c>
      <c r="V2999" s="199">
        <f ca="1">U2999*'Expenditure Study'!$B$31</f>
        <v>0</v>
      </c>
      <c r="W2999" s="199">
        <f ca="1">IF(A2999=10298,1.51,1)*IF($B2999&lt;3,$D2999*'Expenditure Study'!$B$32*OFFSET('Expenditure Study'!$B$7,'Operations Support'!$C2999,'Operations Support'!$B2999),0)</f>
        <v>0</v>
      </c>
      <c r="X2999" s="200">
        <f ca="1">W2999*'Expenditure Study'!$B$31</f>
        <v>0</v>
      </c>
      <c r="Y2999" s="199">
        <f ca="1">U2999*'Expenditure Study'!$B$31</f>
        <v>0</v>
      </c>
      <c r="Z2999" s="200">
        <f ca="1">W2999*'Expenditure Study'!$B$31</f>
        <v>0</v>
      </c>
      <c r="AA2999" s="195">
        <f t="shared" ca="1" si="652"/>
        <v>0</v>
      </c>
      <c r="AB2999" s="195">
        <f t="shared" ca="1" si="653"/>
        <v>0</v>
      </c>
      <c r="AD2999" s="196">
        <f>IFERROR($G2999/SUMIF($A:$A,$A2999,$G:$G)*SUMIF(Summary!$A$166:$A$242,$A2999,Summary!$P$166:$P$242),0)</f>
        <v>0</v>
      </c>
      <c r="AE2999" s="197">
        <f t="shared" ca="1" si="654"/>
        <v>0</v>
      </c>
      <c r="AF2999" s="196">
        <f>IFERROR(G2999/SUMIF(A:A,A2999,G:G)*SUMIF(Summary!$A$166:$A$242,'Operations Support'!A2999,Summary!$Q$166:$Q$242),0)</f>
        <v>0</v>
      </c>
      <c r="AG2999" s="196">
        <f t="shared" ca="1" si="655"/>
        <v>0</v>
      </c>
      <c r="AI2999" s="196">
        <f>IFERROR($G2999/SUMIF($A:$A,$A2999,$G:$G)*SUMIF(Summary!$A$247:$A$283,$A2999,Summary!$P$247:$P$283),0)</f>
        <v>0</v>
      </c>
      <c r="AJ2999" s="196">
        <f>IFERROR($G2999/SUMIF($A:$A,$A2999,$G:$G)*(SUMIF(Summary!$A$247:$A$283,$A2999,Summary!$L$247:$L$283)+SUMIF(Summary!$A$297:$A$333,$A2999,Summary!$L$297:$L$333))-AI2999,0)</f>
        <v>0</v>
      </c>
      <c r="AK2999" s="196">
        <f>IFERROR($G2999/SUMIF($A:$A,$A2999,$G:$G)*SUMIF(Summary!$A$247:$A$283,$A2999,Summary!$Q$247:$Q$283),0)</f>
        <v>0</v>
      </c>
      <c r="AL2999" s="196">
        <f>IFERROR($G2999/SUMIF($A:$A,$A2999,$G:$G)*(SUMIF(Summary!$A$247:$A$283,$A2999,Summary!$L$247:$L$283)+SUMIF(Summary!$A$297:$A$333,$A2999,Summary!$L$297:$L$333))-AK2999,0)</f>
        <v>0</v>
      </c>
      <c r="AM2999" s="198"/>
      <c r="AN2999" s="196">
        <f t="shared" ca="1" si="656"/>
        <v>0</v>
      </c>
      <c r="AO2999" s="196">
        <f t="shared" ca="1" si="657"/>
        <v>0</v>
      </c>
    </row>
    <row r="3000" spans="1:41" s="201" customFormat="1">
      <c r="A3000" s="189">
        <v>11161</v>
      </c>
      <c r="B3000" s="190">
        <v>3</v>
      </c>
      <c r="C3000" s="191" t="s">
        <v>233</v>
      </c>
      <c r="D3000" s="192">
        <f t="shared" si="644"/>
        <v>1511</v>
      </c>
      <c r="E3000" s="192">
        <f t="shared" si="645"/>
        <v>2232</v>
      </c>
      <c r="F3000" s="192">
        <f t="shared" si="646"/>
        <v>0</v>
      </c>
      <c r="G3000" s="193">
        <f t="shared" si="647"/>
        <v>3743</v>
      </c>
      <c r="H3000" s="194">
        <v>349</v>
      </c>
      <c r="I3000" s="194">
        <v>1166</v>
      </c>
      <c r="J3000" s="194">
        <v>0</v>
      </c>
      <c r="K3000" s="193">
        <f t="shared" si="648"/>
        <v>1515</v>
      </c>
      <c r="L3000" s="194">
        <v>562</v>
      </c>
      <c r="M3000" s="194">
        <v>499</v>
      </c>
      <c r="N3000" s="194">
        <v>0</v>
      </c>
      <c r="O3000" s="193">
        <f t="shared" si="649"/>
        <v>1061</v>
      </c>
      <c r="P3000" s="194">
        <v>600</v>
      </c>
      <c r="Q3000" s="194">
        <v>567</v>
      </c>
      <c r="R3000" s="194">
        <v>0</v>
      </c>
      <c r="S3000" s="193">
        <f t="shared" si="650"/>
        <v>1167</v>
      </c>
      <c r="T3000" s="193">
        <f t="shared" si="651"/>
        <v>155.95833333333334</v>
      </c>
      <c r="U3000" s="193">
        <f ca="1">OFFSET('Expenditure Study'!$B$7,'Operations Support'!$C3000,'Operations Support'!$B3000)*$G3000</f>
        <v>9806.66</v>
      </c>
      <c r="V3000" s="199">
        <f ca="1">U3000*'Expenditure Study'!$B$31</f>
        <v>579408.66582412797</v>
      </c>
      <c r="W3000" s="199">
        <f ca="1">IF(A3000=10298,1.51,1)*IF($B3000&lt;3,$D3000*'Expenditure Study'!$B$32*OFFSET('Expenditure Study'!$B$7,'Operations Support'!$C3000,'Operations Support'!$B3000),0)</f>
        <v>0</v>
      </c>
      <c r="X3000" s="200">
        <f ca="1">W3000*'Expenditure Study'!$B$31</f>
        <v>0</v>
      </c>
      <c r="Y3000" s="199">
        <f ca="1">U3000*'Expenditure Study'!$B$31</f>
        <v>579408.66582412797</v>
      </c>
      <c r="Z3000" s="200">
        <f ca="1">W3000*'Expenditure Study'!$B$31</f>
        <v>0</v>
      </c>
      <c r="AA3000" s="195">
        <f t="shared" ca="1" si="652"/>
        <v>579408.66582412797</v>
      </c>
      <c r="AB3000" s="195">
        <f t="shared" ca="1" si="653"/>
        <v>579408.66582412797</v>
      </c>
      <c r="AD3000" s="196">
        <f>IFERROR($G3000/SUMIF($A:$A,$A3000,$G:$G)*SUMIF(Summary!$A$166:$A$242,$A3000,Summary!$P$166:$P$242),0)</f>
        <v>134377.62243148108</v>
      </c>
      <c r="AE3000" s="197">
        <f t="shared" ca="1" si="654"/>
        <v>445031.04339264688</v>
      </c>
      <c r="AF3000" s="196">
        <f>IFERROR(G3000/SUMIF(A:A,A3000,G:G)*SUMIF(Summary!$A$166:$A$242,'Operations Support'!A3000,Summary!$Q$166:$Q$242),0)</f>
        <v>134411.33862875027</v>
      </c>
      <c r="AG3000" s="196">
        <f t="shared" ca="1" si="655"/>
        <v>444997.32719537767</v>
      </c>
      <c r="AH3000" s="180"/>
      <c r="AI3000" s="196">
        <f>IFERROR($G3000/SUMIF($A:$A,$A3000,$G:$G)*SUMIF(Summary!$A$247:$A$283,$A3000,Summary!$P$247:$P$283),0)</f>
        <v>24507.124975314142</v>
      </c>
      <c r="AJ3000" s="196">
        <f>IFERROR($G3000/SUMIF($A:$A,$A3000,$G:$G)*(SUMIF(Summary!$A$247:$A$283,$A3000,Summary!$L$247:$L$283)+SUMIF(Summary!$A$297:$A$333,$A3000,Summary!$L$297:$L$333))-AI3000,0)</f>
        <v>74127.181141203153</v>
      </c>
      <c r="AK3000" s="196">
        <f>IFERROR($G3000/SUMIF($A:$A,$A3000,$G:$G)*SUMIF(Summary!$A$247:$A$283,$A3000,Summary!$Q$247:$Q$283),0)</f>
        <v>24513.273968317713</v>
      </c>
      <c r="AL3000" s="196">
        <f>IFERROR($G3000/SUMIF($A:$A,$A3000,$G:$G)*(SUMIF(Summary!$A$247:$A$283,$A3000,Summary!$L$247:$L$283)+SUMIF(Summary!$A$297:$A$333,$A3000,Summary!$L$297:$L$333))-AK3000,0)</f>
        <v>74121.032148199592</v>
      </c>
      <c r="AM3000" s="198"/>
      <c r="AN3000" s="196">
        <f t="shared" ca="1" si="656"/>
        <v>519158.22453385004</v>
      </c>
      <c r="AO3000" s="196">
        <f t="shared" ca="1" si="657"/>
        <v>519118.35934357729</v>
      </c>
    </row>
    <row r="3001" spans="1:41" s="201" customFormat="1">
      <c r="A3001" s="189">
        <v>11161</v>
      </c>
      <c r="B3001" s="190">
        <v>3</v>
      </c>
      <c r="C3001" s="191" t="s">
        <v>234</v>
      </c>
      <c r="D3001" s="192">
        <f t="shared" si="644"/>
        <v>0</v>
      </c>
      <c r="E3001" s="192">
        <f t="shared" si="645"/>
        <v>0</v>
      </c>
      <c r="F3001" s="192">
        <f t="shared" si="646"/>
        <v>0</v>
      </c>
      <c r="G3001" s="193">
        <f t="shared" si="647"/>
        <v>0</v>
      </c>
      <c r="H3001" s="194">
        <v>0</v>
      </c>
      <c r="I3001" s="194">
        <v>0</v>
      </c>
      <c r="J3001" s="194">
        <v>0</v>
      </c>
      <c r="K3001" s="193">
        <f t="shared" si="648"/>
        <v>0</v>
      </c>
      <c r="L3001" s="194">
        <v>0</v>
      </c>
      <c r="M3001" s="194">
        <v>0</v>
      </c>
      <c r="N3001" s="194">
        <v>0</v>
      </c>
      <c r="O3001" s="193">
        <f t="shared" si="649"/>
        <v>0</v>
      </c>
      <c r="P3001" s="194">
        <v>0</v>
      </c>
      <c r="Q3001" s="194">
        <v>0</v>
      </c>
      <c r="R3001" s="194">
        <v>0</v>
      </c>
      <c r="S3001" s="193">
        <f t="shared" si="650"/>
        <v>0</v>
      </c>
      <c r="T3001" s="193">
        <f t="shared" si="651"/>
        <v>0</v>
      </c>
      <c r="U3001" s="193">
        <f ca="1">OFFSET('Expenditure Study'!$B$7,'Operations Support'!$C3001,'Operations Support'!$B3001)*$G3001</f>
        <v>0</v>
      </c>
      <c r="V3001" s="199">
        <f ca="1">U3001*'Expenditure Study'!$B$31</f>
        <v>0</v>
      </c>
      <c r="W3001" s="199">
        <f ca="1">IF(A3001=10298,1.51,1)*IF($B3001&lt;3,$D3001*'Expenditure Study'!$B$32*OFFSET('Expenditure Study'!$B$7,'Operations Support'!$C3001,'Operations Support'!$B3001),0)</f>
        <v>0</v>
      </c>
      <c r="X3001" s="200">
        <f ca="1">W3001*'Expenditure Study'!$B$31</f>
        <v>0</v>
      </c>
      <c r="Y3001" s="199">
        <f ca="1">U3001*'Expenditure Study'!$B$31</f>
        <v>0</v>
      </c>
      <c r="Z3001" s="200">
        <f ca="1">W3001*'Expenditure Study'!$B$31</f>
        <v>0</v>
      </c>
      <c r="AA3001" s="195">
        <f t="shared" ca="1" si="652"/>
        <v>0</v>
      </c>
      <c r="AB3001" s="195">
        <f t="shared" ca="1" si="653"/>
        <v>0</v>
      </c>
      <c r="AD3001" s="196">
        <f>IFERROR($G3001/SUMIF($A:$A,$A3001,$G:$G)*SUMIF(Summary!$A$166:$A$242,$A3001,Summary!$P$166:$P$242),0)</f>
        <v>0</v>
      </c>
      <c r="AE3001" s="197">
        <f t="shared" ca="1" si="654"/>
        <v>0</v>
      </c>
      <c r="AF3001" s="196">
        <f>IFERROR(G3001/SUMIF(A:A,A3001,G:G)*SUMIF(Summary!$A$166:$A$242,'Operations Support'!A3001,Summary!$Q$166:$Q$242),0)</f>
        <v>0</v>
      </c>
      <c r="AG3001" s="196">
        <f t="shared" ca="1" si="655"/>
        <v>0</v>
      </c>
      <c r="AH3001" s="180"/>
      <c r="AI3001" s="196">
        <f>IFERROR($G3001/SUMIF($A:$A,$A3001,$G:$G)*SUMIF(Summary!$A$247:$A$283,$A3001,Summary!$P$247:$P$283),0)</f>
        <v>0</v>
      </c>
      <c r="AJ3001" s="196">
        <f>IFERROR($G3001/SUMIF($A:$A,$A3001,$G:$G)*(SUMIF(Summary!$A$247:$A$283,$A3001,Summary!$L$247:$L$283)+SUMIF(Summary!$A$297:$A$333,$A3001,Summary!$L$297:$L$333))-AI3001,0)</f>
        <v>0</v>
      </c>
      <c r="AK3001" s="196">
        <f>IFERROR($G3001/SUMIF($A:$A,$A3001,$G:$G)*SUMIF(Summary!$A$247:$A$283,$A3001,Summary!$Q$247:$Q$283),0)</f>
        <v>0</v>
      </c>
      <c r="AL3001" s="196">
        <f>IFERROR($G3001/SUMIF($A:$A,$A3001,$G:$G)*(SUMIF(Summary!$A$247:$A$283,$A3001,Summary!$L$247:$L$283)+SUMIF(Summary!$A$297:$A$333,$A3001,Summary!$L$297:$L$333))-AK3001,0)</f>
        <v>0</v>
      </c>
      <c r="AM3001" s="198"/>
      <c r="AN3001" s="196">
        <f t="shared" ca="1" si="656"/>
        <v>0</v>
      </c>
      <c r="AO3001" s="196">
        <f t="shared" ca="1" si="657"/>
        <v>0</v>
      </c>
    </row>
    <row r="3002" spans="1:41">
      <c r="A3002" s="189">
        <v>11161</v>
      </c>
      <c r="B3002" s="190">
        <v>3</v>
      </c>
      <c r="C3002" s="191" t="s">
        <v>235</v>
      </c>
      <c r="D3002" s="192">
        <f t="shared" si="644"/>
        <v>13650</v>
      </c>
      <c r="E3002" s="192">
        <f t="shared" si="645"/>
        <v>8334</v>
      </c>
      <c r="F3002" s="192">
        <f t="shared" si="646"/>
        <v>0</v>
      </c>
      <c r="G3002" s="193">
        <f t="shared" si="647"/>
        <v>21984</v>
      </c>
      <c r="H3002" s="194">
        <v>5097</v>
      </c>
      <c r="I3002" s="194">
        <v>2856</v>
      </c>
      <c r="J3002" s="194">
        <v>0</v>
      </c>
      <c r="K3002" s="193">
        <f t="shared" si="648"/>
        <v>7953</v>
      </c>
      <c r="L3002" s="194">
        <v>2133</v>
      </c>
      <c r="M3002" s="194">
        <v>1629</v>
      </c>
      <c r="N3002" s="194">
        <v>0</v>
      </c>
      <c r="O3002" s="193">
        <f t="shared" si="649"/>
        <v>3762</v>
      </c>
      <c r="P3002" s="194">
        <v>6420</v>
      </c>
      <c r="Q3002" s="194">
        <v>3849</v>
      </c>
      <c r="R3002" s="194">
        <v>0</v>
      </c>
      <c r="S3002" s="193">
        <f t="shared" si="650"/>
        <v>10269</v>
      </c>
      <c r="T3002" s="193">
        <f t="shared" si="651"/>
        <v>916</v>
      </c>
      <c r="U3002" s="193">
        <f ca="1">OFFSET('Expenditure Study'!$B$7,'Operations Support'!$C3002,'Operations Support'!$B3002)*$G3002</f>
        <v>69469.440000000002</v>
      </c>
      <c r="V3002" s="199">
        <f ca="1">U3002*'Expenditure Study'!$B$31</f>
        <v>4104475.4835947524</v>
      </c>
      <c r="W3002" s="199">
        <f ca="1">IF(A3002=10298,1.51,1)*IF($B3002&lt;3,$D3002*'Expenditure Study'!$B$32*OFFSET('Expenditure Study'!$B$7,'Operations Support'!$C3002,'Operations Support'!$B3002),0)</f>
        <v>0</v>
      </c>
      <c r="X3002" s="200">
        <f ca="1">W3002*'Expenditure Study'!$B$31</f>
        <v>0</v>
      </c>
      <c r="Y3002" s="199">
        <f ca="1">U3002*'Expenditure Study'!$B$31</f>
        <v>4104475.4835947524</v>
      </c>
      <c r="Z3002" s="200">
        <f ca="1">W3002*'Expenditure Study'!$B$31</f>
        <v>0</v>
      </c>
      <c r="AA3002" s="195">
        <f t="shared" ca="1" si="652"/>
        <v>4104475.4835947524</v>
      </c>
      <c r="AB3002" s="195">
        <f t="shared" ca="1" si="653"/>
        <v>4104475.4835947524</v>
      </c>
      <c r="AD3002" s="196">
        <f>IFERROR($G3002/SUMIF($A:$A,$A3002,$G:$G)*SUMIF(Summary!$A$166:$A$242,$A3002,Summary!$P$166:$P$242),0)</f>
        <v>789248.63786633196</v>
      </c>
      <c r="AE3002" s="197">
        <f t="shared" ca="1" si="654"/>
        <v>3315226.8457284207</v>
      </c>
      <c r="AF3002" s="196">
        <f>IFERROR(G3002/SUMIF(A:A,A3002,G:G)*SUMIF(Summary!$A$166:$A$242,'Operations Support'!A3002,Summary!$Q$166:$Q$242),0)</f>
        <v>789446.66535251017</v>
      </c>
      <c r="AG3002" s="196">
        <f t="shared" ca="1" si="655"/>
        <v>3315028.8182422421</v>
      </c>
      <c r="AI3002" s="196">
        <f>IFERROR($G3002/SUMIF($A:$A,$A3002,$G:$G)*SUMIF(Summary!$A$247:$A$283,$A3002,Summary!$P$247:$P$283),0)</f>
        <v>143939.25606660597</v>
      </c>
      <c r="AJ3002" s="196">
        <f>IFERROR($G3002/SUMIF($A:$A,$A3002,$G:$G)*(SUMIF(Summary!$A$247:$A$283,$A3002,Summary!$L$247:$L$283)+SUMIF(Summary!$A$297:$A$333,$A3002,Summary!$L$297:$L$333))-AI3002,0)</f>
        <v>435375.88838049961</v>
      </c>
      <c r="AK3002" s="196">
        <f>IFERROR($G3002/SUMIF($A:$A,$A3002,$G:$G)*SUMIF(Summary!$A$247:$A$283,$A3002,Summary!$Q$247:$Q$283),0)</f>
        <v>143975.37133836403</v>
      </c>
      <c r="AL3002" s="196">
        <f>IFERROR($G3002/SUMIF($A:$A,$A3002,$G:$G)*(SUMIF(Summary!$A$247:$A$283,$A3002,Summary!$L$247:$L$283)+SUMIF(Summary!$A$297:$A$333,$A3002,Summary!$L$297:$L$333))-AK3002,0)</f>
        <v>435339.77310874156</v>
      </c>
      <c r="AM3002" s="198"/>
      <c r="AN3002" s="196">
        <f t="shared" ca="1" si="656"/>
        <v>3750602.7341089202</v>
      </c>
      <c r="AO3002" s="196">
        <f t="shared" ca="1" si="657"/>
        <v>3750368.5913509838</v>
      </c>
    </row>
    <row r="3003" spans="1:41">
      <c r="A3003" s="189">
        <v>11161</v>
      </c>
      <c r="B3003" s="190">
        <v>3</v>
      </c>
      <c r="C3003" s="191" t="s">
        <v>236</v>
      </c>
      <c r="D3003" s="192">
        <f t="shared" si="644"/>
        <v>0</v>
      </c>
      <c r="E3003" s="192">
        <f t="shared" si="645"/>
        <v>0</v>
      </c>
      <c r="F3003" s="192">
        <f t="shared" si="646"/>
        <v>0</v>
      </c>
      <c r="G3003" s="193">
        <f t="shared" si="647"/>
        <v>0</v>
      </c>
      <c r="H3003" s="194">
        <v>0</v>
      </c>
      <c r="I3003" s="194">
        <v>0</v>
      </c>
      <c r="J3003" s="194">
        <v>0</v>
      </c>
      <c r="K3003" s="193">
        <f t="shared" si="648"/>
        <v>0</v>
      </c>
      <c r="L3003" s="194">
        <v>0</v>
      </c>
      <c r="M3003" s="194">
        <v>0</v>
      </c>
      <c r="N3003" s="194">
        <v>0</v>
      </c>
      <c r="O3003" s="193">
        <f t="shared" si="649"/>
        <v>0</v>
      </c>
      <c r="P3003" s="194">
        <v>0</v>
      </c>
      <c r="Q3003" s="194">
        <v>0</v>
      </c>
      <c r="R3003" s="194">
        <v>0</v>
      </c>
      <c r="S3003" s="193">
        <f t="shared" si="650"/>
        <v>0</v>
      </c>
      <c r="T3003" s="193">
        <f t="shared" si="651"/>
        <v>0</v>
      </c>
      <c r="U3003" s="193">
        <f ca="1">OFFSET('Expenditure Study'!$B$7,'Operations Support'!$C3003,'Operations Support'!$B3003)*$G3003</f>
        <v>0</v>
      </c>
      <c r="V3003" s="199">
        <f ca="1">U3003*'Expenditure Study'!$B$31</f>
        <v>0</v>
      </c>
      <c r="W3003" s="199">
        <f ca="1">IF(A3003=10298,1.51,1)*IF($B3003&lt;3,$D3003*'Expenditure Study'!$B$32*OFFSET('Expenditure Study'!$B$7,'Operations Support'!$C3003,'Operations Support'!$B3003),0)</f>
        <v>0</v>
      </c>
      <c r="X3003" s="200">
        <f ca="1">W3003*'Expenditure Study'!$B$31</f>
        <v>0</v>
      </c>
      <c r="Y3003" s="199">
        <f ca="1">U3003*'Expenditure Study'!$B$31</f>
        <v>0</v>
      </c>
      <c r="Z3003" s="200">
        <f ca="1">W3003*'Expenditure Study'!$B$31</f>
        <v>0</v>
      </c>
      <c r="AA3003" s="195">
        <f t="shared" ca="1" si="652"/>
        <v>0</v>
      </c>
      <c r="AB3003" s="195">
        <f t="shared" ca="1" si="653"/>
        <v>0</v>
      </c>
      <c r="AD3003" s="196">
        <f>IFERROR($G3003/SUMIF($A:$A,$A3003,$G:$G)*SUMIF(Summary!$A$166:$A$242,$A3003,Summary!$P$166:$P$242),0)</f>
        <v>0</v>
      </c>
      <c r="AE3003" s="197">
        <f t="shared" ca="1" si="654"/>
        <v>0</v>
      </c>
      <c r="AF3003" s="196">
        <f>IFERROR(G3003/SUMIF(A:A,A3003,G:G)*SUMIF(Summary!$A$166:$A$242,'Operations Support'!A3003,Summary!$Q$166:$Q$242),0)</f>
        <v>0</v>
      </c>
      <c r="AG3003" s="196">
        <f t="shared" ca="1" si="655"/>
        <v>0</v>
      </c>
      <c r="AI3003" s="196">
        <f>IFERROR($G3003/SUMIF($A:$A,$A3003,$G:$G)*SUMIF(Summary!$A$247:$A$283,$A3003,Summary!$P$247:$P$283),0)</f>
        <v>0</v>
      </c>
      <c r="AJ3003" s="196">
        <f>IFERROR($G3003/SUMIF($A:$A,$A3003,$G:$G)*(SUMIF(Summary!$A$247:$A$283,$A3003,Summary!$L$247:$L$283)+SUMIF(Summary!$A$297:$A$333,$A3003,Summary!$L$297:$L$333))-AI3003,0)</f>
        <v>0</v>
      </c>
      <c r="AK3003" s="196">
        <f>IFERROR($G3003/SUMIF($A:$A,$A3003,$G:$G)*SUMIF(Summary!$A$247:$A$283,$A3003,Summary!$Q$247:$Q$283),0)</f>
        <v>0</v>
      </c>
      <c r="AL3003" s="196">
        <f>IFERROR($G3003/SUMIF($A:$A,$A3003,$G:$G)*(SUMIF(Summary!$A$247:$A$283,$A3003,Summary!$L$247:$L$283)+SUMIF(Summary!$A$297:$A$333,$A3003,Summary!$L$297:$L$333))-AK3003,0)</f>
        <v>0</v>
      </c>
      <c r="AM3003" s="198"/>
      <c r="AN3003" s="196">
        <f t="shared" ca="1" si="656"/>
        <v>0</v>
      </c>
      <c r="AO3003" s="196">
        <f t="shared" ca="1" si="657"/>
        <v>0</v>
      </c>
    </row>
    <row r="3004" spans="1:41">
      <c r="A3004" s="189">
        <v>11161</v>
      </c>
      <c r="B3004" s="190">
        <v>3</v>
      </c>
      <c r="C3004" s="191" t="s">
        <v>237</v>
      </c>
      <c r="D3004" s="192">
        <f t="shared" si="644"/>
        <v>0</v>
      </c>
      <c r="E3004" s="192">
        <f t="shared" si="645"/>
        <v>0</v>
      </c>
      <c r="F3004" s="192">
        <f t="shared" si="646"/>
        <v>0</v>
      </c>
      <c r="G3004" s="193">
        <f t="shared" si="647"/>
        <v>0</v>
      </c>
      <c r="H3004" s="194">
        <v>0</v>
      </c>
      <c r="I3004" s="194">
        <v>0</v>
      </c>
      <c r="J3004" s="194">
        <v>0</v>
      </c>
      <c r="K3004" s="193">
        <f t="shared" si="648"/>
        <v>0</v>
      </c>
      <c r="L3004" s="194">
        <v>0</v>
      </c>
      <c r="M3004" s="194">
        <v>0</v>
      </c>
      <c r="N3004" s="194">
        <v>0</v>
      </c>
      <c r="O3004" s="193">
        <f t="shared" si="649"/>
        <v>0</v>
      </c>
      <c r="P3004" s="194">
        <v>0</v>
      </c>
      <c r="Q3004" s="194">
        <v>0</v>
      </c>
      <c r="R3004" s="194">
        <v>0</v>
      </c>
      <c r="S3004" s="193">
        <f t="shared" si="650"/>
        <v>0</v>
      </c>
      <c r="T3004" s="193">
        <f t="shared" si="651"/>
        <v>0</v>
      </c>
      <c r="U3004" s="193">
        <f ca="1">OFFSET('Expenditure Study'!$B$7,'Operations Support'!$C3004,'Operations Support'!$B3004)*$G3004</f>
        <v>0</v>
      </c>
      <c r="V3004" s="199">
        <f ca="1">U3004*'Expenditure Study'!$B$31</f>
        <v>0</v>
      </c>
      <c r="W3004" s="199">
        <f ca="1">IF(A3004=10298,1.51,1)*IF($B3004&lt;3,$D3004*'Expenditure Study'!$B$32*OFFSET('Expenditure Study'!$B$7,'Operations Support'!$C3004,'Operations Support'!$B3004),0)</f>
        <v>0</v>
      </c>
      <c r="X3004" s="200">
        <f ca="1">W3004*'Expenditure Study'!$B$31</f>
        <v>0</v>
      </c>
      <c r="Y3004" s="199">
        <f ca="1">U3004*'Expenditure Study'!$B$31</f>
        <v>0</v>
      </c>
      <c r="Z3004" s="200">
        <f ca="1">W3004*'Expenditure Study'!$B$31</f>
        <v>0</v>
      </c>
      <c r="AA3004" s="195">
        <f t="shared" ca="1" si="652"/>
        <v>0</v>
      </c>
      <c r="AB3004" s="195">
        <f t="shared" ca="1" si="653"/>
        <v>0</v>
      </c>
      <c r="AD3004" s="196">
        <f>IFERROR($G3004/SUMIF($A:$A,$A3004,$G:$G)*SUMIF(Summary!$A$166:$A$242,$A3004,Summary!$P$166:$P$242),0)</f>
        <v>0</v>
      </c>
      <c r="AE3004" s="197">
        <f t="shared" ca="1" si="654"/>
        <v>0</v>
      </c>
      <c r="AF3004" s="196">
        <f>IFERROR(G3004/SUMIF(A:A,A3004,G:G)*SUMIF(Summary!$A$166:$A$242,'Operations Support'!A3004,Summary!$Q$166:$Q$242),0)</f>
        <v>0</v>
      </c>
      <c r="AG3004" s="196">
        <f t="shared" ca="1" si="655"/>
        <v>0</v>
      </c>
      <c r="AI3004" s="196">
        <f>IFERROR($G3004/SUMIF($A:$A,$A3004,$G:$G)*SUMIF(Summary!$A$247:$A$283,$A3004,Summary!$P$247:$P$283),0)</f>
        <v>0</v>
      </c>
      <c r="AJ3004" s="196">
        <f>IFERROR($G3004/SUMIF($A:$A,$A3004,$G:$G)*(SUMIF(Summary!$A$247:$A$283,$A3004,Summary!$L$247:$L$283)+SUMIF(Summary!$A$297:$A$333,$A3004,Summary!$L$297:$L$333))-AI3004,0)</f>
        <v>0</v>
      </c>
      <c r="AK3004" s="196">
        <f>IFERROR($G3004/SUMIF($A:$A,$A3004,$G:$G)*SUMIF(Summary!$A$247:$A$283,$A3004,Summary!$Q$247:$Q$283),0)</f>
        <v>0</v>
      </c>
      <c r="AL3004" s="196">
        <f>IFERROR($G3004/SUMIF($A:$A,$A3004,$G:$G)*(SUMIF(Summary!$A$247:$A$283,$A3004,Summary!$L$247:$L$283)+SUMIF(Summary!$A$297:$A$333,$A3004,Summary!$L$297:$L$333))-AK3004,0)</f>
        <v>0</v>
      </c>
      <c r="AM3004" s="198"/>
      <c r="AN3004" s="196">
        <f t="shared" ca="1" si="656"/>
        <v>0</v>
      </c>
      <c r="AO3004" s="196">
        <f t="shared" ca="1" si="657"/>
        <v>0</v>
      </c>
    </row>
    <row r="3005" spans="1:41">
      <c r="A3005" s="189">
        <v>11161</v>
      </c>
      <c r="B3005" s="190">
        <v>3</v>
      </c>
      <c r="C3005" s="191" t="s">
        <v>238</v>
      </c>
      <c r="D3005" s="192">
        <f t="shared" si="644"/>
        <v>657</v>
      </c>
      <c r="E3005" s="192">
        <f t="shared" si="645"/>
        <v>0</v>
      </c>
      <c r="F3005" s="192">
        <f t="shared" si="646"/>
        <v>0</v>
      </c>
      <c r="G3005" s="193">
        <f t="shared" si="647"/>
        <v>657</v>
      </c>
      <c r="H3005" s="194">
        <v>243</v>
      </c>
      <c r="I3005" s="194">
        <v>0</v>
      </c>
      <c r="J3005" s="194">
        <v>0</v>
      </c>
      <c r="K3005" s="193">
        <f t="shared" si="648"/>
        <v>243</v>
      </c>
      <c r="L3005" s="194">
        <v>30</v>
      </c>
      <c r="M3005" s="194">
        <v>0</v>
      </c>
      <c r="N3005" s="194">
        <v>0</v>
      </c>
      <c r="O3005" s="193">
        <f t="shared" si="649"/>
        <v>30</v>
      </c>
      <c r="P3005" s="194">
        <v>384</v>
      </c>
      <c r="Q3005" s="194">
        <v>0</v>
      </c>
      <c r="R3005" s="194">
        <v>0</v>
      </c>
      <c r="S3005" s="193">
        <f t="shared" si="650"/>
        <v>384</v>
      </c>
      <c r="T3005" s="193">
        <f t="shared" si="651"/>
        <v>27.375</v>
      </c>
      <c r="U3005" s="193">
        <f ca="1">OFFSET('Expenditure Study'!$B$7,'Operations Support'!$C3005,'Operations Support'!$B3005)*$G3005</f>
        <v>3836.88</v>
      </c>
      <c r="V3005" s="199">
        <f ca="1">U3005*'Expenditure Study'!$B$31</f>
        <v>226695.074747904</v>
      </c>
      <c r="W3005" s="199">
        <f ca="1">IF(A3005=10298,1.51,1)*IF($B3005&lt;3,$D3005*'Expenditure Study'!$B$32*OFFSET('Expenditure Study'!$B$7,'Operations Support'!$C3005,'Operations Support'!$B3005),0)</f>
        <v>0</v>
      </c>
      <c r="X3005" s="200">
        <f ca="1">W3005*'Expenditure Study'!$B$31</f>
        <v>0</v>
      </c>
      <c r="Y3005" s="199">
        <f ca="1">U3005*'Expenditure Study'!$B$31</f>
        <v>226695.074747904</v>
      </c>
      <c r="Z3005" s="200">
        <f ca="1">W3005*'Expenditure Study'!$B$31</f>
        <v>0</v>
      </c>
      <c r="AA3005" s="195">
        <f t="shared" ca="1" si="652"/>
        <v>226695.074747904</v>
      </c>
      <c r="AB3005" s="195">
        <f t="shared" ca="1" si="653"/>
        <v>226695.074747904</v>
      </c>
      <c r="AD3005" s="196">
        <f>IFERROR($G3005/SUMIF($A:$A,$A3005,$G:$G)*SUMIF(Summary!$A$166:$A$242,$A3005,Summary!$P$166:$P$242),0)</f>
        <v>23586.988495186502</v>
      </c>
      <c r="AE3005" s="197">
        <f t="shared" ca="1" si="654"/>
        <v>203108.0862527175</v>
      </c>
      <c r="AF3005" s="196">
        <f>IFERROR(G3005/SUMIF(A:A,A3005,G:G)*SUMIF(Summary!$A$166:$A$242,'Operations Support'!A3005,Summary!$Q$166:$Q$242),0)</f>
        <v>23592.906620114591</v>
      </c>
      <c r="AG3005" s="196">
        <f t="shared" ca="1" si="655"/>
        <v>203102.16812778939</v>
      </c>
      <c r="AI3005" s="196">
        <f>IFERROR($G3005/SUMIF($A:$A,$A3005,$G:$G)*SUMIF(Summary!$A$247:$A$283,$A3005,Summary!$P$247:$P$283),0)</f>
        <v>4301.678094785304</v>
      </c>
      <c r="AJ3005" s="196">
        <f>IFERROR($G3005/SUMIF($A:$A,$A3005,$G:$G)*(SUMIF(Summary!$A$247:$A$283,$A3005,Summary!$L$247:$L$283)+SUMIF(Summary!$A$297:$A$333,$A3005,Summary!$L$297:$L$333))-AI3005,0)</f>
        <v>13011.370026655215</v>
      </c>
      <c r="AK3005" s="196">
        <f>IFERROR($G3005/SUMIF($A:$A,$A3005,$G:$G)*SUMIF(Summary!$A$247:$A$283,$A3005,Summary!$Q$247:$Q$283),0)</f>
        <v>4302.7574130870253</v>
      </c>
      <c r="AL3005" s="196">
        <f>IFERROR($G3005/SUMIF($A:$A,$A3005,$G:$G)*(SUMIF(Summary!$A$247:$A$283,$A3005,Summary!$L$247:$L$283)+SUMIF(Summary!$A$297:$A$333,$A3005,Summary!$L$297:$L$333))-AK3005,0)</f>
        <v>13010.290708353494</v>
      </c>
      <c r="AM3005" s="198"/>
      <c r="AN3005" s="196">
        <f t="shared" ca="1" si="656"/>
        <v>216119.45627937271</v>
      </c>
      <c r="AO3005" s="196">
        <f t="shared" ca="1" si="657"/>
        <v>216112.45883614288</v>
      </c>
    </row>
    <row r="3006" spans="1:41">
      <c r="A3006" s="189">
        <v>11161</v>
      </c>
      <c r="B3006" s="190">
        <v>3</v>
      </c>
      <c r="C3006" s="191" t="s">
        <v>239</v>
      </c>
      <c r="D3006" s="192">
        <f t="shared" si="644"/>
        <v>1637.54</v>
      </c>
      <c r="E3006" s="192">
        <f t="shared" si="645"/>
        <v>341.46000000000004</v>
      </c>
      <c r="F3006" s="192">
        <f t="shared" si="646"/>
        <v>0</v>
      </c>
      <c r="G3006" s="193">
        <f t="shared" si="647"/>
        <v>1979</v>
      </c>
      <c r="H3006" s="194">
        <v>547.5</v>
      </c>
      <c r="I3006" s="194">
        <v>154.5</v>
      </c>
      <c r="J3006" s="194">
        <v>0</v>
      </c>
      <c r="K3006" s="193">
        <f t="shared" si="648"/>
        <v>702</v>
      </c>
      <c r="L3006" s="194">
        <v>612.04</v>
      </c>
      <c r="M3006" s="194">
        <v>138.96</v>
      </c>
      <c r="N3006" s="194">
        <v>0</v>
      </c>
      <c r="O3006" s="193">
        <f t="shared" si="649"/>
        <v>751</v>
      </c>
      <c r="P3006" s="194">
        <v>478</v>
      </c>
      <c r="Q3006" s="194">
        <v>48</v>
      </c>
      <c r="R3006" s="194">
        <v>0</v>
      </c>
      <c r="S3006" s="193">
        <f t="shared" si="650"/>
        <v>526</v>
      </c>
      <c r="T3006" s="193">
        <f t="shared" si="651"/>
        <v>82.458333333333329</v>
      </c>
      <c r="U3006" s="193">
        <f ca="1">OFFSET('Expenditure Study'!$B$7,'Operations Support'!$C3006,'Operations Support'!$B3006)*$G3006</f>
        <v>5382.88</v>
      </c>
      <c r="V3006" s="199">
        <f ca="1">U3006*'Expenditure Study'!$B$31</f>
        <v>318037.67226470402</v>
      </c>
      <c r="W3006" s="199">
        <f ca="1">IF(A3006=10298,1.51,1)*IF($B3006&lt;3,$D3006*'Expenditure Study'!$B$32*OFFSET('Expenditure Study'!$B$7,'Operations Support'!$C3006,'Operations Support'!$B3006),0)</f>
        <v>0</v>
      </c>
      <c r="X3006" s="200">
        <f ca="1">W3006*'Expenditure Study'!$B$31</f>
        <v>0</v>
      </c>
      <c r="Y3006" s="199">
        <f ca="1">U3006*'Expenditure Study'!$B$31</f>
        <v>318037.67226470402</v>
      </c>
      <c r="Z3006" s="200">
        <f ca="1">W3006*'Expenditure Study'!$B$31</f>
        <v>0</v>
      </c>
      <c r="AA3006" s="195">
        <f t="shared" ca="1" si="652"/>
        <v>318037.67226470402</v>
      </c>
      <c r="AB3006" s="195">
        <f t="shared" ca="1" si="653"/>
        <v>318037.67226470402</v>
      </c>
      <c r="AD3006" s="196">
        <f>IFERROR($G3006/SUMIF($A:$A,$A3006,$G:$G)*SUMIF(Summary!$A$166:$A$242,$A3006,Summary!$P$166:$P$242),0)</f>
        <v>71048.17386906255</v>
      </c>
      <c r="AE3006" s="197">
        <f t="shared" ca="1" si="654"/>
        <v>246989.49839564145</v>
      </c>
      <c r="AF3006" s="196">
        <f>IFERROR(G3006/SUMIF(A:A,A3006,G:G)*SUMIF(Summary!$A$166:$A$242,'Operations Support'!A3006,Summary!$Q$166:$Q$242),0)</f>
        <v>71066.000306250804</v>
      </c>
      <c r="AG3006" s="196">
        <f t="shared" ca="1" si="655"/>
        <v>246971.6719584532</v>
      </c>
      <c r="AI3006" s="196">
        <f>IFERROR($G3006/SUMIF($A:$A,$A3006,$G:$G)*SUMIF(Summary!$A$247:$A$283,$A3006,Summary!$P$247:$P$283),0)</f>
        <v>12957.413926301548</v>
      </c>
      <c r="AJ3006" s="196">
        <f>IFERROR($G3006/SUMIF($A:$A,$A3006,$G:$G)*(SUMIF(Summary!$A$247:$A$283,$A3006,Summary!$L$247:$L$283)+SUMIF(Summary!$A$297:$A$333,$A3006,Summary!$L$297:$L$333))-AI3006,0)</f>
        <v>39192.543809361763</v>
      </c>
      <c r="AK3006" s="196">
        <f>IFERROR($G3006/SUMIF($A:$A,$A3006,$G:$G)*SUMIF(Summary!$A$247:$A$283,$A3006,Summary!$Q$247:$Q$283),0)</f>
        <v>12960.665023590906</v>
      </c>
      <c r="AL3006" s="196">
        <f>IFERROR($G3006/SUMIF($A:$A,$A3006,$G:$G)*(SUMIF(Summary!$A$247:$A$283,$A3006,Summary!$L$247:$L$283)+SUMIF(Summary!$A$297:$A$333,$A3006,Summary!$L$297:$L$333))-AK3006,0)</f>
        <v>39189.292712072405</v>
      </c>
      <c r="AM3006" s="198"/>
      <c r="AN3006" s="196">
        <f t="shared" ca="1" si="656"/>
        <v>286182.04220500321</v>
      </c>
      <c r="AO3006" s="196">
        <f t="shared" ca="1" si="657"/>
        <v>286160.96467052563</v>
      </c>
    </row>
    <row r="3007" spans="1:41">
      <c r="A3007" s="189">
        <v>11161</v>
      </c>
      <c r="B3007" s="190">
        <v>3</v>
      </c>
      <c r="C3007" s="191" t="s">
        <v>240</v>
      </c>
      <c r="D3007" s="192">
        <f t="shared" si="644"/>
        <v>0</v>
      </c>
      <c r="E3007" s="192">
        <f t="shared" si="645"/>
        <v>0</v>
      </c>
      <c r="F3007" s="192">
        <f t="shared" si="646"/>
        <v>0</v>
      </c>
      <c r="G3007" s="193">
        <f t="shared" si="647"/>
        <v>0</v>
      </c>
      <c r="H3007" s="194">
        <v>0</v>
      </c>
      <c r="I3007" s="194">
        <v>0</v>
      </c>
      <c r="J3007" s="194">
        <v>0</v>
      </c>
      <c r="K3007" s="193">
        <f t="shared" si="648"/>
        <v>0</v>
      </c>
      <c r="L3007" s="194">
        <v>0</v>
      </c>
      <c r="M3007" s="194">
        <v>0</v>
      </c>
      <c r="N3007" s="194">
        <v>0</v>
      </c>
      <c r="O3007" s="193">
        <f t="shared" si="649"/>
        <v>0</v>
      </c>
      <c r="P3007" s="194">
        <v>0</v>
      </c>
      <c r="Q3007" s="194">
        <v>0</v>
      </c>
      <c r="R3007" s="194">
        <v>0</v>
      </c>
      <c r="S3007" s="193">
        <f t="shared" si="650"/>
        <v>0</v>
      </c>
      <c r="T3007" s="193">
        <f t="shared" si="651"/>
        <v>0</v>
      </c>
      <c r="U3007" s="193">
        <f ca="1">OFFSET('Expenditure Study'!$B$7,'Operations Support'!$C3007,'Operations Support'!$B3007)*$G3007</f>
        <v>0</v>
      </c>
      <c r="V3007" s="199">
        <f ca="1">U3007*'Expenditure Study'!$B$31</f>
        <v>0</v>
      </c>
      <c r="W3007" s="199">
        <f ca="1">IF(A3007=10298,1.51,1)*IF($B3007&lt;3,$D3007*'Expenditure Study'!$B$32*OFFSET('Expenditure Study'!$B$7,'Operations Support'!$C3007,'Operations Support'!$B3007),0)</f>
        <v>0</v>
      </c>
      <c r="X3007" s="200">
        <f ca="1">W3007*'Expenditure Study'!$B$31</f>
        <v>0</v>
      </c>
      <c r="Y3007" s="199">
        <f ca="1">U3007*'Expenditure Study'!$B$31</f>
        <v>0</v>
      </c>
      <c r="Z3007" s="200">
        <f ca="1">W3007*'Expenditure Study'!$B$31</f>
        <v>0</v>
      </c>
      <c r="AA3007" s="195">
        <f t="shared" ca="1" si="652"/>
        <v>0</v>
      </c>
      <c r="AB3007" s="195">
        <f t="shared" ca="1" si="653"/>
        <v>0</v>
      </c>
      <c r="AD3007" s="196">
        <f>IFERROR($G3007/SUMIF($A:$A,$A3007,$G:$G)*SUMIF(Summary!$A$166:$A$242,$A3007,Summary!$P$166:$P$242),0)</f>
        <v>0</v>
      </c>
      <c r="AE3007" s="197">
        <f t="shared" ca="1" si="654"/>
        <v>0</v>
      </c>
      <c r="AF3007" s="196">
        <f>IFERROR(G3007/SUMIF(A:A,A3007,G:G)*SUMIF(Summary!$A$166:$A$242,'Operations Support'!A3007,Summary!$Q$166:$Q$242),0)</f>
        <v>0</v>
      </c>
      <c r="AG3007" s="196">
        <f t="shared" ca="1" si="655"/>
        <v>0</v>
      </c>
      <c r="AI3007" s="196">
        <f>IFERROR($G3007/SUMIF($A:$A,$A3007,$G:$G)*SUMIF(Summary!$A$247:$A$283,$A3007,Summary!$P$247:$P$283),0)</f>
        <v>0</v>
      </c>
      <c r="AJ3007" s="196">
        <f>IFERROR($G3007/SUMIF($A:$A,$A3007,$G:$G)*(SUMIF(Summary!$A$247:$A$283,$A3007,Summary!$L$247:$L$283)+SUMIF(Summary!$A$297:$A$333,$A3007,Summary!$L$297:$L$333))-AI3007,0)</f>
        <v>0</v>
      </c>
      <c r="AK3007" s="196">
        <f>IFERROR($G3007/SUMIF($A:$A,$A3007,$G:$G)*SUMIF(Summary!$A$247:$A$283,$A3007,Summary!$Q$247:$Q$283),0)</f>
        <v>0</v>
      </c>
      <c r="AL3007" s="196">
        <f>IFERROR($G3007/SUMIF($A:$A,$A3007,$G:$G)*(SUMIF(Summary!$A$247:$A$283,$A3007,Summary!$L$247:$L$283)+SUMIF(Summary!$A$297:$A$333,$A3007,Summary!$L$297:$L$333))-AK3007,0)</f>
        <v>0</v>
      </c>
      <c r="AM3007" s="198"/>
      <c r="AN3007" s="196">
        <f t="shared" ca="1" si="656"/>
        <v>0</v>
      </c>
      <c r="AO3007" s="196">
        <f t="shared" ca="1" si="657"/>
        <v>0</v>
      </c>
    </row>
    <row r="3008" spans="1:41">
      <c r="A3008" s="189">
        <v>11161</v>
      </c>
      <c r="B3008" s="190">
        <v>4</v>
      </c>
      <c r="C3008" s="191" t="s">
        <v>220</v>
      </c>
      <c r="D3008" s="192">
        <f t="shared" si="644"/>
        <v>141</v>
      </c>
      <c r="E3008" s="192">
        <f t="shared" si="645"/>
        <v>0</v>
      </c>
      <c r="F3008" s="192">
        <f t="shared" si="646"/>
        <v>0</v>
      </c>
      <c r="G3008" s="193">
        <f t="shared" si="647"/>
        <v>141</v>
      </c>
      <c r="H3008" s="194">
        <v>72</v>
      </c>
      <c r="I3008" s="194">
        <v>0</v>
      </c>
      <c r="J3008" s="194">
        <v>0</v>
      </c>
      <c r="K3008" s="193">
        <f t="shared" si="648"/>
        <v>72</v>
      </c>
      <c r="L3008" s="194">
        <v>24</v>
      </c>
      <c r="M3008" s="194">
        <v>0</v>
      </c>
      <c r="N3008" s="194">
        <v>0</v>
      </c>
      <c r="O3008" s="193">
        <f t="shared" si="649"/>
        <v>24</v>
      </c>
      <c r="P3008" s="194">
        <v>45</v>
      </c>
      <c r="Q3008" s="194">
        <v>0</v>
      </c>
      <c r="R3008" s="194">
        <v>0</v>
      </c>
      <c r="S3008" s="193">
        <f t="shared" si="650"/>
        <v>45</v>
      </c>
      <c r="T3008" s="193">
        <f t="shared" si="651"/>
        <v>7.833333333333333</v>
      </c>
      <c r="U3008" s="193">
        <f ca="1">OFFSET('Expenditure Study'!$B$7,'Operations Support'!$C3008,'Operations Support'!$B3008)*$G3008</f>
        <v>2076.9299999999998</v>
      </c>
      <c r="V3008" s="199">
        <f ca="1">U3008*'Expenditure Study'!$B$31</f>
        <v>122711.63069894399</v>
      </c>
      <c r="W3008" s="199">
        <f ca="1">IF(A3008=10298,1.51,1)*IF($B3008&lt;3,$D3008*'Expenditure Study'!$B$32*OFFSET('Expenditure Study'!$B$7,'Operations Support'!$C3008,'Operations Support'!$B3008),0)</f>
        <v>0</v>
      </c>
      <c r="X3008" s="200">
        <f ca="1">W3008*'Expenditure Study'!$B$31</f>
        <v>0</v>
      </c>
      <c r="Y3008" s="199">
        <f ca="1">U3008*'Expenditure Study'!$B$31</f>
        <v>122711.63069894399</v>
      </c>
      <c r="Z3008" s="200">
        <f ca="1">W3008*'Expenditure Study'!$B$31</f>
        <v>0</v>
      </c>
      <c r="AA3008" s="195">
        <f t="shared" ca="1" si="652"/>
        <v>122711.63069894399</v>
      </c>
      <c r="AB3008" s="195">
        <f t="shared" ca="1" si="653"/>
        <v>122711.63069894399</v>
      </c>
      <c r="AD3008" s="196">
        <f>IFERROR($G3008/SUMIF($A:$A,$A3008,$G:$G)*SUMIF(Summary!$A$166:$A$242,$A3008,Summary!$P$166:$P$242),0)</f>
        <v>5062.0477592409388</v>
      </c>
      <c r="AE3008" s="197">
        <f t="shared" ca="1" si="654"/>
        <v>117649.58293970305</v>
      </c>
      <c r="AF3008" s="196">
        <f>IFERROR(G3008/SUMIF(A:A,A3008,G:G)*SUMIF(Summary!$A$166:$A$242,'Operations Support'!A3008,Summary!$Q$166:$Q$242),0)</f>
        <v>5063.3178591113501</v>
      </c>
      <c r="AG3008" s="196">
        <f t="shared" ca="1" si="655"/>
        <v>117648.31283983264</v>
      </c>
      <c r="AI3008" s="196">
        <f>IFERROR($G3008/SUMIF($A:$A,$A3008,$G:$G)*SUMIF(Summary!$A$247:$A$283,$A3008,Summary!$P$247:$P$283),0)</f>
        <v>923.19118929182309</v>
      </c>
      <c r="AJ3008" s="196">
        <f>IFERROR($G3008/SUMIF($A:$A,$A3008,$G:$G)*(SUMIF(Summary!$A$247:$A$283,$A3008,Summary!$L$247:$L$283)+SUMIF(Summary!$A$297:$A$333,$A3008,Summary!$L$297:$L$333))-AI3008,0)</f>
        <v>2792.3944806063701</v>
      </c>
      <c r="AK3008" s="196">
        <f>IFERROR($G3008/SUMIF($A:$A,$A3008,$G:$G)*SUMIF(Summary!$A$247:$A$283,$A3008,Summary!$Q$247:$Q$283),0)</f>
        <v>923.42282381319728</v>
      </c>
      <c r="AL3008" s="196">
        <f>IFERROR($G3008/SUMIF($A:$A,$A3008,$G:$G)*(SUMIF(Summary!$A$247:$A$283,$A3008,Summary!$L$247:$L$283)+SUMIF(Summary!$A$297:$A$333,$A3008,Summary!$L$297:$L$333))-AK3008,0)</f>
        <v>2792.1628460849961</v>
      </c>
      <c r="AM3008" s="198"/>
      <c r="AN3008" s="196">
        <f t="shared" ca="1" si="656"/>
        <v>120441.97742030941</v>
      </c>
      <c r="AO3008" s="196">
        <f t="shared" ca="1" si="657"/>
        <v>120440.47568591763</v>
      </c>
    </row>
    <row r="3009" spans="1:41">
      <c r="A3009" s="189">
        <v>11161</v>
      </c>
      <c r="B3009" s="190">
        <v>4</v>
      </c>
      <c r="C3009" s="191" t="s">
        <v>221</v>
      </c>
      <c r="D3009" s="192">
        <f t="shared" si="644"/>
        <v>959</v>
      </c>
      <c r="E3009" s="192">
        <f t="shared" si="645"/>
        <v>57</v>
      </c>
      <c r="F3009" s="192">
        <f t="shared" si="646"/>
        <v>7</v>
      </c>
      <c r="G3009" s="193">
        <f t="shared" si="647"/>
        <v>1009</v>
      </c>
      <c r="H3009" s="194">
        <v>424</v>
      </c>
      <c r="I3009" s="194">
        <v>24</v>
      </c>
      <c r="J3009" s="194">
        <v>7</v>
      </c>
      <c r="K3009" s="193">
        <f t="shared" si="648"/>
        <v>441</v>
      </c>
      <c r="L3009" s="194">
        <v>412</v>
      </c>
      <c r="M3009" s="194">
        <v>33</v>
      </c>
      <c r="N3009" s="194">
        <v>0</v>
      </c>
      <c r="O3009" s="193">
        <f t="shared" si="649"/>
        <v>445</v>
      </c>
      <c r="P3009" s="194">
        <v>123</v>
      </c>
      <c r="Q3009" s="194">
        <v>0</v>
      </c>
      <c r="R3009" s="194">
        <v>0</v>
      </c>
      <c r="S3009" s="193">
        <f t="shared" si="650"/>
        <v>123</v>
      </c>
      <c r="T3009" s="193">
        <f t="shared" si="651"/>
        <v>56.055555555555557</v>
      </c>
      <c r="U3009" s="193">
        <f ca="1">OFFSET('Expenditure Study'!$B$7,'Operations Support'!$C3009,'Operations Support'!$B3009)*$G3009</f>
        <v>21935.66</v>
      </c>
      <c r="V3009" s="199">
        <f ca="1">U3009*'Expenditure Study'!$B$31</f>
        <v>1296028.5657473281</v>
      </c>
      <c r="W3009" s="199">
        <f ca="1">IF(A3009=10298,1.51,1)*IF($B3009&lt;3,$D3009*'Expenditure Study'!$B$32*OFFSET('Expenditure Study'!$B$7,'Operations Support'!$C3009,'Operations Support'!$B3009),0)</f>
        <v>0</v>
      </c>
      <c r="X3009" s="200">
        <f ca="1">W3009*'Expenditure Study'!$B$31</f>
        <v>0</v>
      </c>
      <c r="Y3009" s="199">
        <f ca="1">U3009*'Expenditure Study'!$B$31</f>
        <v>1296028.5657473281</v>
      </c>
      <c r="Z3009" s="200">
        <f ca="1">W3009*'Expenditure Study'!$B$31</f>
        <v>0</v>
      </c>
      <c r="AA3009" s="195">
        <f t="shared" ca="1" si="652"/>
        <v>1296028.5657473281</v>
      </c>
      <c r="AB3009" s="195">
        <f t="shared" ca="1" si="653"/>
        <v>1296028.5657473281</v>
      </c>
      <c r="AD3009" s="196">
        <f>IFERROR($G3009/SUMIF($A:$A,$A3009,$G:$G)*SUMIF(Summary!$A$166:$A$242,$A3009,Summary!$P$166:$P$242),0)</f>
        <v>36224.15736931991</v>
      </c>
      <c r="AE3009" s="197">
        <f t="shared" ca="1" si="654"/>
        <v>1259804.4083780083</v>
      </c>
      <c r="AF3009" s="196">
        <f>IFERROR(G3009/SUMIF(A:A,A3009,G:G)*SUMIF(Summary!$A$166:$A$242,'Operations Support'!A3009,Summary!$Q$166:$Q$242),0)</f>
        <v>36233.246240023778</v>
      </c>
      <c r="AG3009" s="196">
        <f t="shared" ca="1" si="655"/>
        <v>1259795.3195073043</v>
      </c>
      <c r="AI3009" s="196">
        <f>IFERROR($G3009/SUMIF($A:$A,$A3009,$G:$G)*SUMIF(Summary!$A$247:$A$283,$A3009,Summary!$P$247:$P$283),0)</f>
        <v>6606.3823403932602</v>
      </c>
      <c r="AJ3009" s="196">
        <f>IFERROR($G3009/SUMIF($A:$A,$A3009,$G:$G)*(SUMIF(Summary!$A$247:$A$283,$A3009,Summary!$L$247:$L$283)+SUMIF(Summary!$A$297:$A$333,$A3009,Summary!$L$297:$L$333))-AI3009,0)</f>
        <v>19982.454120083887</v>
      </c>
      <c r="AK3009" s="196">
        <f>IFERROR($G3009/SUMIF($A:$A,$A3009,$G:$G)*SUMIF(Summary!$A$247:$A$283,$A3009,Summary!$Q$247:$Q$283),0)</f>
        <v>6608.0399235994046</v>
      </c>
      <c r="AL3009" s="196">
        <f>IFERROR($G3009/SUMIF($A:$A,$A3009,$G:$G)*(SUMIF(Summary!$A$247:$A$283,$A3009,Summary!$L$247:$L$283)+SUMIF(Summary!$A$297:$A$333,$A3009,Summary!$L$297:$L$333))-AK3009,0)</f>
        <v>19980.79653687774</v>
      </c>
      <c r="AM3009" s="198"/>
      <c r="AN3009" s="196">
        <f t="shared" ca="1" si="656"/>
        <v>1279786.8624980922</v>
      </c>
      <c r="AO3009" s="196">
        <f t="shared" ca="1" si="657"/>
        <v>1279776.1160441821</v>
      </c>
    </row>
    <row r="3010" spans="1:41">
      <c r="A3010" s="189">
        <v>11161</v>
      </c>
      <c r="B3010" s="190">
        <v>4</v>
      </c>
      <c r="C3010" s="191" t="s">
        <v>222</v>
      </c>
      <c r="D3010" s="192">
        <f t="shared" si="644"/>
        <v>0</v>
      </c>
      <c r="E3010" s="192">
        <f t="shared" si="645"/>
        <v>0</v>
      </c>
      <c r="F3010" s="192">
        <f t="shared" si="646"/>
        <v>0</v>
      </c>
      <c r="G3010" s="193">
        <f t="shared" si="647"/>
        <v>0</v>
      </c>
      <c r="H3010" s="194">
        <v>0</v>
      </c>
      <c r="I3010" s="194">
        <v>0</v>
      </c>
      <c r="J3010" s="194">
        <v>0</v>
      </c>
      <c r="K3010" s="193">
        <f t="shared" si="648"/>
        <v>0</v>
      </c>
      <c r="L3010" s="194">
        <v>0</v>
      </c>
      <c r="M3010" s="194">
        <v>0</v>
      </c>
      <c r="N3010" s="194">
        <v>0</v>
      </c>
      <c r="O3010" s="193">
        <f t="shared" si="649"/>
        <v>0</v>
      </c>
      <c r="P3010" s="194">
        <v>0</v>
      </c>
      <c r="Q3010" s="194">
        <v>0</v>
      </c>
      <c r="R3010" s="194">
        <v>0</v>
      </c>
      <c r="S3010" s="193">
        <f t="shared" si="650"/>
        <v>0</v>
      </c>
      <c r="T3010" s="193">
        <f t="shared" si="651"/>
        <v>0</v>
      </c>
      <c r="U3010" s="193">
        <f ca="1">OFFSET('Expenditure Study'!$B$7,'Operations Support'!$C3010,'Operations Support'!$B3010)*$G3010</f>
        <v>0</v>
      </c>
      <c r="V3010" s="199">
        <f ca="1">U3010*'Expenditure Study'!$B$31</f>
        <v>0</v>
      </c>
      <c r="W3010" s="199">
        <f ca="1">IF(A3010=10298,1.51,1)*IF($B3010&lt;3,$D3010*'Expenditure Study'!$B$32*OFFSET('Expenditure Study'!$B$7,'Operations Support'!$C3010,'Operations Support'!$B3010),0)</f>
        <v>0</v>
      </c>
      <c r="X3010" s="200">
        <f ca="1">W3010*'Expenditure Study'!$B$31</f>
        <v>0</v>
      </c>
      <c r="Y3010" s="199">
        <f ca="1">U3010*'Expenditure Study'!$B$31</f>
        <v>0</v>
      </c>
      <c r="Z3010" s="200">
        <f ca="1">W3010*'Expenditure Study'!$B$31</f>
        <v>0</v>
      </c>
      <c r="AA3010" s="195">
        <f t="shared" ca="1" si="652"/>
        <v>0</v>
      </c>
      <c r="AB3010" s="195">
        <f t="shared" ca="1" si="653"/>
        <v>0</v>
      </c>
      <c r="AD3010" s="196">
        <f>IFERROR($G3010/SUMIF($A:$A,$A3010,$G:$G)*SUMIF(Summary!$A$166:$A$242,$A3010,Summary!$P$166:$P$242),0)</f>
        <v>0</v>
      </c>
      <c r="AE3010" s="197">
        <f t="shared" ca="1" si="654"/>
        <v>0</v>
      </c>
      <c r="AF3010" s="196">
        <f>IFERROR(G3010/SUMIF(A:A,A3010,G:G)*SUMIF(Summary!$A$166:$A$242,'Operations Support'!A3010,Summary!$Q$166:$Q$242),0)</f>
        <v>0</v>
      </c>
      <c r="AG3010" s="196">
        <f t="shared" ca="1" si="655"/>
        <v>0</v>
      </c>
      <c r="AI3010" s="196">
        <f>IFERROR($G3010/SUMIF($A:$A,$A3010,$G:$G)*SUMIF(Summary!$A$247:$A$283,$A3010,Summary!$P$247:$P$283),0)</f>
        <v>0</v>
      </c>
      <c r="AJ3010" s="196">
        <f>IFERROR($G3010/SUMIF($A:$A,$A3010,$G:$G)*(SUMIF(Summary!$A$247:$A$283,$A3010,Summary!$L$247:$L$283)+SUMIF(Summary!$A$297:$A$333,$A3010,Summary!$L$297:$L$333))-AI3010,0)</f>
        <v>0</v>
      </c>
      <c r="AK3010" s="196">
        <f>IFERROR($G3010/SUMIF($A:$A,$A3010,$G:$G)*SUMIF(Summary!$A$247:$A$283,$A3010,Summary!$Q$247:$Q$283),0)</f>
        <v>0</v>
      </c>
      <c r="AL3010" s="196">
        <f>IFERROR($G3010/SUMIF($A:$A,$A3010,$G:$G)*(SUMIF(Summary!$A$247:$A$283,$A3010,Summary!$L$247:$L$283)+SUMIF(Summary!$A$297:$A$333,$A3010,Summary!$L$297:$L$333))-AK3010,0)</f>
        <v>0</v>
      </c>
      <c r="AM3010" s="198"/>
      <c r="AN3010" s="196">
        <f t="shared" ca="1" si="656"/>
        <v>0</v>
      </c>
      <c r="AO3010" s="196">
        <f t="shared" ca="1" si="657"/>
        <v>0</v>
      </c>
    </row>
    <row r="3011" spans="1:41">
      <c r="A3011" s="189">
        <v>11161</v>
      </c>
      <c r="B3011" s="190">
        <v>4</v>
      </c>
      <c r="C3011" s="191" t="s">
        <v>223</v>
      </c>
      <c r="D3011" s="192">
        <f t="shared" si="644"/>
        <v>1438</v>
      </c>
      <c r="E3011" s="192">
        <f t="shared" si="645"/>
        <v>270</v>
      </c>
      <c r="F3011" s="192">
        <f t="shared" si="646"/>
        <v>11</v>
      </c>
      <c r="G3011" s="193">
        <f t="shared" si="647"/>
        <v>1697</v>
      </c>
      <c r="H3011" s="194">
        <v>442</v>
      </c>
      <c r="I3011" s="194">
        <v>123</v>
      </c>
      <c r="J3011" s="194">
        <v>1</v>
      </c>
      <c r="K3011" s="193">
        <f t="shared" si="648"/>
        <v>564</v>
      </c>
      <c r="L3011" s="194">
        <v>553</v>
      </c>
      <c r="M3011" s="194">
        <v>87</v>
      </c>
      <c r="N3011" s="194">
        <v>1</v>
      </c>
      <c r="O3011" s="193">
        <f t="shared" si="649"/>
        <v>639</v>
      </c>
      <c r="P3011" s="194">
        <v>443</v>
      </c>
      <c r="Q3011" s="194">
        <v>60</v>
      </c>
      <c r="R3011" s="194">
        <v>9</v>
      </c>
      <c r="S3011" s="193">
        <f t="shared" si="650"/>
        <v>494</v>
      </c>
      <c r="T3011" s="193">
        <f t="shared" si="651"/>
        <v>94.277777777777771</v>
      </c>
      <c r="U3011" s="193">
        <f ca="1">OFFSET('Expenditure Study'!$B$7,'Operations Support'!$C3011,'Operations Support'!$B3011)*$G3011</f>
        <v>13270.54</v>
      </c>
      <c r="V3011" s="199">
        <f ca="1">U3011*'Expenditure Study'!$B$31</f>
        <v>784065.71413363202</v>
      </c>
      <c r="W3011" s="199">
        <f ca="1">IF(A3011=10298,1.51,1)*IF($B3011&lt;3,$D3011*'Expenditure Study'!$B$32*OFFSET('Expenditure Study'!$B$7,'Operations Support'!$C3011,'Operations Support'!$B3011),0)</f>
        <v>0</v>
      </c>
      <c r="X3011" s="200">
        <f ca="1">W3011*'Expenditure Study'!$B$31</f>
        <v>0</v>
      </c>
      <c r="Y3011" s="199">
        <f ca="1">U3011*'Expenditure Study'!$B$31</f>
        <v>784065.71413363202</v>
      </c>
      <c r="Z3011" s="200">
        <f ca="1">W3011*'Expenditure Study'!$B$31</f>
        <v>0</v>
      </c>
      <c r="AA3011" s="195">
        <f t="shared" ca="1" si="652"/>
        <v>784065.71413363202</v>
      </c>
      <c r="AB3011" s="195">
        <f t="shared" ca="1" si="653"/>
        <v>784065.71413363202</v>
      </c>
      <c r="AD3011" s="196">
        <f>IFERROR($G3011/SUMIF($A:$A,$A3011,$G:$G)*SUMIF(Summary!$A$166:$A$242,$A3011,Summary!$P$166:$P$242),0)</f>
        <v>60924.078350580668</v>
      </c>
      <c r="AE3011" s="197">
        <f t="shared" ca="1" si="654"/>
        <v>723141.63578305137</v>
      </c>
      <c r="AF3011" s="196">
        <f>IFERROR(G3011/SUMIF(A:A,A3011,G:G)*SUMIF(Summary!$A$166:$A$242,'Operations Support'!A3011,Summary!$Q$166:$Q$242),0)</f>
        <v>60939.364588028104</v>
      </c>
      <c r="AG3011" s="196">
        <f t="shared" ca="1" si="655"/>
        <v>723126.34954560397</v>
      </c>
      <c r="AI3011" s="196">
        <f>IFERROR($G3011/SUMIF($A:$A,$A3011,$G:$G)*SUMIF(Summary!$A$247:$A$283,$A3011,Summary!$P$247:$P$283),0)</f>
        <v>11111.031547717901</v>
      </c>
      <c r="AJ3011" s="196">
        <f>IFERROR($G3011/SUMIF($A:$A,$A3011,$G:$G)*(SUMIF(Summary!$A$247:$A$283,$A3011,Summary!$L$247:$L$283)+SUMIF(Summary!$A$297:$A$333,$A3011,Summary!$L$297:$L$333))-AI3011,0)</f>
        <v>33607.754848149016</v>
      </c>
      <c r="AK3011" s="196">
        <f>IFERROR($G3011/SUMIF($A:$A,$A3011,$G:$G)*SUMIF(Summary!$A$247:$A$283,$A3011,Summary!$Q$247:$Q$283),0)</f>
        <v>11113.819375964511</v>
      </c>
      <c r="AL3011" s="196">
        <f>IFERROR($G3011/SUMIF($A:$A,$A3011,$G:$G)*(SUMIF(Summary!$A$247:$A$283,$A3011,Summary!$L$247:$L$283)+SUMIF(Summary!$A$297:$A$333,$A3011,Summary!$L$297:$L$333))-AK3011,0)</f>
        <v>33604.967019902411</v>
      </c>
      <c r="AM3011" s="198"/>
      <c r="AN3011" s="196">
        <f t="shared" ca="1" si="656"/>
        <v>756749.3906312004</v>
      </c>
      <c r="AO3011" s="196">
        <f t="shared" ca="1" si="657"/>
        <v>756731.31656550639</v>
      </c>
    </row>
    <row r="3012" spans="1:41">
      <c r="A3012" s="189">
        <v>11161</v>
      </c>
      <c r="B3012" s="190">
        <v>4</v>
      </c>
      <c r="C3012" s="191" t="s">
        <v>224</v>
      </c>
      <c r="D3012" s="192">
        <f t="shared" si="644"/>
        <v>0</v>
      </c>
      <c r="E3012" s="192">
        <f t="shared" si="645"/>
        <v>0</v>
      </c>
      <c r="F3012" s="192">
        <f t="shared" si="646"/>
        <v>0</v>
      </c>
      <c r="G3012" s="193">
        <f t="shared" si="647"/>
        <v>0</v>
      </c>
      <c r="H3012" s="194">
        <v>0</v>
      </c>
      <c r="I3012" s="194">
        <v>0</v>
      </c>
      <c r="J3012" s="194">
        <v>0</v>
      </c>
      <c r="K3012" s="193">
        <f t="shared" si="648"/>
        <v>0</v>
      </c>
      <c r="L3012" s="194">
        <v>0</v>
      </c>
      <c r="M3012" s="194">
        <v>0</v>
      </c>
      <c r="N3012" s="194">
        <v>0</v>
      </c>
      <c r="O3012" s="193">
        <f t="shared" si="649"/>
        <v>0</v>
      </c>
      <c r="P3012" s="194">
        <v>0</v>
      </c>
      <c r="Q3012" s="194">
        <v>0</v>
      </c>
      <c r="R3012" s="194">
        <v>0</v>
      </c>
      <c r="S3012" s="193">
        <f t="shared" si="650"/>
        <v>0</v>
      </c>
      <c r="T3012" s="193">
        <f t="shared" si="651"/>
        <v>0</v>
      </c>
      <c r="U3012" s="193">
        <f ca="1">OFFSET('Expenditure Study'!$B$7,'Operations Support'!$C3012,'Operations Support'!$B3012)*$G3012</f>
        <v>0</v>
      </c>
      <c r="V3012" s="199">
        <f ca="1">U3012*'Expenditure Study'!$B$31</f>
        <v>0</v>
      </c>
      <c r="W3012" s="199">
        <f ca="1">IF(A3012=10298,1.51,1)*IF($B3012&lt;3,$D3012*'Expenditure Study'!$B$32*OFFSET('Expenditure Study'!$B$7,'Operations Support'!$C3012,'Operations Support'!$B3012),0)</f>
        <v>0</v>
      </c>
      <c r="X3012" s="200">
        <f ca="1">W3012*'Expenditure Study'!$B$31</f>
        <v>0</v>
      </c>
      <c r="Y3012" s="199">
        <f ca="1">U3012*'Expenditure Study'!$B$31</f>
        <v>0</v>
      </c>
      <c r="Z3012" s="200">
        <f ca="1">W3012*'Expenditure Study'!$B$31</f>
        <v>0</v>
      </c>
      <c r="AA3012" s="195">
        <f t="shared" ca="1" si="652"/>
        <v>0</v>
      </c>
      <c r="AB3012" s="195">
        <f t="shared" ca="1" si="653"/>
        <v>0</v>
      </c>
      <c r="AD3012" s="196">
        <f>IFERROR($G3012/SUMIF($A:$A,$A3012,$G:$G)*SUMIF(Summary!$A$166:$A$242,$A3012,Summary!$P$166:$P$242),0)</f>
        <v>0</v>
      </c>
      <c r="AE3012" s="197">
        <f t="shared" ca="1" si="654"/>
        <v>0</v>
      </c>
      <c r="AF3012" s="196">
        <f>IFERROR(G3012/SUMIF(A:A,A3012,G:G)*SUMIF(Summary!$A$166:$A$242,'Operations Support'!A3012,Summary!$Q$166:$Q$242),0)</f>
        <v>0</v>
      </c>
      <c r="AG3012" s="196">
        <f t="shared" ca="1" si="655"/>
        <v>0</v>
      </c>
      <c r="AI3012" s="196">
        <f>IFERROR($G3012/SUMIF($A:$A,$A3012,$G:$G)*SUMIF(Summary!$A$247:$A$283,$A3012,Summary!$P$247:$P$283),0)</f>
        <v>0</v>
      </c>
      <c r="AJ3012" s="196">
        <f>IFERROR($G3012/SUMIF($A:$A,$A3012,$G:$G)*(SUMIF(Summary!$A$247:$A$283,$A3012,Summary!$L$247:$L$283)+SUMIF(Summary!$A$297:$A$333,$A3012,Summary!$L$297:$L$333))-AI3012,0)</f>
        <v>0</v>
      </c>
      <c r="AK3012" s="196">
        <f>IFERROR($G3012/SUMIF($A:$A,$A3012,$G:$G)*SUMIF(Summary!$A$247:$A$283,$A3012,Summary!$Q$247:$Q$283),0)</f>
        <v>0</v>
      </c>
      <c r="AL3012" s="196">
        <f>IFERROR($G3012/SUMIF($A:$A,$A3012,$G:$G)*(SUMIF(Summary!$A$247:$A$283,$A3012,Summary!$L$247:$L$283)+SUMIF(Summary!$A$297:$A$333,$A3012,Summary!$L$297:$L$333))-AK3012,0)</f>
        <v>0</v>
      </c>
      <c r="AM3012" s="198"/>
      <c r="AN3012" s="196">
        <f t="shared" ca="1" si="656"/>
        <v>0</v>
      </c>
      <c r="AO3012" s="196">
        <f t="shared" ca="1" si="657"/>
        <v>0</v>
      </c>
    </row>
    <row r="3013" spans="1:41">
      <c r="A3013" s="189">
        <v>11161</v>
      </c>
      <c r="B3013" s="190">
        <v>4</v>
      </c>
      <c r="C3013" s="191" t="s">
        <v>225</v>
      </c>
      <c r="D3013" s="192">
        <f t="shared" ref="D3013:D3076" si="658">H3013+L3013+P3013</f>
        <v>361</v>
      </c>
      <c r="E3013" s="192">
        <f t="shared" ref="E3013:E3076" si="659">I3013+M3013+Q3013</f>
        <v>21</v>
      </c>
      <c r="F3013" s="192">
        <f t="shared" ref="F3013:F3076" si="660">J3013+N3013+R3013</f>
        <v>15</v>
      </c>
      <c r="G3013" s="193">
        <f t="shared" ref="G3013:G3076" si="661">(SUM(D3013:E3013)-F3013)*IF(A3013=10298,1.51,1)</f>
        <v>367</v>
      </c>
      <c r="H3013" s="194">
        <v>151</v>
      </c>
      <c r="I3013" s="194">
        <v>15</v>
      </c>
      <c r="J3013" s="194">
        <v>2</v>
      </c>
      <c r="K3013" s="193">
        <f t="shared" ref="K3013:K3076" si="662">SUM(H3013:I3013)-J3013</f>
        <v>164</v>
      </c>
      <c r="L3013" s="194">
        <v>159</v>
      </c>
      <c r="M3013" s="194">
        <v>3</v>
      </c>
      <c r="N3013" s="194">
        <v>13</v>
      </c>
      <c r="O3013" s="193">
        <f t="shared" ref="O3013:O3076" si="663">SUM(L3013:M3013)-N3013</f>
        <v>149</v>
      </c>
      <c r="P3013" s="194">
        <v>51</v>
      </c>
      <c r="Q3013" s="194">
        <v>3</v>
      </c>
      <c r="R3013" s="194">
        <v>0</v>
      </c>
      <c r="S3013" s="193">
        <f t="shared" ref="S3013:S3076" si="664">SUM(P3013:Q3013)-R3013</f>
        <v>54</v>
      </c>
      <c r="T3013" s="193">
        <f t="shared" ref="T3013:T3076" si="665">IF(OR(B3013=1,B3013=2),G3013/30,IF(OR(B3013=3,B3013=5),G3013/24,IF(B3013=4,G3013/18,0)))</f>
        <v>20.388888888888889</v>
      </c>
      <c r="U3013" s="193">
        <f ca="1">OFFSET('Expenditure Study'!$B$7,'Operations Support'!$C3013,'Operations Support'!$B3013)*$G3013</f>
        <v>6895.9299999999994</v>
      </c>
      <c r="V3013" s="199">
        <f ca="1">U3013*'Expenditure Study'!$B$31</f>
        <v>407433.47897414397</v>
      </c>
      <c r="W3013" s="199">
        <f ca="1">IF(A3013=10298,1.51,1)*IF($B3013&lt;3,$D3013*'Expenditure Study'!$B$32*OFFSET('Expenditure Study'!$B$7,'Operations Support'!$C3013,'Operations Support'!$B3013),0)</f>
        <v>0</v>
      </c>
      <c r="X3013" s="200">
        <f ca="1">W3013*'Expenditure Study'!$B$31</f>
        <v>0</v>
      </c>
      <c r="Y3013" s="199">
        <f ca="1">U3013*'Expenditure Study'!$B$31</f>
        <v>407433.47897414397</v>
      </c>
      <c r="Z3013" s="200">
        <f ca="1">W3013*'Expenditure Study'!$B$31</f>
        <v>0</v>
      </c>
      <c r="AA3013" s="195">
        <f t="shared" ref="AA3013:AA3076" ca="1" si="666">V3013+X3013</f>
        <v>407433.47897414397</v>
      </c>
      <c r="AB3013" s="195">
        <f t="shared" ref="AB3013:AB3076" ca="1" si="667">Y3013+Z3013</f>
        <v>407433.47897414397</v>
      </c>
      <c r="AD3013" s="196">
        <f>IFERROR($G3013/SUMIF($A:$A,$A3013,$G:$G)*SUMIF(Summary!$A$166:$A$242,$A3013,Summary!$P$166:$P$242),0)</f>
        <v>13175.684593201593</v>
      </c>
      <c r="AE3013" s="197">
        <f t="shared" ca="1" si="654"/>
        <v>394257.79438094236</v>
      </c>
      <c r="AF3013" s="196">
        <f>IFERROR(G3013/SUMIF(A:A,A3013,G:G)*SUMIF(Summary!$A$166:$A$242,'Operations Support'!A3013,Summary!$Q$166:$Q$242),0)</f>
        <v>13178.990455984864</v>
      </c>
      <c r="AG3013" s="196">
        <f t="shared" ca="1" si="655"/>
        <v>394254.48851815914</v>
      </c>
      <c r="AI3013" s="196">
        <f>IFERROR($G3013/SUMIF($A:$A,$A3013,$G:$G)*SUMIF(Summary!$A$247:$A$283,$A3013,Summary!$P$247:$P$283),0)</f>
        <v>2402.9160742560221</v>
      </c>
      <c r="AJ3013" s="196">
        <f>IFERROR($G3013/SUMIF($A:$A,$A3013,$G:$G)*(SUMIF(Summary!$A$247:$A$283,$A3013,Summary!$L$247:$L$283)+SUMIF(Summary!$A$297:$A$333,$A3013,Summary!$L$297:$L$333))-AI3013,0)</f>
        <v>7268.1473360463697</v>
      </c>
      <c r="AK3013" s="196">
        <f>IFERROR($G3013/SUMIF($A:$A,$A3013,$G:$G)*SUMIF(Summary!$A$247:$A$283,$A3013,Summary!$Q$247:$Q$283),0)</f>
        <v>2403.5189811308041</v>
      </c>
      <c r="AL3013" s="196">
        <f>IFERROR($G3013/SUMIF($A:$A,$A3013,$G:$G)*(SUMIF(Summary!$A$247:$A$283,$A3013,Summary!$L$247:$L$283)+SUMIF(Summary!$A$297:$A$333,$A3013,Summary!$L$297:$L$333))-AK3013,0)</f>
        <v>7267.5444291715867</v>
      </c>
      <c r="AM3013" s="198"/>
      <c r="AN3013" s="196">
        <f t="shared" ca="1" si="656"/>
        <v>401525.94171698875</v>
      </c>
      <c r="AO3013" s="196">
        <f t="shared" ca="1" si="657"/>
        <v>401522.03294733074</v>
      </c>
    </row>
    <row r="3014" spans="1:41">
      <c r="A3014" s="189">
        <v>11161</v>
      </c>
      <c r="B3014" s="190">
        <v>4</v>
      </c>
      <c r="C3014" s="191" t="s">
        <v>226</v>
      </c>
      <c r="D3014" s="192">
        <f t="shared" si="658"/>
        <v>0</v>
      </c>
      <c r="E3014" s="192">
        <f t="shared" si="659"/>
        <v>0</v>
      </c>
      <c r="F3014" s="192">
        <f t="shared" si="660"/>
        <v>0</v>
      </c>
      <c r="G3014" s="193">
        <f t="shared" si="661"/>
        <v>0</v>
      </c>
      <c r="H3014" s="194">
        <v>0</v>
      </c>
      <c r="I3014" s="194">
        <v>0</v>
      </c>
      <c r="J3014" s="194">
        <v>0</v>
      </c>
      <c r="K3014" s="193">
        <f t="shared" si="662"/>
        <v>0</v>
      </c>
      <c r="L3014" s="194">
        <v>0</v>
      </c>
      <c r="M3014" s="194">
        <v>0</v>
      </c>
      <c r="N3014" s="194">
        <v>0</v>
      </c>
      <c r="O3014" s="193">
        <f t="shared" si="663"/>
        <v>0</v>
      </c>
      <c r="P3014" s="194">
        <v>0</v>
      </c>
      <c r="Q3014" s="194">
        <v>0</v>
      </c>
      <c r="R3014" s="194">
        <v>0</v>
      </c>
      <c r="S3014" s="193">
        <f t="shared" si="664"/>
        <v>0</v>
      </c>
      <c r="T3014" s="193">
        <f t="shared" si="665"/>
        <v>0</v>
      </c>
      <c r="U3014" s="193">
        <f ca="1">OFFSET('Expenditure Study'!$B$7,'Operations Support'!$C3014,'Operations Support'!$B3014)*$G3014</f>
        <v>0</v>
      </c>
      <c r="V3014" s="199">
        <f ca="1">U3014*'Expenditure Study'!$B$31</f>
        <v>0</v>
      </c>
      <c r="W3014" s="199">
        <f ca="1">IF(A3014=10298,1.51,1)*IF($B3014&lt;3,$D3014*'Expenditure Study'!$B$32*OFFSET('Expenditure Study'!$B$7,'Operations Support'!$C3014,'Operations Support'!$B3014),0)</f>
        <v>0</v>
      </c>
      <c r="X3014" s="200">
        <f ca="1">W3014*'Expenditure Study'!$B$31</f>
        <v>0</v>
      </c>
      <c r="Y3014" s="199">
        <f ca="1">U3014*'Expenditure Study'!$B$31</f>
        <v>0</v>
      </c>
      <c r="Z3014" s="200">
        <f ca="1">W3014*'Expenditure Study'!$B$31</f>
        <v>0</v>
      </c>
      <c r="AA3014" s="195">
        <f t="shared" ca="1" si="666"/>
        <v>0</v>
      </c>
      <c r="AB3014" s="195">
        <f t="shared" ca="1" si="667"/>
        <v>0</v>
      </c>
      <c r="AD3014" s="196">
        <f>IFERROR($G3014/SUMIF($A:$A,$A3014,$G:$G)*SUMIF(Summary!$A$166:$A$242,$A3014,Summary!$P$166:$P$242),0)</f>
        <v>0</v>
      </c>
      <c r="AE3014" s="197">
        <f t="shared" ref="AE3014:AE3077" ca="1" si="668">V3014+X3014-AD3014</f>
        <v>0</v>
      </c>
      <c r="AF3014" s="196">
        <f>IFERROR(G3014/SUMIF(A:A,A3014,G:G)*SUMIF(Summary!$A$166:$A$242,'Operations Support'!A3014,Summary!$Q$166:$Q$242),0)</f>
        <v>0</v>
      </c>
      <c r="AG3014" s="196">
        <f t="shared" ref="AG3014:AG3077" ca="1" si="669">Y3014+Z3014-AF3014</f>
        <v>0</v>
      </c>
      <c r="AI3014" s="196">
        <f>IFERROR($G3014/SUMIF($A:$A,$A3014,$G:$G)*SUMIF(Summary!$A$247:$A$283,$A3014,Summary!$P$247:$P$283),0)</f>
        <v>0</v>
      </c>
      <c r="AJ3014" s="196">
        <f>IFERROR($G3014/SUMIF($A:$A,$A3014,$G:$G)*(SUMIF(Summary!$A$247:$A$283,$A3014,Summary!$L$247:$L$283)+SUMIF(Summary!$A$297:$A$333,$A3014,Summary!$L$297:$L$333))-AI3014,0)</f>
        <v>0</v>
      </c>
      <c r="AK3014" s="196">
        <f>IFERROR($G3014/SUMIF($A:$A,$A3014,$G:$G)*SUMIF(Summary!$A$247:$A$283,$A3014,Summary!$Q$247:$Q$283),0)</f>
        <v>0</v>
      </c>
      <c r="AL3014" s="196">
        <f>IFERROR($G3014/SUMIF($A:$A,$A3014,$G:$G)*(SUMIF(Summary!$A$247:$A$283,$A3014,Summary!$L$247:$L$283)+SUMIF(Summary!$A$297:$A$333,$A3014,Summary!$L$297:$L$333))-AK3014,0)</f>
        <v>0</v>
      </c>
      <c r="AM3014" s="198"/>
      <c r="AN3014" s="196">
        <f t="shared" ref="AN3014:AN3077" ca="1" si="670">AE3014+AJ3014</f>
        <v>0</v>
      </c>
      <c r="AO3014" s="196">
        <f t="shared" ref="AO3014:AO3077" ca="1" si="671">AG3014+AL3014</f>
        <v>0</v>
      </c>
    </row>
    <row r="3015" spans="1:41">
      <c r="A3015" s="189">
        <v>11161</v>
      </c>
      <c r="B3015" s="190">
        <v>4</v>
      </c>
      <c r="C3015" s="191" t="s">
        <v>227</v>
      </c>
      <c r="D3015" s="192">
        <f t="shared" si="658"/>
        <v>0</v>
      </c>
      <c r="E3015" s="192">
        <f t="shared" si="659"/>
        <v>0</v>
      </c>
      <c r="F3015" s="192">
        <f t="shared" si="660"/>
        <v>0</v>
      </c>
      <c r="G3015" s="193">
        <f t="shared" si="661"/>
        <v>0</v>
      </c>
      <c r="H3015" s="194">
        <v>0</v>
      </c>
      <c r="I3015" s="194">
        <v>0</v>
      </c>
      <c r="J3015" s="194">
        <v>0</v>
      </c>
      <c r="K3015" s="193">
        <f t="shared" si="662"/>
        <v>0</v>
      </c>
      <c r="L3015" s="194">
        <v>0</v>
      </c>
      <c r="M3015" s="194">
        <v>0</v>
      </c>
      <c r="N3015" s="194">
        <v>0</v>
      </c>
      <c r="O3015" s="193">
        <f t="shared" si="663"/>
        <v>0</v>
      </c>
      <c r="P3015" s="194">
        <v>0</v>
      </c>
      <c r="Q3015" s="194">
        <v>0</v>
      </c>
      <c r="R3015" s="194">
        <v>0</v>
      </c>
      <c r="S3015" s="193">
        <f t="shared" si="664"/>
        <v>0</v>
      </c>
      <c r="T3015" s="193">
        <f t="shared" si="665"/>
        <v>0</v>
      </c>
      <c r="U3015" s="193">
        <f ca="1">OFFSET('Expenditure Study'!$B$7,'Operations Support'!$C3015,'Operations Support'!$B3015)*$G3015</f>
        <v>0</v>
      </c>
      <c r="V3015" s="199">
        <f ca="1">U3015*'Expenditure Study'!$B$31</f>
        <v>0</v>
      </c>
      <c r="W3015" s="199">
        <f ca="1">IF(A3015=10298,1.51,1)*IF($B3015&lt;3,$D3015*'Expenditure Study'!$B$32*OFFSET('Expenditure Study'!$B$7,'Operations Support'!$C3015,'Operations Support'!$B3015),0)</f>
        <v>0</v>
      </c>
      <c r="X3015" s="200">
        <f ca="1">W3015*'Expenditure Study'!$B$31</f>
        <v>0</v>
      </c>
      <c r="Y3015" s="199">
        <f ca="1">U3015*'Expenditure Study'!$B$31</f>
        <v>0</v>
      </c>
      <c r="Z3015" s="200">
        <f ca="1">W3015*'Expenditure Study'!$B$31</f>
        <v>0</v>
      </c>
      <c r="AA3015" s="195">
        <f t="shared" ca="1" si="666"/>
        <v>0</v>
      </c>
      <c r="AB3015" s="195">
        <f t="shared" ca="1" si="667"/>
        <v>0</v>
      </c>
      <c r="AD3015" s="196">
        <f>IFERROR($G3015/SUMIF($A:$A,$A3015,$G:$G)*SUMIF(Summary!$A$166:$A$242,$A3015,Summary!$P$166:$P$242),0)</f>
        <v>0</v>
      </c>
      <c r="AE3015" s="197">
        <f t="shared" ca="1" si="668"/>
        <v>0</v>
      </c>
      <c r="AF3015" s="196">
        <f>IFERROR(G3015/SUMIF(A:A,A3015,G:G)*SUMIF(Summary!$A$166:$A$242,'Operations Support'!A3015,Summary!$Q$166:$Q$242),0)</f>
        <v>0</v>
      </c>
      <c r="AG3015" s="196">
        <f t="shared" ca="1" si="669"/>
        <v>0</v>
      </c>
      <c r="AI3015" s="196">
        <f>IFERROR($G3015/SUMIF($A:$A,$A3015,$G:$G)*SUMIF(Summary!$A$247:$A$283,$A3015,Summary!$P$247:$P$283),0)</f>
        <v>0</v>
      </c>
      <c r="AJ3015" s="196">
        <f>IFERROR($G3015/SUMIF($A:$A,$A3015,$G:$G)*(SUMIF(Summary!$A$247:$A$283,$A3015,Summary!$L$247:$L$283)+SUMIF(Summary!$A$297:$A$333,$A3015,Summary!$L$297:$L$333))-AI3015,0)</f>
        <v>0</v>
      </c>
      <c r="AK3015" s="196">
        <f>IFERROR($G3015/SUMIF($A:$A,$A3015,$G:$G)*SUMIF(Summary!$A$247:$A$283,$A3015,Summary!$Q$247:$Q$283),0)</f>
        <v>0</v>
      </c>
      <c r="AL3015" s="196">
        <f>IFERROR($G3015/SUMIF($A:$A,$A3015,$G:$G)*(SUMIF(Summary!$A$247:$A$283,$A3015,Summary!$L$247:$L$283)+SUMIF(Summary!$A$297:$A$333,$A3015,Summary!$L$297:$L$333))-AK3015,0)</f>
        <v>0</v>
      </c>
      <c r="AM3015" s="198"/>
      <c r="AN3015" s="196">
        <f t="shared" ca="1" si="670"/>
        <v>0</v>
      </c>
      <c r="AO3015" s="196">
        <f t="shared" ca="1" si="671"/>
        <v>0</v>
      </c>
    </row>
    <row r="3016" spans="1:41">
      <c r="A3016" s="189">
        <v>11161</v>
      </c>
      <c r="B3016" s="190">
        <v>4</v>
      </c>
      <c r="C3016" s="191" t="s">
        <v>228</v>
      </c>
      <c r="D3016" s="192">
        <f t="shared" si="658"/>
        <v>0</v>
      </c>
      <c r="E3016" s="192">
        <f t="shared" si="659"/>
        <v>0</v>
      </c>
      <c r="F3016" s="192">
        <f t="shared" si="660"/>
        <v>0</v>
      </c>
      <c r="G3016" s="193">
        <f t="shared" si="661"/>
        <v>0</v>
      </c>
      <c r="H3016" s="194">
        <v>0</v>
      </c>
      <c r="I3016" s="194">
        <v>0</v>
      </c>
      <c r="J3016" s="194">
        <v>0</v>
      </c>
      <c r="K3016" s="193">
        <f t="shared" si="662"/>
        <v>0</v>
      </c>
      <c r="L3016" s="194">
        <v>0</v>
      </c>
      <c r="M3016" s="194">
        <v>0</v>
      </c>
      <c r="N3016" s="194">
        <v>0</v>
      </c>
      <c r="O3016" s="193">
        <f t="shared" si="663"/>
        <v>0</v>
      </c>
      <c r="P3016" s="194">
        <v>0</v>
      </c>
      <c r="Q3016" s="194">
        <v>0</v>
      </c>
      <c r="R3016" s="194">
        <v>0</v>
      </c>
      <c r="S3016" s="193">
        <f t="shared" si="664"/>
        <v>0</v>
      </c>
      <c r="T3016" s="193">
        <f t="shared" si="665"/>
        <v>0</v>
      </c>
      <c r="U3016" s="193">
        <f ca="1">OFFSET('Expenditure Study'!$B$7,'Operations Support'!$C3016,'Operations Support'!$B3016)*$G3016</f>
        <v>0</v>
      </c>
      <c r="V3016" s="199">
        <f ca="1">U3016*'Expenditure Study'!$B$31</f>
        <v>0</v>
      </c>
      <c r="W3016" s="199">
        <f ca="1">IF(A3016=10298,1.51,1)*IF($B3016&lt;3,$D3016*'Expenditure Study'!$B$32*OFFSET('Expenditure Study'!$B$7,'Operations Support'!$C3016,'Operations Support'!$B3016),0)</f>
        <v>0</v>
      </c>
      <c r="X3016" s="200">
        <f ca="1">W3016*'Expenditure Study'!$B$31</f>
        <v>0</v>
      </c>
      <c r="Y3016" s="199">
        <f ca="1">U3016*'Expenditure Study'!$B$31</f>
        <v>0</v>
      </c>
      <c r="Z3016" s="200">
        <f ca="1">W3016*'Expenditure Study'!$B$31</f>
        <v>0</v>
      </c>
      <c r="AA3016" s="195">
        <f t="shared" ca="1" si="666"/>
        <v>0</v>
      </c>
      <c r="AB3016" s="195">
        <f t="shared" ca="1" si="667"/>
        <v>0</v>
      </c>
      <c r="AD3016" s="196">
        <f>IFERROR($G3016/SUMIF($A:$A,$A3016,$G:$G)*SUMIF(Summary!$A$166:$A$242,$A3016,Summary!$P$166:$P$242),0)</f>
        <v>0</v>
      </c>
      <c r="AE3016" s="197">
        <f t="shared" ca="1" si="668"/>
        <v>0</v>
      </c>
      <c r="AF3016" s="196">
        <f>IFERROR(G3016/SUMIF(A:A,A3016,G:G)*SUMIF(Summary!$A$166:$A$242,'Operations Support'!A3016,Summary!$Q$166:$Q$242),0)</f>
        <v>0</v>
      </c>
      <c r="AG3016" s="196">
        <f t="shared" ca="1" si="669"/>
        <v>0</v>
      </c>
      <c r="AI3016" s="196">
        <f>IFERROR($G3016/SUMIF($A:$A,$A3016,$G:$G)*SUMIF(Summary!$A$247:$A$283,$A3016,Summary!$P$247:$P$283),0)</f>
        <v>0</v>
      </c>
      <c r="AJ3016" s="196">
        <f>IFERROR($G3016/SUMIF($A:$A,$A3016,$G:$G)*(SUMIF(Summary!$A$247:$A$283,$A3016,Summary!$L$247:$L$283)+SUMIF(Summary!$A$297:$A$333,$A3016,Summary!$L$297:$L$333))-AI3016,0)</f>
        <v>0</v>
      </c>
      <c r="AK3016" s="196">
        <f>IFERROR($G3016/SUMIF($A:$A,$A3016,$G:$G)*SUMIF(Summary!$A$247:$A$283,$A3016,Summary!$Q$247:$Q$283),0)</f>
        <v>0</v>
      </c>
      <c r="AL3016" s="196">
        <f>IFERROR($G3016/SUMIF($A:$A,$A3016,$G:$G)*(SUMIF(Summary!$A$247:$A$283,$A3016,Summary!$L$247:$L$283)+SUMIF(Summary!$A$297:$A$333,$A3016,Summary!$L$297:$L$333))-AK3016,0)</f>
        <v>0</v>
      </c>
      <c r="AM3016" s="198"/>
      <c r="AN3016" s="196">
        <f t="shared" ca="1" si="670"/>
        <v>0</v>
      </c>
      <c r="AO3016" s="196">
        <f t="shared" ca="1" si="671"/>
        <v>0</v>
      </c>
    </row>
    <row r="3017" spans="1:41">
      <c r="A3017" s="189">
        <v>11161</v>
      </c>
      <c r="B3017" s="190">
        <v>4</v>
      </c>
      <c r="C3017" s="191" t="s">
        <v>229</v>
      </c>
      <c r="D3017" s="192">
        <f t="shared" si="658"/>
        <v>0</v>
      </c>
      <c r="E3017" s="192">
        <f t="shared" si="659"/>
        <v>0</v>
      </c>
      <c r="F3017" s="192">
        <f t="shared" si="660"/>
        <v>0</v>
      </c>
      <c r="G3017" s="193">
        <f t="shared" si="661"/>
        <v>0</v>
      </c>
      <c r="H3017" s="194">
        <v>0</v>
      </c>
      <c r="I3017" s="194">
        <v>0</v>
      </c>
      <c r="J3017" s="194">
        <v>0</v>
      </c>
      <c r="K3017" s="193">
        <f t="shared" si="662"/>
        <v>0</v>
      </c>
      <c r="L3017" s="194">
        <v>0</v>
      </c>
      <c r="M3017" s="194">
        <v>0</v>
      </c>
      <c r="N3017" s="194">
        <v>0</v>
      </c>
      <c r="O3017" s="193">
        <f t="shared" si="663"/>
        <v>0</v>
      </c>
      <c r="P3017" s="194">
        <v>0</v>
      </c>
      <c r="Q3017" s="194">
        <v>0</v>
      </c>
      <c r="R3017" s="194">
        <v>0</v>
      </c>
      <c r="S3017" s="193">
        <f t="shared" si="664"/>
        <v>0</v>
      </c>
      <c r="T3017" s="193">
        <f t="shared" si="665"/>
        <v>0</v>
      </c>
      <c r="U3017" s="193">
        <f ca="1">OFFSET('Expenditure Study'!$B$7,'Operations Support'!$C3017,'Operations Support'!$B3017)*$G3017</f>
        <v>0</v>
      </c>
      <c r="V3017" s="199">
        <f ca="1">U3017*'Expenditure Study'!$B$31</f>
        <v>0</v>
      </c>
      <c r="W3017" s="199">
        <f ca="1">IF(A3017=10298,1.51,1)*IF($B3017&lt;3,$D3017*'Expenditure Study'!$B$32*OFFSET('Expenditure Study'!$B$7,'Operations Support'!$C3017,'Operations Support'!$B3017),0)</f>
        <v>0</v>
      </c>
      <c r="X3017" s="200">
        <f ca="1">W3017*'Expenditure Study'!$B$31</f>
        <v>0</v>
      </c>
      <c r="Y3017" s="199">
        <f ca="1">U3017*'Expenditure Study'!$B$31</f>
        <v>0</v>
      </c>
      <c r="Z3017" s="200">
        <f ca="1">W3017*'Expenditure Study'!$B$31</f>
        <v>0</v>
      </c>
      <c r="AA3017" s="195">
        <f t="shared" ca="1" si="666"/>
        <v>0</v>
      </c>
      <c r="AB3017" s="195">
        <f t="shared" ca="1" si="667"/>
        <v>0</v>
      </c>
      <c r="AD3017" s="196">
        <f>IFERROR($G3017/SUMIF($A:$A,$A3017,$G:$G)*SUMIF(Summary!$A$166:$A$242,$A3017,Summary!$P$166:$P$242),0)</f>
        <v>0</v>
      </c>
      <c r="AE3017" s="197">
        <f t="shared" ca="1" si="668"/>
        <v>0</v>
      </c>
      <c r="AF3017" s="196">
        <f>IFERROR(G3017/SUMIF(A:A,A3017,G:G)*SUMIF(Summary!$A$166:$A$242,'Operations Support'!A3017,Summary!$Q$166:$Q$242),0)</f>
        <v>0</v>
      </c>
      <c r="AG3017" s="196">
        <f t="shared" ca="1" si="669"/>
        <v>0</v>
      </c>
      <c r="AI3017" s="196">
        <f>IFERROR($G3017/SUMIF($A:$A,$A3017,$G:$G)*SUMIF(Summary!$A$247:$A$283,$A3017,Summary!$P$247:$P$283),0)</f>
        <v>0</v>
      </c>
      <c r="AJ3017" s="196">
        <f>IFERROR($G3017/SUMIF($A:$A,$A3017,$G:$G)*(SUMIF(Summary!$A$247:$A$283,$A3017,Summary!$L$247:$L$283)+SUMIF(Summary!$A$297:$A$333,$A3017,Summary!$L$297:$L$333))-AI3017,0)</f>
        <v>0</v>
      </c>
      <c r="AK3017" s="196">
        <f>IFERROR($G3017/SUMIF($A:$A,$A3017,$G:$G)*SUMIF(Summary!$A$247:$A$283,$A3017,Summary!$Q$247:$Q$283),0)</f>
        <v>0</v>
      </c>
      <c r="AL3017" s="196">
        <f>IFERROR($G3017/SUMIF($A:$A,$A3017,$G:$G)*(SUMIF(Summary!$A$247:$A$283,$A3017,Summary!$L$247:$L$283)+SUMIF(Summary!$A$297:$A$333,$A3017,Summary!$L$297:$L$333))-AK3017,0)</f>
        <v>0</v>
      </c>
      <c r="AM3017" s="198"/>
      <c r="AN3017" s="196">
        <f t="shared" ca="1" si="670"/>
        <v>0</v>
      </c>
      <c r="AO3017" s="196">
        <f t="shared" ca="1" si="671"/>
        <v>0</v>
      </c>
    </row>
    <row r="3018" spans="1:41">
      <c r="A3018" s="189">
        <v>11161</v>
      </c>
      <c r="B3018" s="190">
        <v>4</v>
      </c>
      <c r="C3018" s="191" t="s">
        <v>230</v>
      </c>
      <c r="D3018" s="192">
        <f t="shared" si="658"/>
        <v>0</v>
      </c>
      <c r="E3018" s="192">
        <f t="shared" si="659"/>
        <v>0</v>
      </c>
      <c r="F3018" s="192">
        <f t="shared" si="660"/>
        <v>0</v>
      </c>
      <c r="G3018" s="193">
        <f t="shared" si="661"/>
        <v>0</v>
      </c>
      <c r="H3018" s="194">
        <v>0</v>
      </c>
      <c r="I3018" s="194">
        <v>0</v>
      </c>
      <c r="J3018" s="194">
        <v>0</v>
      </c>
      <c r="K3018" s="193">
        <f t="shared" si="662"/>
        <v>0</v>
      </c>
      <c r="L3018" s="194">
        <v>0</v>
      </c>
      <c r="M3018" s="194">
        <v>0</v>
      </c>
      <c r="N3018" s="194">
        <v>0</v>
      </c>
      <c r="O3018" s="193">
        <f t="shared" si="663"/>
        <v>0</v>
      </c>
      <c r="P3018" s="194">
        <v>0</v>
      </c>
      <c r="Q3018" s="194">
        <v>0</v>
      </c>
      <c r="R3018" s="194">
        <v>0</v>
      </c>
      <c r="S3018" s="193">
        <f t="shared" si="664"/>
        <v>0</v>
      </c>
      <c r="T3018" s="193">
        <f t="shared" si="665"/>
        <v>0</v>
      </c>
      <c r="U3018" s="193">
        <f ca="1">OFFSET('Expenditure Study'!$B$7,'Operations Support'!$C3018,'Operations Support'!$B3018)*$G3018</f>
        <v>0</v>
      </c>
      <c r="V3018" s="199">
        <f ca="1">U3018*'Expenditure Study'!$B$31</f>
        <v>0</v>
      </c>
      <c r="W3018" s="199">
        <f ca="1">IF(A3018=10298,1.51,1)*IF($B3018&lt;3,$D3018*'Expenditure Study'!$B$32*OFFSET('Expenditure Study'!$B$7,'Operations Support'!$C3018,'Operations Support'!$B3018),0)</f>
        <v>0</v>
      </c>
      <c r="X3018" s="200">
        <f ca="1">W3018*'Expenditure Study'!$B$31</f>
        <v>0</v>
      </c>
      <c r="Y3018" s="199">
        <f ca="1">U3018*'Expenditure Study'!$B$31</f>
        <v>0</v>
      </c>
      <c r="Z3018" s="200">
        <f ca="1">W3018*'Expenditure Study'!$B$31</f>
        <v>0</v>
      </c>
      <c r="AA3018" s="195">
        <f t="shared" ca="1" si="666"/>
        <v>0</v>
      </c>
      <c r="AB3018" s="195">
        <f t="shared" ca="1" si="667"/>
        <v>0</v>
      </c>
      <c r="AD3018" s="196">
        <f>IFERROR($G3018/SUMIF($A:$A,$A3018,$G:$G)*SUMIF(Summary!$A$166:$A$242,$A3018,Summary!$P$166:$P$242),0)</f>
        <v>0</v>
      </c>
      <c r="AE3018" s="197">
        <f t="shared" ca="1" si="668"/>
        <v>0</v>
      </c>
      <c r="AF3018" s="196">
        <f>IFERROR(G3018/SUMIF(A:A,A3018,G:G)*SUMIF(Summary!$A$166:$A$242,'Operations Support'!A3018,Summary!$Q$166:$Q$242),0)</f>
        <v>0</v>
      </c>
      <c r="AG3018" s="196">
        <f t="shared" ca="1" si="669"/>
        <v>0</v>
      </c>
      <c r="AI3018" s="196">
        <f>IFERROR($G3018/SUMIF($A:$A,$A3018,$G:$G)*SUMIF(Summary!$A$247:$A$283,$A3018,Summary!$P$247:$P$283),0)</f>
        <v>0</v>
      </c>
      <c r="AJ3018" s="196">
        <f>IFERROR($G3018/SUMIF($A:$A,$A3018,$G:$G)*(SUMIF(Summary!$A$247:$A$283,$A3018,Summary!$L$247:$L$283)+SUMIF(Summary!$A$297:$A$333,$A3018,Summary!$L$297:$L$333))-AI3018,0)</f>
        <v>0</v>
      </c>
      <c r="AK3018" s="196">
        <f>IFERROR($G3018/SUMIF($A:$A,$A3018,$G:$G)*SUMIF(Summary!$A$247:$A$283,$A3018,Summary!$Q$247:$Q$283),0)</f>
        <v>0</v>
      </c>
      <c r="AL3018" s="196">
        <f>IFERROR($G3018/SUMIF($A:$A,$A3018,$G:$G)*(SUMIF(Summary!$A$247:$A$283,$A3018,Summary!$L$247:$L$283)+SUMIF(Summary!$A$297:$A$333,$A3018,Summary!$L$297:$L$333))-AK3018,0)</f>
        <v>0</v>
      </c>
      <c r="AM3018" s="198"/>
      <c r="AN3018" s="196">
        <f t="shared" ca="1" si="670"/>
        <v>0</v>
      </c>
      <c r="AO3018" s="196">
        <f t="shared" ca="1" si="671"/>
        <v>0</v>
      </c>
    </row>
    <row r="3019" spans="1:41">
      <c r="A3019" s="189">
        <v>11161</v>
      </c>
      <c r="B3019" s="190">
        <v>4</v>
      </c>
      <c r="C3019" s="191" t="s">
        <v>231</v>
      </c>
      <c r="D3019" s="192">
        <f t="shared" si="658"/>
        <v>0</v>
      </c>
      <c r="E3019" s="192">
        <f t="shared" si="659"/>
        <v>0</v>
      </c>
      <c r="F3019" s="192">
        <f t="shared" si="660"/>
        <v>0</v>
      </c>
      <c r="G3019" s="193">
        <f t="shared" si="661"/>
        <v>0</v>
      </c>
      <c r="H3019" s="194">
        <v>0</v>
      </c>
      <c r="I3019" s="194">
        <v>0</v>
      </c>
      <c r="J3019" s="194">
        <v>0</v>
      </c>
      <c r="K3019" s="193">
        <f t="shared" si="662"/>
        <v>0</v>
      </c>
      <c r="L3019" s="194">
        <v>0</v>
      </c>
      <c r="M3019" s="194">
        <v>0</v>
      </c>
      <c r="N3019" s="194">
        <v>0</v>
      </c>
      <c r="O3019" s="193">
        <f t="shared" si="663"/>
        <v>0</v>
      </c>
      <c r="P3019" s="194">
        <v>0</v>
      </c>
      <c r="Q3019" s="194">
        <v>0</v>
      </c>
      <c r="R3019" s="194">
        <v>0</v>
      </c>
      <c r="S3019" s="193">
        <f t="shared" si="664"/>
        <v>0</v>
      </c>
      <c r="T3019" s="193">
        <f t="shared" si="665"/>
        <v>0</v>
      </c>
      <c r="U3019" s="193">
        <f ca="1">OFFSET('Expenditure Study'!$B$7,'Operations Support'!$C3019,'Operations Support'!$B3019)*$G3019</f>
        <v>0</v>
      </c>
      <c r="V3019" s="199">
        <f ca="1">U3019*'Expenditure Study'!$B$31</f>
        <v>0</v>
      </c>
      <c r="W3019" s="199">
        <f ca="1">IF(A3019=10298,1.51,1)*IF($B3019&lt;3,$D3019*'Expenditure Study'!$B$32*OFFSET('Expenditure Study'!$B$7,'Operations Support'!$C3019,'Operations Support'!$B3019),0)</f>
        <v>0</v>
      </c>
      <c r="X3019" s="200">
        <f ca="1">W3019*'Expenditure Study'!$B$31</f>
        <v>0</v>
      </c>
      <c r="Y3019" s="199">
        <f ca="1">U3019*'Expenditure Study'!$B$31</f>
        <v>0</v>
      </c>
      <c r="Z3019" s="200">
        <f ca="1">W3019*'Expenditure Study'!$B$31</f>
        <v>0</v>
      </c>
      <c r="AA3019" s="195">
        <f t="shared" ca="1" si="666"/>
        <v>0</v>
      </c>
      <c r="AB3019" s="195">
        <f t="shared" ca="1" si="667"/>
        <v>0</v>
      </c>
      <c r="AD3019" s="196">
        <f>IFERROR($G3019/SUMIF($A:$A,$A3019,$G:$G)*SUMIF(Summary!$A$166:$A$242,$A3019,Summary!$P$166:$P$242),0)</f>
        <v>0</v>
      </c>
      <c r="AE3019" s="197">
        <f t="shared" ca="1" si="668"/>
        <v>0</v>
      </c>
      <c r="AF3019" s="196">
        <f>IFERROR(G3019/SUMIF(A:A,A3019,G:G)*SUMIF(Summary!$A$166:$A$242,'Operations Support'!A3019,Summary!$Q$166:$Q$242),0)</f>
        <v>0</v>
      </c>
      <c r="AG3019" s="196">
        <f t="shared" ca="1" si="669"/>
        <v>0</v>
      </c>
      <c r="AI3019" s="196">
        <f>IFERROR($G3019/SUMIF($A:$A,$A3019,$G:$G)*SUMIF(Summary!$A$247:$A$283,$A3019,Summary!$P$247:$P$283),0)</f>
        <v>0</v>
      </c>
      <c r="AJ3019" s="196">
        <f>IFERROR($G3019/SUMIF($A:$A,$A3019,$G:$G)*(SUMIF(Summary!$A$247:$A$283,$A3019,Summary!$L$247:$L$283)+SUMIF(Summary!$A$297:$A$333,$A3019,Summary!$L$297:$L$333))-AI3019,0)</f>
        <v>0</v>
      </c>
      <c r="AK3019" s="196">
        <f>IFERROR($G3019/SUMIF($A:$A,$A3019,$G:$G)*SUMIF(Summary!$A$247:$A$283,$A3019,Summary!$Q$247:$Q$283),0)</f>
        <v>0</v>
      </c>
      <c r="AL3019" s="196">
        <f>IFERROR($G3019/SUMIF($A:$A,$A3019,$G:$G)*(SUMIF(Summary!$A$247:$A$283,$A3019,Summary!$L$247:$L$283)+SUMIF(Summary!$A$297:$A$333,$A3019,Summary!$L$297:$L$333))-AK3019,0)</f>
        <v>0</v>
      </c>
      <c r="AM3019" s="198"/>
      <c r="AN3019" s="196">
        <f t="shared" ca="1" si="670"/>
        <v>0</v>
      </c>
      <c r="AO3019" s="196">
        <f t="shared" ca="1" si="671"/>
        <v>0</v>
      </c>
    </row>
    <row r="3020" spans="1:41">
      <c r="A3020" s="189">
        <v>11161</v>
      </c>
      <c r="B3020" s="190">
        <v>4</v>
      </c>
      <c r="C3020" s="191" t="s">
        <v>232</v>
      </c>
      <c r="D3020" s="192">
        <f t="shared" si="658"/>
        <v>0</v>
      </c>
      <c r="E3020" s="192">
        <f t="shared" si="659"/>
        <v>0</v>
      </c>
      <c r="F3020" s="192">
        <f t="shared" si="660"/>
        <v>0</v>
      </c>
      <c r="G3020" s="193">
        <f t="shared" si="661"/>
        <v>0</v>
      </c>
      <c r="H3020" s="194">
        <v>0</v>
      </c>
      <c r="I3020" s="194">
        <v>0</v>
      </c>
      <c r="J3020" s="194">
        <v>0</v>
      </c>
      <c r="K3020" s="193">
        <f t="shared" si="662"/>
        <v>0</v>
      </c>
      <c r="L3020" s="194">
        <v>0</v>
      </c>
      <c r="M3020" s="194">
        <v>0</v>
      </c>
      <c r="N3020" s="194">
        <v>0</v>
      </c>
      <c r="O3020" s="193">
        <f t="shared" si="663"/>
        <v>0</v>
      </c>
      <c r="P3020" s="194">
        <v>0</v>
      </c>
      <c r="Q3020" s="194">
        <v>0</v>
      </c>
      <c r="R3020" s="194">
        <v>0</v>
      </c>
      <c r="S3020" s="193">
        <f t="shared" si="664"/>
        <v>0</v>
      </c>
      <c r="T3020" s="193">
        <f t="shared" si="665"/>
        <v>0</v>
      </c>
      <c r="U3020" s="193">
        <f ca="1">OFFSET('Expenditure Study'!$B$7,'Operations Support'!$C3020,'Operations Support'!$B3020)*$G3020</f>
        <v>0</v>
      </c>
      <c r="V3020" s="199">
        <f ca="1">U3020*'Expenditure Study'!$B$31</f>
        <v>0</v>
      </c>
      <c r="W3020" s="199">
        <f ca="1">IF(A3020=10298,1.51,1)*IF($B3020&lt;3,$D3020*'Expenditure Study'!$B$32*OFFSET('Expenditure Study'!$B$7,'Operations Support'!$C3020,'Operations Support'!$B3020),0)</f>
        <v>0</v>
      </c>
      <c r="X3020" s="200">
        <f ca="1">W3020*'Expenditure Study'!$B$31</f>
        <v>0</v>
      </c>
      <c r="Y3020" s="199">
        <f ca="1">U3020*'Expenditure Study'!$B$31</f>
        <v>0</v>
      </c>
      <c r="Z3020" s="200">
        <f ca="1">W3020*'Expenditure Study'!$B$31</f>
        <v>0</v>
      </c>
      <c r="AA3020" s="195">
        <f t="shared" ca="1" si="666"/>
        <v>0</v>
      </c>
      <c r="AB3020" s="195">
        <f t="shared" ca="1" si="667"/>
        <v>0</v>
      </c>
      <c r="AD3020" s="196">
        <f>IFERROR($G3020/SUMIF($A:$A,$A3020,$G:$G)*SUMIF(Summary!$A$166:$A$242,$A3020,Summary!$P$166:$P$242),0)</f>
        <v>0</v>
      </c>
      <c r="AE3020" s="197">
        <f t="shared" ca="1" si="668"/>
        <v>0</v>
      </c>
      <c r="AF3020" s="196">
        <f>IFERROR(G3020/SUMIF(A:A,A3020,G:G)*SUMIF(Summary!$A$166:$A$242,'Operations Support'!A3020,Summary!$Q$166:$Q$242),0)</f>
        <v>0</v>
      </c>
      <c r="AG3020" s="196">
        <f t="shared" ca="1" si="669"/>
        <v>0</v>
      </c>
      <c r="AI3020" s="196">
        <f>IFERROR($G3020/SUMIF($A:$A,$A3020,$G:$G)*SUMIF(Summary!$A$247:$A$283,$A3020,Summary!$P$247:$P$283),0)</f>
        <v>0</v>
      </c>
      <c r="AJ3020" s="196">
        <f>IFERROR($G3020/SUMIF($A:$A,$A3020,$G:$G)*(SUMIF(Summary!$A$247:$A$283,$A3020,Summary!$L$247:$L$283)+SUMIF(Summary!$A$297:$A$333,$A3020,Summary!$L$297:$L$333))-AI3020,0)</f>
        <v>0</v>
      </c>
      <c r="AK3020" s="196">
        <f>IFERROR($G3020/SUMIF($A:$A,$A3020,$G:$G)*SUMIF(Summary!$A$247:$A$283,$A3020,Summary!$Q$247:$Q$283),0)</f>
        <v>0</v>
      </c>
      <c r="AL3020" s="196">
        <f>IFERROR($G3020/SUMIF($A:$A,$A3020,$G:$G)*(SUMIF(Summary!$A$247:$A$283,$A3020,Summary!$L$247:$L$283)+SUMIF(Summary!$A$297:$A$333,$A3020,Summary!$L$297:$L$333))-AK3020,0)</f>
        <v>0</v>
      </c>
      <c r="AM3020" s="198"/>
      <c r="AN3020" s="196">
        <f t="shared" ca="1" si="670"/>
        <v>0</v>
      </c>
      <c r="AO3020" s="196">
        <f t="shared" ca="1" si="671"/>
        <v>0</v>
      </c>
    </row>
    <row r="3021" spans="1:41">
      <c r="A3021" s="189">
        <v>11161</v>
      </c>
      <c r="B3021" s="190">
        <v>4</v>
      </c>
      <c r="C3021" s="191" t="s">
        <v>233</v>
      </c>
      <c r="D3021" s="192">
        <f t="shared" si="658"/>
        <v>359</v>
      </c>
      <c r="E3021" s="192">
        <f t="shared" si="659"/>
        <v>51</v>
      </c>
      <c r="F3021" s="192">
        <f t="shared" si="660"/>
        <v>18</v>
      </c>
      <c r="G3021" s="193">
        <f t="shared" si="661"/>
        <v>392</v>
      </c>
      <c r="H3021" s="194">
        <v>97</v>
      </c>
      <c r="I3021" s="194">
        <v>27</v>
      </c>
      <c r="J3021" s="194">
        <v>9</v>
      </c>
      <c r="K3021" s="193">
        <f t="shared" si="662"/>
        <v>115</v>
      </c>
      <c r="L3021" s="194">
        <v>123</v>
      </c>
      <c r="M3021" s="194">
        <v>24</v>
      </c>
      <c r="N3021" s="194">
        <v>0</v>
      </c>
      <c r="O3021" s="193">
        <f t="shared" si="663"/>
        <v>147</v>
      </c>
      <c r="P3021" s="194">
        <v>139</v>
      </c>
      <c r="Q3021" s="194">
        <v>0</v>
      </c>
      <c r="R3021" s="194">
        <v>9</v>
      </c>
      <c r="S3021" s="193">
        <f t="shared" si="664"/>
        <v>130</v>
      </c>
      <c r="T3021" s="193">
        <f t="shared" si="665"/>
        <v>21.777777777777779</v>
      </c>
      <c r="U3021" s="193">
        <f ca="1">OFFSET('Expenditure Study'!$B$7,'Operations Support'!$C3021,'Operations Support'!$B3021)*$G3021</f>
        <v>3606.3999999999996</v>
      </c>
      <c r="V3021" s="199">
        <f ca="1">U3021*'Expenditure Study'!$B$31</f>
        <v>213077.58323711998</v>
      </c>
      <c r="W3021" s="199">
        <f ca="1">IF(A3021=10298,1.51,1)*IF($B3021&lt;3,$D3021*'Expenditure Study'!$B$32*OFFSET('Expenditure Study'!$B$7,'Operations Support'!$C3021,'Operations Support'!$B3021),0)</f>
        <v>0</v>
      </c>
      <c r="X3021" s="200">
        <f ca="1">W3021*'Expenditure Study'!$B$31</f>
        <v>0</v>
      </c>
      <c r="Y3021" s="199">
        <f ca="1">U3021*'Expenditure Study'!$B$31</f>
        <v>213077.58323711998</v>
      </c>
      <c r="Z3021" s="200">
        <f ca="1">W3021*'Expenditure Study'!$B$31</f>
        <v>0</v>
      </c>
      <c r="AA3021" s="195">
        <f t="shared" ca="1" si="666"/>
        <v>213077.58323711998</v>
      </c>
      <c r="AB3021" s="195">
        <f t="shared" ca="1" si="667"/>
        <v>213077.58323711998</v>
      </c>
      <c r="AD3021" s="196">
        <f>IFERROR($G3021/SUMIF($A:$A,$A3021,$G:$G)*SUMIF(Summary!$A$166:$A$242,$A3021,Summary!$P$166:$P$242),0)</f>
        <v>14073.210791648567</v>
      </c>
      <c r="AE3021" s="197">
        <f t="shared" ca="1" si="668"/>
        <v>199004.37244547141</v>
      </c>
      <c r="AF3021" s="196">
        <f>IFERROR(G3021/SUMIF(A:A,A3021,G:G)*SUMIF(Summary!$A$166:$A$242,'Operations Support'!A3021,Summary!$Q$166:$Q$242),0)</f>
        <v>14076.741849444323</v>
      </c>
      <c r="AG3021" s="196">
        <f t="shared" ca="1" si="669"/>
        <v>199000.84138767567</v>
      </c>
      <c r="AI3021" s="196">
        <f>IFERROR($G3021/SUMIF($A:$A,$A3021,$G:$G)*SUMIF(Summary!$A$247:$A$283,$A3021,Summary!$P$247:$P$283),0)</f>
        <v>2566.6024553361326</v>
      </c>
      <c r="AJ3021" s="196">
        <f>IFERROR($G3021/SUMIF($A:$A,$A3021,$G:$G)*(SUMIF(Summary!$A$247:$A$283,$A3021,Summary!$L$247:$L$283)+SUMIF(Summary!$A$297:$A$333,$A3021,Summary!$L$297:$L$333))-AI3021,0)</f>
        <v>7763.2527404091998</v>
      </c>
      <c r="AK3021" s="196">
        <f>IFERROR($G3021/SUMIF($A:$A,$A3021,$G:$G)*SUMIF(Summary!$A$247:$A$283,$A3021,Summary!$Q$247:$Q$283),0)</f>
        <v>2567.246432161513</v>
      </c>
      <c r="AL3021" s="196">
        <f>IFERROR($G3021/SUMIF($A:$A,$A3021,$G:$G)*(SUMIF(Summary!$A$247:$A$283,$A3021,Summary!$L$247:$L$283)+SUMIF(Summary!$A$297:$A$333,$A3021,Summary!$L$297:$L$333))-AK3021,0)</f>
        <v>7762.6087635838194</v>
      </c>
      <c r="AM3021" s="198"/>
      <c r="AN3021" s="196">
        <f t="shared" ca="1" si="670"/>
        <v>206767.62518588061</v>
      </c>
      <c r="AO3021" s="196">
        <f t="shared" ca="1" si="671"/>
        <v>206763.45015125949</v>
      </c>
    </row>
    <row r="3022" spans="1:41">
      <c r="A3022" s="189">
        <v>11161</v>
      </c>
      <c r="B3022" s="190">
        <v>4</v>
      </c>
      <c r="C3022" s="191" t="s">
        <v>234</v>
      </c>
      <c r="D3022" s="192">
        <f t="shared" si="658"/>
        <v>0</v>
      </c>
      <c r="E3022" s="192">
        <f t="shared" si="659"/>
        <v>0</v>
      </c>
      <c r="F3022" s="192">
        <f t="shared" si="660"/>
        <v>0</v>
      </c>
      <c r="G3022" s="193">
        <f t="shared" si="661"/>
        <v>0</v>
      </c>
      <c r="H3022" s="194">
        <v>0</v>
      </c>
      <c r="I3022" s="194">
        <v>0</v>
      </c>
      <c r="J3022" s="194">
        <v>0</v>
      </c>
      <c r="K3022" s="193">
        <f t="shared" si="662"/>
        <v>0</v>
      </c>
      <c r="L3022" s="194">
        <v>0</v>
      </c>
      <c r="M3022" s="194">
        <v>0</v>
      </c>
      <c r="N3022" s="194">
        <v>0</v>
      </c>
      <c r="O3022" s="193">
        <f t="shared" si="663"/>
        <v>0</v>
      </c>
      <c r="P3022" s="194">
        <v>0</v>
      </c>
      <c r="Q3022" s="194">
        <v>0</v>
      </c>
      <c r="R3022" s="194">
        <v>0</v>
      </c>
      <c r="S3022" s="193">
        <f t="shared" si="664"/>
        <v>0</v>
      </c>
      <c r="T3022" s="193">
        <f t="shared" si="665"/>
        <v>0</v>
      </c>
      <c r="U3022" s="193">
        <f ca="1">OFFSET('Expenditure Study'!$B$7,'Operations Support'!$C3022,'Operations Support'!$B3022)*$G3022</f>
        <v>0</v>
      </c>
      <c r="V3022" s="199">
        <f ca="1">U3022*'Expenditure Study'!$B$31</f>
        <v>0</v>
      </c>
      <c r="W3022" s="199">
        <f ca="1">IF(A3022=10298,1.51,1)*IF($B3022&lt;3,$D3022*'Expenditure Study'!$B$32*OFFSET('Expenditure Study'!$B$7,'Operations Support'!$C3022,'Operations Support'!$B3022),0)</f>
        <v>0</v>
      </c>
      <c r="X3022" s="200">
        <f ca="1">W3022*'Expenditure Study'!$B$31</f>
        <v>0</v>
      </c>
      <c r="Y3022" s="199">
        <f ca="1">U3022*'Expenditure Study'!$B$31</f>
        <v>0</v>
      </c>
      <c r="Z3022" s="200">
        <f ca="1">W3022*'Expenditure Study'!$B$31</f>
        <v>0</v>
      </c>
      <c r="AA3022" s="195">
        <f t="shared" ca="1" si="666"/>
        <v>0</v>
      </c>
      <c r="AB3022" s="195">
        <f t="shared" ca="1" si="667"/>
        <v>0</v>
      </c>
      <c r="AD3022" s="196">
        <f>IFERROR($G3022/SUMIF($A:$A,$A3022,$G:$G)*SUMIF(Summary!$A$166:$A$242,$A3022,Summary!$P$166:$P$242),0)</f>
        <v>0</v>
      </c>
      <c r="AE3022" s="197">
        <f t="shared" ca="1" si="668"/>
        <v>0</v>
      </c>
      <c r="AF3022" s="196">
        <f>IFERROR(G3022/SUMIF(A:A,A3022,G:G)*SUMIF(Summary!$A$166:$A$242,'Operations Support'!A3022,Summary!$Q$166:$Q$242),0)</f>
        <v>0</v>
      </c>
      <c r="AG3022" s="196">
        <f t="shared" ca="1" si="669"/>
        <v>0</v>
      </c>
      <c r="AI3022" s="196">
        <f>IFERROR($G3022/SUMIF($A:$A,$A3022,$G:$G)*SUMIF(Summary!$A$247:$A$283,$A3022,Summary!$P$247:$P$283),0)</f>
        <v>0</v>
      </c>
      <c r="AJ3022" s="196">
        <f>IFERROR($G3022/SUMIF($A:$A,$A3022,$G:$G)*(SUMIF(Summary!$A$247:$A$283,$A3022,Summary!$L$247:$L$283)+SUMIF(Summary!$A$297:$A$333,$A3022,Summary!$L$297:$L$333))-AI3022,0)</f>
        <v>0</v>
      </c>
      <c r="AK3022" s="196">
        <f>IFERROR($G3022/SUMIF($A:$A,$A3022,$G:$G)*SUMIF(Summary!$A$247:$A$283,$A3022,Summary!$Q$247:$Q$283),0)</f>
        <v>0</v>
      </c>
      <c r="AL3022" s="196">
        <f>IFERROR($G3022/SUMIF($A:$A,$A3022,$G:$G)*(SUMIF(Summary!$A$247:$A$283,$A3022,Summary!$L$247:$L$283)+SUMIF(Summary!$A$297:$A$333,$A3022,Summary!$L$297:$L$333))-AK3022,0)</f>
        <v>0</v>
      </c>
      <c r="AM3022" s="198"/>
      <c r="AN3022" s="196">
        <f t="shared" ca="1" si="670"/>
        <v>0</v>
      </c>
      <c r="AO3022" s="196">
        <f t="shared" ca="1" si="671"/>
        <v>0</v>
      </c>
    </row>
    <row r="3023" spans="1:41" s="201" customFormat="1">
      <c r="A3023" s="189">
        <v>11161</v>
      </c>
      <c r="B3023" s="190">
        <v>4</v>
      </c>
      <c r="C3023" s="191" t="s">
        <v>235</v>
      </c>
      <c r="D3023" s="192">
        <f t="shared" si="658"/>
        <v>0</v>
      </c>
      <c r="E3023" s="192">
        <f t="shared" si="659"/>
        <v>0</v>
      </c>
      <c r="F3023" s="192">
        <f t="shared" si="660"/>
        <v>0</v>
      </c>
      <c r="G3023" s="193">
        <f t="shared" si="661"/>
        <v>0</v>
      </c>
      <c r="H3023" s="194">
        <v>0</v>
      </c>
      <c r="I3023" s="194">
        <v>0</v>
      </c>
      <c r="J3023" s="194">
        <v>0</v>
      </c>
      <c r="K3023" s="193">
        <f t="shared" si="662"/>
        <v>0</v>
      </c>
      <c r="L3023" s="194">
        <v>0</v>
      </c>
      <c r="M3023" s="194">
        <v>0</v>
      </c>
      <c r="N3023" s="194">
        <v>0</v>
      </c>
      <c r="O3023" s="193">
        <f t="shared" si="663"/>
        <v>0</v>
      </c>
      <c r="P3023" s="194">
        <v>0</v>
      </c>
      <c r="Q3023" s="194">
        <v>0</v>
      </c>
      <c r="R3023" s="194">
        <v>0</v>
      </c>
      <c r="S3023" s="193">
        <f t="shared" si="664"/>
        <v>0</v>
      </c>
      <c r="T3023" s="193">
        <f t="shared" si="665"/>
        <v>0</v>
      </c>
      <c r="U3023" s="193">
        <f ca="1">OFFSET('Expenditure Study'!$B$7,'Operations Support'!$C3023,'Operations Support'!$B3023)*$G3023</f>
        <v>0</v>
      </c>
      <c r="V3023" s="199">
        <f ca="1">U3023*'Expenditure Study'!$B$31</f>
        <v>0</v>
      </c>
      <c r="W3023" s="199">
        <f ca="1">IF(A3023=10298,1.51,1)*IF($B3023&lt;3,$D3023*'Expenditure Study'!$B$32*OFFSET('Expenditure Study'!$B$7,'Operations Support'!$C3023,'Operations Support'!$B3023),0)</f>
        <v>0</v>
      </c>
      <c r="X3023" s="200">
        <f ca="1">W3023*'Expenditure Study'!$B$31</f>
        <v>0</v>
      </c>
      <c r="Y3023" s="199">
        <f ca="1">U3023*'Expenditure Study'!$B$31</f>
        <v>0</v>
      </c>
      <c r="Z3023" s="200">
        <f ca="1">W3023*'Expenditure Study'!$B$31</f>
        <v>0</v>
      </c>
      <c r="AA3023" s="195">
        <f t="shared" ca="1" si="666"/>
        <v>0</v>
      </c>
      <c r="AB3023" s="195">
        <f t="shared" ca="1" si="667"/>
        <v>0</v>
      </c>
      <c r="AD3023" s="196">
        <f>IFERROR($G3023/SUMIF($A:$A,$A3023,$G:$G)*SUMIF(Summary!$A$166:$A$242,$A3023,Summary!$P$166:$P$242),0)</f>
        <v>0</v>
      </c>
      <c r="AE3023" s="197">
        <f t="shared" ca="1" si="668"/>
        <v>0</v>
      </c>
      <c r="AF3023" s="196">
        <f>IFERROR(G3023/SUMIF(A:A,A3023,G:G)*SUMIF(Summary!$A$166:$A$242,'Operations Support'!A3023,Summary!$Q$166:$Q$242),0)</f>
        <v>0</v>
      </c>
      <c r="AG3023" s="196">
        <f t="shared" ca="1" si="669"/>
        <v>0</v>
      </c>
      <c r="AH3023" s="180"/>
      <c r="AI3023" s="196">
        <f>IFERROR($G3023/SUMIF($A:$A,$A3023,$G:$G)*SUMIF(Summary!$A$247:$A$283,$A3023,Summary!$P$247:$P$283),0)</f>
        <v>0</v>
      </c>
      <c r="AJ3023" s="196">
        <f>IFERROR($G3023/SUMIF($A:$A,$A3023,$G:$G)*(SUMIF(Summary!$A$247:$A$283,$A3023,Summary!$L$247:$L$283)+SUMIF(Summary!$A$297:$A$333,$A3023,Summary!$L$297:$L$333))-AI3023,0)</f>
        <v>0</v>
      </c>
      <c r="AK3023" s="196">
        <f>IFERROR($G3023/SUMIF($A:$A,$A3023,$G:$G)*SUMIF(Summary!$A$247:$A$283,$A3023,Summary!$Q$247:$Q$283),0)</f>
        <v>0</v>
      </c>
      <c r="AL3023" s="196">
        <f>IFERROR($G3023/SUMIF($A:$A,$A3023,$G:$G)*(SUMIF(Summary!$A$247:$A$283,$A3023,Summary!$L$247:$L$283)+SUMIF(Summary!$A$297:$A$333,$A3023,Summary!$L$297:$L$333))-AK3023,0)</f>
        <v>0</v>
      </c>
      <c r="AM3023" s="198"/>
      <c r="AN3023" s="196">
        <f t="shared" ca="1" si="670"/>
        <v>0</v>
      </c>
      <c r="AO3023" s="196">
        <f t="shared" ca="1" si="671"/>
        <v>0</v>
      </c>
    </row>
    <row r="3024" spans="1:41">
      <c r="A3024" s="189">
        <v>11161</v>
      </c>
      <c r="B3024" s="190">
        <v>4</v>
      </c>
      <c r="C3024" s="191" t="s">
        <v>236</v>
      </c>
      <c r="D3024" s="192">
        <f t="shared" si="658"/>
        <v>0</v>
      </c>
      <c r="E3024" s="192">
        <f t="shared" si="659"/>
        <v>0</v>
      </c>
      <c r="F3024" s="192">
        <f t="shared" si="660"/>
        <v>0</v>
      </c>
      <c r="G3024" s="193">
        <f t="shared" si="661"/>
        <v>0</v>
      </c>
      <c r="H3024" s="194">
        <v>0</v>
      </c>
      <c r="I3024" s="194">
        <v>0</v>
      </c>
      <c r="J3024" s="194">
        <v>0</v>
      </c>
      <c r="K3024" s="193">
        <f t="shared" si="662"/>
        <v>0</v>
      </c>
      <c r="L3024" s="194">
        <v>0</v>
      </c>
      <c r="M3024" s="194">
        <v>0</v>
      </c>
      <c r="N3024" s="194">
        <v>0</v>
      </c>
      <c r="O3024" s="193">
        <f t="shared" si="663"/>
        <v>0</v>
      </c>
      <c r="P3024" s="194">
        <v>0</v>
      </c>
      <c r="Q3024" s="194">
        <v>0</v>
      </c>
      <c r="R3024" s="194">
        <v>0</v>
      </c>
      <c r="S3024" s="193">
        <f t="shared" si="664"/>
        <v>0</v>
      </c>
      <c r="T3024" s="193">
        <f t="shared" si="665"/>
        <v>0</v>
      </c>
      <c r="U3024" s="193">
        <f ca="1">OFFSET('Expenditure Study'!$B$7,'Operations Support'!$C3024,'Operations Support'!$B3024)*$G3024</f>
        <v>0</v>
      </c>
      <c r="V3024" s="199">
        <f ca="1">U3024*'Expenditure Study'!$B$31</f>
        <v>0</v>
      </c>
      <c r="W3024" s="199">
        <f ca="1">IF(A3024=10298,1.51,1)*IF($B3024&lt;3,$D3024*'Expenditure Study'!$B$32*OFFSET('Expenditure Study'!$B$7,'Operations Support'!$C3024,'Operations Support'!$B3024),0)</f>
        <v>0</v>
      </c>
      <c r="X3024" s="200">
        <f ca="1">W3024*'Expenditure Study'!$B$31</f>
        <v>0</v>
      </c>
      <c r="Y3024" s="199">
        <f ca="1">U3024*'Expenditure Study'!$B$31</f>
        <v>0</v>
      </c>
      <c r="Z3024" s="200">
        <f ca="1">W3024*'Expenditure Study'!$B$31</f>
        <v>0</v>
      </c>
      <c r="AA3024" s="195">
        <f t="shared" ca="1" si="666"/>
        <v>0</v>
      </c>
      <c r="AB3024" s="195">
        <f t="shared" ca="1" si="667"/>
        <v>0</v>
      </c>
      <c r="AD3024" s="196">
        <f>IFERROR($G3024/SUMIF($A:$A,$A3024,$G:$G)*SUMIF(Summary!$A$166:$A$242,$A3024,Summary!$P$166:$P$242),0)</f>
        <v>0</v>
      </c>
      <c r="AE3024" s="197">
        <f t="shared" ca="1" si="668"/>
        <v>0</v>
      </c>
      <c r="AF3024" s="196">
        <f>IFERROR(G3024/SUMIF(A:A,A3024,G:G)*SUMIF(Summary!$A$166:$A$242,'Operations Support'!A3024,Summary!$Q$166:$Q$242),0)</f>
        <v>0</v>
      </c>
      <c r="AG3024" s="196">
        <f t="shared" ca="1" si="669"/>
        <v>0</v>
      </c>
      <c r="AI3024" s="196">
        <f>IFERROR($G3024/SUMIF($A:$A,$A3024,$G:$G)*SUMIF(Summary!$A$247:$A$283,$A3024,Summary!$P$247:$P$283),0)</f>
        <v>0</v>
      </c>
      <c r="AJ3024" s="196">
        <f>IFERROR($G3024/SUMIF($A:$A,$A3024,$G:$G)*(SUMIF(Summary!$A$247:$A$283,$A3024,Summary!$L$247:$L$283)+SUMIF(Summary!$A$297:$A$333,$A3024,Summary!$L$297:$L$333))-AI3024,0)</f>
        <v>0</v>
      </c>
      <c r="AK3024" s="196">
        <f>IFERROR($G3024/SUMIF($A:$A,$A3024,$G:$G)*SUMIF(Summary!$A$247:$A$283,$A3024,Summary!$Q$247:$Q$283),0)</f>
        <v>0</v>
      </c>
      <c r="AL3024" s="196">
        <f>IFERROR($G3024/SUMIF($A:$A,$A3024,$G:$G)*(SUMIF(Summary!$A$247:$A$283,$A3024,Summary!$L$247:$L$283)+SUMIF(Summary!$A$297:$A$333,$A3024,Summary!$L$297:$L$333))-AK3024,0)</f>
        <v>0</v>
      </c>
      <c r="AM3024" s="198"/>
      <c r="AN3024" s="196">
        <f t="shared" ca="1" si="670"/>
        <v>0</v>
      </c>
      <c r="AO3024" s="196">
        <f t="shared" ca="1" si="671"/>
        <v>0</v>
      </c>
    </row>
    <row r="3025" spans="1:41">
      <c r="A3025" s="189">
        <v>11161</v>
      </c>
      <c r="B3025" s="190">
        <v>4</v>
      </c>
      <c r="C3025" s="191" t="s">
        <v>237</v>
      </c>
      <c r="D3025" s="192">
        <f t="shared" si="658"/>
        <v>0</v>
      </c>
      <c r="E3025" s="192">
        <f t="shared" si="659"/>
        <v>0</v>
      </c>
      <c r="F3025" s="192">
        <f t="shared" si="660"/>
        <v>0</v>
      </c>
      <c r="G3025" s="193">
        <f t="shared" si="661"/>
        <v>0</v>
      </c>
      <c r="H3025" s="194">
        <v>0</v>
      </c>
      <c r="I3025" s="194">
        <v>0</v>
      </c>
      <c r="J3025" s="194">
        <v>0</v>
      </c>
      <c r="K3025" s="193">
        <f t="shared" si="662"/>
        <v>0</v>
      </c>
      <c r="L3025" s="194">
        <v>0</v>
      </c>
      <c r="M3025" s="194">
        <v>0</v>
      </c>
      <c r="N3025" s="194">
        <v>0</v>
      </c>
      <c r="O3025" s="193">
        <f t="shared" si="663"/>
        <v>0</v>
      </c>
      <c r="P3025" s="194">
        <v>0</v>
      </c>
      <c r="Q3025" s="194">
        <v>0</v>
      </c>
      <c r="R3025" s="194">
        <v>0</v>
      </c>
      <c r="S3025" s="193">
        <f t="shared" si="664"/>
        <v>0</v>
      </c>
      <c r="T3025" s="193">
        <f t="shared" si="665"/>
        <v>0</v>
      </c>
      <c r="U3025" s="193">
        <f ca="1">OFFSET('Expenditure Study'!$B$7,'Operations Support'!$C3025,'Operations Support'!$B3025)*$G3025</f>
        <v>0</v>
      </c>
      <c r="V3025" s="199">
        <f ca="1">U3025*'Expenditure Study'!$B$31</f>
        <v>0</v>
      </c>
      <c r="W3025" s="199">
        <f ca="1">IF(A3025=10298,1.51,1)*IF($B3025&lt;3,$D3025*'Expenditure Study'!$B$32*OFFSET('Expenditure Study'!$B$7,'Operations Support'!$C3025,'Operations Support'!$B3025),0)</f>
        <v>0</v>
      </c>
      <c r="X3025" s="200">
        <f ca="1">W3025*'Expenditure Study'!$B$31</f>
        <v>0</v>
      </c>
      <c r="Y3025" s="199">
        <f ca="1">U3025*'Expenditure Study'!$B$31</f>
        <v>0</v>
      </c>
      <c r="Z3025" s="200">
        <f ca="1">W3025*'Expenditure Study'!$B$31</f>
        <v>0</v>
      </c>
      <c r="AA3025" s="195">
        <f t="shared" ca="1" si="666"/>
        <v>0</v>
      </c>
      <c r="AB3025" s="195">
        <f t="shared" ca="1" si="667"/>
        <v>0</v>
      </c>
      <c r="AD3025" s="196">
        <f>IFERROR($G3025/SUMIF($A:$A,$A3025,$G:$G)*SUMIF(Summary!$A$166:$A$242,$A3025,Summary!$P$166:$P$242),0)</f>
        <v>0</v>
      </c>
      <c r="AE3025" s="197">
        <f t="shared" ca="1" si="668"/>
        <v>0</v>
      </c>
      <c r="AF3025" s="196">
        <f>IFERROR(G3025/SUMIF(A:A,A3025,G:G)*SUMIF(Summary!$A$166:$A$242,'Operations Support'!A3025,Summary!$Q$166:$Q$242),0)</f>
        <v>0</v>
      </c>
      <c r="AG3025" s="196">
        <f t="shared" ca="1" si="669"/>
        <v>0</v>
      </c>
      <c r="AI3025" s="196">
        <f>IFERROR($G3025/SUMIF($A:$A,$A3025,$G:$G)*SUMIF(Summary!$A$247:$A$283,$A3025,Summary!$P$247:$P$283),0)</f>
        <v>0</v>
      </c>
      <c r="AJ3025" s="196">
        <f>IFERROR($G3025/SUMIF($A:$A,$A3025,$G:$G)*(SUMIF(Summary!$A$247:$A$283,$A3025,Summary!$L$247:$L$283)+SUMIF(Summary!$A$297:$A$333,$A3025,Summary!$L$297:$L$333))-AI3025,0)</f>
        <v>0</v>
      </c>
      <c r="AK3025" s="196">
        <f>IFERROR($G3025/SUMIF($A:$A,$A3025,$G:$G)*SUMIF(Summary!$A$247:$A$283,$A3025,Summary!$Q$247:$Q$283),0)</f>
        <v>0</v>
      </c>
      <c r="AL3025" s="196">
        <f>IFERROR($G3025/SUMIF($A:$A,$A3025,$G:$G)*(SUMIF(Summary!$A$247:$A$283,$A3025,Summary!$L$247:$L$283)+SUMIF(Summary!$A$297:$A$333,$A3025,Summary!$L$297:$L$333))-AK3025,0)</f>
        <v>0</v>
      </c>
      <c r="AM3025" s="198"/>
      <c r="AN3025" s="196">
        <f t="shared" ca="1" si="670"/>
        <v>0</v>
      </c>
      <c r="AO3025" s="196">
        <f t="shared" ca="1" si="671"/>
        <v>0</v>
      </c>
    </row>
    <row r="3026" spans="1:41">
      <c r="A3026" s="189">
        <v>11161</v>
      </c>
      <c r="B3026" s="190">
        <v>4</v>
      </c>
      <c r="C3026" s="191" t="s">
        <v>238</v>
      </c>
      <c r="D3026" s="192">
        <f t="shared" si="658"/>
        <v>9</v>
      </c>
      <c r="E3026" s="192">
        <f t="shared" si="659"/>
        <v>0</v>
      </c>
      <c r="F3026" s="192">
        <f t="shared" si="660"/>
        <v>0</v>
      </c>
      <c r="G3026" s="193">
        <f t="shared" si="661"/>
        <v>9</v>
      </c>
      <c r="H3026" s="194">
        <v>0</v>
      </c>
      <c r="I3026" s="194">
        <v>0</v>
      </c>
      <c r="J3026" s="194">
        <v>0</v>
      </c>
      <c r="K3026" s="193">
        <f t="shared" si="662"/>
        <v>0</v>
      </c>
      <c r="L3026" s="194">
        <v>9</v>
      </c>
      <c r="M3026" s="194">
        <v>0</v>
      </c>
      <c r="N3026" s="194">
        <v>0</v>
      </c>
      <c r="O3026" s="193">
        <f t="shared" si="663"/>
        <v>9</v>
      </c>
      <c r="P3026" s="194">
        <v>0</v>
      </c>
      <c r="Q3026" s="194">
        <v>0</v>
      </c>
      <c r="R3026" s="194">
        <v>0</v>
      </c>
      <c r="S3026" s="193">
        <f t="shared" si="664"/>
        <v>0</v>
      </c>
      <c r="T3026" s="193">
        <f t="shared" si="665"/>
        <v>0.5</v>
      </c>
      <c r="U3026" s="193">
        <f ca="1">OFFSET('Expenditure Study'!$B$7,'Operations Support'!$C3026,'Operations Support'!$B3026)*$G3026</f>
        <v>141.93</v>
      </c>
      <c r="V3026" s="199">
        <f ca="1">U3026*'Expenditure Study'!$B$31</f>
        <v>8385.6758509440006</v>
      </c>
      <c r="W3026" s="199">
        <f ca="1">IF(A3026=10298,1.51,1)*IF($B3026&lt;3,$D3026*'Expenditure Study'!$B$32*OFFSET('Expenditure Study'!$B$7,'Operations Support'!$C3026,'Operations Support'!$B3026),0)</f>
        <v>0</v>
      </c>
      <c r="X3026" s="200">
        <f ca="1">W3026*'Expenditure Study'!$B$31</f>
        <v>0</v>
      </c>
      <c r="Y3026" s="199">
        <f ca="1">U3026*'Expenditure Study'!$B$31</f>
        <v>8385.6758509440006</v>
      </c>
      <c r="Z3026" s="200">
        <f ca="1">W3026*'Expenditure Study'!$B$31</f>
        <v>0</v>
      </c>
      <c r="AA3026" s="195">
        <f t="shared" ca="1" si="666"/>
        <v>8385.6758509440006</v>
      </c>
      <c r="AB3026" s="195">
        <f t="shared" ca="1" si="667"/>
        <v>8385.6758509440006</v>
      </c>
      <c r="AD3026" s="196">
        <f>IFERROR($G3026/SUMIF($A:$A,$A3026,$G:$G)*SUMIF(Summary!$A$166:$A$242,$A3026,Summary!$P$166:$P$242),0)</f>
        <v>323.10943144091095</v>
      </c>
      <c r="AE3026" s="197">
        <f t="shared" ca="1" si="668"/>
        <v>8062.5664195030895</v>
      </c>
      <c r="AF3026" s="196">
        <f>IFERROR(G3026/SUMIF(A:A,A3026,G:G)*SUMIF(Summary!$A$166:$A$242,'Operations Support'!A3026,Summary!$Q$166:$Q$242),0)</f>
        <v>323.19050164540533</v>
      </c>
      <c r="AG3026" s="196">
        <f t="shared" ca="1" si="669"/>
        <v>8062.4853492985949</v>
      </c>
      <c r="AI3026" s="196">
        <f>IFERROR($G3026/SUMIF($A:$A,$A3026,$G:$G)*SUMIF(Summary!$A$247:$A$283,$A3026,Summary!$P$247:$P$283),0)</f>
        <v>58.927097188839774</v>
      </c>
      <c r="AJ3026" s="196">
        <f>IFERROR($G3026/SUMIF($A:$A,$A3026,$G:$G)*(SUMIF(Summary!$A$247:$A$283,$A3026,Summary!$L$247:$L$283)+SUMIF(Summary!$A$297:$A$333,$A3026,Summary!$L$297:$L$333))-AI3026,0)</f>
        <v>178.23794557061939</v>
      </c>
      <c r="AK3026" s="196">
        <f>IFERROR($G3026/SUMIF($A:$A,$A3026,$G:$G)*SUMIF(Summary!$A$247:$A$283,$A3026,Summary!$Q$247:$Q$283),0)</f>
        <v>58.941882371055144</v>
      </c>
      <c r="AL3026" s="196">
        <f>IFERROR($G3026/SUMIF($A:$A,$A3026,$G:$G)*(SUMIF(Summary!$A$247:$A$283,$A3026,Summary!$L$247:$L$283)+SUMIF(Summary!$A$297:$A$333,$A3026,Summary!$L$297:$L$333))-AK3026,0)</f>
        <v>178.22316038840404</v>
      </c>
      <c r="AM3026" s="198"/>
      <c r="AN3026" s="196">
        <f t="shared" ca="1" si="670"/>
        <v>8240.8043650737091</v>
      </c>
      <c r="AO3026" s="196">
        <f t="shared" ca="1" si="671"/>
        <v>8240.7085096869996</v>
      </c>
    </row>
    <row r="3027" spans="1:41">
      <c r="A3027" s="189">
        <v>11161</v>
      </c>
      <c r="B3027" s="190">
        <v>4</v>
      </c>
      <c r="C3027" s="191" t="s">
        <v>239</v>
      </c>
      <c r="D3027" s="192">
        <f t="shared" si="658"/>
        <v>160.5</v>
      </c>
      <c r="E3027" s="192">
        <f t="shared" si="659"/>
        <v>172.5</v>
      </c>
      <c r="F3027" s="192">
        <f t="shared" si="660"/>
        <v>0</v>
      </c>
      <c r="G3027" s="193">
        <f t="shared" si="661"/>
        <v>333</v>
      </c>
      <c r="H3027" s="194">
        <v>70</v>
      </c>
      <c r="I3027" s="194">
        <v>102</v>
      </c>
      <c r="J3027" s="194">
        <v>0</v>
      </c>
      <c r="K3027" s="193">
        <f t="shared" si="662"/>
        <v>172</v>
      </c>
      <c r="L3027" s="194">
        <v>36.5</v>
      </c>
      <c r="M3027" s="194">
        <v>37.5</v>
      </c>
      <c r="N3027" s="194">
        <v>0</v>
      </c>
      <c r="O3027" s="193">
        <f t="shared" si="663"/>
        <v>74</v>
      </c>
      <c r="P3027" s="194">
        <v>54</v>
      </c>
      <c r="Q3027" s="194">
        <v>33</v>
      </c>
      <c r="R3027" s="194">
        <v>0</v>
      </c>
      <c r="S3027" s="193">
        <f t="shared" si="664"/>
        <v>87</v>
      </c>
      <c r="T3027" s="193">
        <f t="shared" si="665"/>
        <v>18.5</v>
      </c>
      <c r="U3027" s="193">
        <f ca="1">OFFSET('Expenditure Study'!$B$7,'Operations Support'!$C3027,'Operations Support'!$B3027)*$G3027</f>
        <v>3053.61</v>
      </c>
      <c r="V3027" s="199">
        <f ca="1">U3027*'Expenditure Study'!$B$31</f>
        <v>180416.99172268802</v>
      </c>
      <c r="W3027" s="199">
        <f ca="1">IF(A3027=10298,1.51,1)*IF($B3027&lt;3,$D3027*'Expenditure Study'!$B$32*OFFSET('Expenditure Study'!$B$7,'Operations Support'!$C3027,'Operations Support'!$B3027),0)</f>
        <v>0</v>
      </c>
      <c r="X3027" s="200">
        <f ca="1">W3027*'Expenditure Study'!$B$31</f>
        <v>0</v>
      </c>
      <c r="Y3027" s="199">
        <f ca="1">U3027*'Expenditure Study'!$B$31</f>
        <v>180416.99172268802</v>
      </c>
      <c r="Z3027" s="200">
        <f ca="1">W3027*'Expenditure Study'!$B$31</f>
        <v>0</v>
      </c>
      <c r="AA3027" s="195">
        <f t="shared" ca="1" si="666"/>
        <v>180416.99172268802</v>
      </c>
      <c r="AB3027" s="195">
        <f t="shared" ca="1" si="667"/>
        <v>180416.99172268802</v>
      </c>
      <c r="AD3027" s="196">
        <f>IFERROR($G3027/SUMIF($A:$A,$A3027,$G:$G)*SUMIF(Summary!$A$166:$A$242,$A3027,Summary!$P$166:$P$242),0)</f>
        <v>11955.048963313706</v>
      </c>
      <c r="AE3027" s="197">
        <f t="shared" ca="1" si="668"/>
        <v>168461.9427593743</v>
      </c>
      <c r="AF3027" s="196">
        <f>IFERROR(G3027/SUMIF(A:A,A3027,G:G)*SUMIF(Summary!$A$166:$A$242,'Operations Support'!A3027,Summary!$Q$166:$Q$242),0)</f>
        <v>11958.048560879999</v>
      </c>
      <c r="AG3027" s="196">
        <f t="shared" ca="1" si="669"/>
        <v>168458.94316180801</v>
      </c>
      <c r="AI3027" s="196">
        <f>IFERROR($G3027/SUMIF($A:$A,$A3027,$G:$G)*SUMIF(Summary!$A$247:$A$283,$A3027,Summary!$P$247:$P$283),0)</f>
        <v>2180.3025959870715</v>
      </c>
      <c r="AJ3027" s="196">
        <f>IFERROR($G3027/SUMIF($A:$A,$A3027,$G:$G)*(SUMIF(Summary!$A$247:$A$283,$A3027,Summary!$L$247:$L$283)+SUMIF(Summary!$A$297:$A$333,$A3027,Summary!$L$297:$L$333))-AI3027,0)</f>
        <v>6594.8039861129182</v>
      </c>
      <c r="AK3027" s="196">
        <f>IFERROR($G3027/SUMIF($A:$A,$A3027,$G:$G)*SUMIF(Summary!$A$247:$A$283,$A3027,Summary!$Q$247:$Q$283),0)</f>
        <v>2180.8496477290405</v>
      </c>
      <c r="AL3027" s="196">
        <f>IFERROR($G3027/SUMIF($A:$A,$A3027,$G:$G)*(SUMIF(Summary!$A$247:$A$283,$A3027,Summary!$L$247:$L$283)+SUMIF(Summary!$A$297:$A$333,$A3027,Summary!$L$297:$L$333))-AK3027,0)</f>
        <v>6594.2569343709492</v>
      </c>
      <c r="AM3027" s="198"/>
      <c r="AN3027" s="196">
        <f t="shared" ca="1" si="670"/>
        <v>175056.74674548721</v>
      </c>
      <c r="AO3027" s="196">
        <f t="shared" ca="1" si="671"/>
        <v>175053.20009617897</v>
      </c>
    </row>
    <row r="3028" spans="1:41">
      <c r="A3028" s="189">
        <v>11161</v>
      </c>
      <c r="B3028" s="190">
        <v>4</v>
      </c>
      <c r="C3028" s="191" t="s">
        <v>240</v>
      </c>
      <c r="D3028" s="192">
        <f t="shared" si="658"/>
        <v>0</v>
      </c>
      <c r="E3028" s="192">
        <f t="shared" si="659"/>
        <v>0</v>
      </c>
      <c r="F3028" s="192">
        <f t="shared" si="660"/>
        <v>0</v>
      </c>
      <c r="G3028" s="193">
        <f t="shared" si="661"/>
        <v>0</v>
      </c>
      <c r="H3028" s="194">
        <v>0</v>
      </c>
      <c r="I3028" s="194">
        <v>0</v>
      </c>
      <c r="J3028" s="194">
        <v>0</v>
      </c>
      <c r="K3028" s="193">
        <f t="shared" si="662"/>
        <v>0</v>
      </c>
      <c r="L3028" s="194">
        <v>0</v>
      </c>
      <c r="M3028" s="194">
        <v>0</v>
      </c>
      <c r="N3028" s="194">
        <v>0</v>
      </c>
      <c r="O3028" s="193">
        <f t="shared" si="663"/>
        <v>0</v>
      </c>
      <c r="P3028" s="194">
        <v>0</v>
      </c>
      <c r="Q3028" s="194">
        <v>0</v>
      </c>
      <c r="R3028" s="194">
        <v>0</v>
      </c>
      <c r="S3028" s="193">
        <f t="shared" si="664"/>
        <v>0</v>
      </c>
      <c r="T3028" s="193">
        <f t="shared" si="665"/>
        <v>0</v>
      </c>
      <c r="U3028" s="193">
        <f ca="1">OFFSET('Expenditure Study'!$B$7,'Operations Support'!$C3028,'Operations Support'!$B3028)*$G3028</f>
        <v>0</v>
      </c>
      <c r="V3028" s="199">
        <f ca="1">U3028*'Expenditure Study'!$B$31</f>
        <v>0</v>
      </c>
      <c r="W3028" s="199">
        <f ca="1">IF(A3028=10298,1.51,1)*IF($B3028&lt;3,$D3028*'Expenditure Study'!$B$32*OFFSET('Expenditure Study'!$B$7,'Operations Support'!$C3028,'Operations Support'!$B3028),0)</f>
        <v>0</v>
      </c>
      <c r="X3028" s="200">
        <f ca="1">W3028*'Expenditure Study'!$B$31</f>
        <v>0</v>
      </c>
      <c r="Y3028" s="199">
        <f ca="1">U3028*'Expenditure Study'!$B$31</f>
        <v>0</v>
      </c>
      <c r="Z3028" s="200">
        <f ca="1">W3028*'Expenditure Study'!$B$31</f>
        <v>0</v>
      </c>
      <c r="AA3028" s="195">
        <f t="shared" ca="1" si="666"/>
        <v>0</v>
      </c>
      <c r="AB3028" s="195">
        <f t="shared" ca="1" si="667"/>
        <v>0</v>
      </c>
      <c r="AD3028" s="196">
        <f>IFERROR($G3028/SUMIF($A:$A,$A3028,$G:$G)*SUMIF(Summary!$A$166:$A$242,$A3028,Summary!$P$166:$P$242),0)</f>
        <v>0</v>
      </c>
      <c r="AE3028" s="197">
        <f t="shared" ca="1" si="668"/>
        <v>0</v>
      </c>
      <c r="AF3028" s="196">
        <f>IFERROR(G3028/SUMIF(A:A,A3028,G:G)*SUMIF(Summary!$A$166:$A$242,'Operations Support'!A3028,Summary!$Q$166:$Q$242),0)</f>
        <v>0</v>
      </c>
      <c r="AG3028" s="196">
        <f t="shared" ca="1" si="669"/>
        <v>0</v>
      </c>
      <c r="AI3028" s="196">
        <f>IFERROR($G3028/SUMIF($A:$A,$A3028,$G:$G)*SUMIF(Summary!$A$247:$A$283,$A3028,Summary!$P$247:$P$283),0)</f>
        <v>0</v>
      </c>
      <c r="AJ3028" s="196">
        <f>IFERROR($G3028/SUMIF($A:$A,$A3028,$G:$G)*(SUMIF(Summary!$A$247:$A$283,$A3028,Summary!$L$247:$L$283)+SUMIF(Summary!$A$297:$A$333,$A3028,Summary!$L$297:$L$333))-AI3028,0)</f>
        <v>0</v>
      </c>
      <c r="AK3028" s="196">
        <f>IFERROR($G3028/SUMIF($A:$A,$A3028,$G:$G)*SUMIF(Summary!$A$247:$A$283,$A3028,Summary!$Q$247:$Q$283),0)</f>
        <v>0</v>
      </c>
      <c r="AL3028" s="196">
        <f>IFERROR($G3028/SUMIF($A:$A,$A3028,$G:$G)*(SUMIF(Summary!$A$247:$A$283,$A3028,Summary!$L$247:$L$283)+SUMIF(Summary!$A$297:$A$333,$A3028,Summary!$L$297:$L$333))-AK3028,0)</f>
        <v>0</v>
      </c>
      <c r="AM3028" s="198"/>
      <c r="AN3028" s="196">
        <f t="shared" ca="1" si="670"/>
        <v>0</v>
      </c>
      <c r="AO3028" s="196">
        <f t="shared" ca="1" si="671"/>
        <v>0</v>
      </c>
    </row>
    <row r="3029" spans="1:41">
      <c r="A3029" s="189">
        <v>11161</v>
      </c>
      <c r="B3029" s="190">
        <v>5</v>
      </c>
      <c r="C3029" s="191" t="s">
        <v>220</v>
      </c>
      <c r="D3029" s="192">
        <f t="shared" si="658"/>
        <v>0</v>
      </c>
      <c r="E3029" s="192">
        <f t="shared" si="659"/>
        <v>0</v>
      </c>
      <c r="F3029" s="192">
        <f t="shared" si="660"/>
        <v>0</v>
      </c>
      <c r="G3029" s="193">
        <f t="shared" si="661"/>
        <v>0</v>
      </c>
      <c r="H3029" s="194">
        <v>0</v>
      </c>
      <c r="I3029" s="194">
        <v>0</v>
      </c>
      <c r="J3029" s="194">
        <v>0</v>
      </c>
      <c r="K3029" s="193">
        <f t="shared" si="662"/>
        <v>0</v>
      </c>
      <c r="L3029" s="194">
        <v>0</v>
      </c>
      <c r="M3029" s="194">
        <v>0</v>
      </c>
      <c r="N3029" s="194">
        <v>0</v>
      </c>
      <c r="O3029" s="193">
        <f t="shared" si="663"/>
        <v>0</v>
      </c>
      <c r="P3029" s="194">
        <v>0</v>
      </c>
      <c r="Q3029" s="194">
        <v>0</v>
      </c>
      <c r="R3029" s="194">
        <v>0</v>
      </c>
      <c r="S3029" s="193">
        <f t="shared" si="664"/>
        <v>0</v>
      </c>
      <c r="T3029" s="193">
        <f t="shared" si="665"/>
        <v>0</v>
      </c>
      <c r="U3029" s="193">
        <f ca="1">OFFSET('Expenditure Study'!$B$7,'Operations Support'!$C3029,'Operations Support'!$B3029)*$G3029</f>
        <v>0</v>
      </c>
      <c r="V3029" s="199">
        <f ca="1">U3029*'Expenditure Study'!$B$31</f>
        <v>0</v>
      </c>
      <c r="W3029" s="199">
        <f ca="1">IF(A3029=10298,1.51,1)*IF($B3029&lt;3,$D3029*'Expenditure Study'!$B$32*OFFSET('Expenditure Study'!$B$7,'Operations Support'!$C3029,'Operations Support'!$B3029),0)</f>
        <v>0</v>
      </c>
      <c r="X3029" s="200">
        <f ca="1">W3029*'Expenditure Study'!$B$31</f>
        <v>0</v>
      </c>
      <c r="Y3029" s="199">
        <f ca="1">U3029*'Expenditure Study'!$B$31</f>
        <v>0</v>
      </c>
      <c r="Z3029" s="200">
        <f ca="1">W3029*'Expenditure Study'!$B$31</f>
        <v>0</v>
      </c>
      <c r="AA3029" s="195">
        <f t="shared" ca="1" si="666"/>
        <v>0</v>
      </c>
      <c r="AB3029" s="195">
        <f t="shared" ca="1" si="667"/>
        <v>0</v>
      </c>
      <c r="AD3029" s="196">
        <f>IFERROR($G3029/SUMIF($A:$A,$A3029,$G:$G)*SUMIF(Summary!$A$166:$A$242,$A3029,Summary!$P$166:$P$242),0)</f>
        <v>0</v>
      </c>
      <c r="AE3029" s="197">
        <f t="shared" ca="1" si="668"/>
        <v>0</v>
      </c>
      <c r="AF3029" s="196">
        <f>IFERROR(G3029/SUMIF(A:A,A3029,G:G)*SUMIF(Summary!$A$166:$A$242,'Operations Support'!A3029,Summary!$Q$166:$Q$242),0)</f>
        <v>0</v>
      </c>
      <c r="AG3029" s="196">
        <f t="shared" ca="1" si="669"/>
        <v>0</v>
      </c>
      <c r="AI3029" s="196">
        <f>IFERROR($G3029/SUMIF($A:$A,$A3029,$G:$G)*SUMIF(Summary!$A$247:$A$283,$A3029,Summary!$P$247:$P$283),0)</f>
        <v>0</v>
      </c>
      <c r="AJ3029" s="196">
        <f>IFERROR($G3029/SUMIF($A:$A,$A3029,$G:$G)*(SUMIF(Summary!$A$247:$A$283,$A3029,Summary!$L$247:$L$283)+SUMIF(Summary!$A$297:$A$333,$A3029,Summary!$L$297:$L$333))-AI3029,0)</f>
        <v>0</v>
      </c>
      <c r="AK3029" s="196">
        <f>IFERROR($G3029/SUMIF($A:$A,$A3029,$G:$G)*SUMIF(Summary!$A$247:$A$283,$A3029,Summary!$Q$247:$Q$283),0)</f>
        <v>0</v>
      </c>
      <c r="AL3029" s="196">
        <f>IFERROR($G3029/SUMIF($A:$A,$A3029,$G:$G)*(SUMIF(Summary!$A$247:$A$283,$A3029,Summary!$L$247:$L$283)+SUMIF(Summary!$A$297:$A$333,$A3029,Summary!$L$297:$L$333))-AK3029,0)</f>
        <v>0</v>
      </c>
      <c r="AM3029" s="198"/>
      <c r="AN3029" s="196">
        <f t="shared" ca="1" si="670"/>
        <v>0</v>
      </c>
      <c r="AO3029" s="196">
        <f t="shared" ca="1" si="671"/>
        <v>0</v>
      </c>
    </row>
    <row r="3030" spans="1:41">
      <c r="A3030" s="189">
        <v>11161</v>
      </c>
      <c r="B3030" s="190">
        <v>5</v>
      </c>
      <c r="C3030" s="191" t="s">
        <v>221</v>
      </c>
      <c r="D3030" s="192">
        <f t="shared" si="658"/>
        <v>0</v>
      </c>
      <c r="E3030" s="192">
        <f t="shared" si="659"/>
        <v>0</v>
      </c>
      <c r="F3030" s="192">
        <f t="shared" si="660"/>
        <v>0</v>
      </c>
      <c r="G3030" s="193">
        <f t="shared" si="661"/>
        <v>0</v>
      </c>
      <c r="H3030" s="194">
        <v>0</v>
      </c>
      <c r="I3030" s="194">
        <v>0</v>
      </c>
      <c r="J3030" s="194">
        <v>0</v>
      </c>
      <c r="K3030" s="193">
        <f t="shared" si="662"/>
        <v>0</v>
      </c>
      <c r="L3030" s="194">
        <v>0</v>
      </c>
      <c r="M3030" s="194">
        <v>0</v>
      </c>
      <c r="N3030" s="194">
        <v>0</v>
      </c>
      <c r="O3030" s="193">
        <f t="shared" si="663"/>
        <v>0</v>
      </c>
      <c r="P3030" s="194">
        <v>0</v>
      </c>
      <c r="Q3030" s="194">
        <v>0</v>
      </c>
      <c r="R3030" s="194">
        <v>0</v>
      </c>
      <c r="S3030" s="193">
        <f t="shared" si="664"/>
        <v>0</v>
      </c>
      <c r="T3030" s="193">
        <f t="shared" si="665"/>
        <v>0</v>
      </c>
      <c r="U3030" s="193">
        <f ca="1">OFFSET('Expenditure Study'!$B$7,'Operations Support'!$C3030,'Operations Support'!$B3030)*$G3030</f>
        <v>0</v>
      </c>
      <c r="V3030" s="199">
        <f ca="1">U3030*'Expenditure Study'!$B$31</f>
        <v>0</v>
      </c>
      <c r="W3030" s="199">
        <f ca="1">IF(A3030=10298,1.51,1)*IF($B3030&lt;3,$D3030*'Expenditure Study'!$B$32*OFFSET('Expenditure Study'!$B$7,'Operations Support'!$C3030,'Operations Support'!$B3030),0)</f>
        <v>0</v>
      </c>
      <c r="X3030" s="200">
        <f ca="1">W3030*'Expenditure Study'!$B$31</f>
        <v>0</v>
      </c>
      <c r="Y3030" s="199">
        <f ca="1">U3030*'Expenditure Study'!$B$31</f>
        <v>0</v>
      </c>
      <c r="Z3030" s="200">
        <f ca="1">W3030*'Expenditure Study'!$B$31</f>
        <v>0</v>
      </c>
      <c r="AA3030" s="195">
        <f t="shared" ca="1" si="666"/>
        <v>0</v>
      </c>
      <c r="AB3030" s="195">
        <f t="shared" ca="1" si="667"/>
        <v>0</v>
      </c>
      <c r="AD3030" s="196">
        <f>IFERROR($G3030/SUMIF($A:$A,$A3030,$G:$G)*SUMIF(Summary!$A$166:$A$242,$A3030,Summary!$P$166:$P$242),0)</f>
        <v>0</v>
      </c>
      <c r="AE3030" s="197">
        <f t="shared" ca="1" si="668"/>
        <v>0</v>
      </c>
      <c r="AF3030" s="196">
        <f>IFERROR(G3030/SUMIF(A:A,A3030,G:G)*SUMIF(Summary!$A$166:$A$242,'Operations Support'!A3030,Summary!$Q$166:$Q$242),0)</f>
        <v>0</v>
      </c>
      <c r="AG3030" s="196">
        <f t="shared" ca="1" si="669"/>
        <v>0</v>
      </c>
      <c r="AI3030" s="196">
        <f>IFERROR($G3030/SUMIF($A:$A,$A3030,$G:$G)*SUMIF(Summary!$A$247:$A$283,$A3030,Summary!$P$247:$P$283),0)</f>
        <v>0</v>
      </c>
      <c r="AJ3030" s="196">
        <f>IFERROR($G3030/SUMIF($A:$A,$A3030,$G:$G)*(SUMIF(Summary!$A$247:$A$283,$A3030,Summary!$L$247:$L$283)+SUMIF(Summary!$A$297:$A$333,$A3030,Summary!$L$297:$L$333))-AI3030,0)</f>
        <v>0</v>
      </c>
      <c r="AK3030" s="196">
        <f>IFERROR($G3030/SUMIF($A:$A,$A3030,$G:$G)*SUMIF(Summary!$A$247:$A$283,$A3030,Summary!$Q$247:$Q$283),0)</f>
        <v>0</v>
      </c>
      <c r="AL3030" s="196">
        <f>IFERROR($G3030/SUMIF($A:$A,$A3030,$G:$G)*(SUMIF(Summary!$A$247:$A$283,$A3030,Summary!$L$247:$L$283)+SUMIF(Summary!$A$297:$A$333,$A3030,Summary!$L$297:$L$333))-AK3030,0)</f>
        <v>0</v>
      </c>
      <c r="AM3030" s="198"/>
      <c r="AN3030" s="196">
        <f t="shared" ca="1" si="670"/>
        <v>0</v>
      </c>
      <c r="AO3030" s="196">
        <f t="shared" ca="1" si="671"/>
        <v>0</v>
      </c>
    </row>
    <row r="3031" spans="1:41">
      <c r="A3031" s="189">
        <v>11161</v>
      </c>
      <c r="B3031" s="190">
        <v>5</v>
      </c>
      <c r="C3031" s="191" t="s">
        <v>222</v>
      </c>
      <c r="D3031" s="192">
        <f t="shared" si="658"/>
        <v>0</v>
      </c>
      <c r="E3031" s="192">
        <f t="shared" si="659"/>
        <v>0</v>
      </c>
      <c r="F3031" s="192">
        <f t="shared" si="660"/>
        <v>0</v>
      </c>
      <c r="G3031" s="193">
        <f t="shared" si="661"/>
        <v>0</v>
      </c>
      <c r="H3031" s="194">
        <v>0</v>
      </c>
      <c r="I3031" s="194">
        <v>0</v>
      </c>
      <c r="J3031" s="194">
        <v>0</v>
      </c>
      <c r="K3031" s="193">
        <f t="shared" si="662"/>
        <v>0</v>
      </c>
      <c r="L3031" s="194">
        <v>0</v>
      </c>
      <c r="M3031" s="194">
        <v>0</v>
      </c>
      <c r="N3031" s="194">
        <v>0</v>
      </c>
      <c r="O3031" s="193">
        <f t="shared" si="663"/>
        <v>0</v>
      </c>
      <c r="P3031" s="194">
        <v>0</v>
      </c>
      <c r="Q3031" s="194">
        <v>0</v>
      </c>
      <c r="R3031" s="194">
        <v>0</v>
      </c>
      <c r="S3031" s="193">
        <f t="shared" si="664"/>
        <v>0</v>
      </c>
      <c r="T3031" s="193">
        <f t="shared" si="665"/>
        <v>0</v>
      </c>
      <c r="U3031" s="193">
        <f ca="1">OFFSET('Expenditure Study'!$B$7,'Operations Support'!$C3031,'Operations Support'!$B3031)*$G3031</f>
        <v>0</v>
      </c>
      <c r="V3031" s="199">
        <f ca="1">U3031*'Expenditure Study'!$B$31</f>
        <v>0</v>
      </c>
      <c r="W3031" s="199">
        <f ca="1">IF(A3031=10298,1.51,1)*IF($B3031&lt;3,$D3031*'Expenditure Study'!$B$32*OFFSET('Expenditure Study'!$B$7,'Operations Support'!$C3031,'Operations Support'!$B3031),0)</f>
        <v>0</v>
      </c>
      <c r="X3031" s="200">
        <f ca="1">W3031*'Expenditure Study'!$B$31</f>
        <v>0</v>
      </c>
      <c r="Y3031" s="199">
        <f ca="1">U3031*'Expenditure Study'!$B$31</f>
        <v>0</v>
      </c>
      <c r="Z3031" s="200">
        <f ca="1">W3031*'Expenditure Study'!$B$31</f>
        <v>0</v>
      </c>
      <c r="AA3031" s="195">
        <f t="shared" ca="1" si="666"/>
        <v>0</v>
      </c>
      <c r="AB3031" s="195">
        <f t="shared" ca="1" si="667"/>
        <v>0</v>
      </c>
      <c r="AD3031" s="196">
        <f>IFERROR($G3031/SUMIF($A:$A,$A3031,$G:$G)*SUMIF(Summary!$A$166:$A$242,$A3031,Summary!$P$166:$P$242),0)</f>
        <v>0</v>
      </c>
      <c r="AE3031" s="197">
        <f t="shared" ca="1" si="668"/>
        <v>0</v>
      </c>
      <c r="AF3031" s="196">
        <f>IFERROR(G3031/SUMIF(A:A,A3031,G:G)*SUMIF(Summary!$A$166:$A$242,'Operations Support'!A3031,Summary!$Q$166:$Q$242),0)</f>
        <v>0</v>
      </c>
      <c r="AG3031" s="196">
        <f t="shared" ca="1" si="669"/>
        <v>0</v>
      </c>
      <c r="AI3031" s="196">
        <f>IFERROR($G3031/SUMIF($A:$A,$A3031,$G:$G)*SUMIF(Summary!$A$247:$A$283,$A3031,Summary!$P$247:$P$283),0)</f>
        <v>0</v>
      </c>
      <c r="AJ3031" s="196">
        <f>IFERROR($G3031/SUMIF($A:$A,$A3031,$G:$G)*(SUMIF(Summary!$A$247:$A$283,$A3031,Summary!$L$247:$L$283)+SUMIF(Summary!$A$297:$A$333,$A3031,Summary!$L$297:$L$333))-AI3031,0)</f>
        <v>0</v>
      </c>
      <c r="AK3031" s="196">
        <f>IFERROR($G3031/SUMIF($A:$A,$A3031,$G:$G)*SUMIF(Summary!$A$247:$A$283,$A3031,Summary!$Q$247:$Q$283),0)</f>
        <v>0</v>
      </c>
      <c r="AL3031" s="196">
        <f>IFERROR($G3031/SUMIF($A:$A,$A3031,$G:$G)*(SUMIF(Summary!$A$247:$A$283,$A3031,Summary!$L$247:$L$283)+SUMIF(Summary!$A$297:$A$333,$A3031,Summary!$L$297:$L$333))-AK3031,0)</f>
        <v>0</v>
      </c>
      <c r="AM3031" s="198"/>
      <c r="AN3031" s="196">
        <f t="shared" ca="1" si="670"/>
        <v>0</v>
      </c>
      <c r="AO3031" s="196">
        <f t="shared" ca="1" si="671"/>
        <v>0</v>
      </c>
    </row>
    <row r="3032" spans="1:41">
      <c r="A3032" s="189">
        <v>11161</v>
      </c>
      <c r="B3032" s="190">
        <v>5</v>
      </c>
      <c r="C3032" s="191" t="s">
        <v>223</v>
      </c>
      <c r="D3032" s="192">
        <f t="shared" si="658"/>
        <v>0</v>
      </c>
      <c r="E3032" s="192">
        <f t="shared" si="659"/>
        <v>0</v>
      </c>
      <c r="F3032" s="192">
        <f t="shared" si="660"/>
        <v>0</v>
      </c>
      <c r="G3032" s="193">
        <f t="shared" si="661"/>
        <v>0</v>
      </c>
      <c r="H3032" s="194">
        <v>0</v>
      </c>
      <c r="I3032" s="194">
        <v>0</v>
      </c>
      <c r="J3032" s="194">
        <v>0</v>
      </c>
      <c r="K3032" s="193">
        <f t="shared" si="662"/>
        <v>0</v>
      </c>
      <c r="L3032" s="194">
        <v>0</v>
      </c>
      <c r="M3032" s="194">
        <v>0</v>
      </c>
      <c r="N3032" s="194">
        <v>0</v>
      </c>
      <c r="O3032" s="193">
        <f t="shared" si="663"/>
        <v>0</v>
      </c>
      <c r="P3032" s="194">
        <v>0</v>
      </c>
      <c r="Q3032" s="194">
        <v>0</v>
      </c>
      <c r="R3032" s="194">
        <v>0</v>
      </c>
      <c r="S3032" s="193">
        <f t="shared" si="664"/>
        <v>0</v>
      </c>
      <c r="T3032" s="193">
        <f t="shared" si="665"/>
        <v>0</v>
      </c>
      <c r="U3032" s="193">
        <f ca="1">OFFSET('Expenditure Study'!$B$7,'Operations Support'!$C3032,'Operations Support'!$B3032)*$G3032</f>
        <v>0</v>
      </c>
      <c r="V3032" s="199">
        <f ca="1">U3032*'Expenditure Study'!$B$31</f>
        <v>0</v>
      </c>
      <c r="W3032" s="199">
        <f ca="1">IF(A3032=10298,1.51,1)*IF($B3032&lt;3,$D3032*'Expenditure Study'!$B$32*OFFSET('Expenditure Study'!$B$7,'Operations Support'!$C3032,'Operations Support'!$B3032),0)</f>
        <v>0</v>
      </c>
      <c r="X3032" s="200">
        <f ca="1">W3032*'Expenditure Study'!$B$31</f>
        <v>0</v>
      </c>
      <c r="Y3032" s="199">
        <f ca="1">U3032*'Expenditure Study'!$B$31</f>
        <v>0</v>
      </c>
      <c r="Z3032" s="200">
        <f ca="1">W3032*'Expenditure Study'!$B$31</f>
        <v>0</v>
      </c>
      <c r="AA3032" s="195">
        <f t="shared" ca="1" si="666"/>
        <v>0</v>
      </c>
      <c r="AB3032" s="195">
        <f t="shared" ca="1" si="667"/>
        <v>0</v>
      </c>
      <c r="AD3032" s="196">
        <f>IFERROR($G3032/SUMIF($A:$A,$A3032,$G:$G)*SUMIF(Summary!$A$166:$A$242,$A3032,Summary!$P$166:$P$242),0)</f>
        <v>0</v>
      </c>
      <c r="AE3032" s="197">
        <f t="shared" ca="1" si="668"/>
        <v>0</v>
      </c>
      <c r="AF3032" s="196">
        <f>IFERROR(G3032/SUMIF(A:A,A3032,G:G)*SUMIF(Summary!$A$166:$A$242,'Operations Support'!A3032,Summary!$Q$166:$Q$242),0)</f>
        <v>0</v>
      </c>
      <c r="AG3032" s="196">
        <f t="shared" ca="1" si="669"/>
        <v>0</v>
      </c>
      <c r="AI3032" s="196">
        <f>IFERROR($G3032/SUMIF($A:$A,$A3032,$G:$G)*SUMIF(Summary!$A$247:$A$283,$A3032,Summary!$P$247:$P$283),0)</f>
        <v>0</v>
      </c>
      <c r="AJ3032" s="196">
        <f>IFERROR($G3032/SUMIF($A:$A,$A3032,$G:$G)*(SUMIF(Summary!$A$247:$A$283,$A3032,Summary!$L$247:$L$283)+SUMIF(Summary!$A$297:$A$333,$A3032,Summary!$L$297:$L$333))-AI3032,0)</f>
        <v>0</v>
      </c>
      <c r="AK3032" s="196">
        <f>IFERROR($G3032/SUMIF($A:$A,$A3032,$G:$G)*SUMIF(Summary!$A$247:$A$283,$A3032,Summary!$Q$247:$Q$283),0)</f>
        <v>0</v>
      </c>
      <c r="AL3032" s="196">
        <f>IFERROR($G3032/SUMIF($A:$A,$A3032,$G:$G)*(SUMIF(Summary!$A$247:$A$283,$A3032,Summary!$L$247:$L$283)+SUMIF(Summary!$A$297:$A$333,$A3032,Summary!$L$297:$L$333))-AK3032,0)</f>
        <v>0</v>
      </c>
      <c r="AM3032" s="198"/>
      <c r="AN3032" s="196">
        <f t="shared" ca="1" si="670"/>
        <v>0</v>
      </c>
      <c r="AO3032" s="196">
        <f t="shared" ca="1" si="671"/>
        <v>0</v>
      </c>
    </row>
    <row r="3033" spans="1:41">
      <c r="A3033" s="189">
        <v>11161</v>
      </c>
      <c r="B3033" s="190">
        <v>5</v>
      </c>
      <c r="C3033" s="191" t="s">
        <v>224</v>
      </c>
      <c r="D3033" s="192">
        <f t="shared" si="658"/>
        <v>0</v>
      </c>
      <c r="E3033" s="192">
        <f t="shared" si="659"/>
        <v>0</v>
      </c>
      <c r="F3033" s="192">
        <f t="shared" si="660"/>
        <v>0</v>
      </c>
      <c r="G3033" s="193">
        <f t="shared" si="661"/>
        <v>0</v>
      </c>
      <c r="H3033" s="194">
        <v>0</v>
      </c>
      <c r="I3033" s="194">
        <v>0</v>
      </c>
      <c r="J3033" s="194">
        <v>0</v>
      </c>
      <c r="K3033" s="193">
        <f t="shared" si="662"/>
        <v>0</v>
      </c>
      <c r="L3033" s="194">
        <v>0</v>
      </c>
      <c r="M3033" s="194">
        <v>0</v>
      </c>
      <c r="N3033" s="194">
        <v>0</v>
      </c>
      <c r="O3033" s="193">
        <f t="shared" si="663"/>
        <v>0</v>
      </c>
      <c r="P3033" s="194">
        <v>0</v>
      </c>
      <c r="Q3033" s="194">
        <v>0</v>
      </c>
      <c r="R3033" s="194">
        <v>0</v>
      </c>
      <c r="S3033" s="193">
        <f t="shared" si="664"/>
        <v>0</v>
      </c>
      <c r="T3033" s="193">
        <f t="shared" si="665"/>
        <v>0</v>
      </c>
      <c r="U3033" s="193">
        <f ca="1">OFFSET('Expenditure Study'!$B$7,'Operations Support'!$C3033,'Operations Support'!$B3033)*$G3033</f>
        <v>0</v>
      </c>
      <c r="V3033" s="199">
        <f ca="1">U3033*'Expenditure Study'!$B$31</f>
        <v>0</v>
      </c>
      <c r="W3033" s="199">
        <f ca="1">IF(A3033=10298,1.51,1)*IF($B3033&lt;3,$D3033*'Expenditure Study'!$B$32*OFFSET('Expenditure Study'!$B$7,'Operations Support'!$C3033,'Operations Support'!$B3033),0)</f>
        <v>0</v>
      </c>
      <c r="X3033" s="200">
        <f ca="1">W3033*'Expenditure Study'!$B$31</f>
        <v>0</v>
      </c>
      <c r="Y3033" s="199">
        <f ca="1">U3033*'Expenditure Study'!$B$31</f>
        <v>0</v>
      </c>
      <c r="Z3033" s="200">
        <f ca="1">W3033*'Expenditure Study'!$B$31</f>
        <v>0</v>
      </c>
      <c r="AA3033" s="195">
        <f t="shared" ca="1" si="666"/>
        <v>0</v>
      </c>
      <c r="AB3033" s="195">
        <f t="shared" ca="1" si="667"/>
        <v>0</v>
      </c>
      <c r="AD3033" s="196">
        <f>IFERROR($G3033/SUMIF($A:$A,$A3033,$G:$G)*SUMIF(Summary!$A$166:$A$242,$A3033,Summary!$P$166:$P$242),0)</f>
        <v>0</v>
      </c>
      <c r="AE3033" s="197">
        <f t="shared" ca="1" si="668"/>
        <v>0</v>
      </c>
      <c r="AF3033" s="196">
        <f>IFERROR(G3033/SUMIF(A:A,A3033,G:G)*SUMIF(Summary!$A$166:$A$242,'Operations Support'!A3033,Summary!$Q$166:$Q$242),0)</f>
        <v>0</v>
      </c>
      <c r="AG3033" s="196">
        <f t="shared" ca="1" si="669"/>
        <v>0</v>
      </c>
      <c r="AI3033" s="196">
        <f>IFERROR($G3033/SUMIF($A:$A,$A3033,$G:$G)*SUMIF(Summary!$A$247:$A$283,$A3033,Summary!$P$247:$P$283),0)</f>
        <v>0</v>
      </c>
      <c r="AJ3033" s="196">
        <f>IFERROR($G3033/SUMIF($A:$A,$A3033,$G:$G)*(SUMIF(Summary!$A$247:$A$283,$A3033,Summary!$L$247:$L$283)+SUMIF(Summary!$A$297:$A$333,$A3033,Summary!$L$297:$L$333))-AI3033,0)</f>
        <v>0</v>
      </c>
      <c r="AK3033" s="196">
        <f>IFERROR($G3033/SUMIF($A:$A,$A3033,$G:$G)*SUMIF(Summary!$A$247:$A$283,$A3033,Summary!$Q$247:$Q$283),0)</f>
        <v>0</v>
      </c>
      <c r="AL3033" s="196">
        <f>IFERROR($G3033/SUMIF($A:$A,$A3033,$G:$G)*(SUMIF(Summary!$A$247:$A$283,$A3033,Summary!$L$247:$L$283)+SUMIF(Summary!$A$297:$A$333,$A3033,Summary!$L$297:$L$333))-AK3033,0)</f>
        <v>0</v>
      </c>
      <c r="AM3033" s="198"/>
      <c r="AN3033" s="196">
        <f t="shared" ca="1" si="670"/>
        <v>0</v>
      </c>
      <c r="AO3033" s="196">
        <f t="shared" ca="1" si="671"/>
        <v>0</v>
      </c>
    </row>
    <row r="3034" spans="1:41">
      <c r="A3034" s="189">
        <v>11161</v>
      </c>
      <c r="B3034" s="190">
        <v>5</v>
      </c>
      <c r="C3034" s="191" t="s">
        <v>225</v>
      </c>
      <c r="D3034" s="192">
        <f t="shared" si="658"/>
        <v>0</v>
      </c>
      <c r="E3034" s="192">
        <f t="shared" si="659"/>
        <v>0</v>
      </c>
      <c r="F3034" s="192">
        <f t="shared" si="660"/>
        <v>0</v>
      </c>
      <c r="G3034" s="193">
        <f t="shared" si="661"/>
        <v>0</v>
      </c>
      <c r="H3034" s="194">
        <v>0</v>
      </c>
      <c r="I3034" s="194">
        <v>0</v>
      </c>
      <c r="J3034" s="194">
        <v>0</v>
      </c>
      <c r="K3034" s="193">
        <f t="shared" si="662"/>
        <v>0</v>
      </c>
      <c r="L3034" s="194">
        <v>0</v>
      </c>
      <c r="M3034" s="194">
        <v>0</v>
      </c>
      <c r="N3034" s="194">
        <v>0</v>
      </c>
      <c r="O3034" s="193">
        <f t="shared" si="663"/>
        <v>0</v>
      </c>
      <c r="P3034" s="194">
        <v>0</v>
      </c>
      <c r="Q3034" s="194">
        <v>0</v>
      </c>
      <c r="R3034" s="194">
        <v>0</v>
      </c>
      <c r="S3034" s="193">
        <f t="shared" si="664"/>
        <v>0</v>
      </c>
      <c r="T3034" s="193">
        <f t="shared" si="665"/>
        <v>0</v>
      </c>
      <c r="U3034" s="193">
        <f ca="1">OFFSET('Expenditure Study'!$B$7,'Operations Support'!$C3034,'Operations Support'!$B3034)*$G3034</f>
        <v>0</v>
      </c>
      <c r="V3034" s="199">
        <f ca="1">U3034*'Expenditure Study'!$B$31</f>
        <v>0</v>
      </c>
      <c r="W3034" s="199">
        <f ca="1">IF(A3034=10298,1.51,1)*IF($B3034&lt;3,$D3034*'Expenditure Study'!$B$32*OFFSET('Expenditure Study'!$B$7,'Operations Support'!$C3034,'Operations Support'!$B3034),0)</f>
        <v>0</v>
      </c>
      <c r="X3034" s="200">
        <f ca="1">W3034*'Expenditure Study'!$B$31</f>
        <v>0</v>
      </c>
      <c r="Y3034" s="199">
        <f ca="1">U3034*'Expenditure Study'!$B$31</f>
        <v>0</v>
      </c>
      <c r="Z3034" s="200">
        <f ca="1">W3034*'Expenditure Study'!$B$31</f>
        <v>0</v>
      </c>
      <c r="AA3034" s="195">
        <f t="shared" ca="1" si="666"/>
        <v>0</v>
      </c>
      <c r="AB3034" s="195">
        <f t="shared" ca="1" si="667"/>
        <v>0</v>
      </c>
      <c r="AD3034" s="196">
        <f>IFERROR($G3034/SUMIF($A:$A,$A3034,$G:$G)*SUMIF(Summary!$A$166:$A$242,$A3034,Summary!$P$166:$P$242),0)</f>
        <v>0</v>
      </c>
      <c r="AE3034" s="197">
        <f t="shared" ca="1" si="668"/>
        <v>0</v>
      </c>
      <c r="AF3034" s="196">
        <f>IFERROR(G3034/SUMIF(A:A,A3034,G:G)*SUMIF(Summary!$A$166:$A$242,'Operations Support'!A3034,Summary!$Q$166:$Q$242),0)</f>
        <v>0</v>
      </c>
      <c r="AG3034" s="196">
        <f t="shared" ca="1" si="669"/>
        <v>0</v>
      </c>
      <c r="AI3034" s="196">
        <f>IFERROR($G3034/SUMIF($A:$A,$A3034,$G:$G)*SUMIF(Summary!$A$247:$A$283,$A3034,Summary!$P$247:$P$283),0)</f>
        <v>0</v>
      </c>
      <c r="AJ3034" s="196">
        <f>IFERROR($G3034/SUMIF($A:$A,$A3034,$G:$G)*(SUMIF(Summary!$A$247:$A$283,$A3034,Summary!$L$247:$L$283)+SUMIF(Summary!$A$297:$A$333,$A3034,Summary!$L$297:$L$333))-AI3034,0)</f>
        <v>0</v>
      </c>
      <c r="AK3034" s="196">
        <f>IFERROR($G3034/SUMIF($A:$A,$A3034,$G:$G)*SUMIF(Summary!$A$247:$A$283,$A3034,Summary!$Q$247:$Q$283),0)</f>
        <v>0</v>
      </c>
      <c r="AL3034" s="196">
        <f>IFERROR($G3034/SUMIF($A:$A,$A3034,$G:$G)*(SUMIF(Summary!$A$247:$A$283,$A3034,Summary!$L$247:$L$283)+SUMIF(Summary!$A$297:$A$333,$A3034,Summary!$L$297:$L$333))-AK3034,0)</f>
        <v>0</v>
      </c>
      <c r="AM3034" s="198"/>
      <c r="AN3034" s="196">
        <f t="shared" ca="1" si="670"/>
        <v>0</v>
      </c>
      <c r="AO3034" s="196">
        <f t="shared" ca="1" si="671"/>
        <v>0</v>
      </c>
    </row>
    <row r="3035" spans="1:41">
      <c r="A3035" s="189">
        <v>11161</v>
      </c>
      <c r="B3035" s="190">
        <v>5</v>
      </c>
      <c r="C3035" s="191" t="s">
        <v>226</v>
      </c>
      <c r="D3035" s="192">
        <f t="shared" si="658"/>
        <v>0</v>
      </c>
      <c r="E3035" s="192">
        <f t="shared" si="659"/>
        <v>0</v>
      </c>
      <c r="F3035" s="192">
        <f t="shared" si="660"/>
        <v>0</v>
      </c>
      <c r="G3035" s="193">
        <f t="shared" si="661"/>
        <v>0</v>
      </c>
      <c r="H3035" s="194">
        <v>0</v>
      </c>
      <c r="I3035" s="194">
        <v>0</v>
      </c>
      <c r="J3035" s="194">
        <v>0</v>
      </c>
      <c r="K3035" s="193">
        <f t="shared" si="662"/>
        <v>0</v>
      </c>
      <c r="L3035" s="194">
        <v>0</v>
      </c>
      <c r="M3035" s="194">
        <v>0</v>
      </c>
      <c r="N3035" s="194">
        <v>0</v>
      </c>
      <c r="O3035" s="193">
        <f t="shared" si="663"/>
        <v>0</v>
      </c>
      <c r="P3035" s="194">
        <v>0</v>
      </c>
      <c r="Q3035" s="194">
        <v>0</v>
      </c>
      <c r="R3035" s="194">
        <v>0</v>
      </c>
      <c r="S3035" s="193">
        <f t="shared" si="664"/>
        <v>0</v>
      </c>
      <c r="T3035" s="193">
        <f t="shared" si="665"/>
        <v>0</v>
      </c>
      <c r="U3035" s="193">
        <f ca="1">OFFSET('Expenditure Study'!$B$7,'Operations Support'!$C3035,'Operations Support'!$B3035)*$G3035</f>
        <v>0</v>
      </c>
      <c r="V3035" s="199">
        <f ca="1">U3035*'Expenditure Study'!$B$31</f>
        <v>0</v>
      </c>
      <c r="W3035" s="199">
        <f ca="1">IF(A3035=10298,1.51,1)*IF($B3035&lt;3,$D3035*'Expenditure Study'!$B$32*OFFSET('Expenditure Study'!$B$7,'Operations Support'!$C3035,'Operations Support'!$B3035),0)</f>
        <v>0</v>
      </c>
      <c r="X3035" s="200">
        <f ca="1">W3035*'Expenditure Study'!$B$31</f>
        <v>0</v>
      </c>
      <c r="Y3035" s="199">
        <f ca="1">U3035*'Expenditure Study'!$B$31</f>
        <v>0</v>
      </c>
      <c r="Z3035" s="200">
        <f ca="1">W3035*'Expenditure Study'!$B$31</f>
        <v>0</v>
      </c>
      <c r="AA3035" s="195">
        <f t="shared" ca="1" si="666"/>
        <v>0</v>
      </c>
      <c r="AB3035" s="195">
        <f t="shared" ca="1" si="667"/>
        <v>0</v>
      </c>
      <c r="AD3035" s="196">
        <f>IFERROR($G3035/SUMIF($A:$A,$A3035,$G:$G)*SUMIF(Summary!$A$166:$A$242,$A3035,Summary!$P$166:$P$242),0)</f>
        <v>0</v>
      </c>
      <c r="AE3035" s="197">
        <f t="shared" ca="1" si="668"/>
        <v>0</v>
      </c>
      <c r="AF3035" s="196">
        <f>IFERROR(G3035/SUMIF(A:A,A3035,G:G)*SUMIF(Summary!$A$166:$A$242,'Operations Support'!A3035,Summary!$Q$166:$Q$242),0)</f>
        <v>0</v>
      </c>
      <c r="AG3035" s="196">
        <f t="shared" ca="1" si="669"/>
        <v>0</v>
      </c>
      <c r="AI3035" s="196">
        <f>IFERROR($G3035/SUMIF($A:$A,$A3035,$G:$G)*SUMIF(Summary!$A$247:$A$283,$A3035,Summary!$P$247:$P$283),0)</f>
        <v>0</v>
      </c>
      <c r="AJ3035" s="196">
        <f>IFERROR($G3035/SUMIF($A:$A,$A3035,$G:$G)*(SUMIF(Summary!$A$247:$A$283,$A3035,Summary!$L$247:$L$283)+SUMIF(Summary!$A$297:$A$333,$A3035,Summary!$L$297:$L$333))-AI3035,0)</f>
        <v>0</v>
      </c>
      <c r="AK3035" s="196">
        <f>IFERROR($G3035/SUMIF($A:$A,$A3035,$G:$G)*SUMIF(Summary!$A$247:$A$283,$A3035,Summary!$Q$247:$Q$283),0)</f>
        <v>0</v>
      </c>
      <c r="AL3035" s="196">
        <f>IFERROR($G3035/SUMIF($A:$A,$A3035,$G:$G)*(SUMIF(Summary!$A$247:$A$283,$A3035,Summary!$L$247:$L$283)+SUMIF(Summary!$A$297:$A$333,$A3035,Summary!$L$297:$L$333))-AK3035,0)</f>
        <v>0</v>
      </c>
      <c r="AM3035" s="198"/>
      <c r="AN3035" s="196">
        <f t="shared" ca="1" si="670"/>
        <v>0</v>
      </c>
      <c r="AO3035" s="196">
        <f t="shared" ca="1" si="671"/>
        <v>0</v>
      </c>
    </row>
    <row r="3036" spans="1:41">
      <c r="A3036" s="189">
        <v>11161</v>
      </c>
      <c r="B3036" s="190">
        <v>5</v>
      </c>
      <c r="C3036" s="191" t="s">
        <v>227</v>
      </c>
      <c r="D3036" s="192">
        <f t="shared" si="658"/>
        <v>0</v>
      </c>
      <c r="E3036" s="192">
        <f t="shared" si="659"/>
        <v>0</v>
      </c>
      <c r="F3036" s="192">
        <f t="shared" si="660"/>
        <v>0</v>
      </c>
      <c r="G3036" s="193">
        <f t="shared" si="661"/>
        <v>0</v>
      </c>
      <c r="H3036" s="194">
        <v>0</v>
      </c>
      <c r="I3036" s="194">
        <v>0</v>
      </c>
      <c r="J3036" s="194">
        <v>0</v>
      </c>
      <c r="K3036" s="193">
        <f t="shared" si="662"/>
        <v>0</v>
      </c>
      <c r="L3036" s="194">
        <v>0</v>
      </c>
      <c r="M3036" s="194">
        <v>0</v>
      </c>
      <c r="N3036" s="194">
        <v>0</v>
      </c>
      <c r="O3036" s="193">
        <f t="shared" si="663"/>
        <v>0</v>
      </c>
      <c r="P3036" s="194">
        <v>0</v>
      </c>
      <c r="Q3036" s="194">
        <v>0</v>
      </c>
      <c r="R3036" s="194">
        <v>0</v>
      </c>
      <c r="S3036" s="193">
        <f t="shared" si="664"/>
        <v>0</v>
      </c>
      <c r="T3036" s="193">
        <f t="shared" si="665"/>
        <v>0</v>
      </c>
      <c r="U3036" s="193">
        <f ca="1">OFFSET('Expenditure Study'!$B$7,'Operations Support'!$C3036,'Operations Support'!$B3036)*$G3036</f>
        <v>0</v>
      </c>
      <c r="V3036" s="199">
        <f ca="1">U3036*'Expenditure Study'!$B$31</f>
        <v>0</v>
      </c>
      <c r="W3036" s="199">
        <f ca="1">IF(A3036=10298,1.51,1)*IF($B3036&lt;3,$D3036*'Expenditure Study'!$B$32*OFFSET('Expenditure Study'!$B$7,'Operations Support'!$C3036,'Operations Support'!$B3036),0)</f>
        <v>0</v>
      </c>
      <c r="X3036" s="200">
        <f ca="1">W3036*'Expenditure Study'!$B$31</f>
        <v>0</v>
      </c>
      <c r="Y3036" s="199">
        <f ca="1">U3036*'Expenditure Study'!$B$31</f>
        <v>0</v>
      </c>
      <c r="Z3036" s="200">
        <f ca="1">W3036*'Expenditure Study'!$B$31</f>
        <v>0</v>
      </c>
      <c r="AA3036" s="195">
        <f t="shared" ca="1" si="666"/>
        <v>0</v>
      </c>
      <c r="AB3036" s="195">
        <f t="shared" ca="1" si="667"/>
        <v>0</v>
      </c>
      <c r="AD3036" s="196">
        <f>IFERROR($G3036/SUMIF($A:$A,$A3036,$G:$G)*SUMIF(Summary!$A$166:$A$242,$A3036,Summary!$P$166:$P$242),0)</f>
        <v>0</v>
      </c>
      <c r="AE3036" s="197">
        <f t="shared" ca="1" si="668"/>
        <v>0</v>
      </c>
      <c r="AF3036" s="196">
        <f>IFERROR(G3036/SUMIF(A:A,A3036,G:G)*SUMIF(Summary!$A$166:$A$242,'Operations Support'!A3036,Summary!$Q$166:$Q$242),0)</f>
        <v>0</v>
      </c>
      <c r="AG3036" s="196">
        <f t="shared" ca="1" si="669"/>
        <v>0</v>
      </c>
      <c r="AI3036" s="196">
        <f>IFERROR($G3036/SUMIF($A:$A,$A3036,$G:$G)*SUMIF(Summary!$A$247:$A$283,$A3036,Summary!$P$247:$P$283),0)</f>
        <v>0</v>
      </c>
      <c r="AJ3036" s="196">
        <f>IFERROR($G3036/SUMIF($A:$A,$A3036,$G:$G)*(SUMIF(Summary!$A$247:$A$283,$A3036,Summary!$L$247:$L$283)+SUMIF(Summary!$A$297:$A$333,$A3036,Summary!$L$297:$L$333))-AI3036,0)</f>
        <v>0</v>
      </c>
      <c r="AK3036" s="196">
        <f>IFERROR($G3036/SUMIF($A:$A,$A3036,$G:$G)*SUMIF(Summary!$A$247:$A$283,$A3036,Summary!$Q$247:$Q$283),0)</f>
        <v>0</v>
      </c>
      <c r="AL3036" s="196">
        <f>IFERROR($G3036/SUMIF($A:$A,$A3036,$G:$G)*(SUMIF(Summary!$A$247:$A$283,$A3036,Summary!$L$247:$L$283)+SUMIF(Summary!$A$297:$A$333,$A3036,Summary!$L$297:$L$333))-AK3036,0)</f>
        <v>0</v>
      </c>
      <c r="AM3036" s="198"/>
      <c r="AN3036" s="196">
        <f t="shared" ca="1" si="670"/>
        <v>0</v>
      </c>
      <c r="AO3036" s="196">
        <f t="shared" ca="1" si="671"/>
        <v>0</v>
      </c>
    </row>
    <row r="3037" spans="1:41">
      <c r="A3037" s="189">
        <v>11161</v>
      </c>
      <c r="B3037" s="190">
        <v>5</v>
      </c>
      <c r="C3037" s="191" t="s">
        <v>228</v>
      </c>
      <c r="D3037" s="192">
        <f t="shared" si="658"/>
        <v>0</v>
      </c>
      <c r="E3037" s="192">
        <f t="shared" si="659"/>
        <v>0</v>
      </c>
      <c r="F3037" s="192">
        <f t="shared" si="660"/>
        <v>0</v>
      </c>
      <c r="G3037" s="193">
        <f t="shared" si="661"/>
        <v>0</v>
      </c>
      <c r="H3037" s="194">
        <v>0</v>
      </c>
      <c r="I3037" s="194">
        <v>0</v>
      </c>
      <c r="J3037" s="194">
        <v>0</v>
      </c>
      <c r="K3037" s="193">
        <f t="shared" si="662"/>
        <v>0</v>
      </c>
      <c r="L3037" s="194">
        <v>0</v>
      </c>
      <c r="M3037" s="194">
        <v>0</v>
      </c>
      <c r="N3037" s="194">
        <v>0</v>
      </c>
      <c r="O3037" s="193">
        <f t="shared" si="663"/>
        <v>0</v>
      </c>
      <c r="P3037" s="194">
        <v>0</v>
      </c>
      <c r="Q3037" s="194">
        <v>0</v>
      </c>
      <c r="R3037" s="194">
        <v>0</v>
      </c>
      <c r="S3037" s="193">
        <f t="shared" si="664"/>
        <v>0</v>
      </c>
      <c r="T3037" s="193">
        <f t="shared" si="665"/>
        <v>0</v>
      </c>
      <c r="U3037" s="193">
        <f ca="1">OFFSET('Expenditure Study'!$B$7,'Operations Support'!$C3037,'Operations Support'!$B3037)*$G3037</f>
        <v>0</v>
      </c>
      <c r="V3037" s="199">
        <f ca="1">U3037*'Expenditure Study'!$B$31</f>
        <v>0</v>
      </c>
      <c r="W3037" s="199">
        <f ca="1">IF(A3037=10298,1.51,1)*IF($B3037&lt;3,$D3037*'Expenditure Study'!$B$32*OFFSET('Expenditure Study'!$B$7,'Operations Support'!$C3037,'Operations Support'!$B3037),0)</f>
        <v>0</v>
      </c>
      <c r="X3037" s="200">
        <f ca="1">W3037*'Expenditure Study'!$B$31</f>
        <v>0</v>
      </c>
      <c r="Y3037" s="199">
        <f ca="1">U3037*'Expenditure Study'!$B$31</f>
        <v>0</v>
      </c>
      <c r="Z3037" s="200">
        <f ca="1">W3037*'Expenditure Study'!$B$31</f>
        <v>0</v>
      </c>
      <c r="AA3037" s="195">
        <f t="shared" ca="1" si="666"/>
        <v>0</v>
      </c>
      <c r="AB3037" s="195">
        <f t="shared" ca="1" si="667"/>
        <v>0</v>
      </c>
      <c r="AD3037" s="196">
        <f>IFERROR($G3037/SUMIF($A:$A,$A3037,$G:$G)*SUMIF(Summary!$A$166:$A$242,$A3037,Summary!$P$166:$P$242),0)</f>
        <v>0</v>
      </c>
      <c r="AE3037" s="197">
        <f t="shared" ca="1" si="668"/>
        <v>0</v>
      </c>
      <c r="AF3037" s="196">
        <f>IFERROR(G3037/SUMIF(A:A,A3037,G:G)*SUMIF(Summary!$A$166:$A$242,'Operations Support'!A3037,Summary!$Q$166:$Q$242),0)</f>
        <v>0</v>
      </c>
      <c r="AG3037" s="196">
        <f t="shared" ca="1" si="669"/>
        <v>0</v>
      </c>
      <c r="AI3037" s="196">
        <f>IFERROR($G3037/SUMIF($A:$A,$A3037,$G:$G)*SUMIF(Summary!$A$247:$A$283,$A3037,Summary!$P$247:$P$283),0)</f>
        <v>0</v>
      </c>
      <c r="AJ3037" s="196">
        <f>IFERROR($G3037/SUMIF($A:$A,$A3037,$G:$G)*(SUMIF(Summary!$A$247:$A$283,$A3037,Summary!$L$247:$L$283)+SUMIF(Summary!$A$297:$A$333,$A3037,Summary!$L$297:$L$333))-AI3037,0)</f>
        <v>0</v>
      </c>
      <c r="AK3037" s="196">
        <f>IFERROR($G3037/SUMIF($A:$A,$A3037,$G:$G)*SUMIF(Summary!$A$247:$A$283,$A3037,Summary!$Q$247:$Q$283),0)</f>
        <v>0</v>
      </c>
      <c r="AL3037" s="196">
        <f>IFERROR($G3037/SUMIF($A:$A,$A3037,$G:$G)*(SUMIF(Summary!$A$247:$A$283,$A3037,Summary!$L$247:$L$283)+SUMIF(Summary!$A$297:$A$333,$A3037,Summary!$L$297:$L$333))-AK3037,0)</f>
        <v>0</v>
      </c>
      <c r="AM3037" s="198"/>
      <c r="AN3037" s="196">
        <f t="shared" ca="1" si="670"/>
        <v>0</v>
      </c>
      <c r="AO3037" s="196">
        <f t="shared" ca="1" si="671"/>
        <v>0</v>
      </c>
    </row>
    <row r="3038" spans="1:41">
      <c r="A3038" s="189">
        <v>11161</v>
      </c>
      <c r="B3038" s="190">
        <v>5</v>
      </c>
      <c r="C3038" s="191" t="s">
        <v>229</v>
      </c>
      <c r="D3038" s="192">
        <f t="shared" si="658"/>
        <v>0</v>
      </c>
      <c r="E3038" s="192">
        <f t="shared" si="659"/>
        <v>0</v>
      </c>
      <c r="F3038" s="192">
        <f t="shared" si="660"/>
        <v>0</v>
      </c>
      <c r="G3038" s="193">
        <f t="shared" si="661"/>
        <v>0</v>
      </c>
      <c r="H3038" s="194">
        <v>0</v>
      </c>
      <c r="I3038" s="194">
        <v>0</v>
      </c>
      <c r="J3038" s="194">
        <v>0</v>
      </c>
      <c r="K3038" s="193">
        <f t="shared" si="662"/>
        <v>0</v>
      </c>
      <c r="L3038" s="194">
        <v>0</v>
      </c>
      <c r="M3038" s="194">
        <v>0</v>
      </c>
      <c r="N3038" s="194">
        <v>0</v>
      </c>
      <c r="O3038" s="193">
        <f t="shared" si="663"/>
        <v>0</v>
      </c>
      <c r="P3038" s="194">
        <v>0</v>
      </c>
      <c r="Q3038" s="194">
        <v>0</v>
      </c>
      <c r="R3038" s="194">
        <v>0</v>
      </c>
      <c r="S3038" s="193">
        <f t="shared" si="664"/>
        <v>0</v>
      </c>
      <c r="T3038" s="193">
        <f t="shared" si="665"/>
        <v>0</v>
      </c>
      <c r="U3038" s="193">
        <f ca="1">OFFSET('Expenditure Study'!$B$7,'Operations Support'!$C3038,'Operations Support'!$B3038)*$G3038</f>
        <v>0</v>
      </c>
      <c r="V3038" s="199">
        <f ca="1">U3038*'Expenditure Study'!$B$31</f>
        <v>0</v>
      </c>
      <c r="W3038" s="199">
        <f ca="1">IF(A3038=10298,1.51,1)*IF($B3038&lt;3,$D3038*'Expenditure Study'!$B$32*OFFSET('Expenditure Study'!$B$7,'Operations Support'!$C3038,'Operations Support'!$B3038),0)</f>
        <v>0</v>
      </c>
      <c r="X3038" s="200">
        <f ca="1">W3038*'Expenditure Study'!$B$31</f>
        <v>0</v>
      </c>
      <c r="Y3038" s="199">
        <f ca="1">U3038*'Expenditure Study'!$B$31</f>
        <v>0</v>
      </c>
      <c r="Z3038" s="200">
        <f ca="1">W3038*'Expenditure Study'!$B$31</f>
        <v>0</v>
      </c>
      <c r="AA3038" s="195">
        <f t="shared" ca="1" si="666"/>
        <v>0</v>
      </c>
      <c r="AB3038" s="195">
        <f t="shared" ca="1" si="667"/>
        <v>0</v>
      </c>
      <c r="AD3038" s="196">
        <f>IFERROR($G3038/SUMIF($A:$A,$A3038,$G:$G)*SUMIF(Summary!$A$166:$A$242,$A3038,Summary!$P$166:$P$242),0)</f>
        <v>0</v>
      </c>
      <c r="AE3038" s="197">
        <f t="shared" ca="1" si="668"/>
        <v>0</v>
      </c>
      <c r="AF3038" s="196">
        <f>IFERROR(G3038/SUMIF(A:A,A3038,G:G)*SUMIF(Summary!$A$166:$A$242,'Operations Support'!A3038,Summary!$Q$166:$Q$242),0)</f>
        <v>0</v>
      </c>
      <c r="AG3038" s="196">
        <f t="shared" ca="1" si="669"/>
        <v>0</v>
      </c>
      <c r="AI3038" s="196">
        <f>IFERROR($G3038/SUMIF($A:$A,$A3038,$G:$G)*SUMIF(Summary!$A$247:$A$283,$A3038,Summary!$P$247:$P$283),0)</f>
        <v>0</v>
      </c>
      <c r="AJ3038" s="196">
        <f>IFERROR($G3038/SUMIF($A:$A,$A3038,$G:$G)*(SUMIF(Summary!$A$247:$A$283,$A3038,Summary!$L$247:$L$283)+SUMIF(Summary!$A$297:$A$333,$A3038,Summary!$L$297:$L$333))-AI3038,0)</f>
        <v>0</v>
      </c>
      <c r="AK3038" s="196">
        <f>IFERROR($G3038/SUMIF($A:$A,$A3038,$G:$G)*SUMIF(Summary!$A$247:$A$283,$A3038,Summary!$Q$247:$Q$283),0)</f>
        <v>0</v>
      </c>
      <c r="AL3038" s="196">
        <f>IFERROR($G3038/SUMIF($A:$A,$A3038,$G:$G)*(SUMIF(Summary!$A$247:$A$283,$A3038,Summary!$L$247:$L$283)+SUMIF(Summary!$A$297:$A$333,$A3038,Summary!$L$297:$L$333))-AK3038,0)</f>
        <v>0</v>
      </c>
      <c r="AM3038" s="198"/>
      <c r="AN3038" s="196">
        <f t="shared" ca="1" si="670"/>
        <v>0</v>
      </c>
      <c r="AO3038" s="196">
        <f t="shared" ca="1" si="671"/>
        <v>0</v>
      </c>
    </row>
    <row r="3039" spans="1:41">
      <c r="A3039" s="189">
        <v>11161</v>
      </c>
      <c r="B3039" s="190">
        <v>5</v>
      </c>
      <c r="C3039" s="191" t="s">
        <v>230</v>
      </c>
      <c r="D3039" s="192">
        <f t="shared" si="658"/>
        <v>0</v>
      </c>
      <c r="E3039" s="192">
        <f t="shared" si="659"/>
        <v>0</v>
      </c>
      <c r="F3039" s="192">
        <f t="shared" si="660"/>
        <v>0</v>
      </c>
      <c r="G3039" s="193">
        <f t="shared" si="661"/>
        <v>0</v>
      </c>
      <c r="H3039" s="194">
        <v>0</v>
      </c>
      <c r="I3039" s="194">
        <v>0</v>
      </c>
      <c r="J3039" s="194">
        <v>0</v>
      </c>
      <c r="K3039" s="193">
        <f t="shared" si="662"/>
        <v>0</v>
      </c>
      <c r="L3039" s="194">
        <v>0</v>
      </c>
      <c r="M3039" s="194">
        <v>0</v>
      </c>
      <c r="N3039" s="194">
        <v>0</v>
      </c>
      <c r="O3039" s="193">
        <f t="shared" si="663"/>
        <v>0</v>
      </c>
      <c r="P3039" s="194">
        <v>0</v>
      </c>
      <c r="Q3039" s="194">
        <v>0</v>
      </c>
      <c r="R3039" s="194">
        <v>0</v>
      </c>
      <c r="S3039" s="193">
        <f t="shared" si="664"/>
        <v>0</v>
      </c>
      <c r="T3039" s="193">
        <f t="shared" si="665"/>
        <v>0</v>
      </c>
      <c r="U3039" s="193">
        <f ca="1">OFFSET('Expenditure Study'!$B$7,'Operations Support'!$C3039,'Operations Support'!$B3039)*$G3039</f>
        <v>0</v>
      </c>
      <c r="V3039" s="199">
        <f ca="1">U3039*'Expenditure Study'!$B$31</f>
        <v>0</v>
      </c>
      <c r="W3039" s="199">
        <f ca="1">IF(A3039=10298,1.51,1)*IF($B3039&lt;3,$D3039*'Expenditure Study'!$B$32*OFFSET('Expenditure Study'!$B$7,'Operations Support'!$C3039,'Operations Support'!$B3039),0)</f>
        <v>0</v>
      </c>
      <c r="X3039" s="200">
        <f ca="1">W3039*'Expenditure Study'!$B$31</f>
        <v>0</v>
      </c>
      <c r="Y3039" s="199">
        <f ca="1">U3039*'Expenditure Study'!$B$31</f>
        <v>0</v>
      </c>
      <c r="Z3039" s="200">
        <f ca="1">W3039*'Expenditure Study'!$B$31</f>
        <v>0</v>
      </c>
      <c r="AA3039" s="195">
        <f t="shared" ca="1" si="666"/>
        <v>0</v>
      </c>
      <c r="AB3039" s="195">
        <f t="shared" ca="1" si="667"/>
        <v>0</v>
      </c>
      <c r="AD3039" s="196">
        <f>IFERROR($G3039/SUMIF($A:$A,$A3039,$G:$G)*SUMIF(Summary!$A$166:$A$242,$A3039,Summary!$P$166:$P$242),0)</f>
        <v>0</v>
      </c>
      <c r="AE3039" s="197">
        <f t="shared" ca="1" si="668"/>
        <v>0</v>
      </c>
      <c r="AF3039" s="196">
        <f>IFERROR(G3039/SUMIF(A:A,A3039,G:G)*SUMIF(Summary!$A$166:$A$242,'Operations Support'!A3039,Summary!$Q$166:$Q$242),0)</f>
        <v>0</v>
      </c>
      <c r="AG3039" s="196">
        <f t="shared" ca="1" si="669"/>
        <v>0</v>
      </c>
      <c r="AI3039" s="196">
        <f>IFERROR($G3039/SUMIF($A:$A,$A3039,$G:$G)*SUMIF(Summary!$A$247:$A$283,$A3039,Summary!$P$247:$P$283),0)</f>
        <v>0</v>
      </c>
      <c r="AJ3039" s="196">
        <f>IFERROR($G3039/SUMIF($A:$A,$A3039,$G:$G)*(SUMIF(Summary!$A$247:$A$283,$A3039,Summary!$L$247:$L$283)+SUMIF(Summary!$A$297:$A$333,$A3039,Summary!$L$297:$L$333))-AI3039,0)</f>
        <v>0</v>
      </c>
      <c r="AK3039" s="196">
        <f>IFERROR($G3039/SUMIF($A:$A,$A3039,$G:$G)*SUMIF(Summary!$A$247:$A$283,$A3039,Summary!$Q$247:$Q$283),0)</f>
        <v>0</v>
      </c>
      <c r="AL3039" s="196">
        <f>IFERROR($G3039/SUMIF($A:$A,$A3039,$G:$G)*(SUMIF(Summary!$A$247:$A$283,$A3039,Summary!$L$247:$L$283)+SUMIF(Summary!$A$297:$A$333,$A3039,Summary!$L$297:$L$333))-AK3039,0)</f>
        <v>0</v>
      </c>
      <c r="AM3039" s="198"/>
      <c r="AN3039" s="196">
        <f t="shared" ca="1" si="670"/>
        <v>0</v>
      </c>
      <c r="AO3039" s="196">
        <f t="shared" ca="1" si="671"/>
        <v>0</v>
      </c>
    </row>
    <row r="3040" spans="1:41">
      <c r="A3040" s="189">
        <v>11161</v>
      </c>
      <c r="B3040" s="190">
        <v>5</v>
      </c>
      <c r="C3040" s="191" t="s">
        <v>231</v>
      </c>
      <c r="D3040" s="192">
        <f t="shared" si="658"/>
        <v>0</v>
      </c>
      <c r="E3040" s="192">
        <f t="shared" si="659"/>
        <v>0</v>
      </c>
      <c r="F3040" s="192">
        <f t="shared" si="660"/>
        <v>0</v>
      </c>
      <c r="G3040" s="193">
        <f t="shared" si="661"/>
        <v>0</v>
      </c>
      <c r="H3040" s="194">
        <v>0</v>
      </c>
      <c r="I3040" s="194">
        <v>0</v>
      </c>
      <c r="J3040" s="194">
        <v>0</v>
      </c>
      <c r="K3040" s="193">
        <f t="shared" si="662"/>
        <v>0</v>
      </c>
      <c r="L3040" s="194">
        <v>0</v>
      </c>
      <c r="M3040" s="194">
        <v>0</v>
      </c>
      <c r="N3040" s="194">
        <v>0</v>
      </c>
      <c r="O3040" s="193">
        <f t="shared" si="663"/>
        <v>0</v>
      </c>
      <c r="P3040" s="194">
        <v>0</v>
      </c>
      <c r="Q3040" s="194">
        <v>0</v>
      </c>
      <c r="R3040" s="194">
        <v>0</v>
      </c>
      <c r="S3040" s="193">
        <f t="shared" si="664"/>
        <v>0</v>
      </c>
      <c r="T3040" s="193">
        <f t="shared" si="665"/>
        <v>0</v>
      </c>
      <c r="U3040" s="193">
        <f ca="1">OFFSET('Expenditure Study'!$B$7,'Operations Support'!$C3040,'Operations Support'!$B3040)*$G3040</f>
        <v>0</v>
      </c>
      <c r="V3040" s="199">
        <f ca="1">U3040*'Expenditure Study'!$B$31</f>
        <v>0</v>
      </c>
      <c r="W3040" s="199">
        <f ca="1">IF(A3040=10298,1.51,1)*IF($B3040&lt;3,$D3040*'Expenditure Study'!$B$32*OFFSET('Expenditure Study'!$B$7,'Operations Support'!$C3040,'Operations Support'!$B3040),0)</f>
        <v>0</v>
      </c>
      <c r="X3040" s="200">
        <f ca="1">W3040*'Expenditure Study'!$B$31</f>
        <v>0</v>
      </c>
      <c r="Y3040" s="199">
        <f ca="1">U3040*'Expenditure Study'!$B$31</f>
        <v>0</v>
      </c>
      <c r="Z3040" s="200">
        <f ca="1">W3040*'Expenditure Study'!$B$31</f>
        <v>0</v>
      </c>
      <c r="AA3040" s="195">
        <f t="shared" ca="1" si="666"/>
        <v>0</v>
      </c>
      <c r="AB3040" s="195">
        <f t="shared" ca="1" si="667"/>
        <v>0</v>
      </c>
      <c r="AD3040" s="196">
        <f>IFERROR($G3040/SUMIF($A:$A,$A3040,$G:$G)*SUMIF(Summary!$A$166:$A$242,$A3040,Summary!$P$166:$P$242),0)</f>
        <v>0</v>
      </c>
      <c r="AE3040" s="197">
        <f t="shared" ca="1" si="668"/>
        <v>0</v>
      </c>
      <c r="AF3040" s="196">
        <f>IFERROR(G3040/SUMIF(A:A,A3040,G:G)*SUMIF(Summary!$A$166:$A$242,'Operations Support'!A3040,Summary!$Q$166:$Q$242),0)</f>
        <v>0</v>
      </c>
      <c r="AG3040" s="196">
        <f t="shared" ca="1" si="669"/>
        <v>0</v>
      </c>
      <c r="AI3040" s="196">
        <f>IFERROR($G3040/SUMIF($A:$A,$A3040,$G:$G)*SUMIF(Summary!$A$247:$A$283,$A3040,Summary!$P$247:$P$283),0)</f>
        <v>0</v>
      </c>
      <c r="AJ3040" s="196">
        <f>IFERROR($G3040/SUMIF($A:$A,$A3040,$G:$G)*(SUMIF(Summary!$A$247:$A$283,$A3040,Summary!$L$247:$L$283)+SUMIF(Summary!$A$297:$A$333,$A3040,Summary!$L$297:$L$333))-AI3040,0)</f>
        <v>0</v>
      </c>
      <c r="AK3040" s="196">
        <f>IFERROR($G3040/SUMIF($A:$A,$A3040,$G:$G)*SUMIF(Summary!$A$247:$A$283,$A3040,Summary!$Q$247:$Q$283),0)</f>
        <v>0</v>
      </c>
      <c r="AL3040" s="196">
        <f>IFERROR($G3040/SUMIF($A:$A,$A3040,$G:$G)*(SUMIF(Summary!$A$247:$A$283,$A3040,Summary!$L$247:$L$283)+SUMIF(Summary!$A$297:$A$333,$A3040,Summary!$L$297:$L$333))-AK3040,0)</f>
        <v>0</v>
      </c>
      <c r="AM3040" s="198"/>
      <c r="AN3040" s="196">
        <f t="shared" ca="1" si="670"/>
        <v>0</v>
      </c>
      <c r="AO3040" s="196">
        <f t="shared" ca="1" si="671"/>
        <v>0</v>
      </c>
    </row>
    <row r="3041" spans="1:41">
      <c r="A3041" s="189">
        <v>11161</v>
      </c>
      <c r="B3041" s="190">
        <v>5</v>
      </c>
      <c r="C3041" s="191" t="s">
        <v>232</v>
      </c>
      <c r="D3041" s="192">
        <f t="shared" si="658"/>
        <v>0</v>
      </c>
      <c r="E3041" s="192">
        <f t="shared" si="659"/>
        <v>0</v>
      </c>
      <c r="F3041" s="192">
        <f t="shared" si="660"/>
        <v>0</v>
      </c>
      <c r="G3041" s="193">
        <f t="shared" si="661"/>
        <v>0</v>
      </c>
      <c r="H3041" s="194">
        <v>0</v>
      </c>
      <c r="I3041" s="194">
        <v>0</v>
      </c>
      <c r="J3041" s="194">
        <v>0</v>
      </c>
      <c r="K3041" s="193">
        <f t="shared" si="662"/>
        <v>0</v>
      </c>
      <c r="L3041" s="194">
        <v>0</v>
      </c>
      <c r="M3041" s="194">
        <v>0</v>
      </c>
      <c r="N3041" s="194">
        <v>0</v>
      </c>
      <c r="O3041" s="193">
        <f t="shared" si="663"/>
        <v>0</v>
      </c>
      <c r="P3041" s="194">
        <v>0</v>
      </c>
      <c r="Q3041" s="194">
        <v>0</v>
      </c>
      <c r="R3041" s="194">
        <v>0</v>
      </c>
      <c r="S3041" s="193">
        <f t="shared" si="664"/>
        <v>0</v>
      </c>
      <c r="T3041" s="193">
        <f t="shared" si="665"/>
        <v>0</v>
      </c>
      <c r="U3041" s="193">
        <f ca="1">OFFSET('Expenditure Study'!$B$7,'Operations Support'!$C3041,'Operations Support'!$B3041)*$G3041</f>
        <v>0</v>
      </c>
      <c r="V3041" s="199">
        <f ca="1">U3041*'Expenditure Study'!$B$31</f>
        <v>0</v>
      </c>
      <c r="W3041" s="199">
        <f ca="1">IF(A3041=10298,1.51,1)*IF($B3041&lt;3,$D3041*'Expenditure Study'!$B$32*OFFSET('Expenditure Study'!$B$7,'Operations Support'!$C3041,'Operations Support'!$B3041),0)</f>
        <v>0</v>
      </c>
      <c r="X3041" s="200">
        <f ca="1">W3041*'Expenditure Study'!$B$31</f>
        <v>0</v>
      </c>
      <c r="Y3041" s="199">
        <f ca="1">U3041*'Expenditure Study'!$B$31</f>
        <v>0</v>
      </c>
      <c r="Z3041" s="200">
        <f ca="1">W3041*'Expenditure Study'!$B$31</f>
        <v>0</v>
      </c>
      <c r="AA3041" s="195">
        <f t="shared" ca="1" si="666"/>
        <v>0</v>
      </c>
      <c r="AB3041" s="195">
        <f t="shared" ca="1" si="667"/>
        <v>0</v>
      </c>
      <c r="AD3041" s="196">
        <f>IFERROR($G3041/SUMIF($A:$A,$A3041,$G:$G)*SUMIF(Summary!$A$166:$A$242,$A3041,Summary!$P$166:$P$242),0)</f>
        <v>0</v>
      </c>
      <c r="AE3041" s="197">
        <f t="shared" ca="1" si="668"/>
        <v>0</v>
      </c>
      <c r="AF3041" s="196">
        <f>IFERROR(G3041/SUMIF(A:A,A3041,G:G)*SUMIF(Summary!$A$166:$A$242,'Operations Support'!A3041,Summary!$Q$166:$Q$242),0)</f>
        <v>0</v>
      </c>
      <c r="AG3041" s="196">
        <f t="shared" ca="1" si="669"/>
        <v>0</v>
      </c>
      <c r="AI3041" s="196">
        <f>IFERROR($G3041/SUMIF($A:$A,$A3041,$G:$G)*SUMIF(Summary!$A$247:$A$283,$A3041,Summary!$P$247:$P$283),0)</f>
        <v>0</v>
      </c>
      <c r="AJ3041" s="196">
        <f>IFERROR($G3041/SUMIF($A:$A,$A3041,$G:$G)*(SUMIF(Summary!$A$247:$A$283,$A3041,Summary!$L$247:$L$283)+SUMIF(Summary!$A$297:$A$333,$A3041,Summary!$L$297:$L$333))-AI3041,0)</f>
        <v>0</v>
      </c>
      <c r="AK3041" s="196">
        <f>IFERROR($G3041/SUMIF($A:$A,$A3041,$G:$G)*SUMIF(Summary!$A$247:$A$283,$A3041,Summary!$Q$247:$Q$283),0)</f>
        <v>0</v>
      </c>
      <c r="AL3041" s="196">
        <f>IFERROR($G3041/SUMIF($A:$A,$A3041,$G:$G)*(SUMIF(Summary!$A$247:$A$283,$A3041,Summary!$L$247:$L$283)+SUMIF(Summary!$A$297:$A$333,$A3041,Summary!$L$297:$L$333))-AK3041,0)</f>
        <v>0</v>
      </c>
      <c r="AM3041" s="198"/>
      <c r="AN3041" s="196">
        <f t="shared" ca="1" si="670"/>
        <v>0</v>
      </c>
      <c r="AO3041" s="196">
        <f t="shared" ca="1" si="671"/>
        <v>0</v>
      </c>
    </row>
    <row r="3042" spans="1:41">
      <c r="A3042" s="189">
        <v>11161</v>
      </c>
      <c r="B3042" s="190">
        <v>5</v>
      </c>
      <c r="C3042" s="191" t="s">
        <v>233</v>
      </c>
      <c r="D3042" s="192">
        <f t="shared" si="658"/>
        <v>0</v>
      </c>
      <c r="E3042" s="192">
        <f t="shared" si="659"/>
        <v>0</v>
      </c>
      <c r="F3042" s="192">
        <f t="shared" si="660"/>
        <v>0</v>
      </c>
      <c r="G3042" s="193">
        <f t="shared" si="661"/>
        <v>0</v>
      </c>
      <c r="H3042" s="194">
        <v>0</v>
      </c>
      <c r="I3042" s="194">
        <v>0</v>
      </c>
      <c r="J3042" s="194">
        <v>0</v>
      </c>
      <c r="K3042" s="193">
        <f t="shared" si="662"/>
        <v>0</v>
      </c>
      <c r="L3042" s="194">
        <v>0</v>
      </c>
      <c r="M3042" s="194">
        <v>0</v>
      </c>
      <c r="N3042" s="194">
        <v>0</v>
      </c>
      <c r="O3042" s="193">
        <f t="shared" si="663"/>
        <v>0</v>
      </c>
      <c r="P3042" s="194">
        <v>0</v>
      </c>
      <c r="Q3042" s="194">
        <v>0</v>
      </c>
      <c r="R3042" s="194">
        <v>0</v>
      </c>
      <c r="S3042" s="193">
        <f t="shared" si="664"/>
        <v>0</v>
      </c>
      <c r="T3042" s="193">
        <f t="shared" si="665"/>
        <v>0</v>
      </c>
      <c r="U3042" s="193">
        <f ca="1">OFFSET('Expenditure Study'!$B$7,'Operations Support'!$C3042,'Operations Support'!$B3042)*$G3042</f>
        <v>0</v>
      </c>
      <c r="V3042" s="199">
        <f ca="1">U3042*'Expenditure Study'!$B$31</f>
        <v>0</v>
      </c>
      <c r="W3042" s="199">
        <f ca="1">IF(A3042=10298,1.51,1)*IF($B3042&lt;3,$D3042*'Expenditure Study'!$B$32*OFFSET('Expenditure Study'!$B$7,'Operations Support'!$C3042,'Operations Support'!$B3042),0)</f>
        <v>0</v>
      </c>
      <c r="X3042" s="200">
        <f ca="1">W3042*'Expenditure Study'!$B$31</f>
        <v>0</v>
      </c>
      <c r="Y3042" s="199">
        <f ca="1">U3042*'Expenditure Study'!$B$31</f>
        <v>0</v>
      </c>
      <c r="Z3042" s="200">
        <f ca="1">W3042*'Expenditure Study'!$B$31</f>
        <v>0</v>
      </c>
      <c r="AA3042" s="195">
        <f t="shared" ca="1" si="666"/>
        <v>0</v>
      </c>
      <c r="AB3042" s="195">
        <f t="shared" ca="1" si="667"/>
        <v>0</v>
      </c>
      <c r="AD3042" s="196">
        <f>IFERROR($G3042/SUMIF($A:$A,$A3042,$G:$G)*SUMIF(Summary!$A$166:$A$242,$A3042,Summary!$P$166:$P$242),0)</f>
        <v>0</v>
      </c>
      <c r="AE3042" s="197">
        <f t="shared" ca="1" si="668"/>
        <v>0</v>
      </c>
      <c r="AF3042" s="196">
        <f>IFERROR(G3042/SUMIF(A:A,A3042,G:G)*SUMIF(Summary!$A$166:$A$242,'Operations Support'!A3042,Summary!$Q$166:$Q$242),0)</f>
        <v>0</v>
      </c>
      <c r="AG3042" s="196">
        <f t="shared" ca="1" si="669"/>
        <v>0</v>
      </c>
      <c r="AI3042" s="196">
        <f>IFERROR($G3042/SUMIF($A:$A,$A3042,$G:$G)*SUMIF(Summary!$A$247:$A$283,$A3042,Summary!$P$247:$P$283),0)</f>
        <v>0</v>
      </c>
      <c r="AJ3042" s="196">
        <f>IFERROR($G3042/SUMIF($A:$A,$A3042,$G:$G)*(SUMIF(Summary!$A$247:$A$283,$A3042,Summary!$L$247:$L$283)+SUMIF(Summary!$A$297:$A$333,$A3042,Summary!$L$297:$L$333))-AI3042,0)</f>
        <v>0</v>
      </c>
      <c r="AK3042" s="196">
        <f>IFERROR($G3042/SUMIF($A:$A,$A3042,$G:$G)*SUMIF(Summary!$A$247:$A$283,$A3042,Summary!$Q$247:$Q$283),0)</f>
        <v>0</v>
      </c>
      <c r="AL3042" s="196">
        <f>IFERROR($G3042/SUMIF($A:$A,$A3042,$G:$G)*(SUMIF(Summary!$A$247:$A$283,$A3042,Summary!$L$247:$L$283)+SUMIF(Summary!$A$297:$A$333,$A3042,Summary!$L$297:$L$333))-AK3042,0)</f>
        <v>0</v>
      </c>
      <c r="AM3042" s="198"/>
      <c r="AN3042" s="196">
        <f t="shared" ca="1" si="670"/>
        <v>0</v>
      </c>
      <c r="AO3042" s="196">
        <f t="shared" ca="1" si="671"/>
        <v>0</v>
      </c>
    </row>
    <row r="3043" spans="1:41">
      <c r="A3043" s="189">
        <v>11161</v>
      </c>
      <c r="B3043" s="190">
        <v>5</v>
      </c>
      <c r="C3043" s="191" t="s">
        <v>234</v>
      </c>
      <c r="D3043" s="192">
        <f t="shared" si="658"/>
        <v>0</v>
      </c>
      <c r="E3043" s="192">
        <f t="shared" si="659"/>
        <v>0</v>
      </c>
      <c r="F3043" s="192">
        <f t="shared" si="660"/>
        <v>0</v>
      </c>
      <c r="G3043" s="193">
        <f t="shared" si="661"/>
        <v>0</v>
      </c>
      <c r="H3043" s="194">
        <v>0</v>
      </c>
      <c r="I3043" s="194">
        <v>0</v>
      </c>
      <c r="J3043" s="194">
        <v>0</v>
      </c>
      <c r="K3043" s="193">
        <f t="shared" si="662"/>
        <v>0</v>
      </c>
      <c r="L3043" s="194">
        <v>0</v>
      </c>
      <c r="M3043" s="194">
        <v>0</v>
      </c>
      <c r="N3043" s="194">
        <v>0</v>
      </c>
      <c r="O3043" s="193">
        <f t="shared" si="663"/>
        <v>0</v>
      </c>
      <c r="P3043" s="194">
        <v>0</v>
      </c>
      <c r="Q3043" s="194">
        <v>0</v>
      </c>
      <c r="R3043" s="194">
        <v>0</v>
      </c>
      <c r="S3043" s="193">
        <f t="shared" si="664"/>
        <v>0</v>
      </c>
      <c r="T3043" s="193">
        <f t="shared" si="665"/>
        <v>0</v>
      </c>
      <c r="U3043" s="193">
        <f ca="1">OFFSET('Expenditure Study'!$B$7,'Operations Support'!$C3043,'Operations Support'!$B3043)*$G3043</f>
        <v>0</v>
      </c>
      <c r="V3043" s="199">
        <f ca="1">U3043*'Expenditure Study'!$B$31</f>
        <v>0</v>
      </c>
      <c r="W3043" s="199">
        <f ca="1">IF(A3043=10298,1.51,1)*IF($B3043&lt;3,$D3043*'Expenditure Study'!$B$32*OFFSET('Expenditure Study'!$B$7,'Operations Support'!$C3043,'Operations Support'!$B3043),0)</f>
        <v>0</v>
      </c>
      <c r="X3043" s="200">
        <f ca="1">W3043*'Expenditure Study'!$B$31</f>
        <v>0</v>
      </c>
      <c r="Y3043" s="199">
        <f ca="1">U3043*'Expenditure Study'!$B$31</f>
        <v>0</v>
      </c>
      <c r="Z3043" s="200">
        <f ca="1">W3043*'Expenditure Study'!$B$31</f>
        <v>0</v>
      </c>
      <c r="AA3043" s="195">
        <f t="shared" ca="1" si="666"/>
        <v>0</v>
      </c>
      <c r="AB3043" s="195">
        <f t="shared" ca="1" si="667"/>
        <v>0</v>
      </c>
      <c r="AD3043" s="196">
        <f>IFERROR($G3043/SUMIF($A:$A,$A3043,$G:$G)*SUMIF(Summary!$A$166:$A$242,$A3043,Summary!$P$166:$P$242),0)</f>
        <v>0</v>
      </c>
      <c r="AE3043" s="197">
        <f t="shared" ca="1" si="668"/>
        <v>0</v>
      </c>
      <c r="AF3043" s="196">
        <f>IFERROR(G3043/SUMIF(A:A,A3043,G:G)*SUMIF(Summary!$A$166:$A$242,'Operations Support'!A3043,Summary!$Q$166:$Q$242),0)</f>
        <v>0</v>
      </c>
      <c r="AG3043" s="196">
        <f t="shared" ca="1" si="669"/>
        <v>0</v>
      </c>
      <c r="AI3043" s="196">
        <f>IFERROR($G3043/SUMIF($A:$A,$A3043,$G:$G)*SUMIF(Summary!$A$247:$A$283,$A3043,Summary!$P$247:$P$283),0)</f>
        <v>0</v>
      </c>
      <c r="AJ3043" s="196">
        <f>IFERROR($G3043/SUMIF($A:$A,$A3043,$G:$G)*(SUMIF(Summary!$A$247:$A$283,$A3043,Summary!$L$247:$L$283)+SUMIF(Summary!$A$297:$A$333,$A3043,Summary!$L$297:$L$333))-AI3043,0)</f>
        <v>0</v>
      </c>
      <c r="AK3043" s="196">
        <f>IFERROR($G3043/SUMIF($A:$A,$A3043,$G:$G)*SUMIF(Summary!$A$247:$A$283,$A3043,Summary!$Q$247:$Q$283),0)</f>
        <v>0</v>
      </c>
      <c r="AL3043" s="196">
        <f>IFERROR($G3043/SUMIF($A:$A,$A3043,$G:$G)*(SUMIF(Summary!$A$247:$A$283,$A3043,Summary!$L$247:$L$283)+SUMIF(Summary!$A$297:$A$333,$A3043,Summary!$L$297:$L$333))-AK3043,0)</f>
        <v>0</v>
      </c>
      <c r="AM3043" s="198"/>
      <c r="AN3043" s="196">
        <f t="shared" ca="1" si="670"/>
        <v>0</v>
      </c>
      <c r="AO3043" s="196">
        <f t="shared" ca="1" si="671"/>
        <v>0</v>
      </c>
    </row>
    <row r="3044" spans="1:41">
      <c r="A3044" s="189">
        <v>11161</v>
      </c>
      <c r="B3044" s="190">
        <v>5</v>
      </c>
      <c r="C3044" s="191" t="s">
        <v>235</v>
      </c>
      <c r="D3044" s="192">
        <f t="shared" si="658"/>
        <v>0</v>
      </c>
      <c r="E3044" s="192">
        <f t="shared" si="659"/>
        <v>0</v>
      </c>
      <c r="F3044" s="192">
        <f t="shared" si="660"/>
        <v>0</v>
      </c>
      <c r="G3044" s="193">
        <f t="shared" si="661"/>
        <v>0</v>
      </c>
      <c r="H3044" s="194">
        <v>0</v>
      </c>
      <c r="I3044" s="194">
        <v>0</v>
      </c>
      <c r="J3044" s="194">
        <v>0</v>
      </c>
      <c r="K3044" s="193">
        <f t="shared" si="662"/>
        <v>0</v>
      </c>
      <c r="L3044" s="194">
        <v>0</v>
      </c>
      <c r="M3044" s="194">
        <v>0</v>
      </c>
      <c r="N3044" s="194">
        <v>0</v>
      </c>
      <c r="O3044" s="193">
        <f t="shared" si="663"/>
        <v>0</v>
      </c>
      <c r="P3044" s="194">
        <v>0</v>
      </c>
      <c r="Q3044" s="194">
        <v>0</v>
      </c>
      <c r="R3044" s="194">
        <v>0</v>
      </c>
      <c r="S3044" s="193">
        <f t="shared" si="664"/>
        <v>0</v>
      </c>
      <c r="T3044" s="193">
        <f t="shared" si="665"/>
        <v>0</v>
      </c>
      <c r="U3044" s="193">
        <f ca="1">OFFSET('Expenditure Study'!$B$7,'Operations Support'!$C3044,'Operations Support'!$B3044)*$G3044</f>
        <v>0</v>
      </c>
      <c r="V3044" s="199">
        <f ca="1">U3044*'Expenditure Study'!$B$31</f>
        <v>0</v>
      </c>
      <c r="W3044" s="199">
        <f ca="1">IF(A3044=10298,1.51,1)*IF($B3044&lt;3,$D3044*'Expenditure Study'!$B$32*OFFSET('Expenditure Study'!$B$7,'Operations Support'!$C3044,'Operations Support'!$B3044),0)</f>
        <v>0</v>
      </c>
      <c r="X3044" s="200">
        <f ca="1">W3044*'Expenditure Study'!$B$31</f>
        <v>0</v>
      </c>
      <c r="Y3044" s="199">
        <f ca="1">U3044*'Expenditure Study'!$B$31</f>
        <v>0</v>
      </c>
      <c r="Z3044" s="200">
        <f ca="1">W3044*'Expenditure Study'!$B$31</f>
        <v>0</v>
      </c>
      <c r="AA3044" s="195">
        <f t="shared" ca="1" si="666"/>
        <v>0</v>
      </c>
      <c r="AB3044" s="195">
        <f t="shared" ca="1" si="667"/>
        <v>0</v>
      </c>
      <c r="AD3044" s="196">
        <f>IFERROR($G3044/SUMIF($A:$A,$A3044,$G:$G)*SUMIF(Summary!$A$166:$A$242,$A3044,Summary!$P$166:$P$242),0)</f>
        <v>0</v>
      </c>
      <c r="AE3044" s="197">
        <f t="shared" ca="1" si="668"/>
        <v>0</v>
      </c>
      <c r="AF3044" s="196">
        <f>IFERROR(G3044/SUMIF(A:A,A3044,G:G)*SUMIF(Summary!$A$166:$A$242,'Operations Support'!A3044,Summary!$Q$166:$Q$242),0)</f>
        <v>0</v>
      </c>
      <c r="AG3044" s="196">
        <f t="shared" ca="1" si="669"/>
        <v>0</v>
      </c>
      <c r="AI3044" s="196">
        <f>IFERROR($G3044/SUMIF($A:$A,$A3044,$G:$G)*SUMIF(Summary!$A$247:$A$283,$A3044,Summary!$P$247:$P$283),0)</f>
        <v>0</v>
      </c>
      <c r="AJ3044" s="196">
        <f>IFERROR($G3044/SUMIF($A:$A,$A3044,$G:$G)*(SUMIF(Summary!$A$247:$A$283,$A3044,Summary!$L$247:$L$283)+SUMIF(Summary!$A$297:$A$333,$A3044,Summary!$L$297:$L$333))-AI3044,0)</f>
        <v>0</v>
      </c>
      <c r="AK3044" s="196">
        <f>IFERROR($G3044/SUMIF($A:$A,$A3044,$G:$G)*SUMIF(Summary!$A$247:$A$283,$A3044,Summary!$Q$247:$Q$283),0)</f>
        <v>0</v>
      </c>
      <c r="AL3044" s="196">
        <f>IFERROR($G3044/SUMIF($A:$A,$A3044,$G:$G)*(SUMIF(Summary!$A$247:$A$283,$A3044,Summary!$L$247:$L$283)+SUMIF(Summary!$A$297:$A$333,$A3044,Summary!$L$297:$L$333))-AK3044,0)</f>
        <v>0</v>
      </c>
      <c r="AM3044" s="198"/>
      <c r="AN3044" s="196">
        <f t="shared" ca="1" si="670"/>
        <v>0</v>
      </c>
      <c r="AO3044" s="196">
        <f t="shared" ca="1" si="671"/>
        <v>0</v>
      </c>
    </row>
    <row r="3045" spans="1:41" s="201" customFormat="1">
      <c r="A3045" s="189">
        <v>11161</v>
      </c>
      <c r="B3045" s="190">
        <v>5</v>
      </c>
      <c r="C3045" s="191" t="s">
        <v>236</v>
      </c>
      <c r="D3045" s="192">
        <f t="shared" si="658"/>
        <v>0</v>
      </c>
      <c r="E3045" s="192">
        <f t="shared" si="659"/>
        <v>0</v>
      </c>
      <c r="F3045" s="192">
        <f t="shared" si="660"/>
        <v>0</v>
      </c>
      <c r="G3045" s="193">
        <f t="shared" si="661"/>
        <v>0</v>
      </c>
      <c r="H3045" s="194">
        <v>0</v>
      </c>
      <c r="I3045" s="194">
        <v>0</v>
      </c>
      <c r="J3045" s="194">
        <v>0</v>
      </c>
      <c r="K3045" s="193">
        <f t="shared" si="662"/>
        <v>0</v>
      </c>
      <c r="L3045" s="194">
        <v>0</v>
      </c>
      <c r="M3045" s="194">
        <v>0</v>
      </c>
      <c r="N3045" s="194">
        <v>0</v>
      </c>
      <c r="O3045" s="193">
        <f t="shared" si="663"/>
        <v>0</v>
      </c>
      <c r="P3045" s="194">
        <v>0</v>
      </c>
      <c r="Q3045" s="194">
        <v>0</v>
      </c>
      <c r="R3045" s="194">
        <v>0</v>
      </c>
      <c r="S3045" s="193">
        <f t="shared" si="664"/>
        <v>0</v>
      </c>
      <c r="T3045" s="193">
        <f t="shared" si="665"/>
        <v>0</v>
      </c>
      <c r="U3045" s="193">
        <f ca="1">OFFSET('Expenditure Study'!$B$7,'Operations Support'!$C3045,'Operations Support'!$B3045)*$G3045</f>
        <v>0</v>
      </c>
      <c r="V3045" s="199">
        <f ca="1">U3045*'Expenditure Study'!$B$31</f>
        <v>0</v>
      </c>
      <c r="W3045" s="199">
        <f ca="1">IF(A3045=10298,1.51,1)*IF($B3045&lt;3,$D3045*'Expenditure Study'!$B$32*OFFSET('Expenditure Study'!$B$7,'Operations Support'!$C3045,'Operations Support'!$B3045),0)</f>
        <v>0</v>
      </c>
      <c r="X3045" s="200">
        <f ca="1">W3045*'Expenditure Study'!$B$31</f>
        <v>0</v>
      </c>
      <c r="Y3045" s="199">
        <f ca="1">U3045*'Expenditure Study'!$B$31</f>
        <v>0</v>
      </c>
      <c r="Z3045" s="200">
        <f ca="1">W3045*'Expenditure Study'!$B$31</f>
        <v>0</v>
      </c>
      <c r="AA3045" s="195">
        <f t="shared" ca="1" si="666"/>
        <v>0</v>
      </c>
      <c r="AB3045" s="195">
        <f t="shared" ca="1" si="667"/>
        <v>0</v>
      </c>
      <c r="AD3045" s="196">
        <f>IFERROR($G3045/SUMIF($A:$A,$A3045,$G:$G)*SUMIF(Summary!$A$166:$A$242,$A3045,Summary!$P$166:$P$242),0)</f>
        <v>0</v>
      </c>
      <c r="AE3045" s="197">
        <f t="shared" ca="1" si="668"/>
        <v>0</v>
      </c>
      <c r="AF3045" s="196">
        <f>IFERROR(G3045/SUMIF(A:A,A3045,G:G)*SUMIF(Summary!$A$166:$A$242,'Operations Support'!A3045,Summary!$Q$166:$Q$242),0)</f>
        <v>0</v>
      </c>
      <c r="AG3045" s="196">
        <f t="shared" ca="1" si="669"/>
        <v>0</v>
      </c>
      <c r="AH3045" s="180"/>
      <c r="AI3045" s="196">
        <f>IFERROR($G3045/SUMIF($A:$A,$A3045,$G:$G)*SUMIF(Summary!$A$247:$A$283,$A3045,Summary!$P$247:$P$283),0)</f>
        <v>0</v>
      </c>
      <c r="AJ3045" s="196">
        <f>IFERROR($G3045/SUMIF($A:$A,$A3045,$G:$G)*(SUMIF(Summary!$A$247:$A$283,$A3045,Summary!$L$247:$L$283)+SUMIF(Summary!$A$297:$A$333,$A3045,Summary!$L$297:$L$333))-AI3045,0)</f>
        <v>0</v>
      </c>
      <c r="AK3045" s="196">
        <f>IFERROR($G3045/SUMIF($A:$A,$A3045,$G:$G)*SUMIF(Summary!$A$247:$A$283,$A3045,Summary!$Q$247:$Q$283),0)</f>
        <v>0</v>
      </c>
      <c r="AL3045" s="196">
        <f>IFERROR($G3045/SUMIF($A:$A,$A3045,$G:$G)*(SUMIF(Summary!$A$247:$A$283,$A3045,Summary!$L$247:$L$283)+SUMIF(Summary!$A$297:$A$333,$A3045,Summary!$L$297:$L$333))-AK3045,0)</f>
        <v>0</v>
      </c>
      <c r="AM3045" s="198"/>
      <c r="AN3045" s="196">
        <f t="shared" ca="1" si="670"/>
        <v>0</v>
      </c>
      <c r="AO3045" s="196">
        <f t="shared" ca="1" si="671"/>
        <v>0</v>
      </c>
    </row>
    <row r="3046" spans="1:41">
      <c r="A3046" s="189">
        <v>11161</v>
      </c>
      <c r="B3046" s="190">
        <v>5</v>
      </c>
      <c r="C3046" s="191" t="s">
        <v>237</v>
      </c>
      <c r="D3046" s="192">
        <f t="shared" si="658"/>
        <v>0</v>
      </c>
      <c r="E3046" s="192">
        <f t="shared" si="659"/>
        <v>0</v>
      </c>
      <c r="F3046" s="192">
        <f t="shared" si="660"/>
        <v>0</v>
      </c>
      <c r="G3046" s="193">
        <f t="shared" si="661"/>
        <v>0</v>
      </c>
      <c r="H3046" s="194">
        <v>0</v>
      </c>
      <c r="I3046" s="194">
        <v>0</v>
      </c>
      <c r="J3046" s="194">
        <v>0</v>
      </c>
      <c r="K3046" s="193">
        <f t="shared" si="662"/>
        <v>0</v>
      </c>
      <c r="L3046" s="194">
        <v>0</v>
      </c>
      <c r="M3046" s="194">
        <v>0</v>
      </c>
      <c r="N3046" s="194">
        <v>0</v>
      </c>
      <c r="O3046" s="193">
        <f t="shared" si="663"/>
        <v>0</v>
      </c>
      <c r="P3046" s="194">
        <v>0</v>
      </c>
      <c r="Q3046" s="194">
        <v>0</v>
      </c>
      <c r="R3046" s="194">
        <v>0</v>
      </c>
      <c r="S3046" s="193">
        <f t="shared" si="664"/>
        <v>0</v>
      </c>
      <c r="T3046" s="193">
        <f t="shared" si="665"/>
        <v>0</v>
      </c>
      <c r="U3046" s="193">
        <f ca="1">OFFSET('Expenditure Study'!$B$7,'Operations Support'!$C3046,'Operations Support'!$B3046)*$G3046</f>
        <v>0</v>
      </c>
      <c r="V3046" s="199">
        <f ca="1">U3046*'Expenditure Study'!$B$31</f>
        <v>0</v>
      </c>
      <c r="W3046" s="199">
        <f ca="1">IF(A3046=10298,1.51,1)*IF($B3046&lt;3,$D3046*'Expenditure Study'!$B$32*OFFSET('Expenditure Study'!$B$7,'Operations Support'!$C3046,'Operations Support'!$B3046),0)</f>
        <v>0</v>
      </c>
      <c r="X3046" s="200">
        <f ca="1">W3046*'Expenditure Study'!$B$31</f>
        <v>0</v>
      </c>
      <c r="Y3046" s="199">
        <f ca="1">U3046*'Expenditure Study'!$B$31</f>
        <v>0</v>
      </c>
      <c r="Z3046" s="200">
        <f ca="1">W3046*'Expenditure Study'!$B$31</f>
        <v>0</v>
      </c>
      <c r="AA3046" s="195">
        <f t="shared" ca="1" si="666"/>
        <v>0</v>
      </c>
      <c r="AB3046" s="195">
        <f t="shared" ca="1" si="667"/>
        <v>0</v>
      </c>
      <c r="AD3046" s="196">
        <f>IFERROR($G3046/SUMIF($A:$A,$A3046,$G:$G)*SUMIF(Summary!$A$166:$A$242,$A3046,Summary!$P$166:$P$242),0)</f>
        <v>0</v>
      </c>
      <c r="AE3046" s="197">
        <f t="shared" ca="1" si="668"/>
        <v>0</v>
      </c>
      <c r="AF3046" s="196">
        <f>IFERROR(G3046/SUMIF(A:A,A3046,G:G)*SUMIF(Summary!$A$166:$A$242,'Operations Support'!A3046,Summary!$Q$166:$Q$242),0)</f>
        <v>0</v>
      </c>
      <c r="AG3046" s="196">
        <f t="shared" ca="1" si="669"/>
        <v>0</v>
      </c>
      <c r="AI3046" s="196">
        <f>IFERROR($G3046/SUMIF($A:$A,$A3046,$G:$G)*SUMIF(Summary!$A$247:$A$283,$A3046,Summary!$P$247:$P$283),0)</f>
        <v>0</v>
      </c>
      <c r="AJ3046" s="196">
        <f>IFERROR($G3046/SUMIF($A:$A,$A3046,$G:$G)*(SUMIF(Summary!$A$247:$A$283,$A3046,Summary!$L$247:$L$283)+SUMIF(Summary!$A$297:$A$333,$A3046,Summary!$L$297:$L$333))-AI3046,0)</f>
        <v>0</v>
      </c>
      <c r="AK3046" s="196">
        <f>IFERROR($G3046/SUMIF($A:$A,$A3046,$G:$G)*SUMIF(Summary!$A$247:$A$283,$A3046,Summary!$Q$247:$Q$283),0)</f>
        <v>0</v>
      </c>
      <c r="AL3046" s="196">
        <f>IFERROR($G3046/SUMIF($A:$A,$A3046,$G:$G)*(SUMIF(Summary!$A$247:$A$283,$A3046,Summary!$L$247:$L$283)+SUMIF(Summary!$A$297:$A$333,$A3046,Summary!$L$297:$L$333))-AK3046,0)</f>
        <v>0</v>
      </c>
      <c r="AM3046" s="198"/>
      <c r="AN3046" s="196">
        <f t="shared" ca="1" si="670"/>
        <v>0</v>
      </c>
      <c r="AO3046" s="196">
        <f t="shared" ca="1" si="671"/>
        <v>0</v>
      </c>
    </row>
    <row r="3047" spans="1:41">
      <c r="A3047" s="189">
        <v>11161</v>
      </c>
      <c r="B3047" s="190">
        <v>5</v>
      </c>
      <c r="C3047" s="191" t="s">
        <v>238</v>
      </c>
      <c r="D3047" s="192">
        <f t="shared" si="658"/>
        <v>0</v>
      </c>
      <c r="E3047" s="192">
        <f t="shared" si="659"/>
        <v>0</v>
      </c>
      <c r="F3047" s="192">
        <f t="shared" si="660"/>
        <v>0</v>
      </c>
      <c r="G3047" s="193">
        <f t="shared" si="661"/>
        <v>0</v>
      </c>
      <c r="H3047" s="194">
        <v>0</v>
      </c>
      <c r="I3047" s="194">
        <v>0</v>
      </c>
      <c r="J3047" s="194">
        <v>0</v>
      </c>
      <c r="K3047" s="193">
        <f t="shared" si="662"/>
        <v>0</v>
      </c>
      <c r="L3047" s="194">
        <v>0</v>
      </c>
      <c r="M3047" s="194">
        <v>0</v>
      </c>
      <c r="N3047" s="194">
        <v>0</v>
      </c>
      <c r="O3047" s="193">
        <f t="shared" si="663"/>
        <v>0</v>
      </c>
      <c r="P3047" s="194">
        <v>0</v>
      </c>
      <c r="Q3047" s="194">
        <v>0</v>
      </c>
      <c r="R3047" s="194">
        <v>0</v>
      </c>
      <c r="S3047" s="193">
        <f t="shared" si="664"/>
        <v>0</v>
      </c>
      <c r="T3047" s="193">
        <f t="shared" si="665"/>
        <v>0</v>
      </c>
      <c r="U3047" s="193">
        <f ca="1">OFFSET('Expenditure Study'!$B$7,'Operations Support'!$C3047,'Operations Support'!$B3047)*$G3047</f>
        <v>0</v>
      </c>
      <c r="V3047" s="199">
        <f ca="1">U3047*'Expenditure Study'!$B$31</f>
        <v>0</v>
      </c>
      <c r="W3047" s="199">
        <f ca="1">IF(A3047=10298,1.51,1)*IF($B3047&lt;3,$D3047*'Expenditure Study'!$B$32*OFFSET('Expenditure Study'!$B$7,'Operations Support'!$C3047,'Operations Support'!$B3047),0)</f>
        <v>0</v>
      </c>
      <c r="X3047" s="200">
        <f ca="1">W3047*'Expenditure Study'!$B$31</f>
        <v>0</v>
      </c>
      <c r="Y3047" s="199">
        <f ca="1">U3047*'Expenditure Study'!$B$31</f>
        <v>0</v>
      </c>
      <c r="Z3047" s="200">
        <f ca="1">W3047*'Expenditure Study'!$B$31</f>
        <v>0</v>
      </c>
      <c r="AA3047" s="195">
        <f t="shared" ca="1" si="666"/>
        <v>0</v>
      </c>
      <c r="AB3047" s="195">
        <f t="shared" ca="1" si="667"/>
        <v>0</v>
      </c>
      <c r="AD3047" s="196">
        <f>IFERROR($G3047/SUMIF($A:$A,$A3047,$G:$G)*SUMIF(Summary!$A$166:$A$242,$A3047,Summary!$P$166:$P$242),0)</f>
        <v>0</v>
      </c>
      <c r="AE3047" s="197">
        <f t="shared" ca="1" si="668"/>
        <v>0</v>
      </c>
      <c r="AF3047" s="196">
        <f>IFERROR(G3047/SUMIF(A:A,A3047,G:G)*SUMIF(Summary!$A$166:$A$242,'Operations Support'!A3047,Summary!$Q$166:$Q$242),0)</f>
        <v>0</v>
      </c>
      <c r="AG3047" s="196">
        <f t="shared" ca="1" si="669"/>
        <v>0</v>
      </c>
      <c r="AI3047" s="196">
        <f>IFERROR($G3047/SUMIF($A:$A,$A3047,$G:$G)*SUMIF(Summary!$A$247:$A$283,$A3047,Summary!$P$247:$P$283),0)</f>
        <v>0</v>
      </c>
      <c r="AJ3047" s="196">
        <f>IFERROR($G3047/SUMIF($A:$A,$A3047,$G:$G)*(SUMIF(Summary!$A$247:$A$283,$A3047,Summary!$L$247:$L$283)+SUMIF(Summary!$A$297:$A$333,$A3047,Summary!$L$297:$L$333))-AI3047,0)</f>
        <v>0</v>
      </c>
      <c r="AK3047" s="196">
        <f>IFERROR($G3047/SUMIF($A:$A,$A3047,$G:$G)*SUMIF(Summary!$A$247:$A$283,$A3047,Summary!$Q$247:$Q$283),0)</f>
        <v>0</v>
      </c>
      <c r="AL3047" s="196">
        <f>IFERROR($G3047/SUMIF($A:$A,$A3047,$G:$G)*(SUMIF(Summary!$A$247:$A$283,$A3047,Summary!$L$247:$L$283)+SUMIF(Summary!$A$297:$A$333,$A3047,Summary!$L$297:$L$333))-AK3047,0)</f>
        <v>0</v>
      </c>
      <c r="AM3047" s="198"/>
      <c r="AN3047" s="196">
        <f t="shared" ca="1" si="670"/>
        <v>0</v>
      </c>
      <c r="AO3047" s="196">
        <f t="shared" ca="1" si="671"/>
        <v>0</v>
      </c>
    </row>
    <row r="3048" spans="1:41">
      <c r="A3048" s="189">
        <v>11161</v>
      </c>
      <c r="B3048" s="190">
        <v>5</v>
      </c>
      <c r="C3048" s="191" t="s">
        <v>239</v>
      </c>
      <c r="D3048" s="192">
        <f t="shared" si="658"/>
        <v>0</v>
      </c>
      <c r="E3048" s="192">
        <f t="shared" si="659"/>
        <v>0</v>
      </c>
      <c r="F3048" s="192">
        <f t="shared" si="660"/>
        <v>0</v>
      </c>
      <c r="G3048" s="193">
        <f t="shared" si="661"/>
        <v>0</v>
      </c>
      <c r="H3048" s="194">
        <v>0</v>
      </c>
      <c r="I3048" s="194">
        <v>0</v>
      </c>
      <c r="J3048" s="194">
        <v>0</v>
      </c>
      <c r="K3048" s="193">
        <f t="shared" si="662"/>
        <v>0</v>
      </c>
      <c r="L3048" s="194">
        <v>0</v>
      </c>
      <c r="M3048" s="194">
        <v>0</v>
      </c>
      <c r="N3048" s="194">
        <v>0</v>
      </c>
      <c r="O3048" s="193">
        <f t="shared" si="663"/>
        <v>0</v>
      </c>
      <c r="P3048" s="194">
        <v>0</v>
      </c>
      <c r="Q3048" s="194">
        <v>0</v>
      </c>
      <c r="R3048" s="194">
        <v>0</v>
      </c>
      <c r="S3048" s="193">
        <f t="shared" si="664"/>
        <v>0</v>
      </c>
      <c r="T3048" s="193">
        <f t="shared" si="665"/>
        <v>0</v>
      </c>
      <c r="U3048" s="193">
        <f ca="1">OFFSET('Expenditure Study'!$B$7,'Operations Support'!$C3048,'Operations Support'!$B3048)*$G3048</f>
        <v>0</v>
      </c>
      <c r="V3048" s="199">
        <f ca="1">U3048*'Expenditure Study'!$B$31</f>
        <v>0</v>
      </c>
      <c r="W3048" s="199">
        <f ca="1">IF(A3048=10298,1.51,1)*IF($B3048&lt;3,$D3048*'Expenditure Study'!$B$32*OFFSET('Expenditure Study'!$B$7,'Operations Support'!$C3048,'Operations Support'!$B3048),0)</f>
        <v>0</v>
      </c>
      <c r="X3048" s="200">
        <f ca="1">W3048*'Expenditure Study'!$B$31</f>
        <v>0</v>
      </c>
      <c r="Y3048" s="199">
        <f ca="1">U3048*'Expenditure Study'!$B$31</f>
        <v>0</v>
      </c>
      <c r="Z3048" s="200">
        <f ca="1">W3048*'Expenditure Study'!$B$31</f>
        <v>0</v>
      </c>
      <c r="AA3048" s="195">
        <f t="shared" ca="1" si="666"/>
        <v>0</v>
      </c>
      <c r="AB3048" s="195">
        <f t="shared" ca="1" si="667"/>
        <v>0</v>
      </c>
      <c r="AD3048" s="196">
        <f>IFERROR($G3048/SUMIF($A:$A,$A3048,$G:$G)*SUMIF(Summary!$A$166:$A$242,$A3048,Summary!$P$166:$P$242),0)</f>
        <v>0</v>
      </c>
      <c r="AE3048" s="197">
        <f t="shared" ca="1" si="668"/>
        <v>0</v>
      </c>
      <c r="AF3048" s="196">
        <f>IFERROR(G3048/SUMIF(A:A,A3048,G:G)*SUMIF(Summary!$A$166:$A$242,'Operations Support'!A3048,Summary!$Q$166:$Q$242),0)</f>
        <v>0</v>
      </c>
      <c r="AG3048" s="196">
        <f t="shared" ca="1" si="669"/>
        <v>0</v>
      </c>
      <c r="AI3048" s="196">
        <f>IFERROR($G3048/SUMIF($A:$A,$A3048,$G:$G)*SUMIF(Summary!$A$247:$A$283,$A3048,Summary!$P$247:$P$283),0)</f>
        <v>0</v>
      </c>
      <c r="AJ3048" s="196">
        <f>IFERROR($G3048/SUMIF($A:$A,$A3048,$G:$G)*(SUMIF(Summary!$A$247:$A$283,$A3048,Summary!$L$247:$L$283)+SUMIF(Summary!$A$297:$A$333,$A3048,Summary!$L$297:$L$333))-AI3048,0)</f>
        <v>0</v>
      </c>
      <c r="AK3048" s="196">
        <f>IFERROR($G3048/SUMIF($A:$A,$A3048,$G:$G)*SUMIF(Summary!$A$247:$A$283,$A3048,Summary!$Q$247:$Q$283),0)</f>
        <v>0</v>
      </c>
      <c r="AL3048" s="196">
        <f>IFERROR($G3048/SUMIF($A:$A,$A3048,$G:$G)*(SUMIF(Summary!$A$247:$A$283,$A3048,Summary!$L$247:$L$283)+SUMIF(Summary!$A$297:$A$333,$A3048,Summary!$L$297:$L$333))-AK3048,0)</f>
        <v>0</v>
      </c>
      <c r="AM3048" s="198"/>
      <c r="AN3048" s="196">
        <f t="shared" ca="1" si="670"/>
        <v>0</v>
      </c>
      <c r="AO3048" s="196">
        <f t="shared" ca="1" si="671"/>
        <v>0</v>
      </c>
    </row>
    <row r="3049" spans="1:41">
      <c r="A3049" s="189">
        <v>11161</v>
      </c>
      <c r="B3049" s="190">
        <v>5</v>
      </c>
      <c r="C3049" s="191" t="s">
        <v>240</v>
      </c>
      <c r="D3049" s="192">
        <f t="shared" si="658"/>
        <v>0</v>
      </c>
      <c r="E3049" s="192">
        <f t="shared" si="659"/>
        <v>0</v>
      </c>
      <c r="F3049" s="192">
        <f t="shared" si="660"/>
        <v>0</v>
      </c>
      <c r="G3049" s="193">
        <f t="shared" si="661"/>
        <v>0</v>
      </c>
      <c r="H3049" s="194">
        <v>0</v>
      </c>
      <c r="I3049" s="194">
        <v>0</v>
      </c>
      <c r="J3049" s="194">
        <v>0</v>
      </c>
      <c r="K3049" s="193">
        <f t="shared" si="662"/>
        <v>0</v>
      </c>
      <c r="L3049" s="194">
        <v>0</v>
      </c>
      <c r="M3049" s="194">
        <v>0</v>
      </c>
      <c r="N3049" s="194">
        <v>0</v>
      </c>
      <c r="O3049" s="193">
        <f t="shared" si="663"/>
        <v>0</v>
      </c>
      <c r="P3049" s="194">
        <v>0</v>
      </c>
      <c r="Q3049" s="194">
        <v>0</v>
      </c>
      <c r="R3049" s="194">
        <v>0</v>
      </c>
      <c r="S3049" s="193">
        <f t="shared" si="664"/>
        <v>0</v>
      </c>
      <c r="T3049" s="193">
        <f t="shared" si="665"/>
        <v>0</v>
      </c>
      <c r="U3049" s="193">
        <f ca="1">OFFSET('Expenditure Study'!$B$7,'Operations Support'!$C3049,'Operations Support'!$B3049)*$G3049</f>
        <v>0</v>
      </c>
      <c r="V3049" s="199">
        <f ca="1">U3049*'Expenditure Study'!$B$31</f>
        <v>0</v>
      </c>
      <c r="W3049" s="199">
        <f ca="1">IF(A3049=10298,1.51,1)*IF($B3049&lt;3,$D3049*'Expenditure Study'!$B$32*OFFSET('Expenditure Study'!$B$7,'Operations Support'!$C3049,'Operations Support'!$B3049),0)</f>
        <v>0</v>
      </c>
      <c r="X3049" s="200">
        <f ca="1">W3049*'Expenditure Study'!$B$31</f>
        <v>0</v>
      </c>
      <c r="Y3049" s="199">
        <f ca="1">U3049*'Expenditure Study'!$B$31</f>
        <v>0</v>
      </c>
      <c r="Z3049" s="200">
        <f ca="1">W3049*'Expenditure Study'!$B$31</f>
        <v>0</v>
      </c>
      <c r="AA3049" s="195">
        <f t="shared" ca="1" si="666"/>
        <v>0</v>
      </c>
      <c r="AB3049" s="195">
        <f t="shared" ca="1" si="667"/>
        <v>0</v>
      </c>
      <c r="AD3049" s="196">
        <f>IFERROR($G3049/SUMIF($A:$A,$A3049,$G:$G)*SUMIF(Summary!$A$166:$A$242,$A3049,Summary!$P$166:$P$242),0)</f>
        <v>0</v>
      </c>
      <c r="AE3049" s="197">
        <f t="shared" ca="1" si="668"/>
        <v>0</v>
      </c>
      <c r="AF3049" s="196">
        <f>IFERROR(G3049/SUMIF(A:A,A3049,G:G)*SUMIF(Summary!$A$166:$A$242,'Operations Support'!A3049,Summary!$Q$166:$Q$242),0)</f>
        <v>0</v>
      </c>
      <c r="AG3049" s="196">
        <f t="shared" ca="1" si="669"/>
        <v>0</v>
      </c>
      <c r="AI3049" s="196">
        <f>IFERROR($G3049/SUMIF($A:$A,$A3049,$G:$G)*SUMIF(Summary!$A$247:$A$283,$A3049,Summary!$P$247:$P$283),0)</f>
        <v>0</v>
      </c>
      <c r="AJ3049" s="196">
        <f>IFERROR($G3049/SUMIF($A:$A,$A3049,$G:$G)*(SUMIF(Summary!$A$247:$A$283,$A3049,Summary!$L$247:$L$283)+SUMIF(Summary!$A$297:$A$333,$A3049,Summary!$L$297:$L$333))-AI3049,0)</f>
        <v>0</v>
      </c>
      <c r="AK3049" s="196">
        <f>IFERROR($G3049/SUMIF($A:$A,$A3049,$G:$G)*SUMIF(Summary!$A$247:$A$283,$A3049,Summary!$Q$247:$Q$283),0)</f>
        <v>0</v>
      </c>
      <c r="AL3049" s="196">
        <f>IFERROR($G3049/SUMIF($A:$A,$A3049,$G:$G)*(SUMIF(Summary!$A$247:$A$283,$A3049,Summary!$L$247:$L$283)+SUMIF(Summary!$A$297:$A$333,$A3049,Summary!$L$297:$L$333))-AK3049,0)</f>
        <v>0</v>
      </c>
      <c r="AM3049" s="198"/>
      <c r="AN3049" s="196">
        <f t="shared" ca="1" si="670"/>
        <v>0</v>
      </c>
      <c r="AO3049" s="196">
        <f t="shared" ca="1" si="671"/>
        <v>0</v>
      </c>
    </row>
    <row r="3050" spans="1:41">
      <c r="A3050" s="189">
        <v>11163</v>
      </c>
      <c r="B3050" s="190">
        <v>1</v>
      </c>
      <c r="C3050" s="191" t="s">
        <v>220</v>
      </c>
      <c r="D3050" s="192">
        <f t="shared" si="658"/>
        <v>14025</v>
      </c>
      <c r="E3050" s="192">
        <f t="shared" si="659"/>
        <v>24465</v>
      </c>
      <c r="F3050" s="192">
        <f t="shared" si="660"/>
        <v>0</v>
      </c>
      <c r="G3050" s="193">
        <f t="shared" si="661"/>
        <v>38490</v>
      </c>
      <c r="H3050" s="194">
        <v>5671</v>
      </c>
      <c r="I3050" s="194">
        <v>10595</v>
      </c>
      <c r="J3050" s="194">
        <v>0</v>
      </c>
      <c r="K3050" s="193">
        <f t="shared" si="662"/>
        <v>16266</v>
      </c>
      <c r="L3050" s="194">
        <v>7132</v>
      </c>
      <c r="M3050" s="194">
        <v>12340</v>
      </c>
      <c r="N3050" s="194">
        <v>0</v>
      </c>
      <c r="O3050" s="193">
        <f t="shared" si="663"/>
        <v>19472</v>
      </c>
      <c r="P3050" s="194">
        <v>1222</v>
      </c>
      <c r="Q3050" s="194">
        <v>1530</v>
      </c>
      <c r="R3050" s="194">
        <v>0</v>
      </c>
      <c r="S3050" s="193">
        <f t="shared" si="664"/>
        <v>2752</v>
      </c>
      <c r="T3050" s="193">
        <f t="shared" si="665"/>
        <v>1283</v>
      </c>
      <c r="U3050" s="193">
        <f ca="1">OFFSET('Expenditure Study'!$B$7,'Operations Support'!$C3050,'Operations Support'!$B3050)*$G3050</f>
        <v>38490</v>
      </c>
      <c r="V3050" s="199">
        <f ca="1">U3050*'Expenditure Study'!$B$31</f>
        <v>2274111.6289920001</v>
      </c>
      <c r="W3050" s="199">
        <f ca="1">IF(A3050=10298,1.51,1)*IF($B3050&lt;3,$D3050*'Expenditure Study'!$B$32*OFFSET('Expenditure Study'!$B$7,'Operations Support'!$C3050,'Operations Support'!$B3050),0)</f>
        <v>1402.5</v>
      </c>
      <c r="X3050" s="200">
        <f ca="1">W3050*'Expenditure Study'!$B$31</f>
        <v>82864.161072000003</v>
      </c>
      <c r="Y3050" s="199">
        <f ca="1">U3050*'Expenditure Study'!$B$31</f>
        <v>2274111.6289920001</v>
      </c>
      <c r="Z3050" s="200">
        <f ca="1">W3050*'Expenditure Study'!$B$31</f>
        <v>82864.161072000003</v>
      </c>
      <c r="AA3050" s="195">
        <f t="shared" ca="1" si="666"/>
        <v>2356975.7900640001</v>
      </c>
      <c r="AB3050" s="195">
        <f t="shared" ca="1" si="667"/>
        <v>2356975.7900640001</v>
      </c>
      <c r="AD3050" s="196">
        <f>IFERROR($G3050/SUMIF($A:$A,$A3050,$G:$G)*SUMIF(Summary!$A$166:$A$242,$A3050,Summary!$P$166:$P$242),0)</f>
        <v>1149241.0285668701</v>
      </c>
      <c r="AE3050" s="197">
        <f t="shared" ca="1" si="668"/>
        <v>1207734.7614971299</v>
      </c>
      <c r="AF3050" s="196">
        <f>IFERROR(G3050/SUMIF(A:A,A3050,G:G)*SUMIF(Summary!$A$166:$A$242,'Operations Support'!A3050,Summary!$Q$166:$Q$242),0)</f>
        <v>1151276.9684197095</v>
      </c>
      <c r="AG3050" s="196">
        <f t="shared" ca="1" si="669"/>
        <v>1205698.8216442906</v>
      </c>
      <c r="AI3050" s="196">
        <f>IFERROR($G3050/SUMIF($A:$A,$A3050,$G:$G)*SUMIF(Summary!$A$247:$A$283,$A3050,Summary!$P$247:$P$283),0)</f>
        <v>209592.8846204131</v>
      </c>
      <c r="AJ3050" s="196">
        <f>IFERROR($G3050/SUMIF($A:$A,$A3050,$G:$G)*(SUMIF(Summary!$A$247:$A$283,$A3050,Summary!$L$247:$L$283)+SUMIF(Summary!$A$297:$A$333,$A3050,Summary!$L$297:$L$333))-AI3050,0)</f>
        <v>622010.93671874702</v>
      </c>
      <c r="AK3050" s="196">
        <f>IFERROR($G3050/SUMIF($A:$A,$A3050,$G:$G)*SUMIF(Summary!$A$247:$A$283,$A3050,Summary!$Q$247:$Q$283),0)</f>
        <v>209964.18924325836</v>
      </c>
      <c r="AL3050" s="196">
        <f>IFERROR($G3050/SUMIF($A:$A,$A3050,$G:$G)*(SUMIF(Summary!$A$247:$A$283,$A3050,Summary!$L$247:$L$283)+SUMIF(Summary!$A$297:$A$333,$A3050,Summary!$L$297:$L$333))-AK3050,0)</f>
        <v>621639.63209590176</v>
      </c>
      <c r="AM3050" s="198"/>
      <c r="AN3050" s="196">
        <f t="shared" ca="1" si="670"/>
        <v>1829745.6982158769</v>
      </c>
      <c r="AO3050" s="196">
        <f t="shared" ca="1" si="671"/>
        <v>1827338.4537401923</v>
      </c>
    </row>
    <row r="3051" spans="1:41">
      <c r="A3051" s="189">
        <v>11163</v>
      </c>
      <c r="B3051" s="190">
        <v>1</v>
      </c>
      <c r="C3051" s="191" t="s">
        <v>221</v>
      </c>
      <c r="D3051" s="192">
        <f t="shared" si="658"/>
        <v>5265</v>
      </c>
      <c r="E3051" s="192">
        <f t="shared" si="659"/>
        <v>12441</v>
      </c>
      <c r="F3051" s="192">
        <f t="shared" si="660"/>
        <v>0</v>
      </c>
      <c r="G3051" s="193">
        <f t="shared" si="661"/>
        <v>17706</v>
      </c>
      <c r="H3051" s="194">
        <v>2081</v>
      </c>
      <c r="I3051" s="194">
        <v>5273</v>
      </c>
      <c r="J3051" s="194">
        <v>0</v>
      </c>
      <c r="K3051" s="193">
        <f t="shared" si="662"/>
        <v>7354</v>
      </c>
      <c r="L3051" s="194">
        <v>3054</v>
      </c>
      <c r="M3051" s="194">
        <v>6188</v>
      </c>
      <c r="N3051" s="194">
        <v>0</v>
      </c>
      <c r="O3051" s="193">
        <f t="shared" si="663"/>
        <v>9242</v>
      </c>
      <c r="P3051" s="194">
        <v>130</v>
      </c>
      <c r="Q3051" s="194">
        <v>980</v>
      </c>
      <c r="R3051" s="194">
        <v>0</v>
      </c>
      <c r="S3051" s="193">
        <f t="shared" si="664"/>
        <v>1110</v>
      </c>
      <c r="T3051" s="193">
        <f t="shared" si="665"/>
        <v>590.20000000000005</v>
      </c>
      <c r="U3051" s="193">
        <f ca="1">OFFSET('Expenditure Study'!$B$7,'Operations Support'!$C3051,'Operations Support'!$B3051)*$G3051</f>
        <v>23726.04</v>
      </c>
      <c r="V3051" s="199">
        <f ca="1">U3051*'Expenditure Study'!$B$31</f>
        <v>1401809.9109880321</v>
      </c>
      <c r="W3051" s="199">
        <f ca="1">IF(A3051=10298,1.51,1)*IF($B3051&lt;3,$D3051*'Expenditure Study'!$B$32*OFFSET('Expenditure Study'!$B$7,'Operations Support'!$C3051,'Operations Support'!$B3051),0)</f>
        <v>705.51</v>
      </c>
      <c r="X3051" s="200">
        <f ca="1">W3051*'Expenditure Study'!$B$31</f>
        <v>41683.774886207997</v>
      </c>
      <c r="Y3051" s="199">
        <f ca="1">U3051*'Expenditure Study'!$B$31</f>
        <v>1401809.9109880321</v>
      </c>
      <c r="Z3051" s="200">
        <f ca="1">W3051*'Expenditure Study'!$B$31</f>
        <v>41683.774886207997</v>
      </c>
      <c r="AA3051" s="195">
        <f t="shared" ca="1" si="666"/>
        <v>1443493.68587424</v>
      </c>
      <c r="AB3051" s="195">
        <f t="shared" ca="1" si="667"/>
        <v>1443493.68587424</v>
      </c>
      <c r="AD3051" s="196">
        <f>IFERROR($G3051/SUMIF($A:$A,$A3051,$G:$G)*SUMIF(Summary!$A$166:$A$242,$A3051,Summary!$P$166:$P$242),0)</f>
        <v>528668.78804377769</v>
      </c>
      <c r="AE3051" s="197">
        <f t="shared" ca="1" si="668"/>
        <v>914824.89783046232</v>
      </c>
      <c r="AF3051" s="196">
        <f>IFERROR(G3051/SUMIF(A:A,A3051,G:G)*SUMIF(Summary!$A$166:$A$242,'Operations Support'!A3051,Summary!$Q$166:$Q$242),0)</f>
        <v>529605.35211326007</v>
      </c>
      <c r="AG3051" s="196">
        <f t="shared" ca="1" si="669"/>
        <v>913888.33376097993</v>
      </c>
      <c r="AI3051" s="196">
        <f>IFERROR($G3051/SUMIF($A:$A,$A3051,$G:$G)*SUMIF(Summary!$A$247:$A$283,$A3051,Summary!$P$247:$P$283),0)</f>
        <v>96415.99415663899</v>
      </c>
      <c r="AJ3051" s="196">
        <f>IFERROR($G3051/SUMIF($A:$A,$A3051,$G:$G)*(SUMIF(Summary!$A$247:$A$283,$A3051,Summary!$L$247:$L$283)+SUMIF(Summary!$A$297:$A$333,$A3051,Summary!$L$297:$L$333))-AI3051,0)</f>
        <v>286134.72708605183</v>
      </c>
      <c r="AK3051" s="196">
        <f>IFERROR($G3051/SUMIF($A:$A,$A3051,$G:$G)*SUMIF(Summary!$A$247:$A$283,$A3051,Summary!$Q$247:$Q$283),0)</f>
        <v>96586.800071216741</v>
      </c>
      <c r="AL3051" s="196">
        <f>IFERROR($G3051/SUMIF($A:$A,$A3051,$G:$G)*(SUMIF(Summary!$A$247:$A$283,$A3051,Summary!$L$247:$L$283)+SUMIF(Summary!$A$297:$A$333,$A3051,Summary!$L$297:$L$333))-AK3051,0)</f>
        <v>285963.92117147404</v>
      </c>
      <c r="AM3051" s="198"/>
      <c r="AN3051" s="196">
        <f t="shared" ca="1" si="670"/>
        <v>1200959.6249165141</v>
      </c>
      <c r="AO3051" s="196">
        <f t="shared" ca="1" si="671"/>
        <v>1199852.2549324539</v>
      </c>
    </row>
    <row r="3052" spans="1:41">
      <c r="A3052" s="189">
        <v>11163</v>
      </c>
      <c r="B3052" s="190">
        <v>1</v>
      </c>
      <c r="C3052" s="191" t="s">
        <v>222</v>
      </c>
      <c r="D3052" s="192">
        <f t="shared" si="658"/>
        <v>2398</v>
      </c>
      <c r="E3052" s="192">
        <f t="shared" si="659"/>
        <v>2611</v>
      </c>
      <c r="F3052" s="192">
        <f t="shared" si="660"/>
        <v>0</v>
      </c>
      <c r="G3052" s="193">
        <f t="shared" si="661"/>
        <v>5009</v>
      </c>
      <c r="H3052" s="194">
        <v>871</v>
      </c>
      <c r="I3052" s="194">
        <v>1097</v>
      </c>
      <c r="J3052" s="194">
        <v>0</v>
      </c>
      <c r="K3052" s="193">
        <f t="shared" si="662"/>
        <v>1968</v>
      </c>
      <c r="L3052" s="194">
        <v>1296</v>
      </c>
      <c r="M3052" s="194">
        <v>1247</v>
      </c>
      <c r="N3052" s="194">
        <v>0</v>
      </c>
      <c r="O3052" s="193">
        <f t="shared" si="663"/>
        <v>2543</v>
      </c>
      <c r="P3052" s="194">
        <v>231</v>
      </c>
      <c r="Q3052" s="194">
        <v>267</v>
      </c>
      <c r="R3052" s="194">
        <v>0</v>
      </c>
      <c r="S3052" s="193">
        <f t="shared" si="664"/>
        <v>498</v>
      </c>
      <c r="T3052" s="193">
        <f t="shared" si="665"/>
        <v>166.96666666666667</v>
      </c>
      <c r="U3052" s="193">
        <f ca="1">OFFSET('Expenditure Study'!$B$7,'Operations Support'!$C3052,'Operations Support'!$B3052)*$G3052</f>
        <v>6862.3300000000008</v>
      </c>
      <c r="V3052" s="199">
        <f ca="1">U3052*'Expenditure Study'!$B$31</f>
        <v>405448.28409926407</v>
      </c>
      <c r="W3052" s="199">
        <f ca="1">IF(A3052=10298,1.51,1)*IF($B3052&lt;3,$D3052*'Expenditure Study'!$B$32*OFFSET('Expenditure Study'!$B$7,'Operations Support'!$C3052,'Operations Support'!$B3052),0)</f>
        <v>328.52600000000007</v>
      </c>
      <c r="X3052" s="200">
        <f ca="1">W3052*'Expenditure Study'!$B$31</f>
        <v>19410.361055500805</v>
      </c>
      <c r="Y3052" s="199">
        <f ca="1">U3052*'Expenditure Study'!$B$31</f>
        <v>405448.28409926407</v>
      </c>
      <c r="Z3052" s="200">
        <f ca="1">W3052*'Expenditure Study'!$B$31</f>
        <v>19410.361055500805</v>
      </c>
      <c r="AA3052" s="195">
        <f t="shared" ca="1" si="666"/>
        <v>424858.64515476488</v>
      </c>
      <c r="AB3052" s="195">
        <f t="shared" ca="1" si="667"/>
        <v>424858.64515476488</v>
      </c>
      <c r="AD3052" s="196">
        <f>IFERROR($G3052/SUMIF($A:$A,$A3052,$G:$G)*SUMIF(Summary!$A$166:$A$242,$A3052,Summary!$P$166:$P$242),0)</f>
        <v>149559.58202368024</v>
      </c>
      <c r="AE3052" s="197">
        <f t="shared" ca="1" si="668"/>
        <v>275299.06313108467</v>
      </c>
      <c r="AF3052" s="196">
        <f>IFERROR(G3052/SUMIF(A:A,A3052,G:G)*SUMIF(Summary!$A$166:$A$242,'Operations Support'!A3052,Summary!$Q$166:$Q$242),0)</f>
        <v>149824.53454960574</v>
      </c>
      <c r="AG3052" s="196">
        <f t="shared" ca="1" si="669"/>
        <v>275034.11060515913</v>
      </c>
      <c r="AI3052" s="196">
        <f>IFERROR($G3052/SUMIF($A:$A,$A3052,$G:$G)*SUMIF(Summary!$A$247:$A$283,$A3052,Summary!$P$247:$P$283),0)</f>
        <v>27275.9355433528</v>
      </c>
      <c r="AJ3052" s="196">
        <f>IFERROR($G3052/SUMIF($A:$A,$A3052,$G:$G)*(SUMIF(Summary!$A$247:$A$283,$A3052,Summary!$L$247:$L$283)+SUMIF(Summary!$A$297:$A$333,$A3052,Summary!$L$297:$L$333))-AI3052,0)</f>
        <v>80947.071499719517</v>
      </c>
      <c r="AK3052" s="196">
        <f>IFERROR($G3052/SUMIF($A:$A,$A3052,$G:$G)*SUMIF(Summary!$A$247:$A$283,$A3052,Summary!$Q$247:$Q$283),0)</f>
        <v>27324.256272265033</v>
      </c>
      <c r="AL3052" s="196">
        <f>IFERROR($G3052/SUMIF($A:$A,$A3052,$G:$G)*(SUMIF(Summary!$A$247:$A$283,$A3052,Summary!$L$247:$L$283)+SUMIF(Summary!$A$297:$A$333,$A3052,Summary!$L$297:$L$333))-AK3052,0)</f>
        <v>80898.750770807281</v>
      </c>
      <c r="AM3052" s="198"/>
      <c r="AN3052" s="196">
        <f t="shared" ca="1" si="670"/>
        <v>356246.13463080418</v>
      </c>
      <c r="AO3052" s="196">
        <f t="shared" ca="1" si="671"/>
        <v>355932.8613759664</v>
      </c>
    </row>
    <row r="3053" spans="1:41">
      <c r="A3053" s="189">
        <v>11163</v>
      </c>
      <c r="B3053" s="190">
        <v>1</v>
      </c>
      <c r="C3053" s="191" t="s">
        <v>223</v>
      </c>
      <c r="D3053" s="192">
        <f t="shared" si="658"/>
        <v>309.02999999999997</v>
      </c>
      <c r="E3053" s="192">
        <f t="shared" si="659"/>
        <v>564.97</v>
      </c>
      <c r="F3053" s="192">
        <f t="shared" si="660"/>
        <v>0</v>
      </c>
      <c r="G3053" s="193">
        <f t="shared" si="661"/>
        <v>874</v>
      </c>
      <c r="H3053" s="194">
        <v>192</v>
      </c>
      <c r="I3053" s="194">
        <v>273</v>
      </c>
      <c r="J3053" s="194">
        <v>0</v>
      </c>
      <c r="K3053" s="193">
        <f t="shared" si="662"/>
        <v>465</v>
      </c>
      <c r="L3053" s="194">
        <v>90.03</v>
      </c>
      <c r="M3053" s="194">
        <v>282.97000000000003</v>
      </c>
      <c r="N3053" s="194">
        <v>0</v>
      </c>
      <c r="O3053" s="193">
        <f t="shared" si="663"/>
        <v>373</v>
      </c>
      <c r="P3053" s="194">
        <v>27</v>
      </c>
      <c r="Q3053" s="194">
        <v>9</v>
      </c>
      <c r="R3053" s="194">
        <v>0</v>
      </c>
      <c r="S3053" s="193">
        <f t="shared" si="664"/>
        <v>36</v>
      </c>
      <c r="T3053" s="193">
        <f t="shared" si="665"/>
        <v>29.133333333333333</v>
      </c>
      <c r="U3053" s="193">
        <f ca="1">OFFSET('Expenditure Study'!$B$7,'Operations Support'!$C3053,'Operations Support'!$B3053)*$G3053</f>
        <v>1101.24</v>
      </c>
      <c r="V3053" s="199">
        <f ca="1">U3053*'Expenditure Study'!$B$31</f>
        <v>65064.762024192001</v>
      </c>
      <c r="W3053" s="199">
        <f ca="1">IF(A3053=10298,1.51,1)*IF($B3053&lt;3,$D3053*'Expenditure Study'!$B$32*OFFSET('Expenditure Study'!$B$7,'Operations Support'!$C3053,'Operations Support'!$B3053),0)</f>
        <v>38.937779999999997</v>
      </c>
      <c r="X3053" s="200">
        <f ca="1">W3053*'Expenditure Study'!$B$31</f>
        <v>2300.567895690624</v>
      </c>
      <c r="Y3053" s="199">
        <f ca="1">U3053*'Expenditure Study'!$B$31</f>
        <v>65064.762024192001</v>
      </c>
      <c r="Z3053" s="200">
        <f ca="1">W3053*'Expenditure Study'!$B$31</f>
        <v>2300.567895690624</v>
      </c>
      <c r="AA3053" s="195">
        <f t="shared" ca="1" si="666"/>
        <v>67365.329919882628</v>
      </c>
      <c r="AB3053" s="195">
        <f t="shared" ca="1" si="667"/>
        <v>67365.329919882628</v>
      </c>
      <c r="AD3053" s="196">
        <f>IFERROR($G3053/SUMIF($A:$A,$A3053,$G:$G)*SUMIF(Summary!$A$166:$A$242,$A3053,Summary!$P$166:$P$242),0)</f>
        <v>26096.042062027653</v>
      </c>
      <c r="AE3053" s="197">
        <f t="shared" ca="1" si="668"/>
        <v>41269.287857854972</v>
      </c>
      <c r="AF3053" s="196">
        <f>IFERROR(G3053/SUMIF(A:A,A3053,G:G)*SUMIF(Summary!$A$166:$A$242,'Operations Support'!A3053,Summary!$Q$166:$Q$242),0)</f>
        <v>26142.272548683453</v>
      </c>
      <c r="AG3053" s="196">
        <f t="shared" ca="1" si="669"/>
        <v>41223.057371199175</v>
      </c>
      <c r="AI3053" s="196">
        <f>IFERROR($G3053/SUMIF($A:$A,$A3053,$G:$G)*SUMIF(Summary!$A$247:$A$283,$A3053,Summary!$P$247:$P$283),0)</f>
        <v>4759.2668526433117</v>
      </c>
      <c r="AJ3053" s="196">
        <f>IFERROR($G3053/SUMIF($A:$A,$A3053,$G:$G)*(SUMIF(Summary!$A$247:$A$283,$A3053,Summary!$L$247:$L$283)+SUMIF(Summary!$A$297:$A$333,$A3053,Summary!$L$297:$L$333))-AI3053,0)</f>
        <v>14124.124673738239</v>
      </c>
      <c r="AK3053" s="196">
        <f>IFERROR($G3053/SUMIF($A:$A,$A3053,$G:$G)*SUMIF(Summary!$A$247:$A$283,$A3053,Summary!$Q$247:$Q$283),0)</f>
        <v>4767.6981397403943</v>
      </c>
      <c r="AL3053" s="196">
        <f>IFERROR($G3053/SUMIF($A:$A,$A3053,$G:$G)*(SUMIF(Summary!$A$247:$A$283,$A3053,Summary!$L$247:$L$283)+SUMIF(Summary!$A$297:$A$333,$A3053,Summary!$L$297:$L$333))-AK3053,0)</f>
        <v>14115.693386641156</v>
      </c>
      <c r="AM3053" s="198"/>
      <c r="AN3053" s="196">
        <f t="shared" ca="1" si="670"/>
        <v>55393.412531593211</v>
      </c>
      <c r="AO3053" s="196">
        <f t="shared" ca="1" si="671"/>
        <v>55338.750757840331</v>
      </c>
    </row>
    <row r="3054" spans="1:41">
      <c r="A3054" s="189">
        <v>11163</v>
      </c>
      <c r="B3054" s="190">
        <v>1</v>
      </c>
      <c r="C3054" s="191" t="s">
        <v>224</v>
      </c>
      <c r="D3054" s="192">
        <f t="shared" si="658"/>
        <v>0</v>
      </c>
      <c r="E3054" s="192">
        <f t="shared" si="659"/>
        <v>0</v>
      </c>
      <c r="F3054" s="192">
        <f t="shared" si="660"/>
        <v>0</v>
      </c>
      <c r="G3054" s="193">
        <f t="shared" si="661"/>
        <v>0</v>
      </c>
      <c r="H3054" s="194">
        <v>0</v>
      </c>
      <c r="I3054" s="194">
        <v>0</v>
      </c>
      <c r="J3054" s="194">
        <v>0</v>
      </c>
      <c r="K3054" s="193">
        <f t="shared" si="662"/>
        <v>0</v>
      </c>
      <c r="L3054" s="194">
        <v>0</v>
      </c>
      <c r="M3054" s="194">
        <v>0</v>
      </c>
      <c r="N3054" s="194">
        <v>0</v>
      </c>
      <c r="O3054" s="193">
        <f t="shared" si="663"/>
        <v>0</v>
      </c>
      <c r="P3054" s="194">
        <v>0</v>
      </c>
      <c r="Q3054" s="194">
        <v>0</v>
      </c>
      <c r="R3054" s="194">
        <v>0</v>
      </c>
      <c r="S3054" s="193">
        <f t="shared" si="664"/>
        <v>0</v>
      </c>
      <c r="T3054" s="193">
        <f t="shared" si="665"/>
        <v>0</v>
      </c>
      <c r="U3054" s="193">
        <f ca="1">OFFSET('Expenditure Study'!$B$7,'Operations Support'!$C3054,'Operations Support'!$B3054)*$G3054</f>
        <v>0</v>
      </c>
      <c r="V3054" s="199">
        <f ca="1">U3054*'Expenditure Study'!$B$31</f>
        <v>0</v>
      </c>
      <c r="W3054" s="199">
        <f ca="1">IF(A3054=10298,1.51,1)*IF($B3054&lt;3,$D3054*'Expenditure Study'!$B$32*OFFSET('Expenditure Study'!$B$7,'Operations Support'!$C3054,'Operations Support'!$B3054),0)</f>
        <v>0</v>
      </c>
      <c r="X3054" s="200">
        <f ca="1">W3054*'Expenditure Study'!$B$31</f>
        <v>0</v>
      </c>
      <c r="Y3054" s="199">
        <f ca="1">U3054*'Expenditure Study'!$B$31</f>
        <v>0</v>
      </c>
      <c r="Z3054" s="200">
        <f ca="1">W3054*'Expenditure Study'!$B$31</f>
        <v>0</v>
      </c>
      <c r="AA3054" s="195">
        <f t="shared" ca="1" si="666"/>
        <v>0</v>
      </c>
      <c r="AB3054" s="195">
        <f t="shared" ca="1" si="667"/>
        <v>0</v>
      </c>
      <c r="AD3054" s="196">
        <f>IFERROR($G3054/SUMIF($A:$A,$A3054,$G:$G)*SUMIF(Summary!$A$166:$A$242,$A3054,Summary!$P$166:$P$242),0)</f>
        <v>0</v>
      </c>
      <c r="AE3054" s="197">
        <f t="shared" ca="1" si="668"/>
        <v>0</v>
      </c>
      <c r="AF3054" s="196">
        <f>IFERROR(G3054/SUMIF(A:A,A3054,G:G)*SUMIF(Summary!$A$166:$A$242,'Operations Support'!A3054,Summary!$Q$166:$Q$242),0)</f>
        <v>0</v>
      </c>
      <c r="AG3054" s="196">
        <f t="shared" ca="1" si="669"/>
        <v>0</v>
      </c>
      <c r="AI3054" s="196">
        <f>IFERROR($G3054/SUMIF($A:$A,$A3054,$G:$G)*SUMIF(Summary!$A$247:$A$283,$A3054,Summary!$P$247:$P$283),0)</f>
        <v>0</v>
      </c>
      <c r="AJ3054" s="196">
        <f>IFERROR($G3054/SUMIF($A:$A,$A3054,$G:$G)*(SUMIF(Summary!$A$247:$A$283,$A3054,Summary!$L$247:$L$283)+SUMIF(Summary!$A$297:$A$333,$A3054,Summary!$L$297:$L$333))-AI3054,0)</f>
        <v>0</v>
      </c>
      <c r="AK3054" s="196">
        <f>IFERROR($G3054/SUMIF($A:$A,$A3054,$G:$G)*SUMIF(Summary!$A$247:$A$283,$A3054,Summary!$Q$247:$Q$283),0)</f>
        <v>0</v>
      </c>
      <c r="AL3054" s="196">
        <f>IFERROR($G3054/SUMIF($A:$A,$A3054,$G:$G)*(SUMIF(Summary!$A$247:$A$283,$A3054,Summary!$L$247:$L$283)+SUMIF(Summary!$A$297:$A$333,$A3054,Summary!$L$297:$L$333))-AK3054,0)</f>
        <v>0</v>
      </c>
      <c r="AM3054" s="198"/>
      <c r="AN3054" s="196">
        <f t="shared" ca="1" si="670"/>
        <v>0</v>
      </c>
      <c r="AO3054" s="196">
        <f t="shared" ca="1" si="671"/>
        <v>0</v>
      </c>
    </row>
    <row r="3055" spans="1:41">
      <c r="A3055" s="189">
        <v>11163</v>
      </c>
      <c r="B3055" s="190">
        <v>1</v>
      </c>
      <c r="C3055" s="191" t="s">
        <v>225</v>
      </c>
      <c r="D3055" s="192">
        <f t="shared" si="658"/>
        <v>2031</v>
      </c>
      <c r="E3055" s="192">
        <f t="shared" si="659"/>
        <v>2206</v>
      </c>
      <c r="F3055" s="192">
        <f t="shared" si="660"/>
        <v>0</v>
      </c>
      <c r="G3055" s="193">
        <f t="shared" si="661"/>
        <v>4237</v>
      </c>
      <c r="H3055" s="194">
        <v>949</v>
      </c>
      <c r="I3055" s="194">
        <v>898</v>
      </c>
      <c r="J3055" s="194">
        <v>0</v>
      </c>
      <c r="K3055" s="193">
        <f t="shared" si="662"/>
        <v>1847</v>
      </c>
      <c r="L3055" s="194">
        <v>995</v>
      </c>
      <c r="M3055" s="194">
        <v>1137</v>
      </c>
      <c r="N3055" s="194">
        <v>0</v>
      </c>
      <c r="O3055" s="193">
        <f t="shared" si="663"/>
        <v>2132</v>
      </c>
      <c r="P3055" s="194">
        <v>87</v>
      </c>
      <c r="Q3055" s="194">
        <v>171</v>
      </c>
      <c r="R3055" s="194">
        <v>0</v>
      </c>
      <c r="S3055" s="193">
        <f t="shared" si="664"/>
        <v>258</v>
      </c>
      <c r="T3055" s="193">
        <f t="shared" si="665"/>
        <v>141.23333333333332</v>
      </c>
      <c r="U3055" s="193">
        <f ca="1">OFFSET('Expenditure Study'!$B$7,'Operations Support'!$C3055,'Operations Support'!$B3055)*$G3055</f>
        <v>7457.12</v>
      </c>
      <c r="V3055" s="199">
        <f ca="1">U3055*'Expenditure Study'!$B$31</f>
        <v>440590.369207296</v>
      </c>
      <c r="W3055" s="199">
        <f ca="1">IF(A3055=10298,1.51,1)*IF($B3055&lt;3,$D3055*'Expenditure Study'!$B$32*OFFSET('Expenditure Study'!$B$7,'Operations Support'!$C3055,'Operations Support'!$B3055),0)</f>
        <v>357.45600000000002</v>
      </c>
      <c r="X3055" s="200">
        <f ca="1">W3055*'Expenditure Study'!$B$31</f>
        <v>21119.637476044802</v>
      </c>
      <c r="Y3055" s="199">
        <f ca="1">U3055*'Expenditure Study'!$B$31</f>
        <v>440590.369207296</v>
      </c>
      <c r="Z3055" s="200">
        <f ca="1">W3055*'Expenditure Study'!$B$31</f>
        <v>21119.637476044802</v>
      </c>
      <c r="AA3055" s="195">
        <f t="shared" ca="1" si="666"/>
        <v>461710.00668334082</v>
      </c>
      <c r="AB3055" s="195">
        <f t="shared" ca="1" si="667"/>
        <v>461710.00668334082</v>
      </c>
      <c r="AD3055" s="196">
        <f>IFERROR($G3055/SUMIF($A:$A,$A3055,$G:$G)*SUMIF(Summary!$A$166:$A$242,$A3055,Summary!$P$166:$P$242),0)</f>
        <v>126509.07347461232</v>
      </c>
      <c r="AE3055" s="197">
        <f t="shared" ca="1" si="668"/>
        <v>335200.9332087285</v>
      </c>
      <c r="AF3055" s="196">
        <f>IFERROR(G3055/SUMIF(A:A,A3055,G:G)*SUMIF(Summary!$A$166:$A$242,'Operations Support'!A3055,Summary!$Q$166:$Q$242),0)</f>
        <v>126733.190833835</v>
      </c>
      <c r="AG3055" s="196">
        <f t="shared" ca="1" si="669"/>
        <v>334976.81584950583</v>
      </c>
      <c r="AI3055" s="196">
        <f>IFERROR($G3055/SUMIF($A:$A,$A3055,$G:$G)*SUMIF(Summary!$A$247:$A$283,$A3055,Summary!$P$247:$P$283),0)</f>
        <v>23072.098003031704</v>
      </c>
      <c r="AJ3055" s="196">
        <f>IFERROR($G3055/SUMIF($A:$A,$A3055,$G:$G)*(SUMIF(Summary!$A$247:$A$283,$A3055,Summary!$L$247:$L$283)+SUMIF(Summary!$A$297:$A$333,$A3055,Summary!$L$297:$L$333))-AI3055,0)</f>
        <v>68471.300048774516</v>
      </c>
      <c r="AK3055" s="196">
        <f>IFERROR($G3055/SUMIF($A:$A,$A3055,$G:$G)*SUMIF(Summary!$A$247:$A$283,$A3055,Summary!$Q$247:$Q$283),0)</f>
        <v>23112.971416567565</v>
      </c>
      <c r="AL3055" s="196">
        <f>IFERROR($G3055/SUMIF($A:$A,$A3055,$G:$G)*(SUMIF(Summary!$A$247:$A$283,$A3055,Summary!$L$247:$L$283)+SUMIF(Summary!$A$297:$A$333,$A3055,Summary!$L$297:$L$333))-AK3055,0)</f>
        <v>68430.426635238648</v>
      </c>
      <c r="AM3055" s="198"/>
      <c r="AN3055" s="196">
        <f t="shared" ca="1" si="670"/>
        <v>403672.23325750302</v>
      </c>
      <c r="AO3055" s="196">
        <f t="shared" ca="1" si="671"/>
        <v>403407.24248474446</v>
      </c>
    </row>
    <row r="3056" spans="1:41">
      <c r="A3056" s="189">
        <v>11163</v>
      </c>
      <c r="B3056" s="190">
        <v>1</v>
      </c>
      <c r="C3056" s="191" t="s">
        <v>226</v>
      </c>
      <c r="D3056" s="192">
        <f t="shared" si="658"/>
        <v>0</v>
      </c>
      <c r="E3056" s="192">
        <f t="shared" si="659"/>
        <v>96</v>
      </c>
      <c r="F3056" s="192">
        <f t="shared" si="660"/>
        <v>0</v>
      </c>
      <c r="G3056" s="193">
        <f t="shared" si="661"/>
        <v>96</v>
      </c>
      <c r="H3056" s="194">
        <v>0</v>
      </c>
      <c r="I3056" s="194">
        <v>51</v>
      </c>
      <c r="J3056" s="194">
        <v>0</v>
      </c>
      <c r="K3056" s="193">
        <f t="shared" si="662"/>
        <v>51</v>
      </c>
      <c r="L3056" s="194">
        <v>0</v>
      </c>
      <c r="M3056" s="194">
        <v>45</v>
      </c>
      <c r="N3056" s="194">
        <v>0</v>
      </c>
      <c r="O3056" s="193">
        <f t="shared" si="663"/>
        <v>45</v>
      </c>
      <c r="P3056" s="194">
        <v>0</v>
      </c>
      <c r="Q3056" s="194">
        <v>0</v>
      </c>
      <c r="R3056" s="194">
        <v>0</v>
      </c>
      <c r="S3056" s="193">
        <f t="shared" si="664"/>
        <v>0</v>
      </c>
      <c r="T3056" s="193">
        <f t="shared" si="665"/>
        <v>3.2</v>
      </c>
      <c r="U3056" s="193">
        <f ca="1">OFFSET('Expenditure Study'!$B$7,'Operations Support'!$C3056,'Operations Support'!$B3056)*$G3056</f>
        <v>91.199999999999989</v>
      </c>
      <c r="V3056" s="199">
        <f ca="1">U3056*'Expenditure Study'!$B$31</f>
        <v>5388.3860889599991</v>
      </c>
      <c r="W3056" s="199">
        <f ca="1">IF(A3056=10298,1.51,1)*IF($B3056&lt;3,$D3056*'Expenditure Study'!$B$32*OFFSET('Expenditure Study'!$B$7,'Operations Support'!$C3056,'Operations Support'!$B3056),0)</f>
        <v>0</v>
      </c>
      <c r="X3056" s="200">
        <f ca="1">W3056*'Expenditure Study'!$B$31</f>
        <v>0</v>
      </c>
      <c r="Y3056" s="199">
        <f ca="1">U3056*'Expenditure Study'!$B$31</f>
        <v>5388.3860889599991</v>
      </c>
      <c r="Z3056" s="200">
        <f ca="1">W3056*'Expenditure Study'!$B$31</f>
        <v>0</v>
      </c>
      <c r="AA3056" s="195">
        <f t="shared" ca="1" si="666"/>
        <v>5388.3860889599991</v>
      </c>
      <c r="AB3056" s="195">
        <f t="shared" ca="1" si="667"/>
        <v>5388.3860889599991</v>
      </c>
      <c r="AD3056" s="196">
        <f>IFERROR($G3056/SUMIF($A:$A,$A3056,$G:$G)*SUMIF(Summary!$A$166:$A$242,$A3056,Summary!$P$166:$P$242),0)</f>
        <v>2866.3844827856465</v>
      </c>
      <c r="AE3056" s="197">
        <f t="shared" ca="1" si="668"/>
        <v>2522.0016061743527</v>
      </c>
      <c r="AF3056" s="196">
        <f>IFERROR(G3056/SUMIF(A:A,A3056,G:G)*SUMIF(Summary!$A$166:$A$242,'Operations Support'!A3056,Summary!$Q$166:$Q$242),0)</f>
        <v>2871.4624309766723</v>
      </c>
      <c r="AG3056" s="196">
        <f t="shared" ca="1" si="669"/>
        <v>2516.9236579833268</v>
      </c>
      <c r="AI3056" s="196">
        <f>IFERROR($G3056/SUMIF($A:$A,$A3056,$G:$G)*SUMIF(Summary!$A$247:$A$283,$A3056,Summary!$P$247:$P$283),0)</f>
        <v>522.75699983267498</v>
      </c>
      <c r="AJ3056" s="196">
        <f>IFERROR($G3056/SUMIF($A:$A,$A3056,$G:$G)*(SUMIF(Summary!$A$247:$A$283,$A3056,Summary!$L$247:$L$283)+SUMIF(Summary!$A$297:$A$333,$A3056,Summary!$L$297:$L$333))-AI3056,0)</f>
        <v>1551.3912685112941</v>
      </c>
      <c r="AK3056" s="196">
        <f>IFERROR($G3056/SUMIF($A:$A,$A3056,$G:$G)*SUMIF(Summary!$A$247:$A$283,$A3056,Summary!$Q$247:$Q$283),0)</f>
        <v>523.68309086393356</v>
      </c>
      <c r="AL3056" s="196">
        <f>IFERROR($G3056/SUMIF($A:$A,$A3056,$G:$G)*(SUMIF(Summary!$A$247:$A$283,$A3056,Summary!$L$247:$L$283)+SUMIF(Summary!$A$297:$A$333,$A3056,Summary!$L$297:$L$333))-AK3056,0)</f>
        <v>1550.4651774800354</v>
      </c>
      <c r="AM3056" s="198"/>
      <c r="AN3056" s="196">
        <f t="shared" ca="1" si="670"/>
        <v>4073.3928746856468</v>
      </c>
      <c r="AO3056" s="196">
        <f t="shared" ca="1" si="671"/>
        <v>4067.3888354633623</v>
      </c>
    </row>
    <row r="3057" spans="1:41">
      <c r="A3057" s="189">
        <v>11163</v>
      </c>
      <c r="B3057" s="190">
        <v>1</v>
      </c>
      <c r="C3057" s="191" t="s">
        <v>227</v>
      </c>
      <c r="D3057" s="192">
        <f t="shared" si="658"/>
        <v>0</v>
      </c>
      <c r="E3057" s="192">
        <f t="shared" si="659"/>
        <v>0</v>
      </c>
      <c r="F3057" s="192">
        <f t="shared" si="660"/>
        <v>0</v>
      </c>
      <c r="G3057" s="193">
        <f t="shared" si="661"/>
        <v>0</v>
      </c>
      <c r="H3057" s="194">
        <v>0</v>
      </c>
      <c r="I3057" s="194">
        <v>0</v>
      </c>
      <c r="J3057" s="194">
        <v>0</v>
      </c>
      <c r="K3057" s="193">
        <f t="shared" si="662"/>
        <v>0</v>
      </c>
      <c r="L3057" s="194">
        <v>0</v>
      </c>
      <c r="M3057" s="194">
        <v>0</v>
      </c>
      <c r="N3057" s="194">
        <v>0</v>
      </c>
      <c r="O3057" s="193">
        <f t="shared" si="663"/>
        <v>0</v>
      </c>
      <c r="P3057" s="194">
        <v>0</v>
      </c>
      <c r="Q3057" s="194">
        <v>0</v>
      </c>
      <c r="R3057" s="194">
        <v>0</v>
      </c>
      <c r="S3057" s="193">
        <f t="shared" si="664"/>
        <v>0</v>
      </c>
      <c r="T3057" s="193">
        <f t="shared" si="665"/>
        <v>0</v>
      </c>
      <c r="U3057" s="193">
        <f ca="1">OFFSET('Expenditure Study'!$B$7,'Operations Support'!$C3057,'Operations Support'!$B3057)*$G3057</f>
        <v>0</v>
      </c>
      <c r="V3057" s="199">
        <f ca="1">U3057*'Expenditure Study'!$B$31</f>
        <v>0</v>
      </c>
      <c r="W3057" s="199">
        <f ca="1">IF(A3057=10298,1.51,1)*IF($B3057&lt;3,$D3057*'Expenditure Study'!$B$32*OFFSET('Expenditure Study'!$B$7,'Operations Support'!$C3057,'Operations Support'!$B3057),0)</f>
        <v>0</v>
      </c>
      <c r="X3057" s="200">
        <f ca="1">W3057*'Expenditure Study'!$B$31</f>
        <v>0</v>
      </c>
      <c r="Y3057" s="199">
        <f ca="1">U3057*'Expenditure Study'!$B$31</f>
        <v>0</v>
      </c>
      <c r="Z3057" s="200">
        <f ca="1">W3057*'Expenditure Study'!$B$31</f>
        <v>0</v>
      </c>
      <c r="AA3057" s="195">
        <f t="shared" ca="1" si="666"/>
        <v>0</v>
      </c>
      <c r="AB3057" s="195">
        <f t="shared" ca="1" si="667"/>
        <v>0</v>
      </c>
      <c r="AD3057" s="196">
        <f>IFERROR($G3057/SUMIF($A:$A,$A3057,$G:$G)*SUMIF(Summary!$A$166:$A$242,$A3057,Summary!$P$166:$P$242),0)</f>
        <v>0</v>
      </c>
      <c r="AE3057" s="197">
        <f t="shared" ca="1" si="668"/>
        <v>0</v>
      </c>
      <c r="AF3057" s="196">
        <f>IFERROR(G3057/SUMIF(A:A,A3057,G:G)*SUMIF(Summary!$A$166:$A$242,'Operations Support'!A3057,Summary!$Q$166:$Q$242),0)</f>
        <v>0</v>
      </c>
      <c r="AG3057" s="196">
        <f t="shared" ca="1" si="669"/>
        <v>0</v>
      </c>
      <c r="AI3057" s="196">
        <f>IFERROR($G3057/SUMIF($A:$A,$A3057,$G:$G)*SUMIF(Summary!$A$247:$A$283,$A3057,Summary!$P$247:$P$283),0)</f>
        <v>0</v>
      </c>
      <c r="AJ3057" s="196">
        <f>IFERROR($G3057/SUMIF($A:$A,$A3057,$G:$G)*(SUMIF(Summary!$A$247:$A$283,$A3057,Summary!$L$247:$L$283)+SUMIF(Summary!$A$297:$A$333,$A3057,Summary!$L$297:$L$333))-AI3057,0)</f>
        <v>0</v>
      </c>
      <c r="AK3057" s="196">
        <f>IFERROR($G3057/SUMIF($A:$A,$A3057,$G:$G)*SUMIF(Summary!$A$247:$A$283,$A3057,Summary!$Q$247:$Q$283),0)</f>
        <v>0</v>
      </c>
      <c r="AL3057" s="196">
        <f>IFERROR($G3057/SUMIF($A:$A,$A3057,$G:$G)*(SUMIF(Summary!$A$247:$A$283,$A3057,Summary!$L$247:$L$283)+SUMIF(Summary!$A$297:$A$333,$A3057,Summary!$L$297:$L$333))-AK3057,0)</f>
        <v>0</v>
      </c>
      <c r="AM3057" s="198"/>
      <c r="AN3057" s="196">
        <f t="shared" ca="1" si="670"/>
        <v>0</v>
      </c>
      <c r="AO3057" s="196">
        <f t="shared" ca="1" si="671"/>
        <v>0</v>
      </c>
    </row>
    <row r="3058" spans="1:41">
      <c r="A3058" s="189">
        <v>11163</v>
      </c>
      <c r="B3058" s="190">
        <v>1</v>
      </c>
      <c r="C3058" s="191" t="s">
        <v>228</v>
      </c>
      <c r="D3058" s="192">
        <f t="shared" si="658"/>
        <v>0</v>
      </c>
      <c r="E3058" s="192">
        <f t="shared" si="659"/>
        <v>261</v>
      </c>
      <c r="F3058" s="192">
        <f t="shared" si="660"/>
        <v>0</v>
      </c>
      <c r="G3058" s="193">
        <f t="shared" si="661"/>
        <v>261</v>
      </c>
      <c r="H3058" s="194">
        <v>0</v>
      </c>
      <c r="I3058" s="194">
        <v>117</v>
      </c>
      <c r="J3058" s="194">
        <v>0</v>
      </c>
      <c r="K3058" s="193">
        <f t="shared" si="662"/>
        <v>117</v>
      </c>
      <c r="L3058" s="194">
        <v>0</v>
      </c>
      <c r="M3058" s="194">
        <v>144</v>
      </c>
      <c r="N3058" s="194">
        <v>0</v>
      </c>
      <c r="O3058" s="193">
        <f t="shared" si="663"/>
        <v>144</v>
      </c>
      <c r="P3058" s="194">
        <v>0</v>
      </c>
      <c r="Q3058" s="194">
        <v>0</v>
      </c>
      <c r="R3058" s="194">
        <v>0</v>
      </c>
      <c r="S3058" s="193">
        <f t="shared" si="664"/>
        <v>0</v>
      </c>
      <c r="T3058" s="193">
        <f t="shared" si="665"/>
        <v>8.6999999999999993</v>
      </c>
      <c r="U3058" s="193">
        <f ca="1">OFFSET('Expenditure Study'!$B$7,'Operations Support'!$C3058,'Operations Support'!$B3058)*$G3058</f>
        <v>412.38</v>
      </c>
      <c r="V3058" s="199">
        <f ca="1">U3058*'Expenditure Study'!$B$31</f>
        <v>24364.722098303999</v>
      </c>
      <c r="W3058" s="199">
        <f ca="1">IF(A3058=10298,1.51,1)*IF($B3058&lt;3,$D3058*'Expenditure Study'!$B$32*OFFSET('Expenditure Study'!$B$7,'Operations Support'!$C3058,'Operations Support'!$B3058),0)</f>
        <v>0</v>
      </c>
      <c r="X3058" s="200">
        <f ca="1">W3058*'Expenditure Study'!$B$31</f>
        <v>0</v>
      </c>
      <c r="Y3058" s="199">
        <f ca="1">U3058*'Expenditure Study'!$B$31</f>
        <v>24364.722098303999</v>
      </c>
      <c r="Z3058" s="200">
        <f ca="1">W3058*'Expenditure Study'!$B$31</f>
        <v>0</v>
      </c>
      <c r="AA3058" s="195">
        <f t="shared" ca="1" si="666"/>
        <v>24364.722098303999</v>
      </c>
      <c r="AB3058" s="195">
        <f t="shared" ca="1" si="667"/>
        <v>24364.722098303999</v>
      </c>
      <c r="AD3058" s="196">
        <f>IFERROR($G3058/SUMIF($A:$A,$A3058,$G:$G)*SUMIF(Summary!$A$166:$A$242,$A3058,Summary!$P$166:$P$242),0)</f>
        <v>7792.9828125734757</v>
      </c>
      <c r="AE3058" s="197">
        <f t="shared" ca="1" si="668"/>
        <v>16571.739285730524</v>
      </c>
      <c r="AF3058" s="196">
        <f>IFERROR(G3058/SUMIF(A:A,A3058,G:G)*SUMIF(Summary!$A$166:$A$242,'Operations Support'!A3058,Summary!$Q$166:$Q$242),0)</f>
        <v>7806.7884842178273</v>
      </c>
      <c r="AG3058" s="196">
        <f t="shared" ca="1" si="669"/>
        <v>16557.933614086171</v>
      </c>
      <c r="AI3058" s="196">
        <f>IFERROR($G3058/SUMIF($A:$A,$A3058,$G:$G)*SUMIF(Summary!$A$247:$A$283,$A3058,Summary!$P$247:$P$283),0)</f>
        <v>1421.245593295085</v>
      </c>
      <c r="AJ3058" s="196">
        <f>IFERROR($G3058/SUMIF($A:$A,$A3058,$G:$G)*(SUMIF(Summary!$A$247:$A$283,$A3058,Summary!$L$247:$L$283)+SUMIF(Summary!$A$297:$A$333,$A3058,Summary!$L$297:$L$333))-AI3058,0)</f>
        <v>4217.8450112650808</v>
      </c>
      <c r="AK3058" s="196">
        <f>IFERROR($G3058/SUMIF($A:$A,$A3058,$G:$G)*SUMIF(Summary!$A$247:$A$283,$A3058,Summary!$Q$247:$Q$283),0)</f>
        <v>1423.7634032863193</v>
      </c>
      <c r="AL3058" s="196">
        <f>IFERROR($G3058/SUMIF($A:$A,$A3058,$G:$G)*(SUMIF(Summary!$A$247:$A$283,$A3058,Summary!$L$247:$L$283)+SUMIF(Summary!$A$297:$A$333,$A3058,Summary!$L$297:$L$333))-AK3058,0)</f>
        <v>4215.3272012738471</v>
      </c>
      <c r="AM3058" s="198"/>
      <c r="AN3058" s="196">
        <f t="shared" ca="1" si="670"/>
        <v>20789.584296995607</v>
      </c>
      <c r="AO3058" s="196">
        <f t="shared" ca="1" si="671"/>
        <v>20773.260815360016</v>
      </c>
    </row>
    <row r="3059" spans="1:41">
      <c r="A3059" s="189">
        <v>11163</v>
      </c>
      <c r="B3059" s="190">
        <v>1</v>
      </c>
      <c r="C3059" s="191" t="s">
        <v>229</v>
      </c>
      <c r="D3059" s="192">
        <f t="shared" si="658"/>
        <v>0</v>
      </c>
      <c r="E3059" s="192">
        <f t="shared" si="659"/>
        <v>0</v>
      </c>
      <c r="F3059" s="192">
        <f t="shared" si="660"/>
        <v>0</v>
      </c>
      <c r="G3059" s="193">
        <f t="shared" si="661"/>
        <v>0</v>
      </c>
      <c r="H3059" s="194">
        <v>0</v>
      </c>
      <c r="I3059" s="194">
        <v>0</v>
      </c>
      <c r="J3059" s="194">
        <v>0</v>
      </c>
      <c r="K3059" s="193">
        <f t="shared" si="662"/>
        <v>0</v>
      </c>
      <c r="L3059" s="194">
        <v>0</v>
      </c>
      <c r="M3059" s="194">
        <v>0</v>
      </c>
      <c r="N3059" s="194">
        <v>0</v>
      </c>
      <c r="O3059" s="193">
        <f t="shared" si="663"/>
        <v>0</v>
      </c>
      <c r="P3059" s="194">
        <v>0</v>
      </c>
      <c r="Q3059" s="194">
        <v>0</v>
      </c>
      <c r="R3059" s="194">
        <v>0</v>
      </c>
      <c r="S3059" s="193">
        <f t="shared" si="664"/>
        <v>0</v>
      </c>
      <c r="T3059" s="193">
        <f t="shared" si="665"/>
        <v>0</v>
      </c>
      <c r="U3059" s="193">
        <f ca="1">OFFSET('Expenditure Study'!$B$7,'Operations Support'!$C3059,'Operations Support'!$B3059)*$G3059</f>
        <v>0</v>
      </c>
      <c r="V3059" s="199">
        <f ca="1">U3059*'Expenditure Study'!$B$31</f>
        <v>0</v>
      </c>
      <c r="W3059" s="199">
        <f ca="1">IF(A3059=10298,1.51,1)*IF($B3059&lt;3,$D3059*'Expenditure Study'!$B$32*OFFSET('Expenditure Study'!$B$7,'Operations Support'!$C3059,'Operations Support'!$B3059),0)</f>
        <v>0</v>
      </c>
      <c r="X3059" s="200">
        <f ca="1">W3059*'Expenditure Study'!$B$31</f>
        <v>0</v>
      </c>
      <c r="Y3059" s="199">
        <f ca="1">U3059*'Expenditure Study'!$B$31</f>
        <v>0</v>
      </c>
      <c r="Z3059" s="200">
        <f ca="1">W3059*'Expenditure Study'!$B$31</f>
        <v>0</v>
      </c>
      <c r="AA3059" s="195">
        <f t="shared" ca="1" si="666"/>
        <v>0</v>
      </c>
      <c r="AB3059" s="195">
        <f t="shared" ca="1" si="667"/>
        <v>0</v>
      </c>
      <c r="AD3059" s="196">
        <f>IFERROR($G3059/SUMIF($A:$A,$A3059,$G:$G)*SUMIF(Summary!$A$166:$A$242,$A3059,Summary!$P$166:$P$242),0)</f>
        <v>0</v>
      </c>
      <c r="AE3059" s="197">
        <f t="shared" ca="1" si="668"/>
        <v>0</v>
      </c>
      <c r="AF3059" s="196">
        <f>IFERROR(G3059/SUMIF(A:A,A3059,G:G)*SUMIF(Summary!$A$166:$A$242,'Operations Support'!A3059,Summary!$Q$166:$Q$242),0)</f>
        <v>0</v>
      </c>
      <c r="AG3059" s="196">
        <f t="shared" ca="1" si="669"/>
        <v>0</v>
      </c>
      <c r="AI3059" s="196">
        <f>IFERROR($G3059/SUMIF($A:$A,$A3059,$G:$G)*SUMIF(Summary!$A$247:$A$283,$A3059,Summary!$P$247:$P$283),0)</f>
        <v>0</v>
      </c>
      <c r="AJ3059" s="196">
        <f>IFERROR($G3059/SUMIF($A:$A,$A3059,$G:$G)*(SUMIF(Summary!$A$247:$A$283,$A3059,Summary!$L$247:$L$283)+SUMIF(Summary!$A$297:$A$333,$A3059,Summary!$L$297:$L$333))-AI3059,0)</f>
        <v>0</v>
      </c>
      <c r="AK3059" s="196">
        <f>IFERROR($G3059/SUMIF($A:$A,$A3059,$G:$G)*SUMIF(Summary!$A$247:$A$283,$A3059,Summary!$Q$247:$Q$283),0)</f>
        <v>0</v>
      </c>
      <c r="AL3059" s="196">
        <f>IFERROR($G3059/SUMIF($A:$A,$A3059,$G:$G)*(SUMIF(Summary!$A$247:$A$283,$A3059,Summary!$L$247:$L$283)+SUMIF(Summary!$A$297:$A$333,$A3059,Summary!$L$297:$L$333))-AK3059,0)</f>
        <v>0</v>
      </c>
      <c r="AM3059" s="198"/>
      <c r="AN3059" s="196">
        <f t="shared" ca="1" si="670"/>
        <v>0</v>
      </c>
      <c r="AO3059" s="196">
        <f t="shared" ca="1" si="671"/>
        <v>0</v>
      </c>
    </row>
    <row r="3060" spans="1:41">
      <c r="A3060" s="189">
        <v>11163</v>
      </c>
      <c r="B3060" s="190">
        <v>1</v>
      </c>
      <c r="C3060" s="191" t="s">
        <v>230</v>
      </c>
      <c r="D3060" s="192">
        <f t="shared" si="658"/>
        <v>0</v>
      </c>
      <c r="E3060" s="192">
        <f t="shared" si="659"/>
        <v>0</v>
      </c>
      <c r="F3060" s="192">
        <f t="shared" si="660"/>
        <v>0</v>
      </c>
      <c r="G3060" s="193">
        <f t="shared" si="661"/>
        <v>0</v>
      </c>
      <c r="H3060" s="194">
        <v>0</v>
      </c>
      <c r="I3060" s="194">
        <v>0</v>
      </c>
      <c r="J3060" s="194">
        <v>0</v>
      </c>
      <c r="K3060" s="193">
        <f t="shared" si="662"/>
        <v>0</v>
      </c>
      <c r="L3060" s="194">
        <v>0</v>
      </c>
      <c r="M3060" s="194">
        <v>0</v>
      </c>
      <c r="N3060" s="194">
        <v>0</v>
      </c>
      <c r="O3060" s="193">
        <f t="shared" si="663"/>
        <v>0</v>
      </c>
      <c r="P3060" s="194">
        <v>0</v>
      </c>
      <c r="Q3060" s="194">
        <v>0</v>
      </c>
      <c r="R3060" s="194">
        <v>0</v>
      </c>
      <c r="S3060" s="193">
        <f t="shared" si="664"/>
        <v>0</v>
      </c>
      <c r="T3060" s="193">
        <f t="shared" si="665"/>
        <v>0</v>
      </c>
      <c r="U3060" s="193">
        <f ca="1">OFFSET('Expenditure Study'!$B$7,'Operations Support'!$C3060,'Operations Support'!$B3060)*$G3060</f>
        <v>0</v>
      </c>
      <c r="V3060" s="199">
        <f ca="1">U3060*'Expenditure Study'!$B$31</f>
        <v>0</v>
      </c>
      <c r="W3060" s="199">
        <f ca="1">IF(A3060=10298,1.51,1)*IF($B3060&lt;3,$D3060*'Expenditure Study'!$B$32*OFFSET('Expenditure Study'!$B$7,'Operations Support'!$C3060,'Operations Support'!$B3060),0)</f>
        <v>0</v>
      </c>
      <c r="X3060" s="200">
        <f ca="1">W3060*'Expenditure Study'!$B$31</f>
        <v>0</v>
      </c>
      <c r="Y3060" s="199">
        <f ca="1">U3060*'Expenditure Study'!$B$31</f>
        <v>0</v>
      </c>
      <c r="Z3060" s="200">
        <f ca="1">W3060*'Expenditure Study'!$B$31</f>
        <v>0</v>
      </c>
      <c r="AA3060" s="195">
        <f t="shared" ca="1" si="666"/>
        <v>0</v>
      </c>
      <c r="AB3060" s="195">
        <f t="shared" ca="1" si="667"/>
        <v>0</v>
      </c>
      <c r="AD3060" s="196">
        <f>IFERROR($G3060/SUMIF($A:$A,$A3060,$G:$G)*SUMIF(Summary!$A$166:$A$242,$A3060,Summary!$P$166:$P$242),0)</f>
        <v>0</v>
      </c>
      <c r="AE3060" s="197">
        <f t="shared" ca="1" si="668"/>
        <v>0</v>
      </c>
      <c r="AF3060" s="196">
        <f>IFERROR(G3060/SUMIF(A:A,A3060,G:G)*SUMIF(Summary!$A$166:$A$242,'Operations Support'!A3060,Summary!$Q$166:$Q$242),0)</f>
        <v>0</v>
      </c>
      <c r="AG3060" s="196">
        <f t="shared" ca="1" si="669"/>
        <v>0</v>
      </c>
      <c r="AI3060" s="196">
        <f>IFERROR($G3060/SUMIF($A:$A,$A3060,$G:$G)*SUMIF(Summary!$A$247:$A$283,$A3060,Summary!$P$247:$P$283),0)</f>
        <v>0</v>
      </c>
      <c r="AJ3060" s="196">
        <f>IFERROR($G3060/SUMIF($A:$A,$A3060,$G:$G)*(SUMIF(Summary!$A$247:$A$283,$A3060,Summary!$L$247:$L$283)+SUMIF(Summary!$A$297:$A$333,$A3060,Summary!$L$297:$L$333))-AI3060,0)</f>
        <v>0</v>
      </c>
      <c r="AK3060" s="196">
        <f>IFERROR($G3060/SUMIF($A:$A,$A3060,$G:$G)*SUMIF(Summary!$A$247:$A$283,$A3060,Summary!$Q$247:$Q$283),0)</f>
        <v>0</v>
      </c>
      <c r="AL3060" s="196">
        <f>IFERROR($G3060/SUMIF($A:$A,$A3060,$G:$G)*(SUMIF(Summary!$A$247:$A$283,$A3060,Summary!$L$247:$L$283)+SUMIF(Summary!$A$297:$A$333,$A3060,Summary!$L$297:$L$333))-AK3060,0)</f>
        <v>0</v>
      </c>
      <c r="AM3060" s="198"/>
      <c r="AN3060" s="196">
        <f t="shared" ca="1" si="670"/>
        <v>0</v>
      </c>
      <c r="AO3060" s="196">
        <f t="shared" ca="1" si="671"/>
        <v>0</v>
      </c>
    </row>
    <row r="3061" spans="1:41">
      <c r="A3061" s="189">
        <v>11163</v>
      </c>
      <c r="B3061" s="190">
        <v>1</v>
      </c>
      <c r="C3061" s="191" t="s">
        <v>231</v>
      </c>
      <c r="D3061" s="192">
        <f t="shared" si="658"/>
        <v>0</v>
      </c>
      <c r="E3061" s="192">
        <f t="shared" si="659"/>
        <v>0</v>
      </c>
      <c r="F3061" s="192">
        <f t="shared" si="660"/>
        <v>0</v>
      </c>
      <c r="G3061" s="193">
        <f t="shared" si="661"/>
        <v>0</v>
      </c>
      <c r="H3061" s="194">
        <v>0</v>
      </c>
      <c r="I3061" s="194">
        <v>0</v>
      </c>
      <c r="J3061" s="194">
        <v>0</v>
      </c>
      <c r="K3061" s="193">
        <f t="shared" si="662"/>
        <v>0</v>
      </c>
      <c r="L3061" s="194">
        <v>0</v>
      </c>
      <c r="M3061" s="194">
        <v>0</v>
      </c>
      <c r="N3061" s="194">
        <v>0</v>
      </c>
      <c r="O3061" s="193">
        <f t="shared" si="663"/>
        <v>0</v>
      </c>
      <c r="P3061" s="194">
        <v>0</v>
      </c>
      <c r="Q3061" s="194">
        <v>0</v>
      </c>
      <c r="R3061" s="194">
        <v>0</v>
      </c>
      <c r="S3061" s="193">
        <f t="shared" si="664"/>
        <v>0</v>
      </c>
      <c r="T3061" s="193">
        <f t="shared" si="665"/>
        <v>0</v>
      </c>
      <c r="U3061" s="193">
        <f ca="1">OFFSET('Expenditure Study'!$B$7,'Operations Support'!$C3061,'Operations Support'!$B3061)*$G3061</f>
        <v>0</v>
      </c>
      <c r="V3061" s="199">
        <f ca="1">U3061*'Expenditure Study'!$B$31</f>
        <v>0</v>
      </c>
      <c r="W3061" s="199">
        <f ca="1">IF(A3061=10298,1.51,1)*IF($B3061&lt;3,$D3061*'Expenditure Study'!$B$32*OFFSET('Expenditure Study'!$B$7,'Operations Support'!$C3061,'Operations Support'!$B3061),0)</f>
        <v>0</v>
      </c>
      <c r="X3061" s="200">
        <f ca="1">W3061*'Expenditure Study'!$B$31</f>
        <v>0</v>
      </c>
      <c r="Y3061" s="199">
        <f ca="1">U3061*'Expenditure Study'!$B$31</f>
        <v>0</v>
      </c>
      <c r="Z3061" s="200">
        <f ca="1">W3061*'Expenditure Study'!$B$31</f>
        <v>0</v>
      </c>
      <c r="AA3061" s="195">
        <f t="shared" ca="1" si="666"/>
        <v>0</v>
      </c>
      <c r="AB3061" s="195">
        <f t="shared" ca="1" si="667"/>
        <v>0</v>
      </c>
      <c r="AD3061" s="196">
        <f>IFERROR($G3061/SUMIF($A:$A,$A3061,$G:$G)*SUMIF(Summary!$A$166:$A$242,$A3061,Summary!$P$166:$P$242),0)</f>
        <v>0</v>
      </c>
      <c r="AE3061" s="197">
        <f t="shared" ca="1" si="668"/>
        <v>0</v>
      </c>
      <c r="AF3061" s="196">
        <f>IFERROR(G3061/SUMIF(A:A,A3061,G:G)*SUMIF(Summary!$A$166:$A$242,'Operations Support'!A3061,Summary!$Q$166:$Q$242),0)</f>
        <v>0</v>
      </c>
      <c r="AG3061" s="196">
        <f t="shared" ca="1" si="669"/>
        <v>0</v>
      </c>
      <c r="AI3061" s="196">
        <f>IFERROR($G3061/SUMIF($A:$A,$A3061,$G:$G)*SUMIF(Summary!$A$247:$A$283,$A3061,Summary!$P$247:$P$283),0)</f>
        <v>0</v>
      </c>
      <c r="AJ3061" s="196">
        <f>IFERROR($G3061/SUMIF($A:$A,$A3061,$G:$G)*(SUMIF(Summary!$A$247:$A$283,$A3061,Summary!$L$247:$L$283)+SUMIF(Summary!$A$297:$A$333,$A3061,Summary!$L$297:$L$333))-AI3061,0)</f>
        <v>0</v>
      </c>
      <c r="AK3061" s="196">
        <f>IFERROR($G3061/SUMIF($A:$A,$A3061,$G:$G)*SUMIF(Summary!$A$247:$A$283,$A3061,Summary!$Q$247:$Q$283),0)</f>
        <v>0</v>
      </c>
      <c r="AL3061" s="196">
        <f>IFERROR($G3061/SUMIF($A:$A,$A3061,$G:$G)*(SUMIF(Summary!$A$247:$A$283,$A3061,Summary!$L$247:$L$283)+SUMIF(Summary!$A$297:$A$333,$A3061,Summary!$L$297:$L$333))-AK3061,0)</f>
        <v>0</v>
      </c>
      <c r="AM3061" s="198"/>
      <c r="AN3061" s="196">
        <f t="shared" ca="1" si="670"/>
        <v>0</v>
      </c>
      <c r="AO3061" s="196">
        <f t="shared" ca="1" si="671"/>
        <v>0</v>
      </c>
    </row>
    <row r="3062" spans="1:41">
      <c r="A3062" s="189">
        <v>11163</v>
      </c>
      <c r="B3062" s="190">
        <v>1</v>
      </c>
      <c r="C3062" s="191" t="s">
        <v>232</v>
      </c>
      <c r="D3062" s="192">
        <f t="shared" si="658"/>
        <v>0</v>
      </c>
      <c r="E3062" s="192">
        <f t="shared" si="659"/>
        <v>0</v>
      </c>
      <c r="F3062" s="192">
        <f t="shared" si="660"/>
        <v>0</v>
      </c>
      <c r="G3062" s="193">
        <f t="shared" si="661"/>
        <v>0</v>
      </c>
      <c r="H3062" s="194">
        <v>0</v>
      </c>
      <c r="I3062" s="194">
        <v>0</v>
      </c>
      <c r="J3062" s="194">
        <v>0</v>
      </c>
      <c r="K3062" s="193">
        <f t="shared" si="662"/>
        <v>0</v>
      </c>
      <c r="L3062" s="194">
        <v>0</v>
      </c>
      <c r="M3062" s="194">
        <v>0</v>
      </c>
      <c r="N3062" s="194">
        <v>0</v>
      </c>
      <c r="O3062" s="193">
        <f t="shared" si="663"/>
        <v>0</v>
      </c>
      <c r="P3062" s="194">
        <v>0</v>
      </c>
      <c r="Q3062" s="194">
        <v>0</v>
      </c>
      <c r="R3062" s="194">
        <v>0</v>
      </c>
      <c r="S3062" s="193">
        <f t="shared" si="664"/>
        <v>0</v>
      </c>
      <c r="T3062" s="193">
        <f t="shared" si="665"/>
        <v>0</v>
      </c>
      <c r="U3062" s="193">
        <f ca="1">OFFSET('Expenditure Study'!$B$7,'Operations Support'!$C3062,'Operations Support'!$B3062)*$G3062</f>
        <v>0</v>
      </c>
      <c r="V3062" s="199">
        <f ca="1">U3062*'Expenditure Study'!$B$31</f>
        <v>0</v>
      </c>
      <c r="W3062" s="199">
        <f ca="1">IF(A3062=10298,1.51,1)*IF($B3062&lt;3,$D3062*'Expenditure Study'!$B$32*OFFSET('Expenditure Study'!$B$7,'Operations Support'!$C3062,'Operations Support'!$B3062),0)</f>
        <v>0</v>
      </c>
      <c r="X3062" s="200">
        <f ca="1">W3062*'Expenditure Study'!$B$31</f>
        <v>0</v>
      </c>
      <c r="Y3062" s="199">
        <f ca="1">U3062*'Expenditure Study'!$B$31</f>
        <v>0</v>
      </c>
      <c r="Z3062" s="200">
        <f ca="1">W3062*'Expenditure Study'!$B$31</f>
        <v>0</v>
      </c>
      <c r="AA3062" s="195">
        <f t="shared" ca="1" si="666"/>
        <v>0</v>
      </c>
      <c r="AB3062" s="195">
        <f t="shared" ca="1" si="667"/>
        <v>0</v>
      </c>
      <c r="AD3062" s="196">
        <f>IFERROR($G3062/SUMIF($A:$A,$A3062,$G:$G)*SUMIF(Summary!$A$166:$A$242,$A3062,Summary!$P$166:$P$242),0)</f>
        <v>0</v>
      </c>
      <c r="AE3062" s="197">
        <f t="shared" ca="1" si="668"/>
        <v>0</v>
      </c>
      <c r="AF3062" s="196">
        <f>IFERROR(G3062/SUMIF(A:A,A3062,G:G)*SUMIF(Summary!$A$166:$A$242,'Operations Support'!A3062,Summary!$Q$166:$Q$242),0)</f>
        <v>0</v>
      </c>
      <c r="AG3062" s="196">
        <f t="shared" ca="1" si="669"/>
        <v>0</v>
      </c>
      <c r="AI3062" s="196">
        <f>IFERROR($G3062/SUMIF($A:$A,$A3062,$G:$G)*SUMIF(Summary!$A$247:$A$283,$A3062,Summary!$P$247:$P$283),0)</f>
        <v>0</v>
      </c>
      <c r="AJ3062" s="196">
        <f>IFERROR($G3062/SUMIF($A:$A,$A3062,$G:$G)*(SUMIF(Summary!$A$247:$A$283,$A3062,Summary!$L$247:$L$283)+SUMIF(Summary!$A$297:$A$333,$A3062,Summary!$L$297:$L$333))-AI3062,0)</f>
        <v>0</v>
      </c>
      <c r="AK3062" s="196">
        <f>IFERROR($G3062/SUMIF($A:$A,$A3062,$G:$G)*SUMIF(Summary!$A$247:$A$283,$A3062,Summary!$Q$247:$Q$283),0)</f>
        <v>0</v>
      </c>
      <c r="AL3062" s="196">
        <f>IFERROR($G3062/SUMIF($A:$A,$A3062,$G:$G)*(SUMIF(Summary!$A$247:$A$283,$A3062,Summary!$L$247:$L$283)+SUMIF(Summary!$A$297:$A$333,$A3062,Summary!$L$297:$L$333))-AK3062,0)</f>
        <v>0</v>
      </c>
      <c r="AM3062" s="198"/>
      <c r="AN3062" s="196">
        <f t="shared" ca="1" si="670"/>
        <v>0</v>
      </c>
      <c r="AO3062" s="196">
        <f t="shared" ca="1" si="671"/>
        <v>0</v>
      </c>
    </row>
    <row r="3063" spans="1:41">
      <c r="A3063" s="189">
        <v>11163</v>
      </c>
      <c r="B3063" s="190">
        <v>1</v>
      </c>
      <c r="C3063" s="191" t="s">
        <v>233</v>
      </c>
      <c r="D3063" s="192">
        <f t="shared" si="658"/>
        <v>570</v>
      </c>
      <c r="E3063" s="192">
        <f t="shared" si="659"/>
        <v>2025</v>
      </c>
      <c r="F3063" s="192">
        <f t="shared" si="660"/>
        <v>0</v>
      </c>
      <c r="G3063" s="193">
        <f t="shared" si="661"/>
        <v>2595</v>
      </c>
      <c r="H3063" s="194">
        <v>261</v>
      </c>
      <c r="I3063" s="194">
        <v>861</v>
      </c>
      <c r="J3063" s="194">
        <v>0</v>
      </c>
      <c r="K3063" s="193">
        <f t="shared" si="662"/>
        <v>1122</v>
      </c>
      <c r="L3063" s="194">
        <v>255</v>
      </c>
      <c r="M3063" s="194">
        <v>840</v>
      </c>
      <c r="N3063" s="194">
        <v>0</v>
      </c>
      <c r="O3063" s="193">
        <f t="shared" si="663"/>
        <v>1095</v>
      </c>
      <c r="P3063" s="194">
        <v>54</v>
      </c>
      <c r="Q3063" s="194">
        <v>324</v>
      </c>
      <c r="R3063" s="194">
        <v>0</v>
      </c>
      <c r="S3063" s="193">
        <f t="shared" si="664"/>
        <v>378</v>
      </c>
      <c r="T3063" s="193">
        <f t="shared" si="665"/>
        <v>86.5</v>
      </c>
      <c r="U3063" s="193">
        <f ca="1">OFFSET('Expenditure Study'!$B$7,'Operations Support'!$C3063,'Operations Support'!$B3063)*$G3063</f>
        <v>2491.1999999999998</v>
      </c>
      <c r="V3063" s="199">
        <f ca="1">U3063*'Expenditure Study'!$B$31</f>
        <v>147188.02000895998</v>
      </c>
      <c r="W3063" s="199">
        <f ca="1">IF(A3063=10298,1.51,1)*IF($B3063&lt;3,$D3063*'Expenditure Study'!$B$32*OFFSET('Expenditure Study'!$B$7,'Operations Support'!$C3063,'Operations Support'!$B3063),0)</f>
        <v>54.72</v>
      </c>
      <c r="X3063" s="200">
        <f ca="1">W3063*'Expenditure Study'!$B$31</f>
        <v>3233.0316533760001</v>
      </c>
      <c r="Y3063" s="199">
        <f ca="1">U3063*'Expenditure Study'!$B$31</f>
        <v>147188.02000895998</v>
      </c>
      <c r="Z3063" s="200">
        <f ca="1">W3063*'Expenditure Study'!$B$31</f>
        <v>3233.0316533760001</v>
      </c>
      <c r="AA3063" s="195">
        <f t="shared" ca="1" si="666"/>
        <v>150421.05166233599</v>
      </c>
      <c r="AB3063" s="195">
        <f t="shared" ca="1" si="667"/>
        <v>150421.05166233599</v>
      </c>
      <c r="AD3063" s="196">
        <f>IFERROR($G3063/SUMIF($A:$A,$A3063,$G:$G)*SUMIF(Summary!$A$166:$A$242,$A3063,Summary!$P$166:$P$242),0)</f>
        <v>77481.955550299506</v>
      </c>
      <c r="AE3063" s="197">
        <f t="shared" ca="1" si="668"/>
        <v>72939.096112036481</v>
      </c>
      <c r="AF3063" s="196">
        <f>IFERROR(G3063/SUMIF(A:A,A3063,G:G)*SUMIF(Summary!$A$166:$A$242,'Operations Support'!A3063,Summary!$Q$166:$Q$242),0)</f>
        <v>77619.21883733818</v>
      </c>
      <c r="AG3063" s="196">
        <f t="shared" ca="1" si="669"/>
        <v>72801.832824997808</v>
      </c>
      <c r="AI3063" s="196">
        <f>IFERROR($G3063/SUMIF($A:$A,$A3063,$G:$G)*SUMIF(Summary!$A$247:$A$283,$A3063,Summary!$P$247:$P$283),0)</f>
        <v>14130.775151726995</v>
      </c>
      <c r="AJ3063" s="196">
        <f>IFERROR($G3063/SUMIF($A:$A,$A3063,$G:$G)*(SUMIF(Summary!$A$247:$A$283,$A3063,Summary!$L$247:$L$283)+SUMIF(Summary!$A$297:$A$333,$A3063,Summary!$L$297:$L$333))-AI3063,0)</f>
        <v>41936.045226945927</v>
      </c>
      <c r="AK3063" s="196">
        <f>IFERROR($G3063/SUMIF($A:$A,$A3063,$G:$G)*SUMIF(Summary!$A$247:$A$283,$A3063,Summary!$Q$247:$Q$283),0)</f>
        <v>14155.808549915704</v>
      </c>
      <c r="AL3063" s="196">
        <f>IFERROR($G3063/SUMIF($A:$A,$A3063,$G:$G)*(SUMIF(Summary!$A$247:$A$283,$A3063,Summary!$L$247:$L$283)+SUMIF(Summary!$A$297:$A$333,$A3063,Summary!$L$297:$L$333))-AK3063,0)</f>
        <v>41911.011828757219</v>
      </c>
      <c r="AM3063" s="198"/>
      <c r="AN3063" s="196">
        <f t="shared" ca="1" si="670"/>
        <v>114875.14133898242</v>
      </c>
      <c r="AO3063" s="196">
        <f t="shared" ca="1" si="671"/>
        <v>114712.84465375502</v>
      </c>
    </row>
    <row r="3064" spans="1:41">
      <c r="A3064" s="189">
        <v>11163</v>
      </c>
      <c r="B3064" s="190">
        <v>1</v>
      </c>
      <c r="C3064" s="191" t="s">
        <v>234</v>
      </c>
      <c r="D3064" s="192">
        <f t="shared" si="658"/>
        <v>0</v>
      </c>
      <c r="E3064" s="192">
        <f t="shared" si="659"/>
        <v>0</v>
      </c>
      <c r="F3064" s="192">
        <f t="shared" si="660"/>
        <v>0</v>
      </c>
      <c r="G3064" s="193">
        <f t="shared" si="661"/>
        <v>0</v>
      </c>
      <c r="H3064" s="194">
        <v>0</v>
      </c>
      <c r="I3064" s="194">
        <v>0</v>
      </c>
      <c r="J3064" s="194">
        <v>0</v>
      </c>
      <c r="K3064" s="193">
        <f t="shared" si="662"/>
        <v>0</v>
      </c>
      <c r="L3064" s="194">
        <v>0</v>
      </c>
      <c r="M3064" s="194">
        <v>0</v>
      </c>
      <c r="N3064" s="194">
        <v>0</v>
      </c>
      <c r="O3064" s="193">
        <f t="shared" si="663"/>
        <v>0</v>
      </c>
      <c r="P3064" s="194">
        <v>0</v>
      </c>
      <c r="Q3064" s="194">
        <v>0</v>
      </c>
      <c r="R3064" s="194">
        <v>0</v>
      </c>
      <c r="S3064" s="193">
        <f t="shared" si="664"/>
        <v>0</v>
      </c>
      <c r="T3064" s="193">
        <f t="shared" si="665"/>
        <v>0</v>
      </c>
      <c r="U3064" s="193">
        <f ca="1">OFFSET('Expenditure Study'!$B$7,'Operations Support'!$C3064,'Operations Support'!$B3064)*$G3064</f>
        <v>0</v>
      </c>
      <c r="V3064" s="199">
        <f ca="1">U3064*'Expenditure Study'!$B$31</f>
        <v>0</v>
      </c>
      <c r="W3064" s="199">
        <f ca="1">IF(A3064=10298,1.51,1)*IF($B3064&lt;3,$D3064*'Expenditure Study'!$B$32*OFFSET('Expenditure Study'!$B$7,'Operations Support'!$C3064,'Operations Support'!$B3064),0)</f>
        <v>0</v>
      </c>
      <c r="X3064" s="200">
        <f ca="1">W3064*'Expenditure Study'!$B$31</f>
        <v>0</v>
      </c>
      <c r="Y3064" s="199">
        <f ca="1">U3064*'Expenditure Study'!$B$31</f>
        <v>0</v>
      </c>
      <c r="Z3064" s="200">
        <f ca="1">W3064*'Expenditure Study'!$B$31</f>
        <v>0</v>
      </c>
      <c r="AA3064" s="195">
        <f t="shared" ca="1" si="666"/>
        <v>0</v>
      </c>
      <c r="AB3064" s="195">
        <f t="shared" ca="1" si="667"/>
        <v>0</v>
      </c>
      <c r="AD3064" s="196">
        <f>IFERROR($G3064/SUMIF($A:$A,$A3064,$G:$G)*SUMIF(Summary!$A$166:$A$242,$A3064,Summary!$P$166:$P$242),0)</f>
        <v>0</v>
      </c>
      <c r="AE3064" s="197">
        <f t="shared" ca="1" si="668"/>
        <v>0</v>
      </c>
      <c r="AF3064" s="196">
        <f>IFERROR(G3064/SUMIF(A:A,A3064,G:G)*SUMIF(Summary!$A$166:$A$242,'Operations Support'!A3064,Summary!$Q$166:$Q$242),0)</f>
        <v>0</v>
      </c>
      <c r="AG3064" s="196">
        <f t="shared" ca="1" si="669"/>
        <v>0</v>
      </c>
      <c r="AI3064" s="196">
        <f>IFERROR($G3064/SUMIF($A:$A,$A3064,$G:$G)*SUMIF(Summary!$A$247:$A$283,$A3064,Summary!$P$247:$P$283),0)</f>
        <v>0</v>
      </c>
      <c r="AJ3064" s="196">
        <f>IFERROR($G3064/SUMIF($A:$A,$A3064,$G:$G)*(SUMIF(Summary!$A$247:$A$283,$A3064,Summary!$L$247:$L$283)+SUMIF(Summary!$A$297:$A$333,$A3064,Summary!$L$297:$L$333))-AI3064,0)</f>
        <v>0</v>
      </c>
      <c r="AK3064" s="196">
        <f>IFERROR($G3064/SUMIF($A:$A,$A3064,$G:$G)*SUMIF(Summary!$A$247:$A$283,$A3064,Summary!$Q$247:$Q$283),0)</f>
        <v>0</v>
      </c>
      <c r="AL3064" s="196">
        <f>IFERROR($G3064/SUMIF($A:$A,$A3064,$G:$G)*(SUMIF(Summary!$A$247:$A$283,$A3064,Summary!$L$247:$L$283)+SUMIF(Summary!$A$297:$A$333,$A3064,Summary!$L$297:$L$333))-AK3064,0)</f>
        <v>0</v>
      </c>
      <c r="AM3064" s="198"/>
      <c r="AN3064" s="196">
        <f t="shared" ca="1" si="670"/>
        <v>0</v>
      </c>
      <c r="AO3064" s="196">
        <f t="shared" ca="1" si="671"/>
        <v>0</v>
      </c>
    </row>
    <row r="3065" spans="1:41">
      <c r="A3065" s="189">
        <v>11163</v>
      </c>
      <c r="B3065" s="190">
        <v>1</v>
      </c>
      <c r="C3065" s="191" t="s">
        <v>235</v>
      </c>
      <c r="D3065" s="192">
        <f t="shared" si="658"/>
        <v>2997</v>
      </c>
      <c r="E3065" s="192">
        <f t="shared" si="659"/>
        <v>2202</v>
      </c>
      <c r="F3065" s="192">
        <f t="shared" si="660"/>
        <v>0</v>
      </c>
      <c r="G3065" s="193">
        <f t="shared" si="661"/>
        <v>5199</v>
      </c>
      <c r="H3065" s="194">
        <v>1317</v>
      </c>
      <c r="I3065" s="194">
        <v>725</v>
      </c>
      <c r="J3065" s="194">
        <v>0</v>
      </c>
      <c r="K3065" s="193">
        <f t="shared" si="662"/>
        <v>2042</v>
      </c>
      <c r="L3065" s="194">
        <v>1569</v>
      </c>
      <c r="M3065" s="194">
        <v>1063</v>
      </c>
      <c r="N3065" s="194">
        <v>0</v>
      </c>
      <c r="O3065" s="193">
        <f t="shared" si="663"/>
        <v>2632</v>
      </c>
      <c r="P3065" s="194">
        <v>111</v>
      </c>
      <c r="Q3065" s="194">
        <v>414</v>
      </c>
      <c r="R3065" s="194">
        <v>0</v>
      </c>
      <c r="S3065" s="193">
        <f t="shared" si="664"/>
        <v>525</v>
      </c>
      <c r="T3065" s="193">
        <f t="shared" si="665"/>
        <v>173.3</v>
      </c>
      <c r="U3065" s="193">
        <f ca="1">OFFSET('Expenditure Study'!$B$7,'Operations Support'!$C3065,'Operations Support'!$B3065)*$G3065</f>
        <v>5718.9000000000005</v>
      </c>
      <c r="V3065" s="199">
        <f ca="1">U3065*'Expenditure Study'!$B$31</f>
        <v>337890.80267712002</v>
      </c>
      <c r="W3065" s="199">
        <f ca="1">IF(A3065=10298,1.51,1)*IF($B3065&lt;3,$D3065*'Expenditure Study'!$B$32*OFFSET('Expenditure Study'!$B$7,'Operations Support'!$C3065,'Operations Support'!$B3065),0)</f>
        <v>329.67</v>
      </c>
      <c r="X3065" s="200">
        <f ca="1">W3065*'Expenditure Study'!$B$31</f>
        <v>19477.952214336001</v>
      </c>
      <c r="Y3065" s="199">
        <f ca="1">U3065*'Expenditure Study'!$B$31</f>
        <v>337890.80267712002</v>
      </c>
      <c r="Z3065" s="200">
        <f ca="1">W3065*'Expenditure Study'!$B$31</f>
        <v>19477.952214336001</v>
      </c>
      <c r="AA3065" s="195">
        <f t="shared" ca="1" si="666"/>
        <v>357368.75489145605</v>
      </c>
      <c r="AB3065" s="195">
        <f t="shared" ca="1" si="667"/>
        <v>357368.75489145605</v>
      </c>
      <c r="AD3065" s="196">
        <f>IFERROR($G3065/SUMIF($A:$A,$A3065,$G:$G)*SUMIF(Summary!$A$166:$A$242,$A3065,Summary!$P$166:$P$242),0)</f>
        <v>155232.63464586015</v>
      </c>
      <c r="AE3065" s="197">
        <f t="shared" ca="1" si="668"/>
        <v>202136.1202455959</v>
      </c>
      <c r="AF3065" s="196">
        <f>IFERROR(G3065/SUMIF(A:A,A3065,G:G)*SUMIF(Summary!$A$166:$A$242,'Operations Support'!A3065,Summary!$Q$166:$Q$242),0)</f>
        <v>155507.63727758042</v>
      </c>
      <c r="AG3065" s="196">
        <f t="shared" ca="1" si="669"/>
        <v>201861.11761387563</v>
      </c>
      <c r="AI3065" s="196">
        <f>IFERROR($G3065/SUMIF($A:$A,$A3065,$G:$G)*SUMIF(Summary!$A$247:$A$283,$A3065,Summary!$P$247:$P$283),0)</f>
        <v>28310.558772188302</v>
      </c>
      <c r="AJ3065" s="196">
        <f>IFERROR($G3065/SUMIF($A:$A,$A3065,$G:$G)*(SUMIF(Summary!$A$247:$A$283,$A3065,Summary!$L$247:$L$283)+SUMIF(Summary!$A$297:$A$333,$A3065,Summary!$L$297:$L$333))-AI3065,0)</f>
        <v>84017.533385314775</v>
      </c>
      <c r="AK3065" s="196">
        <f>IFERROR($G3065/SUMIF($A:$A,$A3065,$G:$G)*SUMIF(Summary!$A$247:$A$283,$A3065,Summary!$Q$247:$Q$283),0)</f>
        <v>28360.712389599899</v>
      </c>
      <c r="AL3065" s="196">
        <f>IFERROR($G3065/SUMIF($A:$A,$A3065,$G:$G)*(SUMIF(Summary!$A$247:$A$283,$A3065,Summary!$L$247:$L$283)+SUMIF(Summary!$A$297:$A$333,$A3065,Summary!$L$297:$L$333))-AK3065,0)</f>
        <v>83967.379767903185</v>
      </c>
      <c r="AM3065" s="198"/>
      <c r="AN3065" s="196">
        <f t="shared" ca="1" si="670"/>
        <v>286153.65363091067</v>
      </c>
      <c r="AO3065" s="196">
        <f t="shared" ca="1" si="671"/>
        <v>285828.49738177878</v>
      </c>
    </row>
    <row r="3066" spans="1:41">
      <c r="A3066" s="189">
        <v>11163</v>
      </c>
      <c r="B3066" s="190">
        <v>1</v>
      </c>
      <c r="C3066" s="191" t="s">
        <v>236</v>
      </c>
      <c r="D3066" s="192">
        <f t="shared" si="658"/>
        <v>0</v>
      </c>
      <c r="E3066" s="192">
        <f t="shared" si="659"/>
        <v>0</v>
      </c>
      <c r="F3066" s="192">
        <f t="shared" si="660"/>
        <v>0</v>
      </c>
      <c r="G3066" s="193">
        <f t="shared" si="661"/>
        <v>0</v>
      </c>
      <c r="H3066" s="194">
        <v>0</v>
      </c>
      <c r="I3066" s="194">
        <v>0</v>
      </c>
      <c r="J3066" s="194">
        <v>0</v>
      </c>
      <c r="K3066" s="193">
        <f t="shared" si="662"/>
        <v>0</v>
      </c>
      <c r="L3066" s="194">
        <v>0</v>
      </c>
      <c r="M3066" s="194">
        <v>0</v>
      </c>
      <c r="N3066" s="194">
        <v>0</v>
      </c>
      <c r="O3066" s="193">
        <f t="shared" si="663"/>
        <v>0</v>
      </c>
      <c r="P3066" s="194">
        <v>0</v>
      </c>
      <c r="Q3066" s="194">
        <v>0</v>
      </c>
      <c r="R3066" s="194">
        <v>0</v>
      </c>
      <c r="S3066" s="193">
        <f t="shared" si="664"/>
        <v>0</v>
      </c>
      <c r="T3066" s="193">
        <f t="shared" si="665"/>
        <v>0</v>
      </c>
      <c r="U3066" s="193">
        <f ca="1">OFFSET('Expenditure Study'!$B$7,'Operations Support'!$C3066,'Operations Support'!$B3066)*$G3066</f>
        <v>0</v>
      </c>
      <c r="V3066" s="199">
        <f ca="1">U3066*'Expenditure Study'!$B$31</f>
        <v>0</v>
      </c>
      <c r="W3066" s="199">
        <f ca="1">IF(A3066=10298,1.51,1)*IF($B3066&lt;3,$D3066*'Expenditure Study'!$B$32*OFFSET('Expenditure Study'!$B$7,'Operations Support'!$C3066,'Operations Support'!$B3066),0)</f>
        <v>0</v>
      </c>
      <c r="X3066" s="200">
        <f ca="1">W3066*'Expenditure Study'!$B$31</f>
        <v>0</v>
      </c>
      <c r="Y3066" s="199">
        <f ca="1">U3066*'Expenditure Study'!$B$31</f>
        <v>0</v>
      </c>
      <c r="Z3066" s="200">
        <f ca="1">W3066*'Expenditure Study'!$B$31</f>
        <v>0</v>
      </c>
      <c r="AA3066" s="195">
        <f t="shared" ca="1" si="666"/>
        <v>0</v>
      </c>
      <c r="AB3066" s="195">
        <f t="shared" ca="1" si="667"/>
        <v>0</v>
      </c>
      <c r="AD3066" s="196">
        <f>IFERROR($G3066/SUMIF($A:$A,$A3066,$G:$G)*SUMIF(Summary!$A$166:$A$242,$A3066,Summary!$P$166:$P$242),0)</f>
        <v>0</v>
      </c>
      <c r="AE3066" s="197">
        <f t="shared" ca="1" si="668"/>
        <v>0</v>
      </c>
      <c r="AF3066" s="196">
        <f>IFERROR(G3066/SUMIF(A:A,A3066,G:G)*SUMIF(Summary!$A$166:$A$242,'Operations Support'!A3066,Summary!$Q$166:$Q$242),0)</f>
        <v>0</v>
      </c>
      <c r="AG3066" s="196">
        <f t="shared" ca="1" si="669"/>
        <v>0</v>
      </c>
      <c r="AI3066" s="196">
        <f>IFERROR($G3066/SUMIF($A:$A,$A3066,$G:$G)*SUMIF(Summary!$A$247:$A$283,$A3066,Summary!$P$247:$P$283),0)</f>
        <v>0</v>
      </c>
      <c r="AJ3066" s="196">
        <f>IFERROR($G3066/SUMIF($A:$A,$A3066,$G:$G)*(SUMIF(Summary!$A$247:$A$283,$A3066,Summary!$L$247:$L$283)+SUMIF(Summary!$A$297:$A$333,$A3066,Summary!$L$297:$L$333))-AI3066,0)</f>
        <v>0</v>
      </c>
      <c r="AK3066" s="196">
        <f>IFERROR($G3066/SUMIF($A:$A,$A3066,$G:$G)*SUMIF(Summary!$A$247:$A$283,$A3066,Summary!$Q$247:$Q$283),0)</f>
        <v>0</v>
      </c>
      <c r="AL3066" s="196">
        <f>IFERROR($G3066/SUMIF($A:$A,$A3066,$G:$G)*(SUMIF(Summary!$A$247:$A$283,$A3066,Summary!$L$247:$L$283)+SUMIF(Summary!$A$297:$A$333,$A3066,Summary!$L$297:$L$333))-AK3066,0)</f>
        <v>0</v>
      </c>
      <c r="AM3066" s="198"/>
      <c r="AN3066" s="196">
        <f t="shared" ca="1" si="670"/>
        <v>0</v>
      </c>
      <c r="AO3066" s="196">
        <f t="shared" ca="1" si="671"/>
        <v>0</v>
      </c>
    </row>
    <row r="3067" spans="1:41" s="201" customFormat="1">
      <c r="A3067" s="189">
        <v>11163</v>
      </c>
      <c r="B3067" s="190">
        <v>1</v>
      </c>
      <c r="C3067" s="191" t="s">
        <v>237</v>
      </c>
      <c r="D3067" s="192">
        <f t="shared" si="658"/>
        <v>0</v>
      </c>
      <c r="E3067" s="192">
        <f t="shared" si="659"/>
        <v>0</v>
      </c>
      <c r="F3067" s="192">
        <f t="shared" si="660"/>
        <v>0</v>
      </c>
      <c r="G3067" s="193">
        <f t="shared" si="661"/>
        <v>0</v>
      </c>
      <c r="H3067" s="194">
        <v>0</v>
      </c>
      <c r="I3067" s="194">
        <v>0</v>
      </c>
      <c r="J3067" s="194">
        <v>0</v>
      </c>
      <c r="K3067" s="193">
        <f t="shared" si="662"/>
        <v>0</v>
      </c>
      <c r="L3067" s="194">
        <v>0</v>
      </c>
      <c r="M3067" s="194">
        <v>0</v>
      </c>
      <c r="N3067" s="194">
        <v>0</v>
      </c>
      <c r="O3067" s="193">
        <f t="shared" si="663"/>
        <v>0</v>
      </c>
      <c r="P3067" s="194">
        <v>0</v>
      </c>
      <c r="Q3067" s="194">
        <v>0</v>
      </c>
      <c r="R3067" s="194">
        <v>0</v>
      </c>
      <c r="S3067" s="193">
        <f t="shared" si="664"/>
        <v>0</v>
      </c>
      <c r="T3067" s="193">
        <f t="shared" si="665"/>
        <v>0</v>
      </c>
      <c r="U3067" s="193">
        <f ca="1">OFFSET('Expenditure Study'!$B$7,'Operations Support'!$C3067,'Operations Support'!$B3067)*$G3067</f>
        <v>0</v>
      </c>
      <c r="V3067" s="199">
        <f ca="1">U3067*'Expenditure Study'!$B$31</f>
        <v>0</v>
      </c>
      <c r="W3067" s="199">
        <f ca="1">IF(A3067=10298,1.51,1)*IF($B3067&lt;3,$D3067*'Expenditure Study'!$B$32*OFFSET('Expenditure Study'!$B$7,'Operations Support'!$C3067,'Operations Support'!$B3067),0)</f>
        <v>0</v>
      </c>
      <c r="X3067" s="200">
        <f ca="1">W3067*'Expenditure Study'!$B$31</f>
        <v>0</v>
      </c>
      <c r="Y3067" s="199">
        <f ca="1">U3067*'Expenditure Study'!$B$31</f>
        <v>0</v>
      </c>
      <c r="Z3067" s="200">
        <f ca="1">W3067*'Expenditure Study'!$B$31</f>
        <v>0</v>
      </c>
      <c r="AA3067" s="195">
        <f t="shared" ca="1" si="666"/>
        <v>0</v>
      </c>
      <c r="AB3067" s="195">
        <f t="shared" ca="1" si="667"/>
        <v>0</v>
      </c>
      <c r="AD3067" s="196">
        <f>IFERROR($G3067/SUMIF($A:$A,$A3067,$G:$G)*SUMIF(Summary!$A$166:$A$242,$A3067,Summary!$P$166:$P$242),0)</f>
        <v>0</v>
      </c>
      <c r="AE3067" s="197">
        <f t="shared" ca="1" si="668"/>
        <v>0</v>
      </c>
      <c r="AF3067" s="196">
        <f>IFERROR(G3067/SUMIF(A:A,A3067,G:G)*SUMIF(Summary!$A$166:$A$242,'Operations Support'!A3067,Summary!$Q$166:$Q$242),0)</f>
        <v>0</v>
      </c>
      <c r="AG3067" s="196">
        <f t="shared" ca="1" si="669"/>
        <v>0</v>
      </c>
      <c r="AH3067" s="180"/>
      <c r="AI3067" s="196">
        <f>IFERROR($G3067/SUMIF($A:$A,$A3067,$G:$G)*SUMIF(Summary!$A$247:$A$283,$A3067,Summary!$P$247:$P$283),0)</f>
        <v>0</v>
      </c>
      <c r="AJ3067" s="196">
        <f>IFERROR($G3067/SUMIF($A:$A,$A3067,$G:$G)*(SUMIF(Summary!$A$247:$A$283,$A3067,Summary!$L$247:$L$283)+SUMIF(Summary!$A$297:$A$333,$A3067,Summary!$L$297:$L$333))-AI3067,0)</f>
        <v>0</v>
      </c>
      <c r="AK3067" s="196">
        <f>IFERROR($G3067/SUMIF($A:$A,$A3067,$G:$G)*SUMIF(Summary!$A$247:$A$283,$A3067,Summary!$Q$247:$Q$283),0)</f>
        <v>0</v>
      </c>
      <c r="AL3067" s="196">
        <f>IFERROR($G3067/SUMIF($A:$A,$A3067,$G:$G)*(SUMIF(Summary!$A$247:$A$283,$A3067,Summary!$L$247:$L$283)+SUMIF(Summary!$A$297:$A$333,$A3067,Summary!$L$297:$L$333))-AK3067,0)</f>
        <v>0</v>
      </c>
      <c r="AM3067" s="198"/>
      <c r="AN3067" s="196">
        <f t="shared" ca="1" si="670"/>
        <v>0</v>
      </c>
      <c r="AO3067" s="196">
        <f t="shared" ca="1" si="671"/>
        <v>0</v>
      </c>
    </row>
    <row r="3068" spans="1:41">
      <c r="A3068" s="189">
        <v>11163</v>
      </c>
      <c r="B3068" s="190">
        <v>1</v>
      </c>
      <c r="C3068" s="191" t="s">
        <v>238</v>
      </c>
      <c r="D3068" s="192">
        <f t="shared" si="658"/>
        <v>135</v>
      </c>
      <c r="E3068" s="192">
        <f t="shared" si="659"/>
        <v>489</v>
      </c>
      <c r="F3068" s="192">
        <f t="shared" si="660"/>
        <v>0</v>
      </c>
      <c r="G3068" s="193">
        <f t="shared" si="661"/>
        <v>624</v>
      </c>
      <c r="H3068" s="194">
        <v>60</v>
      </c>
      <c r="I3068" s="194">
        <v>237</v>
      </c>
      <c r="J3068" s="194">
        <v>0</v>
      </c>
      <c r="K3068" s="193">
        <f t="shared" si="662"/>
        <v>297</v>
      </c>
      <c r="L3068" s="194">
        <v>75</v>
      </c>
      <c r="M3068" s="194">
        <v>240</v>
      </c>
      <c r="N3068" s="194">
        <v>0</v>
      </c>
      <c r="O3068" s="193">
        <f t="shared" si="663"/>
        <v>315</v>
      </c>
      <c r="P3068" s="194">
        <v>0</v>
      </c>
      <c r="Q3068" s="194">
        <v>12</v>
      </c>
      <c r="R3068" s="194">
        <v>0</v>
      </c>
      <c r="S3068" s="193">
        <f t="shared" si="664"/>
        <v>12</v>
      </c>
      <c r="T3068" s="193">
        <f t="shared" si="665"/>
        <v>20.8</v>
      </c>
      <c r="U3068" s="193">
        <f ca="1">OFFSET('Expenditure Study'!$B$7,'Operations Support'!$C3068,'Operations Support'!$B3068)*$G3068</f>
        <v>1110.72</v>
      </c>
      <c r="V3068" s="199">
        <f ca="1">U3068*'Expenditure Study'!$B$31</f>
        <v>65624.870578176007</v>
      </c>
      <c r="W3068" s="199">
        <f ca="1">IF(A3068=10298,1.51,1)*IF($B3068&lt;3,$D3068*'Expenditure Study'!$B$32*OFFSET('Expenditure Study'!$B$7,'Operations Support'!$C3068,'Operations Support'!$B3068),0)</f>
        <v>24.03</v>
      </c>
      <c r="X3068" s="200">
        <f ca="1">W3068*'Expenditure Study'!$B$31</f>
        <v>1419.7688346240002</v>
      </c>
      <c r="Y3068" s="199">
        <f ca="1">U3068*'Expenditure Study'!$B$31</f>
        <v>65624.870578176007</v>
      </c>
      <c r="Z3068" s="200">
        <f ca="1">W3068*'Expenditure Study'!$B$31</f>
        <v>1419.7688346240002</v>
      </c>
      <c r="AA3068" s="195">
        <f t="shared" ca="1" si="666"/>
        <v>67044.63941280001</v>
      </c>
      <c r="AB3068" s="195">
        <f t="shared" ca="1" si="667"/>
        <v>67044.63941280001</v>
      </c>
      <c r="AD3068" s="196">
        <f>IFERROR($G3068/SUMIF($A:$A,$A3068,$G:$G)*SUMIF(Summary!$A$166:$A$242,$A3068,Summary!$P$166:$P$242),0)</f>
        <v>18631.499138106701</v>
      </c>
      <c r="AE3068" s="197">
        <f t="shared" ca="1" si="668"/>
        <v>48413.140274693309</v>
      </c>
      <c r="AF3068" s="196">
        <f>IFERROR(G3068/SUMIF(A:A,A3068,G:G)*SUMIF(Summary!$A$166:$A$242,'Operations Support'!A3068,Summary!$Q$166:$Q$242),0)</f>
        <v>18664.505801348369</v>
      </c>
      <c r="AG3068" s="196">
        <f t="shared" ca="1" si="669"/>
        <v>48380.133611451645</v>
      </c>
      <c r="AI3068" s="196">
        <f>IFERROR($G3068/SUMIF($A:$A,$A3068,$G:$G)*SUMIF(Summary!$A$247:$A$283,$A3068,Summary!$P$247:$P$283),0)</f>
        <v>3397.9204989123873</v>
      </c>
      <c r="AJ3068" s="196">
        <f>IFERROR($G3068/SUMIF($A:$A,$A3068,$G:$G)*(SUMIF(Summary!$A$247:$A$283,$A3068,Summary!$L$247:$L$283)+SUMIF(Summary!$A$297:$A$333,$A3068,Summary!$L$297:$L$333))-AI3068,0)</f>
        <v>10084.043245323413</v>
      </c>
      <c r="AK3068" s="196">
        <f>IFERROR($G3068/SUMIF($A:$A,$A3068,$G:$G)*SUMIF(Summary!$A$247:$A$283,$A3068,Summary!$Q$247:$Q$283),0)</f>
        <v>3403.9400906155679</v>
      </c>
      <c r="AL3068" s="196">
        <f>IFERROR($G3068/SUMIF($A:$A,$A3068,$G:$G)*(SUMIF(Summary!$A$247:$A$283,$A3068,Summary!$L$247:$L$283)+SUMIF(Summary!$A$297:$A$333,$A3068,Summary!$L$297:$L$333))-AK3068,0)</f>
        <v>10078.023653620232</v>
      </c>
      <c r="AM3068" s="198"/>
      <c r="AN3068" s="196">
        <f t="shared" ca="1" si="670"/>
        <v>58497.183520016726</v>
      </c>
      <c r="AO3068" s="196">
        <f t="shared" ca="1" si="671"/>
        <v>58458.157265071874</v>
      </c>
    </row>
    <row r="3069" spans="1:41">
      <c r="A3069" s="189">
        <v>11163</v>
      </c>
      <c r="B3069" s="190">
        <v>1</v>
      </c>
      <c r="C3069" s="191" t="s">
        <v>239</v>
      </c>
      <c r="D3069" s="192">
        <f t="shared" si="658"/>
        <v>6</v>
      </c>
      <c r="E3069" s="192">
        <f t="shared" si="659"/>
        <v>942</v>
      </c>
      <c r="F3069" s="192">
        <f t="shared" si="660"/>
        <v>0</v>
      </c>
      <c r="G3069" s="193">
        <f t="shared" si="661"/>
        <v>948</v>
      </c>
      <c r="H3069" s="194">
        <v>0</v>
      </c>
      <c r="I3069" s="194">
        <v>294</v>
      </c>
      <c r="J3069" s="194">
        <v>0</v>
      </c>
      <c r="K3069" s="193">
        <f t="shared" si="662"/>
        <v>294</v>
      </c>
      <c r="L3069" s="194">
        <v>3</v>
      </c>
      <c r="M3069" s="194">
        <v>426</v>
      </c>
      <c r="N3069" s="194">
        <v>0</v>
      </c>
      <c r="O3069" s="193">
        <f t="shared" si="663"/>
        <v>429</v>
      </c>
      <c r="P3069" s="194">
        <v>3</v>
      </c>
      <c r="Q3069" s="194">
        <v>222</v>
      </c>
      <c r="R3069" s="194">
        <v>0</v>
      </c>
      <c r="S3069" s="193">
        <f t="shared" si="664"/>
        <v>225</v>
      </c>
      <c r="T3069" s="193">
        <f t="shared" si="665"/>
        <v>31.6</v>
      </c>
      <c r="U3069" s="193">
        <f ca="1">OFFSET('Expenditure Study'!$B$7,'Operations Support'!$C3069,'Operations Support'!$B3069)*$G3069</f>
        <v>1469.4</v>
      </c>
      <c r="V3069" s="199">
        <f ca="1">U3069*'Expenditure Study'!$B$31</f>
        <v>86816.825867520005</v>
      </c>
      <c r="W3069" s="199">
        <f ca="1">IF(A3069=10298,1.51,1)*IF($B3069&lt;3,$D3069*'Expenditure Study'!$B$32*OFFSET('Expenditure Study'!$B$7,'Operations Support'!$C3069,'Operations Support'!$B3069),0)</f>
        <v>0.93000000000000016</v>
      </c>
      <c r="X3069" s="200">
        <f ca="1">W3069*'Expenditure Study'!$B$31</f>
        <v>54.947358144000013</v>
      </c>
      <c r="Y3069" s="199">
        <f ca="1">U3069*'Expenditure Study'!$B$31</f>
        <v>86816.825867520005</v>
      </c>
      <c r="Z3069" s="200">
        <f ca="1">W3069*'Expenditure Study'!$B$31</f>
        <v>54.947358144000013</v>
      </c>
      <c r="AA3069" s="195">
        <f t="shared" ca="1" si="666"/>
        <v>86871.773225664001</v>
      </c>
      <c r="AB3069" s="195">
        <f t="shared" ca="1" si="667"/>
        <v>86871.773225664001</v>
      </c>
      <c r="AD3069" s="196">
        <f>IFERROR($G3069/SUMIF($A:$A,$A3069,$G:$G)*SUMIF(Summary!$A$166:$A$242,$A3069,Summary!$P$166:$P$242),0)</f>
        <v>28305.546767508258</v>
      </c>
      <c r="AE3069" s="197">
        <f t="shared" ca="1" si="668"/>
        <v>58566.226458155739</v>
      </c>
      <c r="AF3069" s="196">
        <f>IFERROR(G3069/SUMIF(A:A,A3069,G:G)*SUMIF(Summary!$A$166:$A$242,'Operations Support'!A3069,Summary!$Q$166:$Q$242),0)</f>
        <v>28355.69150589464</v>
      </c>
      <c r="AG3069" s="196">
        <f t="shared" ca="1" si="669"/>
        <v>58516.081719769361</v>
      </c>
      <c r="AI3069" s="196">
        <f>IFERROR($G3069/SUMIF($A:$A,$A3069,$G:$G)*SUMIF(Summary!$A$247:$A$283,$A3069,Summary!$P$247:$P$283),0)</f>
        <v>5162.2253733476655</v>
      </c>
      <c r="AJ3069" s="196">
        <f>IFERROR($G3069/SUMIF($A:$A,$A3069,$G:$G)*(SUMIF(Summary!$A$247:$A$283,$A3069,Summary!$L$247:$L$283)+SUMIF(Summary!$A$297:$A$333,$A3069,Summary!$L$297:$L$333))-AI3069,0)</f>
        <v>15319.988776549031</v>
      </c>
      <c r="AK3069" s="196">
        <f>IFERROR($G3069/SUMIF($A:$A,$A3069,$G:$G)*SUMIF(Summary!$A$247:$A$283,$A3069,Summary!$Q$247:$Q$283),0)</f>
        <v>5171.3705222813433</v>
      </c>
      <c r="AL3069" s="196">
        <f>IFERROR($G3069/SUMIF($A:$A,$A3069,$G:$G)*(SUMIF(Summary!$A$247:$A$283,$A3069,Summary!$L$247:$L$283)+SUMIF(Summary!$A$297:$A$333,$A3069,Summary!$L$297:$L$333))-AK3069,0)</f>
        <v>15310.843627615352</v>
      </c>
      <c r="AM3069" s="198"/>
      <c r="AN3069" s="196">
        <f t="shared" ca="1" si="670"/>
        <v>73886.215234704767</v>
      </c>
      <c r="AO3069" s="196">
        <f t="shared" ca="1" si="671"/>
        <v>73826.925347384706</v>
      </c>
    </row>
    <row r="3070" spans="1:41">
      <c r="A3070" s="189">
        <v>11163</v>
      </c>
      <c r="B3070" s="190">
        <v>1</v>
      </c>
      <c r="C3070" s="191" t="s">
        <v>240</v>
      </c>
      <c r="D3070" s="192">
        <f t="shared" si="658"/>
        <v>48</v>
      </c>
      <c r="E3070" s="192">
        <f t="shared" si="659"/>
        <v>1094</v>
      </c>
      <c r="F3070" s="192">
        <f t="shared" si="660"/>
        <v>0</v>
      </c>
      <c r="G3070" s="193">
        <f t="shared" si="661"/>
        <v>1142</v>
      </c>
      <c r="H3070" s="194">
        <v>0</v>
      </c>
      <c r="I3070" s="194">
        <v>235</v>
      </c>
      <c r="J3070" s="194">
        <v>0</v>
      </c>
      <c r="K3070" s="193">
        <f t="shared" si="662"/>
        <v>235</v>
      </c>
      <c r="L3070" s="194">
        <v>48</v>
      </c>
      <c r="M3070" s="194">
        <v>859</v>
      </c>
      <c r="N3070" s="194">
        <v>0</v>
      </c>
      <c r="O3070" s="193">
        <f t="shared" si="663"/>
        <v>907</v>
      </c>
      <c r="P3070" s="194">
        <v>0</v>
      </c>
      <c r="Q3070" s="194">
        <v>0</v>
      </c>
      <c r="R3070" s="194">
        <v>0</v>
      </c>
      <c r="S3070" s="193">
        <f t="shared" si="664"/>
        <v>0</v>
      </c>
      <c r="T3070" s="193">
        <f t="shared" si="665"/>
        <v>38.06666666666667</v>
      </c>
      <c r="U3070" s="193">
        <f ca="1">OFFSET('Expenditure Study'!$B$7,'Operations Support'!$C3070,'Operations Support'!$B3070)*$G3070</f>
        <v>1142</v>
      </c>
      <c r="V3070" s="199">
        <f ca="1">U3070*'Expenditure Study'!$B$31</f>
        <v>67472.992473599996</v>
      </c>
      <c r="W3070" s="199">
        <f ca="1">IF(A3070=10298,1.51,1)*IF($B3070&lt;3,$D3070*'Expenditure Study'!$B$32*OFFSET('Expenditure Study'!$B$7,'Operations Support'!$C3070,'Operations Support'!$B3070),0)</f>
        <v>4.8000000000000007</v>
      </c>
      <c r="X3070" s="200">
        <f ca="1">W3070*'Expenditure Study'!$B$31</f>
        <v>283.59926784000004</v>
      </c>
      <c r="Y3070" s="199">
        <f ca="1">U3070*'Expenditure Study'!$B$31</f>
        <v>67472.992473599996</v>
      </c>
      <c r="Z3070" s="200">
        <f ca="1">W3070*'Expenditure Study'!$B$31</f>
        <v>283.59926784000004</v>
      </c>
      <c r="AA3070" s="195">
        <f t="shared" ca="1" si="666"/>
        <v>67756.591741440003</v>
      </c>
      <c r="AB3070" s="195">
        <f t="shared" ca="1" si="667"/>
        <v>67756.591741440003</v>
      </c>
      <c r="AD3070" s="196">
        <f>IFERROR($G3070/SUMIF($A:$A,$A3070,$G:$G)*SUMIF(Summary!$A$166:$A$242,$A3070,Summary!$P$166:$P$242),0)</f>
        <v>34098.032076470918</v>
      </c>
      <c r="AE3070" s="197">
        <f t="shared" ca="1" si="668"/>
        <v>33658.559664969085</v>
      </c>
      <c r="AF3070" s="196">
        <f>IFERROR(G3070/SUMIF(A:A,A3070,G:G)*SUMIF(Summary!$A$166:$A$242,'Operations Support'!A3070,Summary!$Q$166:$Q$242),0)</f>
        <v>34158.438501826662</v>
      </c>
      <c r="AG3070" s="196">
        <f t="shared" ca="1" si="669"/>
        <v>33598.153239613341</v>
      </c>
      <c r="AI3070" s="196">
        <f>IFERROR($G3070/SUMIF($A:$A,$A3070,$G:$G)*SUMIF(Summary!$A$247:$A$283,$A3070,Summary!$P$247:$P$283),0)</f>
        <v>6218.6301438428618</v>
      </c>
      <c r="AJ3070" s="196">
        <f>IFERROR($G3070/SUMIF($A:$A,$A3070,$G:$G)*(SUMIF(Summary!$A$247:$A$283,$A3070,Summary!$L$247:$L$283)+SUMIF(Summary!$A$297:$A$333,$A3070,Summary!$L$297:$L$333))-AI3070,0)</f>
        <v>18455.091964998937</v>
      </c>
      <c r="AK3070" s="196">
        <f>IFERROR($G3070/SUMIF($A:$A,$A3070,$G:$G)*SUMIF(Summary!$A$247:$A$283,$A3070,Summary!$Q$247:$Q$283),0)</f>
        <v>6229.6467684022091</v>
      </c>
      <c r="AL3070" s="196">
        <f>IFERROR($G3070/SUMIF($A:$A,$A3070,$G:$G)*(SUMIF(Summary!$A$247:$A$283,$A3070,Summary!$L$247:$L$283)+SUMIF(Summary!$A$297:$A$333,$A3070,Summary!$L$297:$L$333))-AK3070,0)</f>
        <v>18444.075340439587</v>
      </c>
      <c r="AM3070" s="198"/>
      <c r="AN3070" s="196">
        <f t="shared" ca="1" si="670"/>
        <v>52113.651629968022</v>
      </c>
      <c r="AO3070" s="196">
        <f t="shared" ca="1" si="671"/>
        <v>52042.228580052928</v>
      </c>
    </row>
    <row r="3071" spans="1:41">
      <c r="A3071" s="189">
        <v>11163</v>
      </c>
      <c r="B3071" s="190">
        <v>2</v>
      </c>
      <c r="C3071" s="191" t="s">
        <v>220</v>
      </c>
      <c r="D3071" s="192">
        <f t="shared" si="658"/>
        <v>7438</v>
      </c>
      <c r="E3071" s="192">
        <f t="shared" si="659"/>
        <v>8238</v>
      </c>
      <c r="F3071" s="192">
        <f t="shared" si="660"/>
        <v>0</v>
      </c>
      <c r="G3071" s="193">
        <f t="shared" si="661"/>
        <v>15676</v>
      </c>
      <c r="H3071" s="194">
        <v>3343</v>
      </c>
      <c r="I3071" s="194">
        <v>3564</v>
      </c>
      <c r="J3071" s="194">
        <v>0</v>
      </c>
      <c r="K3071" s="193">
        <f t="shared" si="662"/>
        <v>6907</v>
      </c>
      <c r="L3071" s="194">
        <v>2618</v>
      </c>
      <c r="M3071" s="194">
        <v>3534</v>
      </c>
      <c r="N3071" s="194">
        <v>0</v>
      </c>
      <c r="O3071" s="193">
        <f t="shared" si="663"/>
        <v>6152</v>
      </c>
      <c r="P3071" s="194">
        <v>1477</v>
      </c>
      <c r="Q3071" s="194">
        <v>1140</v>
      </c>
      <c r="R3071" s="194">
        <v>0</v>
      </c>
      <c r="S3071" s="193">
        <f t="shared" si="664"/>
        <v>2617</v>
      </c>
      <c r="T3071" s="193">
        <f t="shared" si="665"/>
        <v>522.5333333333333</v>
      </c>
      <c r="U3071" s="193">
        <f ca="1">OFFSET('Expenditure Study'!$B$7,'Operations Support'!$C3071,'Operations Support'!$B3071)*$G3071</f>
        <v>28843.84</v>
      </c>
      <c r="V3071" s="199">
        <f ca="1">U3071*'Expenditure Study'!$B$31</f>
        <v>1704185.8136862721</v>
      </c>
      <c r="W3071" s="199">
        <f ca="1">IF(A3071=10298,1.51,1)*IF($B3071&lt;3,$D3071*'Expenditure Study'!$B$32*OFFSET('Expenditure Study'!$B$7,'Operations Support'!$C3071,'Operations Support'!$B3071),0)</f>
        <v>1368.5920000000001</v>
      </c>
      <c r="X3071" s="200">
        <f ca="1">W3071*'Expenditure Study'!$B$31</f>
        <v>80860.768577433613</v>
      </c>
      <c r="Y3071" s="199">
        <f ca="1">U3071*'Expenditure Study'!$B$31</f>
        <v>1704185.8136862721</v>
      </c>
      <c r="Z3071" s="200">
        <f ca="1">W3071*'Expenditure Study'!$B$31</f>
        <v>80860.768577433613</v>
      </c>
      <c r="AA3071" s="195">
        <f t="shared" ca="1" si="666"/>
        <v>1785046.5822637058</v>
      </c>
      <c r="AB3071" s="195">
        <f t="shared" ca="1" si="667"/>
        <v>1785046.5822637058</v>
      </c>
      <c r="AD3071" s="196">
        <f>IFERROR($G3071/SUMIF($A:$A,$A3071,$G:$G)*SUMIF(Summary!$A$166:$A$242,$A3071,Summary!$P$166:$P$242),0)</f>
        <v>468056.69950153946</v>
      </c>
      <c r="AE3071" s="197">
        <f t="shared" ca="1" si="668"/>
        <v>1316989.8827621662</v>
      </c>
      <c r="AF3071" s="196">
        <f>IFERROR(G3071/SUMIF(A:A,A3071,G:G)*SUMIF(Summary!$A$166:$A$242,'Operations Support'!A3071,Summary!$Q$166:$Q$242),0)</f>
        <v>468885.88612489909</v>
      </c>
      <c r="AG3071" s="196">
        <f t="shared" ca="1" si="669"/>
        <v>1316160.6961388066</v>
      </c>
      <c r="AI3071" s="196">
        <f>IFERROR($G3071/SUMIF($A:$A,$A3071,$G:$G)*SUMIF(Summary!$A$247:$A$283,$A3071,Summary!$P$247:$P$283),0)</f>
        <v>85361.861764343877</v>
      </c>
      <c r="AJ3071" s="196">
        <f>IFERROR($G3071/SUMIF($A:$A,$A3071,$G:$G)*(SUMIF(Summary!$A$247:$A$283,$A3071,Summary!$L$247:$L$283)+SUMIF(Summary!$A$297:$A$333,$A3071,Summary!$L$297:$L$333))-AI3071,0)</f>
        <v>253329.26588732342</v>
      </c>
      <c r="AK3071" s="196">
        <f>IFERROR($G3071/SUMIF($A:$A,$A3071,$G:$G)*SUMIF(Summary!$A$247:$A$283,$A3071,Summary!$Q$247:$Q$283),0)</f>
        <v>85513.084712323136</v>
      </c>
      <c r="AL3071" s="196">
        <f>IFERROR($G3071/SUMIF($A:$A,$A3071,$G:$G)*(SUMIF(Summary!$A$247:$A$283,$A3071,Summary!$L$247:$L$283)+SUMIF(Summary!$A$297:$A$333,$A3071,Summary!$L$297:$L$333))-AK3071,0)</f>
        <v>253178.04293934413</v>
      </c>
      <c r="AM3071" s="198"/>
      <c r="AN3071" s="196">
        <f t="shared" ca="1" si="670"/>
        <v>1570319.1486494895</v>
      </c>
      <c r="AO3071" s="196">
        <f t="shared" ca="1" si="671"/>
        <v>1569338.7390781508</v>
      </c>
    </row>
    <row r="3072" spans="1:41">
      <c r="A3072" s="189">
        <v>11163</v>
      </c>
      <c r="B3072" s="190">
        <v>2</v>
      </c>
      <c r="C3072" s="191" t="s">
        <v>221</v>
      </c>
      <c r="D3072" s="192">
        <f t="shared" si="658"/>
        <v>5798</v>
      </c>
      <c r="E3072" s="192">
        <f t="shared" si="659"/>
        <v>3167</v>
      </c>
      <c r="F3072" s="192">
        <f t="shared" si="660"/>
        <v>0</v>
      </c>
      <c r="G3072" s="193">
        <f t="shared" si="661"/>
        <v>8965</v>
      </c>
      <c r="H3072" s="194">
        <v>2808</v>
      </c>
      <c r="I3072" s="194">
        <v>1517</v>
      </c>
      <c r="J3072" s="194">
        <v>0</v>
      </c>
      <c r="K3072" s="193">
        <f t="shared" si="662"/>
        <v>4325</v>
      </c>
      <c r="L3072" s="194">
        <v>2578</v>
      </c>
      <c r="M3072" s="194">
        <v>1417</v>
      </c>
      <c r="N3072" s="194">
        <v>0</v>
      </c>
      <c r="O3072" s="193">
        <f t="shared" si="663"/>
        <v>3995</v>
      </c>
      <c r="P3072" s="194">
        <v>412</v>
      </c>
      <c r="Q3072" s="194">
        <v>233</v>
      </c>
      <c r="R3072" s="194">
        <v>0</v>
      </c>
      <c r="S3072" s="193">
        <f t="shared" si="664"/>
        <v>645</v>
      </c>
      <c r="T3072" s="193">
        <f t="shared" si="665"/>
        <v>298.83333333333331</v>
      </c>
      <c r="U3072" s="193">
        <f ca="1">OFFSET('Expenditure Study'!$B$7,'Operations Support'!$C3072,'Operations Support'!$B3072)*$G3072</f>
        <v>23577.95</v>
      </c>
      <c r="V3072" s="199">
        <f ca="1">U3072*'Expenditure Study'!$B$31</f>
        <v>1393060.2827433601</v>
      </c>
      <c r="W3072" s="199">
        <f ca="1">IF(A3072=10298,1.51,1)*IF($B3072&lt;3,$D3072*'Expenditure Study'!$B$32*OFFSET('Expenditure Study'!$B$7,'Operations Support'!$C3072,'Operations Support'!$B3072),0)</f>
        <v>1524.874</v>
      </c>
      <c r="X3072" s="200">
        <f ca="1">W3072*'Expenditure Study'!$B$31</f>
        <v>90094.406239219199</v>
      </c>
      <c r="Y3072" s="199">
        <f ca="1">U3072*'Expenditure Study'!$B$31</f>
        <v>1393060.2827433601</v>
      </c>
      <c r="Z3072" s="200">
        <f ca="1">W3072*'Expenditure Study'!$B$31</f>
        <v>90094.406239219199</v>
      </c>
      <c r="AA3072" s="195">
        <f t="shared" ca="1" si="666"/>
        <v>1483154.6889825794</v>
      </c>
      <c r="AB3072" s="195">
        <f t="shared" ca="1" si="667"/>
        <v>1483154.6889825794</v>
      </c>
      <c r="AD3072" s="196">
        <f>IFERROR($G3072/SUMIF($A:$A,$A3072,$G:$G)*SUMIF(Summary!$A$166:$A$242,$A3072,Summary!$P$166:$P$242),0)</f>
        <v>267678.50925180543</v>
      </c>
      <c r="AE3072" s="197">
        <f t="shared" ca="1" si="668"/>
        <v>1215476.1797307739</v>
      </c>
      <c r="AF3072" s="196">
        <f>IFERROR(G3072/SUMIF(A:A,A3072,G:G)*SUMIF(Summary!$A$166:$A$242,'Operations Support'!A3072,Summary!$Q$166:$Q$242),0)</f>
        <v>268152.71555943612</v>
      </c>
      <c r="AG3072" s="196">
        <f t="shared" ca="1" si="669"/>
        <v>1215001.9734231434</v>
      </c>
      <c r="AI3072" s="196">
        <f>IFERROR($G3072/SUMIF($A:$A,$A3072,$G:$G)*SUMIF(Summary!$A$247:$A$283,$A3072,Summary!$P$247:$P$283),0)</f>
        <v>48817.880244790947</v>
      </c>
      <c r="AJ3072" s="196">
        <f>IFERROR($G3072/SUMIF($A:$A,$A3072,$G:$G)*(SUMIF(Summary!$A$247:$A$283,$A3072,Summary!$L$247:$L$283)+SUMIF(Summary!$A$297:$A$333,$A3072,Summary!$L$297:$L$333))-AI3072,0)</f>
        <v>144877.32002295574</v>
      </c>
      <c r="AK3072" s="196">
        <f>IFERROR($G3072/SUMIF($A:$A,$A3072,$G:$G)*SUMIF(Summary!$A$247:$A$283,$A3072,Summary!$Q$247:$Q$283),0)</f>
        <v>48904.363641616292</v>
      </c>
      <c r="AL3072" s="196">
        <f>IFERROR($G3072/SUMIF($A:$A,$A3072,$G:$G)*(SUMIF(Summary!$A$247:$A$283,$A3072,Summary!$L$247:$L$283)+SUMIF(Summary!$A$297:$A$333,$A3072,Summary!$L$297:$L$333))-AK3072,0)</f>
        <v>144790.83662613039</v>
      </c>
      <c r="AM3072" s="198"/>
      <c r="AN3072" s="196">
        <f t="shared" ca="1" si="670"/>
        <v>1360353.4997537297</v>
      </c>
      <c r="AO3072" s="196">
        <f t="shared" ca="1" si="671"/>
        <v>1359792.8100492738</v>
      </c>
    </row>
    <row r="3073" spans="1:41">
      <c r="A3073" s="189">
        <v>11163</v>
      </c>
      <c r="B3073" s="190">
        <v>2</v>
      </c>
      <c r="C3073" s="191" t="s">
        <v>222</v>
      </c>
      <c r="D3073" s="192">
        <f t="shared" si="658"/>
        <v>844</v>
      </c>
      <c r="E3073" s="192">
        <f t="shared" si="659"/>
        <v>508</v>
      </c>
      <c r="F3073" s="192">
        <f t="shared" si="660"/>
        <v>0</v>
      </c>
      <c r="G3073" s="193">
        <f t="shared" si="661"/>
        <v>1352</v>
      </c>
      <c r="H3073" s="194">
        <v>440</v>
      </c>
      <c r="I3073" s="194">
        <v>231</v>
      </c>
      <c r="J3073" s="194">
        <v>0</v>
      </c>
      <c r="K3073" s="193">
        <f t="shared" si="662"/>
        <v>671</v>
      </c>
      <c r="L3073" s="194">
        <v>353</v>
      </c>
      <c r="M3073" s="194">
        <v>244</v>
      </c>
      <c r="N3073" s="194">
        <v>0</v>
      </c>
      <c r="O3073" s="193">
        <f t="shared" si="663"/>
        <v>597</v>
      </c>
      <c r="P3073" s="194">
        <v>51</v>
      </c>
      <c r="Q3073" s="194">
        <v>33</v>
      </c>
      <c r="R3073" s="194">
        <v>0</v>
      </c>
      <c r="S3073" s="193">
        <f t="shared" si="664"/>
        <v>84</v>
      </c>
      <c r="T3073" s="193">
        <f t="shared" si="665"/>
        <v>45.06666666666667</v>
      </c>
      <c r="U3073" s="193">
        <f ca="1">OFFSET('Expenditure Study'!$B$7,'Operations Support'!$C3073,'Operations Support'!$B3073)*$G3073</f>
        <v>3596.32</v>
      </c>
      <c r="V3073" s="199">
        <f ca="1">U3073*'Expenditure Study'!$B$31</f>
        <v>212482.02477465602</v>
      </c>
      <c r="W3073" s="199">
        <f ca="1">IF(A3073=10298,1.51,1)*IF($B3073&lt;3,$D3073*'Expenditure Study'!$B$32*OFFSET('Expenditure Study'!$B$7,'Operations Support'!$C3073,'Operations Support'!$B3073),0)</f>
        <v>224.50400000000002</v>
      </c>
      <c r="X3073" s="200">
        <f ca="1">W3073*'Expenditure Study'!$B$31</f>
        <v>13264.410422323201</v>
      </c>
      <c r="Y3073" s="199">
        <f ca="1">U3073*'Expenditure Study'!$B$31</f>
        <v>212482.02477465602</v>
      </c>
      <c r="Z3073" s="200">
        <f ca="1">W3073*'Expenditure Study'!$B$31</f>
        <v>13264.410422323201</v>
      </c>
      <c r="AA3073" s="195">
        <f t="shared" ca="1" si="666"/>
        <v>225746.43519697923</v>
      </c>
      <c r="AB3073" s="195">
        <f t="shared" ca="1" si="667"/>
        <v>225746.43519697923</v>
      </c>
      <c r="AD3073" s="196">
        <f>IFERROR($G3073/SUMIF($A:$A,$A3073,$G:$G)*SUMIF(Summary!$A$166:$A$242,$A3073,Summary!$P$166:$P$242),0)</f>
        <v>40368.24813256452</v>
      </c>
      <c r="AE3073" s="197">
        <f t="shared" ca="1" si="668"/>
        <v>185378.18706441473</v>
      </c>
      <c r="AF3073" s="196">
        <f>IFERROR(G3073/SUMIF(A:A,A3073,G:G)*SUMIF(Summary!$A$166:$A$242,'Operations Support'!A3073,Summary!$Q$166:$Q$242),0)</f>
        <v>40439.762569588136</v>
      </c>
      <c r="AG3073" s="196">
        <f t="shared" ca="1" si="669"/>
        <v>185306.67262739109</v>
      </c>
      <c r="AI3073" s="196">
        <f>IFERROR($G3073/SUMIF($A:$A,$A3073,$G:$G)*SUMIF(Summary!$A$247:$A$283,$A3073,Summary!$P$247:$P$283),0)</f>
        <v>7362.161080976839</v>
      </c>
      <c r="AJ3073" s="196">
        <f>IFERROR($G3073/SUMIF($A:$A,$A3073,$G:$G)*(SUMIF(Summary!$A$247:$A$283,$A3073,Summary!$L$247:$L$283)+SUMIF(Summary!$A$297:$A$333,$A3073,Summary!$L$297:$L$333))-AI3073,0)</f>
        <v>21848.76036486739</v>
      </c>
      <c r="AK3073" s="196">
        <f>IFERROR($G3073/SUMIF($A:$A,$A3073,$G:$G)*SUMIF(Summary!$A$247:$A$283,$A3073,Summary!$Q$247:$Q$283),0)</f>
        <v>7375.2035296670638</v>
      </c>
      <c r="AL3073" s="196">
        <f>IFERROR($G3073/SUMIF($A:$A,$A3073,$G:$G)*(SUMIF(Summary!$A$247:$A$283,$A3073,Summary!$L$247:$L$283)+SUMIF(Summary!$A$297:$A$333,$A3073,Summary!$L$297:$L$333))-AK3073,0)</f>
        <v>21835.717916177164</v>
      </c>
      <c r="AM3073" s="198"/>
      <c r="AN3073" s="196">
        <f t="shared" ca="1" si="670"/>
        <v>207226.94742928213</v>
      </c>
      <c r="AO3073" s="196">
        <f t="shared" ca="1" si="671"/>
        <v>207142.39054356824</v>
      </c>
    </row>
    <row r="3074" spans="1:41">
      <c r="A3074" s="189">
        <v>11163</v>
      </c>
      <c r="B3074" s="190">
        <v>2</v>
      </c>
      <c r="C3074" s="191" t="s">
        <v>223</v>
      </c>
      <c r="D3074" s="192">
        <f t="shared" si="658"/>
        <v>1563.51</v>
      </c>
      <c r="E3074" s="192">
        <f t="shared" si="659"/>
        <v>2680.49</v>
      </c>
      <c r="F3074" s="192">
        <f t="shared" si="660"/>
        <v>0</v>
      </c>
      <c r="G3074" s="193">
        <f t="shared" si="661"/>
        <v>4244</v>
      </c>
      <c r="H3074" s="194">
        <v>600</v>
      </c>
      <c r="I3074" s="194">
        <v>1239</v>
      </c>
      <c r="J3074" s="194">
        <v>0</v>
      </c>
      <c r="K3074" s="193">
        <f t="shared" si="662"/>
        <v>1839</v>
      </c>
      <c r="L3074" s="194">
        <v>654.51</v>
      </c>
      <c r="M3074" s="194">
        <v>1318.49</v>
      </c>
      <c r="N3074" s="194">
        <v>0</v>
      </c>
      <c r="O3074" s="193">
        <f t="shared" si="663"/>
        <v>1973</v>
      </c>
      <c r="P3074" s="194">
        <v>309</v>
      </c>
      <c r="Q3074" s="194">
        <v>123</v>
      </c>
      <c r="R3074" s="194">
        <v>0</v>
      </c>
      <c r="S3074" s="193">
        <f t="shared" si="664"/>
        <v>432</v>
      </c>
      <c r="T3074" s="193">
        <f t="shared" si="665"/>
        <v>141.46666666666667</v>
      </c>
      <c r="U3074" s="193">
        <f ca="1">OFFSET('Expenditure Study'!$B$7,'Operations Support'!$C3074,'Operations Support'!$B3074)*$G3074</f>
        <v>8063.5999999999995</v>
      </c>
      <c r="V3074" s="199">
        <f ca="1">U3074*'Expenditure Study'!$B$31</f>
        <v>476423.13669888</v>
      </c>
      <c r="W3074" s="199">
        <f ca="1">IF(A3074=10298,1.51,1)*IF($B3074&lt;3,$D3074*'Expenditure Study'!$B$32*OFFSET('Expenditure Study'!$B$7,'Operations Support'!$C3074,'Operations Support'!$B3074),0)</f>
        <v>297.06689999999998</v>
      </c>
      <c r="X3074" s="200">
        <f ca="1">W3074*'Expenditure Study'!$B$31</f>
        <v>17551.657362395519</v>
      </c>
      <c r="Y3074" s="199">
        <f ca="1">U3074*'Expenditure Study'!$B$31</f>
        <v>476423.13669888</v>
      </c>
      <c r="Z3074" s="200">
        <f ca="1">W3074*'Expenditure Study'!$B$31</f>
        <v>17551.657362395519</v>
      </c>
      <c r="AA3074" s="195">
        <f t="shared" ca="1" si="666"/>
        <v>493974.79406127555</v>
      </c>
      <c r="AB3074" s="195">
        <f t="shared" ca="1" si="667"/>
        <v>493974.79406127555</v>
      </c>
      <c r="AD3074" s="196">
        <f>IFERROR($G3074/SUMIF($A:$A,$A3074,$G:$G)*SUMIF(Summary!$A$166:$A$242,$A3074,Summary!$P$166:$P$242),0)</f>
        <v>126718.0806764821</v>
      </c>
      <c r="AE3074" s="197">
        <f t="shared" ca="1" si="668"/>
        <v>367256.71338479343</v>
      </c>
      <c r="AF3074" s="196">
        <f>IFERROR(G3074/SUMIF(A:A,A3074,G:G)*SUMIF(Summary!$A$166:$A$242,'Operations Support'!A3074,Summary!$Q$166:$Q$242),0)</f>
        <v>126942.56830276038</v>
      </c>
      <c r="AG3074" s="196">
        <f t="shared" ca="1" si="669"/>
        <v>367032.22575851518</v>
      </c>
      <c r="AI3074" s="196">
        <f>IFERROR($G3074/SUMIF($A:$A,$A3074,$G:$G)*SUMIF(Summary!$A$247:$A$283,$A3074,Summary!$P$247:$P$283),0)</f>
        <v>23110.215700936169</v>
      </c>
      <c r="AJ3074" s="196">
        <f>IFERROR($G3074/SUMIF($A:$A,$A3074,$G:$G)*(SUMIF(Summary!$A$247:$A$283,$A3074,Summary!$L$247:$L$283)+SUMIF(Summary!$A$297:$A$333,$A3074,Summary!$L$297:$L$333))-AI3074,0)</f>
        <v>68584.422328770132</v>
      </c>
      <c r="AK3074" s="196">
        <f>IFERROR($G3074/SUMIF($A:$A,$A3074,$G:$G)*SUMIF(Summary!$A$247:$A$283,$A3074,Summary!$Q$247:$Q$283),0)</f>
        <v>23151.15664194306</v>
      </c>
      <c r="AL3074" s="196">
        <f>IFERROR($G3074/SUMIF($A:$A,$A3074,$G:$G)*(SUMIF(Summary!$A$247:$A$283,$A3074,Summary!$L$247:$L$283)+SUMIF(Summary!$A$297:$A$333,$A3074,Summary!$L$297:$L$333))-AK3074,0)</f>
        <v>68543.48138776324</v>
      </c>
      <c r="AM3074" s="198"/>
      <c r="AN3074" s="196">
        <f t="shared" ca="1" si="670"/>
        <v>435841.13571356353</v>
      </c>
      <c r="AO3074" s="196">
        <f t="shared" ca="1" si="671"/>
        <v>435575.70714627841</v>
      </c>
    </row>
    <row r="3075" spans="1:41">
      <c r="A3075" s="189">
        <v>11163</v>
      </c>
      <c r="B3075" s="190">
        <v>2</v>
      </c>
      <c r="C3075" s="191" t="s">
        <v>224</v>
      </c>
      <c r="D3075" s="192">
        <f t="shared" si="658"/>
        <v>0</v>
      </c>
      <c r="E3075" s="192">
        <f t="shared" si="659"/>
        <v>0</v>
      </c>
      <c r="F3075" s="192">
        <f t="shared" si="660"/>
        <v>0</v>
      </c>
      <c r="G3075" s="193">
        <f t="shared" si="661"/>
        <v>0</v>
      </c>
      <c r="H3075" s="194">
        <v>0</v>
      </c>
      <c r="I3075" s="194">
        <v>0</v>
      </c>
      <c r="J3075" s="194">
        <v>0</v>
      </c>
      <c r="K3075" s="193">
        <f t="shared" si="662"/>
        <v>0</v>
      </c>
      <c r="L3075" s="194">
        <v>0</v>
      </c>
      <c r="M3075" s="194">
        <v>0</v>
      </c>
      <c r="N3075" s="194">
        <v>0</v>
      </c>
      <c r="O3075" s="193">
        <f t="shared" si="663"/>
        <v>0</v>
      </c>
      <c r="P3075" s="194">
        <v>0</v>
      </c>
      <c r="Q3075" s="194">
        <v>0</v>
      </c>
      <c r="R3075" s="194">
        <v>0</v>
      </c>
      <c r="S3075" s="193">
        <f t="shared" si="664"/>
        <v>0</v>
      </c>
      <c r="T3075" s="193">
        <f t="shared" si="665"/>
        <v>0</v>
      </c>
      <c r="U3075" s="193">
        <f ca="1">OFFSET('Expenditure Study'!$B$7,'Operations Support'!$C3075,'Operations Support'!$B3075)*$G3075</f>
        <v>0</v>
      </c>
      <c r="V3075" s="199">
        <f ca="1">U3075*'Expenditure Study'!$B$31</f>
        <v>0</v>
      </c>
      <c r="W3075" s="199">
        <f ca="1">IF(A3075=10298,1.51,1)*IF($B3075&lt;3,$D3075*'Expenditure Study'!$B$32*OFFSET('Expenditure Study'!$B$7,'Operations Support'!$C3075,'Operations Support'!$B3075),0)</f>
        <v>0</v>
      </c>
      <c r="X3075" s="200">
        <f ca="1">W3075*'Expenditure Study'!$B$31</f>
        <v>0</v>
      </c>
      <c r="Y3075" s="199">
        <f ca="1">U3075*'Expenditure Study'!$B$31</f>
        <v>0</v>
      </c>
      <c r="Z3075" s="200">
        <f ca="1">W3075*'Expenditure Study'!$B$31</f>
        <v>0</v>
      </c>
      <c r="AA3075" s="195">
        <f t="shared" ca="1" si="666"/>
        <v>0</v>
      </c>
      <c r="AB3075" s="195">
        <f t="shared" ca="1" si="667"/>
        <v>0</v>
      </c>
      <c r="AD3075" s="196">
        <f>IFERROR($G3075/SUMIF($A:$A,$A3075,$G:$G)*SUMIF(Summary!$A$166:$A$242,$A3075,Summary!$P$166:$P$242),0)</f>
        <v>0</v>
      </c>
      <c r="AE3075" s="197">
        <f t="shared" ca="1" si="668"/>
        <v>0</v>
      </c>
      <c r="AF3075" s="196">
        <f>IFERROR(G3075/SUMIF(A:A,A3075,G:G)*SUMIF(Summary!$A$166:$A$242,'Operations Support'!A3075,Summary!$Q$166:$Q$242),0)</f>
        <v>0</v>
      </c>
      <c r="AG3075" s="196">
        <f t="shared" ca="1" si="669"/>
        <v>0</v>
      </c>
      <c r="AI3075" s="196">
        <f>IFERROR($G3075/SUMIF($A:$A,$A3075,$G:$G)*SUMIF(Summary!$A$247:$A$283,$A3075,Summary!$P$247:$P$283),0)</f>
        <v>0</v>
      </c>
      <c r="AJ3075" s="196">
        <f>IFERROR($G3075/SUMIF($A:$A,$A3075,$G:$G)*(SUMIF(Summary!$A$247:$A$283,$A3075,Summary!$L$247:$L$283)+SUMIF(Summary!$A$297:$A$333,$A3075,Summary!$L$297:$L$333))-AI3075,0)</f>
        <v>0</v>
      </c>
      <c r="AK3075" s="196">
        <f>IFERROR($G3075/SUMIF($A:$A,$A3075,$G:$G)*SUMIF(Summary!$A$247:$A$283,$A3075,Summary!$Q$247:$Q$283),0)</f>
        <v>0</v>
      </c>
      <c r="AL3075" s="196">
        <f>IFERROR($G3075/SUMIF($A:$A,$A3075,$G:$G)*(SUMIF(Summary!$A$247:$A$283,$A3075,Summary!$L$247:$L$283)+SUMIF(Summary!$A$297:$A$333,$A3075,Summary!$L$297:$L$333))-AK3075,0)</f>
        <v>0</v>
      </c>
      <c r="AM3075" s="198"/>
      <c r="AN3075" s="196">
        <f t="shared" ca="1" si="670"/>
        <v>0</v>
      </c>
      <c r="AO3075" s="196">
        <f t="shared" ca="1" si="671"/>
        <v>0</v>
      </c>
    </row>
    <row r="3076" spans="1:41">
      <c r="A3076" s="189">
        <v>11163</v>
      </c>
      <c r="B3076" s="190">
        <v>2</v>
      </c>
      <c r="C3076" s="191" t="s">
        <v>225</v>
      </c>
      <c r="D3076" s="192">
        <f t="shared" si="658"/>
        <v>5737</v>
      </c>
      <c r="E3076" s="192">
        <f t="shared" si="659"/>
        <v>4162</v>
      </c>
      <c r="F3076" s="192">
        <f t="shared" si="660"/>
        <v>0</v>
      </c>
      <c r="G3076" s="193">
        <f t="shared" si="661"/>
        <v>9899</v>
      </c>
      <c r="H3076" s="194">
        <v>2431</v>
      </c>
      <c r="I3076" s="194">
        <v>2136</v>
      </c>
      <c r="J3076" s="194">
        <v>0</v>
      </c>
      <c r="K3076" s="193">
        <f t="shared" si="662"/>
        <v>4567</v>
      </c>
      <c r="L3076" s="194">
        <v>2961</v>
      </c>
      <c r="M3076" s="194">
        <v>1678</v>
      </c>
      <c r="N3076" s="194">
        <v>0</v>
      </c>
      <c r="O3076" s="193">
        <f t="shared" si="663"/>
        <v>4639</v>
      </c>
      <c r="P3076" s="194">
        <v>345</v>
      </c>
      <c r="Q3076" s="194">
        <v>348</v>
      </c>
      <c r="R3076" s="194">
        <v>0</v>
      </c>
      <c r="S3076" s="193">
        <f t="shared" si="664"/>
        <v>693</v>
      </c>
      <c r="T3076" s="193">
        <f t="shared" si="665"/>
        <v>329.96666666666664</v>
      </c>
      <c r="U3076" s="193">
        <f ca="1">OFFSET('Expenditure Study'!$B$7,'Operations Support'!$C3076,'Operations Support'!$B3076)*$G3076</f>
        <v>27717.199999999997</v>
      </c>
      <c r="V3076" s="199">
        <f ca="1">U3076*'Expenditure Study'!$B$31</f>
        <v>1637620.3388697598</v>
      </c>
      <c r="W3076" s="199">
        <f ca="1">IF(A3076=10298,1.51,1)*IF($B3076&lt;3,$D3076*'Expenditure Study'!$B$32*OFFSET('Expenditure Study'!$B$7,'Operations Support'!$C3076,'Operations Support'!$B3076),0)</f>
        <v>1606.3600000000001</v>
      </c>
      <c r="X3076" s="200">
        <f ca="1">W3076*'Expenditure Study'!$B$31</f>
        <v>94908.858309888004</v>
      </c>
      <c r="Y3076" s="199">
        <f ca="1">U3076*'Expenditure Study'!$B$31</f>
        <v>1637620.3388697598</v>
      </c>
      <c r="Z3076" s="200">
        <f ca="1">W3076*'Expenditure Study'!$B$31</f>
        <v>94908.858309888004</v>
      </c>
      <c r="AA3076" s="195">
        <f t="shared" ca="1" si="666"/>
        <v>1732529.1971796479</v>
      </c>
      <c r="AB3076" s="195">
        <f t="shared" ca="1" si="667"/>
        <v>1732529.1971796479</v>
      </c>
      <c r="AD3076" s="196">
        <f>IFERROR($G3076/SUMIF($A:$A,$A3076,$G:$G)*SUMIF(Summary!$A$166:$A$242,$A3076,Summary!$P$166:$P$242),0)</f>
        <v>295566.0416155741</v>
      </c>
      <c r="AE3076" s="197">
        <f t="shared" ca="1" si="668"/>
        <v>1436963.1555640737</v>
      </c>
      <c r="AF3076" s="196">
        <f>IFERROR(G3076/SUMIF(A:A,A3076,G:G)*SUMIF(Summary!$A$166:$A$242,'Operations Support'!A3076,Summary!$Q$166:$Q$242),0)</f>
        <v>296089.65212747996</v>
      </c>
      <c r="AG3076" s="196">
        <f t="shared" ca="1" si="669"/>
        <v>1436439.545052168</v>
      </c>
      <c r="AI3076" s="196">
        <f>IFERROR($G3076/SUMIF($A:$A,$A3076,$G:$G)*SUMIF(Summary!$A$247:$A$283,$A3076,Summary!$P$247:$P$283),0)</f>
        <v>53903.870222329679</v>
      </c>
      <c r="AJ3076" s="196">
        <f>IFERROR($G3076/SUMIF($A:$A,$A3076,$G:$G)*(SUMIF(Summary!$A$247:$A$283,$A3076,Summary!$L$247:$L$283)+SUMIF(Summary!$A$297:$A$333,$A3076,Summary!$L$297:$L$333))-AI3076,0)</f>
        <v>159971.06423951354</v>
      </c>
      <c r="AK3076" s="196">
        <f>IFERROR($G3076/SUMIF($A:$A,$A3076,$G:$G)*SUMIF(Summary!$A$247:$A$283,$A3076,Summary!$Q$247:$Q$283),0)</f>
        <v>53999.363713146646</v>
      </c>
      <c r="AL3076" s="196">
        <f>IFERROR($G3076/SUMIF($A:$A,$A3076,$G:$G)*(SUMIF(Summary!$A$247:$A$283,$A3076,Summary!$L$247:$L$283)+SUMIF(Summary!$A$297:$A$333,$A3076,Summary!$L$297:$L$333))-AK3076,0)</f>
        <v>159875.57074869657</v>
      </c>
      <c r="AM3076" s="198"/>
      <c r="AN3076" s="196">
        <f t="shared" ca="1" si="670"/>
        <v>1596934.2198035873</v>
      </c>
      <c r="AO3076" s="196">
        <f t="shared" ca="1" si="671"/>
        <v>1596315.1158008645</v>
      </c>
    </row>
    <row r="3077" spans="1:41">
      <c r="A3077" s="189">
        <v>11163</v>
      </c>
      <c r="B3077" s="190">
        <v>2</v>
      </c>
      <c r="C3077" s="191" t="s">
        <v>226</v>
      </c>
      <c r="D3077" s="192">
        <f t="shared" ref="D3077:D3140" si="672">H3077+L3077+P3077</f>
        <v>0</v>
      </c>
      <c r="E3077" s="192">
        <f t="shared" ref="E3077:E3140" si="673">I3077+M3077+Q3077</f>
        <v>312</v>
      </c>
      <c r="F3077" s="192">
        <f t="shared" ref="F3077:F3140" si="674">J3077+N3077+R3077</f>
        <v>0</v>
      </c>
      <c r="G3077" s="193">
        <f t="shared" ref="G3077:G3140" si="675">(SUM(D3077:E3077)-F3077)*IF(A3077=10298,1.51,1)</f>
        <v>312</v>
      </c>
      <c r="H3077" s="194">
        <v>0</v>
      </c>
      <c r="I3077" s="194">
        <v>159</v>
      </c>
      <c r="J3077" s="194">
        <v>0</v>
      </c>
      <c r="K3077" s="193">
        <f t="shared" ref="K3077:K3140" si="676">SUM(H3077:I3077)-J3077</f>
        <v>159</v>
      </c>
      <c r="L3077" s="194">
        <v>0</v>
      </c>
      <c r="M3077" s="194">
        <v>153</v>
      </c>
      <c r="N3077" s="194">
        <v>0</v>
      </c>
      <c r="O3077" s="193">
        <f t="shared" ref="O3077:O3140" si="677">SUM(L3077:M3077)-N3077</f>
        <v>153</v>
      </c>
      <c r="P3077" s="194">
        <v>0</v>
      </c>
      <c r="Q3077" s="194">
        <v>0</v>
      </c>
      <c r="R3077" s="194">
        <v>0</v>
      </c>
      <c r="S3077" s="193">
        <f t="shared" ref="S3077:S3140" si="678">SUM(P3077:Q3077)-R3077</f>
        <v>0</v>
      </c>
      <c r="T3077" s="193">
        <f t="shared" ref="T3077:T3140" si="679">IF(OR(B3077=1,B3077=2),G3077/30,IF(OR(B3077=3,B3077=5),G3077/24,IF(B3077=4,G3077/18,0)))</f>
        <v>10.4</v>
      </c>
      <c r="U3077" s="193">
        <f ca="1">OFFSET('Expenditure Study'!$B$7,'Operations Support'!$C3077,'Operations Support'!$B3077)*$G3077</f>
        <v>561.6</v>
      </c>
      <c r="V3077" s="199">
        <f ca="1">U3077*'Expenditure Study'!$B$31</f>
        <v>33181.11433728</v>
      </c>
      <c r="W3077" s="199">
        <f ca="1">IF(A3077=10298,1.51,1)*IF($B3077&lt;3,$D3077*'Expenditure Study'!$B$32*OFFSET('Expenditure Study'!$B$7,'Operations Support'!$C3077,'Operations Support'!$B3077),0)</f>
        <v>0</v>
      </c>
      <c r="X3077" s="200">
        <f ca="1">W3077*'Expenditure Study'!$B$31</f>
        <v>0</v>
      </c>
      <c r="Y3077" s="199">
        <f ca="1">U3077*'Expenditure Study'!$B$31</f>
        <v>33181.11433728</v>
      </c>
      <c r="Z3077" s="200">
        <f ca="1">W3077*'Expenditure Study'!$B$31</f>
        <v>0</v>
      </c>
      <c r="AA3077" s="195">
        <f t="shared" ref="AA3077:AA3140" ca="1" si="680">V3077+X3077</f>
        <v>33181.11433728</v>
      </c>
      <c r="AB3077" s="195">
        <f t="shared" ref="AB3077:AB3140" ca="1" si="681">Y3077+Z3077</f>
        <v>33181.11433728</v>
      </c>
      <c r="AD3077" s="196">
        <f>IFERROR($G3077/SUMIF($A:$A,$A3077,$G:$G)*SUMIF(Summary!$A$166:$A$242,$A3077,Summary!$P$166:$P$242),0)</f>
        <v>9315.7495690533506</v>
      </c>
      <c r="AE3077" s="197">
        <f t="shared" ca="1" si="668"/>
        <v>23865.364768226649</v>
      </c>
      <c r="AF3077" s="196">
        <f>IFERROR(G3077/SUMIF(A:A,A3077,G:G)*SUMIF(Summary!$A$166:$A$242,'Operations Support'!A3077,Summary!$Q$166:$Q$242),0)</f>
        <v>9332.2529006741843</v>
      </c>
      <c r="AG3077" s="196">
        <f t="shared" ca="1" si="669"/>
        <v>23848.861436605817</v>
      </c>
      <c r="AI3077" s="196">
        <f>IFERROR($G3077/SUMIF($A:$A,$A3077,$G:$G)*SUMIF(Summary!$A$247:$A$283,$A3077,Summary!$P$247:$P$283),0)</f>
        <v>1698.9602494561937</v>
      </c>
      <c r="AJ3077" s="196">
        <f>IFERROR($G3077/SUMIF($A:$A,$A3077,$G:$G)*(SUMIF(Summary!$A$247:$A$283,$A3077,Summary!$L$247:$L$283)+SUMIF(Summary!$A$297:$A$333,$A3077,Summary!$L$297:$L$333))-AI3077,0)</f>
        <v>5042.0216226617067</v>
      </c>
      <c r="AK3077" s="196">
        <f>IFERROR($G3077/SUMIF($A:$A,$A3077,$G:$G)*SUMIF(Summary!$A$247:$A$283,$A3077,Summary!$Q$247:$Q$283),0)</f>
        <v>1701.9700453077839</v>
      </c>
      <c r="AL3077" s="196">
        <f>IFERROR($G3077/SUMIF($A:$A,$A3077,$G:$G)*(SUMIF(Summary!$A$247:$A$283,$A3077,Summary!$L$247:$L$283)+SUMIF(Summary!$A$297:$A$333,$A3077,Summary!$L$297:$L$333))-AK3077,0)</f>
        <v>5039.011826810116</v>
      </c>
      <c r="AM3077" s="198"/>
      <c r="AN3077" s="196">
        <f t="shared" ca="1" si="670"/>
        <v>28907.386390888358</v>
      </c>
      <c r="AO3077" s="196">
        <f t="shared" ca="1" si="671"/>
        <v>28887.873263415931</v>
      </c>
    </row>
    <row r="3078" spans="1:41">
      <c r="A3078" s="189">
        <v>11163</v>
      </c>
      <c r="B3078" s="190">
        <v>2</v>
      </c>
      <c r="C3078" s="191" t="s">
        <v>227</v>
      </c>
      <c r="D3078" s="192">
        <f t="shared" si="672"/>
        <v>0</v>
      </c>
      <c r="E3078" s="192">
        <f t="shared" si="673"/>
        <v>0</v>
      </c>
      <c r="F3078" s="192">
        <f t="shared" si="674"/>
        <v>0</v>
      </c>
      <c r="G3078" s="193">
        <f t="shared" si="675"/>
        <v>0</v>
      </c>
      <c r="H3078" s="194">
        <v>0</v>
      </c>
      <c r="I3078" s="194">
        <v>0</v>
      </c>
      <c r="J3078" s="194">
        <v>0</v>
      </c>
      <c r="K3078" s="193">
        <f t="shared" si="676"/>
        <v>0</v>
      </c>
      <c r="L3078" s="194">
        <v>0</v>
      </c>
      <c r="M3078" s="194">
        <v>0</v>
      </c>
      <c r="N3078" s="194">
        <v>0</v>
      </c>
      <c r="O3078" s="193">
        <f t="shared" si="677"/>
        <v>0</v>
      </c>
      <c r="P3078" s="194">
        <v>0</v>
      </c>
      <c r="Q3078" s="194">
        <v>0</v>
      </c>
      <c r="R3078" s="194">
        <v>0</v>
      </c>
      <c r="S3078" s="193">
        <f t="shared" si="678"/>
        <v>0</v>
      </c>
      <c r="T3078" s="193">
        <f t="shared" si="679"/>
        <v>0</v>
      </c>
      <c r="U3078" s="193">
        <f ca="1">OFFSET('Expenditure Study'!$B$7,'Operations Support'!$C3078,'Operations Support'!$B3078)*$G3078</f>
        <v>0</v>
      </c>
      <c r="V3078" s="199">
        <f ca="1">U3078*'Expenditure Study'!$B$31</f>
        <v>0</v>
      </c>
      <c r="W3078" s="199">
        <f ca="1">IF(A3078=10298,1.51,1)*IF($B3078&lt;3,$D3078*'Expenditure Study'!$B$32*OFFSET('Expenditure Study'!$B$7,'Operations Support'!$C3078,'Operations Support'!$B3078),0)</f>
        <v>0</v>
      </c>
      <c r="X3078" s="200">
        <f ca="1">W3078*'Expenditure Study'!$B$31</f>
        <v>0</v>
      </c>
      <c r="Y3078" s="199">
        <f ca="1">U3078*'Expenditure Study'!$B$31</f>
        <v>0</v>
      </c>
      <c r="Z3078" s="200">
        <f ca="1">W3078*'Expenditure Study'!$B$31</f>
        <v>0</v>
      </c>
      <c r="AA3078" s="195">
        <f t="shared" ca="1" si="680"/>
        <v>0</v>
      </c>
      <c r="AB3078" s="195">
        <f t="shared" ca="1" si="681"/>
        <v>0</v>
      </c>
      <c r="AD3078" s="196">
        <f>IFERROR($G3078/SUMIF($A:$A,$A3078,$G:$G)*SUMIF(Summary!$A$166:$A$242,$A3078,Summary!$P$166:$P$242),0)</f>
        <v>0</v>
      </c>
      <c r="AE3078" s="197">
        <f t="shared" ref="AE3078:AE3141" ca="1" si="682">V3078+X3078-AD3078</f>
        <v>0</v>
      </c>
      <c r="AF3078" s="196">
        <f>IFERROR(G3078/SUMIF(A:A,A3078,G:G)*SUMIF(Summary!$A$166:$A$242,'Operations Support'!A3078,Summary!$Q$166:$Q$242),0)</f>
        <v>0</v>
      </c>
      <c r="AG3078" s="196">
        <f t="shared" ref="AG3078:AG3141" ca="1" si="683">Y3078+Z3078-AF3078</f>
        <v>0</v>
      </c>
      <c r="AI3078" s="196">
        <f>IFERROR($G3078/SUMIF($A:$A,$A3078,$G:$G)*SUMIF(Summary!$A$247:$A$283,$A3078,Summary!$P$247:$P$283),0)</f>
        <v>0</v>
      </c>
      <c r="AJ3078" s="196">
        <f>IFERROR($G3078/SUMIF($A:$A,$A3078,$G:$G)*(SUMIF(Summary!$A$247:$A$283,$A3078,Summary!$L$247:$L$283)+SUMIF(Summary!$A$297:$A$333,$A3078,Summary!$L$297:$L$333))-AI3078,0)</f>
        <v>0</v>
      </c>
      <c r="AK3078" s="196">
        <f>IFERROR($G3078/SUMIF($A:$A,$A3078,$G:$G)*SUMIF(Summary!$A$247:$A$283,$A3078,Summary!$Q$247:$Q$283),0)</f>
        <v>0</v>
      </c>
      <c r="AL3078" s="196">
        <f>IFERROR($G3078/SUMIF($A:$A,$A3078,$G:$G)*(SUMIF(Summary!$A$247:$A$283,$A3078,Summary!$L$247:$L$283)+SUMIF(Summary!$A$297:$A$333,$A3078,Summary!$L$297:$L$333))-AK3078,0)</f>
        <v>0</v>
      </c>
      <c r="AM3078" s="198"/>
      <c r="AN3078" s="196">
        <f t="shared" ref="AN3078:AN3141" ca="1" si="684">AE3078+AJ3078</f>
        <v>0</v>
      </c>
      <c r="AO3078" s="196">
        <f t="shared" ref="AO3078:AO3141" ca="1" si="685">AG3078+AL3078</f>
        <v>0</v>
      </c>
    </row>
    <row r="3079" spans="1:41">
      <c r="A3079" s="189">
        <v>11163</v>
      </c>
      <c r="B3079" s="190">
        <v>2</v>
      </c>
      <c r="C3079" s="191" t="s">
        <v>228</v>
      </c>
      <c r="D3079" s="192">
        <f t="shared" si="672"/>
        <v>0</v>
      </c>
      <c r="E3079" s="192">
        <f t="shared" si="673"/>
        <v>398</v>
      </c>
      <c r="F3079" s="192">
        <f t="shared" si="674"/>
        <v>0</v>
      </c>
      <c r="G3079" s="193">
        <f t="shared" si="675"/>
        <v>398</v>
      </c>
      <c r="H3079" s="194">
        <v>0</v>
      </c>
      <c r="I3079" s="194">
        <v>221</v>
      </c>
      <c r="J3079" s="194">
        <v>0</v>
      </c>
      <c r="K3079" s="193">
        <f t="shared" si="676"/>
        <v>221</v>
      </c>
      <c r="L3079" s="194">
        <v>0</v>
      </c>
      <c r="M3079" s="194">
        <v>177</v>
      </c>
      <c r="N3079" s="194">
        <v>0</v>
      </c>
      <c r="O3079" s="193">
        <f t="shared" si="677"/>
        <v>177</v>
      </c>
      <c r="P3079" s="194">
        <v>0</v>
      </c>
      <c r="Q3079" s="194">
        <v>0</v>
      </c>
      <c r="R3079" s="194">
        <v>0</v>
      </c>
      <c r="S3079" s="193">
        <f t="shared" si="678"/>
        <v>0</v>
      </c>
      <c r="T3079" s="193">
        <f t="shared" si="679"/>
        <v>13.266666666666667</v>
      </c>
      <c r="U3079" s="193">
        <f ca="1">OFFSET('Expenditure Study'!$B$7,'Operations Support'!$C3079,'Operations Support'!$B3079)*$G3079</f>
        <v>760.18</v>
      </c>
      <c r="V3079" s="199">
        <f ca="1">U3079*'Expenditure Study'!$B$31</f>
        <v>44913.852380543998</v>
      </c>
      <c r="W3079" s="199">
        <f ca="1">IF(A3079=10298,1.51,1)*IF($B3079&lt;3,$D3079*'Expenditure Study'!$B$32*OFFSET('Expenditure Study'!$B$7,'Operations Support'!$C3079,'Operations Support'!$B3079),0)</f>
        <v>0</v>
      </c>
      <c r="X3079" s="200">
        <f ca="1">W3079*'Expenditure Study'!$B$31</f>
        <v>0</v>
      </c>
      <c r="Y3079" s="199">
        <f ca="1">U3079*'Expenditure Study'!$B$31</f>
        <v>44913.852380543998</v>
      </c>
      <c r="Z3079" s="200">
        <f ca="1">W3079*'Expenditure Study'!$B$31</f>
        <v>0</v>
      </c>
      <c r="AA3079" s="195">
        <f t="shared" ca="1" si="680"/>
        <v>44913.852380543998</v>
      </c>
      <c r="AB3079" s="195">
        <f t="shared" ca="1" si="681"/>
        <v>44913.852380543998</v>
      </c>
      <c r="AD3079" s="196">
        <f>IFERROR($G3079/SUMIF($A:$A,$A3079,$G:$G)*SUMIF(Summary!$A$166:$A$242,$A3079,Summary!$P$166:$P$242),0)</f>
        <v>11883.552334882159</v>
      </c>
      <c r="AE3079" s="197">
        <f t="shared" ca="1" si="682"/>
        <v>33030.300045661839</v>
      </c>
      <c r="AF3079" s="196">
        <f>IFERROR(G3079/SUMIF(A:A,A3079,G:G)*SUMIF(Summary!$A$166:$A$242,'Operations Support'!A3079,Summary!$Q$166:$Q$242),0)</f>
        <v>11904.604661757454</v>
      </c>
      <c r="AG3079" s="196">
        <f t="shared" ca="1" si="683"/>
        <v>33009.247718786544</v>
      </c>
      <c r="AI3079" s="196">
        <f>IFERROR($G3079/SUMIF($A:$A,$A3079,$G:$G)*SUMIF(Summary!$A$247:$A$283,$A3079,Summary!$P$247:$P$283),0)</f>
        <v>2167.2633951396315</v>
      </c>
      <c r="AJ3079" s="196">
        <f>IFERROR($G3079/SUMIF($A:$A,$A3079,$G:$G)*(SUMIF(Summary!$A$247:$A$283,$A3079,Summary!$L$247:$L$283)+SUMIF(Summary!$A$297:$A$333,$A3079,Summary!$L$297:$L$333))-AI3079,0)</f>
        <v>6431.8096340364082</v>
      </c>
      <c r="AK3079" s="196">
        <f>IFERROR($G3079/SUMIF($A:$A,$A3079,$G:$G)*SUMIF(Summary!$A$247:$A$283,$A3079,Summary!$Q$247:$Q$283),0)</f>
        <v>2171.1028142067244</v>
      </c>
      <c r="AL3079" s="196">
        <f>IFERROR($G3079/SUMIF($A:$A,$A3079,$G:$G)*(SUMIF(Summary!$A$247:$A$283,$A3079,Summary!$L$247:$L$283)+SUMIF(Summary!$A$297:$A$333,$A3079,Summary!$L$297:$L$333))-AK3079,0)</f>
        <v>6427.9702149693148</v>
      </c>
      <c r="AM3079" s="198"/>
      <c r="AN3079" s="196">
        <f t="shared" ca="1" si="684"/>
        <v>39462.109679698246</v>
      </c>
      <c r="AO3079" s="196">
        <f t="shared" ca="1" si="685"/>
        <v>39437.217933755863</v>
      </c>
    </row>
    <row r="3080" spans="1:41">
      <c r="A3080" s="189">
        <v>11163</v>
      </c>
      <c r="B3080" s="190">
        <v>2</v>
      </c>
      <c r="C3080" s="191" t="s">
        <v>229</v>
      </c>
      <c r="D3080" s="192">
        <f t="shared" si="672"/>
        <v>0</v>
      </c>
      <c r="E3080" s="192">
        <f t="shared" si="673"/>
        <v>0</v>
      </c>
      <c r="F3080" s="192">
        <f t="shared" si="674"/>
        <v>0</v>
      </c>
      <c r="G3080" s="193">
        <f t="shared" si="675"/>
        <v>0</v>
      </c>
      <c r="H3080" s="194">
        <v>0</v>
      </c>
      <c r="I3080" s="194">
        <v>0</v>
      </c>
      <c r="J3080" s="194">
        <v>0</v>
      </c>
      <c r="K3080" s="193">
        <f t="shared" si="676"/>
        <v>0</v>
      </c>
      <c r="L3080" s="194">
        <v>0</v>
      </c>
      <c r="M3080" s="194">
        <v>0</v>
      </c>
      <c r="N3080" s="194">
        <v>0</v>
      </c>
      <c r="O3080" s="193">
        <f t="shared" si="677"/>
        <v>0</v>
      </c>
      <c r="P3080" s="194">
        <v>0</v>
      </c>
      <c r="Q3080" s="194">
        <v>0</v>
      </c>
      <c r="R3080" s="194">
        <v>0</v>
      </c>
      <c r="S3080" s="193">
        <f t="shared" si="678"/>
        <v>0</v>
      </c>
      <c r="T3080" s="193">
        <f t="shared" si="679"/>
        <v>0</v>
      </c>
      <c r="U3080" s="193">
        <f ca="1">OFFSET('Expenditure Study'!$B$7,'Operations Support'!$C3080,'Operations Support'!$B3080)*$G3080</f>
        <v>0</v>
      </c>
      <c r="V3080" s="199">
        <f ca="1">U3080*'Expenditure Study'!$B$31</f>
        <v>0</v>
      </c>
      <c r="W3080" s="199">
        <f ca="1">IF(A3080=10298,1.51,1)*IF($B3080&lt;3,$D3080*'Expenditure Study'!$B$32*OFFSET('Expenditure Study'!$B$7,'Operations Support'!$C3080,'Operations Support'!$B3080),0)</f>
        <v>0</v>
      </c>
      <c r="X3080" s="200">
        <f ca="1">W3080*'Expenditure Study'!$B$31</f>
        <v>0</v>
      </c>
      <c r="Y3080" s="199">
        <f ca="1">U3080*'Expenditure Study'!$B$31</f>
        <v>0</v>
      </c>
      <c r="Z3080" s="200">
        <f ca="1">W3080*'Expenditure Study'!$B$31</f>
        <v>0</v>
      </c>
      <c r="AA3080" s="195">
        <f t="shared" ca="1" si="680"/>
        <v>0</v>
      </c>
      <c r="AB3080" s="195">
        <f t="shared" ca="1" si="681"/>
        <v>0</v>
      </c>
      <c r="AD3080" s="196">
        <f>IFERROR($G3080/SUMIF($A:$A,$A3080,$G:$G)*SUMIF(Summary!$A$166:$A$242,$A3080,Summary!$P$166:$P$242),0)</f>
        <v>0</v>
      </c>
      <c r="AE3080" s="197">
        <f t="shared" ca="1" si="682"/>
        <v>0</v>
      </c>
      <c r="AF3080" s="196">
        <f>IFERROR(G3080/SUMIF(A:A,A3080,G:G)*SUMIF(Summary!$A$166:$A$242,'Operations Support'!A3080,Summary!$Q$166:$Q$242),0)</f>
        <v>0</v>
      </c>
      <c r="AG3080" s="196">
        <f t="shared" ca="1" si="683"/>
        <v>0</v>
      </c>
      <c r="AI3080" s="196">
        <f>IFERROR($G3080/SUMIF($A:$A,$A3080,$G:$G)*SUMIF(Summary!$A$247:$A$283,$A3080,Summary!$P$247:$P$283),0)</f>
        <v>0</v>
      </c>
      <c r="AJ3080" s="196">
        <f>IFERROR($G3080/SUMIF($A:$A,$A3080,$G:$G)*(SUMIF(Summary!$A$247:$A$283,$A3080,Summary!$L$247:$L$283)+SUMIF(Summary!$A$297:$A$333,$A3080,Summary!$L$297:$L$333))-AI3080,0)</f>
        <v>0</v>
      </c>
      <c r="AK3080" s="196">
        <f>IFERROR($G3080/SUMIF($A:$A,$A3080,$G:$G)*SUMIF(Summary!$A$247:$A$283,$A3080,Summary!$Q$247:$Q$283),0)</f>
        <v>0</v>
      </c>
      <c r="AL3080" s="196">
        <f>IFERROR($G3080/SUMIF($A:$A,$A3080,$G:$G)*(SUMIF(Summary!$A$247:$A$283,$A3080,Summary!$L$247:$L$283)+SUMIF(Summary!$A$297:$A$333,$A3080,Summary!$L$297:$L$333))-AK3080,0)</f>
        <v>0</v>
      </c>
      <c r="AM3080" s="198"/>
      <c r="AN3080" s="196">
        <f t="shared" ca="1" si="684"/>
        <v>0</v>
      </c>
      <c r="AO3080" s="196">
        <f t="shared" ca="1" si="685"/>
        <v>0</v>
      </c>
    </row>
    <row r="3081" spans="1:41">
      <c r="A3081" s="189">
        <v>11163</v>
      </c>
      <c r="B3081" s="190">
        <v>2</v>
      </c>
      <c r="C3081" s="191" t="s">
        <v>230</v>
      </c>
      <c r="D3081" s="192">
        <f t="shared" si="672"/>
        <v>0</v>
      </c>
      <c r="E3081" s="192">
        <f t="shared" si="673"/>
        <v>0</v>
      </c>
      <c r="F3081" s="192">
        <f t="shared" si="674"/>
        <v>0</v>
      </c>
      <c r="G3081" s="193">
        <f t="shared" si="675"/>
        <v>0</v>
      </c>
      <c r="H3081" s="194">
        <v>0</v>
      </c>
      <c r="I3081" s="194">
        <v>0</v>
      </c>
      <c r="J3081" s="194">
        <v>0</v>
      </c>
      <c r="K3081" s="193">
        <f t="shared" si="676"/>
        <v>0</v>
      </c>
      <c r="L3081" s="194">
        <v>0</v>
      </c>
      <c r="M3081" s="194">
        <v>0</v>
      </c>
      <c r="N3081" s="194">
        <v>0</v>
      </c>
      <c r="O3081" s="193">
        <f t="shared" si="677"/>
        <v>0</v>
      </c>
      <c r="P3081" s="194">
        <v>0</v>
      </c>
      <c r="Q3081" s="194">
        <v>0</v>
      </c>
      <c r="R3081" s="194">
        <v>0</v>
      </c>
      <c r="S3081" s="193">
        <f t="shared" si="678"/>
        <v>0</v>
      </c>
      <c r="T3081" s="193">
        <f t="shared" si="679"/>
        <v>0</v>
      </c>
      <c r="U3081" s="193">
        <f ca="1">OFFSET('Expenditure Study'!$B$7,'Operations Support'!$C3081,'Operations Support'!$B3081)*$G3081</f>
        <v>0</v>
      </c>
      <c r="V3081" s="199">
        <f ca="1">U3081*'Expenditure Study'!$B$31</f>
        <v>0</v>
      </c>
      <c r="W3081" s="199">
        <f ca="1">IF(A3081=10298,1.51,1)*IF($B3081&lt;3,$D3081*'Expenditure Study'!$B$32*OFFSET('Expenditure Study'!$B$7,'Operations Support'!$C3081,'Operations Support'!$B3081),0)</f>
        <v>0</v>
      </c>
      <c r="X3081" s="200">
        <f ca="1">W3081*'Expenditure Study'!$B$31</f>
        <v>0</v>
      </c>
      <c r="Y3081" s="199">
        <f ca="1">U3081*'Expenditure Study'!$B$31</f>
        <v>0</v>
      </c>
      <c r="Z3081" s="200">
        <f ca="1">W3081*'Expenditure Study'!$B$31</f>
        <v>0</v>
      </c>
      <c r="AA3081" s="195">
        <f t="shared" ca="1" si="680"/>
        <v>0</v>
      </c>
      <c r="AB3081" s="195">
        <f t="shared" ca="1" si="681"/>
        <v>0</v>
      </c>
      <c r="AD3081" s="196">
        <f>IFERROR($G3081/SUMIF($A:$A,$A3081,$G:$G)*SUMIF(Summary!$A$166:$A$242,$A3081,Summary!$P$166:$P$242),0)</f>
        <v>0</v>
      </c>
      <c r="AE3081" s="197">
        <f t="shared" ca="1" si="682"/>
        <v>0</v>
      </c>
      <c r="AF3081" s="196">
        <f>IFERROR(G3081/SUMIF(A:A,A3081,G:G)*SUMIF(Summary!$A$166:$A$242,'Operations Support'!A3081,Summary!$Q$166:$Q$242),0)</f>
        <v>0</v>
      </c>
      <c r="AG3081" s="196">
        <f t="shared" ca="1" si="683"/>
        <v>0</v>
      </c>
      <c r="AI3081" s="196">
        <f>IFERROR($G3081/SUMIF($A:$A,$A3081,$G:$G)*SUMIF(Summary!$A$247:$A$283,$A3081,Summary!$P$247:$P$283),0)</f>
        <v>0</v>
      </c>
      <c r="AJ3081" s="196">
        <f>IFERROR($G3081/SUMIF($A:$A,$A3081,$G:$G)*(SUMIF(Summary!$A$247:$A$283,$A3081,Summary!$L$247:$L$283)+SUMIF(Summary!$A$297:$A$333,$A3081,Summary!$L$297:$L$333))-AI3081,0)</f>
        <v>0</v>
      </c>
      <c r="AK3081" s="196">
        <f>IFERROR($G3081/SUMIF($A:$A,$A3081,$G:$G)*SUMIF(Summary!$A$247:$A$283,$A3081,Summary!$Q$247:$Q$283),0)</f>
        <v>0</v>
      </c>
      <c r="AL3081" s="196">
        <f>IFERROR($G3081/SUMIF($A:$A,$A3081,$G:$G)*(SUMIF(Summary!$A$247:$A$283,$A3081,Summary!$L$247:$L$283)+SUMIF(Summary!$A$297:$A$333,$A3081,Summary!$L$297:$L$333))-AK3081,0)</f>
        <v>0</v>
      </c>
      <c r="AM3081" s="198"/>
      <c r="AN3081" s="196">
        <f t="shared" ca="1" si="684"/>
        <v>0</v>
      </c>
      <c r="AO3081" s="196">
        <f t="shared" ca="1" si="685"/>
        <v>0</v>
      </c>
    </row>
    <row r="3082" spans="1:41">
      <c r="A3082" s="189">
        <v>11163</v>
      </c>
      <c r="B3082" s="190">
        <v>2</v>
      </c>
      <c r="C3082" s="191" t="s">
        <v>231</v>
      </c>
      <c r="D3082" s="192">
        <f t="shared" si="672"/>
        <v>0</v>
      </c>
      <c r="E3082" s="192">
        <f t="shared" si="673"/>
        <v>0</v>
      </c>
      <c r="F3082" s="192">
        <f t="shared" si="674"/>
        <v>0</v>
      </c>
      <c r="G3082" s="193">
        <f t="shared" si="675"/>
        <v>0</v>
      </c>
      <c r="H3082" s="194">
        <v>0</v>
      </c>
      <c r="I3082" s="194">
        <v>0</v>
      </c>
      <c r="J3082" s="194">
        <v>0</v>
      </c>
      <c r="K3082" s="193">
        <f t="shared" si="676"/>
        <v>0</v>
      </c>
      <c r="L3082" s="194">
        <v>0</v>
      </c>
      <c r="M3082" s="194">
        <v>0</v>
      </c>
      <c r="N3082" s="194">
        <v>0</v>
      </c>
      <c r="O3082" s="193">
        <f t="shared" si="677"/>
        <v>0</v>
      </c>
      <c r="P3082" s="194">
        <v>0</v>
      </c>
      <c r="Q3082" s="194">
        <v>0</v>
      </c>
      <c r="R3082" s="194">
        <v>0</v>
      </c>
      <c r="S3082" s="193">
        <f t="shared" si="678"/>
        <v>0</v>
      </c>
      <c r="T3082" s="193">
        <f t="shared" si="679"/>
        <v>0</v>
      </c>
      <c r="U3082" s="193">
        <f ca="1">OFFSET('Expenditure Study'!$B$7,'Operations Support'!$C3082,'Operations Support'!$B3082)*$G3082</f>
        <v>0</v>
      </c>
      <c r="V3082" s="199">
        <f ca="1">U3082*'Expenditure Study'!$B$31</f>
        <v>0</v>
      </c>
      <c r="W3082" s="199">
        <f ca="1">IF(A3082=10298,1.51,1)*IF($B3082&lt;3,$D3082*'Expenditure Study'!$B$32*OFFSET('Expenditure Study'!$B$7,'Operations Support'!$C3082,'Operations Support'!$B3082),0)</f>
        <v>0</v>
      </c>
      <c r="X3082" s="200">
        <f ca="1">W3082*'Expenditure Study'!$B$31</f>
        <v>0</v>
      </c>
      <c r="Y3082" s="199">
        <f ca="1">U3082*'Expenditure Study'!$B$31</f>
        <v>0</v>
      </c>
      <c r="Z3082" s="200">
        <f ca="1">W3082*'Expenditure Study'!$B$31</f>
        <v>0</v>
      </c>
      <c r="AA3082" s="195">
        <f t="shared" ca="1" si="680"/>
        <v>0</v>
      </c>
      <c r="AB3082" s="195">
        <f t="shared" ca="1" si="681"/>
        <v>0</v>
      </c>
      <c r="AD3082" s="196">
        <f>IFERROR($G3082/SUMIF($A:$A,$A3082,$G:$G)*SUMIF(Summary!$A$166:$A$242,$A3082,Summary!$P$166:$P$242),0)</f>
        <v>0</v>
      </c>
      <c r="AE3082" s="197">
        <f t="shared" ca="1" si="682"/>
        <v>0</v>
      </c>
      <c r="AF3082" s="196">
        <f>IFERROR(G3082/SUMIF(A:A,A3082,G:G)*SUMIF(Summary!$A$166:$A$242,'Operations Support'!A3082,Summary!$Q$166:$Q$242),0)</f>
        <v>0</v>
      </c>
      <c r="AG3082" s="196">
        <f t="shared" ca="1" si="683"/>
        <v>0</v>
      </c>
      <c r="AI3082" s="196">
        <f>IFERROR($G3082/SUMIF($A:$A,$A3082,$G:$G)*SUMIF(Summary!$A$247:$A$283,$A3082,Summary!$P$247:$P$283),0)</f>
        <v>0</v>
      </c>
      <c r="AJ3082" s="196">
        <f>IFERROR($G3082/SUMIF($A:$A,$A3082,$G:$G)*(SUMIF(Summary!$A$247:$A$283,$A3082,Summary!$L$247:$L$283)+SUMIF(Summary!$A$297:$A$333,$A3082,Summary!$L$297:$L$333))-AI3082,0)</f>
        <v>0</v>
      </c>
      <c r="AK3082" s="196">
        <f>IFERROR($G3082/SUMIF($A:$A,$A3082,$G:$G)*SUMIF(Summary!$A$247:$A$283,$A3082,Summary!$Q$247:$Q$283),0)</f>
        <v>0</v>
      </c>
      <c r="AL3082" s="196">
        <f>IFERROR($G3082/SUMIF($A:$A,$A3082,$G:$G)*(SUMIF(Summary!$A$247:$A$283,$A3082,Summary!$L$247:$L$283)+SUMIF(Summary!$A$297:$A$333,$A3082,Summary!$L$297:$L$333))-AK3082,0)</f>
        <v>0</v>
      </c>
      <c r="AM3082" s="198"/>
      <c r="AN3082" s="196">
        <f t="shared" ca="1" si="684"/>
        <v>0</v>
      </c>
      <c r="AO3082" s="196">
        <f t="shared" ca="1" si="685"/>
        <v>0</v>
      </c>
    </row>
    <row r="3083" spans="1:41">
      <c r="A3083" s="189">
        <v>11163</v>
      </c>
      <c r="B3083" s="190">
        <v>2</v>
      </c>
      <c r="C3083" s="191" t="s">
        <v>232</v>
      </c>
      <c r="D3083" s="192">
        <f t="shared" si="672"/>
        <v>0</v>
      </c>
      <c r="E3083" s="192">
        <f t="shared" si="673"/>
        <v>0</v>
      </c>
      <c r="F3083" s="192">
        <f t="shared" si="674"/>
        <v>0</v>
      </c>
      <c r="G3083" s="193">
        <f t="shared" si="675"/>
        <v>0</v>
      </c>
      <c r="H3083" s="194">
        <v>0</v>
      </c>
      <c r="I3083" s="194">
        <v>0</v>
      </c>
      <c r="J3083" s="194">
        <v>0</v>
      </c>
      <c r="K3083" s="193">
        <f t="shared" si="676"/>
        <v>0</v>
      </c>
      <c r="L3083" s="194">
        <v>0</v>
      </c>
      <c r="M3083" s="194">
        <v>0</v>
      </c>
      <c r="N3083" s="194">
        <v>0</v>
      </c>
      <c r="O3083" s="193">
        <f t="shared" si="677"/>
        <v>0</v>
      </c>
      <c r="P3083" s="194">
        <v>0</v>
      </c>
      <c r="Q3083" s="194">
        <v>0</v>
      </c>
      <c r="R3083" s="194">
        <v>0</v>
      </c>
      <c r="S3083" s="193">
        <f t="shared" si="678"/>
        <v>0</v>
      </c>
      <c r="T3083" s="193">
        <f t="shared" si="679"/>
        <v>0</v>
      </c>
      <c r="U3083" s="193">
        <f ca="1">OFFSET('Expenditure Study'!$B$7,'Operations Support'!$C3083,'Operations Support'!$B3083)*$G3083</f>
        <v>0</v>
      </c>
      <c r="V3083" s="199">
        <f ca="1">U3083*'Expenditure Study'!$B$31</f>
        <v>0</v>
      </c>
      <c r="W3083" s="199">
        <f ca="1">IF(A3083=10298,1.51,1)*IF($B3083&lt;3,$D3083*'Expenditure Study'!$B$32*OFFSET('Expenditure Study'!$B$7,'Operations Support'!$C3083,'Operations Support'!$B3083),0)</f>
        <v>0</v>
      </c>
      <c r="X3083" s="200">
        <f ca="1">W3083*'Expenditure Study'!$B$31</f>
        <v>0</v>
      </c>
      <c r="Y3083" s="199">
        <f ca="1">U3083*'Expenditure Study'!$B$31</f>
        <v>0</v>
      </c>
      <c r="Z3083" s="200">
        <f ca="1">W3083*'Expenditure Study'!$B$31</f>
        <v>0</v>
      </c>
      <c r="AA3083" s="195">
        <f t="shared" ca="1" si="680"/>
        <v>0</v>
      </c>
      <c r="AB3083" s="195">
        <f t="shared" ca="1" si="681"/>
        <v>0</v>
      </c>
      <c r="AD3083" s="196">
        <f>IFERROR($G3083/SUMIF($A:$A,$A3083,$G:$G)*SUMIF(Summary!$A$166:$A$242,$A3083,Summary!$P$166:$P$242),0)</f>
        <v>0</v>
      </c>
      <c r="AE3083" s="197">
        <f t="shared" ca="1" si="682"/>
        <v>0</v>
      </c>
      <c r="AF3083" s="196">
        <f>IFERROR(G3083/SUMIF(A:A,A3083,G:G)*SUMIF(Summary!$A$166:$A$242,'Operations Support'!A3083,Summary!$Q$166:$Q$242),0)</f>
        <v>0</v>
      </c>
      <c r="AG3083" s="196">
        <f t="shared" ca="1" si="683"/>
        <v>0</v>
      </c>
      <c r="AI3083" s="196">
        <f>IFERROR($G3083/SUMIF($A:$A,$A3083,$G:$G)*SUMIF(Summary!$A$247:$A$283,$A3083,Summary!$P$247:$P$283),0)</f>
        <v>0</v>
      </c>
      <c r="AJ3083" s="196">
        <f>IFERROR($G3083/SUMIF($A:$A,$A3083,$G:$G)*(SUMIF(Summary!$A$247:$A$283,$A3083,Summary!$L$247:$L$283)+SUMIF(Summary!$A$297:$A$333,$A3083,Summary!$L$297:$L$333))-AI3083,0)</f>
        <v>0</v>
      </c>
      <c r="AK3083" s="196">
        <f>IFERROR($G3083/SUMIF($A:$A,$A3083,$G:$G)*SUMIF(Summary!$A$247:$A$283,$A3083,Summary!$Q$247:$Q$283),0)</f>
        <v>0</v>
      </c>
      <c r="AL3083" s="196">
        <f>IFERROR($G3083/SUMIF($A:$A,$A3083,$G:$G)*(SUMIF(Summary!$A$247:$A$283,$A3083,Summary!$L$247:$L$283)+SUMIF(Summary!$A$297:$A$333,$A3083,Summary!$L$297:$L$333))-AK3083,0)</f>
        <v>0</v>
      </c>
      <c r="AM3083" s="198"/>
      <c r="AN3083" s="196">
        <f t="shared" ca="1" si="684"/>
        <v>0</v>
      </c>
      <c r="AO3083" s="196">
        <f t="shared" ca="1" si="685"/>
        <v>0</v>
      </c>
    </row>
    <row r="3084" spans="1:41">
      <c r="A3084" s="189">
        <v>11163</v>
      </c>
      <c r="B3084" s="190">
        <v>2</v>
      </c>
      <c r="C3084" s="191" t="s">
        <v>233</v>
      </c>
      <c r="D3084" s="192">
        <f t="shared" si="672"/>
        <v>1317</v>
      </c>
      <c r="E3084" s="192">
        <f t="shared" si="673"/>
        <v>1746</v>
      </c>
      <c r="F3084" s="192">
        <f t="shared" si="674"/>
        <v>0</v>
      </c>
      <c r="G3084" s="193">
        <f t="shared" si="675"/>
        <v>3063</v>
      </c>
      <c r="H3084" s="194">
        <v>786</v>
      </c>
      <c r="I3084" s="194">
        <v>796</v>
      </c>
      <c r="J3084" s="194">
        <v>0</v>
      </c>
      <c r="K3084" s="193">
        <f t="shared" si="676"/>
        <v>1582</v>
      </c>
      <c r="L3084" s="194">
        <v>309</v>
      </c>
      <c r="M3084" s="194">
        <v>689</v>
      </c>
      <c r="N3084" s="194">
        <v>0</v>
      </c>
      <c r="O3084" s="193">
        <f t="shared" si="677"/>
        <v>998</v>
      </c>
      <c r="P3084" s="194">
        <v>222</v>
      </c>
      <c r="Q3084" s="194">
        <v>261</v>
      </c>
      <c r="R3084" s="194">
        <v>0</v>
      </c>
      <c r="S3084" s="193">
        <f t="shared" si="678"/>
        <v>483</v>
      </c>
      <c r="T3084" s="193">
        <f t="shared" si="679"/>
        <v>102.1</v>
      </c>
      <c r="U3084" s="193">
        <f ca="1">OFFSET('Expenditure Study'!$B$7,'Operations Support'!$C3084,'Operations Support'!$B3084)*$G3084</f>
        <v>4931.43</v>
      </c>
      <c r="V3084" s="199">
        <f ca="1">U3084*'Expenditure Study'!$B$31</f>
        <v>291364.57029254403</v>
      </c>
      <c r="W3084" s="199">
        <f ca="1">IF(A3084=10298,1.51,1)*IF($B3084&lt;3,$D3084*'Expenditure Study'!$B$32*OFFSET('Expenditure Study'!$B$7,'Operations Support'!$C3084,'Operations Support'!$B3084),0)</f>
        <v>212.03700000000003</v>
      </c>
      <c r="X3084" s="200">
        <f ca="1">W3084*'Expenditure Study'!$B$31</f>
        <v>12527.820407289602</v>
      </c>
      <c r="Y3084" s="199">
        <f ca="1">U3084*'Expenditure Study'!$B$31</f>
        <v>291364.57029254403</v>
      </c>
      <c r="Z3084" s="200">
        <f ca="1">W3084*'Expenditure Study'!$B$31</f>
        <v>12527.820407289602</v>
      </c>
      <c r="AA3084" s="195">
        <f t="shared" ca="1" si="680"/>
        <v>303892.39069983363</v>
      </c>
      <c r="AB3084" s="195">
        <f t="shared" ca="1" si="681"/>
        <v>303892.39069983363</v>
      </c>
      <c r="AD3084" s="196">
        <f>IFERROR($G3084/SUMIF($A:$A,$A3084,$G:$G)*SUMIF(Summary!$A$166:$A$242,$A3084,Summary!$P$166:$P$242),0)</f>
        <v>91455.579903879523</v>
      </c>
      <c r="AE3084" s="197">
        <f t="shared" ca="1" si="682"/>
        <v>212436.81079595411</v>
      </c>
      <c r="AF3084" s="196">
        <f>IFERROR(G3084/SUMIF(A:A,A3084,G:G)*SUMIF(Summary!$A$166:$A$242,'Operations Support'!A3084,Summary!$Q$166:$Q$242),0)</f>
        <v>91617.598188349439</v>
      </c>
      <c r="AG3084" s="196">
        <f t="shared" ca="1" si="683"/>
        <v>212274.79251148418</v>
      </c>
      <c r="AI3084" s="196">
        <f>IFERROR($G3084/SUMIF($A:$A,$A3084,$G:$G)*SUMIF(Summary!$A$247:$A$283,$A3084,Summary!$P$247:$P$283),0)</f>
        <v>16679.215525911284</v>
      </c>
      <c r="AJ3084" s="196">
        <f>IFERROR($G3084/SUMIF($A:$A,$A3084,$G:$G)*(SUMIF(Summary!$A$247:$A$283,$A3084,Summary!$L$247:$L$283)+SUMIF(Summary!$A$297:$A$333,$A3084,Summary!$L$297:$L$333))-AI3084,0)</f>
        <v>49499.077660938485</v>
      </c>
      <c r="AK3084" s="196">
        <f>IFERROR($G3084/SUMIF($A:$A,$A3084,$G:$G)*SUMIF(Summary!$A$247:$A$283,$A3084,Summary!$Q$247:$Q$283),0)</f>
        <v>16708.763617877379</v>
      </c>
      <c r="AL3084" s="196">
        <f>IFERROR($G3084/SUMIF($A:$A,$A3084,$G:$G)*(SUMIF(Summary!$A$247:$A$283,$A3084,Summary!$L$247:$L$283)+SUMIF(Summary!$A$297:$A$333,$A3084,Summary!$L$297:$L$333))-AK3084,0)</f>
        <v>49469.529568972386</v>
      </c>
      <c r="AM3084" s="198"/>
      <c r="AN3084" s="196">
        <f t="shared" ca="1" si="684"/>
        <v>261935.8884568926</v>
      </c>
      <c r="AO3084" s="196">
        <f t="shared" ca="1" si="685"/>
        <v>261744.32208045656</v>
      </c>
    </row>
    <row r="3085" spans="1:41">
      <c r="A3085" s="189">
        <v>11163</v>
      </c>
      <c r="B3085" s="190">
        <v>2</v>
      </c>
      <c r="C3085" s="191" t="s">
        <v>234</v>
      </c>
      <c r="D3085" s="192">
        <f t="shared" si="672"/>
        <v>0</v>
      </c>
      <c r="E3085" s="192">
        <f t="shared" si="673"/>
        <v>0</v>
      </c>
      <c r="F3085" s="192">
        <f t="shared" si="674"/>
        <v>0</v>
      </c>
      <c r="G3085" s="193">
        <f t="shared" si="675"/>
        <v>0</v>
      </c>
      <c r="H3085" s="194">
        <v>0</v>
      </c>
      <c r="I3085" s="194">
        <v>0</v>
      </c>
      <c r="J3085" s="194">
        <v>0</v>
      </c>
      <c r="K3085" s="193">
        <f t="shared" si="676"/>
        <v>0</v>
      </c>
      <c r="L3085" s="194">
        <v>0</v>
      </c>
      <c r="M3085" s="194">
        <v>0</v>
      </c>
      <c r="N3085" s="194">
        <v>0</v>
      </c>
      <c r="O3085" s="193">
        <f t="shared" si="677"/>
        <v>0</v>
      </c>
      <c r="P3085" s="194">
        <v>0</v>
      </c>
      <c r="Q3085" s="194">
        <v>0</v>
      </c>
      <c r="R3085" s="194">
        <v>0</v>
      </c>
      <c r="S3085" s="193">
        <f t="shared" si="678"/>
        <v>0</v>
      </c>
      <c r="T3085" s="193">
        <f t="shared" si="679"/>
        <v>0</v>
      </c>
      <c r="U3085" s="193">
        <f ca="1">OFFSET('Expenditure Study'!$B$7,'Operations Support'!$C3085,'Operations Support'!$B3085)*$G3085</f>
        <v>0</v>
      </c>
      <c r="V3085" s="199">
        <f ca="1">U3085*'Expenditure Study'!$B$31</f>
        <v>0</v>
      </c>
      <c r="W3085" s="199">
        <f ca="1">IF(A3085=10298,1.51,1)*IF($B3085&lt;3,$D3085*'Expenditure Study'!$B$32*OFFSET('Expenditure Study'!$B$7,'Operations Support'!$C3085,'Operations Support'!$B3085),0)</f>
        <v>0</v>
      </c>
      <c r="X3085" s="200">
        <f ca="1">W3085*'Expenditure Study'!$B$31</f>
        <v>0</v>
      </c>
      <c r="Y3085" s="199">
        <f ca="1">U3085*'Expenditure Study'!$B$31</f>
        <v>0</v>
      </c>
      <c r="Z3085" s="200">
        <f ca="1">W3085*'Expenditure Study'!$B$31</f>
        <v>0</v>
      </c>
      <c r="AA3085" s="195">
        <f t="shared" ca="1" si="680"/>
        <v>0</v>
      </c>
      <c r="AB3085" s="195">
        <f t="shared" ca="1" si="681"/>
        <v>0</v>
      </c>
      <c r="AD3085" s="196">
        <f>IFERROR($G3085/SUMIF($A:$A,$A3085,$G:$G)*SUMIF(Summary!$A$166:$A$242,$A3085,Summary!$P$166:$P$242),0)</f>
        <v>0</v>
      </c>
      <c r="AE3085" s="197">
        <f t="shared" ca="1" si="682"/>
        <v>0</v>
      </c>
      <c r="AF3085" s="196">
        <f>IFERROR(G3085/SUMIF(A:A,A3085,G:G)*SUMIF(Summary!$A$166:$A$242,'Operations Support'!A3085,Summary!$Q$166:$Q$242),0)</f>
        <v>0</v>
      </c>
      <c r="AG3085" s="196">
        <f t="shared" ca="1" si="683"/>
        <v>0</v>
      </c>
      <c r="AI3085" s="196">
        <f>IFERROR($G3085/SUMIF($A:$A,$A3085,$G:$G)*SUMIF(Summary!$A$247:$A$283,$A3085,Summary!$P$247:$P$283),0)</f>
        <v>0</v>
      </c>
      <c r="AJ3085" s="196">
        <f>IFERROR($G3085/SUMIF($A:$A,$A3085,$G:$G)*(SUMIF(Summary!$A$247:$A$283,$A3085,Summary!$L$247:$L$283)+SUMIF(Summary!$A$297:$A$333,$A3085,Summary!$L$297:$L$333))-AI3085,0)</f>
        <v>0</v>
      </c>
      <c r="AK3085" s="196">
        <f>IFERROR($G3085/SUMIF($A:$A,$A3085,$G:$G)*SUMIF(Summary!$A$247:$A$283,$A3085,Summary!$Q$247:$Q$283),0)</f>
        <v>0</v>
      </c>
      <c r="AL3085" s="196">
        <f>IFERROR($G3085/SUMIF($A:$A,$A3085,$G:$G)*(SUMIF(Summary!$A$247:$A$283,$A3085,Summary!$L$247:$L$283)+SUMIF(Summary!$A$297:$A$333,$A3085,Summary!$L$297:$L$333))-AK3085,0)</f>
        <v>0</v>
      </c>
      <c r="AM3085" s="198"/>
      <c r="AN3085" s="196">
        <f t="shared" ca="1" si="684"/>
        <v>0</v>
      </c>
      <c r="AO3085" s="196">
        <f t="shared" ca="1" si="685"/>
        <v>0</v>
      </c>
    </row>
    <row r="3086" spans="1:41">
      <c r="A3086" s="189">
        <v>11163</v>
      </c>
      <c r="B3086" s="190">
        <v>2</v>
      </c>
      <c r="C3086" s="191" t="s">
        <v>235</v>
      </c>
      <c r="D3086" s="192">
        <f t="shared" si="672"/>
        <v>13151</v>
      </c>
      <c r="E3086" s="192">
        <f t="shared" si="673"/>
        <v>4241</v>
      </c>
      <c r="F3086" s="192">
        <f t="shared" si="674"/>
        <v>0</v>
      </c>
      <c r="G3086" s="193">
        <f t="shared" si="675"/>
        <v>17392</v>
      </c>
      <c r="H3086" s="194">
        <v>5574</v>
      </c>
      <c r="I3086" s="194">
        <v>1686</v>
      </c>
      <c r="J3086" s="194">
        <v>0</v>
      </c>
      <c r="K3086" s="193">
        <f t="shared" si="676"/>
        <v>7260</v>
      </c>
      <c r="L3086" s="194">
        <v>5657</v>
      </c>
      <c r="M3086" s="194">
        <v>1598</v>
      </c>
      <c r="N3086" s="194">
        <v>0</v>
      </c>
      <c r="O3086" s="193">
        <f t="shared" si="677"/>
        <v>7255</v>
      </c>
      <c r="P3086" s="194">
        <v>1920</v>
      </c>
      <c r="Q3086" s="194">
        <v>957</v>
      </c>
      <c r="R3086" s="194">
        <v>0</v>
      </c>
      <c r="S3086" s="193">
        <f t="shared" si="678"/>
        <v>2877</v>
      </c>
      <c r="T3086" s="193">
        <f t="shared" si="679"/>
        <v>579.73333333333335</v>
      </c>
      <c r="U3086" s="193">
        <f ca="1">OFFSET('Expenditure Study'!$B$7,'Operations Support'!$C3086,'Operations Support'!$B3086)*$G3086</f>
        <v>32523.040000000001</v>
      </c>
      <c r="V3086" s="199">
        <f ca="1">U3086*'Expenditure Study'!$B$31</f>
        <v>1921564.6524856321</v>
      </c>
      <c r="W3086" s="199">
        <f ca="1">IF(A3086=10298,1.51,1)*IF($B3086&lt;3,$D3086*'Expenditure Study'!$B$32*OFFSET('Expenditure Study'!$B$7,'Operations Support'!$C3086,'Operations Support'!$B3086),0)</f>
        <v>2459.2370000000005</v>
      </c>
      <c r="X3086" s="200">
        <f ca="1">W3086*'Expenditure Study'!$B$31</f>
        <v>145299.54430104964</v>
      </c>
      <c r="Y3086" s="199">
        <f ca="1">U3086*'Expenditure Study'!$B$31</f>
        <v>1921564.6524856321</v>
      </c>
      <c r="Z3086" s="200">
        <f ca="1">W3086*'Expenditure Study'!$B$31</f>
        <v>145299.54430104964</v>
      </c>
      <c r="AA3086" s="195">
        <f t="shared" ca="1" si="680"/>
        <v>2066864.1967866817</v>
      </c>
      <c r="AB3086" s="195">
        <f t="shared" ca="1" si="681"/>
        <v>2066864.1967866817</v>
      </c>
      <c r="AD3086" s="196">
        <f>IFERROR($G3086/SUMIF($A:$A,$A3086,$G:$G)*SUMIF(Summary!$A$166:$A$242,$A3086,Summary!$P$166:$P$242),0)</f>
        <v>519293.32213133294</v>
      </c>
      <c r="AE3086" s="197">
        <f t="shared" ca="1" si="682"/>
        <v>1547570.8746553487</v>
      </c>
      <c r="AF3086" s="196">
        <f>IFERROR(G3086/SUMIF(A:A,A3086,G:G)*SUMIF(Summary!$A$166:$A$242,'Operations Support'!A3086,Summary!$Q$166:$Q$242),0)</f>
        <v>520213.27707860712</v>
      </c>
      <c r="AG3086" s="196">
        <f t="shared" ca="1" si="683"/>
        <v>1546650.9197080745</v>
      </c>
      <c r="AI3086" s="196">
        <f>IFERROR($G3086/SUMIF($A:$A,$A3086,$G:$G)*SUMIF(Summary!$A$247:$A$283,$A3086,Summary!$P$247:$P$283),0)</f>
        <v>94706.143136352941</v>
      </c>
      <c r="AJ3086" s="196">
        <f>IFERROR($G3086/SUMIF($A:$A,$A3086,$G:$G)*(SUMIF(Summary!$A$247:$A$283,$A3086,Summary!$L$247:$L$283)+SUMIF(Summary!$A$297:$A$333,$A3086,Summary!$L$297:$L$333))-AI3086,0)</f>
        <v>281060.38481196284</v>
      </c>
      <c r="AK3086" s="196">
        <f>IFERROR($G3086/SUMIF($A:$A,$A3086,$G:$G)*SUMIF(Summary!$A$247:$A$283,$A3086,Summary!$Q$247:$Q$283),0)</f>
        <v>94873.91996151596</v>
      </c>
      <c r="AL3086" s="196">
        <f>IFERROR($G3086/SUMIF($A:$A,$A3086,$G:$G)*(SUMIF(Summary!$A$247:$A$283,$A3086,Summary!$L$247:$L$283)+SUMIF(Summary!$A$297:$A$333,$A3086,Summary!$L$297:$L$333))-AK3086,0)</f>
        <v>280892.60798679979</v>
      </c>
      <c r="AM3086" s="198"/>
      <c r="AN3086" s="196">
        <f t="shared" ca="1" si="684"/>
        <v>1828631.2594673117</v>
      </c>
      <c r="AO3086" s="196">
        <f t="shared" ca="1" si="685"/>
        <v>1827543.5276948744</v>
      </c>
    </row>
    <row r="3087" spans="1:41">
      <c r="A3087" s="189">
        <v>11163</v>
      </c>
      <c r="B3087" s="190">
        <v>2</v>
      </c>
      <c r="C3087" s="191" t="s">
        <v>236</v>
      </c>
      <c r="D3087" s="192">
        <f t="shared" si="672"/>
        <v>0</v>
      </c>
      <c r="E3087" s="192">
        <f t="shared" si="673"/>
        <v>0</v>
      </c>
      <c r="F3087" s="192">
        <f t="shared" si="674"/>
        <v>0</v>
      </c>
      <c r="G3087" s="193">
        <f t="shared" si="675"/>
        <v>0</v>
      </c>
      <c r="H3087" s="194">
        <v>0</v>
      </c>
      <c r="I3087" s="194">
        <v>0</v>
      </c>
      <c r="J3087" s="194">
        <v>0</v>
      </c>
      <c r="K3087" s="193">
        <f t="shared" si="676"/>
        <v>0</v>
      </c>
      <c r="L3087" s="194">
        <v>0</v>
      </c>
      <c r="M3087" s="194">
        <v>0</v>
      </c>
      <c r="N3087" s="194">
        <v>0</v>
      </c>
      <c r="O3087" s="193">
        <f t="shared" si="677"/>
        <v>0</v>
      </c>
      <c r="P3087" s="194">
        <v>0</v>
      </c>
      <c r="Q3087" s="194">
        <v>0</v>
      </c>
      <c r="R3087" s="194">
        <v>0</v>
      </c>
      <c r="S3087" s="193">
        <f t="shared" si="678"/>
        <v>0</v>
      </c>
      <c r="T3087" s="193">
        <f t="shared" si="679"/>
        <v>0</v>
      </c>
      <c r="U3087" s="193">
        <f ca="1">OFFSET('Expenditure Study'!$B$7,'Operations Support'!$C3087,'Operations Support'!$B3087)*$G3087</f>
        <v>0</v>
      </c>
      <c r="V3087" s="199">
        <f ca="1">U3087*'Expenditure Study'!$B$31</f>
        <v>0</v>
      </c>
      <c r="W3087" s="199">
        <f ca="1">IF(A3087=10298,1.51,1)*IF($B3087&lt;3,$D3087*'Expenditure Study'!$B$32*OFFSET('Expenditure Study'!$B$7,'Operations Support'!$C3087,'Operations Support'!$B3087),0)</f>
        <v>0</v>
      </c>
      <c r="X3087" s="200">
        <f ca="1">W3087*'Expenditure Study'!$B$31</f>
        <v>0</v>
      </c>
      <c r="Y3087" s="199">
        <f ca="1">U3087*'Expenditure Study'!$B$31</f>
        <v>0</v>
      </c>
      <c r="Z3087" s="200">
        <f ca="1">W3087*'Expenditure Study'!$B$31</f>
        <v>0</v>
      </c>
      <c r="AA3087" s="195">
        <f t="shared" ca="1" si="680"/>
        <v>0</v>
      </c>
      <c r="AB3087" s="195">
        <f t="shared" ca="1" si="681"/>
        <v>0</v>
      </c>
      <c r="AD3087" s="196">
        <f>IFERROR($G3087/SUMIF($A:$A,$A3087,$G:$G)*SUMIF(Summary!$A$166:$A$242,$A3087,Summary!$P$166:$P$242),0)</f>
        <v>0</v>
      </c>
      <c r="AE3087" s="197">
        <f t="shared" ca="1" si="682"/>
        <v>0</v>
      </c>
      <c r="AF3087" s="196">
        <f>IFERROR(G3087/SUMIF(A:A,A3087,G:G)*SUMIF(Summary!$A$166:$A$242,'Operations Support'!A3087,Summary!$Q$166:$Q$242),0)</f>
        <v>0</v>
      </c>
      <c r="AG3087" s="196">
        <f t="shared" ca="1" si="683"/>
        <v>0</v>
      </c>
      <c r="AI3087" s="196">
        <f>IFERROR($G3087/SUMIF($A:$A,$A3087,$G:$G)*SUMIF(Summary!$A$247:$A$283,$A3087,Summary!$P$247:$P$283),0)</f>
        <v>0</v>
      </c>
      <c r="AJ3087" s="196">
        <f>IFERROR($G3087/SUMIF($A:$A,$A3087,$G:$G)*(SUMIF(Summary!$A$247:$A$283,$A3087,Summary!$L$247:$L$283)+SUMIF(Summary!$A$297:$A$333,$A3087,Summary!$L$297:$L$333))-AI3087,0)</f>
        <v>0</v>
      </c>
      <c r="AK3087" s="196">
        <f>IFERROR($G3087/SUMIF($A:$A,$A3087,$G:$G)*SUMIF(Summary!$A$247:$A$283,$A3087,Summary!$Q$247:$Q$283),0)</f>
        <v>0</v>
      </c>
      <c r="AL3087" s="196">
        <f>IFERROR($G3087/SUMIF($A:$A,$A3087,$G:$G)*(SUMIF(Summary!$A$247:$A$283,$A3087,Summary!$L$247:$L$283)+SUMIF(Summary!$A$297:$A$333,$A3087,Summary!$L$297:$L$333))-AK3087,0)</f>
        <v>0</v>
      </c>
      <c r="AM3087" s="198"/>
      <c r="AN3087" s="196">
        <f t="shared" ca="1" si="684"/>
        <v>0</v>
      </c>
      <c r="AO3087" s="196">
        <f t="shared" ca="1" si="685"/>
        <v>0</v>
      </c>
    </row>
    <row r="3088" spans="1:41">
      <c r="A3088" s="189">
        <v>11163</v>
      </c>
      <c r="B3088" s="190">
        <v>2</v>
      </c>
      <c r="C3088" s="191" t="s">
        <v>237</v>
      </c>
      <c r="D3088" s="192">
        <f t="shared" si="672"/>
        <v>60</v>
      </c>
      <c r="E3088" s="192">
        <f t="shared" si="673"/>
        <v>517</v>
      </c>
      <c r="F3088" s="192">
        <f t="shared" si="674"/>
        <v>0</v>
      </c>
      <c r="G3088" s="193">
        <f t="shared" si="675"/>
        <v>577</v>
      </c>
      <c r="H3088" s="194">
        <v>60</v>
      </c>
      <c r="I3088" s="194">
        <v>222</v>
      </c>
      <c r="J3088" s="194">
        <v>0</v>
      </c>
      <c r="K3088" s="193">
        <f t="shared" si="676"/>
        <v>282</v>
      </c>
      <c r="L3088" s="194">
        <v>0</v>
      </c>
      <c r="M3088" s="194">
        <v>295</v>
      </c>
      <c r="N3088" s="194">
        <v>0</v>
      </c>
      <c r="O3088" s="193">
        <f t="shared" si="677"/>
        <v>295</v>
      </c>
      <c r="P3088" s="194">
        <v>0</v>
      </c>
      <c r="Q3088" s="194">
        <v>0</v>
      </c>
      <c r="R3088" s="194">
        <v>0</v>
      </c>
      <c r="S3088" s="193">
        <f t="shared" si="678"/>
        <v>0</v>
      </c>
      <c r="T3088" s="193">
        <f t="shared" si="679"/>
        <v>19.233333333333334</v>
      </c>
      <c r="U3088" s="193">
        <f ca="1">OFFSET('Expenditure Study'!$B$7,'Operations Support'!$C3088,'Operations Support'!$B3088)*$G3088</f>
        <v>1350.1799999999998</v>
      </c>
      <c r="V3088" s="199">
        <f ca="1">U3088*'Expenditure Study'!$B$31</f>
        <v>79772.929052543986</v>
      </c>
      <c r="W3088" s="199">
        <f ca="1">IF(A3088=10298,1.51,1)*IF($B3088&lt;3,$D3088*'Expenditure Study'!$B$32*OFFSET('Expenditure Study'!$B$7,'Operations Support'!$C3088,'Operations Support'!$B3088),0)</f>
        <v>14.04</v>
      </c>
      <c r="X3088" s="200">
        <f ca="1">W3088*'Expenditure Study'!$B$31</f>
        <v>829.52785843200002</v>
      </c>
      <c r="Y3088" s="199">
        <f ca="1">U3088*'Expenditure Study'!$B$31</f>
        <v>79772.929052543986</v>
      </c>
      <c r="Z3088" s="200">
        <f ca="1">W3088*'Expenditure Study'!$B$31</f>
        <v>829.52785843200002</v>
      </c>
      <c r="AA3088" s="195">
        <f t="shared" ca="1" si="680"/>
        <v>80602.45691097599</v>
      </c>
      <c r="AB3088" s="195">
        <f t="shared" ca="1" si="681"/>
        <v>80602.45691097599</v>
      </c>
      <c r="AD3088" s="196">
        <f>IFERROR($G3088/SUMIF($A:$A,$A3088,$G:$G)*SUMIF(Summary!$A$166:$A$242,$A3088,Summary!$P$166:$P$242),0)</f>
        <v>17228.165068409562</v>
      </c>
      <c r="AE3088" s="197">
        <f t="shared" ca="1" si="682"/>
        <v>63374.291842566425</v>
      </c>
      <c r="AF3088" s="196">
        <f>IFERROR(G3088/SUMIF(A:A,A3088,G:G)*SUMIF(Summary!$A$166:$A$242,'Operations Support'!A3088,Summary!$Q$166:$Q$242),0)</f>
        <v>17258.685652849374</v>
      </c>
      <c r="AG3088" s="196">
        <f t="shared" ca="1" si="683"/>
        <v>63343.771258126617</v>
      </c>
      <c r="AI3088" s="196">
        <f>IFERROR($G3088/SUMIF($A:$A,$A3088,$G:$G)*SUMIF(Summary!$A$247:$A$283,$A3088,Summary!$P$247:$P$283),0)</f>
        <v>3141.9873844109734</v>
      </c>
      <c r="AJ3088" s="196">
        <f>IFERROR($G3088/SUMIF($A:$A,$A3088,$G:$G)*(SUMIF(Summary!$A$247:$A$283,$A3088,Summary!$L$247:$L$283)+SUMIF(Summary!$A$297:$A$333,$A3088,Summary!$L$297:$L$333))-AI3088,0)</f>
        <v>9324.5079367814251</v>
      </c>
      <c r="AK3088" s="196">
        <f>IFERROR($G3088/SUMIF($A:$A,$A3088,$G:$G)*SUMIF(Summary!$A$247:$A$283,$A3088,Summary!$Q$247:$Q$283),0)</f>
        <v>3147.5535773801003</v>
      </c>
      <c r="AL3088" s="196">
        <f>IFERROR($G3088/SUMIF($A:$A,$A3088,$G:$G)*(SUMIF(Summary!$A$247:$A$283,$A3088,Summary!$L$247:$L$283)+SUMIF(Summary!$A$297:$A$333,$A3088,Summary!$L$297:$L$333))-AK3088,0)</f>
        <v>9318.9417438122982</v>
      </c>
      <c r="AM3088" s="198"/>
      <c r="AN3088" s="196">
        <f t="shared" ca="1" si="684"/>
        <v>72698.799779347843</v>
      </c>
      <c r="AO3088" s="196">
        <f t="shared" ca="1" si="685"/>
        <v>72662.713001938915</v>
      </c>
    </row>
    <row r="3089" spans="1:41" s="201" customFormat="1">
      <c r="A3089" s="189">
        <v>11163</v>
      </c>
      <c r="B3089" s="190">
        <v>2</v>
      </c>
      <c r="C3089" s="191" t="s">
        <v>238</v>
      </c>
      <c r="D3089" s="192">
        <f t="shared" si="672"/>
        <v>393</v>
      </c>
      <c r="E3089" s="192">
        <f t="shared" si="673"/>
        <v>1470</v>
      </c>
      <c r="F3089" s="192">
        <f t="shared" si="674"/>
        <v>0</v>
      </c>
      <c r="G3089" s="193">
        <f t="shared" si="675"/>
        <v>1863</v>
      </c>
      <c r="H3089" s="194">
        <v>159</v>
      </c>
      <c r="I3089" s="194">
        <v>885</v>
      </c>
      <c r="J3089" s="194">
        <v>0</v>
      </c>
      <c r="K3089" s="193">
        <f t="shared" si="676"/>
        <v>1044</v>
      </c>
      <c r="L3089" s="194">
        <v>177</v>
      </c>
      <c r="M3089" s="194">
        <v>498</v>
      </c>
      <c r="N3089" s="194">
        <v>0</v>
      </c>
      <c r="O3089" s="193">
        <f t="shared" si="677"/>
        <v>675</v>
      </c>
      <c r="P3089" s="194">
        <v>57</v>
      </c>
      <c r="Q3089" s="194">
        <v>87</v>
      </c>
      <c r="R3089" s="194">
        <v>0</v>
      </c>
      <c r="S3089" s="193">
        <f t="shared" si="678"/>
        <v>144</v>
      </c>
      <c r="T3089" s="193">
        <f t="shared" si="679"/>
        <v>62.1</v>
      </c>
      <c r="U3089" s="193">
        <f ca="1">OFFSET('Expenditure Study'!$B$7,'Operations Support'!$C3089,'Operations Support'!$B3089)*$G3089</f>
        <v>4471.2</v>
      </c>
      <c r="V3089" s="199">
        <f ca="1">U3089*'Expenditure Study'!$B$31</f>
        <v>264172.71799296001</v>
      </c>
      <c r="W3089" s="199">
        <f ca="1">IF(A3089=10298,1.51,1)*IF($B3089&lt;3,$D3089*'Expenditure Study'!$B$32*OFFSET('Expenditure Study'!$B$7,'Operations Support'!$C3089,'Operations Support'!$B3089),0)</f>
        <v>94.320000000000007</v>
      </c>
      <c r="X3089" s="200">
        <f ca="1">W3089*'Expenditure Study'!$B$31</f>
        <v>5572.7256130560008</v>
      </c>
      <c r="Y3089" s="199">
        <f ca="1">U3089*'Expenditure Study'!$B$31</f>
        <v>264172.71799296001</v>
      </c>
      <c r="Z3089" s="200">
        <f ca="1">W3089*'Expenditure Study'!$B$31</f>
        <v>5572.7256130560008</v>
      </c>
      <c r="AA3089" s="195">
        <f t="shared" ca="1" si="680"/>
        <v>269745.44360601599</v>
      </c>
      <c r="AB3089" s="195">
        <f t="shared" ca="1" si="681"/>
        <v>269745.44360601599</v>
      </c>
      <c r="AD3089" s="196">
        <f>IFERROR($G3089/SUMIF($A:$A,$A3089,$G:$G)*SUMIF(Summary!$A$166:$A$242,$A3089,Summary!$P$166:$P$242),0)</f>
        <v>55625.773869058947</v>
      </c>
      <c r="AE3089" s="197">
        <f t="shared" ca="1" si="682"/>
        <v>214119.66973695706</v>
      </c>
      <c r="AF3089" s="196">
        <f>IFERROR(G3089/SUMIF(A:A,A3089,G:G)*SUMIF(Summary!$A$166:$A$242,'Operations Support'!A3089,Summary!$Q$166:$Q$242),0)</f>
        <v>55724.317801141042</v>
      </c>
      <c r="AG3089" s="196">
        <f t="shared" ca="1" si="683"/>
        <v>214021.12580487496</v>
      </c>
      <c r="AH3089" s="180"/>
      <c r="AI3089" s="196">
        <f>IFERROR($G3089/SUMIF($A:$A,$A3089,$G:$G)*SUMIF(Summary!$A$247:$A$283,$A3089,Summary!$P$247:$P$283),0)</f>
        <v>10144.753028002848</v>
      </c>
      <c r="AJ3089" s="196">
        <f>IFERROR($G3089/SUMIF($A:$A,$A3089,$G:$G)*(SUMIF(Summary!$A$247:$A$283,$A3089,Summary!$L$247:$L$283)+SUMIF(Summary!$A$297:$A$333,$A3089,Summary!$L$297:$L$333))-AI3089,0)</f>
        <v>30106.686804547298</v>
      </c>
      <c r="AK3089" s="196">
        <f>IFERROR($G3089/SUMIF($A:$A,$A3089,$G:$G)*SUMIF(Summary!$A$247:$A$283,$A3089,Summary!$Q$247:$Q$283),0)</f>
        <v>10162.724982078209</v>
      </c>
      <c r="AL3089" s="196">
        <f>IFERROR($G3089/SUMIF($A:$A,$A3089,$G:$G)*(SUMIF(Summary!$A$247:$A$283,$A3089,Summary!$L$247:$L$283)+SUMIF(Summary!$A$297:$A$333,$A3089,Summary!$L$297:$L$333))-AK3089,0)</f>
        <v>30088.714850471937</v>
      </c>
      <c r="AM3089" s="198"/>
      <c r="AN3089" s="196">
        <f t="shared" ca="1" si="684"/>
        <v>244226.35654150436</v>
      </c>
      <c r="AO3089" s="196">
        <f t="shared" ca="1" si="685"/>
        <v>244109.8406553469</v>
      </c>
    </row>
    <row r="3090" spans="1:41">
      <c r="A3090" s="189">
        <v>11163</v>
      </c>
      <c r="B3090" s="190">
        <v>2</v>
      </c>
      <c r="C3090" s="191" t="s">
        <v>239</v>
      </c>
      <c r="D3090" s="192">
        <f t="shared" si="672"/>
        <v>1407</v>
      </c>
      <c r="E3090" s="192">
        <f t="shared" si="673"/>
        <v>31725</v>
      </c>
      <c r="F3090" s="192">
        <f t="shared" si="674"/>
        <v>0</v>
      </c>
      <c r="G3090" s="193">
        <f t="shared" si="675"/>
        <v>33132</v>
      </c>
      <c r="H3090" s="194">
        <v>159</v>
      </c>
      <c r="I3090" s="194">
        <v>10980</v>
      </c>
      <c r="J3090" s="194">
        <v>0</v>
      </c>
      <c r="K3090" s="193">
        <f t="shared" si="676"/>
        <v>11139</v>
      </c>
      <c r="L3090" s="194">
        <v>450</v>
      </c>
      <c r="M3090" s="194">
        <v>10212</v>
      </c>
      <c r="N3090" s="194">
        <v>0</v>
      </c>
      <c r="O3090" s="193">
        <f t="shared" si="677"/>
        <v>10662</v>
      </c>
      <c r="P3090" s="194">
        <v>798</v>
      </c>
      <c r="Q3090" s="194">
        <v>10533</v>
      </c>
      <c r="R3090" s="194">
        <v>0</v>
      </c>
      <c r="S3090" s="193">
        <f t="shared" si="678"/>
        <v>11331</v>
      </c>
      <c r="T3090" s="193">
        <f t="shared" si="679"/>
        <v>1104.4000000000001</v>
      </c>
      <c r="U3090" s="193">
        <f ca="1">OFFSET('Expenditure Study'!$B$7,'Operations Support'!$C3090,'Operations Support'!$B3090)*$G3090</f>
        <v>68914.559999999998</v>
      </c>
      <c r="V3090" s="199">
        <f ca="1">U3090*'Expenditure Study'!$B$31</f>
        <v>4071691.4082324482</v>
      </c>
      <c r="W3090" s="199">
        <f ca="1">IF(A3090=10298,1.51,1)*IF($B3090&lt;3,$D3090*'Expenditure Study'!$B$32*OFFSET('Expenditure Study'!$B$7,'Operations Support'!$C3090,'Operations Support'!$B3090),0)</f>
        <v>292.65600000000006</v>
      </c>
      <c r="X3090" s="200">
        <f ca="1">W3090*'Expenditure Study'!$B$31</f>
        <v>17291.047360204804</v>
      </c>
      <c r="Y3090" s="199">
        <f ca="1">U3090*'Expenditure Study'!$B$31</f>
        <v>4071691.4082324482</v>
      </c>
      <c r="Z3090" s="200">
        <f ca="1">W3090*'Expenditure Study'!$B$31</f>
        <v>17291.047360204804</v>
      </c>
      <c r="AA3090" s="195">
        <f t="shared" ca="1" si="680"/>
        <v>4088982.4555926528</v>
      </c>
      <c r="AB3090" s="195">
        <f t="shared" ca="1" si="681"/>
        <v>4088982.4555926528</v>
      </c>
      <c r="AD3090" s="196">
        <f>IFERROR($G3090/SUMIF($A:$A,$A3090,$G:$G)*SUMIF(Summary!$A$166:$A$242,$A3090,Summary!$P$166:$P$242),0)</f>
        <v>989260.94462139613</v>
      </c>
      <c r="AE3090" s="197">
        <f t="shared" ca="1" si="682"/>
        <v>3099721.5109712565</v>
      </c>
      <c r="AF3090" s="196">
        <f>IFERROR(G3090/SUMIF(A:A,A3090,G:G)*SUMIF(Summary!$A$166:$A$242,'Operations Support'!A3090,Summary!$Q$166:$Q$242),0)</f>
        <v>991013.4714908239</v>
      </c>
      <c r="AG3090" s="196">
        <f t="shared" ca="1" si="683"/>
        <v>3097968.9841018291</v>
      </c>
      <c r="AI3090" s="196">
        <f>IFERROR($G3090/SUMIF($A:$A,$A3090,$G:$G)*SUMIF(Summary!$A$247:$A$283,$A3090,Summary!$P$247:$P$283),0)</f>
        <v>180416.50956725192</v>
      </c>
      <c r="AJ3090" s="196">
        <f>IFERROR($G3090/SUMIF($A:$A,$A3090,$G:$G)*(SUMIF(Summary!$A$247:$A$283,$A3090,Summary!$L$247:$L$283)+SUMIF(Summary!$A$297:$A$333,$A3090,Summary!$L$297:$L$333))-AI3090,0)</f>
        <v>535423.91154496046</v>
      </c>
      <c r="AK3090" s="196">
        <f>IFERROR($G3090/SUMIF($A:$A,$A3090,$G:$G)*SUMIF(Summary!$A$247:$A$283,$A3090,Summary!$Q$247:$Q$283),0)</f>
        <v>180736.12673441504</v>
      </c>
      <c r="AL3090" s="196">
        <f>IFERROR($G3090/SUMIF($A:$A,$A3090,$G:$G)*(SUMIF(Summary!$A$247:$A$283,$A3090,Summary!$L$247:$L$283)+SUMIF(Summary!$A$297:$A$333,$A3090,Summary!$L$297:$L$333))-AK3090,0)</f>
        <v>535104.29437779728</v>
      </c>
      <c r="AM3090" s="198"/>
      <c r="AN3090" s="196">
        <f t="shared" ca="1" si="684"/>
        <v>3635145.422516217</v>
      </c>
      <c r="AO3090" s="196">
        <f t="shared" ca="1" si="685"/>
        <v>3633073.2784796264</v>
      </c>
    </row>
    <row r="3091" spans="1:41">
      <c r="A3091" s="189">
        <v>11163</v>
      </c>
      <c r="B3091" s="190">
        <v>2</v>
      </c>
      <c r="C3091" s="191" t="s">
        <v>240</v>
      </c>
      <c r="D3091" s="192">
        <f t="shared" si="672"/>
        <v>0</v>
      </c>
      <c r="E3091" s="192">
        <f t="shared" si="673"/>
        <v>0</v>
      </c>
      <c r="F3091" s="192">
        <f t="shared" si="674"/>
        <v>0</v>
      </c>
      <c r="G3091" s="193">
        <f t="shared" si="675"/>
        <v>0</v>
      </c>
      <c r="H3091" s="194">
        <v>0</v>
      </c>
      <c r="I3091" s="194">
        <v>0</v>
      </c>
      <c r="J3091" s="194">
        <v>0</v>
      </c>
      <c r="K3091" s="193">
        <f t="shared" si="676"/>
        <v>0</v>
      </c>
      <c r="L3091" s="194">
        <v>0</v>
      </c>
      <c r="M3091" s="194">
        <v>0</v>
      </c>
      <c r="N3091" s="194">
        <v>0</v>
      </c>
      <c r="O3091" s="193">
        <f t="shared" si="677"/>
        <v>0</v>
      </c>
      <c r="P3091" s="194">
        <v>0</v>
      </c>
      <c r="Q3091" s="194">
        <v>0</v>
      </c>
      <c r="R3091" s="194">
        <v>0</v>
      </c>
      <c r="S3091" s="193">
        <f t="shared" si="678"/>
        <v>0</v>
      </c>
      <c r="T3091" s="193">
        <f t="shared" si="679"/>
        <v>0</v>
      </c>
      <c r="U3091" s="193">
        <f ca="1">OFFSET('Expenditure Study'!$B$7,'Operations Support'!$C3091,'Operations Support'!$B3091)*$G3091</f>
        <v>0</v>
      </c>
      <c r="V3091" s="199">
        <f ca="1">U3091*'Expenditure Study'!$B$31</f>
        <v>0</v>
      </c>
      <c r="W3091" s="199">
        <f ca="1">IF(A3091=10298,1.51,1)*IF($B3091&lt;3,$D3091*'Expenditure Study'!$B$32*OFFSET('Expenditure Study'!$B$7,'Operations Support'!$C3091,'Operations Support'!$B3091),0)</f>
        <v>0</v>
      </c>
      <c r="X3091" s="200">
        <f ca="1">W3091*'Expenditure Study'!$B$31</f>
        <v>0</v>
      </c>
      <c r="Y3091" s="199">
        <f ca="1">U3091*'Expenditure Study'!$B$31</f>
        <v>0</v>
      </c>
      <c r="Z3091" s="200">
        <f ca="1">W3091*'Expenditure Study'!$B$31</f>
        <v>0</v>
      </c>
      <c r="AA3091" s="195">
        <f t="shared" ca="1" si="680"/>
        <v>0</v>
      </c>
      <c r="AB3091" s="195">
        <f t="shared" ca="1" si="681"/>
        <v>0</v>
      </c>
      <c r="AD3091" s="196">
        <f>IFERROR($G3091/SUMIF($A:$A,$A3091,$G:$G)*SUMIF(Summary!$A$166:$A$242,$A3091,Summary!$P$166:$P$242),0)</f>
        <v>0</v>
      </c>
      <c r="AE3091" s="197">
        <f t="shared" ca="1" si="682"/>
        <v>0</v>
      </c>
      <c r="AF3091" s="196">
        <f>IFERROR(G3091/SUMIF(A:A,A3091,G:G)*SUMIF(Summary!$A$166:$A$242,'Operations Support'!A3091,Summary!$Q$166:$Q$242),0)</f>
        <v>0</v>
      </c>
      <c r="AG3091" s="196">
        <f t="shared" ca="1" si="683"/>
        <v>0</v>
      </c>
      <c r="AI3091" s="196">
        <f>IFERROR($G3091/SUMIF($A:$A,$A3091,$G:$G)*SUMIF(Summary!$A$247:$A$283,$A3091,Summary!$P$247:$P$283),0)</f>
        <v>0</v>
      </c>
      <c r="AJ3091" s="196">
        <f>IFERROR($G3091/SUMIF($A:$A,$A3091,$G:$G)*(SUMIF(Summary!$A$247:$A$283,$A3091,Summary!$L$247:$L$283)+SUMIF(Summary!$A$297:$A$333,$A3091,Summary!$L$297:$L$333))-AI3091,0)</f>
        <v>0</v>
      </c>
      <c r="AK3091" s="196">
        <f>IFERROR($G3091/SUMIF($A:$A,$A3091,$G:$G)*SUMIF(Summary!$A$247:$A$283,$A3091,Summary!$Q$247:$Q$283),0)</f>
        <v>0</v>
      </c>
      <c r="AL3091" s="196">
        <f>IFERROR($G3091/SUMIF($A:$A,$A3091,$G:$G)*(SUMIF(Summary!$A$247:$A$283,$A3091,Summary!$L$247:$L$283)+SUMIF(Summary!$A$297:$A$333,$A3091,Summary!$L$297:$L$333))-AK3091,0)</f>
        <v>0</v>
      </c>
      <c r="AM3091" s="198"/>
      <c r="AN3091" s="196">
        <f t="shared" ca="1" si="684"/>
        <v>0</v>
      </c>
      <c r="AO3091" s="196">
        <f t="shared" ca="1" si="685"/>
        <v>0</v>
      </c>
    </row>
    <row r="3092" spans="1:41">
      <c r="A3092" s="189">
        <v>11163</v>
      </c>
      <c r="B3092" s="190">
        <v>3</v>
      </c>
      <c r="C3092" s="191" t="s">
        <v>220</v>
      </c>
      <c r="D3092" s="192">
        <f t="shared" si="672"/>
        <v>4649.3999999999996</v>
      </c>
      <c r="E3092" s="192">
        <f t="shared" si="673"/>
        <v>1452.6</v>
      </c>
      <c r="F3092" s="192">
        <f t="shared" si="674"/>
        <v>0</v>
      </c>
      <c r="G3092" s="193">
        <f t="shared" si="675"/>
        <v>6102</v>
      </c>
      <c r="H3092" s="194">
        <v>1539.3</v>
      </c>
      <c r="I3092" s="194">
        <v>791.7</v>
      </c>
      <c r="J3092" s="194">
        <v>0</v>
      </c>
      <c r="K3092" s="193">
        <f t="shared" si="676"/>
        <v>2331</v>
      </c>
      <c r="L3092" s="194">
        <v>1586.1</v>
      </c>
      <c r="M3092" s="194">
        <v>495.9</v>
      </c>
      <c r="N3092" s="194">
        <v>0</v>
      </c>
      <c r="O3092" s="193">
        <f t="shared" si="677"/>
        <v>2082</v>
      </c>
      <c r="P3092" s="194">
        <v>1524</v>
      </c>
      <c r="Q3092" s="194">
        <v>165</v>
      </c>
      <c r="R3092" s="194">
        <v>0</v>
      </c>
      <c r="S3092" s="193">
        <f t="shared" si="678"/>
        <v>1689</v>
      </c>
      <c r="T3092" s="193">
        <f t="shared" si="679"/>
        <v>254.25</v>
      </c>
      <c r="U3092" s="193">
        <f ca="1">OFFSET('Expenditure Study'!$B$7,'Operations Support'!$C3092,'Operations Support'!$B3092)*$G3092</f>
        <v>27214.92</v>
      </c>
      <c r="V3092" s="199">
        <f ca="1">U3092*'Expenditure Study'!$B$31</f>
        <v>1607944.0388175359</v>
      </c>
      <c r="W3092" s="199">
        <f ca="1">IF(A3092=10298,1.51,1)*IF($B3092&lt;3,$D3092*'Expenditure Study'!$B$32*OFFSET('Expenditure Study'!$B$7,'Operations Support'!$C3092,'Operations Support'!$B3092),0)</f>
        <v>0</v>
      </c>
      <c r="X3092" s="200">
        <f ca="1">W3092*'Expenditure Study'!$B$31</f>
        <v>0</v>
      </c>
      <c r="Y3092" s="199">
        <f ca="1">U3092*'Expenditure Study'!$B$31</f>
        <v>1607944.0388175359</v>
      </c>
      <c r="Z3092" s="200">
        <f ca="1">W3092*'Expenditure Study'!$B$31</f>
        <v>0</v>
      </c>
      <c r="AA3092" s="195">
        <f t="shared" ca="1" si="680"/>
        <v>1607944.0388175359</v>
      </c>
      <c r="AB3092" s="195">
        <f t="shared" ca="1" si="681"/>
        <v>1607944.0388175359</v>
      </c>
      <c r="AD3092" s="196">
        <f>IFERROR($G3092/SUMIF($A:$A,$A3092,$G:$G)*SUMIF(Summary!$A$166:$A$242,$A3092,Summary!$P$166:$P$242),0)</f>
        <v>182194.56368706265</v>
      </c>
      <c r="AE3092" s="197">
        <f t="shared" ca="1" si="682"/>
        <v>1425749.4751304733</v>
      </c>
      <c r="AF3092" s="196">
        <f>IFERROR(G3092/SUMIF(A:A,A3092,G:G)*SUMIF(Summary!$A$166:$A$242,'Operations Support'!A3092,Summary!$Q$166:$Q$242),0)</f>
        <v>182517.33076895474</v>
      </c>
      <c r="AG3092" s="196">
        <f t="shared" ca="1" si="683"/>
        <v>1425426.7080485811</v>
      </c>
      <c r="AI3092" s="196">
        <f>IFERROR($G3092/SUMIF($A:$A,$A3092,$G:$G)*SUMIF(Summary!$A$247:$A$283,$A3092,Summary!$P$247:$P$283),0)</f>
        <v>33227.741801864402</v>
      </c>
      <c r="AJ3092" s="196">
        <f>IFERROR($G3092/SUMIF($A:$A,$A3092,$G:$G)*(SUMIF(Summary!$A$247:$A$283,$A3092,Summary!$L$247:$L$283)+SUMIF(Summary!$A$297:$A$333,$A3092,Summary!$L$297:$L$333))-AI3092,0)</f>
        <v>98610.307504749129</v>
      </c>
      <c r="AK3092" s="196">
        <f>IFERROR($G3092/SUMIF($A:$A,$A3092,$G:$G)*SUMIF(Summary!$A$247:$A$283,$A3092,Summary!$Q$247:$Q$283),0)</f>
        <v>33286.606463038777</v>
      </c>
      <c r="AL3092" s="196">
        <f>IFERROR($G3092/SUMIF($A:$A,$A3092,$G:$G)*(SUMIF(Summary!$A$247:$A$283,$A3092,Summary!$L$247:$L$283)+SUMIF(Summary!$A$297:$A$333,$A3092,Summary!$L$297:$L$333))-AK3092,0)</f>
        <v>98551.442843574769</v>
      </c>
      <c r="AM3092" s="198"/>
      <c r="AN3092" s="196">
        <f t="shared" ca="1" si="684"/>
        <v>1524359.7826352224</v>
      </c>
      <c r="AO3092" s="196">
        <f t="shared" ca="1" si="685"/>
        <v>1523978.1508921559</v>
      </c>
    </row>
    <row r="3093" spans="1:41">
      <c r="A3093" s="189">
        <v>11163</v>
      </c>
      <c r="B3093" s="190">
        <v>3</v>
      </c>
      <c r="C3093" s="191" t="s">
        <v>221</v>
      </c>
      <c r="D3093" s="192">
        <f t="shared" si="672"/>
        <v>993</v>
      </c>
      <c r="E3093" s="192">
        <f t="shared" si="673"/>
        <v>204</v>
      </c>
      <c r="F3093" s="192">
        <f t="shared" si="674"/>
        <v>0</v>
      </c>
      <c r="G3093" s="193">
        <f t="shared" si="675"/>
        <v>1197</v>
      </c>
      <c r="H3093" s="194">
        <v>483</v>
      </c>
      <c r="I3093" s="194">
        <v>87</v>
      </c>
      <c r="J3093" s="194">
        <v>0</v>
      </c>
      <c r="K3093" s="193">
        <f t="shared" si="676"/>
        <v>570</v>
      </c>
      <c r="L3093" s="194">
        <v>441</v>
      </c>
      <c r="M3093" s="194">
        <v>117</v>
      </c>
      <c r="N3093" s="194">
        <v>0</v>
      </c>
      <c r="O3093" s="193">
        <f t="shared" si="677"/>
        <v>558</v>
      </c>
      <c r="P3093" s="194">
        <v>69</v>
      </c>
      <c r="Q3093" s="194">
        <v>0</v>
      </c>
      <c r="R3093" s="194">
        <v>0</v>
      </c>
      <c r="S3093" s="193">
        <f t="shared" si="678"/>
        <v>69</v>
      </c>
      <c r="T3093" s="193">
        <f t="shared" si="679"/>
        <v>49.875</v>
      </c>
      <c r="U3093" s="193">
        <f ca="1">OFFSET('Expenditure Study'!$B$7,'Operations Support'!$C3093,'Operations Support'!$B3093)*$G3093</f>
        <v>8379</v>
      </c>
      <c r="V3093" s="199">
        <f ca="1">U3093*'Expenditure Study'!$B$31</f>
        <v>495057.97192320001</v>
      </c>
      <c r="W3093" s="199">
        <f ca="1">IF(A3093=10298,1.51,1)*IF($B3093&lt;3,$D3093*'Expenditure Study'!$B$32*OFFSET('Expenditure Study'!$B$7,'Operations Support'!$C3093,'Operations Support'!$B3093),0)</f>
        <v>0</v>
      </c>
      <c r="X3093" s="200">
        <f ca="1">W3093*'Expenditure Study'!$B$31</f>
        <v>0</v>
      </c>
      <c r="Y3093" s="199">
        <f ca="1">U3093*'Expenditure Study'!$B$31</f>
        <v>495057.97192320001</v>
      </c>
      <c r="Z3093" s="200">
        <f ca="1">W3093*'Expenditure Study'!$B$31</f>
        <v>0</v>
      </c>
      <c r="AA3093" s="195">
        <f t="shared" ca="1" si="680"/>
        <v>495057.97192320001</v>
      </c>
      <c r="AB3093" s="195">
        <f t="shared" ca="1" si="681"/>
        <v>495057.97192320001</v>
      </c>
      <c r="AD3093" s="196">
        <f>IFERROR($G3093/SUMIF($A:$A,$A3093,$G:$G)*SUMIF(Summary!$A$166:$A$242,$A3093,Summary!$P$166:$P$242),0)</f>
        <v>35740.231519733527</v>
      </c>
      <c r="AE3093" s="197">
        <f t="shared" ca="1" si="682"/>
        <v>459317.74040346651</v>
      </c>
      <c r="AF3093" s="196">
        <f>IFERROR(G3093/SUMIF(A:A,A3093,G:G)*SUMIF(Summary!$A$166:$A$242,'Operations Support'!A3093,Summary!$Q$166:$Q$242),0)</f>
        <v>35803.547186240379</v>
      </c>
      <c r="AG3093" s="196">
        <f t="shared" ca="1" si="683"/>
        <v>459254.42473695963</v>
      </c>
      <c r="AI3093" s="196">
        <f>IFERROR($G3093/SUMIF($A:$A,$A3093,$G:$G)*SUMIF(Summary!$A$247:$A$283,$A3093,Summary!$P$247:$P$283),0)</f>
        <v>6518.1263416636657</v>
      </c>
      <c r="AJ3093" s="196">
        <f>IFERROR($G3093/SUMIF($A:$A,$A3093,$G:$G)*(SUMIF(Summary!$A$247:$A$283,$A3093,Summary!$L$247:$L$283)+SUMIF(Summary!$A$297:$A$333,$A3093,Summary!$L$297:$L$333))-AI3093,0)</f>
        <v>19343.909879250201</v>
      </c>
      <c r="AK3093" s="196">
        <f>IFERROR($G3093/SUMIF($A:$A,$A3093,$G:$G)*SUMIF(Summary!$A$247:$A$283,$A3093,Summary!$Q$247:$Q$283),0)</f>
        <v>6529.6735392096716</v>
      </c>
      <c r="AL3093" s="196">
        <f>IFERROR($G3093/SUMIF($A:$A,$A3093,$G:$G)*(SUMIF(Summary!$A$247:$A$283,$A3093,Summary!$L$247:$L$283)+SUMIF(Summary!$A$297:$A$333,$A3093,Summary!$L$297:$L$333))-AK3093,0)</f>
        <v>19332.362681704195</v>
      </c>
      <c r="AM3093" s="198"/>
      <c r="AN3093" s="196">
        <f t="shared" ca="1" si="684"/>
        <v>478661.65028271673</v>
      </c>
      <c r="AO3093" s="196">
        <f t="shared" ca="1" si="685"/>
        <v>478586.78741866385</v>
      </c>
    </row>
    <row r="3094" spans="1:41">
      <c r="A3094" s="189">
        <v>11163</v>
      </c>
      <c r="B3094" s="190">
        <v>3</v>
      </c>
      <c r="C3094" s="191" t="s">
        <v>222</v>
      </c>
      <c r="D3094" s="192">
        <f t="shared" si="672"/>
        <v>129</v>
      </c>
      <c r="E3094" s="192">
        <f t="shared" si="673"/>
        <v>18</v>
      </c>
      <c r="F3094" s="192">
        <f t="shared" si="674"/>
        <v>0</v>
      </c>
      <c r="G3094" s="193">
        <f t="shared" si="675"/>
        <v>147</v>
      </c>
      <c r="H3094" s="194">
        <v>54</v>
      </c>
      <c r="I3094" s="194">
        <v>3</v>
      </c>
      <c r="J3094" s="194">
        <v>0</v>
      </c>
      <c r="K3094" s="193">
        <f t="shared" si="676"/>
        <v>57</v>
      </c>
      <c r="L3094" s="194">
        <v>63</v>
      </c>
      <c r="M3094" s="194">
        <v>12</v>
      </c>
      <c r="N3094" s="194">
        <v>0</v>
      </c>
      <c r="O3094" s="193">
        <f t="shared" si="677"/>
        <v>75</v>
      </c>
      <c r="P3094" s="194">
        <v>12</v>
      </c>
      <c r="Q3094" s="194">
        <v>3</v>
      </c>
      <c r="R3094" s="194">
        <v>0</v>
      </c>
      <c r="S3094" s="193">
        <f t="shared" si="678"/>
        <v>15</v>
      </c>
      <c r="T3094" s="193">
        <f t="shared" si="679"/>
        <v>6.125</v>
      </c>
      <c r="U3094" s="193">
        <f ca="1">OFFSET('Expenditure Study'!$B$7,'Operations Support'!$C3094,'Operations Support'!$B3094)*$G3094</f>
        <v>1103.97</v>
      </c>
      <c r="V3094" s="199">
        <f ca="1">U3094*'Expenditure Study'!$B$31</f>
        <v>65226.059107776004</v>
      </c>
      <c r="W3094" s="199">
        <f ca="1">IF(A3094=10298,1.51,1)*IF($B3094&lt;3,$D3094*'Expenditure Study'!$B$32*OFFSET('Expenditure Study'!$B$7,'Operations Support'!$C3094,'Operations Support'!$B3094),0)</f>
        <v>0</v>
      </c>
      <c r="X3094" s="200">
        <f ca="1">W3094*'Expenditure Study'!$B$31</f>
        <v>0</v>
      </c>
      <c r="Y3094" s="199">
        <f ca="1">U3094*'Expenditure Study'!$B$31</f>
        <v>65226.059107776004</v>
      </c>
      <c r="Z3094" s="200">
        <f ca="1">W3094*'Expenditure Study'!$B$31</f>
        <v>0</v>
      </c>
      <c r="AA3094" s="195">
        <f t="shared" ca="1" si="680"/>
        <v>65226.059107776004</v>
      </c>
      <c r="AB3094" s="195">
        <f t="shared" ca="1" si="681"/>
        <v>65226.059107776004</v>
      </c>
      <c r="AD3094" s="196">
        <f>IFERROR($G3094/SUMIF($A:$A,$A3094,$G:$G)*SUMIF(Summary!$A$166:$A$242,$A3094,Summary!$P$166:$P$242),0)</f>
        <v>4389.1512392655213</v>
      </c>
      <c r="AE3094" s="197">
        <f t="shared" ca="1" si="682"/>
        <v>60836.907868510483</v>
      </c>
      <c r="AF3094" s="196">
        <f>IFERROR(G3094/SUMIF(A:A,A3094,G:G)*SUMIF(Summary!$A$166:$A$242,'Operations Support'!A3094,Summary!$Q$166:$Q$242),0)</f>
        <v>4396.9268474330293</v>
      </c>
      <c r="AG3094" s="196">
        <f t="shared" ca="1" si="683"/>
        <v>60829.132260342973</v>
      </c>
      <c r="AI3094" s="196">
        <f>IFERROR($G3094/SUMIF($A:$A,$A3094,$G:$G)*SUMIF(Summary!$A$247:$A$283,$A3094,Summary!$P$247:$P$283),0)</f>
        <v>800.47165599378354</v>
      </c>
      <c r="AJ3094" s="196">
        <f>IFERROR($G3094/SUMIF($A:$A,$A3094,$G:$G)*(SUMIF(Summary!$A$247:$A$283,$A3094,Summary!$L$247:$L$283)+SUMIF(Summary!$A$297:$A$333,$A3094,Summary!$L$297:$L$333))-AI3094,0)</f>
        <v>2375.5678799079196</v>
      </c>
      <c r="AK3094" s="196">
        <f>IFERROR($G3094/SUMIF($A:$A,$A3094,$G:$G)*SUMIF(Summary!$A$247:$A$283,$A3094,Summary!$Q$247:$Q$283),0)</f>
        <v>801.88973288539819</v>
      </c>
      <c r="AL3094" s="196">
        <f>IFERROR($G3094/SUMIF($A:$A,$A3094,$G:$G)*(SUMIF(Summary!$A$247:$A$283,$A3094,Summary!$L$247:$L$283)+SUMIF(Summary!$A$297:$A$333,$A3094,Summary!$L$297:$L$333))-AK3094,0)</f>
        <v>2374.1498030163048</v>
      </c>
      <c r="AM3094" s="198"/>
      <c r="AN3094" s="196">
        <f t="shared" ca="1" si="684"/>
        <v>63212.475748418401</v>
      </c>
      <c r="AO3094" s="196">
        <f t="shared" ca="1" si="685"/>
        <v>63203.282063359278</v>
      </c>
    </row>
    <row r="3095" spans="1:41">
      <c r="A3095" s="189">
        <v>11163</v>
      </c>
      <c r="B3095" s="190">
        <v>3</v>
      </c>
      <c r="C3095" s="191" t="s">
        <v>223</v>
      </c>
      <c r="D3095" s="192">
        <f t="shared" si="672"/>
        <v>4148.43</v>
      </c>
      <c r="E3095" s="192">
        <f t="shared" si="673"/>
        <v>2006.5700000000002</v>
      </c>
      <c r="F3095" s="192">
        <f t="shared" si="674"/>
        <v>0</v>
      </c>
      <c r="G3095" s="193">
        <f t="shared" si="675"/>
        <v>6155</v>
      </c>
      <c r="H3095" s="194">
        <v>1449</v>
      </c>
      <c r="I3095" s="194">
        <v>449</v>
      </c>
      <c r="J3095" s="194">
        <v>0</v>
      </c>
      <c r="K3095" s="193">
        <f t="shared" si="676"/>
        <v>1898</v>
      </c>
      <c r="L3095" s="194">
        <v>1503</v>
      </c>
      <c r="M3095" s="194">
        <v>691</v>
      </c>
      <c r="N3095" s="194">
        <v>0</v>
      </c>
      <c r="O3095" s="193">
        <f t="shared" si="677"/>
        <v>2194</v>
      </c>
      <c r="P3095" s="194">
        <v>1196.43</v>
      </c>
      <c r="Q3095" s="194">
        <v>866.57</v>
      </c>
      <c r="R3095" s="194">
        <v>0</v>
      </c>
      <c r="S3095" s="193">
        <f t="shared" si="678"/>
        <v>2063</v>
      </c>
      <c r="T3095" s="193">
        <f t="shared" si="679"/>
        <v>256.45833333333331</v>
      </c>
      <c r="U3095" s="193">
        <f ca="1">OFFSET('Expenditure Study'!$B$7,'Operations Support'!$C3095,'Operations Support'!$B3095)*$G3095</f>
        <v>13787.2</v>
      </c>
      <c r="V3095" s="199">
        <f ca="1">U3095*'Expenditure Study'!$B$31</f>
        <v>814591.63032576011</v>
      </c>
      <c r="W3095" s="199">
        <f ca="1">IF(A3095=10298,1.51,1)*IF($B3095&lt;3,$D3095*'Expenditure Study'!$B$32*OFFSET('Expenditure Study'!$B$7,'Operations Support'!$C3095,'Operations Support'!$B3095),0)</f>
        <v>0</v>
      </c>
      <c r="X3095" s="200">
        <f ca="1">W3095*'Expenditure Study'!$B$31</f>
        <v>0</v>
      </c>
      <c r="Y3095" s="199">
        <f ca="1">U3095*'Expenditure Study'!$B$31</f>
        <v>814591.63032576011</v>
      </c>
      <c r="Z3095" s="200">
        <f ca="1">W3095*'Expenditure Study'!$B$31</f>
        <v>0</v>
      </c>
      <c r="AA3095" s="195">
        <f t="shared" ca="1" si="680"/>
        <v>814591.63032576011</v>
      </c>
      <c r="AB3095" s="195">
        <f t="shared" ca="1" si="681"/>
        <v>814591.63032576011</v>
      </c>
      <c r="AD3095" s="196">
        <f>IFERROR($G3095/SUMIF($A:$A,$A3095,$G:$G)*SUMIF(Summary!$A$166:$A$242,$A3095,Summary!$P$166:$P$242),0)</f>
        <v>183777.04678693388</v>
      </c>
      <c r="AE3095" s="197">
        <f t="shared" ca="1" si="682"/>
        <v>630814.58353882621</v>
      </c>
      <c r="AF3095" s="196">
        <f>IFERROR(G3095/SUMIF(A:A,A3095,G:G)*SUMIF(Summary!$A$166:$A$242,'Operations Support'!A3095,Summary!$Q$166:$Q$242),0)</f>
        <v>184102.61731938977</v>
      </c>
      <c r="AG3095" s="196">
        <f t="shared" ca="1" si="683"/>
        <v>630489.01300637028</v>
      </c>
      <c r="AI3095" s="196">
        <f>IFERROR($G3095/SUMIF($A:$A,$A3095,$G:$G)*SUMIF(Summary!$A$247:$A$283,$A3095,Summary!$P$247:$P$283),0)</f>
        <v>33516.34722885536</v>
      </c>
      <c r="AJ3095" s="196">
        <f>IFERROR($G3095/SUMIF($A:$A,$A3095,$G:$G)*(SUMIF(Summary!$A$247:$A$283,$A3095,Summary!$L$247:$L$283)+SUMIF(Summary!$A$297:$A$333,$A3095,Summary!$L$297:$L$333))-AI3095,0)</f>
        <v>99466.804767573078</v>
      </c>
      <c r="AK3095" s="196">
        <f>IFERROR($G3095/SUMIF($A:$A,$A3095,$G:$G)*SUMIF(Summary!$A$247:$A$283,$A3095,Summary!$Q$247:$Q$283),0)</f>
        <v>33575.723169453238</v>
      </c>
      <c r="AL3095" s="196">
        <f>IFERROR($G3095/SUMIF($A:$A,$A3095,$G:$G)*(SUMIF(Summary!$A$247:$A$283,$A3095,Summary!$L$247:$L$283)+SUMIF(Summary!$A$297:$A$333,$A3095,Summary!$L$297:$L$333))-AK3095,0)</f>
        <v>99407.4288269752</v>
      </c>
      <c r="AM3095" s="198"/>
      <c r="AN3095" s="196">
        <f t="shared" ca="1" si="684"/>
        <v>730281.38830639934</v>
      </c>
      <c r="AO3095" s="196">
        <f t="shared" ca="1" si="685"/>
        <v>729896.44183334545</v>
      </c>
    </row>
    <row r="3096" spans="1:41">
      <c r="A3096" s="189">
        <v>11163</v>
      </c>
      <c r="B3096" s="190">
        <v>3</v>
      </c>
      <c r="C3096" s="191" t="s">
        <v>224</v>
      </c>
      <c r="D3096" s="192">
        <f t="shared" si="672"/>
        <v>0</v>
      </c>
      <c r="E3096" s="192">
        <f t="shared" si="673"/>
        <v>0</v>
      </c>
      <c r="F3096" s="192">
        <f t="shared" si="674"/>
        <v>0</v>
      </c>
      <c r="G3096" s="193">
        <f t="shared" si="675"/>
        <v>0</v>
      </c>
      <c r="H3096" s="194">
        <v>0</v>
      </c>
      <c r="I3096" s="194">
        <v>0</v>
      </c>
      <c r="J3096" s="194">
        <v>0</v>
      </c>
      <c r="K3096" s="193">
        <f t="shared" si="676"/>
        <v>0</v>
      </c>
      <c r="L3096" s="194">
        <v>0</v>
      </c>
      <c r="M3096" s="194">
        <v>0</v>
      </c>
      <c r="N3096" s="194">
        <v>0</v>
      </c>
      <c r="O3096" s="193">
        <f t="shared" si="677"/>
        <v>0</v>
      </c>
      <c r="P3096" s="194">
        <v>0</v>
      </c>
      <c r="Q3096" s="194">
        <v>0</v>
      </c>
      <c r="R3096" s="194">
        <v>0</v>
      </c>
      <c r="S3096" s="193">
        <f t="shared" si="678"/>
        <v>0</v>
      </c>
      <c r="T3096" s="193">
        <f t="shared" si="679"/>
        <v>0</v>
      </c>
      <c r="U3096" s="193">
        <f ca="1">OFFSET('Expenditure Study'!$B$7,'Operations Support'!$C3096,'Operations Support'!$B3096)*$G3096</f>
        <v>0</v>
      </c>
      <c r="V3096" s="199">
        <f ca="1">U3096*'Expenditure Study'!$B$31</f>
        <v>0</v>
      </c>
      <c r="W3096" s="199">
        <f ca="1">IF(A3096=10298,1.51,1)*IF($B3096&lt;3,$D3096*'Expenditure Study'!$B$32*OFFSET('Expenditure Study'!$B$7,'Operations Support'!$C3096,'Operations Support'!$B3096),0)</f>
        <v>0</v>
      </c>
      <c r="X3096" s="200">
        <f ca="1">W3096*'Expenditure Study'!$B$31</f>
        <v>0</v>
      </c>
      <c r="Y3096" s="199">
        <f ca="1">U3096*'Expenditure Study'!$B$31</f>
        <v>0</v>
      </c>
      <c r="Z3096" s="200">
        <f ca="1">W3096*'Expenditure Study'!$B$31</f>
        <v>0</v>
      </c>
      <c r="AA3096" s="195">
        <f t="shared" ca="1" si="680"/>
        <v>0</v>
      </c>
      <c r="AB3096" s="195">
        <f t="shared" ca="1" si="681"/>
        <v>0</v>
      </c>
      <c r="AD3096" s="196">
        <f>IFERROR($G3096/SUMIF($A:$A,$A3096,$G:$G)*SUMIF(Summary!$A$166:$A$242,$A3096,Summary!$P$166:$P$242),0)</f>
        <v>0</v>
      </c>
      <c r="AE3096" s="197">
        <f t="shared" ca="1" si="682"/>
        <v>0</v>
      </c>
      <c r="AF3096" s="196">
        <f>IFERROR(G3096/SUMIF(A:A,A3096,G:G)*SUMIF(Summary!$A$166:$A$242,'Operations Support'!A3096,Summary!$Q$166:$Q$242),0)</f>
        <v>0</v>
      </c>
      <c r="AG3096" s="196">
        <f t="shared" ca="1" si="683"/>
        <v>0</v>
      </c>
      <c r="AI3096" s="196">
        <f>IFERROR($G3096/SUMIF($A:$A,$A3096,$G:$G)*SUMIF(Summary!$A$247:$A$283,$A3096,Summary!$P$247:$P$283),0)</f>
        <v>0</v>
      </c>
      <c r="AJ3096" s="196">
        <f>IFERROR($G3096/SUMIF($A:$A,$A3096,$G:$G)*(SUMIF(Summary!$A$247:$A$283,$A3096,Summary!$L$247:$L$283)+SUMIF(Summary!$A$297:$A$333,$A3096,Summary!$L$297:$L$333))-AI3096,0)</f>
        <v>0</v>
      </c>
      <c r="AK3096" s="196">
        <f>IFERROR($G3096/SUMIF($A:$A,$A3096,$G:$G)*SUMIF(Summary!$A$247:$A$283,$A3096,Summary!$Q$247:$Q$283),0)</f>
        <v>0</v>
      </c>
      <c r="AL3096" s="196">
        <f>IFERROR($G3096/SUMIF($A:$A,$A3096,$G:$G)*(SUMIF(Summary!$A$247:$A$283,$A3096,Summary!$L$247:$L$283)+SUMIF(Summary!$A$297:$A$333,$A3096,Summary!$L$297:$L$333))-AK3096,0)</f>
        <v>0</v>
      </c>
      <c r="AM3096" s="198"/>
      <c r="AN3096" s="196">
        <f t="shared" ca="1" si="684"/>
        <v>0</v>
      </c>
      <c r="AO3096" s="196">
        <f t="shared" ca="1" si="685"/>
        <v>0</v>
      </c>
    </row>
    <row r="3097" spans="1:41">
      <c r="A3097" s="189">
        <v>11163</v>
      </c>
      <c r="B3097" s="190">
        <v>3</v>
      </c>
      <c r="C3097" s="191" t="s">
        <v>225</v>
      </c>
      <c r="D3097" s="192">
        <f t="shared" si="672"/>
        <v>1919</v>
      </c>
      <c r="E3097" s="192">
        <f t="shared" si="673"/>
        <v>300</v>
      </c>
      <c r="F3097" s="192">
        <f t="shared" si="674"/>
        <v>0</v>
      </c>
      <c r="G3097" s="193">
        <f t="shared" si="675"/>
        <v>2219</v>
      </c>
      <c r="H3097" s="194">
        <v>853</v>
      </c>
      <c r="I3097" s="194">
        <v>159</v>
      </c>
      <c r="J3097" s="194">
        <v>0</v>
      </c>
      <c r="K3097" s="193">
        <f t="shared" si="676"/>
        <v>1012</v>
      </c>
      <c r="L3097" s="194">
        <v>831</v>
      </c>
      <c r="M3097" s="194">
        <v>141</v>
      </c>
      <c r="N3097" s="194">
        <v>0</v>
      </c>
      <c r="O3097" s="193">
        <f t="shared" si="677"/>
        <v>972</v>
      </c>
      <c r="P3097" s="194">
        <v>235</v>
      </c>
      <c r="Q3097" s="194">
        <v>0</v>
      </c>
      <c r="R3097" s="194">
        <v>0</v>
      </c>
      <c r="S3097" s="193">
        <f t="shared" si="678"/>
        <v>235</v>
      </c>
      <c r="T3097" s="193">
        <f t="shared" si="679"/>
        <v>92.458333333333329</v>
      </c>
      <c r="U3097" s="193">
        <f ca="1">OFFSET('Expenditure Study'!$B$7,'Operations Support'!$C3097,'Operations Support'!$B3097)*$G3097</f>
        <v>15333.29</v>
      </c>
      <c r="V3097" s="199">
        <f ca="1">U3097*'Expenditure Study'!$B$31</f>
        <v>905939.54532883212</v>
      </c>
      <c r="W3097" s="199">
        <f ca="1">IF(A3097=10298,1.51,1)*IF($B3097&lt;3,$D3097*'Expenditure Study'!$B$32*OFFSET('Expenditure Study'!$B$7,'Operations Support'!$C3097,'Operations Support'!$B3097),0)</f>
        <v>0</v>
      </c>
      <c r="X3097" s="200">
        <f ca="1">W3097*'Expenditure Study'!$B$31</f>
        <v>0</v>
      </c>
      <c r="Y3097" s="199">
        <f ca="1">U3097*'Expenditure Study'!$B$31</f>
        <v>905939.54532883212</v>
      </c>
      <c r="Z3097" s="200">
        <f ca="1">W3097*'Expenditure Study'!$B$31</f>
        <v>0</v>
      </c>
      <c r="AA3097" s="195">
        <f t="shared" ca="1" si="680"/>
        <v>905939.54532883212</v>
      </c>
      <c r="AB3097" s="195">
        <f t="shared" ca="1" si="681"/>
        <v>905939.54532883212</v>
      </c>
      <c r="AD3097" s="196">
        <f>IFERROR($G3097/SUMIF($A:$A,$A3097,$G:$G)*SUMIF(Summary!$A$166:$A$242,$A3097,Summary!$P$166:$P$242),0)</f>
        <v>66255.282992722394</v>
      </c>
      <c r="AE3097" s="197">
        <f t="shared" ca="1" si="682"/>
        <v>839684.26233610976</v>
      </c>
      <c r="AF3097" s="196">
        <f>IFERROR(G3097/SUMIF(A:A,A3097,G:G)*SUMIF(Summary!$A$166:$A$242,'Operations Support'!A3097,Summary!$Q$166:$Q$242),0)</f>
        <v>66372.657649346205</v>
      </c>
      <c r="AG3097" s="196">
        <f t="shared" ca="1" si="683"/>
        <v>839566.88767948595</v>
      </c>
      <c r="AI3097" s="196">
        <f>IFERROR($G3097/SUMIF($A:$A,$A3097,$G:$G)*SUMIF(Summary!$A$247:$A$283,$A3097,Summary!$P$247:$P$283),0)</f>
        <v>12083.310235715686</v>
      </c>
      <c r="AJ3097" s="196">
        <f>IFERROR($G3097/SUMIF($A:$A,$A3097,$G:$G)*(SUMIF(Summary!$A$247:$A$283,$A3097,Summary!$L$247:$L$283)+SUMIF(Summary!$A$297:$A$333,$A3097,Summary!$L$297:$L$333))-AI3097,0)</f>
        <v>35859.762758610013</v>
      </c>
      <c r="AK3097" s="196">
        <f>IFERROR($G3097/SUMIF($A:$A,$A3097,$G:$G)*SUMIF(Summary!$A$247:$A$283,$A3097,Summary!$Q$247:$Q$283),0)</f>
        <v>12104.716444031965</v>
      </c>
      <c r="AL3097" s="196">
        <f>IFERROR($G3097/SUMIF($A:$A,$A3097,$G:$G)*(SUMIF(Summary!$A$247:$A$283,$A3097,Summary!$L$247:$L$283)+SUMIF(Summary!$A$297:$A$333,$A3097,Summary!$L$297:$L$333))-AK3097,0)</f>
        <v>35838.356550293742</v>
      </c>
      <c r="AM3097" s="198"/>
      <c r="AN3097" s="196">
        <f t="shared" ca="1" si="684"/>
        <v>875544.02509471984</v>
      </c>
      <c r="AO3097" s="196">
        <f t="shared" ca="1" si="685"/>
        <v>875405.2442297797</v>
      </c>
    </row>
    <row r="3098" spans="1:41">
      <c r="A3098" s="189">
        <v>11163</v>
      </c>
      <c r="B3098" s="190">
        <v>3</v>
      </c>
      <c r="C3098" s="191" t="s">
        <v>226</v>
      </c>
      <c r="D3098" s="192">
        <f t="shared" si="672"/>
        <v>0</v>
      </c>
      <c r="E3098" s="192">
        <f t="shared" si="673"/>
        <v>0</v>
      </c>
      <c r="F3098" s="192">
        <f t="shared" si="674"/>
        <v>0</v>
      </c>
      <c r="G3098" s="193">
        <f t="shared" si="675"/>
        <v>0</v>
      </c>
      <c r="H3098" s="194">
        <v>0</v>
      </c>
      <c r="I3098" s="194">
        <v>0</v>
      </c>
      <c r="J3098" s="194">
        <v>0</v>
      </c>
      <c r="K3098" s="193">
        <f t="shared" si="676"/>
        <v>0</v>
      </c>
      <c r="L3098" s="194">
        <v>0</v>
      </c>
      <c r="M3098" s="194">
        <v>0</v>
      </c>
      <c r="N3098" s="194">
        <v>0</v>
      </c>
      <c r="O3098" s="193">
        <f t="shared" si="677"/>
        <v>0</v>
      </c>
      <c r="P3098" s="194">
        <v>0</v>
      </c>
      <c r="Q3098" s="194">
        <v>0</v>
      </c>
      <c r="R3098" s="194">
        <v>0</v>
      </c>
      <c r="S3098" s="193">
        <f t="shared" si="678"/>
        <v>0</v>
      </c>
      <c r="T3098" s="193">
        <f t="shared" si="679"/>
        <v>0</v>
      </c>
      <c r="U3098" s="193">
        <f ca="1">OFFSET('Expenditure Study'!$B$7,'Operations Support'!$C3098,'Operations Support'!$B3098)*$G3098</f>
        <v>0</v>
      </c>
      <c r="V3098" s="199">
        <f ca="1">U3098*'Expenditure Study'!$B$31</f>
        <v>0</v>
      </c>
      <c r="W3098" s="199">
        <f ca="1">IF(A3098=10298,1.51,1)*IF($B3098&lt;3,$D3098*'Expenditure Study'!$B$32*OFFSET('Expenditure Study'!$B$7,'Operations Support'!$C3098,'Operations Support'!$B3098),0)</f>
        <v>0</v>
      </c>
      <c r="X3098" s="200">
        <f ca="1">W3098*'Expenditure Study'!$B$31</f>
        <v>0</v>
      </c>
      <c r="Y3098" s="199">
        <f ca="1">U3098*'Expenditure Study'!$B$31</f>
        <v>0</v>
      </c>
      <c r="Z3098" s="200">
        <f ca="1">W3098*'Expenditure Study'!$B$31</f>
        <v>0</v>
      </c>
      <c r="AA3098" s="195">
        <f t="shared" ca="1" si="680"/>
        <v>0</v>
      </c>
      <c r="AB3098" s="195">
        <f t="shared" ca="1" si="681"/>
        <v>0</v>
      </c>
      <c r="AD3098" s="196">
        <f>IFERROR($G3098/SUMIF($A:$A,$A3098,$G:$G)*SUMIF(Summary!$A$166:$A$242,$A3098,Summary!$P$166:$P$242),0)</f>
        <v>0</v>
      </c>
      <c r="AE3098" s="197">
        <f t="shared" ca="1" si="682"/>
        <v>0</v>
      </c>
      <c r="AF3098" s="196">
        <f>IFERROR(G3098/SUMIF(A:A,A3098,G:G)*SUMIF(Summary!$A$166:$A$242,'Operations Support'!A3098,Summary!$Q$166:$Q$242),0)</f>
        <v>0</v>
      </c>
      <c r="AG3098" s="196">
        <f t="shared" ca="1" si="683"/>
        <v>0</v>
      </c>
      <c r="AI3098" s="196">
        <f>IFERROR($G3098/SUMIF($A:$A,$A3098,$G:$G)*SUMIF(Summary!$A$247:$A$283,$A3098,Summary!$P$247:$P$283),0)</f>
        <v>0</v>
      </c>
      <c r="AJ3098" s="196">
        <f>IFERROR($G3098/SUMIF($A:$A,$A3098,$G:$G)*(SUMIF(Summary!$A$247:$A$283,$A3098,Summary!$L$247:$L$283)+SUMIF(Summary!$A$297:$A$333,$A3098,Summary!$L$297:$L$333))-AI3098,0)</f>
        <v>0</v>
      </c>
      <c r="AK3098" s="196">
        <f>IFERROR($G3098/SUMIF($A:$A,$A3098,$G:$G)*SUMIF(Summary!$A$247:$A$283,$A3098,Summary!$Q$247:$Q$283),0)</f>
        <v>0</v>
      </c>
      <c r="AL3098" s="196">
        <f>IFERROR($G3098/SUMIF($A:$A,$A3098,$G:$G)*(SUMIF(Summary!$A$247:$A$283,$A3098,Summary!$L$247:$L$283)+SUMIF(Summary!$A$297:$A$333,$A3098,Summary!$L$297:$L$333))-AK3098,0)</f>
        <v>0</v>
      </c>
      <c r="AM3098" s="198"/>
      <c r="AN3098" s="196">
        <f t="shared" ca="1" si="684"/>
        <v>0</v>
      </c>
      <c r="AO3098" s="196">
        <f t="shared" ca="1" si="685"/>
        <v>0</v>
      </c>
    </row>
    <row r="3099" spans="1:41">
      <c r="A3099" s="189">
        <v>11163</v>
      </c>
      <c r="B3099" s="190">
        <v>3</v>
      </c>
      <c r="C3099" s="191" t="s">
        <v>227</v>
      </c>
      <c r="D3099" s="192">
        <f t="shared" si="672"/>
        <v>0</v>
      </c>
      <c r="E3099" s="192">
        <f t="shared" si="673"/>
        <v>0</v>
      </c>
      <c r="F3099" s="192">
        <f t="shared" si="674"/>
        <v>0</v>
      </c>
      <c r="G3099" s="193">
        <f t="shared" si="675"/>
        <v>0</v>
      </c>
      <c r="H3099" s="194">
        <v>0</v>
      </c>
      <c r="I3099" s="194">
        <v>0</v>
      </c>
      <c r="J3099" s="194">
        <v>0</v>
      </c>
      <c r="K3099" s="193">
        <f t="shared" si="676"/>
        <v>0</v>
      </c>
      <c r="L3099" s="194">
        <v>0</v>
      </c>
      <c r="M3099" s="194">
        <v>0</v>
      </c>
      <c r="N3099" s="194">
        <v>0</v>
      </c>
      <c r="O3099" s="193">
        <f t="shared" si="677"/>
        <v>0</v>
      </c>
      <c r="P3099" s="194">
        <v>0</v>
      </c>
      <c r="Q3099" s="194">
        <v>0</v>
      </c>
      <c r="R3099" s="194">
        <v>0</v>
      </c>
      <c r="S3099" s="193">
        <f t="shared" si="678"/>
        <v>0</v>
      </c>
      <c r="T3099" s="193">
        <f t="shared" si="679"/>
        <v>0</v>
      </c>
      <c r="U3099" s="193">
        <f ca="1">OFFSET('Expenditure Study'!$B$7,'Operations Support'!$C3099,'Operations Support'!$B3099)*$G3099</f>
        <v>0</v>
      </c>
      <c r="V3099" s="199">
        <f ca="1">U3099*'Expenditure Study'!$B$31</f>
        <v>0</v>
      </c>
      <c r="W3099" s="199">
        <f ca="1">IF(A3099=10298,1.51,1)*IF($B3099&lt;3,$D3099*'Expenditure Study'!$B$32*OFFSET('Expenditure Study'!$B$7,'Operations Support'!$C3099,'Operations Support'!$B3099),0)</f>
        <v>0</v>
      </c>
      <c r="X3099" s="200">
        <f ca="1">W3099*'Expenditure Study'!$B$31</f>
        <v>0</v>
      </c>
      <c r="Y3099" s="199">
        <f ca="1">U3099*'Expenditure Study'!$B$31</f>
        <v>0</v>
      </c>
      <c r="Z3099" s="200">
        <f ca="1">W3099*'Expenditure Study'!$B$31</f>
        <v>0</v>
      </c>
      <c r="AA3099" s="195">
        <f t="shared" ca="1" si="680"/>
        <v>0</v>
      </c>
      <c r="AB3099" s="195">
        <f t="shared" ca="1" si="681"/>
        <v>0</v>
      </c>
      <c r="AD3099" s="196">
        <f>IFERROR($G3099/SUMIF($A:$A,$A3099,$G:$G)*SUMIF(Summary!$A$166:$A$242,$A3099,Summary!$P$166:$P$242),0)</f>
        <v>0</v>
      </c>
      <c r="AE3099" s="197">
        <f t="shared" ca="1" si="682"/>
        <v>0</v>
      </c>
      <c r="AF3099" s="196">
        <f>IFERROR(G3099/SUMIF(A:A,A3099,G:G)*SUMIF(Summary!$A$166:$A$242,'Operations Support'!A3099,Summary!$Q$166:$Q$242),0)</f>
        <v>0</v>
      </c>
      <c r="AG3099" s="196">
        <f t="shared" ca="1" si="683"/>
        <v>0</v>
      </c>
      <c r="AI3099" s="196">
        <f>IFERROR($G3099/SUMIF($A:$A,$A3099,$G:$G)*SUMIF(Summary!$A$247:$A$283,$A3099,Summary!$P$247:$P$283),0)</f>
        <v>0</v>
      </c>
      <c r="AJ3099" s="196">
        <f>IFERROR($G3099/SUMIF($A:$A,$A3099,$G:$G)*(SUMIF(Summary!$A$247:$A$283,$A3099,Summary!$L$247:$L$283)+SUMIF(Summary!$A$297:$A$333,$A3099,Summary!$L$297:$L$333))-AI3099,0)</f>
        <v>0</v>
      </c>
      <c r="AK3099" s="196">
        <f>IFERROR($G3099/SUMIF($A:$A,$A3099,$G:$G)*SUMIF(Summary!$A$247:$A$283,$A3099,Summary!$Q$247:$Q$283),0)</f>
        <v>0</v>
      </c>
      <c r="AL3099" s="196">
        <f>IFERROR($G3099/SUMIF($A:$A,$A3099,$G:$G)*(SUMIF(Summary!$A$247:$A$283,$A3099,Summary!$L$247:$L$283)+SUMIF(Summary!$A$297:$A$333,$A3099,Summary!$L$297:$L$333))-AK3099,0)</f>
        <v>0</v>
      </c>
      <c r="AM3099" s="198"/>
      <c r="AN3099" s="196">
        <f t="shared" ca="1" si="684"/>
        <v>0</v>
      </c>
      <c r="AO3099" s="196">
        <f t="shared" ca="1" si="685"/>
        <v>0</v>
      </c>
    </row>
    <row r="3100" spans="1:41">
      <c r="A3100" s="189">
        <v>11163</v>
      </c>
      <c r="B3100" s="190">
        <v>3</v>
      </c>
      <c r="C3100" s="191" t="s">
        <v>228</v>
      </c>
      <c r="D3100" s="192">
        <f t="shared" si="672"/>
        <v>0</v>
      </c>
      <c r="E3100" s="192">
        <f t="shared" si="673"/>
        <v>0</v>
      </c>
      <c r="F3100" s="192">
        <f t="shared" si="674"/>
        <v>0</v>
      </c>
      <c r="G3100" s="193">
        <f t="shared" si="675"/>
        <v>0</v>
      </c>
      <c r="H3100" s="194">
        <v>0</v>
      </c>
      <c r="I3100" s="194">
        <v>0</v>
      </c>
      <c r="J3100" s="194">
        <v>0</v>
      </c>
      <c r="K3100" s="193">
        <f t="shared" si="676"/>
        <v>0</v>
      </c>
      <c r="L3100" s="194">
        <v>0</v>
      </c>
      <c r="M3100" s="194">
        <v>0</v>
      </c>
      <c r="N3100" s="194">
        <v>0</v>
      </c>
      <c r="O3100" s="193">
        <f t="shared" si="677"/>
        <v>0</v>
      </c>
      <c r="P3100" s="194">
        <v>0</v>
      </c>
      <c r="Q3100" s="194">
        <v>0</v>
      </c>
      <c r="R3100" s="194">
        <v>0</v>
      </c>
      <c r="S3100" s="193">
        <f t="shared" si="678"/>
        <v>0</v>
      </c>
      <c r="T3100" s="193">
        <f t="shared" si="679"/>
        <v>0</v>
      </c>
      <c r="U3100" s="193">
        <f ca="1">OFFSET('Expenditure Study'!$B$7,'Operations Support'!$C3100,'Operations Support'!$B3100)*$G3100</f>
        <v>0</v>
      </c>
      <c r="V3100" s="199">
        <f ca="1">U3100*'Expenditure Study'!$B$31</f>
        <v>0</v>
      </c>
      <c r="W3100" s="199">
        <f ca="1">IF(A3100=10298,1.51,1)*IF($B3100&lt;3,$D3100*'Expenditure Study'!$B$32*OFFSET('Expenditure Study'!$B$7,'Operations Support'!$C3100,'Operations Support'!$B3100),0)</f>
        <v>0</v>
      </c>
      <c r="X3100" s="200">
        <f ca="1">W3100*'Expenditure Study'!$B$31</f>
        <v>0</v>
      </c>
      <c r="Y3100" s="199">
        <f ca="1">U3100*'Expenditure Study'!$B$31</f>
        <v>0</v>
      </c>
      <c r="Z3100" s="200">
        <f ca="1">W3100*'Expenditure Study'!$B$31</f>
        <v>0</v>
      </c>
      <c r="AA3100" s="195">
        <f t="shared" ca="1" si="680"/>
        <v>0</v>
      </c>
      <c r="AB3100" s="195">
        <f t="shared" ca="1" si="681"/>
        <v>0</v>
      </c>
      <c r="AD3100" s="196">
        <f>IFERROR($G3100/SUMIF($A:$A,$A3100,$G:$G)*SUMIF(Summary!$A$166:$A$242,$A3100,Summary!$P$166:$P$242),0)</f>
        <v>0</v>
      </c>
      <c r="AE3100" s="197">
        <f t="shared" ca="1" si="682"/>
        <v>0</v>
      </c>
      <c r="AF3100" s="196">
        <f>IFERROR(G3100/SUMIF(A:A,A3100,G:G)*SUMIF(Summary!$A$166:$A$242,'Operations Support'!A3100,Summary!$Q$166:$Q$242),0)</f>
        <v>0</v>
      </c>
      <c r="AG3100" s="196">
        <f t="shared" ca="1" si="683"/>
        <v>0</v>
      </c>
      <c r="AI3100" s="196">
        <f>IFERROR($G3100/SUMIF($A:$A,$A3100,$G:$G)*SUMIF(Summary!$A$247:$A$283,$A3100,Summary!$P$247:$P$283),0)</f>
        <v>0</v>
      </c>
      <c r="AJ3100" s="196">
        <f>IFERROR($G3100/SUMIF($A:$A,$A3100,$G:$G)*(SUMIF(Summary!$A$247:$A$283,$A3100,Summary!$L$247:$L$283)+SUMIF(Summary!$A$297:$A$333,$A3100,Summary!$L$297:$L$333))-AI3100,0)</f>
        <v>0</v>
      </c>
      <c r="AK3100" s="196">
        <f>IFERROR($G3100/SUMIF($A:$A,$A3100,$G:$G)*SUMIF(Summary!$A$247:$A$283,$A3100,Summary!$Q$247:$Q$283),0)</f>
        <v>0</v>
      </c>
      <c r="AL3100" s="196">
        <f>IFERROR($G3100/SUMIF($A:$A,$A3100,$G:$G)*(SUMIF(Summary!$A$247:$A$283,$A3100,Summary!$L$247:$L$283)+SUMIF(Summary!$A$297:$A$333,$A3100,Summary!$L$297:$L$333))-AK3100,0)</f>
        <v>0</v>
      </c>
      <c r="AM3100" s="198"/>
      <c r="AN3100" s="196">
        <f t="shared" ca="1" si="684"/>
        <v>0</v>
      </c>
      <c r="AO3100" s="196">
        <f t="shared" ca="1" si="685"/>
        <v>0</v>
      </c>
    </row>
    <row r="3101" spans="1:41">
      <c r="A3101" s="189">
        <v>11163</v>
      </c>
      <c r="B3101" s="190">
        <v>3</v>
      </c>
      <c r="C3101" s="191" t="s">
        <v>229</v>
      </c>
      <c r="D3101" s="192">
        <f t="shared" si="672"/>
        <v>0</v>
      </c>
      <c r="E3101" s="192">
        <f t="shared" si="673"/>
        <v>0</v>
      </c>
      <c r="F3101" s="192">
        <f t="shared" si="674"/>
        <v>0</v>
      </c>
      <c r="G3101" s="193">
        <f t="shared" si="675"/>
        <v>0</v>
      </c>
      <c r="H3101" s="194">
        <v>0</v>
      </c>
      <c r="I3101" s="194">
        <v>0</v>
      </c>
      <c r="J3101" s="194">
        <v>0</v>
      </c>
      <c r="K3101" s="193">
        <f t="shared" si="676"/>
        <v>0</v>
      </c>
      <c r="L3101" s="194">
        <v>0</v>
      </c>
      <c r="M3101" s="194">
        <v>0</v>
      </c>
      <c r="N3101" s="194">
        <v>0</v>
      </c>
      <c r="O3101" s="193">
        <f t="shared" si="677"/>
        <v>0</v>
      </c>
      <c r="P3101" s="194">
        <v>0</v>
      </c>
      <c r="Q3101" s="194">
        <v>0</v>
      </c>
      <c r="R3101" s="194">
        <v>0</v>
      </c>
      <c r="S3101" s="193">
        <f t="shared" si="678"/>
        <v>0</v>
      </c>
      <c r="T3101" s="193">
        <f t="shared" si="679"/>
        <v>0</v>
      </c>
      <c r="U3101" s="193">
        <f ca="1">OFFSET('Expenditure Study'!$B$7,'Operations Support'!$C3101,'Operations Support'!$B3101)*$G3101</f>
        <v>0</v>
      </c>
      <c r="V3101" s="199">
        <f ca="1">U3101*'Expenditure Study'!$B$31</f>
        <v>0</v>
      </c>
      <c r="W3101" s="199">
        <f ca="1">IF(A3101=10298,1.51,1)*IF($B3101&lt;3,$D3101*'Expenditure Study'!$B$32*OFFSET('Expenditure Study'!$B$7,'Operations Support'!$C3101,'Operations Support'!$B3101),0)</f>
        <v>0</v>
      </c>
      <c r="X3101" s="200">
        <f ca="1">W3101*'Expenditure Study'!$B$31</f>
        <v>0</v>
      </c>
      <c r="Y3101" s="199">
        <f ca="1">U3101*'Expenditure Study'!$B$31</f>
        <v>0</v>
      </c>
      <c r="Z3101" s="200">
        <f ca="1">W3101*'Expenditure Study'!$B$31</f>
        <v>0</v>
      </c>
      <c r="AA3101" s="195">
        <f t="shared" ca="1" si="680"/>
        <v>0</v>
      </c>
      <c r="AB3101" s="195">
        <f t="shared" ca="1" si="681"/>
        <v>0</v>
      </c>
      <c r="AD3101" s="196">
        <f>IFERROR($G3101/SUMIF($A:$A,$A3101,$G:$G)*SUMIF(Summary!$A$166:$A$242,$A3101,Summary!$P$166:$P$242),0)</f>
        <v>0</v>
      </c>
      <c r="AE3101" s="197">
        <f t="shared" ca="1" si="682"/>
        <v>0</v>
      </c>
      <c r="AF3101" s="196">
        <f>IFERROR(G3101/SUMIF(A:A,A3101,G:G)*SUMIF(Summary!$A$166:$A$242,'Operations Support'!A3101,Summary!$Q$166:$Q$242),0)</f>
        <v>0</v>
      </c>
      <c r="AG3101" s="196">
        <f t="shared" ca="1" si="683"/>
        <v>0</v>
      </c>
      <c r="AI3101" s="196">
        <f>IFERROR($G3101/SUMIF($A:$A,$A3101,$G:$G)*SUMIF(Summary!$A$247:$A$283,$A3101,Summary!$P$247:$P$283),0)</f>
        <v>0</v>
      </c>
      <c r="AJ3101" s="196">
        <f>IFERROR($G3101/SUMIF($A:$A,$A3101,$G:$G)*(SUMIF(Summary!$A$247:$A$283,$A3101,Summary!$L$247:$L$283)+SUMIF(Summary!$A$297:$A$333,$A3101,Summary!$L$297:$L$333))-AI3101,0)</f>
        <v>0</v>
      </c>
      <c r="AK3101" s="196">
        <f>IFERROR($G3101/SUMIF($A:$A,$A3101,$G:$G)*SUMIF(Summary!$A$247:$A$283,$A3101,Summary!$Q$247:$Q$283),0)</f>
        <v>0</v>
      </c>
      <c r="AL3101" s="196">
        <f>IFERROR($G3101/SUMIF($A:$A,$A3101,$G:$G)*(SUMIF(Summary!$A$247:$A$283,$A3101,Summary!$L$247:$L$283)+SUMIF(Summary!$A$297:$A$333,$A3101,Summary!$L$297:$L$333))-AK3101,0)</f>
        <v>0</v>
      </c>
      <c r="AM3101" s="198"/>
      <c r="AN3101" s="196">
        <f t="shared" ca="1" si="684"/>
        <v>0</v>
      </c>
      <c r="AO3101" s="196">
        <f t="shared" ca="1" si="685"/>
        <v>0</v>
      </c>
    </row>
    <row r="3102" spans="1:41">
      <c r="A3102" s="189">
        <v>11163</v>
      </c>
      <c r="B3102" s="190">
        <v>3</v>
      </c>
      <c r="C3102" s="191" t="s">
        <v>230</v>
      </c>
      <c r="D3102" s="192">
        <f t="shared" si="672"/>
        <v>0</v>
      </c>
      <c r="E3102" s="192">
        <f t="shared" si="673"/>
        <v>0</v>
      </c>
      <c r="F3102" s="192">
        <f t="shared" si="674"/>
        <v>0</v>
      </c>
      <c r="G3102" s="193">
        <f t="shared" si="675"/>
        <v>0</v>
      </c>
      <c r="H3102" s="194">
        <v>0</v>
      </c>
      <c r="I3102" s="194">
        <v>0</v>
      </c>
      <c r="J3102" s="194">
        <v>0</v>
      </c>
      <c r="K3102" s="193">
        <f t="shared" si="676"/>
        <v>0</v>
      </c>
      <c r="L3102" s="194">
        <v>0</v>
      </c>
      <c r="M3102" s="194">
        <v>0</v>
      </c>
      <c r="N3102" s="194">
        <v>0</v>
      </c>
      <c r="O3102" s="193">
        <f t="shared" si="677"/>
        <v>0</v>
      </c>
      <c r="P3102" s="194">
        <v>0</v>
      </c>
      <c r="Q3102" s="194">
        <v>0</v>
      </c>
      <c r="R3102" s="194">
        <v>0</v>
      </c>
      <c r="S3102" s="193">
        <f t="shared" si="678"/>
        <v>0</v>
      </c>
      <c r="T3102" s="193">
        <f t="shared" si="679"/>
        <v>0</v>
      </c>
      <c r="U3102" s="193">
        <f ca="1">OFFSET('Expenditure Study'!$B$7,'Operations Support'!$C3102,'Operations Support'!$B3102)*$G3102</f>
        <v>0</v>
      </c>
      <c r="V3102" s="199">
        <f ca="1">U3102*'Expenditure Study'!$B$31</f>
        <v>0</v>
      </c>
      <c r="W3102" s="199">
        <f ca="1">IF(A3102=10298,1.51,1)*IF($B3102&lt;3,$D3102*'Expenditure Study'!$B$32*OFFSET('Expenditure Study'!$B$7,'Operations Support'!$C3102,'Operations Support'!$B3102),0)</f>
        <v>0</v>
      </c>
      <c r="X3102" s="200">
        <f ca="1">W3102*'Expenditure Study'!$B$31</f>
        <v>0</v>
      </c>
      <c r="Y3102" s="199">
        <f ca="1">U3102*'Expenditure Study'!$B$31</f>
        <v>0</v>
      </c>
      <c r="Z3102" s="200">
        <f ca="1">W3102*'Expenditure Study'!$B$31</f>
        <v>0</v>
      </c>
      <c r="AA3102" s="195">
        <f t="shared" ca="1" si="680"/>
        <v>0</v>
      </c>
      <c r="AB3102" s="195">
        <f t="shared" ca="1" si="681"/>
        <v>0</v>
      </c>
      <c r="AD3102" s="196">
        <f>IFERROR($G3102/SUMIF($A:$A,$A3102,$G:$G)*SUMIF(Summary!$A$166:$A$242,$A3102,Summary!$P$166:$P$242),0)</f>
        <v>0</v>
      </c>
      <c r="AE3102" s="197">
        <f t="shared" ca="1" si="682"/>
        <v>0</v>
      </c>
      <c r="AF3102" s="196">
        <f>IFERROR(G3102/SUMIF(A:A,A3102,G:G)*SUMIF(Summary!$A$166:$A$242,'Operations Support'!A3102,Summary!$Q$166:$Q$242),0)</f>
        <v>0</v>
      </c>
      <c r="AG3102" s="196">
        <f t="shared" ca="1" si="683"/>
        <v>0</v>
      </c>
      <c r="AI3102" s="196">
        <f>IFERROR($G3102/SUMIF($A:$A,$A3102,$G:$G)*SUMIF(Summary!$A$247:$A$283,$A3102,Summary!$P$247:$P$283),0)</f>
        <v>0</v>
      </c>
      <c r="AJ3102" s="196">
        <f>IFERROR($G3102/SUMIF($A:$A,$A3102,$G:$G)*(SUMIF(Summary!$A$247:$A$283,$A3102,Summary!$L$247:$L$283)+SUMIF(Summary!$A$297:$A$333,$A3102,Summary!$L$297:$L$333))-AI3102,0)</f>
        <v>0</v>
      </c>
      <c r="AK3102" s="196">
        <f>IFERROR($G3102/SUMIF($A:$A,$A3102,$G:$G)*SUMIF(Summary!$A$247:$A$283,$A3102,Summary!$Q$247:$Q$283),0)</f>
        <v>0</v>
      </c>
      <c r="AL3102" s="196">
        <f>IFERROR($G3102/SUMIF($A:$A,$A3102,$G:$G)*(SUMIF(Summary!$A$247:$A$283,$A3102,Summary!$L$247:$L$283)+SUMIF(Summary!$A$297:$A$333,$A3102,Summary!$L$297:$L$333))-AK3102,0)</f>
        <v>0</v>
      </c>
      <c r="AM3102" s="198"/>
      <c r="AN3102" s="196">
        <f t="shared" ca="1" si="684"/>
        <v>0</v>
      </c>
      <c r="AO3102" s="196">
        <f t="shared" ca="1" si="685"/>
        <v>0</v>
      </c>
    </row>
    <row r="3103" spans="1:41">
      <c r="A3103" s="189">
        <v>11163</v>
      </c>
      <c r="B3103" s="190">
        <v>3</v>
      </c>
      <c r="C3103" s="191" t="s">
        <v>231</v>
      </c>
      <c r="D3103" s="192">
        <f t="shared" si="672"/>
        <v>0</v>
      </c>
      <c r="E3103" s="192">
        <f t="shared" si="673"/>
        <v>0</v>
      </c>
      <c r="F3103" s="192">
        <f t="shared" si="674"/>
        <v>0</v>
      </c>
      <c r="G3103" s="193">
        <f t="shared" si="675"/>
        <v>0</v>
      </c>
      <c r="H3103" s="194">
        <v>0</v>
      </c>
      <c r="I3103" s="194">
        <v>0</v>
      </c>
      <c r="J3103" s="194">
        <v>0</v>
      </c>
      <c r="K3103" s="193">
        <f t="shared" si="676"/>
        <v>0</v>
      </c>
      <c r="L3103" s="194">
        <v>0</v>
      </c>
      <c r="M3103" s="194">
        <v>0</v>
      </c>
      <c r="N3103" s="194">
        <v>0</v>
      </c>
      <c r="O3103" s="193">
        <f t="shared" si="677"/>
        <v>0</v>
      </c>
      <c r="P3103" s="194">
        <v>0</v>
      </c>
      <c r="Q3103" s="194">
        <v>0</v>
      </c>
      <c r="R3103" s="194">
        <v>0</v>
      </c>
      <c r="S3103" s="193">
        <f t="shared" si="678"/>
        <v>0</v>
      </c>
      <c r="T3103" s="193">
        <f t="shared" si="679"/>
        <v>0</v>
      </c>
      <c r="U3103" s="193">
        <f ca="1">OFFSET('Expenditure Study'!$B$7,'Operations Support'!$C3103,'Operations Support'!$B3103)*$G3103</f>
        <v>0</v>
      </c>
      <c r="V3103" s="199">
        <f ca="1">U3103*'Expenditure Study'!$B$31</f>
        <v>0</v>
      </c>
      <c r="W3103" s="199">
        <f ca="1">IF(A3103=10298,1.51,1)*IF($B3103&lt;3,$D3103*'Expenditure Study'!$B$32*OFFSET('Expenditure Study'!$B$7,'Operations Support'!$C3103,'Operations Support'!$B3103),0)</f>
        <v>0</v>
      </c>
      <c r="X3103" s="200">
        <f ca="1">W3103*'Expenditure Study'!$B$31</f>
        <v>0</v>
      </c>
      <c r="Y3103" s="199">
        <f ca="1">U3103*'Expenditure Study'!$B$31</f>
        <v>0</v>
      </c>
      <c r="Z3103" s="200">
        <f ca="1">W3103*'Expenditure Study'!$B$31</f>
        <v>0</v>
      </c>
      <c r="AA3103" s="195">
        <f t="shared" ca="1" si="680"/>
        <v>0</v>
      </c>
      <c r="AB3103" s="195">
        <f t="shared" ca="1" si="681"/>
        <v>0</v>
      </c>
      <c r="AD3103" s="196">
        <f>IFERROR($G3103/SUMIF($A:$A,$A3103,$G:$G)*SUMIF(Summary!$A$166:$A$242,$A3103,Summary!$P$166:$P$242),0)</f>
        <v>0</v>
      </c>
      <c r="AE3103" s="197">
        <f t="shared" ca="1" si="682"/>
        <v>0</v>
      </c>
      <c r="AF3103" s="196">
        <f>IFERROR(G3103/SUMIF(A:A,A3103,G:G)*SUMIF(Summary!$A$166:$A$242,'Operations Support'!A3103,Summary!$Q$166:$Q$242),0)</f>
        <v>0</v>
      </c>
      <c r="AG3103" s="196">
        <f t="shared" ca="1" si="683"/>
        <v>0</v>
      </c>
      <c r="AI3103" s="196">
        <f>IFERROR($G3103/SUMIF($A:$A,$A3103,$G:$G)*SUMIF(Summary!$A$247:$A$283,$A3103,Summary!$P$247:$P$283),0)</f>
        <v>0</v>
      </c>
      <c r="AJ3103" s="196">
        <f>IFERROR($G3103/SUMIF($A:$A,$A3103,$G:$G)*(SUMIF(Summary!$A$247:$A$283,$A3103,Summary!$L$247:$L$283)+SUMIF(Summary!$A$297:$A$333,$A3103,Summary!$L$297:$L$333))-AI3103,0)</f>
        <v>0</v>
      </c>
      <c r="AK3103" s="196">
        <f>IFERROR($G3103/SUMIF($A:$A,$A3103,$G:$G)*SUMIF(Summary!$A$247:$A$283,$A3103,Summary!$Q$247:$Q$283),0)</f>
        <v>0</v>
      </c>
      <c r="AL3103" s="196">
        <f>IFERROR($G3103/SUMIF($A:$A,$A3103,$G:$G)*(SUMIF(Summary!$A$247:$A$283,$A3103,Summary!$L$247:$L$283)+SUMIF(Summary!$A$297:$A$333,$A3103,Summary!$L$297:$L$333))-AK3103,0)</f>
        <v>0</v>
      </c>
      <c r="AM3103" s="198"/>
      <c r="AN3103" s="196">
        <f t="shared" ca="1" si="684"/>
        <v>0</v>
      </c>
      <c r="AO3103" s="196">
        <f t="shared" ca="1" si="685"/>
        <v>0</v>
      </c>
    </row>
    <row r="3104" spans="1:41">
      <c r="A3104" s="189">
        <v>11163</v>
      </c>
      <c r="B3104" s="190">
        <v>3</v>
      </c>
      <c r="C3104" s="191" t="s">
        <v>232</v>
      </c>
      <c r="D3104" s="192">
        <f t="shared" si="672"/>
        <v>0</v>
      </c>
      <c r="E3104" s="192">
        <f t="shared" si="673"/>
        <v>0</v>
      </c>
      <c r="F3104" s="192">
        <f t="shared" si="674"/>
        <v>0</v>
      </c>
      <c r="G3104" s="193">
        <f t="shared" si="675"/>
        <v>0</v>
      </c>
      <c r="H3104" s="194">
        <v>0</v>
      </c>
      <c r="I3104" s="194">
        <v>0</v>
      </c>
      <c r="J3104" s="194">
        <v>0</v>
      </c>
      <c r="K3104" s="193">
        <f t="shared" si="676"/>
        <v>0</v>
      </c>
      <c r="L3104" s="194">
        <v>0</v>
      </c>
      <c r="M3104" s="194">
        <v>0</v>
      </c>
      <c r="N3104" s="194">
        <v>0</v>
      </c>
      <c r="O3104" s="193">
        <f t="shared" si="677"/>
        <v>0</v>
      </c>
      <c r="P3104" s="194">
        <v>0</v>
      </c>
      <c r="Q3104" s="194">
        <v>0</v>
      </c>
      <c r="R3104" s="194">
        <v>0</v>
      </c>
      <c r="S3104" s="193">
        <f t="shared" si="678"/>
        <v>0</v>
      </c>
      <c r="T3104" s="193">
        <f t="shared" si="679"/>
        <v>0</v>
      </c>
      <c r="U3104" s="193">
        <f ca="1">OFFSET('Expenditure Study'!$B$7,'Operations Support'!$C3104,'Operations Support'!$B3104)*$G3104</f>
        <v>0</v>
      </c>
      <c r="V3104" s="199">
        <f ca="1">U3104*'Expenditure Study'!$B$31</f>
        <v>0</v>
      </c>
      <c r="W3104" s="199">
        <f ca="1">IF(A3104=10298,1.51,1)*IF($B3104&lt;3,$D3104*'Expenditure Study'!$B$32*OFFSET('Expenditure Study'!$B$7,'Operations Support'!$C3104,'Operations Support'!$B3104),0)</f>
        <v>0</v>
      </c>
      <c r="X3104" s="200">
        <f ca="1">W3104*'Expenditure Study'!$B$31</f>
        <v>0</v>
      </c>
      <c r="Y3104" s="199">
        <f ca="1">U3104*'Expenditure Study'!$B$31</f>
        <v>0</v>
      </c>
      <c r="Z3104" s="200">
        <f ca="1">W3104*'Expenditure Study'!$B$31</f>
        <v>0</v>
      </c>
      <c r="AA3104" s="195">
        <f t="shared" ca="1" si="680"/>
        <v>0</v>
      </c>
      <c r="AB3104" s="195">
        <f t="shared" ca="1" si="681"/>
        <v>0</v>
      </c>
      <c r="AD3104" s="196">
        <f>IFERROR($G3104/SUMIF($A:$A,$A3104,$G:$G)*SUMIF(Summary!$A$166:$A$242,$A3104,Summary!$P$166:$P$242),0)</f>
        <v>0</v>
      </c>
      <c r="AE3104" s="197">
        <f t="shared" ca="1" si="682"/>
        <v>0</v>
      </c>
      <c r="AF3104" s="196">
        <f>IFERROR(G3104/SUMIF(A:A,A3104,G:G)*SUMIF(Summary!$A$166:$A$242,'Operations Support'!A3104,Summary!$Q$166:$Q$242),0)</f>
        <v>0</v>
      </c>
      <c r="AG3104" s="196">
        <f t="shared" ca="1" si="683"/>
        <v>0</v>
      </c>
      <c r="AI3104" s="196">
        <f>IFERROR($G3104/SUMIF($A:$A,$A3104,$G:$G)*SUMIF(Summary!$A$247:$A$283,$A3104,Summary!$P$247:$P$283),0)</f>
        <v>0</v>
      </c>
      <c r="AJ3104" s="196">
        <f>IFERROR($G3104/SUMIF($A:$A,$A3104,$G:$G)*(SUMIF(Summary!$A$247:$A$283,$A3104,Summary!$L$247:$L$283)+SUMIF(Summary!$A$297:$A$333,$A3104,Summary!$L$297:$L$333))-AI3104,0)</f>
        <v>0</v>
      </c>
      <c r="AK3104" s="196">
        <f>IFERROR($G3104/SUMIF($A:$A,$A3104,$G:$G)*SUMIF(Summary!$A$247:$A$283,$A3104,Summary!$Q$247:$Q$283),0)</f>
        <v>0</v>
      </c>
      <c r="AL3104" s="196">
        <f>IFERROR($G3104/SUMIF($A:$A,$A3104,$G:$G)*(SUMIF(Summary!$A$247:$A$283,$A3104,Summary!$L$247:$L$283)+SUMIF(Summary!$A$297:$A$333,$A3104,Summary!$L$297:$L$333))-AK3104,0)</f>
        <v>0</v>
      </c>
      <c r="AM3104" s="198"/>
      <c r="AN3104" s="196">
        <f t="shared" ca="1" si="684"/>
        <v>0</v>
      </c>
      <c r="AO3104" s="196">
        <f t="shared" ca="1" si="685"/>
        <v>0</v>
      </c>
    </row>
    <row r="3105" spans="1:41">
      <c r="A3105" s="189">
        <v>11163</v>
      </c>
      <c r="B3105" s="190">
        <v>3</v>
      </c>
      <c r="C3105" s="191" t="s">
        <v>233</v>
      </c>
      <c r="D3105" s="192">
        <f t="shared" si="672"/>
        <v>819</v>
      </c>
      <c r="E3105" s="192">
        <f t="shared" si="673"/>
        <v>1824</v>
      </c>
      <c r="F3105" s="192">
        <f t="shared" si="674"/>
        <v>0</v>
      </c>
      <c r="G3105" s="193">
        <f t="shared" si="675"/>
        <v>2643</v>
      </c>
      <c r="H3105" s="194">
        <v>105</v>
      </c>
      <c r="I3105" s="194">
        <v>603</v>
      </c>
      <c r="J3105" s="194">
        <v>0</v>
      </c>
      <c r="K3105" s="193">
        <f t="shared" si="676"/>
        <v>708</v>
      </c>
      <c r="L3105" s="194">
        <v>150</v>
      </c>
      <c r="M3105" s="194">
        <v>855</v>
      </c>
      <c r="N3105" s="194">
        <v>0</v>
      </c>
      <c r="O3105" s="193">
        <f t="shared" si="677"/>
        <v>1005</v>
      </c>
      <c r="P3105" s="194">
        <v>564</v>
      </c>
      <c r="Q3105" s="194">
        <v>366</v>
      </c>
      <c r="R3105" s="194">
        <v>0</v>
      </c>
      <c r="S3105" s="193">
        <f t="shared" si="678"/>
        <v>930</v>
      </c>
      <c r="T3105" s="193">
        <f t="shared" si="679"/>
        <v>110.125</v>
      </c>
      <c r="U3105" s="193">
        <f ca="1">OFFSET('Expenditure Study'!$B$7,'Operations Support'!$C3105,'Operations Support'!$B3105)*$G3105</f>
        <v>6924.66</v>
      </c>
      <c r="V3105" s="199">
        <f ca="1">U3105*'Expenditure Study'!$B$31</f>
        <v>409130.93875852798</v>
      </c>
      <c r="W3105" s="199">
        <f ca="1">IF(A3105=10298,1.51,1)*IF($B3105&lt;3,$D3105*'Expenditure Study'!$B$32*OFFSET('Expenditure Study'!$B$7,'Operations Support'!$C3105,'Operations Support'!$B3105),0)</f>
        <v>0</v>
      </c>
      <c r="X3105" s="200">
        <f ca="1">W3105*'Expenditure Study'!$B$31</f>
        <v>0</v>
      </c>
      <c r="Y3105" s="199">
        <f ca="1">U3105*'Expenditure Study'!$B$31</f>
        <v>409130.93875852798</v>
      </c>
      <c r="Z3105" s="200">
        <f ca="1">W3105*'Expenditure Study'!$B$31</f>
        <v>0</v>
      </c>
      <c r="AA3105" s="195">
        <f t="shared" ca="1" si="680"/>
        <v>409130.93875852798</v>
      </c>
      <c r="AB3105" s="195">
        <f t="shared" ca="1" si="681"/>
        <v>409130.93875852798</v>
      </c>
      <c r="AD3105" s="196">
        <f>IFERROR($G3105/SUMIF($A:$A,$A3105,$G:$G)*SUMIF(Summary!$A$166:$A$242,$A3105,Summary!$P$166:$P$242),0)</f>
        <v>78915.147791692318</v>
      </c>
      <c r="AE3105" s="197">
        <f t="shared" ca="1" si="682"/>
        <v>330215.79096683569</v>
      </c>
      <c r="AF3105" s="196">
        <f>IFERROR(G3105/SUMIF(A:A,A3105,G:G)*SUMIF(Summary!$A$166:$A$242,'Operations Support'!A3105,Summary!$Q$166:$Q$242),0)</f>
        <v>79054.950052826505</v>
      </c>
      <c r="AG3105" s="196">
        <f t="shared" ca="1" si="683"/>
        <v>330075.98870570149</v>
      </c>
      <c r="AI3105" s="196">
        <f>IFERROR($G3105/SUMIF($A:$A,$A3105,$G:$G)*SUMIF(Summary!$A$247:$A$283,$A3105,Summary!$P$247:$P$283),0)</f>
        <v>14392.153651643332</v>
      </c>
      <c r="AJ3105" s="196">
        <f>IFERROR($G3105/SUMIF($A:$A,$A3105,$G:$G)*(SUMIF(Summary!$A$247:$A$283,$A3105,Summary!$L$247:$L$283)+SUMIF(Summary!$A$297:$A$333,$A3105,Summary!$L$297:$L$333))-AI3105,0)</f>
        <v>42711.740861201564</v>
      </c>
      <c r="AK3105" s="196">
        <f>IFERROR($G3105/SUMIF($A:$A,$A3105,$G:$G)*SUMIF(Summary!$A$247:$A$283,$A3105,Summary!$Q$247:$Q$283),0)</f>
        <v>14417.65009534767</v>
      </c>
      <c r="AL3105" s="196">
        <f>IFERROR($G3105/SUMIF($A:$A,$A3105,$G:$G)*(SUMIF(Summary!$A$247:$A$283,$A3105,Summary!$L$247:$L$283)+SUMIF(Summary!$A$297:$A$333,$A3105,Summary!$L$297:$L$333))-AK3105,0)</f>
        <v>42686.244417497226</v>
      </c>
      <c r="AM3105" s="198"/>
      <c r="AN3105" s="196">
        <f t="shared" ca="1" si="684"/>
        <v>372927.53182803723</v>
      </c>
      <c r="AO3105" s="196">
        <f t="shared" ca="1" si="685"/>
        <v>372762.23312319873</v>
      </c>
    </row>
    <row r="3106" spans="1:41">
      <c r="A3106" s="189">
        <v>11163</v>
      </c>
      <c r="B3106" s="190">
        <v>3</v>
      </c>
      <c r="C3106" s="191" t="s">
        <v>234</v>
      </c>
      <c r="D3106" s="192">
        <f t="shared" si="672"/>
        <v>0</v>
      </c>
      <c r="E3106" s="192">
        <f t="shared" si="673"/>
        <v>0</v>
      </c>
      <c r="F3106" s="192">
        <f t="shared" si="674"/>
        <v>0</v>
      </c>
      <c r="G3106" s="193">
        <f t="shared" si="675"/>
        <v>0</v>
      </c>
      <c r="H3106" s="194">
        <v>0</v>
      </c>
      <c r="I3106" s="194">
        <v>0</v>
      </c>
      <c r="J3106" s="194">
        <v>0</v>
      </c>
      <c r="K3106" s="193">
        <f t="shared" si="676"/>
        <v>0</v>
      </c>
      <c r="L3106" s="194">
        <v>0</v>
      </c>
      <c r="M3106" s="194">
        <v>0</v>
      </c>
      <c r="N3106" s="194">
        <v>0</v>
      </c>
      <c r="O3106" s="193">
        <f t="shared" si="677"/>
        <v>0</v>
      </c>
      <c r="P3106" s="194">
        <v>0</v>
      </c>
      <c r="Q3106" s="194">
        <v>0</v>
      </c>
      <c r="R3106" s="194">
        <v>0</v>
      </c>
      <c r="S3106" s="193">
        <f t="shared" si="678"/>
        <v>0</v>
      </c>
      <c r="T3106" s="193">
        <f t="shared" si="679"/>
        <v>0</v>
      </c>
      <c r="U3106" s="193">
        <f ca="1">OFFSET('Expenditure Study'!$B$7,'Operations Support'!$C3106,'Operations Support'!$B3106)*$G3106</f>
        <v>0</v>
      </c>
      <c r="V3106" s="199">
        <f ca="1">U3106*'Expenditure Study'!$B$31</f>
        <v>0</v>
      </c>
      <c r="W3106" s="199">
        <f ca="1">IF(A3106=10298,1.51,1)*IF($B3106&lt;3,$D3106*'Expenditure Study'!$B$32*OFFSET('Expenditure Study'!$B$7,'Operations Support'!$C3106,'Operations Support'!$B3106),0)</f>
        <v>0</v>
      </c>
      <c r="X3106" s="200">
        <f ca="1">W3106*'Expenditure Study'!$B$31</f>
        <v>0</v>
      </c>
      <c r="Y3106" s="199">
        <f ca="1">U3106*'Expenditure Study'!$B$31</f>
        <v>0</v>
      </c>
      <c r="Z3106" s="200">
        <f ca="1">W3106*'Expenditure Study'!$B$31</f>
        <v>0</v>
      </c>
      <c r="AA3106" s="195">
        <f t="shared" ca="1" si="680"/>
        <v>0</v>
      </c>
      <c r="AB3106" s="195">
        <f t="shared" ca="1" si="681"/>
        <v>0</v>
      </c>
      <c r="AD3106" s="196">
        <f>IFERROR($G3106/SUMIF($A:$A,$A3106,$G:$G)*SUMIF(Summary!$A$166:$A$242,$A3106,Summary!$P$166:$P$242),0)</f>
        <v>0</v>
      </c>
      <c r="AE3106" s="197">
        <f t="shared" ca="1" si="682"/>
        <v>0</v>
      </c>
      <c r="AF3106" s="196">
        <f>IFERROR(G3106/SUMIF(A:A,A3106,G:G)*SUMIF(Summary!$A$166:$A$242,'Operations Support'!A3106,Summary!$Q$166:$Q$242),0)</f>
        <v>0</v>
      </c>
      <c r="AG3106" s="196">
        <f t="shared" ca="1" si="683"/>
        <v>0</v>
      </c>
      <c r="AI3106" s="196">
        <f>IFERROR($G3106/SUMIF($A:$A,$A3106,$G:$G)*SUMIF(Summary!$A$247:$A$283,$A3106,Summary!$P$247:$P$283),0)</f>
        <v>0</v>
      </c>
      <c r="AJ3106" s="196">
        <f>IFERROR($G3106/SUMIF($A:$A,$A3106,$G:$G)*(SUMIF(Summary!$A$247:$A$283,$A3106,Summary!$L$247:$L$283)+SUMIF(Summary!$A$297:$A$333,$A3106,Summary!$L$297:$L$333))-AI3106,0)</f>
        <v>0</v>
      </c>
      <c r="AK3106" s="196">
        <f>IFERROR($G3106/SUMIF($A:$A,$A3106,$G:$G)*SUMIF(Summary!$A$247:$A$283,$A3106,Summary!$Q$247:$Q$283),0)</f>
        <v>0</v>
      </c>
      <c r="AL3106" s="196">
        <f>IFERROR($G3106/SUMIF($A:$A,$A3106,$G:$G)*(SUMIF(Summary!$A$247:$A$283,$A3106,Summary!$L$247:$L$283)+SUMIF(Summary!$A$297:$A$333,$A3106,Summary!$L$297:$L$333))-AK3106,0)</f>
        <v>0</v>
      </c>
      <c r="AM3106" s="198"/>
      <c r="AN3106" s="196">
        <f t="shared" ca="1" si="684"/>
        <v>0</v>
      </c>
      <c r="AO3106" s="196">
        <f t="shared" ca="1" si="685"/>
        <v>0</v>
      </c>
    </row>
    <row r="3107" spans="1:41">
      <c r="A3107" s="189">
        <v>11163</v>
      </c>
      <c r="B3107" s="190">
        <v>3</v>
      </c>
      <c r="C3107" s="191" t="s">
        <v>235</v>
      </c>
      <c r="D3107" s="192">
        <f t="shared" si="672"/>
        <v>6602</v>
      </c>
      <c r="E3107" s="192">
        <f t="shared" si="673"/>
        <v>1386</v>
      </c>
      <c r="F3107" s="192">
        <f t="shared" si="674"/>
        <v>0</v>
      </c>
      <c r="G3107" s="193">
        <f t="shared" si="675"/>
        <v>7988</v>
      </c>
      <c r="H3107" s="194">
        <v>2340</v>
      </c>
      <c r="I3107" s="194">
        <v>714</v>
      </c>
      <c r="J3107" s="194">
        <v>0</v>
      </c>
      <c r="K3107" s="193">
        <f t="shared" si="676"/>
        <v>3054</v>
      </c>
      <c r="L3107" s="194">
        <v>1958</v>
      </c>
      <c r="M3107" s="194">
        <v>495</v>
      </c>
      <c r="N3107" s="194">
        <v>0</v>
      </c>
      <c r="O3107" s="193">
        <f t="shared" si="677"/>
        <v>2453</v>
      </c>
      <c r="P3107" s="194">
        <v>2304</v>
      </c>
      <c r="Q3107" s="194">
        <v>177</v>
      </c>
      <c r="R3107" s="194">
        <v>0</v>
      </c>
      <c r="S3107" s="193">
        <f t="shared" si="678"/>
        <v>2481</v>
      </c>
      <c r="T3107" s="193">
        <f t="shared" si="679"/>
        <v>332.83333333333331</v>
      </c>
      <c r="U3107" s="193">
        <f ca="1">OFFSET('Expenditure Study'!$B$7,'Operations Support'!$C3107,'Operations Support'!$B3107)*$G3107</f>
        <v>25242.080000000002</v>
      </c>
      <c r="V3107" s="199">
        <f ca="1">U3107*'Expenditure Study'!$B$31</f>
        <v>1491382.376408064</v>
      </c>
      <c r="W3107" s="199">
        <f ca="1">IF(A3107=10298,1.51,1)*IF($B3107&lt;3,$D3107*'Expenditure Study'!$B$32*OFFSET('Expenditure Study'!$B$7,'Operations Support'!$C3107,'Operations Support'!$B3107),0)</f>
        <v>0</v>
      </c>
      <c r="X3107" s="200">
        <f ca="1">W3107*'Expenditure Study'!$B$31</f>
        <v>0</v>
      </c>
      <c r="Y3107" s="199">
        <f ca="1">U3107*'Expenditure Study'!$B$31</f>
        <v>1491382.376408064</v>
      </c>
      <c r="Z3107" s="200">
        <f ca="1">W3107*'Expenditure Study'!$B$31</f>
        <v>0</v>
      </c>
      <c r="AA3107" s="195">
        <f t="shared" ca="1" si="680"/>
        <v>1491382.376408064</v>
      </c>
      <c r="AB3107" s="195">
        <f t="shared" ca="1" si="681"/>
        <v>1491382.376408064</v>
      </c>
      <c r="AD3107" s="196">
        <f>IFERROR($G3107/SUMIF($A:$A,$A3107,$G:$G)*SUMIF(Summary!$A$166:$A$242,$A3107,Summary!$P$166:$P$242),0)</f>
        <v>238507.07550512234</v>
      </c>
      <c r="AE3107" s="197">
        <f t="shared" ca="1" si="682"/>
        <v>1252875.3009029417</v>
      </c>
      <c r="AF3107" s="196">
        <f>IFERROR(G3107/SUMIF(A:A,A3107,G:G)*SUMIF(Summary!$A$166:$A$242,'Operations Support'!A3107,Summary!$Q$166:$Q$242),0)</f>
        <v>238929.60311085061</v>
      </c>
      <c r="AG3107" s="196">
        <f t="shared" ca="1" si="683"/>
        <v>1252452.7732972135</v>
      </c>
      <c r="AI3107" s="196">
        <f>IFERROR($G3107/SUMIF($A:$A,$A3107,$G:$G)*SUMIF(Summary!$A$247:$A$283,$A3107,Summary!$P$247:$P$283),0)</f>
        <v>43497.738694410495</v>
      </c>
      <c r="AJ3107" s="196">
        <f>IFERROR($G3107/SUMIF($A:$A,$A3107,$G:$G)*(SUMIF(Summary!$A$247:$A$283,$A3107,Summary!$L$247:$L$283)+SUMIF(Summary!$A$297:$A$333,$A3107,Summary!$L$297:$L$333))-AI3107,0)</f>
        <v>129088.6818007106</v>
      </c>
      <c r="AK3107" s="196">
        <f>IFERROR($G3107/SUMIF($A:$A,$A3107,$G:$G)*SUMIF(Summary!$A$247:$A$283,$A3107,Summary!$Q$247:$Q$283),0)</f>
        <v>43574.797185636467</v>
      </c>
      <c r="AL3107" s="196">
        <f>IFERROR($G3107/SUMIF($A:$A,$A3107,$G:$G)*(SUMIF(Summary!$A$247:$A$283,$A3107,Summary!$L$247:$L$283)+SUMIF(Summary!$A$297:$A$333,$A3107,Summary!$L$297:$L$333))-AK3107,0)</f>
        <v>129011.62330948462</v>
      </c>
      <c r="AM3107" s="198"/>
      <c r="AN3107" s="196">
        <f t="shared" ca="1" si="684"/>
        <v>1381963.9827036522</v>
      </c>
      <c r="AO3107" s="196">
        <f t="shared" ca="1" si="685"/>
        <v>1381464.3966066982</v>
      </c>
    </row>
    <row r="3108" spans="1:41">
      <c r="A3108" s="189">
        <v>11163</v>
      </c>
      <c r="B3108" s="190">
        <v>3</v>
      </c>
      <c r="C3108" s="191" t="s">
        <v>236</v>
      </c>
      <c r="D3108" s="192">
        <f t="shared" si="672"/>
        <v>0</v>
      </c>
      <c r="E3108" s="192">
        <f t="shared" si="673"/>
        <v>0</v>
      </c>
      <c r="F3108" s="192">
        <f t="shared" si="674"/>
        <v>0</v>
      </c>
      <c r="G3108" s="193">
        <f t="shared" si="675"/>
        <v>0</v>
      </c>
      <c r="H3108" s="194">
        <v>0</v>
      </c>
      <c r="I3108" s="194">
        <v>0</v>
      </c>
      <c r="J3108" s="194">
        <v>0</v>
      </c>
      <c r="K3108" s="193">
        <f t="shared" si="676"/>
        <v>0</v>
      </c>
      <c r="L3108" s="194">
        <v>0</v>
      </c>
      <c r="M3108" s="194">
        <v>0</v>
      </c>
      <c r="N3108" s="194">
        <v>0</v>
      </c>
      <c r="O3108" s="193">
        <f t="shared" si="677"/>
        <v>0</v>
      </c>
      <c r="P3108" s="194">
        <v>0</v>
      </c>
      <c r="Q3108" s="194">
        <v>0</v>
      </c>
      <c r="R3108" s="194">
        <v>0</v>
      </c>
      <c r="S3108" s="193">
        <f t="shared" si="678"/>
        <v>0</v>
      </c>
      <c r="T3108" s="193">
        <f t="shared" si="679"/>
        <v>0</v>
      </c>
      <c r="U3108" s="193">
        <f ca="1">OFFSET('Expenditure Study'!$B$7,'Operations Support'!$C3108,'Operations Support'!$B3108)*$G3108</f>
        <v>0</v>
      </c>
      <c r="V3108" s="199">
        <f ca="1">U3108*'Expenditure Study'!$B$31</f>
        <v>0</v>
      </c>
      <c r="W3108" s="199">
        <f ca="1">IF(A3108=10298,1.51,1)*IF($B3108&lt;3,$D3108*'Expenditure Study'!$B$32*OFFSET('Expenditure Study'!$B$7,'Operations Support'!$C3108,'Operations Support'!$B3108),0)</f>
        <v>0</v>
      </c>
      <c r="X3108" s="200">
        <f ca="1">W3108*'Expenditure Study'!$B$31</f>
        <v>0</v>
      </c>
      <c r="Y3108" s="199">
        <f ca="1">U3108*'Expenditure Study'!$B$31</f>
        <v>0</v>
      </c>
      <c r="Z3108" s="200">
        <f ca="1">W3108*'Expenditure Study'!$B$31</f>
        <v>0</v>
      </c>
      <c r="AA3108" s="195">
        <f t="shared" ca="1" si="680"/>
        <v>0</v>
      </c>
      <c r="AB3108" s="195">
        <f t="shared" ca="1" si="681"/>
        <v>0</v>
      </c>
      <c r="AD3108" s="196">
        <f>IFERROR($G3108/SUMIF($A:$A,$A3108,$G:$G)*SUMIF(Summary!$A$166:$A$242,$A3108,Summary!$P$166:$P$242),0)</f>
        <v>0</v>
      </c>
      <c r="AE3108" s="197">
        <f t="shared" ca="1" si="682"/>
        <v>0</v>
      </c>
      <c r="AF3108" s="196">
        <f>IFERROR(G3108/SUMIF(A:A,A3108,G:G)*SUMIF(Summary!$A$166:$A$242,'Operations Support'!A3108,Summary!$Q$166:$Q$242),0)</f>
        <v>0</v>
      </c>
      <c r="AG3108" s="196">
        <f t="shared" ca="1" si="683"/>
        <v>0</v>
      </c>
      <c r="AI3108" s="196">
        <f>IFERROR($G3108/SUMIF($A:$A,$A3108,$G:$G)*SUMIF(Summary!$A$247:$A$283,$A3108,Summary!$P$247:$P$283),0)</f>
        <v>0</v>
      </c>
      <c r="AJ3108" s="196">
        <f>IFERROR($G3108/SUMIF($A:$A,$A3108,$G:$G)*(SUMIF(Summary!$A$247:$A$283,$A3108,Summary!$L$247:$L$283)+SUMIF(Summary!$A$297:$A$333,$A3108,Summary!$L$297:$L$333))-AI3108,0)</f>
        <v>0</v>
      </c>
      <c r="AK3108" s="196">
        <f>IFERROR($G3108/SUMIF($A:$A,$A3108,$G:$G)*SUMIF(Summary!$A$247:$A$283,$A3108,Summary!$Q$247:$Q$283),0)</f>
        <v>0</v>
      </c>
      <c r="AL3108" s="196">
        <f>IFERROR($G3108/SUMIF($A:$A,$A3108,$G:$G)*(SUMIF(Summary!$A$247:$A$283,$A3108,Summary!$L$247:$L$283)+SUMIF(Summary!$A$297:$A$333,$A3108,Summary!$L$297:$L$333))-AK3108,0)</f>
        <v>0</v>
      </c>
      <c r="AM3108" s="198"/>
      <c r="AN3108" s="196">
        <f t="shared" ca="1" si="684"/>
        <v>0</v>
      </c>
      <c r="AO3108" s="196">
        <f t="shared" ca="1" si="685"/>
        <v>0</v>
      </c>
    </row>
    <row r="3109" spans="1:41">
      <c r="A3109" s="189">
        <v>11163</v>
      </c>
      <c r="B3109" s="190">
        <v>3</v>
      </c>
      <c r="C3109" s="191" t="s">
        <v>237</v>
      </c>
      <c r="D3109" s="192">
        <f t="shared" si="672"/>
        <v>0</v>
      </c>
      <c r="E3109" s="192">
        <f t="shared" si="673"/>
        <v>0</v>
      </c>
      <c r="F3109" s="192">
        <f t="shared" si="674"/>
        <v>0</v>
      </c>
      <c r="G3109" s="193">
        <f t="shared" si="675"/>
        <v>0</v>
      </c>
      <c r="H3109" s="194">
        <v>0</v>
      </c>
      <c r="I3109" s="194">
        <v>0</v>
      </c>
      <c r="J3109" s="194">
        <v>0</v>
      </c>
      <c r="K3109" s="193">
        <f t="shared" si="676"/>
        <v>0</v>
      </c>
      <c r="L3109" s="194">
        <v>0</v>
      </c>
      <c r="M3109" s="194">
        <v>0</v>
      </c>
      <c r="N3109" s="194">
        <v>0</v>
      </c>
      <c r="O3109" s="193">
        <f t="shared" si="677"/>
        <v>0</v>
      </c>
      <c r="P3109" s="194">
        <v>0</v>
      </c>
      <c r="Q3109" s="194">
        <v>0</v>
      </c>
      <c r="R3109" s="194">
        <v>0</v>
      </c>
      <c r="S3109" s="193">
        <f t="shared" si="678"/>
        <v>0</v>
      </c>
      <c r="T3109" s="193">
        <f t="shared" si="679"/>
        <v>0</v>
      </c>
      <c r="U3109" s="193">
        <f ca="1">OFFSET('Expenditure Study'!$B$7,'Operations Support'!$C3109,'Operations Support'!$B3109)*$G3109</f>
        <v>0</v>
      </c>
      <c r="V3109" s="199">
        <f ca="1">U3109*'Expenditure Study'!$B$31</f>
        <v>0</v>
      </c>
      <c r="W3109" s="199">
        <f ca="1">IF(A3109=10298,1.51,1)*IF($B3109&lt;3,$D3109*'Expenditure Study'!$B$32*OFFSET('Expenditure Study'!$B$7,'Operations Support'!$C3109,'Operations Support'!$B3109),0)</f>
        <v>0</v>
      </c>
      <c r="X3109" s="200">
        <f ca="1">W3109*'Expenditure Study'!$B$31</f>
        <v>0</v>
      </c>
      <c r="Y3109" s="199">
        <f ca="1">U3109*'Expenditure Study'!$B$31</f>
        <v>0</v>
      </c>
      <c r="Z3109" s="200">
        <f ca="1">W3109*'Expenditure Study'!$B$31</f>
        <v>0</v>
      </c>
      <c r="AA3109" s="195">
        <f t="shared" ca="1" si="680"/>
        <v>0</v>
      </c>
      <c r="AB3109" s="195">
        <f t="shared" ca="1" si="681"/>
        <v>0</v>
      </c>
      <c r="AD3109" s="196">
        <f>IFERROR($G3109/SUMIF($A:$A,$A3109,$G:$G)*SUMIF(Summary!$A$166:$A$242,$A3109,Summary!$P$166:$P$242),0)</f>
        <v>0</v>
      </c>
      <c r="AE3109" s="197">
        <f t="shared" ca="1" si="682"/>
        <v>0</v>
      </c>
      <c r="AF3109" s="196">
        <f>IFERROR(G3109/SUMIF(A:A,A3109,G:G)*SUMIF(Summary!$A$166:$A$242,'Operations Support'!A3109,Summary!$Q$166:$Q$242),0)</f>
        <v>0</v>
      </c>
      <c r="AG3109" s="196">
        <f t="shared" ca="1" si="683"/>
        <v>0</v>
      </c>
      <c r="AI3109" s="196">
        <f>IFERROR($G3109/SUMIF($A:$A,$A3109,$G:$G)*SUMIF(Summary!$A$247:$A$283,$A3109,Summary!$P$247:$P$283),0)</f>
        <v>0</v>
      </c>
      <c r="AJ3109" s="196">
        <f>IFERROR($G3109/SUMIF($A:$A,$A3109,$G:$G)*(SUMIF(Summary!$A$247:$A$283,$A3109,Summary!$L$247:$L$283)+SUMIF(Summary!$A$297:$A$333,$A3109,Summary!$L$297:$L$333))-AI3109,0)</f>
        <v>0</v>
      </c>
      <c r="AK3109" s="196">
        <f>IFERROR($G3109/SUMIF($A:$A,$A3109,$G:$G)*SUMIF(Summary!$A$247:$A$283,$A3109,Summary!$Q$247:$Q$283),0)</f>
        <v>0</v>
      </c>
      <c r="AL3109" s="196">
        <f>IFERROR($G3109/SUMIF($A:$A,$A3109,$G:$G)*(SUMIF(Summary!$A$247:$A$283,$A3109,Summary!$L$247:$L$283)+SUMIF(Summary!$A$297:$A$333,$A3109,Summary!$L$297:$L$333))-AK3109,0)</f>
        <v>0</v>
      </c>
      <c r="AM3109" s="198"/>
      <c r="AN3109" s="196">
        <f t="shared" ca="1" si="684"/>
        <v>0</v>
      </c>
      <c r="AO3109" s="196">
        <f t="shared" ca="1" si="685"/>
        <v>0</v>
      </c>
    </row>
    <row r="3110" spans="1:41">
      <c r="A3110" s="189">
        <v>11163</v>
      </c>
      <c r="B3110" s="190">
        <v>3</v>
      </c>
      <c r="C3110" s="191" t="s">
        <v>238</v>
      </c>
      <c r="D3110" s="192">
        <f t="shared" si="672"/>
        <v>525</v>
      </c>
      <c r="E3110" s="192">
        <f t="shared" si="673"/>
        <v>222</v>
      </c>
      <c r="F3110" s="192">
        <f t="shared" si="674"/>
        <v>0</v>
      </c>
      <c r="G3110" s="193">
        <f t="shared" si="675"/>
        <v>747</v>
      </c>
      <c r="H3110" s="194">
        <v>165</v>
      </c>
      <c r="I3110" s="194">
        <v>0</v>
      </c>
      <c r="J3110" s="194">
        <v>0</v>
      </c>
      <c r="K3110" s="193">
        <f t="shared" si="676"/>
        <v>165</v>
      </c>
      <c r="L3110" s="194">
        <v>186</v>
      </c>
      <c r="M3110" s="194">
        <v>114</v>
      </c>
      <c r="N3110" s="194">
        <v>0</v>
      </c>
      <c r="O3110" s="193">
        <f t="shared" si="677"/>
        <v>300</v>
      </c>
      <c r="P3110" s="194">
        <v>174</v>
      </c>
      <c r="Q3110" s="194">
        <v>108</v>
      </c>
      <c r="R3110" s="194">
        <v>0</v>
      </c>
      <c r="S3110" s="193">
        <f t="shared" si="678"/>
        <v>282</v>
      </c>
      <c r="T3110" s="193">
        <f t="shared" si="679"/>
        <v>31.125</v>
      </c>
      <c r="U3110" s="193">
        <f ca="1">OFFSET('Expenditure Study'!$B$7,'Operations Support'!$C3110,'Operations Support'!$B3110)*$G3110</f>
        <v>4362.4799999999996</v>
      </c>
      <c r="V3110" s="199">
        <f ca="1">U3110*'Expenditure Study'!$B$31</f>
        <v>257749.19457638398</v>
      </c>
      <c r="W3110" s="199">
        <f ca="1">IF(A3110=10298,1.51,1)*IF($B3110&lt;3,$D3110*'Expenditure Study'!$B$32*OFFSET('Expenditure Study'!$B$7,'Operations Support'!$C3110,'Operations Support'!$B3110),0)</f>
        <v>0</v>
      </c>
      <c r="X3110" s="200">
        <f ca="1">W3110*'Expenditure Study'!$B$31</f>
        <v>0</v>
      </c>
      <c r="Y3110" s="199">
        <f ca="1">U3110*'Expenditure Study'!$B$31</f>
        <v>257749.19457638398</v>
      </c>
      <c r="Z3110" s="200">
        <f ca="1">W3110*'Expenditure Study'!$B$31</f>
        <v>0</v>
      </c>
      <c r="AA3110" s="195">
        <f t="shared" ca="1" si="680"/>
        <v>257749.19457638398</v>
      </c>
      <c r="AB3110" s="195">
        <f t="shared" ca="1" si="681"/>
        <v>257749.19457638398</v>
      </c>
      <c r="AD3110" s="196">
        <f>IFERROR($G3110/SUMIF($A:$A,$A3110,$G:$G)*SUMIF(Summary!$A$166:$A$242,$A3110,Summary!$P$166:$P$242),0)</f>
        <v>22304.054256675812</v>
      </c>
      <c r="AE3110" s="197">
        <f t="shared" ca="1" si="682"/>
        <v>235445.14031970815</v>
      </c>
      <c r="AF3110" s="196">
        <f>IFERROR(G3110/SUMIF(A:A,A3110,G:G)*SUMIF(Summary!$A$166:$A$242,'Operations Support'!A3110,Summary!$Q$166:$Q$242),0)</f>
        <v>22343.56704103723</v>
      </c>
      <c r="AG3110" s="196">
        <f t="shared" ca="1" si="683"/>
        <v>235405.62753534675</v>
      </c>
      <c r="AI3110" s="196">
        <f>IFERROR($G3110/SUMIF($A:$A,$A3110,$G:$G)*SUMIF(Summary!$A$247:$A$283,$A3110,Summary!$P$247:$P$283),0)</f>
        <v>4067.702904948002</v>
      </c>
      <c r="AJ3110" s="196">
        <f>IFERROR($G3110/SUMIF($A:$A,$A3110,$G:$G)*(SUMIF(Summary!$A$247:$A$283,$A3110,Summary!$L$247:$L$283)+SUMIF(Summary!$A$297:$A$333,$A3110,Summary!$L$297:$L$333))-AI3110,0)</f>
        <v>12071.763308103507</v>
      </c>
      <c r="AK3110" s="196">
        <f>IFERROR($G3110/SUMIF($A:$A,$A3110,$G:$G)*SUMIF(Summary!$A$247:$A$283,$A3110,Summary!$Q$247:$Q$283),0)</f>
        <v>4074.9090507849828</v>
      </c>
      <c r="AL3110" s="196">
        <f>IFERROR($G3110/SUMIF($A:$A,$A3110,$G:$G)*(SUMIF(Summary!$A$247:$A$283,$A3110,Summary!$L$247:$L$283)+SUMIF(Summary!$A$297:$A$333,$A3110,Summary!$L$297:$L$333))-AK3110,0)</f>
        <v>12064.557162266527</v>
      </c>
      <c r="AM3110" s="198"/>
      <c r="AN3110" s="196">
        <f t="shared" ca="1" si="684"/>
        <v>247516.90362781167</v>
      </c>
      <c r="AO3110" s="196">
        <f t="shared" ca="1" si="685"/>
        <v>247470.18469761327</v>
      </c>
    </row>
    <row r="3111" spans="1:41" s="201" customFormat="1">
      <c r="A3111" s="189">
        <v>11163</v>
      </c>
      <c r="B3111" s="190">
        <v>3</v>
      </c>
      <c r="C3111" s="191" t="s">
        <v>239</v>
      </c>
      <c r="D3111" s="192">
        <f t="shared" si="672"/>
        <v>2452</v>
      </c>
      <c r="E3111" s="192">
        <f t="shared" si="673"/>
        <v>3623</v>
      </c>
      <c r="F3111" s="192">
        <f t="shared" si="674"/>
        <v>0</v>
      </c>
      <c r="G3111" s="193">
        <f t="shared" si="675"/>
        <v>6075</v>
      </c>
      <c r="H3111" s="194">
        <v>909</v>
      </c>
      <c r="I3111" s="194">
        <v>1537</v>
      </c>
      <c r="J3111" s="194">
        <v>0</v>
      </c>
      <c r="K3111" s="193">
        <f t="shared" si="676"/>
        <v>2446</v>
      </c>
      <c r="L3111" s="194">
        <v>905.5</v>
      </c>
      <c r="M3111" s="194">
        <v>1333.5</v>
      </c>
      <c r="N3111" s="194">
        <v>0</v>
      </c>
      <c r="O3111" s="193">
        <f t="shared" si="677"/>
        <v>2239</v>
      </c>
      <c r="P3111" s="194">
        <v>637.5</v>
      </c>
      <c r="Q3111" s="194">
        <v>752.5</v>
      </c>
      <c r="R3111" s="194">
        <v>0</v>
      </c>
      <c r="S3111" s="193">
        <f t="shared" si="678"/>
        <v>1390</v>
      </c>
      <c r="T3111" s="193">
        <f t="shared" si="679"/>
        <v>253.125</v>
      </c>
      <c r="U3111" s="193">
        <f ca="1">OFFSET('Expenditure Study'!$B$7,'Operations Support'!$C3111,'Operations Support'!$B3111)*$G3111</f>
        <v>16524</v>
      </c>
      <c r="V3111" s="199">
        <f ca="1">U3111*'Expenditure Study'!$B$31</f>
        <v>976290.47953919997</v>
      </c>
      <c r="W3111" s="199">
        <f ca="1">IF(A3111=10298,1.51,1)*IF($B3111&lt;3,$D3111*'Expenditure Study'!$B$32*OFFSET('Expenditure Study'!$B$7,'Operations Support'!$C3111,'Operations Support'!$B3111),0)</f>
        <v>0</v>
      </c>
      <c r="X3111" s="200">
        <f ca="1">W3111*'Expenditure Study'!$B$31</f>
        <v>0</v>
      </c>
      <c r="Y3111" s="199">
        <f ca="1">U3111*'Expenditure Study'!$B$31</f>
        <v>976290.47953919997</v>
      </c>
      <c r="Z3111" s="200">
        <f ca="1">W3111*'Expenditure Study'!$B$31</f>
        <v>0</v>
      </c>
      <c r="AA3111" s="195">
        <f t="shared" ca="1" si="680"/>
        <v>976290.47953919997</v>
      </c>
      <c r="AB3111" s="195">
        <f t="shared" ca="1" si="681"/>
        <v>976290.47953919997</v>
      </c>
      <c r="AD3111" s="196">
        <f>IFERROR($G3111/SUMIF($A:$A,$A3111,$G:$G)*SUMIF(Summary!$A$166:$A$242,$A3111,Summary!$P$166:$P$242),0)</f>
        <v>181388.39305127918</v>
      </c>
      <c r="AE3111" s="197">
        <f t="shared" ca="1" si="682"/>
        <v>794902.08648792072</v>
      </c>
      <c r="AF3111" s="196">
        <f>IFERROR(G3111/SUMIF(A:A,A3111,G:G)*SUMIF(Summary!$A$166:$A$242,'Operations Support'!A3111,Summary!$Q$166:$Q$242),0)</f>
        <v>181709.73196024253</v>
      </c>
      <c r="AG3111" s="196">
        <f t="shared" ca="1" si="683"/>
        <v>794580.74757895747</v>
      </c>
      <c r="AH3111" s="180"/>
      <c r="AI3111" s="196">
        <f>IFERROR($G3111/SUMIF($A:$A,$A3111,$G:$G)*SUMIF(Summary!$A$247:$A$283,$A3111,Summary!$P$247:$P$283),0)</f>
        <v>33080.71639566146</v>
      </c>
      <c r="AJ3111" s="196">
        <f>IFERROR($G3111/SUMIF($A:$A,$A3111,$G:$G)*(SUMIF(Summary!$A$247:$A$283,$A3111,Summary!$L$247:$L$283)+SUMIF(Summary!$A$297:$A$333,$A3111,Summary!$L$297:$L$333))-AI3111,0)</f>
        <v>98173.978710480325</v>
      </c>
      <c r="AK3111" s="196">
        <f>IFERROR($G3111/SUMIF($A:$A,$A3111,$G:$G)*SUMIF(Summary!$A$247:$A$283,$A3111,Summary!$Q$247:$Q$283),0)</f>
        <v>33139.32059373329</v>
      </c>
      <c r="AL3111" s="196">
        <f>IFERROR($G3111/SUMIF($A:$A,$A3111,$G:$G)*(SUMIF(Summary!$A$247:$A$283,$A3111,Summary!$L$247:$L$283)+SUMIF(Summary!$A$297:$A$333,$A3111,Summary!$L$297:$L$333))-AK3111,0)</f>
        <v>98115.374512408511</v>
      </c>
      <c r="AM3111" s="198"/>
      <c r="AN3111" s="196">
        <f t="shared" ca="1" si="684"/>
        <v>893076.06519840099</v>
      </c>
      <c r="AO3111" s="196">
        <f t="shared" ca="1" si="685"/>
        <v>892696.12209136598</v>
      </c>
    </row>
    <row r="3112" spans="1:41" s="201" customFormat="1">
      <c r="A3112" s="189">
        <v>11163</v>
      </c>
      <c r="B3112" s="190">
        <v>3</v>
      </c>
      <c r="C3112" s="191" t="s">
        <v>240</v>
      </c>
      <c r="D3112" s="192">
        <f t="shared" si="672"/>
        <v>0</v>
      </c>
      <c r="E3112" s="192">
        <f t="shared" si="673"/>
        <v>0</v>
      </c>
      <c r="F3112" s="192">
        <f t="shared" si="674"/>
        <v>0</v>
      </c>
      <c r="G3112" s="193">
        <f t="shared" si="675"/>
        <v>0</v>
      </c>
      <c r="H3112" s="194">
        <v>0</v>
      </c>
      <c r="I3112" s="194">
        <v>0</v>
      </c>
      <c r="J3112" s="194">
        <v>0</v>
      </c>
      <c r="K3112" s="193">
        <f t="shared" si="676"/>
        <v>0</v>
      </c>
      <c r="L3112" s="194">
        <v>0</v>
      </c>
      <c r="M3112" s="194">
        <v>0</v>
      </c>
      <c r="N3112" s="194">
        <v>0</v>
      </c>
      <c r="O3112" s="193">
        <f t="shared" si="677"/>
        <v>0</v>
      </c>
      <c r="P3112" s="194">
        <v>0</v>
      </c>
      <c r="Q3112" s="194">
        <v>0</v>
      </c>
      <c r="R3112" s="194">
        <v>0</v>
      </c>
      <c r="S3112" s="193">
        <f t="shared" si="678"/>
        <v>0</v>
      </c>
      <c r="T3112" s="193">
        <f t="shared" si="679"/>
        <v>0</v>
      </c>
      <c r="U3112" s="193">
        <f ca="1">OFFSET('Expenditure Study'!$B$7,'Operations Support'!$C3112,'Operations Support'!$B3112)*$G3112</f>
        <v>0</v>
      </c>
      <c r="V3112" s="199">
        <f ca="1">U3112*'Expenditure Study'!$B$31</f>
        <v>0</v>
      </c>
      <c r="W3112" s="199">
        <f ca="1">IF(A3112=10298,1.51,1)*IF($B3112&lt;3,$D3112*'Expenditure Study'!$B$32*OFFSET('Expenditure Study'!$B$7,'Operations Support'!$C3112,'Operations Support'!$B3112),0)</f>
        <v>0</v>
      </c>
      <c r="X3112" s="200">
        <f ca="1">W3112*'Expenditure Study'!$B$31</f>
        <v>0</v>
      </c>
      <c r="Y3112" s="199">
        <f ca="1">U3112*'Expenditure Study'!$B$31</f>
        <v>0</v>
      </c>
      <c r="Z3112" s="200">
        <f ca="1">W3112*'Expenditure Study'!$B$31</f>
        <v>0</v>
      </c>
      <c r="AA3112" s="195">
        <f t="shared" ca="1" si="680"/>
        <v>0</v>
      </c>
      <c r="AB3112" s="195">
        <f t="shared" ca="1" si="681"/>
        <v>0</v>
      </c>
      <c r="AD3112" s="196">
        <f>IFERROR($G3112/SUMIF($A:$A,$A3112,$G:$G)*SUMIF(Summary!$A$166:$A$242,$A3112,Summary!$P$166:$P$242),0)</f>
        <v>0</v>
      </c>
      <c r="AE3112" s="197">
        <f t="shared" ca="1" si="682"/>
        <v>0</v>
      </c>
      <c r="AF3112" s="196">
        <f>IFERROR(G3112/SUMIF(A:A,A3112,G:G)*SUMIF(Summary!$A$166:$A$242,'Operations Support'!A3112,Summary!$Q$166:$Q$242),0)</f>
        <v>0</v>
      </c>
      <c r="AG3112" s="196">
        <f t="shared" ca="1" si="683"/>
        <v>0</v>
      </c>
      <c r="AH3112" s="180"/>
      <c r="AI3112" s="196">
        <f>IFERROR($G3112/SUMIF($A:$A,$A3112,$G:$G)*SUMIF(Summary!$A$247:$A$283,$A3112,Summary!$P$247:$P$283),0)</f>
        <v>0</v>
      </c>
      <c r="AJ3112" s="196">
        <f>IFERROR($G3112/SUMIF($A:$A,$A3112,$G:$G)*(SUMIF(Summary!$A$247:$A$283,$A3112,Summary!$L$247:$L$283)+SUMIF(Summary!$A$297:$A$333,$A3112,Summary!$L$297:$L$333))-AI3112,0)</f>
        <v>0</v>
      </c>
      <c r="AK3112" s="196">
        <f>IFERROR($G3112/SUMIF($A:$A,$A3112,$G:$G)*SUMIF(Summary!$A$247:$A$283,$A3112,Summary!$Q$247:$Q$283),0)</f>
        <v>0</v>
      </c>
      <c r="AL3112" s="196">
        <f>IFERROR($G3112/SUMIF($A:$A,$A3112,$G:$G)*(SUMIF(Summary!$A$247:$A$283,$A3112,Summary!$L$247:$L$283)+SUMIF(Summary!$A$297:$A$333,$A3112,Summary!$L$297:$L$333))-AK3112,0)</f>
        <v>0</v>
      </c>
      <c r="AM3112" s="198"/>
      <c r="AN3112" s="196">
        <f t="shared" ca="1" si="684"/>
        <v>0</v>
      </c>
      <c r="AO3112" s="196">
        <f t="shared" ca="1" si="685"/>
        <v>0</v>
      </c>
    </row>
    <row r="3113" spans="1:41">
      <c r="A3113" s="189">
        <v>11163</v>
      </c>
      <c r="B3113" s="190">
        <v>4</v>
      </c>
      <c r="C3113" s="191" t="s">
        <v>220</v>
      </c>
      <c r="D3113" s="192">
        <f t="shared" si="672"/>
        <v>240</v>
      </c>
      <c r="E3113" s="192">
        <f t="shared" si="673"/>
        <v>30</v>
      </c>
      <c r="F3113" s="192">
        <f t="shared" si="674"/>
        <v>0</v>
      </c>
      <c r="G3113" s="193">
        <f t="shared" si="675"/>
        <v>270</v>
      </c>
      <c r="H3113" s="194">
        <v>90</v>
      </c>
      <c r="I3113" s="194">
        <v>15</v>
      </c>
      <c r="J3113" s="194">
        <v>0</v>
      </c>
      <c r="K3113" s="193">
        <f t="shared" si="676"/>
        <v>105</v>
      </c>
      <c r="L3113" s="194">
        <v>135</v>
      </c>
      <c r="M3113" s="194">
        <v>15</v>
      </c>
      <c r="N3113" s="194">
        <v>0</v>
      </c>
      <c r="O3113" s="193">
        <f t="shared" si="677"/>
        <v>150</v>
      </c>
      <c r="P3113" s="194">
        <v>15</v>
      </c>
      <c r="Q3113" s="194">
        <v>0</v>
      </c>
      <c r="R3113" s="194">
        <v>0</v>
      </c>
      <c r="S3113" s="193">
        <f t="shared" si="678"/>
        <v>15</v>
      </c>
      <c r="T3113" s="193">
        <f t="shared" si="679"/>
        <v>15</v>
      </c>
      <c r="U3113" s="193">
        <f ca="1">OFFSET('Expenditure Study'!$B$7,'Operations Support'!$C3113,'Operations Support'!$B3113)*$G3113</f>
        <v>3977.1</v>
      </c>
      <c r="V3113" s="199">
        <f ca="1">U3113*'Expenditure Study'!$B$31</f>
        <v>234979.71835968</v>
      </c>
      <c r="W3113" s="199">
        <f ca="1">IF(A3113=10298,1.51,1)*IF($B3113&lt;3,$D3113*'Expenditure Study'!$B$32*OFFSET('Expenditure Study'!$B$7,'Operations Support'!$C3113,'Operations Support'!$B3113),0)</f>
        <v>0</v>
      </c>
      <c r="X3113" s="200">
        <f ca="1">W3113*'Expenditure Study'!$B$31</f>
        <v>0</v>
      </c>
      <c r="Y3113" s="199">
        <f ca="1">U3113*'Expenditure Study'!$B$31</f>
        <v>234979.71835968</v>
      </c>
      <c r="Z3113" s="200">
        <f ca="1">W3113*'Expenditure Study'!$B$31</f>
        <v>0</v>
      </c>
      <c r="AA3113" s="195">
        <f t="shared" ca="1" si="680"/>
        <v>234979.71835968</v>
      </c>
      <c r="AB3113" s="195">
        <f t="shared" ca="1" si="681"/>
        <v>234979.71835968</v>
      </c>
      <c r="AD3113" s="196">
        <f>IFERROR($G3113/SUMIF($A:$A,$A3113,$G:$G)*SUMIF(Summary!$A$166:$A$242,$A3113,Summary!$P$166:$P$242),0)</f>
        <v>8061.7063578346306</v>
      </c>
      <c r="AE3113" s="197">
        <f t="shared" ca="1" si="682"/>
        <v>226918.01200184537</v>
      </c>
      <c r="AF3113" s="196">
        <f>IFERROR(G3113/SUMIF(A:A,A3113,G:G)*SUMIF(Summary!$A$166:$A$242,'Operations Support'!A3113,Summary!$Q$166:$Q$242),0)</f>
        <v>8075.9880871218911</v>
      </c>
      <c r="AG3113" s="196">
        <f t="shared" ca="1" si="683"/>
        <v>226903.73027255811</v>
      </c>
      <c r="AI3113" s="196">
        <f>IFERROR($G3113/SUMIF($A:$A,$A3113,$G:$G)*SUMIF(Summary!$A$247:$A$283,$A3113,Summary!$P$247:$P$283),0)</f>
        <v>1470.2540620293985</v>
      </c>
      <c r="AJ3113" s="196">
        <f>IFERROR($G3113/SUMIF($A:$A,$A3113,$G:$G)*(SUMIF(Summary!$A$247:$A$283,$A3113,Summary!$L$247:$L$283)+SUMIF(Summary!$A$297:$A$333,$A3113,Summary!$L$297:$L$333))-AI3113,0)</f>
        <v>4363.2879426880154</v>
      </c>
      <c r="AK3113" s="196">
        <f>IFERROR($G3113/SUMIF($A:$A,$A3113,$G:$G)*SUMIF(Summary!$A$247:$A$283,$A3113,Summary!$Q$247:$Q$283),0)</f>
        <v>1472.8586930548131</v>
      </c>
      <c r="AL3113" s="196">
        <f>IFERROR($G3113/SUMIF($A:$A,$A3113,$G:$G)*(SUMIF(Summary!$A$247:$A$283,$A3113,Summary!$L$247:$L$283)+SUMIF(Summary!$A$297:$A$333,$A3113,Summary!$L$297:$L$333))-AK3113,0)</f>
        <v>4360.6833116626003</v>
      </c>
      <c r="AM3113" s="198"/>
      <c r="AN3113" s="196">
        <f t="shared" ca="1" si="684"/>
        <v>231281.29994453338</v>
      </c>
      <c r="AO3113" s="196">
        <f t="shared" ca="1" si="685"/>
        <v>231264.41358422072</v>
      </c>
    </row>
    <row r="3114" spans="1:41">
      <c r="A3114" s="189">
        <v>11163</v>
      </c>
      <c r="B3114" s="190">
        <v>4</v>
      </c>
      <c r="C3114" s="191" t="s">
        <v>221</v>
      </c>
      <c r="D3114" s="192">
        <f t="shared" si="672"/>
        <v>0</v>
      </c>
      <c r="E3114" s="192">
        <f t="shared" si="673"/>
        <v>12</v>
      </c>
      <c r="F3114" s="192">
        <f t="shared" si="674"/>
        <v>0</v>
      </c>
      <c r="G3114" s="193">
        <f t="shared" si="675"/>
        <v>12</v>
      </c>
      <c r="H3114" s="194">
        <v>0</v>
      </c>
      <c r="I3114" s="194">
        <v>12</v>
      </c>
      <c r="J3114" s="194">
        <v>0</v>
      </c>
      <c r="K3114" s="193">
        <f t="shared" si="676"/>
        <v>12</v>
      </c>
      <c r="L3114" s="194">
        <v>0</v>
      </c>
      <c r="M3114" s="194">
        <v>0</v>
      </c>
      <c r="N3114" s="194">
        <v>0</v>
      </c>
      <c r="O3114" s="193">
        <f t="shared" si="677"/>
        <v>0</v>
      </c>
      <c r="P3114" s="194">
        <v>0</v>
      </c>
      <c r="Q3114" s="194">
        <v>0</v>
      </c>
      <c r="R3114" s="194">
        <v>0</v>
      </c>
      <c r="S3114" s="193">
        <f t="shared" si="678"/>
        <v>0</v>
      </c>
      <c r="T3114" s="193">
        <f t="shared" si="679"/>
        <v>0.66666666666666663</v>
      </c>
      <c r="U3114" s="193">
        <f ca="1">OFFSET('Expenditure Study'!$B$7,'Operations Support'!$C3114,'Operations Support'!$B3114)*$G3114</f>
        <v>260.88</v>
      </c>
      <c r="V3114" s="199">
        <f ca="1">U3114*'Expenditure Study'!$B$31</f>
        <v>15413.620207104001</v>
      </c>
      <c r="W3114" s="199">
        <f ca="1">IF(A3114=10298,1.51,1)*IF($B3114&lt;3,$D3114*'Expenditure Study'!$B$32*OFFSET('Expenditure Study'!$B$7,'Operations Support'!$C3114,'Operations Support'!$B3114),0)</f>
        <v>0</v>
      </c>
      <c r="X3114" s="200">
        <f ca="1">W3114*'Expenditure Study'!$B$31</f>
        <v>0</v>
      </c>
      <c r="Y3114" s="199">
        <f ca="1">U3114*'Expenditure Study'!$B$31</f>
        <v>15413.620207104001</v>
      </c>
      <c r="Z3114" s="200">
        <f ca="1">W3114*'Expenditure Study'!$B$31</f>
        <v>0</v>
      </c>
      <c r="AA3114" s="195">
        <f t="shared" ca="1" si="680"/>
        <v>15413.620207104001</v>
      </c>
      <c r="AB3114" s="195">
        <f t="shared" ca="1" si="681"/>
        <v>15413.620207104001</v>
      </c>
      <c r="AD3114" s="196">
        <f>IFERROR($G3114/SUMIF($A:$A,$A3114,$G:$G)*SUMIF(Summary!$A$166:$A$242,$A3114,Summary!$P$166:$P$242),0)</f>
        <v>358.29806034820581</v>
      </c>
      <c r="AE3114" s="197">
        <f t="shared" ca="1" si="682"/>
        <v>15055.322146755794</v>
      </c>
      <c r="AF3114" s="196">
        <f>IFERROR(G3114/SUMIF(A:A,A3114,G:G)*SUMIF(Summary!$A$166:$A$242,'Operations Support'!A3114,Summary!$Q$166:$Q$242),0)</f>
        <v>358.93280387208404</v>
      </c>
      <c r="AG3114" s="196">
        <f t="shared" ca="1" si="683"/>
        <v>15054.687403231917</v>
      </c>
      <c r="AI3114" s="196">
        <f>IFERROR($G3114/SUMIF($A:$A,$A3114,$G:$G)*SUMIF(Summary!$A$247:$A$283,$A3114,Summary!$P$247:$P$283),0)</f>
        <v>65.344624979084372</v>
      </c>
      <c r="AJ3114" s="196">
        <f>IFERROR($G3114/SUMIF($A:$A,$A3114,$G:$G)*(SUMIF(Summary!$A$247:$A$283,$A3114,Summary!$L$247:$L$283)+SUMIF(Summary!$A$297:$A$333,$A3114,Summary!$L$297:$L$333))-AI3114,0)</f>
        <v>193.92390856391177</v>
      </c>
      <c r="AK3114" s="196">
        <f>IFERROR($G3114/SUMIF($A:$A,$A3114,$G:$G)*SUMIF(Summary!$A$247:$A$283,$A3114,Summary!$Q$247:$Q$283),0)</f>
        <v>65.460386357991695</v>
      </c>
      <c r="AL3114" s="196">
        <f>IFERROR($G3114/SUMIF($A:$A,$A3114,$G:$G)*(SUMIF(Summary!$A$247:$A$283,$A3114,Summary!$L$247:$L$283)+SUMIF(Summary!$A$297:$A$333,$A3114,Summary!$L$297:$L$333))-AK3114,0)</f>
        <v>193.80814718500443</v>
      </c>
      <c r="AM3114" s="198"/>
      <c r="AN3114" s="196">
        <f t="shared" ca="1" si="684"/>
        <v>15249.246055319705</v>
      </c>
      <c r="AO3114" s="196">
        <f t="shared" ca="1" si="685"/>
        <v>15248.495550416921</v>
      </c>
    </row>
    <row r="3115" spans="1:41">
      <c r="A3115" s="189">
        <v>11163</v>
      </c>
      <c r="B3115" s="190">
        <v>4</v>
      </c>
      <c r="C3115" s="191" t="s">
        <v>222</v>
      </c>
      <c r="D3115" s="192">
        <f t="shared" si="672"/>
        <v>0</v>
      </c>
      <c r="E3115" s="192">
        <f t="shared" si="673"/>
        <v>0</v>
      </c>
      <c r="F3115" s="192">
        <f t="shared" si="674"/>
        <v>0</v>
      </c>
      <c r="G3115" s="193">
        <f t="shared" si="675"/>
        <v>0</v>
      </c>
      <c r="H3115" s="194">
        <v>0</v>
      </c>
      <c r="I3115" s="194">
        <v>0</v>
      </c>
      <c r="J3115" s="194">
        <v>0</v>
      </c>
      <c r="K3115" s="193">
        <f t="shared" si="676"/>
        <v>0</v>
      </c>
      <c r="L3115" s="194">
        <v>0</v>
      </c>
      <c r="M3115" s="194">
        <v>0</v>
      </c>
      <c r="N3115" s="194">
        <v>0</v>
      </c>
      <c r="O3115" s="193">
        <f t="shared" si="677"/>
        <v>0</v>
      </c>
      <c r="P3115" s="194">
        <v>0</v>
      </c>
      <c r="Q3115" s="194">
        <v>0</v>
      </c>
      <c r="R3115" s="194">
        <v>0</v>
      </c>
      <c r="S3115" s="193">
        <f t="shared" si="678"/>
        <v>0</v>
      </c>
      <c r="T3115" s="193">
        <f t="shared" si="679"/>
        <v>0</v>
      </c>
      <c r="U3115" s="193">
        <f ca="1">OFFSET('Expenditure Study'!$B$7,'Operations Support'!$C3115,'Operations Support'!$B3115)*$G3115</f>
        <v>0</v>
      </c>
      <c r="V3115" s="199">
        <f ca="1">U3115*'Expenditure Study'!$B$31</f>
        <v>0</v>
      </c>
      <c r="W3115" s="199">
        <f ca="1">IF(A3115=10298,1.51,1)*IF($B3115&lt;3,$D3115*'Expenditure Study'!$B$32*OFFSET('Expenditure Study'!$B$7,'Operations Support'!$C3115,'Operations Support'!$B3115),0)</f>
        <v>0</v>
      </c>
      <c r="X3115" s="200">
        <f ca="1">W3115*'Expenditure Study'!$B$31</f>
        <v>0</v>
      </c>
      <c r="Y3115" s="199">
        <f ca="1">U3115*'Expenditure Study'!$B$31</f>
        <v>0</v>
      </c>
      <c r="Z3115" s="200">
        <f ca="1">W3115*'Expenditure Study'!$B$31</f>
        <v>0</v>
      </c>
      <c r="AA3115" s="195">
        <f t="shared" ca="1" si="680"/>
        <v>0</v>
      </c>
      <c r="AB3115" s="195">
        <f t="shared" ca="1" si="681"/>
        <v>0</v>
      </c>
      <c r="AD3115" s="196">
        <f>IFERROR($G3115/SUMIF($A:$A,$A3115,$G:$G)*SUMIF(Summary!$A$166:$A$242,$A3115,Summary!$P$166:$P$242),0)</f>
        <v>0</v>
      </c>
      <c r="AE3115" s="197">
        <f t="shared" ca="1" si="682"/>
        <v>0</v>
      </c>
      <c r="AF3115" s="196">
        <f>IFERROR(G3115/SUMIF(A:A,A3115,G:G)*SUMIF(Summary!$A$166:$A$242,'Operations Support'!A3115,Summary!$Q$166:$Q$242),0)</f>
        <v>0</v>
      </c>
      <c r="AG3115" s="196">
        <f t="shared" ca="1" si="683"/>
        <v>0</v>
      </c>
      <c r="AI3115" s="196">
        <f>IFERROR($G3115/SUMIF($A:$A,$A3115,$G:$G)*SUMIF(Summary!$A$247:$A$283,$A3115,Summary!$P$247:$P$283),0)</f>
        <v>0</v>
      </c>
      <c r="AJ3115" s="196">
        <f>IFERROR($G3115/SUMIF($A:$A,$A3115,$G:$G)*(SUMIF(Summary!$A$247:$A$283,$A3115,Summary!$L$247:$L$283)+SUMIF(Summary!$A$297:$A$333,$A3115,Summary!$L$297:$L$333))-AI3115,0)</f>
        <v>0</v>
      </c>
      <c r="AK3115" s="196">
        <f>IFERROR($G3115/SUMIF($A:$A,$A3115,$G:$G)*SUMIF(Summary!$A$247:$A$283,$A3115,Summary!$Q$247:$Q$283),0)</f>
        <v>0</v>
      </c>
      <c r="AL3115" s="196">
        <f>IFERROR($G3115/SUMIF($A:$A,$A3115,$G:$G)*(SUMIF(Summary!$A$247:$A$283,$A3115,Summary!$L$247:$L$283)+SUMIF(Summary!$A$297:$A$333,$A3115,Summary!$L$297:$L$333))-AK3115,0)</f>
        <v>0</v>
      </c>
      <c r="AM3115" s="198"/>
      <c r="AN3115" s="196">
        <f t="shared" ca="1" si="684"/>
        <v>0</v>
      </c>
      <c r="AO3115" s="196">
        <f t="shared" ca="1" si="685"/>
        <v>0</v>
      </c>
    </row>
    <row r="3116" spans="1:41">
      <c r="A3116" s="189">
        <v>11163</v>
      </c>
      <c r="B3116" s="190">
        <v>4</v>
      </c>
      <c r="C3116" s="191" t="s">
        <v>223</v>
      </c>
      <c r="D3116" s="192">
        <f t="shared" si="672"/>
        <v>939</v>
      </c>
      <c r="E3116" s="192">
        <f t="shared" si="673"/>
        <v>0</v>
      </c>
      <c r="F3116" s="192">
        <f t="shared" si="674"/>
        <v>0</v>
      </c>
      <c r="G3116" s="193">
        <f t="shared" si="675"/>
        <v>939</v>
      </c>
      <c r="H3116" s="194">
        <v>344</v>
      </c>
      <c r="I3116" s="194">
        <v>0</v>
      </c>
      <c r="J3116" s="194">
        <v>0</v>
      </c>
      <c r="K3116" s="193">
        <f t="shared" si="676"/>
        <v>344</v>
      </c>
      <c r="L3116" s="194">
        <v>351</v>
      </c>
      <c r="M3116" s="194">
        <v>0</v>
      </c>
      <c r="N3116" s="194">
        <v>0</v>
      </c>
      <c r="O3116" s="193">
        <f t="shared" si="677"/>
        <v>351</v>
      </c>
      <c r="P3116" s="194">
        <v>244</v>
      </c>
      <c r="Q3116" s="194">
        <v>0</v>
      </c>
      <c r="R3116" s="194">
        <v>0</v>
      </c>
      <c r="S3116" s="193">
        <f t="shared" si="678"/>
        <v>244</v>
      </c>
      <c r="T3116" s="193">
        <f t="shared" si="679"/>
        <v>52.166666666666664</v>
      </c>
      <c r="U3116" s="193">
        <f ca="1">OFFSET('Expenditure Study'!$B$7,'Operations Support'!$C3116,'Operations Support'!$B3116)*$G3116</f>
        <v>7342.9800000000005</v>
      </c>
      <c r="V3116" s="199">
        <f ca="1">U3116*'Expenditure Study'!$B$31</f>
        <v>433846.61495078402</v>
      </c>
      <c r="W3116" s="199">
        <f ca="1">IF(A3116=10298,1.51,1)*IF($B3116&lt;3,$D3116*'Expenditure Study'!$B$32*OFFSET('Expenditure Study'!$B$7,'Operations Support'!$C3116,'Operations Support'!$B3116),0)</f>
        <v>0</v>
      </c>
      <c r="X3116" s="200">
        <f ca="1">W3116*'Expenditure Study'!$B$31</f>
        <v>0</v>
      </c>
      <c r="Y3116" s="199">
        <f ca="1">U3116*'Expenditure Study'!$B$31</f>
        <v>433846.61495078402</v>
      </c>
      <c r="Z3116" s="200">
        <f ca="1">W3116*'Expenditure Study'!$B$31</f>
        <v>0</v>
      </c>
      <c r="AA3116" s="195">
        <f t="shared" ca="1" si="680"/>
        <v>433846.61495078402</v>
      </c>
      <c r="AB3116" s="195">
        <f t="shared" ca="1" si="681"/>
        <v>433846.61495078402</v>
      </c>
      <c r="AD3116" s="196">
        <f>IFERROR($G3116/SUMIF($A:$A,$A3116,$G:$G)*SUMIF(Summary!$A$166:$A$242,$A3116,Summary!$P$166:$P$242),0)</f>
        <v>28036.823222247105</v>
      </c>
      <c r="AE3116" s="197">
        <f t="shared" ca="1" si="682"/>
        <v>405809.79172853689</v>
      </c>
      <c r="AF3116" s="196">
        <f>IFERROR(G3116/SUMIF(A:A,A3116,G:G)*SUMIF(Summary!$A$166:$A$242,'Operations Support'!A3116,Summary!$Q$166:$Q$242),0)</f>
        <v>28086.491902990576</v>
      </c>
      <c r="AG3116" s="196">
        <f t="shared" ca="1" si="683"/>
        <v>405760.12304779346</v>
      </c>
      <c r="AI3116" s="196">
        <f>IFERROR($G3116/SUMIF($A:$A,$A3116,$G:$G)*SUMIF(Summary!$A$247:$A$283,$A3116,Summary!$P$247:$P$283),0)</f>
        <v>5113.2169046133522</v>
      </c>
      <c r="AJ3116" s="196">
        <f>IFERROR($G3116/SUMIF($A:$A,$A3116,$G:$G)*(SUMIF(Summary!$A$247:$A$283,$A3116,Summary!$L$247:$L$283)+SUMIF(Summary!$A$297:$A$333,$A3116,Summary!$L$297:$L$333))-AI3116,0)</f>
        <v>15174.545845126097</v>
      </c>
      <c r="AK3116" s="196">
        <f>IFERROR($G3116/SUMIF($A:$A,$A3116,$G:$G)*SUMIF(Summary!$A$247:$A$283,$A3116,Summary!$Q$247:$Q$283),0)</f>
        <v>5122.2752325128504</v>
      </c>
      <c r="AL3116" s="196">
        <f>IFERROR($G3116/SUMIF($A:$A,$A3116,$G:$G)*(SUMIF(Summary!$A$247:$A$283,$A3116,Summary!$L$247:$L$283)+SUMIF(Summary!$A$297:$A$333,$A3116,Summary!$L$297:$L$333))-AK3116,0)</f>
        <v>15165.4875172266</v>
      </c>
      <c r="AM3116" s="198"/>
      <c r="AN3116" s="196">
        <f t="shared" ca="1" si="684"/>
        <v>420984.33757366298</v>
      </c>
      <c r="AO3116" s="196">
        <f t="shared" ca="1" si="685"/>
        <v>420925.61056502006</v>
      </c>
    </row>
    <row r="3117" spans="1:41">
      <c r="A3117" s="189">
        <v>11163</v>
      </c>
      <c r="B3117" s="190">
        <v>4</v>
      </c>
      <c r="C3117" s="191" t="s">
        <v>224</v>
      </c>
      <c r="D3117" s="192">
        <f t="shared" si="672"/>
        <v>0</v>
      </c>
      <c r="E3117" s="192">
        <f t="shared" si="673"/>
        <v>0</v>
      </c>
      <c r="F3117" s="192">
        <f t="shared" si="674"/>
        <v>0</v>
      </c>
      <c r="G3117" s="193">
        <f t="shared" si="675"/>
        <v>0</v>
      </c>
      <c r="H3117" s="194">
        <v>0</v>
      </c>
      <c r="I3117" s="194">
        <v>0</v>
      </c>
      <c r="J3117" s="194">
        <v>0</v>
      </c>
      <c r="K3117" s="193">
        <f t="shared" si="676"/>
        <v>0</v>
      </c>
      <c r="L3117" s="194">
        <v>0</v>
      </c>
      <c r="M3117" s="194">
        <v>0</v>
      </c>
      <c r="N3117" s="194">
        <v>0</v>
      </c>
      <c r="O3117" s="193">
        <f t="shared" si="677"/>
        <v>0</v>
      </c>
      <c r="P3117" s="194">
        <v>0</v>
      </c>
      <c r="Q3117" s="194">
        <v>0</v>
      </c>
      <c r="R3117" s="194">
        <v>0</v>
      </c>
      <c r="S3117" s="193">
        <f t="shared" si="678"/>
        <v>0</v>
      </c>
      <c r="T3117" s="193">
        <f t="shared" si="679"/>
        <v>0</v>
      </c>
      <c r="U3117" s="193">
        <f ca="1">OFFSET('Expenditure Study'!$B$7,'Operations Support'!$C3117,'Operations Support'!$B3117)*$G3117</f>
        <v>0</v>
      </c>
      <c r="V3117" s="199">
        <f ca="1">U3117*'Expenditure Study'!$B$31</f>
        <v>0</v>
      </c>
      <c r="W3117" s="199">
        <f ca="1">IF(A3117=10298,1.51,1)*IF($B3117&lt;3,$D3117*'Expenditure Study'!$B$32*OFFSET('Expenditure Study'!$B$7,'Operations Support'!$C3117,'Operations Support'!$B3117),0)</f>
        <v>0</v>
      </c>
      <c r="X3117" s="200">
        <f ca="1">W3117*'Expenditure Study'!$B$31</f>
        <v>0</v>
      </c>
      <c r="Y3117" s="199">
        <f ca="1">U3117*'Expenditure Study'!$B$31</f>
        <v>0</v>
      </c>
      <c r="Z3117" s="200">
        <f ca="1">W3117*'Expenditure Study'!$B$31</f>
        <v>0</v>
      </c>
      <c r="AA3117" s="195">
        <f t="shared" ca="1" si="680"/>
        <v>0</v>
      </c>
      <c r="AB3117" s="195">
        <f t="shared" ca="1" si="681"/>
        <v>0</v>
      </c>
      <c r="AD3117" s="196">
        <f>IFERROR($G3117/SUMIF($A:$A,$A3117,$G:$G)*SUMIF(Summary!$A$166:$A$242,$A3117,Summary!$P$166:$P$242),0)</f>
        <v>0</v>
      </c>
      <c r="AE3117" s="197">
        <f t="shared" ca="1" si="682"/>
        <v>0</v>
      </c>
      <c r="AF3117" s="196">
        <f>IFERROR(G3117/SUMIF(A:A,A3117,G:G)*SUMIF(Summary!$A$166:$A$242,'Operations Support'!A3117,Summary!$Q$166:$Q$242),0)</f>
        <v>0</v>
      </c>
      <c r="AG3117" s="196">
        <f t="shared" ca="1" si="683"/>
        <v>0</v>
      </c>
      <c r="AI3117" s="196">
        <f>IFERROR($G3117/SUMIF($A:$A,$A3117,$G:$G)*SUMIF(Summary!$A$247:$A$283,$A3117,Summary!$P$247:$P$283),0)</f>
        <v>0</v>
      </c>
      <c r="AJ3117" s="196">
        <f>IFERROR($G3117/SUMIF($A:$A,$A3117,$G:$G)*(SUMIF(Summary!$A$247:$A$283,$A3117,Summary!$L$247:$L$283)+SUMIF(Summary!$A$297:$A$333,$A3117,Summary!$L$297:$L$333))-AI3117,0)</f>
        <v>0</v>
      </c>
      <c r="AK3117" s="196">
        <f>IFERROR($G3117/SUMIF($A:$A,$A3117,$G:$G)*SUMIF(Summary!$A$247:$A$283,$A3117,Summary!$Q$247:$Q$283),0)</f>
        <v>0</v>
      </c>
      <c r="AL3117" s="196">
        <f>IFERROR($G3117/SUMIF($A:$A,$A3117,$G:$G)*(SUMIF(Summary!$A$247:$A$283,$A3117,Summary!$L$247:$L$283)+SUMIF(Summary!$A$297:$A$333,$A3117,Summary!$L$297:$L$333))-AK3117,0)</f>
        <v>0</v>
      </c>
      <c r="AM3117" s="198"/>
      <c r="AN3117" s="196">
        <f t="shared" ca="1" si="684"/>
        <v>0</v>
      </c>
      <c r="AO3117" s="196">
        <f t="shared" ca="1" si="685"/>
        <v>0</v>
      </c>
    </row>
    <row r="3118" spans="1:41">
      <c r="A3118" s="189">
        <v>11163</v>
      </c>
      <c r="B3118" s="190">
        <v>4</v>
      </c>
      <c r="C3118" s="191" t="s">
        <v>225</v>
      </c>
      <c r="D3118" s="192">
        <f t="shared" si="672"/>
        <v>0</v>
      </c>
      <c r="E3118" s="192">
        <f t="shared" si="673"/>
        <v>0</v>
      </c>
      <c r="F3118" s="192">
        <f t="shared" si="674"/>
        <v>0</v>
      </c>
      <c r="G3118" s="193">
        <f t="shared" si="675"/>
        <v>0</v>
      </c>
      <c r="H3118" s="194">
        <v>0</v>
      </c>
      <c r="I3118" s="194">
        <v>0</v>
      </c>
      <c r="J3118" s="194">
        <v>0</v>
      </c>
      <c r="K3118" s="193">
        <f t="shared" si="676"/>
        <v>0</v>
      </c>
      <c r="L3118" s="194">
        <v>0</v>
      </c>
      <c r="M3118" s="194">
        <v>0</v>
      </c>
      <c r="N3118" s="194">
        <v>0</v>
      </c>
      <c r="O3118" s="193">
        <f t="shared" si="677"/>
        <v>0</v>
      </c>
      <c r="P3118" s="194">
        <v>0</v>
      </c>
      <c r="Q3118" s="194">
        <v>0</v>
      </c>
      <c r="R3118" s="194">
        <v>0</v>
      </c>
      <c r="S3118" s="193">
        <f t="shared" si="678"/>
        <v>0</v>
      </c>
      <c r="T3118" s="193">
        <f t="shared" si="679"/>
        <v>0</v>
      </c>
      <c r="U3118" s="193">
        <f ca="1">OFFSET('Expenditure Study'!$B$7,'Operations Support'!$C3118,'Operations Support'!$B3118)*$G3118</f>
        <v>0</v>
      </c>
      <c r="V3118" s="199">
        <f ca="1">U3118*'Expenditure Study'!$B$31</f>
        <v>0</v>
      </c>
      <c r="W3118" s="199">
        <f ca="1">IF(A3118=10298,1.51,1)*IF($B3118&lt;3,$D3118*'Expenditure Study'!$B$32*OFFSET('Expenditure Study'!$B$7,'Operations Support'!$C3118,'Operations Support'!$B3118),0)</f>
        <v>0</v>
      </c>
      <c r="X3118" s="200">
        <f ca="1">W3118*'Expenditure Study'!$B$31</f>
        <v>0</v>
      </c>
      <c r="Y3118" s="199">
        <f ca="1">U3118*'Expenditure Study'!$B$31</f>
        <v>0</v>
      </c>
      <c r="Z3118" s="200">
        <f ca="1">W3118*'Expenditure Study'!$B$31</f>
        <v>0</v>
      </c>
      <c r="AA3118" s="195">
        <f t="shared" ca="1" si="680"/>
        <v>0</v>
      </c>
      <c r="AB3118" s="195">
        <f t="shared" ca="1" si="681"/>
        <v>0</v>
      </c>
      <c r="AD3118" s="196">
        <f>IFERROR($G3118/SUMIF($A:$A,$A3118,$G:$G)*SUMIF(Summary!$A$166:$A$242,$A3118,Summary!$P$166:$P$242),0)</f>
        <v>0</v>
      </c>
      <c r="AE3118" s="197">
        <f t="shared" ca="1" si="682"/>
        <v>0</v>
      </c>
      <c r="AF3118" s="196">
        <f>IFERROR(G3118/SUMIF(A:A,A3118,G:G)*SUMIF(Summary!$A$166:$A$242,'Operations Support'!A3118,Summary!$Q$166:$Q$242),0)</f>
        <v>0</v>
      </c>
      <c r="AG3118" s="196">
        <f t="shared" ca="1" si="683"/>
        <v>0</v>
      </c>
      <c r="AI3118" s="196">
        <f>IFERROR($G3118/SUMIF($A:$A,$A3118,$G:$G)*SUMIF(Summary!$A$247:$A$283,$A3118,Summary!$P$247:$P$283),0)</f>
        <v>0</v>
      </c>
      <c r="AJ3118" s="196">
        <f>IFERROR($G3118/SUMIF($A:$A,$A3118,$G:$G)*(SUMIF(Summary!$A$247:$A$283,$A3118,Summary!$L$247:$L$283)+SUMIF(Summary!$A$297:$A$333,$A3118,Summary!$L$297:$L$333))-AI3118,0)</f>
        <v>0</v>
      </c>
      <c r="AK3118" s="196">
        <f>IFERROR($G3118/SUMIF($A:$A,$A3118,$G:$G)*SUMIF(Summary!$A$247:$A$283,$A3118,Summary!$Q$247:$Q$283),0)</f>
        <v>0</v>
      </c>
      <c r="AL3118" s="196">
        <f>IFERROR($G3118/SUMIF($A:$A,$A3118,$G:$G)*(SUMIF(Summary!$A$247:$A$283,$A3118,Summary!$L$247:$L$283)+SUMIF(Summary!$A$297:$A$333,$A3118,Summary!$L$297:$L$333))-AK3118,0)</f>
        <v>0</v>
      </c>
      <c r="AM3118" s="198"/>
      <c r="AN3118" s="196">
        <f t="shared" ca="1" si="684"/>
        <v>0</v>
      </c>
      <c r="AO3118" s="196">
        <f t="shared" ca="1" si="685"/>
        <v>0</v>
      </c>
    </row>
    <row r="3119" spans="1:41">
      <c r="A3119" s="189">
        <v>11163</v>
      </c>
      <c r="B3119" s="190">
        <v>4</v>
      </c>
      <c r="C3119" s="191" t="s">
        <v>226</v>
      </c>
      <c r="D3119" s="192">
        <f t="shared" si="672"/>
        <v>0</v>
      </c>
      <c r="E3119" s="192">
        <f t="shared" si="673"/>
        <v>0</v>
      </c>
      <c r="F3119" s="192">
        <f t="shared" si="674"/>
        <v>0</v>
      </c>
      <c r="G3119" s="193">
        <f t="shared" si="675"/>
        <v>0</v>
      </c>
      <c r="H3119" s="194">
        <v>0</v>
      </c>
      <c r="I3119" s="194">
        <v>0</v>
      </c>
      <c r="J3119" s="194">
        <v>0</v>
      </c>
      <c r="K3119" s="193">
        <f t="shared" si="676"/>
        <v>0</v>
      </c>
      <c r="L3119" s="194">
        <v>0</v>
      </c>
      <c r="M3119" s="194">
        <v>0</v>
      </c>
      <c r="N3119" s="194">
        <v>0</v>
      </c>
      <c r="O3119" s="193">
        <f t="shared" si="677"/>
        <v>0</v>
      </c>
      <c r="P3119" s="194">
        <v>0</v>
      </c>
      <c r="Q3119" s="194">
        <v>0</v>
      </c>
      <c r="R3119" s="194">
        <v>0</v>
      </c>
      <c r="S3119" s="193">
        <f t="shared" si="678"/>
        <v>0</v>
      </c>
      <c r="T3119" s="193">
        <f t="shared" si="679"/>
        <v>0</v>
      </c>
      <c r="U3119" s="193">
        <f ca="1">OFFSET('Expenditure Study'!$B$7,'Operations Support'!$C3119,'Operations Support'!$B3119)*$G3119</f>
        <v>0</v>
      </c>
      <c r="V3119" s="199">
        <f ca="1">U3119*'Expenditure Study'!$B$31</f>
        <v>0</v>
      </c>
      <c r="W3119" s="199">
        <f ca="1">IF(A3119=10298,1.51,1)*IF($B3119&lt;3,$D3119*'Expenditure Study'!$B$32*OFFSET('Expenditure Study'!$B$7,'Operations Support'!$C3119,'Operations Support'!$B3119),0)</f>
        <v>0</v>
      </c>
      <c r="X3119" s="200">
        <f ca="1">W3119*'Expenditure Study'!$B$31</f>
        <v>0</v>
      </c>
      <c r="Y3119" s="199">
        <f ca="1">U3119*'Expenditure Study'!$B$31</f>
        <v>0</v>
      </c>
      <c r="Z3119" s="200">
        <f ca="1">W3119*'Expenditure Study'!$B$31</f>
        <v>0</v>
      </c>
      <c r="AA3119" s="195">
        <f t="shared" ca="1" si="680"/>
        <v>0</v>
      </c>
      <c r="AB3119" s="195">
        <f t="shared" ca="1" si="681"/>
        <v>0</v>
      </c>
      <c r="AD3119" s="196">
        <f>IFERROR($G3119/SUMIF($A:$A,$A3119,$G:$G)*SUMIF(Summary!$A$166:$A$242,$A3119,Summary!$P$166:$P$242),0)</f>
        <v>0</v>
      </c>
      <c r="AE3119" s="197">
        <f t="shared" ca="1" si="682"/>
        <v>0</v>
      </c>
      <c r="AF3119" s="196">
        <f>IFERROR(G3119/SUMIF(A:A,A3119,G:G)*SUMIF(Summary!$A$166:$A$242,'Operations Support'!A3119,Summary!$Q$166:$Q$242),0)</f>
        <v>0</v>
      </c>
      <c r="AG3119" s="196">
        <f t="shared" ca="1" si="683"/>
        <v>0</v>
      </c>
      <c r="AI3119" s="196">
        <f>IFERROR($G3119/SUMIF($A:$A,$A3119,$G:$G)*SUMIF(Summary!$A$247:$A$283,$A3119,Summary!$P$247:$P$283),0)</f>
        <v>0</v>
      </c>
      <c r="AJ3119" s="196">
        <f>IFERROR($G3119/SUMIF($A:$A,$A3119,$G:$G)*(SUMIF(Summary!$A$247:$A$283,$A3119,Summary!$L$247:$L$283)+SUMIF(Summary!$A$297:$A$333,$A3119,Summary!$L$297:$L$333))-AI3119,0)</f>
        <v>0</v>
      </c>
      <c r="AK3119" s="196">
        <f>IFERROR($G3119/SUMIF($A:$A,$A3119,$G:$G)*SUMIF(Summary!$A$247:$A$283,$A3119,Summary!$Q$247:$Q$283),0)</f>
        <v>0</v>
      </c>
      <c r="AL3119" s="196">
        <f>IFERROR($G3119/SUMIF($A:$A,$A3119,$G:$G)*(SUMIF(Summary!$A$247:$A$283,$A3119,Summary!$L$247:$L$283)+SUMIF(Summary!$A$297:$A$333,$A3119,Summary!$L$297:$L$333))-AK3119,0)</f>
        <v>0</v>
      </c>
      <c r="AM3119" s="198"/>
      <c r="AN3119" s="196">
        <f t="shared" ca="1" si="684"/>
        <v>0</v>
      </c>
      <c r="AO3119" s="196">
        <f t="shared" ca="1" si="685"/>
        <v>0</v>
      </c>
    </row>
    <row r="3120" spans="1:41">
      <c r="A3120" s="189">
        <v>11163</v>
      </c>
      <c r="B3120" s="190">
        <v>4</v>
      </c>
      <c r="C3120" s="191" t="s">
        <v>227</v>
      </c>
      <c r="D3120" s="192">
        <f t="shared" si="672"/>
        <v>0</v>
      </c>
      <c r="E3120" s="192">
        <f t="shared" si="673"/>
        <v>0</v>
      </c>
      <c r="F3120" s="192">
        <f t="shared" si="674"/>
        <v>0</v>
      </c>
      <c r="G3120" s="193">
        <f t="shared" si="675"/>
        <v>0</v>
      </c>
      <c r="H3120" s="194">
        <v>0</v>
      </c>
      <c r="I3120" s="194">
        <v>0</v>
      </c>
      <c r="J3120" s="194">
        <v>0</v>
      </c>
      <c r="K3120" s="193">
        <f t="shared" si="676"/>
        <v>0</v>
      </c>
      <c r="L3120" s="194">
        <v>0</v>
      </c>
      <c r="M3120" s="194">
        <v>0</v>
      </c>
      <c r="N3120" s="194">
        <v>0</v>
      </c>
      <c r="O3120" s="193">
        <f t="shared" si="677"/>
        <v>0</v>
      </c>
      <c r="P3120" s="194">
        <v>0</v>
      </c>
      <c r="Q3120" s="194">
        <v>0</v>
      </c>
      <c r="R3120" s="194">
        <v>0</v>
      </c>
      <c r="S3120" s="193">
        <f t="shared" si="678"/>
        <v>0</v>
      </c>
      <c r="T3120" s="193">
        <f t="shared" si="679"/>
        <v>0</v>
      </c>
      <c r="U3120" s="193">
        <f ca="1">OFFSET('Expenditure Study'!$B$7,'Operations Support'!$C3120,'Operations Support'!$B3120)*$G3120</f>
        <v>0</v>
      </c>
      <c r="V3120" s="199">
        <f ca="1">U3120*'Expenditure Study'!$B$31</f>
        <v>0</v>
      </c>
      <c r="W3120" s="199">
        <f ca="1">IF(A3120=10298,1.51,1)*IF($B3120&lt;3,$D3120*'Expenditure Study'!$B$32*OFFSET('Expenditure Study'!$B$7,'Operations Support'!$C3120,'Operations Support'!$B3120),0)</f>
        <v>0</v>
      </c>
      <c r="X3120" s="200">
        <f ca="1">W3120*'Expenditure Study'!$B$31</f>
        <v>0</v>
      </c>
      <c r="Y3120" s="199">
        <f ca="1">U3120*'Expenditure Study'!$B$31</f>
        <v>0</v>
      </c>
      <c r="Z3120" s="200">
        <f ca="1">W3120*'Expenditure Study'!$B$31</f>
        <v>0</v>
      </c>
      <c r="AA3120" s="195">
        <f t="shared" ca="1" si="680"/>
        <v>0</v>
      </c>
      <c r="AB3120" s="195">
        <f t="shared" ca="1" si="681"/>
        <v>0</v>
      </c>
      <c r="AD3120" s="196">
        <f>IFERROR($G3120/SUMIF($A:$A,$A3120,$G:$G)*SUMIF(Summary!$A$166:$A$242,$A3120,Summary!$P$166:$P$242),0)</f>
        <v>0</v>
      </c>
      <c r="AE3120" s="197">
        <f t="shared" ca="1" si="682"/>
        <v>0</v>
      </c>
      <c r="AF3120" s="196">
        <f>IFERROR(G3120/SUMIF(A:A,A3120,G:G)*SUMIF(Summary!$A$166:$A$242,'Operations Support'!A3120,Summary!$Q$166:$Q$242),0)</f>
        <v>0</v>
      </c>
      <c r="AG3120" s="196">
        <f t="shared" ca="1" si="683"/>
        <v>0</v>
      </c>
      <c r="AI3120" s="196">
        <f>IFERROR($G3120/SUMIF($A:$A,$A3120,$G:$G)*SUMIF(Summary!$A$247:$A$283,$A3120,Summary!$P$247:$P$283),0)</f>
        <v>0</v>
      </c>
      <c r="AJ3120" s="196">
        <f>IFERROR($G3120/SUMIF($A:$A,$A3120,$G:$G)*(SUMIF(Summary!$A$247:$A$283,$A3120,Summary!$L$247:$L$283)+SUMIF(Summary!$A$297:$A$333,$A3120,Summary!$L$297:$L$333))-AI3120,0)</f>
        <v>0</v>
      </c>
      <c r="AK3120" s="196">
        <f>IFERROR($G3120/SUMIF($A:$A,$A3120,$G:$G)*SUMIF(Summary!$A$247:$A$283,$A3120,Summary!$Q$247:$Q$283),0)</f>
        <v>0</v>
      </c>
      <c r="AL3120" s="196">
        <f>IFERROR($G3120/SUMIF($A:$A,$A3120,$G:$G)*(SUMIF(Summary!$A$247:$A$283,$A3120,Summary!$L$247:$L$283)+SUMIF(Summary!$A$297:$A$333,$A3120,Summary!$L$297:$L$333))-AK3120,0)</f>
        <v>0</v>
      </c>
      <c r="AM3120" s="198"/>
      <c r="AN3120" s="196">
        <f t="shared" ca="1" si="684"/>
        <v>0</v>
      </c>
      <c r="AO3120" s="196">
        <f t="shared" ca="1" si="685"/>
        <v>0</v>
      </c>
    </row>
    <row r="3121" spans="1:41">
      <c r="A3121" s="189">
        <v>11163</v>
      </c>
      <c r="B3121" s="190">
        <v>4</v>
      </c>
      <c r="C3121" s="191" t="s">
        <v>228</v>
      </c>
      <c r="D3121" s="192">
        <f t="shared" si="672"/>
        <v>0</v>
      </c>
      <c r="E3121" s="192">
        <f t="shared" si="673"/>
        <v>0</v>
      </c>
      <c r="F3121" s="192">
        <f t="shared" si="674"/>
        <v>0</v>
      </c>
      <c r="G3121" s="193">
        <f t="shared" si="675"/>
        <v>0</v>
      </c>
      <c r="H3121" s="194">
        <v>0</v>
      </c>
      <c r="I3121" s="194">
        <v>0</v>
      </c>
      <c r="J3121" s="194">
        <v>0</v>
      </c>
      <c r="K3121" s="193">
        <f t="shared" si="676"/>
        <v>0</v>
      </c>
      <c r="L3121" s="194">
        <v>0</v>
      </c>
      <c r="M3121" s="194">
        <v>0</v>
      </c>
      <c r="N3121" s="194">
        <v>0</v>
      </c>
      <c r="O3121" s="193">
        <f t="shared" si="677"/>
        <v>0</v>
      </c>
      <c r="P3121" s="194">
        <v>0</v>
      </c>
      <c r="Q3121" s="194">
        <v>0</v>
      </c>
      <c r="R3121" s="194">
        <v>0</v>
      </c>
      <c r="S3121" s="193">
        <f t="shared" si="678"/>
        <v>0</v>
      </c>
      <c r="T3121" s="193">
        <f t="shared" si="679"/>
        <v>0</v>
      </c>
      <c r="U3121" s="193">
        <f ca="1">OFFSET('Expenditure Study'!$B$7,'Operations Support'!$C3121,'Operations Support'!$B3121)*$G3121</f>
        <v>0</v>
      </c>
      <c r="V3121" s="199">
        <f ca="1">U3121*'Expenditure Study'!$B$31</f>
        <v>0</v>
      </c>
      <c r="W3121" s="199">
        <f ca="1">IF(A3121=10298,1.51,1)*IF($B3121&lt;3,$D3121*'Expenditure Study'!$B$32*OFFSET('Expenditure Study'!$B$7,'Operations Support'!$C3121,'Operations Support'!$B3121),0)</f>
        <v>0</v>
      </c>
      <c r="X3121" s="200">
        <f ca="1">W3121*'Expenditure Study'!$B$31</f>
        <v>0</v>
      </c>
      <c r="Y3121" s="199">
        <f ca="1">U3121*'Expenditure Study'!$B$31</f>
        <v>0</v>
      </c>
      <c r="Z3121" s="200">
        <f ca="1">W3121*'Expenditure Study'!$B$31</f>
        <v>0</v>
      </c>
      <c r="AA3121" s="195">
        <f t="shared" ca="1" si="680"/>
        <v>0</v>
      </c>
      <c r="AB3121" s="195">
        <f t="shared" ca="1" si="681"/>
        <v>0</v>
      </c>
      <c r="AD3121" s="196">
        <f>IFERROR($G3121/SUMIF($A:$A,$A3121,$G:$G)*SUMIF(Summary!$A$166:$A$242,$A3121,Summary!$P$166:$P$242),0)</f>
        <v>0</v>
      </c>
      <c r="AE3121" s="197">
        <f t="shared" ca="1" si="682"/>
        <v>0</v>
      </c>
      <c r="AF3121" s="196">
        <f>IFERROR(G3121/SUMIF(A:A,A3121,G:G)*SUMIF(Summary!$A$166:$A$242,'Operations Support'!A3121,Summary!$Q$166:$Q$242),0)</f>
        <v>0</v>
      </c>
      <c r="AG3121" s="196">
        <f t="shared" ca="1" si="683"/>
        <v>0</v>
      </c>
      <c r="AI3121" s="196">
        <f>IFERROR($G3121/SUMIF($A:$A,$A3121,$G:$G)*SUMIF(Summary!$A$247:$A$283,$A3121,Summary!$P$247:$P$283),0)</f>
        <v>0</v>
      </c>
      <c r="AJ3121" s="196">
        <f>IFERROR($G3121/SUMIF($A:$A,$A3121,$G:$G)*(SUMIF(Summary!$A$247:$A$283,$A3121,Summary!$L$247:$L$283)+SUMIF(Summary!$A$297:$A$333,$A3121,Summary!$L$297:$L$333))-AI3121,0)</f>
        <v>0</v>
      </c>
      <c r="AK3121" s="196">
        <f>IFERROR($G3121/SUMIF($A:$A,$A3121,$G:$G)*SUMIF(Summary!$A$247:$A$283,$A3121,Summary!$Q$247:$Q$283),0)</f>
        <v>0</v>
      </c>
      <c r="AL3121" s="196">
        <f>IFERROR($G3121/SUMIF($A:$A,$A3121,$G:$G)*(SUMIF(Summary!$A$247:$A$283,$A3121,Summary!$L$247:$L$283)+SUMIF(Summary!$A$297:$A$333,$A3121,Summary!$L$297:$L$333))-AK3121,0)</f>
        <v>0</v>
      </c>
      <c r="AM3121" s="198"/>
      <c r="AN3121" s="196">
        <f t="shared" ca="1" si="684"/>
        <v>0</v>
      </c>
      <c r="AO3121" s="196">
        <f t="shared" ca="1" si="685"/>
        <v>0</v>
      </c>
    </row>
    <row r="3122" spans="1:41">
      <c r="A3122" s="189">
        <v>11163</v>
      </c>
      <c r="B3122" s="190">
        <v>4</v>
      </c>
      <c r="C3122" s="191" t="s">
        <v>229</v>
      </c>
      <c r="D3122" s="192">
        <f t="shared" si="672"/>
        <v>0</v>
      </c>
      <c r="E3122" s="192">
        <f t="shared" si="673"/>
        <v>0</v>
      </c>
      <c r="F3122" s="192">
        <f t="shared" si="674"/>
        <v>0</v>
      </c>
      <c r="G3122" s="193">
        <f t="shared" si="675"/>
        <v>0</v>
      </c>
      <c r="H3122" s="194">
        <v>0</v>
      </c>
      <c r="I3122" s="194">
        <v>0</v>
      </c>
      <c r="J3122" s="194">
        <v>0</v>
      </c>
      <c r="K3122" s="193">
        <f t="shared" si="676"/>
        <v>0</v>
      </c>
      <c r="L3122" s="194">
        <v>0</v>
      </c>
      <c r="M3122" s="194">
        <v>0</v>
      </c>
      <c r="N3122" s="194">
        <v>0</v>
      </c>
      <c r="O3122" s="193">
        <f t="shared" si="677"/>
        <v>0</v>
      </c>
      <c r="P3122" s="194">
        <v>0</v>
      </c>
      <c r="Q3122" s="194">
        <v>0</v>
      </c>
      <c r="R3122" s="194">
        <v>0</v>
      </c>
      <c r="S3122" s="193">
        <f t="shared" si="678"/>
        <v>0</v>
      </c>
      <c r="T3122" s="193">
        <f t="shared" si="679"/>
        <v>0</v>
      </c>
      <c r="U3122" s="193">
        <f ca="1">OFFSET('Expenditure Study'!$B$7,'Operations Support'!$C3122,'Operations Support'!$B3122)*$G3122</f>
        <v>0</v>
      </c>
      <c r="V3122" s="199">
        <f ca="1">U3122*'Expenditure Study'!$B$31</f>
        <v>0</v>
      </c>
      <c r="W3122" s="199">
        <f ca="1">IF(A3122=10298,1.51,1)*IF($B3122&lt;3,$D3122*'Expenditure Study'!$B$32*OFFSET('Expenditure Study'!$B$7,'Operations Support'!$C3122,'Operations Support'!$B3122),0)</f>
        <v>0</v>
      </c>
      <c r="X3122" s="200">
        <f ca="1">W3122*'Expenditure Study'!$B$31</f>
        <v>0</v>
      </c>
      <c r="Y3122" s="199">
        <f ca="1">U3122*'Expenditure Study'!$B$31</f>
        <v>0</v>
      </c>
      <c r="Z3122" s="200">
        <f ca="1">W3122*'Expenditure Study'!$B$31</f>
        <v>0</v>
      </c>
      <c r="AA3122" s="195">
        <f t="shared" ca="1" si="680"/>
        <v>0</v>
      </c>
      <c r="AB3122" s="195">
        <f t="shared" ca="1" si="681"/>
        <v>0</v>
      </c>
      <c r="AD3122" s="196">
        <f>IFERROR($G3122/SUMIF($A:$A,$A3122,$G:$G)*SUMIF(Summary!$A$166:$A$242,$A3122,Summary!$P$166:$P$242),0)</f>
        <v>0</v>
      </c>
      <c r="AE3122" s="197">
        <f t="shared" ca="1" si="682"/>
        <v>0</v>
      </c>
      <c r="AF3122" s="196">
        <f>IFERROR(G3122/SUMIF(A:A,A3122,G:G)*SUMIF(Summary!$A$166:$A$242,'Operations Support'!A3122,Summary!$Q$166:$Q$242),0)</f>
        <v>0</v>
      </c>
      <c r="AG3122" s="196">
        <f t="shared" ca="1" si="683"/>
        <v>0</v>
      </c>
      <c r="AI3122" s="196">
        <f>IFERROR($G3122/SUMIF($A:$A,$A3122,$G:$G)*SUMIF(Summary!$A$247:$A$283,$A3122,Summary!$P$247:$P$283),0)</f>
        <v>0</v>
      </c>
      <c r="AJ3122" s="196">
        <f>IFERROR($G3122/SUMIF($A:$A,$A3122,$G:$G)*(SUMIF(Summary!$A$247:$A$283,$A3122,Summary!$L$247:$L$283)+SUMIF(Summary!$A$297:$A$333,$A3122,Summary!$L$297:$L$333))-AI3122,0)</f>
        <v>0</v>
      </c>
      <c r="AK3122" s="196">
        <f>IFERROR($G3122/SUMIF($A:$A,$A3122,$G:$G)*SUMIF(Summary!$A$247:$A$283,$A3122,Summary!$Q$247:$Q$283),0)</f>
        <v>0</v>
      </c>
      <c r="AL3122" s="196">
        <f>IFERROR($G3122/SUMIF($A:$A,$A3122,$G:$G)*(SUMIF(Summary!$A$247:$A$283,$A3122,Summary!$L$247:$L$283)+SUMIF(Summary!$A$297:$A$333,$A3122,Summary!$L$297:$L$333))-AK3122,0)</f>
        <v>0</v>
      </c>
      <c r="AM3122" s="198"/>
      <c r="AN3122" s="196">
        <f t="shared" ca="1" si="684"/>
        <v>0</v>
      </c>
      <c r="AO3122" s="196">
        <f t="shared" ca="1" si="685"/>
        <v>0</v>
      </c>
    </row>
    <row r="3123" spans="1:41">
      <c r="A3123" s="189">
        <v>11163</v>
      </c>
      <c r="B3123" s="190">
        <v>4</v>
      </c>
      <c r="C3123" s="191" t="s">
        <v>230</v>
      </c>
      <c r="D3123" s="192">
        <f t="shared" si="672"/>
        <v>0</v>
      </c>
      <c r="E3123" s="192">
        <f t="shared" si="673"/>
        <v>0</v>
      </c>
      <c r="F3123" s="192">
        <f t="shared" si="674"/>
        <v>0</v>
      </c>
      <c r="G3123" s="193">
        <f t="shared" si="675"/>
        <v>0</v>
      </c>
      <c r="H3123" s="194">
        <v>0</v>
      </c>
      <c r="I3123" s="194">
        <v>0</v>
      </c>
      <c r="J3123" s="194">
        <v>0</v>
      </c>
      <c r="K3123" s="193">
        <f t="shared" si="676"/>
        <v>0</v>
      </c>
      <c r="L3123" s="194">
        <v>0</v>
      </c>
      <c r="M3123" s="194">
        <v>0</v>
      </c>
      <c r="N3123" s="194">
        <v>0</v>
      </c>
      <c r="O3123" s="193">
        <f t="shared" si="677"/>
        <v>0</v>
      </c>
      <c r="P3123" s="194">
        <v>0</v>
      </c>
      <c r="Q3123" s="194">
        <v>0</v>
      </c>
      <c r="R3123" s="194">
        <v>0</v>
      </c>
      <c r="S3123" s="193">
        <f t="shared" si="678"/>
        <v>0</v>
      </c>
      <c r="T3123" s="193">
        <f t="shared" si="679"/>
        <v>0</v>
      </c>
      <c r="U3123" s="193">
        <f ca="1">OFFSET('Expenditure Study'!$B$7,'Operations Support'!$C3123,'Operations Support'!$B3123)*$G3123</f>
        <v>0</v>
      </c>
      <c r="V3123" s="199">
        <f ca="1">U3123*'Expenditure Study'!$B$31</f>
        <v>0</v>
      </c>
      <c r="W3123" s="199">
        <f ca="1">IF(A3123=10298,1.51,1)*IF($B3123&lt;3,$D3123*'Expenditure Study'!$B$32*OFFSET('Expenditure Study'!$B$7,'Operations Support'!$C3123,'Operations Support'!$B3123),0)</f>
        <v>0</v>
      </c>
      <c r="X3123" s="200">
        <f ca="1">W3123*'Expenditure Study'!$B$31</f>
        <v>0</v>
      </c>
      <c r="Y3123" s="199">
        <f ca="1">U3123*'Expenditure Study'!$B$31</f>
        <v>0</v>
      </c>
      <c r="Z3123" s="200">
        <f ca="1">W3123*'Expenditure Study'!$B$31</f>
        <v>0</v>
      </c>
      <c r="AA3123" s="195">
        <f t="shared" ca="1" si="680"/>
        <v>0</v>
      </c>
      <c r="AB3123" s="195">
        <f t="shared" ca="1" si="681"/>
        <v>0</v>
      </c>
      <c r="AD3123" s="196">
        <f>IFERROR($G3123/SUMIF($A:$A,$A3123,$G:$G)*SUMIF(Summary!$A$166:$A$242,$A3123,Summary!$P$166:$P$242),0)</f>
        <v>0</v>
      </c>
      <c r="AE3123" s="197">
        <f t="shared" ca="1" si="682"/>
        <v>0</v>
      </c>
      <c r="AF3123" s="196">
        <f>IFERROR(G3123/SUMIF(A:A,A3123,G:G)*SUMIF(Summary!$A$166:$A$242,'Operations Support'!A3123,Summary!$Q$166:$Q$242),0)</f>
        <v>0</v>
      </c>
      <c r="AG3123" s="196">
        <f t="shared" ca="1" si="683"/>
        <v>0</v>
      </c>
      <c r="AI3123" s="196">
        <f>IFERROR($G3123/SUMIF($A:$A,$A3123,$G:$G)*SUMIF(Summary!$A$247:$A$283,$A3123,Summary!$P$247:$P$283),0)</f>
        <v>0</v>
      </c>
      <c r="AJ3123" s="196">
        <f>IFERROR($G3123/SUMIF($A:$A,$A3123,$G:$G)*(SUMIF(Summary!$A$247:$A$283,$A3123,Summary!$L$247:$L$283)+SUMIF(Summary!$A$297:$A$333,$A3123,Summary!$L$297:$L$333))-AI3123,0)</f>
        <v>0</v>
      </c>
      <c r="AK3123" s="196">
        <f>IFERROR($G3123/SUMIF($A:$A,$A3123,$G:$G)*SUMIF(Summary!$A$247:$A$283,$A3123,Summary!$Q$247:$Q$283),0)</f>
        <v>0</v>
      </c>
      <c r="AL3123" s="196">
        <f>IFERROR($G3123/SUMIF($A:$A,$A3123,$G:$G)*(SUMIF(Summary!$A$247:$A$283,$A3123,Summary!$L$247:$L$283)+SUMIF(Summary!$A$297:$A$333,$A3123,Summary!$L$297:$L$333))-AK3123,0)</f>
        <v>0</v>
      </c>
      <c r="AM3123" s="198"/>
      <c r="AN3123" s="196">
        <f t="shared" ca="1" si="684"/>
        <v>0</v>
      </c>
      <c r="AO3123" s="196">
        <f t="shared" ca="1" si="685"/>
        <v>0</v>
      </c>
    </row>
    <row r="3124" spans="1:41">
      <c r="A3124" s="189">
        <v>11163</v>
      </c>
      <c r="B3124" s="190">
        <v>4</v>
      </c>
      <c r="C3124" s="191" t="s">
        <v>231</v>
      </c>
      <c r="D3124" s="192">
        <f t="shared" si="672"/>
        <v>0</v>
      </c>
      <c r="E3124" s="192">
        <f t="shared" si="673"/>
        <v>0</v>
      </c>
      <c r="F3124" s="192">
        <f t="shared" si="674"/>
        <v>0</v>
      </c>
      <c r="G3124" s="193">
        <f t="shared" si="675"/>
        <v>0</v>
      </c>
      <c r="H3124" s="194">
        <v>0</v>
      </c>
      <c r="I3124" s="194">
        <v>0</v>
      </c>
      <c r="J3124" s="194">
        <v>0</v>
      </c>
      <c r="K3124" s="193">
        <f t="shared" si="676"/>
        <v>0</v>
      </c>
      <c r="L3124" s="194">
        <v>0</v>
      </c>
      <c r="M3124" s="194">
        <v>0</v>
      </c>
      <c r="N3124" s="194">
        <v>0</v>
      </c>
      <c r="O3124" s="193">
        <f t="shared" si="677"/>
        <v>0</v>
      </c>
      <c r="P3124" s="194">
        <v>0</v>
      </c>
      <c r="Q3124" s="194">
        <v>0</v>
      </c>
      <c r="R3124" s="194">
        <v>0</v>
      </c>
      <c r="S3124" s="193">
        <f t="shared" si="678"/>
        <v>0</v>
      </c>
      <c r="T3124" s="193">
        <f t="shared" si="679"/>
        <v>0</v>
      </c>
      <c r="U3124" s="193">
        <f ca="1">OFFSET('Expenditure Study'!$B$7,'Operations Support'!$C3124,'Operations Support'!$B3124)*$G3124</f>
        <v>0</v>
      </c>
      <c r="V3124" s="199">
        <f ca="1">U3124*'Expenditure Study'!$B$31</f>
        <v>0</v>
      </c>
      <c r="W3124" s="199">
        <f ca="1">IF(A3124=10298,1.51,1)*IF($B3124&lt;3,$D3124*'Expenditure Study'!$B$32*OFFSET('Expenditure Study'!$B$7,'Operations Support'!$C3124,'Operations Support'!$B3124),0)</f>
        <v>0</v>
      </c>
      <c r="X3124" s="200">
        <f ca="1">W3124*'Expenditure Study'!$B$31</f>
        <v>0</v>
      </c>
      <c r="Y3124" s="199">
        <f ca="1">U3124*'Expenditure Study'!$B$31</f>
        <v>0</v>
      </c>
      <c r="Z3124" s="200">
        <f ca="1">W3124*'Expenditure Study'!$B$31</f>
        <v>0</v>
      </c>
      <c r="AA3124" s="195">
        <f t="shared" ca="1" si="680"/>
        <v>0</v>
      </c>
      <c r="AB3124" s="195">
        <f t="shared" ca="1" si="681"/>
        <v>0</v>
      </c>
      <c r="AD3124" s="196">
        <f>IFERROR($G3124/SUMIF($A:$A,$A3124,$G:$G)*SUMIF(Summary!$A$166:$A$242,$A3124,Summary!$P$166:$P$242),0)</f>
        <v>0</v>
      </c>
      <c r="AE3124" s="197">
        <f t="shared" ca="1" si="682"/>
        <v>0</v>
      </c>
      <c r="AF3124" s="196">
        <f>IFERROR(G3124/SUMIF(A:A,A3124,G:G)*SUMIF(Summary!$A$166:$A$242,'Operations Support'!A3124,Summary!$Q$166:$Q$242),0)</f>
        <v>0</v>
      </c>
      <c r="AG3124" s="196">
        <f t="shared" ca="1" si="683"/>
        <v>0</v>
      </c>
      <c r="AI3124" s="196">
        <f>IFERROR($G3124/SUMIF($A:$A,$A3124,$G:$G)*SUMIF(Summary!$A$247:$A$283,$A3124,Summary!$P$247:$P$283),0)</f>
        <v>0</v>
      </c>
      <c r="AJ3124" s="196">
        <f>IFERROR($G3124/SUMIF($A:$A,$A3124,$G:$G)*(SUMIF(Summary!$A$247:$A$283,$A3124,Summary!$L$247:$L$283)+SUMIF(Summary!$A$297:$A$333,$A3124,Summary!$L$297:$L$333))-AI3124,0)</f>
        <v>0</v>
      </c>
      <c r="AK3124" s="196">
        <f>IFERROR($G3124/SUMIF($A:$A,$A3124,$G:$G)*SUMIF(Summary!$A$247:$A$283,$A3124,Summary!$Q$247:$Q$283),0)</f>
        <v>0</v>
      </c>
      <c r="AL3124" s="196">
        <f>IFERROR($G3124/SUMIF($A:$A,$A3124,$G:$G)*(SUMIF(Summary!$A$247:$A$283,$A3124,Summary!$L$247:$L$283)+SUMIF(Summary!$A$297:$A$333,$A3124,Summary!$L$297:$L$333))-AK3124,0)</f>
        <v>0</v>
      </c>
      <c r="AM3124" s="198"/>
      <c r="AN3124" s="196">
        <f t="shared" ca="1" si="684"/>
        <v>0</v>
      </c>
      <c r="AO3124" s="196">
        <f t="shared" ca="1" si="685"/>
        <v>0</v>
      </c>
    </row>
    <row r="3125" spans="1:41">
      <c r="A3125" s="189">
        <v>11163</v>
      </c>
      <c r="B3125" s="190">
        <v>4</v>
      </c>
      <c r="C3125" s="191" t="s">
        <v>232</v>
      </c>
      <c r="D3125" s="192">
        <f t="shared" si="672"/>
        <v>0</v>
      </c>
      <c r="E3125" s="192">
        <f t="shared" si="673"/>
        <v>0</v>
      </c>
      <c r="F3125" s="192">
        <f t="shared" si="674"/>
        <v>0</v>
      </c>
      <c r="G3125" s="193">
        <f t="shared" si="675"/>
        <v>0</v>
      </c>
      <c r="H3125" s="194">
        <v>0</v>
      </c>
      <c r="I3125" s="194">
        <v>0</v>
      </c>
      <c r="J3125" s="194">
        <v>0</v>
      </c>
      <c r="K3125" s="193">
        <f t="shared" si="676"/>
        <v>0</v>
      </c>
      <c r="L3125" s="194">
        <v>0</v>
      </c>
      <c r="M3125" s="194">
        <v>0</v>
      </c>
      <c r="N3125" s="194">
        <v>0</v>
      </c>
      <c r="O3125" s="193">
        <f t="shared" si="677"/>
        <v>0</v>
      </c>
      <c r="P3125" s="194">
        <v>0</v>
      </c>
      <c r="Q3125" s="194">
        <v>0</v>
      </c>
      <c r="R3125" s="194">
        <v>0</v>
      </c>
      <c r="S3125" s="193">
        <f t="shared" si="678"/>
        <v>0</v>
      </c>
      <c r="T3125" s="193">
        <f t="shared" si="679"/>
        <v>0</v>
      </c>
      <c r="U3125" s="193">
        <f ca="1">OFFSET('Expenditure Study'!$B$7,'Operations Support'!$C3125,'Operations Support'!$B3125)*$G3125</f>
        <v>0</v>
      </c>
      <c r="V3125" s="199">
        <f ca="1">U3125*'Expenditure Study'!$B$31</f>
        <v>0</v>
      </c>
      <c r="W3125" s="199">
        <f ca="1">IF(A3125=10298,1.51,1)*IF($B3125&lt;3,$D3125*'Expenditure Study'!$B$32*OFFSET('Expenditure Study'!$B$7,'Operations Support'!$C3125,'Operations Support'!$B3125),0)</f>
        <v>0</v>
      </c>
      <c r="X3125" s="200">
        <f ca="1">W3125*'Expenditure Study'!$B$31</f>
        <v>0</v>
      </c>
      <c r="Y3125" s="199">
        <f ca="1">U3125*'Expenditure Study'!$B$31</f>
        <v>0</v>
      </c>
      <c r="Z3125" s="200">
        <f ca="1">W3125*'Expenditure Study'!$B$31</f>
        <v>0</v>
      </c>
      <c r="AA3125" s="195">
        <f t="shared" ca="1" si="680"/>
        <v>0</v>
      </c>
      <c r="AB3125" s="195">
        <f t="shared" ca="1" si="681"/>
        <v>0</v>
      </c>
      <c r="AD3125" s="196">
        <f>IFERROR($G3125/SUMIF($A:$A,$A3125,$G:$G)*SUMIF(Summary!$A$166:$A$242,$A3125,Summary!$P$166:$P$242),0)</f>
        <v>0</v>
      </c>
      <c r="AE3125" s="197">
        <f t="shared" ca="1" si="682"/>
        <v>0</v>
      </c>
      <c r="AF3125" s="196">
        <f>IFERROR(G3125/SUMIF(A:A,A3125,G:G)*SUMIF(Summary!$A$166:$A$242,'Operations Support'!A3125,Summary!$Q$166:$Q$242),0)</f>
        <v>0</v>
      </c>
      <c r="AG3125" s="196">
        <f t="shared" ca="1" si="683"/>
        <v>0</v>
      </c>
      <c r="AI3125" s="196">
        <f>IFERROR($G3125/SUMIF($A:$A,$A3125,$G:$G)*SUMIF(Summary!$A$247:$A$283,$A3125,Summary!$P$247:$P$283),0)</f>
        <v>0</v>
      </c>
      <c r="AJ3125" s="196">
        <f>IFERROR($G3125/SUMIF($A:$A,$A3125,$G:$G)*(SUMIF(Summary!$A$247:$A$283,$A3125,Summary!$L$247:$L$283)+SUMIF(Summary!$A$297:$A$333,$A3125,Summary!$L$297:$L$333))-AI3125,0)</f>
        <v>0</v>
      </c>
      <c r="AK3125" s="196">
        <f>IFERROR($G3125/SUMIF($A:$A,$A3125,$G:$G)*SUMIF(Summary!$A$247:$A$283,$A3125,Summary!$Q$247:$Q$283),0)</f>
        <v>0</v>
      </c>
      <c r="AL3125" s="196">
        <f>IFERROR($G3125/SUMIF($A:$A,$A3125,$G:$G)*(SUMIF(Summary!$A$247:$A$283,$A3125,Summary!$L$247:$L$283)+SUMIF(Summary!$A$297:$A$333,$A3125,Summary!$L$297:$L$333))-AK3125,0)</f>
        <v>0</v>
      </c>
      <c r="AM3125" s="198"/>
      <c r="AN3125" s="196">
        <f t="shared" ca="1" si="684"/>
        <v>0</v>
      </c>
      <c r="AO3125" s="196">
        <f t="shared" ca="1" si="685"/>
        <v>0</v>
      </c>
    </row>
    <row r="3126" spans="1:41">
      <c r="A3126" s="189">
        <v>11163</v>
      </c>
      <c r="B3126" s="190">
        <v>4</v>
      </c>
      <c r="C3126" s="191" t="s">
        <v>233</v>
      </c>
      <c r="D3126" s="192">
        <f t="shared" si="672"/>
        <v>0</v>
      </c>
      <c r="E3126" s="192">
        <f t="shared" si="673"/>
        <v>0</v>
      </c>
      <c r="F3126" s="192">
        <f t="shared" si="674"/>
        <v>0</v>
      </c>
      <c r="G3126" s="193">
        <f t="shared" si="675"/>
        <v>0</v>
      </c>
      <c r="H3126" s="194">
        <v>0</v>
      </c>
      <c r="I3126" s="194">
        <v>0</v>
      </c>
      <c r="J3126" s="194">
        <v>0</v>
      </c>
      <c r="K3126" s="193">
        <f t="shared" si="676"/>
        <v>0</v>
      </c>
      <c r="L3126" s="194">
        <v>0</v>
      </c>
      <c r="M3126" s="194">
        <v>0</v>
      </c>
      <c r="N3126" s="194">
        <v>0</v>
      </c>
      <c r="O3126" s="193">
        <f t="shared" si="677"/>
        <v>0</v>
      </c>
      <c r="P3126" s="194">
        <v>0</v>
      </c>
      <c r="Q3126" s="194">
        <v>0</v>
      </c>
      <c r="R3126" s="194">
        <v>0</v>
      </c>
      <c r="S3126" s="193">
        <f t="shared" si="678"/>
        <v>0</v>
      </c>
      <c r="T3126" s="193">
        <f t="shared" si="679"/>
        <v>0</v>
      </c>
      <c r="U3126" s="193">
        <f ca="1">OFFSET('Expenditure Study'!$B$7,'Operations Support'!$C3126,'Operations Support'!$B3126)*$G3126</f>
        <v>0</v>
      </c>
      <c r="V3126" s="199">
        <f ca="1">U3126*'Expenditure Study'!$B$31</f>
        <v>0</v>
      </c>
      <c r="W3126" s="199">
        <f ca="1">IF(A3126=10298,1.51,1)*IF($B3126&lt;3,$D3126*'Expenditure Study'!$B$32*OFFSET('Expenditure Study'!$B$7,'Operations Support'!$C3126,'Operations Support'!$B3126),0)</f>
        <v>0</v>
      </c>
      <c r="X3126" s="200">
        <f ca="1">W3126*'Expenditure Study'!$B$31</f>
        <v>0</v>
      </c>
      <c r="Y3126" s="199">
        <f ca="1">U3126*'Expenditure Study'!$B$31</f>
        <v>0</v>
      </c>
      <c r="Z3126" s="200">
        <f ca="1">W3126*'Expenditure Study'!$B$31</f>
        <v>0</v>
      </c>
      <c r="AA3126" s="195">
        <f t="shared" ca="1" si="680"/>
        <v>0</v>
      </c>
      <c r="AB3126" s="195">
        <f t="shared" ca="1" si="681"/>
        <v>0</v>
      </c>
      <c r="AD3126" s="196">
        <f>IFERROR($G3126/SUMIF($A:$A,$A3126,$G:$G)*SUMIF(Summary!$A$166:$A$242,$A3126,Summary!$P$166:$P$242),0)</f>
        <v>0</v>
      </c>
      <c r="AE3126" s="197">
        <f t="shared" ca="1" si="682"/>
        <v>0</v>
      </c>
      <c r="AF3126" s="196">
        <f>IFERROR(G3126/SUMIF(A:A,A3126,G:G)*SUMIF(Summary!$A$166:$A$242,'Operations Support'!A3126,Summary!$Q$166:$Q$242),0)</f>
        <v>0</v>
      </c>
      <c r="AG3126" s="196">
        <f t="shared" ca="1" si="683"/>
        <v>0</v>
      </c>
      <c r="AI3126" s="196">
        <f>IFERROR($G3126/SUMIF($A:$A,$A3126,$G:$G)*SUMIF(Summary!$A$247:$A$283,$A3126,Summary!$P$247:$P$283),0)</f>
        <v>0</v>
      </c>
      <c r="AJ3126" s="196">
        <f>IFERROR($G3126/SUMIF($A:$A,$A3126,$G:$G)*(SUMIF(Summary!$A$247:$A$283,$A3126,Summary!$L$247:$L$283)+SUMIF(Summary!$A$297:$A$333,$A3126,Summary!$L$297:$L$333))-AI3126,0)</f>
        <v>0</v>
      </c>
      <c r="AK3126" s="196">
        <f>IFERROR($G3126/SUMIF($A:$A,$A3126,$G:$G)*SUMIF(Summary!$A$247:$A$283,$A3126,Summary!$Q$247:$Q$283),0)</f>
        <v>0</v>
      </c>
      <c r="AL3126" s="196">
        <f>IFERROR($G3126/SUMIF($A:$A,$A3126,$G:$G)*(SUMIF(Summary!$A$247:$A$283,$A3126,Summary!$L$247:$L$283)+SUMIF(Summary!$A$297:$A$333,$A3126,Summary!$L$297:$L$333))-AK3126,0)</f>
        <v>0</v>
      </c>
      <c r="AM3126" s="198"/>
      <c r="AN3126" s="196">
        <f t="shared" ca="1" si="684"/>
        <v>0</v>
      </c>
      <c r="AO3126" s="196">
        <f t="shared" ca="1" si="685"/>
        <v>0</v>
      </c>
    </row>
    <row r="3127" spans="1:41">
      <c r="A3127" s="189">
        <v>11163</v>
      </c>
      <c r="B3127" s="190">
        <v>4</v>
      </c>
      <c r="C3127" s="191" t="s">
        <v>234</v>
      </c>
      <c r="D3127" s="192">
        <f t="shared" si="672"/>
        <v>0</v>
      </c>
      <c r="E3127" s="192">
        <f t="shared" si="673"/>
        <v>0</v>
      </c>
      <c r="F3127" s="192">
        <f t="shared" si="674"/>
        <v>0</v>
      </c>
      <c r="G3127" s="193">
        <f t="shared" si="675"/>
        <v>0</v>
      </c>
      <c r="H3127" s="194">
        <v>0</v>
      </c>
      <c r="I3127" s="194">
        <v>0</v>
      </c>
      <c r="J3127" s="194">
        <v>0</v>
      </c>
      <c r="K3127" s="193">
        <f t="shared" si="676"/>
        <v>0</v>
      </c>
      <c r="L3127" s="194">
        <v>0</v>
      </c>
      <c r="M3127" s="194">
        <v>0</v>
      </c>
      <c r="N3127" s="194">
        <v>0</v>
      </c>
      <c r="O3127" s="193">
        <f t="shared" si="677"/>
        <v>0</v>
      </c>
      <c r="P3127" s="194">
        <v>0</v>
      </c>
      <c r="Q3127" s="194">
        <v>0</v>
      </c>
      <c r="R3127" s="194">
        <v>0</v>
      </c>
      <c r="S3127" s="193">
        <f t="shared" si="678"/>
        <v>0</v>
      </c>
      <c r="T3127" s="193">
        <f t="shared" si="679"/>
        <v>0</v>
      </c>
      <c r="U3127" s="193">
        <f ca="1">OFFSET('Expenditure Study'!$B$7,'Operations Support'!$C3127,'Operations Support'!$B3127)*$G3127</f>
        <v>0</v>
      </c>
      <c r="V3127" s="199">
        <f ca="1">U3127*'Expenditure Study'!$B$31</f>
        <v>0</v>
      </c>
      <c r="W3127" s="199">
        <f ca="1">IF(A3127=10298,1.51,1)*IF($B3127&lt;3,$D3127*'Expenditure Study'!$B$32*OFFSET('Expenditure Study'!$B$7,'Operations Support'!$C3127,'Operations Support'!$B3127),0)</f>
        <v>0</v>
      </c>
      <c r="X3127" s="200">
        <f ca="1">W3127*'Expenditure Study'!$B$31</f>
        <v>0</v>
      </c>
      <c r="Y3127" s="199">
        <f ca="1">U3127*'Expenditure Study'!$B$31</f>
        <v>0</v>
      </c>
      <c r="Z3127" s="200">
        <f ca="1">W3127*'Expenditure Study'!$B$31</f>
        <v>0</v>
      </c>
      <c r="AA3127" s="195">
        <f t="shared" ca="1" si="680"/>
        <v>0</v>
      </c>
      <c r="AB3127" s="195">
        <f t="shared" ca="1" si="681"/>
        <v>0</v>
      </c>
      <c r="AD3127" s="196">
        <f>IFERROR($G3127/SUMIF($A:$A,$A3127,$G:$G)*SUMIF(Summary!$A$166:$A$242,$A3127,Summary!$P$166:$P$242),0)</f>
        <v>0</v>
      </c>
      <c r="AE3127" s="197">
        <f t="shared" ca="1" si="682"/>
        <v>0</v>
      </c>
      <c r="AF3127" s="196">
        <f>IFERROR(G3127/SUMIF(A:A,A3127,G:G)*SUMIF(Summary!$A$166:$A$242,'Operations Support'!A3127,Summary!$Q$166:$Q$242),0)</f>
        <v>0</v>
      </c>
      <c r="AG3127" s="196">
        <f t="shared" ca="1" si="683"/>
        <v>0</v>
      </c>
      <c r="AI3127" s="196">
        <f>IFERROR($G3127/SUMIF($A:$A,$A3127,$G:$G)*SUMIF(Summary!$A$247:$A$283,$A3127,Summary!$P$247:$P$283),0)</f>
        <v>0</v>
      </c>
      <c r="AJ3127" s="196">
        <f>IFERROR($G3127/SUMIF($A:$A,$A3127,$G:$G)*(SUMIF(Summary!$A$247:$A$283,$A3127,Summary!$L$247:$L$283)+SUMIF(Summary!$A$297:$A$333,$A3127,Summary!$L$297:$L$333))-AI3127,0)</f>
        <v>0</v>
      </c>
      <c r="AK3127" s="196">
        <f>IFERROR($G3127/SUMIF($A:$A,$A3127,$G:$G)*SUMIF(Summary!$A$247:$A$283,$A3127,Summary!$Q$247:$Q$283),0)</f>
        <v>0</v>
      </c>
      <c r="AL3127" s="196">
        <f>IFERROR($G3127/SUMIF($A:$A,$A3127,$G:$G)*(SUMIF(Summary!$A$247:$A$283,$A3127,Summary!$L$247:$L$283)+SUMIF(Summary!$A$297:$A$333,$A3127,Summary!$L$297:$L$333))-AK3127,0)</f>
        <v>0</v>
      </c>
      <c r="AM3127" s="198"/>
      <c r="AN3127" s="196">
        <f t="shared" ca="1" si="684"/>
        <v>0</v>
      </c>
      <c r="AO3127" s="196">
        <f t="shared" ca="1" si="685"/>
        <v>0</v>
      </c>
    </row>
    <row r="3128" spans="1:41">
      <c r="A3128" s="189">
        <v>11163</v>
      </c>
      <c r="B3128" s="190">
        <v>4</v>
      </c>
      <c r="C3128" s="191" t="s">
        <v>235</v>
      </c>
      <c r="D3128" s="192">
        <f t="shared" si="672"/>
        <v>417</v>
      </c>
      <c r="E3128" s="192">
        <f t="shared" si="673"/>
        <v>162</v>
      </c>
      <c r="F3128" s="192">
        <f t="shared" si="674"/>
        <v>0</v>
      </c>
      <c r="G3128" s="193">
        <f t="shared" si="675"/>
        <v>579</v>
      </c>
      <c r="H3128" s="194">
        <v>157</v>
      </c>
      <c r="I3128" s="194">
        <v>66</v>
      </c>
      <c r="J3128" s="194">
        <v>0</v>
      </c>
      <c r="K3128" s="193">
        <f t="shared" si="676"/>
        <v>223</v>
      </c>
      <c r="L3128" s="194">
        <v>173</v>
      </c>
      <c r="M3128" s="194">
        <v>75</v>
      </c>
      <c r="N3128" s="194">
        <v>0</v>
      </c>
      <c r="O3128" s="193">
        <f t="shared" si="677"/>
        <v>248</v>
      </c>
      <c r="P3128" s="194">
        <v>87</v>
      </c>
      <c r="Q3128" s="194">
        <v>21</v>
      </c>
      <c r="R3128" s="194">
        <v>0</v>
      </c>
      <c r="S3128" s="193">
        <f t="shared" si="678"/>
        <v>108</v>
      </c>
      <c r="T3128" s="193">
        <f t="shared" si="679"/>
        <v>32.166666666666664</v>
      </c>
      <c r="U3128" s="193">
        <f ca="1">OFFSET('Expenditure Study'!$B$7,'Operations Support'!$C3128,'Operations Support'!$B3128)*$G3128</f>
        <v>22036.74</v>
      </c>
      <c r="V3128" s="199">
        <f ca="1">U3128*'Expenditure Study'!$B$31</f>
        <v>1302000.6936625922</v>
      </c>
      <c r="W3128" s="199">
        <f ca="1">IF(A3128=10298,1.51,1)*IF($B3128&lt;3,$D3128*'Expenditure Study'!$B$32*OFFSET('Expenditure Study'!$B$7,'Operations Support'!$C3128,'Operations Support'!$B3128),0)</f>
        <v>0</v>
      </c>
      <c r="X3128" s="200">
        <f ca="1">W3128*'Expenditure Study'!$B$31</f>
        <v>0</v>
      </c>
      <c r="Y3128" s="199">
        <f ca="1">U3128*'Expenditure Study'!$B$31</f>
        <v>1302000.6936625922</v>
      </c>
      <c r="Z3128" s="200">
        <f ca="1">W3128*'Expenditure Study'!$B$31</f>
        <v>0</v>
      </c>
      <c r="AA3128" s="195">
        <f t="shared" ca="1" si="680"/>
        <v>1302000.6936625922</v>
      </c>
      <c r="AB3128" s="195">
        <f t="shared" ca="1" si="681"/>
        <v>1302000.6936625922</v>
      </c>
      <c r="AD3128" s="196">
        <f>IFERROR($G3128/SUMIF($A:$A,$A3128,$G:$G)*SUMIF(Summary!$A$166:$A$242,$A3128,Summary!$P$166:$P$242),0)</f>
        <v>17287.881411800929</v>
      </c>
      <c r="AE3128" s="197">
        <f t="shared" ca="1" si="682"/>
        <v>1284712.8122507914</v>
      </c>
      <c r="AF3128" s="196">
        <f>IFERROR(G3128/SUMIF(A:A,A3128,G:G)*SUMIF(Summary!$A$166:$A$242,'Operations Support'!A3128,Summary!$Q$166:$Q$242),0)</f>
        <v>17318.507786828057</v>
      </c>
      <c r="AG3128" s="196">
        <f t="shared" ca="1" si="683"/>
        <v>1284682.1858757641</v>
      </c>
      <c r="AI3128" s="196">
        <f>IFERROR($G3128/SUMIF($A:$A,$A3128,$G:$G)*SUMIF(Summary!$A$247:$A$283,$A3128,Summary!$P$247:$P$283),0)</f>
        <v>3152.8781552408209</v>
      </c>
      <c r="AJ3128" s="196">
        <f>IFERROR($G3128/SUMIF($A:$A,$A3128,$G:$G)*(SUMIF(Summary!$A$247:$A$283,$A3128,Summary!$L$247:$L$283)+SUMIF(Summary!$A$297:$A$333,$A3128,Summary!$L$297:$L$333))-AI3128,0)</f>
        <v>9356.8285882087439</v>
      </c>
      <c r="AK3128" s="196">
        <f>IFERROR($G3128/SUMIF($A:$A,$A3128,$G:$G)*SUMIF(Summary!$A$247:$A$283,$A3128,Summary!$Q$247:$Q$283),0)</f>
        <v>3158.463641773099</v>
      </c>
      <c r="AL3128" s="196">
        <f>IFERROR($G3128/SUMIF($A:$A,$A3128,$G:$G)*(SUMIF(Summary!$A$247:$A$283,$A3128,Summary!$L$247:$L$283)+SUMIF(Summary!$A$297:$A$333,$A3128,Summary!$L$297:$L$333))-AK3128,0)</f>
        <v>9351.243101676464</v>
      </c>
      <c r="AM3128" s="198"/>
      <c r="AN3128" s="196">
        <f t="shared" ca="1" si="684"/>
        <v>1294069.640839</v>
      </c>
      <c r="AO3128" s="196">
        <f t="shared" ca="1" si="685"/>
        <v>1294033.4289774406</v>
      </c>
    </row>
    <row r="3129" spans="1:41">
      <c r="A3129" s="189">
        <v>11163</v>
      </c>
      <c r="B3129" s="190">
        <v>4</v>
      </c>
      <c r="C3129" s="191" t="s">
        <v>236</v>
      </c>
      <c r="D3129" s="192">
        <f t="shared" si="672"/>
        <v>0</v>
      </c>
      <c r="E3129" s="192">
        <f t="shared" si="673"/>
        <v>0</v>
      </c>
      <c r="F3129" s="192">
        <f t="shared" si="674"/>
        <v>0</v>
      </c>
      <c r="G3129" s="193">
        <f t="shared" si="675"/>
        <v>0</v>
      </c>
      <c r="H3129" s="194">
        <v>0</v>
      </c>
      <c r="I3129" s="194">
        <v>0</v>
      </c>
      <c r="J3129" s="194">
        <v>0</v>
      </c>
      <c r="K3129" s="193">
        <f t="shared" si="676"/>
        <v>0</v>
      </c>
      <c r="L3129" s="194">
        <v>0</v>
      </c>
      <c r="M3129" s="194">
        <v>0</v>
      </c>
      <c r="N3129" s="194">
        <v>0</v>
      </c>
      <c r="O3129" s="193">
        <f t="shared" si="677"/>
        <v>0</v>
      </c>
      <c r="P3129" s="194">
        <v>0</v>
      </c>
      <c r="Q3129" s="194">
        <v>0</v>
      </c>
      <c r="R3129" s="194">
        <v>0</v>
      </c>
      <c r="S3129" s="193">
        <f t="shared" si="678"/>
        <v>0</v>
      </c>
      <c r="T3129" s="193">
        <f t="shared" si="679"/>
        <v>0</v>
      </c>
      <c r="U3129" s="193">
        <f ca="1">OFFSET('Expenditure Study'!$B$7,'Operations Support'!$C3129,'Operations Support'!$B3129)*$G3129</f>
        <v>0</v>
      </c>
      <c r="V3129" s="199">
        <f ca="1">U3129*'Expenditure Study'!$B$31</f>
        <v>0</v>
      </c>
      <c r="W3129" s="199">
        <f ca="1">IF(A3129=10298,1.51,1)*IF($B3129&lt;3,$D3129*'Expenditure Study'!$B$32*OFFSET('Expenditure Study'!$B$7,'Operations Support'!$C3129,'Operations Support'!$B3129),0)</f>
        <v>0</v>
      </c>
      <c r="X3129" s="200">
        <f ca="1">W3129*'Expenditure Study'!$B$31</f>
        <v>0</v>
      </c>
      <c r="Y3129" s="199">
        <f ca="1">U3129*'Expenditure Study'!$B$31</f>
        <v>0</v>
      </c>
      <c r="Z3129" s="200">
        <f ca="1">W3129*'Expenditure Study'!$B$31</f>
        <v>0</v>
      </c>
      <c r="AA3129" s="195">
        <f t="shared" ca="1" si="680"/>
        <v>0</v>
      </c>
      <c r="AB3129" s="195">
        <f t="shared" ca="1" si="681"/>
        <v>0</v>
      </c>
      <c r="AD3129" s="196">
        <f>IFERROR($G3129/SUMIF($A:$A,$A3129,$G:$G)*SUMIF(Summary!$A$166:$A$242,$A3129,Summary!$P$166:$P$242),0)</f>
        <v>0</v>
      </c>
      <c r="AE3129" s="197">
        <f t="shared" ca="1" si="682"/>
        <v>0</v>
      </c>
      <c r="AF3129" s="196">
        <f>IFERROR(G3129/SUMIF(A:A,A3129,G:G)*SUMIF(Summary!$A$166:$A$242,'Operations Support'!A3129,Summary!$Q$166:$Q$242),0)</f>
        <v>0</v>
      </c>
      <c r="AG3129" s="196">
        <f t="shared" ca="1" si="683"/>
        <v>0</v>
      </c>
      <c r="AI3129" s="196">
        <f>IFERROR($G3129/SUMIF($A:$A,$A3129,$G:$G)*SUMIF(Summary!$A$247:$A$283,$A3129,Summary!$P$247:$P$283),0)</f>
        <v>0</v>
      </c>
      <c r="AJ3129" s="196">
        <f>IFERROR($G3129/SUMIF($A:$A,$A3129,$G:$G)*(SUMIF(Summary!$A$247:$A$283,$A3129,Summary!$L$247:$L$283)+SUMIF(Summary!$A$297:$A$333,$A3129,Summary!$L$297:$L$333))-AI3129,0)</f>
        <v>0</v>
      </c>
      <c r="AK3129" s="196">
        <f>IFERROR($G3129/SUMIF($A:$A,$A3129,$G:$G)*SUMIF(Summary!$A$247:$A$283,$A3129,Summary!$Q$247:$Q$283),0)</f>
        <v>0</v>
      </c>
      <c r="AL3129" s="196">
        <f>IFERROR($G3129/SUMIF($A:$A,$A3129,$G:$G)*(SUMIF(Summary!$A$247:$A$283,$A3129,Summary!$L$247:$L$283)+SUMIF(Summary!$A$297:$A$333,$A3129,Summary!$L$297:$L$333))-AK3129,0)</f>
        <v>0</v>
      </c>
      <c r="AM3129" s="198"/>
      <c r="AN3129" s="196">
        <f t="shared" ca="1" si="684"/>
        <v>0</v>
      </c>
      <c r="AO3129" s="196">
        <f t="shared" ca="1" si="685"/>
        <v>0</v>
      </c>
    </row>
    <row r="3130" spans="1:41">
      <c r="A3130" s="189">
        <v>11163</v>
      </c>
      <c r="B3130" s="190">
        <v>4</v>
      </c>
      <c r="C3130" s="191" t="s">
        <v>237</v>
      </c>
      <c r="D3130" s="192">
        <f t="shared" si="672"/>
        <v>0</v>
      </c>
      <c r="E3130" s="192">
        <f t="shared" si="673"/>
        <v>0</v>
      </c>
      <c r="F3130" s="192">
        <f t="shared" si="674"/>
        <v>0</v>
      </c>
      <c r="G3130" s="193">
        <f t="shared" si="675"/>
        <v>0</v>
      </c>
      <c r="H3130" s="194">
        <v>0</v>
      </c>
      <c r="I3130" s="194">
        <v>0</v>
      </c>
      <c r="J3130" s="194">
        <v>0</v>
      </c>
      <c r="K3130" s="193">
        <f t="shared" si="676"/>
        <v>0</v>
      </c>
      <c r="L3130" s="194">
        <v>0</v>
      </c>
      <c r="M3130" s="194">
        <v>0</v>
      </c>
      <c r="N3130" s="194">
        <v>0</v>
      </c>
      <c r="O3130" s="193">
        <f t="shared" si="677"/>
        <v>0</v>
      </c>
      <c r="P3130" s="194">
        <v>0</v>
      </c>
      <c r="Q3130" s="194">
        <v>0</v>
      </c>
      <c r="R3130" s="194">
        <v>0</v>
      </c>
      <c r="S3130" s="193">
        <f t="shared" si="678"/>
        <v>0</v>
      </c>
      <c r="T3130" s="193">
        <f t="shared" si="679"/>
        <v>0</v>
      </c>
      <c r="U3130" s="193">
        <f ca="1">OFFSET('Expenditure Study'!$B$7,'Operations Support'!$C3130,'Operations Support'!$B3130)*$G3130</f>
        <v>0</v>
      </c>
      <c r="V3130" s="199">
        <f ca="1">U3130*'Expenditure Study'!$B$31</f>
        <v>0</v>
      </c>
      <c r="W3130" s="199">
        <f ca="1">IF(A3130=10298,1.51,1)*IF($B3130&lt;3,$D3130*'Expenditure Study'!$B$32*OFFSET('Expenditure Study'!$B$7,'Operations Support'!$C3130,'Operations Support'!$B3130),0)</f>
        <v>0</v>
      </c>
      <c r="X3130" s="200">
        <f ca="1">W3130*'Expenditure Study'!$B$31</f>
        <v>0</v>
      </c>
      <c r="Y3130" s="199">
        <f ca="1">U3130*'Expenditure Study'!$B$31</f>
        <v>0</v>
      </c>
      <c r="Z3130" s="200">
        <f ca="1">W3130*'Expenditure Study'!$B$31</f>
        <v>0</v>
      </c>
      <c r="AA3130" s="195">
        <f t="shared" ca="1" si="680"/>
        <v>0</v>
      </c>
      <c r="AB3130" s="195">
        <f t="shared" ca="1" si="681"/>
        <v>0</v>
      </c>
      <c r="AD3130" s="196">
        <f>IFERROR($G3130/SUMIF($A:$A,$A3130,$G:$G)*SUMIF(Summary!$A$166:$A$242,$A3130,Summary!$P$166:$P$242),0)</f>
        <v>0</v>
      </c>
      <c r="AE3130" s="197">
        <f t="shared" ca="1" si="682"/>
        <v>0</v>
      </c>
      <c r="AF3130" s="196">
        <f>IFERROR(G3130/SUMIF(A:A,A3130,G:G)*SUMIF(Summary!$A$166:$A$242,'Operations Support'!A3130,Summary!$Q$166:$Q$242),0)</f>
        <v>0</v>
      </c>
      <c r="AG3130" s="196">
        <f t="shared" ca="1" si="683"/>
        <v>0</v>
      </c>
      <c r="AI3130" s="196">
        <f>IFERROR($G3130/SUMIF($A:$A,$A3130,$G:$G)*SUMIF(Summary!$A$247:$A$283,$A3130,Summary!$P$247:$P$283),0)</f>
        <v>0</v>
      </c>
      <c r="AJ3130" s="196">
        <f>IFERROR($G3130/SUMIF($A:$A,$A3130,$G:$G)*(SUMIF(Summary!$A$247:$A$283,$A3130,Summary!$L$247:$L$283)+SUMIF(Summary!$A$297:$A$333,$A3130,Summary!$L$297:$L$333))-AI3130,0)</f>
        <v>0</v>
      </c>
      <c r="AK3130" s="196">
        <f>IFERROR($G3130/SUMIF($A:$A,$A3130,$G:$G)*SUMIF(Summary!$A$247:$A$283,$A3130,Summary!$Q$247:$Q$283),0)</f>
        <v>0</v>
      </c>
      <c r="AL3130" s="196">
        <f>IFERROR($G3130/SUMIF($A:$A,$A3130,$G:$G)*(SUMIF(Summary!$A$247:$A$283,$A3130,Summary!$L$247:$L$283)+SUMIF(Summary!$A$297:$A$333,$A3130,Summary!$L$297:$L$333))-AK3130,0)</f>
        <v>0</v>
      </c>
      <c r="AM3130" s="198"/>
      <c r="AN3130" s="196">
        <f t="shared" ca="1" si="684"/>
        <v>0</v>
      </c>
      <c r="AO3130" s="196">
        <f t="shared" ca="1" si="685"/>
        <v>0</v>
      </c>
    </row>
    <row r="3131" spans="1:41">
      <c r="A3131" s="189">
        <v>11163</v>
      </c>
      <c r="B3131" s="190">
        <v>4</v>
      </c>
      <c r="C3131" s="191" t="s">
        <v>238</v>
      </c>
      <c r="D3131" s="192">
        <f t="shared" si="672"/>
        <v>0</v>
      </c>
      <c r="E3131" s="192">
        <f t="shared" si="673"/>
        <v>0</v>
      </c>
      <c r="F3131" s="192">
        <f t="shared" si="674"/>
        <v>0</v>
      </c>
      <c r="G3131" s="193">
        <f t="shared" si="675"/>
        <v>0</v>
      </c>
      <c r="H3131" s="194">
        <v>0</v>
      </c>
      <c r="I3131" s="194">
        <v>0</v>
      </c>
      <c r="J3131" s="194">
        <v>0</v>
      </c>
      <c r="K3131" s="193">
        <f t="shared" si="676"/>
        <v>0</v>
      </c>
      <c r="L3131" s="194">
        <v>0</v>
      </c>
      <c r="M3131" s="194">
        <v>0</v>
      </c>
      <c r="N3131" s="194">
        <v>0</v>
      </c>
      <c r="O3131" s="193">
        <f t="shared" si="677"/>
        <v>0</v>
      </c>
      <c r="P3131" s="194">
        <v>0</v>
      </c>
      <c r="Q3131" s="194">
        <v>0</v>
      </c>
      <c r="R3131" s="194">
        <v>0</v>
      </c>
      <c r="S3131" s="193">
        <f t="shared" si="678"/>
        <v>0</v>
      </c>
      <c r="T3131" s="193">
        <f t="shared" si="679"/>
        <v>0</v>
      </c>
      <c r="U3131" s="193">
        <f ca="1">OFFSET('Expenditure Study'!$B$7,'Operations Support'!$C3131,'Operations Support'!$B3131)*$G3131</f>
        <v>0</v>
      </c>
      <c r="V3131" s="199">
        <f ca="1">U3131*'Expenditure Study'!$B$31</f>
        <v>0</v>
      </c>
      <c r="W3131" s="199">
        <f ca="1">IF(A3131=10298,1.51,1)*IF($B3131&lt;3,$D3131*'Expenditure Study'!$B$32*OFFSET('Expenditure Study'!$B$7,'Operations Support'!$C3131,'Operations Support'!$B3131),0)</f>
        <v>0</v>
      </c>
      <c r="X3131" s="200">
        <f ca="1">W3131*'Expenditure Study'!$B$31</f>
        <v>0</v>
      </c>
      <c r="Y3131" s="199">
        <f ca="1">U3131*'Expenditure Study'!$B$31</f>
        <v>0</v>
      </c>
      <c r="Z3131" s="200">
        <f ca="1">W3131*'Expenditure Study'!$B$31</f>
        <v>0</v>
      </c>
      <c r="AA3131" s="195">
        <f t="shared" ca="1" si="680"/>
        <v>0</v>
      </c>
      <c r="AB3131" s="195">
        <f t="shared" ca="1" si="681"/>
        <v>0</v>
      </c>
      <c r="AD3131" s="196">
        <f>IFERROR($G3131/SUMIF($A:$A,$A3131,$G:$G)*SUMIF(Summary!$A$166:$A$242,$A3131,Summary!$P$166:$P$242),0)</f>
        <v>0</v>
      </c>
      <c r="AE3131" s="197">
        <f t="shared" ca="1" si="682"/>
        <v>0</v>
      </c>
      <c r="AF3131" s="196">
        <f>IFERROR(G3131/SUMIF(A:A,A3131,G:G)*SUMIF(Summary!$A$166:$A$242,'Operations Support'!A3131,Summary!$Q$166:$Q$242),0)</f>
        <v>0</v>
      </c>
      <c r="AG3131" s="196">
        <f t="shared" ca="1" si="683"/>
        <v>0</v>
      </c>
      <c r="AI3131" s="196">
        <f>IFERROR($G3131/SUMIF($A:$A,$A3131,$G:$G)*SUMIF(Summary!$A$247:$A$283,$A3131,Summary!$P$247:$P$283),0)</f>
        <v>0</v>
      </c>
      <c r="AJ3131" s="196">
        <f>IFERROR($G3131/SUMIF($A:$A,$A3131,$G:$G)*(SUMIF(Summary!$A$247:$A$283,$A3131,Summary!$L$247:$L$283)+SUMIF(Summary!$A$297:$A$333,$A3131,Summary!$L$297:$L$333))-AI3131,0)</f>
        <v>0</v>
      </c>
      <c r="AK3131" s="196">
        <f>IFERROR($G3131/SUMIF($A:$A,$A3131,$G:$G)*SUMIF(Summary!$A$247:$A$283,$A3131,Summary!$Q$247:$Q$283),0)</f>
        <v>0</v>
      </c>
      <c r="AL3131" s="196">
        <f>IFERROR($G3131/SUMIF($A:$A,$A3131,$G:$G)*(SUMIF(Summary!$A$247:$A$283,$A3131,Summary!$L$247:$L$283)+SUMIF(Summary!$A$297:$A$333,$A3131,Summary!$L$297:$L$333))-AK3131,0)</f>
        <v>0</v>
      </c>
      <c r="AM3131" s="198"/>
      <c r="AN3131" s="196">
        <f t="shared" ca="1" si="684"/>
        <v>0</v>
      </c>
      <c r="AO3131" s="196">
        <f t="shared" ca="1" si="685"/>
        <v>0</v>
      </c>
    </row>
    <row r="3132" spans="1:41">
      <c r="A3132" s="189">
        <v>11163</v>
      </c>
      <c r="B3132" s="190">
        <v>4</v>
      </c>
      <c r="C3132" s="191" t="s">
        <v>239</v>
      </c>
      <c r="D3132" s="192">
        <f t="shared" si="672"/>
        <v>285.5</v>
      </c>
      <c r="E3132" s="192">
        <f t="shared" si="673"/>
        <v>423.5</v>
      </c>
      <c r="F3132" s="192">
        <f t="shared" si="674"/>
        <v>0</v>
      </c>
      <c r="G3132" s="193">
        <f t="shared" si="675"/>
        <v>709</v>
      </c>
      <c r="H3132" s="194">
        <v>84.5</v>
      </c>
      <c r="I3132" s="194">
        <v>162.5</v>
      </c>
      <c r="J3132" s="194">
        <v>0</v>
      </c>
      <c r="K3132" s="193">
        <f t="shared" si="676"/>
        <v>247</v>
      </c>
      <c r="L3132" s="194">
        <v>106</v>
      </c>
      <c r="M3132" s="194">
        <v>228</v>
      </c>
      <c r="N3132" s="194">
        <v>0</v>
      </c>
      <c r="O3132" s="193">
        <f t="shared" si="677"/>
        <v>334</v>
      </c>
      <c r="P3132" s="194">
        <v>95</v>
      </c>
      <c r="Q3132" s="194">
        <v>33</v>
      </c>
      <c r="R3132" s="194">
        <v>0</v>
      </c>
      <c r="S3132" s="193">
        <f t="shared" si="678"/>
        <v>128</v>
      </c>
      <c r="T3132" s="193">
        <f t="shared" si="679"/>
        <v>39.388888888888886</v>
      </c>
      <c r="U3132" s="193">
        <f ca="1">OFFSET('Expenditure Study'!$B$7,'Operations Support'!$C3132,'Operations Support'!$B3132)*$G3132</f>
        <v>6501.53</v>
      </c>
      <c r="V3132" s="199">
        <f ca="1">U3132*'Expenditure Study'!$B$31</f>
        <v>384131.07246662397</v>
      </c>
      <c r="W3132" s="199">
        <f ca="1">IF(A3132=10298,1.51,1)*IF($B3132&lt;3,$D3132*'Expenditure Study'!$B$32*OFFSET('Expenditure Study'!$B$7,'Operations Support'!$C3132,'Operations Support'!$B3132),0)</f>
        <v>0</v>
      </c>
      <c r="X3132" s="200">
        <f ca="1">W3132*'Expenditure Study'!$B$31</f>
        <v>0</v>
      </c>
      <c r="Y3132" s="199">
        <f ca="1">U3132*'Expenditure Study'!$B$31</f>
        <v>384131.07246662397</v>
      </c>
      <c r="Z3132" s="200">
        <f ca="1">W3132*'Expenditure Study'!$B$31</f>
        <v>0</v>
      </c>
      <c r="AA3132" s="195">
        <f t="shared" ca="1" si="680"/>
        <v>384131.07246662397</v>
      </c>
      <c r="AB3132" s="195">
        <f t="shared" ca="1" si="681"/>
        <v>384131.07246662397</v>
      </c>
      <c r="AD3132" s="196">
        <f>IFERROR($G3132/SUMIF($A:$A,$A3132,$G:$G)*SUMIF(Summary!$A$166:$A$242,$A3132,Summary!$P$166:$P$242),0)</f>
        <v>21169.443732239826</v>
      </c>
      <c r="AE3132" s="197">
        <f t="shared" ca="1" si="682"/>
        <v>362961.62873438414</v>
      </c>
      <c r="AF3132" s="196">
        <f>IFERROR(G3132/SUMIF(A:A,A3132,G:G)*SUMIF(Summary!$A$166:$A$242,'Operations Support'!A3132,Summary!$Q$166:$Q$242),0)</f>
        <v>21206.946495442298</v>
      </c>
      <c r="AG3132" s="196">
        <f t="shared" ca="1" si="683"/>
        <v>362924.12597118167</v>
      </c>
      <c r="AI3132" s="196">
        <f>IFERROR($G3132/SUMIF($A:$A,$A3132,$G:$G)*SUMIF(Summary!$A$247:$A$283,$A3132,Summary!$P$247:$P$283),0)</f>
        <v>3860.7782591809018</v>
      </c>
      <c r="AJ3132" s="196">
        <f>IFERROR($G3132/SUMIF($A:$A,$A3132,$G:$G)*(SUMIF(Summary!$A$247:$A$283,$A3132,Summary!$L$247:$L$283)+SUMIF(Summary!$A$297:$A$333,$A3132,Summary!$L$297:$L$333))-AI3132,0)</f>
        <v>11457.670930984455</v>
      </c>
      <c r="AK3132" s="196">
        <f>IFERROR($G3132/SUMIF($A:$A,$A3132,$G:$G)*SUMIF(Summary!$A$247:$A$283,$A3132,Summary!$Q$247:$Q$283),0)</f>
        <v>3867.6178273180094</v>
      </c>
      <c r="AL3132" s="196">
        <f>IFERROR($G3132/SUMIF($A:$A,$A3132,$G:$G)*(SUMIF(Summary!$A$247:$A$283,$A3132,Summary!$L$247:$L$283)+SUMIF(Summary!$A$297:$A$333,$A3132,Summary!$L$297:$L$333))-AK3132,0)</f>
        <v>11450.831362847348</v>
      </c>
      <c r="AM3132" s="198"/>
      <c r="AN3132" s="196">
        <f t="shared" ca="1" si="684"/>
        <v>374419.29966536857</v>
      </c>
      <c r="AO3132" s="196">
        <f t="shared" ca="1" si="685"/>
        <v>374374.95733402902</v>
      </c>
    </row>
    <row r="3133" spans="1:41">
      <c r="A3133" s="189">
        <v>11163</v>
      </c>
      <c r="B3133" s="190">
        <v>4</v>
      </c>
      <c r="C3133" s="191" t="s">
        <v>240</v>
      </c>
      <c r="D3133" s="192">
        <f t="shared" si="672"/>
        <v>0</v>
      </c>
      <c r="E3133" s="192">
        <f t="shared" si="673"/>
        <v>0</v>
      </c>
      <c r="F3133" s="192">
        <f t="shared" si="674"/>
        <v>0</v>
      </c>
      <c r="G3133" s="193">
        <f t="shared" si="675"/>
        <v>0</v>
      </c>
      <c r="H3133" s="194">
        <v>0</v>
      </c>
      <c r="I3133" s="194">
        <v>0</v>
      </c>
      <c r="J3133" s="194">
        <v>0</v>
      </c>
      <c r="K3133" s="193">
        <f t="shared" si="676"/>
        <v>0</v>
      </c>
      <c r="L3133" s="194">
        <v>0</v>
      </c>
      <c r="M3133" s="194">
        <v>0</v>
      </c>
      <c r="N3133" s="194">
        <v>0</v>
      </c>
      <c r="O3133" s="193">
        <f t="shared" si="677"/>
        <v>0</v>
      </c>
      <c r="P3133" s="194">
        <v>0</v>
      </c>
      <c r="Q3133" s="194">
        <v>0</v>
      </c>
      <c r="R3133" s="194">
        <v>0</v>
      </c>
      <c r="S3133" s="193">
        <f t="shared" si="678"/>
        <v>0</v>
      </c>
      <c r="T3133" s="193">
        <f t="shared" si="679"/>
        <v>0</v>
      </c>
      <c r="U3133" s="193">
        <f ca="1">OFFSET('Expenditure Study'!$B$7,'Operations Support'!$C3133,'Operations Support'!$B3133)*$G3133</f>
        <v>0</v>
      </c>
      <c r="V3133" s="199">
        <f ca="1">U3133*'Expenditure Study'!$B$31</f>
        <v>0</v>
      </c>
      <c r="W3133" s="199">
        <f ca="1">IF(A3133=10298,1.51,1)*IF($B3133&lt;3,$D3133*'Expenditure Study'!$B$32*OFFSET('Expenditure Study'!$B$7,'Operations Support'!$C3133,'Operations Support'!$B3133),0)</f>
        <v>0</v>
      </c>
      <c r="X3133" s="200">
        <f ca="1">W3133*'Expenditure Study'!$B$31</f>
        <v>0</v>
      </c>
      <c r="Y3133" s="199">
        <f ca="1">U3133*'Expenditure Study'!$B$31</f>
        <v>0</v>
      </c>
      <c r="Z3133" s="200">
        <f ca="1">W3133*'Expenditure Study'!$B$31</f>
        <v>0</v>
      </c>
      <c r="AA3133" s="195">
        <f t="shared" ca="1" si="680"/>
        <v>0</v>
      </c>
      <c r="AB3133" s="195">
        <f t="shared" ca="1" si="681"/>
        <v>0</v>
      </c>
      <c r="AD3133" s="196">
        <f>IFERROR($G3133/SUMIF($A:$A,$A3133,$G:$G)*SUMIF(Summary!$A$166:$A$242,$A3133,Summary!$P$166:$P$242),0)</f>
        <v>0</v>
      </c>
      <c r="AE3133" s="197">
        <f t="shared" ca="1" si="682"/>
        <v>0</v>
      </c>
      <c r="AF3133" s="196">
        <f>IFERROR(G3133/SUMIF(A:A,A3133,G:G)*SUMIF(Summary!$A$166:$A$242,'Operations Support'!A3133,Summary!$Q$166:$Q$242),0)</f>
        <v>0</v>
      </c>
      <c r="AG3133" s="196">
        <f t="shared" ca="1" si="683"/>
        <v>0</v>
      </c>
      <c r="AI3133" s="196">
        <f>IFERROR($G3133/SUMIF($A:$A,$A3133,$G:$G)*SUMIF(Summary!$A$247:$A$283,$A3133,Summary!$P$247:$P$283),0)</f>
        <v>0</v>
      </c>
      <c r="AJ3133" s="196">
        <f>IFERROR($G3133/SUMIF($A:$A,$A3133,$G:$G)*(SUMIF(Summary!$A$247:$A$283,$A3133,Summary!$L$247:$L$283)+SUMIF(Summary!$A$297:$A$333,$A3133,Summary!$L$297:$L$333))-AI3133,0)</f>
        <v>0</v>
      </c>
      <c r="AK3133" s="196">
        <f>IFERROR($G3133/SUMIF($A:$A,$A3133,$G:$G)*SUMIF(Summary!$A$247:$A$283,$A3133,Summary!$Q$247:$Q$283),0)</f>
        <v>0</v>
      </c>
      <c r="AL3133" s="196">
        <f>IFERROR($G3133/SUMIF($A:$A,$A3133,$G:$G)*(SUMIF(Summary!$A$247:$A$283,$A3133,Summary!$L$247:$L$283)+SUMIF(Summary!$A$297:$A$333,$A3133,Summary!$L$297:$L$333))-AK3133,0)</f>
        <v>0</v>
      </c>
      <c r="AM3133" s="198"/>
      <c r="AN3133" s="196">
        <f t="shared" ca="1" si="684"/>
        <v>0</v>
      </c>
      <c r="AO3133" s="196">
        <f t="shared" ca="1" si="685"/>
        <v>0</v>
      </c>
    </row>
    <row r="3134" spans="1:41" s="201" customFormat="1">
      <c r="A3134" s="189">
        <v>11163</v>
      </c>
      <c r="B3134" s="190">
        <v>5</v>
      </c>
      <c r="C3134" s="191" t="s">
        <v>220</v>
      </c>
      <c r="D3134" s="192">
        <f t="shared" si="672"/>
        <v>0</v>
      </c>
      <c r="E3134" s="192">
        <f t="shared" si="673"/>
        <v>0</v>
      </c>
      <c r="F3134" s="192">
        <f t="shared" si="674"/>
        <v>0</v>
      </c>
      <c r="G3134" s="193">
        <f t="shared" si="675"/>
        <v>0</v>
      </c>
      <c r="H3134" s="194">
        <v>0</v>
      </c>
      <c r="I3134" s="194">
        <v>0</v>
      </c>
      <c r="J3134" s="194">
        <v>0</v>
      </c>
      <c r="K3134" s="193">
        <f t="shared" si="676"/>
        <v>0</v>
      </c>
      <c r="L3134" s="194">
        <v>0</v>
      </c>
      <c r="M3134" s="194">
        <v>0</v>
      </c>
      <c r="N3134" s="194">
        <v>0</v>
      </c>
      <c r="O3134" s="193">
        <f t="shared" si="677"/>
        <v>0</v>
      </c>
      <c r="P3134" s="194">
        <v>0</v>
      </c>
      <c r="Q3134" s="194">
        <v>0</v>
      </c>
      <c r="R3134" s="194">
        <v>0</v>
      </c>
      <c r="S3134" s="193">
        <f t="shared" si="678"/>
        <v>0</v>
      </c>
      <c r="T3134" s="193">
        <f t="shared" si="679"/>
        <v>0</v>
      </c>
      <c r="U3134" s="193">
        <f ca="1">OFFSET('Expenditure Study'!$B$7,'Operations Support'!$C3134,'Operations Support'!$B3134)*$G3134</f>
        <v>0</v>
      </c>
      <c r="V3134" s="199">
        <f ca="1">U3134*'Expenditure Study'!$B$31</f>
        <v>0</v>
      </c>
      <c r="W3134" s="199">
        <f ca="1">IF(A3134=10298,1.51,1)*IF($B3134&lt;3,$D3134*'Expenditure Study'!$B$32*OFFSET('Expenditure Study'!$B$7,'Operations Support'!$C3134,'Operations Support'!$B3134),0)</f>
        <v>0</v>
      </c>
      <c r="X3134" s="200">
        <f ca="1">W3134*'Expenditure Study'!$B$31</f>
        <v>0</v>
      </c>
      <c r="Y3134" s="199">
        <f ca="1">U3134*'Expenditure Study'!$B$31</f>
        <v>0</v>
      </c>
      <c r="Z3134" s="200">
        <f ca="1">W3134*'Expenditure Study'!$B$31</f>
        <v>0</v>
      </c>
      <c r="AA3134" s="195">
        <f t="shared" ca="1" si="680"/>
        <v>0</v>
      </c>
      <c r="AB3134" s="195">
        <f t="shared" ca="1" si="681"/>
        <v>0</v>
      </c>
      <c r="AD3134" s="196">
        <f>IFERROR($G3134/SUMIF($A:$A,$A3134,$G:$G)*SUMIF(Summary!$A$166:$A$242,$A3134,Summary!$P$166:$P$242),0)</f>
        <v>0</v>
      </c>
      <c r="AE3134" s="197">
        <f t="shared" ca="1" si="682"/>
        <v>0</v>
      </c>
      <c r="AF3134" s="196">
        <f>IFERROR(G3134/SUMIF(A:A,A3134,G:G)*SUMIF(Summary!$A$166:$A$242,'Operations Support'!A3134,Summary!$Q$166:$Q$242),0)</f>
        <v>0</v>
      </c>
      <c r="AG3134" s="196">
        <f t="shared" ca="1" si="683"/>
        <v>0</v>
      </c>
      <c r="AH3134" s="180"/>
      <c r="AI3134" s="196">
        <f>IFERROR($G3134/SUMIF($A:$A,$A3134,$G:$G)*SUMIF(Summary!$A$247:$A$283,$A3134,Summary!$P$247:$P$283),0)</f>
        <v>0</v>
      </c>
      <c r="AJ3134" s="196">
        <f>IFERROR($G3134/SUMIF($A:$A,$A3134,$G:$G)*(SUMIF(Summary!$A$247:$A$283,$A3134,Summary!$L$247:$L$283)+SUMIF(Summary!$A$297:$A$333,$A3134,Summary!$L$297:$L$333))-AI3134,0)</f>
        <v>0</v>
      </c>
      <c r="AK3134" s="196">
        <f>IFERROR($G3134/SUMIF($A:$A,$A3134,$G:$G)*SUMIF(Summary!$A$247:$A$283,$A3134,Summary!$Q$247:$Q$283),0)</f>
        <v>0</v>
      </c>
      <c r="AL3134" s="196">
        <f>IFERROR($G3134/SUMIF($A:$A,$A3134,$G:$G)*(SUMIF(Summary!$A$247:$A$283,$A3134,Summary!$L$247:$L$283)+SUMIF(Summary!$A$297:$A$333,$A3134,Summary!$L$297:$L$333))-AK3134,0)</f>
        <v>0</v>
      </c>
      <c r="AM3134" s="198"/>
      <c r="AN3134" s="196">
        <f t="shared" ca="1" si="684"/>
        <v>0</v>
      </c>
      <c r="AO3134" s="196">
        <f t="shared" ca="1" si="685"/>
        <v>0</v>
      </c>
    </row>
    <row r="3135" spans="1:41">
      <c r="A3135" s="189">
        <v>11163</v>
      </c>
      <c r="B3135" s="190">
        <v>5</v>
      </c>
      <c r="C3135" s="191" t="s">
        <v>221</v>
      </c>
      <c r="D3135" s="192">
        <f t="shared" si="672"/>
        <v>0</v>
      </c>
      <c r="E3135" s="192">
        <f t="shared" si="673"/>
        <v>0</v>
      </c>
      <c r="F3135" s="192">
        <f t="shared" si="674"/>
        <v>0</v>
      </c>
      <c r="G3135" s="193">
        <f t="shared" si="675"/>
        <v>0</v>
      </c>
      <c r="H3135" s="194">
        <v>0</v>
      </c>
      <c r="I3135" s="194">
        <v>0</v>
      </c>
      <c r="J3135" s="194">
        <v>0</v>
      </c>
      <c r="K3135" s="193">
        <f t="shared" si="676"/>
        <v>0</v>
      </c>
      <c r="L3135" s="194">
        <v>0</v>
      </c>
      <c r="M3135" s="194">
        <v>0</v>
      </c>
      <c r="N3135" s="194">
        <v>0</v>
      </c>
      <c r="O3135" s="193">
        <f t="shared" si="677"/>
        <v>0</v>
      </c>
      <c r="P3135" s="194">
        <v>0</v>
      </c>
      <c r="Q3135" s="194">
        <v>0</v>
      </c>
      <c r="R3135" s="194">
        <v>0</v>
      </c>
      <c r="S3135" s="193">
        <f t="shared" si="678"/>
        <v>0</v>
      </c>
      <c r="T3135" s="193">
        <f t="shared" si="679"/>
        <v>0</v>
      </c>
      <c r="U3135" s="193">
        <f ca="1">OFFSET('Expenditure Study'!$B$7,'Operations Support'!$C3135,'Operations Support'!$B3135)*$G3135</f>
        <v>0</v>
      </c>
      <c r="V3135" s="199">
        <f ca="1">U3135*'Expenditure Study'!$B$31</f>
        <v>0</v>
      </c>
      <c r="W3135" s="199">
        <f ca="1">IF(A3135=10298,1.51,1)*IF($B3135&lt;3,$D3135*'Expenditure Study'!$B$32*OFFSET('Expenditure Study'!$B$7,'Operations Support'!$C3135,'Operations Support'!$B3135),0)</f>
        <v>0</v>
      </c>
      <c r="X3135" s="200">
        <f ca="1">W3135*'Expenditure Study'!$B$31</f>
        <v>0</v>
      </c>
      <c r="Y3135" s="199">
        <f ca="1">U3135*'Expenditure Study'!$B$31</f>
        <v>0</v>
      </c>
      <c r="Z3135" s="200">
        <f ca="1">W3135*'Expenditure Study'!$B$31</f>
        <v>0</v>
      </c>
      <c r="AA3135" s="195">
        <f t="shared" ca="1" si="680"/>
        <v>0</v>
      </c>
      <c r="AB3135" s="195">
        <f t="shared" ca="1" si="681"/>
        <v>0</v>
      </c>
      <c r="AD3135" s="196">
        <f>IFERROR($G3135/SUMIF($A:$A,$A3135,$G:$G)*SUMIF(Summary!$A$166:$A$242,$A3135,Summary!$P$166:$P$242),0)</f>
        <v>0</v>
      </c>
      <c r="AE3135" s="197">
        <f t="shared" ca="1" si="682"/>
        <v>0</v>
      </c>
      <c r="AF3135" s="196">
        <f>IFERROR(G3135/SUMIF(A:A,A3135,G:G)*SUMIF(Summary!$A$166:$A$242,'Operations Support'!A3135,Summary!$Q$166:$Q$242),0)</f>
        <v>0</v>
      </c>
      <c r="AG3135" s="196">
        <f t="shared" ca="1" si="683"/>
        <v>0</v>
      </c>
      <c r="AI3135" s="196">
        <f>IFERROR($G3135/SUMIF($A:$A,$A3135,$G:$G)*SUMIF(Summary!$A$247:$A$283,$A3135,Summary!$P$247:$P$283),0)</f>
        <v>0</v>
      </c>
      <c r="AJ3135" s="196">
        <f>IFERROR($G3135/SUMIF($A:$A,$A3135,$G:$G)*(SUMIF(Summary!$A$247:$A$283,$A3135,Summary!$L$247:$L$283)+SUMIF(Summary!$A$297:$A$333,$A3135,Summary!$L$297:$L$333))-AI3135,0)</f>
        <v>0</v>
      </c>
      <c r="AK3135" s="196">
        <f>IFERROR($G3135/SUMIF($A:$A,$A3135,$G:$G)*SUMIF(Summary!$A$247:$A$283,$A3135,Summary!$Q$247:$Q$283),0)</f>
        <v>0</v>
      </c>
      <c r="AL3135" s="196">
        <f>IFERROR($G3135/SUMIF($A:$A,$A3135,$G:$G)*(SUMIF(Summary!$A$247:$A$283,$A3135,Summary!$L$247:$L$283)+SUMIF(Summary!$A$297:$A$333,$A3135,Summary!$L$297:$L$333))-AK3135,0)</f>
        <v>0</v>
      </c>
      <c r="AM3135" s="198"/>
      <c r="AN3135" s="196">
        <f t="shared" ca="1" si="684"/>
        <v>0</v>
      </c>
      <c r="AO3135" s="196">
        <f t="shared" ca="1" si="685"/>
        <v>0</v>
      </c>
    </row>
    <row r="3136" spans="1:41">
      <c r="A3136" s="189">
        <v>11163</v>
      </c>
      <c r="B3136" s="190">
        <v>5</v>
      </c>
      <c r="C3136" s="191" t="s">
        <v>222</v>
      </c>
      <c r="D3136" s="192">
        <f t="shared" si="672"/>
        <v>0</v>
      </c>
      <c r="E3136" s="192">
        <f t="shared" si="673"/>
        <v>0</v>
      </c>
      <c r="F3136" s="192">
        <f t="shared" si="674"/>
        <v>0</v>
      </c>
      <c r="G3136" s="193">
        <f t="shared" si="675"/>
        <v>0</v>
      </c>
      <c r="H3136" s="194">
        <v>0</v>
      </c>
      <c r="I3136" s="194">
        <v>0</v>
      </c>
      <c r="J3136" s="194">
        <v>0</v>
      </c>
      <c r="K3136" s="193">
        <f t="shared" si="676"/>
        <v>0</v>
      </c>
      <c r="L3136" s="194">
        <v>0</v>
      </c>
      <c r="M3136" s="194">
        <v>0</v>
      </c>
      <c r="N3136" s="194">
        <v>0</v>
      </c>
      <c r="O3136" s="193">
        <f t="shared" si="677"/>
        <v>0</v>
      </c>
      <c r="P3136" s="194">
        <v>0</v>
      </c>
      <c r="Q3136" s="194">
        <v>0</v>
      </c>
      <c r="R3136" s="194">
        <v>0</v>
      </c>
      <c r="S3136" s="193">
        <f t="shared" si="678"/>
        <v>0</v>
      </c>
      <c r="T3136" s="193">
        <f t="shared" si="679"/>
        <v>0</v>
      </c>
      <c r="U3136" s="193">
        <f ca="1">OFFSET('Expenditure Study'!$B$7,'Operations Support'!$C3136,'Operations Support'!$B3136)*$G3136</f>
        <v>0</v>
      </c>
      <c r="V3136" s="199">
        <f ca="1">U3136*'Expenditure Study'!$B$31</f>
        <v>0</v>
      </c>
      <c r="W3136" s="199">
        <f ca="1">IF(A3136=10298,1.51,1)*IF($B3136&lt;3,$D3136*'Expenditure Study'!$B$32*OFFSET('Expenditure Study'!$B$7,'Operations Support'!$C3136,'Operations Support'!$B3136),0)</f>
        <v>0</v>
      </c>
      <c r="X3136" s="200">
        <f ca="1">W3136*'Expenditure Study'!$B$31</f>
        <v>0</v>
      </c>
      <c r="Y3136" s="199">
        <f ca="1">U3136*'Expenditure Study'!$B$31</f>
        <v>0</v>
      </c>
      <c r="Z3136" s="200">
        <f ca="1">W3136*'Expenditure Study'!$B$31</f>
        <v>0</v>
      </c>
      <c r="AA3136" s="195">
        <f t="shared" ca="1" si="680"/>
        <v>0</v>
      </c>
      <c r="AB3136" s="195">
        <f t="shared" ca="1" si="681"/>
        <v>0</v>
      </c>
      <c r="AD3136" s="196">
        <f>IFERROR($G3136/SUMIF($A:$A,$A3136,$G:$G)*SUMIF(Summary!$A$166:$A$242,$A3136,Summary!$P$166:$P$242),0)</f>
        <v>0</v>
      </c>
      <c r="AE3136" s="197">
        <f t="shared" ca="1" si="682"/>
        <v>0</v>
      </c>
      <c r="AF3136" s="196">
        <f>IFERROR(G3136/SUMIF(A:A,A3136,G:G)*SUMIF(Summary!$A$166:$A$242,'Operations Support'!A3136,Summary!$Q$166:$Q$242),0)</f>
        <v>0</v>
      </c>
      <c r="AG3136" s="196">
        <f t="shared" ca="1" si="683"/>
        <v>0</v>
      </c>
      <c r="AI3136" s="196">
        <f>IFERROR($G3136/SUMIF($A:$A,$A3136,$G:$G)*SUMIF(Summary!$A$247:$A$283,$A3136,Summary!$P$247:$P$283),0)</f>
        <v>0</v>
      </c>
      <c r="AJ3136" s="196">
        <f>IFERROR($G3136/SUMIF($A:$A,$A3136,$G:$G)*(SUMIF(Summary!$A$247:$A$283,$A3136,Summary!$L$247:$L$283)+SUMIF(Summary!$A$297:$A$333,$A3136,Summary!$L$297:$L$333))-AI3136,0)</f>
        <v>0</v>
      </c>
      <c r="AK3136" s="196">
        <f>IFERROR($G3136/SUMIF($A:$A,$A3136,$G:$G)*SUMIF(Summary!$A$247:$A$283,$A3136,Summary!$Q$247:$Q$283),0)</f>
        <v>0</v>
      </c>
      <c r="AL3136" s="196">
        <f>IFERROR($G3136/SUMIF($A:$A,$A3136,$G:$G)*(SUMIF(Summary!$A$247:$A$283,$A3136,Summary!$L$247:$L$283)+SUMIF(Summary!$A$297:$A$333,$A3136,Summary!$L$297:$L$333))-AK3136,0)</f>
        <v>0</v>
      </c>
      <c r="AM3136" s="198"/>
      <c r="AN3136" s="196">
        <f t="shared" ca="1" si="684"/>
        <v>0</v>
      </c>
      <c r="AO3136" s="196">
        <f t="shared" ca="1" si="685"/>
        <v>0</v>
      </c>
    </row>
    <row r="3137" spans="1:41">
      <c r="A3137" s="189">
        <v>11163</v>
      </c>
      <c r="B3137" s="190">
        <v>5</v>
      </c>
      <c r="C3137" s="191" t="s">
        <v>223</v>
      </c>
      <c r="D3137" s="192">
        <f t="shared" si="672"/>
        <v>0</v>
      </c>
      <c r="E3137" s="192">
        <f t="shared" si="673"/>
        <v>0</v>
      </c>
      <c r="F3137" s="192">
        <f t="shared" si="674"/>
        <v>0</v>
      </c>
      <c r="G3137" s="193">
        <f t="shared" si="675"/>
        <v>0</v>
      </c>
      <c r="H3137" s="194">
        <v>0</v>
      </c>
      <c r="I3137" s="194">
        <v>0</v>
      </c>
      <c r="J3137" s="194">
        <v>0</v>
      </c>
      <c r="K3137" s="193">
        <f t="shared" si="676"/>
        <v>0</v>
      </c>
      <c r="L3137" s="194">
        <v>0</v>
      </c>
      <c r="M3137" s="194">
        <v>0</v>
      </c>
      <c r="N3137" s="194">
        <v>0</v>
      </c>
      <c r="O3137" s="193">
        <f t="shared" si="677"/>
        <v>0</v>
      </c>
      <c r="P3137" s="194">
        <v>0</v>
      </c>
      <c r="Q3137" s="194">
        <v>0</v>
      </c>
      <c r="R3137" s="194">
        <v>0</v>
      </c>
      <c r="S3137" s="193">
        <f t="shared" si="678"/>
        <v>0</v>
      </c>
      <c r="T3137" s="193">
        <f t="shared" si="679"/>
        <v>0</v>
      </c>
      <c r="U3137" s="193">
        <f ca="1">OFFSET('Expenditure Study'!$B$7,'Operations Support'!$C3137,'Operations Support'!$B3137)*$G3137</f>
        <v>0</v>
      </c>
      <c r="V3137" s="199">
        <f ca="1">U3137*'Expenditure Study'!$B$31</f>
        <v>0</v>
      </c>
      <c r="W3137" s="199">
        <f ca="1">IF(A3137=10298,1.51,1)*IF($B3137&lt;3,$D3137*'Expenditure Study'!$B$32*OFFSET('Expenditure Study'!$B$7,'Operations Support'!$C3137,'Operations Support'!$B3137),0)</f>
        <v>0</v>
      </c>
      <c r="X3137" s="200">
        <f ca="1">W3137*'Expenditure Study'!$B$31</f>
        <v>0</v>
      </c>
      <c r="Y3137" s="199">
        <f ca="1">U3137*'Expenditure Study'!$B$31</f>
        <v>0</v>
      </c>
      <c r="Z3137" s="200">
        <f ca="1">W3137*'Expenditure Study'!$B$31</f>
        <v>0</v>
      </c>
      <c r="AA3137" s="195">
        <f t="shared" ca="1" si="680"/>
        <v>0</v>
      </c>
      <c r="AB3137" s="195">
        <f t="shared" ca="1" si="681"/>
        <v>0</v>
      </c>
      <c r="AD3137" s="196">
        <f>IFERROR($G3137/SUMIF($A:$A,$A3137,$G:$G)*SUMIF(Summary!$A$166:$A$242,$A3137,Summary!$P$166:$P$242),0)</f>
        <v>0</v>
      </c>
      <c r="AE3137" s="197">
        <f t="shared" ca="1" si="682"/>
        <v>0</v>
      </c>
      <c r="AF3137" s="196">
        <f>IFERROR(G3137/SUMIF(A:A,A3137,G:G)*SUMIF(Summary!$A$166:$A$242,'Operations Support'!A3137,Summary!$Q$166:$Q$242),0)</f>
        <v>0</v>
      </c>
      <c r="AG3137" s="196">
        <f t="shared" ca="1" si="683"/>
        <v>0</v>
      </c>
      <c r="AI3137" s="196">
        <f>IFERROR($G3137/SUMIF($A:$A,$A3137,$G:$G)*SUMIF(Summary!$A$247:$A$283,$A3137,Summary!$P$247:$P$283),0)</f>
        <v>0</v>
      </c>
      <c r="AJ3137" s="196">
        <f>IFERROR($G3137/SUMIF($A:$A,$A3137,$G:$G)*(SUMIF(Summary!$A$247:$A$283,$A3137,Summary!$L$247:$L$283)+SUMIF(Summary!$A$297:$A$333,$A3137,Summary!$L$297:$L$333))-AI3137,0)</f>
        <v>0</v>
      </c>
      <c r="AK3137" s="196">
        <f>IFERROR($G3137/SUMIF($A:$A,$A3137,$G:$G)*SUMIF(Summary!$A$247:$A$283,$A3137,Summary!$Q$247:$Q$283),0)</f>
        <v>0</v>
      </c>
      <c r="AL3137" s="196">
        <f>IFERROR($G3137/SUMIF($A:$A,$A3137,$G:$G)*(SUMIF(Summary!$A$247:$A$283,$A3137,Summary!$L$247:$L$283)+SUMIF(Summary!$A$297:$A$333,$A3137,Summary!$L$297:$L$333))-AK3137,0)</f>
        <v>0</v>
      </c>
      <c r="AM3137" s="198"/>
      <c r="AN3137" s="196">
        <f t="shared" ca="1" si="684"/>
        <v>0</v>
      </c>
      <c r="AO3137" s="196">
        <f t="shared" ca="1" si="685"/>
        <v>0</v>
      </c>
    </row>
    <row r="3138" spans="1:41">
      <c r="A3138" s="189">
        <v>11163</v>
      </c>
      <c r="B3138" s="190">
        <v>5</v>
      </c>
      <c r="C3138" s="191" t="s">
        <v>224</v>
      </c>
      <c r="D3138" s="192">
        <f t="shared" si="672"/>
        <v>0</v>
      </c>
      <c r="E3138" s="192">
        <f t="shared" si="673"/>
        <v>0</v>
      </c>
      <c r="F3138" s="192">
        <f t="shared" si="674"/>
        <v>0</v>
      </c>
      <c r="G3138" s="193">
        <f t="shared" si="675"/>
        <v>0</v>
      </c>
      <c r="H3138" s="194">
        <v>0</v>
      </c>
      <c r="I3138" s="194">
        <v>0</v>
      </c>
      <c r="J3138" s="194">
        <v>0</v>
      </c>
      <c r="K3138" s="193">
        <f t="shared" si="676"/>
        <v>0</v>
      </c>
      <c r="L3138" s="194">
        <v>0</v>
      </c>
      <c r="M3138" s="194">
        <v>0</v>
      </c>
      <c r="N3138" s="194">
        <v>0</v>
      </c>
      <c r="O3138" s="193">
        <f t="shared" si="677"/>
        <v>0</v>
      </c>
      <c r="P3138" s="194">
        <v>0</v>
      </c>
      <c r="Q3138" s="194">
        <v>0</v>
      </c>
      <c r="R3138" s="194">
        <v>0</v>
      </c>
      <c r="S3138" s="193">
        <f t="shared" si="678"/>
        <v>0</v>
      </c>
      <c r="T3138" s="193">
        <f t="shared" si="679"/>
        <v>0</v>
      </c>
      <c r="U3138" s="193">
        <f ca="1">OFFSET('Expenditure Study'!$B$7,'Operations Support'!$C3138,'Operations Support'!$B3138)*$G3138</f>
        <v>0</v>
      </c>
      <c r="V3138" s="199">
        <f ca="1">U3138*'Expenditure Study'!$B$31</f>
        <v>0</v>
      </c>
      <c r="W3138" s="199">
        <f ca="1">IF(A3138=10298,1.51,1)*IF($B3138&lt;3,$D3138*'Expenditure Study'!$B$32*OFFSET('Expenditure Study'!$B$7,'Operations Support'!$C3138,'Operations Support'!$B3138),0)</f>
        <v>0</v>
      </c>
      <c r="X3138" s="200">
        <f ca="1">W3138*'Expenditure Study'!$B$31</f>
        <v>0</v>
      </c>
      <c r="Y3138" s="199">
        <f ca="1">U3138*'Expenditure Study'!$B$31</f>
        <v>0</v>
      </c>
      <c r="Z3138" s="200">
        <f ca="1">W3138*'Expenditure Study'!$B$31</f>
        <v>0</v>
      </c>
      <c r="AA3138" s="195">
        <f t="shared" ca="1" si="680"/>
        <v>0</v>
      </c>
      <c r="AB3138" s="195">
        <f t="shared" ca="1" si="681"/>
        <v>0</v>
      </c>
      <c r="AD3138" s="196">
        <f>IFERROR($G3138/SUMIF($A:$A,$A3138,$G:$G)*SUMIF(Summary!$A$166:$A$242,$A3138,Summary!$P$166:$P$242),0)</f>
        <v>0</v>
      </c>
      <c r="AE3138" s="197">
        <f t="shared" ca="1" si="682"/>
        <v>0</v>
      </c>
      <c r="AF3138" s="196">
        <f>IFERROR(G3138/SUMIF(A:A,A3138,G:G)*SUMIF(Summary!$A$166:$A$242,'Operations Support'!A3138,Summary!$Q$166:$Q$242),0)</f>
        <v>0</v>
      </c>
      <c r="AG3138" s="196">
        <f t="shared" ca="1" si="683"/>
        <v>0</v>
      </c>
      <c r="AI3138" s="196">
        <f>IFERROR($G3138/SUMIF($A:$A,$A3138,$G:$G)*SUMIF(Summary!$A$247:$A$283,$A3138,Summary!$P$247:$P$283),0)</f>
        <v>0</v>
      </c>
      <c r="AJ3138" s="196">
        <f>IFERROR($G3138/SUMIF($A:$A,$A3138,$G:$G)*(SUMIF(Summary!$A$247:$A$283,$A3138,Summary!$L$247:$L$283)+SUMIF(Summary!$A$297:$A$333,$A3138,Summary!$L$297:$L$333))-AI3138,0)</f>
        <v>0</v>
      </c>
      <c r="AK3138" s="196">
        <f>IFERROR($G3138/SUMIF($A:$A,$A3138,$G:$G)*SUMIF(Summary!$A$247:$A$283,$A3138,Summary!$Q$247:$Q$283),0)</f>
        <v>0</v>
      </c>
      <c r="AL3138" s="196">
        <f>IFERROR($G3138/SUMIF($A:$A,$A3138,$G:$G)*(SUMIF(Summary!$A$247:$A$283,$A3138,Summary!$L$247:$L$283)+SUMIF(Summary!$A$297:$A$333,$A3138,Summary!$L$297:$L$333))-AK3138,0)</f>
        <v>0</v>
      </c>
      <c r="AM3138" s="198"/>
      <c r="AN3138" s="196">
        <f t="shared" ca="1" si="684"/>
        <v>0</v>
      </c>
      <c r="AO3138" s="196">
        <f t="shared" ca="1" si="685"/>
        <v>0</v>
      </c>
    </row>
    <row r="3139" spans="1:41">
      <c r="A3139" s="189">
        <v>11163</v>
      </c>
      <c r="B3139" s="190">
        <v>5</v>
      </c>
      <c r="C3139" s="191" t="s">
        <v>225</v>
      </c>
      <c r="D3139" s="192">
        <f t="shared" si="672"/>
        <v>0</v>
      </c>
      <c r="E3139" s="192">
        <f t="shared" si="673"/>
        <v>0</v>
      </c>
      <c r="F3139" s="192">
        <f t="shared" si="674"/>
        <v>0</v>
      </c>
      <c r="G3139" s="193">
        <f t="shared" si="675"/>
        <v>0</v>
      </c>
      <c r="H3139" s="194">
        <v>0</v>
      </c>
      <c r="I3139" s="194">
        <v>0</v>
      </c>
      <c r="J3139" s="194">
        <v>0</v>
      </c>
      <c r="K3139" s="193">
        <f t="shared" si="676"/>
        <v>0</v>
      </c>
      <c r="L3139" s="194">
        <v>0</v>
      </c>
      <c r="M3139" s="194">
        <v>0</v>
      </c>
      <c r="N3139" s="194">
        <v>0</v>
      </c>
      <c r="O3139" s="193">
        <f t="shared" si="677"/>
        <v>0</v>
      </c>
      <c r="P3139" s="194">
        <v>0</v>
      </c>
      <c r="Q3139" s="194">
        <v>0</v>
      </c>
      <c r="R3139" s="194">
        <v>0</v>
      </c>
      <c r="S3139" s="193">
        <f t="shared" si="678"/>
        <v>0</v>
      </c>
      <c r="T3139" s="193">
        <f t="shared" si="679"/>
        <v>0</v>
      </c>
      <c r="U3139" s="193">
        <f ca="1">OFFSET('Expenditure Study'!$B$7,'Operations Support'!$C3139,'Operations Support'!$B3139)*$G3139</f>
        <v>0</v>
      </c>
      <c r="V3139" s="199">
        <f ca="1">U3139*'Expenditure Study'!$B$31</f>
        <v>0</v>
      </c>
      <c r="W3139" s="199">
        <f ca="1">IF(A3139=10298,1.51,1)*IF($B3139&lt;3,$D3139*'Expenditure Study'!$B$32*OFFSET('Expenditure Study'!$B$7,'Operations Support'!$C3139,'Operations Support'!$B3139),0)</f>
        <v>0</v>
      </c>
      <c r="X3139" s="200">
        <f ca="1">W3139*'Expenditure Study'!$B$31</f>
        <v>0</v>
      </c>
      <c r="Y3139" s="199">
        <f ca="1">U3139*'Expenditure Study'!$B$31</f>
        <v>0</v>
      </c>
      <c r="Z3139" s="200">
        <f ca="1">W3139*'Expenditure Study'!$B$31</f>
        <v>0</v>
      </c>
      <c r="AA3139" s="195">
        <f t="shared" ca="1" si="680"/>
        <v>0</v>
      </c>
      <c r="AB3139" s="195">
        <f t="shared" ca="1" si="681"/>
        <v>0</v>
      </c>
      <c r="AD3139" s="196">
        <f>IFERROR($G3139/SUMIF($A:$A,$A3139,$G:$G)*SUMIF(Summary!$A$166:$A$242,$A3139,Summary!$P$166:$P$242),0)</f>
        <v>0</v>
      </c>
      <c r="AE3139" s="197">
        <f t="shared" ca="1" si="682"/>
        <v>0</v>
      </c>
      <c r="AF3139" s="196">
        <f>IFERROR(G3139/SUMIF(A:A,A3139,G:G)*SUMIF(Summary!$A$166:$A$242,'Operations Support'!A3139,Summary!$Q$166:$Q$242),0)</f>
        <v>0</v>
      </c>
      <c r="AG3139" s="196">
        <f t="shared" ca="1" si="683"/>
        <v>0</v>
      </c>
      <c r="AI3139" s="196">
        <f>IFERROR($G3139/SUMIF($A:$A,$A3139,$G:$G)*SUMIF(Summary!$A$247:$A$283,$A3139,Summary!$P$247:$P$283),0)</f>
        <v>0</v>
      </c>
      <c r="AJ3139" s="196">
        <f>IFERROR($G3139/SUMIF($A:$A,$A3139,$G:$G)*(SUMIF(Summary!$A$247:$A$283,$A3139,Summary!$L$247:$L$283)+SUMIF(Summary!$A$297:$A$333,$A3139,Summary!$L$297:$L$333))-AI3139,0)</f>
        <v>0</v>
      </c>
      <c r="AK3139" s="196">
        <f>IFERROR($G3139/SUMIF($A:$A,$A3139,$G:$G)*SUMIF(Summary!$A$247:$A$283,$A3139,Summary!$Q$247:$Q$283),0)</f>
        <v>0</v>
      </c>
      <c r="AL3139" s="196">
        <f>IFERROR($G3139/SUMIF($A:$A,$A3139,$G:$G)*(SUMIF(Summary!$A$247:$A$283,$A3139,Summary!$L$247:$L$283)+SUMIF(Summary!$A$297:$A$333,$A3139,Summary!$L$297:$L$333))-AK3139,0)</f>
        <v>0</v>
      </c>
      <c r="AM3139" s="198"/>
      <c r="AN3139" s="196">
        <f t="shared" ca="1" si="684"/>
        <v>0</v>
      </c>
      <c r="AO3139" s="196">
        <f t="shared" ca="1" si="685"/>
        <v>0</v>
      </c>
    </row>
    <row r="3140" spans="1:41">
      <c r="A3140" s="189">
        <v>11163</v>
      </c>
      <c r="B3140" s="190">
        <v>5</v>
      </c>
      <c r="C3140" s="191" t="s">
        <v>226</v>
      </c>
      <c r="D3140" s="192">
        <f t="shared" si="672"/>
        <v>0</v>
      </c>
      <c r="E3140" s="192">
        <f t="shared" si="673"/>
        <v>0</v>
      </c>
      <c r="F3140" s="192">
        <f t="shared" si="674"/>
        <v>0</v>
      </c>
      <c r="G3140" s="193">
        <f t="shared" si="675"/>
        <v>0</v>
      </c>
      <c r="H3140" s="194">
        <v>0</v>
      </c>
      <c r="I3140" s="194">
        <v>0</v>
      </c>
      <c r="J3140" s="194">
        <v>0</v>
      </c>
      <c r="K3140" s="193">
        <f t="shared" si="676"/>
        <v>0</v>
      </c>
      <c r="L3140" s="194">
        <v>0</v>
      </c>
      <c r="M3140" s="194">
        <v>0</v>
      </c>
      <c r="N3140" s="194">
        <v>0</v>
      </c>
      <c r="O3140" s="193">
        <f t="shared" si="677"/>
        <v>0</v>
      </c>
      <c r="P3140" s="194">
        <v>0</v>
      </c>
      <c r="Q3140" s="194">
        <v>0</v>
      </c>
      <c r="R3140" s="194">
        <v>0</v>
      </c>
      <c r="S3140" s="193">
        <f t="shared" si="678"/>
        <v>0</v>
      </c>
      <c r="T3140" s="193">
        <f t="shared" si="679"/>
        <v>0</v>
      </c>
      <c r="U3140" s="193">
        <f ca="1">OFFSET('Expenditure Study'!$B$7,'Operations Support'!$C3140,'Operations Support'!$B3140)*$G3140</f>
        <v>0</v>
      </c>
      <c r="V3140" s="199">
        <f ca="1">U3140*'Expenditure Study'!$B$31</f>
        <v>0</v>
      </c>
      <c r="W3140" s="199">
        <f ca="1">IF(A3140=10298,1.51,1)*IF($B3140&lt;3,$D3140*'Expenditure Study'!$B$32*OFFSET('Expenditure Study'!$B$7,'Operations Support'!$C3140,'Operations Support'!$B3140),0)</f>
        <v>0</v>
      </c>
      <c r="X3140" s="200">
        <f ca="1">W3140*'Expenditure Study'!$B$31</f>
        <v>0</v>
      </c>
      <c r="Y3140" s="199">
        <f ca="1">U3140*'Expenditure Study'!$B$31</f>
        <v>0</v>
      </c>
      <c r="Z3140" s="200">
        <f ca="1">W3140*'Expenditure Study'!$B$31</f>
        <v>0</v>
      </c>
      <c r="AA3140" s="195">
        <f t="shared" ca="1" si="680"/>
        <v>0</v>
      </c>
      <c r="AB3140" s="195">
        <f t="shared" ca="1" si="681"/>
        <v>0</v>
      </c>
      <c r="AD3140" s="196">
        <f>IFERROR($G3140/SUMIF($A:$A,$A3140,$G:$G)*SUMIF(Summary!$A$166:$A$242,$A3140,Summary!$P$166:$P$242),0)</f>
        <v>0</v>
      </c>
      <c r="AE3140" s="197">
        <f t="shared" ca="1" si="682"/>
        <v>0</v>
      </c>
      <c r="AF3140" s="196">
        <f>IFERROR(G3140/SUMIF(A:A,A3140,G:G)*SUMIF(Summary!$A$166:$A$242,'Operations Support'!A3140,Summary!$Q$166:$Q$242),0)</f>
        <v>0</v>
      </c>
      <c r="AG3140" s="196">
        <f t="shared" ca="1" si="683"/>
        <v>0</v>
      </c>
      <c r="AI3140" s="196">
        <f>IFERROR($G3140/SUMIF($A:$A,$A3140,$G:$G)*SUMIF(Summary!$A$247:$A$283,$A3140,Summary!$P$247:$P$283),0)</f>
        <v>0</v>
      </c>
      <c r="AJ3140" s="196">
        <f>IFERROR($G3140/SUMIF($A:$A,$A3140,$G:$G)*(SUMIF(Summary!$A$247:$A$283,$A3140,Summary!$L$247:$L$283)+SUMIF(Summary!$A$297:$A$333,$A3140,Summary!$L$297:$L$333))-AI3140,0)</f>
        <v>0</v>
      </c>
      <c r="AK3140" s="196">
        <f>IFERROR($G3140/SUMIF($A:$A,$A3140,$G:$G)*SUMIF(Summary!$A$247:$A$283,$A3140,Summary!$Q$247:$Q$283),0)</f>
        <v>0</v>
      </c>
      <c r="AL3140" s="196">
        <f>IFERROR($G3140/SUMIF($A:$A,$A3140,$G:$G)*(SUMIF(Summary!$A$247:$A$283,$A3140,Summary!$L$247:$L$283)+SUMIF(Summary!$A$297:$A$333,$A3140,Summary!$L$297:$L$333))-AK3140,0)</f>
        <v>0</v>
      </c>
      <c r="AM3140" s="198"/>
      <c r="AN3140" s="196">
        <f t="shared" ca="1" si="684"/>
        <v>0</v>
      </c>
      <c r="AO3140" s="196">
        <f t="shared" ca="1" si="685"/>
        <v>0</v>
      </c>
    </row>
    <row r="3141" spans="1:41">
      <c r="A3141" s="189">
        <v>11163</v>
      </c>
      <c r="B3141" s="190">
        <v>5</v>
      </c>
      <c r="C3141" s="191" t="s">
        <v>227</v>
      </c>
      <c r="D3141" s="192">
        <f t="shared" ref="D3141:D3204" si="686">H3141+L3141+P3141</f>
        <v>0</v>
      </c>
      <c r="E3141" s="192">
        <f t="shared" ref="E3141:E3204" si="687">I3141+M3141+Q3141</f>
        <v>0</v>
      </c>
      <c r="F3141" s="192">
        <f t="shared" ref="F3141:F3204" si="688">J3141+N3141+R3141</f>
        <v>0</v>
      </c>
      <c r="G3141" s="193">
        <f t="shared" ref="G3141:G3204" si="689">(SUM(D3141:E3141)-F3141)*IF(A3141=10298,1.51,1)</f>
        <v>0</v>
      </c>
      <c r="H3141" s="194">
        <v>0</v>
      </c>
      <c r="I3141" s="194">
        <v>0</v>
      </c>
      <c r="J3141" s="194">
        <v>0</v>
      </c>
      <c r="K3141" s="193">
        <f t="shared" ref="K3141:K3204" si="690">SUM(H3141:I3141)-J3141</f>
        <v>0</v>
      </c>
      <c r="L3141" s="194">
        <v>0</v>
      </c>
      <c r="M3141" s="194">
        <v>0</v>
      </c>
      <c r="N3141" s="194">
        <v>0</v>
      </c>
      <c r="O3141" s="193">
        <f t="shared" ref="O3141:O3204" si="691">SUM(L3141:M3141)-N3141</f>
        <v>0</v>
      </c>
      <c r="P3141" s="194">
        <v>0</v>
      </c>
      <c r="Q3141" s="194">
        <v>0</v>
      </c>
      <c r="R3141" s="194">
        <v>0</v>
      </c>
      <c r="S3141" s="193">
        <f t="shared" ref="S3141:S3204" si="692">SUM(P3141:Q3141)-R3141</f>
        <v>0</v>
      </c>
      <c r="T3141" s="193">
        <f t="shared" ref="T3141:T3204" si="693">IF(OR(B3141=1,B3141=2),G3141/30,IF(OR(B3141=3,B3141=5),G3141/24,IF(B3141=4,G3141/18,0)))</f>
        <v>0</v>
      </c>
      <c r="U3141" s="193">
        <f ca="1">OFFSET('Expenditure Study'!$B$7,'Operations Support'!$C3141,'Operations Support'!$B3141)*$G3141</f>
        <v>0</v>
      </c>
      <c r="V3141" s="199">
        <f ca="1">U3141*'Expenditure Study'!$B$31</f>
        <v>0</v>
      </c>
      <c r="W3141" s="199">
        <f ca="1">IF(A3141=10298,1.51,1)*IF($B3141&lt;3,$D3141*'Expenditure Study'!$B$32*OFFSET('Expenditure Study'!$B$7,'Operations Support'!$C3141,'Operations Support'!$B3141),0)</f>
        <v>0</v>
      </c>
      <c r="X3141" s="200">
        <f ca="1">W3141*'Expenditure Study'!$B$31</f>
        <v>0</v>
      </c>
      <c r="Y3141" s="199">
        <f ca="1">U3141*'Expenditure Study'!$B$31</f>
        <v>0</v>
      </c>
      <c r="Z3141" s="200">
        <f ca="1">W3141*'Expenditure Study'!$B$31</f>
        <v>0</v>
      </c>
      <c r="AA3141" s="195">
        <f t="shared" ref="AA3141:AA3204" ca="1" si="694">V3141+X3141</f>
        <v>0</v>
      </c>
      <c r="AB3141" s="195">
        <f t="shared" ref="AB3141:AB3204" ca="1" si="695">Y3141+Z3141</f>
        <v>0</v>
      </c>
      <c r="AD3141" s="196">
        <f>IFERROR($G3141/SUMIF($A:$A,$A3141,$G:$G)*SUMIF(Summary!$A$166:$A$242,$A3141,Summary!$P$166:$P$242),0)</f>
        <v>0</v>
      </c>
      <c r="AE3141" s="197">
        <f t="shared" ca="1" si="682"/>
        <v>0</v>
      </c>
      <c r="AF3141" s="196">
        <f>IFERROR(G3141/SUMIF(A:A,A3141,G:G)*SUMIF(Summary!$A$166:$A$242,'Operations Support'!A3141,Summary!$Q$166:$Q$242),0)</f>
        <v>0</v>
      </c>
      <c r="AG3141" s="196">
        <f t="shared" ca="1" si="683"/>
        <v>0</v>
      </c>
      <c r="AI3141" s="196">
        <f>IFERROR($G3141/SUMIF($A:$A,$A3141,$G:$G)*SUMIF(Summary!$A$247:$A$283,$A3141,Summary!$P$247:$P$283),0)</f>
        <v>0</v>
      </c>
      <c r="AJ3141" s="196">
        <f>IFERROR($G3141/SUMIF($A:$A,$A3141,$G:$G)*(SUMIF(Summary!$A$247:$A$283,$A3141,Summary!$L$247:$L$283)+SUMIF(Summary!$A$297:$A$333,$A3141,Summary!$L$297:$L$333))-AI3141,0)</f>
        <v>0</v>
      </c>
      <c r="AK3141" s="196">
        <f>IFERROR($G3141/SUMIF($A:$A,$A3141,$G:$G)*SUMIF(Summary!$A$247:$A$283,$A3141,Summary!$Q$247:$Q$283),0)</f>
        <v>0</v>
      </c>
      <c r="AL3141" s="196">
        <f>IFERROR($G3141/SUMIF($A:$A,$A3141,$G:$G)*(SUMIF(Summary!$A$247:$A$283,$A3141,Summary!$L$247:$L$283)+SUMIF(Summary!$A$297:$A$333,$A3141,Summary!$L$297:$L$333))-AK3141,0)</f>
        <v>0</v>
      </c>
      <c r="AM3141" s="198"/>
      <c r="AN3141" s="196">
        <f t="shared" ca="1" si="684"/>
        <v>0</v>
      </c>
      <c r="AO3141" s="196">
        <f t="shared" ca="1" si="685"/>
        <v>0</v>
      </c>
    </row>
    <row r="3142" spans="1:41">
      <c r="A3142" s="189">
        <v>11163</v>
      </c>
      <c r="B3142" s="190">
        <v>5</v>
      </c>
      <c r="C3142" s="191" t="s">
        <v>228</v>
      </c>
      <c r="D3142" s="192">
        <f t="shared" si="686"/>
        <v>0</v>
      </c>
      <c r="E3142" s="192">
        <f t="shared" si="687"/>
        <v>0</v>
      </c>
      <c r="F3142" s="192">
        <f t="shared" si="688"/>
        <v>0</v>
      </c>
      <c r="G3142" s="193">
        <f t="shared" si="689"/>
        <v>0</v>
      </c>
      <c r="H3142" s="194">
        <v>0</v>
      </c>
      <c r="I3142" s="194">
        <v>0</v>
      </c>
      <c r="J3142" s="194">
        <v>0</v>
      </c>
      <c r="K3142" s="193">
        <f t="shared" si="690"/>
        <v>0</v>
      </c>
      <c r="L3142" s="194">
        <v>0</v>
      </c>
      <c r="M3142" s="194">
        <v>0</v>
      </c>
      <c r="N3142" s="194">
        <v>0</v>
      </c>
      <c r="O3142" s="193">
        <f t="shared" si="691"/>
        <v>0</v>
      </c>
      <c r="P3142" s="194">
        <v>0</v>
      </c>
      <c r="Q3142" s="194">
        <v>0</v>
      </c>
      <c r="R3142" s="194">
        <v>0</v>
      </c>
      <c r="S3142" s="193">
        <f t="shared" si="692"/>
        <v>0</v>
      </c>
      <c r="T3142" s="193">
        <f t="shared" si="693"/>
        <v>0</v>
      </c>
      <c r="U3142" s="193">
        <f ca="1">OFFSET('Expenditure Study'!$B$7,'Operations Support'!$C3142,'Operations Support'!$B3142)*$G3142</f>
        <v>0</v>
      </c>
      <c r="V3142" s="199">
        <f ca="1">U3142*'Expenditure Study'!$B$31</f>
        <v>0</v>
      </c>
      <c r="W3142" s="199">
        <f ca="1">IF(A3142=10298,1.51,1)*IF($B3142&lt;3,$D3142*'Expenditure Study'!$B$32*OFFSET('Expenditure Study'!$B$7,'Operations Support'!$C3142,'Operations Support'!$B3142),0)</f>
        <v>0</v>
      </c>
      <c r="X3142" s="200">
        <f ca="1">W3142*'Expenditure Study'!$B$31</f>
        <v>0</v>
      </c>
      <c r="Y3142" s="199">
        <f ca="1">U3142*'Expenditure Study'!$B$31</f>
        <v>0</v>
      </c>
      <c r="Z3142" s="200">
        <f ca="1">W3142*'Expenditure Study'!$B$31</f>
        <v>0</v>
      </c>
      <c r="AA3142" s="195">
        <f t="shared" ca="1" si="694"/>
        <v>0</v>
      </c>
      <c r="AB3142" s="195">
        <f t="shared" ca="1" si="695"/>
        <v>0</v>
      </c>
      <c r="AD3142" s="196">
        <f>IFERROR($G3142/SUMIF($A:$A,$A3142,$G:$G)*SUMIF(Summary!$A$166:$A$242,$A3142,Summary!$P$166:$P$242),0)</f>
        <v>0</v>
      </c>
      <c r="AE3142" s="197">
        <f t="shared" ref="AE3142:AE3205" ca="1" si="696">V3142+X3142-AD3142</f>
        <v>0</v>
      </c>
      <c r="AF3142" s="196">
        <f>IFERROR(G3142/SUMIF(A:A,A3142,G:G)*SUMIF(Summary!$A$166:$A$242,'Operations Support'!A3142,Summary!$Q$166:$Q$242),0)</f>
        <v>0</v>
      </c>
      <c r="AG3142" s="196">
        <f t="shared" ref="AG3142:AG3205" ca="1" si="697">Y3142+Z3142-AF3142</f>
        <v>0</v>
      </c>
      <c r="AI3142" s="196">
        <f>IFERROR($G3142/SUMIF($A:$A,$A3142,$G:$G)*SUMIF(Summary!$A$247:$A$283,$A3142,Summary!$P$247:$P$283),0)</f>
        <v>0</v>
      </c>
      <c r="AJ3142" s="196">
        <f>IFERROR($G3142/SUMIF($A:$A,$A3142,$G:$G)*(SUMIF(Summary!$A$247:$A$283,$A3142,Summary!$L$247:$L$283)+SUMIF(Summary!$A$297:$A$333,$A3142,Summary!$L$297:$L$333))-AI3142,0)</f>
        <v>0</v>
      </c>
      <c r="AK3142" s="196">
        <f>IFERROR($G3142/SUMIF($A:$A,$A3142,$G:$G)*SUMIF(Summary!$A$247:$A$283,$A3142,Summary!$Q$247:$Q$283),0)</f>
        <v>0</v>
      </c>
      <c r="AL3142" s="196">
        <f>IFERROR($G3142/SUMIF($A:$A,$A3142,$G:$G)*(SUMIF(Summary!$A$247:$A$283,$A3142,Summary!$L$247:$L$283)+SUMIF(Summary!$A$297:$A$333,$A3142,Summary!$L$297:$L$333))-AK3142,0)</f>
        <v>0</v>
      </c>
      <c r="AM3142" s="198"/>
      <c r="AN3142" s="196">
        <f t="shared" ref="AN3142:AN3205" ca="1" si="698">AE3142+AJ3142</f>
        <v>0</v>
      </c>
      <c r="AO3142" s="196">
        <f t="shared" ref="AO3142:AO3205" ca="1" si="699">AG3142+AL3142</f>
        <v>0</v>
      </c>
    </row>
    <row r="3143" spans="1:41">
      <c r="A3143" s="189">
        <v>11163</v>
      </c>
      <c r="B3143" s="190">
        <v>5</v>
      </c>
      <c r="C3143" s="191" t="s">
        <v>229</v>
      </c>
      <c r="D3143" s="192">
        <f t="shared" si="686"/>
        <v>0</v>
      </c>
      <c r="E3143" s="192">
        <f t="shared" si="687"/>
        <v>0</v>
      </c>
      <c r="F3143" s="192">
        <f t="shared" si="688"/>
        <v>0</v>
      </c>
      <c r="G3143" s="193">
        <f t="shared" si="689"/>
        <v>0</v>
      </c>
      <c r="H3143" s="194">
        <v>0</v>
      </c>
      <c r="I3143" s="194">
        <v>0</v>
      </c>
      <c r="J3143" s="194">
        <v>0</v>
      </c>
      <c r="K3143" s="193">
        <f t="shared" si="690"/>
        <v>0</v>
      </c>
      <c r="L3143" s="194">
        <v>0</v>
      </c>
      <c r="M3143" s="194">
        <v>0</v>
      </c>
      <c r="N3143" s="194">
        <v>0</v>
      </c>
      <c r="O3143" s="193">
        <f t="shared" si="691"/>
        <v>0</v>
      </c>
      <c r="P3143" s="194">
        <v>0</v>
      </c>
      <c r="Q3143" s="194">
        <v>0</v>
      </c>
      <c r="R3143" s="194">
        <v>0</v>
      </c>
      <c r="S3143" s="193">
        <f t="shared" si="692"/>
        <v>0</v>
      </c>
      <c r="T3143" s="193">
        <f t="shared" si="693"/>
        <v>0</v>
      </c>
      <c r="U3143" s="193">
        <f ca="1">OFFSET('Expenditure Study'!$B$7,'Operations Support'!$C3143,'Operations Support'!$B3143)*$G3143</f>
        <v>0</v>
      </c>
      <c r="V3143" s="199">
        <f ca="1">U3143*'Expenditure Study'!$B$31</f>
        <v>0</v>
      </c>
      <c r="W3143" s="199">
        <f ca="1">IF(A3143=10298,1.51,1)*IF($B3143&lt;3,$D3143*'Expenditure Study'!$B$32*OFFSET('Expenditure Study'!$B$7,'Operations Support'!$C3143,'Operations Support'!$B3143),0)</f>
        <v>0</v>
      </c>
      <c r="X3143" s="200">
        <f ca="1">W3143*'Expenditure Study'!$B$31</f>
        <v>0</v>
      </c>
      <c r="Y3143" s="199">
        <f ca="1">U3143*'Expenditure Study'!$B$31</f>
        <v>0</v>
      </c>
      <c r="Z3143" s="200">
        <f ca="1">W3143*'Expenditure Study'!$B$31</f>
        <v>0</v>
      </c>
      <c r="AA3143" s="195">
        <f t="shared" ca="1" si="694"/>
        <v>0</v>
      </c>
      <c r="AB3143" s="195">
        <f t="shared" ca="1" si="695"/>
        <v>0</v>
      </c>
      <c r="AD3143" s="196">
        <f>IFERROR($G3143/SUMIF($A:$A,$A3143,$G:$G)*SUMIF(Summary!$A$166:$A$242,$A3143,Summary!$P$166:$P$242),0)</f>
        <v>0</v>
      </c>
      <c r="AE3143" s="197">
        <f t="shared" ca="1" si="696"/>
        <v>0</v>
      </c>
      <c r="AF3143" s="196">
        <f>IFERROR(G3143/SUMIF(A:A,A3143,G:G)*SUMIF(Summary!$A$166:$A$242,'Operations Support'!A3143,Summary!$Q$166:$Q$242),0)</f>
        <v>0</v>
      </c>
      <c r="AG3143" s="196">
        <f t="shared" ca="1" si="697"/>
        <v>0</v>
      </c>
      <c r="AI3143" s="196">
        <f>IFERROR($G3143/SUMIF($A:$A,$A3143,$G:$G)*SUMIF(Summary!$A$247:$A$283,$A3143,Summary!$P$247:$P$283),0)</f>
        <v>0</v>
      </c>
      <c r="AJ3143" s="196">
        <f>IFERROR($G3143/SUMIF($A:$A,$A3143,$G:$G)*(SUMIF(Summary!$A$247:$A$283,$A3143,Summary!$L$247:$L$283)+SUMIF(Summary!$A$297:$A$333,$A3143,Summary!$L$297:$L$333))-AI3143,0)</f>
        <v>0</v>
      </c>
      <c r="AK3143" s="196">
        <f>IFERROR($G3143/SUMIF($A:$A,$A3143,$G:$G)*SUMIF(Summary!$A$247:$A$283,$A3143,Summary!$Q$247:$Q$283),0)</f>
        <v>0</v>
      </c>
      <c r="AL3143" s="196">
        <f>IFERROR($G3143/SUMIF($A:$A,$A3143,$G:$G)*(SUMIF(Summary!$A$247:$A$283,$A3143,Summary!$L$247:$L$283)+SUMIF(Summary!$A$297:$A$333,$A3143,Summary!$L$297:$L$333))-AK3143,0)</f>
        <v>0</v>
      </c>
      <c r="AM3143" s="198"/>
      <c r="AN3143" s="196">
        <f t="shared" ca="1" si="698"/>
        <v>0</v>
      </c>
      <c r="AO3143" s="196">
        <f t="shared" ca="1" si="699"/>
        <v>0</v>
      </c>
    </row>
    <row r="3144" spans="1:41">
      <c r="A3144" s="189">
        <v>11163</v>
      </c>
      <c r="B3144" s="190">
        <v>5</v>
      </c>
      <c r="C3144" s="191" t="s">
        <v>230</v>
      </c>
      <c r="D3144" s="192">
        <f t="shared" si="686"/>
        <v>0</v>
      </c>
      <c r="E3144" s="192">
        <f t="shared" si="687"/>
        <v>0</v>
      </c>
      <c r="F3144" s="192">
        <f t="shared" si="688"/>
        <v>0</v>
      </c>
      <c r="G3144" s="193">
        <f t="shared" si="689"/>
        <v>0</v>
      </c>
      <c r="H3144" s="194">
        <v>0</v>
      </c>
      <c r="I3144" s="194">
        <v>0</v>
      </c>
      <c r="J3144" s="194">
        <v>0</v>
      </c>
      <c r="K3144" s="193">
        <f t="shared" si="690"/>
        <v>0</v>
      </c>
      <c r="L3144" s="194">
        <v>0</v>
      </c>
      <c r="M3144" s="194">
        <v>0</v>
      </c>
      <c r="N3144" s="194">
        <v>0</v>
      </c>
      <c r="O3144" s="193">
        <f t="shared" si="691"/>
        <v>0</v>
      </c>
      <c r="P3144" s="194">
        <v>0</v>
      </c>
      <c r="Q3144" s="194">
        <v>0</v>
      </c>
      <c r="R3144" s="194">
        <v>0</v>
      </c>
      <c r="S3144" s="193">
        <f t="shared" si="692"/>
        <v>0</v>
      </c>
      <c r="T3144" s="193">
        <f t="shared" si="693"/>
        <v>0</v>
      </c>
      <c r="U3144" s="193">
        <f ca="1">OFFSET('Expenditure Study'!$B$7,'Operations Support'!$C3144,'Operations Support'!$B3144)*$G3144</f>
        <v>0</v>
      </c>
      <c r="V3144" s="199">
        <f ca="1">U3144*'Expenditure Study'!$B$31</f>
        <v>0</v>
      </c>
      <c r="W3144" s="199">
        <f ca="1">IF(A3144=10298,1.51,1)*IF($B3144&lt;3,$D3144*'Expenditure Study'!$B$32*OFFSET('Expenditure Study'!$B$7,'Operations Support'!$C3144,'Operations Support'!$B3144),0)</f>
        <v>0</v>
      </c>
      <c r="X3144" s="200">
        <f ca="1">W3144*'Expenditure Study'!$B$31</f>
        <v>0</v>
      </c>
      <c r="Y3144" s="199">
        <f ca="1">U3144*'Expenditure Study'!$B$31</f>
        <v>0</v>
      </c>
      <c r="Z3144" s="200">
        <f ca="1">W3144*'Expenditure Study'!$B$31</f>
        <v>0</v>
      </c>
      <c r="AA3144" s="195">
        <f t="shared" ca="1" si="694"/>
        <v>0</v>
      </c>
      <c r="AB3144" s="195">
        <f t="shared" ca="1" si="695"/>
        <v>0</v>
      </c>
      <c r="AD3144" s="196">
        <f>IFERROR($G3144/SUMIF($A:$A,$A3144,$G:$G)*SUMIF(Summary!$A$166:$A$242,$A3144,Summary!$P$166:$P$242),0)</f>
        <v>0</v>
      </c>
      <c r="AE3144" s="197">
        <f t="shared" ca="1" si="696"/>
        <v>0</v>
      </c>
      <c r="AF3144" s="196">
        <f>IFERROR(G3144/SUMIF(A:A,A3144,G:G)*SUMIF(Summary!$A$166:$A$242,'Operations Support'!A3144,Summary!$Q$166:$Q$242),0)</f>
        <v>0</v>
      </c>
      <c r="AG3144" s="196">
        <f t="shared" ca="1" si="697"/>
        <v>0</v>
      </c>
      <c r="AI3144" s="196">
        <f>IFERROR($G3144/SUMIF($A:$A,$A3144,$G:$G)*SUMIF(Summary!$A$247:$A$283,$A3144,Summary!$P$247:$P$283),0)</f>
        <v>0</v>
      </c>
      <c r="AJ3144" s="196">
        <f>IFERROR($G3144/SUMIF($A:$A,$A3144,$G:$G)*(SUMIF(Summary!$A$247:$A$283,$A3144,Summary!$L$247:$L$283)+SUMIF(Summary!$A$297:$A$333,$A3144,Summary!$L$297:$L$333))-AI3144,0)</f>
        <v>0</v>
      </c>
      <c r="AK3144" s="196">
        <f>IFERROR($G3144/SUMIF($A:$A,$A3144,$G:$G)*SUMIF(Summary!$A$247:$A$283,$A3144,Summary!$Q$247:$Q$283),0)</f>
        <v>0</v>
      </c>
      <c r="AL3144" s="196">
        <f>IFERROR($G3144/SUMIF($A:$A,$A3144,$G:$G)*(SUMIF(Summary!$A$247:$A$283,$A3144,Summary!$L$247:$L$283)+SUMIF(Summary!$A$297:$A$333,$A3144,Summary!$L$297:$L$333))-AK3144,0)</f>
        <v>0</v>
      </c>
      <c r="AM3144" s="198"/>
      <c r="AN3144" s="196">
        <f t="shared" ca="1" si="698"/>
        <v>0</v>
      </c>
      <c r="AO3144" s="196">
        <f t="shared" ca="1" si="699"/>
        <v>0</v>
      </c>
    </row>
    <row r="3145" spans="1:41">
      <c r="A3145" s="189">
        <v>11163</v>
      </c>
      <c r="B3145" s="190">
        <v>5</v>
      </c>
      <c r="C3145" s="191" t="s">
        <v>231</v>
      </c>
      <c r="D3145" s="192">
        <f t="shared" si="686"/>
        <v>0</v>
      </c>
      <c r="E3145" s="192">
        <f t="shared" si="687"/>
        <v>0</v>
      </c>
      <c r="F3145" s="192">
        <f t="shared" si="688"/>
        <v>0</v>
      </c>
      <c r="G3145" s="193">
        <f t="shared" si="689"/>
        <v>0</v>
      </c>
      <c r="H3145" s="194">
        <v>0</v>
      </c>
      <c r="I3145" s="194">
        <v>0</v>
      </c>
      <c r="J3145" s="194">
        <v>0</v>
      </c>
      <c r="K3145" s="193">
        <f t="shared" si="690"/>
        <v>0</v>
      </c>
      <c r="L3145" s="194">
        <v>0</v>
      </c>
      <c r="M3145" s="194">
        <v>0</v>
      </c>
      <c r="N3145" s="194">
        <v>0</v>
      </c>
      <c r="O3145" s="193">
        <f t="shared" si="691"/>
        <v>0</v>
      </c>
      <c r="P3145" s="194">
        <v>0</v>
      </c>
      <c r="Q3145" s="194">
        <v>0</v>
      </c>
      <c r="R3145" s="194">
        <v>0</v>
      </c>
      <c r="S3145" s="193">
        <f t="shared" si="692"/>
        <v>0</v>
      </c>
      <c r="T3145" s="193">
        <f t="shared" si="693"/>
        <v>0</v>
      </c>
      <c r="U3145" s="193">
        <f ca="1">OFFSET('Expenditure Study'!$B$7,'Operations Support'!$C3145,'Operations Support'!$B3145)*$G3145</f>
        <v>0</v>
      </c>
      <c r="V3145" s="199">
        <f ca="1">U3145*'Expenditure Study'!$B$31</f>
        <v>0</v>
      </c>
      <c r="W3145" s="199">
        <f ca="1">IF(A3145=10298,1.51,1)*IF($B3145&lt;3,$D3145*'Expenditure Study'!$B$32*OFFSET('Expenditure Study'!$B$7,'Operations Support'!$C3145,'Operations Support'!$B3145),0)</f>
        <v>0</v>
      </c>
      <c r="X3145" s="200">
        <f ca="1">W3145*'Expenditure Study'!$B$31</f>
        <v>0</v>
      </c>
      <c r="Y3145" s="199">
        <f ca="1">U3145*'Expenditure Study'!$B$31</f>
        <v>0</v>
      </c>
      <c r="Z3145" s="200">
        <f ca="1">W3145*'Expenditure Study'!$B$31</f>
        <v>0</v>
      </c>
      <c r="AA3145" s="195">
        <f t="shared" ca="1" si="694"/>
        <v>0</v>
      </c>
      <c r="AB3145" s="195">
        <f t="shared" ca="1" si="695"/>
        <v>0</v>
      </c>
      <c r="AD3145" s="196">
        <f>IFERROR($G3145/SUMIF($A:$A,$A3145,$G:$G)*SUMIF(Summary!$A$166:$A$242,$A3145,Summary!$P$166:$P$242),0)</f>
        <v>0</v>
      </c>
      <c r="AE3145" s="197">
        <f t="shared" ca="1" si="696"/>
        <v>0</v>
      </c>
      <c r="AF3145" s="196">
        <f>IFERROR(G3145/SUMIF(A:A,A3145,G:G)*SUMIF(Summary!$A$166:$A$242,'Operations Support'!A3145,Summary!$Q$166:$Q$242),0)</f>
        <v>0</v>
      </c>
      <c r="AG3145" s="196">
        <f t="shared" ca="1" si="697"/>
        <v>0</v>
      </c>
      <c r="AI3145" s="196">
        <f>IFERROR($G3145/SUMIF($A:$A,$A3145,$G:$G)*SUMIF(Summary!$A$247:$A$283,$A3145,Summary!$P$247:$P$283),0)</f>
        <v>0</v>
      </c>
      <c r="AJ3145" s="196">
        <f>IFERROR($G3145/SUMIF($A:$A,$A3145,$G:$G)*(SUMIF(Summary!$A$247:$A$283,$A3145,Summary!$L$247:$L$283)+SUMIF(Summary!$A$297:$A$333,$A3145,Summary!$L$297:$L$333))-AI3145,0)</f>
        <v>0</v>
      </c>
      <c r="AK3145" s="196">
        <f>IFERROR($G3145/SUMIF($A:$A,$A3145,$G:$G)*SUMIF(Summary!$A$247:$A$283,$A3145,Summary!$Q$247:$Q$283),0)</f>
        <v>0</v>
      </c>
      <c r="AL3145" s="196">
        <f>IFERROR($G3145/SUMIF($A:$A,$A3145,$G:$G)*(SUMIF(Summary!$A$247:$A$283,$A3145,Summary!$L$247:$L$283)+SUMIF(Summary!$A$297:$A$333,$A3145,Summary!$L$297:$L$333))-AK3145,0)</f>
        <v>0</v>
      </c>
      <c r="AM3145" s="198"/>
      <c r="AN3145" s="196">
        <f t="shared" ca="1" si="698"/>
        <v>0</v>
      </c>
      <c r="AO3145" s="196">
        <f t="shared" ca="1" si="699"/>
        <v>0</v>
      </c>
    </row>
    <row r="3146" spans="1:41">
      <c r="A3146" s="189">
        <v>11163</v>
      </c>
      <c r="B3146" s="190">
        <v>5</v>
      </c>
      <c r="C3146" s="191" t="s">
        <v>232</v>
      </c>
      <c r="D3146" s="192">
        <f t="shared" si="686"/>
        <v>0</v>
      </c>
      <c r="E3146" s="192">
        <f t="shared" si="687"/>
        <v>0</v>
      </c>
      <c r="F3146" s="192">
        <f t="shared" si="688"/>
        <v>0</v>
      </c>
      <c r="G3146" s="193">
        <f t="shared" si="689"/>
        <v>0</v>
      </c>
      <c r="H3146" s="194">
        <v>0</v>
      </c>
      <c r="I3146" s="194">
        <v>0</v>
      </c>
      <c r="J3146" s="194">
        <v>0</v>
      </c>
      <c r="K3146" s="193">
        <f t="shared" si="690"/>
        <v>0</v>
      </c>
      <c r="L3146" s="194">
        <v>0</v>
      </c>
      <c r="M3146" s="194">
        <v>0</v>
      </c>
      <c r="N3146" s="194">
        <v>0</v>
      </c>
      <c r="O3146" s="193">
        <f t="shared" si="691"/>
        <v>0</v>
      </c>
      <c r="P3146" s="194">
        <v>0</v>
      </c>
      <c r="Q3146" s="194">
        <v>0</v>
      </c>
      <c r="R3146" s="194">
        <v>0</v>
      </c>
      <c r="S3146" s="193">
        <f t="shared" si="692"/>
        <v>0</v>
      </c>
      <c r="T3146" s="193">
        <f t="shared" si="693"/>
        <v>0</v>
      </c>
      <c r="U3146" s="193">
        <f ca="1">OFFSET('Expenditure Study'!$B$7,'Operations Support'!$C3146,'Operations Support'!$B3146)*$G3146</f>
        <v>0</v>
      </c>
      <c r="V3146" s="199">
        <f ca="1">U3146*'Expenditure Study'!$B$31</f>
        <v>0</v>
      </c>
      <c r="W3146" s="199">
        <f ca="1">IF(A3146=10298,1.51,1)*IF($B3146&lt;3,$D3146*'Expenditure Study'!$B$32*OFFSET('Expenditure Study'!$B$7,'Operations Support'!$C3146,'Operations Support'!$B3146),0)</f>
        <v>0</v>
      </c>
      <c r="X3146" s="200">
        <f ca="1">W3146*'Expenditure Study'!$B$31</f>
        <v>0</v>
      </c>
      <c r="Y3146" s="199">
        <f ca="1">U3146*'Expenditure Study'!$B$31</f>
        <v>0</v>
      </c>
      <c r="Z3146" s="200">
        <f ca="1">W3146*'Expenditure Study'!$B$31</f>
        <v>0</v>
      </c>
      <c r="AA3146" s="195">
        <f t="shared" ca="1" si="694"/>
        <v>0</v>
      </c>
      <c r="AB3146" s="195">
        <f t="shared" ca="1" si="695"/>
        <v>0</v>
      </c>
      <c r="AD3146" s="196">
        <f>IFERROR($G3146/SUMIF($A:$A,$A3146,$G:$G)*SUMIF(Summary!$A$166:$A$242,$A3146,Summary!$P$166:$P$242),0)</f>
        <v>0</v>
      </c>
      <c r="AE3146" s="197">
        <f t="shared" ca="1" si="696"/>
        <v>0</v>
      </c>
      <c r="AF3146" s="196">
        <f>IFERROR(G3146/SUMIF(A:A,A3146,G:G)*SUMIF(Summary!$A$166:$A$242,'Operations Support'!A3146,Summary!$Q$166:$Q$242),0)</f>
        <v>0</v>
      </c>
      <c r="AG3146" s="196">
        <f t="shared" ca="1" si="697"/>
        <v>0</v>
      </c>
      <c r="AI3146" s="196">
        <f>IFERROR($G3146/SUMIF($A:$A,$A3146,$G:$G)*SUMIF(Summary!$A$247:$A$283,$A3146,Summary!$P$247:$P$283),0)</f>
        <v>0</v>
      </c>
      <c r="AJ3146" s="196">
        <f>IFERROR($G3146/SUMIF($A:$A,$A3146,$G:$G)*(SUMIF(Summary!$A$247:$A$283,$A3146,Summary!$L$247:$L$283)+SUMIF(Summary!$A$297:$A$333,$A3146,Summary!$L$297:$L$333))-AI3146,0)</f>
        <v>0</v>
      </c>
      <c r="AK3146" s="196">
        <f>IFERROR($G3146/SUMIF($A:$A,$A3146,$G:$G)*SUMIF(Summary!$A$247:$A$283,$A3146,Summary!$Q$247:$Q$283),0)</f>
        <v>0</v>
      </c>
      <c r="AL3146" s="196">
        <f>IFERROR($G3146/SUMIF($A:$A,$A3146,$G:$G)*(SUMIF(Summary!$A$247:$A$283,$A3146,Summary!$L$247:$L$283)+SUMIF(Summary!$A$297:$A$333,$A3146,Summary!$L$297:$L$333))-AK3146,0)</f>
        <v>0</v>
      </c>
      <c r="AM3146" s="198"/>
      <c r="AN3146" s="196">
        <f t="shared" ca="1" si="698"/>
        <v>0</v>
      </c>
      <c r="AO3146" s="196">
        <f t="shared" ca="1" si="699"/>
        <v>0</v>
      </c>
    </row>
    <row r="3147" spans="1:41">
      <c r="A3147" s="189">
        <v>11163</v>
      </c>
      <c r="B3147" s="190">
        <v>5</v>
      </c>
      <c r="C3147" s="191" t="s">
        <v>233</v>
      </c>
      <c r="D3147" s="192">
        <f t="shared" si="686"/>
        <v>0</v>
      </c>
      <c r="E3147" s="192">
        <f t="shared" si="687"/>
        <v>0</v>
      </c>
      <c r="F3147" s="192">
        <f t="shared" si="688"/>
        <v>0</v>
      </c>
      <c r="G3147" s="193">
        <f t="shared" si="689"/>
        <v>0</v>
      </c>
      <c r="H3147" s="194">
        <v>0</v>
      </c>
      <c r="I3147" s="194">
        <v>0</v>
      </c>
      <c r="J3147" s="194">
        <v>0</v>
      </c>
      <c r="K3147" s="193">
        <f t="shared" si="690"/>
        <v>0</v>
      </c>
      <c r="L3147" s="194">
        <v>0</v>
      </c>
      <c r="M3147" s="194">
        <v>0</v>
      </c>
      <c r="N3147" s="194">
        <v>0</v>
      </c>
      <c r="O3147" s="193">
        <f t="shared" si="691"/>
        <v>0</v>
      </c>
      <c r="P3147" s="194">
        <v>0</v>
      </c>
      <c r="Q3147" s="194">
        <v>0</v>
      </c>
      <c r="R3147" s="194">
        <v>0</v>
      </c>
      <c r="S3147" s="193">
        <f t="shared" si="692"/>
        <v>0</v>
      </c>
      <c r="T3147" s="193">
        <f t="shared" si="693"/>
        <v>0</v>
      </c>
      <c r="U3147" s="193">
        <f ca="1">OFFSET('Expenditure Study'!$B$7,'Operations Support'!$C3147,'Operations Support'!$B3147)*$G3147</f>
        <v>0</v>
      </c>
      <c r="V3147" s="199">
        <f ca="1">U3147*'Expenditure Study'!$B$31</f>
        <v>0</v>
      </c>
      <c r="W3147" s="199">
        <f ca="1">IF(A3147=10298,1.51,1)*IF($B3147&lt;3,$D3147*'Expenditure Study'!$B$32*OFFSET('Expenditure Study'!$B$7,'Operations Support'!$C3147,'Operations Support'!$B3147),0)</f>
        <v>0</v>
      </c>
      <c r="X3147" s="200">
        <f ca="1">W3147*'Expenditure Study'!$B$31</f>
        <v>0</v>
      </c>
      <c r="Y3147" s="199">
        <f ca="1">U3147*'Expenditure Study'!$B$31</f>
        <v>0</v>
      </c>
      <c r="Z3147" s="200">
        <f ca="1">W3147*'Expenditure Study'!$B$31</f>
        <v>0</v>
      </c>
      <c r="AA3147" s="195">
        <f t="shared" ca="1" si="694"/>
        <v>0</v>
      </c>
      <c r="AB3147" s="195">
        <f t="shared" ca="1" si="695"/>
        <v>0</v>
      </c>
      <c r="AD3147" s="196">
        <f>IFERROR($G3147/SUMIF($A:$A,$A3147,$G:$G)*SUMIF(Summary!$A$166:$A$242,$A3147,Summary!$P$166:$P$242),0)</f>
        <v>0</v>
      </c>
      <c r="AE3147" s="197">
        <f t="shared" ca="1" si="696"/>
        <v>0</v>
      </c>
      <c r="AF3147" s="196">
        <f>IFERROR(G3147/SUMIF(A:A,A3147,G:G)*SUMIF(Summary!$A$166:$A$242,'Operations Support'!A3147,Summary!$Q$166:$Q$242),0)</f>
        <v>0</v>
      </c>
      <c r="AG3147" s="196">
        <f t="shared" ca="1" si="697"/>
        <v>0</v>
      </c>
      <c r="AI3147" s="196">
        <f>IFERROR($G3147/SUMIF($A:$A,$A3147,$G:$G)*SUMIF(Summary!$A$247:$A$283,$A3147,Summary!$P$247:$P$283),0)</f>
        <v>0</v>
      </c>
      <c r="AJ3147" s="196">
        <f>IFERROR($G3147/SUMIF($A:$A,$A3147,$G:$G)*(SUMIF(Summary!$A$247:$A$283,$A3147,Summary!$L$247:$L$283)+SUMIF(Summary!$A$297:$A$333,$A3147,Summary!$L$297:$L$333))-AI3147,0)</f>
        <v>0</v>
      </c>
      <c r="AK3147" s="196">
        <f>IFERROR($G3147/SUMIF($A:$A,$A3147,$G:$G)*SUMIF(Summary!$A$247:$A$283,$A3147,Summary!$Q$247:$Q$283),0)</f>
        <v>0</v>
      </c>
      <c r="AL3147" s="196">
        <f>IFERROR($G3147/SUMIF($A:$A,$A3147,$G:$G)*(SUMIF(Summary!$A$247:$A$283,$A3147,Summary!$L$247:$L$283)+SUMIF(Summary!$A$297:$A$333,$A3147,Summary!$L$297:$L$333))-AK3147,0)</f>
        <v>0</v>
      </c>
      <c r="AM3147" s="198"/>
      <c r="AN3147" s="196">
        <f t="shared" ca="1" si="698"/>
        <v>0</v>
      </c>
      <c r="AO3147" s="196">
        <f t="shared" ca="1" si="699"/>
        <v>0</v>
      </c>
    </row>
    <row r="3148" spans="1:41">
      <c r="A3148" s="189">
        <v>11163</v>
      </c>
      <c r="B3148" s="190">
        <v>5</v>
      </c>
      <c r="C3148" s="191" t="s">
        <v>234</v>
      </c>
      <c r="D3148" s="192">
        <f t="shared" si="686"/>
        <v>0</v>
      </c>
      <c r="E3148" s="192">
        <f t="shared" si="687"/>
        <v>0</v>
      </c>
      <c r="F3148" s="192">
        <f t="shared" si="688"/>
        <v>0</v>
      </c>
      <c r="G3148" s="193">
        <f t="shared" si="689"/>
        <v>0</v>
      </c>
      <c r="H3148" s="194">
        <v>0</v>
      </c>
      <c r="I3148" s="194">
        <v>0</v>
      </c>
      <c r="J3148" s="194">
        <v>0</v>
      </c>
      <c r="K3148" s="193">
        <f t="shared" si="690"/>
        <v>0</v>
      </c>
      <c r="L3148" s="194">
        <v>0</v>
      </c>
      <c r="M3148" s="194">
        <v>0</v>
      </c>
      <c r="N3148" s="194">
        <v>0</v>
      </c>
      <c r="O3148" s="193">
        <f t="shared" si="691"/>
        <v>0</v>
      </c>
      <c r="P3148" s="194">
        <v>0</v>
      </c>
      <c r="Q3148" s="194">
        <v>0</v>
      </c>
      <c r="R3148" s="194">
        <v>0</v>
      </c>
      <c r="S3148" s="193">
        <f t="shared" si="692"/>
        <v>0</v>
      </c>
      <c r="T3148" s="193">
        <f t="shared" si="693"/>
        <v>0</v>
      </c>
      <c r="U3148" s="193">
        <f ca="1">OFFSET('Expenditure Study'!$B$7,'Operations Support'!$C3148,'Operations Support'!$B3148)*$G3148</f>
        <v>0</v>
      </c>
      <c r="V3148" s="199">
        <f ca="1">U3148*'Expenditure Study'!$B$31</f>
        <v>0</v>
      </c>
      <c r="W3148" s="199">
        <f ca="1">IF(A3148=10298,1.51,1)*IF($B3148&lt;3,$D3148*'Expenditure Study'!$B$32*OFFSET('Expenditure Study'!$B$7,'Operations Support'!$C3148,'Operations Support'!$B3148),0)</f>
        <v>0</v>
      </c>
      <c r="X3148" s="200">
        <f ca="1">W3148*'Expenditure Study'!$B$31</f>
        <v>0</v>
      </c>
      <c r="Y3148" s="199">
        <f ca="1">U3148*'Expenditure Study'!$B$31</f>
        <v>0</v>
      </c>
      <c r="Z3148" s="200">
        <f ca="1">W3148*'Expenditure Study'!$B$31</f>
        <v>0</v>
      </c>
      <c r="AA3148" s="195">
        <f t="shared" ca="1" si="694"/>
        <v>0</v>
      </c>
      <c r="AB3148" s="195">
        <f t="shared" ca="1" si="695"/>
        <v>0</v>
      </c>
      <c r="AD3148" s="196">
        <f>IFERROR($G3148/SUMIF($A:$A,$A3148,$G:$G)*SUMIF(Summary!$A$166:$A$242,$A3148,Summary!$P$166:$P$242),0)</f>
        <v>0</v>
      </c>
      <c r="AE3148" s="197">
        <f t="shared" ca="1" si="696"/>
        <v>0</v>
      </c>
      <c r="AF3148" s="196">
        <f>IFERROR(G3148/SUMIF(A:A,A3148,G:G)*SUMIF(Summary!$A$166:$A$242,'Operations Support'!A3148,Summary!$Q$166:$Q$242),0)</f>
        <v>0</v>
      </c>
      <c r="AG3148" s="196">
        <f t="shared" ca="1" si="697"/>
        <v>0</v>
      </c>
      <c r="AI3148" s="196">
        <f>IFERROR($G3148/SUMIF($A:$A,$A3148,$G:$G)*SUMIF(Summary!$A$247:$A$283,$A3148,Summary!$P$247:$P$283),0)</f>
        <v>0</v>
      </c>
      <c r="AJ3148" s="196">
        <f>IFERROR($G3148/SUMIF($A:$A,$A3148,$G:$G)*(SUMIF(Summary!$A$247:$A$283,$A3148,Summary!$L$247:$L$283)+SUMIF(Summary!$A$297:$A$333,$A3148,Summary!$L$297:$L$333))-AI3148,0)</f>
        <v>0</v>
      </c>
      <c r="AK3148" s="196">
        <f>IFERROR($G3148/SUMIF($A:$A,$A3148,$G:$G)*SUMIF(Summary!$A$247:$A$283,$A3148,Summary!$Q$247:$Q$283),0)</f>
        <v>0</v>
      </c>
      <c r="AL3148" s="196">
        <f>IFERROR($G3148/SUMIF($A:$A,$A3148,$G:$G)*(SUMIF(Summary!$A$247:$A$283,$A3148,Summary!$L$247:$L$283)+SUMIF(Summary!$A$297:$A$333,$A3148,Summary!$L$297:$L$333))-AK3148,0)</f>
        <v>0</v>
      </c>
      <c r="AM3148" s="198"/>
      <c r="AN3148" s="196">
        <f t="shared" ca="1" si="698"/>
        <v>0</v>
      </c>
      <c r="AO3148" s="196">
        <f t="shared" ca="1" si="699"/>
        <v>0</v>
      </c>
    </row>
    <row r="3149" spans="1:41">
      <c r="A3149" s="189">
        <v>11163</v>
      </c>
      <c r="B3149" s="190">
        <v>5</v>
      </c>
      <c r="C3149" s="191" t="s">
        <v>235</v>
      </c>
      <c r="D3149" s="192">
        <f t="shared" si="686"/>
        <v>0</v>
      </c>
      <c r="E3149" s="192">
        <f t="shared" si="687"/>
        <v>0</v>
      </c>
      <c r="F3149" s="192">
        <f t="shared" si="688"/>
        <v>0</v>
      </c>
      <c r="G3149" s="193">
        <f t="shared" si="689"/>
        <v>0</v>
      </c>
      <c r="H3149" s="194">
        <v>0</v>
      </c>
      <c r="I3149" s="194">
        <v>0</v>
      </c>
      <c r="J3149" s="194">
        <v>0</v>
      </c>
      <c r="K3149" s="193">
        <f t="shared" si="690"/>
        <v>0</v>
      </c>
      <c r="L3149" s="194">
        <v>0</v>
      </c>
      <c r="M3149" s="194">
        <v>0</v>
      </c>
      <c r="N3149" s="194">
        <v>0</v>
      </c>
      <c r="O3149" s="193">
        <f t="shared" si="691"/>
        <v>0</v>
      </c>
      <c r="P3149" s="194">
        <v>0</v>
      </c>
      <c r="Q3149" s="194">
        <v>0</v>
      </c>
      <c r="R3149" s="194">
        <v>0</v>
      </c>
      <c r="S3149" s="193">
        <f t="shared" si="692"/>
        <v>0</v>
      </c>
      <c r="T3149" s="193">
        <f t="shared" si="693"/>
        <v>0</v>
      </c>
      <c r="U3149" s="193">
        <f ca="1">OFFSET('Expenditure Study'!$B$7,'Operations Support'!$C3149,'Operations Support'!$B3149)*$G3149</f>
        <v>0</v>
      </c>
      <c r="V3149" s="199">
        <f ca="1">U3149*'Expenditure Study'!$B$31</f>
        <v>0</v>
      </c>
      <c r="W3149" s="199">
        <f ca="1">IF(A3149=10298,1.51,1)*IF($B3149&lt;3,$D3149*'Expenditure Study'!$B$32*OFFSET('Expenditure Study'!$B$7,'Operations Support'!$C3149,'Operations Support'!$B3149),0)</f>
        <v>0</v>
      </c>
      <c r="X3149" s="200">
        <f ca="1">W3149*'Expenditure Study'!$B$31</f>
        <v>0</v>
      </c>
      <c r="Y3149" s="199">
        <f ca="1">U3149*'Expenditure Study'!$B$31</f>
        <v>0</v>
      </c>
      <c r="Z3149" s="200">
        <f ca="1">W3149*'Expenditure Study'!$B$31</f>
        <v>0</v>
      </c>
      <c r="AA3149" s="195">
        <f t="shared" ca="1" si="694"/>
        <v>0</v>
      </c>
      <c r="AB3149" s="195">
        <f t="shared" ca="1" si="695"/>
        <v>0</v>
      </c>
      <c r="AD3149" s="196">
        <f>IFERROR($G3149/SUMIF($A:$A,$A3149,$G:$G)*SUMIF(Summary!$A$166:$A$242,$A3149,Summary!$P$166:$P$242),0)</f>
        <v>0</v>
      </c>
      <c r="AE3149" s="197">
        <f t="shared" ca="1" si="696"/>
        <v>0</v>
      </c>
      <c r="AF3149" s="196">
        <f>IFERROR(G3149/SUMIF(A:A,A3149,G:G)*SUMIF(Summary!$A$166:$A$242,'Operations Support'!A3149,Summary!$Q$166:$Q$242),0)</f>
        <v>0</v>
      </c>
      <c r="AG3149" s="196">
        <f t="shared" ca="1" si="697"/>
        <v>0</v>
      </c>
      <c r="AI3149" s="196">
        <f>IFERROR($G3149/SUMIF($A:$A,$A3149,$G:$G)*SUMIF(Summary!$A$247:$A$283,$A3149,Summary!$P$247:$P$283),0)</f>
        <v>0</v>
      </c>
      <c r="AJ3149" s="196">
        <f>IFERROR($G3149/SUMIF($A:$A,$A3149,$G:$G)*(SUMIF(Summary!$A$247:$A$283,$A3149,Summary!$L$247:$L$283)+SUMIF(Summary!$A$297:$A$333,$A3149,Summary!$L$297:$L$333))-AI3149,0)</f>
        <v>0</v>
      </c>
      <c r="AK3149" s="196">
        <f>IFERROR($G3149/SUMIF($A:$A,$A3149,$G:$G)*SUMIF(Summary!$A$247:$A$283,$A3149,Summary!$Q$247:$Q$283),0)</f>
        <v>0</v>
      </c>
      <c r="AL3149" s="196">
        <f>IFERROR($G3149/SUMIF($A:$A,$A3149,$G:$G)*(SUMIF(Summary!$A$247:$A$283,$A3149,Summary!$L$247:$L$283)+SUMIF(Summary!$A$297:$A$333,$A3149,Summary!$L$297:$L$333))-AK3149,0)</f>
        <v>0</v>
      </c>
      <c r="AM3149" s="198"/>
      <c r="AN3149" s="196">
        <f t="shared" ca="1" si="698"/>
        <v>0</v>
      </c>
      <c r="AO3149" s="196">
        <f t="shared" ca="1" si="699"/>
        <v>0</v>
      </c>
    </row>
    <row r="3150" spans="1:41">
      <c r="A3150" s="189">
        <v>11163</v>
      </c>
      <c r="B3150" s="190">
        <v>5</v>
      </c>
      <c r="C3150" s="191" t="s">
        <v>236</v>
      </c>
      <c r="D3150" s="192">
        <f t="shared" si="686"/>
        <v>0</v>
      </c>
      <c r="E3150" s="192">
        <f t="shared" si="687"/>
        <v>0</v>
      </c>
      <c r="F3150" s="192">
        <f t="shared" si="688"/>
        <v>0</v>
      </c>
      <c r="G3150" s="193">
        <f t="shared" si="689"/>
        <v>0</v>
      </c>
      <c r="H3150" s="194">
        <v>0</v>
      </c>
      <c r="I3150" s="194">
        <v>0</v>
      </c>
      <c r="J3150" s="194">
        <v>0</v>
      </c>
      <c r="K3150" s="193">
        <f t="shared" si="690"/>
        <v>0</v>
      </c>
      <c r="L3150" s="194">
        <v>0</v>
      </c>
      <c r="M3150" s="194">
        <v>0</v>
      </c>
      <c r="N3150" s="194">
        <v>0</v>
      </c>
      <c r="O3150" s="193">
        <f t="shared" si="691"/>
        <v>0</v>
      </c>
      <c r="P3150" s="194">
        <v>0</v>
      </c>
      <c r="Q3150" s="194">
        <v>0</v>
      </c>
      <c r="R3150" s="194">
        <v>0</v>
      </c>
      <c r="S3150" s="193">
        <f t="shared" si="692"/>
        <v>0</v>
      </c>
      <c r="T3150" s="193">
        <f t="shared" si="693"/>
        <v>0</v>
      </c>
      <c r="U3150" s="193">
        <f ca="1">OFFSET('Expenditure Study'!$B$7,'Operations Support'!$C3150,'Operations Support'!$B3150)*$G3150</f>
        <v>0</v>
      </c>
      <c r="V3150" s="199">
        <f ca="1">U3150*'Expenditure Study'!$B$31</f>
        <v>0</v>
      </c>
      <c r="W3150" s="199">
        <f ca="1">IF(A3150=10298,1.51,1)*IF($B3150&lt;3,$D3150*'Expenditure Study'!$B$32*OFFSET('Expenditure Study'!$B$7,'Operations Support'!$C3150,'Operations Support'!$B3150),0)</f>
        <v>0</v>
      </c>
      <c r="X3150" s="200">
        <f ca="1">W3150*'Expenditure Study'!$B$31</f>
        <v>0</v>
      </c>
      <c r="Y3150" s="199">
        <f ca="1">U3150*'Expenditure Study'!$B$31</f>
        <v>0</v>
      </c>
      <c r="Z3150" s="200">
        <f ca="1">W3150*'Expenditure Study'!$B$31</f>
        <v>0</v>
      </c>
      <c r="AA3150" s="195">
        <f t="shared" ca="1" si="694"/>
        <v>0</v>
      </c>
      <c r="AB3150" s="195">
        <f t="shared" ca="1" si="695"/>
        <v>0</v>
      </c>
      <c r="AD3150" s="196">
        <f>IFERROR($G3150/SUMIF($A:$A,$A3150,$G:$G)*SUMIF(Summary!$A$166:$A$242,$A3150,Summary!$P$166:$P$242),0)</f>
        <v>0</v>
      </c>
      <c r="AE3150" s="197">
        <f t="shared" ca="1" si="696"/>
        <v>0</v>
      </c>
      <c r="AF3150" s="196">
        <f>IFERROR(G3150/SUMIF(A:A,A3150,G:G)*SUMIF(Summary!$A$166:$A$242,'Operations Support'!A3150,Summary!$Q$166:$Q$242),0)</f>
        <v>0</v>
      </c>
      <c r="AG3150" s="196">
        <f t="shared" ca="1" si="697"/>
        <v>0</v>
      </c>
      <c r="AI3150" s="196">
        <f>IFERROR($G3150/SUMIF($A:$A,$A3150,$G:$G)*SUMIF(Summary!$A$247:$A$283,$A3150,Summary!$P$247:$P$283),0)</f>
        <v>0</v>
      </c>
      <c r="AJ3150" s="196">
        <f>IFERROR($G3150/SUMIF($A:$A,$A3150,$G:$G)*(SUMIF(Summary!$A$247:$A$283,$A3150,Summary!$L$247:$L$283)+SUMIF(Summary!$A$297:$A$333,$A3150,Summary!$L$297:$L$333))-AI3150,0)</f>
        <v>0</v>
      </c>
      <c r="AK3150" s="196">
        <f>IFERROR($G3150/SUMIF($A:$A,$A3150,$G:$G)*SUMIF(Summary!$A$247:$A$283,$A3150,Summary!$Q$247:$Q$283),0)</f>
        <v>0</v>
      </c>
      <c r="AL3150" s="196">
        <f>IFERROR($G3150/SUMIF($A:$A,$A3150,$G:$G)*(SUMIF(Summary!$A$247:$A$283,$A3150,Summary!$L$247:$L$283)+SUMIF(Summary!$A$297:$A$333,$A3150,Summary!$L$297:$L$333))-AK3150,0)</f>
        <v>0</v>
      </c>
      <c r="AM3150" s="198"/>
      <c r="AN3150" s="196">
        <f t="shared" ca="1" si="698"/>
        <v>0</v>
      </c>
      <c r="AO3150" s="196">
        <f t="shared" ca="1" si="699"/>
        <v>0</v>
      </c>
    </row>
    <row r="3151" spans="1:41">
      <c r="A3151" s="189">
        <v>11163</v>
      </c>
      <c r="B3151" s="190">
        <v>5</v>
      </c>
      <c r="C3151" s="191" t="s">
        <v>237</v>
      </c>
      <c r="D3151" s="192">
        <f t="shared" si="686"/>
        <v>0</v>
      </c>
      <c r="E3151" s="192">
        <f t="shared" si="687"/>
        <v>0</v>
      </c>
      <c r="F3151" s="192">
        <f t="shared" si="688"/>
        <v>0</v>
      </c>
      <c r="G3151" s="193">
        <f t="shared" si="689"/>
        <v>0</v>
      </c>
      <c r="H3151" s="194">
        <v>0</v>
      </c>
      <c r="I3151" s="194">
        <v>0</v>
      </c>
      <c r="J3151" s="194">
        <v>0</v>
      </c>
      <c r="K3151" s="193">
        <f t="shared" si="690"/>
        <v>0</v>
      </c>
      <c r="L3151" s="194">
        <v>0</v>
      </c>
      <c r="M3151" s="194">
        <v>0</v>
      </c>
      <c r="N3151" s="194">
        <v>0</v>
      </c>
      <c r="O3151" s="193">
        <f t="shared" si="691"/>
        <v>0</v>
      </c>
      <c r="P3151" s="194">
        <v>0</v>
      </c>
      <c r="Q3151" s="194">
        <v>0</v>
      </c>
      <c r="R3151" s="194">
        <v>0</v>
      </c>
      <c r="S3151" s="193">
        <f t="shared" si="692"/>
        <v>0</v>
      </c>
      <c r="T3151" s="193">
        <f t="shared" si="693"/>
        <v>0</v>
      </c>
      <c r="U3151" s="193">
        <f ca="1">OFFSET('Expenditure Study'!$B$7,'Operations Support'!$C3151,'Operations Support'!$B3151)*$G3151</f>
        <v>0</v>
      </c>
      <c r="V3151" s="199">
        <f ca="1">U3151*'Expenditure Study'!$B$31</f>
        <v>0</v>
      </c>
      <c r="W3151" s="199">
        <f ca="1">IF(A3151=10298,1.51,1)*IF($B3151&lt;3,$D3151*'Expenditure Study'!$B$32*OFFSET('Expenditure Study'!$B$7,'Operations Support'!$C3151,'Operations Support'!$B3151),0)</f>
        <v>0</v>
      </c>
      <c r="X3151" s="200">
        <f ca="1">W3151*'Expenditure Study'!$B$31</f>
        <v>0</v>
      </c>
      <c r="Y3151" s="199">
        <f ca="1">U3151*'Expenditure Study'!$B$31</f>
        <v>0</v>
      </c>
      <c r="Z3151" s="200">
        <f ca="1">W3151*'Expenditure Study'!$B$31</f>
        <v>0</v>
      </c>
      <c r="AA3151" s="195">
        <f t="shared" ca="1" si="694"/>
        <v>0</v>
      </c>
      <c r="AB3151" s="195">
        <f t="shared" ca="1" si="695"/>
        <v>0</v>
      </c>
      <c r="AD3151" s="196">
        <f>IFERROR($G3151/SUMIF($A:$A,$A3151,$G:$G)*SUMIF(Summary!$A$166:$A$242,$A3151,Summary!$P$166:$P$242),0)</f>
        <v>0</v>
      </c>
      <c r="AE3151" s="197">
        <f t="shared" ca="1" si="696"/>
        <v>0</v>
      </c>
      <c r="AF3151" s="196">
        <f>IFERROR(G3151/SUMIF(A:A,A3151,G:G)*SUMIF(Summary!$A$166:$A$242,'Operations Support'!A3151,Summary!$Q$166:$Q$242),0)</f>
        <v>0</v>
      </c>
      <c r="AG3151" s="196">
        <f t="shared" ca="1" si="697"/>
        <v>0</v>
      </c>
      <c r="AI3151" s="196">
        <f>IFERROR($G3151/SUMIF($A:$A,$A3151,$G:$G)*SUMIF(Summary!$A$247:$A$283,$A3151,Summary!$P$247:$P$283),0)</f>
        <v>0</v>
      </c>
      <c r="AJ3151" s="196">
        <f>IFERROR($G3151/SUMIF($A:$A,$A3151,$G:$G)*(SUMIF(Summary!$A$247:$A$283,$A3151,Summary!$L$247:$L$283)+SUMIF(Summary!$A$297:$A$333,$A3151,Summary!$L$297:$L$333))-AI3151,0)</f>
        <v>0</v>
      </c>
      <c r="AK3151" s="196">
        <f>IFERROR($G3151/SUMIF($A:$A,$A3151,$G:$G)*SUMIF(Summary!$A$247:$A$283,$A3151,Summary!$Q$247:$Q$283),0)</f>
        <v>0</v>
      </c>
      <c r="AL3151" s="196">
        <f>IFERROR($G3151/SUMIF($A:$A,$A3151,$G:$G)*(SUMIF(Summary!$A$247:$A$283,$A3151,Summary!$L$247:$L$283)+SUMIF(Summary!$A$297:$A$333,$A3151,Summary!$L$297:$L$333))-AK3151,0)</f>
        <v>0</v>
      </c>
      <c r="AM3151" s="198"/>
      <c r="AN3151" s="196">
        <f t="shared" ca="1" si="698"/>
        <v>0</v>
      </c>
      <c r="AO3151" s="196">
        <f t="shared" ca="1" si="699"/>
        <v>0</v>
      </c>
    </row>
    <row r="3152" spans="1:41">
      <c r="A3152" s="189">
        <v>11163</v>
      </c>
      <c r="B3152" s="190">
        <v>5</v>
      </c>
      <c r="C3152" s="191" t="s">
        <v>238</v>
      </c>
      <c r="D3152" s="192">
        <f t="shared" si="686"/>
        <v>0</v>
      </c>
      <c r="E3152" s="192">
        <f t="shared" si="687"/>
        <v>0</v>
      </c>
      <c r="F3152" s="192">
        <f t="shared" si="688"/>
        <v>0</v>
      </c>
      <c r="G3152" s="193">
        <f t="shared" si="689"/>
        <v>0</v>
      </c>
      <c r="H3152" s="194">
        <v>0</v>
      </c>
      <c r="I3152" s="194">
        <v>0</v>
      </c>
      <c r="J3152" s="194">
        <v>0</v>
      </c>
      <c r="K3152" s="193">
        <f t="shared" si="690"/>
        <v>0</v>
      </c>
      <c r="L3152" s="194">
        <v>0</v>
      </c>
      <c r="M3152" s="194">
        <v>0</v>
      </c>
      <c r="N3152" s="194">
        <v>0</v>
      </c>
      <c r="O3152" s="193">
        <f t="shared" si="691"/>
        <v>0</v>
      </c>
      <c r="P3152" s="194">
        <v>0</v>
      </c>
      <c r="Q3152" s="194">
        <v>0</v>
      </c>
      <c r="R3152" s="194">
        <v>0</v>
      </c>
      <c r="S3152" s="193">
        <f t="shared" si="692"/>
        <v>0</v>
      </c>
      <c r="T3152" s="193">
        <f t="shared" si="693"/>
        <v>0</v>
      </c>
      <c r="U3152" s="193">
        <f ca="1">OFFSET('Expenditure Study'!$B$7,'Operations Support'!$C3152,'Operations Support'!$B3152)*$G3152</f>
        <v>0</v>
      </c>
      <c r="V3152" s="199">
        <f ca="1">U3152*'Expenditure Study'!$B$31</f>
        <v>0</v>
      </c>
      <c r="W3152" s="199">
        <f ca="1">IF(A3152=10298,1.51,1)*IF($B3152&lt;3,$D3152*'Expenditure Study'!$B$32*OFFSET('Expenditure Study'!$B$7,'Operations Support'!$C3152,'Operations Support'!$B3152),0)</f>
        <v>0</v>
      </c>
      <c r="X3152" s="200">
        <f ca="1">W3152*'Expenditure Study'!$B$31</f>
        <v>0</v>
      </c>
      <c r="Y3152" s="199">
        <f ca="1">U3152*'Expenditure Study'!$B$31</f>
        <v>0</v>
      </c>
      <c r="Z3152" s="200">
        <f ca="1">W3152*'Expenditure Study'!$B$31</f>
        <v>0</v>
      </c>
      <c r="AA3152" s="195">
        <f t="shared" ca="1" si="694"/>
        <v>0</v>
      </c>
      <c r="AB3152" s="195">
        <f t="shared" ca="1" si="695"/>
        <v>0</v>
      </c>
      <c r="AD3152" s="196">
        <f>IFERROR($G3152/SUMIF($A:$A,$A3152,$G:$G)*SUMIF(Summary!$A$166:$A$242,$A3152,Summary!$P$166:$P$242),0)</f>
        <v>0</v>
      </c>
      <c r="AE3152" s="197">
        <f t="shared" ca="1" si="696"/>
        <v>0</v>
      </c>
      <c r="AF3152" s="196">
        <f>IFERROR(G3152/SUMIF(A:A,A3152,G:G)*SUMIF(Summary!$A$166:$A$242,'Operations Support'!A3152,Summary!$Q$166:$Q$242),0)</f>
        <v>0</v>
      </c>
      <c r="AG3152" s="196">
        <f t="shared" ca="1" si="697"/>
        <v>0</v>
      </c>
      <c r="AI3152" s="196">
        <f>IFERROR($G3152/SUMIF($A:$A,$A3152,$G:$G)*SUMIF(Summary!$A$247:$A$283,$A3152,Summary!$P$247:$P$283),0)</f>
        <v>0</v>
      </c>
      <c r="AJ3152" s="196">
        <f>IFERROR($G3152/SUMIF($A:$A,$A3152,$G:$G)*(SUMIF(Summary!$A$247:$A$283,$A3152,Summary!$L$247:$L$283)+SUMIF(Summary!$A$297:$A$333,$A3152,Summary!$L$297:$L$333))-AI3152,0)</f>
        <v>0</v>
      </c>
      <c r="AK3152" s="196">
        <f>IFERROR($G3152/SUMIF($A:$A,$A3152,$G:$G)*SUMIF(Summary!$A$247:$A$283,$A3152,Summary!$Q$247:$Q$283),0)</f>
        <v>0</v>
      </c>
      <c r="AL3152" s="196">
        <f>IFERROR($G3152/SUMIF($A:$A,$A3152,$G:$G)*(SUMIF(Summary!$A$247:$A$283,$A3152,Summary!$L$247:$L$283)+SUMIF(Summary!$A$297:$A$333,$A3152,Summary!$L$297:$L$333))-AK3152,0)</f>
        <v>0</v>
      </c>
      <c r="AM3152" s="198"/>
      <c r="AN3152" s="196">
        <f t="shared" ca="1" si="698"/>
        <v>0</v>
      </c>
      <c r="AO3152" s="196">
        <f t="shared" ca="1" si="699"/>
        <v>0</v>
      </c>
    </row>
    <row r="3153" spans="1:41">
      <c r="A3153" s="189">
        <v>11163</v>
      </c>
      <c r="B3153" s="190">
        <v>5</v>
      </c>
      <c r="C3153" s="191" t="s">
        <v>239</v>
      </c>
      <c r="D3153" s="192">
        <f t="shared" si="686"/>
        <v>0</v>
      </c>
      <c r="E3153" s="192">
        <f t="shared" si="687"/>
        <v>0</v>
      </c>
      <c r="F3153" s="192">
        <f t="shared" si="688"/>
        <v>0</v>
      </c>
      <c r="G3153" s="193">
        <f t="shared" si="689"/>
        <v>0</v>
      </c>
      <c r="H3153" s="194">
        <v>0</v>
      </c>
      <c r="I3153" s="194">
        <v>0</v>
      </c>
      <c r="J3153" s="194">
        <v>0</v>
      </c>
      <c r="K3153" s="193">
        <f t="shared" si="690"/>
        <v>0</v>
      </c>
      <c r="L3153" s="194">
        <v>0</v>
      </c>
      <c r="M3153" s="194">
        <v>0</v>
      </c>
      <c r="N3153" s="194">
        <v>0</v>
      </c>
      <c r="O3153" s="193">
        <f t="shared" si="691"/>
        <v>0</v>
      </c>
      <c r="P3153" s="194">
        <v>0</v>
      </c>
      <c r="Q3153" s="194">
        <v>0</v>
      </c>
      <c r="R3153" s="194">
        <v>0</v>
      </c>
      <c r="S3153" s="193">
        <f t="shared" si="692"/>
        <v>0</v>
      </c>
      <c r="T3153" s="193">
        <f t="shared" si="693"/>
        <v>0</v>
      </c>
      <c r="U3153" s="193">
        <f ca="1">OFFSET('Expenditure Study'!$B$7,'Operations Support'!$C3153,'Operations Support'!$B3153)*$G3153</f>
        <v>0</v>
      </c>
      <c r="V3153" s="199">
        <f ca="1">U3153*'Expenditure Study'!$B$31</f>
        <v>0</v>
      </c>
      <c r="W3153" s="199">
        <f ca="1">IF(A3153=10298,1.51,1)*IF($B3153&lt;3,$D3153*'Expenditure Study'!$B$32*OFFSET('Expenditure Study'!$B$7,'Operations Support'!$C3153,'Operations Support'!$B3153),0)</f>
        <v>0</v>
      </c>
      <c r="X3153" s="200">
        <f ca="1">W3153*'Expenditure Study'!$B$31</f>
        <v>0</v>
      </c>
      <c r="Y3153" s="199">
        <f ca="1">U3153*'Expenditure Study'!$B$31</f>
        <v>0</v>
      </c>
      <c r="Z3153" s="200">
        <f ca="1">W3153*'Expenditure Study'!$B$31</f>
        <v>0</v>
      </c>
      <c r="AA3153" s="195">
        <f t="shared" ca="1" si="694"/>
        <v>0</v>
      </c>
      <c r="AB3153" s="195">
        <f t="shared" ca="1" si="695"/>
        <v>0</v>
      </c>
      <c r="AD3153" s="196">
        <f>IFERROR($G3153/SUMIF($A:$A,$A3153,$G:$G)*SUMIF(Summary!$A$166:$A$242,$A3153,Summary!$P$166:$P$242),0)</f>
        <v>0</v>
      </c>
      <c r="AE3153" s="197">
        <f t="shared" ca="1" si="696"/>
        <v>0</v>
      </c>
      <c r="AF3153" s="196">
        <f>IFERROR(G3153/SUMIF(A:A,A3153,G:G)*SUMIF(Summary!$A$166:$A$242,'Operations Support'!A3153,Summary!$Q$166:$Q$242),0)</f>
        <v>0</v>
      </c>
      <c r="AG3153" s="196">
        <f t="shared" ca="1" si="697"/>
        <v>0</v>
      </c>
      <c r="AI3153" s="196">
        <f>IFERROR($G3153/SUMIF($A:$A,$A3153,$G:$G)*SUMIF(Summary!$A$247:$A$283,$A3153,Summary!$P$247:$P$283),0)</f>
        <v>0</v>
      </c>
      <c r="AJ3153" s="196">
        <f>IFERROR($G3153/SUMIF($A:$A,$A3153,$G:$G)*(SUMIF(Summary!$A$247:$A$283,$A3153,Summary!$L$247:$L$283)+SUMIF(Summary!$A$297:$A$333,$A3153,Summary!$L$297:$L$333))-AI3153,0)</f>
        <v>0</v>
      </c>
      <c r="AK3153" s="196">
        <f>IFERROR($G3153/SUMIF($A:$A,$A3153,$G:$G)*SUMIF(Summary!$A$247:$A$283,$A3153,Summary!$Q$247:$Q$283),0)</f>
        <v>0</v>
      </c>
      <c r="AL3153" s="196">
        <f>IFERROR($G3153/SUMIF($A:$A,$A3153,$G:$G)*(SUMIF(Summary!$A$247:$A$283,$A3153,Summary!$L$247:$L$283)+SUMIF(Summary!$A$297:$A$333,$A3153,Summary!$L$297:$L$333))-AK3153,0)</f>
        <v>0</v>
      </c>
      <c r="AM3153" s="198"/>
      <c r="AN3153" s="196">
        <f t="shared" ca="1" si="698"/>
        <v>0</v>
      </c>
      <c r="AO3153" s="196">
        <f t="shared" ca="1" si="699"/>
        <v>0</v>
      </c>
    </row>
    <row r="3154" spans="1:41">
      <c r="A3154" s="189">
        <v>11163</v>
      </c>
      <c r="B3154" s="190">
        <v>5</v>
      </c>
      <c r="C3154" s="191" t="s">
        <v>240</v>
      </c>
      <c r="D3154" s="192">
        <f t="shared" si="686"/>
        <v>0</v>
      </c>
      <c r="E3154" s="192">
        <f t="shared" si="687"/>
        <v>0</v>
      </c>
      <c r="F3154" s="192">
        <f t="shared" si="688"/>
        <v>0</v>
      </c>
      <c r="G3154" s="193">
        <f t="shared" si="689"/>
        <v>0</v>
      </c>
      <c r="H3154" s="194">
        <v>0</v>
      </c>
      <c r="I3154" s="194">
        <v>0</v>
      </c>
      <c r="J3154" s="194">
        <v>0</v>
      </c>
      <c r="K3154" s="193">
        <f t="shared" si="690"/>
        <v>0</v>
      </c>
      <c r="L3154" s="194">
        <v>0</v>
      </c>
      <c r="M3154" s="194">
        <v>0</v>
      </c>
      <c r="N3154" s="194">
        <v>0</v>
      </c>
      <c r="O3154" s="193">
        <f t="shared" si="691"/>
        <v>0</v>
      </c>
      <c r="P3154" s="194">
        <v>0</v>
      </c>
      <c r="Q3154" s="194">
        <v>0</v>
      </c>
      <c r="R3154" s="194">
        <v>0</v>
      </c>
      <c r="S3154" s="193">
        <f t="shared" si="692"/>
        <v>0</v>
      </c>
      <c r="T3154" s="193">
        <f t="shared" si="693"/>
        <v>0</v>
      </c>
      <c r="U3154" s="193">
        <f ca="1">OFFSET('Expenditure Study'!$B$7,'Operations Support'!$C3154,'Operations Support'!$B3154)*$G3154</f>
        <v>0</v>
      </c>
      <c r="V3154" s="199">
        <f ca="1">U3154*'Expenditure Study'!$B$31</f>
        <v>0</v>
      </c>
      <c r="W3154" s="199">
        <f ca="1">IF(A3154=10298,1.51,1)*IF($B3154&lt;3,$D3154*'Expenditure Study'!$B$32*OFFSET('Expenditure Study'!$B$7,'Operations Support'!$C3154,'Operations Support'!$B3154),0)</f>
        <v>0</v>
      </c>
      <c r="X3154" s="200">
        <f ca="1">W3154*'Expenditure Study'!$B$31</f>
        <v>0</v>
      </c>
      <c r="Y3154" s="199">
        <f ca="1">U3154*'Expenditure Study'!$B$31</f>
        <v>0</v>
      </c>
      <c r="Z3154" s="200">
        <f ca="1">W3154*'Expenditure Study'!$B$31</f>
        <v>0</v>
      </c>
      <c r="AA3154" s="195">
        <f t="shared" ca="1" si="694"/>
        <v>0</v>
      </c>
      <c r="AB3154" s="195">
        <f t="shared" ca="1" si="695"/>
        <v>0</v>
      </c>
      <c r="AD3154" s="196">
        <f>IFERROR($G3154/SUMIF($A:$A,$A3154,$G:$G)*SUMIF(Summary!$A$166:$A$242,$A3154,Summary!$P$166:$P$242),0)</f>
        <v>0</v>
      </c>
      <c r="AE3154" s="197">
        <f t="shared" ca="1" si="696"/>
        <v>0</v>
      </c>
      <c r="AF3154" s="196">
        <f>IFERROR(G3154/SUMIF(A:A,A3154,G:G)*SUMIF(Summary!$A$166:$A$242,'Operations Support'!A3154,Summary!$Q$166:$Q$242),0)</f>
        <v>0</v>
      </c>
      <c r="AG3154" s="196">
        <f t="shared" ca="1" si="697"/>
        <v>0</v>
      </c>
      <c r="AI3154" s="196">
        <f>IFERROR($G3154/SUMIF($A:$A,$A3154,$G:$G)*SUMIF(Summary!$A$247:$A$283,$A3154,Summary!$P$247:$P$283),0)</f>
        <v>0</v>
      </c>
      <c r="AJ3154" s="196">
        <f>IFERROR($G3154/SUMIF($A:$A,$A3154,$G:$G)*(SUMIF(Summary!$A$247:$A$283,$A3154,Summary!$L$247:$L$283)+SUMIF(Summary!$A$297:$A$333,$A3154,Summary!$L$297:$L$333))-AI3154,0)</f>
        <v>0</v>
      </c>
      <c r="AK3154" s="196">
        <f>IFERROR($G3154/SUMIF($A:$A,$A3154,$G:$G)*SUMIF(Summary!$A$247:$A$283,$A3154,Summary!$Q$247:$Q$283),0)</f>
        <v>0</v>
      </c>
      <c r="AL3154" s="196">
        <f>IFERROR($G3154/SUMIF($A:$A,$A3154,$G:$G)*(SUMIF(Summary!$A$247:$A$283,$A3154,Summary!$L$247:$L$283)+SUMIF(Summary!$A$297:$A$333,$A3154,Summary!$L$297:$L$333))-AK3154,0)</f>
        <v>0</v>
      </c>
      <c r="AM3154" s="198"/>
      <c r="AN3154" s="196">
        <f t="shared" ca="1" si="698"/>
        <v>0</v>
      </c>
      <c r="AO3154" s="196">
        <f t="shared" ca="1" si="699"/>
        <v>0</v>
      </c>
    </row>
    <row r="3155" spans="1:41">
      <c r="A3155" s="189">
        <v>11711</v>
      </c>
      <c r="B3155" s="190">
        <v>1</v>
      </c>
      <c r="C3155" s="191" t="s">
        <v>220</v>
      </c>
      <c r="D3155" s="192">
        <f t="shared" si="686"/>
        <v>8626.5</v>
      </c>
      <c r="E3155" s="192">
        <f t="shared" si="687"/>
        <v>11425.5</v>
      </c>
      <c r="F3155" s="192">
        <f t="shared" si="688"/>
        <v>0</v>
      </c>
      <c r="G3155" s="193">
        <f t="shared" si="689"/>
        <v>20052</v>
      </c>
      <c r="H3155" s="194">
        <v>3814</v>
      </c>
      <c r="I3155" s="194">
        <v>4661</v>
      </c>
      <c r="J3155" s="194">
        <v>0</v>
      </c>
      <c r="K3155" s="193">
        <f t="shared" si="690"/>
        <v>8475</v>
      </c>
      <c r="L3155" s="194">
        <v>3944.5</v>
      </c>
      <c r="M3155" s="194">
        <v>6010.5</v>
      </c>
      <c r="N3155" s="194">
        <v>0</v>
      </c>
      <c r="O3155" s="193">
        <f t="shared" si="691"/>
        <v>9955</v>
      </c>
      <c r="P3155" s="194">
        <v>868</v>
      </c>
      <c r="Q3155" s="194">
        <v>754</v>
      </c>
      <c r="R3155" s="194">
        <v>0</v>
      </c>
      <c r="S3155" s="193">
        <f t="shared" si="692"/>
        <v>1622</v>
      </c>
      <c r="T3155" s="193">
        <f t="shared" si="693"/>
        <v>668.4</v>
      </c>
      <c r="U3155" s="193">
        <f ca="1">OFFSET('Expenditure Study'!$B$7,'Operations Support'!$C3155,'Operations Support'!$B3155)*$G3155</f>
        <v>20052</v>
      </c>
      <c r="V3155" s="199">
        <f ca="1">U3155*'Expenditure Study'!$B$31</f>
        <v>1184735.9414015999</v>
      </c>
      <c r="W3155" s="199">
        <f ca="1">IF(A3155=10298,1.51,1)*IF($B3155&lt;3,$D3155*'Expenditure Study'!$B$32*OFFSET('Expenditure Study'!$B$7,'Operations Support'!$C3155,'Operations Support'!$B3155),0)</f>
        <v>862.65000000000009</v>
      </c>
      <c r="X3155" s="200">
        <f ca="1">W3155*'Expenditure Study'!$B$31</f>
        <v>50968.105917120003</v>
      </c>
      <c r="Y3155" s="199">
        <f ca="1">U3155*'Expenditure Study'!$B$31</f>
        <v>1184735.9414015999</v>
      </c>
      <c r="Z3155" s="200">
        <f ca="1">W3155*'Expenditure Study'!$B$31</f>
        <v>50968.105917120003</v>
      </c>
      <c r="AA3155" s="195">
        <f t="shared" ca="1" si="694"/>
        <v>1235704.0473187198</v>
      </c>
      <c r="AB3155" s="195">
        <f t="shared" ca="1" si="695"/>
        <v>1235704.0473187198</v>
      </c>
      <c r="AD3155" s="196">
        <f>IFERROR($G3155/SUMIF($A:$A,$A3155,$G:$G)*SUMIF(Summary!$A$166:$A$242,$A3155,Summary!$P$166:$P$242),0)</f>
        <v>744628.96337582252</v>
      </c>
      <c r="AE3155" s="197">
        <f t="shared" ca="1" si="696"/>
        <v>491075.08394289727</v>
      </c>
      <c r="AF3155" s="196">
        <f>IFERROR(G3155/SUMIF(A:A,A3155,G:G)*SUMIF(Summary!$A$166:$A$242,'Operations Support'!A3155,Summary!$Q$166:$Q$242),0)</f>
        <v>747897.59494377265</v>
      </c>
      <c r="AG3155" s="196">
        <f t="shared" ca="1" si="697"/>
        <v>487806.45237494714</v>
      </c>
      <c r="AI3155" s="196">
        <f>IFERROR($G3155/SUMIF($A:$A,$A3155,$G:$G)*SUMIF(Summary!$A$247:$A$283,$A3155,Summary!$P$247:$P$283),0)</f>
        <v>135801.7409111021</v>
      </c>
      <c r="AJ3155" s="196">
        <f>IFERROR($G3155/SUMIF($A:$A,$A3155,$G:$G)*(SUMIF(Summary!$A$247:$A$283,$A3155,Summary!$L$247:$L$283)+SUMIF(Summary!$A$297:$A$333,$A3155,Summary!$L$297:$L$333))-AI3155,0)</f>
        <v>292963.35614182637</v>
      </c>
      <c r="AK3155" s="196">
        <f>IFERROR($G3155/SUMIF($A:$A,$A3155,$G:$G)*SUMIF(Summary!$A$247:$A$283,$A3155,Summary!$Q$247:$Q$283),0)</f>
        <v>136397.8577413047</v>
      </c>
      <c r="AL3155" s="196">
        <f>IFERROR($G3155/SUMIF($A:$A,$A3155,$G:$G)*(SUMIF(Summary!$A$247:$A$283,$A3155,Summary!$L$247:$L$283)+SUMIF(Summary!$A$297:$A$333,$A3155,Summary!$L$297:$L$333))-AK3155,0)</f>
        <v>292367.23931162374</v>
      </c>
      <c r="AM3155" s="198"/>
      <c r="AN3155" s="196">
        <f t="shared" ca="1" si="698"/>
        <v>784038.44008472364</v>
      </c>
      <c r="AO3155" s="196">
        <f t="shared" ca="1" si="699"/>
        <v>780173.69168657088</v>
      </c>
    </row>
    <row r="3156" spans="1:41" s="201" customFormat="1">
      <c r="A3156" s="189">
        <v>11711</v>
      </c>
      <c r="B3156" s="190">
        <v>1</v>
      </c>
      <c r="C3156" s="191" t="s">
        <v>221</v>
      </c>
      <c r="D3156" s="192">
        <f t="shared" si="686"/>
        <v>3428</v>
      </c>
      <c r="E3156" s="192">
        <f t="shared" si="687"/>
        <v>4884</v>
      </c>
      <c r="F3156" s="192">
        <f t="shared" si="688"/>
        <v>0</v>
      </c>
      <c r="G3156" s="193">
        <f t="shared" si="689"/>
        <v>8312</v>
      </c>
      <c r="H3156" s="194">
        <v>1060</v>
      </c>
      <c r="I3156" s="194">
        <v>2218</v>
      </c>
      <c r="J3156" s="194">
        <v>0</v>
      </c>
      <c r="K3156" s="193">
        <f t="shared" si="690"/>
        <v>3278</v>
      </c>
      <c r="L3156" s="194">
        <v>1854</v>
      </c>
      <c r="M3156" s="194">
        <v>2524</v>
      </c>
      <c r="N3156" s="194">
        <v>0</v>
      </c>
      <c r="O3156" s="193">
        <f t="shared" si="691"/>
        <v>4378</v>
      </c>
      <c r="P3156" s="194">
        <v>514</v>
      </c>
      <c r="Q3156" s="194">
        <v>142</v>
      </c>
      <c r="R3156" s="194">
        <v>0</v>
      </c>
      <c r="S3156" s="193">
        <f t="shared" si="692"/>
        <v>656</v>
      </c>
      <c r="T3156" s="193">
        <f t="shared" si="693"/>
        <v>277.06666666666666</v>
      </c>
      <c r="U3156" s="193">
        <f ca="1">OFFSET('Expenditure Study'!$B$7,'Operations Support'!$C3156,'Operations Support'!$B3156)*$G3156</f>
        <v>11138.08</v>
      </c>
      <c r="V3156" s="199">
        <f ca="1">U3156*'Expenditure Study'!$B$31</f>
        <v>658073.19440486399</v>
      </c>
      <c r="W3156" s="199">
        <f ca="1">IF(A3156=10298,1.51,1)*IF($B3156&lt;3,$D3156*'Expenditure Study'!$B$32*OFFSET('Expenditure Study'!$B$7,'Operations Support'!$C3156,'Operations Support'!$B3156),0)</f>
        <v>459.35200000000003</v>
      </c>
      <c r="X3156" s="200">
        <f ca="1">W3156*'Expenditure Study'!$B$31</f>
        <v>27139.977266841601</v>
      </c>
      <c r="Y3156" s="199">
        <f ca="1">U3156*'Expenditure Study'!$B$31</f>
        <v>658073.19440486399</v>
      </c>
      <c r="Z3156" s="200">
        <f ca="1">W3156*'Expenditure Study'!$B$31</f>
        <v>27139.977266841601</v>
      </c>
      <c r="AA3156" s="195">
        <f t="shared" ca="1" si="694"/>
        <v>685213.17167170555</v>
      </c>
      <c r="AB3156" s="195">
        <f t="shared" ca="1" si="695"/>
        <v>685213.17167170555</v>
      </c>
      <c r="AD3156" s="196">
        <f>IFERROR($G3156/SUMIF($A:$A,$A3156,$G:$G)*SUMIF(Summary!$A$166:$A$242,$A3156,Summary!$P$166:$P$242),0)</f>
        <v>308665.26748353464</v>
      </c>
      <c r="AE3156" s="197">
        <f t="shared" ca="1" si="696"/>
        <v>376547.90418817091</v>
      </c>
      <c r="AF3156" s="196">
        <f>IFERROR(G3156/SUMIF(A:A,A3156,G:G)*SUMIF(Summary!$A$166:$A$242,'Operations Support'!A3156,Summary!$Q$166:$Q$242),0)</f>
        <v>310020.18796991016</v>
      </c>
      <c r="AG3156" s="196">
        <f t="shared" ca="1" si="697"/>
        <v>375192.9837017954</v>
      </c>
      <c r="AH3156" s="180"/>
      <c r="AI3156" s="196">
        <f>IFERROR($G3156/SUMIF($A:$A,$A3156,$G:$G)*SUMIF(Summary!$A$247:$A$283,$A3156,Summary!$P$247:$P$283),0)</f>
        <v>56292.842133107952</v>
      </c>
      <c r="AJ3156" s="196">
        <f>IFERROR($G3156/SUMIF($A:$A,$A3156,$G:$G)*(SUMIF(Summary!$A$247:$A$283,$A3156,Summary!$L$247:$L$283)+SUMIF(Summary!$A$297:$A$333,$A3156,Summary!$L$297:$L$333))-AI3156,0)</f>
        <v>121439.82726166272</v>
      </c>
      <c r="AK3156" s="196">
        <f>IFERROR($G3156/SUMIF($A:$A,$A3156,$G:$G)*SUMIF(Summary!$A$247:$A$283,$A3156,Summary!$Q$247:$Q$283),0)</f>
        <v>56539.945818159016</v>
      </c>
      <c r="AL3156" s="196">
        <f>IFERROR($G3156/SUMIF($A:$A,$A3156,$G:$G)*(SUMIF(Summary!$A$247:$A$283,$A3156,Summary!$L$247:$L$283)+SUMIF(Summary!$A$297:$A$333,$A3156,Summary!$L$297:$L$333))-AK3156,0)</f>
        <v>121192.72357661165</v>
      </c>
      <c r="AM3156" s="198"/>
      <c r="AN3156" s="196">
        <f t="shared" ca="1" si="698"/>
        <v>497987.73144983361</v>
      </c>
      <c r="AO3156" s="196">
        <f t="shared" ca="1" si="699"/>
        <v>496385.70727840706</v>
      </c>
    </row>
    <row r="3157" spans="1:41">
      <c r="A3157" s="189">
        <v>11711</v>
      </c>
      <c r="B3157" s="190">
        <v>1</v>
      </c>
      <c r="C3157" s="191" t="s">
        <v>222</v>
      </c>
      <c r="D3157" s="192">
        <f t="shared" si="686"/>
        <v>903</v>
      </c>
      <c r="E3157" s="192">
        <f t="shared" si="687"/>
        <v>1827</v>
      </c>
      <c r="F3157" s="192">
        <f t="shared" si="688"/>
        <v>0</v>
      </c>
      <c r="G3157" s="193">
        <f t="shared" si="689"/>
        <v>2730</v>
      </c>
      <c r="H3157" s="194">
        <v>369</v>
      </c>
      <c r="I3157" s="194">
        <v>810</v>
      </c>
      <c r="J3157" s="194">
        <v>0</v>
      </c>
      <c r="K3157" s="193">
        <f t="shared" si="690"/>
        <v>1179</v>
      </c>
      <c r="L3157" s="194">
        <v>420</v>
      </c>
      <c r="M3157" s="194">
        <v>888</v>
      </c>
      <c r="N3157" s="194">
        <v>0</v>
      </c>
      <c r="O3157" s="193">
        <f t="shared" si="691"/>
        <v>1308</v>
      </c>
      <c r="P3157" s="194">
        <v>114</v>
      </c>
      <c r="Q3157" s="194">
        <v>129</v>
      </c>
      <c r="R3157" s="194">
        <v>0</v>
      </c>
      <c r="S3157" s="193">
        <f t="shared" si="692"/>
        <v>243</v>
      </c>
      <c r="T3157" s="193">
        <f t="shared" si="693"/>
        <v>91</v>
      </c>
      <c r="U3157" s="193">
        <f ca="1">OFFSET('Expenditure Study'!$B$7,'Operations Support'!$C3157,'Operations Support'!$B3157)*$G3157</f>
        <v>3740.1000000000004</v>
      </c>
      <c r="V3157" s="199">
        <f ca="1">U3157*'Expenditure Study'!$B$31</f>
        <v>220977.00451008003</v>
      </c>
      <c r="W3157" s="199">
        <f ca="1">IF(A3157=10298,1.51,1)*IF($B3157&lt;3,$D3157*'Expenditure Study'!$B$32*OFFSET('Expenditure Study'!$B$7,'Operations Support'!$C3157,'Operations Support'!$B3157),0)</f>
        <v>123.71100000000003</v>
      </c>
      <c r="X3157" s="200">
        <f ca="1">W3157*'Expenditure Study'!$B$31</f>
        <v>7309.2393799488018</v>
      </c>
      <c r="Y3157" s="199">
        <f ca="1">U3157*'Expenditure Study'!$B$31</f>
        <v>220977.00451008003</v>
      </c>
      <c r="Z3157" s="200">
        <f ca="1">W3157*'Expenditure Study'!$B$31</f>
        <v>7309.2393799488018</v>
      </c>
      <c r="AA3157" s="195">
        <f t="shared" ca="1" si="694"/>
        <v>228286.24389002883</v>
      </c>
      <c r="AB3157" s="195">
        <f t="shared" ca="1" si="695"/>
        <v>228286.24389002883</v>
      </c>
      <c r="AD3157" s="196">
        <f>IFERROR($G3157/SUMIF($A:$A,$A3157,$G:$G)*SUMIF(Summary!$A$166:$A$242,$A3157,Summary!$P$166:$P$242),0)</f>
        <v>101378.26999880289</v>
      </c>
      <c r="AE3157" s="197">
        <f t="shared" ca="1" si="696"/>
        <v>126907.97389122593</v>
      </c>
      <c r="AF3157" s="196">
        <f>IFERROR(G3157/SUMIF(A:A,A3157,G:G)*SUMIF(Summary!$A$166:$A$242,'Operations Support'!A3157,Summary!$Q$166:$Q$242),0)</f>
        <v>101823.2811787602</v>
      </c>
      <c r="AG3157" s="196">
        <f t="shared" ca="1" si="697"/>
        <v>126462.96271126863</v>
      </c>
      <c r="AI3157" s="196">
        <f>IFERROR($G3157/SUMIF($A:$A,$A3157,$G:$G)*SUMIF(Summary!$A$247:$A$283,$A3157,Summary!$P$247:$P$283),0)</f>
        <v>18488.866581254177</v>
      </c>
      <c r="AJ3157" s="196">
        <f>IFERROR($G3157/SUMIF($A:$A,$A3157,$G:$G)*(SUMIF(Summary!$A$247:$A$283,$A3157,Summary!$L$247:$L$283)+SUMIF(Summary!$A$297:$A$333,$A3157,Summary!$L$297:$L$333))-AI3157,0)</f>
        <v>39885.795046239073</v>
      </c>
      <c r="AK3157" s="196">
        <f>IFERROR($G3157/SUMIF($A:$A,$A3157,$G:$G)*SUMIF(Summary!$A$247:$A$283,$A3157,Summary!$Q$247:$Q$283),0)</f>
        <v>18570.025515348188</v>
      </c>
      <c r="AL3157" s="196">
        <f>IFERROR($G3157/SUMIF($A:$A,$A3157,$G:$G)*(SUMIF(Summary!$A$247:$A$283,$A3157,Summary!$L$247:$L$283)+SUMIF(Summary!$A$297:$A$333,$A3157,Summary!$L$297:$L$333))-AK3157,0)</f>
        <v>39804.636112145061</v>
      </c>
      <c r="AM3157" s="198"/>
      <c r="AN3157" s="196">
        <f t="shared" ca="1" si="698"/>
        <v>166793.76893746501</v>
      </c>
      <c r="AO3157" s="196">
        <f t="shared" ca="1" si="699"/>
        <v>166267.59882341369</v>
      </c>
    </row>
    <row r="3158" spans="1:41">
      <c r="A3158" s="189">
        <v>11711</v>
      </c>
      <c r="B3158" s="190">
        <v>1</v>
      </c>
      <c r="C3158" s="191" t="s">
        <v>223</v>
      </c>
      <c r="D3158" s="192">
        <f t="shared" si="686"/>
        <v>844</v>
      </c>
      <c r="E3158" s="192">
        <f t="shared" si="687"/>
        <v>1159</v>
      </c>
      <c r="F3158" s="192">
        <f t="shared" si="688"/>
        <v>0</v>
      </c>
      <c r="G3158" s="193">
        <f t="shared" si="689"/>
        <v>2003</v>
      </c>
      <c r="H3158" s="194">
        <v>336</v>
      </c>
      <c r="I3158" s="194">
        <v>517</v>
      </c>
      <c r="J3158" s="194">
        <v>0</v>
      </c>
      <c r="K3158" s="193">
        <f t="shared" si="690"/>
        <v>853</v>
      </c>
      <c r="L3158" s="194">
        <v>364</v>
      </c>
      <c r="M3158" s="194">
        <v>425</v>
      </c>
      <c r="N3158" s="194">
        <v>0</v>
      </c>
      <c r="O3158" s="193">
        <f t="shared" si="691"/>
        <v>789</v>
      </c>
      <c r="P3158" s="194">
        <v>144</v>
      </c>
      <c r="Q3158" s="194">
        <v>217</v>
      </c>
      <c r="R3158" s="194">
        <v>0</v>
      </c>
      <c r="S3158" s="193">
        <f t="shared" si="692"/>
        <v>361</v>
      </c>
      <c r="T3158" s="193">
        <f t="shared" si="693"/>
        <v>66.766666666666666</v>
      </c>
      <c r="U3158" s="193">
        <f ca="1">OFFSET('Expenditure Study'!$B$7,'Operations Support'!$C3158,'Operations Support'!$B3158)*$G3158</f>
        <v>2523.7800000000002</v>
      </c>
      <c r="V3158" s="199">
        <f ca="1">U3158*'Expenditure Study'!$B$31</f>
        <v>149112.950039424</v>
      </c>
      <c r="W3158" s="199">
        <f ca="1">IF(A3158=10298,1.51,1)*IF($B3158&lt;3,$D3158*'Expenditure Study'!$B$32*OFFSET('Expenditure Study'!$B$7,'Operations Support'!$C3158,'Operations Support'!$B3158),0)</f>
        <v>106.34400000000001</v>
      </c>
      <c r="X3158" s="200">
        <f ca="1">W3158*'Expenditure Study'!$B$31</f>
        <v>6283.1417789952002</v>
      </c>
      <c r="Y3158" s="199">
        <f ca="1">U3158*'Expenditure Study'!$B$31</f>
        <v>149112.950039424</v>
      </c>
      <c r="Z3158" s="200">
        <f ca="1">W3158*'Expenditure Study'!$B$31</f>
        <v>6283.1417789952002</v>
      </c>
      <c r="AA3158" s="195">
        <f t="shared" ca="1" si="694"/>
        <v>155396.0918184192</v>
      </c>
      <c r="AB3158" s="195">
        <f t="shared" ca="1" si="695"/>
        <v>155396.0918184192</v>
      </c>
      <c r="AD3158" s="196">
        <f>IFERROR($G3158/SUMIF($A:$A,$A3158,$G:$G)*SUMIF(Summary!$A$166:$A$242,$A3158,Summary!$P$166:$P$242),0)</f>
        <v>74381.199563224247</v>
      </c>
      <c r="AE3158" s="197">
        <f t="shared" ca="1" si="696"/>
        <v>81014.892255194951</v>
      </c>
      <c r="AF3158" s="196">
        <f>IFERROR(G3158/SUMIF(A:A,A3158,G:G)*SUMIF(Summary!$A$166:$A$242,'Operations Support'!A3158,Summary!$Q$166:$Q$242),0)</f>
        <v>74707.70410295116</v>
      </c>
      <c r="AG3158" s="196">
        <f t="shared" ca="1" si="697"/>
        <v>80688.387715468038</v>
      </c>
      <c r="AI3158" s="196">
        <f>IFERROR($G3158/SUMIF($A:$A,$A3158,$G:$G)*SUMIF(Summary!$A$247:$A$283,$A3158,Summary!$P$247:$P$283),0)</f>
        <v>13565.274638187588</v>
      </c>
      <c r="AJ3158" s="196">
        <f>IFERROR($G3158/SUMIF($A:$A,$A3158,$G:$G)*(SUMIF(Summary!$A$247:$A$283,$A3158,Summary!$L$247:$L$283)+SUMIF(Summary!$A$297:$A$333,$A3158,Summary!$L$297:$L$333))-AI3158,0)</f>
        <v>29264.193215244271</v>
      </c>
      <c r="AK3158" s="196">
        <f>IFERROR($G3158/SUMIF($A:$A,$A3158,$G:$G)*SUMIF(Summary!$A$247:$A$283,$A3158,Summary!$Q$247:$Q$283),0)</f>
        <v>13624.820918403817</v>
      </c>
      <c r="AL3158" s="196">
        <f>IFERROR($G3158/SUMIF($A:$A,$A3158,$G:$G)*(SUMIF(Summary!$A$247:$A$283,$A3158,Summary!$L$247:$L$283)+SUMIF(Summary!$A$297:$A$333,$A3158,Summary!$L$297:$L$333))-AK3158,0)</f>
        <v>29204.646935028042</v>
      </c>
      <c r="AM3158" s="198"/>
      <c r="AN3158" s="196">
        <f t="shared" ca="1" si="698"/>
        <v>110279.08547043923</v>
      </c>
      <c r="AO3158" s="196">
        <f t="shared" ca="1" si="699"/>
        <v>109893.03465049608</v>
      </c>
    </row>
    <row r="3159" spans="1:41">
      <c r="A3159" s="189">
        <v>11711</v>
      </c>
      <c r="B3159" s="190">
        <v>1</v>
      </c>
      <c r="C3159" s="191" t="s">
        <v>224</v>
      </c>
      <c r="D3159" s="192">
        <f t="shared" si="686"/>
        <v>0</v>
      </c>
      <c r="E3159" s="192">
        <f t="shared" si="687"/>
        <v>0</v>
      </c>
      <c r="F3159" s="192">
        <f t="shared" si="688"/>
        <v>0</v>
      </c>
      <c r="G3159" s="193">
        <f t="shared" si="689"/>
        <v>0</v>
      </c>
      <c r="H3159" s="194">
        <v>0</v>
      </c>
      <c r="I3159" s="194">
        <v>0</v>
      </c>
      <c r="J3159" s="194">
        <v>0</v>
      </c>
      <c r="K3159" s="193">
        <f t="shared" si="690"/>
        <v>0</v>
      </c>
      <c r="L3159" s="194">
        <v>0</v>
      </c>
      <c r="M3159" s="194">
        <v>0</v>
      </c>
      <c r="N3159" s="194">
        <v>0</v>
      </c>
      <c r="O3159" s="193">
        <f t="shared" si="691"/>
        <v>0</v>
      </c>
      <c r="P3159" s="194">
        <v>0</v>
      </c>
      <c r="Q3159" s="194">
        <v>0</v>
      </c>
      <c r="R3159" s="194">
        <v>0</v>
      </c>
      <c r="S3159" s="193">
        <f t="shared" si="692"/>
        <v>0</v>
      </c>
      <c r="T3159" s="193">
        <f t="shared" si="693"/>
        <v>0</v>
      </c>
      <c r="U3159" s="193">
        <f ca="1">OFFSET('Expenditure Study'!$B$7,'Operations Support'!$C3159,'Operations Support'!$B3159)*$G3159</f>
        <v>0</v>
      </c>
      <c r="V3159" s="199">
        <f ca="1">U3159*'Expenditure Study'!$B$31</f>
        <v>0</v>
      </c>
      <c r="W3159" s="199">
        <f ca="1">IF(A3159=10298,1.51,1)*IF($B3159&lt;3,$D3159*'Expenditure Study'!$B$32*OFFSET('Expenditure Study'!$B$7,'Operations Support'!$C3159,'Operations Support'!$B3159),0)</f>
        <v>0</v>
      </c>
      <c r="X3159" s="200">
        <f ca="1">W3159*'Expenditure Study'!$B$31</f>
        <v>0</v>
      </c>
      <c r="Y3159" s="199">
        <f ca="1">U3159*'Expenditure Study'!$B$31</f>
        <v>0</v>
      </c>
      <c r="Z3159" s="200">
        <f ca="1">W3159*'Expenditure Study'!$B$31</f>
        <v>0</v>
      </c>
      <c r="AA3159" s="195">
        <f t="shared" ca="1" si="694"/>
        <v>0</v>
      </c>
      <c r="AB3159" s="195">
        <f t="shared" ca="1" si="695"/>
        <v>0</v>
      </c>
      <c r="AD3159" s="196">
        <f>IFERROR($G3159/SUMIF($A:$A,$A3159,$G:$G)*SUMIF(Summary!$A$166:$A$242,$A3159,Summary!$P$166:$P$242),0)</f>
        <v>0</v>
      </c>
      <c r="AE3159" s="197">
        <f t="shared" ca="1" si="696"/>
        <v>0</v>
      </c>
      <c r="AF3159" s="196">
        <f>IFERROR(G3159/SUMIF(A:A,A3159,G:G)*SUMIF(Summary!$A$166:$A$242,'Operations Support'!A3159,Summary!$Q$166:$Q$242),0)</f>
        <v>0</v>
      </c>
      <c r="AG3159" s="196">
        <f t="shared" ca="1" si="697"/>
        <v>0</v>
      </c>
      <c r="AI3159" s="196">
        <f>IFERROR($G3159/SUMIF($A:$A,$A3159,$G:$G)*SUMIF(Summary!$A$247:$A$283,$A3159,Summary!$P$247:$P$283),0)</f>
        <v>0</v>
      </c>
      <c r="AJ3159" s="196">
        <f>IFERROR($G3159/SUMIF($A:$A,$A3159,$G:$G)*(SUMIF(Summary!$A$247:$A$283,$A3159,Summary!$L$247:$L$283)+SUMIF(Summary!$A$297:$A$333,$A3159,Summary!$L$297:$L$333))-AI3159,0)</f>
        <v>0</v>
      </c>
      <c r="AK3159" s="196">
        <f>IFERROR($G3159/SUMIF($A:$A,$A3159,$G:$G)*SUMIF(Summary!$A$247:$A$283,$A3159,Summary!$Q$247:$Q$283),0)</f>
        <v>0</v>
      </c>
      <c r="AL3159" s="196">
        <f>IFERROR($G3159/SUMIF($A:$A,$A3159,$G:$G)*(SUMIF(Summary!$A$247:$A$283,$A3159,Summary!$L$247:$L$283)+SUMIF(Summary!$A$297:$A$333,$A3159,Summary!$L$297:$L$333))-AK3159,0)</f>
        <v>0</v>
      </c>
      <c r="AM3159" s="198"/>
      <c r="AN3159" s="196">
        <f t="shared" ca="1" si="698"/>
        <v>0</v>
      </c>
      <c r="AO3159" s="196">
        <f t="shared" ca="1" si="699"/>
        <v>0</v>
      </c>
    </row>
    <row r="3160" spans="1:41">
      <c r="A3160" s="189">
        <v>11711</v>
      </c>
      <c r="B3160" s="190">
        <v>1</v>
      </c>
      <c r="C3160" s="191" t="s">
        <v>225</v>
      </c>
      <c r="D3160" s="192">
        <f t="shared" si="686"/>
        <v>2326</v>
      </c>
      <c r="E3160" s="192">
        <f t="shared" si="687"/>
        <v>2232</v>
      </c>
      <c r="F3160" s="192">
        <f t="shared" si="688"/>
        <v>0</v>
      </c>
      <c r="G3160" s="193">
        <f t="shared" si="689"/>
        <v>4558</v>
      </c>
      <c r="H3160" s="194">
        <v>1079</v>
      </c>
      <c r="I3160" s="194">
        <v>1063</v>
      </c>
      <c r="J3160" s="194">
        <v>0</v>
      </c>
      <c r="K3160" s="193">
        <f t="shared" si="690"/>
        <v>2142</v>
      </c>
      <c r="L3160" s="194">
        <v>1130</v>
      </c>
      <c r="M3160" s="194">
        <v>1106</v>
      </c>
      <c r="N3160" s="194">
        <v>0</v>
      </c>
      <c r="O3160" s="193">
        <f t="shared" si="691"/>
        <v>2236</v>
      </c>
      <c r="P3160" s="194">
        <v>117</v>
      </c>
      <c r="Q3160" s="194">
        <v>63</v>
      </c>
      <c r="R3160" s="194">
        <v>0</v>
      </c>
      <c r="S3160" s="193">
        <f t="shared" si="692"/>
        <v>180</v>
      </c>
      <c r="T3160" s="193">
        <f t="shared" si="693"/>
        <v>151.93333333333334</v>
      </c>
      <c r="U3160" s="193">
        <f ca="1">OFFSET('Expenditure Study'!$B$7,'Operations Support'!$C3160,'Operations Support'!$B3160)*$G3160</f>
        <v>8022.08</v>
      </c>
      <c r="V3160" s="199">
        <f ca="1">U3160*'Expenditure Study'!$B$31</f>
        <v>473970.00303206401</v>
      </c>
      <c r="W3160" s="199">
        <f ca="1">IF(A3160=10298,1.51,1)*IF($B3160&lt;3,$D3160*'Expenditure Study'!$B$32*OFFSET('Expenditure Study'!$B$7,'Operations Support'!$C3160,'Operations Support'!$B3160),0)</f>
        <v>409.37600000000003</v>
      </c>
      <c r="X3160" s="200">
        <f ca="1">W3160*'Expenditure Study'!$B$31</f>
        <v>24187.236223180804</v>
      </c>
      <c r="Y3160" s="199">
        <f ca="1">U3160*'Expenditure Study'!$B$31</f>
        <v>473970.00303206401</v>
      </c>
      <c r="Z3160" s="200">
        <f ca="1">W3160*'Expenditure Study'!$B$31</f>
        <v>24187.236223180804</v>
      </c>
      <c r="AA3160" s="195">
        <f t="shared" ca="1" si="694"/>
        <v>498157.23925524479</v>
      </c>
      <c r="AB3160" s="195">
        <f t="shared" ca="1" si="695"/>
        <v>498157.23925524479</v>
      </c>
      <c r="AD3160" s="196">
        <f>IFERROR($G3160/SUMIF($A:$A,$A3160,$G:$G)*SUMIF(Summary!$A$166:$A$242,$A3160,Summary!$P$166:$P$242),0)</f>
        <v>169260.86251082181</v>
      </c>
      <c r="AE3160" s="197">
        <f t="shared" ca="1" si="696"/>
        <v>328896.37674442295</v>
      </c>
      <c r="AF3160" s="196">
        <f>IFERROR(G3160/SUMIF(A:A,A3160,G:G)*SUMIF(Summary!$A$166:$A$242,'Operations Support'!A3160,Summary!$Q$166:$Q$242),0)</f>
        <v>170003.85187281648</v>
      </c>
      <c r="AG3160" s="196">
        <f t="shared" ca="1" si="697"/>
        <v>328153.38738242828</v>
      </c>
      <c r="AI3160" s="196">
        <f>IFERROR($G3160/SUMIF($A:$A,$A3160,$G:$G)*SUMIF(Summary!$A$247:$A$283,$A3160,Summary!$P$247:$P$283),0)</f>
        <v>30868.957464233165</v>
      </c>
      <c r="AJ3160" s="196">
        <f>IFERROR($G3160/SUMIF($A:$A,$A3160,$G:$G)*(SUMIF(Summary!$A$247:$A$283,$A3160,Summary!$L$247:$L$283)+SUMIF(Summary!$A$297:$A$333,$A3160,Summary!$L$297:$L$333))-AI3160,0)</f>
        <v>66593.206527750066</v>
      </c>
      <c r="AK3160" s="196">
        <f>IFERROR($G3160/SUMIF($A:$A,$A3160,$G:$G)*SUMIF(Summary!$A$247:$A$283,$A3160,Summary!$Q$247:$Q$283),0)</f>
        <v>31004.460182768144</v>
      </c>
      <c r="AL3160" s="196">
        <f>IFERROR($G3160/SUMIF($A:$A,$A3160,$G:$G)*(SUMIF(Summary!$A$247:$A$283,$A3160,Summary!$L$247:$L$283)+SUMIF(Summary!$A$297:$A$333,$A3160,Summary!$L$297:$L$333))-AK3160,0)</f>
        <v>66457.703809215091</v>
      </c>
      <c r="AM3160" s="198"/>
      <c r="AN3160" s="196">
        <f t="shared" ca="1" si="698"/>
        <v>395489.58327217301</v>
      </c>
      <c r="AO3160" s="196">
        <f t="shared" ca="1" si="699"/>
        <v>394611.09119164338</v>
      </c>
    </row>
    <row r="3161" spans="1:41">
      <c r="A3161" s="189">
        <v>11711</v>
      </c>
      <c r="B3161" s="190">
        <v>1</v>
      </c>
      <c r="C3161" s="191" t="s">
        <v>226</v>
      </c>
      <c r="D3161" s="192">
        <f t="shared" si="686"/>
        <v>12</v>
      </c>
      <c r="E3161" s="192">
        <f t="shared" si="687"/>
        <v>0</v>
      </c>
      <c r="F3161" s="192">
        <f t="shared" si="688"/>
        <v>0</v>
      </c>
      <c r="G3161" s="193">
        <f t="shared" si="689"/>
        <v>12</v>
      </c>
      <c r="H3161" s="194">
        <v>12</v>
      </c>
      <c r="I3161" s="194">
        <v>0</v>
      </c>
      <c r="J3161" s="194">
        <v>0</v>
      </c>
      <c r="K3161" s="193">
        <f t="shared" si="690"/>
        <v>12</v>
      </c>
      <c r="L3161" s="194">
        <v>0</v>
      </c>
      <c r="M3161" s="194">
        <v>0</v>
      </c>
      <c r="N3161" s="194">
        <v>0</v>
      </c>
      <c r="O3161" s="193">
        <f t="shared" si="691"/>
        <v>0</v>
      </c>
      <c r="P3161" s="194">
        <v>0</v>
      </c>
      <c r="Q3161" s="194">
        <v>0</v>
      </c>
      <c r="R3161" s="194">
        <v>0</v>
      </c>
      <c r="S3161" s="193">
        <f t="shared" si="692"/>
        <v>0</v>
      </c>
      <c r="T3161" s="193">
        <f t="shared" si="693"/>
        <v>0.4</v>
      </c>
      <c r="U3161" s="193">
        <f ca="1">OFFSET('Expenditure Study'!$B$7,'Operations Support'!$C3161,'Operations Support'!$B3161)*$G3161</f>
        <v>11.399999999999999</v>
      </c>
      <c r="V3161" s="199">
        <f ca="1">U3161*'Expenditure Study'!$B$31</f>
        <v>673.54826111999989</v>
      </c>
      <c r="W3161" s="199">
        <f ca="1">IF(A3161=10298,1.51,1)*IF($B3161&lt;3,$D3161*'Expenditure Study'!$B$32*OFFSET('Expenditure Study'!$B$7,'Operations Support'!$C3161,'Operations Support'!$B3161),0)</f>
        <v>1.1400000000000001</v>
      </c>
      <c r="X3161" s="200">
        <f ca="1">W3161*'Expenditure Study'!$B$31</f>
        <v>67.354826112000012</v>
      </c>
      <c r="Y3161" s="199">
        <f ca="1">U3161*'Expenditure Study'!$B$31</f>
        <v>673.54826111999989</v>
      </c>
      <c r="Z3161" s="200">
        <f ca="1">W3161*'Expenditure Study'!$B$31</f>
        <v>67.354826112000012</v>
      </c>
      <c r="AA3161" s="195">
        <f t="shared" ca="1" si="694"/>
        <v>740.90308723199996</v>
      </c>
      <c r="AB3161" s="195">
        <f t="shared" ca="1" si="695"/>
        <v>740.90308723199996</v>
      </c>
      <c r="AD3161" s="196">
        <f>IFERROR($G3161/SUMIF($A:$A,$A3161,$G:$G)*SUMIF(Summary!$A$166:$A$242,$A3161,Summary!$P$166:$P$242),0)</f>
        <v>445.61876922550721</v>
      </c>
      <c r="AE3161" s="197">
        <f t="shared" ca="1" si="696"/>
        <v>295.28431800649275</v>
      </c>
      <c r="AF3161" s="196">
        <f>IFERROR(G3161/SUMIF(A:A,A3161,G:G)*SUMIF(Summary!$A$166:$A$242,'Operations Support'!A3161,Summary!$Q$166:$Q$242),0)</f>
        <v>447.57486232422065</v>
      </c>
      <c r="AG3161" s="196">
        <f t="shared" ca="1" si="697"/>
        <v>293.32822490777932</v>
      </c>
      <c r="AI3161" s="196">
        <f>IFERROR($G3161/SUMIF($A:$A,$A3161,$G:$G)*SUMIF(Summary!$A$247:$A$283,$A3161,Summary!$P$247:$P$283),0)</f>
        <v>81.269743214304071</v>
      </c>
      <c r="AJ3161" s="196">
        <f>IFERROR($G3161/SUMIF($A:$A,$A3161,$G:$G)*(SUMIF(Summary!$A$247:$A$283,$A3161,Summary!$L$247:$L$283)+SUMIF(Summary!$A$297:$A$333,$A3161,Summary!$L$297:$L$333))-AI3161,0)</f>
        <v>175.32217602742452</v>
      </c>
      <c r="AK3161" s="196">
        <f>IFERROR($G3161/SUMIF($A:$A,$A3161,$G:$G)*SUMIF(Summary!$A$247:$A$283,$A3161,Summary!$Q$247:$Q$283),0)</f>
        <v>81.626485781750276</v>
      </c>
      <c r="AL3161" s="196">
        <f>IFERROR($G3161/SUMIF($A:$A,$A3161,$G:$G)*(SUMIF(Summary!$A$247:$A$283,$A3161,Summary!$L$247:$L$283)+SUMIF(Summary!$A$297:$A$333,$A3161,Summary!$L$297:$L$333))-AK3161,0)</f>
        <v>174.96543345997833</v>
      </c>
      <c r="AM3161" s="198"/>
      <c r="AN3161" s="196">
        <f t="shared" ca="1" si="698"/>
        <v>470.60649403391727</v>
      </c>
      <c r="AO3161" s="196">
        <f t="shared" ca="1" si="699"/>
        <v>468.29365836775764</v>
      </c>
    </row>
    <row r="3162" spans="1:41">
      <c r="A3162" s="189">
        <v>11711</v>
      </c>
      <c r="B3162" s="190">
        <v>1</v>
      </c>
      <c r="C3162" s="191" t="s">
        <v>227</v>
      </c>
      <c r="D3162" s="192">
        <f t="shared" si="686"/>
        <v>0</v>
      </c>
      <c r="E3162" s="192">
        <f t="shared" si="687"/>
        <v>0</v>
      </c>
      <c r="F3162" s="192">
        <f t="shared" si="688"/>
        <v>0</v>
      </c>
      <c r="G3162" s="193">
        <f t="shared" si="689"/>
        <v>0</v>
      </c>
      <c r="H3162" s="194">
        <v>0</v>
      </c>
      <c r="I3162" s="194">
        <v>0</v>
      </c>
      <c r="J3162" s="194">
        <v>0</v>
      </c>
      <c r="K3162" s="193">
        <f t="shared" si="690"/>
        <v>0</v>
      </c>
      <c r="L3162" s="194">
        <v>0</v>
      </c>
      <c r="M3162" s="194">
        <v>0</v>
      </c>
      <c r="N3162" s="194">
        <v>0</v>
      </c>
      <c r="O3162" s="193">
        <f t="shared" si="691"/>
        <v>0</v>
      </c>
      <c r="P3162" s="194">
        <v>0</v>
      </c>
      <c r="Q3162" s="194">
        <v>0</v>
      </c>
      <c r="R3162" s="194">
        <v>0</v>
      </c>
      <c r="S3162" s="193">
        <f t="shared" si="692"/>
        <v>0</v>
      </c>
      <c r="T3162" s="193">
        <f t="shared" si="693"/>
        <v>0</v>
      </c>
      <c r="U3162" s="193">
        <f ca="1">OFFSET('Expenditure Study'!$B$7,'Operations Support'!$C3162,'Operations Support'!$B3162)*$G3162</f>
        <v>0</v>
      </c>
      <c r="V3162" s="199">
        <f ca="1">U3162*'Expenditure Study'!$B$31</f>
        <v>0</v>
      </c>
      <c r="W3162" s="199">
        <f ca="1">IF(A3162=10298,1.51,1)*IF($B3162&lt;3,$D3162*'Expenditure Study'!$B$32*OFFSET('Expenditure Study'!$B$7,'Operations Support'!$C3162,'Operations Support'!$B3162),0)</f>
        <v>0</v>
      </c>
      <c r="X3162" s="200">
        <f ca="1">W3162*'Expenditure Study'!$B$31</f>
        <v>0</v>
      </c>
      <c r="Y3162" s="199">
        <f ca="1">U3162*'Expenditure Study'!$B$31</f>
        <v>0</v>
      </c>
      <c r="Z3162" s="200">
        <f ca="1">W3162*'Expenditure Study'!$B$31</f>
        <v>0</v>
      </c>
      <c r="AA3162" s="195">
        <f t="shared" ca="1" si="694"/>
        <v>0</v>
      </c>
      <c r="AB3162" s="195">
        <f t="shared" ca="1" si="695"/>
        <v>0</v>
      </c>
      <c r="AD3162" s="196">
        <f>IFERROR($G3162/SUMIF($A:$A,$A3162,$G:$G)*SUMIF(Summary!$A$166:$A$242,$A3162,Summary!$P$166:$P$242),0)</f>
        <v>0</v>
      </c>
      <c r="AE3162" s="197">
        <f t="shared" ca="1" si="696"/>
        <v>0</v>
      </c>
      <c r="AF3162" s="196">
        <f>IFERROR(G3162/SUMIF(A:A,A3162,G:G)*SUMIF(Summary!$A$166:$A$242,'Operations Support'!A3162,Summary!$Q$166:$Q$242),0)</f>
        <v>0</v>
      </c>
      <c r="AG3162" s="196">
        <f t="shared" ca="1" si="697"/>
        <v>0</v>
      </c>
      <c r="AI3162" s="196">
        <f>IFERROR($G3162/SUMIF($A:$A,$A3162,$G:$G)*SUMIF(Summary!$A$247:$A$283,$A3162,Summary!$P$247:$P$283),0)</f>
        <v>0</v>
      </c>
      <c r="AJ3162" s="196">
        <f>IFERROR($G3162/SUMIF($A:$A,$A3162,$G:$G)*(SUMIF(Summary!$A$247:$A$283,$A3162,Summary!$L$247:$L$283)+SUMIF(Summary!$A$297:$A$333,$A3162,Summary!$L$297:$L$333))-AI3162,0)</f>
        <v>0</v>
      </c>
      <c r="AK3162" s="196">
        <f>IFERROR($G3162/SUMIF($A:$A,$A3162,$G:$G)*SUMIF(Summary!$A$247:$A$283,$A3162,Summary!$Q$247:$Q$283),0)</f>
        <v>0</v>
      </c>
      <c r="AL3162" s="196">
        <f>IFERROR($G3162/SUMIF($A:$A,$A3162,$G:$G)*(SUMIF(Summary!$A$247:$A$283,$A3162,Summary!$L$247:$L$283)+SUMIF(Summary!$A$297:$A$333,$A3162,Summary!$L$297:$L$333))-AK3162,0)</f>
        <v>0</v>
      </c>
      <c r="AM3162" s="198"/>
      <c r="AN3162" s="196">
        <f t="shared" ca="1" si="698"/>
        <v>0</v>
      </c>
      <c r="AO3162" s="196">
        <f t="shared" ca="1" si="699"/>
        <v>0</v>
      </c>
    </row>
    <row r="3163" spans="1:41">
      <c r="A3163" s="189">
        <v>11711</v>
      </c>
      <c r="B3163" s="190">
        <v>1</v>
      </c>
      <c r="C3163" s="191" t="s">
        <v>228</v>
      </c>
      <c r="D3163" s="192">
        <f t="shared" si="686"/>
        <v>69</v>
      </c>
      <c r="E3163" s="192">
        <f t="shared" si="687"/>
        <v>33</v>
      </c>
      <c r="F3163" s="192">
        <f t="shared" si="688"/>
        <v>0</v>
      </c>
      <c r="G3163" s="193">
        <f t="shared" si="689"/>
        <v>102</v>
      </c>
      <c r="H3163" s="194">
        <v>48</v>
      </c>
      <c r="I3163" s="194">
        <v>15</v>
      </c>
      <c r="J3163" s="194">
        <v>0</v>
      </c>
      <c r="K3163" s="193">
        <f t="shared" si="690"/>
        <v>63</v>
      </c>
      <c r="L3163" s="194">
        <v>21</v>
      </c>
      <c r="M3163" s="194">
        <v>18</v>
      </c>
      <c r="N3163" s="194">
        <v>0</v>
      </c>
      <c r="O3163" s="193">
        <f t="shared" si="691"/>
        <v>39</v>
      </c>
      <c r="P3163" s="194">
        <v>0</v>
      </c>
      <c r="Q3163" s="194">
        <v>0</v>
      </c>
      <c r="R3163" s="194">
        <v>0</v>
      </c>
      <c r="S3163" s="193">
        <f t="shared" si="692"/>
        <v>0</v>
      </c>
      <c r="T3163" s="193">
        <f t="shared" si="693"/>
        <v>3.4</v>
      </c>
      <c r="U3163" s="193">
        <f ca="1">OFFSET('Expenditure Study'!$B$7,'Operations Support'!$C3163,'Operations Support'!$B3163)*$G3163</f>
        <v>161.16</v>
      </c>
      <c r="V3163" s="199">
        <f ca="1">U3163*'Expenditure Study'!$B$31</f>
        <v>9521.845417728</v>
      </c>
      <c r="W3163" s="199">
        <f ca="1">IF(A3163=10298,1.51,1)*IF($B3163&lt;3,$D3163*'Expenditure Study'!$B$32*OFFSET('Expenditure Study'!$B$7,'Operations Support'!$C3163,'Operations Support'!$B3163),0)</f>
        <v>10.902000000000001</v>
      </c>
      <c r="X3163" s="200">
        <f ca="1">W3163*'Expenditure Study'!$B$31</f>
        <v>644.12483708160005</v>
      </c>
      <c r="Y3163" s="199">
        <f ca="1">U3163*'Expenditure Study'!$B$31</f>
        <v>9521.845417728</v>
      </c>
      <c r="Z3163" s="200">
        <f ca="1">W3163*'Expenditure Study'!$B$31</f>
        <v>644.12483708160005</v>
      </c>
      <c r="AA3163" s="195">
        <f t="shared" ca="1" si="694"/>
        <v>10165.970254809599</v>
      </c>
      <c r="AB3163" s="195">
        <f t="shared" ca="1" si="695"/>
        <v>10165.970254809599</v>
      </c>
      <c r="AD3163" s="196">
        <f>IFERROR($G3163/SUMIF($A:$A,$A3163,$G:$G)*SUMIF(Summary!$A$166:$A$242,$A3163,Summary!$P$166:$P$242),0)</f>
        <v>3787.7595384168112</v>
      </c>
      <c r="AE3163" s="197">
        <f t="shared" ca="1" si="696"/>
        <v>6378.2107163927885</v>
      </c>
      <c r="AF3163" s="196">
        <f>IFERROR(G3163/SUMIF(A:A,A3163,G:G)*SUMIF(Summary!$A$166:$A$242,'Operations Support'!A3163,Summary!$Q$166:$Q$242),0)</f>
        <v>3804.3863297558755</v>
      </c>
      <c r="AG3163" s="196">
        <f t="shared" ca="1" si="697"/>
        <v>6361.5839250537238</v>
      </c>
      <c r="AI3163" s="196">
        <f>IFERROR($G3163/SUMIF($A:$A,$A3163,$G:$G)*SUMIF(Summary!$A$247:$A$283,$A3163,Summary!$P$247:$P$283),0)</f>
        <v>690.79281732158472</v>
      </c>
      <c r="AJ3163" s="196">
        <f>IFERROR($G3163/SUMIF($A:$A,$A3163,$G:$G)*(SUMIF(Summary!$A$247:$A$283,$A3163,Summary!$L$247:$L$283)+SUMIF(Summary!$A$297:$A$333,$A3163,Summary!$L$297:$L$333))-AI3163,0)</f>
        <v>1490.2384962331084</v>
      </c>
      <c r="AK3163" s="196">
        <f>IFERROR($G3163/SUMIF($A:$A,$A3163,$G:$G)*SUMIF(Summary!$A$247:$A$283,$A3163,Summary!$Q$247:$Q$283),0)</f>
        <v>693.82512914487734</v>
      </c>
      <c r="AL3163" s="196">
        <f>IFERROR($G3163/SUMIF($A:$A,$A3163,$G:$G)*(SUMIF(Summary!$A$247:$A$283,$A3163,Summary!$L$247:$L$283)+SUMIF(Summary!$A$297:$A$333,$A3163,Summary!$L$297:$L$333))-AK3163,0)</f>
        <v>1487.2061844098157</v>
      </c>
      <c r="AM3163" s="198"/>
      <c r="AN3163" s="196">
        <f t="shared" ca="1" si="698"/>
        <v>7868.4492126258974</v>
      </c>
      <c r="AO3163" s="196">
        <f t="shared" ca="1" si="699"/>
        <v>7848.7901094635399</v>
      </c>
    </row>
    <row r="3164" spans="1:41">
      <c r="A3164" s="189">
        <v>11711</v>
      </c>
      <c r="B3164" s="190">
        <v>1</v>
      </c>
      <c r="C3164" s="191" t="s">
        <v>229</v>
      </c>
      <c r="D3164" s="192">
        <f t="shared" si="686"/>
        <v>0</v>
      </c>
      <c r="E3164" s="192">
        <f t="shared" si="687"/>
        <v>0</v>
      </c>
      <c r="F3164" s="192">
        <f t="shared" si="688"/>
        <v>0</v>
      </c>
      <c r="G3164" s="193">
        <f t="shared" si="689"/>
        <v>0</v>
      </c>
      <c r="H3164" s="194">
        <v>0</v>
      </c>
      <c r="I3164" s="194">
        <v>0</v>
      </c>
      <c r="J3164" s="194">
        <v>0</v>
      </c>
      <c r="K3164" s="193">
        <f t="shared" si="690"/>
        <v>0</v>
      </c>
      <c r="L3164" s="194">
        <v>0</v>
      </c>
      <c r="M3164" s="194">
        <v>0</v>
      </c>
      <c r="N3164" s="194">
        <v>0</v>
      </c>
      <c r="O3164" s="193">
        <f t="shared" si="691"/>
        <v>0</v>
      </c>
      <c r="P3164" s="194">
        <v>0</v>
      </c>
      <c r="Q3164" s="194">
        <v>0</v>
      </c>
      <c r="R3164" s="194">
        <v>0</v>
      </c>
      <c r="S3164" s="193">
        <f t="shared" si="692"/>
        <v>0</v>
      </c>
      <c r="T3164" s="193">
        <f t="shared" si="693"/>
        <v>0</v>
      </c>
      <c r="U3164" s="193">
        <f ca="1">OFFSET('Expenditure Study'!$B$7,'Operations Support'!$C3164,'Operations Support'!$B3164)*$G3164</f>
        <v>0</v>
      </c>
      <c r="V3164" s="199">
        <f ca="1">U3164*'Expenditure Study'!$B$31</f>
        <v>0</v>
      </c>
      <c r="W3164" s="199">
        <f ca="1">IF(A3164=10298,1.51,1)*IF($B3164&lt;3,$D3164*'Expenditure Study'!$B$32*OFFSET('Expenditure Study'!$B$7,'Operations Support'!$C3164,'Operations Support'!$B3164),0)</f>
        <v>0</v>
      </c>
      <c r="X3164" s="200">
        <f ca="1">W3164*'Expenditure Study'!$B$31</f>
        <v>0</v>
      </c>
      <c r="Y3164" s="199">
        <f ca="1">U3164*'Expenditure Study'!$B$31</f>
        <v>0</v>
      </c>
      <c r="Z3164" s="200">
        <f ca="1">W3164*'Expenditure Study'!$B$31</f>
        <v>0</v>
      </c>
      <c r="AA3164" s="195">
        <f t="shared" ca="1" si="694"/>
        <v>0</v>
      </c>
      <c r="AB3164" s="195">
        <f t="shared" ca="1" si="695"/>
        <v>0</v>
      </c>
      <c r="AD3164" s="196">
        <f>IFERROR($G3164/SUMIF($A:$A,$A3164,$G:$G)*SUMIF(Summary!$A$166:$A$242,$A3164,Summary!$P$166:$P$242),0)</f>
        <v>0</v>
      </c>
      <c r="AE3164" s="197">
        <f t="shared" ca="1" si="696"/>
        <v>0</v>
      </c>
      <c r="AF3164" s="196">
        <f>IFERROR(G3164/SUMIF(A:A,A3164,G:G)*SUMIF(Summary!$A$166:$A$242,'Operations Support'!A3164,Summary!$Q$166:$Q$242),0)</f>
        <v>0</v>
      </c>
      <c r="AG3164" s="196">
        <f t="shared" ca="1" si="697"/>
        <v>0</v>
      </c>
      <c r="AI3164" s="196">
        <f>IFERROR($G3164/SUMIF($A:$A,$A3164,$G:$G)*SUMIF(Summary!$A$247:$A$283,$A3164,Summary!$P$247:$P$283),0)</f>
        <v>0</v>
      </c>
      <c r="AJ3164" s="196">
        <f>IFERROR($G3164/SUMIF($A:$A,$A3164,$G:$G)*(SUMIF(Summary!$A$247:$A$283,$A3164,Summary!$L$247:$L$283)+SUMIF(Summary!$A$297:$A$333,$A3164,Summary!$L$297:$L$333))-AI3164,0)</f>
        <v>0</v>
      </c>
      <c r="AK3164" s="196">
        <f>IFERROR($G3164/SUMIF($A:$A,$A3164,$G:$G)*SUMIF(Summary!$A$247:$A$283,$A3164,Summary!$Q$247:$Q$283),0)</f>
        <v>0</v>
      </c>
      <c r="AL3164" s="196">
        <f>IFERROR($G3164/SUMIF($A:$A,$A3164,$G:$G)*(SUMIF(Summary!$A$247:$A$283,$A3164,Summary!$L$247:$L$283)+SUMIF(Summary!$A$297:$A$333,$A3164,Summary!$L$297:$L$333))-AK3164,0)</f>
        <v>0</v>
      </c>
      <c r="AM3164" s="198"/>
      <c r="AN3164" s="196">
        <f t="shared" ca="1" si="698"/>
        <v>0</v>
      </c>
      <c r="AO3164" s="196">
        <f t="shared" ca="1" si="699"/>
        <v>0</v>
      </c>
    </row>
    <row r="3165" spans="1:41">
      <c r="A3165" s="189">
        <v>11711</v>
      </c>
      <c r="B3165" s="190">
        <v>1</v>
      </c>
      <c r="C3165" s="191" t="s">
        <v>230</v>
      </c>
      <c r="D3165" s="192">
        <f t="shared" si="686"/>
        <v>0</v>
      </c>
      <c r="E3165" s="192">
        <f t="shared" si="687"/>
        <v>0</v>
      </c>
      <c r="F3165" s="192">
        <f t="shared" si="688"/>
        <v>0</v>
      </c>
      <c r="G3165" s="193">
        <f t="shared" si="689"/>
        <v>0</v>
      </c>
      <c r="H3165" s="194">
        <v>0</v>
      </c>
      <c r="I3165" s="194">
        <v>0</v>
      </c>
      <c r="J3165" s="194">
        <v>0</v>
      </c>
      <c r="K3165" s="193">
        <f t="shared" si="690"/>
        <v>0</v>
      </c>
      <c r="L3165" s="194">
        <v>0</v>
      </c>
      <c r="M3165" s="194">
        <v>0</v>
      </c>
      <c r="N3165" s="194">
        <v>0</v>
      </c>
      <c r="O3165" s="193">
        <f t="shared" si="691"/>
        <v>0</v>
      </c>
      <c r="P3165" s="194">
        <v>0</v>
      </c>
      <c r="Q3165" s="194">
        <v>0</v>
      </c>
      <c r="R3165" s="194">
        <v>0</v>
      </c>
      <c r="S3165" s="193">
        <f t="shared" si="692"/>
        <v>0</v>
      </c>
      <c r="T3165" s="193">
        <f t="shared" si="693"/>
        <v>0</v>
      </c>
      <c r="U3165" s="193">
        <f ca="1">OFFSET('Expenditure Study'!$B$7,'Operations Support'!$C3165,'Operations Support'!$B3165)*$G3165</f>
        <v>0</v>
      </c>
      <c r="V3165" s="199">
        <f ca="1">U3165*'Expenditure Study'!$B$31</f>
        <v>0</v>
      </c>
      <c r="W3165" s="199">
        <f ca="1">IF(A3165=10298,1.51,1)*IF($B3165&lt;3,$D3165*'Expenditure Study'!$B$32*OFFSET('Expenditure Study'!$B$7,'Operations Support'!$C3165,'Operations Support'!$B3165),0)</f>
        <v>0</v>
      </c>
      <c r="X3165" s="200">
        <f ca="1">W3165*'Expenditure Study'!$B$31</f>
        <v>0</v>
      </c>
      <c r="Y3165" s="199">
        <f ca="1">U3165*'Expenditure Study'!$B$31</f>
        <v>0</v>
      </c>
      <c r="Z3165" s="200">
        <f ca="1">W3165*'Expenditure Study'!$B$31</f>
        <v>0</v>
      </c>
      <c r="AA3165" s="195">
        <f t="shared" ca="1" si="694"/>
        <v>0</v>
      </c>
      <c r="AB3165" s="195">
        <f t="shared" ca="1" si="695"/>
        <v>0</v>
      </c>
      <c r="AD3165" s="196">
        <f>IFERROR($G3165/SUMIF($A:$A,$A3165,$G:$G)*SUMIF(Summary!$A$166:$A$242,$A3165,Summary!$P$166:$P$242),0)</f>
        <v>0</v>
      </c>
      <c r="AE3165" s="197">
        <f t="shared" ca="1" si="696"/>
        <v>0</v>
      </c>
      <c r="AF3165" s="196">
        <f>IFERROR(G3165/SUMIF(A:A,A3165,G:G)*SUMIF(Summary!$A$166:$A$242,'Operations Support'!A3165,Summary!$Q$166:$Q$242),0)</f>
        <v>0</v>
      </c>
      <c r="AG3165" s="196">
        <f t="shared" ca="1" si="697"/>
        <v>0</v>
      </c>
      <c r="AI3165" s="196">
        <f>IFERROR($G3165/SUMIF($A:$A,$A3165,$G:$G)*SUMIF(Summary!$A$247:$A$283,$A3165,Summary!$P$247:$P$283),0)</f>
        <v>0</v>
      </c>
      <c r="AJ3165" s="196">
        <f>IFERROR($G3165/SUMIF($A:$A,$A3165,$G:$G)*(SUMIF(Summary!$A$247:$A$283,$A3165,Summary!$L$247:$L$283)+SUMIF(Summary!$A$297:$A$333,$A3165,Summary!$L$297:$L$333))-AI3165,0)</f>
        <v>0</v>
      </c>
      <c r="AK3165" s="196">
        <f>IFERROR($G3165/SUMIF($A:$A,$A3165,$G:$G)*SUMIF(Summary!$A$247:$A$283,$A3165,Summary!$Q$247:$Q$283),0)</f>
        <v>0</v>
      </c>
      <c r="AL3165" s="196">
        <f>IFERROR($G3165/SUMIF($A:$A,$A3165,$G:$G)*(SUMIF(Summary!$A$247:$A$283,$A3165,Summary!$L$247:$L$283)+SUMIF(Summary!$A$297:$A$333,$A3165,Summary!$L$297:$L$333))-AK3165,0)</f>
        <v>0</v>
      </c>
      <c r="AM3165" s="198"/>
      <c r="AN3165" s="196">
        <f t="shared" ca="1" si="698"/>
        <v>0</v>
      </c>
      <c r="AO3165" s="196">
        <f t="shared" ca="1" si="699"/>
        <v>0</v>
      </c>
    </row>
    <row r="3166" spans="1:41">
      <c r="A3166" s="189">
        <v>11711</v>
      </c>
      <c r="B3166" s="190">
        <v>1</v>
      </c>
      <c r="C3166" s="191" t="s">
        <v>231</v>
      </c>
      <c r="D3166" s="192">
        <f t="shared" si="686"/>
        <v>27</v>
      </c>
      <c r="E3166" s="192">
        <f t="shared" si="687"/>
        <v>18</v>
      </c>
      <c r="F3166" s="192">
        <f t="shared" si="688"/>
        <v>0</v>
      </c>
      <c r="G3166" s="193">
        <f t="shared" si="689"/>
        <v>45</v>
      </c>
      <c r="H3166" s="194">
        <v>3</v>
      </c>
      <c r="I3166" s="194">
        <v>12</v>
      </c>
      <c r="J3166" s="194">
        <v>0</v>
      </c>
      <c r="K3166" s="193">
        <f t="shared" si="690"/>
        <v>15</v>
      </c>
      <c r="L3166" s="194">
        <v>21</v>
      </c>
      <c r="M3166" s="194">
        <v>6</v>
      </c>
      <c r="N3166" s="194">
        <v>0</v>
      </c>
      <c r="O3166" s="193">
        <f t="shared" si="691"/>
        <v>27</v>
      </c>
      <c r="P3166" s="194">
        <v>3</v>
      </c>
      <c r="Q3166" s="194">
        <v>0</v>
      </c>
      <c r="R3166" s="194">
        <v>0</v>
      </c>
      <c r="S3166" s="193">
        <f t="shared" si="692"/>
        <v>3</v>
      </c>
      <c r="T3166" s="193">
        <f t="shared" si="693"/>
        <v>1.5</v>
      </c>
      <c r="U3166" s="193">
        <f ca="1">OFFSET('Expenditure Study'!$B$7,'Operations Support'!$C3166,'Operations Support'!$B3166)*$G3166</f>
        <v>68.400000000000006</v>
      </c>
      <c r="V3166" s="199">
        <f ca="1">U3166*'Expenditure Study'!$B$31</f>
        <v>4041.2895667200005</v>
      </c>
      <c r="W3166" s="199">
        <f ca="1">IF(A3166=10298,1.51,1)*IF($B3166&lt;3,$D3166*'Expenditure Study'!$B$32*OFFSET('Expenditure Study'!$B$7,'Operations Support'!$C3166,'Operations Support'!$B3166),0)</f>
        <v>4.1040000000000001</v>
      </c>
      <c r="X3166" s="200">
        <f ca="1">W3166*'Expenditure Study'!$B$31</f>
        <v>242.4773740032</v>
      </c>
      <c r="Y3166" s="199">
        <f ca="1">U3166*'Expenditure Study'!$B$31</f>
        <v>4041.2895667200005</v>
      </c>
      <c r="Z3166" s="200">
        <f ca="1">W3166*'Expenditure Study'!$B$31</f>
        <v>242.4773740032</v>
      </c>
      <c r="AA3166" s="195">
        <f t="shared" ca="1" si="694"/>
        <v>4283.7669407232006</v>
      </c>
      <c r="AB3166" s="195">
        <f t="shared" ca="1" si="695"/>
        <v>4283.7669407232006</v>
      </c>
      <c r="AD3166" s="196">
        <f>IFERROR($G3166/SUMIF($A:$A,$A3166,$G:$G)*SUMIF(Summary!$A$166:$A$242,$A3166,Summary!$P$166:$P$242),0)</f>
        <v>1671.0703845956518</v>
      </c>
      <c r="AE3166" s="197">
        <f t="shared" ca="1" si="696"/>
        <v>2612.6965561275488</v>
      </c>
      <c r="AF3166" s="196">
        <f>IFERROR(G3166/SUMIF(A:A,A3166,G:G)*SUMIF(Summary!$A$166:$A$242,'Operations Support'!A3166,Summary!$Q$166:$Q$242),0)</f>
        <v>1678.4057337158274</v>
      </c>
      <c r="AG3166" s="196">
        <f t="shared" ca="1" si="697"/>
        <v>2605.3612070073732</v>
      </c>
      <c r="AI3166" s="196">
        <f>IFERROR($G3166/SUMIF($A:$A,$A3166,$G:$G)*SUMIF(Summary!$A$247:$A$283,$A3166,Summary!$P$247:$P$283),0)</f>
        <v>304.76153705364027</v>
      </c>
      <c r="AJ3166" s="196">
        <f>IFERROR($G3166/SUMIF($A:$A,$A3166,$G:$G)*(SUMIF(Summary!$A$247:$A$283,$A3166,Summary!$L$247:$L$283)+SUMIF(Summary!$A$297:$A$333,$A3166,Summary!$L$297:$L$333))-AI3166,0)</f>
        <v>657.45816010284193</v>
      </c>
      <c r="AK3166" s="196">
        <f>IFERROR($G3166/SUMIF($A:$A,$A3166,$G:$G)*SUMIF(Summary!$A$247:$A$283,$A3166,Summary!$Q$247:$Q$283),0)</f>
        <v>306.09932168156354</v>
      </c>
      <c r="AL3166" s="196">
        <f>IFERROR($G3166/SUMIF($A:$A,$A3166,$G:$G)*(SUMIF(Summary!$A$247:$A$283,$A3166,Summary!$L$247:$L$283)+SUMIF(Summary!$A$297:$A$333,$A3166,Summary!$L$297:$L$333))-AK3166,0)</f>
        <v>656.12037547491866</v>
      </c>
      <c r="AM3166" s="198"/>
      <c r="AN3166" s="196">
        <f t="shared" ca="1" si="698"/>
        <v>3270.1547162303905</v>
      </c>
      <c r="AO3166" s="196">
        <f t="shared" ca="1" si="699"/>
        <v>3261.4815824822917</v>
      </c>
    </row>
    <row r="3167" spans="1:41">
      <c r="A3167" s="189">
        <v>11711</v>
      </c>
      <c r="B3167" s="190">
        <v>1</v>
      </c>
      <c r="C3167" s="191" t="s">
        <v>232</v>
      </c>
      <c r="D3167" s="192">
        <f t="shared" si="686"/>
        <v>0</v>
      </c>
      <c r="E3167" s="192">
        <f t="shared" si="687"/>
        <v>0</v>
      </c>
      <c r="F3167" s="192">
        <f t="shared" si="688"/>
        <v>0</v>
      </c>
      <c r="G3167" s="193">
        <f t="shared" si="689"/>
        <v>0</v>
      </c>
      <c r="H3167" s="194">
        <v>0</v>
      </c>
      <c r="I3167" s="194">
        <v>0</v>
      </c>
      <c r="J3167" s="194">
        <v>0</v>
      </c>
      <c r="K3167" s="193">
        <f t="shared" si="690"/>
        <v>0</v>
      </c>
      <c r="L3167" s="194">
        <v>0</v>
      </c>
      <c r="M3167" s="194">
        <v>0</v>
      </c>
      <c r="N3167" s="194">
        <v>0</v>
      </c>
      <c r="O3167" s="193">
        <f t="shared" si="691"/>
        <v>0</v>
      </c>
      <c r="P3167" s="194">
        <v>0</v>
      </c>
      <c r="Q3167" s="194">
        <v>0</v>
      </c>
      <c r="R3167" s="194">
        <v>0</v>
      </c>
      <c r="S3167" s="193">
        <f t="shared" si="692"/>
        <v>0</v>
      </c>
      <c r="T3167" s="193">
        <f t="shared" si="693"/>
        <v>0</v>
      </c>
      <c r="U3167" s="193">
        <f ca="1">OFFSET('Expenditure Study'!$B$7,'Operations Support'!$C3167,'Operations Support'!$B3167)*$G3167</f>
        <v>0</v>
      </c>
      <c r="V3167" s="199">
        <f ca="1">U3167*'Expenditure Study'!$B$31</f>
        <v>0</v>
      </c>
      <c r="W3167" s="199">
        <f ca="1">IF(A3167=10298,1.51,1)*IF($B3167&lt;3,$D3167*'Expenditure Study'!$B$32*OFFSET('Expenditure Study'!$B$7,'Operations Support'!$C3167,'Operations Support'!$B3167),0)</f>
        <v>0</v>
      </c>
      <c r="X3167" s="200">
        <f ca="1">W3167*'Expenditure Study'!$B$31</f>
        <v>0</v>
      </c>
      <c r="Y3167" s="199">
        <f ca="1">U3167*'Expenditure Study'!$B$31</f>
        <v>0</v>
      </c>
      <c r="Z3167" s="200">
        <f ca="1">W3167*'Expenditure Study'!$B$31</f>
        <v>0</v>
      </c>
      <c r="AA3167" s="195">
        <f t="shared" ca="1" si="694"/>
        <v>0</v>
      </c>
      <c r="AB3167" s="195">
        <f t="shared" ca="1" si="695"/>
        <v>0</v>
      </c>
      <c r="AD3167" s="196">
        <f>IFERROR($G3167/SUMIF($A:$A,$A3167,$G:$G)*SUMIF(Summary!$A$166:$A$242,$A3167,Summary!$P$166:$P$242),0)</f>
        <v>0</v>
      </c>
      <c r="AE3167" s="197">
        <f t="shared" ca="1" si="696"/>
        <v>0</v>
      </c>
      <c r="AF3167" s="196">
        <f>IFERROR(G3167/SUMIF(A:A,A3167,G:G)*SUMIF(Summary!$A$166:$A$242,'Operations Support'!A3167,Summary!$Q$166:$Q$242),0)</f>
        <v>0</v>
      </c>
      <c r="AG3167" s="196">
        <f t="shared" ca="1" si="697"/>
        <v>0</v>
      </c>
      <c r="AI3167" s="196">
        <f>IFERROR($G3167/SUMIF($A:$A,$A3167,$G:$G)*SUMIF(Summary!$A$247:$A$283,$A3167,Summary!$P$247:$P$283),0)</f>
        <v>0</v>
      </c>
      <c r="AJ3167" s="196">
        <f>IFERROR($G3167/SUMIF($A:$A,$A3167,$G:$G)*(SUMIF(Summary!$A$247:$A$283,$A3167,Summary!$L$247:$L$283)+SUMIF(Summary!$A$297:$A$333,$A3167,Summary!$L$297:$L$333))-AI3167,0)</f>
        <v>0</v>
      </c>
      <c r="AK3167" s="196">
        <f>IFERROR($G3167/SUMIF($A:$A,$A3167,$G:$G)*SUMIF(Summary!$A$247:$A$283,$A3167,Summary!$Q$247:$Q$283),0)</f>
        <v>0</v>
      </c>
      <c r="AL3167" s="196">
        <f>IFERROR($G3167/SUMIF($A:$A,$A3167,$G:$G)*(SUMIF(Summary!$A$247:$A$283,$A3167,Summary!$L$247:$L$283)+SUMIF(Summary!$A$297:$A$333,$A3167,Summary!$L$297:$L$333))-AK3167,0)</f>
        <v>0</v>
      </c>
      <c r="AM3167" s="198"/>
      <c r="AN3167" s="196">
        <f t="shared" ca="1" si="698"/>
        <v>0</v>
      </c>
      <c r="AO3167" s="196">
        <f t="shared" ca="1" si="699"/>
        <v>0</v>
      </c>
    </row>
    <row r="3168" spans="1:41">
      <c r="A3168" s="189">
        <v>11711</v>
      </c>
      <c r="B3168" s="190">
        <v>1</v>
      </c>
      <c r="C3168" s="191" t="s">
        <v>233</v>
      </c>
      <c r="D3168" s="192">
        <f t="shared" si="686"/>
        <v>258</v>
      </c>
      <c r="E3168" s="192">
        <f t="shared" si="687"/>
        <v>69</v>
      </c>
      <c r="F3168" s="192">
        <f t="shared" si="688"/>
        <v>0</v>
      </c>
      <c r="G3168" s="193">
        <f t="shared" si="689"/>
        <v>327</v>
      </c>
      <c r="H3168" s="194">
        <v>105</v>
      </c>
      <c r="I3168" s="194">
        <v>33</v>
      </c>
      <c r="J3168" s="194">
        <v>0</v>
      </c>
      <c r="K3168" s="193">
        <f t="shared" si="690"/>
        <v>138</v>
      </c>
      <c r="L3168" s="194">
        <v>144</v>
      </c>
      <c r="M3168" s="194">
        <v>36</v>
      </c>
      <c r="N3168" s="194">
        <v>0</v>
      </c>
      <c r="O3168" s="193">
        <f t="shared" si="691"/>
        <v>180</v>
      </c>
      <c r="P3168" s="194">
        <v>9</v>
      </c>
      <c r="Q3168" s="194">
        <v>0</v>
      </c>
      <c r="R3168" s="194">
        <v>0</v>
      </c>
      <c r="S3168" s="193">
        <f t="shared" si="692"/>
        <v>9</v>
      </c>
      <c r="T3168" s="193">
        <f t="shared" si="693"/>
        <v>10.9</v>
      </c>
      <c r="U3168" s="193">
        <f ca="1">OFFSET('Expenditure Study'!$B$7,'Operations Support'!$C3168,'Operations Support'!$B3168)*$G3168</f>
        <v>313.92</v>
      </c>
      <c r="V3168" s="199">
        <f ca="1">U3168*'Expenditure Study'!$B$31</f>
        <v>18547.392116736002</v>
      </c>
      <c r="W3168" s="199">
        <f ca="1">IF(A3168=10298,1.51,1)*IF($B3168&lt;3,$D3168*'Expenditure Study'!$B$32*OFFSET('Expenditure Study'!$B$7,'Operations Support'!$C3168,'Operations Support'!$B3168),0)</f>
        <v>24.768000000000001</v>
      </c>
      <c r="X3168" s="200">
        <f ca="1">W3168*'Expenditure Study'!$B$31</f>
        <v>1463.3722220544</v>
      </c>
      <c r="Y3168" s="199">
        <f ca="1">U3168*'Expenditure Study'!$B$31</f>
        <v>18547.392116736002</v>
      </c>
      <c r="Z3168" s="200">
        <f ca="1">W3168*'Expenditure Study'!$B$31</f>
        <v>1463.3722220544</v>
      </c>
      <c r="AA3168" s="195">
        <f t="shared" ca="1" si="694"/>
        <v>20010.764338790403</v>
      </c>
      <c r="AB3168" s="195">
        <f t="shared" ca="1" si="695"/>
        <v>20010.764338790403</v>
      </c>
      <c r="AD3168" s="196">
        <f>IFERROR($G3168/SUMIF($A:$A,$A3168,$G:$G)*SUMIF(Summary!$A$166:$A$242,$A3168,Summary!$P$166:$P$242),0)</f>
        <v>12143.11146139507</v>
      </c>
      <c r="AE3168" s="197">
        <f t="shared" ca="1" si="696"/>
        <v>7867.6528773953323</v>
      </c>
      <c r="AF3168" s="196">
        <f>IFERROR(G3168/SUMIF(A:A,A3168,G:G)*SUMIF(Summary!$A$166:$A$242,'Operations Support'!A3168,Summary!$Q$166:$Q$242),0)</f>
        <v>12196.414998335013</v>
      </c>
      <c r="AG3168" s="196">
        <f t="shared" ca="1" si="697"/>
        <v>7814.3493404553901</v>
      </c>
      <c r="AI3168" s="196">
        <f>IFERROR($G3168/SUMIF($A:$A,$A3168,$G:$G)*SUMIF(Summary!$A$247:$A$283,$A3168,Summary!$P$247:$P$283),0)</f>
        <v>2214.6005025897862</v>
      </c>
      <c r="AJ3168" s="196">
        <f>IFERROR($G3168/SUMIF($A:$A,$A3168,$G:$G)*(SUMIF(Summary!$A$247:$A$283,$A3168,Summary!$L$247:$L$283)+SUMIF(Summary!$A$297:$A$333,$A3168,Summary!$L$297:$L$333))-AI3168,0)</f>
        <v>4777.5292967473179</v>
      </c>
      <c r="AK3168" s="196">
        <f>IFERROR($G3168/SUMIF($A:$A,$A3168,$G:$G)*SUMIF(Summary!$A$247:$A$283,$A3168,Summary!$Q$247:$Q$283),0)</f>
        <v>2224.3217375526951</v>
      </c>
      <c r="AL3168" s="196">
        <f>IFERROR($G3168/SUMIF($A:$A,$A3168,$G:$G)*(SUMIF(Summary!$A$247:$A$283,$A3168,Summary!$L$247:$L$283)+SUMIF(Summary!$A$297:$A$333,$A3168,Summary!$L$297:$L$333))-AK3168,0)</f>
        <v>4767.808061784408</v>
      </c>
      <c r="AM3168" s="198"/>
      <c r="AN3168" s="196">
        <f t="shared" ca="1" si="698"/>
        <v>12645.18217414265</v>
      </c>
      <c r="AO3168" s="196">
        <f t="shared" ca="1" si="699"/>
        <v>12582.157402239798</v>
      </c>
    </row>
    <row r="3169" spans="1:41">
      <c r="A3169" s="189">
        <v>11711</v>
      </c>
      <c r="B3169" s="190">
        <v>1</v>
      </c>
      <c r="C3169" s="191" t="s">
        <v>234</v>
      </c>
      <c r="D3169" s="192">
        <f t="shared" si="686"/>
        <v>0</v>
      </c>
      <c r="E3169" s="192">
        <f t="shared" si="687"/>
        <v>0</v>
      </c>
      <c r="F3169" s="192">
        <f t="shared" si="688"/>
        <v>0</v>
      </c>
      <c r="G3169" s="193">
        <f t="shared" si="689"/>
        <v>0</v>
      </c>
      <c r="H3169" s="194">
        <v>0</v>
      </c>
      <c r="I3169" s="194">
        <v>0</v>
      </c>
      <c r="J3169" s="194">
        <v>0</v>
      </c>
      <c r="K3169" s="193">
        <f t="shared" si="690"/>
        <v>0</v>
      </c>
      <c r="L3169" s="194">
        <v>0</v>
      </c>
      <c r="M3169" s="194">
        <v>0</v>
      </c>
      <c r="N3169" s="194">
        <v>0</v>
      </c>
      <c r="O3169" s="193">
        <f t="shared" si="691"/>
        <v>0</v>
      </c>
      <c r="P3169" s="194">
        <v>0</v>
      </c>
      <c r="Q3169" s="194">
        <v>0</v>
      </c>
      <c r="R3169" s="194">
        <v>0</v>
      </c>
      <c r="S3169" s="193">
        <f t="shared" si="692"/>
        <v>0</v>
      </c>
      <c r="T3169" s="193">
        <f t="shared" si="693"/>
        <v>0</v>
      </c>
      <c r="U3169" s="193">
        <f ca="1">OFFSET('Expenditure Study'!$B$7,'Operations Support'!$C3169,'Operations Support'!$B3169)*$G3169</f>
        <v>0</v>
      </c>
      <c r="V3169" s="199">
        <f ca="1">U3169*'Expenditure Study'!$B$31</f>
        <v>0</v>
      </c>
      <c r="W3169" s="199">
        <f ca="1">IF(A3169=10298,1.51,1)*IF($B3169&lt;3,$D3169*'Expenditure Study'!$B$32*OFFSET('Expenditure Study'!$B$7,'Operations Support'!$C3169,'Operations Support'!$B3169),0)</f>
        <v>0</v>
      </c>
      <c r="X3169" s="200">
        <f ca="1">W3169*'Expenditure Study'!$B$31</f>
        <v>0</v>
      </c>
      <c r="Y3169" s="199">
        <f ca="1">U3169*'Expenditure Study'!$B$31</f>
        <v>0</v>
      </c>
      <c r="Z3169" s="200">
        <f ca="1">W3169*'Expenditure Study'!$B$31</f>
        <v>0</v>
      </c>
      <c r="AA3169" s="195">
        <f t="shared" ca="1" si="694"/>
        <v>0</v>
      </c>
      <c r="AB3169" s="195">
        <f t="shared" ca="1" si="695"/>
        <v>0</v>
      </c>
      <c r="AD3169" s="196">
        <f>IFERROR($G3169/SUMIF($A:$A,$A3169,$G:$G)*SUMIF(Summary!$A$166:$A$242,$A3169,Summary!$P$166:$P$242),0)</f>
        <v>0</v>
      </c>
      <c r="AE3169" s="197">
        <f t="shared" ca="1" si="696"/>
        <v>0</v>
      </c>
      <c r="AF3169" s="196">
        <f>IFERROR(G3169/SUMIF(A:A,A3169,G:G)*SUMIF(Summary!$A$166:$A$242,'Operations Support'!A3169,Summary!$Q$166:$Q$242),0)</f>
        <v>0</v>
      </c>
      <c r="AG3169" s="196">
        <f t="shared" ca="1" si="697"/>
        <v>0</v>
      </c>
      <c r="AI3169" s="196">
        <f>IFERROR($G3169/SUMIF($A:$A,$A3169,$G:$G)*SUMIF(Summary!$A$247:$A$283,$A3169,Summary!$P$247:$P$283),0)</f>
        <v>0</v>
      </c>
      <c r="AJ3169" s="196">
        <f>IFERROR($G3169/SUMIF($A:$A,$A3169,$G:$G)*(SUMIF(Summary!$A$247:$A$283,$A3169,Summary!$L$247:$L$283)+SUMIF(Summary!$A$297:$A$333,$A3169,Summary!$L$297:$L$333))-AI3169,0)</f>
        <v>0</v>
      </c>
      <c r="AK3169" s="196">
        <f>IFERROR($G3169/SUMIF($A:$A,$A3169,$G:$G)*SUMIF(Summary!$A$247:$A$283,$A3169,Summary!$Q$247:$Q$283),0)</f>
        <v>0</v>
      </c>
      <c r="AL3169" s="196">
        <f>IFERROR($G3169/SUMIF($A:$A,$A3169,$G:$G)*(SUMIF(Summary!$A$247:$A$283,$A3169,Summary!$L$247:$L$283)+SUMIF(Summary!$A$297:$A$333,$A3169,Summary!$L$297:$L$333))-AK3169,0)</f>
        <v>0</v>
      </c>
      <c r="AM3169" s="198"/>
      <c r="AN3169" s="196">
        <f t="shared" ca="1" si="698"/>
        <v>0</v>
      </c>
      <c r="AO3169" s="196">
        <f t="shared" ca="1" si="699"/>
        <v>0</v>
      </c>
    </row>
    <row r="3170" spans="1:41">
      <c r="A3170" s="189">
        <v>11711</v>
      </c>
      <c r="B3170" s="190">
        <v>1</v>
      </c>
      <c r="C3170" s="191" t="s">
        <v>235</v>
      </c>
      <c r="D3170" s="192">
        <f t="shared" si="686"/>
        <v>2010</v>
      </c>
      <c r="E3170" s="192">
        <f t="shared" si="687"/>
        <v>846</v>
      </c>
      <c r="F3170" s="192">
        <f t="shared" si="688"/>
        <v>0</v>
      </c>
      <c r="G3170" s="193">
        <f t="shared" si="689"/>
        <v>2856</v>
      </c>
      <c r="H3170" s="194">
        <v>873</v>
      </c>
      <c r="I3170" s="194">
        <v>435</v>
      </c>
      <c r="J3170" s="194">
        <v>0</v>
      </c>
      <c r="K3170" s="193">
        <f t="shared" si="690"/>
        <v>1308</v>
      </c>
      <c r="L3170" s="194">
        <v>987</v>
      </c>
      <c r="M3170" s="194">
        <v>387</v>
      </c>
      <c r="N3170" s="194">
        <v>0</v>
      </c>
      <c r="O3170" s="193">
        <f t="shared" si="691"/>
        <v>1374</v>
      </c>
      <c r="P3170" s="194">
        <v>150</v>
      </c>
      <c r="Q3170" s="194">
        <v>24</v>
      </c>
      <c r="R3170" s="194">
        <v>0</v>
      </c>
      <c r="S3170" s="193">
        <f t="shared" si="692"/>
        <v>174</v>
      </c>
      <c r="T3170" s="193">
        <f t="shared" si="693"/>
        <v>95.2</v>
      </c>
      <c r="U3170" s="193">
        <f ca="1">OFFSET('Expenditure Study'!$B$7,'Operations Support'!$C3170,'Operations Support'!$B3170)*$G3170</f>
        <v>3141.6000000000004</v>
      </c>
      <c r="V3170" s="199">
        <f ca="1">U3170*'Expenditure Study'!$B$31</f>
        <v>185615.72080128003</v>
      </c>
      <c r="W3170" s="199">
        <f ca="1">IF(A3170=10298,1.51,1)*IF($B3170&lt;3,$D3170*'Expenditure Study'!$B$32*OFFSET('Expenditure Study'!$B$7,'Operations Support'!$C3170,'Operations Support'!$B3170),0)</f>
        <v>221.10000000000002</v>
      </c>
      <c r="X3170" s="200">
        <f ca="1">W3170*'Expenditure Study'!$B$31</f>
        <v>13063.291274880001</v>
      </c>
      <c r="Y3170" s="199">
        <f ca="1">U3170*'Expenditure Study'!$B$31</f>
        <v>185615.72080128003</v>
      </c>
      <c r="Z3170" s="200">
        <f ca="1">W3170*'Expenditure Study'!$B$31</f>
        <v>13063.291274880001</v>
      </c>
      <c r="AA3170" s="195">
        <f t="shared" ca="1" si="694"/>
        <v>198679.01207616003</v>
      </c>
      <c r="AB3170" s="195">
        <f t="shared" ca="1" si="695"/>
        <v>198679.01207616003</v>
      </c>
      <c r="AD3170" s="196">
        <f>IFERROR($G3170/SUMIF($A:$A,$A3170,$G:$G)*SUMIF(Summary!$A$166:$A$242,$A3170,Summary!$P$166:$P$242),0)</f>
        <v>106057.26707567072</v>
      </c>
      <c r="AE3170" s="197">
        <f t="shared" ca="1" si="696"/>
        <v>92621.745000489303</v>
      </c>
      <c r="AF3170" s="196">
        <f>IFERROR(G3170/SUMIF(A:A,A3170,G:G)*SUMIF(Summary!$A$166:$A$242,'Operations Support'!A3170,Summary!$Q$166:$Q$242),0)</f>
        <v>106522.81723316452</v>
      </c>
      <c r="AG3170" s="196">
        <f t="shared" ca="1" si="697"/>
        <v>92156.194842995508</v>
      </c>
      <c r="AI3170" s="196">
        <f>IFERROR($G3170/SUMIF($A:$A,$A3170,$G:$G)*SUMIF(Summary!$A$247:$A$283,$A3170,Summary!$P$247:$P$283),0)</f>
        <v>19342.198885004371</v>
      </c>
      <c r="AJ3170" s="196">
        <f>IFERROR($G3170/SUMIF($A:$A,$A3170,$G:$G)*(SUMIF(Summary!$A$247:$A$283,$A3170,Summary!$L$247:$L$283)+SUMIF(Summary!$A$297:$A$333,$A3170,Summary!$L$297:$L$333))-AI3170,0)</f>
        <v>41726.677894527034</v>
      </c>
      <c r="AK3170" s="196">
        <f>IFERROR($G3170/SUMIF($A:$A,$A3170,$G:$G)*SUMIF(Summary!$A$247:$A$283,$A3170,Summary!$Q$247:$Q$283),0)</f>
        <v>19427.103616056567</v>
      </c>
      <c r="AL3170" s="196">
        <f>IFERROR($G3170/SUMIF($A:$A,$A3170,$G:$G)*(SUMIF(Summary!$A$247:$A$283,$A3170,Summary!$L$247:$L$283)+SUMIF(Summary!$A$297:$A$333,$A3170,Summary!$L$297:$L$333))-AK3170,0)</f>
        <v>41641.773163474834</v>
      </c>
      <c r="AM3170" s="198"/>
      <c r="AN3170" s="196">
        <f t="shared" ca="1" si="698"/>
        <v>134348.42289501632</v>
      </c>
      <c r="AO3170" s="196">
        <f t="shared" ca="1" si="699"/>
        <v>133797.96800647036</v>
      </c>
    </row>
    <row r="3171" spans="1:41">
      <c r="A3171" s="189">
        <v>11711</v>
      </c>
      <c r="B3171" s="190">
        <v>1</v>
      </c>
      <c r="C3171" s="191" t="s">
        <v>236</v>
      </c>
      <c r="D3171" s="192">
        <f t="shared" si="686"/>
        <v>0</v>
      </c>
      <c r="E3171" s="192">
        <f t="shared" si="687"/>
        <v>0</v>
      </c>
      <c r="F3171" s="192">
        <f t="shared" si="688"/>
        <v>0</v>
      </c>
      <c r="G3171" s="193">
        <f t="shared" si="689"/>
        <v>0</v>
      </c>
      <c r="H3171" s="194">
        <v>0</v>
      </c>
      <c r="I3171" s="194">
        <v>0</v>
      </c>
      <c r="J3171" s="194">
        <v>0</v>
      </c>
      <c r="K3171" s="193">
        <f t="shared" si="690"/>
        <v>0</v>
      </c>
      <c r="L3171" s="194">
        <v>0</v>
      </c>
      <c r="M3171" s="194">
        <v>0</v>
      </c>
      <c r="N3171" s="194">
        <v>0</v>
      </c>
      <c r="O3171" s="193">
        <f t="shared" si="691"/>
        <v>0</v>
      </c>
      <c r="P3171" s="194">
        <v>0</v>
      </c>
      <c r="Q3171" s="194">
        <v>0</v>
      </c>
      <c r="R3171" s="194">
        <v>0</v>
      </c>
      <c r="S3171" s="193">
        <f t="shared" si="692"/>
        <v>0</v>
      </c>
      <c r="T3171" s="193">
        <f t="shared" si="693"/>
        <v>0</v>
      </c>
      <c r="U3171" s="193">
        <f ca="1">OFFSET('Expenditure Study'!$B$7,'Operations Support'!$C3171,'Operations Support'!$B3171)*$G3171</f>
        <v>0</v>
      </c>
      <c r="V3171" s="199">
        <f ca="1">U3171*'Expenditure Study'!$B$31</f>
        <v>0</v>
      </c>
      <c r="W3171" s="199">
        <f ca="1">IF(A3171=10298,1.51,1)*IF($B3171&lt;3,$D3171*'Expenditure Study'!$B$32*OFFSET('Expenditure Study'!$B$7,'Operations Support'!$C3171,'Operations Support'!$B3171),0)</f>
        <v>0</v>
      </c>
      <c r="X3171" s="200">
        <f ca="1">W3171*'Expenditure Study'!$B$31</f>
        <v>0</v>
      </c>
      <c r="Y3171" s="199">
        <f ca="1">U3171*'Expenditure Study'!$B$31</f>
        <v>0</v>
      </c>
      <c r="Z3171" s="200">
        <f ca="1">W3171*'Expenditure Study'!$B$31</f>
        <v>0</v>
      </c>
      <c r="AA3171" s="195">
        <f t="shared" ca="1" si="694"/>
        <v>0</v>
      </c>
      <c r="AB3171" s="195">
        <f t="shared" ca="1" si="695"/>
        <v>0</v>
      </c>
      <c r="AD3171" s="196">
        <f>IFERROR($G3171/SUMIF($A:$A,$A3171,$G:$G)*SUMIF(Summary!$A$166:$A$242,$A3171,Summary!$P$166:$P$242),0)</f>
        <v>0</v>
      </c>
      <c r="AE3171" s="197">
        <f t="shared" ca="1" si="696"/>
        <v>0</v>
      </c>
      <c r="AF3171" s="196">
        <f>IFERROR(G3171/SUMIF(A:A,A3171,G:G)*SUMIF(Summary!$A$166:$A$242,'Operations Support'!A3171,Summary!$Q$166:$Q$242),0)</f>
        <v>0</v>
      </c>
      <c r="AG3171" s="196">
        <f t="shared" ca="1" si="697"/>
        <v>0</v>
      </c>
      <c r="AI3171" s="196">
        <f>IFERROR($G3171/SUMIF($A:$A,$A3171,$G:$G)*SUMIF(Summary!$A$247:$A$283,$A3171,Summary!$P$247:$P$283),0)</f>
        <v>0</v>
      </c>
      <c r="AJ3171" s="196">
        <f>IFERROR($G3171/SUMIF($A:$A,$A3171,$G:$G)*(SUMIF(Summary!$A$247:$A$283,$A3171,Summary!$L$247:$L$283)+SUMIF(Summary!$A$297:$A$333,$A3171,Summary!$L$297:$L$333))-AI3171,0)</f>
        <v>0</v>
      </c>
      <c r="AK3171" s="196">
        <f>IFERROR($G3171/SUMIF($A:$A,$A3171,$G:$G)*SUMIF(Summary!$A$247:$A$283,$A3171,Summary!$Q$247:$Q$283),0)</f>
        <v>0</v>
      </c>
      <c r="AL3171" s="196">
        <f>IFERROR($G3171/SUMIF($A:$A,$A3171,$G:$G)*(SUMIF(Summary!$A$247:$A$283,$A3171,Summary!$L$247:$L$283)+SUMIF(Summary!$A$297:$A$333,$A3171,Summary!$L$297:$L$333))-AK3171,0)</f>
        <v>0</v>
      </c>
      <c r="AM3171" s="198"/>
      <c r="AN3171" s="196">
        <f t="shared" ca="1" si="698"/>
        <v>0</v>
      </c>
      <c r="AO3171" s="196">
        <f t="shared" ca="1" si="699"/>
        <v>0</v>
      </c>
    </row>
    <row r="3172" spans="1:41">
      <c r="A3172" s="189">
        <v>11711</v>
      </c>
      <c r="B3172" s="190">
        <v>1</v>
      </c>
      <c r="C3172" s="191" t="s">
        <v>237</v>
      </c>
      <c r="D3172" s="192">
        <f t="shared" si="686"/>
        <v>0</v>
      </c>
      <c r="E3172" s="192">
        <f t="shared" si="687"/>
        <v>0</v>
      </c>
      <c r="F3172" s="192">
        <f t="shared" si="688"/>
        <v>0</v>
      </c>
      <c r="G3172" s="193">
        <f t="shared" si="689"/>
        <v>0</v>
      </c>
      <c r="H3172" s="194">
        <v>0</v>
      </c>
      <c r="I3172" s="194">
        <v>0</v>
      </c>
      <c r="J3172" s="194">
        <v>0</v>
      </c>
      <c r="K3172" s="193">
        <f t="shared" si="690"/>
        <v>0</v>
      </c>
      <c r="L3172" s="194">
        <v>0</v>
      </c>
      <c r="M3172" s="194">
        <v>0</v>
      </c>
      <c r="N3172" s="194">
        <v>0</v>
      </c>
      <c r="O3172" s="193">
        <f t="shared" si="691"/>
        <v>0</v>
      </c>
      <c r="P3172" s="194">
        <v>0</v>
      </c>
      <c r="Q3172" s="194">
        <v>0</v>
      </c>
      <c r="R3172" s="194">
        <v>0</v>
      </c>
      <c r="S3172" s="193">
        <f t="shared" si="692"/>
        <v>0</v>
      </c>
      <c r="T3172" s="193">
        <f t="shared" si="693"/>
        <v>0</v>
      </c>
      <c r="U3172" s="193">
        <f ca="1">OFFSET('Expenditure Study'!$B$7,'Operations Support'!$C3172,'Operations Support'!$B3172)*$G3172</f>
        <v>0</v>
      </c>
      <c r="V3172" s="199">
        <f ca="1">U3172*'Expenditure Study'!$B$31</f>
        <v>0</v>
      </c>
      <c r="W3172" s="199">
        <f ca="1">IF(A3172=10298,1.51,1)*IF($B3172&lt;3,$D3172*'Expenditure Study'!$B$32*OFFSET('Expenditure Study'!$B$7,'Operations Support'!$C3172,'Operations Support'!$B3172),0)</f>
        <v>0</v>
      </c>
      <c r="X3172" s="200">
        <f ca="1">W3172*'Expenditure Study'!$B$31</f>
        <v>0</v>
      </c>
      <c r="Y3172" s="199">
        <f ca="1">U3172*'Expenditure Study'!$B$31</f>
        <v>0</v>
      </c>
      <c r="Z3172" s="200">
        <f ca="1">W3172*'Expenditure Study'!$B$31</f>
        <v>0</v>
      </c>
      <c r="AA3172" s="195">
        <f t="shared" ca="1" si="694"/>
        <v>0</v>
      </c>
      <c r="AB3172" s="195">
        <f t="shared" ca="1" si="695"/>
        <v>0</v>
      </c>
      <c r="AD3172" s="196">
        <f>IFERROR($G3172/SUMIF($A:$A,$A3172,$G:$G)*SUMIF(Summary!$A$166:$A$242,$A3172,Summary!$P$166:$P$242),0)</f>
        <v>0</v>
      </c>
      <c r="AE3172" s="197">
        <f t="shared" ca="1" si="696"/>
        <v>0</v>
      </c>
      <c r="AF3172" s="196">
        <f>IFERROR(G3172/SUMIF(A:A,A3172,G:G)*SUMIF(Summary!$A$166:$A$242,'Operations Support'!A3172,Summary!$Q$166:$Q$242),0)</f>
        <v>0</v>
      </c>
      <c r="AG3172" s="196">
        <f t="shared" ca="1" si="697"/>
        <v>0</v>
      </c>
      <c r="AI3172" s="196">
        <f>IFERROR($G3172/SUMIF($A:$A,$A3172,$G:$G)*SUMIF(Summary!$A$247:$A$283,$A3172,Summary!$P$247:$P$283),0)</f>
        <v>0</v>
      </c>
      <c r="AJ3172" s="196">
        <f>IFERROR($G3172/SUMIF($A:$A,$A3172,$G:$G)*(SUMIF(Summary!$A$247:$A$283,$A3172,Summary!$L$247:$L$283)+SUMIF(Summary!$A$297:$A$333,$A3172,Summary!$L$297:$L$333))-AI3172,0)</f>
        <v>0</v>
      </c>
      <c r="AK3172" s="196">
        <f>IFERROR($G3172/SUMIF($A:$A,$A3172,$G:$G)*SUMIF(Summary!$A$247:$A$283,$A3172,Summary!$Q$247:$Q$283),0)</f>
        <v>0</v>
      </c>
      <c r="AL3172" s="196">
        <f>IFERROR($G3172/SUMIF($A:$A,$A3172,$G:$G)*(SUMIF(Summary!$A$247:$A$283,$A3172,Summary!$L$247:$L$283)+SUMIF(Summary!$A$297:$A$333,$A3172,Summary!$L$297:$L$333))-AK3172,0)</f>
        <v>0</v>
      </c>
      <c r="AM3172" s="198"/>
      <c r="AN3172" s="196">
        <f t="shared" ca="1" si="698"/>
        <v>0</v>
      </c>
      <c r="AO3172" s="196">
        <f t="shared" ca="1" si="699"/>
        <v>0</v>
      </c>
    </row>
    <row r="3173" spans="1:41">
      <c r="A3173" s="189">
        <v>11711</v>
      </c>
      <c r="B3173" s="190">
        <v>1</v>
      </c>
      <c r="C3173" s="191" t="s">
        <v>238</v>
      </c>
      <c r="D3173" s="192">
        <f t="shared" si="686"/>
        <v>9</v>
      </c>
      <c r="E3173" s="192">
        <f t="shared" si="687"/>
        <v>0</v>
      </c>
      <c r="F3173" s="192">
        <f t="shared" si="688"/>
        <v>0</v>
      </c>
      <c r="G3173" s="193">
        <f t="shared" si="689"/>
        <v>9</v>
      </c>
      <c r="H3173" s="194">
        <v>0</v>
      </c>
      <c r="I3173" s="194">
        <v>0</v>
      </c>
      <c r="J3173" s="194">
        <v>0</v>
      </c>
      <c r="K3173" s="193">
        <f t="shared" si="690"/>
        <v>0</v>
      </c>
      <c r="L3173" s="194">
        <v>9</v>
      </c>
      <c r="M3173" s="194">
        <v>0</v>
      </c>
      <c r="N3173" s="194">
        <v>0</v>
      </c>
      <c r="O3173" s="193">
        <f t="shared" si="691"/>
        <v>9</v>
      </c>
      <c r="P3173" s="194">
        <v>0</v>
      </c>
      <c r="Q3173" s="194">
        <v>0</v>
      </c>
      <c r="R3173" s="194">
        <v>0</v>
      </c>
      <c r="S3173" s="193">
        <f t="shared" si="692"/>
        <v>0</v>
      </c>
      <c r="T3173" s="193">
        <f t="shared" si="693"/>
        <v>0.3</v>
      </c>
      <c r="U3173" s="193">
        <f ca="1">OFFSET('Expenditure Study'!$B$7,'Operations Support'!$C3173,'Operations Support'!$B3173)*$G3173</f>
        <v>16.02</v>
      </c>
      <c r="V3173" s="199">
        <f ca="1">U3173*'Expenditure Study'!$B$31</f>
        <v>946.51255641599994</v>
      </c>
      <c r="W3173" s="199">
        <f ca="1">IF(A3173=10298,1.51,1)*IF($B3173&lt;3,$D3173*'Expenditure Study'!$B$32*OFFSET('Expenditure Study'!$B$7,'Operations Support'!$C3173,'Operations Support'!$B3173),0)</f>
        <v>1.6020000000000001</v>
      </c>
      <c r="X3173" s="200">
        <f ca="1">W3173*'Expenditure Study'!$B$31</f>
        <v>94.651255641600002</v>
      </c>
      <c r="Y3173" s="199">
        <f ca="1">U3173*'Expenditure Study'!$B$31</f>
        <v>946.51255641599994</v>
      </c>
      <c r="Z3173" s="200">
        <f ca="1">W3173*'Expenditure Study'!$B$31</f>
        <v>94.651255641600002</v>
      </c>
      <c r="AA3173" s="195">
        <f t="shared" ca="1" si="694"/>
        <v>1041.1638120575999</v>
      </c>
      <c r="AB3173" s="195">
        <f t="shared" ca="1" si="695"/>
        <v>1041.1638120575999</v>
      </c>
      <c r="AD3173" s="196">
        <f>IFERROR($G3173/SUMIF($A:$A,$A3173,$G:$G)*SUMIF(Summary!$A$166:$A$242,$A3173,Summary!$P$166:$P$242),0)</f>
        <v>334.21407691913043</v>
      </c>
      <c r="AE3173" s="197">
        <f t="shared" ca="1" si="696"/>
        <v>706.94973513846946</v>
      </c>
      <c r="AF3173" s="196">
        <f>IFERROR(G3173/SUMIF(A:A,A3173,G:G)*SUMIF(Summary!$A$166:$A$242,'Operations Support'!A3173,Summary!$Q$166:$Q$242),0)</f>
        <v>335.68114674316553</v>
      </c>
      <c r="AG3173" s="196">
        <f t="shared" ca="1" si="697"/>
        <v>705.48266531443437</v>
      </c>
      <c r="AI3173" s="196">
        <f>IFERROR($G3173/SUMIF($A:$A,$A3173,$G:$G)*SUMIF(Summary!$A$247:$A$283,$A3173,Summary!$P$247:$P$283),0)</f>
        <v>60.952307410728061</v>
      </c>
      <c r="AJ3173" s="196">
        <f>IFERROR($G3173/SUMIF($A:$A,$A3173,$G:$G)*(SUMIF(Summary!$A$247:$A$283,$A3173,Summary!$L$247:$L$283)+SUMIF(Summary!$A$297:$A$333,$A3173,Summary!$L$297:$L$333))-AI3173,0)</f>
        <v>131.4916320205684</v>
      </c>
      <c r="AK3173" s="196">
        <f>IFERROR($G3173/SUMIF($A:$A,$A3173,$G:$G)*SUMIF(Summary!$A$247:$A$283,$A3173,Summary!$Q$247:$Q$283),0)</f>
        <v>61.21986433631271</v>
      </c>
      <c r="AL3173" s="196">
        <f>IFERROR($G3173/SUMIF($A:$A,$A3173,$G:$G)*(SUMIF(Summary!$A$247:$A$283,$A3173,Summary!$L$247:$L$283)+SUMIF(Summary!$A$297:$A$333,$A3173,Summary!$L$297:$L$333))-AK3173,0)</f>
        <v>131.22407509498373</v>
      </c>
      <c r="AM3173" s="198"/>
      <c r="AN3173" s="196">
        <f t="shared" ca="1" si="698"/>
        <v>838.4413671590379</v>
      </c>
      <c r="AO3173" s="196">
        <f t="shared" ca="1" si="699"/>
        <v>836.7067404094181</v>
      </c>
    </row>
    <row r="3174" spans="1:41">
      <c r="A3174" s="189">
        <v>11711</v>
      </c>
      <c r="B3174" s="190">
        <v>1</v>
      </c>
      <c r="C3174" s="191" t="s">
        <v>239</v>
      </c>
      <c r="D3174" s="192">
        <f t="shared" si="686"/>
        <v>3</v>
      </c>
      <c r="E3174" s="192">
        <f t="shared" si="687"/>
        <v>0</v>
      </c>
      <c r="F3174" s="192">
        <f t="shared" si="688"/>
        <v>0</v>
      </c>
      <c r="G3174" s="193">
        <f t="shared" si="689"/>
        <v>3</v>
      </c>
      <c r="H3174" s="194">
        <v>0</v>
      </c>
      <c r="I3174" s="194">
        <v>0</v>
      </c>
      <c r="J3174" s="194">
        <v>0</v>
      </c>
      <c r="K3174" s="193">
        <f t="shared" si="690"/>
        <v>0</v>
      </c>
      <c r="L3174" s="194">
        <v>3</v>
      </c>
      <c r="M3174" s="194">
        <v>0</v>
      </c>
      <c r="N3174" s="194">
        <v>0</v>
      </c>
      <c r="O3174" s="193">
        <f t="shared" si="691"/>
        <v>3</v>
      </c>
      <c r="P3174" s="194">
        <v>0</v>
      </c>
      <c r="Q3174" s="194">
        <v>0</v>
      </c>
      <c r="R3174" s="194">
        <v>0</v>
      </c>
      <c r="S3174" s="193">
        <f t="shared" si="692"/>
        <v>0</v>
      </c>
      <c r="T3174" s="193">
        <f t="shared" si="693"/>
        <v>0.1</v>
      </c>
      <c r="U3174" s="193">
        <f ca="1">OFFSET('Expenditure Study'!$B$7,'Operations Support'!$C3174,'Operations Support'!$B3174)*$G3174</f>
        <v>4.6500000000000004</v>
      </c>
      <c r="V3174" s="199">
        <f ca="1">U3174*'Expenditure Study'!$B$31</f>
        <v>274.73679072000004</v>
      </c>
      <c r="W3174" s="199">
        <f ca="1">IF(A3174=10298,1.51,1)*IF($B3174&lt;3,$D3174*'Expenditure Study'!$B$32*OFFSET('Expenditure Study'!$B$7,'Operations Support'!$C3174,'Operations Support'!$B3174),0)</f>
        <v>0.46500000000000008</v>
      </c>
      <c r="X3174" s="200">
        <f ca="1">W3174*'Expenditure Study'!$B$31</f>
        <v>27.473679072000007</v>
      </c>
      <c r="Y3174" s="199">
        <f ca="1">U3174*'Expenditure Study'!$B$31</f>
        <v>274.73679072000004</v>
      </c>
      <c r="Z3174" s="200">
        <f ca="1">W3174*'Expenditure Study'!$B$31</f>
        <v>27.473679072000007</v>
      </c>
      <c r="AA3174" s="195">
        <f t="shared" ca="1" si="694"/>
        <v>302.21046979200003</v>
      </c>
      <c r="AB3174" s="195">
        <f t="shared" ca="1" si="695"/>
        <v>302.21046979200003</v>
      </c>
      <c r="AD3174" s="196">
        <f>IFERROR($G3174/SUMIF($A:$A,$A3174,$G:$G)*SUMIF(Summary!$A$166:$A$242,$A3174,Summary!$P$166:$P$242),0)</f>
        <v>111.4046923063768</v>
      </c>
      <c r="AE3174" s="197">
        <f t="shared" ca="1" si="696"/>
        <v>190.80577748562322</v>
      </c>
      <c r="AF3174" s="196">
        <f>IFERROR(G3174/SUMIF(A:A,A3174,G:G)*SUMIF(Summary!$A$166:$A$242,'Operations Support'!A3174,Summary!$Q$166:$Q$242),0)</f>
        <v>111.89371558105516</v>
      </c>
      <c r="AG3174" s="196">
        <f t="shared" ca="1" si="697"/>
        <v>190.31675421094485</v>
      </c>
      <c r="AI3174" s="196">
        <f>IFERROR($G3174/SUMIF($A:$A,$A3174,$G:$G)*SUMIF(Summary!$A$247:$A$283,$A3174,Summary!$P$247:$P$283),0)</f>
        <v>20.317435803576018</v>
      </c>
      <c r="AJ3174" s="196">
        <f>IFERROR($G3174/SUMIF($A:$A,$A3174,$G:$G)*(SUMIF(Summary!$A$247:$A$283,$A3174,Summary!$L$247:$L$283)+SUMIF(Summary!$A$297:$A$333,$A3174,Summary!$L$297:$L$333))-AI3174,0)</f>
        <v>43.83054400685613</v>
      </c>
      <c r="AK3174" s="196">
        <f>IFERROR($G3174/SUMIF($A:$A,$A3174,$G:$G)*SUMIF(Summary!$A$247:$A$283,$A3174,Summary!$Q$247:$Q$283),0)</f>
        <v>20.406621445437569</v>
      </c>
      <c r="AL3174" s="196">
        <f>IFERROR($G3174/SUMIF($A:$A,$A3174,$G:$G)*(SUMIF(Summary!$A$247:$A$283,$A3174,Summary!$L$247:$L$283)+SUMIF(Summary!$A$297:$A$333,$A3174,Summary!$L$297:$L$333))-AK3174,0)</f>
        <v>43.741358364994582</v>
      </c>
      <c r="AM3174" s="198"/>
      <c r="AN3174" s="196">
        <f t="shared" ca="1" si="698"/>
        <v>234.63632149247934</v>
      </c>
      <c r="AO3174" s="196">
        <f t="shared" ca="1" si="699"/>
        <v>234.05811257593945</v>
      </c>
    </row>
    <row r="3175" spans="1:41">
      <c r="A3175" s="189">
        <v>11711</v>
      </c>
      <c r="B3175" s="190">
        <v>1</v>
      </c>
      <c r="C3175" s="191" t="s">
        <v>240</v>
      </c>
      <c r="D3175" s="192">
        <f t="shared" si="686"/>
        <v>0</v>
      </c>
      <c r="E3175" s="192">
        <f t="shared" si="687"/>
        <v>0</v>
      </c>
      <c r="F3175" s="192">
        <f t="shared" si="688"/>
        <v>0</v>
      </c>
      <c r="G3175" s="193">
        <f t="shared" si="689"/>
        <v>0</v>
      </c>
      <c r="H3175" s="194">
        <v>0</v>
      </c>
      <c r="I3175" s="194">
        <v>0</v>
      </c>
      <c r="J3175" s="194">
        <v>0</v>
      </c>
      <c r="K3175" s="193">
        <f t="shared" si="690"/>
        <v>0</v>
      </c>
      <c r="L3175" s="194">
        <v>0</v>
      </c>
      <c r="M3175" s="194">
        <v>0</v>
      </c>
      <c r="N3175" s="194">
        <v>0</v>
      </c>
      <c r="O3175" s="193">
        <f t="shared" si="691"/>
        <v>0</v>
      </c>
      <c r="P3175" s="194">
        <v>0</v>
      </c>
      <c r="Q3175" s="194">
        <v>0</v>
      </c>
      <c r="R3175" s="194">
        <v>0</v>
      </c>
      <c r="S3175" s="193">
        <f t="shared" si="692"/>
        <v>0</v>
      </c>
      <c r="T3175" s="193">
        <f t="shared" si="693"/>
        <v>0</v>
      </c>
      <c r="U3175" s="193">
        <f ca="1">OFFSET('Expenditure Study'!$B$7,'Operations Support'!$C3175,'Operations Support'!$B3175)*$G3175</f>
        <v>0</v>
      </c>
      <c r="V3175" s="199">
        <f ca="1">U3175*'Expenditure Study'!$B$31</f>
        <v>0</v>
      </c>
      <c r="W3175" s="199">
        <f ca="1">IF(A3175=10298,1.51,1)*IF($B3175&lt;3,$D3175*'Expenditure Study'!$B$32*OFFSET('Expenditure Study'!$B$7,'Operations Support'!$C3175,'Operations Support'!$B3175),0)</f>
        <v>0</v>
      </c>
      <c r="X3175" s="200">
        <f ca="1">W3175*'Expenditure Study'!$B$31</f>
        <v>0</v>
      </c>
      <c r="Y3175" s="199">
        <f ca="1">U3175*'Expenditure Study'!$B$31</f>
        <v>0</v>
      </c>
      <c r="Z3175" s="200">
        <f ca="1">W3175*'Expenditure Study'!$B$31</f>
        <v>0</v>
      </c>
      <c r="AA3175" s="195">
        <f t="shared" ca="1" si="694"/>
        <v>0</v>
      </c>
      <c r="AB3175" s="195">
        <f t="shared" ca="1" si="695"/>
        <v>0</v>
      </c>
      <c r="AD3175" s="196">
        <f>IFERROR($G3175/SUMIF($A:$A,$A3175,$G:$G)*SUMIF(Summary!$A$166:$A$242,$A3175,Summary!$P$166:$P$242),0)</f>
        <v>0</v>
      </c>
      <c r="AE3175" s="197">
        <f t="shared" ca="1" si="696"/>
        <v>0</v>
      </c>
      <c r="AF3175" s="196">
        <f>IFERROR(G3175/SUMIF(A:A,A3175,G:G)*SUMIF(Summary!$A$166:$A$242,'Operations Support'!A3175,Summary!$Q$166:$Q$242),0)</f>
        <v>0</v>
      </c>
      <c r="AG3175" s="196">
        <f t="shared" ca="1" si="697"/>
        <v>0</v>
      </c>
      <c r="AI3175" s="196">
        <f>IFERROR($G3175/SUMIF($A:$A,$A3175,$G:$G)*SUMIF(Summary!$A$247:$A$283,$A3175,Summary!$P$247:$P$283),0)</f>
        <v>0</v>
      </c>
      <c r="AJ3175" s="196">
        <f>IFERROR($G3175/SUMIF($A:$A,$A3175,$G:$G)*(SUMIF(Summary!$A$247:$A$283,$A3175,Summary!$L$247:$L$283)+SUMIF(Summary!$A$297:$A$333,$A3175,Summary!$L$297:$L$333))-AI3175,0)</f>
        <v>0</v>
      </c>
      <c r="AK3175" s="196">
        <f>IFERROR($G3175/SUMIF($A:$A,$A3175,$G:$G)*SUMIF(Summary!$A$247:$A$283,$A3175,Summary!$Q$247:$Q$283),0)</f>
        <v>0</v>
      </c>
      <c r="AL3175" s="196">
        <f>IFERROR($G3175/SUMIF($A:$A,$A3175,$G:$G)*(SUMIF(Summary!$A$247:$A$283,$A3175,Summary!$L$247:$L$283)+SUMIF(Summary!$A$297:$A$333,$A3175,Summary!$L$297:$L$333))-AK3175,0)</f>
        <v>0</v>
      </c>
      <c r="AM3175" s="198"/>
      <c r="AN3175" s="196">
        <f t="shared" ca="1" si="698"/>
        <v>0</v>
      </c>
      <c r="AO3175" s="196">
        <f t="shared" ca="1" si="699"/>
        <v>0</v>
      </c>
    </row>
    <row r="3176" spans="1:41">
      <c r="A3176" s="189">
        <v>11711</v>
      </c>
      <c r="B3176" s="190">
        <v>2</v>
      </c>
      <c r="C3176" s="191" t="s">
        <v>220</v>
      </c>
      <c r="D3176" s="192">
        <f t="shared" si="686"/>
        <v>13678</v>
      </c>
      <c r="E3176" s="192">
        <f t="shared" si="687"/>
        <v>17181</v>
      </c>
      <c r="F3176" s="192">
        <f t="shared" si="688"/>
        <v>0</v>
      </c>
      <c r="G3176" s="193">
        <f t="shared" si="689"/>
        <v>30859</v>
      </c>
      <c r="H3176" s="194">
        <v>5956</v>
      </c>
      <c r="I3176" s="194">
        <v>6696</v>
      </c>
      <c r="J3176" s="194">
        <v>0</v>
      </c>
      <c r="K3176" s="193">
        <f t="shared" si="690"/>
        <v>12652</v>
      </c>
      <c r="L3176" s="194">
        <v>5826</v>
      </c>
      <c r="M3176" s="194">
        <v>7290</v>
      </c>
      <c r="N3176" s="194">
        <v>0</v>
      </c>
      <c r="O3176" s="193">
        <f t="shared" si="691"/>
        <v>13116</v>
      </c>
      <c r="P3176" s="194">
        <v>1896</v>
      </c>
      <c r="Q3176" s="194">
        <v>3195</v>
      </c>
      <c r="R3176" s="194">
        <v>0</v>
      </c>
      <c r="S3176" s="193">
        <f t="shared" si="692"/>
        <v>5091</v>
      </c>
      <c r="T3176" s="193">
        <f t="shared" si="693"/>
        <v>1028.6333333333334</v>
      </c>
      <c r="U3176" s="193">
        <f ca="1">OFFSET('Expenditure Study'!$B$7,'Operations Support'!$C3176,'Operations Support'!$B3176)*$G3176</f>
        <v>56780.560000000005</v>
      </c>
      <c r="V3176" s="199">
        <f ca="1">U3176*'Expenditure Study'!$B$31</f>
        <v>3354776.0924052484</v>
      </c>
      <c r="W3176" s="199">
        <f ca="1">IF(A3176=10298,1.51,1)*IF($B3176&lt;3,$D3176*'Expenditure Study'!$B$32*OFFSET('Expenditure Study'!$B$7,'Operations Support'!$C3176,'Operations Support'!$B3176),0)</f>
        <v>2516.7520000000004</v>
      </c>
      <c r="X3176" s="200">
        <f ca="1">W3176*'Expenditure Study'!$B$31</f>
        <v>148697.71344476164</v>
      </c>
      <c r="Y3176" s="199">
        <f ca="1">U3176*'Expenditure Study'!$B$31</f>
        <v>3354776.0924052484</v>
      </c>
      <c r="Z3176" s="200">
        <f ca="1">W3176*'Expenditure Study'!$B$31</f>
        <v>148697.71344476164</v>
      </c>
      <c r="AA3176" s="195">
        <f t="shared" ca="1" si="694"/>
        <v>3503473.8058500099</v>
      </c>
      <c r="AB3176" s="195">
        <f t="shared" ca="1" si="695"/>
        <v>3503473.8058500099</v>
      </c>
      <c r="AD3176" s="196">
        <f>IFERROR($G3176/SUMIF($A:$A,$A3176,$G:$G)*SUMIF(Summary!$A$166:$A$242,$A3176,Summary!$P$166:$P$242),0)</f>
        <v>1145945.7999608272</v>
      </c>
      <c r="AE3176" s="197">
        <f t="shared" ca="1" si="696"/>
        <v>2357528.0058891829</v>
      </c>
      <c r="AF3176" s="196">
        <f>IFERROR(G3176/SUMIF(A:A,A3176,G:G)*SUMIF(Summary!$A$166:$A$242,'Operations Support'!A3176,Summary!$Q$166:$Q$242),0)</f>
        <v>1150976.056371927</v>
      </c>
      <c r="AG3176" s="196">
        <f t="shared" ca="1" si="697"/>
        <v>2352497.7494780831</v>
      </c>
      <c r="AI3176" s="196">
        <f>IFERROR($G3176/SUMIF($A:$A,$A3176,$G:$G)*SUMIF(Summary!$A$247:$A$283,$A3176,Summary!$P$247:$P$283),0)</f>
        <v>208991.91715418414</v>
      </c>
      <c r="AJ3176" s="196">
        <f>IFERROR($G3176/SUMIF($A:$A,$A3176,$G:$G)*(SUMIF(Summary!$A$247:$A$283,$A3176,Summary!$L$247:$L$283)+SUMIF(Summary!$A$297:$A$333,$A3176,Summary!$L$297:$L$333))-AI3176,0)</f>
        <v>450855.58583585772</v>
      </c>
      <c r="AK3176" s="196">
        <f>IFERROR($G3176/SUMIF($A:$A,$A3176,$G:$G)*SUMIF(Summary!$A$247:$A$283,$A3176,Summary!$Q$247:$Q$283),0)</f>
        <v>209909.3103949193</v>
      </c>
      <c r="AL3176" s="196">
        <f>IFERROR($G3176/SUMIF($A:$A,$A3176,$G:$G)*(SUMIF(Summary!$A$247:$A$283,$A3176,Summary!$L$247:$L$283)+SUMIF(Summary!$A$297:$A$333,$A3176,Summary!$L$297:$L$333))-AK3176,0)</f>
        <v>449938.19259512256</v>
      </c>
      <c r="AM3176" s="198"/>
      <c r="AN3176" s="196">
        <f t="shared" ca="1" si="698"/>
        <v>2808383.5917250407</v>
      </c>
      <c r="AO3176" s="196">
        <f t="shared" ca="1" si="699"/>
        <v>2802435.9420732055</v>
      </c>
    </row>
    <row r="3177" spans="1:41">
      <c r="A3177" s="189">
        <v>11711</v>
      </c>
      <c r="B3177" s="190">
        <v>2</v>
      </c>
      <c r="C3177" s="191" t="s">
        <v>221</v>
      </c>
      <c r="D3177" s="192">
        <f t="shared" si="686"/>
        <v>8167</v>
      </c>
      <c r="E3177" s="192">
        <f t="shared" si="687"/>
        <v>5401</v>
      </c>
      <c r="F3177" s="192">
        <f t="shared" si="688"/>
        <v>0</v>
      </c>
      <c r="G3177" s="193">
        <f t="shared" si="689"/>
        <v>13568</v>
      </c>
      <c r="H3177" s="194">
        <v>3520</v>
      </c>
      <c r="I3177" s="194">
        <v>2183</v>
      </c>
      <c r="J3177" s="194">
        <v>0</v>
      </c>
      <c r="K3177" s="193">
        <f t="shared" si="690"/>
        <v>5703</v>
      </c>
      <c r="L3177" s="194">
        <v>3378</v>
      </c>
      <c r="M3177" s="194">
        <v>2556</v>
      </c>
      <c r="N3177" s="194">
        <v>0</v>
      </c>
      <c r="O3177" s="193">
        <f t="shared" si="691"/>
        <v>5934</v>
      </c>
      <c r="P3177" s="194">
        <v>1269</v>
      </c>
      <c r="Q3177" s="194">
        <v>662</v>
      </c>
      <c r="R3177" s="194">
        <v>0</v>
      </c>
      <c r="S3177" s="193">
        <f t="shared" si="692"/>
        <v>1931</v>
      </c>
      <c r="T3177" s="193">
        <f t="shared" si="693"/>
        <v>452.26666666666665</v>
      </c>
      <c r="U3177" s="193">
        <f ca="1">OFFSET('Expenditure Study'!$B$7,'Operations Support'!$C3177,'Operations Support'!$B3177)*$G3177</f>
        <v>35683.839999999997</v>
      </c>
      <c r="V3177" s="199">
        <f ca="1">U3177*'Expenditure Study'!$B$31</f>
        <v>2108314.7703582719</v>
      </c>
      <c r="W3177" s="199">
        <f ca="1">IF(A3177=10298,1.51,1)*IF($B3177&lt;3,$D3177*'Expenditure Study'!$B$32*OFFSET('Expenditure Study'!$B$7,'Operations Support'!$C3177,'Operations Support'!$B3177),0)</f>
        <v>2147.9209999999998</v>
      </c>
      <c r="X3177" s="200">
        <f ca="1">W3177*'Expenditure Study'!$B$31</f>
        <v>126906.00478711679</v>
      </c>
      <c r="Y3177" s="199">
        <f ca="1">U3177*'Expenditure Study'!$B$31</f>
        <v>2108314.7703582719</v>
      </c>
      <c r="Z3177" s="200">
        <f ca="1">W3177*'Expenditure Study'!$B$31</f>
        <v>126906.00478711679</v>
      </c>
      <c r="AA3177" s="195">
        <f t="shared" ca="1" si="694"/>
        <v>2235220.7751453887</v>
      </c>
      <c r="AB3177" s="195">
        <f t="shared" ca="1" si="695"/>
        <v>2235220.7751453887</v>
      </c>
      <c r="AD3177" s="196">
        <f>IFERROR($G3177/SUMIF($A:$A,$A3177,$G:$G)*SUMIF(Summary!$A$166:$A$242,$A3177,Summary!$P$166:$P$242),0)</f>
        <v>503846.2884043068</v>
      </c>
      <c r="AE3177" s="197">
        <f t="shared" ca="1" si="696"/>
        <v>1731374.4867410818</v>
      </c>
      <c r="AF3177" s="196">
        <f>IFERROR(G3177/SUMIF(A:A,A3177,G:G)*SUMIF(Summary!$A$166:$A$242,'Operations Support'!A3177,Summary!$Q$166:$Q$242),0)</f>
        <v>506057.97766791884</v>
      </c>
      <c r="AG3177" s="196">
        <f t="shared" ca="1" si="697"/>
        <v>1729162.7974774698</v>
      </c>
      <c r="AI3177" s="196">
        <f>IFERROR($G3177/SUMIF($A:$A,$A3177,$G:$G)*SUMIF(Summary!$A$247:$A$283,$A3177,Summary!$P$247:$P$283),0)</f>
        <v>91888.989660973137</v>
      </c>
      <c r="AJ3177" s="196">
        <f>IFERROR($G3177/SUMIF($A:$A,$A3177,$G:$G)*(SUMIF(Summary!$A$247:$A$283,$A3177,Summary!$L$247:$L$283)+SUMIF(Summary!$A$297:$A$333,$A3177,Summary!$L$297:$L$333))-AI3177,0)</f>
        <v>198230.94036167464</v>
      </c>
      <c r="AK3177" s="196">
        <f>IFERROR($G3177/SUMIF($A:$A,$A3177,$G:$G)*SUMIF(Summary!$A$247:$A$283,$A3177,Summary!$Q$247:$Q$283),0)</f>
        <v>92292.346590565634</v>
      </c>
      <c r="AL3177" s="196">
        <f>IFERROR($G3177/SUMIF($A:$A,$A3177,$G:$G)*(SUMIF(Summary!$A$247:$A$283,$A3177,Summary!$L$247:$L$283)+SUMIF(Summary!$A$297:$A$333,$A3177,Summary!$L$297:$L$333))-AK3177,0)</f>
        <v>197827.58343208215</v>
      </c>
      <c r="AM3177" s="198"/>
      <c r="AN3177" s="196">
        <f t="shared" ca="1" si="698"/>
        <v>1929605.4271027565</v>
      </c>
      <c r="AO3177" s="196">
        <f t="shared" ca="1" si="699"/>
        <v>1926990.3809095519</v>
      </c>
    </row>
    <row r="3178" spans="1:41" s="201" customFormat="1">
      <c r="A3178" s="189">
        <v>11711</v>
      </c>
      <c r="B3178" s="190">
        <v>2</v>
      </c>
      <c r="C3178" s="191" t="s">
        <v>222</v>
      </c>
      <c r="D3178" s="192">
        <f t="shared" si="686"/>
        <v>1872</v>
      </c>
      <c r="E3178" s="192">
        <f t="shared" si="687"/>
        <v>1197</v>
      </c>
      <c r="F3178" s="192">
        <f t="shared" si="688"/>
        <v>0</v>
      </c>
      <c r="G3178" s="193">
        <f t="shared" si="689"/>
        <v>3069</v>
      </c>
      <c r="H3178" s="194">
        <v>828</v>
      </c>
      <c r="I3178" s="194">
        <v>597</v>
      </c>
      <c r="J3178" s="194">
        <v>0</v>
      </c>
      <c r="K3178" s="193">
        <f t="shared" si="690"/>
        <v>1425</v>
      </c>
      <c r="L3178" s="194">
        <v>777</v>
      </c>
      <c r="M3178" s="194">
        <v>537</v>
      </c>
      <c r="N3178" s="194">
        <v>0</v>
      </c>
      <c r="O3178" s="193">
        <f t="shared" si="691"/>
        <v>1314</v>
      </c>
      <c r="P3178" s="194">
        <v>267</v>
      </c>
      <c r="Q3178" s="194">
        <v>63</v>
      </c>
      <c r="R3178" s="194">
        <v>0</v>
      </c>
      <c r="S3178" s="193">
        <f t="shared" si="692"/>
        <v>330</v>
      </c>
      <c r="T3178" s="193">
        <f t="shared" si="693"/>
        <v>102.3</v>
      </c>
      <c r="U3178" s="193">
        <f ca="1">OFFSET('Expenditure Study'!$B$7,'Operations Support'!$C3178,'Operations Support'!$B3178)*$G3178</f>
        <v>8163.5400000000009</v>
      </c>
      <c r="V3178" s="199">
        <f ca="1">U3178*'Expenditure Study'!$B$31</f>
        <v>482327.90978803206</v>
      </c>
      <c r="W3178" s="199">
        <f ca="1">IF(A3178=10298,1.51,1)*IF($B3178&lt;3,$D3178*'Expenditure Study'!$B$32*OFFSET('Expenditure Study'!$B$7,'Operations Support'!$C3178,'Operations Support'!$B3178),0)</f>
        <v>497.95200000000006</v>
      </c>
      <c r="X3178" s="200">
        <f ca="1">W3178*'Expenditure Study'!$B$31</f>
        <v>29420.588045721604</v>
      </c>
      <c r="Y3178" s="199">
        <f ca="1">U3178*'Expenditure Study'!$B$31</f>
        <v>482327.90978803206</v>
      </c>
      <c r="Z3178" s="200">
        <f ca="1">W3178*'Expenditure Study'!$B$31</f>
        <v>29420.588045721604</v>
      </c>
      <c r="AA3178" s="195">
        <f t="shared" ca="1" si="694"/>
        <v>511748.49783375364</v>
      </c>
      <c r="AB3178" s="195">
        <f t="shared" ca="1" si="695"/>
        <v>511748.49783375364</v>
      </c>
      <c r="AD3178" s="196">
        <f>IFERROR($G3178/SUMIF($A:$A,$A3178,$G:$G)*SUMIF(Summary!$A$166:$A$242,$A3178,Summary!$P$166:$P$242),0)</f>
        <v>113967.00022942347</v>
      </c>
      <c r="AE3178" s="197">
        <f t="shared" ca="1" si="696"/>
        <v>397781.49760433019</v>
      </c>
      <c r="AF3178" s="196">
        <f>IFERROR(G3178/SUMIF(A:A,A3178,G:G)*SUMIF(Summary!$A$166:$A$242,'Operations Support'!A3178,Summary!$Q$166:$Q$242),0)</f>
        <v>114467.27103941944</v>
      </c>
      <c r="AG3178" s="196">
        <f t="shared" ca="1" si="697"/>
        <v>397281.22679433419</v>
      </c>
      <c r="AH3178" s="180"/>
      <c r="AI3178" s="196">
        <f>IFERROR($G3178/SUMIF($A:$A,$A3178,$G:$G)*SUMIF(Summary!$A$247:$A$283,$A3178,Summary!$P$247:$P$283),0)</f>
        <v>20784.736827058266</v>
      </c>
      <c r="AJ3178" s="196">
        <f>IFERROR($G3178/SUMIF($A:$A,$A3178,$G:$G)*(SUMIF(Summary!$A$247:$A$283,$A3178,Summary!$L$247:$L$283)+SUMIF(Summary!$A$297:$A$333,$A3178,Summary!$L$297:$L$333))-AI3178,0)</f>
        <v>44838.646519013826</v>
      </c>
      <c r="AK3178" s="196">
        <f>IFERROR($G3178/SUMIF($A:$A,$A3178,$G:$G)*SUMIF(Summary!$A$247:$A$283,$A3178,Summary!$Q$247:$Q$283),0)</f>
        <v>20875.973738682635</v>
      </c>
      <c r="AL3178" s="196">
        <f>IFERROR($G3178/SUMIF($A:$A,$A3178,$G:$G)*(SUMIF(Summary!$A$247:$A$283,$A3178,Summary!$L$247:$L$283)+SUMIF(Summary!$A$297:$A$333,$A3178,Summary!$L$297:$L$333))-AK3178,0)</f>
        <v>44747.409607389462</v>
      </c>
      <c r="AM3178" s="198"/>
      <c r="AN3178" s="196">
        <f t="shared" ca="1" si="698"/>
        <v>442620.14412334398</v>
      </c>
      <c r="AO3178" s="196">
        <f t="shared" ca="1" si="699"/>
        <v>442028.63640172366</v>
      </c>
    </row>
    <row r="3179" spans="1:41">
      <c r="A3179" s="189">
        <v>11711</v>
      </c>
      <c r="B3179" s="190">
        <v>2</v>
      </c>
      <c r="C3179" s="191" t="s">
        <v>223</v>
      </c>
      <c r="D3179" s="192">
        <f t="shared" si="686"/>
        <v>3165</v>
      </c>
      <c r="E3179" s="192">
        <f t="shared" si="687"/>
        <v>7091</v>
      </c>
      <c r="F3179" s="192">
        <f t="shared" si="688"/>
        <v>0</v>
      </c>
      <c r="G3179" s="193">
        <f t="shared" si="689"/>
        <v>10256</v>
      </c>
      <c r="H3179" s="194">
        <v>1228.5</v>
      </c>
      <c r="I3179" s="194">
        <v>3269.5</v>
      </c>
      <c r="J3179" s="194">
        <v>0</v>
      </c>
      <c r="K3179" s="193">
        <f t="shared" si="690"/>
        <v>4498</v>
      </c>
      <c r="L3179" s="194">
        <v>1246.5</v>
      </c>
      <c r="M3179" s="194">
        <v>3047.5</v>
      </c>
      <c r="N3179" s="194">
        <v>0</v>
      </c>
      <c r="O3179" s="193">
        <f t="shared" si="691"/>
        <v>4294</v>
      </c>
      <c r="P3179" s="194">
        <v>690</v>
      </c>
      <c r="Q3179" s="194">
        <v>774</v>
      </c>
      <c r="R3179" s="194">
        <v>0</v>
      </c>
      <c r="S3179" s="193">
        <f t="shared" si="692"/>
        <v>1464</v>
      </c>
      <c r="T3179" s="193">
        <f t="shared" si="693"/>
        <v>341.86666666666667</v>
      </c>
      <c r="U3179" s="193">
        <f ca="1">OFFSET('Expenditure Study'!$B$7,'Operations Support'!$C3179,'Operations Support'!$B3179)*$G3179</f>
        <v>19486.399999999998</v>
      </c>
      <c r="V3179" s="199">
        <f ca="1">U3179*'Expenditure Study'!$B$31</f>
        <v>1151318.4943411199</v>
      </c>
      <c r="W3179" s="199">
        <f ca="1">IF(A3179=10298,1.51,1)*IF($B3179&lt;3,$D3179*'Expenditure Study'!$B$32*OFFSET('Expenditure Study'!$B$7,'Operations Support'!$C3179,'Operations Support'!$B3179),0)</f>
        <v>601.35</v>
      </c>
      <c r="X3179" s="200">
        <f ca="1">W3179*'Expenditure Study'!$B$31</f>
        <v>35529.670774080005</v>
      </c>
      <c r="Y3179" s="199">
        <f ca="1">U3179*'Expenditure Study'!$B$31</f>
        <v>1151318.4943411199</v>
      </c>
      <c r="Z3179" s="200">
        <f ca="1">W3179*'Expenditure Study'!$B$31</f>
        <v>35529.670774080005</v>
      </c>
      <c r="AA3179" s="195">
        <f t="shared" ca="1" si="694"/>
        <v>1186848.1651152</v>
      </c>
      <c r="AB3179" s="195">
        <f t="shared" ca="1" si="695"/>
        <v>1186848.1651152</v>
      </c>
      <c r="AD3179" s="196">
        <f>IFERROR($G3179/SUMIF($A:$A,$A3179,$G:$G)*SUMIF(Summary!$A$166:$A$242,$A3179,Summary!$P$166:$P$242),0)</f>
        <v>380855.50809806678</v>
      </c>
      <c r="AE3179" s="197">
        <f t="shared" ca="1" si="696"/>
        <v>805992.6570171332</v>
      </c>
      <c r="AF3179" s="196">
        <f>IFERROR(G3179/SUMIF(A:A,A3179,G:G)*SUMIF(Summary!$A$166:$A$242,'Operations Support'!A3179,Summary!$Q$166:$Q$242),0)</f>
        <v>382527.31566643389</v>
      </c>
      <c r="AG3179" s="196">
        <f t="shared" ca="1" si="697"/>
        <v>804320.84944876609</v>
      </c>
      <c r="AI3179" s="196">
        <f>IFERROR($G3179/SUMIF($A:$A,$A3179,$G:$G)*SUMIF(Summary!$A$247:$A$283,$A3179,Summary!$P$247:$P$283),0)</f>
        <v>69458.540533825217</v>
      </c>
      <c r="AJ3179" s="196">
        <f>IFERROR($G3179/SUMIF($A:$A,$A3179,$G:$G)*(SUMIF(Summary!$A$247:$A$283,$A3179,Summary!$L$247:$L$283)+SUMIF(Summary!$A$297:$A$333,$A3179,Summary!$L$297:$L$333))-AI3179,0)</f>
        <v>149842.01977810549</v>
      </c>
      <c r="AK3179" s="196">
        <f>IFERROR($G3179/SUMIF($A:$A,$A3179,$G:$G)*SUMIF(Summary!$A$247:$A$283,$A3179,Summary!$Q$247:$Q$283),0)</f>
        <v>69763.436514802568</v>
      </c>
      <c r="AL3179" s="196">
        <f>IFERROR($G3179/SUMIF($A:$A,$A3179,$G:$G)*(SUMIF(Summary!$A$247:$A$283,$A3179,Summary!$L$247:$L$283)+SUMIF(Summary!$A$297:$A$333,$A3179,Summary!$L$297:$L$333))-AK3179,0)</f>
        <v>149537.12379712812</v>
      </c>
      <c r="AM3179" s="198"/>
      <c r="AN3179" s="196">
        <f t="shared" ca="1" si="698"/>
        <v>955834.67679523863</v>
      </c>
      <c r="AO3179" s="196">
        <f t="shared" ca="1" si="699"/>
        <v>953857.97324589419</v>
      </c>
    </row>
    <row r="3180" spans="1:41">
      <c r="A3180" s="189">
        <v>11711</v>
      </c>
      <c r="B3180" s="190">
        <v>2</v>
      </c>
      <c r="C3180" s="191" t="s">
        <v>224</v>
      </c>
      <c r="D3180" s="192">
        <f t="shared" si="686"/>
        <v>0</v>
      </c>
      <c r="E3180" s="192">
        <f t="shared" si="687"/>
        <v>0</v>
      </c>
      <c r="F3180" s="192">
        <f t="shared" si="688"/>
        <v>0</v>
      </c>
      <c r="G3180" s="193">
        <f t="shared" si="689"/>
        <v>0</v>
      </c>
      <c r="H3180" s="194">
        <v>0</v>
      </c>
      <c r="I3180" s="194">
        <v>0</v>
      </c>
      <c r="J3180" s="194">
        <v>0</v>
      </c>
      <c r="K3180" s="193">
        <f t="shared" si="690"/>
        <v>0</v>
      </c>
      <c r="L3180" s="194">
        <v>0</v>
      </c>
      <c r="M3180" s="194">
        <v>0</v>
      </c>
      <c r="N3180" s="194">
        <v>0</v>
      </c>
      <c r="O3180" s="193">
        <f t="shared" si="691"/>
        <v>0</v>
      </c>
      <c r="P3180" s="194">
        <v>0</v>
      </c>
      <c r="Q3180" s="194">
        <v>0</v>
      </c>
      <c r="R3180" s="194">
        <v>0</v>
      </c>
      <c r="S3180" s="193">
        <f t="shared" si="692"/>
        <v>0</v>
      </c>
      <c r="T3180" s="193">
        <f t="shared" si="693"/>
        <v>0</v>
      </c>
      <c r="U3180" s="193">
        <f ca="1">OFFSET('Expenditure Study'!$B$7,'Operations Support'!$C3180,'Operations Support'!$B3180)*$G3180</f>
        <v>0</v>
      </c>
      <c r="V3180" s="199">
        <f ca="1">U3180*'Expenditure Study'!$B$31</f>
        <v>0</v>
      </c>
      <c r="W3180" s="199">
        <f ca="1">IF(A3180=10298,1.51,1)*IF($B3180&lt;3,$D3180*'Expenditure Study'!$B$32*OFFSET('Expenditure Study'!$B$7,'Operations Support'!$C3180,'Operations Support'!$B3180),0)</f>
        <v>0</v>
      </c>
      <c r="X3180" s="200">
        <f ca="1">W3180*'Expenditure Study'!$B$31</f>
        <v>0</v>
      </c>
      <c r="Y3180" s="199">
        <f ca="1">U3180*'Expenditure Study'!$B$31</f>
        <v>0</v>
      </c>
      <c r="Z3180" s="200">
        <f ca="1">W3180*'Expenditure Study'!$B$31</f>
        <v>0</v>
      </c>
      <c r="AA3180" s="195">
        <f t="shared" ca="1" si="694"/>
        <v>0</v>
      </c>
      <c r="AB3180" s="195">
        <f t="shared" ca="1" si="695"/>
        <v>0</v>
      </c>
      <c r="AD3180" s="196">
        <f>IFERROR($G3180/SUMIF($A:$A,$A3180,$G:$G)*SUMIF(Summary!$A$166:$A$242,$A3180,Summary!$P$166:$P$242),0)</f>
        <v>0</v>
      </c>
      <c r="AE3180" s="197">
        <f t="shared" ca="1" si="696"/>
        <v>0</v>
      </c>
      <c r="AF3180" s="196">
        <f>IFERROR(G3180/SUMIF(A:A,A3180,G:G)*SUMIF(Summary!$A$166:$A$242,'Operations Support'!A3180,Summary!$Q$166:$Q$242),0)</f>
        <v>0</v>
      </c>
      <c r="AG3180" s="196">
        <f t="shared" ca="1" si="697"/>
        <v>0</v>
      </c>
      <c r="AI3180" s="196">
        <f>IFERROR($G3180/SUMIF($A:$A,$A3180,$G:$G)*SUMIF(Summary!$A$247:$A$283,$A3180,Summary!$P$247:$P$283),0)</f>
        <v>0</v>
      </c>
      <c r="AJ3180" s="196">
        <f>IFERROR($G3180/SUMIF($A:$A,$A3180,$G:$G)*(SUMIF(Summary!$A$247:$A$283,$A3180,Summary!$L$247:$L$283)+SUMIF(Summary!$A$297:$A$333,$A3180,Summary!$L$297:$L$333))-AI3180,0)</f>
        <v>0</v>
      </c>
      <c r="AK3180" s="196">
        <f>IFERROR($G3180/SUMIF($A:$A,$A3180,$G:$G)*SUMIF(Summary!$A$247:$A$283,$A3180,Summary!$Q$247:$Q$283),0)</f>
        <v>0</v>
      </c>
      <c r="AL3180" s="196">
        <f>IFERROR($G3180/SUMIF($A:$A,$A3180,$G:$G)*(SUMIF(Summary!$A$247:$A$283,$A3180,Summary!$L$247:$L$283)+SUMIF(Summary!$A$297:$A$333,$A3180,Summary!$L$297:$L$333))-AK3180,0)</f>
        <v>0</v>
      </c>
      <c r="AM3180" s="198"/>
      <c r="AN3180" s="196">
        <f t="shared" ca="1" si="698"/>
        <v>0</v>
      </c>
      <c r="AO3180" s="196">
        <f t="shared" ca="1" si="699"/>
        <v>0</v>
      </c>
    </row>
    <row r="3181" spans="1:41">
      <c r="A3181" s="189">
        <v>11711</v>
      </c>
      <c r="B3181" s="190">
        <v>2</v>
      </c>
      <c r="C3181" s="191" t="s">
        <v>225</v>
      </c>
      <c r="D3181" s="192">
        <f t="shared" si="686"/>
        <v>7552</v>
      </c>
      <c r="E3181" s="192">
        <f t="shared" si="687"/>
        <v>3180</v>
      </c>
      <c r="F3181" s="192">
        <f t="shared" si="688"/>
        <v>0</v>
      </c>
      <c r="G3181" s="193">
        <f t="shared" si="689"/>
        <v>10732</v>
      </c>
      <c r="H3181" s="194">
        <v>3346</v>
      </c>
      <c r="I3181" s="194">
        <v>1308</v>
      </c>
      <c r="J3181" s="194">
        <v>0</v>
      </c>
      <c r="K3181" s="193">
        <f t="shared" si="690"/>
        <v>4654</v>
      </c>
      <c r="L3181" s="194">
        <v>3408</v>
      </c>
      <c r="M3181" s="194">
        <v>1614</v>
      </c>
      <c r="N3181" s="194">
        <v>0</v>
      </c>
      <c r="O3181" s="193">
        <f t="shared" si="691"/>
        <v>5022</v>
      </c>
      <c r="P3181" s="194">
        <v>798</v>
      </c>
      <c r="Q3181" s="194">
        <v>258</v>
      </c>
      <c r="R3181" s="194">
        <v>0</v>
      </c>
      <c r="S3181" s="193">
        <f t="shared" si="692"/>
        <v>1056</v>
      </c>
      <c r="T3181" s="193">
        <f t="shared" si="693"/>
        <v>357.73333333333335</v>
      </c>
      <c r="U3181" s="193">
        <f ca="1">OFFSET('Expenditure Study'!$B$7,'Operations Support'!$C3181,'Operations Support'!$B3181)*$G3181</f>
        <v>30049.599999999999</v>
      </c>
      <c r="V3181" s="199">
        <f ca="1">U3181*'Expenditure Study'!$B$31</f>
        <v>1775425.9497676799</v>
      </c>
      <c r="W3181" s="199">
        <f ca="1">IF(A3181=10298,1.51,1)*IF($B3181&lt;3,$D3181*'Expenditure Study'!$B$32*OFFSET('Expenditure Study'!$B$7,'Operations Support'!$C3181,'Operations Support'!$B3181),0)</f>
        <v>2114.56</v>
      </c>
      <c r="X3181" s="200">
        <f ca="1">W3181*'Expenditure Study'!$B$31</f>
        <v>124934.93079244799</v>
      </c>
      <c r="Y3181" s="199">
        <f ca="1">U3181*'Expenditure Study'!$B$31</f>
        <v>1775425.9497676799</v>
      </c>
      <c r="Z3181" s="200">
        <f ca="1">W3181*'Expenditure Study'!$B$31</f>
        <v>124934.93079244799</v>
      </c>
      <c r="AA3181" s="195">
        <f t="shared" ca="1" si="694"/>
        <v>1900360.880560128</v>
      </c>
      <c r="AB3181" s="195">
        <f t="shared" ca="1" si="695"/>
        <v>1900360.880560128</v>
      </c>
      <c r="AD3181" s="196">
        <f>IFERROR($G3181/SUMIF($A:$A,$A3181,$G:$G)*SUMIF(Summary!$A$166:$A$242,$A3181,Summary!$P$166:$P$242),0)</f>
        <v>398531.71927734528</v>
      </c>
      <c r="AE3181" s="197">
        <f t="shared" ca="1" si="696"/>
        <v>1501829.1612827827</v>
      </c>
      <c r="AF3181" s="196">
        <f>IFERROR(G3181/SUMIF(A:A,A3181,G:G)*SUMIF(Summary!$A$166:$A$242,'Operations Support'!A3181,Summary!$Q$166:$Q$242),0)</f>
        <v>400281.11853862804</v>
      </c>
      <c r="AG3181" s="196">
        <f t="shared" ca="1" si="697"/>
        <v>1500079.7620214999</v>
      </c>
      <c r="AI3181" s="196">
        <f>IFERROR($G3181/SUMIF($A:$A,$A3181,$G:$G)*SUMIF(Summary!$A$247:$A$283,$A3181,Summary!$P$247:$P$283),0)</f>
        <v>72682.240347992614</v>
      </c>
      <c r="AJ3181" s="196">
        <f>IFERROR($G3181/SUMIF($A:$A,$A3181,$G:$G)*(SUMIF(Summary!$A$247:$A$283,$A3181,Summary!$L$247:$L$283)+SUMIF(Summary!$A$297:$A$333,$A3181,Summary!$L$297:$L$333))-AI3181,0)</f>
        <v>156796.46609385998</v>
      </c>
      <c r="AK3181" s="196">
        <f>IFERROR($G3181/SUMIF($A:$A,$A3181,$G:$G)*SUMIF(Summary!$A$247:$A$283,$A3181,Summary!$Q$247:$Q$283),0)</f>
        <v>73001.287117478671</v>
      </c>
      <c r="AL3181" s="196">
        <f>IFERROR($G3181/SUMIF($A:$A,$A3181,$G:$G)*(SUMIF(Summary!$A$247:$A$283,$A3181,Summary!$L$247:$L$283)+SUMIF(Summary!$A$297:$A$333,$A3181,Summary!$L$297:$L$333))-AK3181,0)</f>
        <v>156477.41932437394</v>
      </c>
      <c r="AM3181" s="198"/>
      <c r="AN3181" s="196">
        <f t="shared" ca="1" si="698"/>
        <v>1658625.6273766425</v>
      </c>
      <c r="AO3181" s="196">
        <f t="shared" ca="1" si="699"/>
        <v>1656557.181345874</v>
      </c>
    </row>
    <row r="3182" spans="1:41">
      <c r="A3182" s="189">
        <v>11711</v>
      </c>
      <c r="B3182" s="190">
        <v>2</v>
      </c>
      <c r="C3182" s="191" t="s">
        <v>226</v>
      </c>
      <c r="D3182" s="192">
        <f t="shared" si="686"/>
        <v>363</v>
      </c>
      <c r="E3182" s="192">
        <f t="shared" si="687"/>
        <v>129</v>
      </c>
      <c r="F3182" s="192">
        <f t="shared" si="688"/>
        <v>0</v>
      </c>
      <c r="G3182" s="193">
        <f t="shared" si="689"/>
        <v>492</v>
      </c>
      <c r="H3182" s="194">
        <v>162</v>
      </c>
      <c r="I3182" s="194">
        <v>72</v>
      </c>
      <c r="J3182" s="194">
        <v>0</v>
      </c>
      <c r="K3182" s="193">
        <f t="shared" si="690"/>
        <v>234</v>
      </c>
      <c r="L3182" s="194">
        <v>141</v>
      </c>
      <c r="M3182" s="194">
        <v>57</v>
      </c>
      <c r="N3182" s="194">
        <v>0</v>
      </c>
      <c r="O3182" s="193">
        <f t="shared" si="691"/>
        <v>198</v>
      </c>
      <c r="P3182" s="194">
        <v>60</v>
      </c>
      <c r="Q3182" s="194">
        <v>0</v>
      </c>
      <c r="R3182" s="194">
        <v>0</v>
      </c>
      <c r="S3182" s="193">
        <f t="shared" si="692"/>
        <v>60</v>
      </c>
      <c r="T3182" s="193">
        <f t="shared" si="693"/>
        <v>16.399999999999999</v>
      </c>
      <c r="U3182" s="193">
        <f ca="1">OFFSET('Expenditure Study'!$B$7,'Operations Support'!$C3182,'Operations Support'!$B3182)*$G3182</f>
        <v>885.6</v>
      </c>
      <c r="V3182" s="199">
        <f ca="1">U3182*'Expenditure Study'!$B$31</f>
        <v>52324.064916480005</v>
      </c>
      <c r="W3182" s="199">
        <f ca="1">IF(A3182=10298,1.51,1)*IF($B3182&lt;3,$D3182*'Expenditure Study'!$B$32*OFFSET('Expenditure Study'!$B$7,'Operations Support'!$C3182,'Operations Support'!$B3182),0)</f>
        <v>65.34</v>
      </c>
      <c r="X3182" s="200">
        <f ca="1">W3182*'Expenditure Study'!$B$31</f>
        <v>3860.4950334720002</v>
      </c>
      <c r="Y3182" s="199">
        <f ca="1">U3182*'Expenditure Study'!$B$31</f>
        <v>52324.064916480005</v>
      </c>
      <c r="Z3182" s="200">
        <f ca="1">W3182*'Expenditure Study'!$B$31</f>
        <v>3860.4950334720002</v>
      </c>
      <c r="AA3182" s="195">
        <f t="shared" ca="1" si="694"/>
        <v>56184.559949952003</v>
      </c>
      <c r="AB3182" s="195">
        <f t="shared" ca="1" si="695"/>
        <v>56184.559949952003</v>
      </c>
      <c r="AD3182" s="196">
        <f>IFERROR($G3182/SUMIF($A:$A,$A3182,$G:$G)*SUMIF(Summary!$A$166:$A$242,$A3182,Summary!$P$166:$P$242),0)</f>
        <v>18270.369538245795</v>
      </c>
      <c r="AE3182" s="197">
        <f t="shared" ca="1" si="696"/>
        <v>37914.190411706208</v>
      </c>
      <c r="AF3182" s="196">
        <f>IFERROR(G3182/SUMIF(A:A,A3182,G:G)*SUMIF(Summary!$A$166:$A$242,'Operations Support'!A3182,Summary!$Q$166:$Q$242),0)</f>
        <v>18350.569355293046</v>
      </c>
      <c r="AG3182" s="196">
        <f t="shared" ca="1" si="697"/>
        <v>37833.990594658957</v>
      </c>
      <c r="AI3182" s="196">
        <f>IFERROR($G3182/SUMIF($A:$A,$A3182,$G:$G)*SUMIF(Summary!$A$247:$A$283,$A3182,Summary!$P$247:$P$283),0)</f>
        <v>3332.0594717864669</v>
      </c>
      <c r="AJ3182" s="196">
        <f>IFERROR($G3182/SUMIF($A:$A,$A3182,$G:$G)*(SUMIF(Summary!$A$247:$A$283,$A3182,Summary!$L$247:$L$283)+SUMIF(Summary!$A$297:$A$333,$A3182,Summary!$L$297:$L$333))-AI3182,0)</f>
        <v>7188.2092171244049</v>
      </c>
      <c r="AK3182" s="196">
        <f>IFERROR($G3182/SUMIF($A:$A,$A3182,$G:$G)*SUMIF(Summary!$A$247:$A$283,$A3182,Summary!$Q$247:$Q$283),0)</f>
        <v>3346.685917051761</v>
      </c>
      <c r="AL3182" s="196">
        <f>IFERROR($G3182/SUMIF($A:$A,$A3182,$G:$G)*(SUMIF(Summary!$A$247:$A$283,$A3182,Summary!$L$247:$L$283)+SUMIF(Summary!$A$297:$A$333,$A3182,Summary!$L$297:$L$333))-AK3182,0)</f>
        <v>7173.5827718591108</v>
      </c>
      <c r="AM3182" s="198"/>
      <c r="AN3182" s="196">
        <f t="shared" ca="1" si="698"/>
        <v>45102.399628830615</v>
      </c>
      <c r="AO3182" s="196">
        <f t="shared" ca="1" si="699"/>
        <v>45007.573366518067</v>
      </c>
    </row>
    <row r="3183" spans="1:41">
      <c r="A3183" s="189">
        <v>11711</v>
      </c>
      <c r="B3183" s="190">
        <v>2</v>
      </c>
      <c r="C3183" s="191" t="s">
        <v>227</v>
      </c>
      <c r="D3183" s="192">
        <f t="shared" si="686"/>
        <v>0</v>
      </c>
      <c r="E3183" s="192">
        <f t="shared" si="687"/>
        <v>0</v>
      </c>
      <c r="F3183" s="192">
        <f t="shared" si="688"/>
        <v>0</v>
      </c>
      <c r="G3183" s="193">
        <f t="shared" si="689"/>
        <v>0</v>
      </c>
      <c r="H3183" s="194">
        <v>0</v>
      </c>
      <c r="I3183" s="194">
        <v>0</v>
      </c>
      <c r="J3183" s="194">
        <v>0</v>
      </c>
      <c r="K3183" s="193">
        <f t="shared" si="690"/>
        <v>0</v>
      </c>
      <c r="L3183" s="194">
        <v>0</v>
      </c>
      <c r="M3183" s="194">
        <v>0</v>
      </c>
      <c r="N3183" s="194">
        <v>0</v>
      </c>
      <c r="O3183" s="193">
        <f t="shared" si="691"/>
        <v>0</v>
      </c>
      <c r="P3183" s="194">
        <v>0</v>
      </c>
      <c r="Q3183" s="194">
        <v>0</v>
      </c>
      <c r="R3183" s="194">
        <v>0</v>
      </c>
      <c r="S3183" s="193">
        <f t="shared" si="692"/>
        <v>0</v>
      </c>
      <c r="T3183" s="193">
        <f t="shared" si="693"/>
        <v>0</v>
      </c>
      <c r="U3183" s="193">
        <f ca="1">OFFSET('Expenditure Study'!$B$7,'Operations Support'!$C3183,'Operations Support'!$B3183)*$G3183</f>
        <v>0</v>
      </c>
      <c r="V3183" s="199">
        <f ca="1">U3183*'Expenditure Study'!$B$31</f>
        <v>0</v>
      </c>
      <c r="W3183" s="199">
        <f ca="1">IF(A3183=10298,1.51,1)*IF($B3183&lt;3,$D3183*'Expenditure Study'!$B$32*OFFSET('Expenditure Study'!$B$7,'Operations Support'!$C3183,'Operations Support'!$B3183),0)</f>
        <v>0</v>
      </c>
      <c r="X3183" s="200">
        <f ca="1">W3183*'Expenditure Study'!$B$31</f>
        <v>0</v>
      </c>
      <c r="Y3183" s="199">
        <f ca="1">U3183*'Expenditure Study'!$B$31</f>
        <v>0</v>
      </c>
      <c r="Z3183" s="200">
        <f ca="1">W3183*'Expenditure Study'!$B$31</f>
        <v>0</v>
      </c>
      <c r="AA3183" s="195">
        <f t="shared" ca="1" si="694"/>
        <v>0</v>
      </c>
      <c r="AB3183" s="195">
        <f t="shared" ca="1" si="695"/>
        <v>0</v>
      </c>
      <c r="AD3183" s="196">
        <f>IFERROR($G3183/SUMIF($A:$A,$A3183,$G:$G)*SUMIF(Summary!$A$166:$A$242,$A3183,Summary!$P$166:$P$242),0)</f>
        <v>0</v>
      </c>
      <c r="AE3183" s="197">
        <f t="shared" ca="1" si="696"/>
        <v>0</v>
      </c>
      <c r="AF3183" s="196">
        <f>IFERROR(G3183/SUMIF(A:A,A3183,G:G)*SUMIF(Summary!$A$166:$A$242,'Operations Support'!A3183,Summary!$Q$166:$Q$242),0)</f>
        <v>0</v>
      </c>
      <c r="AG3183" s="196">
        <f t="shared" ca="1" si="697"/>
        <v>0</v>
      </c>
      <c r="AI3183" s="196">
        <f>IFERROR($G3183/SUMIF($A:$A,$A3183,$G:$G)*SUMIF(Summary!$A$247:$A$283,$A3183,Summary!$P$247:$P$283),0)</f>
        <v>0</v>
      </c>
      <c r="AJ3183" s="196">
        <f>IFERROR($G3183/SUMIF($A:$A,$A3183,$G:$G)*(SUMIF(Summary!$A$247:$A$283,$A3183,Summary!$L$247:$L$283)+SUMIF(Summary!$A$297:$A$333,$A3183,Summary!$L$297:$L$333))-AI3183,0)</f>
        <v>0</v>
      </c>
      <c r="AK3183" s="196">
        <f>IFERROR($G3183/SUMIF($A:$A,$A3183,$G:$G)*SUMIF(Summary!$A$247:$A$283,$A3183,Summary!$Q$247:$Q$283),0)</f>
        <v>0</v>
      </c>
      <c r="AL3183" s="196">
        <f>IFERROR($G3183/SUMIF($A:$A,$A3183,$G:$G)*(SUMIF(Summary!$A$247:$A$283,$A3183,Summary!$L$247:$L$283)+SUMIF(Summary!$A$297:$A$333,$A3183,Summary!$L$297:$L$333))-AK3183,0)</f>
        <v>0</v>
      </c>
      <c r="AM3183" s="198"/>
      <c r="AN3183" s="196">
        <f t="shared" ca="1" si="698"/>
        <v>0</v>
      </c>
      <c r="AO3183" s="196">
        <f t="shared" ca="1" si="699"/>
        <v>0</v>
      </c>
    </row>
    <row r="3184" spans="1:41">
      <c r="A3184" s="189">
        <v>11711</v>
      </c>
      <c r="B3184" s="190">
        <v>2</v>
      </c>
      <c r="C3184" s="191" t="s">
        <v>228</v>
      </c>
      <c r="D3184" s="192">
        <f t="shared" si="686"/>
        <v>531</v>
      </c>
      <c r="E3184" s="192">
        <f t="shared" si="687"/>
        <v>516</v>
      </c>
      <c r="F3184" s="192">
        <f t="shared" si="688"/>
        <v>0</v>
      </c>
      <c r="G3184" s="193">
        <f t="shared" si="689"/>
        <v>1047</v>
      </c>
      <c r="H3184" s="194">
        <v>252</v>
      </c>
      <c r="I3184" s="194">
        <v>228</v>
      </c>
      <c r="J3184" s="194">
        <v>0</v>
      </c>
      <c r="K3184" s="193">
        <f t="shared" si="690"/>
        <v>480</v>
      </c>
      <c r="L3184" s="194">
        <v>279</v>
      </c>
      <c r="M3184" s="194">
        <v>246</v>
      </c>
      <c r="N3184" s="194">
        <v>0</v>
      </c>
      <c r="O3184" s="193">
        <f t="shared" si="691"/>
        <v>525</v>
      </c>
      <c r="P3184" s="194">
        <v>0</v>
      </c>
      <c r="Q3184" s="194">
        <v>42</v>
      </c>
      <c r="R3184" s="194">
        <v>0</v>
      </c>
      <c r="S3184" s="193">
        <f t="shared" si="692"/>
        <v>42</v>
      </c>
      <c r="T3184" s="193">
        <f t="shared" si="693"/>
        <v>34.9</v>
      </c>
      <c r="U3184" s="193">
        <f ca="1">OFFSET('Expenditure Study'!$B$7,'Operations Support'!$C3184,'Operations Support'!$B3184)*$G3184</f>
        <v>1999.77</v>
      </c>
      <c r="V3184" s="199">
        <f ca="1">U3184*'Expenditure Study'!$B$31</f>
        <v>118152.77246841601</v>
      </c>
      <c r="W3184" s="199">
        <f ca="1">IF(A3184=10298,1.51,1)*IF($B3184&lt;3,$D3184*'Expenditure Study'!$B$32*OFFSET('Expenditure Study'!$B$7,'Operations Support'!$C3184,'Operations Support'!$B3184),0)</f>
        <v>101.42099999999999</v>
      </c>
      <c r="X3184" s="200">
        <f ca="1">W3184*'Expenditure Study'!$B$31</f>
        <v>5992.2752799167993</v>
      </c>
      <c r="Y3184" s="199">
        <f ca="1">U3184*'Expenditure Study'!$B$31</f>
        <v>118152.77246841601</v>
      </c>
      <c r="Z3184" s="200">
        <f ca="1">W3184*'Expenditure Study'!$B$31</f>
        <v>5992.2752799167993</v>
      </c>
      <c r="AA3184" s="195">
        <f t="shared" ca="1" si="694"/>
        <v>124145.0477483328</v>
      </c>
      <c r="AB3184" s="195">
        <f t="shared" ca="1" si="695"/>
        <v>124145.0477483328</v>
      </c>
      <c r="AD3184" s="196">
        <f>IFERROR($G3184/SUMIF($A:$A,$A3184,$G:$G)*SUMIF(Summary!$A$166:$A$242,$A3184,Summary!$P$166:$P$242),0)</f>
        <v>38880.237614925507</v>
      </c>
      <c r="AE3184" s="197">
        <f t="shared" ca="1" si="696"/>
        <v>85264.8101334073</v>
      </c>
      <c r="AF3184" s="196">
        <f>IFERROR(G3184/SUMIF(A:A,A3184,G:G)*SUMIF(Summary!$A$166:$A$242,'Operations Support'!A3184,Summary!$Q$166:$Q$242),0)</f>
        <v>39050.906737788253</v>
      </c>
      <c r="AG3184" s="196">
        <f t="shared" ca="1" si="697"/>
        <v>85094.141010544554</v>
      </c>
      <c r="AI3184" s="196">
        <f>IFERROR($G3184/SUMIF($A:$A,$A3184,$G:$G)*SUMIF(Summary!$A$247:$A$283,$A3184,Summary!$P$247:$P$283),0)</f>
        <v>7090.7850954480309</v>
      </c>
      <c r="AJ3184" s="196">
        <f>IFERROR($G3184/SUMIF($A:$A,$A3184,$G:$G)*(SUMIF(Summary!$A$247:$A$283,$A3184,Summary!$L$247:$L$283)+SUMIF(Summary!$A$297:$A$333,$A3184,Summary!$L$297:$L$333))-AI3184,0)</f>
        <v>15296.859858392789</v>
      </c>
      <c r="AK3184" s="196">
        <f>IFERROR($G3184/SUMIF($A:$A,$A3184,$G:$G)*SUMIF(Summary!$A$247:$A$283,$A3184,Summary!$Q$247:$Q$283),0)</f>
        <v>7121.9108844577113</v>
      </c>
      <c r="AL3184" s="196">
        <f>IFERROR($G3184/SUMIF($A:$A,$A3184,$G:$G)*(SUMIF(Summary!$A$247:$A$283,$A3184,Summary!$L$247:$L$283)+SUMIF(Summary!$A$297:$A$333,$A3184,Summary!$L$297:$L$333))-AK3184,0)</f>
        <v>15265.734069383108</v>
      </c>
      <c r="AM3184" s="198"/>
      <c r="AN3184" s="196">
        <f t="shared" ca="1" si="698"/>
        <v>100561.6699918001</v>
      </c>
      <c r="AO3184" s="196">
        <f t="shared" ca="1" si="699"/>
        <v>100359.87507992766</v>
      </c>
    </row>
    <row r="3185" spans="1:41">
      <c r="A3185" s="189">
        <v>11711</v>
      </c>
      <c r="B3185" s="190">
        <v>2</v>
      </c>
      <c r="C3185" s="191" t="s">
        <v>229</v>
      </c>
      <c r="D3185" s="192">
        <f t="shared" si="686"/>
        <v>0</v>
      </c>
      <c r="E3185" s="192">
        <f t="shared" si="687"/>
        <v>0</v>
      </c>
      <c r="F3185" s="192">
        <f t="shared" si="688"/>
        <v>0</v>
      </c>
      <c r="G3185" s="193">
        <f t="shared" si="689"/>
        <v>0</v>
      </c>
      <c r="H3185" s="194">
        <v>0</v>
      </c>
      <c r="I3185" s="194">
        <v>0</v>
      </c>
      <c r="J3185" s="194">
        <v>0</v>
      </c>
      <c r="K3185" s="193">
        <f t="shared" si="690"/>
        <v>0</v>
      </c>
      <c r="L3185" s="194">
        <v>0</v>
      </c>
      <c r="M3185" s="194">
        <v>0</v>
      </c>
      <c r="N3185" s="194">
        <v>0</v>
      </c>
      <c r="O3185" s="193">
        <f t="shared" si="691"/>
        <v>0</v>
      </c>
      <c r="P3185" s="194">
        <v>0</v>
      </c>
      <c r="Q3185" s="194">
        <v>0</v>
      </c>
      <c r="R3185" s="194">
        <v>0</v>
      </c>
      <c r="S3185" s="193">
        <f t="shared" si="692"/>
        <v>0</v>
      </c>
      <c r="T3185" s="193">
        <f t="shared" si="693"/>
        <v>0</v>
      </c>
      <c r="U3185" s="193">
        <f ca="1">OFFSET('Expenditure Study'!$B$7,'Operations Support'!$C3185,'Operations Support'!$B3185)*$G3185</f>
        <v>0</v>
      </c>
      <c r="V3185" s="199">
        <f ca="1">U3185*'Expenditure Study'!$B$31</f>
        <v>0</v>
      </c>
      <c r="W3185" s="199">
        <f ca="1">IF(A3185=10298,1.51,1)*IF($B3185&lt;3,$D3185*'Expenditure Study'!$B$32*OFFSET('Expenditure Study'!$B$7,'Operations Support'!$C3185,'Operations Support'!$B3185),0)</f>
        <v>0</v>
      </c>
      <c r="X3185" s="200">
        <f ca="1">W3185*'Expenditure Study'!$B$31</f>
        <v>0</v>
      </c>
      <c r="Y3185" s="199">
        <f ca="1">U3185*'Expenditure Study'!$B$31</f>
        <v>0</v>
      </c>
      <c r="Z3185" s="200">
        <f ca="1">W3185*'Expenditure Study'!$B$31</f>
        <v>0</v>
      </c>
      <c r="AA3185" s="195">
        <f t="shared" ca="1" si="694"/>
        <v>0</v>
      </c>
      <c r="AB3185" s="195">
        <f t="shared" ca="1" si="695"/>
        <v>0</v>
      </c>
      <c r="AD3185" s="196">
        <f>IFERROR($G3185/SUMIF($A:$A,$A3185,$G:$G)*SUMIF(Summary!$A$166:$A$242,$A3185,Summary!$P$166:$P$242),0)</f>
        <v>0</v>
      </c>
      <c r="AE3185" s="197">
        <f t="shared" ca="1" si="696"/>
        <v>0</v>
      </c>
      <c r="AF3185" s="196">
        <f>IFERROR(G3185/SUMIF(A:A,A3185,G:G)*SUMIF(Summary!$A$166:$A$242,'Operations Support'!A3185,Summary!$Q$166:$Q$242),0)</f>
        <v>0</v>
      </c>
      <c r="AG3185" s="196">
        <f t="shared" ca="1" si="697"/>
        <v>0</v>
      </c>
      <c r="AI3185" s="196">
        <f>IFERROR($G3185/SUMIF($A:$A,$A3185,$G:$G)*SUMIF(Summary!$A$247:$A$283,$A3185,Summary!$P$247:$P$283),0)</f>
        <v>0</v>
      </c>
      <c r="AJ3185" s="196">
        <f>IFERROR($G3185/SUMIF($A:$A,$A3185,$G:$G)*(SUMIF(Summary!$A$247:$A$283,$A3185,Summary!$L$247:$L$283)+SUMIF(Summary!$A$297:$A$333,$A3185,Summary!$L$297:$L$333))-AI3185,0)</f>
        <v>0</v>
      </c>
      <c r="AK3185" s="196">
        <f>IFERROR($G3185/SUMIF($A:$A,$A3185,$G:$G)*SUMIF(Summary!$A$247:$A$283,$A3185,Summary!$Q$247:$Q$283),0)</f>
        <v>0</v>
      </c>
      <c r="AL3185" s="196">
        <f>IFERROR($G3185/SUMIF($A:$A,$A3185,$G:$G)*(SUMIF(Summary!$A$247:$A$283,$A3185,Summary!$L$247:$L$283)+SUMIF(Summary!$A$297:$A$333,$A3185,Summary!$L$297:$L$333))-AK3185,0)</f>
        <v>0</v>
      </c>
      <c r="AM3185" s="198"/>
      <c r="AN3185" s="196">
        <f t="shared" ca="1" si="698"/>
        <v>0</v>
      </c>
      <c r="AO3185" s="196">
        <f t="shared" ca="1" si="699"/>
        <v>0</v>
      </c>
    </row>
    <row r="3186" spans="1:41">
      <c r="A3186" s="189">
        <v>11711</v>
      </c>
      <c r="B3186" s="190">
        <v>2</v>
      </c>
      <c r="C3186" s="191" t="s">
        <v>230</v>
      </c>
      <c r="D3186" s="192">
        <f t="shared" si="686"/>
        <v>0</v>
      </c>
      <c r="E3186" s="192">
        <f t="shared" si="687"/>
        <v>0</v>
      </c>
      <c r="F3186" s="192">
        <f t="shared" si="688"/>
        <v>0</v>
      </c>
      <c r="G3186" s="193">
        <f t="shared" si="689"/>
        <v>0</v>
      </c>
      <c r="H3186" s="194">
        <v>0</v>
      </c>
      <c r="I3186" s="194">
        <v>0</v>
      </c>
      <c r="J3186" s="194">
        <v>0</v>
      </c>
      <c r="K3186" s="193">
        <f t="shared" si="690"/>
        <v>0</v>
      </c>
      <c r="L3186" s="194">
        <v>0</v>
      </c>
      <c r="M3186" s="194">
        <v>0</v>
      </c>
      <c r="N3186" s="194">
        <v>0</v>
      </c>
      <c r="O3186" s="193">
        <f t="shared" si="691"/>
        <v>0</v>
      </c>
      <c r="P3186" s="194">
        <v>0</v>
      </c>
      <c r="Q3186" s="194">
        <v>0</v>
      </c>
      <c r="R3186" s="194">
        <v>0</v>
      </c>
      <c r="S3186" s="193">
        <f t="shared" si="692"/>
        <v>0</v>
      </c>
      <c r="T3186" s="193">
        <f t="shared" si="693"/>
        <v>0</v>
      </c>
      <c r="U3186" s="193">
        <f ca="1">OFFSET('Expenditure Study'!$B$7,'Operations Support'!$C3186,'Operations Support'!$B3186)*$G3186</f>
        <v>0</v>
      </c>
      <c r="V3186" s="199">
        <f ca="1">U3186*'Expenditure Study'!$B$31</f>
        <v>0</v>
      </c>
      <c r="W3186" s="199">
        <f ca="1">IF(A3186=10298,1.51,1)*IF($B3186&lt;3,$D3186*'Expenditure Study'!$B$32*OFFSET('Expenditure Study'!$B$7,'Operations Support'!$C3186,'Operations Support'!$B3186),0)</f>
        <v>0</v>
      </c>
      <c r="X3186" s="200">
        <f ca="1">W3186*'Expenditure Study'!$B$31</f>
        <v>0</v>
      </c>
      <c r="Y3186" s="199">
        <f ca="1">U3186*'Expenditure Study'!$B$31</f>
        <v>0</v>
      </c>
      <c r="Z3186" s="200">
        <f ca="1">W3186*'Expenditure Study'!$B$31</f>
        <v>0</v>
      </c>
      <c r="AA3186" s="195">
        <f t="shared" ca="1" si="694"/>
        <v>0</v>
      </c>
      <c r="AB3186" s="195">
        <f t="shared" ca="1" si="695"/>
        <v>0</v>
      </c>
      <c r="AD3186" s="196">
        <f>IFERROR($G3186/SUMIF($A:$A,$A3186,$G:$G)*SUMIF(Summary!$A$166:$A$242,$A3186,Summary!$P$166:$P$242),0)</f>
        <v>0</v>
      </c>
      <c r="AE3186" s="197">
        <f t="shared" ca="1" si="696"/>
        <v>0</v>
      </c>
      <c r="AF3186" s="196">
        <f>IFERROR(G3186/SUMIF(A:A,A3186,G:G)*SUMIF(Summary!$A$166:$A$242,'Operations Support'!A3186,Summary!$Q$166:$Q$242),0)</f>
        <v>0</v>
      </c>
      <c r="AG3186" s="196">
        <f t="shared" ca="1" si="697"/>
        <v>0</v>
      </c>
      <c r="AI3186" s="196">
        <f>IFERROR($G3186/SUMIF($A:$A,$A3186,$G:$G)*SUMIF(Summary!$A$247:$A$283,$A3186,Summary!$P$247:$P$283),0)</f>
        <v>0</v>
      </c>
      <c r="AJ3186" s="196">
        <f>IFERROR($G3186/SUMIF($A:$A,$A3186,$G:$G)*(SUMIF(Summary!$A$247:$A$283,$A3186,Summary!$L$247:$L$283)+SUMIF(Summary!$A$297:$A$333,$A3186,Summary!$L$297:$L$333))-AI3186,0)</f>
        <v>0</v>
      </c>
      <c r="AK3186" s="196">
        <f>IFERROR($G3186/SUMIF($A:$A,$A3186,$G:$G)*SUMIF(Summary!$A$247:$A$283,$A3186,Summary!$Q$247:$Q$283),0)</f>
        <v>0</v>
      </c>
      <c r="AL3186" s="196">
        <f>IFERROR($G3186/SUMIF($A:$A,$A3186,$G:$G)*(SUMIF(Summary!$A$247:$A$283,$A3186,Summary!$L$247:$L$283)+SUMIF(Summary!$A$297:$A$333,$A3186,Summary!$L$297:$L$333))-AK3186,0)</f>
        <v>0</v>
      </c>
      <c r="AM3186" s="198"/>
      <c r="AN3186" s="196">
        <f t="shared" ca="1" si="698"/>
        <v>0</v>
      </c>
      <c r="AO3186" s="196">
        <f t="shared" ca="1" si="699"/>
        <v>0</v>
      </c>
    </row>
    <row r="3187" spans="1:41">
      <c r="A3187" s="189">
        <v>11711</v>
      </c>
      <c r="B3187" s="190">
        <v>2</v>
      </c>
      <c r="C3187" s="191" t="s">
        <v>231</v>
      </c>
      <c r="D3187" s="192">
        <f t="shared" si="686"/>
        <v>594</v>
      </c>
      <c r="E3187" s="192">
        <f t="shared" si="687"/>
        <v>381</v>
      </c>
      <c r="F3187" s="192">
        <f t="shared" si="688"/>
        <v>0</v>
      </c>
      <c r="G3187" s="193">
        <f t="shared" si="689"/>
        <v>975</v>
      </c>
      <c r="H3187" s="194">
        <v>282</v>
      </c>
      <c r="I3187" s="194">
        <v>138</v>
      </c>
      <c r="J3187" s="194">
        <v>0</v>
      </c>
      <c r="K3187" s="193">
        <f t="shared" si="690"/>
        <v>420</v>
      </c>
      <c r="L3187" s="194">
        <v>216</v>
      </c>
      <c r="M3187" s="194">
        <v>243</v>
      </c>
      <c r="N3187" s="194">
        <v>0</v>
      </c>
      <c r="O3187" s="193">
        <f t="shared" si="691"/>
        <v>459</v>
      </c>
      <c r="P3187" s="194">
        <v>96</v>
      </c>
      <c r="Q3187" s="194">
        <v>0</v>
      </c>
      <c r="R3187" s="194">
        <v>0</v>
      </c>
      <c r="S3187" s="193">
        <f t="shared" si="692"/>
        <v>96</v>
      </c>
      <c r="T3187" s="193">
        <f t="shared" si="693"/>
        <v>32.5</v>
      </c>
      <c r="U3187" s="193">
        <f ca="1">OFFSET('Expenditure Study'!$B$7,'Operations Support'!$C3187,'Operations Support'!$B3187)*$G3187</f>
        <v>3432</v>
      </c>
      <c r="V3187" s="199">
        <f ca="1">U3187*'Expenditure Study'!$B$31</f>
        <v>202773.4765056</v>
      </c>
      <c r="W3187" s="199">
        <f ca="1">IF(A3187=10298,1.51,1)*IF($B3187&lt;3,$D3187*'Expenditure Study'!$B$32*OFFSET('Expenditure Study'!$B$7,'Operations Support'!$C3187,'Operations Support'!$B3187),0)</f>
        <v>209.08800000000002</v>
      </c>
      <c r="X3187" s="200">
        <f ca="1">W3187*'Expenditure Study'!$B$31</f>
        <v>12353.584107110402</v>
      </c>
      <c r="Y3187" s="199">
        <f ca="1">U3187*'Expenditure Study'!$B$31</f>
        <v>202773.4765056</v>
      </c>
      <c r="Z3187" s="200">
        <f ca="1">W3187*'Expenditure Study'!$B$31</f>
        <v>12353.584107110402</v>
      </c>
      <c r="AA3187" s="195">
        <f t="shared" ca="1" si="694"/>
        <v>215127.0606127104</v>
      </c>
      <c r="AB3187" s="195">
        <f t="shared" ca="1" si="695"/>
        <v>215127.0606127104</v>
      </c>
      <c r="AD3187" s="196">
        <f>IFERROR($G3187/SUMIF($A:$A,$A3187,$G:$G)*SUMIF(Summary!$A$166:$A$242,$A3187,Summary!$P$166:$P$242),0)</f>
        <v>36206.524999572459</v>
      </c>
      <c r="AE3187" s="197">
        <f t="shared" ca="1" si="696"/>
        <v>178920.53561313794</v>
      </c>
      <c r="AF3187" s="196">
        <f>IFERROR(G3187/SUMIF(A:A,A3187,G:G)*SUMIF(Summary!$A$166:$A$242,'Operations Support'!A3187,Summary!$Q$166:$Q$242),0)</f>
        <v>36365.457563842931</v>
      </c>
      <c r="AG3187" s="196">
        <f t="shared" ca="1" si="697"/>
        <v>178761.60304886746</v>
      </c>
      <c r="AI3187" s="196">
        <f>IFERROR($G3187/SUMIF($A:$A,$A3187,$G:$G)*SUMIF(Summary!$A$247:$A$283,$A3187,Summary!$P$247:$P$283),0)</f>
        <v>6603.1666361622065</v>
      </c>
      <c r="AJ3187" s="196">
        <f>IFERROR($G3187/SUMIF($A:$A,$A3187,$G:$G)*(SUMIF(Summary!$A$247:$A$283,$A3187,Summary!$L$247:$L$283)+SUMIF(Summary!$A$297:$A$333,$A3187,Summary!$L$297:$L$333))-AI3187,0)</f>
        <v>14244.926802228239</v>
      </c>
      <c r="AK3187" s="196">
        <f>IFERROR($G3187/SUMIF($A:$A,$A3187,$G:$G)*SUMIF(Summary!$A$247:$A$283,$A3187,Summary!$Q$247:$Q$283),0)</f>
        <v>6632.1519697672093</v>
      </c>
      <c r="AL3187" s="196">
        <f>IFERROR($G3187/SUMIF($A:$A,$A3187,$G:$G)*(SUMIF(Summary!$A$247:$A$283,$A3187,Summary!$L$247:$L$283)+SUMIF(Summary!$A$297:$A$333,$A3187,Summary!$L$297:$L$333))-AK3187,0)</f>
        <v>14215.941468623238</v>
      </c>
      <c r="AM3187" s="198"/>
      <c r="AN3187" s="196">
        <f t="shared" ca="1" si="698"/>
        <v>193165.46241536617</v>
      </c>
      <c r="AO3187" s="196">
        <f t="shared" ca="1" si="699"/>
        <v>192977.54451749069</v>
      </c>
    </row>
    <row r="3188" spans="1:41">
      <c r="A3188" s="189">
        <v>11711</v>
      </c>
      <c r="B3188" s="190">
        <v>2</v>
      </c>
      <c r="C3188" s="191" t="s">
        <v>232</v>
      </c>
      <c r="D3188" s="192">
        <f t="shared" si="686"/>
        <v>0</v>
      </c>
      <c r="E3188" s="192">
        <f t="shared" si="687"/>
        <v>0</v>
      </c>
      <c r="F3188" s="192">
        <f t="shared" si="688"/>
        <v>0</v>
      </c>
      <c r="G3188" s="193">
        <f t="shared" si="689"/>
        <v>0</v>
      </c>
      <c r="H3188" s="194">
        <v>0</v>
      </c>
      <c r="I3188" s="194">
        <v>0</v>
      </c>
      <c r="J3188" s="194">
        <v>0</v>
      </c>
      <c r="K3188" s="193">
        <f t="shared" si="690"/>
        <v>0</v>
      </c>
      <c r="L3188" s="194">
        <v>0</v>
      </c>
      <c r="M3188" s="194">
        <v>0</v>
      </c>
      <c r="N3188" s="194">
        <v>0</v>
      </c>
      <c r="O3188" s="193">
        <f t="shared" si="691"/>
        <v>0</v>
      </c>
      <c r="P3188" s="194">
        <v>0</v>
      </c>
      <c r="Q3188" s="194">
        <v>0</v>
      </c>
      <c r="R3188" s="194">
        <v>0</v>
      </c>
      <c r="S3188" s="193">
        <f t="shared" si="692"/>
        <v>0</v>
      </c>
      <c r="T3188" s="193">
        <f t="shared" si="693"/>
        <v>0</v>
      </c>
      <c r="U3188" s="193">
        <f ca="1">OFFSET('Expenditure Study'!$B$7,'Operations Support'!$C3188,'Operations Support'!$B3188)*$G3188</f>
        <v>0</v>
      </c>
      <c r="V3188" s="199">
        <f ca="1">U3188*'Expenditure Study'!$B$31</f>
        <v>0</v>
      </c>
      <c r="W3188" s="199">
        <f ca="1">IF(A3188=10298,1.51,1)*IF($B3188&lt;3,$D3188*'Expenditure Study'!$B$32*OFFSET('Expenditure Study'!$B$7,'Operations Support'!$C3188,'Operations Support'!$B3188),0)</f>
        <v>0</v>
      </c>
      <c r="X3188" s="200">
        <f ca="1">W3188*'Expenditure Study'!$B$31</f>
        <v>0</v>
      </c>
      <c r="Y3188" s="199">
        <f ca="1">U3188*'Expenditure Study'!$B$31</f>
        <v>0</v>
      </c>
      <c r="Z3188" s="200">
        <f ca="1">W3188*'Expenditure Study'!$B$31</f>
        <v>0</v>
      </c>
      <c r="AA3188" s="195">
        <f t="shared" ca="1" si="694"/>
        <v>0</v>
      </c>
      <c r="AB3188" s="195">
        <f t="shared" ca="1" si="695"/>
        <v>0</v>
      </c>
      <c r="AD3188" s="196">
        <f>IFERROR($G3188/SUMIF($A:$A,$A3188,$G:$G)*SUMIF(Summary!$A$166:$A$242,$A3188,Summary!$P$166:$P$242),0)</f>
        <v>0</v>
      </c>
      <c r="AE3188" s="197">
        <f t="shared" ca="1" si="696"/>
        <v>0</v>
      </c>
      <c r="AF3188" s="196">
        <f>IFERROR(G3188/SUMIF(A:A,A3188,G:G)*SUMIF(Summary!$A$166:$A$242,'Operations Support'!A3188,Summary!$Q$166:$Q$242),0)</f>
        <v>0</v>
      </c>
      <c r="AG3188" s="196">
        <f t="shared" ca="1" si="697"/>
        <v>0</v>
      </c>
      <c r="AI3188" s="196">
        <f>IFERROR($G3188/SUMIF($A:$A,$A3188,$G:$G)*SUMIF(Summary!$A$247:$A$283,$A3188,Summary!$P$247:$P$283),0)</f>
        <v>0</v>
      </c>
      <c r="AJ3188" s="196">
        <f>IFERROR($G3188/SUMIF($A:$A,$A3188,$G:$G)*(SUMIF(Summary!$A$247:$A$283,$A3188,Summary!$L$247:$L$283)+SUMIF(Summary!$A$297:$A$333,$A3188,Summary!$L$297:$L$333))-AI3188,0)</f>
        <v>0</v>
      </c>
      <c r="AK3188" s="196">
        <f>IFERROR($G3188/SUMIF($A:$A,$A3188,$G:$G)*SUMIF(Summary!$A$247:$A$283,$A3188,Summary!$Q$247:$Q$283),0)</f>
        <v>0</v>
      </c>
      <c r="AL3188" s="196">
        <f>IFERROR($G3188/SUMIF($A:$A,$A3188,$G:$G)*(SUMIF(Summary!$A$247:$A$283,$A3188,Summary!$L$247:$L$283)+SUMIF(Summary!$A$297:$A$333,$A3188,Summary!$L$297:$L$333))-AK3188,0)</f>
        <v>0</v>
      </c>
      <c r="AM3188" s="198"/>
      <c r="AN3188" s="196">
        <f t="shared" ca="1" si="698"/>
        <v>0</v>
      </c>
      <c r="AO3188" s="196">
        <f t="shared" ca="1" si="699"/>
        <v>0</v>
      </c>
    </row>
    <row r="3189" spans="1:41">
      <c r="A3189" s="189">
        <v>11711</v>
      </c>
      <c r="B3189" s="190">
        <v>2</v>
      </c>
      <c r="C3189" s="191" t="s">
        <v>233</v>
      </c>
      <c r="D3189" s="192">
        <f t="shared" si="686"/>
        <v>2467.5</v>
      </c>
      <c r="E3189" s="192">
        <f t="shared" si="687"/>
        <v>1825.5</v>
      </c>
      <c r="F3189" s="192">
        <f t="shared" si="688"/>
        <v>0</v>
      </c>
      <c r="G3189" s="193">
        <f t="shared" si="689"/>
        <v>4293</v>
      </c>
      <c r="H3189" s="194">
        <v>927</v>
      </c>
      <c r="I3189" s="194">
        <v>1008</v>
      </c>
      <c r="J3189" s="194">
        <v>0</v>
      </c>
      <c r="K3189" s="193">
        <f t="shared" si="690"/>
        <v>1935</v>
      </c>
      <c r="L3189" s="194">
        <v>924</v>
      </c>
      <c r="M3189" s="194">
        <v>813</v>
      </c>
      <c r="N3189" s="194">
        <v>0</v>
      </c>
      <c r="O3189" s="193">
        <f t="shared" si="691"/>
        <v>1737</v>
      </c>
      <c r="P3189" s="194">
        <v>616.5</v>
      </c>
      <c r="Q3189" s="194">
        <v>4.5</v>
      </c>
      <c r="R3189" s="194">
        <v>0</v>
      </c>
      <c r="S3189" s="193">
        <f t="shared" si="692"/>
        <v>621</v>
      </c>
      <c r="T3189" s="193">
        <f t="shared" si="693"/>
        <v>143.1</v>
      </c>
      <c r="U3189" s="193">
        <f ca="1">OFFSET('Expenditure Study'!$B$7,'Operations Support'!$C3189,'Operations Support'!$B3189)*$G3189</f>
        <v>6911.7300000000005</v>
      </c>
      <c r="V3189" s="199">
        <f ca="1">U3189*'Expenditure Study'!$B$31</f>
        <v>408366.99323078402</v>
      </c>
      <c r="W3189" s="199">
        <f ca="1">IF(A3189=10298,1.51,1)*IF($B3189&lt;3,$D3189*'Expenditure Study'!$B$32*OFFSET('Expenditure Study'!$B$7,'Operations Support'!$C3189,'Operations Support'!$B3189),0)</f>
        <v>397.26750000000004</v>
      </c>
      <c r="X3189" s="200">
        <f ca="1">W3189*'Expenditure Study'!$B$31</f>
        <v>23471.827528464004</v>
      </c>
      <c r="Y3189" s="199">
        <f ca="1">U3189*'Expenditure Study'!$B$31</f>
        <v>408366.99323078402</v>
      </c>
      <c r="Z3189" s="200">
        <f ca="1">W3189*'Expenditure Study'!$B$31</f>
        <v>23471.827528464004</v>
      </c>
      <c r="AA3189" s="195">
        <f t="shared" ca="1" si="694"/>
        <v>431838.82075924805</v>
      </c>
      <c r="AB3189" s="195">
        <f t="shared" ca="1" si="695"/>
        <v>431838.82075924805</v>
      </c>
      <c r="AD3189" s="196">
        <f>IFERROR($G3189/SUMIF($A:$A,$A3189,$G:$G)*SUMIF(Summary!$A$166:$A$242,$A3189,Summary!$P$166:$P$242),0)</f>
        <v>159420.11469042519</v>
      </c>
      <c r="AE3189" s="197">
        <f t="shared" ca="1" si="696"/>
        <v>272418.70606882288</v>
      </c>
      <c r="AF3189" s="196">
        <f>IFERROR(G3189/SUMIF(A:A,A3189,G:G)*SUMIF(Summary!$A$166:$A$242,'Operations Support'!A3189,Summary!$Q$166:$Q$242),0)</f>
        <v>160119.90699648994</v>
      </c>
      <c r="AG3189" s="196">
        <f t="shared" ca="1" si="697"/>
        <v>271718.91376275814</v>
      </c>
      <c r="AI3189" s="196">
        <f>IFERROR($G3189/SUMIF($A:$A,$A3189,$G:$G)*SUMIF(Summary!$A$247:$A$283,$A3189,Summary!$P$247:$P$283),0)</f>
        <v>29074.250634917284</v>
      </c>
      <c r="AJ3189" s="196">
        <f>IFERROR($G3189/SUMIF($A:$A,$A3189,$G:$G)*(SUMIF(Summary!$A$247:$A$283,$A3189,Summary!$L$247:$L$283)+SUMIF(Summary!$A$297:$A$333,$A3189,Summary!$L$297:$L$333))-AI3189,0)</f>
        <v>62721.508473811111</v>
      </c>
      <c r="AK3189" s="196">
        <f>IFERROR($G3189/SUMIF($A:$A,$A3189,$G:$G)*SUMIF(Summary!$A$247:$A$283,$A3189,Summary!$Q$247:$Q$283),0)</f>
        <v>29201.875288421161</v>
      </c>
      <c r="AL3189" s="196">
        <f>IFERROR($G3189/SUMIF($A:$A,$A3189,$G:$G)*(SUMIF(Summary!$A$247:$A$283,$A3189,Summary!$L$247:$L$283)+SUMIF(Summary!$A$297:$A$333,$A3189,Summary!$L$297:$L$333))-AK3189,0)</f>
        <v>62593.883820307237</v>
      </c>
      <c r="AM3189" s="198"/>
      <c r="AN3189" s="196">
        <f t="shared" ca="1" si="698"/>
        <v>335140.21454263397</v>
      </c>
      <c r="AO3189" s="196">
        <f t="shared" ca="1" si="699"/>
        <v>334312.79758306534</v>
      </c>
    </row>
    <row r="3190" spans="1:41">
      <c r="A3190" s="189">
        <v>11711</v>
      </c>
      <c r="B3190" s="190">
        <v>2</v>
      </c>
      <c r="C3190" s="191" t="s">
        <v>234</v>
      </c>
      <c r="D3190" s="192">
        <f t="shared" si="686"/>
        <v>0</v>
      </c>
      <c r="E3190" s="192">
        <f t="shared" si="687"/>
        <v>0</v>
      </c>
      <c r="F3190" s="192">
        <f t="shared" si="688"/>
        <v>0</v>
      </c>
      <c r="G3190" s="193">
        <f t="shared" si="689"/>
        <v>0</v>
      </c>
      <c r="H3190" s="194">
        <v>0</v>
      </c>
      <c r="I3190" s="194">
        <v>0</v>
      </c>
      <c r="J3190" s="194">
        <v>0</v>
      </c>
      <c r="K3190" s="193">
        <f t="shared" si="690"/>
        <v>0</v>
      </c>
      <c r="L3190" s="194">
        <v>0</v>
      </c>
      <c r="M3190" s="194">
        <v>0</v>
      </c>
      <c r="N3190" s="194">
        <v>0</v>
      </c>
      <c r="O3190" s="193">
        <f t="shared" si="691"/>
        <v>0</v>
      </c>
      <c r="P3190" s="194">
        <v>0</v>
      </c>
      <c r="Q3190" s="194">
        <v>0</v>
      </c>
      <c r="R3190" s="194">
        <v>0</v>
      </c>
      <c r="S3190" s="193">
        <f t="shared" si="692"/>
        <v>0</v>
      </c>
      <c r="T3190" s="193">
        <f t="shared" si="693"/>
        <v>0</v>
      </c>
      <c r="U3190" s="193">
        <f ca="1">OFFSET('Expenditure Study'!$B$7,'Operations Support'!$C3190,'Operations Support'!$B3190)*$G3190</f>
        <v>0</v>
      </c>
      <c r="V3190" s="199">
        <f ca="1">U3190*'Expenditure Study'!$B$31</f>
        <v>0</v>
      </c>
      <c r="W3190" s="199">
        <f ca="1">IF(A3190=10298,1.51,1)*IF($B3190&lt;3,$D3190*'Expenditure Study'!$B$32*OFFSET('Expenditure Study'!$B$7,'Operations Support'!$C3190,'Operations Support'!$B3190),0)</f>
        <v>0</v>
      </c>
      <c r="X3190" s="200">
        <f ca="1">W3190*'Expenditure Study'!$B$31</f>
        <v>0</v>
      </c>
      <c r="Y3190" s="199">
        <f ca="1">U3190*'Expenditure Study'!$B$31</f>
        <v>0</v>
      </c>
      <c r="Z3190" s="200">
        <f ca="1">W3190*'Expenditure Study'!$B$31</f>
        <v>0</v>
      </c>
      <c r="AA3190" s="195">
        <f t="shared" ca="1" si="694"/>
        <v>0</v>
      </c>
      <c r="AB3190" s="195">
        <f t="shared" ca="1" si="695"/>
        <v>0</v>
      </c>
      <c r="AD3190" s="196">
        <f>IFERROR($G3190/SUMIF($A:$A,$A3190,$G:$G)*SUMIF(Summary!$A$166:$A$242,$A3190,Summary!$P$166:$P$242),0)</f>
        <v>0</v>
      </c>
      <c r="AE3190" s="197">
        <f t="shared" ca="1" si="696"/>
        <v>0</v>
      </c>
      <c r="AF3190" s="196">
        <f>IFERROR(G3190/SUMIF(A:A,A3190,G:G)*SUMIF(Summary!$A$166:$A$242,'Operations Support'!A3190,Summary!$Q$166:$Q$242),0)</f>
        <v>0</v>
      </c>
      <c r="AG3190" s="196">
        <f t="shared" ca="1" si="697"/>
        <v>0</v>
      </c>
      <c r="AI3190" s="196">
        <f>IFERROR($G3190/SUMIF($A:$A,$A3190,$G:$G)*SUMIF(Summary!$A$247:$A$283,$A3190,Summary!$P$247:$P$283),0)</f>
        <v>0</v>
      </c>
      <c r="AJ3190" s="196">
        <f>IFERROR($G3190/SUMIF($A:$A,$A3190,$G:$G)*(SUMIF(Summary!$A$247:$A$283,$A3190,Summary!$L$247:$L$283)+SUMIF(Summary!$A$297:$A$333,$A3190,Summary!$L$297:$L$333))-AI3190,0)</f>
        <v>0</v>
      </c>
      <c r="AK3190" s="196">
        <f>IFERROR($G3190/SUMIF($A:$A,$A3190,$G:$G)*SUMIF(Summary!$A$247:$A$283,$A3190,Summary!$Q$247:$Q$283),0)</f>
        <v>0</v>
      </c>
      <c r="AL3190" s="196">
        <f>IFERROR($G3190/SUMIF($A:$A,$A3190,$G:$G)*(SUMIF(Summary!$A$247:$A$283,$A3190,Summary!$L$247:$L$283)+SUMIF(Summary!$A$297:$A$333,$A3190,Summary!$L$297:$L$333))-AK3190,0)</f>
        <v>0</v>
      </c>
      <c r="AM3190" s="198"/>
      <c r="AN3190" s="196">
        <f t="shared" ca="1" si="698"/>
        <v>0</v>
      </c>
      <c r="AO3190" s="196">
        <f t="shared" ca="1" si="699"/>
        <v>0</v>
      </c>
    </row>
    <row r="3191" spans="1:41">
      <c r="A3191" s="189">
        <v>11711</v>
      </c>
      <c r="B3191" s="190">
        <v>2</v>
      </c>
      <c r="C3191" s="191" t="s">
        <v>235</v>
      </c>
      <c r="D3191" s="192">
        <f t="shared" si="686"/>
        <v>16866</v>
      </c>
      <c r="E3191" s="192">
        <f t="shared" si="687"/>
        <v>3753</v>
      </c>
      <c r="F3191" s="192">
        <f t="shared" si="688"/>
        <v>0</v>
      </c>
      <c r="G3191" s="193">
        <f t="shared" si="689"/>
        <v>20619</v>
      </c>
      <c r="H3191" s="194">
        <v>6769.5</v>
      </c>
      <c r="I3191" s="194">
        <v>1684.5</v>
      </c>
      <c r="J3191" s="194">
        <v>0</v>
      </c>
      <c r="K3191" s="193">
        <f t="shared" si="690"/>
        <v>8454</v>
      </c>
      <c r="L3191" s="194">
        <v>7279.5</v>
      </c>
      <c r="M3191" s="194">
        <v>1690.5</v>
      </c>
      <c r="N3191" s="194">
        <v>0</v>
      </c>
      <c r="O3191" s="193">
        <f t="shared" si="691"/>
        <v>8970</v>
      </c>
      <c r="P3191" s="194">
        <v>2817</v>
      </c>
      <c r="Q3191" s="194">
        <v>378</v>
      </c>
      <c r="R3191" s="194">
        <v>0</v>
      </c>
      <c r="S3191" s="193">
        <f t="shared" si="692"/>
        <v>3195</v>
      </c>
      <c r="T3191" s="193">
        <f t="shared" si="693"/>
        <v>687.3</v>
      </c>
      <c r="U3191" s="193">
        <f ca="1">OFFSET('Expenditure Study'!$B$7,'Operations Support'!$C3191,'Operations Support'!$B3191)*$G3191</f>
        <v>38557.53</v>
      </c>
      <c r="V3191" s="199">
        <f ca="1">U3191*'Expenditure Study'!$B$31</f>
        <v>2278101.5161914239</v>
      </c>
      <c r="W3191" s="199">
        <f ca="1">IF(A3191=10298,1.51,1)*IF($B3191&lt;3,$D3191*'Expenditure Study'!$B$32*OFFSET('Expenditure Study'!$B$7,'Operations Support'!$C3191,'Operations Support'!$B3191),0)</f>
        <v>3153.9420000000005</v>
      </c>
      <c r="X3191" s="200">
        <f ca="1">W3191*'Expenditure Study'!$B$31</f>
        <v>186344.92541871362</v>
      </c>
      <c r="Y3191" s="199">
        <f ca="1">U3191*'Expenditure Study'!$B$31</f>
        <v>2278101.5161914239</v>
      </c>
      <c r="Z3191" s="200">
        <f ca="1">W3191*'Expenditure Study'!$B$31</f>
        <v>186344.92541871362</v>
      </c>
      <c r="AA3191" s="195">
        <f t="shared" ca="1" si="694"/>
        <v>2464446.4416101375</v>
      </c>
      <c r="AB3191" s="195">
        <f t="shared" ca="1" si="695"/>
        <v>2464446.4416101375</v>
      </c>
      <c r="AD3191" s="196">
        <f>IFERROR($G3191/SUMIF($A:$A,$A3191,$G:$G)*SUMIF(Summary!$A$166:$A$242,$A3191,Summary!$P$166:$P$242),0)</f>
        <v>765684.45022172772</v>
      </c>
      <c r="AE3191" s="197">
        <f t="shared" ca="1" si="696"/>
        <v>1698761.9913884099</v>
      </c>
      <c r="AF3191" s="196">
        <f>IFERROR(G3191/SUMIF(A:A,A3191,G:G)*SUMIF(Summary!$A$166:$A$242,'Operations Support'!A3191,Summary!$Q$166:$Q$242),0)</f>
        <v>769045.50718859222</v>
      </c>
      <c r="AG3191" s="196">
        <f t="shared" ca="1" si="697"/>
        <v>1695400.9344215454</v>
      </c>
      <c r="AI3191" s="196">
        <f>IFERROR($G3191/SUMIF($A:$A,$A3191,$G:$G)*SUMIF(Summary!$A$247:$A$283,$A3191,Summary!$P$247:$P$283),0)</f>
        <v>139641.73627797799</v>
      </c>
      <c r="AJ3191" s="196">
        <f>IFERROR($G3191/SUMIF($A:$A,$A3191,$G:$G)*(SUMIF(Summary!$A$247:$A$283,$A3191,Summary!$L$247:$L$283)+SUMIF(Summary!$A$297:$A$333,$A3191,Summary!$L$297:$L$333))-AI3191,0)</f>
        <v>301247.32895912218</v>
      </c>
      <c r="AK3191" s="196">
        <f>IFERROR($G3191/SUMIF($A:$A,$A3191,$G:$G)*SUMIF(Summary!$A$247:$A$283,$A3191,Summary!$Q$247:$Q$283),0)</f>
        <v>140254.7091944924</v>
      </c>
      <c r="AL3191" s="196">
        <f>IFERROR($G3191/SUMIF($A:$A,$A3191,$G:$G)*(SUMIF(Summary!$A$247:$A$283,$A3191,Summary!$L$247:$L$283)+SUMIF(Summary!$A$297:$A$333,$A3191,Summary!$L$297:$L$333))-AK3191,0)</f>
        <v>300634.3560426078</v>
      </c>
      <c r="AM3191" s="198"/>
      <c r="AN3191" s="196">
        <f t="shared" ca="1" si="698"/>
        <v>2000009.3203475322</v>
      </c>
      <c r="AO3191" s="196">
        <f t="shared" ca="1" si="699"/>
        <v>1996035.290464153</v>
      </c>
    </row>
    <row r="3192" spans="1:41">
      <c r="A3192" s="189">
        <v>11711</v>
      </c>
      <c r="B3192" s="190">
        <v>2</v>
      </c>
      <c r="C3192" s="191" t="s">
        <v>236</v>
      </c>
      <c r="D3192" s="192">
        <f t="shared" si="686"/>
        <v>0</v>
      </c>
      <c r="E3192" s="192">
        <f t="shared" si="687"/>
        <v>0</v>
      </c>
      <c r="F3192" s="192">
        <f t="shared" si="688"/>
        <v>0</v>
      </c>
      <c r="G3192" s="193">
        <f t="shared" si="689"/>
        <v>0</v>
      </c>
      <c r="H3192" s="194">
        <v>0</v>
      </c>
      <c r="I3192" s="194">
        <v>0</v>
      </c>
      <c r="J3192" s="194">
        <v>0</v>
      </c>
      <c r="K3192" s="193">
        <f t="shared" si="690"/>
        <v>0</v>
      </c>
      <c r="L3192" s="194">
        <v>0</v>
      </c>
      <c r="M3192" s="194">
        <v>0</v>
      </c>
      <c r="N3192" s="194">
        <v>0</v>
      </c>
      <c r="O3192" s="193">
        <f t="shared" si="691"/>
        <v>0</v>
      </c>
      <c r="P3192" s="194">
        <v>0</v>
      </c>
      <c r="Q3192" s="194">
        <v>0</v>
      </c>
      <c r="R3192" s="194">
        <v>0</v>
      </c>
      <c r="S3192" s="193">
        <f t="shared" si="692"/>
        <v>0</v>
      </c>
      <c r="T3192" s="193">
        <f t="shared" si="693"/>
        <v>0</v>
      </c>
      <c r="U3192" s="193">
        <f ca="1">OFFSET('Expenditure Study'!$B$7,'Operations Support'!$C3192,'Operations Support'!$B3192)*$G3192</f>
        <v>0</v>
      </c>
      <c r="V3192" s="199">
        <f ca="1">U3192*'Expenditure Study'!$B$31</f>
        <v>0</v>
      </c>
      <c r="W3192" s="199">
        <f ca="1">IF(A3192=10298,1.51,1)*IF($B3192&lt;3,$D3192*'Expenditure Study'!$B$32*OFFSET('Expenditure Study'!$B$7,'Operations Support'!$C3192,'Operations Support'!$B3192),0)</f>
        <v>0</v>
      </c>
      <c r="X3192" s="200">
        <f ca="1">W3192*'Expenditure Study'!$B$31</f>
        <v>0</v>
      </c>
      <c r="Y3192" s="199">
        <f ca="1">U3192*'Expenditure Study'!$B$31</f>
        <v>0</v>
      </c>
      <c r="Z3192" s="200">
        <f ca="1">W3192*'Expenditure Study'!$B$31</f>
        <v>0</v>
      </c>
      <c r="AA3192" s="195">
        <f t="shared" ca="1" si="694"/>
        <v>0</v>
      </c>
      <c r="AB3192" s="195">
        <f t="shared" ca="1" si="695"/>
        <v>0</v>
      </c>
      <c r="AD3192" s="196">
        <f>IFERROR($G3192/SUMIF($A:$A,$A3192,$G:$G)*SUMIF(Summary!$A$166:$A$242,$A3192,Summary!$P$166:$P$242),0)</f>
        <v>0</v>
      </c>
      <c r="AE3192" s="197">
        <f t="shared" ca="1" si="696"/>
        <v>0</v>
      </c>
      <c r="AF3192" s="196">
        <f>IFERROR(G3192/SUMIF(A:A,A3192,G:G)*SUMIF(Summary!$A$166:$A$242,'Operations Support'!A3192,Summary!$Q$166:$Q$242),0)</f>
        <v>0</v>
      </c>
      <c r="AG3192" s="196">
        <f t="shared" ca="1" si="697"/>
        <v>0</v>
      </c>
      <c r="AI3192" s="196">
        <f>IFERROR($G3192/SUMIF($A:$A,$A3192,$G:$G)*SUMIF(Summary!$A$247:$A$283,$A3192,Summary!$P$247:$P$283),0)</f>
        <v>0</v>
      </c>
      <c r="AJ3192" s="196">
        <f>IFERROR($G3192/SUMIF($A:$A,$A3192,$G:$G)*(SUMIF(Summary!$A$247:$A$283,$A3192,Summary!$L$247:$L$283)+SUMIF(Summary!$A$297:$A$333,$A3192,Summary!$L$297:$L$333))-AI3192,0)</f>
        <v>0</v>
      </c>
      <c r="AK3192" s="196">
        <f>IFERROR($G3192/SUMIF($A:$A,$A3192,$G:$G)*SUMIF(Summary!$A$247:$A$283,$A3192,Summary!$Q$247:$Q$283),0)</f>
        <v>0</v>
      </c>
      <c r="AL3192" s="196">
        <f>IFERROR($G3192/SUMIF($A:$A,$A3192,$G:$G)*(SUMIF(Summary!$A$247:$A$283,$A3192,Summary!$L$247:$L$283)+SUMIF(Summary!$A$297:$A$333,$A3192,Summary!$L$297:$L$333))-AK3192,0)</f>
        <v>0</v>
      </c>
      <c r="AM3192" s="198"/>
      <c r="AN3192" s="196">
        <f t="shared" ca="1" si="698"/>
        <v>0</v>
      </c>
      <c r="AO3192" s="196">
        <f t="shared" ca="1" si="699"/>
        <v>0</v>
      </c>
    </row>
    <row r="3193" spans="1:41">
      <c r="A3193" s="189">
        <v>11711</v>
      </c>
      <c r="B3193" s="190">
        <v>2</v>
      </c>
      <c r="C3193" s="191" t="s">
        <v>237</v>
      </c>
      <c r="D3193" s="192">
        <f t="shared" si="686"/>
        <v>48</v>
      </c>
      <c r="E3193" s="192">
        <f t="shared" si="687"/>
        <v>573</v>
      </c>
      <c r="F3193" s="192">
        <f t="shared" si="688"/>
        <v>0</v>
      </c>
      <c r="G3193" s="193">
        <f t="shared" si="689"/>
        <v>621</v>
      </c>
      <c r="H3193" s="194">
        <v>9</v>
      </c>
      <c r="I3193" s="194">
        <v>261</v>
      </c>
      <c r="J3193" s="194">
        <v>0</v>
      </c>
      <c r="K3193" s="193">
        <f t="shared" si="690"/>
        <v>270</v>
      </c>
      <c r="L3193" s="194">
        <v>30</v>
      </c>
      <c r="M3193" s="194">
        <v>312</v>
      </c>
      <c r="N3193" s="194">
        <v>0</v>
      </c>
      <c r="O3193" s="193">
        <f t="shared" si="691"/>
        <v>342</v>
      </c>
      <c r="P3193" s="194">
        <v>9</v>
      </c>
      <c r="Q3193" s="194">
        <v>0</v>
      </c>
      <c r="R3193" s="194">
        <v>0</v>
      </c>
      <c r="S3193" s="193">
        <f t="shared" si="692"/>
        <v>9</v>
      </c>
      <c r="T3193" s="193">
        <f t="shared" si="693"/>
        <v>20.7</v>
      </c>
      <c r="U3193" s="193">
        <f ca="1">OFFSET('Expenditure Study'!$B$7,'Operations Support'!$C3193,'Operations Support'!$B3193)*$G3193</f>
        <v>1453.1399999999999</v>
      </c>
      <c r="V3193" s="199">
        <f ca="1">U3193*'Expenditure Study'!$B$31</f>
        <v>85856.133347711992</v>
      </c>
      <c r="W3193" s="199">
        <f ca="1">IF(A3193=10298,1.51,1)*IF($B3193&lt;3,$D3193*'Expenditure Study'!$B$32*OFFSET('Expenditure Study'!$B$7,'Operations Support'!$C3193,'Operations Support'!$B3193),0)</f>
        <v>11.232000000000001</v>
      </c>
      <c r="X3193" s="200">
        <f ca="1">W3193*'Expenditure Study'!$B$31</f>
        <v>663.62228674560004</v>
      </c>
      <c r="Y3193" s="199">
        <f ca="1">U3193*'Expenditure Study'!$B$31</f>
        <v>85856.133347711992</v>
      </c>
      <c r="Z3193" s="200">
        <f ca="1">W3193*'Expenditure Study'!$B$31</f>
        <v>663.62228674560004</v>
      </c>
      <c r="AA3193" s="195">
        <f t="shared" ca="1" si="694"/>
        <v>86519.755634457586</v>
      </c>
      <c r="AB3193" s="195">
        <f t="shared" ca="1" si="695"/>
        <v>86519.755634457586</v>
      </c>
      <c r="AD3193" s="196">
        <f>IFERROR($G3193/SUMIF($A:$A,$A3193,$G:$G)*SUMIF(Summary!$A$166:$A$242,$A3193,Summary!$P$166:$P$242),0)</f>
        <v>23060.771307419996</v>
      </c>
      <c r="AE3193" s="197">
        <f t="shared" ca="1" si="696"/>
        <v>63458.984327037586</v>
      </c>
      <c r="AF3193" s="196">
        <f>IFERROR(G3193/SUMIF(A:A,A3193,G:G)*SUMIF(Summary!$A$166:$A$242,'Operations Support'!A3193,Summary!$Q$166:$Q$242),0)</f>
        <v>23161.99912527842</v>
      </c>
      <c r="AG3193" s="196">
        <f t="shared" ca="1" si="697"/>
        <v>63357.756509179162</v>
      </c>
      <c r="AI3193" s="196">
        <f>IFERROR($G3193/SUMIF($A:$A,$A3193,$G:$G)*SUMIF(Summary!$A$247:$A$283,$A3193,Summary!$P$247:$P$283),0)</f>
        <v>4205.7092113402359</v>
      </c>
      <c r="AJ3193" s="196">
        <f>IFERROR($G3193/SUMIF($A:$A,$A3193,$G:$G)*(SUMIF(Summary!$A$247:$A$283,$A3193,Summary!$L$247:$L$283)+SUMIF(Summary!$A$297:$A$333,$A3193,Summary!$L$297:$L$333))-AI3193,0)</f>
        <v>9072.9226094192181</v>
      </c>
      <c r="AK3193" s="196">
        <f>IFERROR($G3193/SUMIF($A:$A,$A3193,$G:$G)*SUMIF(Summary!$A$247:$A$283,$A3193,Summary!$Q$247:$Q$283),0)</f>
        <v>4224.1706392055767</v>
      </c>
      <c r="AL3193" s="196">
        <f>IFERROR($G3193/SUMIF($A:$A,$A3193,$G:$G)*(SUMIF(Summary!$A$247:$A$283,$A3193,Summary!$L$247:$L$283)+SUMIF(Summary!$A$297:$A$333,$A3193,Summary!$L$297:$L$333))-AK3193,0)</f>
        <v>9054.4611815538774</v>
      </c>
      <c r="AM3193" s="198"/>
      <c r="AN3193" s="196">
        <f t="shared" ca="1" si="698"/>
        <v>72531.906936456799</v>
      </c>
      <c r="AO3193" s="196">
        <f t="shared" ca="1" si="699"/>
        <v>72412.217690733043</v>
      </c>
    </row>
    <row r="3194" spans="1:41">
      <c r="A3194" s="189">
        <v>11711</v>
      </c>
      <c r="B3194" s="190">
        <v>2</v>
      </c>
      <c r="C3194" s="191" t="s">
        <v>238</v>
      </c>
      <c r="D3194" s="192">
        <f t="shared" si="686"/>
        <v>531</v>
      </c>
      <c r="E3194" s="192">
        <f t="shared" si="687"/>
        <v>165</v>
      </c>
      <c r="F3194" s="192">
        <f t="shared" si="688"/>
        <v>0</v>
      </c>
      <c r="G3194" s="193">
        <f t="shared" si="689"/>
        <v>696</v>
      </c>
      <c r="H3194" s="194">
        <v>189</v>
      </c>
      <c r="I3194" s="194">
        <v>105</v>
      </c>
      <c r="J3194" s="194">
        <v>0</v>
      </c>
      <c r="K3194" s="193">
        <f t="shared" si="690"/>
        <v>294</v>
      </c>
      <c r="L3194" s="194">
        <v>264</v>
      </c>
      <c r="M3194" s="194">
        <v>60</v>
      </c>
      <c r="N3194" s="194">
        <v>0</v>
      </c>
      <c r="O3194" s="193">
        <f t="shared" si="691"/>
        <v>324</v>
      </c>
      <c r="P3194" s="194">
        <v>78</v>
      </c>
      <c r="Q3194" s="194">
        <v>0</v>
      </c>
      <c r="R3194" s="194">
        <v>0</v>
      </c>
      <c r="S3194" s="193">
        <f t="shared" si="692"/>
        <v>78</v>
      </c>
      <c r="T3194" s="193">
        <f t="shared" si="693"/>
        <v>23.2</v>
      </c>
      <c r="U3194" s="193">
        <f ca="1">OFFSET('Expenditure Study'!$B$7,'Operations Support'!$C3194,'Operations Support'!$B3194)*$G3194</f>
        <v>1670.3999999999999</v>
      </c>
      <c r="V3194" s="199">
        <f ca="1">U3194*'Expenditure Study'!$B$31</f>
        <v>98692.545208319993</v>
      </c>
      <c r="W3194" s="199">
        <f ca="1">IF(A3194=10298,1.51,1)*IF($B3194&lt;3,$D3194*'Expenditure Study'!$B$32*OFFSET('Expenditure Study'!$B$7,'Operations Support'!$C3194,'Operations Support'!$B3194),0)</f>
        <v>127.44</v>
      </c>
      <c r="X3194" s="200">
        <f ca="1">W3194*'Expenditure Study'!$B$31</f>
        <v>7529.5605611519995</v>
      </c>
      <c r="Y3194" s="199">
        <f ca="1">U3194*'Expenditure Study'!$B$31</f>
        <v>98692.545208319993</v>
      </c>
      <c r="Z3194" s="200">
        <f ca="1">W3194*'Expenditure Study'!$B$31</f>
        <v>7529.5605611519995</v>
      </c>
      <c r="AA3194" s="195">
        <f t="shared" ca="1" si="694"/>
        <v>106222.10576947199</v>
      </c>
      <c r="AB3194" s="195">
        <f t="shared" ca="1" si="695"/>
        <v>106222.10576947199</v>
      </c>
      <c r="AD3194" s="196">
        <f>IFERROR($G3194/SUMIF($A:$A,$A3194,$G:$G)*SUMIF(Summary!$A$166:$A$242,$A3194,Summary!$P$166:$P$242),0)</f>
        <v>25845.888615079417</v>
      </c>
      <c r="AE3194" s="197">
        <f t="shared" ca="1" si="696"/>
        <v>80376.21715439258</v>
      </c>
      <c r="AF3194" s="196">
        <f>IFERROR(G3194/SUMIF(A:A,A3194,G:G)*SUMIF(Summary!$A$166:$A$242,'Operations Support'!A3194,Summary!$Q$166:$Q$242),0)</f>
        <v>25959.342014804795</v>
      </c>
      <c r="AG3194" s="196">
        <f t="shared" ca="1" si="697"/>
        <v>80262.76375466719</v>
      </c>
      <c r="AI3194" s="196">
        <f>IFERROR($G3194/SUMIF($A:$A,$A3194,$G:$G)*SUMIF(Summary!$A$247:$A$283,$A3194,Summary!$P$247:$P$283),0)</f>
        <v>4713.6451064296361</v>
      </c>
      <c r="AJ3194" s="196">
        <f>IFERROR($G3194/SUMIF($A:$A,$A3194,$G:$G)*(SUMIF(Summary!$A$247:$A$283,$A3194,Summary!$L$247:$L$283)+SUMIF(Summary!$A$297:$A$333,$A3194,Summary!$L$297:$L$333))-AI3194,0)</f>
        <v>10168.68620959062</v>
      </c>
      <c r="AK3194" s="196">
        <f>IFERROR($G3194/SUMIF($A:$A,$A3194,$G:$G)*SUMIF(Summary!$A$247:$A$283,$A3194,Summary!$Q$247:$Q$283),0)</f>
        <v>4734.3361753415156</v>
      </c>
      <c r="AL3194" s="196">
        <f>IFERROR($G3194/SUMIF($A:$A,$A3194,$G:$G)*(SUMIF(Summary!$A$247:$A$283,$A3194,Summary!$L$247:$L$283)+SUMIF(Summary!$A$297:$A$333,$A3194,Summary!$L$297:$L$333))-AK3194,0)</f>
        <v>10147.99514067874</v>
      </c>
      <c r="AM3194" s="198"/>
      <c r="AN3194" s="196">
        <f t="shared" ca="1" si="698"/>
        <v>90544.903363983205</v>
      </c>
      <c r="AO3194" s="196">
        <f t="shared" ca="1" si="699"/>
        <v>90410.758895345934</v>
      </c>
    </row>
    <row r="3195" spans="1:41">
      <c r="A3195" s="189">
        <v>11711</v>
      </c>
      <c r="B3195" s="190">
        <v>2</v>
      </c>
      <c r="C3195" s="191" t="s">
        <v>239</v>
      </c>
      <c r="D3195" s="192">
        <f t="shared" si="686"/>
        <v>159</v>
      </c>
      <c r="E3195" s="192">
        <f t="shared" si="687"/>
        <v>171</v>
      </c>
      <c r="F3195" s="192">
        <f t="shared" si="688"/>
        <v>0</v>
      </c>
      <c r="G3195" s="193">
        <f t="shared" si="689"/>
        <v>330</v>
      </c>
      <c r="H3195" s="194">
        <v>81</v>
      </c>
      <c r="I3195" s="194">
        <v>72</v>
      </c>
      <c r="J3195" s="194">
        <v>0</v>
      </c>
      <c r="K3195" s="193">
        <f t="shared" si="690"/>
        <v>153</v>
      </c>
      <c r="L3195" s="194">
        <v>78</v>
      </c>
      <c r="M3195" s="194">
        <v>99</v>
      </c>
      <c r="N3195" s="194">
        <v>0</v>
      </c>
      <c r="O3195" s="193">
        <f t="shared" si="691"/>
        <v>177</v>
      </c>
      <c r="P3195" s="194">
        <v>0</v>
      </c>
      <c r="Q3195" s="194">
        <v>0</v>
      </c>
      <c r="R3195" s="194">
        <v>0</v>
      </c>
      <c r="S3195" s="193">
        <f t="shared" si="692"/>
        <v>0</v>
      </c>
      <c r="T3195" s="193">
        <f t="shared" si="693"/>
        <v>11</v>
      </c>
      <c r="U3195" s="193">
        <f ca="1">OFFSET('Expenditure Study'!$B$7,'Operations Support'!$C3195,'Operations Support'!$B3195)*$G3195</f>
        <v>686.4</v>
      </c>
      <c r="V3195" s="199">
        <f ca="1">U3195*'Expenditure Study'!$B$31</f>
        <v>40554.695301120002</v>
      </c>
      <c r="W3195" s="199">
        <f ca="1">IF(A3195=10298,1.51,1)*IF($B3195&lt;3,$D3195*'Expenditure Study'!$B$32*OFFSET('Expenditure Study'!$B$7,'Operations Support'!$C3195,'Operations Support'!$B3195),0)</f>
        <v>33.072000000000003</v>
      </c>
      <c r="X3195" s="200">
        <f ca="1">W3195*'Expenditure Study'!$B$31</f>
        <v>1953.9989554176002</v>
      </c>
      <c r="Y3195" s="199">
        <f ca="1">U3195*'Expenditure Study'!$B$31</f>
        <v>40554.695301120002</v>
      </c>
      <c r="Z3195" s="200">
        <f ca="1">W3195*'Expenditure Study'!$B$31</f>
        <v>1953.9989554176002</v>
      </c>
      <c r="AA3195" s="195">
        <f t="shared" ca="1" si="694"/>
        <v>42508.694256537601</v>
      </c>
      <c r="AB3195" s="195">
        <f t="shared" ca="1" si="695"/>
        <v>42508.694256537601</v>
      </c>
      <c r="AD3195" s="196">
        <f>IFERROR($G3195/SUMIF($A:$A,$A3195,$G:$G)*SUMIF(Summary!$A$166:$A$242,$A3195,Summary!$P$166:$P$242),0)</f>
        <v>12254.516153701448</v>
      </c>
      <c r="AE3195" s="197">
        <f t="shared" ca="1" si="696"/>
        <v>30254.178102836151</v>
      </c>
      <c r="AF3195" s="196">
        <f>IFERROR(G3195/SUMIF(A:A,A3195,G:G)*SUMIF(Summary!$A$166:$A$242,'Operations Support'!A3195,Summary!$Q$166:$Q$242),0)</f>
        <v>12308.308713916069</v>
      </c>
      <c r="AG3195" s="196">
        <f t="shared" ca="1" si="697"/>
        <v>30200.38554262153</v>
      </c>
      <c r="AI3195" s="196">
        <f>IFERROR($G3195/SUMIF($A:$A,$A3195,$G:$G)*SUMIF(Summary!$A$247:$A$283,$A3195,Summary!$P$247:$P$283),0)</f>
        <v>2234.917938393362</v>
      </c>
      <c r="AJ3195" s="196">
        <f>IFERROR($G3195/SUMIF($A:$A,$A3195,$G:$G)*(SUMIF(Summary!$A$247:$A$283,$A3195,Summary!$L$247:$L$283)+SUMIF(Summary!$A$297:$A$333,$A3195,Summary!$L$297:$L$333))-AI3195,0)</f>
        <v>4821.359840754174</v>
      </c>
      <c r="AK3195" s="196">
        <f>IFERROR($G3195/SUMIF($A:$A,$A3195,$G:$G)*SUMIF(Summary!$A$247:$A$283,$A3195,Summary!$Q$247:$Q$283),0)</f>
        <v>2244.7283589981325</v>
      </c>
      <c r="AL3195" s="196">
        <f>IFERROR($G3195/SUMIF($A:$A,$A3195,$G:$G)*(SUMIF(Summary!$A$247:$A$283,$A3195,Summary!$L$247:$L$283)+SUMIF(Summary!$A$297:$A$333,$A3195,Summary!$L$297:$L$333))-AK3195,0)</f>
        <v>4811.5494201494039</v>
      </c>
      <c r="AM3195" s="198"/>
      <c r="AN3195" s="196">
        <f t="shared" ca="1" si="698"/>
        <v>35075.537943590323</v>
      </c>
      <c r="AO3195" s="196">
        <f t="shared" ca="1" si="699"/>
        <v>35011.934962770931</v>
      </c>
    </row>
    <row r="3196" spans="1:41">
      <c r="A3196" s="189">
        <v>11711</v>
      </c>
      <c r="B3196" s="190">
        <v>2</v>
      </c>
      <c r="C3196" s="191" t="s">
        <v>240</v>
      </c>
      <c r="D3196" s="192">
        <f t="shared" si="686"/>
        <v>0</v>
      </c>
      <c r="E3196" s="192">
        <f t="shared" si="687"/>
        <v>0</v>
      </c>
      <c r="F3196" s="192">
        <f t="shared" si="688"/>
        <v>0</v>
      </c>
      <c r="G3196" s="193">
        <f t="shared" si="689"/>
        <v>0</v>
      </c>
      <c r="H3196" s="194">
        <v>0</v>
      </c>
      <c r="I3196" s="194">
        <v>0</v>
      </c>
      <c r="J3196" s="194">
        <v>0</v>
      </c>
      <c r="K3196" s="193">
        <f t="shared" si="690"/>
        <v>0</v>
      </c>
      <c r="L3196" s="194">
        <v>0</v>
      </c>
      <c r="M3196" s="194">
        <v>0</v>
      </c>
      <c r="N3196" s="194">
        <v>0</v>
      </c>
      <c r="O3196" s="193">
        <f t="shared" si="691"/>
        <v>0</v>
      </c>
      <c r="P3196" s="194">
        <v>0</v>
      </c>
      <c r="Q3196" s="194">
        <v>0</v>
      </c>
      <c r="R3196" s="194">
        <v>0</v>
      </c>
      <c r="S3196" s="193">
        <f t="shared" si="692"/>
        <v>0</v>
      </c>
      <c r="T3196" s="193">
        <f t="shared" si="693"/>
        <v>0</v>
      </c>
      <c r="U3196" s="193">
        <f ca="1">OFFSET('Expenditure Study'!$B$7,'Operations Support'!$C3196,'Operations Support'!$B3196)*$G3196</f>
        <v>0</v>
      </c>
      <c r="V3196" s="199">
        <f ca="1">U3196*'Expenditure Study'!$B$31</f>
        <v>0</v>
      </c>
      <c r="W3196" s="199">
        <f ca="1">IF(A3196=10298,1.51,1)*IF($B3196&lt;3,$D3196*'Expenditure Study'!$B$32*OFFSET('Expenditure Study'!$B$7,'Operations Support'!$C3196,'Operations Support'!$B3196),0)</f>
        <v>0</v>
      </c>
      <c r="X3196" s="200">
        <f ca="1">W3196*'Expenditure Study'!$B$31</f>
        <v>0</v>
      </c>
      <c r="Y3196" s="199">
        <f ca="1">U3196*'Expenditure Study'!$B$31</f>
        <v>0</v>
      </c>
      <c r="Z3196" s="200">
        <f ca="1">W3196*'Expenditure Study'!$B$31</f>
        <v>0</v>
      </c>
      <c r="AA3196" s="195">
        <f t="shared" ca="1" si="694"/>
        <v>0</v>
      </c>
      <c r="AB3196" s="195">
        <f t="shared" ca="1" si="695"/>
        <v>0</v>
      </c>
      <c r="AD3196" s="196">
        <f>IFERROR($G3196/SUMIF($A:$A,$A3196,$G:$G)*SUMIF(Summary!$A$166:$A$242,$A3196,Summary!$P$166:$P$242),0)</f>
        <v>0</v>
      </c>
      <c r="AE3196" s="197">
        <f t="shared" ca="1" si="696"/>
        <v>0</v>
      </c>
      <c r="AF3196" s="196">
        <f>IFERROR(G3196/SUMIF(A:A,A3196,G:G)*SUMIF(Summary!$A$166:$A$242,'Operations Support'!A3196,Summary!$Q$166:$Q$242),0)</f>
        <v>0</v>
      </c>
      <c r="AG3196" s="196">
        <f t="shared" ca="1" si="697"/>
        <v>0</v>
      </c>
      <c r="AI3196" s="196">
        <f>IFERROR($G3196/SUMIF($A:$A,$A3196,$G:$G)*SUMIF(Summary!$A$247:$A$283,$A3196,Summary!$P$247:$P$283),0)</f>
        <v>0</v>
      </c>
      <c r="AJ3196" s="196">
        <f>IFERROR($G3196/SUMIF($A:$A,$A3196,$G:$G)*(SUMIF(Summary!$A$247:$A$283,$A3196,Summary!$L$247:$L$283)+SUMIF(Summary!$A$297:$A$333,$A3196,Summary!$L$297:$L$333))-AI3196,0)</f>
        <v>0</v>
      </c>
      <c r="AK3196" s="196">
        <f>IFERROR($G3196/SUMIF($A:$A,$A3196,$G:$G)*SUMIF(Summary!$A$247:$A$283,$A3196,Summary!$Q$247:$Q$283),0)</f>
        <v>0</v>
      </c>
      <c r="AL3196" s="196">
        <f>IFERROR($G3196/SUMIF($A:$A,$A3196,$G:$G)*(SUMIF(Summary!$A$247:$A$283,$A3196,Summary!$L$247:$L$283)+SUMIF(Summary!$A$297:$A$333,$A3196,Summary!$L$297:$L$333))-AK3196,0)</f>
        <v>0</v>
      </c>
      <c r="AM3196" s="198"/>
      <c r="AN3196" s="196">
        <f t="shared" ca="1" si="698"/>
        <v>0</v>
      </c>
      <c r="AO3196" s="196">
        <f t="shared" ca="1" si="699"/>
        <v>0</v>
      </c>
    </row>
    <row r="3197" spans="1:41">
      <c r="A3197" s="189">
        <v>11711</v>
      </c>
      <c r="B3197" s="190">
        <v>3</v>
      </c>
      <c r="C3197" s="191" t="s">
        <v>220</v>
      </c>
      <c r="D3197" s="192">
        <f t="shared" si="686"/>
        <v>5814.3</v>
      </c>
      <c r="E3197" s="192">
        <f t="shared" si="687"/>
        <v>1460.7</v>
      </c>
      <c r="F3197" s="192">
        <f t="shared" si="688"/>
        <v>0</v>
      </c>
      <c r="G3197" s="193">
        <f t="shared" si="689"/>
        <v>7275</v>
      </c>
      <c r="H3197" s="194">
        <v>2384.8000000000002</v>
      </c>
      <c r="I3197" s="194">
        <v>592.20000000000005</v>
      </c>
      <c r="J3197" s="194">
        <v>0</v>
      </c>
      <c r="K3197" s="193">
        <f t="shared" si="690"/>
        <v>2977</v>
      </c>
      <c r="L3197" s="194">
        <v>2567.5</v>
      </c>
      <c r="M3197" s="194">
        <v>445.5</v>
      </c>
      <c r="N3197" s="194">
        <v>0</v>
      </c>
      <c r="O3197" s="193">
        <f t="shared" si="691"/>
        <v>3013</v>
      </c>
      <c r="P3197" s="194">
        <v>862</v>
      </c>
      <c r="Q3197" s="194">
        <v>423</v>
      </c>
      <c r="R3197" s="194">
        <v>0</v>
      </c>
      <c r="S3197" s="193">
        <f t="shared" si="692"/>
        <v>1285</v>
      </c>
      <c r="T3197" s="193">
        <f t="shared" si="693"/>
        <v>303.125</v>
      </c>
      <c r="U3197" s="193">
        <f ca="1">OFFSET('Expenditure Study'!$B$7,'Operations Support'!$C3197,'Operations Support'!$B3197)*$G3197</f>
        <v>32446.5</v>
      </c>
      <c r="V3197" s="199">
        <f ca="1">U3197*'Expenditure Study'!$B$31</f>
        <v>1917042.4258272001</v>
      </c>
      <c r="W3197" s="199">
        <f ca="1">IF(A3197=10298,1.51,1)*IF($B3197&lt;3,$D3197*'Expenditure Study'!$B$32*OFFSET('Expenditure Study'!$B$7,'Operations Support'!$C3197,'Operations Support'!$B3197),0)</f>
        <v>0</v>
      </c>
      <c r="X3197" s="200">
        <f ca="1">W3197*'Expenditure Study'!$B$31</f>
        <v>0</v>
      </c>
      <c r="Y3197" s="199">
        <f ca="1">U3197*'Expenditure Study'!$B$31</f>
        <v>1917042.4258272001</v>
      </c>
      <c r="Z3197" s="200">
        <f ca="1">W3197*'Expenditure Study'!$B$31</f>
        <v>0</v>
      </c>
      <c r="AA3197" s="195">
        <f t="shared" ca="1" si="694"/>
        <v>1917042.4258272001</v>
      </c>
      <c r="AB3197" s="195">
        <f t="shared" ca="1" si="695"/>
        <v>1917042.4258272001</v>
      </c>
      <c r="AD3197" s="196">
        <f>IFERROR($G3197/SUMIF($A:$A,$A3197,$G:$G)*SUMIF(Summary!$A$166:$A$242,$A3197,Summary!$P$166:$P$242),0)</f>
        <v>270156.37884296372</v>
      </c>
      <c r="AE3197" s="197">
        <f t="shared" ca="1" si="696"/>
        <v>1646886.0469842362</v>
      </c>
      <c r="AF3197" s="196">
        <f>IFERROR(G3197/SUMIF(A:A,A3197,G:G)*SUMIF(Summary!$A$166:$A$242,'Operations Support'!A3197,Summary!$Q$166:$Q$242),0)</f>
        <v>271342.26028405881</v>
      </c>
      <c r="AG3197" s="196">
        <f t="shared" ca="1" si="697"/>
        <v>1645700.1655431413</v>
      </c>
      <c r="AI3197" s="196">
        <f>IFERROR($G3197/SUMIF($A:$A,$A3197,$G:$G)*SUMIF(Summary!$A$247:$A$283,$A3197,Summary!$P$247:$P$283),0)</f>
        <v>49269.781823671845</v>
      </c>
      <c r="AJ3197" s="196">
        <f>IFERROR($G3197/SUMIF($A:$A,$A3197,$G:$G)*(SUMIF(Summary!$A$247:$A$283,$A3197,Summary!$L$247:$L$283)+SUMIF(Summary!$A$297:$A$333,$A3197,Summary!$L$297:$L$333))-AI3197,0)</f>
        <v>106289.06921662613</v>
      </c>
      <c r="AK3197" s="196">
        <f>IFERROR($G3197/SUMIF($A:$A,$A3197,$G:$G)*SUMIF(Summary!$A$247:$A$283,$A3197,Summary!$Q$247:$Q$283),0)</f>
        <v>49486.057005186107</v>
      </c>
      <c r="AL3197" s="196">
        <f>IFERROR($G3197/SUMIF($A:$A,$A3197,$G:$G)*(SUMIF(Summary!$A$247:$A$283,$A3197,Summary!$L$247:$L$283)+SUMIF(Summary!$A$297:$A$333,$A3197,Summary!$L$297:$L$333))-AK3197,0)</f>
        <v>106072.79403511187</v>
      </c>
      <c r="AM3197" s="198"/>
      <c r="AN3197" s="196">
        <f t="shared" ca="1" si="698"/>
        <v>1753175.1162008625</v>
      </c>
      <c r="AO3197" s="196">
        <f t="shared" ca="1" si="699"/>
        <v>1751772.9595782531</v>
      </c>
    </row>
    <row r="3198" spans="1:41">
      <c r="A3198" s="189">
        <v>11711</v>
      </c>
      <c r="B3198" s="190">
        <v>3</v>
      </c>
      <c r="C3198" s="191" t="s">
        <v>221</v>
      </c>
      <c r="D3198" s="192">
        <f t="shared" si="686"/>
        <v>2534</v>
      </c>
      <c r="E3198" s="192">
        <f t="shared" si="687"/>
        <v>778</v>
      </c>
      <c r="F3198" s="192">
        <f t="shared" si="688"/>
        <v>0</v>
      </c>
      <c r="G3198" s="193">
        <f t="shared" si="689"/>
        <v>3312</v>
      </c>
      <c r="H3198" s="194">
        <v>941</v>
      </c>
      <c r="I3198" s="194">
        <v>513</v>
      </c>
      <c r="J3198" s="194">
        <v>0</v>
      </c>
      <c r="K3198" s="193">
        <f t="shared" si="690"/>
        <v>1454</v>
      </c>
      <c r="L3198" s="194">
        <v>1307</v>
      </c>
      <c r="M3198" s="194">
        <v>150</v>
      </c>
      <c r="N3198" s="194">
        <v>0</v>
      </c>
      <c r="O3198" s="193">
        <f t="shared" si="691"/>
        <v>1457</v>
      </c>
      <c r="P3198" s="194">
        <v>286</v>
      </c>
      <c r="Q3198" s="194">
        <v>115</v>
      </c>
      <c r="R3198" s="194">
        <v>0</v>
      </c>
      <c r="S3198" s="193">
        <f t="shared" si="692"/>
        <v>401</v>
      </c>
      <c r="T3198" s="193">
        <f t="shared" si="693"/>
        <v>138</v>
      </c>
      <c r="U3198" s="193">
        <f ca="1">OFFSET('Expenditure Study'!$B$7,'Operations Support'!$C3198,'Operations Support'!$B3198)*$G3198</f>
        <v>23184</v>
      </c>
      <c r="V3198" s="199">
        <f ca="1">U3198*'Expenditure Study'!$B$31</f>
        <v>1369784.4636671999</v>
      </c>
      <c r="W3198" s="199">
        <f ca="1">IF(A3198=10298,1.51,1)*IF($B3198&lt;3,$D3198*'Expenditure Study'!$B$32*OFFSET('Expenditure Study'!$B$7,'Operations Support'!$C3198,'Operations Support'!$B3198),0)</f>
        <v>0</v>
      </c>
      <c r="X3198" s="200">
        <f ca="1">W3198*'Expenditure Study'!$B$31</f>
        <v>0</v>
      </c>
      <c r="Y3198" s="199">
        <f ca="1">U3198*'Expenditure Study'!$B$31</f>
        <v>1369784.4636671999</v>
      </c>
      <c r="Z3198" s="200">
        <f ca="1">W3198*'Expenditure Study'!$B$31</f>
        <v>0</v>
      </c>
      <c r="AA3198" s="195">
        <f t="shared" ca="1" si="694"/>
        <v>1369784.4636671999</v>
      </c>
      <c r="AB3198" s="195">
        <f t="shared" ca="1" si="695"/>
        <v>1369784.4636671999</v>
      </c>
      <c r="AD3198" s="196">
        <f>IFERROR($G3198/SUMIF($A:$A,$A3198,$G:$G)*SUMIF(Summary!$A$166:$A$242,$A3198,Summary!$P$166:$P$242),0)</f>
        <v>122990.78030623999</v>
      </c>
      <c r="AE3198" s="197">
        <f t="shared" ca="1" si="696"/>
        <v>1246793.6833609599</v>
      </c>
      <c r="AF3198" s="196">
        <f>IFERROR(G3198/SUMIF(A:A,A3198,G:G)*SUMIF(Summary!$A$166:$A$242,'Operations Support'!A3198,Summary!$Q$166:$Q$242),0)</f>
        <v>123530.6620014849</v>
      </c>
      <c r="AG3198" s="196">
        <f t="shared" ca="1" si="697"/>
        <v>1246253.8016657149</v>
      </c>
      <c r="AI3198" s="196">
        <f>IFERROR($G3198/SUMIF($A:$A,$A3198,$G:$G)*SUMIF(Summary!$A$247:$A$283,$A3198,Summary!$P$247:$P$283),0)</f>
        <v>22430.449127147927</v>
      </c>
      <c r="AJ3198" s="196">
        <f>IFERROR($G3198/SUMIF($A:$A,$A3198,$G:$G)*(SUMIF(Summary!$A$247:$A$283,$A3198,Summary!$L$247:$L$283)+SUMIF(Summary!$A$297:$A$333,$A3198,Summary!$L$297:$L$333))-AI3198,0)</f>
        <v>48388.920583569161</v>
      </c>
      <c r="AK3198" s="196">
        <f>IFERROR($G3198/SUMIF($A:$A,$A3198,$G:$G)*SUMIF(Summary!$A$247:$A$283,$A3198,Summary!$Q$247:$Q$283),0)</f>
        <v>22528.910075763077</v>
      </c>
      <c r="AL3198" s="196">
        <f>IFERROR($G3198/SUMIF($A:$A,$A3198,$G:$G)*(SUMIF(Summary!$A$247:$A$283,$A3198,Summary!$L$247:$L$283)+SUMIF(Summary!$A$297:$A$333,$A3198,Summary!$L$297:$L$333))-AK3198,0)</f>
        <v>48290.459634954008</v>
      </c>
      <c r="AM3198" s="198"/>
      <c r="AN3198" s="196">
        <f t="shared" ca="1" si="698"/>
        <v>1295182.6039445291</v>
      </c>
      <c r="AO3198" s="196">
        <f t="shared" ca="1" si="699"/>
        <v>1294544.2613006691</v>
      </c>
    </row>
    <row r="3199" spans="1:41">
      <c r="A3199" s="189">
        <v>11711</v>
      </c>
      <c r="B3199" s="190">
        <v>3</v>
      </c>
      <c r="C3199" s="191" t="s">
        <v>222</v>
      </c>
      <c r="D3199" s="192">
        <f t="shared" si="686"/>
        <v>273</v>
      </c>
      <c r="E3199" s="192">
        <f t="shared" si="687"/>
        <v>45</v>
      </c>
      <c r="F3199" s="192">
        <f t="shared" si="688"/>
        <v>0</v>
      </c>
      <c r="G3199" s="193">
        <f t="shared" si="689"/>
        <v>318</v>
      </c>
      <c r="H3199" s="194">
        <v>135</v>
      </c>
      <c r="I3199" s="194">
        <v>12</v>
      </c>
      <c r="J3199" s="194">
        <v>0</v>
      </c>
      <c r="K3199" s="193">
        <f t="shared" si="690"/>
        <v>147</v>
      </c>
      <c r="L3199" s="194">
        <v>120</v>
      </c>
      <c r="M3199" s="194">
        <v>33</v>
      </c>
      <c r="N3199" s="194">
        <v>0</v>
      </c>
      <c r="O3199" s="193">
        <f t="shared" si="691"/>
        <v>153</v>
      </c>
      <c r="P3199" s="194">
        <v>18</v>
      </c>
      <c r="Q3199" s="194">
        <v>0</v>
      </c>
      <c r="R3199" s="194">
        <v>0</v>
      </c>
      <c r="S3199" s="193">
        <f t="shared" si="692"/>
        <v>18</v>
      </c>
      <c r="T3199" s="193">
        <f t="shared" si="693"/>
        <v>13.25</v>
      </c>
      <c r="U3199" s="193">
        <f ca="1">OFFSET('Expenditure Study'!$B$7,'Operations Support'!$C3199,'Operations Support'!$B3199)*$G3199</f>
        <v>2388.1799999999998</v>
      </c>
      <c r="V3199" s="199">
        <f ca="1">U3199*'Expenditure Study'!$B$31</f>
        <v>141101.270722944</v>
      </c>
      <c r="W3199" s="199">
        <f ca="1">IF(A3199=10298,1.51,1)*IF($B3199&lt;3,$D3199*'Expenditure Study'!$B$32*OFFSET('Expenditure Study'!$B$7,'Operations Support'!$C3199,'Operations Support'!$B3199),0)</f>
        <v>0</v>
      </c>
      <c r="X3199" s="200">
        <f ca="1">W3199*'Expenditure Study'!$B$31</f>
        <v>0</v>
      </c>
      <c r="Y3199" s="199">
        <f ca="1">U3199*'Expenditure Study'!$B$31</f>
        <v>141101.270722944</v>
      </c>
      <c r="Z3199" s="200">
        <f ca="1">W3199*'Expenditure Study'!$B$31</f>
        <v>0</v>
      </c>
      <c r="AA3199" s="195">
        <f t="shared" ca="1" si="694"/>
        <v>141101.270722944</v>
      </c>
      <c r="AB3199" s="195">
        <f t="shared" ca="1" si="695"/>
        <v>141101.270722944</v>
      </c>
      <c r="AD3199" s="196">
        <f>IFERROR($G3199/SUMIF($A:$A,$A3199,$G:$G)*SUMIF(Summary!$A$166:$A$242,$A3199,Summary!$P$166:$P$242),0)</f>
        <v>11808.89738447594</v>
      </c>
      <c r="AE3199" s="197">
        <f t="shared" ca="1" si="696"/>
        <v>129292.37333846805</v>
      </c>
      <c r="AF3199" s="196">
        <f>IFERROR(G3199/SUMIF(A:A,A3199,G:G)*SUMIF(Summary!$A$166:$A$242,'Operations Support'!A3199,Summary!$Q$166:$Q$242),0)</f>
        <v>11860.733851591847</v>
      </c>
      <c r="AG3199" s="196">
        <f t="shared" ca="1" si="697"/>
        <v>129240.53687135215</v>
      </c>
      <c r="AI3199" s="196">
        <f>IFERROR($G3199/SUMIF($A:$A,$A3199,$G:$G)*SUMIF(Summary!$A$247:$A$283,$A3199,Summary!$P$247:$P$283),0)</f>
        <v>2153.6481951790579</v>
      </c>
      <c r="AJ3199" s="196">
        <f>IFERROR($G3199/SUMIF($A:$A,$A3199,$G:$G)*(SUMIF(Summary!$A$247:$A$283,$A3199,Summary!$L$247:$L$283)+SUMIF(Summary!$A$297:$A$333,$A3199,Summary!$L$297:$L$333))-AI3199,0)</f>
        <v>4646.0376647267494</v>
      </c>
      <c r="AK3199" s="196">
        <f>IFERROR($G3199/SUMIF($A:$A,$A3199,$G:$G)*SUMIF(Summary!$A$247:$A$283,$A3199,Summary!$Q$247:$Q$283),0)</f>
        <v>2163.101873216382</v>
      </c>
      <c r="AL3199" s="196">
        <f>IFERROR($G3199/SUMIF($A:$A,$A3199,$G:$G)*(SUMIF(Summary!$A$247:$A$283,$A3199,Summary!$L$247:$L$283)+SUMIF(Summary!$A$297:$A$333,$A3199,Summary!$L$297:$L$333))-AK3199,0)</f>
        <v>4636.5839866894257</v>
      </c>
      <c r="AM3199" s="198"/>
      <c r="AN3199" s="196">
        <f t="shared" ca="1" si="698"/>
        <v>133938.41100319481</v>
      </c>
      <c r="AO3199" s="196">
        <f t="shared" ca="1" si="699"/>
        <v>133877.12085804157</v>
      </c>
    </row>
    <row r="3200" spans="1:41" s="201" customFormat="1">
      <c r="A3200" s="189">
        <v>11711</v>
      </c>
      <c r="B3200" s="190">
        <v>3</v>
      </c>
      <c r="C3200" s="191" t="s">
        <v>223</v>
      </c>
      <c r="D3200" s="192">
        <f t="shared" si="686"/>
        <v>1916</v>
      </c>
      <c r="E3200" s="192">
        <f t="shared" si="687"/>
        <v>1734</v>
      </c>
      <c r="F3200" s="192">
        <f t="shared" si="688"/>
        <v>0</v>
      </c>
      <c r="G3200" s="193">
        <f t="shared" si="689"/>
        <v>3650</v>
      </c>
      <c r="H3200" s="194">
        <v>765</v>
      </c>
      <c r="I3200" s="194">
        <v>663</v>
      </c>
      <c r="J3200" s="194">
        <v>0</v>
      </c>
      <c r="K3200" s="193">
        <f t="shared" si="690"/>
        <v>1428</v>
      </c>
      <c r="L3200" s="194">
        <v>744</v>
      </c>
      <c r="M3200" s="194">
        <v>621</v>
      </c>
      <c r="N3200" s="194">
        <v>0</v>
      </c>
      <c r="O3200" s="193">
        <f t="shared" si="691"/>
        <v>1365</v>
      </c>
      <c r="P3200" s="194">
        <v>407</v>
      </c>
      <c r="Q3200" s="194">
        <v>450</v>
      </c>
      <c r="R3200" s="194">
        <v>0</v>
      </c>
      <c r="S3200" s="193">
        <f t="shared" si="692"/>
        <v>857</v>
      </c>
      <c r="T3200" s="193">
        <f t="shared" si="693"/>
        <v>152.08333333333334</v>
      </c>
      <c r="U3200" s="193">
        <f ca="1">OFFSET('Expenditure Study'!$B$7,'Operations Support'!$C3200,'Operations Support'!$B3200)*$G3200</f>
        <v>8176.0000000000009</v>
      </c>
      <c r="V3200" s="199">
        <f ca="1">U3200*'Expenditure Study'!$B$31</f>
        <v>483064.08622080006</v>
      </c>
      <c r="W3200" s="199">
        <f ca="1">IF(A3200=10298,1.51,1)*IF($B3200&lt;3,$D3200*'Expenditure Study'!$B$32*OFFSET('Expenditure Study'!$B$7,'Operations Support'!$C3200,'Operations Support'!$B3200),0)</f>
        <v>0</v>
      </c>
      <c r="X3200" s="200">
        <f ca="1">W3200*'Expenditure Study'!$B$31</f>
        <v>0</v>
      </c>
      <c r="Y3200" s="199">
        <f ca="1">U3200*'Expenditure Study'!$B$31</f>
        <v>483064.08622080006</v>
      </c>
      <c r="Z3200" s="200">
        <f ca="1">W3200*'Expenditure Study'!$B$31</f>
        <v>0</v>
      </c>
      <c r="AA3200" s="195">
        <f t="shared" ca="1" si="694"/>
        <v>483064.08622080006</v>
      </c>
      <c r="AB3200" s="195">
        <f t="shared" ca="1" si="695"/>
        <v>483064.08622080006</v>
      </c>
      <c r="AD3200" s="196">
        <f>IFERROR($G3200/SUMIF($A:$A,$A3200,$G:$G)*SUMIF(Summary!$A$166:$A$242,$A3200,Summary!$P$166:$P$242),0)</f>
        <v>135542.3756394251</v>
      </c>
      <c r="AE3200" s="197">
        <f t="shared" ca="1" si="696"/>
        <v>347521.71058137494</v>
      </c>
      <c r="AF3200" s="196">
        <f>IFERROR(G3200/SUMIF(A:A,A3200,G:G)*SUMIF(Summary!$A$166:$A$242,'Operations Support'!A3200,Summary!$Q$166:$Q$242),0)</f>
        <v>136137.35395695045</v>
      </c>
      <c r="AG3200" s="196">
        <f t="shared" ca="1" si="697"/>
        <v>346926.73226384958</v>
      </c>
      <c r="AH3200" s="180"/>
      <c r="AI3200" s="196">
        <f>IFERROR($G3200/SUMIF($A:$A,$A3200,$G:$G)*SUMIF(Summary!$A$247:$A$283,$A3200,Summary!$P$247:$P$283),0)</f>
        <v>24719.546894350824</v>
      </c>
      <c r="AJ3200" s="196">
        <f>IFERROR($G3200/SUMIF($A:$A,$A3200,$G:$G)*(SUMIF(Summary!$A$247:$A$283,$A3200,Summary!$L$247:$L$283)+SUMIF(Summary!$A$297:$A$333,$A3200,Summary!$L$297:$L$333))-AI3200,0)</f>
        <v>53327.161875008293</v>
      </c>
      <c r="AK3200" s="196">
        <f>IFERROR($G3200/SUMIF($A:$A,$A3200,$G:$G)*SUMIF(Summary!$A$247:$A$283,$A3200,Summary!$Q$247:$Q$283),0)</f>
        <v>24828.056091949042</v>
      </c>
      <c r="AL3200" s="196">
        <f>IFERROR($G3200/SUMIF($A:$A,$A3200,$G:$G)*(SUMIF(Summary!$A$247:$A$283,$A3200,Summary!$L$247:$L$283)+SUMIF(Summary!$A$297:$A$333,$A3200,Summary!$L$297:$L$333))-AK3200,0)</f>
        <v>53218.652677410078</v>
      </c>
      <c r="AM3200" s="198"/>
      <c r="AN3200" s="196">
        <f t="shared" ca="1" si="698"/>
        <v>400848.87245638325</v>
      </c>
      <c r="AO3200" s="196">
        <f t="shared" ca="1" si="699"/>
        <v>400145.38494125963</v>
      </c>
    </row>
    <row r="3201" spans="1:41">
      <c r="A3201" s="189">
        <v>11711</v>
      </c>
      <c r="B3201" s="190">
        <v>3</v>
      </c>
      <c r="C3201" s="191" t="s">
        <v>224</v>
      </c>
      <c r="D3201" s="192">
        <f t="shared" si="686"/>
        <v>0</v>
      </c>
      <c r="E3201" s="192">
        <f t="shared" si="687"/>
        <v>0</v>
      </c>
      <c r="F3201" s="192">
        <f t="shared" si="688"/>
        <v>0</v>
      </c>
      <c r="G3201" s="193">
        <f t="shared" si="689"/>
        <v>0</v>
      </c>
      <c r="H3201" s="194">
        <v>0</v>
      </c>
      <c r="I3201" s="194">
        <v>0</v>
      </c>
      <c r="J3201" s="194">
        <v>0</v>
      </c>
      <c r="K3201" s="193">
        <f t="shared" si="690"/>
        <v>0</v>
      </c>
      <c r="L3201" s="194">
        <v>0</v>
      </c>
      <c r="M3201" s="194">
        <v>0</v>
      </c>
      <c r="N3201" s="194">
        <v>0</v>
      </c>
      <c r="O3201" s="193">
        <f t="shared" si="691"/>
        <v>0</v>
      </c>
      <c r="P3201" s="194">
        <v>0</v>
      </c>
      <c r="Q3201" s="194">
        <v>0</v>
      </c>
      <c r="R3201" s="194">
        <v>0</v>
      </c>
      <c r="S3201" s="193">
        <f t="shared" si="692"/>
        <v>0</v>
      </c>
      <c r="T3201" s="193">
        <f t="shared" si="693"/>
        <v>0</v>
      </c>
      <c r="U3201" s="193">
        <f ca="1">OFFSET('Expenditure Study'!$B$7,'Operations Support'!$C3201,'Operations Support'!$B3201)*$G3201</f>
        <v>0</v>
      </c>
      <c r="V3201" s="199">
        <f ca="1">U3201*'Expenditure Study'!$B$31</f>
        <v>0</v>
      </c>
      <c r="W3201" s="199">
        <f ca="1">IF(A3201=10298,1.51,1)*IF($B3201&lt;3,$D3201*'Expenditure Study'!$B$32*OFFSET('Expenditure Study'!$B$7,'Operations Support'!$C3201,'Operations Support'!$B3201),0)</f>
        <v>0</v>
      </c>
      <c r="X3201" s="200">
        <f ca="1">W3201*'Expenditure Study'!$B$31</f>
        <v>0</v>
      </c>
      <c r="Y3201" s="199">
        <f ca="1">U3201*'Expenditure Study'!$B$31</f>
        <v>0</v>
      </c>
      <c r="Z3201" s="200">
        <f ca="1">W3201*'Expenditure Study'!$B$31</f>
        <v>0</v>
      </c>
      <c r="AA3201" s="195">
        <f t="shared" ca="1" si="694"/>
        <v>0</v>
      </c>
      <c r="AB3201" s="195">
        <f t="shared" ca="1" si="695"/>
        <v>0</v>
      </c>
      <c r="AD3201" s="196">
        <f>IFERROR($G3201/SUMIF($A:$A,$A3201,$G:$G)*SUMIF(Summary!$A$166:$A$242,$A3201,Summary!$P$166:$P$242),0)</f>
        <v>0</v>
      </c>
      <c r="AE3201" s="197">
        <f t="shared" ca="1" si="696"/>
        <v>0</v>
      </c>
      <c r="AF3201" s="196">
        <f>IFERROR(G3201/SUMIF(A:A,A3201,G:G)*SUMIF(Summary!$A$166:$A$242,'Operations Support'!A3201,Summary!$Q$166:$Q$242),0)</f>
        <v>0</v>
      </c>
      <c r="AG3201" s="196">
        <f t="shared" ca="1" si="697"/>
        <v>0</v>
      </c>
      <c r="AI3201" s="196">
        <f>IFERROR($G3201/SUMIF($A:$A,$A3201,$G:$G)*SUMIF(Summary!$A$247:$A$283,$A3201,Summary!$P$247:$P$283),0)</f>
        <v>0</v>
      </c>
      <c r="AJ3201" s="196">
        <f>IFERROR($G3201/SUMIF($A:$A,$A3201,$G:$G)*(SUMIF(Summary!$A$247:$A$283,$A3201,Summary!$L$247:$L$283)+SUMIF(Summary!$A$297:$A$333,$A3201,Summary!$L$297:$L$333))-AI3201,0)</f>
        <v>0</v>
      </c>
      <c r="AK3201" s="196">
        <f>IFERROR($G3201/SUMIF($A:$A,$A3201,$G:$G)*SUMIF(Summary!$A$247:$A$283,$A3201,Summary!$Q$247:$Q$283),0)</f>
        <v>0</v>
      </c>
      <c r="AL3201" s="196">
        <f>IFERROR($G3201/SUMIF($A:$A,$A3201,$G:$G)*(SUMIF(Summary!$A$247:$A$283,$A3201,Summary!$L$247:$L$283)+SUMIF(Summary!$A$297:$A$333,$A3201,Summary!$L$297:$L$333))-AK3201,0)</f>
        <v>0</v>
      </c>
      <c r="AM3201" s="198"/>
      <c r="AN3201" s="196">
        <f t="shared" ca="1" si="698"/>
        <v>0</v>
      </c>
      <c r="AO3201" s="196">
        <f t="shared" ca="1" si="699"/>
        <v>0</v>
      </c>
    </row>
    <row r="3202" spans="1:41">
      <c r="A3202" s="189">
        <v>11711</v>
      </c>
      <c r="B3202" s="190">
        <v>3</v>
      </c>
      <c r="C3202" s="191" t="s">
        <v>225</v>
      </c>
      <c r="D3202" s="192">
        <f t="shared" si="686"/>
        <v>6301.5</v>
      </c>
      <c r="E3202" s="192">
        <f t="shared" si="687"/>
        <v>679.5</v>
      </c>
      <c r="F3202" s="192">
        <f t="shared" si="688"/>
        <v>0</v>
      </c>
      <c r="G3202" s="193">
        <f t="shared" si="689"/>
        <v>6981</v>
      </c>
      <c r="H3202" s="194">
        <v>2575</v>
      </c>
      <c r="I3202" s="194">
        <v>333</v>
      </c>
      <c r="J3202" s="194">
        <v>0</v>
      </c>
      <c r="K3202" s="193">
        <f t="shared" si="690"/>
        <v>2908</v>
      </c>
      <c r="L3202" s="194">
        <v>2388.5</v>
      </c>
      <c r="M3202" s="194">
        <v>181.5</v>
      </c>
      <c r="N3202" s="194">
        <v>0</v>
      </c>
      <c r="O3202" s="193">
        <f t="shared" si="691"/>
        <v>2570</v>
      </c>
      <c r="P3202" s="194">
        <v>1338</v>
      </c>
      <c r="Q3202" s="194">
        <v>165</v>
      </c>
      <c r="R3202" s="194">
        <v>0</v>
      </c>
      <c r="S3202" s="193">
        <f t="shared" si="692"/>
        <v>1503</v>
      </c>
      <c r="T3202" s="193">
        <f t="shared" si="693"/>
        <v>290.875</v>
      </c>
      <c r="U3202" s="193">
        <f ca="1">OFFSET('Expenditure Study'!$B$7,'Operations Support'!$C3202,'Operations Support'!$B3202)*$G3202</f>
        <v>48238.71</v>
      </c>
      <c r="V3202" s="199">
        <f ca="1">U3202*'Expenditure Study'!$B$31</f>
        <v>2850096.424488768</v>
      </c>
      <c r="W3202" s="199">
        <f ca="1">IF(A3202=10298,1.51,1)*IF($B3202&lt;3,$D3202*'Expenditure Study'!$B$32*OFFSET('Expenditure Study'!$B$7,'Operations Support'!$C3202,'Operations Support'!$B3202),0)</f>
        <v>0</v>
      </c>
      <c r="X3202" s="200">
        <f ca="1">W3202*'Expenditure Study'!$B$31</f>
        <v>0</v>
      </c>
      <c r="Y3202" s="199">
        <f ca="1">U3202*'Expenditure Study'!$B$31</f>
        <v>2850096.424488768</v>
      </c>
      <c r="Z3202" s="200">
        <f ca="1">W3202*'Expenditure Study'!$B$31</f>
        <v>0</v>
      </c>
      <c r="AA3202" s="195">
        <f t="shared" ca="1" si="694"/>
        <v>2850096.424488768</v>
      </c>
      <c r="AB3202" s="195">
        <f t="shared" ca="1" si="695"/>
        <v>2850096.424488768</v>
      </c>
      <c r="AD3202" s="196">
        <f>IFERROR($G3202/SUMIF($A:$A,$A3202,$G:$G)*SUMIF(Summary!$A$166:$A$242,$A3202,Summary!$P$166:$P$242),0)</f>
        <v>259238.71899693881</v>
      </c>
      <c r="AE3202" s="197">
        <f t="shared" ca="1" si="696"/>
        <v>2590857.7054918292</v>
      </c>
      <c r="AF3202" s="196">
        <f>IFERROR(G3202/SUMIF(A:A,A3202,G:G)*SUMIF(Summary!$A$166:$A$242,'Operations Support'!A3202,Summary!$Q$166:$Q$242),0)</f>
        <v>260376.67615711538</v>
      </c>
      <c r="AG3202" s="196">
        <f t="shared" ca="1" si="697"/>
        <v>2589719.7483316525</v>
      </c>
      <c r="AI3202" s="196">
        <f>IFERROR($G3202/SUMIF($A:$A,$A3202,$G:$G)*SUMIF(Summary!$A$247:$A$283,$A3202,Summary!$P$247:$P$283),0)</f>
        <v>47278.673114921396</v>
      </c>
      <c r="AJ3202" s="196">
        <f>IFERROR($G3202/SUMIF($A:$A,$A3202,$G:$G)*(SUMIF(Summary!$A$247:$A$283,$A3202,Summary!$L$247:$L$283)+SUMIF(Summary!$A$297:$A$333,$A3202,Summary!$L$297:$L$333))-AI3202,0)</f>
        <v>101993.67590395419</v>
      </c>
      <c r="AK3202" s="196">
        <f>IFERROR($G3202/SUMIF($A:$A,$A3202,$G:$G)*SUMIF(Summary!$A$247:$A$283,$A3202,Summary!$Q$247:$Q$283),0)</f>
        <v>47486.208103533223</v>
      </c>
      <c r="AL3202" s="196">
        <f>IFERROR($G3202/SUMIF($A:$A,$A3202,$G:$G)*(SUMIF(Summary!$A$247:$A$283,$A3202,Summary!$L$247:$L$283)+SUMIF(Summary!$A$297:$A$333,$A3202,Summary!$L$297:$L$333))-AK3202,0)</f>
        <v>101786.14091534237</v>
      </c>
      <c r="AM3202" s="198"/>
      <c r="AN3202" s="196">
        <f t="shared" ca="1" si="698"/>
        <v>2692851.3813957833</v>
      </c>
      <c r="AO3202" s="196">
        <f t="shared" ca="1" si="699"/>
        <v>2691505.8892469946</v>
      </c>
    </row>
    <row r="3203" spans="1:41">
      <c r="A3203" s="189">
        <v>11711</v>
      </c>
      <c r="B3203" s="190">
        <v>3</v>
      </c>
      <c r="C3203" s="191" t="s">
        <v>226</v>
      </c>
      <c r="D3203" s="192">
        <f t="shared" si="686"/>
        <v>54</v>
      </c>
      <c r="E3203" s="192">
        <f t="shared" si="687"/>
        <v>0</v>
      </c>
      <c r="F3203" s="192">
        <f t="shared" si="688"/>
        <v>0</v>
      </c>
      <c r="G3203" s="193">
        <f t="shared" si="689"/>
        <v>54</v>
      </c>
      <c r="H3203" s="194">
        <v>0</v>
      </c>
      <c r="I3203" s="194">
        <v>0</v>
      </c>
      <c r="J3203" s="194">
        <v>0</v>
      </c>
      <c r="K3203" s="193">
        <f t="shared" si="690"/>
        <v>0</v>
      </c>
      <c r="L3203" s="194">
        <v>54</v>
      </c>
      <c r="M3203" s="194">
        <v>0</v>
      </c>
      <c r="N3203" s="194">
        <v>0</v>
      </c>
      <c r="O3203" s="193">
        <f t="shared" si="691"/>
        <v>54</v>
      </c>
      <c r="P3203" s="194">
        <v>0</v>
      </c>
      <c r="Q3203" s="194">
        <v>0</v>
      </c>
      <c r="R3203" s="194">
        <v>0</v>
      </c>
      <c r="S3203" s="193">
        <f t="shared" si="692"/>
        <v>0</v>
      </c>
      <c r="T3203" s="193">
        <f t="shared" si="693"/>
        <v>2.25</v>
      </c>
      <c r="U3203" s="193">
        <f ca="1">OFFSET('Expenditure Study'!$B$7,'Operations Support'!$C3203,'Operations Support'!$B3203)*$G3203</f>
        <v>186.3</v>
      </c>
      <c r="V3203" s="199">
        <f ca="1">U3203*'Expenditure Study'!$B$31</f>
        <v>11007.19658304</v>
      </c>
      <c r="W3203" s="199">
        <f ca="1">IF(A3203=10298,1.51,1)*IF($B3203&lt;3,$D3203*'Expenditure Study'!$B$32*OFFSET('Expenditure Study'!$B$7,'Operations Support'!$C3203,'Operations Support'!$B3203),0)</f>
        <v>0</v>
      </c>
      <c r="X3203" s="200">
        <f ca="1">W3203*'Expenditure Study'!$B$31</f>
        <v>0</v>
      </c>
      <c r="Y3203" s="199">
        <f ca="1">U3203*'Expenditure Study'!$B$31</f>
        <v>11007.19658304</v>
      </c>
      <c r="Z3203" s="200">
        <f ca="1">W3203*'Expenditure Study'!$B$31</f>
        <v>0</v>
      </c>
      <c r="AA3203" s="195">
        <f t="shared" ca="1" si="694"/>
        <v>11007.19658304</v>
      </c>
      <c r="AB3203" s="195">
        <f t="shared" ca="1" si="695"/>
        <v>11007.19658304</v>
      </c>
      <c r="AD3203" s="196">
        <f>IFERROR($G3203/SUMIF($A:$A,$A3203,$G:$G)*SUMIF(Summary!$A$166:$A$242,$A3203,Summary!$P$166:$P$242),0)</f>
        <v>2005.2844615147826</v>
      </c>
      <c r="AE3203" s="197">
        <f t="shared" ca="1" si="696"/>
        <v>9001.912121525218</v>
      </c>
      <c r="AF3203" s="196">
        <f>IFERROR(G3203/SUMIF(A:A,A3203,G:G)*SUMIF(Summary!$A$166:$A$242,'Operations Support'!A3203,Summary!$Q$166:$Q$242),0)</f>
        <v>2014.0868804589932</v>
      </c>
      <c r="AG3203" s="196">
        <f t="shared" ca="1" si="697"/>
        <v>8993.1097025810068</v>
      </c>
      <c r="AI3203" s="196">
        <f>IFERROR($G3203/SUMIF($A:$A,$A3203,$G:$G)*SUMIF(Summary!$A$247:$A$283,$A3203,Summary!$P$247:$P$283),0)</f>
        <v>365.71384446436838</v>
      </c>
      <c r="AJ3203" s="196">
        <f>IFERROR($G3203/SUMIF($A:$A,$A3203,$G:$G)*(SUMIF(Summary!$A$247:$A$283,$A3203,Summary!$L$247:$L$283)+SUMIF(Summary!$A$297:$A$333,$A3203,Summary!$L$297:$L$333))-AI3203,0)</f>
        <v>788.94979212341036</v>
      </c>
      <c r="AK3203" s="196">
        <f>IFERROR($G3203/SUMIF($A:$A,$A3203,$G:$G)*SUMIF(Summary!$A$247:$A$283,$A3203,Summary!$Q$247:$Q$283),0)</f>
        <v>367.31918601787623</v>
      </c>
      <c r="AL3203" s="196">
        <f>IFERROR($G3203/SUMIF($A:$A,$A3203,$G:$G)*(SUMIF(Summary!$A$247:$A$283,$A3203,Summary!$L$247:$L$283)+SUMIF(Summary!$A$297:$A$333,$A3203,Summary!$L$297:$L$333))-AK3203,0)</f>
        <v>787.34445056990239</v>
      </c>
      <c r="AM3203" s="198"/>
      <c r="AN3203" s="196">
        <f t="shared" ca="1" si="698"/>
        <v>9790.8619136486286</v>
      </c>
      <c r="AO3203" s="196">
        <f t="shared" ca="1" si="699"/>
        <v>9780.4541531509094</v>
      </c>
    </row>
    <row r="3204" spans="1:41">
      <c r="A3204" s="189">
        <v>11711</v>
      </c>
      <c r="B3204" s="190">
        <v>3</v>
      </c>
      <c r="C3204" s="191" t="s">
        <v>227</v>
      </c>
      <c r="D3204" s="192">
        <f t="shared" si="686"/>
        <v>0</v>
      </c>
      <c r="E3204" s="192">
        <f t="shared" si="687"/>
        <v>0</v>
      </c>
      <c r="F3204" s="192">
        <f t="shared" si="688"/>
        <v>0</v>
      </c>
      <c r="G3204" s="193">
        <f t="shared" si="689"/>
        <v>0</v>
      </c>
      <c r="H3204" s="194">
        <v>0</v>
      </c>
      <c r="I3204" s="194">
        <v>0</v>
      </c>
      <c r="J3204" s="194">
        <v>0</v>
      </c>
      <c r="K3204" s="193">
        <f t="shared" si="690"/>
        <v>0</v>
      </c>
      <c r="L3204" s="194">
        <v>0</v>
      </c>
      <c r="M3204" s="194">
        <v>0</v>
      </c>
      <c r="N3204" s="194">
        <v>0</v>
      </c>
      <c r="O3204" s="193">
        <f t="shared" si="691"/>
        <v>0</v>
      </c>
      <c r="P3204" s="194">
        <v>0</v>
      </c>
      <c r="Q3204" s="194">
        <v>0</v>
      </c>
      <c r="R3204" s="194">
        <v>0</v>
      </c>
      <c r="S3204" s="193">
        <f t="shared" si="692"/>
        <v>0</v>
      </c>
      <c r="T3204" s="193">
        <f t="shared" si="693"/>
        <v>0</v>
      </c>
      <c r="U3204" s="193">
        <f ca="1">OFFSET('Expenditure Study'!$B$7,'Operations Support'!$C3204,'Operations Support'!$B3204)*$G3204</f>
        <v>0</v>
      </c>
      <c r="V3204" s="199">
        <f ca="1">U3204*'Expenditure Study'!$B$31</f>
        <v>0</v>
      </c>
      <c r="W3204" s="199">
        <f ca="1">IF(A3204=10298,1.51,1)*IF($B3204&lt;3,$D3204*'Expenditure Study'!$B$32*OFFSET('Expenditure Study'!$B$7,'Operations Support'!$C3204,'Operations Support'!$B3204),0)</f>
        <v>0</v>
      </c>
      <c r="X3204" s="200">
        <f ca="1">W3204*'Expenditure Study'!$B$31</f>
        <v>0</v>
      </c>
      <c r="Y3204" s="199">
        <f ca="1">U3204*'Expenditure Study'!$B$31</f>
        <v>0</v>
      </c>
      <c r="Z3204" s="200">
        <f ca="1">W3204*'Expenditure Study'!$B$31</f>
        <v>0</v>
      </c>
      <c r="AA3204" s="195">
        <f t="shared" ca="1" si="694"/>
        <v>0</v>
      </c>
      <c r="AB3204" s="195">
        <f t="shared" ca="1" si="695"/>
        <v>0</v>
      </c>
      <c r="AD3204" s="196">
        <f>IFERROR($G3204/SUMIF($A:$A,$A3204,$G:$G)*SUMIF(Summary!$A$166:$A$242,$A3204,Summary!$P$166:$P$242),0)</f>
        <v>0</v>
      </c>
      <c r="AE3204" s="197">
        <f t="shared" ca="1" si="696"/>
        <v>0</v>
      </c>
      <c r="AF3204" s="196">
        <f>IFERROR(G3204/SUMIF(A:A,A3204,G:G)*SUMIF(Summary!$A$166:$A$242,'Operations Support'!A3204,Summary!$Q$166:$Q$242),0)</f>
        <v>0</v>
      </c>
      <c r="AG3204" s="196">
        <f t="shared" ca="1" si="697"/>
        <v>0</v>
      </c>
      <c r="AI3204" s="196">
        <f>IFERROR($G3204/SUMIF($A:$A,$A3204,$G:$G)*SUMIF(Summary!$A$247:$A$283,$A3204,Summary!$P$247:$P$283),0)</f>
        <v>0</v>
      </c>
      <c r="AJ3204" s="196">
        <f>IFERROR($G3204/SUMIF($A:$A,$A3204,$G:$G)*(SUMIF(Summary!$A$247:$A$283,$A3204,Summary!$L$247:$L$283)+SUMIF(Summary!$A$297:$A$333,$A3204,Summary!$L$297:$L$333))-AI3204,0)</f>
        <v>0</v>
      </c>
      <c r="AK3204" s="196">
        <f>IFERROR($G3204/SUMIF($A:$A,$A3204,$G:$G)*SUMIF(Summary!$A$247:$A$283,$A3204,Summary!$Q$247:$Q$283),0)</f>
        <v>0</v>
      </c>
      <c r="AL3204" s="196">
        <f>IFERROR($G3204/SUMIF($A:$A,$A3204,$G:$G)*(SUMIF(Summary!$A$247:$A$283,$A3204,Summary!$L$247:$L$283)+SUMIF(Summary!$A$297:$A$333,$A3204,Summary!$L$297:$L$333))-AK3204,0)</f>
        <v>0</v>
      </c>
      <c r="AM3204" s="198"/>
      <c r="AN3204" s="196">
        <f t="shared" ca="1" si="698"/>
        <v>0</v>
      </c>
      <c r="AO3204" s="196">
        <f t="shared" ca="1" si="699"/>
        <v>0</v>
      </c>
    </row>
    <row r="3205" spans="1:41">
      <c r="A3205" s="189">
        <v>11711</v>
      </c>
      <c r="B3205" s="190">
        <v>3</v>
      </c>
      <c r="C3205" s="191" t="s">
        <v>228</v>
      </c>
      <c r="D3205" s="192">
        <f t="shared" ref="D3205:D3268" si="700">H3205+L3205+P3205</f>
        <v>0</v>
      </c>
      <c r="E3205" s="192">
        <f t="shared" ref="E3205:E3268" si="701">I3205+M3205+Q3205</f>
        <v>0</v>
      </c>
      <c r="F3205" s="192">
        <f t="shared" ref="F3205:F3268" si="702">J3205+N3205+R3205</f>
        <v>0</v>
      </c>
      <c r="G3205" s="193">
        <f t="shared" ref="G3205:G3268" si="703">(SUM(D3205:E3205)-F3205)*IF(A3205=10298,1.51,1)</f>
        <v>0</v>
      </c>
      <c r="H3205" s="194">
        <v>0</v>
      </c>
      <c r="I3205" s="194">
        <v>0</v>
      </c>
      <c r="J3205" s="194">
        <v>0</v>
      </c>
      <c r="K3205" s="193">
        <f t="shared" ref="K3205:K3268" si="704">SUM(H3205:I3205)-J3205</f>
        <v>0</v>
      </c>
      <c r="L3205" s="194">
        <v>0</v>
      </c>
      <c r="M3205" s="194">
        <v>0</v>
      </c>
      <c r="N3205" s="194">
        <v>0</v>
      </c>
      <c r="O3205" s="193">
        <f t="shared" ref="O3205:O3268" si="705">SUM(L3205:M3205)-N3205</f>
        <v>0</v>
      </c>
      <c r="P3205" s="194">
        <v>0</v>
      </c>
      <c r="Q3205" s="194">
        <v>0</v>
      </c>
      <c r="R3205" s="194">
        <v>0</v>
      </c>
      <c r="S3205" s="193">
        <f t="shared" ref="S3205:S3268" si="706">SUM(P3205:Q3205)-R3205</f>
        <v>0</v>
      </c>
      <c r="T3205" s="193">
        <f t="shared" ref="T3205:T3268" si="707">IF(OR(B3205=1,B3205=2),G3205/30,IF(OR(B3205=3,B3205=5),G3205/24,IF(B3205=4,G3205/18,0)))</f>
        <v>0</v>
      </c>
      <c r="U3205" s="193">
        <f ca="1">OFFSET('Expenditure Study'!$B$7,'Operations Support'!$C3205,'Operations Support'!$B3205)*$G3205</f>
        <v>0</v>
      </c>
      <c r="V3205" s="199">
        <f ca="1">U3205*'Expenditure Study'!$B$31</f>
        <v>0</v>
      </c>
      <c r="W3205" s="199">
        <f ca="1">IF(A3205=10298,1.51,1)*IF($B3205&lt;3,$D3205*'Expenditure Study'!$B$32*OFFSET('Expenditure Study'!$B$7,'Operations Support'!$C3205,'Operations Support'!$B3205),0)</f>
        <v>0</v>
      </c>
      <c r="X3205" s="200">
        <f ca="1">W3205*'Expenditure Study'!$B$31</f>
        <v>0</v>
      </c>
      <c r="Y3205" s="199">
        <f ca="1">U3205*'Expenditure Study'!$B$31</f>
        <v>0</v>
      </c>
      <c r="Z3205" s="200">
        <f ca="1">W3205*'Expenditure Study'!$B$31</f>
        <v>0</v>
      </c>
      <c r="AA3205" s="195">
        <f t="shared" ref="AA3205:AA3268" ca="1" si="708">V3205+X3205</f>
        <v>0</v>
      </c>
      <c r="AB3205" s="195">
        <f t="shared" ref="AB3205:AB3268" ca="1" si="709">Y3205+Z3205</f>
        <v>0</v>
      </c>
      <c r="AD3205" s="196">
        <f>IFERROR($G3205/SUMIF($A:$A,$A3205,$G:$G)*SUMIF(Summary!$A$166:$A$242,$A3205,Summary!$P$166:$P$242),0)</f>
        <v>0</v>
      </c>
      <c r="AE3205" s="197">
        <f t="shared" ca="1" si="696"/>
        <v>0</v>
      </c>
      <c r="AF3205" s="196">
        <f>IFERROR(G3205/SUMIF(A:A,A3205,G:G)*SUMIF(Summary!$A$166:$A$242,'Operations Support'!A3205,Summary!$Q$166:$Q$242),0)</f>
        <v>0</v>
      </c>
      <c r="AG3205" s="196">
        <f t="shared" ca="1" si="697"/>
        <v>0</v>
      </c>
      <c r="AI3205" s="196">
        <f>IFERROR($G3205/SUMIF($A:$A,$A3205,$G:$G)*SUMIF(Summary!$A$247:$A$283,$A3205,Summary!$P$247:$P$283),0)</f>
        <v>0</v>
      </c>
      <c r="AJ3205" s="196">
        <f>IFERROR($G3205/SUMIF($A:$A,$A3205,$G:$G)*(SUMIF(Summary!$A$247:$A$283,$A3205,Summary!$L$247:$L$283)+SUMIF(Summary!$A$297:$A$333,$A3205,Summary!$L$297:$L$333))-AI3205,0)</f>
        <v>0</v>
      </c>
      <c r="AK3205" s="196">
        <f>IFERROR($G3205/SUMIF($A:$A,$A3205,$G:$G)*SUMIF(Summary!$A$247:$A$283,$A3205,Summary!$Q$247:$Q$283),0)</f>
        <v>0</v>
      </c>
      <c r="AL3205" s="196">
        <f>IFERROR($G3205/SUMIF($A:$A,$A3205,$G:$G)*(SUMIF(Summary!$A$247:$A$283,$A3205,Summary!$L$247:$L$283)+SUMIF(Summary!$A$297:$A$333,$A3205,Summary!$L$297:$L$333))-AK3205,0)</f>
        <v>0</v>
      </c>
      <c r="AM3205" s="198"/>
      <c r="AN3205" s="196">
        <f t="shared" ca="1" si="698"/>
        <v>0</v>
      </c>
      <c r="AO3205" s="196">
        <f t="shared" ca="1" si="699"/>
        <v>0</v>
      </c>
    </row>
    <row r="3206" spans="1:41">
      <c r="A3206" s="189">
        <v>11711</v>
      </c>
      <c r="B3206" s="190">
        <v>3</v>
      </c>
      <c r="C3206" s="191" t="s">
        <v>229</v>
      </c>
      <c r="D3206" s="192">
        <f t="shared" si="700"/>
        <v>384</v>
      </c>
      <c r="E3206" s="192">
        <f t="shared" si="701"/>
        <v>438</v>
      </c>
      <c r="F3206" s="192">
        <f t="shared" si="702"/>
        <v>0</v>
      </c>
      <c r="G3206" s="193">
        <f t="shared" si="703"/>
        <v>822</v>
      </c>
      <c r="H3206" s="194">
        <v>156</v>
      </c>
      <c r="I3206" s="194">
        <v>105</v>
      </c>
      <c r="J3206" s="194">
        <v>0</v>
      </c>
      <c r="K3206" s="193">
        <f t="shared" si="704"/>
        <v>261</v>
      </c>
      <c r="L3206" s="194">
        <v>141</v>
      </c>
      <c r="M3206" s="194">
        <v>21</v>
      </c>
      <c r="N3206" s="194">
        <v>0</v>
      </c>
      <c r="O3206" s="193">
        <f t="shared" si="705"/>
        <v>162</v>
      </c>
      <c r="P3206" s="194">
        <v>87</v>
      </c>
      <c r="Q3206" s="194">
        <v>312</v>
      </c>
      <c r="R3206" s="194">
        <v>0</v>
      </c>
      <c r="S3206" s="193">
        <f t="shared" si="706"/>
        <v>399</v>
      </c>
      <c r="T3206" s="193">
        <f t="shared" si="707"/>
        <v>34.25</v>
      </c>
      <c r="U3206" s="193">
        <f ca="1">OFFSET('Expenditure Study'!$B$7,'Operations Support'!$C3206,'Operations Support'!$B3206)*$G3206</f>
        <v>3033.18</v>
      </c>
      <c r="V3206" s="199">
        <f ca="1">U3206*'Expenditure Study'!$B$31</f>
        <v>179209.92233894399</v>
      </c>
      <c r="W3206" s="199">
        <f ca="1">IF(A3206=10298,1.51,1)*IF($B3206&lt;3,$D3206*'Expenditure Study'!$B$32*OFFSET('Expenditure Study'!$B$7,'Operations Support'!$C3206,'Operations Support'!$B3206),0)</f>
        <v>0</v>
      </c>
      <c r="X3206" s="200">
        <f ca="1">W3206*'Expenditure Study'!$B$31</f>
        <v>0</v>
      </c>
      <c r="Y3206" s="199">
        <f ca="1">U3206*'Expenditure Study'!$B$31</f>
        <v>179209.92233894399</v>
      </c>
      <c r="Z3206" s="200">
        <f ca="1">W3206*'Expenditure Study'!$B$31</f>
        <v>0</v>
      </c>
      <c r="AA3206" s="195">
        <f t="shared" ca="1" si="708"/>
        <v>179209.92233894399</v>
      </c>
      <c r="AB3206" s="195">
        <f t="shared" ca="1" si="709"/>
        <v>179209.92233894399</v>
      </c>
      <c r="AD3206" s="196">
        <f>IFERROR($G3206/SUMIF($A:$A,$A3206,$G:$G)*SUMIF(Summary!$A$166:$A$242,$A3206,Summary!$P$166:$P$242),0)</f>
        <v>30524.885691947242</v>
      </c>
      <c r="AE3206" s="197">
        <f t="shared" ref="AE3206:AE3269" ca="1" si="710">V3206+X3206-AD3206</f>
        <v>148685.03664699674</v>
      </c>
      <c r="AF3206" s="196">
        <f>IFERROR(G3206/SUMIF(A:A,A3206,G:G)*SUMIF(Summary!$A$166:$A$242,'Operations Support'!A3206,Summary!$Q$166:$Q$242),0)</f>
        <v>30658.878069209113</v>
      </c>
      <c r="AG3206" s="196">
        <f t="shared" ref="AG3206:AG3269" ca="1" si="711">Y3206+Z3206-AF3206</f>
        <v>148551.04426973488</v>
      </c>
      <c r="AI3206" s="196">
        <f>IFERROR($G3206/SUMIF($A:$A,$A3206,$G:$G)*SUMIF(Summary!$A$247:$A$283,$A3206,Summary!$P$247:$P$283),0)</f>
        <v>5566.9774101798284</v>
      </c>
      <c r="AJ3206" s="196">
        <f>IFERROR($G3206/SUMIF($A:$A,$A3206,$G:$G)*(SUMIF(Summary!$A$247:$A$283,$A3206,Summary!$L$247:$L$283)+SUMIF(Summary!$A$297:$A$333,$A3206,Summary!$L$297:$L$333))-AI3206,0)</f>
        <v>12009.56905787858</v>
      </c>
      <c r="AK3206" s="196">
        <f>IFERROR($G3206/SUMIF($A:$A,$A3206,$G:$G)*SUMIF(Summary!$A$247:$A$283,$A3206,Summary!$Q$247:$Q$283),0)</f>
        <v>5591.4142760498935</v>
      </c>
      <c r="AL3206" s="196">
        <f>IFERROR($G3206/SUMIF($A:$A,$A3206,$G:$G)*(SUMIF(Summary!$A$247:$A$283,$A3206,Summary!$L$247:$L$283)+SUMIF(Summary!$A$297:$A$333,$A3206,Summary!$L$297:$L$333))-AK3206,0)</f>
        <v>11985.132192008514</v>
      </c>
      <c r="AM3206" s="198"/>
      <c r="AN3206" s="196">
        <f t="shared" ref="AN3206:AN3269" ca="1" si="712">AE3206+AJ3206</f>
        <v>160694.60570487531</v>
      </c>
      <c r="AO3206" s="196">
        <f t="shared" ref="AO3206:AO3269" ca="1" si="713">AG3206+AL3206</f>
        <v>160536.17646174339</v>
      </c>
    </row>
    <row r="3207" spans="1:41">
      <c r="A3207" s="189">
        <v>11711</v>
      </c>
      <c r="B3207" s="190">
        <v>3</v>
      </c>
      <c r="C3207" s="191" t="s">
        <v>230</v>
      </c>
      <c r="D3207" s="192">
        <f t="shared" si="700"/>
        <v>0</v>
      </c>
      <c r="E3207" s="192">
        <f t="shared" si="701"/>
        <v>0</v>
      </c>
      <c r="F3207" s="192">
        <f t="shared" si="702"/>
        <v>0</v>
      </c>
      <c r="G3207" s="193">
        <f t="shared" si="703"/>
        <v>0</v>
      </c>
      <c r="H3207" s="194">
        <v>0</v>
      </c>
      <c r="I3207" s="194">
        <v>0</v>
      </c>
      <c r="J3207" s="194">
        <v>0</v>
      </c>
      <c r="K3207" s="193">
        <f t="shared" si="704"/>
        <v>0</v>
      </c>
      <c r="L3207" s="194">
        <v>0</v>
      </c>
      <c r="M3207" s="194">
        <v>0</v>
      </c>
      <c r="N3207" s="194">
        <v>0</v>
      </c>
      <c r="O3207" s="193">
        <f t="shared" si="705"/>
        <v>0</v>
      </c>
      <c r="P3207" s="194">
        <v>0</v>
      </c>
      <c r="Q3207" s="194">
        <v>0</v>
      </c>
      <c r="R3207" s="194">
        <v>0</v>
      </c>
      <c r="S3207" s="193">
        <f t="shared" si="706"/>
        <v>0</v>
      </c>
      <c r="T3207" s="193">
        <f t="shared" si="707"/>
        <v>0</v>
      </c>
      <c r="U3207" s="193">
        <f ca="1">OFFSET('Expenditure Study'!$B$7,'Operations Support'!$C3207,'Operations Support'!$B3207)*$G3207</f>
        <v>0</v>
      </c>
      <c r="V3207" s="199">
        <f ca="1">U3207*'Expenditure Study'!$B$31</f>
        <v>0</v>
      </c>
      <c r="W3207" s="199">
        <f ca="1">IF(A3207=10298,1.51,1)*IF($B3207&lt;3,$D3207*'Expenditure Study'!$B$32*OFFSET('Expenditure Study'!$B$7,'Operations Support'!$C3207,'Operations Support'!$B3207),0)</f>
        <v>0</v>
      </c>
      <c r="X3207" s="200">
        <f ca="1">W3207*'Expenditure Study'!$B$31</f>
        <v>0</v>
      </c>
      <c r="Y3207" s="199">
        <f ca="1">U3207*'Expenditure Study'!$B$31</f>
        <v>0</v>
      </c>
      <c r="Z3207" s="200">
        <f ca="1">W3207*'Expenditure Study'!$B$31</f>
        <v>0</v>
      </c>
      <c r="AA3207" s="195">
        <f t="shared" ca="1" si="708"/>
        <v>0</v>
      </c>
      <c r="AB3207" s="195">
        <f t="shared" ca="1" si="709"/>
        <v>0</v>
      </c>
      <c r="AD3207" s="196">
        <f>IFERROR($G3207/SUMIF($A:$A,$A3207,$G:$G)*SUMIF(Summary!$A$166:$A$242,$A3207,Summary!$P$166:$P$242),0)</f>
        <v>0</v>
      </c>
      <c r="AE3207" s="197">
        <f t="shared" ca="1" si="710"/>
        <v>0</v>
      </c>
      <c r="AF3207" s="196">
        <f>IFERROR(G3207/SUMIF(A:A,A3207,G:G)*SUMIF(Summary!$A$166:$A$242,'Operations Support'!A3207,Summary!$Q$166:$Q$242),0)</f>
        <v>0</v>
      </c>
      <c r="AG3207" s="196">
        <f t="shared" ca="1" si="711"/>
        <v>0</v>
      </c>
      <c r="AI3207" s="196">
        <f>IFERROR($G3207/SUMIF($A:$A,$A3207,$G:$G)*SUMIF(Summary!$A$247:$A$283,$A3207,Summary!$P$247:$P$283),0)</f>
        <v>0</v>
      </c>
      <c r="AJ3207" s="196">
        <f>IFERROR($G3207/SUMIF($A:$A,$A3207,$G:$G)*(SUMIF(Summary!$A$247:$A$283,$A3207,Summary!$L$247:$L$283)+SUMIF(Summary!$A$297:$A$333,$A3207,Summary!$L$297:$L$333))-AI3207,0)</f>
        <v>0</v>
      </c>
      <c r="AK3207" s="196">
        <f>IFERROR($G3207/SUMIF($A:$A,$A3207,$G:$G)*SUMIF(Summary!$A$247:$A$283,$A3207,Summary!$Q$247:$Q$283),0)</f>
        <v>0</v>
      </c>
      <c r="AL3207" s="196">
        <f>IFERROR($G3207/SUMIF($A:$A,$A3207,$G:$G)*(SUMIF(Summary!$A$247:$A$283,$A3207,Summary!$L$247:$L$283)+SUMIF(Summary!$A$297:$A$333,$A3207,Summary!$L$297:$L$333))-AK3207,0)</f>
        <v>0</v>
      </c>
      <c r="AM3207" s="198"/>
      <c r="AN3207" s="196">
        <f t="shared" ca="1" si="712"/>
        <v>0</v>
      </c>
      <c r="AO3207" s="196">
        <f t="shared" ca="1" si="713"/>
        <v>0</v>
      </c>
    </row>
    <row r="3208" spans="1:41">
      <c r="A3208" s="189">
        <v>11711</v>
      </c>
      <c r="B3208" s="190">
        <v>3</v>
      </c>
      <c r="C3208" s="191" t="s">
        <v>231</v>
      </c>
      <c r="D3208" s="192">
        <f t="shared" si="700"/>
        <v>0</v>
      </c>
      <c r="E3208" s="192">
        <f t="shared" si="701"/>
        <v>0</v>
      </c>
      <c r="F3208" s="192">
        <f t="shared" si="702"/>
        <v>0</v>
      </c>
      <c r="G3208" s="193">
        <f t="shared" si="703"/>
        <v>0</v>
      </c>
      <c r="H3208" s="194">
        <v>0</v>
      </c>
      <c r="I3208" s="194">
        <v>0</v>
      </c>
      <c r="J3208" s="194">
        <v>0</v>
      </c>
      <c r="K3208" s="193">
        <f t="shared" si="704"/>
        <v>0</v>
      </c>
      <c r="L3208" s="194">
        <v>0</v>
      </c>
      <c r="M3208" s="194">
        <v>0</v>
      </c>
      <c r="N3208" s="194">
        <v>0</v>
      </c>
      <c r="O3208" s="193">
        <f t="shared" si="705"/>
        <v>0</v>
      </c>
      <c r="P3208" s="194">
        <v>0</v>
      </c>
      <c r="Q3208" s="194">
        <v>0</v>
      </c>
      <c r="R3208" s="194">
        <v>0</v>
      </c>
      <c r="S3208" s="193">
        <f t="shared" si="706"/>
        <v>0</v>
      </c>
      <c r="T3208" s="193">
        <f t="shared" si="707"/>
        <v>0</v>
      </c>
      <c r="U3208" s="193">
        <f ca="1">OFFSET('Expenditure Study'!$B$7,'Operations Support'!$C3208,'Operations Support'!$B3208)*$G3208</f>
        <v>0</v>
      </c>
      <c r="V3208" s="199">
        <f ca="1">U3208*'Expenditure Study'!$B$31</f>
        <v>0</v>
      </c>
      <c r="W3208" s="199">
        <f ca="1">IF(A3208=10298,1.51,1)*IF($B3208&lt;3,$D3208*'Expenditure Study'!$B$32*OFFSET('Expenditure Study'!$B$7,'Operations Support'!$C3208,'Operations Support'!$B3208),0)</f>
        <v>0</v>
      </c>
      <c r="X3208" s="200">
        <f ca="1">W3208*'Expenditure Study'!$B$31</f>
        <v>0</v>
      </c>
      <c r="Y3208" s="199">
        <f ca="1">U3208*'Expenditure Study'!$B$31</f>
        <v>0</v>
      </c>
      <c r="Z3208" s="200">
        <f ca="1">W3208*'Expenditure Study'!$B$31</f>
        <v>0</v>
      </c>
      <c r="AA3208" s="195">
        <f t="shared" ca="1" si="708"/>
        <v>0</v>
      </c>
      <c r="AB3208" s="195">
        <f t="shared" ca="1" si="709"/>
        <v>0</v>
      </c>
      <c r="AD3208" s="196">
        <f>IFERROR($G3208/SUMIF($A:$A,$A3208,$G:$G)*SUMIF(Summary!$A$166:$A$242,$A3208,Summary!$P$166:$P$242),0)</f>
        <v>0</v>
      </c>
      <c r="AE3208" s="197">
        <f t="shared" ca="1" si="710"/>
        <v>0</v>
      </c>
      <c r="AF3208" s="196">
        <f>IFERROR(G3208/SUMIF(A:A,A3208,G:G)*SUMIF(Summary!$A$166:$A$242,'Operations Support'!A3208,Summary!$Q$166:$Q$242),0)</f>
        <v>0</v>
      </c>
      <c r="AG3208" s="196">
        <f t="shared" ca="1" si="711"/>
        <v>0</v>
      </c>
      <c r="AI3208" s="196">
        <f>IFERROR($G3208/SUMIF($A:$A,$A3208,$G:$G)*SUMIF(Summary!$A$247:$A$283,$A3208,Summary!$P$247:$P$283),0)</f>
        <v>0</v>
      </c>
      <c r="AJ3208" s="196">
        <f>IFERROR($G3208/SUMIF($A:$A,$A3208,$G:$G)*(SUMIF(Summary!$A$247:$A$283,$A3208,Summary!$L$247:$L$283)+SUMIF(Summary!$A$297:$A$333,$A3208,Summary!$L$297:$L$333))-AI3208,0)</f>
        <v>0</v>
      </c>
      <c r="AK3208" s="196">
        <f>IFERROR($G3208/SUMIF($A:$A,$A3208,$G:$G)*SUMIF(Summary!$A$247:$A$283,$A3208,Summary!$Q$247:$Q$283),0)</f>
        <v>0</v>
      </c>
      <c r="AL3208" s="196">
        <f>IFERROR($G3208/SUMIF($A:$A,$A3208,$G:$G)*(SUMIF(Summary!$A$247:$A$283,$A3208,Summary!$L$247:$L$283)+SUMIF(Summary!$A$297:$A$333,$A3208,Summary!$L$297:$L$333))-AK3208,0)</f>
        <v>0</v>
      </c>
      <c r="AM3208" s="198"/>
      <c r="AN3208" s="196">
        <f t="shared" ca="1" si="712"/>
        <v>0</v>
      </c>
      <c r="AO3208" s="196">
        <f t="shared" ca="1" si="713"/>
        <v>0</v>
      </c>
    </row>
    <row r="3209" spans="1:41">
      <c r="A3209" s="189">
        <v>11711</v>
      </c>
      <c r="B3209" s="190">
        <v>3</v>
      </c>
      <c r="C3209" s="191" t="s">
        <v>232</v>
      </c>
      <c r="D3209" s="192">
        <f t="shared" si="700"/>
        <v>0</v>
      </c>
      <c r="E3209" s="192">
        <f t="shared" si="701"/>
        <v>0</v>
      </c>
      <c r="F3209" s="192">
        <f t="shared" si="702"/>
        <v>0</v>
      </c>
      <c r="G3209" s="193">
        <f t="shared" si="703"/>
        <v>0</v>
      </c>
      <c r="H3209" s="194">
        <v>0</v>
      </c>
      <c r="I3209" s="194">
        <v>0</v>
      </c>
      <c r="J3209" s="194">
        <v>0</v>
      </c>
      <c r="K3209" s="193">
        <f t="shared" si="704"/>
        <v>0</v>
      </c>
      <c r="L3209" s="194">
        <v>0</v>
      </c>
      <c r="M3209" s="194">
        <v>0</v>
      </c>
      <c r="N3209" s="194">
        <v>0</v>
      </c>
      <c r="O3209" s="193">
        <f t="shared" si="705"/>
        <v>0</v>
      </c>
      <c r="P3209" s="194">
        <v>0</v>
      </c>
      <c r="Q3209" s="194">
        <v>0</v>
      </c>
      <c r="R3209" s="194">
        <v>0</v>
      </c>
      <c r="S3209" s="193">
        <f t="shared" si="706"/>
        <v>0</v>
      </c>
      <c r="T3209" s="193">
        <f t="shared" si="707"/>
        <v>0</v>
      </c>
      <c r="U3209" s="193">
        <f ca="1">OFFSET('Expenditure Study'!$B$7,'Operations Support'!$C3209,'Operations Support'!$B3209)*$G3209</f>
        <v>0</v>
      </c>
      <c r="V3209" s="199">
        <f ca="1">U3209*'Expenditure Study'!$B$31</f>
        <v>0</v>
      </c>
      <c r="W3209" s="199">
        <f ca="1">IF(A3209=10298,1.51,1)*IF($B3209&lt;3,$D3209*'Expenditure Study'!$B$32*OFFSET('Expenditure Study'!$B$7,'Operations Support'!$C3209,'Operations Support'!$B3209),0)</f>
        <v>0</v>
      </c>
      <c r="X3209" s="200">
        <f ca="1">W3209*'Expenditure Study'!$B$31</f>
        <v>0</v>
      </c>
      <c r="Y3209" s="199">
        <f ca="1">U3209*'Expenditure Study'!$B$31</f>
        <v>0</v>
      </c>
      <c r="Z3209" s="200">
        <f ca="1">W3209*'Expenditure Study'!$B$31</f>
        <v>0</v>
      </c>
      <c r="AA3209" s="195">
        <f t="shared" ca="1" si="708"/>
        <v>0</v>
      </c>
      <c r="AB3209" s="195">
        <f t="shared" ca="1" si="709"/>
        <v>0</v>
      </c>
      <c r="AD3209" s="196">
        <f>IFERROR($G3209/SUMIF($A:$A,$A3209,$G:$G)*SUMIF(Summary!$A$166:$A$242,$A3209,Summary!$P$166:$P$242),0)</f>
        <v>0</v>
      </c>
      <c r="AE3209" s="197">
        <f t="shared" ca="1" si="710"/>
        <v>0</v>
      </c>
      <c r="AF3209" s="196">
        <f>IFERROR(G3209/SUMIF(A:A,A3209,G:G)*SUMIF(Summary!$A$166:$A$242,'Operations Support'!A3209,Summary!$Q$166:$Q$242),0)</f>
        <v>0</v>
      </c>
      <c r="AG3209" s="196">
        <f t="shared" ca="1" si="711"/>
        <v>0</v>
      </c>
      <c r="AI3209" s="196">
        <f>IFERROR($G3209/SUMIF($A:$A,$A3209,$G:$G)*SUMIF(Summary!$A$247:$A$283,$A3209,Summary!$P$247:$P$283),0)</f>
        <v>0</v>
      </c>
      <c r="AJ3209" s="196">
        <f>IFERROR($G3209/SUMIF($A:$A,$A3209,$G:$G)*(SUMIF(Summary!$A$247:$A$283,$A3209,Summary!$L$247:$L$283)+SUMIF(Summary!$A$297:$A$333,$A3209,Summary!$L$297:$L$333))-AI3209,0)</f>
        <v>0</v>
      </c>
      <c r="AK3209" s="196">
        <f>IFERROR($G3209/SUMIF($A:$A,$A3209,$G:$G)*SUMIF(Summary!$A$247:$A$283,$A3209,Summary!$Q$247:$Q$283),0)</f>
        <v>0</v>
      </c>
      <c r="AL3209" s="196">
        <f>IFERROR($G3209/SUMIF($A:$A,$A3209,$G:$G)*(SUMIF(Summary!$A$247:$A$283,$A3209,Summary!$L$247:$L$283)+SUMIF(Summary!$A$297:$A$333,$A3209,Summary!$L$297:$L$333))-AK3209,0)</f>
        <v>0</v>
      </c>
      <c r="AM3209" s="198"/>
      <c r="AN3209" s="196">
        <f t="shared" ca="1" si="712"/>
        <v>0</v>
      </c>
      <c r="AO3209" s="196">
        <f t="shared" ca="1" si="713"/>
        <v>0</v>
      </c>
    </row>
    <row r="3210" spans="1:41">
      <c r="A3210" s="189">
        <v>11711</v>
      </c>
      <c r="B3210" s="190">
        <v>3</v>
      </c>
      <c r="C3210" s="191" t="s">
        <v>233</v>
      </c>
      <c r="D3210" s="192">
        <f t="shared" si="700"/>
        <v>2263.5</v>
      </c>
      <c r="E3210" s="192">
        <f t="shared" si="701"/>
        <v>502.5</v>
      </c>
      <c r="F3210" s="192">
        <f t="shared" si="702"/>
        <v>0</v>
      </c>
      <c r="G3210" s="193">
        <f t="shared" si="703"/>
        <v>2766</v>
      </c>
      <c r="H3210" s="194">
        <v>918</v>
      </c>
      <c r="I3210" s="194">
        <v>174</v>
      </c>
      <c r="J3210" s="194">
        <v>0</v>
      </c>
      <c r="K3210" s="193">
        <f t="shared" si="704"/>
        <v>1092</v>
      </c>
      <c r="L3210" s="194">
        <v>646.5</v>
      </c>
      <c r="M3210" s="194">
        <v>52.5</v>
      </c>
      <c r="N3210" s="194">
        <v>0</v>
      </c>
      <c r="O3210" s="193">
        <f t="shared" si="705"/>
        <v>699</v>
      </c>
      <c r="P3210" s="194">
        <v>699</v>
      </c>
      <c r="Q3210" s="194">
        <v>276</v>
      </c>
      <c r="R3210" s="194">
        <v>0</v>
      </c>
      <c r="S3210" s="193">
        <f t="shared" si="706"/>
        <v>975</v>
      </c>
      <c r="T3210" s="193">
        <f t="shared" si="707"/>
        <v>115.25</v>
      </c>
      <c r="U3210" s="193">
        <f ca="1">OFFSET('Expenditure Study'!$B$7,'Operations Support'!$C3210,'Operations Support'!$B3210)*$G3210</f>
        <v>7246.92</v>
      </c>
      <c r="V3210" s="199">
        <f ca="1">U3210*'Expenditure Study'!$B$31</f>
        <v>428171.084603136</v>
      </c>
      <c r="W3210" s="199">
        <f ca="1">IF(A3210=10298,1.51,1)*IF($B3210&lt;3,$D3210*'Expenditure Study'!$B$32*OFFSET('Expenditure Study'!$B$7,'Operations Support'!$C3210,'Operations Support'!$B3210),0)</f>
        <v>0</v>
      </c>
      <c r="X3210" s="200">
        <f ca="1">W3210*'Expenditure Study'!$B$31</f>
        <v>0</v>
      </c>
      <c r="Y3210" s="199">
        <f ca="1">U3210*'Expenditure Study'!$B$31</f>
        <v>428171.084603136</v>
      </c>
      <c r="Z3210" s="200">
        <f ca="1">W3210*'Expenditure Study'!$B$31</f>
        <v>0</v>
      </c>
      <c r="AA3210" s="195">
        <f t="shared" ca="1" si="708"/>
        <v>428171.084603136</v>
      </c>
      <c r="AB3210" s="195">
        <f t="shared" ca="1" si="709"/>
        <v>428171.084603136</v>
      </c>
      <c r="AD3210" s="196">
        <f>IFERROR($G3210/SUMIF($A:$A,$A3210,$G:$G)*SUMIF(Summary!$A$166:$A$242,$A3210,Summary!$P$166:$P$242),0)</f>
        <v>102715.1263064794</v>
      </c>
      <c r="AE3210" s="197">
        <f t="shared" ca="1" si="710"/>
        <v>325455.95829665661</v>
      </c>
      <c r="AF3210" s="196">
        <f>IFERROR(G3210/SUMIF(A:A,A3210,G:G)*SUMIF(Summary!$A$166:$A$242,'Operations Support'!A3210,Summary!$Q$166:$Q$242),0)</f>
        <v>103166.00576573286</v>
      </c>
      <c r="AG3210" s="196">
        <f t="shared" ca="1" si="711"/>
        <v>325005.07883740315</v>
      </c>
      <c r="AI3210" s="196">
        <f>IFERROR($G3210/SUMIF($A:$A,$A3210,$G:$G)*SUMIF(Summary!$A$247:$A$283,$A3210,Summary!$P$247:$P$283),0)</f>
        <v>18732.67581089709</v>
      </c>
      <c r="AJ3210" s="196">
        <f>IFERROR($G3210/SUMIF($A:$A,$A3210,$G:$G)*(SUMIF(Summary!$A$247:$A$283,$A3210,Summary!$L$247:$L$283)+SUMIF(Summary!$A$297:$A$333,$A3210,Summary!$L$297:$L$333))-AI3210,0)</f>
        <v>40411.761574321346</v>
      </c>
      <c r="AK3210" s="196">
        <f>IFERROR($G3210/SUMIF($A:$A,$A3210,$G:$G)*SUMIF(Summary!$A$247:$A$283,$A3210,Summary!$Q$247:$Q$283),0)</f>
        <v>18814.904972693435</v>
      </c>
      <c r="AL3210" s="196">
        <f>IFERROR($G3210/SUMIF($A:$A,$A3210,$G:$G)*(SUMIF(Summary!$A$247:$A$283,$A3210,Summary!$L$247:$L$283)+SUMIF(Summary!$A$297:$A$333,$A3210,Summary!$L$297:$L$333))-AK3210,0)</f>
        <v>40329.532412525004</v>
      </c>
      <c r="AM3210" s="198"/>
      <c r="AN3210" s="196">
        <f t="shared" ca="1" si="712"/>
        <v>365867.71987097798</v>
      </c>
      <c r="AO3210" s="196">
        <f t="shared" ca="1" si="713"/>
        <v>365334.61124992813</v>
      </c>
    </row>
    <row r="3211" spans="1:41">
      <c r="A3211" s="189">
        <v>11711</v>
      </c>
      <c r="B3211" s="190">
        <v>3</v>
      </c>
      <c r="C3211" s="191" t="s">
        <v>234</v>
      </c>
      <c r="D3211" s="192">
        <f t="shared" si="700"/>
        <v>0</v>
      </c>
      <c r="E3211" s="192">
        <f t="shared" si="701"/>
        <v>0</v>
      </c>
      <c r="F3211" s="192">
        <f t="shared" si="702"/>
        <v>0</v>
      </c>
      <c r="G3211" s="193">
        <f t="shared" si="703"/>
        <v>0</v>
      </c>
      <c r="H3211" s="194">
        <v>0</v>
      </c>
      <c r="I3211" s="194">
        <v>0</v>
      </c>
      <c r="J3211" s="194">
        <v>0</v>
      </c>
      <c r="K3211" s="193">
        <f t="shared" si="704"/>
        <v>0</v>
      </c>
      <c r="L3211" s="194">
        <v>0</v>
      </c>
      <c r="M3211" s="194">
        <v>0</v>
      </c>
      <c r="N3211" s="194">
        <v>0</v>
      </c>
      <c r="O3211" s="193">
        <f t="shared" si="705"/>
        <v>0</v>
      </c>
      <c r="P3211" s="194">
        <v>0</v>
      </c>
      <c r="Q3211" s="194">
        <v>0</v>
      </c>
      <c r="R3211" s="194">
        <v>0</v>
      </c>
      <c r="S3211" s="193">
        <f t="shared" si="706"/>
        <v>0</v>
      </c>
      <c r="T3211" s="193">
        <f t="shared" si="707"/>
        <v>0</v>
      </c>
      <c r="U3211" s="193">
        <f ca="1">OFFSET('Expenditure Study'!$B$7,'Operations Support'!$C3211,'Operations Support'!$B3211)*$G3211</f>
        <v>0</v>
      </c>
      <c r="V3211" s="199">
        <f ca="1">U3211*'Expenditure Study'!$B$31</f>
        <v>0</v>
      </c>
      <c r="W3211" s="199">
        <f ca="1">IF(A3211=10298,1.51,1)*IF($B3211&lt;3,$D3211*'Expenditure Study'!$B$32*OFFSET('Expenditure Study'!$B$7,'Operations Support'!$C3211,'Operations Support'!$B3211),0)</f>
        <v>0</v>
      </c>
      <c r="X3211" s="200">
        <f ca="1">W3211*'Expenditure Study'!$B$31</f>
        <v>0</v>
      </c>
      <c r="Y3211" s="199">
        <f ca="1">U3211*'Expenditure Study'!$B$31</f>
        <v>0</v>
      </c>
      <c r="Z3211" s="200">
        <f ca="1">W3211*'Expenditure Study'!$B$31</f>
        <v>0</v>
      </c>
      <c r="AA3211" s="195">
        <f t="shared" ca="1" si="708"/>
        <v>0</v>
      </c>
      <c r="AB3211" s="195">
        <f t="shared" ca="1" si="709"/>
        <v>0</v>
      </c>
      <c r="AD3211" s="196">
        <f>IFERROR($G3211/SUMIF($A:$A,$A3211,$G:$G)*SUMIF(Summary!$A$166:$A$242,$A3211,Summary!$P$166:$P$242),0)</f>
        <v>0</v>
      </c>
      <c r="AE3211" s="197">
        <f t="shared" ca="1" si="710"/>
        <v>0</v>
      </c>
      <c r="AF3211" s="196">
        <f>IFERROR(G3211/SUMIF(A:A,A3211,G:G)*SUMIF(Summary!$A$166:$A$242,'Operations Support'!A3211,Summary!$Q$166:$Q$242),0)</f>
        <v>0</v>
      </c>
      <c r="AG3211" s="196">
        <f t="shared" ca="1" si="711"/>
        <v>0</v>
      </c>
      <c r="AI3211" s="196">
        <f>IFERROR($G3211/SUMIF($A:$A,$A3211,$G:$G)*SUMIF(Summary!$A$247:$A$283,$A3211,Summary!$P$247:$P$283),0)</f>
        <v>0</v>
      </c>
      <c r="AJ3211" s="196">
        <f>IFERROR($G3211/SUMIF($A:$A,$A3211,$G:$G)*(SUMIF(Summary!$A$247:$A$283,$A3211,Summary!$L$247:$L$283)+SUMIF(Summary!$A$297:$A$333,$A3211,Summary!$L$297:$L$333))-AI3211,0)</f>
        <v>0</v>
      </c>
      <c r="AK3211" s="196">
        <f>IFERROR($G3211/SUMIF($A:$A,$A3211,$G:$G)*SUMIF(Summary!$A$247:$A$283,$A3211,Summary!$Q$247:$Q$283),0)</f>
        <v>0</v>
      </c>
      <c r="AL3211" s="196">
        <f>IFERROR($G3211/SUMIF($A:$A,$A3211,$G:$G)*(SUMIF(Summary!$A$247:$A$283,$A3211,Summary!$L$247:$L$283)+SUMIF(Summary!$A$297:$A$333,$A3211,Summary!$L$297:$L$333))-AK3211,0)</f>
        <v>0</v>
      </c>
      <c r="AM3211" s="198"/>
      <c r="AN3211" s="196">
        <f t="shared" ca="1" si="712"/>
        <v>0</v>
      </c>
      <c r="AO3211" s="196">
        <f t="shared" ca="1" si="713"/>
        <v>0</v>
      </c>
    </row>
    <row r="3212" spans="1:41">
      <c r="A3212" s="189">
        <v>11711</v>
      </c>
      <c r="B3212" s="190">
        <v>3</v>
      </c>
      <c r="C3212" s="191" t="s">
        <v>235</v>
      </c>
      <c r="D3212" s="192">
        <f t="shared" si="700"/>
        <v>6912</v>
      </c>
      <c r="E3212" s="192">
        <f t="shared" si="701"/>
        <v>849</v>
      </c>
      <c r="F3212" s="192">
        <f t="shared" si="702"/>
        <v>0</v>
      </c>
      <c r="G3212" s="193">
        <f t="shared" si="703"/>
        <v>7761</v>
      </c>
      <c r="H3212" s="194">
        <v>2499</v>
      </c>
      <c r="I3212" s="194">
        <v>309</v>
      </c>
      <c r="J3212" s="194">
        <v>0</v>
      </c>
      <c r="K3212" s="193">
        <f t="shared" si="704"/>
        <v>2808</v>
      </c>
      <c r="L3212" s="194">
        <v>2100</v>
      </c>
      <c r="M3212" s="194">
        <v>324</v>
      </c>
      <c r="N3212" s="194">
        <v>0</v>
      </c>
      <c r="O3212" s="193">
        <f t="shared" si="705"/>
        <v>2424</v>
      </c>
      <c r="P3212" s="194">
        <v>2313</v>
      </c>
      <c r="Q3212" s="194">
        <v>216</v>
      </c>
      <c r="R3212" s="194">
        <v>0</v>
      </c>
      <c r="S3212" s="193">
        <f t="shared" si="706"/>
        <v>2529</v>
      </c>
      <c r="T3212" s="193">
        <f t="shared" si="707"/>
        <v>323.375</v>
      </c>
      <c r="U3212" s="193">
        <f ca="1">OFFSET('Expenditure Study'!$B$7,'Operations Support'!$C3212,'Operations Support'!$B3212)*$G3212</f>
        <v>24524.760000000002</v>
      </c>
      <c r="V3212" s="199">
        <f ca="1">U3212*'Expenditure Study'!$B$31</f>
        <v>1449000.8291566081</v>
      </c>
      <c r="W3212" s="199">
        <f ca="1">IF(A3212=10298,1.51,1)*IF($B3212&lt;3,$D3212*'Expenditure Study'!$B$32*OFFSET('Expenditure Study'!$B$7,'Operations Support'!$C3212,'Operations Support'!$B3212),0)</f>
        <v>0</v>
      </c>
      <c r="X3212" s="200">
        <f ca="1">W3212*'Expenditure Study'!$B$31</f>
        <v>0</v>
      </c>
      <c r="Y3212" s="199">
        <f ca="1">U3212*'Expenditure Study'!$B$31</f>
        <v>1449000.8291566081</v>
      </c>
      <c r="Z3212" s="200">
        <f ca="1">W3212*'Expenditure Study'!$B$31</f>
        <v>0</v>
      </c>
      <c r="AA3212" s="195">
        <f t="shared" ca="1" si="708"/>
        <v>1449000.8291566081</v>
      </c>
      <c r="AB3212" s="195">
        <f t="shared" ca="1" si="709"/>
        <v>1449000.8291566081</v>
      </c>
      <c r="AD3212" s="196">
        <f>IFERROR($G3212/SUMIF($A:$A,$A3212,$G:$G)*SUMIF(Summary!$A$166:$A$242,$A3212,Summary!$P$166:$P$242),0)</f>
        <v>288203.93899659679</v>
      </c>
      <c r="AE3212" s="197">
        <f t="shared" ca="1" si="710"/>
        <v>1160796.8901600114</v>
      </c>
      <c r="AF3212" s="196">
        <f>IFERROR(G3212/SUMIF(A:A,A3212,G:G)*SUMIF(Summary!$A$166:$A$242,'Operations Support'!A3212,Summary!$Q$166:$Q$242),0)</f>
        <v>289469.04220818973</v>
      </c>
      <c r="AG3212" s="196">
        <f t="shared" ca="1" si="711"/>
        <v>1159531.7869484182</v>
      </c>
      <c r="AI3212" s="196">
        <f>IFERROR($G3212/SUMIF($A:$A,$A3212,$G:$G)*SUMIF(Summary!$A$247:$A$283,$A3212,Summary!$P$247:$P$283),0)</f>
        <v>52561.206423851159</v>
      </c>
      <c r="AJ3212" s="196">
        <f>IFERROR($G3212/SUMIF($A:$A,$A3212,$G:$G)*(SUMIF(Summary!$A$247:$A$283,$A3212,Summary!$L$247:$L$283)+SUMIF(Summary!$A$297:$A$333,$A3212,Summary!$L$297:$L$333))-AI3212,0)</f>
        <v>113389.6173457368</v>
      </c>
      <c r="AK3212" s="196">
        <f>IFERROR($G3212/SUMIF($A:$A,$A3212,$G:$G)*SUMIF(Summary!$A$247:$A$283,$A3212,Summary!$Q$247:$Q$283),0)</f>
        <v>52791.929679346991</v>
      </c>
      <c r="AL3212" s="196">
        <f>IFERROR($G3212/SUMIF($A:$A,$A3212,$G:$G)*(SUMIF(Summary!$A$247:$A$283,$A3212,Summary!$L$247:$L$283)+SUMIF(Summary!$A$297:$A$333,$A3212,Summary!$L$297:$L$333))-AK3212,0)</f>
        <v>113158.89409024097</v>
      </c>
      <c r="AM3212" s="198"/>
      <c r="AN3212" s="196">
        <f t="shared" ca="1" si="712"/>
        <v>1274186.5075057482</v>
      </c>
      <c r="AO3212" s="196">
        <f t="shared" ca="1" si="713"/>
        <v>1272690.6810386593</v>
      </c>
    </row>
    <row r="3213" spans="1:41">
      <c r="A3213" s="189">
        <v>11711</v>
      </c>
      <c r="B3213" s="190">
        <v>3</v>
      </c>
      <c r="C3213" s="191" t="s">
        <v>236</v>
      </c>
      <c r="D3213" s="192">
        <f t="shared" si="700"/>
        <v>0</v>
      </c>
      <c r="E3213" s="192">
        <f t="shared" si="701"/>
        <v>0</v>
      </c>
      <c r="F3213" s="192">
        <f t="shared" si="702"/>
        <v>0</v>
      </c>
      <c r="G3213" s="193">
        <f t="shared" si="703"/>
        <v>0</v>
      </c>
      <c r="H3213" s="194">
        <v>0</v>
      </c>
      <c r="I3213" s="194">
        <v>0</v>
      </c>
      <c r="J3213" s="194">
        <v>0</v>
      </c>
      <c r="K3213" s="193">
        <f t="shared" si="704"/>
        <v>0</v>
      </c>
      <c r="L3213" s="194">
        <v>0</v>
      </c>
      <c r="M3213" s="194">
        <v>0</v>
      </c>
      <c r="N3213" s="194">
        <v>0</v>
      </c>
      <c r="O3213" s="193">
        <f t="shared" si="705"/>
        <v>0</v>
      </c>
      <c r="P3213" s="194">
        <v>0</v>
      </c>
      <c r="Q3213" s="194">
        <v>0</v>
      </c>
      <c r="R3213" s="194">
        <v>0</v>
      </c>
      <c r="S3213" s="193">
        <f t="shared" si="706"/>
        <v>0</v>
      </c>
      <c r="T3213" s="193">
        <f t="shared" si="707"/>
        <v>0</v>
      </c>
      <c r="U3213" s="193">
        <f ca="1">OFFSET('Expenditure Study'!$B$7,'Operations Support'!$C3213,'Operations Support'!$B3213)*$G3213</f>
        <v>0</v>
      </c>
      <c r="V3213" s="199">
        <f ca="1">U3213*'Expenditure Study'!$B$31</f>
        <v>0</v>
      </c>
      <c r="W3213" s="199">
        <f ca="1">IF(A3213=10298,1.51,1)*IF($B3213&lt;3,$D3213*'Expenditure Study'!$B$32*OFFSET('Expenditure Study'!$B$7,'Operations Support'!$C3213,'Operations Support'!$B3213),0)</f>
        <v>0</v>
      </c>
      <c r="X3213" s="200">
        <f ca="1">W3213*'Expenditure Study'!$B$31</f>
        <v>0</v>
      </c>
      <c r="Y3213" s="199">
        <f ca="1">U3213*'Expenditure Study'!$B$31</f>
        <v>0</v>
      </c>
      <c r="Z3213" s="200">
        <f ca="1">W3213*'Expenditure Study'!$B$31</f>
        <v>0</v>
      </c>
      <c r="AA3213" s="195">
        <f t="shared" ca="1" si="708"/>
        <v>0</v>
      </c>
      <c r="AB3213" s="195">
        <f t="shared" ca="1" si="709"/>
        <v>0</v>
      </c>
      <c r="AD3213" s="196">
        <f>IFERROR($G3213/SUMIF($A:$A,$A3213,$G:$G)*SUMIF(Summary!$A$166:$A$242,$A3213,Summary!$P$166:$P$242),0)</f>
        <v>0</v>
      </c>
      <c r="AE3213" s="197">
        <f t="shared" ca="1" si="710"/>
        <v>0</v>
      </c>
      <c r="AF3213" s="196">
        <f>IFERROR(G3213/SUMIF(A:A,A3213,G:G)*SUMIF(Summary!$A$166:$A$242,'Operations Support'!A3213,Summary!$Q$166:$Q$242),0)</f>
        <v>0</v>
      </c>
      <c r="AG3213" s="196">
        <f t="shared" ca="1" si="711"/>
        <v>0</v>
      </c>
      <c r="AI3213" s="196">
        <f>IFERROR($G3213/SUMIF($A:$A,$A3213,$G:$G)*SUMIF(Summary!$A$247:$A$283,$A3213,Summary!$P$247:$P$283),0)</f>
        <v>0</v>
      </c>
      <c r="AJ3213" s="196">
        <f>IFERROR($G3213/SUMIF($A:$A,$A3213,$G:$G)*(SUMIF(Summary!$A$247:$A$283,$A3213,Summary!$L$247:$L$283)+SUMIF(Summary!$A$297:$A$333,$A3213,Summary!$L$297:$L$333))-AI3213,0)</f>
        <v>0</v>
      </c>
      <c r="AK3213" s="196">
        <f>IFERROR($G3213/SUMIF($A:$A,$A3213,$G:$G)*SUMIF(Summary!$A$247:$A$283,$A3213,Summary!$Q$247:$Q$283),0)</f>
        <v>0</v>
      </c>
      <c r="AL3213" s="196">
        <f>IFERROR($G3213/SUMIF($A:$A,$A3213,$G:$G)*(SUMIF(Summary!$A$247:$A$283,$A3213,Summary!$L$247:$L$283)+SUMIF(Summary!$A$297:$A$333,$A3213,Summary!$L$297:$L$333))-AK3213,0)</f>
        <v>0</v>
      </c>
      <c r="AM3213" s="198"/>
      <c r="AN3213" s="196">
        <f t="shared" ca="1" si="712"/>
        <v>0</v>
      </c>
      <c r="AO3213" s="196">
        <f t="shared" ca="1" si="713"/>
        <v>0</v>
      </c>
    </row>
    <row r="3214" spans="1:41">
      <c r="A3214" s="189">
        <v>11711</v>
      </c>
      <c r="B3214" s="190">
        <v>3</v>
      </c>
      <c r="C3214" s="191" t="s">
        <v>237</v>
      </c>
      <c r="D3214" s="192">
        <f t="shared" si="700"/>
        <v>0</v>
      </c>
      <c r="E3214" s="192">
        <f t="shared" si="701"/>
        <v>0</v>
      </c>
      <c r="F3214" s="192">
        <f t="shared" si="702"/>
        <v>0</v>
      </c>
      <c r="G3214" s="193">
        <f t="shared" si="703"/>
        <v>0</v>
      </c>
      <c r="H3214" s="194">
        <v>0</v>
      </c>
      <c r="I3214" s="194">
        <v>0</v>
      </c>
      <c r="J3214" s="194">
        <v>0</v>
      </c>
      <c r="K3214" s="193">
        <f t="shared" si="704"/>
        <v>0</v>
      </c>
      <c r="L3214" s="194">
        <v>0</v>
      </c>
      <c r="M3214" s="194">
        <v>0</v>
      </c>
      <c r="N3214" s="194">
        <v>0</v>
      </c>
      <c r="O3214" s="193">
        <f t="shared" si="705"/>
        <v>0</v>
      </c>
      <c r="P3214" s="194">
        <v>0</v>
      </c>
      <c r="Q3214" s="194">
        <v>0</v>
      </c>
      <c r="R3214" s="194">
        <v>0</v>
      </c>
      <c r="S3214" s="193">
        <f t="shared" si="706"/>
        <v>0</v>
      </c>
      <c r="T3214" s="193">
        <f t="shared" si="707"/>
        <v>0</v>
      </c>
      <c r="U3214" s="193">
        <f ca="1">OFFSET('Expenditure Study'!$B$7,'Operations Support'!$C3214,'Operations Support'!$B3214)*$G3214</f>
        <v>0</v>
      </c>
      <c r="V3214" s="199">
        <f ca="1">U3214*'Expenditure Study'!$B$31</f>
        <v>0</v>
      </c>
      <c r="W3214" s="199">
        <f ca="1">IF(A3214=10298,1.51,1)*IF($B3214&lt;3,$D3214*'Expenditure Study'!$B$32*OFFSET('Expenditure Study'!$B$7,'Operations Support'!$C3214,'Operations Support'!$B3214),0)</f>
        <v>0</v>
      </c>
      <c r="X3214" s="200">
        <f ca="1">W3214*'Expenditure Study'!$B$31</f>
        <v>0</v>
      </c>
      <c r="Y3214" s="199">
        <f ca="1">U3214*'Expenditure Study'!$B$31</f>
        <v>0</v>
      </c>
      <c r="Z3214" s="200">
        <f ca="1">W3214*'Expenditure Study'!$B$31</f>
        <v>0</v>
      </c>
      <c r="AA3214" s="195">
        <f t="shared" ca="1" si="708"/>
        <v>0</v>
      </c>
      <c r="AB3214" s="195">
        <f t="shared" ca="1" si="709"/>
        <v>0</v>
      </c>
      <c r="AD3214" s="196">
        <f>IFERROR($G3214/SUMIF($A:$A,$A3214,$G:$G)*SUMIF(Summary!$A$166:$A$242,$A3214,Summary!$P$166:$P$242),0)</f>
        <v>0</v>
      </c>
      <c r="AE3214" s="197">
        <f t="shared" ca="1" si="710"/>
        <v>0</v>
      </c>
      <c r="AF3214" s="196">
        <f>IFERROR(G3214/SUMIF(A:A,A3214,G:G)*SUMIF(Summary!$A$166:$A$242,'Operations Support'!A3214,Summary!$Q$166:$Q$242),0)</f>
        <v>0</v>
      </c>
      <c r="AG3214" s="196">
        <f t="shared" ca="1" si="711"/>
        <v>0</v>
      </c>
      <c r="AI3214" s="196">
        <f>IFERROR($G3214/SUMIF($A:$A,$A3214,$G:$G)*SUMIF(Summary!$A$247:$A$283,$A3214,Summary!$P$247:$P$283),0)</f>
        <v>0</v>
      </c>
      <c r="AJ3214" s="196">
        <f>IFERROR($G3214/SUMIF($A:$A,$A3214,$G:$G)*(SUMIF(Summary!$A$247:$A$283,$A3214,Summary!$L$247:$L$283)+SUMIF(Summary!$A$297:$A$333,$A3214,Summary!$L$297:$L$333))-AI3214,0)</f>
        <v>0</v>
      </c>
      <c r="AK3214" s="196">
        <f>IFERROR($G3214/SUMIF($A:$A,$A3214,$G:$G)*SUMIF(Summary!$A$247:$A$283,$A3214,Summary!$Q$247:$Q$283),0)</f>
        <v>0</v>
      </c>
      <c r="AL3214" s="196">
        <f>IFERROR($G3214/SUMIF($A:$A,$A3214,$G:$G)*(SUMIF(Summary!$A$247:$A$283,$A3214,Summary!$L$247:$L$283)+SUMIF(Summary!$A$297:$A$333,$A3214,Summary!$L$297:$L$333))-AK3214,0)</f>
        <v>0</v>
      </c>
      <c r="AM3214" s="198"/>
      <c r="AN3214" s="196">
        <f t="shared" ca="1" si="712"/>
        <v>0</v>
      </c>
      <c r="AO3214" s="196">
        <f t="shared" ca="1" si="713"/>
        <v>0</v>
      </c>
    </row>
    <row r="3215" spans="1:41">
      <c r="A3215" s="189">
        <v>11711</v>
      </c>
      <c r="B3215" s="190">
        <v>3</v>
      </c>
      <c r="C3215" s="191" t="s">
        <v>238</v>
      </c>
      <c r="D3215" s="192">
        <f t="shared" si="700"/>
        <v>416</v>
      </c>
      <c r="E3215" s="192">
        <f t="shared" si="701"/>
        <v>30</v>
      </c>
      <c r="F3215" s="192">
        <f t="shared" si="702"/>
        <v>0</v>
      </c>
      <c r="G3215" s="193">
        <f t="shared" si="703"/>
        <v>446</v>
      </c>
      <c r="H3215" s="194">
        <v>176</v>
      </c>
      <c r="I3215" s="194">
        <v>15</v>
      </c>
      <c r="J3215" s="194">
        <v>0</v>
      </c>
      <c r="K3215" s="193">
        <f t="shared" si="704"/>
        <v>191</v>
      </c>
      <c r="L3215" s="194">
        <v>165</v>
      </c>
      <c r="M3215" s="194">
        <v>15</v>
      </c>
      <c r="N3215" s="194">
        <v>0</v>
      </c>
      <c r="O3215" s="193">
        <f t="shared" si="705"/>
        <v>180</v>
      </c>
      <c r="P3215" s="194">
        <v>75</v>
      </c>
      <c r="Q3215" s="194">
        <v>0</v>
      </c>
      <c r="R3215" s="194">
        <v>0</v>
      </c>
      <c r="S3215" s="193">
        <f t="shared" si="706"/>
        <v>75</v>
      </c>
      <c r="T3215" s="193">
        <f t="shared" si="707"/>
        <v>18.583333333333332</v>
      </c>
      <c r="U3215" s="193">
        <f ca="1">OFFSET('Expenditure Study'!$B$7,'Operations Support'!$C3215,'Operations Support'!$B3215)*$G3215</f>
        <v>2604.64</v>
      </c>
      <c r="V3215" s="199">
        <f ca="1">U3215*'Expenditure Study'!$B$31</f>
        <v>153890.41603891199</v>
      </c>
      <c r="W3215" s="199">
        <f ca="1">IF(A3215=10298,1.51,1)*IF($B3215&lt;3,$D3215*'Expenditure Study'!$B$32*OFFSET('Expenditure Study'!$B$7,'Operations Support'!$C3215,'Operations Support'!$B3215),0)</f>
        <v>0</v>
      </c>
      <c r="X3215" s="200">
        <f ca="1">W3215*'Expenditure Study'!$B$31</f>
        <v>0</v>
      </c>
      <c r="Y3215" s="199">
        <f ca="1">U3215*'Expenditure Study'!$B$31</f>
        <v>153890.41603891199</v>
      </c>
      <c r="Z3215" s="200">
        <f ca="1">W3215*'Expenditure Study'!$B$31</f>
        <v>0</v>
      </c>
      <c r="AA3215" s="195">
        <f t="shared" ca="1" si="708"/>
        <v>153890.41603891199</v>
      </c>
      <c r="AB3215" s="195">
        <f t="shared" ca="1" si="709"/>
        <v>153890.41603891199</v>
      </c>
      <c r="AD3215" s="196">
        <f>IFERROR($G3215/SUMIF($A:$A,$A3215,$G:$G)*SUMIF(Summary!$A$166:$A$242,$A3215,Summary!$P$166:$P$242),0)</f>
        <v>16562.164256214684</v>
      </c>
      <c r="AE3215" s="197">
        <f t="shared" ca="1" si="710"/>
        <v>137328.25178269731</v>
      </c>
      <c r="AF3215" s="196">
        <f>IFERROR(G3215/SUMIF(A:A,A3215,G:G)*SUMIF(Summary!$A$166:$A$242,'Operations Support'!A3215,Summary!$Q$166:$Q$242),0)</f>
        <v>16634.865716383534</v>
      </c>
      <c r="AG3215" s="196">
        <f t="shared" ca="1" si="711"/>
        <v>137255.55032252846</v>
      </c>
      <c r="AI3215" s="196">
        <f>IFERROR($G3215/SUMIF($A:$A,$A3215,$G:$G)*SUMIF(Summary!$A$247:$A$283,$A3215,Summary!$P$247:$P$283),0)</f>
        <v>3020.5254561316347</v>
      </c>
      <c r="AJ3215" s="196">
        <f>IFERROR($G3215/SUMIF($A:$A,$A3215,$G:$G)*(SUMIF(Summary!$A$247:$A$283,$A3215,Summary!$L$247:$L$283)+SUMIF(Summary!$A$297:$A$333,$A3215,Summary!$L$297:$L$333))-AI3215,0)</f>
        <v>6516.1408756859437</v>
      </c>
      <c r="AK3215" s="196">
        <f>IFERROR($G3215/SUMIF($A:$A,$A3215,$G:$G)*SUMIF(Summary!$A$247:$A$283,$A3215,Summary!$Q$247:$Q$283),0)</f>
        <v>3033.7843882217185</v>
      </c>
      <c r="AL3215" s="196">
        <f>IFERROR($G3215/SUMIF($A:$A,$A3215,$G:$G)*(SUMIF(Summary!$A$247:$A$283,$A3215,Summary!$L$247:$L$283)+SUMIF(Summary!$A$297:$A$333,$A3215,Summary!$L$297:$L$333))-AK3215,0)</f>
        <v>6502.8819435958594</v>
      </c>
      <c r="AM3215" s="198"/>
      <c r="AN3215" s="196">
        <f t="shared" ca="1" si="712"/>
        <v>143844.39265838324</v>
      </c>
      <c r="AO3215" s="196">
        <f t="shared" ca="1" si="713"/>
        <v>143758.43226612432</v>
      </c>
    </row>
    <row r="3216" spans="1:41">
      <c r="A3216" s="189">
        <v>11711</v>
      </c>
      <c r="B3216" s="190">
        <v>3</v>
      </c>
      <c r="C3216" s="191" t="s">
        <v>239</v>
      </c>
      <c r="D3216" s="192">
        <f t="shared" si="700"/>
        <v>0</v>
      </c>
      <c r="E3216" s="192">
        <f t="shared" si="701"/>
        <v>0</v>
      </c>
      <c r="F3216" s="192">
        <f t="shared" si="702"/>
        <v>0</v>
      </c>
      <c r="G3216" s="193">
        <f t="shared" si="703"/>
        <v>0</v>
      </c>
      <c r="H3216" s="194">
        <v>0</v>
      </c>
      <c r="I3216" s="194">
        <v>0</v>
      </c>
      <c r="J3216" s="194">
        <v>0</v>
      </c>
      <c r="K3216" s="193">
        <f t="shared" si="704"/>
        <v>0</v>
      </c>
      <c r="L3216" s="194">
        <v>0</v>
      </c>
      <c r="M3216" s="194">
        <v>0</v>
      </c>
      <c r="N3216" s="194">
        <v>0</v>
      </c>
      <c r="O3216" s="193">
        <f t="shared" si="705"/>
        <v>0</v>
      </c>
      <c r="P3216" s="194">
        <v>0</v>
      </c>
      <c r="Q3216" s="194">
        <v>0</v>
      </c>
      <c r="R3216" s="194">
        <v>0</v>
      </c>
      <c r="S3216" s="193">
        <f t="shared" si="706"/>
        <v>0</v>
      </c>
      <c r="T3216" s="193">
        <f t="shared" si="707"/>
        <v>0</v>
      </c>
      <c r="U3216" s="193">
        <f ca="1">OFFSET('Expenditure Study'!$B$7,'Operations Support'!$C3216,'Operations Support'!$B3216)*$G3216</f>
        <v>0</v>
      </c>
      <c r="V3216" s="199">
        <f ca="1">U3216*'Expenditure Study'!$B$31</f>
        <v>0</v>
      </c>
      <c r="W3216" s="199">
        <f ca="1">IF(A3216=10298,1.51,1)*IF($B3216&lt;3,$D3216*'Expenditure Study'!$B$32*OFFSET('Expenditure Study'!$B$7,'Operations Support'!$C3216,'Operations Support'!$B3216),0)</f>
        <v>0</v>
      </c>
      <c r="X3216" s="200">
        <f ca="1">W3216*'Expenditure Study'!$B$31</f>
        <v>0</v>
      </c>
      <c r="Y3216" s="199">
        <f ca="1">U3216*'Expenditure Study'!$B$31</f>
        <v>0</v>
      </c>
      <c r="Z3216" s="200">
        <f ca="1">W3216*'Expenditure Study'!$B$31</f>
        <v>0</v>
      </c>
      <c r="AA3216" s="195">
        <f t="shared" ca="1" si="708"/>
        <v>0</v>
      </c>
      <c r="AB3216" s="195">
        <f t="shared" ca="1" si="709"/>
        <v>0</v>
      </c>
      <c r="AD3216" s="196">
        <f>IFERROR($G3216/SUMIF($A:$A,$A3216,$G:$G)*SUMIF(Summary!$A$166:$A$242,$A3216,Summary!$P$166:$P$242),0)</f>
        <v>0</v>
      </c>
      <c r="AE3216" s="197">
        <f t="shared" ca="1" si="710"/>
        <v>0</v>
      </c>
      <c r="AF3216" s="196">
        <f>IFERROR(G3216/SUMIF(A:A,A3216,G:G)*SUMIF(Summary!$A$166:$A$242,'Operations Support'!A3216,Summary!$Q$166:$Q$242),0)</f>
        <v>0</v>
      </c>
      <c r="AG3216" s="196">
        <f t="shared" ca="1" si="711"/>
        <v>0</v>
      </c>
      <c r="AI3216" s="196">
        <f>IFERROR($G3216/SUMIF($A:$A,$A3216,$G:$G)*SUMIF(Summary!$A$247:$A$283,$A3216,Summary!$P$247:$P$283),0)</f>
        <v>0</v>
      </c>
      <c r="AJ3216" s="196">
        <f>IFERROR($G3216/SUMIF($A:$A,$A3216,$G:$G)*(SUMIF(Summary!$A$247:$A$283,$A3216,Summary!$L$247:$L$283)+SUMIF(Summary!$A$297:$A$333,$A3216,Summary!$L$297:$L$333))-AI3216,0)</f>
        <v>0</v>
      </c>
      <c r="AK3216" s="196">
        <f>IFERROR($G3216/SUMIF($A:$A,$A3216,$G:$G)*SUMIF(Summary!$A$247:$A$283,$A3216,Summary!$Q$247:$Q$283),0)</f>
        <v>0</v>
      </c>
      <c r="AL3216" s="196">
        <f>IFERROR($G3216/SUMIF($A:$A,$A3216,$G:$G)*(SUMIF(Summary!$A$247:$A$283,$A3216,Summary!$L$247:$L$283)+SUMIF(Summary!$A$297:$A$333,$A3216,Summary!$L$297:$L$333))-AK3216,0)</f>
        <v>0</v>
      </c>
      <c r="AM3216" s="198"/>
      <c r="AN3216" s="196">
        <f t="shared" ca="1" si="712"/>
        <v>0</v>
      </c>
      <c r="AO3216" s="196">
        <f t="shared" ca="1" si="713"/>
        <v>0</v>
      </c>
    </row>
    <row r="3217" spans="1:41">
      <c r="A3217" s="189">
        <v>11711</v>
      </c>
      <c r="B3217" s="190">
        <v>3</v>
      </c>
      <c r="C3217" s="191" t="s">
        <v>240</v>
      </c>
      <c r="D3217" s="192">
        <f t="shared" si="700"/>
        <v>0</v>
      </c>
      <c r="E3217" s="192">
        <f t="shared" si="701"/>
        <v>0</v>
      </c>
      <c r="F3217" s="192">
        <f t="shared" si="702"/>
        <v>0</v>
      </c>
      <c r="G3217" s="193">
        <f t="shared" si="703"/>
        <v>0</v>
      </c>
      <c r="H3217" s="194">
        <v>0</v>
      </c>
      <c r="I3217" s="194">
        <v>0</v>
      </c>
      <c r="J3217" s="194">
        <v>0</v>
      </c>
      <c r="K3217" s="193">
        <f t="shared" si="704"/>
        <v>0</v>
      </c>
      <c r="L3217" s="194">
        <v>0</v>
      </c>
      <c r="M3217" s="194">
        <v>0</v>
      </c>
      <c r="N3217" s="194">
        <v>0</v>
      </c>
      <c r="O3217" s="193">
        <f t="shared" si="705"/>
        <v>0</v>
      </c>
      <c r="P3217" s="194">
        <v>0</v>
      </c>
      <c r="Q3217" s="194">
        <v>0</v>
      </c>
      <c r="R3217" s="194">
        <v>0</v>
      </c>
      <c r="S3217" s="193">
        <f t="shared" si="706"/>
        <v>0</v>
      </c>
      <c r="T3217" s="193">
        <f t="shared" si="707"/>
        <v>0</v>
      </c>
      <c r="U3217" s="193">
        <f ca="1">OFFSET('Expenditure Study'!$B$7,'Operations Support'!$C3217,'Operations Support'!$B3217)*$G3217</f>
        <v>0</v>
      </c>
      <c r="V3217" s="199">
        <f ca="1">U3217*'Expenditure Study'!$B$31</f>
        <v>0</v>
      </c>
      <c r="W3217" s="199">
        <f ca="1">IF(A3217=10298,1.51,1)*IF($B3217&lt;3,$D3217*'Expenditure Study'!$B$32*OFFSET('Expenditure Study'!$B$7,'Operations Support'!$C3217,'Operations Support'!$B3217),0)</f>
        <v>0</v>
      </c>
      <c r="X3217" s="200">
        <f ca="1">W3217*'Expenditure Study'!$B$31</f>
        <v>0</v>
      </c>
      <c r="Y3217" s="199">
        <f ca="1">U3217*'Expenditure Study'!$B$31</f>
        <v>0</v>
      </c>
      <c r="Z3217" s="200">
        <f ca="1">W3217*'Expenditure Study'!$B$31</f>
        <v>0</v>
      </c>
      <c r="AA3217" s="195">
        <f t="shared" ca="1" si="708"/>
        <v>0</v>
      </c>
      <c r="AB3217" s="195">
        <f t="shared" ca="1" si="709"/>
        <v>0</v>
      </c>
      <c r="AD3217" s="196">
        <f>IFERROR($G3217/SUMIF($A:$A,$A3217,$G:$G)*SUMIF(Summary!$A$166:$A$242,$A3217,Summary!$P$166:$P$242),0)</f>
        <v>0</v>
      </c>
      <c r="AE3217" s="197">
        <f t="shared" ca="1" si="710"/>
        <v>0</v>
      </c>
      <c r="AF3217" s="196">
        <f>IFERROR(G3217/SUMIF(A:A,A3217,G:G)*SUMIF(Summary!$A$166:$A$242,'Operations Support'!A3217,Summary!$Q$166:$Q$242),0)</f>
        <v>0</v>
      </c>
      <c r="AG3217" s="196">
        <f t="shared" ca="1" si="711"/>
        <v>0</v>
      </c>
      <c r="AI3217" s="196">
        <f>IFERROR($G3217/SUMIF($A:$A,$A3217,$G:$G)*SUMIF(Summary!$A$247:$A$283,$A3217,Summary!$P$247:$P$283),0)</f>
        <v>0</v>
      </c>
      <c r="AJ3217" s="196">
        <f>IFERROR($G3217/SUMIF($A:$A,$A3217,$G:$G)*(SUMIF(Summary!$A$247:$A$283,$A3217,Summary!$L$247:$L$283)+SUMIF(Summary!$A$297:$A$333,$A3217,Summary!$L$297:$L$333))-AI3217,0)</f>
        <v>0</v>
      </c>
      <c r="AK3217" s="196">
        <f>IFERROR($G3217/SUMIF($A:$A,$A3217,$G:$G)*SUMIF(Summary!$A$247:$A$283,$A3217,Summary!$Q$247:$Q$283),0)</f>
        <v>0</v>
      </c>
      <c r="AL3217" s="196">
        <f>IFERROR($G3217/SUMIF($A:$A,$A3217,$G:$G)*(SUMIF(Summary!$A$247:$A$283,$A3217,Summary!$L$247:$L$283)+SUMIF(Summary!$A$297:$A$333,$A3217,Summary!$L$297:$L$333))-AK3217,0)</f>
        <v>0</v>
      </c>
      <c r="AM3217" s="198"/>
      <c r="AN3217" s="196">
        <f t="shared" ca="1" si="712"/>
        <v>0</v>
      </c>
      <c r="AO3217" s="196">
        <f t="shared" ca="1" si="713"/>
        <v>0</v>
      </c>
    </row>
    <row r="3218" spans="1:41">
      <c r="A3218" s="189">
        <v>11711</v>
      </c>
      <c r="B3218" s="190">
        <v>4</v>
      </c>
      <c r="C3218" s="191" t="s">
        <v>220</v>
      </c>
      <c r="D3218" s="192">
        <f t="shared" si="700"/>
        <v>504</v>
      </c>
      <c r="E3218" s="192">
        <f t="shared" si="701"/>
        <v>105</v>
      </c>
      <c r="F3218" s="192">
        <f t="shared" si="702"/>
        <v>18</v>
      </c>
      <c r="G3218" s="193">
        <f t="shared" si="703"/>
        <v>591</v>
      </c>
      <c r="H3218" s="194">
        <v>171</v>
      </c>
      <c r="I3218" s="194">
        <v>57</v>
      </c>
      <c r="J3218" s="194">
        <v>9</v>
      </c>
      <c r="K3218" s="193">
        <f t="shared" si="704"/>
        <v>219</v>
      </c>
      <c r="L3218" s="194">
        <v>216</v>
      </c>
      <c r="M3218" s="194">
        <v>6</v>
      </c>
      <c r="N3218" s="194">
        <v>6</v>
      </c>
      <c r="O3218" s="193">
        <f t="shared" si="705"/>
        <v>216</v>
      </c>
      <c r="P3218" s="194">
        <v>117</v>
      </c>
      <c r="Q3218" s="194">
        <v>42</v>
      </c>
      <c r="R3218" s="194">
        <v>3</v>
      </c>
      <c r="S3218" s="193">
        <f t="shared" si="706"/>
        <v>156</v>
      </c>
      <c r="T3218" s="193">
        <f t="shared" si="707"/>
        <v>32.833333333333336</v>
      </c>
      <c r="U3218" s="193">
        <f ca="1">OFFSET('Expenditure Study'!$B$7,'Operations Support'!$C3218,'Operations Support'!$B3218)*$G3218</f>
        <v>8705.43</v>
      </c>
      <c r="V3218" s="199">
        <f ca="1">U3218*'Expenditure Study'!$B$31</f>
        <v>514344.49463174405</v>
      </c>
      <c r="W3218" s="199">
        <f ca="1">IF(A3218=10298,1.51,1)*IF($B3218&lt;3,$D3218*'Expenditure Study'!$B$32*OFFSET('Expenditure Study'!$B$7,'Operations Support'!$C3218,'Operations Support'!$B3218),0)</f>
        <v>0</v>
      </c>
      <c r="X3218" s="200">
        <f ca="1">W3218*'Expenditure Study'!$B$31</f>
        <v>0</v>
      </c>
      <c r="Y3218" s="199">
        <f ca="1">U3218*'Expenditure Study'!$B$31</f>
        <v>514344.49463174405</v>
      </c>
      <c r="Z3218" s="200">
        <f ca="1">W3218*'Expenditure Study'!$B$31</f>
        <v>0</v>
      </c>
      <c r="AA3218" s="195">
        <f t="shared" ca="1" si="708"/>
        <v>514344.49463174405</v>
      </c>
      <c r="AB3218" s="195">
        <f t="shared" ca="1" si="709"/>
        <v>514344.49463174405</v>
      </c>
      <c r="AD3218" s="196">
        <f>IFERROR($G3218/SUMIF($A:$A,$A3218,$G:$G)*SUMIF(Summary!$A$166:$A$242,$A3218,Summary!$P$166:$P$242),0)</f>
        <v>21946.724384356228</v>
      </c>
      <c r="AE3218" s="197">
        <f t="shared" ca="1" si="710"/>
        <v>492397.77024738782</v>
      </c>
      <c r="AF3218" s="196">
        <f>IFERROR(G3218/SUMIF(A:A,A3218,G:G)*SUMIF(Summary!$A$166:$A$242,'Operations Support'!A3218,Summary!$Q$166:$Q$242),0)</f>
        <v>22043.061969467868</v>
      </c>
      <c r="AG3218" s="196">
        <f t="shared" ca="1" si="711"/>
        <v>492301.4326622762</v>
      </c>
      <c r="AI3218" s="196">
        <f>IFERROR($G3218/SUMIF($A:$A,$A3218,$G:$G)*SUMIF(Summary!$A$247:$A$283,$A3218,Summary!$P$247:$P$283),0)</f>
        <v>4002.5348533044757</v>
      </c>
      <c r="AJ3218" s="196">
        <f>IFERROR($G3218/SUMIF($A:$A,$A3218,$G:$G)*(SUMIF(Summary!$A$247:$A$283,$A3218,Summary!$L$247:$L$283)+SUMIF(Summary!$A$297:$A$333,$A3218,Summary!$L$297:$L$333))-AI3218,0)</f>
        <v>8634.6171693506567</v>
      </c>
      <c r="AK3218" s="196">
        <f>IFERROR($G3218/SUMIF($A:$A,$A3218,$G:$G)*SUMIF(Summary!$A$247:$A$283,$A3218,Summary!$Q$247:$Q$283),0)</f>
        <v>4020.1044247512009</v>
      </c>
      <c r="AL3218" s="196">
        <f>IFERROR($G3218/SUMIF($A:$A,$A3218,$G:$G)*(SUMIF(Summary!$A$247:$A$283,$A3218,Summary!$L$247:$L$283)+SUMIF(Summary!$A$297:$A$333,$A3218,Summary!$L$297:$L$333))-AK3218,0)</f>
        <v>8617.0475979039329</v>
      </c>
      <c r="AM3218" s="198"/>
      <c r="AN3218" s="196">
        <f t="shared" ca="1" si="712"/>
        <v>501032.38741673849</v>
      </c>
      <c r="AO3218" s="196">
        <f t="shared" ca="1" si="713"/>
        <v>500918.48026018013</v>
      </c>
    </row>
    <row r="3219" spans="1:41">
      <c r="A3219" s="189">
        <v>11711</v>
      </c>
      <c r="B3219" s="190">
        <v>4</v>
      </c>
      <c r="C3219" s="191" t="s">
        <v>221</v>
      </c>
      <c r="D3219" s="192">
        <f t="shared" si="700"/>
        <v>0</v>
      </c>
      <c r="E3219" s="192">
        <f t="shared" si="701"/>
        <v>0</v>
      </c>
      <c r="F3219" s="192">
        <f t="shared" si="702"/>
        <v>0</v>
      </c>
      <c r="G3219" s="193">
        <f t="shared" si="703"/>
        <v>0</v>
      </c>
      <c r="H3219" s="194">
        <v>0</v>
      </c>
      <c r="I3219" s="194">
        <v>0</v>
      </c>
      <c r="J3219" s="194">
        <v>0</v>
      </c>
      <c r="K3219" s="193">
        <f t="shared" si="704"/>
        <v>0</v>
      </c>
      <c r="L3219" s="194">
        <v>0</v>
      </c>
      <c r="M3219" s="194">
        <v>0</v>
      </c>
      <c r="N3219" s="194">
        <v>0</v>
      </c>
      <c r="O3219" s="193">
        <f t="shared" si="705"/>
        <v>0</v>
      </c>
      <c r="P3219" s="194">
        <v>0</v>
      </c>
      <c r="Q3219" s="194">
        <v>0</v>
      </c>
      <c r="R3219" s="194">
        <v>0</v>
      </c>
      <c r="S3219" s="193">
        <f t="shared" si="706"/>
        <v>0</v>
      </c>
      <c r="T3219" s="193">
        <f t="shared" si="707"/>
        <v>0</v>
      </c>
      <c r="U3219" s="193">
        <f ca="1">OFFSET('Expenditure Study'!$B$7,'Operations Support'!$C3219,'Operations Support'!$B3219)*$G3219</f>
        <v>0</v>
      </c>
      <c r="V3219" s="199">
        <f ca="1">U3219*'Expenditure Study'!$B$31</f>
        <v>0</v>
      </c>
      <c r="W3219" s="199">
        <f ca="1">IF(A3219=10298,1.51,1)*IF($B3219&lt;3,$D3219*'Expenditure Study'!$B$32*OFFSET('Expenditure Study'!$B$7,'Operations Support'!$C3219,'Operations Support'!$B3219),0)</f>
        <v>0</v>
      </c>
      <c r="X3219" s="200">
        <f ca="1">W3219*'Expenditure Study'!$B$31</f>
        <v>0</v>
      </c>
      <c r="Y3219" s="199">
        <f ca="1">U3219*'Expenditure Study'!$B$31</f>
        <v>0</v>
      </c>
      <c r="Z3219" s="200">
        <f ca="1">W3219*'Expenditure Study'!$B$31</f>
        <v>0</v>
      </c>
      <c r="AA3219" s="195">
        <f t="shared" ca="1" si="708"/>
        <v>0</v>
      </c>
      <c r="AB3219" s="195">
        <f t="shared" ca="1" si="709"/>
        <v>0</v>
      </c>
      <c r="AD3219" s="196">
        <f>IFERROR($G3219/SUMIF($A:$A,$A3219,$G:$G)*SUMIF(Summary!$A$166:$A$242,$A3219,Summary!$P$166:$P$242),0)</f>
        <v>0</v>
      </c>
      <c r="AE3219" s="197">
        <f t="shared" ca="1" si="710"/>
        <v>0</v>
      </c>
      <c r="AF3219" s="196">
        <f>IFERROR(G3219/SUMIF(A:A,A3219,G:G)*SUMIF(Summary!$A$166:$A$242,'Operations Support'!A3219,Summary!$Q$166:$Q$242),0)</f>
        <v>0</v>
      </c>
      <c r="AG3219" s="196">
        <f t="shared" ca="1" si="711"/>
        <v>0</v>
      </c>
      <c r="AI3219" s="196">
        <f>IFERROR($G3219/SUMIF($A:$A,$A3219,$G:$G)*SUMIF(Summary!$A$247:$A$283,$A3219,Summary!$P$247:$P$283),0)</f>
        <v>0</v>
      </c>
      <c r="AJ3219" s="196">
        <f>IFERROR($G3219/SUMIF($A:$A,$A3219,$G:$G)*(SUMIF(Summary!$A$247:$A$283,$A3219,Summary!$L$247:$L$283)+SUMIF(Summary!$A$297:$A$333,$A3219,Summary!$L$297:$L$333))-AI3219,0)</f>
        <v>0</v>
      </c>
      <c r="AK3219" s="196">
        <f>IFERROR($G3219/SUMIF($A:$A,$A3219,$G:$G)*SUMIF(Summary!$A$247:$A$283,$A3219,Summary!$Q$247:$Q$283),0)</f>
        <v>0</v>
      </c>
      <c r="AL3219" s="196">
        <f>IFERROR($G3219/SUMIF($A:$A,$A3219,$G:$G)*(SUMIF(Summary!$A$247:$A$283,$A3219,Summary!$L$247:$L$283)+SUMIF(Summary!$A$297:$A$333,$A3219,Summary!$L$297:$L$333))-AK3219,0)</f>
        <v>0</v>
      </c>
      <c r="AM3219" s="198"/>
      <c r="AN3219" s="196">
        <f t="shared" ca="1" si="712"/>
        <v>0</v>
      </c>
      <c r="AO3219" s="196">
        <f t="shared" ca="1" si="713"/>
        <v>0</v>
      </c>
    </row>
    <row r="3220" spans="1:41">
      <c r="A3220" s="189">
        <v>11711</v>
      </c>
      <c r="B3220" s="190">
        <v>4</v>
      </c>
      <c r="C3220" s="191" t="s">
        <v>222</v>
      </c>
      <c r="D3220" s="192">
        <f t="shared" si="700"/>
        <v>0</v>
      </c>
      <c r="E3220" s="192">
        <f t="shared" si="701"/>
        <v>0</v>
      </c>
      <c r="F3220" s="192">
        <f t="shared" si="702"/>
        <v>0</v>
      </c>
      <c r="G3220" s="193">
        <f t="shared" si="703"/>
        <v>0</v>
      </c>
      <c r="H3220" s="194">
        <v>0</v>
      </c>
      <c r="I3220" s="194">
        <v>0</v>
      </c>
      <c r="J3220" s="194">
        <v>0</v>
      </c>
      <c r="K3220" s="193">
        <f t="shared" si="704"/>
        <v>0</v>
      </c>
      <c r="L3220" s="194">
        <v>0</v>
      </c>
      <c r="M3220" s="194">
        <v>0</v>
      </c>
      <c r="N3220" s="194">
        <v>0</v>
      </c>
      <c r="O3220" s="193">
        <f t="shared" si="705"/>
        <v>0</v>
      </c>
      <c r="P3220" s="194">
        <v>0</v>
      </c>
      <c r="Q3220" s="194">
        <v>0</v>
      </c>
      <c r="R3220" s="194">
        <v>0</v>
      </c>
      <c r="S3220" s="193">
        <f t="shared" si="706"/>
        <v>0</v>
      </c>
      <c r="T3220" s="193">
        <f t="shared" si="707"/>
        <v>0</v>
      </c>
      <c r="U3220" s="193">
        <f ca="1">OFFSET('Expenditure Study'!$B$7,'Operations Support'!$C3220,'Operations Support'!$B3220)*$G3220</f>
        <v>0</v>
      </c>
      <c r="V3220" s="199">
        <f ca="1">U3220*'Expenditure Study'!$B$31</f>
        <v>0</v>
      </c>
      <c r="W3220" s="199">
        <f ca="1">IF(A3220=10298,1.51,1)*IF($B3220&lt;3,$D3220*'Expenditure Study'!$B$32*OFFSET('Expenditure Study'!$B$7,'Operations Support'!$C3220,'Operations Support'!$B3220),0)</f>
        <v>0</v>
      </c>
      <c r="X3220" s="200">
        <f ca="1">W3220*'Expenditure Study'!$B$31</f>
        <v>0</v>
      </c>
      <c r="Y3220" s="199">
        <f ca="1">U3220*'Expenditure Study'!$B$31</f>
        <v>0</v>
      </c>
      <c r="Z3220" s="200">
        <f ca="1">W3220*'Expenditure Study'!$B$31</f>
        <v>0</v>
      </c>
      <c r="AA3220" s="195">
        <f t="shared" ca="1" si="708"/>
        <v>0</v>
      </c>
      <c r="AB3220" s="195">
        <f t="shared" ca="1" si="709"/>
        <v>0</v>
      </c>
      <c r="AD3220" s="196">
        <f>IFERROR($G3220/SUMIF($A:$A,$A3220,$G:$G)*SUMIF(Summary!$A$166:$A$242,$A3220,Summary!$P$166:$P$242),0)</f>
        <v>0</v>
      </c>
      <c r="AE3220" s="197">
        <f t="shared" ca="1" si="710"/>
        <v>0</v>
      </c>
      <c r="AF3220" s="196">
        <f>IFERROR(G3220/SUMIF(A:A,A3220,G:G)*SUMIF(Summary!$A$166:$A$242,'Operations Support'!A3220,Summary!$Q$166:$Q$242),0)</f>
        <v>0</v>
      </c>
      <c r="AG3220" s="196">
        <f t="shared" ca="1" si="711"/>
        <v>0</v>
      </c>
      <c r="AI3220" s="196">
        <f>IFERROR($G3220/SUMIF($A:$A,$A3220,$G:$G)*SUMIF(Summary!$A$247:$A$283,$A3220,Summary!$P$247:$P$283),0)</f>
        <v>0</v>
      </c>
      <c r="AJ3220" s="196">
        <f>IFERROR($G3220/SUMIF($A:$A,$A3220,$G:$G)*(SUMIF(Summary!$A$247:$A$283,$A3220,Summary!$L$247:$L$283)+SUMIF(Summary!$A$297:$A$333,$A3220,Summary!$L$297:$L$333))-AI3220,0)</f>
        <v>0</v>
      </c>
      <c r="AK3220" s="196">
        <f>IFERROR($G3220/SUMIF($A:$A,$A3220,$G:$G)*SUMIF(Summary!$A$247:$A$283,$A3220,Summary!$Q$247:$Q$283),0)</f>
        <v>0</v>
      </c>
      <c r="AL3220" s="196">
        <f>IFERROR($G3220/SUMIF($A:$A,$A3220,$G:$G)*(SUMIF(Summary!$A$247:$A$283,$A3220,Summary!$L$247:$L$283)+SUMIF(Summary!$A$297:$A$333,$A3220,Summary!$L$297:$L$333))-AK3220,0)</f>
        <v>0</v>
      </c>
      <c r="AM3220" s="198"/>
      <c r="AN3220" s="196">
        <f t="shared" ca="1" si="712"/>
        <v>0</v>
      </c>
      <c r="AO3220" s="196">
        <f t="shared" ca="1" si="713"/>
        <v>0</v>
      </c>
    </row>
    <row r="3221" spans="1:41">
      <c r="A3221" s="189">
        <v>11711</v>
      </c>
      <c r="B3221" s="190">
        <v>4</v>
      </c>
      <c r="C3221" s="191" t="s">
        <v>223</v>
      </c>
      <c r="D3221" s="192">
        <f t="shared" si="700"/>
        <v>1185</v>
      </c>
      <c r="E3221" s="192">
        <f t="shared" si="701"/>
        <v>711</v>
      </c>
      <c r="F3221" s="192">
        <f t="shared" si="702"/>
        <v>3</v>
      </c>
      <c r="G3221" s="193">
        <f t="shared" si="703"/>
        <v>1893</v>
      </c>
      <c r="H3221" s="194">
        <v>537</v>
      </c>
      <c r="I3221" s="194">
        <v>186</v>
      </c>
      <c r="J3221" s="194">
        <v>3</v>
      </c>
      <c r="K3221" s="193">
        <f t="shared" si="704"/>
        <v>720</v>
      </c>
      <c r="L3221" s="194">
        <v>405</v>
      </c>
      <c r="M3221" s="194">
        <v>375</v>
      </c>
      <c r="N3221" s="194">
        <v>0</v>
      </c>
      <c r="O3221" s="193">
        <f t="shared" si="705"/>
        <v>780</v>
      </c>
      <c r="P3221" s="194">
        <v>243</v>
      </c>
      <c r="Q3221" s="194">
        <v>150</v>
      </c>
      <c r="R3221" s="194">
        <v>0</v>
      </c>
      <c r="S3221" s="193">
        <f t="shared" si="706"/>
        <v>393</v>
      </c>
      <c r="T3221" s="193">
        <f t="shared" si="707"/>
        <v>105.16666666666667</v>
      </c>
      <c r="U3221" s="193">
        <f ca="1">OFFSET('Expenditure Study'!$B$7,'Operations Support'!$C3221,'Operations Support'!$B3221)*$G3221</f>
        <v>14803.26</v>
      </c>
      <c r="V3221" s="199">
        <f ca="1">U3221*'Expenditure Study'!$B$31</f>
        <v>874623.68700940802</v>
      </c>
      <c r="W3221" s="199">
        <f ca="1">IF(A3221=10298,1.51,1)*IF($B3221&lt;3,$D3221*'Expenditure Study'!$B$32*OFFSET('Expenditure Study'!$B$7,'Operations Support'!$C3221,'Operations Support'!$B3221),0)</f>
        <v>0</v>
      </c>
      <c r="X3221" s="200">
        <f ca="1">W3221*'Expenditure Study'!$B$31</f>
        <v>0</v>
      </c>
      <c r="Y3221" s="199">
        <f ca="1">U3221*'Expenditure Study'!$B$31</f>
        <v>874623.68700940802</v>
      </c>
      <c r="Z3221" s="200">
        <f ca="1">W3221*'Expenditure Study'!$B$31</f>
        <v>0</v>
      </c>
      <c r="AA3221" s="195">
        <f t="shared" ca="1" si="708"/>
        <v>874623.68700940802</v>
      </c>
      <c r="AB3221" s="195">
        <f t="shared" ca="1" si="709"/>
        <v>874623.68700940802</v>
      </c>
      <c r="AD3221" s="196">
        <f>IFERROR($G3221/SUMIF($A:$A,$A3221,$G:$G)*SUMIF(Summary!$A$166:$A$242,$A3221,Summary!$P$166:$P$242),0)</f>
        <v>70296.360845323754</v>
      </c>
      <c r="AE3221" s="197">
        <f t="shared" ca="1" si="710"/>
        <v>804327.32616408425</v>
      </c>
      <c r="AF3221" s="196">
        <f>IFERROR(G3221/SUMIF(A:A,A3221,G:G)*SUMIF(Summary!$A$166:$A$242,'Operations Support'!A3221,Summary!$Q$166:$Q$242),0)</f>
        <v>70604.934531645806</v>
      </c>
      <c r="AG3221" s="196">
        <f t="shared" ca="1" si="711"/>
        <v>804018.75247776217</v>
      </c>
      <c r="AI3221" s="196">
        <f>IFERROR($G3221/SUMIF($A:$A,$A3221,$G:$G)*SUMIF(Summary!$A$247:$A$283,$A3221,Summary!$P$247:$P$283),0)</f>
        <v>12820.301992056467</v>
      </c>
      <c r="AJ3221" s="196">
        <f>IFERROR($G3221/SUMIF($A:$A,$A3221,$G:$G)*(SUMIF(Summary!$A$247:$A$283,$A3221,Summary!$L$247:$L$283)+SUMIF(Summary!$A$297:$A$333,$A3221,Summary!$L$297:$L$333))-AI3221,0)</f>
        <v>27657.073268326218</v>
      </c>
      <c r="AK3221" s="196">
        <f>IFERROR($G3221/SUMIF($A:$A,$A3221,$G:$G)*SUMIF(Summary!$A$247:$A$283,$A3221,Summary!$Q$247:$Q$283),0)</f>
        <v>12876.578132071105</v>
      </c>
      <c r="AL3221" s="196">
        <f>IFERROR($G3221/SUMIF($A:$A,$A3221,$G:$G)*(SUMIF(Summary!$A$247:$A$283,$A3221,Summary!$L$247:$L$283)+SUMIF(Summary!$A$297:$A$333,$A3221,Summary!$L$297:$L$333))-AK3221,0)</f>
        <v>27600.797128311584</v>
      </c>
      <c r="AM3221" s="198"/>
      <c r="AN3221" s="196">
        <f t="shared" ca="1" si="712"/>
        <v>831984.39943241049</v>
      </c>
      <c r="AO3221" s="196">
        <f t="shared" ca="1" si="713"/>
        <v>831619.54960607376</v>
      </c>
    </row>
    <row r="3222" spans="1:41" s="201" customFormat="1">
      <c r="A3222" s="189">
        <v>11711</v>
      </c>
      <c r="B3222" s="190">
        <v>4</v>
      </c>
      <c r="C3222" s="191" t="s">
        <v>224</v>
      </c>
      <c r="D3222" s="192">
        <f t="shared" si="700"/>
        <v>0</v>
      </c>
      <c r="E3222" s="192">
        <f t="shared" si="701"/>
        <v>0</v>
      </c>
      <c r="F3222" s="192">
        <f t="shared" si="702"/>
        <v>0</v>
      </c>
      <c r="G3222" s="193">
        <f t="shared" si="703"/>
        <v>0</v>
      </c>
      <c r="H3222" s="194">
        <v>0</v>
      </c>
      <c r="I3222" s="194">
        <v>0</v>
      </c>
      <c r="J3222" s="194">
        <v>0</v>
      </c>
      <c r="K3222" s="193">
        <f t="shared" si="704"/>
        <v>0</v>
      </c>
      <c r="L3222" s="194">
        <v>0</v>
      </c>
      <c r="M3222" s="194">
        <v>0</v>
      </c>
      <c r="N3222" s="194">
        <v>0</v>
      </c>
      <c r="O3222" s="193">
        <f t="shared" si="705"/>
        <v>0</v>
      </c>
      <c r="P3222" s="194">
        <v>0</v>
      </c>
      <c r="Q3222" s="194">
        <v>0</v>
      </c>
      <c r="R3222" s="194">
        <v>0</v>
      </c>
      <c r="S3222" s="193">
        <f t="shared" si="706"/>
        <v>0</v>
      </c>
      <c r="T3222" s="193">
        <f t="shared" si="707"/>
        <v>0</v>
      </c>
      <c r="U3222" s="193">
        <f ca="1">OFFSET('Expenditure Study'!$B$7,'Operations Support'!$C3222,'Operations Support'!$B3222)*$G3222</f>
        <v>0</v>
      </c>
      <c r="V3222" s="199">
        <f ca="1">U3222*'Expenditure Study'!$B$31</f>
        <v>0</v>
      </c>
      <c r="W3222" s="199">
        <f ca="1">IF(A3222=10298,1.51,1)*IF($B3222&lt;3,$D3222*'Expenditure Study'!$B$32*OFFSET('Expenditure Study'!$B$7,'Operations Support'!$C3222,'Operations Support'!$B3222),0)</f>
        <v>0</v>
      </c>
      <c r="X3222" s="200">
        <f ca="1">W3222*'Expenditure Study'!$B$31</f>
        <v>0</v>
      </c>
      <c r="Y3222" s="199">
        <f ca="1">U3222*'Expenditure Study'!$B$31</f>
        <v>0</v>
      </c>
      <c r="Z3222" s="200">
        <f ca="1">W3222*'Expenditure Study'!$B$31</f>
        <v>0</v>
      </c>
      <c r="AA3222" s="195">
        <f t="shared" ca="1" si="708"/>
        <v>0</v>
      </c>
      <c r="AB3222" s="195">
        <f t="shared" ca="1" si="709"/>
        <v>0</v>
      </c>
      <c r="AD3222" s="196">
        <f>IFERROR($G3222/SUMIF($A:$A,$A3222,$G:$G)*SUMIF(Summary!$A$166:$A$242,$A3222,Summary!$P$166:$P$242),0)</f>
        <v>0</v>
      </c>
      <c r="AE3222" s="197">
        <f t="shared" ca="1" si="710"/>
        <v>0</v>
      </c>
      <c r="AF3222" s="196">
        <f>IFERROR(G3222/SUMIF(A:A,A3222,G:G)*SUMIF(Summary!$A$166:$A$242,'Operations Support'!A3222,Summary!$Q$166:$Q$242),0)</f>
        <v>0</v>
      </c>
      <c r="AG3222" s="196">
        <f t="shared" ca="1" si="711"/>
        <v>0</v>
      </c>
      <c r="AH3222" s="180"/>
      <c r="AI3222" s="196">
        <f>IFERROR($G3222/SUMIF($A:$A,$A3222,$G:$G)*SUMIF(Summary!$A$247:$A$283,$A3222,Summary!$P$247:$P$283),0)</f>
        <v>0</v>
      </c>
      <c r="AJ3222" s="196">
        <f>IFERROR($G3222/SUMIF($A:$A,$A3222,$G:$G)*(SUMIF(Summary!$A$247:$A$283,$A3222,Summary!$L$247:$L$283)+SUMIF(Summary!$A$297:$A$333,$A3222,Summary!$L$297:$L$333))-AI3222,0)</f>
        <v>0</v>
      </c>
      <c r="AK3222" s="196">
        <f>IFERROR($G3222/SUMIF($A:$A,$A3222,$G:$G)*SUMIF(Summary!$A$247:$A$283,$A3222,Summary!$Q$247:$Q$283),0)</f>
        <v>0</v>
      </c>
      <c r="AL3222" s="196">
        <f>IFERROR($G3222/SUMIF($A:$A,$A3222,$G:$G)*(SUMIF(Summary!$A$247:$A$283,$A3222,Summary!$L$247:$L$283)+SUMIF(Summary!$A$297:$A$333,$A3222,Summary!$L$297:$L$333))-AK3222,0)</f>
        <v>0</v>
      </c>
      <c r="AM3222" s="198"/>
      <c r="AN3222" s="196">
        <f t="shared" ca="1" si="712"/>
        <v>0</v>
      </c>
      <c r="AO3222" s="196">
        <f t="shared" ca="1" si="713"/>
        <v>0</v>
      </c>
    </row>
    <row r="3223" spans="1:41" s="201" customFormat="1">
      <c r="A3223" s="189">
        <v>11711</v>
      </c>
      <c r="B3223" s="190">
        <v>4</v>
      </c>
      <c r="C3223" s="191" t="s">
        <v>225</v>
      </c>
      <c r="D3223" s="192">
        <f t="shared" si="700"/>
        <v>0</v>
      </c>
      <c r="E3223" s="192">
        <f t="shared" si="701"/>
        <v>0</v>
      </c>
      <c r="F3223" s="192">
        <f t="shared" si="702"/>
        <v>0</v>
      </c>
      <c r="G3223" s="193">
        <f t="shared" si="703"/>
        <v>0</v>
      </c>
      <c r="H3223" s="194">
        <v>0</v>
      </c>
      <c r="I3223" s="194">
        <v>0</v>
      </c>
      <c r="J3223" s="194">
        <v>0</v>
      </c>
      <c r="K3223" s="193">
        <f t="shared" si="704"/>
        <v>0</v>
      </c>
      <c r="L3223" s="194">
        <v>0</v>
      </c>
      <c r="M3223" s="194">
        <v>0</v>
      </c>
      <c r="N3223" s="194">
        <v>0</v>
      </c>
      <c r="O3223" s="193">
        <f t="shared" si="705"/>
        <v>0</v>
      </c>
      <c r="P3223" s="194">
        <v>0</v>
      </c>
      <c r="Q3223" s="194">
        <v>0</v>
      </c>
      <c r="R3223" s="194">
        <v>0</v>
      </c>
      <c r="S3223" s="193">
        <f t="shared" si="706"/>
        <v>0</v>
      </c>
      <c r="T3223" s="193">
        <f t="shared" si="707"/>
        <v>0</v>
      </c>
      <c r="U3223" s="193">
        <f ca="1">OFFSET('Expenditure Study'!$B$7,'Operations Support'!$C3223,'Operations Support'!$B3223)*$G3223</f>
        <v>0</v>
      </c>
      <c r="V3223" s="199">
        <f ca="1">U3223*'Expenditure Study'!$B$31</f>
        <v>0</v>
      </c>
      <c r="W3223" s="199">
        <f ca="1">IF(A3223=10298,1.51,1)*IF($B3223&lt;3,$D3223*'Expenditure Study'!$B$32*OFFSET('Expenditure Study'!$B$7,'Operations Support'!$C3223,'Operations Support'!$B3223),0)</f>
        <v>0</v>
      </c>
      <c r="X3223" s="200">
        <f ca="1">W3223*'Expenditure Study'!$B$31</f>
        <v>0</v>
      </c>
      <c r="Y3223" s="199">
        <f ca="1">U3223*'Expenditure Study'!$B$31</f>
        <v>0</v>
      </c>
      <c r="Z3223" s="200">
        <f ca="1">W3223*'Expenditure Study'!$B$31</f>
        <v>0</v>
      </c>
      <c r="AA3223" s="195">
        <f t="shared" ca="1" si="708"/>
        <v>0</v>
      </c>
      <c r="AB3223" s="195">
        <f t="shared" ca="1" si="709"/>
        <v>0</v>
      </c>
      <c r="AD3223" s="196">
        <f>IFERROR($G3223/SUMIF($A:$A,$A3223,$G:$G)*SUMIF(Summary!$A$166:$A$242,$A3223,Summary!$P$166:$P$242),0)</f>
        <v>0</v>
      </c>
      <c r="AE3223" s="197">
        <f t="shared" ca="1" si="710"/>
        <v>0</v>
      </c>
      <c r="AF3223" s="196">
        <f>IFERROR(G3223/SUMIF(A:A,A3223,G:G)*SUMIF(Summary!$A$166:$A$242,'Operations Support'!A3223,Summary!$Q$166:$Q$242),0)</f>
        <v>0</v>
      </c>
      <c r="AG3223" s="196">
        <f t="shared" ca="1" si="711"/>
        <v>0</v>
      </c>
      <c r="AH3223" s="180"/>
      <c r="AI3223" s="196">
        <f>IFERROR($G3223/SUMIF($A:$A,$A3223,$G:$G)*SUMIF(Summary!$A$247:$A$283,$A3223,Summary!$P$247:$P$283),0)</f>
        <v>0</v>
      </c>
      <c r="AJ3223" s="196">
        <f>IFERROR($G3223/SUMIF($A:$A,$A3223,$G:$G)*(SUMIF(Summary!$A$247:$A$283,$A3223,Summary!$L$247:$L$283)+SUMIF(Summary!$A$297:$A$333,$A3223,Summary!$L$297:$L$333))-AI3223,0)</f>
        <v>0</v>
      </c>
      <c r="AK3223" s="196">
        <f>IFERROR($G3223/SUMIF($A:$A,$A3223,$G:$G)*SUMIF(Summary!$A$247:$A$283,$A3223,Summary!$Q$247:$Q$283),0)</f>
        <v>0</v>
      </c>
      <c r="AL3223" s="196">
        <f>IFERROR($G3223/SUMIF($A:$A,$A3223,$G:$G)*(SUMIF(Summary!$A$247:$A$283,$A3223,Summary!$L$247:$L$283)+SUMIF(Summary!$A$297:$A$333,$A3223,Summary!$L$297:$L$333))-AK3223,0)</f>
        <v>0</v>
      </c>
      <c r="AM3223" s="198"/>
      <c r="AN3223" s="196">
        <f t="shared" ca="1" si="712"/>
        <v>0</v>
      </c>
      <c r="AO3223" s="196">
        <f t="shared" ca="1" si="713"/>
        <v>0</v>
      </c>
    </row>
    <row r="3224" spans="1:41">
      <c r="A3224" s="189">
        <v>11711</v>
      </c>
      <c r="B3224" s="190">
        <v>4</v>
      </c>
      <c r="C3224" s="191" t="s">
        <v>226</v>
      </c>
      <c r="D3224" s="192">
        <f t="shared" si="700"/>
        <v>0</v>
      </c>
      <c r="E3224" s="192">
        <f t="shared" si="701"/>
        <v>0</v>
      </c>
      <c r="F3224" s="192">
        <f t="shared" si="702"/>
        <v>0</v>
      </c>
      <c r="G3224" s="193">
        <f t="shared" si="703"/>
        <v>0</v>
      </c>
      <c r="H3224" s="194">
        <v>0</v>
      </c>
      <c r="I3224" s="194">
        <v>0</v>
      </c>
      <c r="J3224" s="194">
        <v>0</v>
      </c>
      <c r="K3224" s="193">
        <f t="shared" si="704"/>
        <v>0</v>
      </c>
      <c r="L3224" s="194">
        <v>0</v>
      </c>
      <c r="M3224" s="194">
        <v>0</v>
      </c>
      <c r="N3224" s="194">
        <v>0</v>
      </c>
      <c r="O3224" s="193">
        <f t="shared" si="705"/>
        <v>0</v>
      </c>
      <c r="P3224" s="194">
        <v>0</v>
      </c>
      <c r="Q3224" s="194">
        <v>0</v>
      </c>
      <c r="R3224" s="194">
        <v>0</v>
      </c>
      <c r="S3224" s="193">
        <f t="shared" si="706"/>
        <v>0</v>
      </c>
      <c r="T3224" s="193">
        <f t="shared" si="707"/>
        <v>0</v>
      </c>
      <c r="U3224" s="193">
        <f ca="1">OFFSET('Expenditure Study'!$B$7,'Operations Support'!$C3224,'Operations Support'!$B3224)*$G3224</f>
        <v>0</v>
      </c>
      <c r="V3224" s="199">
        <f ca="1">U3224*'Expenditure Study'!$B$31</f>
        <v>0</v>
      </c>
      <c r="W3224" s="199">
        <f ca="1">IF(A3224=10298,1.51,1)*IF($B3224&lt;3,$D3224*'Expenditure Study'!$B$32*OFFSET('Expenditure Study'!$B$7,'Operations Support'!$C3224,'Operations Support'!$B3224),0)</f>
        <v>0</v>
      </c>
      <c r="X3224" s="200">
        <f ca="1">W3224*'Expenditure Study'!$B$31</f>
        <v>0</v>
      </c>
      <c r="Y3224" s="199">
        <f ca="1">U3224*'Expenditure Study'!$B$31</f>
        <v>0</v>
      </c>
      <c r="Z3224" s="200">
        <f ca="1">W3224*'Expenditure Study'!$B$31</f>
        <v>0</v>
      </c>
      <c r="AA3224" s="195">
        <f t="shared" ca="1" si="708"/>
        <v>0</v>
      </c>
      <c r="AB3224" s="195">
        <f t="shared" ca="1" si="709"/>
        <v>0</v>
      </c>
      <c r="AD3224" s="196">
        <f>IFERROR($G3224/SUMIF($A:$A,$A3224,$G:$G)*SUMIF(Summary!$A$166:$A$242,$A3224,Summary!$P$166:$P$242),0)</f>
        <v>0</v>
      </c>
      <c r="AE3224" s="197">
        <f t="shared" ca="1" si="710"/>
        <v>0</v>
      </c>
      <c r="AF3224" s="196">
        <f>IFERROR(G3224/SUMIF(A:A,A3224,G:G)*SUMIF(Summary!$A$166:$A$242,'Operations Support'!A3224,Summary!$Q$166:$Q$242),0)</f>
        <v>0</v>
      </c>
      <c r="AG3224" s="196">
        <f t="shared" ca="1" si="711"/>
        <v>0</v>
      </c>
      <c r="AI3224" s="196">
        <f>IFERROR($G3224/SUMIF($A:$A,$A3224,$G:$G)*SUMIF(Summary!$A$247:$A$283,$A3224,Summary!$P$247:$P$283),0)</f>
        <v>0</v>
      </c>
      <c r="AJ3224" s="196">
        <f>IFERROR($G3224/SUMIF($A:$A,$A3224,$G:$G)*(SUMIF(Summary!$A$247:$A$283,$A3224,Summary!$L$247:$L$283)+SUMIF(Summary!$A$297:$A$333,$A3224,Summary!$L$297:$L$333))-AI3224,0)</f>
        <v>0</v>
      </c>
      <c r="AK3224" s="196">
        <f>IFERROR($G3224/SUMIF($A:$A,$A3224,$G:$G)*SUMIF(Summary!$A$247:$A$283,$A3224,Summary!$Q$247:$Q$283),0)</f>
        <v>0</v>
      </c>
      <c r="AL3224" s="196">
        <f>IFERROR($G3224/SUMIF($A:$A,$A3224,$G:$G)*(SUMIF(Summary!$A$247:$A$283,$A3224,Summary!$L$247:$L$283)+SUMIF(Summary!$A$297:$A$333,$A3224,Summary!$L$297:$L$333))-AK3224,0)</f>
        <v>0</v>
      </c>
      <c r="AM3224" s="198"/>
      <c r="AN3224" s="196">
        <f t="shared" ca="1" si="712"/>
        <v>0</v>
      </c>
      <c r="AO3224" s="196">
        <f t="shared" ca="1" si="713"/>
        <v>0</v>
      </c>
    </row>
    <row r="3225" spans="1:41">
      <c r="A3225" s="189">
        <v>11711</v>
      </c>
      <c r="B3225" s="190">
        <v>4</v>
      </c>
      <c r="C3225" s="191" t="s">
        <v>227</v>
      </c>
      <c r="D3225" s="192">
        <f t="shared" si="700"/>
        <v>0</v>
      </c>
      <c r="E3225" s="192">
        <f t="shared" si="701"/>
        <v>0</v>
      </c>
      <c r="F3225" s="192">
        <f t="shared" si="702"/>
        <v>0</v>
      </c>
      <c r="G3225" s="193">
        <f t="shared" si="703"/>
        <v>0</v>
      </c>
      <c r="H3225" s="194">
        <v>0</v>
      </c>
      <c r="I3225" s="194">
        <v>0</v>
      </c>
      <c r="J3225" s="194">
        <v>0</v>
      </c>
      <c r="K3225" s="193">
        <f t="shared" si="704"/>
        <v>0</v>
      </c>
      <c r="L3225" s="194">
        <v>0</v>
      </c>
      <c r="M3225" s="194">
        <v>0</v>
      </c>
      <c r="N3225" s="194">
        <v>0</v>
      </c>
      <c r="O3225" s="193">
        <f t="shared" si="705"/>
        <v>0</v>
      </c>
      <c r="P3225" s="194">
        <v>0</v>
      </c>
      <c r="Q3225" s="194">
        <v>0</v>
      </c>
      <c r="R3225" s="194">
        <v>0</v>
      </c>
      <c r="S3225" s="193">
        <f t="shared" si="706"/>
        <v>0</v>
      </c>
      <c r="T3225" s="193">
        <f t="shared" si="707"/>
        <v>0</v>
      </c>
      <c r="U3225" s="193">
        <f ca="1">OFFSET('Expenditure Study'!$B$7,'Operations Support'!$C3225,'Operations Support'!$B3225)*$G3225</f>
        <v>0</v>
      </c>
      <c r="V3225" s="199">
        <f ca="1">U3225*'Expenditure Study'!$B$31</f>
        <v>0</v>
      </c>
      <c r="W3225" s="199">
        <f ca="1">IF(A3225=10298,1.51,1)*IF($B3225&lt;3,$D3225*'Expenditure Study'!$B$32*OFFSET('Expenditure Study'!$B$7,'Operations Support'!$C3225,'Operations Support'!$B3225),0)</f>
        <v>0</v>
      </c>
      <c r="X3225" s="200">
        <f ca="1">W3225*'Expenditure Study'!$B$31</f>
        <v>0</v>
      </c>
      <c r="Y3225" s="199">
        <f ca="1">U3225*'Expenditure Study'!$B$31</f>
        <v>0</v>
      </c>
      <c r="Z3225" s="200">
        <f ca="1">W3225*'Expenditure Study'!$B$31</f>
        <v>0</v>
      </c>
      <c r="AA3225" s="195">
        <f t="shared" ca="1" si="708"/>
        <v>0</v>
      </c>
      <c r="AB3225" s="195">
        <f t="shared" ca="1" si="709"/>
        <v>0</v>
      </c>
      <c r="AD3225" s="196">
        <f>IFERROR($G3225/SUMIF($A:$A,$A3225,$G:$G)*SUMIF(Summary!$A$166:$A$242,$A3225,Summary!$P$166:$P$242),0)</f>
        <v>0</v>
      </c>
      <c r="AE3225" s="197">
        <f t="shared" ca="1" si="710"/>
        <v>0</v>
      </c>
      <c r="AF3225" s="196">
        <f>IFERROR(G3225/SUMIF(A:A,A3225,G:G)*SUMIF(Summary!$A$166:$A$242,'Operations Support'!A3225,Summary!$Q$166:$Q$242),0)</f>
        <v>0</v>
      </c>
      <c r="AG3225" s="196">
        <f t="shared" ca="1" si="711"/>
        <v>0</v>
      </c>
      <c r="AI3225" s="196">
        <f>IFERROR($G3225/SUMIF($A:$A,$A3225,$G:$G)*SUMIF(Summary!$A$247:$A$283,$A3225,Summary!$P$247:$P$283),0)</f>
        <v>0</v>
      </c>
      <c r="AJ3225" s="196">
        <f>IFERROR($G3225/SUMIF($A:$A,$A3225,$G:$G)*(SUMIF(Summary!$A$247:$A$283,$A3225,Summary!$L$247:$L$283)+SUMIF(Summary!$A$297:$A$333,$A3225,Summary!$L$297:$L$333))-AI3225,0)</f>
        <v>0</v>
      </c>
      <c r="AK3225" s="196">
        <f>IFERROR($G3225/SUMIF($A:$A,$A3225,$G:$G)*SUMIF(Summary!$A$247:$A$283,$A3225,Summary!$Q$247:$Q$283),0)</f>
        <v>0</v>
      </c>
      <c r="AL3225" s="196">
        <f>IFERROR($G3225/SUMIF($A:$A,$A3225,$G:$G)*(SUMIF(Summary!$A$247:$A$283,$A3225,Summary!$L$247:$L$283)+SUMIF(Summary!$A$297:$A$333,$A3225,Summary!$L$297:$L$333))-AK3225,0)</f>
        <v>0</v>
      </c>
      <c r="AM3225" s="198"/>
      <c r="AN3225" s="196">
        <f t="shared" ca="1" si="712"/>
        <v>0</v>
      </c>
      <c r="AO3225" s="196">
        <f t="shared" ca="1" si="713"/>
        <v>0</v>
      </c>
    </row>
    <row r="3226" spans="1:41">
      <c r="A3226" s="189">
        <v>11711</v>
      </c>
      <c r="B3226" s="190">
        <v>4</v>
      </c>
      <c r="C3226" s="191" t="s">
        <v>228</v>
      </c>
      <c r="D3226" s="192">
        <f t="shared" si="700"/>
        <v>0</v>
      </c>
      <c r="E3226" s="192">
        <f t="shared" si="701"/>
        <v>0</v>
      </c>
      <c r="F3226" s="192">
        <f t="shared" si="702"/>
        <v>0</v>
      </c>
      <c r="G3226" s="193">
        <f t="shared" si="703"/>
        <v>0</v>
      </c>
      <c r="H3226" s="194">
        <v>0</v>
      </c>
      <c r="I3226" s="194">
        <v>0</v>
      </c>
      <c r="J3226" s="194">
        <v>0</v>
      </c>
      <c r="K3226" s="193">
        <f t="shared" si="704"/>
        <v>0</v>
      </c>
      <c r="L3226" s="194">
        <v>0</v>
      </c>
      <c r="M3226" s="194">
        <v>0</v>
      </c>
      <c r="N3226" s="194">
        <v>0</v>
      </c>
      <c r="O3226" s="193">
        <f t="shared" si="705"/>
        <v>0</v>
      </c>
      <c r="P3226" s="194">
        <v>0</v>
      </c>
      <c r="Q3226" s="194">
        <v>0</v>
      </c>
      <c r="R3226" s="194">
        <v>0</v>
      </c>
      <c r="S3226" s="193">
        <f t="shared" si="706"/>
        <v>0</v>
      </c>
      <c r="T3226" s="193">
        <f t="shared" si="707"/>
        <v>0</v>
      </c>
      <c r="U3226" s="193">
        <f ca="1">OFFSET('Expenditure Study'!$B$7,'Operations Support'!$C3226,'Operations Support'!$B3226)*$G3226</f>
        <v>0</v>
      </c>
      <c r="V3226" s="199">
        <f ca="1">U3226*'Expenditure Study'!$B$31</f>
        <v>0</v>
      </c>
      <c r="W3226" s="199">
        <f ca="1">IF(A3226=10298,1.51,1)*IF($B3226&lt;3,$D3226*'Expenditure Study'!$B$32*OFFSET('Expenditure Study'!$B$7,'Operations Support'!$C3226,'Operations Support'!$B3226),0)</f>
        <v>0</v>
      </c>
      <c r="X3226" s="200">
        <f ca="1">W3226*'Expenditure Study'!$B$31</f>
        <v>0</v>
      </c>
      <c r="Y3226" s="199">
        <f ca="1">U3226*'Expenditure Study'!$B$31</f>
        <v>0</v>
      </c>
      <c r="Z3226" s="200">
        <f ca="1">W3226*'Expenditure Study'!$B$31</f>
        <v>0</v>
      </c>
      <c r="AA3226" s="195">
        <f t="shared" ca="1" si="708"/>
        <v>0</v>
      </c>
      <c r="AB3226" s="195">
        <f t="shared" ca="1" si="709"/>
        <v>0</v>
      </c>
      <c r="AD3226" s="196">
        <f>IFERROR($G3226/SUMIF($A:$A,$A3226,$G:$G)*SUMIF(Summary!$A$166:$A$242,$A3226,Summary!$P$166:$P$242),0)</f>
        <v>0</v>
      </c>
      <c r="AE3226" s="197">
        <f t="shared" ca="1" si="710"/>
        <v>0</v>
      </c>
      <c r="AF3226" s="196">
        <f>IFERROR(G3226/SUMIF(A:A,A3226,G:G)*SUMIF(Summary!$A$166:$A$242,'Operations Support'!A3226,Summary!$Q$166:$Q$242),0)</f>
        <v>0</v>
      </c>
      <c r="AG3226" s="196">
        <f t="shared" ca="1" si="711"/>
        <v>0</v>
      </c>
      <c r="AI3226" s="196">
        <f>IFERROR($G3226/SUMIF($A:$A,$A3226,$G:$G)*SUMIF(Summary!$A$247:$A$283,$A3226,Summary!$P$247:$P$283),0)</f>
        <v>0</v>
      </c>
      <c r="AJ3226" s="196">
        <f>IFERROR($G3226/SUMIF($A:$A,$A3226,$G:$G)*(SUMIF(Summary!$A$247:$A$283,$A3226,Summary!$L$247:$L$283)+SUMIF(Summary!$A$297:$A$333,$A3226,Summary!$L$297:$L$333))-AI3226,0)</f>
        <v>0</v>
      </c>
      <c r="AK3226" s="196">
        <f>IFERROR($G3226/SUMIF($A:$A,$A3226,$G:$G)*SUMIF(Summary!$A$247:$A$283,$A3226,Summary!$Q$247:$Q$283),0)</f>
        <v>0</v>
      </c>
      <c r="AL3226" s="196">
        <f>IFERROR($G3226/SUMIF($A:$A,$A3226,$G:$G)*(SUMIF(Summary!$A$247:$A$283,$A3226,Summary!$L$247:$L$283)+SUMIF(Summary!$A$297:$A$333,$A3226,Summary!$L$297:$L$333))-AK3226,0)</f>
        <v>0</v>
      </c>
      <c r="AM3226" s="198"/>
      <c r="AN3226" s="196">
        <f t="shared" ca="1" si="712"/>
        <v>0</v>
      </c>
      <c r="AO3226" s="196">
        <f t="shared" ca="1" si="713"/>
        <v>0</v>
      </c>
    </row>
    <row r="3227" spans="1:41">
      <c r="A3227" s="189">
        <v>11711</v>
      </c>
      <c r="B3227" s="190">
        <v>4</v>
      </c>
      <c r="C3227" s="191" t="s">
        <v>229</v>
      </c>
      <c r="D3227" s="192">
        <f t="shared" si="700"/>
        <v>0</v>
      </c>
      <c r="E3227" s="192">
        <f t="shared" si="701"/>
        <v>0</v>
      </c>
      <c r="F3227" s="192">
        <f t="shared" si="702"/>
        <v>0</v>
      </c>
      <c r="G3227" s="193">
        <f t="shared" si="703"/>
        <v>0</v>
      </c>
      <c r="H3227" s="194">
        <v>0</v>
      </c>
      <c r="I3227" s="194">
        <v>0</v>
      </c>
      <c r="J3227" s="194">
        <v>0</v>
      </c>
      <c r="K3227" s="193">
        <f t="shared" si="704"/>
        <v>0</v>
      </c>
      <c r="L3227" s="194">
        <v>0</v>
      </c>
      <c r="M3227" s="194">
        <v>0</v>
      </c>
      <c r="N3227" s="194">
        <v>0</v>
      </c>
      <c r="O3227" s="193">
        <f t="shared" si="705"/>
        <v>0</v>
      </c>
      <c r="P3227" s="194">
        <v>0</v>
      </c>
      <c r="Q3227" s="194">
        <v>0</v>
      </c>
      <c r="R3227" s="194">
        <v>0</v>
      </c>
      <c r="S3227" s="193">
        <f t="shared" si="706"/>
        <v>0</v>
      </c>
      <c r="T3227" s="193">
        <f t="shared" si="707"/>
        <v>0</v>
      </c>
      <c r="U3227" s="193">
        <f ca="1">OFFSET('Expenditure Study'!$B$7,'Operations Support'!$C3227,'Operations Support'!$B3227)*$G3227</f>
        <v>0</v>
      </c>
      <c r="V3227" s="199">
        <f ca="1">U3227*'Expenditure Study'!$B$31</f>
        <v>0</v>
      </c>
      <c r="W3227" s="199">
        <f ca="1">IF(A3227=10298,1.51,1)*IF($B3227&lt;3,$D3227*'Expenditure Study'!$B$32*OFFSET('Expenditure Study'!$B$7,'Operations Support'!$C3227,'Operations Support'!$B3227),0)</f>
        <v>0</v>
      </c>
      <c r="X3227" s="200">
        <f ca="1">W3227*'Expenditure Study'!$B$31</f>
        <v>0</v>
      </c>
      <c r="Y3227" s="199">
        <f ca="1">U3227*'Expenditure Study'!$B$31</f>
        <v>0</v>
      </c>
      <c r="Z3227" s="200">
        <f ca="1">W3227*'Expenditure Study'!$B$31</f>
        <v>0</v>
      </c>
      <c r="AA3227" s="195">
        <f t="shared" ca="1" si="708"/>
        <v>0</v>
      </c>
      <c r="AB3227" s="195">
        <f t="shared" ca="1" si="709"/>
        <v>0</v>
      </c>
      <c r="AD3227" s="196">
        <f>IFERROR($G3227/SUMIF($A:$A,$A3227,$G:$G)*SUMIF(Summary!$A$166:$A$242,$A3227,Summary!$P$166:$P$242),0)</f>
        <v>0</v>
      </c>
      <c r="AE3227" s="197">
        <f t="shared" ca="1" si="710"/>
        <v>0</v>
      </c>
      <c r="AF3227" s="196">
        <f>IFERROR(G3227/SUMIF(A:A,A3227,G:G)*SUMIF(Summary!$A$166:$A$242,'Operations Support'!A3227,Summary!$Q$166:$Q$242),0)</f>
        <v>0</v>
      </c>
      <c r="AG3227" s="196">
        <f t="shared" ca="1" si="711"/>
        <v>0</v>
      </c>
      <c r="AI3227" s="196">
        <f>IFERROR($G3227/SUMIF($A:$A,$A3227,$G:$G)*SUMIF(Summary!$A$247:$A$283,$A3227,Summary!$P$247:$P$283),0)</f>
        <v>0</v>
      </c>
      <c r="AJ3227" s="196">
        <f>IFERROR($G3227/SUMIF($A:$A,$A3227,$G:$G)*(SUMIF(Summary!$A$247:$A$283,$A3227,Summary!$L$247:$L$283)+SUMIF(Summary!$A$297:$A$333,$A3227,Summary!$L$297:$L$333))-AI3227,0)</f>
        <v>0</v>
      </c>
      <c r="AK3227" s="196">
        <f>IFERROR($G3227/SUMIF($A:$A,$A3227,$G:$G)*SUMIF(Summary!$A$247:$A$283,$A3227,Summary!$Q$247:$Q$283),0)</f>
        <v>0</v>
      </c>
      <c r="AL3227" s="196">
        <f>IFERROR($G3227/SUMIF($A:$A,$A3227,$G:$G)*(SUMIF(Summary!$A$247:$A$283,$A3227,Summary!$L$247:$L$283)+SUMIF(Summary!$A$297:$A$333,$A3227,Summary!$L$297:$L$333))-AK3227,0)</f>
        <v>0</v>
      </c>
      <c r="AM3227" s="198"/>
      <c r="AN3227" s="196">
        <f t="shared" ca="1" si="712"/>
        <v>0</v>
      </c>
      <c r="AO3227" s="196">
        <f t="shared" ca="1" si="713"/>
        <v>0</v>
      </c>
    </row>
    <row r="3228" spans="1:41">
      <c r="A3228" s="189">
        <v>11711</v>
      </c>
      <c r="B3228" s="190">
        <v>4</v>
      </c>
      <c r="C3228" s="191" t="s">
        <v>230</v>
      </c>
      <c r="D3228" s="192">
        <f t="shared" si="700"/>
        <v>0</v>
      </c>
      <c r="E3228" s="192">
        <f t="shared" si="701"/>
        <v>0</v>
      </c>
      <c r="F3228" s="192">
        <f t="shared" si="702"/>
        <v>0</v>
      </c>
      <c r="G3228" s="193">
        <f t="shared" si="703"/>
        <v>0</v>
      </c>
      <c r="H3228" s="194">
        <v>0</v>
      </c>
      <c r="I3228" s="194">
        <v>0</v>
      </c>
      <c r="J3228" s="194">
        <v>0</v>
      </c>
      <c r="K3228" s="193">
        <f t="shared" si="704"/>
        <v>0</v>
      </c>
      <c r="L3228" s="194">
        <v>0</v>
      </c>
      <c r="M3228" s="194">
        <v>0</v>
      </c>
      <c r="N3228" s="194">
        <v>0</v>
      </c>
      <c r="O3228" s="193">
        <f t="shared" si="705"/>
        <v>0</v>
      </c>
      <c r="P3228" s="194">
        <v>0</v>
      </c>
      <c r="Q3228" s="194">
        <v>0</v>
      </c>
      <c r="R3228" s="194">
        <v>0</v>
      </c>
      <c r="S3228" s="193">
        <f t="shared" si="706"/>
        <v>0</v>
      </c>
      <c r="T3228" s="193">
        <f t="shared" si="707"/>
        <v>0</v>
      </c>
      <c r="U3228" s="193">
        <f ca="1">OFFSET('Expenditure Study'!$B$7,'Operations Support'!$C3228,'Operations Support'!$B3228)*$G3228</f>
        <v>0</v>
      </c>
      <c r="V3228" s="199">
        <f ca="1">U3228*'Expenditure Study'!$B$31</f>
        <v>0</v>
      </c>
      <c r="W3228" s="199">
        <f ca="1">IF(A3228=10298,1.51,1)*IF($B3228&lt;3,$D3228*'Expenditure Study'!$B$32*OFFSET('Expenditure Study'!$B$7,'Operations Support'!$C3228,'Operations Support'!$B3228),0)</f>
        <v>0</v>
      </c>
      <c r="X3228" s="200">
        <f ca="1">W3228*'Expenditure Study'!$B$31</f>
        <v>0</v>
      </c>
      <c r="Y3228" s="199">
        <f ca="1">U3228*'Expenditure Study'!$B$31</f>
        <v>0</v>
      </c>
      <c r="Z3228" s="200">
        <f ca="1">W3228*'Expenditure Study'!$B$31</f>
        <v>0</v>
      </c>
      <c r="AA3228" s="195">
        <f t="shared" ca="1" si="708"/>
        <v>0</v>
      </c>
      <c r="AB3228" s="195">
        <f t="shared" ca="1" si="709"/>
        <v>0</v>
      </c>
      <c r="AD3228" s="196">
        <f>IFERROR($G3228/SUMIF($A:$A,$A3228,$G:$G)*SUMIF(Summary!$A$166:$A$242,$A3228,Summary!$P$166:$P$242),0)</f>
        <v>0</v>
      </c>
      <c r="AE3228" s="197">
        <f t="shared" ca="1" si="710"/>
        <v>0</v>
      </c>
      <c r="AF3228" s="196">
        <f>IFERROR(G3228/SUMIF(A:A,A3228,G:G)*SUMIF(Summary!$A$166:$A$242,'Operations Support'!A3228,Summary!$Q$166:$Q$242),0)</f>
        <v>0</v>
      </c>
      <c r="AG3228" s="196">
        <f t="shared" ca="1" si="711"/>
        <v>0</v>
      </c>
      <c r="AI3228" s="196">
        <f>IFERROR($G3228/SUMIF($A:$A,$A3228,$G:$G)*SUMIF(Summary!$A$247:$A$283,$A3228,Summary!$P$247:$P$283),0)</f>
        <v>0</v>
      </c>
      <c r="AJ3228" s="196">
        <f>IFERROR($G3228/SUMIF($A:$A,$A3228,$G:$G)*(SUMIF(Summary!$A$247:$A$283,$A3228,Summary!$L$247:$L$283)+SUMIF(Summary!$A$297:$A$333,$A3228,Summary!$L$297:$L$333))-AI3228,0)</f>
        <v>0</v>
      </c>
      <c r="AK3228" s="196">
        <f>IFERROR($G3228/SUMIF($A:$A,$A3228,$G:$G)*SUMIF(Summary!$A$247:$A$283,$A3228,Summary!$Q$247:$Q$283),0)</f>
        <v>0</v>
      </c>
      <c r="AL3228" s="196">
        <f>IFERROR($G3228/SUMIF($A:$A,$A3228,$G:$G)*(SUMIF(Summary!$A$247:$A$283,$A3228,Summary!$L$247:$L$283)+SUMIF(Summary!$A$297:$A$333,$A3228,Summary!$L$297:$L$333))-AK3228,0)</f>
        <v>0</v>
      </c>
      <c r="AM3228" s="198"/>
      <c r="AN3228" s="196">
        <f t="shared" ca="1" si="712"/>
        <v>0</v>
      </c>
      <c r="AO3228" s="196">
        <f t="shared" ca="1" si="713"/>
        <v>0</v>
      </c>
    </row>
    <row r="3229" spans="1:41">
      <c r="A3229" s="189">
        <v>11711</v>
      </c>
      <c r="B3229" s="190">
        <v>4</v>
      </c>
      <c r="C3229" s="191" t="s">
        <v>231</v>
      </c>
      <c r="D3229" s="192">
        <f t="shared" si="700"/>
        <v>0</v>
      </c>
      <c r="E3229" s="192">
        <f t="shared" si="701"/>
        <v>0</v>
      </c>
      <c r="F3229" s="192">
        <f t="shared" si="702"/>
        <v>0</v>
      </c>
      <c r="G3229" s="193">
        <f t="shared" si="703"/>
        <v>0</v>
      </c>
      <c r="H3229" s="194">
        <v>0</v>
      </c>
      <c r="I3229" s="194">
        <v>0</v>
      </c>
      <c r="J3229" s="194">
        <v>0</v>
      </c>
      <c r="K3229" s="193">
        <f t="shared" si="704"/>
        <v>0</v>
      </c>
      <c r="L3229" s="194">
        <v>0</v>
      </c>
      <c r="M3229" s="194">
        <v>0</v>
      </c>
      <c r="N3229" s="194">
        <v>0</v>
      </c>
      <c r="O3229" s="193">
        <f t="shared" si="705"/>
        <v>0</v>
      </c>
      <c r="P3229" s="194">
        <v>0</v>
      </c>
      <c r="Q3229" s="194">
        <v>0</v>
      </c>
      <c r="R3229" s="194">
        <v>0</v>
      </c>
      <c r="S3229" s="193">
        <f t="shared" si="706"/>
        <v>0</v>
      </c>
      <c r="T3229" s="193">
        <f t="shared" si="707"/>
        <v>0</v>
      </c>
      <c r="U3229" s="193">
        <f ca="1">OFFSET('Expenditure Study'!$B$7,'Operations Support'!$C3229,'Operations Support'!$B3229)*$G3229</f>
        <v>0</v>
      </c>
      <c r="V3229" s="199">
        <f ca="1">U3229*'Expenditure Study'!$B$31</f>
        <v>0</v>
      </c>
      <c r="W3229" s="199">
        <f ca="1">IF(A3229=10298,1.51,1)*IF($B3229&lt;3,$D3229*'Expenditure Study'!$B$32*OFFSET('Expenditure Study'!$B$7,'Operations Support'!$C3229,'Operations Support'!$B3229),0)</f>
        <v>0</v>
      </c>
      <c r="X3229" s="200">
        <f ca="1">W3229*'Expenditure Study'!$B$31</f>
        <v>0</v>
      </c>
      <c r="Y3229" s="199">
        <f ca="1">U3229*'Expenditure Study'!$B$31</f>
        <v>0</v>
      </c>
      <c r="Z3229" s="200">
        <f ca="1">W3229*'Expenditure Study'!$B$31</f>
        <v>0</v>
      </c>
      <c r="AA3229" s="195">
        <f t="shared" ca="1" si="708"/>
        <v>0</v>
      </c>
      <c r="AB3229" s="195">
        <f t="shared" ca="1" si="709"/>
        <v>0</v>
      </c>
      <c r="AD3229" s="196">
        <f>IFERROR($G3229/SUMIF($A:$A,$A3229,$G:$G)*SUMIF(Summary!$A$166:$A$242,$A3229,Summary!$P$166:$P$242),0)</f>
        <v>0</v>
      </c>
      <c r="AE3229" s="197">
        <f t="shared" ca="1" si="710"/>
        <v>0</v>
      </c>
      <c r="AF3229" s="196">
        <f>IFERROR(G3229/SUMIF(A:A,A3229,G:G)*SUMIF(Summary!$A$166:$A$242,'Operations Support'!A3229,Summary!$Q$166:$Q$242),0)</f>
        <v>0</v>
      </c>
      <c r="AG3229" s="196">
        <f t="shared" ca="1" si="711"/>
        <v>0</v>
      </c>
      <c r="AI3229" s="196">
        <f>IFERROR($G3229/SUMIF($A:$A,$A3229,$G:$G)*SUMIF(Summary!$A$247:$A$283,$A3229,Summary!$P$247:$P$283),0)</f>
        <v>0</v>
      </c>
      <c r="AJ3229" s="196">
        <f>IFERROR($G3229/SUMIF($A:$A,$A3229,$G:$G)*(SUMIF(Summary!$A$247:$A$283,$A3229,Summary!$L$247:$L$283)+SUMIF(Summary!$A$297:$A$333,$A3229,Summary!$L$297:$L$333))-AI3229,0)</f>
        <v>0</v>
      </c>
      <c r="AK3229" s="196">
        <f>IFERROR($G3229/SUMIF($A:$A,$A3229,$G:$G)*SUMIF(Summary!$A$247:$A$283,$A3229,Summary!$Q$247:$Q$283),0)</f>
        <v>0</v>
      </c>
      <c r="AL3229" s="196">
        <f>IFERROR($G3229/SUMIF($A:$A,$A3229,$G:$G)*(SUMIF(Summary!$A$247:$A$283,$A3229,Summary!$L$247:$L$283)+SUMIF(Summary!$A$297:$A$333,$A3229,Summary!$L$297:$L$333))-AK3229,0)</f>
        <v>0</v>
      </c>
      <c r="AM3229" s="198"/>
      <c r="AN3229" s="196">
        <f t="shared" ca="1" si="712"/>
        <v>0</v>
      </c>
      <c r="AO3229" s="196">
        <f t="shared" ca="1" si="713"/>
        <v>0</v>
      </c>
    </row>
    <row r="3230" spans="1:41">
      <c r="A3230" s="189">
        <v>11711</v>
      </c>
      <c r="B3230" s="190">
        <v>4</v>
      </c>
      <c r="C3230" s="191" t="s">
        <v>232</v>
      </c>
      <c r="D3230" s="192">
        <f t="shared" si="700"/>
        <v>0</v>
      </c>
      <c r="E3230" s="192">
        <f t="shared" si="701"/>
        <v>0</v>
      </c>
      <c r="F3230" s="192">
        <f t="shared" si="702"/>
        <v>0</v>
      </c>
      <c r="G3230" s="193">
        <f t="shared" si="703"/>
        <v>0</v>
      </c>
      <c r="H3230" s="194">
        <v>0</v>
      </c>
      <c r="I3230" s="194">
        <v>0</v>
      </c>
      <c r="J3230" s="194">
        <v>0</v>
      </c>
      <c r="K3230" s="193">
        <f t="shared" si="704"/>
        <v>0</v>
      </c>
      <c r="L3230" s="194">
        <v>0</v>
      </c>
      <c r="M3230" s="194">
        <v>0</v>
      </c>
      <c r="N3230" s="194">
        <v>0</v>
      </c>
      <c r="O3230" s="193">
        <f t="shared" si="705"/>
        <v>0</v>
      </c>
      <c r="P3230" s="194">
        <v>0</v>
      </c>
      <c r="Q3230" s="194">
        <v>0</v>
      </c>
      <c r="R3230" s="194">
        <v>0</v>
      </c>
      <c r="S3230" s="193">
        <f t="shared" si="706"/>
        <v>0</v>
      </c>
      <c r="T3230" s="193">
        <f t="shared" si="707"/>
        <v>0</v>
      </c>
      <c r="U3230" s="193">
        <f ca="1">OFFSET('Expenditure Study'!$B$7,'Operations Support'!$C3230,'Operations Support'!$B3230)*$G3230</f>
        <v>0</v>
      </c>
      <c r="V3230" s="199">
        <f ca="1">U3230*'Expenditure Study'!$B$31</f>
        <v>0</v>
      </c>
      <c r="W3230" s="199">
        <f ca="1">IF(A3230=10298,1.51,1)*IF($B3230&lt;3,$D3230*'Expenditure Study'!$B$32*OFFSET('Expenditure Study'!$B$7,'Operations Support'!$C3230,'Operations Support'!$B3230),0)</f>
        <v>0</v>
      </c>
      <c r="X3230" s="200">
        <f ca="1">W3230*'Expenditure Study'!$B$31</f>
        <v>0</v>
      </c>
      <c r="Y3230" s="199">
        <f ca="1">U3230*'Expenditure Study'!$B$31</f>
        <v>0</v>
      </c>
      <c r="Z3230" s="200">
        <f ca="1">W3230*'Expenditure Study'!$B$31</f>
        <v>0</v>
      </c>
      <c r="AA3230" s="195">
        <f t="shared" ca="1" si="708"/>
        <v>0</v>
      </c>
      <c r="AB3230" s="195">
        <f t="shared" ca="1" si="709"/>
        <v>0</v>
      </c>
      <c r="AD3230" s="196">
        <f>IFERROR($G3230/SUMIF($A:$A,$A3230,$G:$G)*SUMIF(Summary!$A$166:$A$242,$A3230,Summary!$P$166:$P$242),0)</f>
        <v>0</v>
      </c>
      <c r="AE3230" s="197">
        <f t="shared" ca="1" si="710"/>
        <v>0</v>
      </c>
      <c r="AF3230" s="196">
        <f>IFERROR(G3230/SUMIF(A:A,A3230,G:G)*SUMIF(Summary!$A$166:$A$242,'Operations Support'!A3230,Summary!$Q$166:$Q$242),0)</f>
        <v>0</v>
      </c>
      <c r="AG3230" s="196">
        <f t="shared" ca="1" si="711"/>
        <v>0</v>
      </c>
      <c r="AI3230" s="196">
        <f>IFERROR($G3230/SUMIF($A:$A,$A3230,$G:$G)*SUMIF(Summary!$A$247:$A$283,$A3230,Summary!$P$247:$P$283),0)</f>
        <v>0</v>
      </c>
      <c r="AJ3230" s="196">
        <f>IFERROR($G3230/SUMIF($A:$A,$A3230,$G:$G)*(SUMIF(Summary!$A$247:$A$283,$A3230,Summary!$L$247:$L$283)+SUMIF(Summary!$A$297:$A$333,$A3230,Summary!$L$297:$L$333))-AI3230,0)</f>
        <v>0</v>
      </c>
      <c r="AK3230" s="196">
        <f>IFERROR($G3230/SUMIF($A:$A,$A3230,$G:$G)*SUMIF(Summary!$A$247:$A$283,$A3230,Summary!$Q$247:$Q$283),0)</f>
        <v>0</v>
      </c>
      <c r="AL3230" s="196">
        <f>IFERROR($G3230/SUMIF($A:$A,$A3230,$G:$G)*(SUMIF(Summary!$A$247:$A$283,$A3230,Summary!$L$247:$L$283)+SUMIF(Summary!$A$297:$A$333,$A3230,Summary!$L$297:$L$333))-AK3230,0)</f>
        <v>0</v>
      </c>
      <c r="AM3230" s="198"/>
      <c r="AN3230" s="196">
        <f t="shared" ca="1" si="712"/>
        <v>0</v>
      </c>
      <c r="AO3230" s="196">
        <f t="shared" ca="1" si="713"/>
        <v>0</v>
      </c>
    </row>
    <row r="3231" spans="1:41">
      <c r="A3231" s="189">
        <v>11711</v>
      </c>
      <c r="B3231" s="190">
        <v>4</v>
      </c>
      <c r="C3231" s="191" t="s">
        <v>233</v>
      </c>
      <c r="D3231" s="192">
        <f t="shared" si="700"/>
        <v>0</v>
      </c>
      <c r="E3231" s="192">
        <f t="shared" si="701"/>
        <v>0</v>
      </c>
      <c r="F3231" s="192">
        <f t="shared" si="702"/>
        <v>0</v>
      </c>
      <c r="G3231" s="193">
        <f t="shared" si="703"/>
        <v>0</v>
      </c>
      <c r="H3231" s="194">
        <v>0</v>
      </c>
      <c r="I3231" s="194">
        <v>0</v>
      </c>
      <c r="J3231" s="194">
        <v>0</v>
      </c>
      <c r="K3231" s="193">
        <f t="shared" si="704"/>
        <v>0</v>
      </c>
      <c r="L3231" s="194">
        <v>0</v>
      </c>
      <c r="M3231" s="194">
        <v>0</v>
      </c>
      <c r="N3231" s="194">
        <v>0</v>
      </c>
      <c r="O3231" s="193">
        <f t="shared" si="705"/>
        <v>0</v>
      </c>
      <c r="P3231" s="194">
        <v>0</v>
      </c>
      <c r="Q3231" s="194">
        <v>0</v>
      </c>
      <c r="R3231" s="194">
        <v>0</v>
      </c>
      <c r="S3231" s="193">
        <f t="shared" si="706"/>
        <v>0</v>
      </c>
      <c r="T3231" s="193">
        <f t="shared" si="707"/>
        <v>0</v>
      </c>
      <c r="U3231" s="193">
        <f ca="1">OFFSET('Expenditure Study'!$B$7,'Operations Support'!$C3231,'Operations Support'!$B3231)*$G3231</f>
        <v>0</v>
      </c>
      <c r="V3231" s="199">
        <f ca="1">U3231*'Expenditure Study'!$B$31</f>
        <v>0</v>
      </c>
      <c r="W3231" s="199">
        <f ca="1">IF(A3231=10298,1.51,1)*IF($B3231&lt;3,$D3231*'Expenditure Study'!$B$32*OFFSET('Expenditure Study'!$B$7,'Operations Support'!$C3231,'Operations Support'!$B3231),0)</f>
        <v>0</v>
      </c>
      <c r="X3231" s="200">
        <f ca="1">W3231*'Expenditure Study'!$B$31</f>
        <v>0</v>
      </c>
      <c r="Y3231" s="199">
        <f ca="1">U3231*'Expenditure Study'!$B$31</f>
        <v>0</v>
      </c>
      <c r="Z3231" s="200">
        <f ca="1">W3231*'Expenditure Study'!$B$31</f>
        <v>0</v>
      </c>
      <c r="AA3231" s="195">
        <f t="shared" ca="1" si="708"/>
        <v>0</v>
      </c>
      <c r="AB3231" s="195">
        <f t="shared" ca="1" si="709"/>
        <v>0</v>
      </c>
      <c r="AD3231" s="196">
        <f>IFERROR($G3231/SUMIF($A:$A,$A3231,$G:$G)*SUMIF(Summary!$A$166:$A$242,$A3231,Summary!$P$166:$P$242),0)</f>
        <v>0</v>
      </c>
      <c r="AE3231" s="197">
        <f t="shared" ca="1" si="710"/>
        <v>0</v>
      </c>
      <c r="AF3231" s="196">
        <f>IFERROR(G3231/SUMIF(A:A,A3231,G:G)*SUMIF(Summary!$A$166:$A$242,'Operations Support'!A3231,Summary!$Q$166:$Q$242),0)</f>
        <v>0</v>
      </c>
      <c r="AG3231" s="196">
        <f t="shared" ca="1" si="711"/>
        <v>0</v>
      </c>
      <c r="AI3231" s="196">
        <f>IFERROR($G3231/SUMIF($A:$A,$A3231,$G:$G)*SUMIF(Summary!$A$247:$A$283,$A3231,Summary!$P$247:$P$283),0)</f>
        <v>0</v>
      </c>
      <c r="AJ3231" s="196">
        <f>IFERROR($G3231/SUMIF($A:$A,$A3231,$G:$G)*(SUMIF(Summary!$A$247:$A$283,$A3231,Summary!$L$247:$L$283)+SUMIF(Summary!$A$297:$A$333,$A3231,Summary!$L$297:$L$333))-AI3231,0)</f>
        <v>0</v>
      </c>
      <c r="AK3231" s="196">
        <f>IFERROR($G3231/SUMIF($A:$A,$A3231,$G:$G)*SUMIF(Summary!$A$247:$A$283,$A3231,Summary!$Q$247:$Q$283),0)</f>
        <v>0</v>
      </c>
      <c r="AL3231" s="196">
        <f>IFERROR($G3231/SUMIF($A:$A,$A3231,$G:$G)*(SUMIF(Summary!$A$247:$A$283,$A3231,Summary!$L$247:$L$283)+SUMIF(Summary!$A$297:$A$333,$A3231,Summary!$L$297:$L$333))-AK3231,0)</f>
        <v>0</v>
      </c>
      <c r="AM3231" s="198"/>
      <c r="AN3231" s="196">
        <f t="shared" ca="1" si="712"/>
        <v>0</v>
      </c>
      <c r="AO3231" s="196">
        <f t="shared" ca="1" si="713"/>
        <v>0</v>
      </c>
    </row>
    <row r="3232" spans="1:41">
      <c r="A3232" s="189">
        <v>11711</v>
      </c>
      <c r="B3232" s="190">
        <v>4</v>
      </c>
      <c r="C3232" s="191" t="s">
        <v>234</v>
      </c>
      <c r="D3232" s="192">
        <f t="shared" si="700"/>
        <v>0</v>
      </c>
      <c r="E3232" s="192">
        <f t="shared" si="701"/>
        <v>0</v>
      </c>
      <c r="F3232" s="192">
        <f t="shared" si="702"/>
        <v>0</v>
      </c>
      <c r="G3232" s="193">
        <f t="shared" si="703"/>
        <v>0</v>
      </c>
      <c r="H3232" s="194">
        <v>0</v>
      </c>
      <c r="I3232" s="194">
        <v>0</v>
      </c>
      <c r="J3232" s="194">
        <v>0</v>
      </c>
      <c r="K3232" s="193">
        <f t="shared" si="704"/>
        <v>0</v>
      </c>
      <c r="L3232" s="194">
        <v>0</v>
      </c>
      <c r="M3232" s="194">
        <v>0</v>
      </c>
      <c r="N3232" s="194">
        <v>0</v>
      </c>
      <c r="O3232" s="193">
        <f t="shared" si="705"/>
        <v>0</v>
      </c>
      <c r="P3232" s="194">
        <v>0</v>
      </c>
      <c r="Q3232" s="194">
        <v>0</v>
      </c>
      <c r="R3232" s="194">
        <v>0</v>
      </c>
      <c r="S3232" s="193">
        <f t="shared" si="706"/>
        <v>0</v>
      </c>
      <c r="T3232" s="193">
        <f t="shared" si="707"/>
        <v>0</v>
      </c>
      <c r="U3232" s="193">
        <f ca="1">OFFSET('Expenditure Study'!$B$7,'Operations Support'!$C3232,'Operations Support'!$B3232)*$G3232</f>
        <v>0</v>
      </c>
      <c r="V3232" s="199">
        <f ca="1">U3232*'Expenditure Study'!$B$31</f>
        <v>0</v>
      </c>
      <c r="W3232" s="199">
        <f ca="1">IF(A3232=10298,1.51,1)*IF($B3232&lt;3,$D3232*'Expenditure Study'!$B$32*OFFSET('Expenditure Study'!$B$7,'Operations Support'!$C3232,'Operations Support'!$B3232),0)</f>
        <v>0</v>
      </c>
      <c r="X3232" s="200">
        <f ca="1">W3232*'Expenditure Study'!$B$31</f>
        <v>0</v>
      </c>
      <c r="Y3232" s="199">
        <f ca="1">U3232*'Expenditure Study'!$B$31</f>
        <v>0</v>
      </c>
      <c r="Z3232" s="200">
        <f ca="1">W3232*'Expenditure Study'!$B$31</f>
        <v>0</v>
      </c>
      <c r="AA3232" s="195">
        <f t="shared" ca="1" si="708"/>
        <v>0</v>
      </c>
      <c r="AB3232" s="195">
        <f t="shared" ca="1" si="709"/>
        <v>0</v>
      </c>
      <c r="AD3232" s="196">
        <f>IFERROR($G3232/SUMIF($A:$A,$A3232,$G:$G)*SUMIF(Summary!$A$166:$A$242,$A3232,Summary!$P$166:$P$242),0)</f>
        <v>0</v>
      </c>
      <c r="AE3232" s="197">
        <f t="shared" ca="1" si="710"/>
        <v>0</v>
      </c>
      <c r="AF3232" s="196">
        <f>IFERROR(G3232/SUMIF(A:A,A3232,G:G)*SUMIF(Summary!$A$166:$A$242,'Operations Support'!A3232,Summary!$Q$166:$Q$242),0)</f>
        <v>0</v>
      </c>
      <c r="AG3232" s="196">
        <f t="shared" ca="1" si="711"/>
        <v>0</v>
      </c>
      <c r="AI3232" s="196">
        <f>IFERROR($G3232/SUMIF($A:$A,$A3232,$G:$G)*SUMIF(Summary!$A$247:$A$283,$A3232,Summary!$P$247:$P$283),0)</f>
        <v>0</v>
      </c>
      <c r="AJ3232" s="196">
        <f>IFERROR($G3232/SUMIF($A:$A,$A3232,$G:$G)*(SUMIF(Summary!$A$247:$A$283,$A3232,Summary!$L$247:$L$283)+SUMIF(Summary!$A$297:$A$333,$A3232,Summary!$L$297:$L$333))-AI3232,0)</f>
        <v>0</v>
      </c>
      <c r="AK3232" s="196">
        <f>IFERROR($G3232/SUMIF($A:$A,$A3232,$G:$G)*SUMIF(Summary!$A$247:$A$283,$A3232,Summary!$Q$247:$Q$283),0)</f>
        <v>0</v>
      </c>
      <c r="AL3232" s="196">
        <f>IFERROR($G3232/SUMIF($A:$A,$A3232,$G:$G)*(SUMIF(Summary!$A$247:$A$283,$A3232,Summary!$L$247:$L$283)+SUMIF(Summary!$A$297:$A$333,$A3232,Summary!$L$297:$L$333))-AK3232,0)</f>
        <v>0</v>
      </c>
      <c r="AM3232" s="198"/>
      <c r="AN3232" s="196">
        <f t="shared" ca="1" si="712"/>
        <v>0</v>
      </c>
      <c r="AO3232" s="196">
        <f t="shared" ca="1" si="713"/>
        <v>0</v>
      </c>
    </row>
    <row r="3233" spans="1:41">
      <c r="A3233" s="189">
        <v>11711</v>
      </c>
      <c r="B3233" s="190">
        <v>4</v>
      </c>
      <c r="C3233" s="191" t="s">
        <v>235</v>
      </c>
      <c r="D3233" s="192">
        <f t="shared" si="700"/>
        <v>0</v>
      </c>
      <c r="E3233" s="192">
        <f t="shared" si="701"/>
        <v>0</v>
      </c>
      <c r="F3233" s="192">
        <f t="shared" si="702"/>
        <v>0</v>
      </c>
      <c r="G3233" s="193">
        <f t="shared" si="703"/>
        <v>0</v>
      </c>
      <c r="H3233" s="194">
        <v>0</v>
      </c>
      <c r="I3233" s="194">
        <v>0</v>
      </c>
      <c r="J3233" s="194">
        <v>0</v>
      </c>
      <c r="K3233" s="193">
        <f t="shared" si="704"/>
        <v>0</v>
      </c>
      <c r="L3233" s="194">
        <v>0</v>
      </c>
      <c r="M3233" s="194">
        <v>0</v>
      </c>
      <c r="N3233" s="194">
        <v>0</v>
      </c>
      <c r="O3233" s="193">
        <f t="shared" si="705"/>
        <v>0</v>
      </c>
      <c r="P3233" s="194">
        <v>0</v>
      </c>
      <c r="Q3233" s="194">
        <v>0</v>
      </c>
      <c r="R3233" s="194">
        <v>0</v>
      </c>
      <c r="S3233" s="193">
        <f t="shared" si="706"/>
        <v>0</v>
      </c>
      <c r="T3233" s="193">
        <f t="shared" si="707"/>
        <v>0</v>
      </c>
      <c r="U3233" s="193">
        <f ca="1">OFFSET('Expenditure Study'!$B$7,'Operations Support'!$C3233,'Operations Support'!$B3233)*$G3233</f>
        <v>0</v>
      </c>
      <c r="V3233" s="199">
        <f ca="1">U3233*'Expenditure Study'!$B$31</f>
        <v>0</v>
      </c>
      <c r="W3233" s="199">
        <f ca="1">IF(A3233=10298,1.51,1)*IF($B3233&lt;3,$D3233*'Expenditure Study'!$B$32*OFFSET('Expenditure Study'!$B$7,'Operations Support'!$C3233,'Operations Support'!$B3233),0)</f>
        <v>0</v>
      </c>
      <c r="X3233" s="200">
        <f ca="1">W3233*'Expenditure Study'!$B$31</f>
        <v>0</v>
      </c>
      <c r="Y3233" s="199">
        <f ca="1">U3233*'Expenditure Study'!$B$31</f>
        <v>0</v>
      </c>
      <c r="Z3233" s="200">
        <f ca="1">W3233*'Expenditure Study'!$B$31</f>
        <v>0</v>
      </c>
      <c r="AA3233" s="195">
        <f t="shared" ca="1" si="708"/>
        <v>0</v>
      </c>
      <c r="AB3233" s="195">
        <f t="shared" ca="1" si="709"/>
        <v>0</v>
      </c>
      <c r="AD3233" s="196">
        <f>IFERROR($G3233/SUMIF($A:$A,$A3233,$G:$G)*SUMIF(Summary!$A$166:$A$242,$A3233,Summary!$P$166:$P$242),0)</f>
        <v>0</v>
      </c>
      <c r="AE3233" s="197">
        <f t="shared" ca="1" si="710"/>
        <v>0</v>
      </c>
      <c r="AF3233" s="196">
        <f>IFERROR(G3233/SUMIF(A:A,A3233,G:G)*SUMIF(Summary!$A$166:$A$242,'Operations Support'!A3233,Summary!$Q$166:$Q$242),0)</f>
        <v>0</v>
      </c>
      <c r="AG3233" s="196">
        <f t="shared" ca="1" si="711"/>
        <v>0</v>
      </c>
      <c r="AI3233" s="196">
        <f>IFERROR($G3233/SUMIF($A:$A,$A3233,$G:$G)*SUMIF(Summary!$A$247:$A$283,$A3233,Summary!$P$247:$P$283),0)</f>
        <v>0</v>
      </c>
      <c r="AJ3233" s="196">
        <f>IFERROR($G3233/SUMIF($A:$A,$A3233,$G:$G)*(SUMIF(Summary!$A$247:$A$283,$A3233,Summary!$L$247:$L$283)+SUMIF(Summary!$A$297:$A$333,$A3233,Summary!$L$297:$L$333))-AI3233,0)</f>
        <v>0</v>
      </c>
      <c r="AK3233" s="196">
        <f>IFERROR($G3233/SUMIF($A:$A,$A3233,$G:$G)*SUMIF(Summary!$A$247:$A$283,$A3233,Summary!$Q$247:$Q$283),0)</f>
        <v>0</v>
      </c>
      <c r="AL3233" s="196">
        <f>IFERROR($G3233/SUMIF($A:$A,$A3233,$G:$G)*(SUMIF(Summary!$A$247:$A$283,$A3233,Summary!$L$247:$L$283)+SUMIF(Summary!$A$297:$A$333,$A3233,Summary!$L$297:$L$333))-AK3233,0)</f>
        <v>0</v>
      </c>
      <c r="AM3233" s="198"/>
      <c r="AN3233" s="196">
        <f t="shared" ca="1" si="712"/>
        <v>0</v>
      </c>
      <c r="AO3233" s="196">
        <f t="shared" ca="1" si="713"/>
        <v>0</v>
      </c>
    </row>
    <row r="3234" spans="1:41">
      <c r="A3234" s="189">
        <v>11711</v>
      </c>
      <c r="B3234" s="190">
        <v>4</v>
      </c>
      <c r="C3234" s="191" t="s">
        <v>236</v>
      </c>
      <c r="D3234" s="192">
        <f t="shared" si="700"/>
        <v>0</v>
      </c>
      <c r="E3234" s="192">
        <f t="shared" si="701"/>
        <v>0</v>
      </c>
      <c r="F3234" s="192">
        <f t="shared" si="702"/>
        <v>0</v>
      </c>
      <c r="G3234" s="193">
        <f t="shared" si="703"/>
        <v>0</v>
      </c>
      <c r="H3234" s="194">
        <v>0</v>
      </c>
      <c r="I3234" s="194">
        <v>0</v>
      </c>
      <c r="J3234" s="194">
        <v>0</v>
      </c>
      <c r="K3234" s="193">
        <f t="shared" si="704"/>
        <v>0</v>
      </c>
      <c r="L3234" s="194">
        <v>0</v>
      </c>
      <c r="M3234" s="194">
        <v>0</v>
      </c>
      <c r="N3234" s="194">
        <v>0</v>
      </c>
      <c r="O3234" s="193">
        <f t="shared" si="705"/>
        <v>0</v>
      </c>
      <c r="P3234" s="194">
        <v>0</v>
      </c>
      <c r="Q3234" s="194">
        <v>0</v>
      </c>
      <c r="R3234" s="194">
        <v>0</v>
      </c>
      <c r="S3234" s="193">
        <f t="shared" si="706"/>
        <v>0</v>
      </c>
      <c r="T3234" s="193">
        <f t="shared" si="707"/>
        <v>0</v>
      </c>
      <c r="U3234" s="193">
        <f ca="1">OFFSET('Expenditure Study'!$B$7,'Operations Support'!$C3234,'Operations Support'!$B3234)*$G3234</f>
        <v>0</v>
      </c>
      <c r="V3234" s="199">
        <f ca="1">U3234*'Expenditure Study'!$B$31</f>
        <v>0</v>
      </c>
      <c r="W3234" s="199">
        <f ca="1">IF(A3234=10298,1.51,1)*IF($B3234&lt;3,$D3234*'Expenditure Study'!$B$32*OFFSET('Expenditure Study'!$B$7,'Operations Support'!$C3234,'Operations Support'!$B3234),0)</f>
        <v>0</v>
      </c>
      <c r="X3234" s="200">
        <f ca="1">W3234*'Expenditure Study'!$B$31</f>
        <v>0</v>
      </c>
      <c r="Y3234" s="199">
        <f ca="1">U3234*'Expenditure Study'!$B$31</f>
        <v>0</v>
      </c>
      <c r="Z3234" s="200">
        <f ca="1">W3234*'Expenditure Study'!$B$31</f>
        <v>0</v>
      </c>
      <c r="AA3234" s="195">
        <f t="shared" ca="1" si="708"/>
        <v>0</v>
      </c>
      <c r="AB3234" s="195">
        <f t="shared" ca="1" si="709"/>
        <v>0</v>
      </c>
      <c r="AD3234" s="196">
        <f>IFERROR($G3234/SUMIF($A:$A,$A3234,$G:$G)*SUMIF(Summary!$A$166:$A$242,$A3234,Summary!$P$166:$P$242),0)</f>
        <v>0</v>
      </c>
      <c r="AE3234" s="197">
        <f t="shared" ca="1" si="710"/>
        <v>0</v>
      </c>
      <c r="AF3234" s="196">
        <f>IFERROR(G3234/SUMIF(A:A,A3234,G:G)*SUMIF(Summary!$A$166:$A$242,'Operations Support'!A3234,Summary!$Q$166:$Q$242),0)</f>
        <v>0</v>
      </c>
      <c r="AG3234" s="196">
        <f t="shared" ca="1" si="711"/>
        <v>0</v>
      </c>
      <c r="AI3234" s="196">
        <f>IFERROR($G3234/SUMIF($A:$A,$A3234,$G:$G)*SUMIF(Summary!$A$247:$A$283,$A3234,Summary!$P$247:$P$283),0)</f>
        <v>0</v>
      </c>
      <c r="AJ3234" s="196">
        <f>IFERROR($G3234/SUMIF($A:$A,$A3234,$G:$G)*(SUMIF(Summary!$A$247:$A$283,$A3234,Summary!$L$247:$L$283)+SUMIF(Summary!$A$297:$A$333,$A3234,Summary!$L$297:$L$333))-AI3234,0)</f>
        <v>0</v>
      </c>
      <c r="AK3234" s="196">
        <f>IFERROR($G3234/SUMIF($A:$A,$A3234,$G:$G)*SUMIF(Summary!$A$247:$A$283,$A3234,Summary!$Q$247:$Q$283),0)</f>
        <v>0</v>
      </c>
      <c r="AL3234" s="196">
        <f>IFERROR($G3234/SUMIF($A:$A,$A3234,$G:$G)*(SUMIF(Summary!$A$247:$A$283,$A3234,Summary!$L$247:$L$283)+SUMIF(Summary!$A$297:$A$333,$A3234,Summary!$L$297:$L$333))-AK3234,0)</f>
        <v>0</v>
      </c>
      <c r="AM3234" s="198"/>
      <c r="AN3234" s="196">
        <f t="shared" ca="1" si="712"/>
        <v>0</v>
      </c>
      <c r="AO3234" s="196">
        <f t="shared" ca="1" si="713"/>
        <v>0</v>
      </c>
    </row>
    <row r="3235" spans="1:41">
      <c r="A3235" s="189">
        <v>11711</v>
      </c>
      <c r="B3235" s="190">
        <v>4</v>
      </c>
      <c r="C3235" s="191" t="s">
        <v>237</v>
      </c>
      <c r="D3235" s="192">
        <f t="shared" si="700"/>
        <v>0</v>
      </c>
      <c r="E3235" s="192">
        <f t="shared" si="701"/>
        <v>0</v>
      </c>
      <c r="F3235" s="192">
        <f t="shared" si="702"/>
        <v>0</v>
      </c>
      <c r="G3235" s="193">
        <f t="shared" si="703"/>
        <v>0</v>
      </c>
      <c r="H3235" s="194">
        <v>0</v>
      </c>
      <c r="I3235" s="194">
        <v>0</v>
      </c>
      <c r="J3235" s="194">
        <v>0</v>
      </c>
      <c r="K3235" s="193">
        <f t="shared" si="704"/>
        <v>0</v>
      </c>
      <c r="L3235" s="194">
        <v>0</v>
      </c>
      <c r="M3235" s="194">
        <v>0</v>
      </c>
      <c r="N3235" s="194">
        <v>0</v>
      </c>
      <c r="O3235" s="193">
        <f t="shared" si="705"/>
        <v>0</v>
      </c>
      <c r="P3235" s="194">
        <v>0</v>
      </c>
      <c r="Q3235" s="194">
        <v>0</v>
      </c>
      <c r="R3235" s="194">
        <v>0</v>
      </c>
      <c r="S3235" s="193">
        <f t="shared" si="706"/>
        <v>0</v>
      </c>
      <c r="T3235" s="193">
        <f t="shared" si="707"/>
        <v>0</v>
      </c>
      <c r="U3235" s="193">
        <f ca="1">OFFSET('Expenditure Study'!$B$7,'Operations Support'!$C3235,'Operations Support'!$B3235)*$G3235</f>
        <v>0</v>
      </c>
      <c r="V3235" s="199">
        <f ca="1">U3235*'Expenditure Study'!$B$31</f>
        <v>0</v>
      </c>
      <c r="W3235" s="199">
        <f ca="1">IF(A3235=10298,1.51,1)*IF($B3235&lt;3,$D3235*'Expenditure Study'!$B$32*OFFSET('Expenditure Study'!$B$7,'Operations Support'!$C3235,'Operations Support'!$B3235),0)</f>
        <v>0</v>
      </c>
      <c r="X3235" s="200">
        <f ca="1">W3235*'Expenditure Study'!$B$31</f>
        <v>0</v>
      </c>
      <c r="Y3235" s="199">
        <f ca="1">U3235*'Expenditure Study'!$B$31</f>
        <v>0</v>
      </c>
      <c r="Z3235" s="200">
        <f ca="1">W3235*'Expenditure Study'!$B$31</f>
        <v>0</v>
      </c>
      <c r="AA3235" s="195">
        <f t="shared" ca="1" si="708"/>
        <v>0</v>
      </c>
      <c r="AB3235" s="195">
        <f t="shared" ca="1" si="709"/>
        <v>0</v>
      </c>
      <c r="AD3235" s="196">
        <f>IFERROR($G3235/SUMIF($A:$A,$A3235,$G:$G)*SUMIF(Summary!$A$166:$A$242,$A3235,Summary!$P$166:$P$242),0)</f>
        <v>0</v>
      </c>
      <c r="AE3235" s="197">
        <f t="shared" ca="1" si="710"/>
        <v>0</v>
      </c>
      <c r="AF3235" s="196">
        <f>IFERROR(G3235/SUMIF(A:A,A3235,G:G)*SUMIF(Summary!$A$166:$A$242,'Operations Support'!A3235,Summary!$Q$166:$Q$242),0)</f>
        <v>0</v>
      </c>
      <c r="AG3235" s="196">
        <f t="shared" ca="1" si="711"/>
        <v>0</v>
      </c>
      <c r="AI3235" s="196">
        <f>IFERROR($G3235/SUMIF($A:$A,$A3235,$G:$G)*SUMIF(Summary!$A$247:$A$283,$A3235,Summary!$P$247:$P$283),0)</f>
        <v>0</v>
      </c>
      <c r="AJ3235" s="196">
        <f>IFERROR($G3235/SUMIF($A:$A,$A3235,$G:$G)*(SUMIF(Summary!$A$247:$A$283,$A3235,Summary!$L$247:$L$283)+SUMIF(Summary!$A$297:$A$333,$A3235,Summary!$L$297:$L$333))-AI3235,0)</f>
        <v>0</v>
      </c>
      <c r="AK3235" s="196">
        <f>IFERROR($G3235/SUMIF($A:$A,$A3235,$G:$G)*SUMIF(Summary!$A$247:$A$283,$A3235,Summary!$Q$247:$Q$283),0)</f>
        <v>0</v>
      </c>
      <c r="AL3235" s="196">
        <f>IFERROR($G3235/SUMIF($A:$A,$A3235,$G:$G)*(SUMIF(Summary!$A$247:$A$283,$A3235,Summary!$L$247:$L$283)+SUMIF(Summary!$A$297:$A$333,$A3235,Summary!$L$297:$L$333))-AK3235,0)</f>
        <v>0</v>
      </c>
      <c r="AM3235" s="198"/>
      <c r="AN3235" s="196">
        <f t="shared" ca="1" si="712"/>
        <v>0</v>
      </c>
      <c r="AO3235" s="196">
        <f t="shared" ca="1" si="713"/>
        <v>0</v>
      </c>
    </row>
    <row r="3236" spans="1:41">
      <c r="A3236" s="189">
        <v>11711</v>
      </c>
      <c r="B3236" s="190">
        <v>4</v>
      </c>
      <c r="C3236" s="191" t="s">
        <v>238</v>
      </c>
      <c r="D3236" s="192">
        <f t="shared" si="700"/>
        <v>0</v>
      </c>
      <c r="E3236" s="192">
        <f t="shared" si="701"/>
        <v>0</v>
      </c>
      <c r="F3236" s="192">
        <f t="shared" si="702"/>
        <v>0</v>
      </c>
      <c r="G3236" s="193">
        <f t="shared" si="703"/>
        <v>0</v>
      </c>
      <c r="H3236" s="194">
        <v>0</v>
      </c>
      <c r="I3236" s="194">
        <v>0</v>
      </c>
      <c r="J3236" s="194">
        <v>0</v>
      </c>
      <c r="K3236" s="193">
        <f t="shared" si="704"/>
        <v>0</v>
      </c>
      <c r="L3236" s="194">
        <v>0</v>
      </c>
      <c r="M3236" s="194">
        <v>0</v>
      </c>
      <c r="N3236" s="194">
        <v>0</v>
      </c>
      <c r="O3236" s="193">
        <f t="shared" si="705"/>
        <v>0</v>
      </c>
      <c r="P3236" s="194">
        <v>0</v>
      </c>
      <c r="Q3236" s="194">
        <v>0</v>
      </c>
      <c r="R3236" s="194">
        <v>0</v>
      </c>
      <c r="S3236" s="193">
        <f t="shared" si="706"/>
        <v>0</v>
      </c>
      <c r="T3236" s="193">
        <f t="shared" si="707"/>
        <v>0</v>
      </c>
      <c r="U3236" s="193">
        <f ca="1">OFFSET('Expenditure Study'!$B$7,'Operations Support'!$C3236,'Operations Support'!$B3236)*$G3236</f>
        <v>0</v>
      </c>
      <c r="V3236" s="199">
        <f ca="1">U3236*'Expenditure Study'!$B$31</f>
        <v>0</v>
      </c>
      <c r="W3236" s="199">
        <f ca="1">IF(A3236=10298,1.51,1)*IF($B3236&lt;3,$D3236*'Expenditure Study'!$B$32*OFFSET('Expenditure Study'!$B$7,'Operations Support'!$C3236,'Operations Support'!$B3236),0)</f>
        <v>0</v>
      </c>
      <c r="X3236" s="200">
        <f ca="1">W3236*'Expenditure Study'!$B$31</f>
        <v>0</v>
      </c>
      <c r="Y3236" s="199">
        <f ca="1">U3236*'Expenditure Study'!$B$31</f>
        <v>0</v>
      </c>
      <c r="Z3236" s="200">
        <f ca="1">W3236*'Expenditure Study'!$B$31</f>
        <v>0</v>
      </c>
      <c r="AA3236" s="195">
        <f t="shared" ca="1" si="708"/>
        <v>0</v>
      </c>
      <c r="AB3236" s="195">
        <f t="shared" ca="1" si="709"/>
        <v>0</v>
      </c>
      <c r="AD3236" s="196">
        <f>IFERROR($G3236/SUMIF($A:$A,$A3236,$G:$G)*SUMIF(Summary!$A$166:$A$242,$A3236,Summary!$P$166:$P$242),0)</f>
        <v>0</v>
      </c>
      <c r="AE3236" s="197">
        <f t="shared" ca="1" si="710"/>
        <v>0</v>
      </c>
      <c r="AF3236" s="196">
        <f>IFERROR(G3236/SUMIF(A:A,A3236,G:G)*SUMIF(Summary!$A$166:$A$242,'Operations Support'!A3236,Summary!$Q$166:$Q$242),0)</f>
        <v>0</v>
      </c>
      <c r="AG3236" s="196">
        <f t="shared" ca="1" si="711"/>
        <v>0</v>
      </c>
      <c r="AI3236" s="196">
        <f>IFERROR($G3236/SUMIF($A:$A,$A3236,$G:$G)*SUMIF(Summary!$A$247:$A$283,$A3236,Summary!$P$247:$P$283),0)</f>
        <v>0</v>
      </c>
      <c r="AJ3236" s="196">
        <f>IFERROR($G3236/SUMIF($A:$A,$A3236,$G:$G)*(SUMIF(Summary!$A$247:$A$283,$A3236,Summary!$L$247:$L$283)+SUMIF(Summary!$A$297:$A$333,$A3236,Summary!$L$297:$L$333))-AI3236,0)</f>
        <v>0</v>
      </c>
      <c r="AK3236" s="196">
        <f>IFERROR($G3236/SUMIF($A:$A,$A3236,$G:$G)*SUMIF(Summary!$A$247:$A$283,$A3236,Summary!$Q$247:$Q$283),0)</f>
        <v>0</v>
      </c>
      <c r="AL3236" s="196">
        <f>IFERROR($G3236/SUMIF($A:$A,$A3236,$G:$G)*(SUMIF(Summary!$A$247:$A$283,$A3236,Summary!$L$247:$L$283)+SUMIF(Summary!$A$297:$A$333,$A3236,Summary!$L$297:$L$333))-AK3236,0)</f>
        <v>0</v>
      </c>
      <c r="AM3236" s="198"/>
      <c r="AN3236" s="196">
        <f t="shared" ca="1" si="712"/>
        <v>0</v>
      </c>
      <c r="AO3236" s="196">
        <f t="shared" ca="1" si="713"/>
        <v>0</v>
      </c>
    </row>
    <row r="3237" spans="1:41">
      <c r="A3237" s="189">
        <v>11711</v>
      </c>
      <c r="B3237" s="190">
        <v>4</v>
      </c>
      <c r="C3237" s="191" t="s">
        <v>239</v>
      </c>
      <c r="D3237" s="192">
        <f t="shared" si="700"/>
        <v>0</v>
      </c>
      <c r="E3237" s="192">
        <f t="shared" si="701"/>
        <v>0</v>
      </c>
      <c r="F3237" s="192">
        <f t="shared" si="702"/>
        <v>0</v>
      </c>
      <c r="G3237" s="193">
        <f t="shared" si="703"/>
        <v>0</v>
      </c>
      <c r="H3237" s="194">
        <v>0</v>
      </c>
      <c r="I3237" s="194">
        <v>0</v>
      </c>
      <c r="J3237" s="194">
        <v>0</v>
      </c>
      <c r="K3237" s="193">
        <f t="shared" si="704"/>
        <v>0</v>
      </c>
      <c r="L3237" s="194">
        <v>0</v>
      </c>
      <c r="M3237" s="194">
        <v>0</v>
      </c>
      <c r="N3237" s="194">
        <v>0</v>
      </c>
      <c r="O3237" s="193">
        <f t="shared" si="705"/>
        <v>0</v>
      </c>
      <c r="P3237" s="194">
        <v>0</v>
      </c>
      <c r="Q3237" s="194">
        <v>0</v>
      </c>
      <c r="R3237" s="194">
        <v>0</v>
      </c>
      <c r="S3237" s="193">
        <f t="shared" si="706"/>
        <v>0</v>
      </c>
      <c r="T3237" s="193">
        <f t="shared" si="707"/>
        <v>0</v>
      </c>
      <c r="U3237" s="193">
        <f ca="1">OFFSET('Expenditure Study'!$B$7,'Operations Support'!$C3237,'Operations Support'!$B3237)*$G3237</f>
        <v>0</v>
      </c>
      <c r="V3237" s="199">
        <f ca="1">U3237*'Expenditure Study'!$B$31</f>
        <v>0</v>
      </c>
      <c r="W3237" s="199">
        <f ca="1">IF(A3237=10298,1.51,1)*IF($B3237&lt;3,$D3237*'Expenditure Study'!$B$32*OFFSET('Expenditure Study'!$B$7,'Operations Support'!$C3237,'Operations Support'!$B3237),0)</f>
        <v>0</v>
      </c>
      <c r="X3237" s="200">
        <f ca="1">W3237*'Expenditure Study'!$B$31</f>
        <v>0</v>
      </c>
      <c r="Y3237" s="199">
        <f ca="1">U3237*'Expenditure Study'!$B$31</f>
        <v>0</v>
      </c>
      <c r="Z3237" s="200">
        <f ca="1">W3237*'Expenditure Study'!$B$31</f>
        <v>0</v>
      </c>
      <c r="AA3237" s="195">
        <f t="shared" ca="1" si="708"/>
        <v>0</v>
      </c>
      <c r="AB3237" s="195">
        <f t="shared" ca="1" si="709"/>
        <v>0</v>
      </c>
      <c r="AD3237" s="196">
        <f>IFERROR($G3237/SUMIF($A:$A,$A3237,$G:$G)*SUMIF(Summary!$A$166:$A$242,$A3237,Summary!$P$166:$P$242),0)</f>
        <v>0</v>
      </c>
      <c r="AE3237" s="197">
        <f t="shared" ca="1" si="710"/>
        <v>0</v>
      </c>
      <c r="AF3237" s="196">
        <f>IFERROR(G3237/SUMIF(A:A,A3237,G:G)*SUMIF(Summary!$A$166:$A$242,'Operations Support'!A3237,Summary!$Q$166:$Q$242),0)</f>
        <v>0</v>
      </c>
      <c r="AG3237" s="196">
        <f t="shared" ca="1" si="711"/>
        <v>0</v>
      </c>
      <c r="AI3237" s="196">
        <f>IFERROR($G3237/SUMIF($A:$A,$A3237,$G:$G)*SUMIF(Summary!$A$247:$A$283,$A3237,Summary!$P$247:$P$283),0)</f>
        <v>0</v>
      </c>
      <c r="AJ3237" s="196">
        <f>IFERROR($G3237/SUMIF($A:$A,$A3237,$G:$G)*(SUMIF(Summary!$A$247:$A$283,$A3237,Summary!$L$247:$L$283)+SUMIF(Summary!$A$297:$A$333,$A3237,Summary!$L$297:$L$333))-AI3237,0)</f>
        <v>0</v>
      </c>
      <c r="AK3237" s="196">
        <f>IFERROR($G3237/SUMIF($A:$A,$A3237,$G:$G)*SUMIF(Summary!$A$247:$A$283,$A3237,Summary!$Q$247:$Q$283),0)</f>
        <v>0</v>
      </c>
      <c r="AL3237" s="196">
        <f>IFERROR($G3237/SUMIF($A:$A,$A3237,$G:$G)*(SUMIF(Summary!$A$247:$A$283,$A3237,Summary!$L$247:$L$283)+SUMIF(Summary!$A$297:$A$333,$A3237,Summary!$L$297:$L$333))-AK3237,0)</f>
        <v>0</v>
      </c>
      <c r="AM3237" s="198"/>
      <c r="AN3237" s="196">
        <f t="shared" ca="1" si="712"/>
        <v>0</v>
      </c>
      <c r="AO3237" s="196">
        <f t="shared" ca="1" si="713"/>
        <v>0</v>
      </c>
    </row>
    <row r="3238" spans="1:41">
      <c r="A3238" s="189">
        <v>11711</v>
      </c>
      <c r="B3238" s="190">
        <v>4</v>
      </c>
      <c r="C3238" s="191" t="s">
        <v>240</v>
      </c>
      <c r="D3238" s="192">
        <f t="shared" si="700"/>
        <v>0</v>
      </c>
      <c r="E3238" s="192">
        <f t="shared" si="701"/>
        <v>0</v>
      </c>
      <c r="F3238" s="192">
        <f t="shared" si="702"/>
        <v>0</v>
      </c>
      <c r="G3238" s="193">
        <f t="shared" si="703"/>
        <v>0</v>
      </c>
      <c r="H3238" s="194">
        <v>0</v>
      </c>
      <c r="I3238" s="194">
        <v>0</v>
      </c>
      <c r="J3238" s="194">
        <v>0</v>
      </c>
      <c r="K3238" s="193">
        <f t="shared" si="704"/>
        <v>0</v>
      </c>
      <c r="L3238" s="194">
        <v>0</v>
      </c>
      <c r="M3238" s="194">
        <v>0</v>
      </c>
      <c r="N3238" s="194">
        <v>0</v>
      </c>
      <c r="O3238" s="193">
        <f t="shared" si="705"/>
        <v>0</v>
      </c>
      <c r="P3238" s="194">
        <v>0</v>
      </c>
      <c r="Q3238" s="194">
        <v>0</v>
      </c>
      <c r="R3238" s="194">
        <v>0</v>
      </c>
      <c r="S3238" s="193">
        <f t="shared" si="706"/>
        <v>0</v>
      </c>
      <c r="T3238" s="193">
        <f t="shared" si="707"/>
        <v>0</v>
      </c>
      <c r="U3238" s="193">
        <f ca="1">OFFSET('Expenditure Study'!$B$7,'Operations Support'!$C3238,'Operations Support'!$B3238)*$G3238</f>
        <v>0</v>
      </c>
      <c r="V3238" s="199">
        <f ca="1">U3238*'Expenditure Study'!$B$31</f>
        <v>0</v>
      </c>
      <c r="W3238" s="199">
        <f ca="1">IF(A3238=10298,1.51,1)*IF($B3238&lt;3,$D3238*'Expenditure Study'!$B$32*OFFSET('Expenditure Study'!$B$7,'Operations Support'!$C3238,'Operations Support'!$B3238),0)</f>
        <v>0</v>
      </c>
      <c r="X3238" s="200">
        <f ca="1">W3238*'Expenditure Study'!$B$31</f>
        <v>0</v>
      </c>
      <c r="Y3238" s="199">
        <f ca="1">U3238*'Expenditure Study'!$B$31</f>
        <v>0</v>
      </c>
      <c r="Z3238" s="200">
        <f ca="1">W3238*'Expenditure Study'!$B$31</f>
        <v>0</v>
      </c>
      <c r="AA3238" s="195">
        <f t="shared" ca="1" si="708"/>
        <v>0</v>
      </c>
      <c r="AB3238" s="195">
        <f t="shared" ca="1" si="709"/>
        <v>0</v>
      </c>
      <c r="AD3238" s="196">
        <f>IFERROR($G3238/SUMIF($A:$A,$A3238,$G:$G)*SUMIF(Summary!$A$166:$A$242,$A3238,Summary!$P$166:$P$242),0)</f>
        <v>0</v>
      </c>
      <c r="AE3238" s="197">
        <f t="shared" ca="1" si="710"/>
        <v>0</v>
      </c>
      <c r="AF3238" s="196">
        <f>IFERROR(G3238/SUMIF(A:A,A3238,G:G)*SUMIF(Summary!$A$166:$A$242,'Operations Support'!A3238,Summary!$Q$166:$Q$242),0)</f>
        <v>0</v>
      </c>
      <c r="AG3238" s="196">
        <f t="shared" ca="1" si="711"/>
        <v>0</v>
      </c>
      <c r="AI3238" s="196">
        <f>IFERROR($G3238/SUMIF($A:$A,$A3238,$G:$G)*SUMIF(Summary!$A$247:$A$283,$A3238,Summary!$P$247:$P$283),0)</f>
        <v>0</v>
      </c>
      <c r="AJ3238" s="196">
        <f>IFERROR($G3238/SUMIF($A:$A,$A3238,$G:$G)*(SUMIF(Summary!$A$247:$A$283,$A3238,Summary!$L$247:$L$283)+SUMIF(Summary!$A$297:$A$333,$A3238,Summary!$L$297:$L$333))-AI3238,0)</f>
        <v>0</v>
      </c>
      <c r="AK3238" s="196">
        <f>IFERROR($G3238/SUMIF($A:$A,$A3238,$G:$G)*SUMIF(Summary!$A$247:$A$283,$A3238,Summary!$Q$247:$Q$283),0)</f>
        <v>0</v>
      </c>
      <c r="AL3238" s="196">
        <f>IFERROR($G3238/SUMIF($A:$A,$A3238,$G:$G)*(SUMIF(Summary!$A$247:$A$283,$A3238,Summary!$L$247:$L$283)+SUMIF(Summary!$A$297:$A$333,$A3238,Summary!$L$297:$L$333))-AK3238,0)</f>
        <v>0</v>
      </c>
      <c r="AM3238" s="198"/>
      <c r="AN3238" s="196">
        <f t="shared" ca="1" si="712"/>
        <v>0</v>
      </c>
      <c r="AO3238" s="196">
        <f t="shared" ca="1" si="713"/>
        <v>0</v>
      </c>
    </row>
    <row r="3239" spans="1:41">
      <c r="A3239" s="189">
        <v>11711</v>
      </c>
      <c r="B3239" s="190">
        <v>5</v>
      </c>
      <c r="C3239" s="191" t="s">
        <v>220</v>
      </c>
      <c r="D3239" s="192">
        <f t="shared" si="700"/>
        <v>0</v>
      </c>
      <c r="E3239" s="192">
        <f t="shared" si="701"/>
        <v>0</v>
      </c>
      <c r="F3239" s="192">
        <f t="shared" si="702"/>
        <v>0</v>
      </c>
      <c r="G3239" s="193">
        <f t="shared" si="703"/>
        <v>0</v>
      </c>
      <c r="H3239" s="194">
        <v>0</v>
      </c>
      <c r="I3239" s="194">
        <v>0</v>
      </c>
      <c r="J3239" s="194">
        <v>0</v>
      </c>
      <c r="K3239" s="193">
        <f t="shared" si="704"/>
        <v>0</v>
      </c>
      <c r="L3239" s="194">
        <v>0</v>
      </c>
      <c r="M3239" s="194">
        <v>0</v>
      </c>
      <c r="N3239" s="194">
        <v>0</v>
      </c>
      <c r="O3239" s="193">
        <f t="shared" si="705"/>
        <v>0</v>
      </c>
      <c r="P3239" s="194">
        <v>0</v>
      </c>
      <c r="Q3239" s="194">
        <v>0</v>
      </c>
      <c r="R3239" s="194">
        <v>0</v>
      </c>
      <c r="S3239" s="193">
        <f t="shared" si="706"/>
        <v>0</v>
      </c>
      <c r="T3239" s="193">
        <f t="shared" si="707"/>
        <v>0</v>
      </c>
      <c r="U3239" s="193">
        <f ca="1">OFFSET('Expenditure Study'!$B$7,'Operations Support'!$C3239,'Operations Support'!$B3239)*$G3239</f>
        <v>0</v>
      </c>
      <c r="V3239" s="199">
        <f ca="1">U3239*'Expenditure Study'!$B$31</f>
        <v>0</v>
      </c>
      <c r="W3239" s="199">
        <f ca="1">IF(A3239=10298,1.51,1)*IF($B3239&lt;3,$D3239*'Expenditure Study'!$B$32*OFFSET('Expenditure Study'!$B$7,'Operations Support'!$C3239,'Operations Support'!$B3239),0)</f>
        <v>0</v>
      </c>
      <c r="X3239" s="200">
        <f ca="1">W3239*'Expenditure Study'!$B$31</f>
        <v>0</v>
      </c>
      <c r="Y3239" s="199">
        <f ca="1">U3239*'Expenditure Study'!$B$31</f>
        <v>0</v>
      </c>
      <c r="Z3239" s="200">
        <f ca="1">W3239*'Expenditure Study'!$B$31</f>
        <v>0</v>
      </c>
      <c r="AA3239" s="195">
        <f t="shared" ca="1" si="708"/>
        <v>0</v>
      </c>
      <c r="AB3239" s="195">
        <f t="shared" ca="1" si="709"/>
        <v>0</v>
      </c>
      <c r="AD3239" s="196">
        <f>IFERROR($G3239/SUMIF($A:$A,$A3239,$G:$G)*SUMIF(Summary!$A$166:$A$242,$A3239,Summary!$P$166:$P$242),0)</f>
        <v>0</v>
      </c>
      <c r="AE3239" s="197">
        <f t="shared" ca="1" si="710"/>
        <v>0</v>
      </c>
      <c r="AF3239" s="196">
        <f>IFERROR(G3239/SUMIF(A:A,A3239,G:G)*SUMIF(Summary!$A$166:$A$242,'Operations Support'!A3239,Summary!$Q$166:$Q$242),0)</f>
        <v>0</v>
      </c>
      <c r="AG3239" s="196">
        <f t="shared" ca="1" si="711"/>
        <v>0</v>
      </c>
      <c r="AI3239" s="196">
        <f>IFERROR($G3239/SUMIF($A:$A,$A3239,$G:$G)*SUMIF(Summary!$A$247:$A$283,$A3239,Summary!$P$247:$P$283),0)</f>
        <v>0</v>
      </c>
      <c r="AJ3239" s="196">
        <f>IFERROR($G3239/SUMIF($A:$A,$A3239,$G:$G)*(SUMIF(Summary!$A$247:$A$283,$A3239,Summary!$L$247:$L$283)+SUMIF(Summary!$A$297:$A$333,$A3239,Summary!$L$297:$L$333))-AI3239,0)</f>
        <v>0</v>
      </c>
      <c r="AK3239" s="196">
        <f>IFERROR($G3239/SUMIF($A:$A,$A3239,$G:$G)*SUMIF(Summary!$A$247:$A$283,$A3239,Summary!$Q$247:$Q$283),0)</f>
        <v>0</v>
      </c>
      <c r="AL3239" s="196">
        <f>IFERROR($G3239/SUMIF($A:$A,$A3239,$G:$G)*(SUMIF(Summary!$A$247:$A$283,$A3239,Summary!$L$247:$L$283)+SUMIF(Summary!$A$297:$A$333,$A3239,Summary!$L$297:$L$333))-AK3239,0)</f>
        <v>0</v>
      </c>
      <c r="AM3239" s="198"/>
      <c r="AN3239" s="196">
        <f t="shared" ca="1" si="712"/>
        <v>0</v>
      </c>
      <c r="AO3239" s="196">
        <f t="shared" ca="1" si="713"/>
        <v>0</v>
      </c>
    </row>
    <row r="3240" spans="1:41">
      <c r="A3240" s="189">
        <v>11711</v>
      </c>
      <c r="B3240" s="190">
        <v>5</v>
      </c>
      <c r="C3240" s="191" t="s">
        <v>221</v>
      </c>
      <c r="D3240" s="192">
        <f t="shared" si="700"/>
        <v>0</v>
      </c>
      <c r="E3240" s="192">
        <f t="shared" si="701"/>
        <v>0</v>
      </c>
      <c r="F3240" s="192">
        <f t="shared" si="702"/>
        <v>0</v>
      </c>
      <c r="G3240" s="193">
        <f t="shared" si="703"/>
        <v>0</v>
      </c>
      <c r="H3240" s="194">
        <v>0</v>
      </c>
      <c r="I3240" s="194">
        <v>0</v>
      </c>
      <c r="J3240" s="194">
        <v>0</v>
      </c>
      <c r="K3240" s="193">
        <f t="shared" si="704"/>
        <v>0</v>
      </c>
      <c r="L3240" s="194">
        <v>0</v>
      </c>
      <c r="M3240" s="194">
        <v>0</v>
      </c>
      <c r="N3240" s="194">
        <v>0</v>
      </c>
      <c r="O3240" s="193">
        <f t="shared" si="705"/>
        <v>0</v>
      </c>
      <c r="P3240" s="194">
        <v>0</v>
      </c>
      <c r="Q3240" s="194">
        <v>0</v>
      </c>
      <c r="R3240" s="194">
        <v>0</v>
      </c>
      <c r="S3240" s="193">
        <f t="shared" si="706"/>
        <v>0</v>
      </c>
      <c r="T3240" s="193">
        <f t="shared" si="707"/>
        <v>0</v>
      </c>
      <c r="U3240" s="193">
        <f ca="1">OFFSET('Expenditure Study'!$B$7,'Operations Support'!$C3240,'Operations Support'!$B3240)*$G3240</f>
        <v>0</v>
      </c>
      <c r="V3240" s="199">
        <f ca="1">U3240*'Expenditure Study'!$B$31</f>
        <v>0</v>
      </c>
      <c r="W3240" s="199">
        <f ca="1">IF(A3240=10298,1.51,1)*IF($B3240&lt;3,$D3240*'Expenditure Study'!$B$32*OFFSET('Expenditure Study'!$B$7,'Operations Support'!$C3240,'Operations Support'!$B3240),0)</f>
        <v>0</v>
      </c>
      <c r="X3240" s="200">
        <f ca="1">W3240*'Expenditure Study'!$B$31</f>
        <v>0</v>
      </c>
      <c r="Y3240" s="199">
        <f ca="1">U3240*'Expenditure Study'!$B$31</f>
        <v>0</v>
      </c>
      <c r="Z3240" s="200">
        <f ca="1">W3240*'Expenditure Study'!$B$31</f>
        <v>0</v>
      </c>
      <c r="AA3240" s="195">
        <f t="shared" ca="1" si="708"/>
        <v>0</v>
      </c>
      <c r="AB3240" s="195">
        <f t="shared" ca="1" si="709"/>
        <v>0</v>
      </c>
      <c r="AD3240" s="196">
        <f>IFERROR($G3240/SUMIF($A:$A,$A3240,$G:$G)*SUMIF(Summary!$A$166:$A$242,$A3240,Summary!$P$166:$P$242),0)</f>
        <v>0</v>
      </c>
      <c r="AE3240" s="197">
        <f t="shared" ca="1" si="710"/>
        <v>0</v>
      </c>
      <c r="AF3240" s="196">
        <f>IFERROR(G3240/SUMIF(A:A,A3240,G:G)*SUMIF(Summary!$A$166:$A$242,'Operations Support'!A3240,Summary!$Q$166:$Q$242),0)</f>
        <v>0</v>
      </c>
      <c r="AG3240" s="196">
        <f t="shared" ca="1" si="711"/>
        <v>0</v>
      </c>
      <c r="AI3240" s="196">
        <f>IFERROR($G3240/SUMIF($A:$A,$A3240,$G:$G)*SUMIF(Summary!$A$247:$A$283,$A3240,Summary!$P$247:$P$283),0)</f>
        <v>0</v>
      </c>
      <c r="AJ3240" s="196">
        <f>IFERROR($G3240/SUMIF($A:$A,$A3240,$G:$G)*(SUMIF(Summary!$A$247:$A$283,$A3240,Summary!$L$247:$L$283)+SUMIF(Summary!$A$297:$A$333,$A3240,Summary!$L$297:$L$333))-AI3240,0)</f>
        <v>0</v>
      </c>
      <c r="AK3240" s="196">
        <f>IFERROR($G3240/SUMIF($A:$A,$A3240,$G:$G)*SUMIF(Summary!$A$247:$A$283,$A3240,Summary!$Q$247:$Q$283),0)</f>
        <v>0</v>
      </c>
      <c r="AL3240" s="196">
        <f>IFERROR($G3240/SUMIF($A:$A,$A3240,$G:$G)*(SUMIF(Summary!$A$247:$A$283,$A3240,Summary!$L$247:$L$283)+SUMIF(Summary!$A$297:$A$333,$A3240,Summary!$L$297:$L$333))-AK3240,0)</f>
        <v>0</v>
      </c>
      <c r="AM3240" s="198"/>
      <c r="AN3240" s="196">
        <f t="shared" ca="1" si="712"/>
        <v>0</v>
      </c>
      <c r="AO3240" s="196">
        <f t="shared" ca="1" si="713"/>
        <v>0</v>
      </c>
    </row>
    <row r="3241" spans="1:41">
      <c r="A3241" s="189">
        <v>11711</v>
      </c>
      <c r="B3241" s="190">
        <v>5</v>
      </c>
      <c r="C3241" s="191" t="s">
        <v>222</v>
      </c>
      <c r="D3241" s="192">
        <f t="shared" si="700"/>
        <v>0</v>
      </c>
      <c r="E3241" s="192">
        <f t="shared" si="701"/>
        <v>0</v>
      </c>
      <c r="F3241" s="192">
        <f t="shared" si="702"/>
        <v>0</v>
      </c>
      <c r="G3241" s="193">
        <f t="shared" si="703"/>
        <v>0</v>
      </c>
      <c r="H3241" s="194">
        <v>0</v>
      </c>
      <c r="I3241" s="194">
        <v>0</v>
      </c>
      <c r="J3241" s="194">
        <v>0</v>
      </c>
      <c r="K3241" s="193">
        <f t="shared" si="704"/>
        <v>0</v>
      </c>
      <c r="L3241" s="194">
        <v>0</v>
      </c>
      <c r="M3241" s="194">
        <v>0</v>
      </c>
      <c r="N3241" s="194">
        <v>0</v>
      </c>
      <c r="O3241" s="193">
        <f t="shared" si="705"/>
        <v>0</v>
      </c>
      <c r="P3241" s="194">
        <v>0</v>
      </c>
      <c r="Q3241" s="194">
        <v>0</v>
      </c>
      <c r="R3241" s="194">
        <v>0</v>
      </c>
      <c r="S3241" s="193">
        <f t="shared" si="706"/>
        <v>0</v>
      </c>
      <c r="T3241" s="193">
        <f t="shared" si="707"/>
        <v>0</v>
      </c>
      <c r="U3241" s="193">
        <f ca="1">OFFSET('Expenditure Study'!$B$7,'Operations Support'!$C3241,'Operations Support'!$B3241)*$G3241</f>
        <v>0</v>
      </c>
      <c r="V3241" s="199">
        <f ca="1">U3241*'Expenditure Study'!$B$31</f>
        <v>0</v>
      </c>
      <c r="W3241" s="199">
        <f ca="1">IF(A3241=10298,1.51,1)*IF($B3241&lt;3,$D3241*'Expenditure Study'!$B$32*OFFSET('Expenditure Study'!$B$7,'Operations Support'!$C3241,'Operations Support'!$B3241),0)</f>
        <v>0</v>
      </c>
      <c r="X3241" s="200">
        <f ca="1">W3241*'Expenditure Study'!$B$31</f>
        <v>0</v>
      </c>
      <c r="Y3241" s="199">
        <f ca="1">U3241*'Expenditure Study'!$B$31</f>
        <v>0</v>
      </c>
      <c r="Z3241" s="200">
        <f ca="1">W3241*'Expenditure Study'!$B$31</f>
        <v>0</v>
      </c>
      <c r="AA3241" s="195">
        <f t="shared" ca="1" si="708"/>
        <v>0</v>
      </c>
      <c r="AB3241" s="195">
        <f t="shared" ca="1" si="709"/>
        <v>0</v>
      </c>
      <c r="AD3241" s="196">
        <f>IFERROR($G3241/SUMIF($A:$A,$A3241,$G:$G)*SUMIF(Summary!$A$166:$A$242,$A3241,Summary!$P$166:$P$242),0)</f>
        <v>0</v>
      </c>
      <c r="AE3241" s="197">
        <f t="shared" ca="1" si="710"/>
        <v>0</v>
      </c>
      <c r="AF3241" s="196">
        <f>IFERROR(G3241/SUMIF(A:A,A3241,G:G)*SUMIF(Summary!$A$166:$A$242,'Operations Support'!A3241,Summary!$Q$166:$Q$242),0)</f>
        <v>0</v>
      </c>
      <c r="AG3241" s="196">
        <f t="shared" ca="1" si="711"/>
        <v>0</v>
      </c>
      <c r="AI3241" s="196">
        <f>IFERROR($G3241/SUMIF($A:$A,$A3241,$G:$G)*SUMIF(Summary!$A$247:$A$283,$A3241,Summary!$P$247:$P$283),0)</f>
        <v>0</v>
      </c>
      <c r="AJ3241" s="196">
        <f>IFERROR($G3241/SUMIF($A:$A,$A3241,$G:$G)*(SUMIF(Summary!$A$247:$A$283,$A3241,Summary!$L$247:$L$283)+SUMIF(Summary!$A$297:$A$333,$A3241,Summary!$L$297:$L$333))-AI3241,0)</f>
        <v>0</v>
      </c>
      <c r="AK3241" s="196">
        <f>IFERROR($G3241/SUMIF($A:$A,$A3241,$G:$G)*SUMIF(Summary!$A$247:$A$283,$A3241,Summary!$Q$247:$Q$283),0)</f>
        <v>0</v>
      </c>
      <c r="AL3241" s="196">
        <f>IFERROR($G3241/SUMIF($A:$A,$A3241,$G:$G)*(SUMIF(Summary!$A$247:$A$283,$A3241,Summary!$L$247:$L$283)+SUMIF(Summary!$A$297:$A$333,$A3241,Summary!$L$297:$L$333))-AK3241,0)</f>
        <v>0</v>
      </c>
      <c r="AM3241" s="198"/>
      <c r="AN3241" s="196">
        <f t="shared" ca="1" si="712"/>
        <v>0</v>
      </c>
      <c r="AO3241" s="196">
        <f t="shared" ca="1" si="713"/>
        <v>0</v>
      </c>
    </row>
    <row r="3242" spans="1:41">
      <c r="A3242" s="189">
        <v>11711</v>
      </c>
      <c r="B3242" s="190">
        <v>5</v>
      </c>
      <c r="C3242" s="191" t="s">
        <v>223</v>
      </c>
      <c r="D3242" s="192">
        <f t="shared" si="700"/>
        <v>0</v>
      </c>
      <c r="E3242" s="192">
        <f t="shared" si="701"/>
        <v>0</v>
      </c>
      <c r="F3242" s="192">
        <f t="shared" si="702"/>
        <v>0</v>
      </c>
      <c r="G3242" s="193">
        <f t="shared" si="703"/>
        <v>0</v>
      </c>
      <c r="H3242" s="194">
        <v>0</v>
      </c>
      <c r="I3242" s="194">
        <v>0</v>
      </c>
      <c r="J3242" s="194">
        <v>0</v>
      </c>
      <c r="K3242" s="193">
        <f t="shared" si="704"/>
        <v>0</v>
      </c>
      <c r="L3242" s="194">
        <v>0</v>
      </c>
      <c r="M3242" s="194">
        <v>0</v>
      </c>
      <c r="N3242" s="194">
        <v>0</v>
      </c>
      <c r="O3242" s="193">
        <f t="shared" si="705"/>
        <v>0</v>
      </c>
      <c r="P3242" s="194">
        <v>0</v>
      </c>
      <c r="Q3242" s="194">
        <v>0</v>
      </c>
      <c r="R3242" s="194">
        <v>0</v>
      </c>
      <c r="S3242" s="193">
        <f t="shared" si="706"/>
        <v>0</v>
      </c>
      <c r="T3242" s="193">
        <f t="shared" si="707"/>
        <v>0</v>
      </c>
      <c r="U3242" s="193">
        <f ca="1">OFFSET('Expenditure Study'!$B$7,'Operations Support'!$C3242,'Operations Support'!$B3242)*$G3242</f>
        <v>0</v>
      </c>
      <c r="V3242" s="199">
        <f ca="1">U3242*'Expenditure Study'!$B$31</f>
        <v>0</v>
      </c>
      <c r="W3242" s="199">
        <f ca="1">IF(A3242=10298,1.51,1)*IF($B3242&lt;3,$D3242*'Expenditure Study'!$B$32*OFFSET('Expenditure Study'!$B$7,'Operations Support'!$C3242,'Operations Support'!$B3242),0)</f>
        <v>0</v>
      </c>
      <c r="X3242" s="200">
        <f ca="1">W3242*'Expenditure Study'!$B$31</f>
        <v>0</v>
      </c>
      <c r="Y3242" s="199">
        <f ca="1">U3242*'Expenditure Study'!$B$31</f>
        <v>0</v>
      </c>
      <c r="Z3242" s="200">
        <f ca="1">W3242*'Expenditure Study'!$B$31</f>
        <v>0</v>
      </c>
      <c r="AA3242" s="195">
        <f t="shared" ca="1" si="708"/>
        <v>0</v>
      </c>
      <c r="AB3242" s="195">
        <f t="shared" ca="1" si="709"/>
        <v>0</v>
      </c>
      <c r="AD3242" s="196">
        <f>IFERROR($G3242/SUMIF($A:$A,$A3242,$G:$G)*SUMIF(Summary!$A$166:$A$242,$A3242,Summary!$P$166:$P$242),0)</f>
        <v>0</v>
      </c>
      <c r="AE3242" s="197">
        <f t="shared" ca="1" si="710"/>
        <v>0</v>
      </c>
      <c r="AF3242" s="196">
        <f>IFERROR(G3242/SUMIF(A:A,A3242,G:G)*SUMIF(Summary!$A$166:$A$242,'Operations Support'!A3242,Summary!$Q$166:$Q$242),0)</f>
        <v>0</v>
      </c>
      <c r="AG3242" s="196">
        <f t="shared" ca="1" si="711"/>
        <v>0</v>
      </c>
      <c r="AI3242" s="196">
        <f>IFERROR($G3242/SUMIF($A:$A,$A3242,$G:$G)*SUMIF(Summary!$A$247:$A$283,$A3242,Summary!$P$247:$P$283),0)</f>
        <v>0</v>
      </c>
      <c r="AJ3242" s="196">
        <f>IFERROR($G3242/SUMIF($A:$A,$A3242,$G:$G)*(SUMIF(Summary!$A$247:$A$283,$A3242,Summary!$L$247:$L$283)+SUMIF(Summary!$A$297:$A$333,$A3242,Summary!$L$297:$L$333))-AI3242,0)</f>
        <v>0</v>
      </c>
      <c r="AK3242" s="196">
        <f>IFERROR($G3242/SUMIF($A:$A,$A3242,$G:$G)*SUMIF(Summary!$A$247:$A$283,$A3242,Summary!$Q$247:$Q$283),0)</f>
        <v>0</v>
      </c>
      <c r="AL3242" s="196">
        <f>IFERROR($G3242/SUMIF($A:$A,$A3242,$G:$G)*(SUMIF(Summary!$A$247:$A$283,$A3242,Summary!$L$247:$L$283)+SUMIF(Summary!$A$297:$A$333,$A3242,Summary!$L$297:$L$333))-AK3242,0)</f>
        <v>0</v>
      </c>
      <c r="AM3242" s="198"/>
      <c r="AN3242" s="196">
        <f t="shared" ca="1" si="712"/>
        <v>0</v>
      </c>
      <c r="AO3242" s="196">
        <f t="shared" ca="1" si="713"/>
        <v>0</v>
      </c>
    </row>
    <row r="3243" spans="1:41">
      <c r="A3243" s="189">
        <v>11711</v>
      </c>
      <c r="B3243" s="190">
        <v>5</v>
      </c>
      <c r="C3243" s="191" t="s">
        <v>224</v>
      </c>
      <c r="D3243" s="192">
        <f t="shared" si="700"/>
        <v>0</v>
      </c>
      <c r="E3243" s="192">
        <f t="shared" si="701"/>
        <v>0</v>
      </c>
      <c r="F3243" s="192">
        <f t="shared" si="702"/>
        <v>0</v>
      </c>
      <c r="G3243" s="193">
        <f t="shared" si="703"/>
        <v>0</v>
      </c>
      <c r="H3243" s="194">
        <v>0</v>
      </c>
      <c r="I3243" s="194">
        <v>0</v>
      </c>
      <c r="J3243" s="194">
        <v>0</v>
      </c>
      <c r="K3243" s="193">
        <f t="shared" si="704"/>
        <v>0</v>
      </c>
      <c r="L3243" s="194">
        <v>0</v>
      </c>
      <c r="M3243" s="194">
        <v>0</v>
      </c>
      <c r="N3243" s="194">
        <v>0</v>
      </c>
      <c r="O3243" s="193">
        <f t="shared" si="705"/>
        <v>0</v>
      </c>
      <c r="P3243" s="194">
        <v>0</v>
      </c>
      <c r="Q3243" s="194">
        <v>0</v>
      </c>
      <c r="R3243" s="194">
        <v>0</v>
      </c>
      <c r="S3243" s="193">
        <f t="shared" si="706"/>
        <v>0</v>
      </c>
      <c r="T3243" s="193">
        <f t="shared" si="707"/>
        <v>0</v>
      </c>
      <c r="U3243" s="193">
        <f ca="1">OFFSET('Expenditure Study'!$B$7,'Operations Support'!$C3243,'Operations Support'!$B3243)*$G3243</f>
        <v>0</v>
      </c>
      <c r="V3243" s="199">
        <f ca="1">U3243*'Expenditure Study'!$B$31</f>
        <v>0</v>
      </c>
      <c r="W3243" s="199">
        <f ca="1">IF(A3243=10298,1.51,1)*IF($B3243&lt;3,$D3243*'Expenditure Study'!$B$32*OFFSET('Expenditure Study'!$B$7,'Operations Support'!$C3243,'Operations Support'!$B3243),0)</f>
        <v>0</v>
      </c>
      <c r="X3243" s="200">
        <f ca="1">W3243*'Expenditure Study'!$B$31</f>
        <v>0</v>
      </c>
      <c r="Y3243" s="199">
        <f ca="1">U3243*'Expenditure Study'!$B$31</f>
        <v>0</v>
      </c>
      <c r="Z3243" s="200">
        <f ca="1">W3243*'Expenditure Study'!$B$31</f>
        <v>0</v>
      </c>
      <c r="AA3243" s="195">
        <f t="shared" ca="1" si="708"/>
        <v>0</v>
      </c>
      <c r="AB3243" s="195">
        <f t="shared" ca="1" si="709"/>
        <v>0</v>
      </c>
      <c r="AD3243" s="196">
        <f>IFERROR($G3243/SUMIF($A:$A,$A3243,$G:$G)*SUMIF(Summary!$A$166:$A$242,$A3243,Summary!$P$166:$P$242),0)</f>
        <v>0</v>
      </c>
      <c r="AE3243" s="197">
        <f t="shared" ca="1" si="710"/>
        <v>0</v>
      </c>
      <c r="AF3243" s="196">
        <f>IFERROR(G3243/SUMIF(A:A,A3243,G:G)*SUMIF(Summary!$A$166:$A$242,'Operations Support'!A3243,Summary!$Q$166:$Q$242),0)</f>
        <v>0</v>
      </c>
      <c r="AG3243" s="196">
        <f t="shared" ca="1" si="711"/>
        <v>0</v>
      </c>
      <c r="AI3243" s="196">
        <f>IFERROR($G3243/SUMIF($A:$A,$A3243,$G:$G)*SUMIF(Summary!$A$247:$A$283,$A3243,Summary!$P$247:$P$283),0)</f>
        <v>0</v>
      </c>
      <c r="AJ3243" s="196">
        <f>IFERROR($G3243/SUMIF($A:$A,$A3243,$G:$G)*(SUMIF(Summary!$A$247:$A$283,$A3243,Summary!$L$247:$L$283)+SUMIF(Summary!$A$297:$A$333,$A3243,Summary!$L$297:$L$333))-AI3243,0)</f>
        <v>0</v>
      </c>
      <c r="AK3243" s="196">
        <f>IFERROR($G3243/SUMIF($A:$A,$A3243,$G:$G)*SUMIF(Summary!$A$247:$A$283,$A3243,Summary!$Q$247:$Q$283),0)</f>
        <v>0</v>
      </c>
      <c r="AL3243" s="196">
        <f>IFERROR($G3243/SUMIF($A:$A,$A3243,$G:$G)*(SUMIF(Summary!$A$247:$A$283,$A3243,Summary!$L$247:$L$283)+SUMIF(Summary!$A$297:$A$333,$A3243,Summary!$L$297:$L$333))-AK3243,0)</f>
        <v>0</v>
      </c>
      <c r="AM3243" s="198"/>
      <c r="AN3243" s="196">
        <f t="shared" ca="1" si="712"/>
        <v>0</v>
      </c>
      <c r="AO3243" s="196">
        <f t="shared" ca="1" si="713"/>
        <v>0</v>
      </c>
    </row>
    <row r="3244" spans="1:41">
      <c r="A3244" s="189">
        <v>11711</v>
      </c>
      <c r="B3244" s="190">
        <v>5</v>
      </c>
      <c r="C3244" s="191" t="s">
        <v>225</v>
      </c>
      <c r="D3244" s="192">
        <f t="shared" si="700"/>
        <v>0</v>
      </c>
      <c r="E3244" s="192">
        <f t="shared" si="701"/>
        <v>0</v>
      </c>
      <c r="F3244" s="192">
        <f t="shared" si="702"/>
        <v>0</v>
      </c>
      <c r="G3244" s="193">
        <f t="shared" si="703"/>
        <v>0</v>
      </c>
      <c r="H3244" s="194">
        <v>0</v>
      </c>
      <c r="I3244" s="194">
        <v>0</v>
      </c>
      <c r="J3244" s="194">
        <v>0</v>
      </c>
      <c r="K3244" s="193">
        <f t="shared" si="704"/>
        <v>0</v>
      </c>
      <c r="L3244" s="194">
        <v>0</v>
      </c>
      <c r="M3244" s="194">
        <v>0</v>
      </c>
      <c r="N3244" s="194">
        <v>0</v>
      </c>
      <c r="O3244" s="193">
        <f t="shared" si="705"/>
        <v>0</v>
      </c>
      <c r="P3244" s="194">
        <v>0</v>
      </c>
      <c r="Q3244" s="194">
        <v>0</v>
      </c>
      <c r="R3244" s="194">
        <v>0</v>
      </c>
      <c r="S3244" s="193">
        <f t="shared" si="706"/>
        <v>0</v>
      </c>
      <c r="T3244" s="193">
        <f t="shared" si="707"/>
        <v>0</v>
      </c>
      <c r="U3244" s="193">
        <f ca="1">OFFSET('Expenditure Study'!$B$7,'Operations Support'!$C3244,'Operations Support'!$B3244)*$G3244</f>
        <v>0</v>
      </c>
      <c r="V3244" s="199">
        <f ca="1">U3244*'Expenditure Study'!$B$31</f>
        <v>0</v>
      </c>
      <c r="W3244" s="199">
        <f ca="1">IF(A3244=10298,1.51,1)*IF($B3244&lt;3,$D3244*'Expenditure Study'!$B$32*OFFSET('Expenditure Study'!$B$7,'Operations Support'!$C3244,'Operations Support'!$B3244),0)</f>
        <v>0</v>
      </c>
      <c r="X3244" s="200">
        <f ca="1">W3244*'Expenditure Study'!$B$31</f>
        <v>0</v>
      </c>
      <c r="Y3244" s="199">
        <f ca="1">U3244*'Expenditure Study'!$B$31</f>
        <v>0</v>
      </c>
      <c r="Z3244" s="200">
        <f ca="1">W3244*'Expenditure Study'!$B$31</f>
        <v>0</v>
      </c>
      <c r="AA3244" s="195">
        <f t="shared" ca="1" si="708"/>
        <v>0</v>
      </c>
      <c r="AB3244" s="195">
        <f t="shared" ca="1" si="709"/>
        <v>0</v>
      </c>
      <c r="AD3244" s="196">
        <f>IFERROR($G3244/SUMIF($A:$A,$A3244,$G:$G)*SUMIF(Summary!$A$166:$A$242,$A3244,Summary!$P$166:$P$242),0)</f>
        <v>0</v>
      </c>
      <c r="AE3244" s="197">
        <f t="shared" ca="1" si="710"/>
        <v>0</v>
      </c>
      <c r="AF3244" s="196">
        <f>IFERROR(G3244/SUMIF(A:A,A3244,G:G)*SUMIF(Summary!$A$166:$A$242,'Operations Support'!A3244,Summary!$Q$166:$Q$242),0)</f>
        <v>0</v>
      </c>
      <c r="AG3244" s="196">
        <f t="shared" ca="1" si="711"/>
        <v>0</v>
      </c>
      <c r="AI3244" s="196">
        <f>IFERROR($G3244/SUMIF($A:$A,$A3244,$G:$G)*SUMIF(Summary!$A$247:$A$283,$A3244,Summary!$P$247:$P$283),0)</f>
        <v>0</v>
      </c>
      <c r="AJ3244" s="196">
        <f>IFERROR($G3244/SUMIF($A:$A,$A3244,$G:$G)*(SUMIF(Summary!$A$247:$A$283,$A3244,Summary!$L$247:$L$283)+SUMIF(Summary!$A$297:$A$333,$A3244,Summary!$L$297:$L$333))-AI3244,0)</f>
        <v>0</v>
      </c>
      <c r="AK3244" s="196">
        <f>IFERROR($G3244/SUMIF($A:$A,$A3244,$G:$G)*SUMIF(Summary!$A$247:$A$283,$A3244,Summary!$Q$247:$Q$283),0)</f>
        <v>0</v>
      </c>
      <c r="AL3244" s="196">
        <f>IFERROR($G3244/SUMIF($A:$A,$A3244,$G:$G)*(SUMIF(Summary!$A$247:$A$283,$A3244,Summary!$L$247:$L$283)+SUMIF(Summary!$A$297:$A$333,$A3244,Summary!$L$297:$L$333))-AK3244,0)</f>
        <v>0</v>
      </c>
      <c r="AM3244" s="198"/>
      <c r="AN3244" s="196">
        <f t="shared" ca="1" si="712"/>
        <v>0</v>
      </c>
      <c r="AO3244" s="196">
        <f t="shared" ca="1" si="713"/>
        <v>0</v>
      </c>
    </row>
    <row r="3245" spans="1:41" s="201" customFormat="1">
      <c r="A3245" s="189">
        <v>11711</v>
      </c>
      <c r="B3245" s="190">
        <v>5</v>
      </c>
      <c r="C3245" s="191" t="s">
        <v>226</v>
      </c>
      <c r="D3245" s="192">
        <f t="shared" si="700"/>
        <v>0</v>
      </c>
      <c r="E3245" s="192">
        <f t="shared" si="701"/>
        <v>0</v>
      </c>
      <c r="F3245" s="192">
        <f t="shared" si="702"/>
        <v>0</v>
      </c>
      <c r="G3245" s="193">
        <f t="shared" si="703"/>
        <v>0</v>
      </c>
      <c r="H3245" s="194">
        <v>0</v>
      </c>
      <c r="I3245" s="194">
        <v>0</v>
      </c>
      <c r="J3245" s="194">
        <v>0</v>
      </c>
      <c r="K3245" s="193">
        <f t="shared" si="704"/>
        <v>0</v>
      </c>
      <c r="L3245" s="194">
        <v>0</v>
      </c>
      <c r="M3245" s="194">
        <v>0</v>
      </c>
      <c r="N3245" s="194">
        <v>0</v>
      </c>
      <c r="O3245" s="193">
        <f t="shared" si="705"/>
        <v>0</v>
      </c>
      <c r="P3245" s="194">
        <v>0</v>
      </c>
      <c r="Q3245" s="194">
        <v>0</v>
      </c>
      <c r="R3245" s="194">
        <v>0</v>
      </c>
      <c r="S3245" s="193">
        <f t="shared" si="706"/>
        <v>0</v>
      </c>
      <c r="T3245" s="193">
        <f t="shared" si="707"/>
        <v>0</v>
      </c>
      <c r="U3245" s="193">
        <f ca="1">OFFSET('Expenditure Study'!$B$7,'Operations Support'!$C3245,'Operations Support'!$B3245)*$G3245</f>
        <v>0</v>
      </c>
      <c r="V3245" s="199">
        <f ca="1">U3245*'Expenditure Study'!$B$31</f>
        <v>0</v>
      </c>
      <c r="W3245" s="199">
        <f ca="1">IF(A3245=10298,1.51,1)*IF($B3245&lt;3,$D3245*'Expenditure Study'!$B$32*OFFSET('Expenditure Study'!$B$7,'Operations Support'!$C3245,'Operations Support'!$B3245),0)</f>
        <v>0</v>
      </c>
      <c r="X3245" s="200">
        <f ca="1">W3245*'Expenditure Study'!$B$31</f>
        <v>0</v>
      </c>
      <c r="Y3245" s="199">
        <f ca="1">U3245*'Expenditure Study'!$B$31</f>
        <v>0</v>
      </c>
      <c r="Z3245" s="200">
        <f ca="1">W3245*'Expenditure Study'!$B$31</f>
        <v>0</v>
      </c>
      <c r="AA3245" s="195">
        <f t="shared" ca="1" si="708"/>
        <v>0</v>
      </c>
      <c r="AB3245" s="195">
        <f t="shared" ca="1" si="709"/>
        <v>0</v>
      </c>
      <c r="AD3245" s="196">
        <f>IFERROR($G3245/SUMIF($A:$A,$A3245,$G:$G)*SUMIF(Summary!$A$166:$A$242,$A3245,Summary!$P$166:$P$242),0)</f>
        <v>0</v>
      </c>
      <c r="AE3245" s="197">
        <f t="shared" ca="1" si="710"/>
        <v>0</v>
      </c>
      <c r="AF3245" s="196">
        <f>IFERROR(G3245/SUMIF(A:A,A3245,G:G)*SUMIF(Summary!$A$166:$A$242,'Operations Support'!A3245,Summary!$Q$166:$Q$242),0)</f>
        <v>0</v>
      </c>
      <c r="AG3245" s="196">
        <f t="shared" ca="1" si="711"/>
        <v>0</v>
      </c>
      <c r="AH3245" s="180"/>
      <c r="AI3245" s="196">
        <f>IFERROR($G3245/SUMIF($A:$A,$A3245,$G:$G)*SUMIF(Summary!$A$247:$A$283,$A3245,Summary!$P$247:$P$283),0)</f>
        <v>0</v>
      </c>
      <c r="AJ3245" s="196">
        <f>IFERROR($G3245/SUMIF($A:$A,$A3245,$G:$G)*(SUMIF(Summary!$A$247:$A$283,$A3245,Summary!$L$247:$L$283)+SUMIF(Summary!$A$297:$A$333,$A3245,Summary!$L$297:$L$333))-AI3245,0)</f>
        <v>0</v>
      </c>
      <c r="AK3245" s="196">
        <f>IFERROR($G3245/SUMIF($A:$A,$A3245,$G:$G)*SUMIF(Summary!$A$247:$A$283,$A3245,Summary!$Q$247:$Q$283),0)</f>
        <v>0</v>
      </c>
      <c r="AL3245" s="196">
        <f>IFERROR($G3245/SUMIF($A:$A,$A3245,$G:$G)*(SUMIF(Summary!$A$247:$A$283,$A3245,Summary!$L$247:$L$283)+SUMIF(Summary!$A$297:$A$333,$A3245,Summary!$L$297:$L$333))-AK3245,0)</f>
        <v>0</v>
      </c>
      <c r="AM3245" s="198"/>
      <c r="AN3245" s="196">
        <f t="shared" ca="1" si="712"/>
        <v>0</v>
      </c>
      <c r="AO3245" s="196">
        <f t="shared" ca="1" si="713"/>
        <v>0</v>
      </c>
    </row>
    <row r="3246" spans="1:41">
      <c r="A3246" s="189">
        <v>11711</v>
      </c>
      <c r="B3246" s="190">
        <v>5</v>
      </c>
      <c r="C3246" s="191" t="s">
        <v>227</v>
      </c>
      <c r="D3246" s="192">
        <f t="shared" si="700"/>
        <v>0</v>
      </c>
      <c r="E3246" s="192">
        <f t="shared" si="701"/>
        <v>0</v>
      </c>
      <c r="F3246" s="192">
        <f t="shared" si="702"/>
        <v>0</v>
      </c>
      <c r="G3246" s="193">
        <f t="shared" si="703"/>
        <v>0</v>
      </c>
      <c r="H3246" s="194">
        <v>0</v>
      </c>
      <c r="I3246" s="194">
        <v>0</v>
      </c>
      <c r="J3246" s="194">
        <v>0</v>
      </c>
      <c r="K3246" s="193">
        <f t="shared" si="704"/>
        <v>0</v>
      </c>
      <c r="L3246" s="194">
        <v>0</v>
      </c>
      <c r="M3246" s="194">
        <v>0</v>
      </c>
      <c r="N3246" s="194">
        <v>0</v>
      </c>
      <c r="O3246" s="193">
        <f t="shared" si="705"/>
        <v>0</v>
      </c>
      <c r="P3246" s="194">
        <v>0</v>
      </c>
      <c r="Q3246" s="194">
        <v>0</v>
      </c>
      <c r="R3246" s="194">
        <v>0</v>
      </c>
      <c r="S3246" s="193">
        <f t="shared" si="706"/>
        <v>0</v>
      </c>
      <c r="T3246" s="193">
        <f t="shared" si="707"/>
        <v>0</v>
      </c>
      <c r="U3246" s="193">
        <f ca="1">OFFSET('Expenditure Study'!$B$7,'Operations Support'!$C3246,'Operations Support'!$B3246)*$G3246</f>
        <v>0</v>
      </c>
      <c r="V3246" s="199">
        <f ca="1">U3246*'Expenditure Study'!$B$31</f>
        <v>0</v>
      </c>
      <c r="W3246" s="199">
        <f ca="1">IF(A3246=10298,1.51,1)*IF($B3246&lt;3,$D3246*'Expenditure Study'!$B$32*OFFSET('Expenditure Study'!$B$7,'Operations Support'!$C3246,'Operations Support'!$B3246),0)</f>
        <v>0</v>
      </c>
      <c r="X3246" s="200">
        <f ca="1">W3246*'Expenditure Study'!$B$31</f>
        <v>0</v>
      </c>
      <c r="Y3246" s="199">
        <f ca="1">U3246*'Expenditure Study'!$B$31</f>
        <v>0</v>
      </c>
      <c r="Z3246" s="200">
        <f ca="1">W3246*'Expenditure Study'!$B$31</f>
        <v>0</v>
      </c>
      <c r="AA3246" s="195">
        <f t="shared" ca="1" si="708"/>
        <v>0</v>
      </c>
      <c r="AB3246" s="195">
        <f t="shared" ca="1" si="709"/>
        <v>0</v>
      </c>
      <c r="AD3246" s="196">
        <f>IFERROR($G3246/SUMIF($A:$A,$A3246,$G:$G)*SUMIF(Summary!$A$166:$A$242,$A3246,Summary!$P$166:$P$242),0)</f>
        <v>0</v>
      </c>
      <c r="AE3246" s="197">
        <f t="shared" ca="1" si="710"/>
        <v>0</v>
      </c>
      <c r="AF3246" s="196">
        <f>IFERROR(G3246/SUMIF(A:A,A3246,G:G)*SUMIF(Summary!$A$166:$A$242,'Operations Support'!A3246,Summary!$Q$166:$Q$242),0)</f>
        <v>0</v>
      </c>
      <c r="AG3246" s="196">
        <f t="shared" ca="1" si="711"/>
        <v>0</v>
      </c>
      <c r="AI3246" s="196">
        <f>IFERROR($G3246/SUMIF($A:$A,$A3246,$G:$G)*SUMIF(Summary!$A$247:$A$283,$A3246,Summary!$P$247:$P$283),0)</f>
        <v>0</v>
      </c>
      <c r="AJ3246" s="196">
        <f>IFERROR($G3246/SUMIF($A:$A,$A3246,$G:$G)*(SUMIF(Summary!$A$247:$A$283,$A3246,Summary!$L$247:$L$283)+SUMIF(Summary!$A$297:$A$333,$A3246,Summary!$L$297:$L$333))-AI3246,0)</f>
        <v>0</v>
      </c>
      <c r="AK3246" s="196">
        <f>IFERROR($G3246/SUMIF($A:$A,$A3246,$G:$G)*SUMIF(Summary!$A$247:$A$283,$A3246,Summary!$Q$247:$Q$283),0)</f>
        <v>0</v>
      </c>
      <c r="AL3246" s="196">
        <f>IFERROR($G3246/SUMIF($A:$A,$A3246,$G:$G)*(SUMIF(Summary!$A$247:$A$283,$A3246,Summary!$L$247:$L$283)+SUMIF(Summary!$A$297:$A$333,$A3246,Summary!$L$297:$L$333))-AK3246,0)</f>
        <v>0</v>
      </c>
      <c r="AM3246" s="198"/>
      <c r="AN3246" s="196">
        <f t="shared" ca="1" si="712"/>
        <v>0</v>
      </c>
      <c r="AO3246" s="196">
        <f t="shared" ca="1" si="713"/>
        <v>0</v>
      </c>
    </row>
    <row r="3247" spans="1:41">
      <c r="A3247" s="189">
        <v>11711</v>
      </c>
      <c r="B3247" s="190">
        <v>5</v>
      </c>
      <c r="C3247" s="191" t="s">
        <v>228</v>
      </c>
      <c r="D3247" s="192">
        <f t="shared" si="700"/>
        <v>0</v>
      </c>
      <c r="E3247" s="192">
        <f t="shared" si="701"/>
        <v>0</v>
      </c>
      <c r="F3247" s="192">
        <f t="shared" si="702"/>
        <v>0</v>
      </c>
      <c r="G3247" s="193">
        <f t="shared" si="703"/>
        <v>0</v>
      </c>
      <c r="H3247" s="194">
        <v>0</v>
      </c>
      <c r="I3247" s="194">
        <v>0</v>
      </c>
      <c r="J3247" s="194">
        <v>0</v>
      </c>
      <c r="K3247" s="193">
        <f t="shared" si="704"/>
        <v>0</v>
      </c>
      <c r="L3247" s="194">
        <v>0</v>
      </c>
      <c r="M3247" s="194">
        <v>0</v>
      </c>
      <c r="N3247" s="194">
        <v>0</v>
      </c>
      <c r="O3247" s="193">
        <f t="shared" si="705"/>
        <v>0</v>
      </c>
      <c r="P3247" s="194">
        <v>0</v>
      </c>
      <c r="Q3247" s="194">
        <v>0</v>
      </c>
      <c r="R3247" s="194">
        <v>0</v>
      </c>
      <c r="S3247" s="193">
        <f t="shared" si="706"/>
        <v>0</v>
      </c>
      <c r="T3247" s="193">
        <f t="shared" si="707"/>
        <v>0</v>
      </c>
      <c r="U3247" s="193">
        <f ca="1">OFFSET('Expenditure Study'!$B$7,'Operations Support'!$C3247,'Operations Support'!$B3247)*$G3247</f>
        <v>0</v>
      </c>
      <c r="V3247" s="199">
        <f ca="1">U3247*'Expenditure Study'!$B$31</f>
        <v>0</v>
      </c>
      <c r="W3247" s="199">
        <f ca="1">IF(A3247=10298,1.51,1)*IF($B3247&lt;3,$D3247*'Expenditure Study'!$B$32*OFFSET('Expenditure Study'!$B$7,'Operations Support'!$C3247,'Operations Support'!$B3247),0)</f>
        <v>0</v>
      </c>
      <c r="X3247" s="200">
        <f ca="1">W3247*'Expenditure Study'!$B$31</f>
        <v>0</v>
      </c>
      <c r="Y3247" s="199">
        <f ca="1">U3247*'Expenditure Study'!$B$31</f>
        <v>0</v>
      </c>
      <c r="Z3247" s="200">
        <f ca="1">W3247*'Expenditure Study'!$B$31</f>
        <v>0</v>
      </c>
      <c r="AA3247" s="195">
        <f t="shared" ca="1" si="708"/>
        <v>0</v>
      </c>
      <c r="AB3247" s="195">
        <f t="shared" ca="1" si="709"/>
        <v>0</v>
      </c>
      <c r="AD3247" s="196">
        <f>IFERROR($G3247/SUMIF($A:$A,$A3247,$G:$G)*SUMIF(Summary!$A$166:$A$242,$A3247,Summary!$P$166:$P$242),0)</f>
        <v>0</v>
      </c>
      <c r="AE3247" s="197">
        <f t="shared" ca="1" si="710"/>
        <v>0</v>
      </c>
      <c r="AF3247" s="196">
        <f>IFERROR(G3247/SUMIF(A:A,A3247,G:G)*SUMIF(Summary!$A$166:$A$242,'Operations Support'!A3247,Summary!$Q$166:$Q$242),0)</f>
        <v>0</v>
      </c>
      <c r="AG3247" s="196">
        <f t="shared" ca="1" si="711"/>
        <v>0</v>
      </c>
      <c r="AI3247" s="196">
        <f>IFERROR($G3247/SUMIF($A:$A,$A3247,$G:$G)*SUMIF(Summary!$A$247:$A$283,$A3247,Summary!$P$247:$P$283),0)</f>
        <v>0</v>
      </c>
      <c r="AJ3247" s="196">
        <f>IFERROR($G3247/SUMIF($A:$A,$A3247,$G:$G)*(SUMIF(Summary!$A$247:$A$283,$A3247,Summary!$L$247:$L$283)+SUMIF(Summary!$A$297:$A$333,$A3247,Summary!$L$297:$L$333))-AI3247,0)</f>
        <v>0</v>
      </c>
      <c r="AK3247" s="196">
        <f>IFERROR($G3247/SUMIF($A:$A,$A3247,$G:$G)*SUMIF(Summary!$A$247:$A$283,$A3247,Summary!$Q$247:$Q$283),0)</f>
        <v>0</v>
      </c>
      <c r="AL3247" s="196">
        <f>IFERROR($G3247/SUMIF($A:$A,$A3247,$G:$G)*(SUMIF(Summary!$A$247:$A$283,$A3247,Summary!$L$247:$L$283)+SUMIF(Summary!$A$297:$A$333,$A3247,Summary!$L$297:$L$333))-AK3247,0)</f>
        <v>0</v>
      </c>
      <c r="AM3247" s="198"/>
      <c r="AN3247" s="196">
        <f t="shared" ca="1" si="712"/>
        <v>0</v>
      </c>
      <c r="AO3247" s="196">
        <f t="shared" ca="1" si="713"/>
        <v>0</v>
      </c>
    </row>
    <row r="3248" spans="1:41">
      <c r="A3248" s="189">
        <v>11711</v>
      </c>
      <c r="B3248" s="190">
        <v>5</v>
      </c>
      <c r="C3248" s="191" t="s">
        <v>229</v>
      </c>
      <c r="D3248" s="192">
        <f t="shared" si="700"/>
        <v>0</v>
      </c>
      <c r="E3248" s="192">
        <f t="shared" si="701"/>
        <v>0</v>
      </c>
      <c r="F3248" s="192">
        <f t="shared" si="702"/>
        <v>0</v>
      </c>
      <c r="G3248" s="193">
        <f t="shared" si="703"/>
        <v>0</v>
      </c>
      <c r="H3248" s="194">
        <v>0</v>
      </c>
      <c r="I3248" s="194">
        <v>0</v>
      </c>
      <c r="J3248" s="194">
        <v>0</v>
      </c>
      <c r="K3248" s="193">
        <f t="shared" si="704"/>
        <v>0</v>
      </c>
      <c r="L3248" s="194">
        <v>0</v>
      </c>
      <c r="M3248" s="194">
        <v>0</v>
      </c>
      <c r="N3248" s="194">
        <v>0</v>
      </c>
      <c r="O3248" s="193">
        <f t="shared" si="705"/>
        <v>0</v>
      </c>
      <c r="P3248" s="194">
        <v>0</v>
      </c>
      <c r="Q3248" s="194">
        <v>0</v>
      </c>
      <c r="R3248" s="194">
        <v>0</v>
      </c>
      <c r="S3248" s="193">
        <f t="shared" si="706"/>
        <v>0</v>
      </c>
      <c r="T3248" s="193">
        <f t="shared" si="707"/>
        <v>0</v>
      </c>
      <c r="U3248" s="193">
        <f ca="1">OFFSET('Expenditure Study'!$B$7,'Operations Support'!$C3248,'Operations Support'!$B3248)*$G3248</f>
        <v>0</v>
      </c>
      <c r="V3248" s="199">
        <f ca="1">U3248*'Expenditure Study'!$B$31</f>
        <v>0</v>
      </c>
      <c r="W3248" s="199">
        <f ca="1">IF(A3248=10298,1.51,1)*IF($B3248&lt;3,$D3248*'Expenditure Study'!$B$32*OFFSET('Expenditure Study'!$B$7,'Operations Support'!$C3248,'Operations Support'!$B3248),0)</f>
        <v>0</v>
      </c>
      <c r="X3248" s="200">
        <f ca="1">W3248*'Expenditure Study'!$B$31</f>
        <v>0</v>
      </c>
      <c r="Y3248" s="199">
        <f ca="1">U3248*'Expenditure Study'!$B$31</f>
        <v>0</v>
      </c>
      <c r="Z3248" s="200">
        <f ca="1">W3248*'Expenditure Study'!$B$31</f>
        <v>0</v>
      </c>
      <c r="AA3248" s="195">
        <f t="shared" ca="1" si="708"/>
        <v>0</v>
      </c>
      <c r="AB3248" s="195">
        <f t="shared" ca="1" si="709"/>
        <v>0</v>
      </c>
      <c r="AD3248" s="196">
        <f>IFERROR($G3248/SUMIF($A:$A,$A3248,$G:$G)*SUMIF(Summary!$A$166:$A$242,$A3248,Summary!$P$166:$P$242),0)</f>
        <v>0</v>
      </c>
      <c r="AE3248" s="197">
        <f t="shared" ca="1" si="710"/>
        <v>0</v>
      </c>
      <c r="AF3248" s="196">
        <f>IFERROR(G3248/SUMIF(A:A,A3248,G:G)*SUMIF(Summary!$A$166:$A$242,'Operations Support'!A3248,Summary!$Q$166:$Q$242),0)</f>
        <v>0</v>
      </c>
      <c r="AG3248" s="196">
        <f t="shared" ca="1" si="711"/>
        <v>0</v>
      </c>
      <c r="AI3248" s="196">
        <f>IFERROR($G3248/SUMIF($A:$A,$A3248,$G:$G)*SUMIF(Summary!$A$247:$A$283,$A3248,Summary!$P$247:$P$283),0)</f>
        <v>0</v>
      </c>
      <c r="AJ3248" s="196">
        <f>IFERROR($G3248/SUMIF($A:$A,$A3248,$G:$G)*(SUMIF(Summary!$A$247:$A$283,$A3248,Summary!$L$247:$L$283)+SUMIF(Summary!$A$297:$A$333,$A3248,Summary!$L$297:$L$333))-AI3248,0)</f>
        <v>0</v>
      </c>
      <c r="AK3248" s="196">
        <f>IFERROR($G3248/SUMIF($A:$A,$A3248,$G:$G)*SUMIF(Summary!$A$247:$A$283,$A3248,Summary!$Q$247:$Q$283),0)</f>
        <v>0</v>
      </c>
      <c r="AL3248" s="196">
        <f>IFERROR($G3248/SUMIF($A:$A,$A3248,$G:$G)*(SUMIF(Summary!$A$247:$A$283,$A3248,Summary!$L$247:$L$283)+SUMIF(Summary!$A$297:$A$333,$A3248,Summary!$L$297:$L$333))-AK3248,0)</f>
        <v>0</v>
      </c>
      <c r="AM3248" s="198"/>
      <c r="AN3248" s="196">
        <f t="shared" ca="1" si="712"/>
        <v>0</v>
      </c>
      <c r="AO3248" s="196">
        <f t="shared" ca="1" si="713"/>
        <v>0</v>
      </c>
    </row>
    <row r="3249" spans="1:41">
      <c r="A3249" s="189">
        <v>11711</v>
      </c>
      <c r="B3249" s="190">
        <v>5</v>
      </c>
      <c r="C3249" s="191" t="s">
        <v>230</v>
      </c>
      <c r="D3249" s="192">
        <f t="shared" si="700"/>
        <v>0</v>
      </c>
      <c r="E3249" s="192">
        <f t="shared" si="701"/>
        <v>0</v>
      </c>
      <c r="F3249" s="192">
        <f t="shared" si="702"/>
        <v>0</v>
      </c>
      <c r="G3249" s="193">
        <f t="shared" si="703"/>
        <v>0</v>
      </c>
      <c r="H3249" s="194">
        <v>0</v>
      </c>
      <c r="I3249" s="194">
        <v>0</v>
      </c>
      <c r="J3249" s="194">
        <v>0</v>
      </c>
      <c r="K3249" s="193">
        <f t="shared" si="704"/>
        <v>0</v>
      </c>
      <c r="L3249" s="194">
        <v>0</v>
      </c>
      <c r="M3249" s="194">
        <v>0</v>
      </c>
      <c r="N3249" s="194">
        <v>0</v>
      </c>
      <c r="O3249" s="193">
        <f t="shared" si="705"/>
        <v>0</v>
      </c>
      <c r="P3249" s="194">
        <v>0</v>
      </c>
      <c r="Q3249" s="194">
        <v>0</v>
      </c>
      <c r="R3249" s="194">
        <v>0</v>
      </c>
      <c r="S3249" s="193">
        <f t="shared" si="706"/>
        <v>0</v>
      </c>
      <c r="T3249" s="193">
        <f t="shared" si="707"/>
        <v>0</v>
      </c>
      <c r="U3249" s="193">
        <f ca="1">OFFSET('Expenditure Study'!$B$7,'Operations Support'!$C3249,'Operations Support'!$B3249)*$G3249</f>
        <v>0</v>
      </c>
      <c r="V3249" s="199">
        <f ca="1">U3249*'Expenditure Study'!$B$31</f>
        <v>0</v>
      </c>
      <c r="W3249" s="199">
        <f ca="1">IF(A3249=10298,1.51,1)*IF($B3249&lt;3,$D3249*'Expenditure Study'!$B$32*OFFSET('Expenditure Study'!$B$7,'Operations Support'!$C3249,'Operations Support'!$B3249),0)</f>
        <v>0</v>
      </c>
      <c r="X3249" s="200">
        <f ca="1">W3249*'Expenditure Study'!$B$31</f>
        <v>0</v>
      </c>
      <c r="Y3249" s="199">
        <f ca="1">U3249*'Expenditure Study'!$B$31</f>
        <v>0</v>
      </c>
      <c r="Z3249" s="200">
        <f ca="1">W3249*'Expenditure Study'!$B$31</f>
        <v>0</v>
      </c>
      <c r="AA3249" s="195">
        <f t="shared" ca="1" si="708"/>
        <v>0</v>
      </c>
      <c r="AB3249" s="195">
        <f t="shared" ca="1" si="709"/>
        <v>0</v>
      </c>
      <c r="AD3249" s="196">
        <f>IFERROR($G3249/SUMIF($A:$A,$A3249,$G:$G)*SUMIF(Summary!$A$166:$A$242,$A3249,Summary!$P$166:$P$242),0)</f>
        <v>0</v>
      </c>
      <c r="AE3249" s="197">
        <f t="shared" ca="1" si="710"/>
        <v>0</v>
      </c>
      <c r="AF3249" s="196">
        <f>IFERROR(G3249/SUMIF(A:A,A3249,G:G)*SUMIF(Summary!$A$166:$A$242,'Operations Support'!A3249,Summary!$Q$166:$Q$242),0)</f>
        <v>0</v>
      </c>
      <c r="AG3249" s="196">
        <f t="shared" ca="1" si="711"/>
        <v>0</v>
      </c>
      <c r="AI3249" s="196">
        <f>IFERROR($G3249/SUMIF($A:$A,$A3249,$G:$G)*SUMIF(Summary!$A$247:$A$283,$A3249,Summary!$P$247:$P$283),0)</f>
        <v>0</v>
      </c>
      <c r="AJ3249" s="196">
        <f>IFERROR($G3249/SUMIF($A:$A,$A3249,$G:$G)*(SUMIF(Summary!$A$247:$A$283,$A3249,Summary!$L$247:$L$283)+SUMIF(Summary!$A$297:$A$333,$A3249,Summary!$L$297:$L$333))-AI3249,0)</f>
        <v>0</v>
      </c>
      <c r="AK3249" s="196">
        <f>IFERROR($G3249/SUMIF($A:$A,$A3249,$G:$G)*SUMIF(Summary!$A$247:$A$283,$A3249,Summary!$Q$247:$Q$283),0)</f>
        <v>0</v>
      </c>
      <c r="AL3249" s="196">
        <f>IFERROR($G3249/SUMIF($A:$A,$A3249,$G:$G)*(SUMIF(Summary!$A$247:$A$283,$A3249,Summary!$L$247:$L$283)+SUMIF(Summary!$A$297:$A$333,$A3249,Summary!$L$297:$L$333))-AK3249,0)</f>
        <v>0</v>
      </c>
      <c r="AM3249" s="198"/>
      <c r="AN3249" s="196">
        <f t="shared" ca="1" si="712"/>
        <v>0</v>
      </c>
      <c r="AO3249" s="196">
        <f t="shared" ca="1" si="713"/>
        <v>0</v>
      </c>
    </row>
    <row r="3250" spans="1:41">
      <c r="A3250" s="189">
        <v>11711</v>
      </c>
      <c r="B3250" s="190">
        <v>5</v>
      </c>
      <c r="C3250" s="191" t="s">
        <v>231</v>
      </c>
      <c r="D3250" s="192">
        <f t="shared" si="700"/>
        <v>0</v>
      </c>
      <c r="E3250" s="192">
        <f t="shared" si="701"/>
        <v>0</v>
      </c>
      <c r="F3250" s="192">
        <f t="shared" si="702"/>
        <v>0</v>
      </c>
      <c r="G3250" s="193">
        <f t="shared" si="703"/>
        <v>0</v>
      </c>
      <c r="H3250" s="194">
        <v>0</v>
      </c>
      <c r="I3250" s="194">
        <v>0</v>
      </c>
      <c r="J3250" s="194">
        <v>0</v>
      </c>
      <c r="K3250" s="193">
        <f t="shared" si="704"/>
        <v>0</v>
      </c>
      <c r="L3250" s="194">
        <v>0</v>
      </c>
      <c r="M3250" s="194">
        <v>0</v>
      </c>
      <c r="N3250" s="194">
        <v>0</v>
      </c>
      <c r="O3250" s="193">
        <f t="shared" si="705"/>
        <v>0</v>
      </c>
      <c r="P3250" s="194">
        <v>0</v>
      </c>
      <c r="Q3250" s="194">
        <v>0</v>
      </c>
      <c r="R3250" s="194">
        <v>0</v>
      </c>
      <c r="S3250" s="193">
        <f t="shared" si="706"/>
        <v>0</v>
      </c>
      <c r="T3250" s="193">
        <f t="shared" si="707"/>
        <v>0</v>
      </c>
      <c r="U3250" s="193">
        <f ca="1">OFFSET('Expenditure Study'!$B$7,'Operations Support'!$C3250,'Operations Support'!$B3250)*$G3250</f>
        <v>0</v>
      </c>
      <c r="V3250" s="199">
        <f ca="1">U3250*'Expenditure Study'!$B$31</f>
        <v>0</v>
      </c>
      <c r="W3250" s="199">
        <f ca="1">IF(A3250=10298,1.51,1)*IF($B3250&lt;3,$D3250*'Expenditure Study'!$B$32*OFFSET('Expenditure Study'!$B$7,'Operations Support'!$C3250,'Operations Support'!$B3250),0)</f>
        <v>0</v>
      </c>
      <c r="X3250" s="200">
        <f ca="1">W3250*'Expenditure Study'!$B$31</f>
        <v>0</v>
      </c>
      <c r="Y3250" s="199">
        <f ca="1">U3250*'Expenditure Study'!$B$31</f>
        <v>0</v>
      </c>
      <c r="Z3250" s="200">
        <f ca="1">W3250*'Expenditure Study'!$B$31</f>
        <v>0</v>
      </c>
      <c r="AA3250" s="195">
        <f t="shared" ca="1" si="708"/>
        <v>0</v>
      </c>
      <c r="AB3250" s="195">
        <f t="shared" ca="1" si="709"/>
        <v>0</v>
      </c>
      <c r="AD3250" s="196">
        <f>IFERROR($G3250/SUMIF($A:$A,$A3250,$G:$G)*SUMIF(Summary!$A$166:$A$242,$A3250,Summary!$P$166:$P$242),0)</f>
        <v>0</v>
      </c>
      <c r="AE3250" s="197">
        <f t="shared" ca="1" si="710"/>
        <v>0</v>
      </c>
      <c r="AF3250" s="196">
        <f>IFERROR(G3250/SUMIF(A:A,A3250,G:G)*SUMIF(Summary!$A$166:$A$242,'Operations Support'!A3250,Summary!$Q$166:$Q$242),0)</f>
        <v>0</v>
      </c>
      <c r="AG3250" s="196">
        <f t="shared" ca="1" si="711"/>
        <v>0</v>
      </c>
      <c r="AI3250" s="196">
        <f>IFERROR($G3250/SUMIF($A:$A,$A3250,$G:$G)*SUMIF(Summary!$A$247:$A$283,$A3250,Summary!$P$247:$P$283),0)</f>
        <v>0</v>
      </c>
      <c r="AJ3250" s="196">
        <f>IFERROR($G3250/SUMIF($A:$A,$A3250,$G:$G)*(SUMIF(Summary!$A$247:$A$283,$A3250,Summary!$L$247:$L$283)+SUMIF(Summary!$A$297:$A$333,$A3250,Summary!$L$297:$L$333))-AI3250,0)</f>
        <v>0</v>
      </c>
      <c r="AK3250" s="196">
        <f>IFERROR($G3250/SUMIF($A:$A,$A3250,$G:$G)*SUMIF(Summary!$A$247:$A$283,$A3250,Summary!$Q$247:$Q$283),0)</f>
        <v>0</v>
      </c>
      <c r="AL3250" s="196">
        <f>IFERROR($G3250/SUMIF($A:$A,$A3250,$G:$G)*(SUMIF(Summary!$A$247:$A$283,$A3250,Summary!$L$247:$L$283)+SUMIF(Summary!$A$297:$A$333,$A3250,Summary!$L$297:$L$333))-AK3250,0)</f>
        <v>0</v>
      </c>
      <c r="AM3250" s="198"/>
      <c r="AN3250" s="196">
        <f t="shared" ca="1" si="712"/>
        <v>0</v>
      </c>
      <c r="AO3250" s="196">
        <f t="shared" ca="1" si="713"/>
        <v>0</v>
      </c>
    </row>
    <row r="3251" spans="1:41">
      <c r="A3251" s="189">
        <v>11711</v>
      </c>
      <c r="B3251" s="190">
        <v>5</v>
      </c>
      <c r="C3251" s="191" t="s">
        <v>232</v>
      </c>
      <c r="D3251" s="192">
        <f t="shared" si="700"/>
        <v>0</v>
      </c>
      <c r="E3251" s="192">
        <f t="shared" si="701"/>
        <v>0</v>
      </c>
      <c r="F3251" s="192">
        <f t="shared" si="702"/>
        <v>0</v>
      </c>
      <c r="G3251" s="193">
        <f t="shared" si="703"/>
        <v>0</v>
      </c>
      <c r="H3251" s="194">
        <v>0</v>
      </c>
      <c r="I3251" s="194">
        <v>0</v>
      </c>
      <c r="J3251" s="194">
        <v>0</v>
      </c>
      <c r="K3251" s="193">
        <f t="shared" si="704"/>
        <v>0</v>
      </c>
      <c r="L3251" s="194">
        <v>0</v>
      </c>
      <c r="M3251" s="194">
        <v>0</v>
      </c>
      <c r="N3251" s="194">
        <v>0</v>
      </c>
      <c r="O3251" s="193">
        <f t="shared" si="705"/>
        <v>0</v>
      </c>
      <c r="P3251" s="194">
        <v>0</v>
      </c>
      <c r="Q3251" s="194">
        <v>0</v>
      </c>
      <c r="R3251" s="194">
        <v>0</v>
      </c>
      <c r="S3251" s="193">
        <f t="shared" si="706"/>
        <v>0</v>
      </c>
      <c r="T3251" s="193">
        <f t="shared" si="707"/>
        <v>0</v>
      </c>
      <c r="U3251" s="193">
        <f ca="1">OFFSET('Expenditure Study'!$B$7,'Operations Support'!$C3251,'Operations Support'!$B3251)*$G3251</f>
        <v>0</v>
      </c>
      <c r="V3251" s="199">
        <f ca="1">U3251*'Expenditure Study'!$B$31</f>
        <v>0</v>
      </c>
      <c r="W3251" s="199">
        <f ca="1">IF(A3251=10298,1.51,1)*IF($B3251&lt;3,$D3251*'Expenditure Study'!$B$32*OFFSET('Expenditure Study'!$B$7,'Operations Support'!$C3251,'Operations Support'!$B3251),0)</f>
        <v>0</v>
      </c>
      <c r="X3251" s="200">
        <f ca="1">W3251*'Expenditure Study'!$B$31</f>
        <v>0</v>
      </c>
      <c r="Y3251" s="199">
        <f ca="1">U3251*'Expenditure Study'!$B$31</f>
        <v>0</v>
      </c>
      <c r="Z3251" s="200">
        <f ca="1">W3251*'Expenditure Study'!$B$31</f>
        <v>0</v>
      </c>
      <c r="AA3251" s="195">
        <f t="shared" ca="1" si="708"/>
        <v>0</v>
      </c>
      <c r="AB3251" s="195">
        <f t="shared" ca="1" si="709"/>
        <v>0</v>
      </c>
      <c r="AD3251" s="196">
        <f>IFERROR($G3251/SUMIF($A:$A,$A3251,$G:$G)*SUMIF(Summary!$A$166:$A$242,$A3251,Summary!$P$166:$P$242),0)</f>
        <v>0</v>
      </c>
      <c r="AE3251" s="197">
        <f t="shared" ca="1" si="710"/>
        <v>0</v>
      </c>
      <c r="AF3251" s="196">
        <f>IFERROR(G3251/SUMIF(A:A,A3251,G:G)*SUMIF(Summary!$A$166:$A$242,'Operations Support'!A3251,Summary!$Q$166:$Q$242),0)</f>
        <v>0</v>
      </c>
      <c r="AG3251" s="196">
        <f t="shared" ca="1" si="711"/>
        <v>0</v>
      </c>
      <c r="AI3251" s="196">
        <f>IFERROR($G3251/SUMIF($A:$A,$A3251,$G:$G)*SUMIF(Summary!$A$247:$A$283,$A3251,Summary!$P$247:$P$283),0)</f>
        <v>0</v>
      </c>
      <c r="AJ3251" s="196">
        <f>IFERROR($G3251/SUMIF($A:$A,$A3251,$G:$G)*(SUMIF(Summary!$A$247:$A$283,$A3251,Summary!$L$247:$L$283)+SUMIF(Summary!$A$297:$A$333,$A3251,Summary!$L$297:$L$333))-AI3251,0)</f>
        <v>0</v>
      </c>
      <c r="AK3251" s="196">
        <f>IFERROR($G3251/SUMIF($A:$A,$A3251,$G:$G)*SUMIF(Summary!$A$247:$A$283,$A3251,Summary!$Q$247:$Q$283),0)</f>
        <v>0</v>
      </c>
      <c r="AL3251" s="196">
        <f>IFERROR($G3251/SUMIF($A:$A,$A3251,$G:$G)*(SUMIF(Summary!$A$247:$A$283,$A3251,Summary!$L$247:$L$283)+SUMIF(Summary!$A$297:$A$333,$A3251,Summary!$L$297:$L$333))-AK3251,0)</f>
        <v>0</v>
      </c>
      <c r="AM3251" s="198"/>
      <c r="AN3251" s="196">
        <f t="shared" ca="1" si="712"/>
        <v>0</v>
      </c>
      <c r="AO3251" s="196">
        <f t="shared" ca="1" si="713"/>
        <v>0</v>
      </c>
    </row>
    <row r="3252" spans="1:41">
      <c r="A3252" s="189">
        <v>11711</v>
      </c>
      <c r="B3252" s="190">
        <v>5</v>
      </c>
      <c r="C3252" s="191" t="s">
        <v>233</v>
      </c>
      <c r="D3252" s="192">
        <f t="shared" si="700"/>
        <v>0</v>
      </c>
      <c r="E3252" s="192">
        <f t="shared" si="701"/>
        <v>0</v>
      </c>
      <c r="F3252" s="192">
        <f t="shared" si="702"/>
        <v>0</v>
      </c>
      <c r="G3252" s="193">
        <f t="shared" si="703"/>
        <v>0</v>
      </c>
      <c r="H3252" s="194">
        <v>0</v>
      </c>
      <c r="I3252" s="194">
        <v>0</v>
      </c>
      <c r="J3252" s="194">
        <v>0</v>
      </c>
      <c r="K3252" s="193">
        <f t="shared" si="704"/>
        <v>0</v>
      </c>
      <c r="L3252" s="194">
        <v>0</v>
      </c>
      <c r="M3252" s="194">
        <v>0</v>
      </c>
      <c r="N3252" s="194">
        <v>0</v>
      </c>
      <c r="O3252" s="193">
        <f t="shared" si="705"/>
        <v>0</v>
      </c>
      <c r="P3252" s="194">
        <v>0</v>
      </c>
      <c r="Q3252" s="194">
        <v>0</v>
      </c>
      <c r="R3252" s="194">
        <v>0</v>
      </c>
      <c r="S3252" s="193">
        <f t="shared" si="706"/>
        <v>0</v>
      </c>
      <c r="T3252" s="193">
        <f t="shared" si="707"/>
        <v>0</v>
      </c>
      <c r="U3252" s="193">
        <f ca="1">OFFSET('Expenditure Study'!$B$7,'Operations Support'!$C3252,'Operations Support'!$B3252)*$G3252</f>
        <v>0</v>
      </c>
      <c r="V3252" s="199">
        <f ca="1">U3252*'Expenditure Study'!$B$31</f>
        <v>0</v>
      </c>
      <c r="W3252" s="199">
        <f ca="1">IF(A3252=10298,1.51,1)*IF($B3252&lt;3,$D3252*'Expenditure Study'!$B$32*OFFSET('Expenditure Study'!$B$7,'Operations Support'!$C3252,'Operations Support'!$B3252),0)</f>
        <v>0</v>
      </c>
      <c r="X3252" s="200">
        <f ca="1">W3252*'Expenditure Study'!$B$31</f>
        <v>0</v>
      </c>
      <c r="Y3252" s="199">
        <f ca="1">U3252*'Expenditure Study'!$B$31</f>
        <v>0</v>
      </c>
      <c r="Z3252" s="200">
        <f ca="1">W3252*'Expenditure Study'!$B$31</f>
        <v>0</v>
      </c>
      <c r="AA3252" s="195">
        <f t="shared" ca="1" si="708"/>
        <v>0</v>
      </c>
      <c r="AB3252" s="195">
        <f t="shared" ca="1" si="709"/>
        <v>0</v>
      </c>
      <c r="AD3252" s="196">
        <f>IFERROR($G3252/SUMIF($A:$A,$A3252,$G:$G)*SUMIF(Summary!$A$166:$A$242,$A3252,Summary!$P$166:$P$242),0)</f>
        <v>0</v>
      </c>
      <c r="AE3252" s="197">
        <f t="shared" ca="1" si="710"/>
        <v>0</v>
      </c>
      <c r="AF3252" s="196">
        <f>IFERROR(G3252/SUMIF(A:A,A3252,G:G)*SUMIF(Summary!$A$166:$A$242,'Operations Support'!A3252,Summary!$Q$166:$Q$242),0)</f>
        <v>0</v>
      </c>
      <c r="AG3252" s="196">
        <f t="shared" ca="1" si="711"/>
        <v>0</v>
      </c>
      <c r="AI3252" s="196">
        <f>IFERROR($G3252/SUMIF($A:$A,$A3252,$G:$G)*SUMIF(Summary!$A$247:$A$283,$A3252,Summary!$P$247:$P$283),0)</f>
        <v>0</v>
      </c>
      <c r="AJ3252" s="196">
        <f>IFERROR($G3252/SUMIF($A:$A,$A3252,$G:$G)*(SUMIF(Summary!$A$247:$A$283,$A3252,Summary!$L$247:$L$283)+SUMIF(Summary!$A$297:$A$333,$A3252,Summary!$L$297:$L$333))-AI3252,0)</f>
        <v>0</v>
      </c>
      <c r="AK3252" s="196">
        <f>IFERROR($G3252/SUMIF($A:$A,$A3252,$G:$G)*SUMIF(Summary!$A$247:$A$283,$A3252,Summary!$Q$247:$Q$283),0)</f>
        <v>0</v>
      </c>
      <c r="AL3252" s="196">
        <f>IFERROR($G3252/SUMIF($A:$A,$A3252,$G:$G)*(SUMIF(Summary!$A$247:$A$283,$A3252,Summary!$L$247:$L$283)+SUMIF(Summary!$A$297:$A$333,$A3252,Summary!$L$297:$L$333))-AK3252,0)</f>
        <v>0</v>
      </c>
      <c r="AM3252" s="198"/>
      <c r="AN3252" s="196">
        <f t="shared" ca="1" si="712"/>
        <v>0</v>
      </c>
      <c r="AO3252" s="196">
        <f t="shared" ca="1" si="713"/>
        <v>0</v>
      </c>
    </row>
    <row r="3253" spans="1:41">
      <c r="A3253" s="189">
        <v>11711</v>
      </c>
      <c r="B3253" s="190">
        <v>5</v>
      </c>
      <c r="C3253" s="191" t="s">
        <v>234</v>
      </c>
      <c r="D3253" s="192">
        <f t="shared" si="700"/>
        <v>0</v>
      </c>
      <c r="E3253" s="192">
        <f t="shared" si="701"/>
        <v>0</v>
      </c>
      <c r="F3253" s="192">
        <f t="shared" si="702"/>
        <v>0</v>
      </c>
      <c r="G3253" s="193">
        <f t="shared" si="703"/>
        <v>0</v>
      </c>
      <c r="H3253" s="194">
        <v>0</v>
      </c>
      <c r="I3253" s="194">
        <v>0</v>
      </c>
      <c r="J3253" s="194">
        <v>0</v>
      </c>
      <c r="K3253" s="193">
        <f t="shared" si="704"/>
        <v>0</v>
      </c>
      <c r="L3253" s="194">
        <v>0</v>
      </c>
      <c r="M3253" s="194">
        <v>0</v>
      </c>
      <c r="N3253" s="194">
        <v>0</v>
      </c>
      <c r="O3253" s="193">
        <f t="shared" si="705"/>
        <v>0</v>
      </c>
      <c r="P3253" s="194">
        <v>0</v>
      </c>
      <c r="Q3253" s="194">
        <v>0</v>
      </c>
      <c r="R3253" s="194">
        <v>0</v>
      </c>
      <c r="S3253" s="193">
        <f t="shared" si="706"/>
        <v>0</v>
      </c>
      <c r="T3253" s="193">
        <f t="shared" si="707"/>
        <v>0</v>
      </c>
      <c r="U3253" s="193">
        <f ca="1">OFFSET('Expenditure Study'!$B$7,'Operations Support'!$C3253,'Operations Support'!$B3253)*$G3253</f>
        <v>0</v>
      </c>
      <c r="V3253" s="199">
        <f ca="1">U3253*'Expenditure Study'!$B$31</f>
        <v>0</v>
      </c>
      <c r="W3253" s="199">
        <f ca="1">IF(A3253=10298,1.51,1)*IF($B3253&lt;3,$D3253*'Expenditure Study'!$B$32*OFFSET('Expenditure Study'!$B$7,'Operations Support'!$C3253,'Operations Support'!$B3253),0)</f>
        <v>0</v>
      </c>
      <c r="X3253" s="200">
        <f ca="1">W3253*'Expenditure Study'!$B$31</f>
        <v>0</v>
      </c>
      <c r="Y3253" s="199">
        <f ca="1">U3253*'Expenditure Study'!$B$31</f>
        <v>0</v>
      </c>
      <c r="Z3253" s="200">
        <f ca="1">W3253*'Expenditure Study'!$B$31</f>
        <v>0</v>
      </c>
      <c r="AA3253" s="195">
        <f t="shared" ca="1" si="708"/>
        <v>0</v>
      </c>
      <c r="AB3253" s="195">
        <f t="shared" ca="1" si="709"/>
        <v>0</v>
      </c>
      <c r="AD3253" s="196">
        <f>IFERROR($G3253/SUMIF($A:$A,$A3253,$G:$G)*SUMIF(Summary!$A$166:$A$242,$A3253,Summary!$P$166:$P$242),0)</f>
        <v>0</v>
      </c>
      <c r="AE3253" s="197">
        <f t="shared" ca="1" si="710"/>
        <v>0</v>
      </c>
      <c r="AF3253" s="196">
        <f>IFERROR(G3253/SUMIF(A:A,A3253,G:G)*SUMIF(Summary!$A$166:$A$242,'Operations Support'!A3253,Summary!$Q$166:$Q$242),0)</f>
        <v>0</v>
      </c>
      <c r="AG3253" s="196">
        <f t="shared" ca="1" si="711"/>
        <v>0</v>
      </c>
      <c r="AI3253" s="196">
        <f>IFERROR($G3253/SUMIF($A:$A,$A3253,$G:$G)*SUMIF(Summary!$A$247:$A$283,$A3253,Summary!$P$247:$P$283),0)</f>
        <v>0</v>
      </c>
      <c r="AJ3253" s="196">
        <f>IFERROR($G3253/SUMIF($A:$A,$A3253,$G:$G)*(SUMIF(Summary!$A$247:$A$283,$A3253,Summary!$L$247:$L$283)+SUMIF(Summary!$A$297:$A$333,$A3253,Summary!$L$297:$L$333))-AI3253,0)</f>
        <v>0</v>
      </c>
      <c r="AK3253" s="196">
        <f>IFERROR($G3253/SUMIF($A:$A,$A3253,$G:$G)*SUMIF(Summary!$A$247:$A$283,$A3253,Summary!$Q$247:$Q$283),0)</f>
        <v>0</v>
      </c>
      <c r="AL3253" s="196">
        <f>IFERROR($G3253/SUMIF($A:$A,$A3253,$G:$G)*(SUMIF(Summary!$A$247:$A$283,$A3253,Summary!$L$247:$L$283)+SUMIF(Summary!$A$297:$A$333,$A3253,Summary!$L$297:$L$333))-AK3253,0)</f>
        <v>0</v>
      </c>
      <c r="AM3253" s="198"/>
      <c r="AN3253" s="196">
        <f t="shared" ca="1" si="712"/>
        <v>0</v>
      </c>
      <c r="AO3253" s="196">
        <f t="shared" ca="1" si="713"/>
        <v>0</v>
      </c>
    </row>
    <row r="3254" spans="1:41">
      <c r="A3254" s="189">
        <v>11711</v>
      </c>
      <c r="B3254" s="190">
        <v>5</v>
      </c>
      <c r="C3254" s="191" t="s">
        <v>235</v>
      </c>
      <c r="D3254" s="192">
        <f t="shared" si="700"/>
        <v>0</v>
      </c>
      <c r="E3254" s="192">
        <f t="shared" si="701"/>
        <v>0</v>
      </c>
      <c r="F3254" s="192">
        <f t="shared" si="702"/>
        <v>0</v>
      </c>
      <c r="G3254" s="193">
        <f t="shared" si="703"/>
        <v>0</v>
      </c>
      <c r="H3254" s="194">
        <v>0</v>
      </c>
      <c r="I3254" s="194">
        <v>0</v>
      </c>
      <c r="J3254" s="194">
        <v>0</v>
      </c>
      <c r="K3254" s="193">
        <f t="shared" si="704"/>
        <v>0</v>
      </c>
      <c r="L3254" s="194">
        <v>0</v>
      </c>
      <c r="M3254" s="194">
        <v>0</v>
      </c>
      <c r="N3254" s="194">
        <v>0</v>
      </c>
      <c r="O3254" s="193">
        <f t="shared" si="705"/>
        <v>0</v>
      </c>
      <c r="P3254" s="194">
        <v>0</v>
      </c>
      <c r="Q3254" s="194">
        <v>0</v>
      </c>
      <c r="R3254" s="194">
        <v>0</v>
      </c>
      <c r="S3254" s="193">
        <f t="shared" si="706"/>
        <v>0</v>
      </c>
      <c r="T3254" s="193">
        <f t="shared" si="707"/>
        <v>0</v>
      </c>
      <c r="U3254" s="193">
        <f ca="1">OFFSET('Expenditure Study'!$B$7,'Operations Support'!$C3254,'Operations Support'!$B3254)*$G3254</f>
        <v>0</v>
      </c>
      <c r="V3254" s="199">
        <f ca="1">U3254*'Expenditure Study'!$B$31</f>
        <v>0</v>
      </c>
      <c r="W3254" s="199">
        <f ca="1">IF(A3254=10298,1.51,1)*IF($B3254&lt;3,$D3254*'Expenditure Study'!$B$32*OFFSET('Expenditure Study'!$B$7,'Operations Support'!$C3254,'Operations Support'!$B3254),0)</f>
        <v>0</v>
      </c>
      <c r="X3254" s="200">
        <f ca="1">W3254*'Expenditure Study'!$B$31</f>
        <v>0</v>
      </c>
      <c r="Y3254" s="199">
        <f ca="1">U3254*'Expenditure Study'!$B$31</f>
        <v>0</v>
      </c>
      <c r="Z3254" s="200">
        <f ca="1">W3254*'Expenditure Study'!$B$31</f>
        <v>0</v>
      </c>
      <c r="AA3254" s="195">
        <f t="shared" ca="1" si="708"/>
        <v>0</v>
      </c>
      <c r="AB3254" s="195">
        <f t="shared" ca="1" si="709"/>
        <v>0</v>
      </c>
      <c r="AD3254" s="196">
        <f>IFERROR($G3254/SUMIF($A:$A,$A3254,$G:$G)*SUMIF(Summary!$A$166:$A$242,$A3254,Summary!$P$166:$P$242),0)</f>
        <v>0</v>
      </c>
      <c r="AE3254" s="197">
        <f t="shared" ca="1" si="710"/>
        <v>0</v>
      </c>
      <c r="AF3254" s="196">
        <f>IFERROR(G3254/SUMIF(A:A,A3254,G:G)*SUMIF(Summary!$A$166:$A$242,'Operations Support'!A3254,Summary!$Q$166:$Q$242),0)</f>
        <v>0</v>
      </c>
      <c r="AG3254" s="196">
        <f t="shared" ca="1" si="711"/>
        <v>0</v>
      </c>
      <c r="AI3254" s="196">
        <f>IFERROR($G3254/SUMIF($A:$A,$A3254,$G:$G)*SUMIF(Summary!$A$247:$A$283,$A3254,Summary!$P$247:$P$283),0)</f>
        <v>0</v>
      </c>
      <c r="AJ3254" s="196">
        <f>IFERROR($G3254/SUMIF($A:$A,$A3254,$G:$G)*(SUMIF(Summary!$A$247:$A$283,$A3254,Summary!$L$247:$L$283)+SUMIF(Summary!$A$297:$A$333,$A3254,Summary!$L$297:$L$333))-AI3254,0)</f>
        <v>0</v>
      </c>
      <c r="AK3254" s="196">
        <f>IFERROR($G3254/SUMIF($A:$A,$A3254,$G:$G)*SUMIF(Summary!$A$247:$A$283,$A3254,Summary!$Q$247:$Q$283),0)</f>
        <v>0</v>
      </c>
      <c r="AL3254" s="196">
        <f>IFERROR($G3254/SUMIF($A:$A,$A3254,$G:$G)*(SUMIF(Summary!$A$247:$A$283,$A3254,Summary!$L$247:$L$283)+SUMIF(Summary!$A$297:$A$333,$A3254,Summary!$L$297:$L$333))-AK3254,0)</f>
        <v>0</v>
      </c>
      <c r="AM3254" s="198"/>
      <c r="AN3254" s="196">
        <f t="shared" ca="1" si="712"/>
        <v>0</v>
      </c>
      <c r="AO3254" s="196">
        <f t="shared" ca="1" si="713"/>
        <v>0</v>
      </c>
    </row>
    <row r="3255" spans="1:41">
      <c r="A3255" s="189">
        <v>11711</v>
      </c>
      <c r="B3255" s="190">
        <v>5</v>
      </c>
      <c r="C3255" s="191" t="s">
        <v>236</v>
      </c>
      <c r="D3255" s="192">
        <f t="shared" si="700"/>
        <v>0</v>
      </c>
      <c r="E3255" s="192">
        <f t="shared" si="701"/>
        <v>0</v>
      </c>
      <c r="F3255" s="192">
        <f t="shared" si="702"/>
        <v>0</v>
      </c>
      <c r="G3255" s="193">
        <f t="shared" si="703"/>
        <v>0</v>
      </c>
      <c r="H3255" s="194">
        <v>0</v>
      </c>
      <c r="I3255" s="194">
        <v>0</v>
      </c>
      <c r="J3255" s="194">
        <v>0</v>
      </c>
      <c r="K3255" s="193">
        <f t="shared" si="704"/>
        <v>0</v>
      </c>
      <c r="L3255" s="194">
        <v>0</v>
      </c>
      <c r="M3255" s="194">
        <v>0</v>
      </c>
      <c r="N3255" s="194">
        <v>0</v>
      </c>
      <c r="O3255" s="193">
        <f t="shared" si="705"/>
        <v>0</v>
      </c>
      <c r="P3255" s="194">
        <v>0</v>
      </c>
      <c r="Q3255" s="194">
        <v>0</v>
      </c>
      <c r="R3255" s="194">
        <v>0</v>
      </c>
      <c r="S3255" s="193">
        <f t="shared" si="706"/>
        <v>0</v>
      </c>
      <c r="T3255" s="193">
        <f t="shared" si="707"/>
        <v>0</v>
      </c>
      <c r="U3255" s="193">
        <f ca="1">OFFSET('Expenditure Study'!$B$7,'Operations Support'!$C3255,'Operations Support'!$B3255)*$G3255</f>
        <v>0</v>
      </c>
      <c r="V3255" s="199">
        <f ca="1">U3255*'Expenditure Study'!$B$31</f>
        <v>0</v>
      </c>
      <c r="W3255" s="199">
        <f ca="1">IF(A3255=10298,1.51,1)*IF($B3255&lt;3,$D3255*'Expenditure Study'!$B$32*OFFSET('Expenditure Study'!$B$7,'Operations Support'!$C3255,'Operations Support'!$B3255),0)</f>
        <v>0</v>
      </c>
      <c r="X3255" s="200">
        <f ca="1">W3255*'Expenditure Study'!$B$31</f>
        <v>0</v>
      </c>
      <c r="Y3255" s="199">
        <f ca="1">U3255*'Expenditure Study'!$B$31</f>
        <v>0</v>
      </c>
      <c r="Z3255" s="200">
        <f ca="1">W3255*'Expenditure Study'!$B$31</f>
        <v>0</v>
      </c>
      <c r="AA3255" s="195">
        <f t="shared" ca="1" si="708"/>
        <v>0</v>
      </c>
      <c r="AB3255" s="195">
        <f t="shared" ca="1" si="709"/>
        <v>0</v>
      </c>
      <c r="AD3255" s="196">
        <f>IFERROR($G3255/SUMIF($A:$A,$A3255,$G:$G)*SUMIF(Summary!$A$166:$A$242,$A3255,Summary!$P$166:$P$242),0)</f>
        <v>0</v>
      </c>
      <c r="AE3255" s="197">
        <f t="shared" ca="1" si="710"/>
        <v>0</v>
      </c>
      <c r="AF3255" s="196">
        <f>IFERROR(G3255/SUMIF(A:A,A3255,G:G)*SUMIF(Summary!$A$166:$A$242,'Operations Support'!A3255,Summary!$Q$166:$Q$242),0)</f>
        <v>0</v>
      </c>
      <c r="AG3255" s="196">
        <f t="shared" ca="1" si="711"/>
        <v>0</v>
      </c>
      <c r="AI3255" s="196">
        <f>IFERROR($G3255/SUMIF($A:$A,$A3255,$G:$G)*SUMIF(Summary!$A$247:$A$283,$A3255,Summary!$P$247:$P$283),0)</f>
        <v>0</v>
      </c>
      <c r="AJ3255" s="196">
        <f>IFERROR($G3255/SUMIF($A:$A,$A3255,$G:$G)*(SUMIF(Summary!$A$247:$A$283,$A3255,Summary!$L$247:$L$283)+SUMIF(Summary!$A$297:$A$333,$A3255,Summary!$L$297:$L$333))-AI3255,0)</f>
        <v>0</v>
      </c>
      <c r="AK3255" s="196">
        <f>IFERROR($G3255/SUMIF($A:$A,$A3255,$G:$G)*SUMIF(Summary!$A$247:$A$283,$A3255,Summary!$Q$247:$Q$283),0)</f>
        <v>0</v>
      </c>
      <c r="AL3255" s="196">
        <f>IFERROR($G3255/SUMIF($A:$A,$A3255,$G:$G)*(SUMIF(Summary!$A$247:$A$283,$A3255,Summary!$L$247:$L$283)+SUMIF(Summary!$A$297:$A$333,$A3255,Summary!$L$297:$L$333))-AK3255,0)</f>
        <v>0</v>
      </c>
      <c r="AM3255" s="198"/>
      <c r="AN3255" s="196">
        <f t="shared" ca="1" si="712"/>
        <v>0</v>
      </c>
      <c r="AO3255" s="196">
        <f t="shared" ca="1" si="713"/>
        <v>0</v>
      </c>
    </row>
    <row r="3256" spans="1:41">
      <c r="A3256" s="189">
        <v>11711</v>
      </c>
      <c r="B3256" s="190">
        <v>5</v>
      </c>
      <c r="C3256" s="191" t="s">
        <v>237</v>
      </c>
      <c r="D3256" s="192">
        <f t="shared" si="700"/>
        <v>0</v>
      </c>
      <c r="E3256" s="192">
        <f t="shared" si="701"/>
        <v>0</v>
      </c>
      <c r="F3256" s="192">
        <f t="shared" si="702"/>
        <v>0</v>
      </c>
      <c r="G3256" s="193">
        <f t="shared" si="703"/>
        <v>0</v>
      </c>
      <c r="H3256" s="194">
        <v>0</v>
      </c>
      <c r="I3256" s="194">
        <v>0</v>
      </c>
      <c r="J3256" s="194">
        <v>0</v>
      </c>
      <c r="K3256" s="193">
        <f t="shared" si="704"/>
        <v>0</v>
      </c>
      <c r="L3256" s="194">
        <v>0</v>
      </c>
      <c r="M3256" s="194">
        <v>0</v>
      </c>
      <c r="N3256" s="194">
        <v>0</v>
      </c>
      <c r="O3256" s="193">
        <f t="shared" si="705"/>
        <v>0</v>
      </c>
      <c r="P3256" s="194">
        <v>0</v>
      </c>
      <c r="Q3256" s="194">
        <v>0</v>
      </c>
      <c r="R3256" s="194">
        <v>0</v>
      </c>
      <c r="S3256" s="193">
        <f t="shared" si="706"/>
        <v>0</v>
      </c>
      <c r="T3256" s="193">
        <f t="shared" si="707"/>
        <v>0</v>
      </c>
      <c r="U3256" s="193">
        <f ca="1">OFFSET('Expenditure Study'!$B$7,'Operations Support'!$C3256,'Operations Support'!$B3256)*$G3256</f>
        <v>0</v>
      </c>
      <c r="V3256" s="199">
        <f ca="1">U3256*'Expenditure Study'!$B$31</f>
        <v>0</v>
      </c>
      <c r="W3256" s="199">
        <f ca="1">IF(A3256=10298,1.51,1)*IF($B3256&lt;3,$D3256*'Expenditure Study'!$B$32*OFFSET('Expenditure Study'!$B$7,'Operations Support'!$C3256,'Operations Support'!$B3256),0)</f>
        <v>0</v>
      </c>
      <c r="X3256" s="200">
        <f ca="1">W3256*'Expenditure Study'!$B$31</f>
        <v>0</v>
      </c>
      <c r="Y3256" s="199">
        <f ca="1">U3256*'Expenditure Study'!$B$31</f>
        <v>0</v>
      </c>
      <c r="Z3256" s="200">
        <f ca="1">W3256*'Expenditure Study'!$B$31</f>
        <v>0</v>
      </c>
      <c r="AA3256" s="195">
        <f t="shared" ca="1" si="708"/>
        <v>0</v>
      </c>
      <c r="AB3256" s="195">
        <f t="shared" ca="1" si="709"/>
        <v>0</v>
      </c>
      <c r="AD3256" s="196">
        <f>IFERROR($G3256/SUMIF($A:$A,$A3256,$G:$G)*SUMIF(Summary!$A$166:$A$242,$A3256,Summary!$P$166:$P$242),0)</f>
        <v>0</v>
      </c>
      <c r="AE3256" s="197">
        <f t="shared" ca="1" si="710"/>
        <v>0</v>
      </c>
      <c r="AF3256" s="196">
        <f>IFERROR(G3256/SUMIF(A:A,A3256,G:G)*SUMIF(Summary!$A$166:$A$242,'Operations Support'!A3256,Summary!$Q$166:$Q$242),0)</f>
        <v>0</v>
      </c>
      <c r="AG3256" s="196">
        <f t="shared" ca="1" si="711"/>
        <v>0</v>
      </c>
      <c r="AI3256" s="196">
        <f>IFERROR($G3256/SUMIF($A:$A,$A3256,$G:$G)*SUMIF(Summary!$A$247:$A$283,$A3256,Summary!$P$247:$P$283),0)</f>
        <v>0</v>
      </c>
      <c r="AJ3256" s="196">
        <f>IFERROR($G3256/SUMIF($A:$A,$A3256,$G:$G)*(SUMIF(Summary!$A$247:$A$283,$A3256,Summary!$L$247:$L$283)+SUMIF(Summary!$A$297:$A$333,$A3256,Summary!$L$297:$L$333))-AI3256,0)</f>
        <v>0</v>
      </c>
      <c r="AK3256" s="196">
        <f>IFERROR($G3256/SUMIF($A:$A,$A3256,$G:$G)*SUMIF(Summary!$A$247:$A$283,$A3256,Summary!$Q$247:$Q$283),0)</f>
        <v>0</v>
      </c>
      <c r="AL3256" s="196">
        <f>IFERROR($G3256/SUMIF($A:$A,$A3256,$G:$G)*(SUMIF(Summary!$A$247:$A$283,$A3256,Summary!$L$247:$L$283)+SUMIF(Summary!$A$297:$A$333,$A3256,Summary!$L$297:$L$333))-AK3256,0)</f>
        <v>0</v>
      </c>
      <c r="AM3256" s="198"/>
      <c r="AN3256" s="196">
        <f t="shared" ca="1" si="712"/>
        <v>0</v>
      </c>
      <c r="AO3256" s="196">
        <f t="shared" ca="1" si="713"/>
        <v>0</v>
      </c>
    </row>
    <row r="3257" spans="1:41">
      <c r="A3257" s="189">
        <v>11711</v>
      </c>
      <c r="B3257" s="190">
        <v>5</v>
      </c>
      <c r="C3257" s="191" t="s">
        <v>238</v>
      </c>
      <c r="D3257" s="192">
        <f t="shared" si="700"/>
        <v>0</v>
      </c>
      <c r="E3257" s="192">
        <f t="shared" si="701"/>
        <v>0</v>
      </c>
      <c r="F3257" s="192">
        <f t="shared" si="702"/>
        <v>0</v>
      </c>
      <c r="G3257" s="193">
        <f t="shared" si="703"/>
        <v>0</v>
      </c>
      <c r="H3257" s="194">
        <v>0</v>
      </c>
      <c r="I3257" s="194">
        <v>0</v>
      </c>
      <c r="J3257" s="194">
        <v>0</v>
      </c>
      <c r="K3257" s="193">
        <f t="shared" si="704"/>
        <v>0</v>
      </c>
      <c r="L3257" s="194">
        <v>0</v>
      </c>
      <c r="M3257" s="194">
        <v>0</v>
      </c>
      <c r="N3257" s="194">
        <v>0</v>
      </c>
      <c r="O3257" s="193">
        <f t="shared" si="705"/>
        <v>0</v>
      </c>
      <c r="P3257" s="194">
        <v>0</v>
      </c>
      <c r="Q3257" s="194">
        <v>0</v>
      </c>
      <c r="R3257" s="194">
        <v>0</v>
      </c>
      <c r="S3257" s="193">
        <f t="shared" si="706"/>
        <v>0</v>
      </c>
      <c r="T3257" s="193">
        <f t="shared" si="707"/>
        <v>0</v>
      </c>
      <c r="U3257" s="193">
        <f ca="1">OFFSET('Expenditure Study'!$B$7,'Operations Support'!$C3257,'Operations Support'!$B3257)*$G3257</f>
        <v>0</v>
      </c>
      <c r="V3257" s="199">
        <f ca="1">U3257*'Expenditure Study'!$B$31</f>
        <v>0</v>
      </c>
      <c r="W3257" s="199">
        <f ca="1">IF(A3257=10298,1.51,1)*IF($B3257&lt;3,$D3257*'Expenditure Study'!$B$32*OFFSET('Expenditure Study'!$B$7,'Operations Support'!$C3257,'Operations Support'!$B3257),0)</f>
        <v>0</v>
      </c>
      <c r="X3257" s="200">
        <f ca="1">W3257*'Expenditure Study'!$B$31</f>
        <v>0</v>
      </c>
      <c r="Y3257" s="199">
        <f ca="1">U3257*'Expenditure Study'!$B$31</f>
        <v>0</v>
      </c>
      <c r="Z3257" s="200">
        <f ca="1">W3257*'Expenditure Study'!$B$31</f>
        <v>0</v>
      </c>
      <c r="AA3257" s="195">
        <f t="shared" ca="1" si="708"/>
        <v>0</v>
      </c>
      <c r="AB3257" s="195">
        <f t="shared" ca="1" si="709"/>
        <v>0</v>
      </c>
      <c r="AD3257" s="196">
        <f>IFERROR($G3257/SUMIF($A:$A,$A3257,$G:$G)*SUMIF(Summary!$A$166:$A$242,$A3257,Summary!$P$166:$P$242),0)</f>
        <v>0</v>
      </c>
      <c r="AE3257" s="197">
        <f t="shared" ca="1" si="710"/>
        <v>0</v>
      </c>
      <c r="AF3257" s="196">
        <f>IFERROR(G3257/SUMIF(A:A,A3257,G:G)*SUMIF(Summary!$A$166:$A$242,'Operations Support'!A3257,Summary!$Q$166:$Q$242),0)</f>
        <v>0</v>
      </c>
      <c r="AG3257" s="196">
        <f t="shared" ca="1" si="711"/>
        <v>0</v>
      </c>
      <c r="AI3257" s="196">
        <f>IFERROR($G3257/SUMIF($A:$A,$A3257,$G:$G)*SUMIF(Summary!$A$247:$A$283,$A3257,Summary!$P$247:$P$283),0)</f>
        <v>0</v>
      </c>
      <c r="AJ3257" s="196">
        <f>IFERROR($G3257/SUMIF($A:$A,$A3257,$G:$G)*(SUMIF(Summary!$A$247:$A$283,$A3257,Summary!$L$247:$L$283)+SUMIF(Summary!$A$297:$A$333,$A3257,Summary!$L$297:$L$333))-AI3257,0)</f>
        <v>0</v>
      </c>
      <c r="AK3257" s="196">
        <f>IFERROR($G3257/SUMIF($A:$A,$A3257,$G:$G)*SUMIF(Summary!$A$247:$A$283,$A3257,Summary!$Q$247:$Q$283),0)</f>
        <v>0</v>
      </c>
      <c r="AL3257" s="196">
        <f>IFERROR($G3257/SUMIF($A:$A,$A3257,$G:$G)*(SUMIF(Summary!$A$247:$A$283,$A3257,Summary!$L$247:$L$283)+SUMIF(Summary!$A$297:$A$333,$A3257,Summary!$L$297:$L$333))-AK3257,0)</f>
        <v>0</v>
      </c>
      <c r="AM3257" s="198"/>
      <c r="AN3257" s="196">
        <f t="shared" ca="1" si="712"/>
        <v>0</v>
      </c>
      <c r="AO3257" s="196">
        <f t="shared" ca="1" si="713"/>
        <v>0</v>
      </c>
    </row>
    <row r="3258" spans="1:41">
      <c r="A3258" s="189">
        <v>11711</v>
      </c>
      <c r="B3258" s="190">
        <v>5</v>
      </c>
      <c r="C3258" s="191" t="s">
        <v>239</v>
      </c>
      <c r="D3258" s="192">
        <f t="shared" si="700"/>
        <v>0</v>
      </c>
      <c r="E3258" s="192">
        <f t="shared" si="701"/>
        <v>0</v>
      </c>
      <c r="F3258" s="192">
        <f t="shared" si="702"/>
        <v>0</v>
      </c>
      <c r="G3258" s="193">
        <f t="shared" si="703"/>
        <v>0</v>
      </c>
      <c r="H3258" s="194">
        <v>0</v>
      </c>
      <c r="I3258" s="194">
        <v>0</v>
      </c>
      <c r="J3258" s="194">
        <v>0</v>
      </c>
      <c r="K3258" s="193">
        <f t="shared" si="704"/>
        <v>0</v>
      </c>
      <c r="L3258" s="194">
        <v>0</v>
      </c>
      <c r="M3258" s="194">
        <v>0</v>
      </c>
      <c r="N3258" s="194">
        <v>0</v>
      </c>
      <c r="O3258" s="193">
        <f t="shared" si="705"/>
        <v>0</v>
      </c>
      <c r="P3258" s="194">
        <v>0</v>
      </c>
      <c r="Q3258" s="194">
        <v>0</v>
      </c>
      <c r="R3258" s="194">
        <v>0</v>
      </c>
      <c r="S3258" s="193">
        <f t="shared" si="706"/>
        <v>0</v>
      </c>
      <c r="T3258" s="193">
        <f t="shared" si="707"/>
        <v>0</v>
      </c>
      <c r="U3258" s="193">
        <f ca="1">OFFSET('Expenditure Study'!$B$7,'Operations Support'!$C3258,'Operations Support'!$B3258)*$G3258</f>
        <v>0</v>
      </c>
      <c r="V3258" s="199">
        <f ca="1">U3258*'Expenditure Study'!$B$31</f>
        <v>0</v>
      </c>
      <c r="W3258" s="199">
        <f ca="1">IF(A3258=10298,1.51,1)*IF($B3258&lt;3,$D3258*'Expenditure Study'!$B$32*OFFSET('Expenditure Study'!$B$7,'Operations Support'!$C3258,'Operations Support'!$B3258),0)</f>
        <v>0</v>
      </c>
      <c r="X3258" s="200">
        <f ca="1">W3258*'Expenditure Study'!$B$31</f>
        <v>0</v>
      </c>
      <c r="Y3258" s="199">
        <f ca="1">U3258*'Expenditure Study'!$B$31</f>
        <v>0</v>
      </c>
      <c r="Z3258" s="200">
        <f ca="1">W3258*'Expenditure Study'!$B$31</f>
        <v>0</v>
      </c>
      <c r="AA3258" s="195">
        <f t="shared" ca="1" si="708"/>
        <v>0</v>
      </c>
      <c r="AB3258" s="195">
        <f t="shared" ca="1" si="709"/>
        <v>0</v>
      </c>
      <c r="AD3258" s="196">
        <f>IFERROR($G3258/SUMIF($A:$A,$A3258,$G:$G)*SUMIF(Summary!$A$166:$A$242,$A3258,Summary!$P$166:$P$242),0)</f>
        <v>0</v>
      </c>
      <c r="AE3258" s="197">
        <f t="shared" ca="1" si="710"/>
        <v>0</v>
      </c>
      <c r="AF3258" s="196">
        <f>IFERROR(G3258/SUMIF(A:A,A3258,G:G)*SUMIF(Summary!$A$166:$A$242,'Operations Support'!A3258,Summary!$Q$166:$Q$242),0)</f>
        <v>0</v>
      </c>
      <c r="AG3258" s="196">
        <f t="shared" ca="1" si="711"/>
        <v>0</v>
      </c>
      <c r="AI3258" s="196">
        <f>IFERROR($G3258/SUMIF($A:$A,$A3258,$G:$G)*SUMIF(Summary!$A$247:$A$283,$A3258,Summary!$P$247:$P$283),0)</f>
        <v>0</v>
      </c>
      <c r="AJ3258" s="196">
        <f>IFERROR($G3258/SUMIF($A:$A,$A3258,$G:$G)*(SUMIF(Summary!$A$247:$A$283,$A3258,Summary!$L$247:$L$283)+SUMIF(Summary!$A$297:$A$333,$A3258,Summary!$L$297:$L$333))-AI3258,0)</f>
        <v>0</v>
      </c>
      <c r="AK3258" s="196">
        <f>IFERROR($G3258/SUMIF($A:$A,$A3258,$G:$G)*SUMIF(Summary!$A$247:$A$283,$A3258,Summary!$Q$247:$Q$283),0)</f>
        <v>0</v>
      </c>
      <c r="AL3258" s="196">
        <f>IFERROR($G3258/SUMIF($A:$A,$A3258,$G:$G)*(SUMIF(Summary!$A$247:$A$283,$A3258,Summary!$L$247:$L$283)+SUMIF(Summary!$A$297:$A$333,$A3258,Summary!$L$297:$L$333))-AK3258,0)</f>
        <v>0</v>
      </c>
      <c r="AM3258" s="198"/>
      <c r="AN3258" s="196">
        <f t="shared" ca="1" si="712"/>
        <v>0</v>
      </c>
      <c r="AO3258" s="196">
        <f t="shared" ca="1" si="713"/>
        <v>0</v>
      </c>
    </row>
    <row r="3259" spans="1:41">
      <c r="A3259" s="189">
        <v>11711</v>
      </c>
      <c r="B3259" s="190">
        <v>5</v>
      </c>
      <c r="C3259" s="191" t="s">
        <v>240</v>
      </c>
      <c r="D3259" s="192">
        <f t="shared" si="700"/>
        <v>0</v>
      </c>
      <c r="E3259" s="192">
        <f t="shared" si="701"/>
        <v>0</v>
      </c>
      <c r="F3259" s="192">
        <f t="shared" si="702"/>
        <v>0</v>
      </c>
      <c r="G3259" s="193">
        <f t="shared" si="703"/>
        <v>0</v>
      </c>
      <c r="H3259" s="194">
        <v>0</v>
      </c>
      <c r="I3259" s="194">
        <v>0</v>
      </c>
      <c r="J3259" s="194">
        <v>0</v>
      </c>
      <c r="K3259" s="193">
        <f t="shared" si="704"/>
        <v>0</v>
      </c>
      <c r="L3259" s="194">
        <v>0</v>
      </c>
      <c r="M3259" s="194">
        <v>0</v>
      </c>
      <c r="N3259" s="194">
        <v>0</v>
      </c>
      <c r="O3259" s="193">
        <f t="shared" si="705"/>
        <v>0</v>
      </c>
      <c r="P3259" s="194">
        <v>0</v>
      </c>
      <c r="Q3259" s="194">
        <v>0</v>
      </c>
      <c r="R3259" s="194">
        <v>0</v>
      </c>
      <c r="S3259" s="193">
        <f t="shared" si="706"/>
        <v>0</v>
      </c>
      <c r="T3259" s="193">
        <f t="shared" si="707"/>
        <v>0</v>
      </c>
      <c r="U3259" s="193">
        <f ca="1">OFFSET('Expenditure Study'!$B$7,'Operations Support'!$C3259,'Operations Support'!$B3259)*$G3259</f>
        <v>0</v>
      </c>
      <c r="V3259" s="199">
        <f ca="1">U3259*'Expenditure Study'!$B$31</f>
        <v>0</v>
      </c>
      <c r="W3259" s="199">
        <f ca="1">IF(A3259=10298,1.51,1)*IF($B3259&lt;3,$D3259*'Expenditure Study'!$B$32*OFFSET('Expenditure Study'!$B$7,'Operations Support'!$C3259,'Operations Support'!$B3259),0)</f>
        <v>0</v>
      </c>
      <c r="X3259" s="200">
        <f ca="1">W3259*'Expenditure Study'!$B$31</f>
        <v>0</v>
      </c>
      <c r="Y3259" s="199">
        <f ca="1">U3259*'Expenditure Study'!$B$31</f>
        <v>0</v>
      </c>
      <c r="Z3259" s="200">
        <f ca="1">W3259*'Expenditure Study'!$B$31</f>
        <v>0</v>
      </c>
      <c r="AA3259" s="195">
        <f t="shared" ca="1" si="708"/>
        <v>0</v>
      </c>
      <c r="AB3259" s="195">
        <f t="shared" ca="1" si="709"/>
        <v>0</v>
      </c>
      <c r="AD3259" s="196">
        <f>IFERROR($G3259/SUMIF($A:$A,$A3259,$G:$G)*SUMIF(Summary!$A$166:$A$242,$A3259,Summary!$P$166:$P$242),0)</f>
        <v>0</v>
      </c>
      <c r="AE3259" s="197">
        <f t="shared" ca="1" si="710"/>
        <v>0</v>
      </c>
      <c r="AF3259" s="196">
        <f>IFERROR(G3259/SUMIF(A:A,A3259,G:G)*SUMIF(Summary!$A$166:$A$242,'Operations Support'!A3259,Summary!$Q$166:$Q$242),0)</f>
        <v>0</v>
      </c>
      <c r="AG3259" s="196">
        <f t="shared" ca="1" si="711"/>
        <v>0</v>
      </c>
      <c r="AI3259" s="196">
        <f>IFERROR($G3259/SUMIF($A:$A,$A3259,$G:$G)*SUMIF(Summary!$A$247:$A$283,$A3259,Summary!$P$247:$P$283),0)</f>
        <v>0</v>
      </c>
      <c r="AJ3259" s="196">
        <f>IFERROR($G3259/SUMIF($A:$A,$A3259,$G:$G)*(SUMIF(Summary!$A$247:$A$283,$A3259,Summary!$L$247:$L$283)+SUMIF(Summary!$A$297:$A$333,$A3259,Summary!$L$297:$L$333))-AI3259,0)</f>
        <v>0</v>
      </c>
      <c r="AK3259" s="196">
        <f>IFERROR($G3259/SUMIF($A:$A,$A3259,$G:$G)*SUMIF(Summary!$A$247:$A$283,$A3259,Summary!$Q$247:$Q$283),0)</f>
        <v>0</v>
      </c>
      <c r="AL3259" s="196">
        <f>IFERROR($G3259/SUMIF($A:$A,$A3259,$G:$G)*(SUMIF(Summary!$A$247:$A$283,$A3259,Summary!$L$247:$L$283)+SUMIF(Summary!$A$297:$A$333,$A3259,Summary!$L$297:$L$333))-AK3259,0)</f>
        <v>0</v>
      </c>
      <c r="AM3259" s="198"/>
      <c r="AN3259" s="196">
        <f t="shared" ca="1" si="712"/>
        <v>0</v>
      </c>
      <c r="AO3259" s="196">
        <f t="shared" ca="1" si="713"/>
        <v>0</v>
      </c>
    </row>
    <row r="3260" spans="1:41">
      <c r="A3260" s="189">
        <v>12826</v>
      </c>
      <c r="B3260" s="190">
        <v>1</v>
      </c>
      <c r="C3260" s="191" t="s">
        <v>220</v>
      </c>
      <c r="D3260" s="192">
        <f t="shared" si="700"/>
        <v>28976</v>
      </c>
      <c r="E3260" s="192">
        <f t="shared" si="701"/>
        <v>48939</v>
      </c>
      <c r="F3260" s="192">
        <f t="shared" si="702"/>
        <v>0</v>
      </c>
      <c r="G3260" s="193">
        <f t="shared" si="703"/>
        <v>77915</v>
      </c>
      <c r="H3260" s="194">
        <v>11350</v>
      </c>
      <c r="I3260" s="194">
        <v>20756</v>
      </c>
      <c r="J3260" s="194">
        <v>0</v>
      </c>
      <c r="K3260" s="193">
        <f t="shared" si="704"/>
        <v>32106</v>
      </c>
      <c r="L3260" s="194">
        <v>12975</v>
      </c>
      <c r="M3260" s="194">
        <v>25075</v>
      </c>
      <c r="N3260" s="194">
        <v>0</v>
      </c>
      <c r="O3260" s="193">
        <f t="shared" si="705"/>
        <v>38050</v>
      </c>
      <c r="P3260" s="194">
        <v>4651</v>
      </c>
      <c r="Q3260" s="194">
        <v>3108</v>
      </c>
      <c r="R3260" s="194">
        <v>0</v>
      </c>
      <c r="S3260" s="193">
        <f t="shared" si="706"/>
        <v>7759</v>
      </c>
      <c r="T3260" s="193">
        <f t="shared" si="707"/>
        <v>2597.1666666666665</v>
      </c>
      <c r="U3260" s="193">
        <f ca="1">OFFSET('Expenditure Study'!$B$7,'Operations Support'!$C3260,'Operations Support'!$B3260)*$G3260</f>
        <v>77915</v>
      </c>
      <c r="V3260" s="199">
        <f ca="1">U3260*'Expenditure Study'!$B$31</f>
        <v>4603466.0320319999</v>
      </c>
      <c r="W3260" s="199">
        <f ca="1">IF(A3260=10298,1.51,1)*IF($B3260&lt;3,$D3260*'Expenditure Study'!$B$32*OFFSET('Expenditure Study'!$B$7,'Operations Support'!$C3260,'Operations Support'!$B3260),0)</f>
        <v>2897.6000000000004</v>
      </c>
      <c r="X3260" s="200">
        <f ca="1">W3260*'Expenditure Study'!$B$31</f>
        <v>171199.42468608002</v>
      </c>
      <c r="Y3260" s="199">
        <f ca="1">U3260*'Expenditure Study'!$B$31</f>
        <v>4603466.0320319999</v>
      </c>
      <c r="Z3260" s="200">
        <f ca="1">W3260*'Expenditure Study'!$B$31</f>
        <v>171199.42468608002</v>
      </c>
      <c r="AA3260" s="195">
        <f t="shared" ca="1" si="708"/>
        <v>4774665.4567180797</v>
      </c>
      <c r="AB3260" s="195">
        <f t="shared" ca="1" si="709"/>
        <v>4774665.4567180797</v>
      </c>
      <c r="AD3260" s="196">
        <f>IFERROR($G3260/SUMIF($A:$A,$A3260,$G:$G)*SUMIF(Summary!$A$166:$A$242,$A3260,Summary!$P$166:$P$242),0)</f>
        <v>2783716.5620666277</v>
      </c>
      <c r="AE3260" s="197">
        <f t="shared" ca="1" si="710"/>
        <v>1990948.8946514521</v>
      </c>
      <c r="AF3260" s="196">
        <f>IFERROR(G3260/SUMIF(A:A,A3260,G:G)*SUMIF(Summary!$A$166:$A$242,'Operations Support'!A3260,Summary!$Q$166:$Q$242),0)</f>
        <v>2790985.5025098235</v>
      </c>
      <c r="AG3260" s="196">
        <f t="shared" ca="1" si="711"/>
        <v>1983679.9542082562</v>
      </c>
      <c r="AI3260" s="196">
        <f>IFERROR($G3260/SUMIF($A:$A,$A3260,$G:$G)*SUMIF(Summary!$A$247:$A$283,$A3260,Summary!$P$247:$P$283),0)</f>
        <v>507680.43404849176</v>
      </c>
      <c r="AJ3260" s="196">
        <f>IFERROR($G3260/SUMIF($A:$A,$A3260,$G:$G)*(SUMIF(Summary!$A$247:$A$283,$A3260,Summary!$L$247:$L$283)+SUMIF(Summary!$A$297:$A$333,$A3260,Summary!$L$297:$L$333))-AI3260,0)</f>
        <v>889405.70287990826</v>
      </c>
      <c r="AK3260" s="196">
        <f>IFERROR($G3260/SUMIF($A:$A,$A3260,$G:$G)*SUMIF(Summary!$A$247:$A$283,$A3260,Summary!$Q$247:$Q$283),0)</f>
        <v>509006.10739094386</v>
      </c>
      <c r="AL3260" s="196">
        <f>IFERROR($G3260/SUMIF($A:$A,$A3260,$G:$G)*(SUMIF(Summary!$A$247:$A$283,$A3260,Summary!$L$247:$L$283)+SUMIF(Summary!$A$297:$A$333,$A3260,Summary!$L$297:$L$333))-AK3260,0)</f>
        <v>888080.02953745611</v>
      </c>
      <c r="AM3260" s="198"/>
      <c r="AN3260" s="196">
        <f t="shared" ca="1" si="712"/>
        <v>2880354.5975313606</v>
      </c>
      <c r="AO3260" s="196">
        <f t="shared" ca="1" si="713"/>
        <v>2871759.9837457123</v>
      </c>
    </row>
    <row r="3261" spans="1:41">
      <c r="A3261" s="189">
        <v>12826</v>
      </c>
      <c r="B3261" s="190">
        <v>1</v>
      </c>
      <c r="C3261" s="191" t="s">
        <v>221</v>
      </c>
      <c r="D3261" s="192">
        <f t="shared" si="700"/>
        <v>3193</v>
      </c>
      <c r="E3261" s="192">
        <f t="shared" si="701"/>
        <v>15056</v>
      </c>
      <c r="F3261" s="192">
        <f t="shared" si="702"/>
        <v>0</v>
      </c>
      <c r="G3261" s="193">
        <f t="shared" si="703"/>
        <v>18249</v>
      </c>
      <c r="H3261" s="194">
        <v>1063</v>
      </c>
      <c r="I3261" s="194">
        <v>6111</v>
      </c>
      <c r="J3261" s="194">
        <v>0</v>
      </c>
      <c r="K3261" s="193">
        <f t="shared" si="704"/>
        <v>7174</v>
      </c>
      <c r="L3261" s="194">
        <v>1927</v>
      </c>
      <c r="M3261" s="194">
        <v>7820</v>
      </c>
      <c r="N3261" s="194">
        <v>0</v>
      </c>
      <c r="O3261" s="193">
        <f t="shared" si="705"/>
        <v>9747</v>
      </c>
      <c r="P3261" s="194">
        <v>203</v>
      </c>
      <c r="Q3261" s="194">
        <v>1125</v>
      </c>
      <c r="R3261" s="194">
        <v>0</v>
      </c>
      <c r="S3261" s="193">
        <f t="shared" si="706"/>
        <v>1328</v>
      </c>
      <c r="T3261" s="193">
        <f t="shared" si="707"/>
        <v>608.29999999999995</v>
      </c>
      <c r="U3261" s="193">
        <f ca="1">OFFSET('Expenditure Study'!$B$7,'Operations Support'!$C3261,'Operations Support'!$B3261)*$G3261</f>
        <v>24453.66</v>
      </c>
      <c r="V3261" s="199">
        <f ca="1">U3261*'Expenditure Study'!$B$31</f>
        <v>1444800.015001728</v>
      </c>
      <c r="W3261" s="199">
        <f ca="1">IF(A3261=10298,1.51,1)*IF($B3261&lt;3,$D3261*'Expenditure Study'!$B$32*OFFSET('Expenditure Study'!$B$7,'Operations Support'!$C3261,'Operations Support'!$B3261),0)</f>
        <v>427.86200000000002</v>
      </c>
      <c r="X3261" s="200">
        <f ca="1">W3261*'Expenditure Study'!$B$31</f>
        <v>25279.447903449603</v>
      </c>
      <c r="Y3261" s="199">
        <f ca="1">U3261*'Expenditure Study'!$B$31</f>
        <v>1444800.015001728</v>
      </c>
      <c r="Z3261" s="200">
        <f ca="1">W3261*'Expenditure Study'!$B$31</f>
        <v>25279.447903449603</v>
      </c>
      <c r="AA3261" s="195">
        <f t="shared" ca="1" si="708"/>
        <v>1470079.4629051776</v>
      </c>
      <c r="AB3261" s="195">
        <f t="shared" ca="1" si="709"/>
        <v>1470079.4629051776</v>
      </c>
      <c r="AD3261" s="196">
        <f>IFERROR($G3261/SUMIF($A:$A,$A3261,$G:$G)*SUMIF(Summary!$A$166:$A$242,$A3261,Summary!$P$166:$P$242),0)</f>
        <v>651993.11481940432</v>
      </c>
      <c r="AE3261" s="197">
        <f t="shared" ca="1" si="710"/>
        <v>818086.34808577329</v>
      </c>
      <c r="AF3261" s="196">
        <f>IFERROR(G3261/SUMIF(A:A,A3261,G:G)*SUMIF(Summary!$A$166:$A$242,'Operations Support'!A3261,Summary!$Q$166:$Q$242),0)</f>
        <v>653695.622605426</v>
      </c>
      <c r="AG3261" s="196">
        <f t="shared" ca="1" si="711"/>
        <v>816383.84029975161</v>
      </c>
      <c r="AI3261" s="196">
        <f>IFERROR($G3261/SUMIF($A:$A,$A3261,$G:$G)*SUMIF(Summary!$A$247:$A$283,$A3261,Summary!$P$247:$P$283),0)</f>
        <v>118907.27383624368</v>
      </c>
      <c r="AJ3261" s="196">
        <f>IFERROR($G3261/SUMIF($A:$A,$A3261,$G:$G)*(SUMIF(Summary!$A$247:$A$283,$A3261,Summary!$L$247:$L$283)+SUMIF(Summary!$A$297:$A$333,$A3261,Summary!$L$297:$L$333))-AI3261,0)</f>
        <v>208313.73511975165</v>
      </c>
      <c r="AK3261" s="196">
        <f>IFERROR($G3261/SUMIF($A:$A,$A3261,$G:$G)*SUMIF(Summary!$A$247:$A$283,$A3261,Summary!$Q$247:$Q$283),0)</f>
        <v>119217.76877080582</v>
      </c>
      <c r="AL3261" s="196">
        <f>IFERROR($G3261/SUMIF($A:$A,$A3261,$G:$G)*(SUMIF(Summary!$A$247:$A$283,$A3261,Summary!$L$247:$L$283)+SUMIF(Summary!$A$297:$A$333,$A3261,Summary!$L$297:$L$333))-AK3261,0)</f>
        <v>208003.2401851895</v>
      </c>
      <c r="AM3261" s="198"/>
      <c r="AN3261" s="196">
        <f t="shared" ca="1" si="712"/>
        <v>1026400.0832055249</v>
      </c>
      <c r="AO3261" s="196">
        <f t="shared" ca="1" si="713"/>
        <v>1024387.0804849411</v>
      </c>
    </row>
    <row r="3262" spans="1:41">
      <c r="A3262" s="189">
        <v>12826</v>
      </c>
      <c r="B3262" s="190">
        <v>1</v>
      </c>
      <c r="C3262" s="191" t="s">
        <v>222</v>
      </c>
      <c r="D3262" s="192">
        <f t="shared" si="700"/>
        <v>1179</v>
      </c>
      <c r="E3262" s="192">
        <f t="shared" si="701"/>
        <v>6513</v>
      </c>
      <c r="F3262" s="192">
        <f t="shared" si="702"/>
        <v>0</v>
      </c>
      <c r="G3262" s="193">
        <f t="shared" si="703"/>
        <v>7692</v>
      </c>
      <c r="H3262" s="194">
        <v>501</v>
      </c>
      <c r="I3262" s="194">
        <v>2472</v>
      </c>
      <c r="J3262" s="194">
        <v>0</v>
      </c>
      <c r="K3262" s="193">
        <f t="shared" si="704"/>
        <v>2973</v>
      </c>
      <c r="L3262" s="194">
        <v>426</v>
      </c>
      <c r="M3262" s="194">
        <v>3372</v>
      </c>
      <c r="N3262" s="194">
        <v>0</v>
      </c>
      <c r="O3262" s="193">
        <f t="shared" si="705"/>
        <v>3798</v>
      </c>
      <c r="P3262" s="194">
        <v>252</v>
      </c>
      <c r="Q3262" s="194">
        <v>669</v>
      </c>
      <c r="R3262" s="194">
        <v>0</v>
      </c>
      <c r="S3262" s="193">
        <f t="shared" si="706"/>
        <v>921</v>
      </c>
      <c r="T3262" s="193">
        <f t="shared" si="707"/>
        <v>256.39999999999998</v>
      </c>
      <c r="U3262" s="193">
        <f ca="1">OFFSET('Expenditure Study'!$B$7,'Operations Support'!$C3262,'Operations Support'!$B3262)*$G3262</f>
        <v>10538.04</v>
      </c>
      <c r="V3262" s="199">
        <f ca="1">U3262*'Expenditure Study'!$B$31</f>
        <v>622620.92259763204</v>
      </c>
      <c r="W3262" s="199">
        <f ca="1">IF(A3262=10298,1.51,1)*IF($B3262&lt;3,$D3262*'Expenditure Study'!$B$32*OFFSET('Expenditure Study'!$B$7,'Operations Support'!$C3262,'Operations Support'!$B3262),0)</f>
        <v>161.52300000000002</v>
      </c>
      <c r="X3262" s="200">
        <f ca="1">W3262*'Expenditure Study'!$B$31</f>
        <v>9543.292612358402</v>
      </c>
      <c r="Y3262" s="199">
        <f ca="1">U3262*'Expenditure Study'!$B$31</f>
        <v>622620.92259763204</v>
      </c>
      <c r="Z3262" s="200">
        <f ca="1">W3262*'Expenditure Study'!$B$31</f>
        <v>9543.292612358402</v>
      </c>
      <c r="AA3262" s="195">
        <f t="shared" ca="1" si="708"/>
        <v>632164.21520999039</v>
      </c>
      <c r="AB3262" s="195">
        <f t="shared" ca="1" si="709"/>
        <v>632164.21520999039</v>
      </c>
      <c r="AD3262" s="196">
        <f>IFERROR($G3262/SUMIF($A:$A,$A3262,$G:$G)*SUMIF(Summary!$A$166:$A$242,$A3262,Summary!$P$166:$P$242),0)</f>
        <v>274816.75923014182</v>
      </c>
      <c r="AE3262" s="197">
        <f t="shared" ca="1" si="710"/>
        <v>357347.45597984857</v>
      </c>
      <c r="AF3262" s="196">
        <f>IFERROR(G3262/SUMIF(A:A,A3262,G:G)*SUMIF(Summary!$A$166:$A$242,'Operations Support'!A3262,Summary!$Q$166:$Q$242),0)</f>
        <v>275534.37060008425</v>
      </c>
      <c r="AG3262" s="196">
        <f t="shared" ca="1" si="711"/>
        <v>356629.84460990614</v>
      </c>
      <c r="AI3262" s="196">
        <f>IFERROR($G3262/SUMIF($A:$A,$A3262,$G:$G)*SUMIF(Summary!$A$247:$A$283,$A3262,Summary!$P$247:$P$283),0)</f>
        <v>50119.718907796938</v>
      </c>
      <c r="AJ3262" s="196">
        <f>IFERROR($G3262/SUMIF($A:$A,$A3262,$G:$G)*(SUMIF(Summary!$A$247:$A$283,$A3262,Summary!$L$247:$L$283)+SUMIF(Summary!$A$297:$A$333,$A3262,Summary!$L$297:$L$333))-AI3262,0)</f>
        <v>87804.770154042941</v>
      </c>
      <c r="AK3262" s="196">
        <f>IFERROR($G3262/SUMIF($A:$A,$A3262,$G:$G)*SUMIF(Summary!$A$247:$A$283,$A3262,Summary!$Q$247:$Q$283),0)</f>
        <v>50250.593313882317</v>
      </c>
      <c r="AL3262" s="196">
        <f>IFERROR($G3262/SUMIF($A:$A,$A3262,$G:$G)*(SUMIF(Summary!$A$247:$A$283,$A3262,Summary!$L$247:$L$283)+SUMIF(Summary!$A$297:$A$333,$A3262,Summary!$L$297:$L$333))-AK3262,0)</f>
        <v>87673.895747957562</v>
      </c>
      <c r="AM3262" s="198"/>
      <c r="AN3262" s="196">
        <f t="shared" ca="1" si="712"/>
        <v>445152.2261338915</v>
      </c>
      <c r="AO3262" s="196">
        <f t="shared" ca="1" si="713"/>
        <v>444303.74035786372</v>
      </c>
    </row>
    <row r="3263" spans="1:41">
      <c r="A3263" s="189">
        <v>12826</v>
      </c>
      <c r="B3263" s="190">
        <v>1</v>
      </c>
      <c r="C3263" s="191" t="s">
        <v>223</v>
      </c>
      <c r="D3263" s="192">
        <f t="shared" si="700"/>
        <v>1191</v>
      </c>
      <c r="E3263" s="192">
        <f t="shared" si="701"/>
        <v>735</v>
      </c>
      <c r="F3263" s="192">
        <f t="shared" si="702"/>
        <v>0</v>
      </c>
      <c r="G3263" s="193">
        <f t="shared" si="703"/>
        <v>1926</v>
      </c>
      <c r="H3263" s="194">
        <v>411</v>
      </c>
      <c r="I3263" s="194">
        <v>297</v>
      </c>
      <c r="J3263" s="194">
        <v>0</v>
      </c>
      <c r="K3263" s="193">
        <f t="shared" si="704"/>
        <v>708</v>
      </c>
      <c r="L3263" s="194">
        <v>552</v>
      </c>
      <c r="M3263" s="194">
        <v>273</v>
      </c>
      <c r="N3263" s="194">
        <v>0</v>
      </c>
      <c r="O3263" s="193">
        <f t="shared" si="705"/>
        <v>825</v>
      </c>
      <c r="P3263" s="194">
        <v>228</v>
      </c>
      <c r="Q3263" s="194">
        <v>165</v>
      </c>
      <c r="R3263" s="194">
        <v>0</v>
      </c>
      <c r="S3263" s="193">
        <f t="shared" si="706"/>
        <v>393</v>
      </c>
      <c r="T3263" s="193">
        <f t="shared" si="707"/>
        <v>64.2</v>
      </c>
      <c r="U3263" s="193">
        <f ca="1">OFFSET('Expenditure Study'!$B$7,'Operations Support'!$C3263,'Operations Support'!$B3263)*$G3263</f>
        <v>2426.7600000000002</v>
      </c>
      <c r="V3263" s="199">
        <f ca="1">U3263*'Expenditure Study'!$B$31</f>
        <v>143380.69983820801</v>
      </c>
      <c r="W3263" s="199">
        <f ca="1">IF(A3263=10298,1.51,1)*IF($B3263&lt;3,$D3263*'Expenditure Study'!$B$32*OFFSET('Expenditure Study'!$B$7,'Operations Support'!$C3263,'Operations Support'!$B3263),0)</f>
        <v>150.066</v>
      </c>
      <c r="X3263" s="200">
        <f ca="1">W3263*'Expenditure Study'!$B$31</f>
        <v>8866.3766099328004</v>
      </c>
      <c r="Y3263" s="199">
        <f ca="1">U3263*'Expenditure Study'!$B$31</f>
        <v>143380.69983820801</v>
      </c>
      <c r="Z3263" s="200">
        <f ca="1">W3263*'Expenditure Study'!$B$31</f>
        <v>8866.3766099328004</v>
      </c>
      <c r="AA3263" s="195">
        <f t="shared" ca="1" si="708"/>
        <v>152247.07644814081</v>
      </c>
      <c r="AB3263" s="195">
        <f t="shared" ca="1" si="709"/>
        <v>152247.07644814081</v>
      </c>
      <c r="AD3263" s="196">
        <f>IFERROR($G3263/SUMIF($A:$A,$A3263,$G:$G)*SUMIF(Summary!$A$166:$A$242,$A3263,Summary!$P$166:$P$242),0)</f>
        <v>68811.372630948143</v>
      </c>
      <c r="AE3263" s="197">
        <f t="shared" ca="1" si="710"/>
        <v>83435.703817192669</v>
      </c>
      <c r="AF3263" s="196">
        <f>IFERROR(G3263/SUMIF(A:A,A3263,G:G)*SUMIF(Summary!$A$166:$A$242,'Operations Support'!A3263,Summary!$Q$166:$Q$242),0)</f>
        <v>68991.055353063202</v>
      </c>
      <c r="AG3263" s="196">
        <f t="shared" ca="1" si="711"/>
        <v>83256.021095077609</v>
      </c>
      <c r="AI3263" s="196">
        <f>IFERROR($G3263/SUMIF($A:$A,$A3263,$G:$G)*SUMIF(Summary!$A$247:$A$283,$A3263,Summary!$P$247:$P$283),0)</f>
        <v>12549.477199222165</v>
      </c>
      <c r="AJ3263" s="196">
        <f>IFERROR($G3263/SUMIF($A:$A,$A3263,$G:$G)*(SUMIF(Summary!$A$247:$A$283,$A3263,Summary!$L$247:$L$283)+SUMIF(Summary!$A$297:$A$333,$A3263,Summary!$L$297:$L$333))-AI3263,0)</f>
        <v>21985.437768680014</v>
      </c>
      <c r="AK3263" s="196">
        <f>IFERROR($G3263/SUMIF($A:$A,$A3263,$G:$G)*SUMIF(Summary!$A$247:$A$283,$A3263,Summary!$Q$247:$Q$283),0)</f>
        <v>12582.246843803605</v>
      </c>
      <c r="AL3263" s="196">
        <f>IFERROR($G3263/SUMIF($A:$A,$A3263,$G:$G)*(SUMIF(Summary!$A$247:$A$283,$A3263,Summary!$L$247:$L$283)+SUMIF(Summary!$A$297:$A$333,$A3263,Summary!$L$297:$L$333))-AK3263,0)</f>
        <v>21952.668124098574</v>
      </c>
      <c r="AM3263" s="198"/>
      <c r="AN3263" s="196">
        <f t="shared" ca="1" si="712"/>
        <v>105421.14158587268</v>
      </c>
      <c r="AO3263" s="196">
        <f t="shared" ca="1" si="713"/>
        <v>105208.68921917619</v>
      </c>
    </row>
    <row r="3264" spans="1:41">
      <c r="A3264" s="189">
        <v>12826</v>
      </c>
      <c r="B3264" s="190">
        <v>1</v>
      </c>
      <c r="C3264" s="191" t="s">
        <v>224</v>
      </c>
      <c r="D3264" s="192">
        <f t="shared" si="700"/>
        <v>0</v>
      </c>
      <c r="E3264" s="192">
        <f t="shared" si="701"/>
        <v>0</v>
      </c>
      <c r="F3264" s="192">
        <f t="shared" si="702"/>
        <v>0</v>
      </c>
      <c r="G3264" s="193">
        <f t="shared" si="703"/>
        <v>0</v>
      </c>
      <c r="H3264" s="194">
        <v>0</v>
      </c>
      <c r="I3264" s="194">
        <v>0</v>
      </c>
      <c r="J3264" s="194">
        <v>0</v>
      </c>
      <c r="K3264" s="193">
        <f t="shared" si="704"/>
        <v>0</v>
      </c>
      <c r="L3264" s="194">
        <v>0</v>
      </c>
      <c r="M3264" s="194">
        <v>0</v>
      </c>
      <c r="N3264" s="194">
        <v>0</v>
      </c>
      <c r="O3264" s="193">
        <f t="shared" si="705"/>
        <v>0</v>
      </c>
      <c r="P3264" s="194">
        <v>0</v>
      </c>
      <c r="Q3264" s="194">
        <v>0</v>
      </c>
      <c r="R3264" s="194">
        <v>0</v>
      </c>
      <c r="S3264" s="193">
        <f t="shared" si="706"/>
        <v>0</v>
      </c>
      <c r="T3264" s="193">
        <f t="shared" si="707"/>
        <v>0</v>
      </c>
      <c r="U3264" s="193">
        <f ca="1">OFFSET('Expenditure Study'!$B$7,'Operations Support'!$C3264,'Operations Support'!$B3264)*$G3264</f>
        <v>0</v>
      </c>
      <c r="V3264" s="199">
        <f ca="1">U3264*'Expenditure Study'!$B$31</f>
        <v>0</v>
      </c>
      <c r="W3264" s="199">
        <f ca="1">IF(A3264=10298,1.51,1)*IF($B3264&lt;3,$D3264*'Expenditure Study'!$B$32*OFFSET('Expenditure Study'!$B$7,'Operations Support'!$C3264,'Operations Support'!$B3264),0)</f>
        <v>0</v>
      </c>
      <c r="X3264" s="200">
        <f ca="1">W3264*'Expenditure Study'!$B$31</f>
        <v>0</v>
      </c>
      <c r="Y3264" s="199">
        <f ca="1">U3264*'Expenditure Study'!$B$31</f>
        <v>0</v>
      </c>
      <c r="Z3264" s="200">
        <f ca="1">W3264*'Expenditure Study'!$B$31</f>
        <v>0</v>
      </c>
      <c r="AA3264" s="195">
        <f t="shared" ca="1" si="708"/>
        <v>0</v>
      </c>
      <c r="AB3264" s="195">
        <f t="shared" ca="1" si="709"/>
        <v>0</v>
      </c>
      <c r="AD3264" s="196">
        <f>IFERROR($G3264/SUMIF($A:$A,$A3264,$G:$G)*SUMIF(Summary!$A$166:$A$242,$A3264,Summary!$P$166:$P$242),0)</f>
        <v>0</v>
      </c>
      <c r="AE3264" s="197">
        <f t="shared" ca="1" si="710"/>
        <v>0</v>
      </c>
      <c r="AF3264" s="196">
        <f>IFERROR(G3264/SUMIF(A:A,A3264,G:G)*SUMIF(Summary!$A$166:$A$242,'Operations Support'!A3264,Summary!$Q$166:$Q$242),0)</f>
        <v>0</v>
      </c>
      <c r="AG3264" s="196">
        <f t="shared" ca="1" si="711"/>
        <v>0</v>
      </c>
      <c r="AI3264" s="196">
        <f>IFERROR($G3264/SUMIF($A:$A,$A3264,$G:$G)*SUMIF(Summary!$A$247:$A$283,$A3264,Summary!$P$247:$P$283),0)</f>
        <v>0</v>
      </c>
      <c r="AJ3264" s="196">
        <f>IFERROR($G3264/SUMIF($A:$A,$A3264,$G:$G)*(SUMIF(Summary!$A$247:$A$283,$A3264,Summary!$L$247:$L$283)+SUMIF(Summary!$A$297:$A$333,$A3264,Summary!$L$297:$L$333))-AI3264,0)</f>
        <v>0</v>
      </c>
      <c r="AK3264" s="196">
        <f>IFERROR($G3264/SUMIF($A:$A,$A3264,$G:$G)*SUMIF(Summary!$A$247:$A$283,$A3264,Summary!$Q$247:$Q$283),0)</f>
        <v>0</v>
      </c>
      <c r="AL3264" s="196">
        <f>IFERROR($G3264/SUMIF($A:$A,$A3264,$G:$G)*(SUMIF(Summary!$A$247:$A$283,$A3264,Summary!$L$247:$L$283)+SUMIF(Summary!$A$297:$A$333,$A3264,Summary!$L$297:$L$333))-AK3264,0)</f>
        <v>0</v>
      </c>
      <c r="AM3264" s="198"/>
      <c r="AN3264" s="196">
        <f t="shared" ca="1" si="712"/>
        <v>0</v>
      </c>
      <c r="AO3264" s="196">
        <f t="shared" ca="1" si="713"/>
        <v>0</v>
      </c>
    </row>
    <row r="3265" spans="1:41">
      <c r="A3265" s="189">
        <v>12826</v>
      </c>
      <c r="B3265" s="190">
        <v>1</v>
      </c>
      <c r="C3265" s="191" t="s">
        <v>225</v>
      </c>
      <c r="D3265" s="192">
        <f t="shared" si="700"/>
        <v>768</v>
      </c>
      <c r="E3265" s="192">
        <f t="shared" si="701"/>
        <v>3507</v>
      </c>
      <c r="F3265" s="192">
        <f t="shared" si="702"/>
        <v>0</v>
      </c>
      <c r="G3265" s="193">
        <f t="shared" si="703"/>
        <v>4275</v>
      </c>
      <c r="H3265" s="194">
        <v>321</v>
      </c>
      <c r="I3265" s="194">
        <v>1708</v>
      </c>
      <c r="J3265" s="194">
        <v>0</v>
      </c>
      <c r="K3265" s="193">
        <f t="shared" si="704"/>
        <v>2029</v>
      </c>
      <c r="L3265" s="194">
        <v>388</v>
      </c>
      <c r="M3265" s="194">
        <v>1508</v>
      </c>
      <c r="N3265" s="194">
        <v>0</v>
      </c>
      <c r="O3265" s="193">
        <f t="shared" si="705"/>
        <v>1896</v>
      </c>
      <c r="P3265" s="194">
        <v>59</v>
      </c>
      <c r="Q3265" s="194">
        <v>291</v>
      </c>
      <c r="R3265" s="194">
        <v>0</v>
      </c>
      <c r="S3265" s="193">
        <f t="shared" si="706"/>
        <v>350</v>
      </c>
      <c r="T3265" s="193">
        <f t="shared" si="707"/>
        <v>142.5</v>
      </c>
      <c r="U3265" s="193">
        <f ca="1">OFFSET('Expenditure Study'!$B$7,'Operations Support'!$C3265,'Operations Support'!$B3265)*$G3265</f>
        <v>7524</v>
      </c>
      <c r="V3265" s="199">
        <f ca="1">U3265*'Expenditure Study'!$B$31</f>
        <v>444541.85233920004</v>
      </c>
      <c r="W3265" s="199">
        <f ca="1">IF(A3265=10298,1.51,1)*IF($B3265&lt;3,$D3265*'Expenditure Study'!$B$32*OFFSET('Expenditure Study'!$B$7,'Operations Support'!$C3265,'Operations Support'!$B3265),0)</f>
        <v>135.16800000000003</v>
      </c>
      <c r="X3265" s="200">
        <f ca="1">W3265*'Expenditure Study'!$B$31</f>
        <v>7986.1553823744025</v>
      </c>
      <c r="Y3265" s="199">
        <f ca="1">U3265*'Expenditure Study'!$B$31</f>
        <v>444541.85233920004</v>
      </c>
      <c r="Z3265" s="200">
        <f ca="1">W3265*'Expenditure Study'!$B$31</f>
        <v>7986.1553823744025</v>
      </c>
      <c r="AA3265" s="195">
        <f t="shared" ca="1" si="708"/>
        <v>452528.00772157445</v>
      </c>
      <c r="AB3265" s="195">
        <f t="shared" ca="1" si="709"/>
        <v>452528.00772157445</v>
      </c>
      <c r="AD3265" s="196">
        <f>IFERROR($G3265/SUMIF($A:$A,$A3265,$G:$G)*SUMIF(Summary!$A$166:$A$242,$A3265,Summary!$P$166:$P$242),0)</f>
        <v>152735.52336308584</v>
      </c>
      <c r="AE3265" s="197">
        <f t="shared" ca="1" si="710"/>
        <v>299792.48435848858</v>
      </c>
      <c r="AF3265" s="196">
        <f>IFERROR(G3265/SUMIF(A:A,A3265,G:G)*SUMIF(Summary!$A$166:$A$242,'Operations Support'!A3265,Summary!$Q$166:$Q$242),0)</f>
        <v>153134.35183507021</v>
      </c>
      <c r="AG3265" s="196">
        <f t="shared" ca="1" si="711"/>
        <v>299393.65588650422</v>
      </c>
      <c r="AI3265" s="196">
        <f>IFERROR($G3265/SUMIF($A:$A,$A3265,$G:$G)*SUMIF(Summary!$A$247:$A$283,$A3265,Summary!$P$247:$P$283),0)</f>
        <v>27855.147988927707</v>
      </c>
      <c r="AJ3265" s="196">
        <f>IFERROR($G3265/SUMIF($A:$A,$A3265,$G:$G)*(SUMIF(Summary!$A$247:$A$283,$A3265,Summary!$L$247:$L$283)+SUMIF(Summary!$A$297:$A$333,$A3265,Summary!$L$297:$L$333))-AI3265,0)</f>
        <v>48799.452991229002</v>
      </c>
      <c r="AK3265" s="196">
        <f>IFERROR($G3265/SUMIF($A:$A,$A3265,$G:$G)*SUMIF(Summary!$A$247:$A$283,$A3265,Summary!$Q$247:$Q$283),0)</f>
        <v>27927.884349564079</v>
      </c>
      <c r="AL3265" s="196">
        <f>IFERROR($G3265/SUMIF($A:$A,$A3265,$G:$G)*(SUMIF(Summary!$A$247:$A$283,$A3265,Summary!$L$247:$L$283)+SUMIF(Summary!$A$297:$A$333,$A3265,Summary!$L$297:$L$333))-AK3265,0)</f>
        <v>48726.716630592637</v>
      </c>
      <c r="AM3265" s="198"/>
      <c r="AN3265" s="196">
        <f t="shared" ca="1" si="712"/>
        <v>348591.9373497176</v>
      </c>
      <c r="AO3265" s="196">
        <f t="shared" ca="1" si="713"/>
        <v>348120.37251709687</v>
      </c>
    </row>
    <row r="3266" spans="1:41">
      <c r="A3266" s="189">
        <v>12826</v>
      </c>
      <c r="B3266" s="190">
        <v>1</v>
      </c>
      <c r="C3266" s="191" t="s">
        <v>226</v>
      </c>
      <c r="D3266" s="192">
        <f t="shared" si="700"/>
        <v>12</v>
      </c>
      <c r="E3266" s="192">
        <f t="shared" si="701"/>
        <v>183</v>
      </c>
      <c r="F3266" s="192">
        <f t="shared" si="702"/>
        <v>0</v>
      </c>
      <c r="G3266" s="193">
        <f t="shared" si="703"/>
        <v>195</v>
      </c>
      <c r="H3266" s="194">
        <v>3</v>
      </c>
      <c r="I3266" s="194">
        <v>114</v>
      </c>
      <c r="J3266" s="194">
        <v>0</v>
      </c>
      <c r="K3266" s="193">
        <f t="shared" si="704"/>
        <v>117</v>
      </c>
      <c r="L3266" s="194">
        <v>3</v>
      </c>
      <c r="M3266" s="194">
        <v>66</v>
      </c>
      <c r="N3266" s="194">
        <v>0</v>
      </c>
      <c r="O3266" s="193">
        <f t="shared" si="705"/>
        <v>69</v>
      </c>
      <c r="P3266" s="194">
        <v>6</v>
      </c>
      <c r="Q3266" s="194">
        <v>3</v>
      </c>
      <c r="R3266" s="194">
        <v>0</v>
      </c>
      <c r="S3266" s="193">
        <f t="shared" si="706"/>
        <v>9</v>
      </c>
      <c r="T3266" s="193">
        <f t="shared" si="707"/>
        <v>6.5</v>
      </c>
      <c r="U3266" s="193">
        <f ca="1">OFFSET('Expenditure Study'!$B$7,'Operations Support'!$C3266,'Operations Support'!$B3266)*$G3266</f>
        <v>185.25</v>
      </c>
      <c r="V3266" s="199">
        <f ca="1">U3266*'Expenditure Study'!$B$31</f>
        <v>10945.1592432</v>
      </c>
      <c r="W3266" s="199">
        <f ca="1">IF(A3266=10298,1.51,1)*IF($B3266&lt;3,$D3266*'Expenditure Study'!$B$32*OFFSET('Expenditure Study'!$B$7,'Operations Support'!$C3266,'Operations Support'!$B3266),0)</f>
        <v>1.1400000000000001</v>
      </c>
      <c r="X3266" s="200">
        <f ca="1">W3266*'Expenditure Study'!$B$31</f>
        <v>67.354826112000012</v>
      </c>
      <c r="Y3266" s="199">
        <f ca="1">U3266*'Expenditure Study'!$B$31</f>
        <v>10945.1592432</v>
      </c>
      <c r="Z3266" s="200">
        <f ca="1">W3266*'Expenditure Study'!$B$31</f>
        <v>67.354826112000012</v>
      </c>
      <c r="AA3266" s="195">
        <f t="shared" ca="1" si="708"/>
        <v>11012.514069311999</v>
      </c>
      <c r="AB3266" s="195">
        <f t="shared" ca="1" si="709"/>
        <v>11012.514069311999</v>
      </c>
      <c r="AD3266" s="196">
        <f>IFERROR($G3266/SUMIF($A:$A,$A3266,$G:$G)*SUMIF(Summary!$A$166:$A$242,$A3266,Summary!$P$166:$P$242),0)</f>
        <v>6966.8835218249669</v>
      </c>
      <c r="AE3266" s="197">
        <f t="shared" ca="1" si="710"/>
        <v>4045.6305474870323</v>
      </c>
      <c r="AF3266" s="196">
        <f>IFERROR(G3266/SUMIF(A:A,A3266,G:G)*SUMIF(Summary!$A$166:$A$242,'Operations Support'!A3266,Summary!$Q$166:$Q$242),0)</f>
        <v>6985.0756977400442</v>
      </c>
      <c r="AG3266" s="196">
        <f t="shared" ca="1" si="711"/>
        <v>4027.438371571955</v>
      </c>
      <c r="AI3266" s="196">
        <f>IFERROR($G3266/SUMIF($A:$A,$A3266,$G:$G)*SUMIF(Summary!$A$247:$A$283,$A3266,Summary!$P$247:$P$283),0)</f>
        <v>1270.585697740562</v>
      </c>
      <c r="AJ3266" s="196">
        <f>IFERROR($G3266/SUMIF($A:$A,$A3266,$G:$G)*(SUMIF(Summary!$A$247:$A$283,$A3266,Summary!$L$247:$L$283)+SUMIF(Summary!$A$297:$A$333,$A3266,Summary!$L$297:$L$333))-AI3266,0)</f>
        <v>2225.9399610034284</v>
      </c>
      <c r="AK3266" s="196">
        <f>IFERROR($G3266/SUMIF($A:$A,$A3266,$G:$G)*SUMIF(Summary!$A$247:$A$283,$A3266,Summary!$Q$247:$Q$283),0)</f>
        <v>1273.9034966467823</v>
      </c>
      <c r="AL3266" s="196">
        <f>IFERROR($G3266/SUMIF($A:$A,$A3266,$G:$G)*(SUMIF(Summary!$A$247:$A$283,$A3266,Summary!$L$247:$L$283)+SUMIF(Summary!$A$297:$A$333,$A3266,Summary!$L$297:$L$333))-AK3266,0)</f>
        <v>2222.6221620972083</v>
      </c>
      <c r="AM3266" s="198"/>
      <c r="AN3266" s="196">
        <f t="shared" ca="1" si="712"/>
        <v>6271.5705084904603</v>
      </c>
      <c r="AO3266" s="196">
        <f t="shared" ca="1" si="713"/>
        <v>6250.0605336691633</v>
      </c>
    </row>
    <row r="3267" spans="1:41" s="201" customFormat="1">
      <c r="A3267" s="189">
        <v>12826</v>
      </c>
      <c r="B3267" s="190">
        <v>1</v>
      </c>
      <c r="C3267" s="191" t="s">
        <v>227</v>
      </c>
      <c r="D3267" s="192">
        <f t="shared" si="700"/>
        <v>0</v>
      </c>
      <c r="E3267" s="192">
        <f t="shared" si="701"/>
        <v>0</v>
      </c>
      <c r="F3267" s="192">
        <f t="shared" si="702"/>
        <v>0</v>
      </c>
      <c r="G3267" s="193">
        <f t="shared" si="703"/>
        <v>0</v>
      </c>
      <c r="H3267" s="194">
        <v>0</v>
      </c>
      <c r="I3267" s="194">
        <v>0</v>
      </c>
      <c r="J3267" s="194">
        <v>0</v>
      </c>
      <c r="K3267" s="193">
        <f t="shared" si="704"/>
        <v>0</v>
      </c>
      <c r="L3267" s="194">
        <v>0</v>
      </c>
      <c r="M3267" s="194">
        <v>0</v>
      </c>
      <c r="N3267" s="194">
        <v>0</v>
      </c>
      <c r="O3267" s="193">
        <f t="shared" si="705"/>
        <v>0</v>
      </c>
      <c r="P3267" s="194">
        <v>0</v>
      </c>
      <c r="Q3267" s="194">
        <v>0</v>
      </c>
      <c r="R3267" s="194">
        <v>0</v>
      </c>
      <c r="S3267" s="193">
        <f t="shared" si="706"/>
        <v>0</v>
      </c>
      <c r="T3267" s="193">
        <f t="shared" si="707"/>
        <v>0</v>
      </c>
      <c r="U3267" s="193">
        <f ca="1">OFFSET('Expenditure Study'!$B$7,'Operations Support'!$C3267,'Operations Support'!$B3267)*$G3267</f>
        <v>0</v>
      </c>
      <c r="V3267" s="199">
        <f ca="1">U3267*'Expenditure Study'!$B$31</f>
        <v>0</v>
      </c>
      <c r="W3267" s="199">
        <f ca="1">IF(A3267=10298,1.51,1)*IF($B3267&lt;3,$D3267*'Expenditure Study'!$B$32*OFFSET('Expenditure Study'!$B$7,'Operations Support'!$C3267,'Operations Support'!$B3267),0)</f>
        <v>0</v>
      </c>
      <c r="X3267" s="200">
        <f ca="1">W3267*'Expenditure Study'!$B$31</f>
        <v>0</v>
      </c>
      <c r="Y3267" s="199">
        <f ca="1">U3267*'Expenditure Study'!$B$31</f>
        <v>0</v>
      </c>
      <c r="Z3267" s="200">
        <f ca="1">W3267*'Expenditure Study'!$B$31</f>
        <v>0</v>
      </c>
      <c r="AA3267" s="195">
        <f t="shared" ca="1" si="708"/>
        <v>0</v>
      </c>
      <c r="AB3267" s="195">
        <f t="shared" ca="1" si="709"/>
        <v>0</v>
      </c>
      <c r="AD3267" s="196">
        <f>IFERROR($G3267/SUMIF($A:$A,$A3267,$G:$G)*SUMIF(Summary!$A$166:$A$242,$A3267,Summary!$P$166:$P$242),0)</f>
        <v>0</v>
      </c>
      <c r="AE3267" s="197">
        <f t="shared" ca="1" si="710"/>
        <v>0</v>
      </c>
      <c r="AF3267" s="196">
        <f>IFERROR(G3267/SUMIF(A:A,A3267,G:G)*SUMIF(Summary!$A$166:$A$242,'Operations Support'!A3267,Summary!$Q$166:$Q$242),0)</f>
        <v>0</v>
      </c>
      <c r="AG3267" s="196">
        <f t="shared" ca="1" si="711"/>
        <v>0</v>
      </c>
      <c r="AH3267" s="180"/>
      <c r="AI3267" s="196">
        <f>IFERROR($G3267/SUMIF($A:$A,$A3267,$G:$G)*SUMIF(Summary!$A$247:$A$283,$A3267,Summary!$P$247:$P$283),0)</f>
        <v>0</v>
      </c>
      <c r="AJ3267" s="196">
        <f>IFERROR($G3267/SUMIF($A:$A,$A3267,$G:$G)*(SUMIF(Summary!$A$247:$A$283,$A3267,Summary!$L$247:$L$283)+SUMIF(Summary!$A$297:$A$333,$A3267,Summary!$L$297:$L$333))-AI3267,0)</f>
        <v>0</v>
      </c>
      <c r="AK3267" s="196">
        <f>IFERROR($G3267/SUMIF($A:$A,$A3267,$G:$G)*SUMIF(Summary!$A$247:$A$283,$A3267,Summary!$Q$247:$Q$283),0)</f>
        <v>0</v>
      </c>
      <c r="AL3267" s="196">
        <f>IFERROR($G3267/SUMIF($A:$A,$A3267,$G:$G)*(SUMIF(Summary!$A$247:$A$283,$A3267,Summary!$L$247:$L$283)+SUMIF(Summary!$A$297:$A$333,$A3267,Summary!$L$297:$L$333))-AK3267,0)</f>
        <v>0</v>
      </c>
      <c r="AM3267" s="198"/>
      <c r="AN3267" s="196">
        <f t="shared" ca="1" si="712"/>
        <v>0</v>
      </c>
      <c r="AO3267" s="196">
        <f t="shared" ca="1" si="713"/>
        <v>0</v>
      </c>
    </row>
    <row r="3268" spans="1:41">
      <c r="A3268" s="189">
        <v>12826</v>
      </c>
      <c r="B3268" s="190">
        <v>1</v>
      </c>
      <c r="C3268" s="191" t="s">
        <v>228</v>
      </c>
      <c r="D3268" s="192">
        <f t="shared" si="700"/>
        <v>156</v>
      </c>
      <c r="E3268" s="192">
        <f t="shared" si="701"/>
        <v>993</v>
      </c>
      <c r="F3268" s="192">
        <f t="shared" si="702"/>
        <v>0</v>
      </c>
      <c r="G3268" s="193">
        <f t="shared" si="703"/>
        <v>1149</v>
      </c>
      <c r="H3268" s="194">
        <v>144</v>
      </c>
      <c r="I3268" s="194">
        <v>288</v>
      </c>
      <c r="J3268" s="194">
        <v>0</v>
      </c>
      <c r="K3268" s="193">
        <f t="shared" si="704"/>
        <v>432</v>
      </c>
      <c r="L3268" s="194">
        <v>12</v>
      </c>
      <c r="M3268" s="194">
        <v>558</v>
      </c>
      <c r="N3268" s="194">
        <v>0</v>
      </c>
      <c r="O3268" s="193">
        <f t="shared" si="705"/>
        <v>570</v>
      </c>
      <c r="P3268" s="194">
        <v>0</v>
      </c>
      <c r="Q3268" s="194">
        <v>147</v>
      </c>
      <c r="R3268" s="194">
        <v>0</v>
      </c>
      <c r="S3268" s="193">
        <f t="shared" si="706"/>
        <v>147</v>
      </c>
      <c r="T3268" s="193">
        <f t="shared" si="707"/>
        <v>38.299999999999997</v>
      </c>
      <c r="U3268" s="193">
        <f ca="1">OFFSET('Expenditure Study'!$B$7,'Operations Support'!$C3268,'Operations Support'!$B3268)*$G3268</f>
        <v>1815.42</v>
      </c>
      <c r="V3268" s="199">
        <f ca="1">U3268*'Expenditure Study'!$B$31</f>
        <v>107260.788087936</v>
      </c>
      <c r="W3268" s="199">
        <f ca="1">IF(A3268=10298,1.51,1)*IF($B3268&lt;3,$D3268*'Expenditure Study'!$B$32*OFFSET('Expenditure Study'!$B$7,'Operations Support'!$C3268,'Operations Support'!$B3268),0)</f>
        <v>24.648000000000003</v>
      </c>
      <c r="X3268" s="200">
        <f ca="1">W3268*'Expenditure Study'!$B$31</f>
        <v>1456.2822403584003</v>
      </c>
      <c r="Y3268" s="199">
        <f ca="1">U3268*'Expenditure Study'!$B$31</f>
        <v>107260.788087936</v>
      </c>
      <c r="Z3268" s="200">
        <f ca="1">W3268*'Expenditure Study'!$B$31</f>
        <v>1456.2822403584003</v>
      </c>
      <c r="AA3268" s="195">
        <f t="shared" ca="1" si="708"/>
        <v>108717.0703282944</v>
      </c>
      <c r="AB3268" s="195">
        <f t="shared" ca="1" si="709"/>
        <v>108717.0703282944</v>
      </c>
      <c r="AD3268" s="196">
        <f>IFERROR($G3268/SUMIF($A:$A,$A3268,$G:$G)*SUMIF(Summary!$A$166:$A$242,$A3268,Summary!$P$166:$P$242),0)</f>
        <v>41051.021367060966</v>
      </c>
      <c r="AE3268" s="197">
        <f t="shared" ca="1" si="710"/>
        <v>67666.048961233435</v>
      </c>
      <c r="AF3268" s="196">
        <f>IFERROR(G3268/SUMIF(A:A,A3268,G:G)*SUMIF(Summary!$A$166:$A$242,'Operations Support'!A3268,Summary!$Q$166:$Q$242),0)</f>
        <v>41158.215265145183</v>
      </c>
      <c r="AG3268" s="196">
        <f t="shared" ca="1" si="711"/>
        <v>67558.855063149211</v>
      </c>
      <c r="AI3268" s="196">
        <f>IFERROR($G3268/SUMIF($A:$A,$A3268,$G:$G)*SUMIF(Summary!$A$247:$A$283,$A3268,Summary!$P$247:$P$283),0)</f>
        <v>7486.6818805328503</v>
      </c>
      <c r="AJ3268" s="196">
        <f>IFERROR($G3268/SUMIF($A:$A,$A3268,$G:$G)*(SUMIF(Summary!$A$247:$A$283,$A3268,Summary!$L$247:$L$283)+SUMIF(Summary!$A$297:$A$333,$A3268,Summary!$L$297:$L$333))-AI3268,0)</f>
        <v>13115.923154835586</v>
      </c>
      <c r="AK3268" s="196">
        <f>IFERROR($G3268/SUMIF($A:$A,$A3268,$G:$G)*SUMIF(Summary!$A$247:$A$283,$A3268,Summary!$Q$247:$Q$283),0)</f>
        <v>7506.2313725495032</v>
      </c>
      <c r="AL3268" s="196">
        <f>IFERROR($G3268/SUMIF($A:$A,$A3268,$G:$G)*(SUMIF(Summary!$A$247:$A$283,$A3268,Summary!$L$247:$L$283)+SUMIF(Summary!$A$297:$A$333,$A3268,Summary!$L$297:$L$333))-AK3268,0)</f>
        <v>13096.373662818933</v>
      </c>
      <c r="AM3268" s="198"/>
      <c r="AN3268" s="196">
        <f t="shared" ca="1" si="712"/>
        <v>80781.972116069024</v>
      </c>
      <c r="AO3268" s="196">
        <f t="shared" ca="1" si="713"/>
        <v>80655.228725968147</v>
      </c>
    </row>
    <row r="3269" spans="1:41">
      <c r="A3269" s="189">
        <v>12826</v>
      </c>
      <c r="B3269" s="190">
        <v>1</v>
      </c>
      <c r="C3269" s="191" t="s">
        <v>229</v>
      </c>
      <c r="D3269" s="192">
        <f t="shared" ref="D3269:D3332" si="714">H3269+L3269+P3269</f>
        <v>0</v>
      </c>
      <c r="E3269" s="192">
        <f t="shared" ref="E3269:E3332" si="715">I3269+M3269+Q3269</f>
        <v>0</v>
      </c>
      <c r="F3269" s="192">
        <f t="shared" ref="F3269:F3332" si="716">J3269+N3269+R3269</f>
        <v>0</v>
      </c>
      <c r="G3269" s="193">
        <f t="shared" ref="G3269:G3332" si="717">(SUM(D3269:E3269)-F3269)*IF(A3269=10298,1.51,1)</f>
        <v>0</v>
      </c>
      <c r="H3269" s="194">
        <v>0</v>
      </c>
      <c r="I3269" s="194">
        <v>0</v>
      </c>
      <c r="J3269" s="194">
        <v>0</v>
      </c>
      <c r="K3269" s="193">
        <f t="shared" ref="K3269:K3332" si="718">SUM(H3269:I3269)-J3269</f>
        <v>0</v>
      </c>
      <c r="L3269" s="194">
        <v>0</v>
      </c>
      <c r="M3269" s="194">
        <v>0</v>
      </c>
      <c r="N3269" s="194">
        <v>0</v>
      </c>
      <c r="O3269" s="193">
        <f t="shared" ref="O3269:O3332" si="719">SUM(L3269:M3269)-N3269</f>
        <v>0</v>
      </c>
      <c r="P3269" s="194">
        <v>0</v>
      </c>
      <c r="Q3269" s="194">
        <v>0</v>
      </c>
      <c r="R3269" s="194">
        <v>0</v>
      </c>
      <c r="S3269" s="193">
        <f t="shared" ref="S3269:S3332" si="720">SUM(P3269:Q3269)-R3269</f>
        <v>0</v>
      </c>
      <c r="T3269" s="193">
        <f t="shared" ref="T3269:T3332" si="721">IF(OR(B3269=1,B3269=2),G3269/30,IF(OR(B3269=3,B3269=5),G3269/24,IF(B3269=4,G3269/18,0)))</f>
        <v>0</v>
      </c>
      <c r="U3269" s="193">
        <f ca="1">OFFSET('Expenditure Study'!$B$7,'Operations Support'!$C3269,'Operations Support'!$B3269)*$G3269</f>
        <v>0</v>
      </c>
      <c r="V3269" s="199">
        <f ca="1">U3269*'Expenditure Study'!$B$31</f>
        <v>0</v>
      </c>
      <c r="W3269" s="199">
        <f ca="1">IF(A3269=10298,1.51,1)*IF($B3269&lt;3,$D3269*'Expenditure Study'!$B$32*OFFSET('Expenditure Study'!$B$7,'Operations Support'!$C3269,'Operations Support'!$B3269),0)</f>
        <v>0</v>
      </c>
      <c r="X3269" s="200">
        <f ca="1">W3269*'Expenditure Study'!$B$31</f>
        <v>0</v>
      </c>
      <c r="Y3269" s="199">
        <f ca="1">U3269*'Expenditure Study'!$B$31</f>
        <v>0</v>
      </c>
      <c r="Z3269" s="200">
        <f ca="1">W3269*'Expenditure Study'!$B$31</f>
        <v>0</v>
      </c>
      <c r="AA3269" s="195">
        <f t="shared" ref="AA3269:AA3332" ca="1" si="722">V3269+X3269</f>
        <v>0</v>
      </c>
      <c r="AB3269" s="195">
        <f t="shared" ref="AB3269:AB3332" ca="1" si="723">Y3269+Z3269</f>
        <v>0</v>
      </c>
      <c r="AD3269" s="196">
        <f>IFERROR($G3269/SUMIF($A:$A,$A3269,$G:$G)*SUMIF(Summary!$A$166:$A$242,$A3269,Summary!$P$166:$P$242),0)</f>
        <v>0</v>
      </c>
      <c r="AE3269" s="197">
        <f t="shared" ca="1" si="710"/>
        <v>0</v>
      </c>
      <c r="AF3269" s="196">
        <f>IFERROR(G3269/SUMIF(A:A,A3269,G:G)*SUMIF(Summary!$A$166:$A$242,'Operations Support'!A3269,Summary!$Q$166:$Q$242),0)</f>
        <v>0</v>
      </c>
      <c r="AG3269" s="196">
        <f t="shared" ca="1" si="711"/>
        <v>0</v>
      </c>
      <c r="AI3269" s="196">
        <f>IFERROR($G3269/SUMIF($A:$A,$A3269,$G:$G)*SUMIF(Summary!$A$247:$A$283,$A3269,Summary!$P$247:$P$283),0)</f>
        <v>0</v>
      </c>
      <c r="AJ3269" s="196">
        <f>IFERROR($G3269/SUMIF($A:$A,$A3269,$G:$G)*(SUMIF(Summary!$A$247:$A$283,$A3269,Summary!$L$247:$L$283)+SUMIF(Summary!$A$297:$A$333,$A3269,Summary!$L$297:$L$333))-AI3269,0)</f>
        <v>0</v>
      </c>
      <c r="AK3269" s="196">
        <f>IFERROR($G3269/SUMIF($A:$A,$A3269,$G:$G)*SUMIF(Summary!$A$247:$A$283,$A3269,Summary!$Q$247:$Q$283),0)</f>
        <v>0</v>
      </c>
      <c r="AL3269" s="196">
        <f>IFERROR($G3269/SUMIF($A:$A,$A3269,$G:$G)*(SUMIF(Summary!$A$247:$A$283,$A3269,Summary!$L$247:$L$283)+SUMIF(Summary!$A$297:$A$333,$A3269,Summary!$L$297:$L$333))-AK3269,0)</f>
        <v>0</v>
      </c>
      <c r="AM3269" s="198"/>
      <c r="AN3269" s="196">
        <f t="shared" ca="1" si="712"/>
        <v>0</v>
      </c>
      <c r="AO3269" s="196">
        <f t="shared" ca="1" si="713"/>
        <v>0</v>
      </c>
    </row>
    <row r="3270" spans="1:41">
      <c r="A3270" s="189">
        <v>12826</v>
      </c>
      <c r="B3270" s="190">
        <v>1</v>
      </c>
      <c r="C3270" s="191" t="s">
        <v>230</v>
      </c>
      <c r="D3270" s="192">
        <f t="shared" si="714"/>
        <v>0</v>
      </c>
      <c r="E3270" s="192">
        <f t="shared" si="715"/>
        <v>0</v>
      </c>
      <c r="F3270" s="192">
        <f t="shared" si="716"/>
        <v>0</v>
      </c>
      <c r="G3270" s="193">
        <f t="shared" si="717"/>
        <v>0</v>
      </c>
      <c r="H3270" s="194">
        <v>0</v>
      </c>
      <c r="I3270" s="194">
        <v>0</v>
      </c>
      <c r="J3270" s="194">
        <v>0</v>
      </c>
      <c r="K3270" s="193">
        <f t="shared" si="718"/>
        <v>0</v>
      </c>
      <c r="L3270" s="194">
        <v>0</v>
      </c>
      <c r="M3270" s="194">
        <v>0</v>
      </c>
      <c r="N3270" s="194">
        <v>0</v>
      </c>
      <c r="O3270" s="193">
        <f t="shared" si="719"/>
        <v>0</v>
      </c>
      <c r="P3270" s="194">
        <v>0</v>
      </c>
      <c r="Q3270" s="194">
        <v>0</v>
      </c>
      <c r="R3270" s="194">
        <v>0</v>
      </c>
      <c r="S3270" s="193">
        <f t="shared" si="720"/>
        <v>0</v>
      </c>
      <c r="T3270" s="193">
        <f t="shared" si="721"/>
        <v>0</v>
      </c>
      <c r="U3270" s="193">
        <f ca="1">OFFSET('Expenditure Study'!$B$7,'Operations Support'!$C3270,'Operations Support'!$B3270)*$G3270</f>
        <v>0</v>
      </c>
      <c r="V3270" s="199">
        <f ca="1">U3270*'Expenditure Study'!$B$31</f>
        <v>0</v>
      </c>
      <c r="W3270" s="199">
        <f ca="1">IF(A3270=10298,1.51,1)*IF($B3270&lt;3,$D3270*'Expenditure Study'!$B$32*OFFSET('Expenditure Study'!$B$7,'Operations Support'!$C3270,'Operations Support'!$B3270),0)</f>
        <v>0</v>
      </c>
      <c r="X3270" s="200">
        <f ca="1">W3270*'Expenditure Study'!$B$31</f>
        <v>0</v>
      </c>
      <c r="Y3270" s="199">
        <f ca="1">U3270*'Expenditure Study'!$B$31</f>
        <v>0</v>
      </c>
      <c r="Z3270" s="200">
        <f ca="1">W3270*'Expenditure Study'!$B$31</f>
        <v>0</v>
      </c>
      <c r="AA3270" s="195">
        <f t="shared" ca="1" si="722"/>
        <v>0</v>
      </c>
      <c r="AB3270" s="195">
        <f t="shared" ca="1" si="723"/>
        <v>0</v>
      </c>
      <c r="AD3270" s="196">
        <f>IFERROR($G3270/SUMIF($A:$A,$A3270,$G:$G)*SUMIF(Summary!$A$166:$A$242,$A3270,Summary!$P$166:$P$242),0)</f>
        <v>0</v>
      </c>
      <c r="AE3270" s="197">
        <f t="shared" ref="AE3270:AE3333" ca="1" si="724">V3270+X3270-AD3270</f>
        <v>0</v>
      </c>
      <c r="AF3270" s="196">
        <f>IFERROR(G3270/SUMIF(A:A,A3270,G:G)*SUMIF(Summary!$A$166:$A$242,'Operations Support'!A3270,Summary!$Q$166:$Q$242),0)</f>
        <v>0</v>
      </c>
      <c r="AG3270" s="196">
        <f t="shared" ref="AG3270:AG3333" ca="1" si="725">Y3270+Z3270-AF3270</f>
        <v>0</v>
      </c>
      <c r="AI3270" s="196">
        <f>IFERROR($G3270/SUMIF($A:$A,$A3270,$G:$G)*SUMIF(Summary!$A$247:$A$283,$A3270,Summary!$P$247:$P$283),0)</f>
        <v>0</v>
      </c>
      <c r="AJ3270" s="196">
        <f>IFERROR($G3270/SUMIF($A:$A,$A3270,$G:$G)*(SUMIF(Summary!$A$247:$A$283,$A3270,Summary!$L$247:$L$283)+SUMIF(Summary!$A$297:$A$333,$A3270,Summary!$L$297:$L$333))-AI3270,0)</f>
        <v>0</v>
      </c>
      <c r="AK3270" s="196">
        <f>IFERROR($G3270/SUMIF($A:$A,$A3270,$G:$G)*SUMIF(Summary!$A$247:$A$283,$A3270,Summary!$Q$247:$Q$283),0)</f>
        <v>0</v>
      </c>
      <c r="AL3270" s="196">
        <f>IFERROR($G3270/SUMIF($A:$A,$A3270,$G:$G)*(SUMIF(Summary!$A$247:$A$283,$A3270,Summary!$L$247:$L$283)+SUMIF(Summary!$A$297:$A$333,$A3270,Summary!$L$297:$L$333))-AK3270,0)</f>
        <v>0</v>
      </c>
      <c r="AM3270" s="198"/>
      <c r="AN3270" s="196">
        <f t="shared" ref="AN3270:AN3333" ca="1" si="726">AE3270+AJ3270</f>
        <v>0</v>
      </c>
      <c r="AO3270" s="196">
        <f t="shared" ref="AO3270:AO3333" ca="1" si="727">AG3270+AL3270</f>
        <v>0</v>
      </c>
    </row>
    <row r="3271" spans="1:41">
      <c r="A3271" s="189">
        <v>12826</v>
      </c>
      <c r="B3271" s="190">
        <v>1</v>
      </c>
      <c r="C3271" s="191" t="s">
        <v>231</v>
      </c>
      <c r="D3271" s="192">
        <f t="shared" si="714"/>
        <v>0</v>
      </c>
      <c r="E3271" s="192">
        <f t="shared" si="715"/>
        <v>0</v>
      </c>
      <c r="F3271" s="192">
        <f t="shared" si="716"/>
        <v>0</v>
      </c>
      <c r="G3271" s="193">
        <f t="shared" si="717"/>
        <v>0</v>
      </c>
      <c r="H3271" s="194">
        <v>0</v>
      </c>
      <c r="I3271" s="194">
        <v>0</v>
      </c>
      <c r="J3271" s="194">
        <v>0</v>
      </c>
      <c r="K3271" s="193">
        <f t="shared" si="718"/>
        <v>0</v>
      </c>
      <c r="L3271" s="194">
        <v>0</v>
      </c>
      <c r="M3271" s="194">
        <v>0</v>
      </c>
      <c r="N3271" s="194">
        <v>0</v>
      </c>
      <c r="O3271" s="193">
        <f t="shared" si="719"/>
        <v>0</v>
      </c>
      <c r="P3271" s="194">
        <v>0</v>
      </c>
      <c r="Q3271" s="194">
        <v>0</v>
      </c>
      <c r="R3271" s="194">
        <v>0</v>
      </c>
      <c r="S3271" s="193">
        <f t="shared" si="720"/>
        <v>0</v>
      </c>
      <c r="T3271" s="193">
        <f t="shared" si="721"/>
        <v>0</v>
      </c>
      <c r="U3271" s="193">
        <f ca="1">OFFSET('Expenditure Study'!$B$7,'Operations Support'!$C3271,'Operations Support'!$B3271)*$G3271</f>
        <v>0</v>
      </c>
      <c r="V3271" s="199">
        <f ca="1">U3271*'Expenditure Study'!$B$31</f>
        <v>0</v>
      </c>
      <c r="W3271" s="199">
        <f ca="1">IF(A3271=10298,1.51,1)*IF($B3271&lt;3,$D3271*'Expenditure Study'!$B$32*OFFSET('Expenditure Study'!$B$7,'Operations Support'!$C3271,'Operations Support'!$B3271),0)</f>
        <v>0</v>
      </c>
      <c r="X3271" s="200">
        <f ca="1">W3271*'Expenditure Study'!$B$31</f>
        <v>0</v>
      </c>
      <c r="Y3271" s="199">
        <f ca="1">U3271*'Expenditure Study'!$B$31</f>
        <v>0</v>
      </c>
      <c r="Z3271" s="200">
        <f ca="1">W3271*'Expenditure Study'!$B$31</f>
        <v>0</v>
      </c>
      <c r="AA3271" s="195">
        <f t="shared" ca="1" si="722"/>
        <v>0</v>
      </c>
      <c r="AB3271" s="195">
        <f t="shared" ca="1" si="723"/>
        <v>0</v>
      </c>
      <c r="AD3271" s="196">
        <f>IFERROR($G3271/SUMIF($A:$A,$A3271,$G:$G)*SUMIF(Summary!$A$166:$A$242,$A3271,Summary!$P$166:$P$242),0)</f>
        <v>0</v>
      </c>
      <c r="AE3271" s="197">
        <f t="shared" ca="1" si="724"/>
        <v>0</v>
      </c>
      <c r="AF3271" s="196">
        <f>IFERROR(G3271/SUMIF(A:A,A3271,G:G)*SUMIF(Summary!$A$166:$A$242,'Operations Support'!A3271,Summary!$Q$166:$Q$242),0)</f>
        <v>0</v>
      </c>
      <c r="AG3271" s="196">
        <f t="shared" ca="1" si="725"/>
        <v>0</v>
      </c>
      <c r="AI3271" s="196">
        <f>IFERROR($G3271/SUMIF($A:$A,$A3271,$G:$G)*SUMIF(Summary!$A$247:$A$283,$A3271,Summary!$P$247:$P$283),0)</f>
        <v>0</v>
      </c>
      <c r="AJ3271" s="196">
        <f>IFERROR($G3271/SUMIF($A:$A,$A3271,$G:$G)*(SUMIF(Summary!$A$247:$A$283,$A3271,Summary!$L$247:$L$283)+SUMIF(Summary!$A$297:$A$333,$A3271,Summary!$L$297:$L$333))-AI3271,0)</f>
        <v>0</v>
      </c>
      <c r="AK3271" s="196">
        <f>IFERROR($G3271/SUMIF($A:$A,$A3271,$G:$G)*SUMIF(Summary!$A$247:$A$283,$A3271,Summary!$Q$247:$Q$283),0)</f>
        <v>0</v>
      </c>
      <c r="AL3271" s="196">
        <f>IFERROR($G3271/SUMIF($A:$A,$A3271,$G:$G)*(SUMIF(Summary!$A$247:$A$283,$A3271,Summary!$L$247:$L$283)+SUMIF(Summary!$A$297:$A$333,$A3271,Summary!$L$297:$L$333))-AK3271,0)</f>
        <v>0</v>
      </c>
      <c r="AM3271" s="198"/>
      <c r="AN3271" s="196">
        <f t="shared" ca="1" si="726"/>
        <v>0</v>
      </c>
      <c r="AO3271" s="196">
        <f t="shared" ca="1" si="727"/>
        <v>0</v>
      </c>
    </row>
    <row r="3272" spans="1:41">
      <c r="A3272" s="189">
        <v>12826</v>
      </c>
      <c r="B3272" s="190">
        <v>1</v>
      </c>
      <c r="C3272" s="191" t="s">
        <v>232</v>
      </c>
      <c r="D3272" s="192">
        <f t="shared" si="714"/>
        <v>0</v>
      </c>
      <c r="E3272" s="192">
        <f t="shared" si="715"/>
        <v>0</v>
      </c>
      <c r="F3272" s="192">
        <f t="shared" si="716"/>
        <v>0</v>
      </c>
      <c r="G3272" s="193">
        <f t="shared" si="717"/>
        <v>0</v>
      </c>
      <c r="H3272" s="194">
        <v>0</v>
      </c>
      <c r="I3272" s="194">
        <v>0</v>
      </c>
      <c r="J3272" s="194">
        <v>0</v>
      </c>
      <c r="K3272" s="193">
        <f t="shared" si="718"/>
        <v>0</v>
      </c>
      <c r="L3272" s="194">
        <v>0</v>
      </c>
      <c r="M3272" s="194">
        <v>0</v>
      </c>
      <c r="N3272" s="194">
        <v>0</v>
      </c>
      <c r="O3272" s="193">
        <f t="shared" si="719"/>
        <v>0</v>
      </c>
      <c r="P3272" s="194">
        <v>0</v>
      </c>
      <c r="Q3272" s="194">
        <v>0</v>
      </c>
      <c r="R3272" s="194">
        <v>0</v>
      </c>
      <c r="S3272" s="193">
        <f t="shared" si="720"/>
        <v>0</v>
      </c>
      <c r="T3272" s="193">
        <f t="shared" si="721"/>
        <v>0</v>
      </c>
      <c r="U3272" s="193">
        <f ca="1">OFFSET('Expenditure Study'!$B$7,'Operations Support'!$C3272,'Operations Support'!$B3272)*$G3272</f>
        <v>0</v>
      </c>
      <c r="V3272" s="199">
        <f ca="1">U3272*'Expenditure Study'!$B$31</f>
        <v>0</v>
      </c>
      <c r="W3272" s="199">
        <f ca="1">IF(A3272=10298,1.51,1)*IF($B3272&lt;3,$D3272*'Expenditure Study'!$B$32*OFFSET('Expenditure Study'!$B$7,'Operations Support'!$C3272,'Operations Support'!$B3272),0)</f>
        <v>0</v>
      </c>
      <c r="X3272" s="200">
        <f ca="1">W3272*'Expenditure Study'!$B$31</f>
        <v>0</v>
      </c>
      <c r="Y3272" s="199">
        <f ca="1">U3272*'Expenditure Study'!$B$31</f>
        <v>0</v>
      </c>
      <c r="Z3272" s="200">
        <f ca="1">W3272*'Expenditure Study'!$B$31</f>
        <v>0</v>
      </c>
      <c r="AA3272" s="195">
        <f t="shared" ca="1" si="722"/>
        <v>0</v>
      </c>
      <c r="AB3272" s="195">
        <f t="shared" ca="1" si="723"/>
        <v>0</v>
      </c>
      <c r="AD3272" s="196">
        <f>IFERROR($G3272/SUMIF($A:$A,$A3272,$G:$G)*SUMIF(Summary!$A$166:$A$242,$A3272,Summary!$P$166:$P$242),0)</f>
        <v>0</v>
      </c>
      <c r="AE3272" s="197">
        <f t="shared" ca="1" si="724"/>
        <v>0</v>
      </c>
      <c r="AF3272" s="196">
        <f>IFERROR(G3272/SUMIF(A:A,A3272,G:G)*SUMIF(Summary!$A$166:$A$242,'Operations Support'!A3272,Summary!$Q$166:$Q$242),0)</f>
        <v>0</v>
      </c>
      <c r="AG3272" s="196">
        <f t="shared" ca="1" si="725"/>
        <v>0</v>
      </c>
      <c r="AI3272" s="196">
        <f>IFERROR($G3272/SUMIF($A:$A,$A3272,$G:$G)*SUMIF(Summary!$A$247:$A$283,$A3272,Summary!$P$247:$P$283),0)</f>
        <v>0</v>
      </c>
      <c r="AJ3272" s="196">
        <f>IFERROR($G3272/SUMIF($A:$A,$A3272,$G:$G)*(SUMIF(Summary!$A$247:$A$283,$A3272,Summary!$L$247:$L$283)+SUMIF(Summary!$A$297:$A$333,$A3272,Summary!$L$297:$L$333))-AI3272,0)</f>
        <v>0</v>
      </c>
      <c r="AK3272" s="196">
        <f>IFERROR($G3272/SUMIF($A:$A,$A3272,$G:$G)*SUMIF(Summary!$A$247:$A$283,$A3272,Summary!$Q$247:$Q$283),0)</f>
        <v>0</v>
      </c>
      <c r="AL3272" s="196">
        <f>IFERROR($G3272/SUMIF($A:$A,$A3272,$G:$G)*(SUMIF(Summary!$A$247:$A$283,$A3272,Summary!$L$247:$L$283)+SUMIF(Summary!$A$297:$A$333,$A3272,Summary!$L$297:$L$333))-AK3272,0)</f>
        <v>0</v>
      </c>
      <c r="AM3272" s="198"/>
      <c r="AN3272" s="196">
        <f t="shared" ca="1" si="726"/>
        <v>0</v>
      </c>
      <c r="AO3272" s="196">
        <f t="shared" ca="1" si="727"/>
        <v>0</v>
      </c>
    </row>
    <row r="3273" spans="1:41">
      <c r="A3273" s="189">
        <v>12826</v>
      </c>
      <c r="B3273" s="190">
        <v>1</v>
      </c>
      <c r="C3273" s="191" t="s">
        <v>233</v>
      </c>
      <c r="D3273" s="192">
        <f t="shared" si="714"/>
        <v>138</v>
      </c>
      <c r="E3273" s="192">
        <f t="shared" si="715"/>
        <v>513</v>
      </c>
      <c r="F3273" s="192">
        <f t="shared" si="716"/>
        <v>0</v>
      </c>
      <c r="G3273" s="193">
        <f t="shared" si="717"/>
        <v>651</v>
      </c>
      <c r="H3273" s="194">
        <v>75</v>
      </c>
      <c r="I3273" s="194">
        <v>264</v>
      </c>
      <c r="J3273" s="194">
        <v>0</v>
      </c>
      <c r="K3273" s="193">
        <f t="shared" si="718"/>
        <v>339</v>
      </c>
      <c r="L3273" s="194">
        <v>51</v>
      </c>
      <c r="M3273" s="194">
        <v>213</v>
      </c>
      <c r="N3273" s="194">
        <v>0</v>
      </c>
      <c r="O3273" s="193">
        <f t="shared" si="719"/>
        <v>264</v>
      </c>
      <c r="P3273" s="194">
        <v>12</v>
      </c>
      <c r="Q3273" s="194">
        <v>36</v>
      </c>
      <c r="R3273" s="194">
        <v>0</v>
      </c>
      <c r="S3273" s="193">
        <f t="shared" si="720"/>
        <v>48</v>
      </c>
      <c r="T3273" s="193">
        <f t="shared" si="721"/>
        <v>21.7</v>
      </c>
      <c r="U3273" s="193">
        <f ca="1">OFFSET('Expenditure Study'!$B$7,'Operations Support'!$C3273,'Operations Support'!$B3273)*$G3273</f>
        <v>624.95999999999992</v>
      </c>
      <c r="V3273" s="199">
        <f ca="1">U3273*'Expenditure Study'!$B$31</f>
        <v>36924.624672767997</v>
      </c>
      <c r="W3273" s="199">
        <f ca="1">IF(A3273=10298,1.51,1)*IF($B3273&lt;3,$D3273*'Expenditure Study'!$B$32*OFFSET('Expenditure Study'!$B$7,'Operations Support'!$C3273,'Operations Support'!$B3273),0)</f>
        <v>13.247999999999999</v>
      </c>
      <c r="X3273" s="200">
        <f ca="1">W3273*'Expenditure Study'!$B$31</f>
        <v>782.73397923840002</v>
      </c>
      <c r="Y3273" s="199">
        <f ca="1">U3273*'Expenditure Study'!$B$31</f>
        <v>36924.624672767997</v>
      </c>
      <c r="Z3273" s="200">
        <f ca="1">W3273*'Expenditure Study'!$B$31</f>
        <v>782.73397923840002</v>
      </c>
      <c r="AA3273" s="195">
        <f t="shared" ca="1" si="722"/>
        <v>37707.358652006398</v>
      </c>
      <c r="AB3273" s="195">
        <f t="shared" ca="1" si="723"/>
        <v>37707.358652006398</v>
      </c>
      <c r="AD3273" s="196">
        <f>IFERROR($G3273/SUMIF($A:$A,$A3273,$G:$G)*SUMIF(Summary!$A$166:$A$242,$A3273,Summary!$P$166:$P$242),0)</f>
        <v>23258.672680554122</v>
      </c>
      <c r="AE3273" s="197">
        <f t="shared" ca="1" si="724"/>
        <v>14448.685971452276</v>
      </c>
      <c r="AF3273" s="196">
        <f>IFERROR(G3273/SUMIF(A:A,A3273,G:G)*SUMIF(Summary!$A$166:$A$242,'Operations Support'!A3273,Summary!$Q$166:$Q$242),0)</f>
        <v>23319.406560147534</v>
      </c>
      <c r="AG3273" s="196">
        <f t="shared" ca="1" si="725"/>
        <v>14387.952091858864</v>
      </c>
      <c r="AI3273" s="196">
        <f>IFERROR($G3273/SUMIF($A:$A,$A3273,$G:$G)*SUMIF(Summary!$A$247:$A$283,$A3273,Summary!$P$247:$P$283),0)</f>
        <v>4241.8014832261842</v>
      </c>
      <c r="AJ3273" s="196">
        <f>IFERROR($G3273/SUMIF($A:$A,$A3273,$G:$G)*(SUMIF(Summary!$A$247:$A$283,$A3273,Summary!$L$247:$L$283)+SUMIF(Summary!$A$297:$A$333,$A3273,Summary!$L$297:$L$333))-AI3273,0)</f>
        <v>7431.2149467345216</v>
      </c>
      <c r="AK3273" s="196">
        <f>IFERROR($G3273/SUMIF($A:$A,$A3273,$G:$G)*SUMIF(Summary!$A$247:$A$283,$A3273,Summary!$Q$247:$Q$283),0)</f>
        <v>4252.8778272669506</v>
      </c>
      <c r="AL3273" s="196">
        <f>IFERROR($G3273/SUMIF($A:$A,$A3273,$G:$G)*(SUMIF(Summary!$A$247:$A$283,$A3273,Summary!$L$247:$L$283)+SUMIF(Summary!$A$297:$A$333,$A3273,Summary!$L$297:$L$333))-AK3273,0)</f>
        <v>7420.1386026937553</v>
      </c>
      <c r="AM3273" s="198"/>
      <c r="AN3273" s="196">
        <f t="shared" ca="1" si="726"/>
        <v>21879.900918186799</v>
      </c>
      <c r="AO3273" s="196">
        <f t="shared" ca="1" si="727"/>
        <v>21808.090694552619</v>
      </c>
    </row>
    <row r="3274" spans="1:41">
      <c r="A3274" s="189">
        <v>12826</v>
      </c>
      <c r="B3274" s="190">
        <v>1</v>
      </c>
      <c r="C3274" s="191" t="s">
        <v>234</v>
      </c>
      <c r="D3274" s="192">
        <f t="shared" si="714"/>
        <v>0</v>
      </c>
      <c r="E3274" s="192">
        <f t="shared" si="715"/>
        <v>0</v>
      </c>
      <c r="F3274" s="192">
        <f t="shared" si="716"/>
        <v>0</v>
      </c>
      <c r="G3274" s="193">
        <f t="shared" si="717"/>
        <v>0</v>
      </c>
      <c r="H3274" s="194">
        <v>0</v>
      </c>
      <c r="I3274" s="194">
        <v>0</v>
      </c>
      <c r="J3274" s="194">
        <v>0</v>
      </c>
      <c r="K3274" s="193">
        <f t="shared" si="718"/>
        <v>0</v>
      </c>
      <c r="L3274" s="194">
        <v>0</v>
      </c>
      <c r="M3274" s="194">
        <v>0</v>
      </c>
      <c r="N3274" s="194">
        <v>0</v>
      </c>
      <c r="O3274" s="193">
        <f t="shared" si="719"/>
        <v>0</v>
      </c>
      <c r="P3274" s="194">
        <v>0</v>
      </c>
      <c r="Q3274" s="194">
        <v>0</v>
      </c>
      <c r="R3274" s="194">
        <v>0</v>
      </c>
      <c r="S3274" s="193">
        <f t="shared" si="720"/>
        <v>0</v>
      </c>
      <c r="T3274" s="193">
        <f t="shared" si="721"/>
        <v>0</v>
      </c>
      <c r="U3274" s="193">
        <f ca="1">OFFSET('Expenditure Study'!$B$7,'Operations Support'!$C3274,'Operations Support'!$B3274)*$G3274</f>
        <v>0</v>
      </c>
      <c r="V3274" s="199">
        <f ca="1">U3274*'Expenditure Study'!$B$31</f>
        <v>0</v>
      </c>
      <c r="W3274" s="199">
        <f ca="1">IF(A3274=10298,1.51,1)*IF($B3274&lt;3,$D3274*'Expenditure Study'!$B$32*OFFSET('Expenditure Study'!$B$7,'Operations Support'!$C3274,'Operations Support'!$B3274),0)</f>
        <v>0</v>
      </c>
      <c r="X3274" s="200">
        <f ca="1">W3274*'Expenditure Study'!$B$31</f>
        <v>0</v>
      </c>
      <c r="Y3274" s="199">
        <f ca="1">U3274*'Expenditure Study'!$B$31</f>
        <v>0</v>
      </c>
      <c r="Z3274" s="200">
        <f ca="1">W3274*'Expenditure Study'!$B$31</f>
        <v>0</v>
      </c>
      <c r="AA3274" s="195">
        <f t="shared" ca="1" si="722"/>
        <v>0</v>
      </c>
      <c r="AB3274" s="195">
        <f t="shared" ca="1" si="723"/>
        <v>0</v>
      </c>
      <c r="AD3274" s="196">
        <f>IFERROR($G3274/SUMIF($A:$A,$A3274,$G:$G)*SUMIF(Summary!$A$166:$A$242,$A3274,Summary!$P$166:$P$242),0)</f>
        <v>0</v>
      </c>
      <c r="AE3274" s="197">
        <f t="shared" ca="1" si="724"/>
        <v>0</v>
      </c>
      <c r="AF3274" s="196">
        <f>IFERROR(G3274/SUMIF(A:A,A3274,G:G)*SUMIF(Summary!$A$166:$A$242,'Operations Support'!A3274,Summary!$Q$166:$Q$242),0)</f>
        <v>0</v>
      </c>
      <c r="AG3274" s="196">
        <f t="shared" ca="1" si="725"/>
        <v>0</v>
      </c>
      <c r="AI3274" s="196">
        <f>IFERROR($G3274/SUMIF($A:$A,$A3274,$G:$G)*SUMIF(Summary!$A$247:$A$283,$A3274,Summary!$P$247:$P$283),0)</f>
        <v>0</v>
      </c>
      <c r="AJ3274" s="196">
        <f>IFERROR($G3274/SUMIF($A:$A,$A3274,$G:$G)*(SUMIF(Summary!$A$247:$A$283,$A3274,Summary!$L$247:$L$283)+SUMIF(Summary!$A$297:$A$333,$A3274,Summary!$L$297:$L$333))-AI3274,0)</f>
        <v>0</v>
      </c>
      <c r="AK3274" s="196">
        <f>IFERROR($G3274/SUMIF($A:$A,$A3274,$G:$G)*SUMIF(Summary!$A$247:$A$283,$A3274,Summary!$Q$247:$Q$283),0)</f>
        <v>0</v>
      </c>
      <c r="AL3274" s="196">
        <f>IFERROR($G3274/SUMIF($A:$A,$A3274,$G:$G)*(SUMIF(Summary!$A$247:$A$283,$A3274,Summary!$L$247:$L$283)+SUMIF(Summary!$A$297:$A$333,$A3274,Summary!$L$297:$L$333))-AK3274,0)</f>
        <v>0</v>
      </c>
      <c r="AM3274" s="198"/>
      <c r="AN3274" s="196">
        <f t="shared" ca="1" si="726"/>
        <v>0</v>
      </c>
      <c r="AO3274" s="196">
        <f t="shared" ca="1" si="727"/>
        <v>0</v>
      </c>
    </row>
    <row r="3275" spans="1:41">
      <c r="A3275" s="189">
        <v>12826</v>
      </c>
      <c r="B3275" s="190">
        <v>1</v>
      </c>
      <c r="C3275" s="191" t="s">
        <v>235</v>
      </c>
      <c r="D3275" s="192">
        <f t="shared" si="714"/>
        <v>1527</v>
      </c>
      <c r="E3275" s="192">
        <f t="shared" si="715"/>
        <v>7671</v>
      </c>
      <c r="F3275" s="192">
        <f t="shared" si="716"/>
        <v>0</v>
      </c>
      <c r="G3275" s="193">
        <f t="shared" si="717"/>
        <v>9198</v>
      </c>
      <c r="H3275" s="194">
        <v>708</v>
      </c>
      <c r="I3275" s="194">
        <v>3198</v>
      </c>
      <c r="J3275" s="194">
        <v>0</v>
      </c>
      <c r="K3275" s="193">
        <f t="shared" si="718"/>
        <v>3906</v>
      </c>
      <c r="L3275" s="194">
        <v>489</v>
      </c>
      <c r="M3275" s="194">
        <v>3549</v>
      </c>
      <c r="N3275" s="194">
        <v>0</v>
      </c>
      <c r="O3275" s="193">
        <f t="shared" si="719"/>
        <v>4038</v>
      </c>
      <c r="P3275" s="194">
        <v>330</v>
      </c>
      <c r="Q3275" s="194">
        <v>924</v>
      </c>
      <c r="R3275" s="194">
        <v>0</v>
      </c>
      <c r="S3275" s="193">
        <f t="shared" si="720"/>
        <v>1254</v>
      </c>
      <c r="T3275" s="193">
        <f t="shared" si="721"/>
        <v>306.60000000000002</v>
      </c>
      <c r="U3275" s="193">
        <f ca="1">OFFSET('Expenditure Study'!$B$7,'Operations Support'!$C3275,'Operations Support'!$B3275)*$G3275</f>
        <v>10117.800000000001</v>
      </c>
      <c r="V3275" s="199">
        <f ca="1">U3275*'Expenditure Study'!$B$31</f>
        <v>597791.80669824011</v>
      </c>
      <c r="W3275" s="199">
        <f ca="1">IF(A3275=10298,1.51,1)*IF($B3275&lt;3,$D3275*'Expenditure Study'!$B$32*OFFSET('Expenditure Study'!$B$7,'Operations Support'!$C3275,'Operations Support'!$B3275),0)</f>
        <v>167.97000000000003</v>
      </c>
      <c r="X3275" s="200">
        <f ca="1">W3275*'Expenditure Study'!$B$31</f>
        <v>9924.2018789760023</v>
      </c>
      <c r="Y3275" s="199">
        <f ca="1">U3275*'Expenditure Study'!$B$31</f>
        <v>597791.80669824011</v>
      </c>
      <c r="Z3275" s="200">
        <f ca="1">W3275*'Expenditure Study'!$B$31</f>
        <v>9924.2018789760023</v>
      </c>
      <c r="AA3275" s="195">
        <f t="shared" ca="1" si="722"/>
        <v>607716.00857721607</v>
      </c>
      <c r="AB3275" s="195">
        <f t="shared" ca="1" si="723"/>
        <v>607716.00857721607</v>
      </c>
      <c r="AD3275" s="196">
        <f>IFERROR($G3275/SUMIF($A:$A,$A3275,$G:$G)*SUMIF(Summary!$A$166:$A$242,$A3275,Summary!$P$166:$P$242),0)</f>
        <v>328622.53658331308</v>
      </c>
      <c r="AE3275" s="197">
        <f t="shared" ca="1" si="724"/>
        <v>279093.47199390299</v>
      </c>
      <c r="AF3275" s="196">
        <f>IFERROR(G3275/SUMIF(A:A,A3275,G:G)*SUMIF(Summary!$A$166:$A$242,'Operations Support'!A3275,Summary!$Q$166:$Q$242),0)</f>
        <v>329480.6475272458</v>
      </c>
      <c r="AG3275" s="196">
        <f t="shared" ca="1" si="725"/>
        <v>278235.36104997026</v>
      </c>
      <c r="AI3275" s="196">
        <f>IFERROR($G3275/SUMIF($A:$A,$A3275,$G:$G)*SUMIF(Summary!$A$247:$A$283,$A3275,Summary!$P$247:$P$283),0)</f>
        <v>59932.549988808663</v>
      </c>
      <c r="AJ3275" s="196">
        <f>IFERROR($G3275/SUMIF($A:$A,$A3275,$G:$G)*(SUMIF(Summary!$A$247:$A$283,$A3275,Summary!$L$247:$L$283)+SUMIF(Summary!$A$297:$A$333,$A3275,Summary!$L$297:$L$333))-AI3275,0)</f>
        <v>104995.87569902325</v>
      </c>
      <c r="AK3275" s="196">
        <f>IFERROR($G3275/SUMIF($A:$A,$A3275,$G:$G)*SUMIF(Summary!$A$247:$A$283,$A3275,Summary!$Q$247:$Q$283),0)</f>
        <v>60089.048011062077</v>
      </c>
      <c r="AL3275" s="196">
        <f>IFERROR($G3275/SUMIF($A:$A,$A3275,$G:$G)*(SUMIF(Summary!$A$247:$A$283,$A3275,Summary!$L$247:$L$283)+SUMIF(Summary!$A$297:$A$333,$A3275,Summary!$L$297:$L$333))-AK3275,0)</f>
        <v>104839.37767676983</v>
      </c>
      <c r="AM3275" s="198"/>
      <c r="AN3275" s="196">
        <f t="shared" ca="1" si="726"/>
        <v>384089.34769292624</v>
      </c>
      <c r="AO3275" s="196">
        <f t="shared" ca="1" si="727"/>
        <v>383074.73872674012</v>
      </c>
    </row>
    <row r="3276" spans="1:41">
      <c r="A3276" s="189">
        <v>12826</v>
      </c>
      <c r="B3276" s="190">
        <v>1</v>
      </c>
      <c r="C3276" s="191" t="s">
        <v>236</v>
      </c>
      <c r="D3276" s="192">
        <f t="shared" si="714"/>
        <v>0</v>
      </c>
      <c r="E3276" s="192">
        <f t="shared" si="715"/>
        <v>0</v>
      </c>
      <c r="F3276" s="192">
        <f t="shared" si="716"/>
        <v>0</v>
      </c>
      <c r="G3276" s="193">
        <f t="shared" si="717"/>
        <v>0</v>
      </c>
      <c r="H3276" s="194">
        <v>0</v>
      </c>
      <c r="I3276" s="194">
        <v>0</v>
      </c>
      <c r="J3276" s="194">
        <v>0</v>
      </c>
      <c r="K3276" s="193">
        <f t="shared" si="718"/>
        <v>0</v>
      </c>
      <c r="L3276" s="194">
        <v>0</v>
      </c>
      <c r="M3276" s="194">
        <v>0</v>
      </c>
      <c r="N3276" s="194">
        <v>0</v>
      </c>
      <c r="O3276" s="193">
        <f t="shared" si="719"/>
        <v>0</v>
      </c>
      <c r="P3276" s="194">
        <v>0</v>
      </c>
      <c r="Q3276" s="194">
        <v>0</v>
      </c>
      <c r="R3276" s="194">
        <v>0</v>
      </c>
      <c r="S3276" s="193">
        <f t="shared" si="720"/>
        <v>0</v>
      </c>
      <c r="T3276" s="193">
        <f t="shared" si="721"/>
        <v>0</v>
      </c>
      <c r="U3276" s="193">
        <f ca="1">OFFSET('Expenditure Study'!$B$7,'Operations Support'!$C3276,'Operations Support'!$B3276)*$G3276</f>
        <v>0</v>
      </c>
      <c r="V3276" s="199">
        <f ca="1">U3276*'Expenditure Study'!$B$31</f>
        <v>0</v>
      </c>
      <c r="W3276" s="199">
        <f ca="1">IF(A3276=10298,1.51,1)*IF($B3276&lt;3,$D3276*'Expenditure Study'!$B$32*OFFSET('Expenditure Study'!$B$7,'Operations Support'!$C3276,'Operations Support'!$B3276),0)</f>
        <v>0</v>
      </c>
      <c r="X3276" s="200">
        <f ca="1">W3276*'Expenditure Study'!$B$31</f>
        <v>0</v>
      </c>
      <c r="Y3276" s="199">
        <f ca="1">U3276*'Expenditure Study'!$B$31</f>
        <v>0</v>
      </c>
      <c r="Z3276" s="200">
        <f ca="1">W3276*'Expenditure Study'!$B$31</f>
        <v>0</v>
      </c>
      <c r="AA3276" s="195">
        <f t="shared" ca="1" si="722"/>
        <v>0</v>
      </c>
      <c r="AB3276" s="195">
        <f t="shared" ca="1" si="723"/>
        <v>0</v>
      </c>
      <c r="AD3276" s="196">
        <f>IFERROR($G3276/SUMIF($A:$A,$A3276,$G:$G)*SUMIF(Summary!$A$166:$A$242,$A3276,Summary!$P$166:$P$242),0)</f>
        <v>0</v>
      </c>
      <c r="AE3276" s="197">
        <f t="shared" ca="1" si="724"/>
        <v>0</v>
      </c>
      <c r="AF3276" s="196">
        <f>IFERROR(G3276/SUMIF(A:A,A3276,G:G)*SUMIF(Summary!$A$166:$A$242,'Operations Support'!A3276,Summary!$Q$166:$Q$242),0)</f>
        <v>0</v>
      </c>
      <c r="AG3276" s="196">
        <f t="shared" ca="1" si="725"/>
        <v>0</v>
      </c>
      <c r="AI3276" s="196">
        <f>IFERROR($G3276/SUMIF($A:$A,$A3276,$G:$G)*SUMIF(Summary!$A$247:$A$283,$A3276,Summary!$P$247:$P$283),0)</f>
        <v>0</v>
      </c>
      <c r="AJ3276" s="196">
        <f>IFERROR($G3276/SUMIF($A:$A,$A3276,$G:$G)*(SUMIF(Summary!$A$247:$A$283,$A3276,Summary!$L$247:$L$283)+SUMIF(Summary!$A$297:$A$333,$A3276,Summary!$L$297:$L$333))-AI3276,0)</f>
        <v>0</v>
      </c>
      <c r="AK3276" s="196">
        <f>IFERROR($G3276/SUMIF($A:$A,$A3276,$G:$G)*SUMIF(Summary!$A$247:$A$283,$A3276,Summary!$Q$247:$Q$283),0)</f>
        <v>0</v>
      </c>
      <c r="AL3276" s="196">
        <f>IFERROR($G3276/SUMIF($A:$A,$A3276,$G:$G)*(SUMIF(Summary!$A$247:$A$283,$A3276,Summary!$L$247:$L$283)+SUMIF(Summary!$A$297:$A$333,$A3276,Summary!$L$297:$L$333))-AK3276,0)</f>
        <v>0</v>
      </c>
      <c r="AM3276" s="198"/>
      <c r="AN3276" s="196">
        <f t="shared" ca="1" si="726"/>
        <v>0</v>
      </c>
      <c r="AO3276" s="196">
        <f t="shared" ca="1" si="727"/>
        <v>0</v>
      </c>
    </row>
    <row r="3277" spans="1:41">
      <c r="A3277" s="189">
        <v>12826</v>
      </c>
      <c r="B3277" s="190">
        <v>1</v>
      </c>
      <c r="C3277" s="191" t="s">
        <v>237</v>
      </c>
      <c r="D3277" s="192">
        <f t="shared" si="714"/>
        <v>0</v>
      </c>
      <c r="E3277" s="192">
        <f t="shared" si="715"/>
        <v>0</v>
      </c>
      <c r="F3277" s="192">
        <f t="shared" si="716"/>
        <v>0</v>
      </c>
      <c r="G3277" s="193">
        <f t="shared" si="717"/>
        <v>0</v>
      </c>
      <c r="H3277" s="194">
        <v>0</v>
      </c>
      <c r="I3277" s="194">
        <v>0</v>
      </c>
      <c r="J3277" s="194">
        <v>0</v>
      </c>
      <c r="K3277" s="193">
        <f t="shared" si="718"/>
        <v>0</v>
      </c>
      <c r="L3277" s="194">
        <v>0</v>
      </c>
      <c r="M3277" s="194">
        <v>0</v>
      </c>
      <c r="N3277" s="194">
        <v>0</v>
      </c>
      <c r="O3277" s="193">
        <f t="shared" si="719"/>
        <v>0</v>
      </c>
      <c r="P3277" s="194">
        <v>0</v>
      </c>
      <c r="Q3277" s="194">
        <v>0</v>
      </c>
      <c r="R3277" s="194">
        <v>0</v>
      </c>
      <c r="S3277" s="193">
        <f t="shared" si="720"/>
        <v>0</v>
      </c>
      <c r="T3277" s="193">
        <f t="shared" si="721"/>
        <v>0</v>
      </c>
      <c r="U3277" s="193">
        <f ca="1">OFFSET('Expenditure Study'!$B$7,'Operations Support'!$C3277,'Operations Support'!$B3277)*$G3277</f>
        <v>0</v>
      </c>
      <c r="V3277" s="199">
        <f ca="1">U3277*'Expenditure Study'!$B$31</f>
        <v>0</v>
      </c>
      <c r="W3277" s="199">
        <f ca="1">IF(A3277=10298,1.51,1)*IF($B3277&lt;3,$D3277*'Expenditure Study'!$B$32*OFFSET('Expenditure Study'!$B$7,'Operations Support'!$C3277,'Operations Support'!$B3277),0)</f>
        <v>0</v>
      </c>
      <c r="X3277" s="200">
        <f ca="1">W3277*'Expenditure Study'!$B$31</f>
        <v>0</v>
      </c>
      <c r="Y3277" s="199">
        <f ca="1">U3277*'Expenditure Study'!$B$31</f>
        <v>0</v>
      </c>
      <c r="Z3277" s="200">
        <f ca="1">W3277*'Expenditure Study'!$B$31</f>
        <v>0</v>
      </c>
      <c r="AA3277" s="195">
        <f t="shared" ca="1" si="722"/>
        <v>0</v>
      </c>
      <c r="AB3277" s="195">
        <f t="shared" ca="1" si="723"/>
        <v>0</v>
      </c>
      <c r="AD3277" s="196">
        <f>IFERROR($G3277/SUMIF($A:$A,$A3277,$G:$G)*SUMIF(Summary!$A$166:$A$242,$A3277,Summary!$P$166:$P$242),0)</f>
        <v>0</v>
      </c>
      <c r="AE3277" s="197">
        <f t="shared" ca="1" si="724"/>
        <v>0</v>
      </c>
      <c r="AF3277" s="196">
        <f>IFERROR(G3277/SUMIF(A:A,A3277,G:G)*SUMIF(Summary!$A$166:$A$242,'Operations Support'!A3277,Summary!$Q$166:$Q$242),0)</f>
        <v>0</v>
      </c>
      <c r="AG3277" s="196">
        <f t="shared" ca="1" si="725"/>
        <v>0</v>
      </c>
      <c r="AI3277" s="196">
        <f>IFERROR($G3277/SUMIF($A:$A,$A3277,$G:$G)*SUMIF(Summary!$A$247:$A$283,$A3277,Summary!$P$247:$P$283),0)</f>
        <v>0</v>
      </c>
      <c r="AJ3277" s="196">
        <f>IFERROR($G3277/SUMIF($A:$A,$A3277,$G:$G)*(SUMIF(Summary!$A$247:$A$283,$A3277,Summary!$L$247:$L$283)+SUMIF(Summary!$A$297:$A$333,$A3277,Summary!$L$297:$L$333))-AI3277,0)</f>
        <v>0</v>
      </c>
      <c r="AK3277" s="196">
        <f>IFERROR($G3277/SUMIF($A:$A,$A3277,$G:$G)*SUMIF(Summary!$A$247:$A$283,$A3277,Summary!$Q$247:$Q$283),0)</f>
        <v>0</v>
      </c>
      <c r="AL3277" s="196">
        <f>IFERROR($G3277/SUMIF($A:$A,$A3277,$G:$G)*(SUMIF(Summary!$A$247:$A$283,$A3277,Summary!$L$247:$L$283)+SUMIF(Summary!$A$297:$A$333,$A3277,Summary!$L$297:$L$333))-AK3277,0)</f>
        <v>0</v>
      </c>
      <c r="AM3277" s="198"/>
      <c r="AN3277" s="196">
        <f t="shared" ca="1" si="726"/>
        <v>0</v>
      </c>
      <c r="AO3277" s="196">
        <f t="shared" ca="1" si="727"/>
        <v>0</v>
      </c>
    </row>
    <row r="3278" spans="1:41">
      <c r="A3278" s="189">
        <v>12826</v>
      </c>
      <c r="B3278" s="190">
        <v>1</v>
      </c>
      <c r="C3278" s="191" t="s">
        <v>238</v>
      </c>
      <c r="D3278" s="192">
        <f t="shared" si="714"/>
        <v>409</v>
      </c>
      <c r="E3278" s="192">
        <f t="shared" si="715"/>
        <v>135</v>
      </c>
      <c r="F3278" s="192">
        <f t="shared" si="716"/>
        <v>0</v>
      </c>
      <c r="G3278" s="193">
        <f t="shared" si="717"/>
        <v>544</v>
      </c>
      <c r="H3278" s="194">
        <v>167</v>
      </c>
      <c r="I3278" s="194">
        <v>36</v>
      </c>
      <c r="J3278" s="194">
        <v>0</v>
      </c>
      <c r="K3278" s="193">
        <f t="shared" si="718"/>
        <v>203</v>
      </c>
      <c r="L3278" s="194">
        <v>138</v>
      </c>
      <c r="M3278" s="194">
        <v>99</v>
      </c>
      <c r="N3278" s="194">
        <v>0</v>
      </c>
      <c r="O3278" s="193">
        <f t="shared" si="719"/>
        <v>237</v>
      </c>
      <c r="P3278" s="194">
        <v>104</v>
      </c>
      <c r="Q3278" s="194">
        <v>0</v>
      </c>
      <c r="R3278" s="194">
        <v>0</v>
      </c>
      <c r="S3278" s="193">
        <f t="shared" si="720"/>
        <v>104</v>
      </c>
      <c r="T3278" s="193">
        <f t="shared" si="721"/>
        <v>18.133333333333333</v>
      </c>
      <c r="U3278" s="193">
        <f ca="1">OFFSET('Expenditure Study'!$B$7,'Operations Support'!$C3278,'Operations Support'!$B3278)*$G3278</f>
        <v>968.32</v>
      </c>
      <c r="V3278" s="199">
        <f ca="1">U3278*'Expenditure Study'!$B$31</f>
        <v>57211.425632256003</v>
      </c>
      <c r="W3278" s="199">
        <f ca="1">IF(A3278=10298,1.51,1)*IF($B3278&lt;3,$D3278*'Expenditure Study'!$B$32*OFFSET('Expenditure Study'!$B$7,'Operations Support'!$C3278,'Operations Support'!$B3278),0)</f>
        <v>72.802000000000007</v>
      </c>
      <c r="X3278" s="200">
        <f ca="1">W3278*'Expenditure Study'!$B$31</f>
        <v>4301.3737286016003</v>
      </c>
      <c r="Y3278" s="199">
        <f ca="1">U3278*'Expenditure Study'!$B$31</f>
        <v>57211.425632256003</v>
      </c>
      <c r="Z3278" s="200">
        <f ca="1">W3278*'Expenditure Study'!$B$31</f>
        <v>4301.3737286016003</v>
      </c>
      <c r="AA3278" s="195">
        <f t="shared" ca="1" si="722"/>
        <v>61512.799360857607</v>
      </c>
      <c r="AB3278" s="195">
        <f t="shared" ca="1" si="723"/>
        <v>61512.799360857607</v>
      </c>
      <c r="AD3278" s="196">
        <f>IFERROR($G3278/SUMIF($A:$A,$A3278,$G:$G)*SUMIF(Summary!$A$166:$A$242,$A3278,Summary!$P$166:$P$242),0)</f>
        <v>19435.818645501451</v>
      </c>
      <c r="AE3278" s="197">
        <f t="shared" ca="1" si="724"/>
        <v>42076.980715356156</v>
      </c>
      <c r="AF3278" s="196">
        <f>IFERROR(G3278/SUMIF(A:A,A3278,G:G)*SUMIF(Summary!$A$166:$A$242,'Operations Support'!A3278,Summary!$Q$166:$Q$242),0)</f>
        <v>19486.570151644024</v>
      </c>
      <c r="AG3278" s="196">
        <f t="shared" ca="1" si="725"/>
        <v>42026.229209213583</v>
      </c>
      <c r="AI3278" s="196">
        <f>IFERROR($G3278/SUMIF($A:$A,$A3278,$G:$G)*SUMIF(Summary!$A$247:$A$283,$A3278,Summary!$P$247:$P$283),0)</f>
        <v>3544.6083054916194</v>
      </c>
      <c r="AJ3278" s="196">
        <f>IFERROR($G3278/SUMIF($A:$A,$A3278,$G:$G)*(SUMIF(Summary!$A$247:$A$283,$A3278,Summary!$L$247:$L$283)+SUMIF(Summary!$A$297:$A$333,$A3278,Summary!$L$297:$L$333))-AI3278,0)</f>
        <v>6209.8017373634102</v>
      </c>
      <c r="AK3278" s="196">
        <f>IFERROR($G3278/SUMIF($A:$A,$A3278,$G:$G)*SUMIF(Summary!$A$247:$A$283,$A3278,Summary!$Q$247:$Q$283),0)</f>
        <v>3553.8641137223062</v>
      </c>
      <c r="AL3278" s="196">
        <f>IFERROR($G3278/SUMIF($A:$A,$A3278,$G:$G)*(SUMIF(Summary!$A$247:$A$283,$A3278,Summary!$L$247:$L$283)+SUMIF(Summary!$A$297:$A$333,$A3278,Summary!$L$297:$L$333))-AK3278,0)</f>
        <v>6200.5459291327243</v>
      </c>
      <c r="AM3278" s="198"/>
      <c r="AN3278" s="196">
        <f t="shared" ca="1" si="726"/>
        <v>48286.782452719563</v>
      </c>
      <c r="AO3278" s="196">
        <f t="shared" ca="1" si="727"/>
        <v>48226.775138346304</v>
      </c>
    </row>
    <row r="3279" spans="1:41">
      <c r="A3279" s="189">
        <v>12826</v>
      </c>
      <c r="B3279" s="190">
        <v>1</v>
      </c>
      <c r="C3279" s="191" t="s">
        <v>239</v>
      </c>
      <c r="D3279" s="192">
        <f t="shared" si="714"/>
        <v>3</v>
      </c>
      <c r="E3279" s="192">
        <f t="shared" si="715"/>
        <v>130</v>
      </c>
      <c r="F3279" s="192">
        <f t="shared" si="716"/>
        <v>0</v>
      </c>
      <c r="G3279" s="193">
        <f t="shared" si="717"/>
        <v>133</v>
      </c>
      <c r="H3279" s="194">
        <v>3</v>
      </c>
      <c r="I3279" s="194">
        <v>35</v>
      </c>
      <c r="J3279" s="194">
        <v>0</v>
      </c>
      <c r="K3279" s="193">
        <f t="shared" si="718"/>
        <v>38</v>
      </c>
      <c r="L3279" s="194">
        <v>0</v>
      </c>
      <c r="M3279" s="194">
        <v>85</v>
      </c>
      <c r="N3279" s="194">
        <v>0</v>
      </c>
      <c r="O3279" s="193">
        <f t="shared" si="719"/>
        <v>85</v>
      </c>
      <c r="P3279" s="194">
        <v>0</v>
      </c>
      <c r="Q3279" s="194">
        <v>10</v>
      </c>
      <c r="R3279" s="194">
        <v>0</v>
      </c>
      <c r="S3279" s="193">
        <f t="shared" si="720"/>
        <v>10</v>
      </c>
      <c r="T3279" s="193">
        <f t="shared" si="721"/>
        <v>4.4333333333333336</v>
      </c>
      <c r="U3279" s="193">
        <f ca="1">OFFSET('Expenditure Study'!$B$7,'Operations Support'!$C3279,'Operations Support'!$B3279)*$G3279</f>
        <v>206.15</v>
      </c>
      <c r="V3279" s="199">
        <f ca="1">U3279*'Expenditure Study'!$B$31</f>
        <v>12179.997721920001</v>
      </c>
      <c r="W3279" s="199">
        <f ca="1">IF(A3279=10298,1.51,1)*IF($B3279&lt;3,$D3279*'Expenditure Study'!$B$32*OFFSET('Expenditure Study'!$B$7,'Operations Support'!$C3279,'Operations Support'!$B3279),0)</f>
        <v>0.46500000000000008</v>
      </c>
      <c r="X3279" s="200">
        <f ca="1">W3279*'Expenditure Study'!$B$31</f>
        <v>27.473679072000007</v>
      </c>
      <c r="Y3279" s="199">
        <f ca="1">U3279*'Expenditure Study'!$B$31</f>
        <v>12179.997721920001</v>
      </c>
      <c r="Z3279" s="200">
        <f ca="1">W3279*'Expenditure Study'!$B$31</f>
        <v>27.473679072000007</v>
      </c>
      <c r="AA3279" s="195">
        <f t="shared" ca="1" si="722"/>
        <v>12207.471400992001</v>
      </c>
      <c r="AB3279" s="195">
        <f t="shared" ca="1" si="723"/>
        <v>12207.471400992001</v>
      </c>
      <c r="AD3279" s="196">
        <f>IFERROR($G3279/SUMIF($A:$A,$A3279,$G:$G)*SUMIF(Summary!$A$166:$A$242,$A3279,Summary!$P$166:$P$242),0)</f>
        <v>4751.7718379626704</v>
      </c>
      <c r="AE3279" s="197">
        <f t="shared" ca="1" si="724"/>
        <v>7455.6995630293304</v>
      </c>
      <c r="AF3279" s="196">
        <f>IFERROR(G3279/SUMIF(A:A,A3279,G:G)*SUMIF(Summary!$A$166:$A$242,'Operations Support'!A3279,Summary!$Q$166:$Q$242),0)</f>
        <v>4764.1798348688508</v>
      </c>
      <c r="AG3279" s="196">
        <f t="shared" ca="1" si="725"/>
        <v>7443.29156612315</v>
      </c>
      <c r="AI3279" s="196">
        <f>IFERROR($G3279/SUMIF($A:$A,$A3279,$G:$G)*SUMIF(Summary!$A$247:$A$283,$A3279,Summary!$P$247:$P$283),0)</f>
        <v>866.60460409997302</v>
      </c>
      <c r="AJ3279" s="196">
        <f>IFERROR($G3279/SUMIF($A:$A,$A3279,$G:$G)*(SUMIF(Summary!$A$247:$A$283,$A3279,Summary!$L$247:$L$283)+SUMIF(Summary!$A$297:$A$333,$A3279,Summary!$L$297:$L$333))-AI3279,0)</f>
        <v>1518.2052041715688</v>
      </c>
      <c r="AK3279" s="196">
        <f>IFERROR($G3279/SUMIF($A:$A,$A3279,$G:$G)*SUMIF(Summary!$A$247:$A$283,$A3279,Summary!$Q$247:$Q$283),0)</f>
        <v>868.86751309754902</v>
      </c>
      <c r="AL3279" s="196">
        <f>IFERROR($G3279/SUMIF($A:$A,$A3279,$G:$G)*(SUMIF(Summary!$A$247:$A$283,$A3279,Summary!$L$247:$L$283)+SUMIF(Summary!$A$297:$A$333,$A3279,Summary!$L$297:$L$333))-AK3279,0)</f>
        <v>1515.942295173993</v>
      </c>
      <c r="AM3279" s="198"/>
      <c r="AN3279" s="196">
        <f t="shared" ca="1" si="726"/>
        <v>8973.9047672009001</v>
      </c>
      <c r="AO3279" s="196">
        <f t="shared" ca="1" si="727"/>
        <v>8959.2338612971434</v>
      </c>
    </row>
    <row r="3280" spans="1:41">
      <c r="A3280" s="189">
        <v>12826</v>
      </c>
      <c r="B3280" s="190">
        <v>1</v>
      </c>
      <c r="C3280" s="191" t="s">
        <v>240</v>
      </c>
      <c r="D3280" s="192">
        <f t="shared" si="714"/>
        <v>51</v>
      </c>
      <c r="E3280" s="192">
        <f t="shared" si="715"/>
        <v>396</v>
      </c>
      <c r="F3280" s="192">
        <f t="shared" si="716"/>
        <v>0</v>
      </c>
      <c r="G3280" s="193">
        <f t="shared" si="717"/>
        <v>447</v>
      </c>
      <c r="H3280" s="194">
        <v>51</v>
      </c>
      <c r="I3280" s="194">
        <v>180</v>
      </c>
      <c r="J3280" s="194">
        <v>0</v>
      </c>
      <c r="K3280" s="193">
        <f t="shared" si="718"/>
        <v>231</v>
      </c>
      <c r="L3280" s="194">
        <v>0</v>
      </c>
      <c r="M3280" s="194">
        <v>216</v>
      </c>
      <c r="N3280" s="194">
        <v>0</v>
      </c>
      <c r="O3280" s="193">
        <f t="shared" si="719"/>
        <v>216</v>
      </c>
      <c r="P3280" s="194">
        <v>0</v>
      </c>
      <c r="Q3280" s="194">
        <v>0</v>
      </c>
      <c r="R3280" s="194">
        <v>0</v>
      </c>
      <c r="S3280" s="193">
        <f t="shared" si="720"/>
        <v>0</v>
      </c>
      <c r="T3280" s="193">
        <f t="shared" si="721"/>
        <v>14.9</v>
      </c>
      <c r="U3280" s="193">
        <f ca="1">OFFSET('Expenditure Study'!$B$7,'Operations Support'!$C3280,'Operations Support'!$B3280)*$G3280</f>
        <v>447</v>
      </c>
      <c r="V3280" s="199">
        <f ca="1">U3280*'Expenditure Study'!$B$31</f>
        <v>26410.181817600002</v>
      </c>
      <c r="W3280" s="199">
        <f ca="1">IF(A3280=10298,1.51,1)*IF($B3280&lt;3,$D3280*'Expenditure Study'!$B$32*OFFSET('Expenditure Study'!$B$7,'Operations Support'!$C3280,'Operations Support'!$B3280),0)</f>
        <v>5.1000000000000005</v>
      </c>
      <c r="X3280" s="200">
        <f ca="1">W3280*'Expenditure Study'!$B$31</f>
        <v>301.32422208000003</v>
      </c>
      <c r="Y3280" s="199">
        <f ca="1">U3280*'Expenditure Study'!$B$31</f>
        <v>26410.181817600002</v>
      </c>
      <c r="Z3280" s="200">
        <f ca="1">W3280*'Expenditure Study'!$B$31</f>
        <v>301.32422208000003</v>
      </c>
      <c r="AA3280" s="195">
        <f t="shared" ca="1" si="722"/>
        <v>26711.50603968</v>
      </c>
      <c r="AB3280" s="195">
        <f t="shared" ca="1" si="723"/>
        <v>26711.50603968</v>
      </c>
      <c r="AD3280" s="196">
        <f>IFERROR($G3280/SUMIF($A:$A,$A3280,$G:$G)*SUMIF(Summary!$A$166:$A$242,$A3280,Summary!$P$166:$P$242),0)</f>
        <v>15970.24068849108</v>
      </c>
      <c r="AE3280" s="197">
        <f t="shared" ca="1" si="724"/>
        <v>10741.26535118892</v>
      </c>
      <c r="AF3280" s="196">
        <f>IFERROR(G3280/SUMIF(A:A,A3280,G:G)*SUMIF(Summary!$A$166:$A$242,'Operations Support'!A3280,Summary!$Q$166:$Q$242),0)</f>
        <v>16011.942753281024</v>
      </c>
      <c r="AG3280" s="196">
        <f t="shared" ca="1" si="725"/>
        <v>10699.563286398976</v>
      </c>
      <c r="AI3280" s="196">
        <f>IFERROR($G3280/SUMIF($A:$A,$A3280,$G:$G)*SUMIF(Summary!$A$247:$A$283,$A3280,Summary!$P$247:$P$283),0)</f>
        <v>2912.5733686668268</v>
      </c>
      <c r="AJ3280" s="196">
        <f>IFERROR($G3280/SUMIF($A:$A,$A3280,$G:$G)*(SUMIF(Summary!$A$247:$A$283,$A3280,Summary!$L$247:$L$283)+SUMIF(Summary!$A$297:$A$333,$A3280,Summary!$L$297:$L$333))-AI3280,0)</f>
        <v>5102.5392952232432</v>
      </c>
      <c r="AK3280" s="196">
        <f>IFERROR($G3280/SUMIF($A:$A,$A3280,$G:$G)*SUMIF(Summary!$A$247:$A$283,$A3280,Summary!$Q$247:$Q$283),0)</f>
        <v>2920.1787846210859</v>
      </c>
      <c r="AL3280" s="196">
        <f>IFERROR($G3280/SUMIF($A:$A,$A3280,$G:$G)*(SUMIF(Summary!$A$247:$A$283,$A3280,Summary!$L$247:$L$283)+SUMIF(Summary!$A$297:$A$333,$A3280,Summary!$L$297:$L$333))-AK3280,0)</f>
        <v>5094.9338792689832</v>
      </c>
      <c r="AM3280" s="198"/>
      <c r="AN3280" s="196">
        <f t="shared" ca="1" si="726"/>
        <v>15843.804646412163</v>
      </c>
      <c r="AO3280" s="196">
        <f t="shared" ca="1" si="727"/>
        <v>15794.497165667959</v>
      </c>
    </row>
    <row r="3281" spans="1:41">
      <c r="A3281" s="189">
        <v>12826</v>
      </c>
      <c r="B3281" s="190">
        <v>2</v>
      </c>
      <c r="C3281" s="191" t="s">
        <v>220</v>
      </c>
      <c r="D3281" s="192">
        <f t="shared" si="714"/>
        <v>20556</v>
      </c>
      <c r="E3281" s="192">
        <f t="shared" si="715"/>
        <v>21807</v>
      </c>
      <c r="F3281" s="192">
        <f t="shared" si="716"/>
        <v>0</v>
      </c>
      <c r="G3281" s="193">
        <f t="shared" si="717"/>
        <v>42363</v>
      </c>
      <c r="H3281" s="194">
        <v>7635</v>
      </c>
      <c r="I3281" s="194">
        <v>9432</v>
      </c>
      <c r="J3281" s="194">
        <v>0</v>
      </c>
      <c r="K3281" s="193">
        <f t="shared" si="718"/>
        <v>17067</v>
      </c>
      <c r="L3281" s="194">
        <v>7521</v>
      </c>
      <c r="M3281" s="194">
        <v>10146</v>
      </c>
      <c r="N3281" s="194">
        <v>0</v>
      </c>
      <c r="O3281" s="193">
        <f t="shared" si="719"/>
        <v>17667</v>
      </c>
      <c r="P3281" s="194">
        <v>5400</v>
      </c>
      <c r="Q3281" s="194">
        <v>2229</v>
      </c>
      <c r="R3281" s="194">
        <v>0</v>
      </c>
      <c r="S3281" s="193">
        <f t="shared" si="720"/>
        <v>7629</v>
      </c>
      <c r="T3281" s="193">
        <f t="shared" si="721"/>
        <v>1412.1</v>
      </c>
      <c r="U3281" s="193">
        <f ca="1">OFFSET('Expenditure Study'!$B$7,'Operations Support'!$C3281,'Operations Support'!$B3281)*$G3281</f>
        <v>77947.92</v>
      </c>
      <c r="V3281" s="199">
        <f ca="1">U3281*'Expenditure Study'!$B$31</f>
        <v>4605411.0503439363</v>
      </c>
      <c r="W3281" s="199">
        <f ca="1">IF(A3281=10298,1.51,1)*IF($B3281&lt;3,$D3281*'Expenditure Study'!$B$32*OFFSET('Expenditure Study'!$B$7,'Operations Support'!$C3281,'Operations Support'!$B3281),0)</f>
        <v>3782.3040000000001</v>
      </c>
      <c r="X3281" s="200">
        <f ca="1">W3281*'Expenditure Study'!$B$31</f>
        <v>223470.55107256322</v>
      </c>
      <c r="Y3281" s="199">
        <f ca="1">U3281*'Expenditure Study'!$B$31</f>
        <v>4605411.0503439363</v>
      </c>
      <c r="Z3281" s="200">
        <f ca="1">W3281*'Expenditure Study'!$B$31</f>
        <v>223470.55107256322</v>
      </c>
      <c r="AA3281" s="195">
        <f t="shared" ca="1" si="722"/>
        <v>4828881.6014164994</v>
      </c>
      <c r="AB3281" s="195">
        <f t="shared" ca="1" si="723"/>
        <v>4828881.6014164994</v>
      </c>
      <c r="AD3281" s="196">
        <f>IFERROR($G3281/SUMIF($A:$A,$A3281,$G:$G)*SUMIF(Summary!$A$166:$A$242,$A3281,Summary!$P$166:$P$242),0)</f>
        <v>1513528.649410621</v>
      </c>
      <c r="AE3281" s="197">
        <f t="shared" ca="1" si="724"/>
        <v>3315352.9520058781</v>
      </c>
      <c r="AF3281" s="196">
        <f>IFERROR(G3281/SUMIF(A:A,A3281,G:G)*SUMIF(Summary!$A$166:$A$242,'Operations Support'!A3281,Summary!$Q$166:$Q$242),0)</f>
        <v>1517480.8296582641</v>
      </c>
      <c r="AG3281" s="196">
        <f t="shared" ca="1" si="725"/>
        <v>3311400.7717582351</v>
      </c>
      <c r="AI3281" s="196">
        <f>IFERROR($G3281/SUMIF($A:$A,$A3281,$G:$G)*SUMIF(Summary!$A$247:$A$283,$A3281,Summary!$P$247:$P$283),0)</f>
        <v>276029.85596606886</v>
      </c>
      <c r="AJ3281" s="196">
        <f>IFERROR($G3281/SUMIF($A:$A,$A3281,$G:$G)*(SUMIF(Summary!$A$247:$A$283,$A3281,Summary!$L$247:$L$283)+SUMIF(Summary!$A$297:$A$333,$A3281,Summary!$L$297:$L$333))-AI3281,0)</f>
        <v>483576.89522045251</v>
      </c>
      <c r="AK3281" s="196">
        <f>IFERROR($G3281/SUMIF($A:$A,$A3281,$G:$G)*SUMIF(Summary!$A$247:$A$283,$A3281,Summary!$Q$247:$Q$283),0)</f>
        <v>276750.63501768024</v>
      </c>
      <c r="AL3281" s="196">
        <f>IFERROR($G3281/SUMIF($A:$A,$A3281,$G:$G)*(SUMIF(Summary!$A$247:$A$283,$A3281,Summary!$L$247:$L$283)+SUMIF(Summary!$A$297:$A$333,$A3281,Summary!$L$297:$L$333))-AK3281,0)</f>
        <v>482856.11616884114</v>
      </c>
      <c r="AM3281" s="198"/>
      <c r="AN3281" s="196">
        <f t="shared" ca="1" si="726"/>
        <v>3798929.8472263305</v>
      </c>
      <c r="AO3281" s="196">
        <f t="shared" ca="1" si="727"/>
        <v>3794256.8879270763</v>
      </c>
    </row>
    <row r="3282" spans="1:41">
      <c r="A3282" s="189">
        <v>12826</v>
      </c>
      <c r="B3282" s="190">
        <v>2</v>
      </c>
      <c r="C3282" s="191" t="s">
        <v>221</v>
      </c>
      <c r="D3282" s="192">
        <f t="shared" si="714"/>
        <v>9651</v>
      </c>
      <c r="E3282" s="192">
        <f t="shared" si="715"/>
        <v>4315</v>
      </c>
      <c r="F3282" s="192">
        <f t="shared" si="716"/>
        <v>0</v>
      </c>
      <c r="G3282" s="193">
        <f t="shared" si="717"/>
        <v>13966</v>
      </c>
      <c r="H3282" s="194">
        <v>4070</v>
      </c>
      <c r="I3282" s="194">
        <v>2143</v>
      </c>
      <c r="J3282" s="194">
        <v>0</v>
      </c>
      <c r="K3282" s="193">
        <f t="shared" si="718"/>
        <v>6213</v>
      </c>
      <c r="L3282" s="194">
        <v>4645</v>
      </c>
      <c r="M3282" s="194">
        <v>1667</v>
      </c>
      <c r="N3282" s="194">
        <v>0</v>
      </c>
      <c r="O3282" s="193">
        <f t="shared" si="719"/>
        <v>6312</v>
      </c>
      <c r="P3282" s="194">
        <v>936</v>
      </c>
      <c r="Q3282" s="194">
        <v>505</v>
      </c>
      <c r="R3282" s="194">
        <v>0</v>
      </c>
      <c r="S3282" s="193">
        <f t="shared" si="720"/>
        <v>1441</v>
      </c>
      <c r="T3282" s="193">
        <f t="shared" si="721"/>
        <v>465.53333333333336</v>
      </c>
      <c r="U3282" s="193">
        <f ca="1">OFFSET('Expenditure Study'!$B$7,'Operations Support'!$C3282,'Operations Support'!$B3282)*$G3282</f>
        <v>36730.58</v>
      </c>
      <c r="V3282" s="199">
        <f ca="1">U3282*'Expenditure Study'!$B$31</f>
        <v>2170159.4990288643</v>
      </c>
      <c r="W3282" s="199">
        <f ca="1">IF(A3282=10298,1.51,1)*IF($B3282&lt;3,$D3282*'Expenditure Study'!$B$32*OFFSET('Expenditure Study'!$B$7,'Operations Support'!$C3282,'Operations Support'!$B3282),0)</f>
        <v>2538.2129999999997</v>
      </c>
      <c r="X3282" s="200">
        <f ca="1">W3282*'Expenditure Study'!$B$31</f>
        <v>149965.6975879104</v>
      </c>
      <c r="Y3282" s="199">
        <f ca="1">U3282*'Expenditure Study'!$B$31</f>
        <v>2170159.4990288643</v>
      </c>
      <c r="Z3282" s="200">
        <f ca="1">W3282*'Expenditure Study'!$B$31</f>
        <v>149965.6975879104</v>
      </c>
      <c r="AA3282" s="195">
        <f t="shared" ca="1" si="722"/>
        <v>2320125.1966167749</v>
      </c>
      <c r="AB3282" s="195">
        <f t="shared" ca="1" si="723"/>
        <v>2320125.1966167749</v>
      </c>
      <c r="AD3282" s="196">
        <f>IFERROR($G3282/SUMIF($A:$A,$A3282,$G:$G)*SUMIF(Summary!$A$166:$A$242,$A3282,Summary!$P$166:$P$242),0)</f>
        <v>498971.77059388463</v>
      </c>
      <c r="AE3282" s="197">
        <f t="shared" ca="1" si="724"/>
        <v>1821153.4260228903</v>
      </c>
      <c r="AF3282" s="196">
        <f>IFERROR(G3282/SUMIF(A:A,A3282,G:G)*SUMIF(Summary!$A$166:$A$242,'Operations Support'!A3282,Summary!$Q$166:$Q$242),0)</f>
        <v>500274.70356224343</v>
      </c>
      <c r="AG3282" s="196">
        <f t="shared" ca="1" si="725"/>
        <v>1819850.4930545315</v>
      </c>
      <c r="AI3282" s="196">
        <f>IFERROR($G3282/SUMIF($A:$A,$A3282,$G:$G)*SUMIF(Summary!$A$247:$A$283,$A3282,Summary!$P$247:$P$283),0)</f>
        <v>90999.999254588154</v>
      </c>
      <c r="AJ3282" s="196">
        <f>IFERROR($G3282/SUMIF($A:$A,$A3282,$G:$G)*(SUMIF(Summary!$A$247:$A$283,$A3282,Summary!$L$247:$L$283)+SUMIF(Summary!$A$297:$A$333,$A3282,Summary!$L$297:$L$333))-AI3282,0)</f>
        <v>159422.96151473786</v>
      </c>
      <c r="AK3282" s="196">
        <f>IFERROR($G3282/SUMIF($A:$A,$A3282,$G:$G)*SUMIF(Summary!$A$247:$A$283,$A3282,Summary!$Q$247:$Q$283),0)</f>
        <v>91237.621713686996</v>
      </c>
      <c r="AL3282" s="196">
        <f>IFERROR($G3282/SUMIF($A:$A,$A3282,$G:$G)*(SUMIF(Summary!$A$247:$A$283,$A3282,Summary!$L$247:$L$283)+SUMIF(Summary!$A$297:$A$333,$A3282,Summary!$L$297:$L$333))-AK3282,0)</f>
        <v>159185.33905563902</v>
      </c>
      <c r="AM3282" s="198"/>
      <c r="AN3282" s="196">
        <f t="shared" ca="1" si="726"/>
        <v>1980576.3875376282</v>
      </c>
      <c r="AO3282" s="196">
        <f t="shared" ca="1" si="727"/>
        <v>1979035.8321101705</v>
      </c>
    </row>
    <row r="3283" spans="1:41">
      <c r="A3283" s="189">
        <v>12826</v>
      </c>
      <c r="B3283" s="190">
        <v>2</v>
      </c>
      <c r="C3283" s="191" t="s">
        <v>222</v>
      </c>
      <c r="D3283" s="192">
        <f t="shared" si="714"/>
        <v>951</v>
      </c>
      <c r="E3283" s="192">
        <f t="shared" si="715"/>
        <v>597</v>
      </c>
      <c r="F3283" s="192">
        <f t="shared" si="716"/>
        <v>0</v>
      </c>
      <c r="G3283" s="193">
        <f t="shared" si="717"/>
        <v>1548</v>
      </c>
      <c r="H3283" s="194">
        <v>483</v>
      </c>
      <c r="I3283" s="194">
        <v>276</v>
      </c>
      <c r="J3283" s="194">
        <v>0</v>
      </c>
      <c r="K3283" s="193">
        <f t="shared" si="718"/>
        <v>759</v>
      </c>
      <c r="L3283" s="194">
        <v>303</v>
      </c>
      <c r="M3283" s="194">
        <v>306</v>
      </c>
      <c r="N3283" s="194">
        <v>0</v>
      </c>
      <c r="O3283" s="193">
        <f t="shared" si="719"/>
        <v>609</v>
      </c>
      <c r="P3283" s="194">
        <v>165</v>
      </c>
      <c r="Q3283" s="194">
        <v>15</v>
      </c>
      <c r="R3283" s="194">
        <v>0</v>
      </c>
      <c r="S3283" s="193">
        <f t="shared" si="720"/>
        <v>180</v>
      </c>
      <c r="T3283" s="193">
        <f t="shared" si="721"/>
        <v>51.6</v>
      </c>
      <c r="U3283" s="193">
        <f ca="1">OFFSET('Expenditure Study'!$B$7,'Operations Support'!$C3283,'Operations Support'!$B3283)*$G3283</f>
        <v>4117.68</v>
      </c>
      <c r="V3283" s="199">
        <f ca="1">U3283*'Expenditure Study'!$B$31</f>
        <v>243285.63191654402</v>
      </c>
      <c r="W3283" s="199">
        <f ca="1">IF(A3283=10298,1.51,1)*IF($B3283&lt;3,$D3283*'Expenditure Study'!$B$32*OFFSET('Expenditure Study'!$B$7,'Operations Support'!$C3283,'Operations Support'!$B3283),0)</f>
        <v>252.96600000000004</v>
      </c>
      <c r="X3283" s="200">
        <f ca="1">W3283*'Expenditure Study'!$B$31</f>
        <v>14946.035914252803</v>
      </c>
      <c r="Y3283" s="199">
        <f ca="1">U3283*'Expenditure Study'!$B$31</f>
        <v>243285.63191654402</v>
      </c>
      <c r="Z3283" s="200">
        <f ca="1">W3283*'Expenditure Study'!$B$31</f>
        <v>14946.035914252803</v>
      </c>
      <c r="AA3283" s="195">
        <f t="shared" ca="1" si="722"/>
        <v>258231.66783079683</v>
      </c>
      <c r="AB3283" s="195">
        <f t="shared" ca="1" si="723"/>
        <v>258231.66783079683</v>
      </c>
      <c r="AD3283" s="196">
        <f>IFERROR($G3283/SUMIF($A:$A,$A3283,$G:$G)*SUMIF(Summary!$A$166:$A$242,$A3283,Summary!$P$166:$P$242),0)</f>
        <v>55306.336880948969</v>
      </c>
      <c r="AE3283" s="197">
        <f t="shared" ca="1" si="724"/>
        <v>202925.33094984785</v>
      </c>
      <c r="AF3283" s="196">
        <f>IFERROR(G3283/SUMIF(A:A,A3283,G:G)*SUMIF(Summary!$A$166:$A$242,'Operations Support'!A3283,Summary!$Q$166:$Q$242),0)</f>
        <v>55450.754769751737</v>
      </c>
      <c r="AG3283" s="196">
        <f t="shared" ca="1" si="725"/>
        <v>202780.91306104508</v>
      </c>
      <c r="AI3283" s="196">
        <f>IFERROR($G3283/SUMIF($A:$A,$A3283,$G:$G)*SUMIF(Summary!$A$247:$A$283,$A3283,Summary!$P$247:$P$283),0)</f>
        <v>10086.495692832768</v>
      </c>
      <c r="AJ3283" s="196">
        <f>IFERROR($G3283/SUMIF($A:$A,$A3283,$G:$G)*(SUMIF(Summary!$A$247:$A$283,$A3283,Summary!$L$247:$L$283)+SUMIF(Summary!$A$297:$A$333,$A3283,Summary!$L$297:$L$333))-AI3283,0)</f>
        <v>17670.538767350292</v>
      </c>
      <c r="AK3283" s="196">
        <f>IFERROR($G3283/SUMIF($A:$A,$A3283,$G:$G)*SUMIF(Summary!$A$247:$A$283,$A3283,Summary!$Q$247:$Q$283),0)</f>
        <v>10112.83391184215</v>
      </c>
      <c r="AL3283" s="196">
        <f>IFERROR($G3283/SUMIF($A:$A,$A3283,$G:$G)*(SUMIF(Summary!$A$247:$A$283,$A3283,Summary!$L$247:$L$283)+SUMIF(Summary!$A$297:$A$333,$A3283,Summary!$L$297:$L$333))-AK3283,0)</f>
        <v>17644.200548340912</v>
      </c>
      <c r="AM3283" s="198"/>
      <c r="AN3283" s="196">
        <f t="shared" ca="1" si="726"/>
        <v>220595.86971719813</v>
      </c>
      <c r="AO3283" s="196">
        <f t="shared" ca="1" si="727"/>
        <v>220425.113609386</v>
      </c>
    </row>
    <row r="3284" spans="1:41">
      <c r="A3284" s="189">
        <v>12826</v>
      </c>
      <c r="B3284" s="190">
        <v>2</v>
      </c>
      <c r="C3284" s="191" t="s">
        <v>223</v>
      </c>
      <c r="D3284" s="192">
        <f t="shared" si="714"/>
        <v>2997</v>
      </c>
      <c r="E3284" s="192">
        <f t="shared" si="715"/>
        <v>5592</v>
      </c>
      <c r="F3284" s="192">
        <f t="shared" si="716"/>
        <v>0</v>
      </c>
      <c r="G3284" s="193">
        <f t="shared" si="717"/>
        <v>8589</v>
      </c>
      <c r="H3284" s="194">
        <v>1161</v>
      </c>
      <c r="I3284" s="194">
        <v>2628</v>
      </c>
      <c r="J3284" s="194">
        <v>0</v>
      </c>
      <c r="K3284" s="193">
        <f t="shared" si="718"/>
        <v>3789</v>
      </c>
      <c r="L3284" s="194">
        <v>1533</v>
      </c>
      <c r="M3284" s="194">
        <v>2721</v>
      </c>
      <c r="N3284" s="194">
        <v>0</v>
      </c>
      <c r="O3284" s="193">
        <f t="shared" si="719"/>
        <v>4254</v>
      </c>
      <c r="P3284" s="194">
        <v>303</v>
      </c>
      <c r="Q3284" s="194">
        <v>243</v>
      </c>
      <c r="R3284" s="194">
        <v>0</v>
      </c>
      <c r="S3284" s="193">
        <f t="shared" si="720"/>
        <v>546</v>
      </c>
      <c r="T3284" s="193">
        <f t="shared" si="721"/>
        <v>286.3</v>
      </c>
      <c r="U3284" s="193">
        <f ca="1">OFFSET('Expenditure Study'!$B$7,'Operations Support'!$C3284,'Operations Support'!$B3284)*$G3284</f>
        <v>16319.099999999999</v>
      </c>
      <c r="V3284" s="199">
        <f ca="1">U3284*'Expenditure Study'!$B$31</f>
        <v>964184.33579327993</v>
      </c>
      <c r="W3284" s="199">
        <f ca="1">IF(A3284=10298,1.51,1)*IF($B3284&lt;3,$D3284*'Expenditure Study'!$B$32*OFFSET('Expenditure Study'!$B$7,'Operations Support'!$C3284,'Operations Support'!$B3284),0)</f>
        <v>569.42999999999995</v>
      </c>
      <c r="X3284" s="200">
        <f ca="1">W3284*'Expenditure Study'!$B$31</f>
        <v>33643.735642943997</v>
      </c>
      <c r="Y3284" s="199">
        <f ca="1">U3284*'Expenditure Study'!$B$31</f>
        <v>964184.33579327993</v>
      </c>
      <c r="Z3284" s="200">
        <f ca="1">W3284*'Expenditure Study'!$B$31</f>
        <v>33643.735642943997</v>
      </c>
      <c r="AA3284" s="195">
        <f t="shared" ca="1" si="722"/>
        <v>997828.07143622392</v>
      </c>
      <c r="AB3284" s="195">
        <f t="shared" ca="1" si="723"/>
        <v>997828.07143622392</v>
      </c>
      <c r="AD3284" s="196">
        <f>IFERROR($G3284/SUMIF($A:$A,$A3284,$G:$G)*SUMIF(Summary!$A$166:$A$242,$A3284,Summary!$P$166:$P$242),0)</f>
        <v>306864.42343053664</v>
      </c>
      <c r="AE3284" s="197">
        <f t="shared" ca="1" si="724"/>
        <v>690963.64800568728</v>
      </c>
      <c r="AF3284" s="196">
        <f>IFERROR(G3284/SUMIF(A:A,A3284,G:G)*SUMIF(Summary!$A$166:$A$242,'Operations Support'!A3284,Summary!$Q$166:$Q$242),0)</f>
        <v>307665.71880968841</v>
      </c>
      <c r="AG3284" s="196">
        <f t="shared" ca="1" si="725"/>
        <v>690162.35262653558</v>
      </c>
      <c r="AI3284" s="196">
        <f>IFERROR($G3284/SUMIF($A:$A,$A3284,$G:$G)*SUMIF(Summary!$A$247:$A$283,$A3284,Summary!$P$247:$P$283),0)</f>
        <v>55964.413117403528</v>
      </c>
      <c r="AJ3284" s="196">
        <f>IFERROR($G3284/SUMIF($A:$A,$A3284,$G:$G)*(SUMIF(Summary!$A$247:$A$283,$A3284,Summary!$L$247:$L$283)+SUMIF(Summary!$A$297:$A$333,$A3284,Summary!$L$297:$L$333))-AI3284,0)</f>
        <v>98044.09397465871</v>
      </c>
      <c r="AK3284" s="196">
        <f>IFERROR($G3284/SUMIF($A:$A,$A3284,$G:$G)*SUMIF(Summary!$A$247:$A$283,$A3284,Summary!$Q$247:$Q$283),0)</f>
        <v>56110.549398457515</v>
      </c>
      <c r="AL3284" s="196">
        <f>IFERROR($G3284/SUMIF($A:$A,$A3284,$G:$G)*(SUMIF(Summary!$A$247:$A$283,$A3284,Summary!$L$247:$L$283)+SUMIF(Summary!$A$297:$A$333,$A3284,Summary!$L$297:$L$333))-AK3284,0)</f>
        <v>97897.957693604723</v>
      </c>
      <c r="AM3284" s="198"/>
      <c r="AN3284" s="196">
        <f t="shared" ca="1" si="726"/>
        <v>789007.74198034604</v>
      </c>
      <c r="AO3284" s="196">
        <f t="shared" ca="1" si="727"/>
        <v>788060.31032014033</v>
      </c>
    </row>
    <row r="3285" spans="1:41">
      <c r="A3285" s="189">
        <v>12826</v>
      </c>
      <c r="B3285" s="190">
        <v>2</v>
      </c>
      <c r="C3285" s="191" t="s">
        <v>224</v>
      </c>
      <c r="D3285" s="192">
        <f t="shared" si="714"/>
        <v>0</v>
      </c>
      <c r="E3285" s="192">
        <f t="shared" si="715"/>
        <v>0</v>
      </c>
      <c r="F3285" s="192">
        <f t="shared" si="716"/>
        <v>0</v>
      </c>
      <c r="G3285" s="193">
        <f t="shared" si="717"/>
        <v>0</v>
      </c>
      <c r="H3285" s="194">
        <v>0</v>
      </c>
      <c r="I3285" s="194">
        <v>0</v>
      </c>
      <c r="J3285" s="194">
        <v>0</v>
      </c>
      <c r="K3285" s="193">
        <f t="shared" si="718"/>
        <v>0</v>
      </c>
      <c r="L3285" s="194">
        <v>0</v>
      </c>
      <c r="M3285" s="194">
        <v>0</v>
      </c>
      <c r="N3285" s="194">
        <v>0</v>
      </c>
      <c r="O3285" s="193">
        <f t="shared" si="719"/>
        <v>0</v>
      </c>
      <c r="P3285" s="194">
        <v>0</v>
      </c>
      <c r="Q3285" s="194">
        <v>0</v>
      </c>
      <c r="R3285" s="194">
        <v>0</v>
      </c>
      <c r="S3285" s="193">
        <f t="shared" si="720"/>
        <v>0</v>
      </c>
      <c r="T3285" s="193">
        <f t="shared" si="721"/>
        <v>0</v>
      </c>
      <c r="U3285" s="193">
        <f ca="1">OFFSET('Expenditure Study'!$B$7,'Operations Support'!$C3285,'Operations Support'!$B3285)*$G3285</f>
        <v>0</v>
      </c>
      <c r="V3285" s="199">
        <f ca="1">U3285*'Expenditure Study'!$B$31</f>
        <v>0</v>
      </c>
      <c r="W3285" s="199">
        <f ca="1">IF(A3285=10298,1.51,1)*IF($B3285&lt;3,$D3285*'Expenditure Study'!$B$32*OFFSET('Expenditure Study'!$B$7,'Operations Support'!$C3285,'Operations Support'!$B3285),0)</f>
        <v>0</v>
      </c>
      <c r="X3285" s="200">
        <f ca="1">W3285*'Expenditure Study'!$B$31</f>
        <v>0</v>
      </c>
      <c r="Y3285" s="199">
        <f ca="1">U3285*'Expenditure Study'!$B$31</f>
        <v>0</v>
      </c>
      <c r="Z3285" s="200">
        <f ca="1">W3285*'Expenditure Study'!$B$31</f>
        <v>0</v>
      </c>
      <c r="AA3285" s="195">
        <f t="shared" ca="1" si="722"/>
        <v>0</v>
      </c>
      <c r="AB3285" s="195">
        <f t="shared" ca="1" si="723"/>
        <v>0</v>
      </c>
      <c r="AD3285" s="196">
        <f>IFERROR($G3285/SUMIF($A:$A,$A3285,$G:$G)*SUMIF(Summary!$A$166:$A$242,$A3285,Summary!$P$166:$P$242),0)</f>
        <v>0</v>
      </c>
      <c r="AE3285" s="197">
        <f t="shared" ca="1" si="724"/>
        <v>0</v>
      </c>
      <c r="AF3285" s="196">
        <f>IFERROR(G3285/SUMIF(A:A,A3285,G:G)*SUMIF(Summary!$A$166:$A$242,'Operations Support'!A3285,Summary!$Q$166:$Q$242),0)</f>
        <v>0</v>
      </c>
      <c r="AG3285" s="196">
        <f t="shared" ca="1" si="725"/>
        <v>0</v>
      </c>
      <c r="AI3285" s="196">
        <f>IFERROR($G3285/SUMIF($A:$A,$A3285,$G:$G)*SUMIF(Summary!$A$247:$A$283,$A3285,Summary!$P$247:$P$283),0)</f>
        <v>0</v>
      </c>
      <c r="AJ3285" s="196">
        <f>IFERROR($G3285/SUMIF($A:$A,$A3285,$G:$G)*(SUMIF(Summary!$A$247:$A$283,$A3285,Summary!$L$247:$L$283)+SUMIF(Summary!$A$297:$A$333,$A3285,Summary!$L$297:$L$333))-AI3285,0)</f>
        <v>0</v>
      </c>
      <c r="AK3285" s="196">
        <f>IFERROR($G3285/SUMIF($A:$A,$A3285,$G:$G)*SUMIF(Summary!$A$247:$A$283,$A3285,Summary!$Q$247:$Q$283),0)</f>
        <v>0</v>
      </c>
      <c r="AL3285" s="196">
        <f>IFERROR($G3285/SUMIF($A:$A,$A3285,$G:$G)*(SUMIF(Summary!$A$247:$A$283,$A3285,Summary!$L$247:$L$283)+SUMIF(Summary!$A$297:$A$333,$A3285,Summary!$L$297:$L$333))-AK3285,0)</f>
        <v>0</v>
      </c>
      <c r="AM3285" s="198"/>
      <c r="AN3285" s="196">
        <f t="shared" ca="1" si="726"/>
        <v>0</v>
      </c>
      <c r="AO3285" s="196">
        <f t="shared" ca="1" si="727"/>
        <v>0</v>
      </c>
    </row>
    <row r="3286" spans="1:41">
      <c r="A3286" s="189">
        <v>12826</v>
      </c>
      <c r="B3286" s="190">
        <v>2</v>
      </c>
      <c r="C3286" s="191" t="s">
        <v>225</v>
      </c>
      <c r="D3286" s="192">
        <f t="shared" si="714"/>
        <v>2629</v>
      </c>
      <c r="E3286" s="192">
        <f t="shared" si="715"/>
        <v>1189</v>
      </c>
      <c r="F3286" s="192">
        <f t="shared" si="716"/>
        <v>0</v>
      </c>
      <c r="G3286" s="193">
        <f t="shared" si="717"/>
        <v>3818</v>
      </c>
      <c r="H3286" s="194">
        <v>1181</v>
      </c>
      <c r="I3286" s="194">
        <v>522</v>
      </c>
      <c r="J3286" s="194">
        <v>0</v>
      </c>
      <c r="K3286" s="193">
        <f t="shared" si="718"/>
        <v>1703</v>
      </c>
      <c r="L3286" s="194">
        <v>946</v>
      </c>
      <c r="M3286" s="194">
        <v>607</v>
      </c>
      <c r="N3286" s="194">
        <v>0</v>
      </c>
      <c r="O3286" s="193">
        <f t="shared" si="719"/>
        <v>1553</v>
      </c>
      <c r="P3286" s="194">
        <v>502</v>
      </c>
      <c r="Q3286" s="194">
        <v>60</v>
      </c>
      <c r="R3286" s="194">
        <v>0</v>
      </c>
      <c r="S3286" s="193">
        <f t="shared" si="720"/>
        <v>562</v>
      </c>
      <c r="T3286" s="193">
        <f t="shared" si="721"/>
        <v>127.26666666666667</v>
      </c>
      <c r="U3286" s="193">
        <f ca="1">OFFSET('Expenditure Study'!$B$7,'Operations Support'!$C3286,'Operations Support'!$B3286)*$G3286</f>
        <v>10690.4</v>
      </c>
      <c r="V3286" s="199">
        <f ca="1">U3286*'Expenditure Study'!$B$31</f>
        <v>631622.83602431999</v>
      </c>
      <c r="W3286" s="199">
        <f ca="1">IF(A3286=10298,1.51,1)*IF($B3286&lt;3,$D3286*'Expenditure Study'!$B$32*OFFSET('Expenditure Study'!$B$7,'Operations Support'!$C3286,'Operations Support'!$B3286),0)</f>
        <v>736.12</v>
      </c>
      <c r="X3286" s="200">
        <f ca="1">W3286*'Expenditure Study'!$B$31</f>
        <v>43492.311050495999</v>
      </c>
      <c r="Y3286" s="199">
        <f ca="1">U3286*'Expenditure Study'!$B$31</f>
        <v>631622.83602431999</v>
      </c>
      <c r="Z3286" s="200">
        <f ca="1">W3286*'Expenditure Study'!$B$31</f>
        <v>43492.311050495999</v>
      </c>
      <c r="AA3286" s="195">
        <f t="shared" ca="1" si="722"/>
        <v>675115.14707481593</v>
      </c>
      <c r="AB3286" s="195">
        <f t="shared" ca="1" si="723"/>
        <v>675115.14707481593</v>
      </c>
      <c r="AD3286" s="196">
        <f>IFERROR($G3286/SUMIF($A:$A,$A3286,$G:$G)*SUMIF(Summary!$A$166:$A$242,$A3286,Summary!$P$166:$P$242),0)</f>
        <v>136408.00659655244</v>
      </c>
      <c r="AE3286" s="197">
        <f t="shared" ca="1" si="724"/>
        <v>538707.14047826349</v>
      </c>
      <c r="AF3286" s="196">
        <f>IFERROR(G3286/SUMIF(A:A,A3286,G:G)*SUMIF(Summary!$A$166:$A$242,'Operations Support'!A3286,Summary!$Q$166:$Q$242),0)</f>
        <v>136764.20007164867</v>
      </c>
      <c r="AG3286" s="196">
        <f t="shared" ca="1" si="725"/>
        <v>538350.94700316724</v>
      </c>
      <c r="AI3286" s="196">
        <f>IFERROR($G3286/SUMIF($A:$A,$A3286,$G:$G)*SUMIF(Summary!$A$247:$A$283,$A3286,Summary!$P$247:$P$283),0)</f>
        <v>24877.416379351107</v>
      </c>
      <c r="AJ3286" s="196">
        <f>IFERROR($G3286/SUMIF($A:$A,$A3286,$G:$G)*(SUMIF(Summary!$A$247:$A$283,$A3286,Summary!$L$247:$L$283)+SUMIF(Summary!$A$297:$A$333,$A3286,Summary!$L$297:$L$333))-AI3286,0)</f>
        <v>43582.762928774813</v>
      </c>
      <c r="AK3286" s="196">
        <f>IFERROR($G3286/SUMIF($A:$A,$A3286,$G:$G)*SUMIF(Summary!$A$247:$A$283,$A3286,Summary!$Q$247:$Q$283),0)</f>
        <v>24942.377180499567</v>
      </c>
      <c r="AL3286" s="196">
        <f>IFERROR($G3286/SUMIF($A:$A,$A3286,$G:$G)*(SUMIF(Summary!$A$247:$A$283,$A3286,Summary!$L$247:$L$283)+SUMIF(Summary!$A$297:$A$333,$A3286,Summary!$L$297:$L$333))-AK3286,0)</f>
        <v>43517.802127626361</v>
      </c>
      <c r="AM3286" s="198"/>
      <c r="AN3286" s="196">
        <f t="shared" ca="1" si="726"/>
        <v>582289.90340703831</v>
      </c>
      <c r="AO3286" s="196">
        <f t="shared" ca="1" si="727"/>
        <v>581868.74913079361</v>
      </c>
    </row>
    <row r="3287" spans="1:41">
      <c r="A3287" s="189">
        <v>12826</v>
      </c>
      <c r="B3287" s="190">
        <v>2</v>
      </c>
      <c r="C3287" s="191" t="s">
        <v>226</v>
      </c>
      <c r="D3287" s="192">
        <f t="shared" si="714"/>
        <v>216</v>
      </c>
      <c r="E3287" s="192">
        <f t="shared" si="715"/>
        <v>417</v>
      </c>
      <c r="F3287" s="192">
        <f t="shared" si="716"/>
        <v>0</v>
      </c>
      <c r="G3287" s="193">
        <f t="shared" si="717"/>
        <v>633</v>
      </c>
      <c r="H3287" s="194">
        <v>87</v>
      </c>
      <c r="I3287" s="194">
        <v>159</v>
      </c>
      <c r="J3287" s="194">
        <v>0</v>
      </c>
      <c r="K3287" s="193">
        <f t="shared" si="718"/>
        <v>246</v>
      </c>
      <c r="L3287" s="194">
        <v>57</v>
      </c>
      <c r="M3287" s="194">
        <v>180</v>
      </c>
      <c r="N3287" s="194">
        <v>0</v>
      </c>
      <c r="O3287" s="193">
        <f t="shared" si="719"/>
        <v>237</v>
      </c>
      <c r="P3287" s="194">
        <v>72</v>
      </c>
      <c r="Q3287" s="194">
        <v>78</v>
      </c>
      <c r="R3287" s="194">
        <v>0</v>
      </c>
      <c r="S3287" s="193">
        <f t="shared" si="720"/>
        <v>150</v>
      </c>
      <c r="T3287" s="193">
        <f t="shared" si="721"/>
        <v>21.1</v>
      </c>
      <c r="U3287" s="193">
        <f ca="1">OFFSET('Expenditure Study'!$B$7,'Operations Support'!$C3287,'Operations Support'!$B3287)*$G3287</f>
        <v>1139.4000000000001</v>
      </c>
      <c r="V3287" s="199">
        <f ca="1">U3287*'Expenditure Study'!$B$31</f>
        <v>67319.376203520005</v>
      </c>
      <c r="W3287" s="199">
        <f ca="1">IF(A3287=10298,1.51,1)*IF($B3287&lt;3,$D3287*'Expenditure Study'!$B$32*OFFSET('Expenditure Study'!$B$7,'Operations Support'!$C3287,'Operations Support'!$B3287),0)</f>
        <v>38.880000000000003</v>
      </c>
      <c r="X3287" s="200">
        <f ca="1">W3287*'Expenditure Study'!$B$31</f>
        <v>2297.1540695040003</v>
      </c>
      <c r="Y3287" s="199">
        <f ca="1">U3287*'Expenditure Study'!$B$31</f>
        <v>67319.376203520005</v>
      </c>
      <c r="Z3287" s="200">
        <f ca="1">W3287*'Expenditure Study'!$B$31</f>
        <v>2297.1540695040003</v>
      </c>
      <c r="AA3287" s="195">
        <f t="shared" ca="1" si="722"/>
        <v>69616.530273024007</v>
      </c>
      <c r="AB3287" s="195">
        <f t="shared" ca="1" si="723"/>
        <v>69616.530273024007</v>
      </c>
      <c r="AD3287" s="196">
        <f>IFERROR($G3287/SUMIF($A:$A,$A3287,$G:$G)*SUMIF(Summary!$A$166:$A$242,$A3287,Summary!$P$166:$P$242),0)</f>
        <v>22615.575740077973</v>
      </c>
      <c r="AE3287" s="197">
        <f t="shared" ca="1" si="724"/>
        <v>47000.954532946038</v>
      </c>
      <c r="AF3287" s="196">
        <f>IFERROR(G3287/SUMIF(A:A,A3287,G:G)*SUMIF(Summary!$A$166:$A$242,'Operations Support'!A3287,Summary!$Q$166:$Q$242),0)</f>
        <v>22674.630341894608</v>
      </c>
      <c r="AG3287" s="196">
        <f t="shared" ca="1" si="725"/>
        <v>46941.899931129403</v>
      </c>
      <c r="AI3287" s="196">
        <f>IFERROR($G3287/SUMIF($A:$A,$A3287,$G:$G)*SUMIF(Summary!$A$247:$A$283,$A3287,Summary!$P$247:$P$283),0)</f>
        <v>4124.5166495885942</v>
      </c>
      <c r="AJ3287" s="196">
        <f>IFERROR($G3287/SUMIF($A:$A,$A3287,$G:$G)*(SUMIF(Summary!$A$247:$A$283,$A3287,Summary!$L$247:$L$283)+SUMIF(Summary!$A$297:$A$333,$A3287,Summary!$L$297:$L$333))-AI3287,0)</f>
        <v>7225.7435657188207</v>
      </c>
      <c r="AK3287" s="196">
        <f>IFERROR($G3287/SUMIF($A:$A,$A3287,$G:$G)*SUMIF(Summary!$A$247:$A$283,$A3287,Summary!$Q$247:$Q$283),0)</f>
        <v>4135.2867352687863</v>
      </c>
      <c r="AL3287" s="196">
        <f>IFERROR($G3287/SUMIF($A:$A,$A3287,$G:$G)*(SUMIF(Summary!$A$247:$A$283,$A3287,Summary!$L$247:$L$283)+SUMIF(Summary!$A$297:$A$333,$A3287,Summary!$L$297:$L$333))-AK3287,0)</f>
        <v>7214.9734800386286</v>
      </c>
      <c r="AM3287" s="198"/>
      <c r="AN3287" s="196">
        <f t="shared" ca="1" si="726"/>
        <v>54226.698098664856</v>
      </c>
      <c r="AO3287" s="196">
        <f t="shared" ca="1" si="727"/>
        <v>54156.873411168031</v>
      </c>
    </row>
    <row r="3288" spans="1:41">
      <c r="A3288" s="189">
        <v>12826</v>
      </c>
      <c r="B3288" s="190">
        <v>2</v>
      </c>
      <c r="C3288" s="191" t="s">
        <v>227</v>
      </c>
      <c r="D3288" s="192">
        <f t="shared" si="714"/>
        <v>0</v>
      </c>
      <c r="E3288" s="192">
        <f t="shared" si="715"/>
        <v>0</v>
      </c>
      <c r="F3288" s="192">
        <f t="shared" si="716"/>
        <v>0</v>
      </c>
      <c r="G3288" s="193">
        <f t="shared" si="717"/>
        <v>0</v>
      </c>
      <c r="H3288" s="194">
        <v>0</v>
      </c>
      <c r="I3288" s="194">
        <v>0</v>
      </c>
      <c r="J3288" s="194">
        <v>0</v>
      </c>
      <c r="K3288" s="193">
        <f t="shared" si="718"/>
        <v>0</v>
      </c>
      <c r="L3288" s="194">
        <v>0</v>
      </c>
      <c r="M3288" s="194">
        <v>0</v>
      </c>
      <c r="N3288" s="194">
        <v>0</v>
      </c>
      <c r="O3288" s="193">
        <f t="shared" si="719"/>
        <v>0</v>
      </c>
      <c r="P3288" s="194">
        <v>0</v>
      </c>
      <c r="Q3288" s="194">
        <v>0</v>
      </c>
      <c r="R3288" s="194">
        <v>0</v>
      </c>
      <c r="S3288" s="193">
        <f t="shared" si="720"/>
        <v>0</v>
      </c>
      <c r="T3288" s="193">
        <f t="shared" si="721"/>
        <v>0</v>
      </c>
      <c r="U3288" s="193">
        <f ca="1">OFFSET('Expenditure Study'!$B$7,'Operations Support'!$C3288,'Operations Support'!$B3288)*$G3288</f>
        <v>0</v>
      </c>
      <c r="V3288" s="199">
        <f ca="1">U3288*'Expenditure Study'!$B$31</f>
        <v>0</v>
      </c>
      <c r="W3288" s="199">
        <f ca="1">IF(A3288=10298,1.51,1)*IF($B3288&lt;3,$D3288*'Expenditure Study'!$B$32*OFFSET('Expenditure Study'!$B$7,'Operations Support'!$C3288,'Operations Support'!$B3288),0)</f>
        <v>0</v>
      </c>
      <c r="X3288" s="200">
        <f ca="1">W3288*'Expenditure Study'!$B$31</f>
        <v>0</v>
      </c>
      <c r="Y3288" s="199">
        <f ca="1">U3288*'Expenditure Study'!$B$31</f>
        <v>0</v>
      </c>
      <c r="Z3288" s="200">
        <f ca="1">W3288*'Expenditure Study'!$B$31</f>
        <v>0</v>
      </c>
      <c r="AA3288" s="195">
        <f t="shared" ca="1" si="722"/>
        <v>0</v>
      </c>
      <c r="AB3288" s="195">
        <f t="shared" ca="1" si="723"/>
        <v>0</v>
      </c>
      <c r="AD3288" s="196">
        <f>IFERROR($G3288/SUMIF($A:$A,$A3288,$G:$G)*SUMIF(Summary!$A$166:$A$242,$A3288,Summary!$P$166:$P$242),0)</f>
        <v>0</v>
      </c>
      <c r="AE3288" s="197">
        <f t="shared" ca="1" si="724"/>
        <v>0</v>
      </c>
      <c r="AF3288" s="196">
        <f>IFERROR(G3288/SUMIF(A:A,A3288,G:G)*SUMIF(Summary!$A$166:$A$242,'Operations Support'!A3288,Summary!$Q$166:$Q$242),0)</f>
        <v>0</v>
      </c>
      <c r="AG3288" s="196">
        <f t="shared" ca="1" si="725"/>
        <v>0</v>
      </c>
      <c r="AI3288" s="196">
        <f>IFERROR($G3288/SUMIF($A:$A,$A3288,$G:$G)*SUMIF(Summary!$A$247:$A$283,$A3288,Summary!$P$247:$P$283),0)</f>
        <v>0</v>
      </c>
      <c r="AJ3288" s="196">
        <f>IFERROR($G3288/SUMIF($A:$A,$A3288,$G:$G)*(SUMIF(Summary!$A$247:$A$283,$A3288,Summary!$L$247:$L$283)+SUMIF(Summary!$A$297:$A$333,$A3288,Summary!$L$297:$L$333))-AI3288,0)</f>
        <v>0</v>
      </c>
      <c r="AK3288" s="196">
        <f>IFERROR($G3288/SUMIF($A:$A,$A3288,$G:$G)*SUMIF(Summary!$A$247:$A$283,$A3288,Summary!$Q$247:$Q$283),0)</f>
        <v>0</v>
      </c>
      <c r="AL3288" s="196">
        <f>IFERROR($G3288/SUMIF($A:$A,$A3288,$G:$G)*(SUMIF(Summary!$A$247:$A$283,$A3288,Summary!$L$247:$L$283)+SUMIF(Summary!$A$297:$A$333,$A3288,Summary!$L$297:$L$333))-AK3288,0)</f>
        <v>0</v>
      </c>
      <c r="AM3288" s="198"/>
      <c r="AN3288" s="196">
        <f t="shared" ca="1" si="726"/>
        <v>0</v>
      </c>
      <c r="AO3288" s="196">
        <f t="shared" ca="1" si="727"/>
        <v>0</v>
      </c>
    </row>
    <row r="3289" spans="1:41" s="201" customFormat="1">
      <c r="A3289" s="189">
        <v>12826</v>
      </c>
      <c r="B3289" s="190">
        <v>2</v>
      </c>
      <c r="C3289" s="191" t="s">
        <v>228</v>
      </c>
      <c r="D3289" s="192">
        <f t="shared" si="714"/>
        <v>1281</v>
      </c>
      <c r="E3289" s="192">
        <f t="shared" si="715"/>
        <v>3168</v>
      </c>
      <c r="F3289" s="192">
        <f t="shared" si="716"/>
        <v>0</v>
      </c>
      <c r="G3289" s="193">
        <f t="shared" si="717"/>
        <v>4449</v>
      </c>
      <c r="H3289" s="194">
        <v>594</v>
      </c>
      <c r="I3289" s="194">
        <v>1356</v>
      </c>
      <c r="J3289" s="194">
        <v>0</v>
      </c>
      <c r="K3289" s="193">
        <f t="shared" si="718"/>
        <v>1950</v>
      </c>
      <c r="L3289" s="194">
        <v>354</v>
      </c>
      <c r="M3289" s="194">
        <v>1488</v>
      </c>
      <c r="N3289" s="194">
        <v>0</v>
      </c>
      <c r="O3289" s="193">
        <f t="shared" si="719"/>
        <v>1842</v>
      </c>
      <c r="P3289" s="194">
        <v>333</v>
      </c>
      <c r="Q3289" s="194">
        <v>324</v>
      </c>
      <c r="R3289" s="194">
        <v>0</v>
      </c>
      <c r="S3289" s="193">
        <f t="shared" si="720"/>
        <v>657</v>
      </c>
      <c r="T3289" s="193">
        <f t="shared" si="721"/>
        <v>148.30000000000001</v>
      </c>
      <c r="U3289" s="193">
        <f ca="1">OFFSET('Expenditure Study'!$B$7,'Operations Support'!$C3289,'Operations Support'!$B3289)*$G3289</f>
        <v>8497.59</v>
      </c>
      <c r="V3289" s="199">
        <f ca="1">U3289*'Expenditure Study'!$B$31</f>
        <v>502064.64633427199</v>
      </c>
      <c r="W3289" s="199">
        <f ca="1">IF(A3289=10298,1.51,1)*IF($B3289&lt;3,$D3289*'Expenditure Study'!$B$32*OFFSET('Expenditure Study'!$B$7,'Operations Support'!$C3289,'Operations Support'!$B3289),0)</f>
        <v>244.67099999999999</v>
      </c>
      <c r="X3289" s="200">
        <f ca="1">W3289*'Expenditure Study'!$B$31</f>
        <v>14455.940929516801</v>
      </c>
      <c r="Y3289" s="199">
        <f ca="1">U3289*'Expenditure Study'!$B$31</f>
        <v>502064.64633427199</v>
      </c>
      <c r="Z3289" s="200">
        <f ca="1">W3289*'Expenditure Study'!$B$31</f>
        <v>14455.940929516801</v>
      </c>
      <c r="AA3289" s="195">
        <f t="shared" ca="1" si="722"/>
        <v>516520.5872637888</v>
      </c>
      <c r="AB3289" s="195">
        <f t="shared" ca="1" si="723"/>
        <v>516520.5872637888</v>
      </c>
      <c r="AD3289" s="196">
        <f>IFERROR($G3289/SUMIF($A:$A,$A3289,$G:$G)*SUMIF(Summary!$A$166:$A$242,$A3289,Summary!$P$166:$P$242),0)</f>
        <v>158952.12712102197</v>
      </c>
      <c r="AE3289" s="197">
        <f t="shared" ca="1" si="724"/>
        <v>357568.46014276682</v>
      </c>
      <c r="AF3289" s="196">
        <f>IFERROR(G3289/SUMIF(A:A,A3289,G:G)*SUMIF(Summary!$A$166:$A$242,'Operations Support'!A3289,Summary!$Q$166:$Q$242),0)</f>
        <v>159367.18861151516</v>
      </c>
      <c r="AG3289" s="196">
        <f t="shared" ca="1" si="725"/>
        <v>357153.39865227364</v>
      </c>
      <c r="AH3289" s="180"/>
      <c r="AI3289" s="196">
        <f>IFERROR($G3289/SUMIF($A:$A,$A3289,$G:$G)*SUMIF(Summary!$A$247:$A$283,$A3289,Summary!$P$247:$P$283),0)</f>
        <v>28988.901380757747</v>
      </c>
      <c r="AJ3289" s="196">
        <f>IFERROR($G3289/SUMIF($A:$A,$A3289,$G:$G)*(SUMIF(Summary!$A$247:$A$283,$A3289,Summary!$L$247:$L$283)+SUMIF(Summary!$A$297:$A$333,$A3289,Summary!$L$297:$L$333))-AI3289,0)</f>
        <v>50785.676341047452</v>
      </c>
      <c r="AK3289" s="196">
        <f>IFERROR($G3289/SUMIF($A:$A,$A3289,$G:$G)*SUMIF(Summary!$A$247:$A$283,$A3289,Summary!$Q$247:$Q$283),0)</f>
        <v>29064.598238879669</v>
      </c>
      <c r="AL3289" s="196">
        <f>IFERROR($G3289/SUMIF($A:$A,$A3289,$G:$G)*(SUMIF(Summary!$A$247:$A$283,$A3289,Summary!$L$247:$L$283)+SUMIF(Summary!$A$297:$A$333,$A3289,Summary!$L$297:$L$333))-AK3289,0)</f>
        <v>50709.979482925526</v>
      </c>
      <c r="AM3289" s="198"/>
      <c r="AN3289" s="196">
        <f t="shared" ca="1" si="726"/>
        <v>408354.13648381428</v>
      </c>
      <c r="AO3289" s="196">
        <f t="shared" ca="1" si="727"/>
        <v>407863.37813519919</v>
      </c>
    </row>
    <row r="3290" spans="1:41">
      <c r="A3290" s="189">
        <v>12826</v>
      </c>
      <c r="B3290" s="190">
        <v>2</v>
      </c>
      <c r="C3290" s="191" t="s">
        <v>229</v>
      </c>
      <c r="D3290" s="192">
        <f t="shared" si="714"/>
        <v>0</v>
      </c>
      <c r="E3290" s="192">
        <f t="shared" si="715"/>
        <v>0</v>
      </c>
      <c r="F3290" s="192">
        <f t="shared" si="716"/>
        <v>0</v>
      </c>
      <c r="G3290" s="193">
        <f t="shared" si="717"/>
        <v>0</v>
      </c>
      <c r="H3290" s="194">
        <v>0</v>
      </c>
      <c r="I3290" s="194">
        <v>0</v>
      </c>
      <c r="J3290" s="194">
        <v>0</v>
      </c>
      <c r="K3290" s="193">
        <f t="shared" si="718"/>
        <v>0</v>
      </c>
      <c r="L3290" s="194">
        <v>0</v>
      </c>
      <c r="M3290" s="194">
        <v>0</v>
      </c>
      <c r="N3290" s="194">
        <v>0</v>
      </c>
      <c r="O3290" s="193">
        <f t="shared" si="719"/>
        <v>0</v>
      </c>
      <c r="P3290" s="194">
        <v>0</v>
      </c>
      <c r="Q3290" s="194">
        <v>0</v>
      </c>
      <c r="R3290" s="194">
        <v>0</v>
      </c>
      <c r="S3290" s="193">
        <f t="shared" si="720"/>
        <v>0</v>
      </c>
      <c r="T3290" s="193">
        <f t="shared" si="721"/>
        <v>0</v>
      </c>
      <c r="U3290" s="193">
        <f ca="1">OFFSET('Expenditure Study'!$B$7,'Operations Support'!$C3290,'Operations Support'!$B3290)*$G3290</f>
        <v>0</v>
      </c>
      <c r="V3290" s="199">
        <f ca="1">U3290*'Expenditure Study'!$B$31</f>
        <v>0</v>
      </c>
      <c r="W3290" s="199">
        <f ca="1">IF(A3290=10298,1.51,1)*IF($B3290&lt;3,$D3290*'Expenditure Study'!$B$32*OFFSET('Expenditure Study'!$B$7,'Operations Support'!$C3290,'Operations Support'!$B3290),0)</f>
        <v>0</v>
      </c>
      <c r="X3290" s="200">
        <f ca="1">W3290*'Expenditure Study'!$B$31</f>
        <v>0</v>
      </c>
      <c r="Y3290" s="199">
        <f ca="1">U3290*'Expenditure Study'!$B$31</f>
        <v>0</v>
      </c>
      <c r="Z3290" s="200">
        <f ca="1">W3290*'Expenditure Study'!$B$31</f>
        <v>0</v>
      </c>
      <c r="AA3290" s="195">
        <f t="shared" ca="1" si="722"/>
        <v>0</v>
      </c>
      <c r="AB3290" s="195">
        <f t="shared" ca="1" si="723"/>
        <v>0</v>
      </c>
      <c r="AD3290" s="196">
        <f>IFERROR($G3290/SUMIF($A:$A,$A3290,$G:$G)*SUMIF(Summary!$A$166:$A$242,$A3290,Summary!$P$166:$P$242),0)</f>
        <v>0</v>
      </c>
      <c r="AE3290" s="197">
        <f t="shared" ca="1" si="724"/>
        <v>0</v>
      </c>
      <c r="AF3290" s="196">
        <f>IFERROR(G3290/SUMIF(A:A,A3290,G:G)*SUMIF(Summary!$A$166:$A$242,'Operations Support'!A3290,Summary!$Q$166:$Q$242),0)</f>
        <v>0</v>
      </c>
      <c r="AG3290" s="196">
        <f t="shared" ca="1" si="725"/>
        <v>0</v>
      </c>
      <c r="AI3290" s="196">
        <f>IFERROR($G3290/SUMIF($A:$A,$A3290,$G:$G)*SUMIF(Summary!$A$247:$A$283,$A3290,Summary!$P$247:$P$283),0)</f>
        <v>0</v>
      </c>
      <c r="AJ3290" s="196">
        <f>IFERROR($G3290/SUMIF($A:$A,$A3290,$G:$G)*(SUMIF(Summary!$A$247:$A$283,$A3290,Summary!$L$247:$L$283)+SUMIF(Summary!$A$297:$A$333,$A3290,Summary!$L$297:$L$333))-AI3290,0)</f>
        <v>0</v>
      </c>
      <c r="AK3290" s="196">
        <f>IFERROR($G3290/SUMIF($A:$A,$A3290,$G:$G)*SUMIF(Summary!$A$247:$A$283,$A3290,Summary!$Q$247:$Q$283),0)</f>
        <v>0</v>
      </c>
      <c r="AL3290" s="196">
        <f>IFERROR($G3290/SUMIF($A:$A,$A3290,$G:$G)*(SUMIF(Summary!$A$247:$A$283,$A3290,Summary!$L$247:$L$283)+SUMIF(Summary!$A$297:$A$333,$A3290,Summary!$L$297:$L$333))-AK3290,0)</f>
        <v>0</v>
      </c>
      <c r="AM3290" s="198"/>
      <c r="AN3290" s="196">
        <f t="shared" ca="1" si="726"/>
        <v>0</v>
      </c>
      <c r="AO3290" s="196">
        <f t="shared" ca="1" si="727"/>
        <v>0</v>
      </c>
    </row>
    <row r="3291" spans="1:41">
      <c r="A3291" s="189">
        <v>12826</v>
      </c>
      <c r="B3291" s="190">
        <v>2</v>
      </c>
      <c r="C3291" s="191" t="s">
        <v>230</v>
      </c>
      <c r="D3291" s="192">
        <f t="shared" si="714"/>
        <v>0</v>
      </c>
      <c r="E3291" s="192">
        <f t="shared" si="715"/>
        <v>0</v>
      </c>
      <c r="F3291" s="192">
        <f t="shared" si="716"/>
        <v>0</v>
      </c>
      <c r="G3291" s="193">
        <f t="shared" si="717"/>
        <v>0</v>
      </c>
      <c r="H3291" s="194">
        <v>0</v>
      </c>
      <c r="I3291" s="194">
        <v>0</v>
      </c>
      <c r="J3291" s="194">
        <v>0</v>
      </c>
      <c r="K3291" s="193">
        <f t="shared" si="718"/>
        <v>0</v>
      </c>
      <c r="L3291" s="194">
        <v>0</v>
      </c>
      <c r="M3291" s="194">
        <v>0</v>
      </c>
      <c r="N3291" s="194">
        <v>0</v>
      </c>
      <c r="O3291" s="193">
        <f t="shared" si="719"/>
        <v>0</v>
      </c>
      <c r="P3291" s="194">
        <v>0</v>
      </c>
      <c r="Q3291" s="194">
        <v>0</v>
      </c>
      <c r="R3291" s="194">
        <v>0</v>
      </c>
      <c r="S3291" s="193">
        <f t="shared" si="720"/>
        <v>0</v>
      </c>
      <c r="T3291" s="193">
        <f t="shared" si="721"/>
        <v>0</v>
      </c>
      <c r="U3291" s="193">
        <f ca="1">OFFSET('Expenditure Study'!$B$7,'Operations Support'!$C3291,'Operations Support'!$B3291)*$G3291</f>
        <v>0</v>
      </c>
      <c r="V3291" s="199">
        <f ca="1">U3291*'Expenditure Study'!$B$31</f>
        <v>0</v>
      </c>
      <c r="W3291" s="199">
        <f ca="1">IF(A3291=10298,1.51,1)*IF($B3291&lt;3,$D3291*'Expenditure Study'!$B$32*OFFSET('Expenditure Study'!$B$7,'Operations Support'!$C3291,'Operations Support'!$B3291),0)</f>
        <v>0</v>
      </c>
      <c r="X3291" s="200">
        <f ca="1">W3291*'Expenditure Study'!$B$31</f>
        <v>0</v>
      </c>
      <c r="Y3291" s="199">
        <f ca="1">U3291*'Expenditure Study'!$B$31</f>
        <v>0</v>
      </c>
      <c r="Z3291" s="200">
        <f ca="1">W3291*'Expenditure Study'!$B$31</f>
        <v>0</v>
      </c>
      <c r="AA3291" s="195">
        <f t="shared" ca="1" si="722"/>
        <v>0</v>
      </c>
      <c r="AB3291" s="195">
        <f t="shared" ca="1" si="723"/>
        <v>0</v>
      </c>
      <c r="AD3291" s="196">
        <f>IFERROR($G3291/SUMIF($A:$A,$A3291,$G:$G)*SUMIF(Summary!$A$166:$A$242,$A3291,Summary!$P$166:$P$242),0)</f>
        <v>0</v>
      </c>
      <c r="AE3291" s="197">
        <f t="shared" ca="1" si="724"/>
        <v>0</v>
      </c>
      <c r="AF3291" s="196">
        <f>IFERROR(G3291/SUMIF(A:A,A3291,G:G)*SUMIF(Summary!$A$166:$A$242,'Operations Support'!A3291,Summary!$Q$166:$Q$242),0)</f>
        <v>0</v>
      </c>
      <c r="AG3291" s="196">
        <f t="shared" ca="1" si="725"/>
        <v>0</v>
      </c>
      <c r="AI3291" s="196">
        <f>IFERROR($G3291/SUMIF($A:$A,$A3291,$G:$G)*SUMIF(Summary!$A$247:$A$283,$A3291,Summary!$P$247:$P$283),0)</f>
        <v>0</v>
      </c>
      <c r="AJ3291" s="196">
        <f>IFERROR($G3291/SUMIF($A:$A,$A3291,$G:$G)*(SUMIF(Summary!$A$247:$A$283,$A3291,Summary!$L$247:$L$283)+SUMIF(Summary!$A$297:$A$333,$A3291,Summary!$L$297:$L$333))-AI3291,0)</f>
        <v>0</v>
      </c>
      <c r="AK3291" s="196">
        <f>IFERROR($G3291/SUMIF($A:$A,$A3291,$G:$G)*SUMIF(Summary!$A$247:$A$283,$A3291,Summary!$Q$247:$Q$283),0)</f>
        <v>0</v>
      </c>
      <c r="AL3291" s="196">
        <f>IFERROR($G3291/SUMIF($A:$A,$A3291,$G:$G)*(SUMIF(Summary!$A$247:$A$283,$A3291,Summary!$L$247:$L$283)+SUMIF(Summary!$A$297:$A$333,$A3291,Summary!$L$297:$L$333))-AK3291,0)</f>
        <v>0</v>
      </c>
      <c r="AM3291" s="198"/>
      <c r="AN3291" s="196">
        <f t="shared" ca="1" si="726"/>
        <v>0</v>
      </c>
      <c r="AO3291" s="196">
        <f t="shared" ca="1" si="727"/>
        <v>0</v>
      </c>
    </row>
    <row r="3292" spans="1:41">
      <c r="A3292" s="189">
        <v>12826</v>
      </c>
      <c r="B3292" s="190">
        <v>2</v>
      </c>
      <c r="C3292" s="191" t="s">
        <v>231</v>
      </c>
      <c r="D3292" s="192">
        <f t="shared" si="714"/>
        <v>0</v>
      </c>
      <c r="E3292" s="192">
        <f t="shared" si="715"/>
        <v>0</v>
      </c>
      <c r="F3292" s="192">
        <f t="shared" si="716"/>
        <v>0</v>
      </c>
      <c r="G3292" s="193">
        <f t="shared" si="717"/>
        <v>0</v>
      </c>
      <c r="H3292" s="194">
        <v>0</v>
      </c>
      <c r="I3292" s="194">
        <v>0</v>
      </c>
      <c r="J3292" s="194">
        <v>0</v>
      </c>
      <c r="K3292" s="193">
        <f t="shared" si="718"/>
        <v>0</v>
      </c>
      <c r="L3292" s="194">
        <v>0</v>
      </c>
      <c r="M3292" s="194">
        <v>0</v>
      </c>
      <c r="N3292" s="194">
        <v>0</v>
      </c>
      <c r="O3292" s="193">
        <f t="shared" si="719"/>
        <v>0</v>
      </c>
      <c r="P3292" s="194">
        <v>0</v>
      </c>
      <c r="Q3292" s="194">
        <v>0</v>
      </c>
      <c r="R3292" s="194">
        <v>0</v>
      </c>
      <c r="S3292" s="193">
        <f t="shared" si="720"/>
        <v>0</v>
      </c>
      <c r="T3292" s="193">
        <f t="shared" si="721"/>
        <v>0</v>
      </c>
      <c r="U3292" s="193">
        <f ca="1">OFFSET('Expenditure Study'!$B$7,'Operations Support'!$C3292,'Operations Support'!$B3292)*$G3292</f>
        <v>0</v>
      </c>
      <c r="V3292" s="199">
        <f ca="1">U3292*'Expenditure Study'!$B$31</f>
        <v>0</v>
      </c>
      <c r="W3292" s="199">
        <f ca="1">IF(A3292=10298,1.51,1)*IF($B3292&lt;3,$D3292*'Expenditure Study'!$B$32*OFFSET('Expenditure Study'!$B$7,'Operations Support'!$C3292,'Operations Support'!$B3292),0)</f>
        <v>0</v>
      </c>
      <c r="X3292" s="200">
        <f ca="1">W3292*'Expenditure Study'!$B$31</f>
        <v>0</v>
      </c>
      <c r="Y3292" s="199">
        <f ca="1">U3292*'Expenditure Study'!$B$31</f>
        <v>0</v>
      </c>
      <c r="Z3292" s="200">
        <f ca="1">W3292*'Expenditure Study'!$B$31</f>
        <v>0</v>
      </c>
      <c r="AA3292" s="195">
        <f t="shared" ca="1" si="722"/>
        <v>0</v>
      </c>
      <c r="AB3292" s="195">
        <f t="shared" ca="1" si="723"/>
        <v>0</v>
      </c>
      <c r="AD3292" s="196">
        <f>IFERROR($G3292/SUMIF($A:$A,$A3292,$G:$G)*SUMIF(Summary!$A$166:$A$242,$A3292,Summary!$P$166:$P$242),0)</f>
        <v>0</v>
      </c>
      <c r="AE3292" s="197">
        <f t="shared" ca="1" si="724"/>
        <v>0</v>
      </c>
      <c r="AF3292" s="196">
        <f>IFERROR(G3292/SUMIF(A:A,A3292,G:G)*SUMIF(Summary!$A$166:$A$242,'Operations Support'!A3292,Summary!$Q$166:$Q$242),0)</f>
        <v>0</v>
      </c>
      <c r="AG3292" s="196">
        <f t="shared" ca="1" si="725"/>
        <v>0</v>
      </c>
      <c r="AI3292" s="196">
        <f>IFERROR($G3292/SUMIF($A:$A,$A3292,$G:$G)*SUMIF(Summary!$A$247:$A$283,$A3292,Summary!$P$247:$P$283),0)</f>
        <v>0</v>
      </c>
      <c r="AJ3292" s="196">
        <f>IFERROR($G3292/SUMIF($A:$A,$A3292,$G:$G)*(SUMIF(Summary!$A$247:$A$283,$A3292,Summary!$L$247:$L$283)+SUMIF(Summary!$A$297:$A$333,$A3292,Summary!$L$297:$L$333))-AI3292,0)</f>
        <v>0</v>
      </c>
      <c r="AK3292" s="196">
        <f>IFERROR($G3292/SUMIF($A:$A,$A3292,$G:$G)*SUMIF(Summary!$A$247:$A$283,$A3292,Summary!$Q$247:$Q$283),0)</f>
        <v>0</v>
      </c>
      <c r="AL3292" s="196">
        <f>IFERROR($G3292/SUMIF($A:$A,$A3292,$G:$G)*(SUMIF(Summary!$A$247:$A$283,$A3292,Summary!$L$247:$L$283)+SUMIF(Summary!$A$297:$A$333,$A3292,Summary!$L$297:$L$333))-AK3292,0)</f>
        <v>0</v>
      </c>
      <c r="AM3292" s="198"/>
      <c r="AN3292" s="196">
        <f t="shared" ca="1" si="726"/>
        <v>0</v>
      </c>
      <c r="AO3292" s="196">
        <f t="shared" ca="1" si="727"/>
        <v>0</v>
      </c>
    </row>
    <row r="3293" spans="1:41">
      <c r="A3293" s="189">
        <v>12826</v>
      </c>
      <c r="B3293" s="190">
        <v>2</v>
      </c>
      <c r="C3293" s="191" t="s">
        <v>232</v>
      </c>
      <c r="D3293" s="192">
        <f t="shared" si="714"/>
        <v>0</v>
      </c>
      <c r="E3293" s="192">
        <f t="shared" si="715"/>
        <v>0</v>
      </c>
      <c r="F3293" s="192">
        <f t="shared" si="716"/>
        <v>0</v>
      </c>
      <c r="G3293" s="193">
        <f t="shared" si="717"/>
        <v>0</v>
      </c>
      <c r="H3293" s="194">
        <v>0</v>
      </c>
      <c r="I3293" s="194">
        <v>0</v>
      </c>
      <c r="J3293" s="194">
        <v>0</v>
      </c>
      <c r="K3293" s="193">
        <f t="shared" si="718"/>
        <v>0</v>
      </c>
      <c r="L3293" s="194">
        <v>0</v>
      </c>
      <c r="M3293" s="194">
        <v>0</v>
      </c>
      <c r="N3293" s="194">
        <v>0</v>
      </c>
      <c r="O3293" s="193">
        <f t="shared" si="719"/>
        <v>0</v>
      </c>
      <c r="P3293" s="194">
        <v>0</v>
      </c>
      <c r="Q3293" s="194">
        <v>0</v>
      </c>
      <c r="R3293" s="194">
        <v>0</v>
      </c>
      <c r="S3293" s="193">
        <f t="shared" si="720"/>
        <v>0</v>
      </c>
      <c r="T3293" s="193">
        <f t="shared" si="721"/>
        <v>0</v>
      </c>
      <c r="U3293" s="193">
        <f ca="1">OFFSET('Expenditure Study'!$B$7,'Operations Support'!$C3293,'Operations Support'!$B3293)*$G3293</f>
        <v>0</v>
      </c>
      <c r="V3293" s="199">
        <f ca="1">U3293*'Expenditure Study'!$B$31</f>
        <v>0</v>
      </c>
      <c r="W3293" s="199">
        <f ca="1">IF(A3293=10298,1.51,1)*IF($B3293&lt;3,$D3293*'Expenditure Study'!$B$32*OFFSET('Expenditure Study'!$B$7,'Operations Support'!$C3293,'Operations Support'!$B3293),0)</f>
        <v>0</v>
      </c>
      <c r="X3293" s="200">
        <f ca="1">W3293*'Expenditure Study'!$B$31</f>
        <v>0</v>
      </c>
      <c r="Y3293" s="199">
        <f ca="1">U3293*'Expenditure Study'!$B$31</f>
        <v>0</v>
      </c>
      <c r="Z3293" s="200">
        <f ca="1">W3293*'Expenditure Study'!$B$31</f>
        <v>0</v>
      </c>
      <c r="AA3293" s="195">
        <f t="shared" ca="1" si="722"/>
        <v>0</v>
      </c>
      <c r="AB3293" s="195">
        <f t="shared" ca="1" si="723"/>
        <v>0</v>
      </c>
      <c r="AD3293" s="196">
        <f>IFERROR($G3293/SUMIF($A:$A,$A3293,$G:$G)*SUMIF(Summary!$A$166:$A$242,$A3293,Summary!$P$166:$P$242),0)</f>
        <v>0</v>
      </c>
      <c r="AE3293" s="197">
        <f t="shared" ca="1" si="724"/>
        <v>0</v>
      </c>
      <c r="AF3293" s="196">
        <f>IFERROR(G3293/SUMIF(A:A,A3293,G:G)*SUMIF(Summary!$A$166:$A$242,'Operations Support'!A3293,Summary!$Q$166:$Q$242),0)</f>
        <v>0</v>
      </c>
      <c r="AG3293" s="196">
        <f t="shared" ca="1" si="725"/>
        <v>0</v>
      </c>
      <c r="AI3293" s="196">
        <f>IFERROR($G3293/SUMIF($A:$A,$A3293,$G:$G)*SUMIF(Summary!$A$247:$A$283,$A3293,Summary!$P$247:$P$283),0)</f>
        <v>0</v>
      </c>
      <c r="AJ3293" s="196">
        <f>IFERROR($G3293/SUMIF($A:$A,$A3293,$G:$G)*(SUMIF(Summary!$A$247:$A$283,$A3293,Summary!$L$247:$L$283)+SUMIF(Summary!$A$297:$A$333,$A3293,Summary!$L$297:$L$333))-AI3293,0)</f>
        <v>0</v>
      </c>
      <c r="AK3293" s="196">
        <f>IFERROR($G3293/SUMIF($A:$A,$A3293,$G:$G)*SUMIF(Summary!$A$247:$A$283,$A3293,Summary!$Q$247:$Q$283),0)</f>
        <v>0</v>
      </c>
      <c r="AL3293" s="196">
        <f>IFERROR($G3293/SUMIF($A:$A,$A3293,$G:$G)*(SUMIF(Summary!$A$247:$A$283,$A3293,Summary!$L$247:$L$283)+SUMIF(Summary!$A$297:$A$333,$A3293,Summary!$L$297:$L$333))-AK3293,0)</f>
        <v>0</v>
      </c>
      <c r="AM3293" s="198"/>
      <c r="AN3293" s="196">
        <f t="shared" ca="1" si="726"/>
        <v>0</v>
      </c>
      <c r="AO3293" s="196">
        <f t="shared" ca="1" si="727"/>
        <v>0</v>
      </c>
    </row>
    <row r="3294" spans="1:41">
      <c r="A3294" s="189">
        <v>12826</v>
      </c>
      <c r="B3294" s="190">
        <v>2</v>
      </c>
      <c r="C3294" s="191" t="s">
        <v>233</v>
      </c>
      <c r="D3294" s="192">
        <f t="shared" si="714"/>
        <v>2052</v>
      </c>
      <c r="E3294" s="192">
        <f t="shared" si="715"/>
        <v>495</v>
      </c>
      <c r="F3294" s="192">
        <f t="shared" si="716"/>
        <v>0</v>
      </c>
      <c r="G3294" s="193">
        <f t="shared" si="717"/>
        <v>2547</v>
      </c>
      <c r="H3294" s="194">
        <v>699</v>
      </c>
      <c r="I3294" s="194">
        <v>249</v>
      </c>
      <c r="J3294" s="194">
        <v>0</v>
      </c>
      <c r="K3294" s="193">
        <f t="shared" si="718"/>
        <v>948</v>
      </c>
      <c r="L3294" s="194">
        <v>768</v>
      </c>
      <c r="M3294" s="194">
        <v>129</v>
      </c>
      <c r="N3294" s="194">
        <v>0</v>
      </c>
      <c r="O3294" s="193">
        <f t="shared" si="719"/>
        <v>897</v>
      </c>
      <c r="P3294" s="194">
        <v>585</v>
      </c>
      <c r="Q3294" s="194">
        <v>117</v>
      </c>
      <c r="R3294" s="194">
        <v>0</v>
      </c>
      <c r="S3294" s="193">
        <f t="shared" si="720"/>
        <v>702</v>
      </c>
      <c r="T3294" s="193">
        <f t="shared" si="721"/>
        <v>84.9</v>
      </c>
      <c r="U3294" s="193">
        <f ca="1">OFFSET('Expenditure Study'!$B$7,'Operations Support'!$C3294,'Operations Support'!$B3294)*$G3294</f>
        <v>4100.67</v>
      </c>
      <c r="V3294" s="199">
        <f ca="1">U3294*'Expenditure Study'!$B$31</f>
        <v>242280.62701113601</v>
      </c>
      <c r="W3294" s="199">
        <f ca="1">IF(A3294=10298,1.51,1)*IF($B3294&lt;3,$D3294*'Expenditure Study'!$B$32*OFFSET('Expenditure Study'!$B$7,'Operations Support'!$C3294,'Operations Support'!$B3294),0)</f>
        <v>330.37200000000007</v>
      </c>
      <c r="X3294" s="200">
        <f ca="1">W3294*'Expenditure Study'!$B$31</f>
        <v>19519.428607257603</v>
      </c>
      <c r="Y3294" s="199">
        <f ca="1">U3294*'Expenditure Study'!$B$31</f>
        <v>242280.62701113601</v>
      </c>
      <c r="Z3294" s="200">
        <f ca="1">W3294*'Expenditure Study'!$B$31</f>
        <v>19519.428607257603</v>
      </c>
      <c r="AA3294" s="195">
        <f t="shared" ca="1" si="722"/>
        <v>261800.05561839361</v>
      </c>
      <c r="AB3294" s="195">
        <f t="shared" ca="1" si="723"/>
        <v>261800.05561839361</v>
      </c>
      <c r="AD3294" s="196">
        <f>IFERROR($G3294/SUMIF($A:$A,$A3294,$G:$G)*SUMIF(Summary!$A$166:$A$242,$A3294,Summary!$P$166:$P$242),0)</f>
        <v>90998.217077375346</v>
      </c>
      <c r="AE3294" s="197">
        <f t="shared" ca="1" si="724"/>
        <v>170801.83854101825</v>
      </c>
      <c r="AF3294" s="196">
        <f>IFERROR(G3294/SUMIF(A:A,A3294,G:G)*SUMIF(Summary!$A$166:$A$242,'Operations Support'!A3294,Summary!$Q$166:$Q$242),0)</f>
        <v>91235.83488278919</v>
      </c>
      <c r="AG3294" s="196">
        <f t="shared" ca="1" si="725"/>
        <v>170564.22073560441</v>
      </c>
      <c r="AI3294" s="196">
        <f>IFERROR($G3294/SUMIF($A:$A,$A3294,$G:$G)*SUMIF(Summary!$A$247:$A$283,$A3294,Summary!$P$247:$P$283),0)</f>
        <v>16595.803959719033</v>
      </c>
      <c r="AJ3294" s="196">
        <f>IFERROR($G3294/SUMIF($A:$A,$A3294,$G:$G)*(SUMIF(Summary!$A$247:$A$283,$A3294,Summary!$L$247:$L$283)+SUMIF(Summary!$A$297:$A$333,$A3294,Summary!$L$297:$L$333))-AI3294,0)</f>
        <v>29074.200413721705</v>
      </c>
      <c r="AK3294" s="196">
        <f>IFERROR($G3294/SUMIF($A:$A,$A3294,$G:$G)*SUMIF(Summary!$A$247:$A$283,$A3294,Summary!$Q$247:$Q$283),0)</f>
        <v>16639.139517740281</v>
      </c>
      <c r="AL3294" s="196">
        <f>IFERROR($G3294/SUMIF($A:$A,$A3294,$G:$G)*(SUMIF(Summary!$A$247:$A$283,$A3294,Summary!$L$247:$L$283)+SUMIF(Summary!$A$297:$A$333,$A3294,Summary!$L$297:$L$333))-AK3294,0)</f>
        <v>29030.864855700456</v>
      </c>
      <c r="AM3294" s="198"/>
      <c r="AN3294" s="196">
        <f t="shared" ca="1" si="726"/>
        <v>199876.03895473995</v>
      </c>
      <c r="AO3294" s="196">
        <f t="shared" ca="1" si="727"/>
        <v>199595.08559130487</v>
      </c>
    </row>
    <row r="3295" spans="1:41">
      <c r="A3295" s="189">
        <v>12826</v>
      </c>
      <c r="B3295" s="190">
        <v>2</v>
      </c>
      <c r="C3295" s="191" t="s">
        <v>234</v>
      </c>
      <c r="D3295" s="192">
        <f t="shared" si="714"/>
        <v>0</v>
      </c>
      <c r="E3295" s="192">
        <f t="shared" si="715"/>
        <v>0</v>
      </c>
      <c r="F3295" s="192">
        <f t="shared" si="716"/>
        <v>0</v>
      </c>
      <c r="G3295" s="193">
        <f t="shared" si="717"/>
        <v>0</v>
      </c>
      <c r="H3295" s="194">
        <v>0</v>
      </c>
      <c r="I3295" s="194">
        <v>0</v>
      </c>
      <c r="J3295" s="194">
        <v>0</v>
      </c>
      <c r="K3295" s="193">
        <f t="shared" si="718"/>
        <v>0</v>
      </c>
      <c r="L3295" s="194">
        <v>0</v>
      </c>
      <c r="M3295" s="194">
        <v>0</v>
      </c>
      <c r="N3295" s="194">
        <v>0</v>
      </c>
      <c r="O3295" s="193">
        <f t="shared" si="719"/>
        <v>0</v>
      </c>
      <c r="P3295" s="194">
        <v>0</v>
      </c>
      <c r="Q3295" s="194">
        <v>0</v>
      </c>
      <c r="R3295" s="194">
        <v>0</v>
      </c>
      <c r="S3295" s="193">
        <f t="shared" si="720"/>
        <v>0</v>
      </c>
      <c r="T3295" s="193">
        <f t="shared" si="721"/>
        <v>0</v>
      </c>
      <c r="U3295" s="193">
        <f ca="1">OFFSET('Expenditure Study'!$B$7,'Operations Support'!$C3295,'Operations Support'!$B3295)*$G3295</f>
        <v>0</v>
      </c>
      <c r="V3295" s="199">
        <f ca="1">U3295*'Expenditure Study'!$B$31</f>
        <v>0</v>
      </c>
      <c r="W3295" s="199">
        <f ca="1">IF(A3295=10298,1.51,1)*IF($B3295&lt;3,$D3295*'Expenditure Study'!$B$32*OFFSET('Expenditure Study'!$B$7,'Operations Support'!$C3295,'Operations Support'!$B3295),0)</f>
        <v>0</v>
      </c>
      <c r="X3295" s="200">
        <f ca="1">W3295*'Expenditure Study'!$B$31</f>
        <v>0</v>
      </c>
      <c r="Y3295" s="199">
        <f ca="1">U3295*'Expenditure Study'!$B$31</f>
        <v>0</v>
      </c>
      <c r="Z3295" s="200">
        <f ca="1">W3295*'Expenditure Study'!$B$31</f>
        <v>0</v>
      </c>
      <c r="AA3295" s="195">
        <f t="shared" ca="1" si="722"/>
        <v>0</v>
      </c>
      <c r="AB3295" s="195">
        <f t="shared" ca="1" si="723"/>
        <v>0</v>
      </c>
      <c r="AD3295" s="196">
        <f>IFERROR($G3295/SUMIF($A:$A,$A3295,$G:$G)*SUMIF(Summary!$A$166:$A$242,$A3295,Summary!$P$166:$P$242),0)</f>
        <v>0</v>
      </c>
      <c r="AE3295" s="197">
        <f t="shared" ca="1" si="724"/>
        <v>0</v>
      </c>
      <c r="AF3295" s="196">
        <f>IFERROR(G3295/SUMIF(A:A,A3295,G:G)*SUMIF(Summary!$A$166:$A$242,'Operations Support'!A3295,Summary!$Q$166:$Q$242),0)</f>
        <v>0</v>
      </c>
      <c r="AG3295" s="196">
        <f t="shared" ca="1" si="725"/>
        <v>0</v>
      </c>
      <c r="AI3295" s="196">
        <f>IFERROR($G3295/SUMIF($A:$A,$A3295,$G:$G)*SUMIF(Summary!$A$247:$A$283,$A3295,Summary!$P$247:$P$283),0)</f>
        <v>0</v>
      </c>
      <c r="AJ3295" s="196">
        <f>IFERROR($G3295/SUMIF($A:$A,$A3295,$G:$G)*(SUMIF(Summary!$A$247:$A$283,$A3295,Summary!$L$247:$L$283)+SUMIF(Summary!$A$297:$A$333,$A3295,Summary!$L$297:$L$333))-AI3295,0)</f>
        <v>0</v>
      </c>
      <c r="AK3295" s="196">
        <f>IFERROR($G3295/SUMIF($A:$A,$A3295,$G:$G)*SUMIF(Summary!$A$247:$A$283,$A3295,Summary!$Q$247:$Q$283),0)</f>
        <v>0</v>
      </c>
      <c r="AL3295" s="196">
        <f>IFERROR($G3295/SUMIF($A:$A,$A3295,$G:$G)*(SUMIF(Summary!$A$247:$A$283,$A3295,Summary!$L$247:$L$283)+SUMIF(Summary!$A$297:$A$333,$A3295,Summary!$L$297:$L$333))-AK3295,0)</f>
        <v>0</v>
      </c>
      <c r="AM3295" s="198"/>
      <c r="AN3295" s="196">
        <f t="shared" ca="1" si="726"/>
        <v>0</v>
      </c>
      <c r="AO3295" s="196">
        <f t="shared" ca="1" si="727"/>
        <v>0</v>
      </c>
    </row>
    <row r="3296" spans="1:41">
      <c r="A3296" s="189">
        <v>12826</v>
      </c>
      <c r="B3296" s="190">
        <v>2</v>
      </c>
      <c r="C3296" s="191" t="s">
        <v>235</v>
      </c>
      <c r="D3296" s="192">
        <f t="shared" si="714"/>
        <v>21157.5</v>
      </c>
      <c r="E3296" s="192">
        <f t="shared" si="715"/>
        <v>42523.5</v>
      </c>
      <c r="F3296" s="192">
        <f t="shared" si="716"/>
        <v>0</v>
      </c>
      <c r="G3296" s="193">
        <f t="shared" si="717"/>
        <v>63681</v>
      </c>
      <c r="H3296" s="194">
        <v>9033</v>
      </c>
      <c r="I3296" s="194">
        <v>18237</v>
      </c>
      <c r="J3296" s="194">
        <v>0</v>
      </c>
      <c r="K3296" s="193">
        <f t="shared" si="718"/>
        <v>27270</v>
      </c>
      <c r="L3296" s="194">
        <v>7261.5</v>
      </c>
      <c r="M3296" s="194">
        <v>16618.5</v>
      </c>
      <c r="N3296" s="194">
        <v>0</v>
      </c>
      <c r="O3296" s="193">
        <f t="shared" si="719"/>
        <v>23880</v>
      </c>
      <c r="P3296" s="194">
        <v>4863</v>
      </c>
      <c r="Q3296" s="194">
        <v>7668</v>
      </c>
      <c r="R3296" s="194">
        <v>0</v>
      </c>
      <c r="S3296" s="193">
        <f t="shared" si="720"/>
        <v>12531</v>
      </c>
      <c r="T3296" s="193">
        <f t="shared" si="721"/>
        <v>2122.6999999999998</v>
      </c>
      <c r="U3296" s="193">
        <f ca="1">OFFSET('Expenditure Study'!$B$7,'Operations Support'!$C3296,'Operations Support'!$B3296)*$G3296</f>
        <v>119083.47</v>
      </c>
      <c r="V3296" s="199">
        <f ca="1">U3296*'Expenditure Study'!$B$31</f>
        <v>7035830.1883013761</v>
      </c>
      <c r="W3296" s="199">
        <f ca="1">IF(A3296=10298,1.51,1)*IF($B3296&lt;3,$D3296*'Expenditure Study'!$B$32*OFFSET('Expenditure Study'!$B$7,'Operations Support'!$C3296,'Operations Support'!$B3296),0)</f>
        <v>3956.4525000000003</v>
      </c>
      <c r="X3296" s="200">
        <f ca="1">W3296*'Expenditure Study'!$B$31</f>
        <v>233759.79838411201</v>
      </c>
      <c r="Y3296" s="199">
        <f ca="1">U3296*'Expenditure Study'!$B$31</f>
        <v>7035830.1883013761</v>
      </c>
      <c r="Z3296" s="200">
        <f ca="1">W3296*'Expenditure Study'!$B$31</f>
        <v>233759.79838411201</v>
      </c>
      <c r="AA3296" s="195">
        <f t="shared" ca="1" si="722"/>
        <v>7269589.9866854884</v>
      </c>
      <c r="AB3296" s="195">
        <f t="shared" ca="1" si="723"/>
        <v>7269589.9866854884</v>
      </c>
      <c r="AD3296" s="196">
        <f>IFERROR($G3296/SUMIF($A:$A,$A3296,$G:$G)*SUMIF(Summary!$A$166:$A$242,$A3296,Summary!$P$166:$P$242),0)</f>
        <v>2275169.792581209</v>
      </c>
      <c r="AE3296" s="197">
        <f t="shared" ca="1" si="724"/>
        <v>4994420.1941042794</v>
      </c>
      <c r="AF3296" s="196">
        <f>IFERROR(G3296/SUMIF(A:A,A3296,G:G)*SUMIF(Summary!$A$166:$A$242,'Operations Support'!A3296,Summary!$Q$166:$Q$242),0)</f>
        <v>2281110.7974758139</v>
      </c>
      <c r="AG3296" s="196">
        <f t="shared" ca="1" si="725"/>
        <v>4988479.1892096745</v>
      </c>
      <c r="AI3296" s="196">
        <f>IFERROR($G3296/SUMIF($A:$A,$A3296,$G:$G)*SUMIF(Summary!$A$247:$A$283,$A3296,Summary!$P$247:$P$283),0)</f>
        <v>414934.19393752166</v>
      </c>
      <c r="AJ3296" s="196">
        <f>IFERROR($G3296/SUMIF($A:$A,$A3296,$G:$G)*(SUMIF(Summary!$A$247:$A$283,$A3296,Summary!$L$247:$L$283)+SUMIF(Summary!$A$297:$A$333,$A3296,Summary!$L$297:$L$333))-AI3296,0)</f>
        <v>726923.5008033812</v>
      </c>
      <c r="AK3296" s="196">
        <f>IFERROR($G3296/SUMIF($A:$A,$A3296,$G:$G)*SUMIF(Summary!$A$247:$A$283,$A3296,Summary!$Q$247:$Q$283),0)</f>
        <v>416017.68497417308</v>
      </c>
      <c r="AL3296" s="196">
        <f>IFERROR($G3296/SUMIF($A:$A,$A3296,$G:$G)*(SUMIF(Summary!$A$247:$A$283,$A3296,Summary!$L$247:$L$283)+SUMIF(Summary!$A$297:$A$333,$A3296,Summary!$L$297:$L$333))-AK3296,0)</f>
        <v>725840.00976672978</v>
      </c>
      <c r="AM3296" s="198"/>
      <c r="AN3296" s="196">
        <f t="shared" ca="1" si="726"/>
        <v>5721343.6949076606</v>
      </c>
      <c r="AO3296" s="196">
        <f t="shared" ca="1" si="727"/>
        <v>5714319.198976404</v>
      </c>
    </row>
    <row r="3297" spans="1:41">
      <c r="A3297" s="189">
        <v>12826</v>
      </c>
      <c r="B3297" s="190">
        <v>2</v>
      </c>
      <c r="C3297" s="191" t="s">
        <v>236</v>
      </c>
      <c r="D3297" s="192">
        <f t="shared" si="714"/>
        <v>0</v>
      </c>
      <c r="E3297" s="192">
        <f t="shared" si="715"/>
        <v>0</v>
      </c>
      <c r="F3297" s="192">
        <f t="shared" si="716"/>
        <v>0</v>
      </c>
      <c r="G3297" s="193">
        <f t="shared" si="717"/>
        <v>0</v>
      </c>
      <c r="H3297" s="194">
        <v>0</v>
      </c>
      <c r="I3297" s="194">
        <v>0</v>
      </c>
      <c r="J3297" s="194">
        <v>0</v>
      </c>
      <c r="K3297" s="193">
        <f t="shared" si="718"/>
        <v>0</v>
      </c>
      <c r="L3297" s="194">
        <v>0</v>
      </c>
      <c r="M3297" s="194">
        <v>0</v>
      </c>
      <c r="N3297" s="194">
        <v>0</v>
      </c>
      <c r="O3297" s="193">
        <f t="shared" si="719"/>
        <v>0</v>
      </c>
      <c r="P3297" s="194">
        <v>0</v>
      </c>
      <c r="Q3297" s="194">
        <v>0</v>
      </c>
      <c r="R3297" s="194">
        <v>0</v>
      </c>
      <c r="S3297" s="193">
        <f t="shared" si="720"/>
        <v>0</v>
      </c>
      <c r="T3297" s="193">
        <f t="shared" si="721"/>
        <v>0</v>
      </c>
      <c r="U3297" s="193">
        <f ca="1">OFFSET('Expenditure Study'!$B$7,'Operations Support'!$C3297,'Operations Support'!$B3297)*$G3297</f>
        <v>0</v>
      </c>
      <c r="V3297" s="199">
        <f ca="1">U3297*'Expenditure Study'!$B$31</f>
        <v>0</v>
      </c>
      <c r="W3297" s="199">
        <f ca="1">IF(A3297=10298,1.51,1)*IF($B3297&lt;3,$D3297*'Expenditure Study'!$B$32*OFFSET('Expenditure Study'!$B$7,'Operations Support'!$C3297,'Operations Support'!$B3297),0)</f>
        <v>0</v>
      </c>
      <c r="X3297" s="200">
        <f ca="1">W3297*'Expenditure Study'!$B$31</f>
        <v>0</v>
      </c>
      <c r="Y3297" s="199">
        <f ca="1">U3297*'Expenditure Study'!$B$31</f>
        <v>0</v>
      </c>
      <c r="Z3297" s="200">
        <f ca="1">W3297*'Expenditure Study'!$B$31</f>
        <v>0</v>
      </c>
      <c r="AA3297" s="195">
        <f t="shared" ca="1" si="722"/>
        <v>0</v>
      </c>
      <c r="AB3297" s="195">
        <f t="shared" ca="1" si="723"/>
        <v>0</v>
      </c>
      <c r="AD3297" s="196">
        <f>IFERROR($G3297/SUMIF($A:$A,$A3297,$G:$G)*SUMIF(Summary!$A$166:$A$242,$A3297,Summary!$P$166:$P$242),0)</f>
        <v>0</v>
      </c>
      <c r="AE3297" s="197">
        <f t="shared" ca="1" si="724"/>
        <v>0</v>
      </c>
      <c r="AF3297" s="196">
        <f>IFERROR(G3297/SUMIF(A:A,A3297,G:G)*SUMIF(Summary!$A$166:$A$242,'Operations Support'!A3297,Summary!$Q$166:$Q$242),0)</f>
        <v>0</v>
      </c>
      <c r="AG3297" s="196">
        <f t="shared" ca="1" si="725"/>
        <v>0</v>
      </c>
      <c r="AI3297" s="196">
        <f>IFERROR($G3297/SUMIF($A:$A,$A3297,$G:$G)*SUMIF(Summary!$A$247:$A$283,$A3297,Summary!$P$247:$P$283),0)</f>
        <v>0</v>
      </c>
      <c r="AJ3297" s="196">
        <f>IFERROR($G3297/SUMIF($A:$A,$A3297,$G:$G)*(SUMIF(Summary!$A$247:$A$283,$A3297,Summary!$L$247:$L$283)+SUMIF(Summary!$A$297:$A$333,$A3297,Summary!$L$297:$L$333))-AI3297,0)</f>
        <v>0</v>
      </c>
      <c r="AK3297" s="196">
        <f>IFERROR($G3297/SUMIF($A:$A,$A3297,$G:$G)*SUMIF(Summary!$A$247:$A$283,$A3297,Summary!$Q$247:$Q$283),0)</f>
        <v>0</v>
      </c>
      <c r="AL3297" s="196">
        <f>IFERROR($G3297/SUMIF($A:$A,$A3297,$G:$G)*(SUMIF(Summary!$A$247:$A$283,$A3297,Summary!$L$247:$L$283)+SUMIF(Summary!$A$297:$A$333,$A3297,Summary!$L$297:$L$333))-AK3297,0)</f>
        <v>0</v>
      </c>
      <c r="AM3297" s="198"/>
      <c r="AN3297" s="196">
        <f t="shared" ca="1" si="726"/>
        <v>0</v>
      </c>
      <c r="AO3297" s="196">
        <f t="shared" ca="1" si="727"/>
        <v>0</v>
      </c>
    </row>
    <row r="3298" spans="1:41">
      <c r="A3298" s="189">
        <v>12826</v>
      </c>
      <c r="B3298" s="190">
        <v>2</v>
      </c>
      <c r="C3298" s="191" t="s">
        <v>237</v>
      </c>
      <c r="D3298" s="192">
        <f t="shared" si="714"/>
        <v>0</v>
      </c>
      <c r="E3298" s="192">
        <f t="shared" si="715"/>
        <v>1062</v>
      </c>
      <c r="F3298" s="192">
        <f t="shared" si="716"/>
        <v>0</v>
      </c>
      <c r="G3298" s="193">
        <f t="shared" si="717"/>
        <v>1062</v>
      </c>
      <c r="H3298" s="194">
        <v>0</v>
      </c>
      <c r="I3298" s="194">
        <v>558</v>
      </c>
      <c r="J3298" s="194">
        <v>0</v>
      </c>
      <c r="K3298" s="193">
        <f t="shared" si="718"/>
        <v>558</v>
      </c>
      <c r="L3298" s="194">
        <v>0</v>
      </c>
      <c r="M3298" s="194">
        <v>504</v>
      </c>
      <c r="N3298" s="194">
        <v>0</v>
      </c>
      <c r="O3298" s="193">
        <f t="shared" si="719"/>
        <v>504</v>
      </c>
      <c r="P3298" s="194">
        <v>0</v>
      </c>
      <c r="Q3298" s="194">
        <v>0</v>
      </c>
      <c r="R3298" s="194">
        <v>0</v>
      </c>
      <c r="S3298" s="193">
        <f t="shared" si="720"/>
        <v>0</v>
      </c>
      <c r="T3298" s="193">
        <f t="shared" si="721"/>
        <v>35.4</v>
      </c>
      <c r="U3298" s="193">
        <f ca="1">OFFSET('Expenditure Study'!$B$7,'Operations Support'!$C3298,'Operations Support'!$B3298)*$G3298</f>
        <v>2485.08</v>
      </c>
      <c r="V3298" s="199">
        <f ca="1">U3298*'Expenditure Study'!$B$31</f>
        <v>146826.43094246401</v>
      </c>
      <c r="W3298" s="199">
        <f ca="1">IF(A3298=10298,1.51,1)*IF($B3298&lt;3,$D3298*'Expenditure Study'!$B$32*OFFSET('Expenditure Study'!$B$7,'Operations Support'!$C3298,'Operations Support'!$B3298),0)</f>
        <v>0</v>
      </c>
      <c r="X3298" s="200">
        <f ca="1">W3298*'Expenditure Study'!$B$31</f>
        <v>0</v>
      </c>
      <c r="Y3298" s="199">
        <f ca="1">U3298*'Expenditure Study'!$B$31</f>
        <v>146826.43094246401</v>
      </c>
      <c r="Z3298" s="200">
        <f ca="1">W3298*'Expenditure Study'!$B$31</f>
        <v>0</v>
      </c>
      <c r="AA3298" s="195">
        <f t="shared" ca="1" si="722"/>
        <v>146826.43094246401</v>
      </c>
      <c r="AB3298" s="195">
        <f t="shared" ca="1" si="723"/>
        <v>146826.43094246401</v>
      </c>
      <c r="AD3298" s="196">
        <f>IFERROR($G3298/SUMIF($A:$A,$A3298,$G:$G)*SUMIF(Summary!$A$166:$A$242,$A3298,Summary!$P$166:$P$242),0)</f>
        <v>37942.719488092902</v>
      </c>
      <c r="AE3298" s="197">
        <f t="shared" ca="1" si="724"/>
        <v>108883.71145437111</v>
      </c>
      <c r="AF3298" s="196">
        <f>IFERROR(G3298/SUMIF(A:A,A3298,G:G)*SUMIF(Summary!$A$166:$A$242,'Operations Support'!A3298,Summary!$Q$166:$Q$242),0)</f>
        <v>38041.796876922708</v>
      </c>
      <c r="AG3298" s="196">
        <f t="shared" ca="1" si="725"/>
        <v>108784.63406554129</v>
      </c>
      <c r="AI3298" s="196">
        <f>IFERROR($G3298/SUMIF($A:$A,$A3298,$G:$G)*SUMIF(Summary!$A$247:$A$283,$A3298,Summary!$P$247:$P$283),0)</f>
        <v>6919.8051846178305</v>
      </c>
      <c r="AJ3298" s="196">
        <f>IFERROR($G3298/SUMIF($A:$A,$A3298,$G:$G)*(SUMIF(Summary!$A$247:$A$283,$A3298,Summary!$L$247:$L$283)+SUMIF(Summary!$A$297:$A$333,$A3298,Summary!$L$297:$L$333))-AI3298,0)</f>
        <v>12122.811479926364</v>
      </c>
      <c r="AK3298" s="196">
        <f>IFERROR($G3298/SUMIF($A:$A,$A3298,$G:$G)*SUMIF(Summary!$A$247:$A$283,$A3298,Summary!$Q$247:$Q$283),0)</f>
        <v>6937.8744278917075</v>
      </c>
      <c r="AL3298" s="196">
        <f>IFERROR($G3298/SUMIF($A:$A,$A3298,$G:$G)*(SUMIF(Summary!$A$247:$A$283,$A3298,Summary!$L$247:$L$283)+SUMIF(Summary!$A$297:$A$333,$A3298,Summary!$L$297:$L$333))-AK3298,0)</f>
        <v>12104.742236652488</v>
      </c>
      <c r="AM3298" s="198"/>
      <c r="AN3298" s="196">
        <f t="shared" ca="1" si="726"/>
        <v>121006.52293429748</v>
      </c>
      <c r="AO3298" s="196">
        <f t="shared" ca="1" si="727"/>
        <v>120889.37630219378</v>
      </c>
    </row>
    <row r="3299" spans="1:41">
      <c r="A3299" s="189">
        <v>12826</v>
      </c>
      <c r="B3299" s="190">
        <v>2</v>
      </c>
      <c r="C3299" s="191" t="s">
        <v>238</v>
      </c>
      <c r="D3299" s="192">
        <f t="shared" si="714"/>
        <v>1040</v>
      </c>
      <c r="E3299" s="192">
        <f t="shared" si="715"/>
        <v>638</v>
      </c>
      <c r="F3299" s="192">
        <f t="shared" si="716"/>
        <v>0</v>
      </c>
      <c r="G3299" s="193">
        <f t="shared" si="717"/>
        <v>1678</v>
      </c>
      <c r="H3299" s="194">
        <v>397</v>
      </c>
      <c r="I3299" s="194">
        <v>285</v>
      </c>
      <c r="J3299" s="194">
        <v>0</v>
      </c>
      <c r="K3299" s="193">
        <f t="shared" si="718"/>
        <v>682</v>
      </c>
      <c r="L3299" s="194">
        <v>313</v>
      </c>
      <c r="M3299" s="194">
        <v>353</v>
      </c>
      <c r="N3299" s="194">
        <v>0</v>
      </c>
      <c r="O3299" s="193">
        <f t="shared" si="719"/>
        <v>666</v>
      </c>
      <c r="P3299" s="194">
        <v>330</v>
      </c>
      <c r="Q3299" s="194">
        <v>0</v>
      </c>
      <c r="R3299" s="194">
        <v>0</v>
      </c>
      <c r="S3299" s="193">
        <f t="shared" si="720"/>
        <v>330</v>
      </c>
      <c r="T3299" s="193">
        <f t="shared" si="721"/>
        <v>55.93333333333333</v>
      </c>
      <c r="U3299" s="193">
        <f ca="1">OFFSET('Expenditure Study'!$B$7,'Operations Support'!$C3299,'Operations Support'!$B3299)*$G3299</f>
        <v>4027.2</v>
      </c>
      <c r="V3299" s="199">
        <f ca="1">U3299*'Expenditure Study'!$B$31</f>
        <v>237939.78571775998</v>
      </c>
      <c r="W3299" s="199">
        <f ca="1">IF(A3299=10298,1.51,1)*IF($B3299&lt;3,$D3299*'Expenditure Study'!$B$32*OFFSET('Expenditure Study'!$B$7,'Operations Support'!$C3299,'Operations Support'!$B3299),0)</f>
        <v>249.6</v>
      </c>
      <c r="X3299" s="200">
        <f ca="1">W3299*'Expenditure Study'!$B$31</f>
        <v>14747.161927679999</v>
      </c>
      <c r="Y3299" s="199">
        <f ca="1">U3299*'Expenditure Study'!$B$31</f>
        <v>237939.78571775998</v>
      </c>
      <c r="Z3299" s="200">
        <f ca="1">W3299*'Expenditure Study'!$B$31</f>
        <v>14747.161927679999</v>
      </c>
      <c r="AA3299" s="195">
        <f t="shared" ca="1" si="722"/>
        <v>252686.94764543997</v>
      </c>
      <c r="AB3299" s="195">
        <f t="shared" ca="1" si="723"/>
        <v>252686.94764543997</v>
      </c>
      <c r="AD3299" s="196">
        <f>IFERROR($G3299/SUMIF($A:$A,$A3299,$G:$G)*SUMIF(Summary!$A$166:$A$242,$A3299,Summary!$P$166:$P$242),0)</f>
        <v>59950.925895498949</v>
      </c>
      <c r="AE3299" s="197">
        <f t="shared" ca="1" si="724"/>
        <v>192736.02174994102</v>
      </c>
      <c r="AF3299" s="196">
        <f>IFERROR(G3299/SUMIF(A:A,A3299,G:G)*SUMIF(Summary!$A$166:$A$242,'Operations Support'!A3299,Summary!$Q$166:$Q$242),0)</f>
        <v>60107.471901578436</v>
      </c>
      <c r="AG3299" s="196">
        <f t="shared" ca="1" si="725"/>
        <v>192579.47574386152</v>
      </c>
      <c r="AI3299" s="196">
        <f>IFERROR($G3299/SUMIF($A:$A,$A3299,$G:$G)*SUMIF(Summary!$A$247:$A$283,$A3299,Summary!$P$247:$P$283),0)</f>
        <v>10933.552824659811</v>
      </c>
      <c r="AJ3299" s="196">
        <f>IFERROR($G3299/SUMIF($A:$A,$A3299,$G:$G)*(SUMIF(Summary!$A$247:$A$283,$A3299,Summary!$L$247:$L$283)+SUMIF(Summary!$A$297:$A$333,$A3299,Summary!$L$297:$L$333))-AI3299,0)</f>
        <v>19154.498741352578</v>
      </c>
      <c r="AK3299" s="196">
        <f>IFERROR($G3299/SUMIF($A:$A,$A3299,$G:$G)*SUMIF(Summary!$A$247:$A$283,$A3299,Summary!$Q$247:$Q$283),0)</f>
        <v>10962.102909606672</v>
      </c>
      <c r="AL3299" s="196">
        <f>IFERROR($G3299/SUMIF($A:$A,$A3299,$G:$G)*(SUMIF(Summary!$A$247:$A$283,$A3299,Summary!$L$247:$L$283)+SUMIF(Summary!$A$297:$A$333,$A3299,Summary!$L$297:$L$333))-AK3299,0)</f>
        <v>19125.948656405715</v>
      </c>
      <c r="AM3299" s="198"/>
      <c r="AN3299" s="196">
        <f t="shared" ca="1" si="726"/>
        <v>211890.5204912936</v>
      </c>
      <c r="AO3299" s="196">
        <f t="shared" ca="1" si="727"/>
        <v>211705.42440026725</v>
      </c>
    </row>
    <row r="3300" spans="1:41">
      <c r="A3300" s="189">
        <v>12826</v>
      </c>
      <c r="B3300" s="190">
        <v>2</v>
      </c>
      <c r="C3300" s="191" t="s">
        <v>239</v>
      </c>
      <c r="D3300" s="192">
        <f t="shared" si="714"/>
        <v>348</v>
      </c>
      <c r="E3300" s="192">
        <f t="shared" si="715"/>
        <v>780</v>
      </c>
      <c r="F3300" s="192">
        <f t="shared" si="716"/>
        <v>0</v>
      </c>
      <c r="G3300" s="193">
        <f t="shared" si="717"/>
        <v>1128</v>
      </c>
      <c r="H3300" s="194">
        <v>75</v>
      </c>
      <c r="I3300" s="194">
        <v>318</v>
      </c>
      <c r="J3300" s="194">
        <v>0</v>
      </c>
      <c r="K3300" s="193">
        <f t="shared" si="718"/>
        <v>393</v>
      </c>
      <c r="L3300" s="194">
        <v>93</v>
      </c>
      <c r="M3300" s="194">
        <v>261</v>
      </c>
      <c r="N3300" s="194">
        <v>0</v>
      </c>
      <c r="O3300" s="193">
        <f t="shared" si="719"/>
        <v>354</v>
      </c>
      <c r="P3300" s="194">
        <v>180</v>
      </c>
      <c r="Q3300" s="194">
        <v>201</v>
      </c>
      <c r="R3300" s="194">
        <v>0</v>
      </c>
      <c r="S3300" s="193">
        <f t="shared" si="720"/>
        <v>381</v>
      </c>
      <c r="T3300" s="193">
        <f t="shared" si="721"/>
        <v>37.6</v>
      </c>
      <c r="U3300" s="193">
        <f ca="1">OFFSET('Expenditure Study'!$B$7,'Operations Support'!$C3300,'Operations Support'!$B3300)*$G3300</f>
        <v>2346.2400000000002</v>
      </c>
      <c r="V3300" s="199">
        <f ca="1">U3300*'Expenditure Study'!$B$31</f>
        <v>138623.32212019202</v>
      </c>
      <c r="W3300" s="199">
        <f ca="1">IF(A3300=10298,1.51,1)*IF($B3300&lt;3,$D3300*'Expenditure Study'!$B$32*OFFSET('Expenditure Study'!$B$7,'Operations Support'!$C3300,'Operations Support'!$B3300),0)</f>
        <v>72.384000000000015</v>
      </c>
      <c r="X3300" s="200">
        <f ca="1">W3300*'Expenditure Study'!$B$31</f>
        <v>4276.6769590272006</v>
      </c>
      <c r="Y3300" s="199">
        <f ca="1">U3300*'Expenditure Study'!$B$31</f>
        <v>138623.32212019202</v>
      </c>
      <c r="Z3300" s="200">
        <f ca="1">W3300*'Expenditure Study'!$B$31</f>
        <v>4276.6769590272006</v>
      </c>
      <c r="AA3300" s="195">
        <f t="shared" ca="1" si="722"/>
        <v>142899.99907921921</v>
      </c>
      <c r="AB3300" s="195">
        <f t="shared" ca="1" si="723"/>
        <v>142899.99907921921</v>
      </c>
      <c r="AD3300" s="196">
        <f>IFERROR($G3300/SUMIF($A:$A,$A3300,$G:$G)*SUMIF(Summary!$A$166:$A$242,$A3300,Summary!$P$166:$P$242),0)</f>
        <v>40300.741603172122</v>
      </c>
      <c r="AE3300" s="197">
        <f t="shared" ca="1" si="724"/>
        <v>102599.25747604709</v>
      </c>
      <c r="AF3300" s="196">
        <f>IFERROR(G3300/SUMIF(A:A,A3300,G:G)*SUMIF(Summary!$A$166:$A$242,'Operations Support'!A3300,Summary!$Q$166:$Q$242),0)</f>
        <v>40405.976343850103</v>
      </c>
      <c r="AG3300" s="196">
        <f t="shared" ca="1" si="725"/>
        <v>102494.0227353691</v>
      </c>
      <c r="AI3300" s="196">
        <f>IFERROR($G3300/SUMIF($A:$A,$A3300,$G:$G)*SUMIF(Summary!$A$247:$A$283,$A3300,Summary!$P$247:$P$283),0)</f>
        <v>7349.849574622328</v>
      </c>
      <c r="AJ3300" s="196">
        <f>IFERROR($G3300/SUMIF($A:$A,$A3300,$G:$G)*(SUMIF(Summary!$A$247:$A$283,$A3300,Summary!$L$247:$L$283)+SUMIF(Summary!$A$297:$A$333,$A3300,Summary!$L$297:$L$333))-AI3300,0)</f>
        <v>12876.206543650602</v>
      </c>
      <c r="AK3300" s="196">
        <f>IFERROR($G3300/SUMIF($A:$A,$A3300,$G:$G)*SUMIF(Summary!$A$247:$A$283,$A3300,Summary!$Q$247:$Q$283),0)</f>
        <v>7369.0417652183105</v>
      </c>
      <c r="AL3300" s="196">
        <f>IFERROR($G3300/SUMIF($A:$A,$A3300,$G:$G)*(SUMIF(Summary!$A$247:$A$283,$A3300,Summary!$L$247:$L$283)+SUMIF(Summary!$A$297:$A$333,$A3300,Summary!$L$297:$L$333))-AK3300,0)</f>
        <v>12857.014353054619</v>
      </c>
      <c r="AM3300" s="198"/>
      <c r="AN3300" s="196">
        <f t="shared" ca="1" si="726"/>
        <v>115475.46401969768</v>
      </c>
      <c r="AO3300" s="196">
        <f t="shared" ca="1" si="727"/>
        <v>115351.03708842372</v>
      </c>
    </row>
    <row r="3301" spans="1:41">
      <c r="A3301" s="189">
        <v>12826</v>
      </c>
      <c r="B3301" s="190">
        <v>2</v>
      </c>
      <c r="C3301" s="191" t="s">
        <v>240</v>
      </c>
      <c r="D3301" s="192">
        <f t="shared" si="714"/>
        <v>0</v>
      </c>
      <c r="E3301" s="192">
        <f t="shared" si="715"/>
        <v>0</v>
      </c>
      <c r="F3301" s="192">
        <f t="shared" si="716"/>
        <v>0</v>
      </c>
      <c r="G3301" s="193">
        <f t="shared" si="717"/>
        <v>0</v>
      </c>
      <c r="H3301" s="194">
        <v>0</v>
      </c>
      <c r="I3301" s="194">
        <v>0</v>
      </c>
      <c r="J3301" s="194">
        <v>0</v>
      </c>
      <c r="K3301" s="193">
        <f t="shared" si="718"/>
        <v>0</v>
      </c>
      <c r="L3301" s="194">
        <v>0</v>
      </c>
      <c r="M3301" s="194">
        <v>0</v>
      </c>
      <c r="N3301" s="194">
        <v>0</v>
      </c>
      <c r="O3301" s="193">
        <f t="shared" si="719"/>
        <v>0</v>
      </c>
      <c r="P3301" s="194">
        <v>0</v>
      </c>
      <c r="Q3301" s="194">
        <v>0</v>
      </c>
      <c r="R3301" s="194">
        <v>0</v>
      </c>
      <c r="S3301" s="193">
        <f t="shared" si="720"/>
        <v>0</v>
      </c>
      <c r="T3301" s="193">
        <f t="shared" si="721"/>
        <v>0</v>
      </c>
      <c r="U3301" s="193">
        <f ca="1">OFFSET('Expenditure Study'!$B$7,'Operations Support'!$C3301,'Operations Support'!$B3301)*$G3301</f>
        <v>0</v>
      </c>
      <c r="V3301" s="199">
        <f ca="1">U3301*'Expenditure Study'!$B$31</f>
        <v>0</v>
      </c>
      <c r="W3301" s="199">
        <f ca="1">IF(A3301=10298,1.51,1)*IF($B3301&lt;3,$D3301*'Expenditure Study'!$B$32*OFFSET('Expenditure Study'!$B$7,'Operations Support'!$C3301,'Operations Support'!$B3301),0)</f>
        <v>0</v>
      </c>
      <c r="X3301" s="200">
        <f ca="1">W3301*'Expenditure Study'!$B$31</f>
        <v>0</v>
      </c>
      <c r="Y3301" s="199">
        <f ca="1">U3301*'Expenditure Study'!$B$31</f>
        <v>0</v>
      </c>
      <c r="Z3301" s="200">
        <f ca="1">W3301*'Expenditure Study'!$B$31</f>
        <v>0</v>
      </c>
      <c r="AA3301" s="195">
        <f t="shared" ca="1" si="722"/>
        <v>0</v>
      </c>
      <c r="AB3301" s="195">
        <f t="shared" ca="1" si="723"/>
        <v>0</v>
      </c>
      <c r="AD3301" s="196">
        <f>IFERROR($G3301/SUMIF($A:$A,$A3301,$G:$G)*SUMIF(Summary!$A$166:$A$242,$A3301,Summary!$P$166:$P$242),0)</f>
        <v>0</v>
      </c>
      <c r="AE3301" s="197">
        <f t="shared" ca="1" si="724"/>
        <v>0</v>
      </c>
      <c r="AF3301" s="196">
        <f>IFERROR(G3301/SUMIF(A:A,A3301,G:G)*SUMIF(Summary!$A$166:$A$242,'Operations Support'!A3301,Summary!$Q$166:$Q$242),0)</f>
        <v>0</v>
      </c>
      <c r="AG3301" s="196">
        <f t="shared" ca="1" si="725"/>
        <v>0</v>
      </c>
      <c r="AI3301" s="196">
        <f>IFERROR($G3301/SUMIF($A:$A,$A3301,$G:$G)*SUMIF(Summary!$A$247:$A$283,$A3301,Summary!$P$247:$P$283),0)</f>
        <v>0</v>
      </c>
      <c r="AJ3301" s="196">
        <f>IFERROR($G3301/SUMIF($A:$A,$A3301,$G:$G)*(SUMIF(Summary!$A$247:$A$283,$A3301,Summary!$L$247:$L$283)+SUMIF(Summary!$A$297:$A$333,$A3301,Summary!$L$297:$L$333))-AI3301,0)</f>
        <v>0</v>
      </c>
      <c r="AK3301" s="196">
        <f>IFERROR($G3301/SUMIF($A:$A,$A3301,$G:$G)*SUMIF(Summary!$A$247:$A$283,$A3301,Summary!$Q$247:$Q$283),0)</f>
        <v>0</v>
      </c>
      <c r="AL3301" s="196">
        <f>IFERROR($G3301/SUMIF($A:$A,$A3301,$G:$G)*(SUMIF(Summary!$A$247:$A$283,$A3301,Summary!$L$247:$L$283)+SUMIF(Summary!$A$297:$A$333,$A3301,Summary!$L$297:$L$333))-AK3301,0)</f>
        <v>0</v>
      </c>
      <c r="AM3301" s="198"/>
      <c r="AN3301" s="196">
        <f t="shared" ca="1" si="726"/>
        <v>0</v>
      </c>
      <c r="AO3301" s="196">
        <f t="shared" ca="1" si="727"/>
        <v>0</v>
      </c>
    </row>
    <row r="3302" spans="1:41">
      <c r="A3302" s="189">
        <v>12826</v>
      </c>
      <c r="B3302" s="190">
        <v>3</v>
      </c>
      <c r="C3302" s="191" t="s">
        <v>220</v>
      </c>
      <c r="D3302" s="192">
        <f t="shared" si="714"/>
        <v>1914</v>
      </c>
      <c r="E3302" s="192">
        <f t="shared" si="715"/>
        <v>744</v>
      </c>
      <c r="F3302" s="192">
        <f t="shared" si="716"/>
        <v>0</v>
      </c>
      <c r="G3302" s="193">
        <f t="shared" si="717"/>
        <v>2658</v>
      </c>
      <c r="H3302" s="194">
        <v>828</v>
      </c>
      <c r="I3302" s="194">
        <v>213</v>
      </c>
      <c r="J3302" s="194">
        <v>0</v>
      </c>
      <c r="K3302" s="193">
        <f t="shared" si="718"/>
        <v>1041</v>
      </c>
      <c r="L3302" s="194">
        <v>888</v>
      </c>
      <c r="M3302" s="194">
        <v>87</v>
      </c>
      <c r="N3302" s="194">
        <v>0</v>
      </c>
      <c r="O3302" s="193">
        <f t="shared" si="719"/>
        <v>975</v>
      </c>
      <c r="P3302" s="194">
        <v>198</v>
      </c>
      <c r="Q3302" s="194">
        <v>444</v>
      </c>
      <c r="R3302" s="194">
        <v>0</v>
      </c>
      <c r="S3302" s="193">
        <f t="shared" si="720"/>
        <v>642</v>
      </c>
      <c r="T3302" s="193">
        <f t="shared" si="721"/>
        <v>110.75</v>
      </c>
      <c r="U3302" s="193">
        <f ca="1">OFFSET('Expenditure Study'!$B$7,'Operations Support'!$C3302,'Operations Support'!$B3302)*$G3302</f>
        <v>11854.68</v>
      </c>
      <c r="V3302" s="199">
        <f ca="1">U3302*'Expenditure Study'!$B$31</f>
        <v>700412.20176614402</v>
      </c>
      <c r="W3302" s="199">
        <f ca="1">IF(A3302=10298,1.51,1)*IF($B3302&lt;3,$D3302*'Expenditure Study'!$B$32*OFFSET('Expenditure Study'!$B$7,'Operations Support'!$C3302,'Operations Support'!$B3302),0)</f>
        <v>0</v>
      </c>
      <c r="X3302" s="200">
        <f ca="1">W3302*'Expenditure Study'!$B$31</f>
        <v>0</v>
      </c>
      <c r="Y3302" s="199">
        <f ca="1">U3302*'Expenditure Study'!$B$31</f>
        <v>700412.20176614402</v>
      </c>
      <c r="Z3302" s="200">
        <f ca="1">W3302*'Expenditure Study'!$B$31</f>
        <v>0</v>
      </c>
      <c r="AA3302" s="195">
        <f t="shared" ca="1" si="722"/>
        <v>700412.20176614402</v>
      </c>
      <c r="AB3302" s="195">
        <f t="shared" ca="1" si="723"/>
        <v>700412.20176614402</v>
      </c>
      <c r="AD3302" s="196">
        <f>IFERROR($G3302/SUMIF($A:$A,$A3302,$G:$G)*SUMIF(Summary!$A$166:$A$242,$A3302,Summary!$P$166:$P$242),0)</f>
        <v>94963.981543644957</v>
      </c>
      <c r="AE3302" s="197">
        <f t="shared" ca="1" si="724"/>
        <v>605448.22022249911</v>
      </c>
      <c r="AF3302" s="196">
        <f>IFERROR(G3302/SUMIF(A:A,A3302,G:G)*SUMIF(Summary!$A$166:$A$242,'Operations Support'!A3302,Summary!$Q$166:$Q$242),0)</f>
        <v>95211.954895348914</v>
      </c>
      <c r="AG3302" s="196">
        <f t="shared" ca="1" si="725"/>
        <v>605200.24687079515</v>
      </c>
      <c r="AI3302" s="196">
        <f>IFERROR($G3302/SUMIF($A:$A,$A3302,$G:$G)*SUMIF(Summary!$A$247:$A$283,$A3302,Summary!$P$247:$P$283),0)</f>
        <v>17319.060433817507</v>
      </c>
      <c r="AJ3302" s="196">
        <f>IFERROR($G3302/SUMIF($A:$A,$A3302,$G:$G)*(SUMIF(Summary!$A$247:$A$283,$A3302,Summary!$L$247:$L$283)+SUMIF(Summary!$A$297:$A$333,$A3302,Summary!$L$297:$L$333))-AI3302,0)</f>
        <v>30341.273929985193</v>
      </c>
      <c r="AK3302" s="196">
        <f>IFERROR($G3302/SUMIF($A:$A,$A3302,$G:$G)*SUMIF(Summary!$A$247:$A$283,$A3302,Summary!$Q$247:$Q$283),0)</f>
        <v>17364.284585062298</v>
      </c>
      <c r="AL3302" s="196">
        <f>IFERROR($G3302/SUMIF($A:$A,$A3302,$G:$G)*(SUMIF(Summary!$A$247:$A$283,$A3302,Summary!$L$247:$L$283)+SUMIF(Summary!$A$297:$A$333,$A3302,Summary!$L$297:$L$333))-AK3302,0)</f>
        <v>30296.049778740402</v>
      </c>
      <c r="AM3302" s="198"/>
      <c r="AN3302" s="196">
        <f t="shared" ca="1" si="726"/>
        <v>635789.49415248435</v>
      </c>
      <c r="AO3302" s="196">
        <f t="shared" ca="1" si="727"/>
        <v>635496.29664953554</v>
      </c>
    </row>
    <row r="3303" spans="1:41">
      <c r="A3303" s="189">
        <v>12826</v>
      </c>
      <c r="B3303" s="190">
        <v>3</v>
      </c>
      <c r="C3303" s="191" t="s">
        <v>221</v>
      </c>
      <c r="D3303" s="192">
        <f t="shared" si="714"/>
        <v>861</v>
      </c>
      <c r="E3303" s="192">
        <f t="shared" si="715"/>
        <v>39</v>
      </c>
      <c r="F3303" s="192">
        <f t="shared" si="716"/>
        <v>0</v>
      </c>
      <c r="G3303" s="193">
        <f t="shared" si="717"/>
        <v>900</v>
      </c>
      <c r="H3303" s="194">
        <v>195</v>
      </c>
      <c r="I3303" s="194">
        <v>39</v>
      </c>
      <c r="J3303" s="194">
        <v>0</v>
      </c>
      <c r="K3303" s="193">
        <f t="shared" si="718"/>
        <v>234</v>
      </c>
      <c r="L3303" s="194">
        <v>471</v>
      </c>
      <c r="M3303" s="194">
        <v>0</v>
      </c>
      <c r="N3303" s="194">
        <v>0</v>
      </c>
      <c r="O3303" s="193">
        <f t="shared" si="719"/>
        <v>471</v>
      </c>
      <c r="P3303" s="194">
        <v>195</v>
      </c>
      <c r="Q3303" s="194">
        <v>0</v>
      </c>
      <c r="R3303" s="194">
        <v>0</v>
      </c>
      <c r="S3303" s="193">
        <f t="shared" si="720"/>
        <v>195</v>
      </c>
      <c r="T3303" s="193">
        <f t="shared" si="721"/>
        <v>37.5</v>
      </c>
      <c r="U3303" s="193">
        <f ca="1">OFFSET('Expenditure Study'!$B$7,'Operations Support'!$C3303,'Operations Support'!$B3303)*$G3303</f>
        <v>6300</v>
      </c>
      <c r="V3303" s="199">
        <f ca="1">U3303*'Expenditure Study'!$B$31</f>
        <v>372224.03904</v>
      </c>
      <c r="W3303" s="199">
        <f ca="1">IF(A3303=10298,1.51,1)*IF($B3303&lt;3,$D3303*'Expenditure Study'!$B$32*OFFSET('Expenditure Study'!$B$7,'Operations Support'!$C3303,'Operations Support'!$B3303),0)</f>
        <v>0</v>
      </c>
      <c r="X3303" s="200">
        <f ca="1">W3303*'Expenditure Study'!$B$31</f>
        <v>0</v>
      </c>
      <c r="Y3303" s="199">
        <f ca="1">U3303*'Expenditure Study'!$B$31</f>
        <v>372224.03904</v>
      </c>
      <c r="Z3303" s="200">
        <f ca="1">W3303*'Expenditure Study'!$B$31</f>
        <v>0</v>
      </c>
      <c r="AA3303" s="195">
        <f t="shared" ca="1" si="722"/>
        <v>372224.03904</v>
      </c>
      <c r="AB3303" s="195">
        <f t="shared" ca="1" si="723"/>
        <v>372224.03904</v>
      </c>
      <c r="AD3303" s="196">
        <f>IFERROR($G3303/SUMIF($A:$A,$A3303,$G:$G)*SUMIF(Summary!$A$166:$A$242,$A3303,Summary!$P$166:$P$242),0)</f>
        <v>32154.847023807542</v>
      </c>
      <c r="AE3303" s="197">
        <f t="shared" ca="1" si="724"/>
        <v>340069.19201619248</v>
      </c>
      <c r="AF3303" s="196">
        <f>IFERROR(G3303/SUMIF(A:A,A3303,G:G)*SUMIF(Summary!$A$166:$A$242,'Operations Support'!A3303,Summary!$Q$166:$Q$242),0)</f>
        <v>32238.810912646357</v>
      </c>
      <c r="AG3303" s="196">
        <f t="shared" ca="1" si="725"/>
        <v>339985.22812735365</v>
      </c>
      <c r="AI3303" s="196">
        <f>IFERROR($G3303/SUMIF($A:$A,$A3303,$G:$G)*SUMIF(Summary!$A$247:$A$283,$A3303,Summary!$P$247:$P$283),0)</f>
        <v>5864.2416818795164</v>
      </c>
      <c r="AJ3303" s="196">
        <f>IFERROR($G3303/SUMIF($A:$A,$A3303,$G:$G)*(SUMIF(Summary!$A$247:$A$283,$A3303,Summary!$L$247:$L$283)+SUMIF(Summary!$A$297:$A$333,$A3303,Summary!$L$297:$L$333))-AI3303,0)</f>
        <v>10273.569050785052</v>
      </c>
      <c r="AK3303" s="196">
        <f>IFERROR($G3303/SUMIF($A:$A,$A3303,$G:$G)*SUMIF(Summary!$A$247:$A$283,$A3303,Summary!$Q$247:$Q$283),0)</f>
        <v>5879.5545999082269</v>
      </c>
      <c r="AL3303" s="196">
        <f>IFERROR($G3303/SUMIF($A:$A,$A3303,$G:$G)*(SUMIF(Summary!$A$247:$A$283,$A3303,Summary!$L$247:$L$283)+SUMIF(Summary!$A$297:$A$333,$A3303,Summary!$L$297:$L$333))-AK3303,0)</f>
        <v>10258.256132756342</v>
      </c>
      <c r="AM3303" s="198"/>
      <c r="AN3303" s="196">
        <f t="shared" ca="1" si="726"/>
        <v>350342.76106697752</v>
      </c>
      <c r="AO3303" s="196">
        <f t="shared" ca="1" si="727"/>
        <v>350243.48426011001</v>
      </c>
    </row>
    <row r="3304" spans="1:41">
      <c r="A3304" s="189">
        <v>12826</v>
      </c>
      <c r="B3304" s="190">
        <v>3</v>
      </c>
      <c r="C3304" s="191" t="s">
        <v>222</v>
      </c>
      <c r="D3304" s="192">
        <f t="shared" si="714"/>
        <v>0</v>
      </c>
      <c r="E3304" s="192">
        <f t="shared" si="715"/>
        <v>0</v>
      </c>
      <c r="F3304" s="192">
        <f t="shared" si="716"/>
        <v>0</v>
      </c>
      <c r="G3304" s="193">
        <f t="shared" si="717"/>
        <v>0</v>
      </c>
      <c r="H3304" s="194">
        <v>0</v>
      </c>
      <c r="I3304" s="194">
        <v>0</v>
      </c>
      <c r="J3304" s="194">
        <v>0</v>
      </c>
      <c r="K3304" s="193">
        <f t="shared" si="718"/>
        <v>0</v>
      </c>
      <c r="L3304" s="194">
        <v>0</v>
      </c>
      <c r="M3304" s="194">
        <v>0</v>
      </c>
      <c r="N3304" s="194">
        <v>0</v>
      </c>
      <c r="O3304" s="193">
        <f t="shared" si="719"/>
        <v>0</v>
      </c>
      <c r="P3304" s="194">
        <v>0</v>
      </c>
      <c r="Q3304" s="194">
        <v>0</v>
      </c>
      <c r="R3304" s="194">
        <v>0</v>
      </c>
      <c r="S3304" s="193">
        <f t="shared" si="720"/>
        <v>0</v>
      </c>
      <c r="T3304" s="193">
        <f t="shared" si="721"/>
        <v>0</v>
      </c>
      <c r="U3304" s="193">
        <f ca="1">OFFSET('Expenditure Study'!$B$7,'Operations Support'!$C3304,'Operations Support'!$B3304)*$G3304</f>
        <v>0</v>
      </c>
      <c r="V3304" s="199">
        <f ca="1">U3304*'Expenditure Study'!$B$31</f>
        <v>0</v>
      </c>
      <c r="W3304" s="199">
        <f ca="1">IF(A3304=10298,1.51,1)*IF($B3304&lt;3,$D3304*'Expenditure Study'!$B$32*OFFSET('Expenditure Study'!$B$7,'Operations Support'!$C3304,'Operations Support'!$B3304),0)</f>
        <v>0</v>
      </c>
      <c r="X3304" s="200">
        <f ca="1">W3304*'Expenditure Study'!$B$31</f>
        <v>0</v>
      </c>
      <c r="Y3304" s="199">
        <f ca="1">U3304*'Expenditure Study'!$B$31</f>
        <v>0</v>
      </c>
      <c r="Z3304" s="200">
        <f ca="1">W3304*'Expenditure Study'!$B$31</f>
        <v>0</v>
      </c>
      <c r="AA3304" s="195">
        <f t="shared" ca="1" si="722"/>
        <v>0</v>
      </c>
      <c r="AB3304" s="195">
        <f t="shared" ca="1" si="723"/>
        <v>0</v>
      </c>
      <c r="AD3304" s="196">
        <f>IFERROR($G3304/SUMIF($A:$A,$A3304,$G:$G)*SUMIF(Summary!$A$166:$A$242,$A3304,Summary!$P$166:$P$242),0)</f>
        <v>0</v>
      </c>
      <c r="AE3304" s="197">
        <f t="shared" ca="1" si="724"/>
        <v>0</v>
      </c>
      <c r="AF3304" s="196">
        <f>IFERROR(G3304/SUMIF(A:A,A3304,G:G)*SUMIF(Summary!$A$166:$A$242,'Operations Support'!A3304,Summary!$Q$166:$Q$242),0)</f>
        <v>0</v>
      </c>
      <c r="AG3304" s="196">
        <f t="shared" ca="1" si="725"/>
        <v>0</v>
      </c>
      <c r="AI3304" s="196">
        <f>IFERROR($G3304/SUMIF($A:$A,$A3304,$G:$G)*SUMIF(Summary!$A$247:$A$283,$A3304,Summary!$P$247:$P$283),0)</f>
        <v>0</v>
      </c>
      <c r="AJ3304" s="196">
        <f>IFERROR($G3304/SUMIF($A:$A,$A3304,$G:$G)*(SUMIF(Summary!$A$247:$A$283,$A3304,Summary!$L$247:$L$283)+SUMIF(Summary!$A$297:$A$333,$A3304,Summary!$L$297:$L$333))-AI3304,0)</f>
        <v>0</v>
      </c>
      <c r="AK3304" s="196">
        <f>IFERROR($G3304/SUMIF($A:$A,$A3304,$G:$G)*SUMIF(Summary!$A$247:$A$283,$A3304,Summary!$Q$247:$Q$283),0)</f>
        <v>0</v>
      </c>
      <c r="AL3304" s="196">
        <f>IFERROR($G3304/SUMIF($A:$A,$A3304,$G:$G)*(SUMIF(Summary!$A$247:$A$283,$A3304,Summary!$L$247:$L$283)+SUMIF(Summary!$A$297:$A$333,$A3304,Summary!$L$297:$L$333))-AK3304,0)</f>
        <v>0</v>
      </c>
      <c r="AM3304" s="198"/>
      <c r="AN3304" s="196">
        <f t="shared" ca="1" si="726"/>
        <v>0</v>
      </c>
      <c r="AO3304" s="196">
        <f t="shared" ca="1" si="727"/>
        <v>0</v>
      </c>
    </row>
    <row r="3305" spans="1:41">
      <c r="A3305" s="189">
        <v>12826</v>
      </c>
      <c r="B3305" s="190">
        <v>3</v>
      </c>
      <c r="C3305" s="191" t="s">
        <v>223</v>
      </c>
      <c r="D3305" s="192">
        <f t="shared" si="714"/>
        <v>552</v>
      </c>
      <c r="E3305" s="192">
        <f t="shared" si="715"/>
        <v>42</v>
      </c>
      <c r="F3305" s="192">
        <f t="shared" si="716"/>
        <v>0</v>
      </c>
      <c r="G3305" s="193">
        <f t="shared" si="717"/>
        <v>594</v>
      </c>
      <c r="H3305" s="194">
        <v>189</v>
      </c>
      <c r="I3305" s="194">
        <v>15</v>
      </c>
      <c r="J3305" s="194">
        <v>0</v>
      </c>
      <c r="K3305" s="193">
        <f t="shared" si="718"/>
        <v>204</v>
      </c>
      <c r="L3305" s="194">
        <v>198</v>
      </c>
      <c r="M3305" s="194">
        <v>27</v>
      </c>
      <c r="N3305" s="194">
        <v>0</v>
      </c>
      <c r="O3305" s="193">
        <f t="shared" si="719"/>
        <v>225</v>
      </c>
      <c r="P3305" s="194">
        <v>165</v>
      </c>
      <c r="Q3305" s="194">
        <v>0</v>
      </c>
      <c r="R3305" s="194">
        <v>0</v>
      </c>
      <c r="S3305" s="193">
        <f t="shared" si="720"/>
        <v>165</v>
      </c>
      <c r="T3305" s="193">
        <f t="shared" si="721"/>
        <v>24.75</v>
      </c>
      <c r="U3305" s="193">
        <f ca="1">OFFSET('Expenditure Study'!$B$7,'Operations Support'!$C3305,'Operations Support'!$B3305)*$G3305</f>
        <v>1330.5600000000002</v>
      </c>
      <c r="V3305" s="199">
        <f ca="1">U3305*'Expenditure Study'!$B$31</f>
        <v>78613.717045248006</v>
      </c>
      <c r="W3305" s="199">
        <f ca="1">IF(A3305=10298,1.51,1)*IF($B3305&lt;3,$D3305*'Expenditure Study'!$B$32*OFFSET('Expenditure Study'!$B$7,'Operations Support'!$C3305,'Operations Support'!$B3305),0)</f>
        <v>0</v>
      </c>
      <c r="X3305" s="200">
        <f ca="1">W3305*'Expenditure Study'!$B$31</f>
        <v>0</v>
      </c>
      <c r="Y3305" s="199">
        <f ca="1">U3305*'Expenditure Study'!$B$31</f>
        <v>78613.717045248006</v>
      </c>
      <c r="Z3305" s="200">
        <f ca="1">W3305*'Expenditure Study'!$B$31</f>
        <v>0</v>
      </c>
      <c r="AA3305" s="195">
        <f t="shared" ca="1" si="722"/>
        <v>78613.717045248006</v>
      </c>
      <c r="AB3305" s="195">
        <f t="shared" ca="1" si="723"/>
        <v>78613.717045248006</v>
      </c>
      <c r="AD3305" s="196">
        <f>IFERROR($G3305/SUMIF($A:$A,$A3305,$G:$G)*SUMIF(Summary!$A$166:$A$242,$A3305,Summary!$P$166:$P$242),0)</f>
        <v>21222.19903571298</v>
      </c>
      <c r="AE3305" s="197">
        <f t="shared" ca="1" si="724"/>
        <v>57391.518009535022</v>
      </c>
      <c r="AF3305" s="196">
        <f>IFERROR(G3305/SUMIF(A:A,A3305,G:G)*SUMIF(Summary!$A$166:$A$242,'Operations Support'!A3305,Summary!$Q$166:$Q$242),0)</f>
        <v>21277.615202346598</v>
      </c>
      <c r="AG3305" s="196">
        <f t="shared" ca="1" si="725"/>
        <v>57336.101842901408</v>
      </c>
      <c r="AI3305" s="196">
        <f>IFERROR($G3305/SUMIF($A:$A,$A3305,$G:$G)*SUMIF(Summary!$A$247:$A$283,$A3305,Summary!$P$247:$P$283),0)</f>
        <v>3870.3995100404813</v>
      </c>
      <c r="AJ3305" s="196">
        <f>IFERROR($G3305/SUMIF($A:$A,$A3305,$G:$G)*(SUMIF(Summary!$A$247:$A$283,$A3305,Summary!$L$247:$L$283)+SUMIF(Summary!$A$297:$A$333,$A3305,Summary!$L$297:$L$333))-AI3305,0)</f>
        <v>6780.555573518137</v>
      </c>
      <c r="AK3305" s="196">
        <f>IFERROR($G3305/SUMIF($A:$A,$A3305,$G:$G)*SUMIF(Summary!$A$247:$A$283,$A3305,Summary!$Q$247:$Q$283),0)</f>
        <v>3880.5060359394297</v>
      </c>
      <c r="AL3305" s="196">
        <f>IFERROR($G3305/SUMIF($A:$A,$A3305,$G:$G)*(SUMIF(Summary!$A$247:$A$283,$A3305,Summary!$L$247:$L$283)+SUMIF(Summary!$A$297:$A$333,$A3305,Summary!$L$297:$L$333))-AK3305,0)</f>
        <v>6770.4490476191877</v>
      </c>
      <c r="AM3305" s="198"/>
      <c r="AN3305" s="196">
        <f t="shared" ca="1" si="726"/>
        <v>64172.073583053163</v>
      </c>
      <c r="AO3305" s="196">
        <f t="shared" ca="1" si="727"/>
        <v>64106.550890520593</v>
      </c>
    </row>
    <row r="3306" spans="1:41">
      <c r="A3306" s="189">
        <v>12826</v>
      </c>
      <c r="B3306" s="190">
        <v>3</v>
      </c>
      <c r="C3306" s="191" t="s">
        <v>224</v>
      </c>
      <c r="D3306" s="192">
        <f t="shared" si="714"/>
        <v>0</v>
      </c>
      <c r="E3306" s="192">
        <f t="shared" si="715"/>
        <v>0</v>
      </c>
      <c r="F3306" s="192">
        <f t="shared" si="716"/>
        <v>0</v>
      </c>
      <c r="G3306" s="193">
        <f t="shared" si="717"/>
        <v>0</v>
      </c>
      <c r="H3306" s="194">
        <v>0</v>
      </c>
      <c r="I3306" s="194">
        <v>0</v>
      </c>
      <c r="J3306" s="194">
        <v>0</v>
      </c>
      <c r="K3306" s="193">
        <f t="shared" si="718"/>
        <v>0</v>
      </c>
      <c r="L3306" s="194">
        <v>0</v>
      </c>
      <c r="M3306" s="194">
        <v>0</v>
      </c>
      <c r="N3306" s="194">
        <v>0</v>
      </c>
      <c r="O3306" s="193">
        <f t="shared" si="719"/>
        <v>0</v>
      </c>
      <c r="P3306" s="194">
        <v>0</v>
      </c>
      <c r="Q3306" s="194">
        <v>0</v>
      </c>
      <c r="R3306" s="194">
        <v>0</v>
      </c>
      <c r="S3306" s="193">
        <f t="shared" si="720"/>
        <v>0</v>
      </c>
      <c r="T3306" s="193">
        <f t="shared" si="721"/>
        <v>0</v>
      </c>
      <c r="U3306" s="193">
        <f ca="1">OFFSET('Expenditure Study'!$B$7,'Operations Support'!$C3306,'Operations Support'!$B3306)*$G3306</f>
        <v>0</v>
      </c>
      <c r="V3306" s="199">
        <f ca="1">U3306*'Expenditure Study'!$B$31</f>
        <v>0</v>
      </c>
      <c r="W3306" s="199">
        <f ca="1">IF(A3306=10298,1.51,1)*IF($B3306&lt;3,$D3306*'Expenditure Study'!$B$32*OFFSET('Expenditure Study'!$B$7,'Operations Support'!$C3306,'Operations Support'!$B3306),0)</f>
        <v>0</v>
      </c>
      <c r="X3306" s="200">
        <f ca="1">W3306*'Expenditure Study'!$B$31</f>
        <v>0</v>
      </c>
      <c r="Y3306" s="199">
        <f ca="1">U3306*'Expenditure Study'!$B$31</f>
        <v>0</v>
      </c>
      <c r="Z3306" s="200">
        <f ca="1">W3306*'Expenditure Study'!$B$31</f>
        <v>0</v>
      </c>
      <c r="AA3306" s="195">
        <f t="shared" ca="1" si="722"/>
        <v>0</v>
      </c>
      <c r="AB3306" s="195">
        <f t="shared" ca="1" si="723"/>
        <v>0</v>
      </c>
      <c r="AD3306" s="196">
        <f>IFERROR($G3306/SUMIF($A:$A,$A3306,$G:$G)*SUMIF(Summary!$A$166:$A$242,$A3306,Summary!$P$166:$P$242),0)</f>
        <v>0</v>
      </c>
      <c r="AE3306" s="197">
        <f t="shared" ca="1" si="724"/>
        <v>0</v>
      </c>
      <c r="AF3306" s="196">
        <f>IFERROR(G3306/SUMIF(A:A,A3306,G:G)*SUMIF(Summary!$A$166:$A$242,'Operations Support'!A3306,Summary!$Q$166:$Q$242),0)</f>
        <v>0</v>
      </c>
      <c r="AG3306" s="196">
        <f t="shared" ca="1" si="725"/>
        <v>0</v>
      </c>
      <c r="AI3306" s="196">
        <f>IFERROR($G3306/SUMIF($A:$A,$A3306,$G:$G)*SUMIF(Summary!$A$247:$A$283,$A3306,Summary!$P$247:$P$283),0)</f>
        <v>0</v>
      </c>
      <c r="AJ3306" s="196">
        <f>IFERROR($G3306/SUMIF($A:$A,$A3306,$G:$G)*(SUMIF(Summary!$A$247:$A$283,$A3306,Summary!$L$247:$L$283)+SUMIF(Summary!$A$297:$A$333,$A3306,Summary!$L$297:$L$333))-AI3306,0)</f>
        <v>0</v>
      </c>
      <c r="AK3306" s="196">
        <f>IFERROR($G3306/SUMIF($A:$A,$A3306,$G:$G)*SUMIF(Summary!$A$247:$A$283,$A3306,Summary!$Q$247:$Q$283),0)</f>
        <v>0</v>
      </c>
      <c r="AL3306" s="196">
        <f>IFERROR($G3306/SUMIF($A:$A,$A3306,$G:$G)*(SUMIF(Summary!$A$247:$A$283,$A3306,Summary!$L$247:$L$283)+SUMIF(Summary!$A$297:$A$333,$A3306,Summary!$L$297:$L$333))-AK3306,0)</f>
        <v>0</v>
      </c>
      <c r="AM3306" s="198"/>
      <c r="AN3306" s="196">
        <f t="shared" ca="1" si="726"/>
        <v>0</v>
      </c>
      <c r="AO3306" s="196">
        <f t="shared" ca="1" si="727"/>
        <v>0</v>
      </c>
    </row>
    <row r="3307" spans="1:41">
      <c r="A3307" s="189">
        <v>12826</v>
      </c>
      <c r="B3307" s="190">
        <v>3</v>
      </c>
      <c r="C3307" s="191" t="s">
        <v>225</v>
      </c>
      <c r="D3307" s="192">
        <f t="shared" si="714"/>
        <v>303</v>
      </c>
      <c r="E3307" s="192">
        <f t="shared" si="715"/>
        <v>0</v>
      </c>
      <c r="F3307" s="192">
        <f t="shared" si="716"/>
        <v>0</v>
      </c>
      <c r="G3307" s="193">
        <f t="shared" si="717"/>
        <v>303</v>
      </c>
      <c r="H3307" s="194">
        <v>132</v>
      </c>
      <c r="I3307" s="194">
        <v>0</v>
      </c>
      <c r="J3307" s="194">
        <v>0</v>
      </c>
      <c r="K3307" s="193">
        <f t="shared" si="718"/>
        <v>132</v>
      </c>
      <c r="L3307" s="194">
        <v>123</v>
      </c>
      <c r="M3307" s="194">
        <v>0</v>
      </c>
      <c r="N3307" s="194">
        <v>0</v>
      </c>
      <c r="O3307" s="193">
        <f t="shared" si="719"/>
        <v>123</v>
      </c>
      <c r="P3307" s="194">
        <v>48</v>
      </c>
      <c r="Q3307" s="194">
        <v>0</v>
      </c>
      <c r="R3307" s="194">
        <v>0</v>
      </c>
      <c r="S3307" s="193">
        <f t="shared" si="720"/>
        <v>48</v>
      </c>
      <c r="T3307" s="193">
        <f t="shared" si="721"/>
        <v>12.625</v>
      </c>
      <c r="U3307" s="193">
        <f ca="1">OFFSET('Expenditure Study'!$B$7,'Operations Support'!$C3307,'Operations Support'!$B3307)*$G3307</f>
        <v>2093.73</v>
      </c>
      <c r="V3307" s="199">
        <f ca="1">U3307*'Expenditure Study'!$B$31</f>
        <v>123704.228136384</v>
      </c>
      <c r="W3307" s="199">
        <f ca="1">IF(A3307=10298,1.51,1)*IF($B3307&lt;3,$D3307*'Expenditure Study'!$B$32*OFFSET('Expenditure Study'!$B$7,'Operations Support'!$C3307,'Operations Support'!$B3307),0)</f>
        <v>0</v>
      </c>
      <c r="X3307" s="200">
        <f ca="1">W3307*'Expenditure Study'!$B$31</f>
        <v>0</v>
      </c>
      <c r="Y3307" s="199">
        <f ca="1">U3307*'Expenditure Study'!$B$31</f>
        <v>123704.228136384</v>
      </c>
      <c r="Z3307" s="200">
        <f ca="1">W3307*'Expenditure Study'!$B$31</f>
        <v>0</v>
      </c>
      <c r="AA3307" s="195">
        <f t="shared" ca="1" si="722"/>
        <v>123704.228136384</v>
      </c>
      <c r="AB3307" s="195">
        <f t="shared" ca="1" si="723"/>
        <v>123704.228136384</v>
      </c>
      <c r="AD3307" s="196">
        <f>IFERROR($G3307/SUMIF($A:$A,$A3307,$G:$G)*SUMIF(Summary!$A$166:$A$242,$A3307,Summary!$P$166:$P$242),0)</f>
        <v>10825.465164681873</v>
      </c>
      <c r="AE3307" s="197">
        <f t="shared" ca="1" si="724"/>
        <v>112878.76297170213</v>
      </c>
      <c r="AF3307" s="196">
        <f>IFERROR(G3307/SUMIF(A:A,A3307,G:G)*SUMIF(Summary!$A$166:$A$242,'Operations Support'!A3307,Summary!$Q$166:$Q$242),0)</f>
        <v>10853.733007257608</v>
      </c>
      <c r="AG3307" s="196">
        <f t="shared" ca="1" si="725"/>
        <v>112850.49512912639</v>
      </c>
      <c r="AI3307" s="196">
        <f>IFERROR($G3307/SUMIF($A:$A,$A3307,$G:$G)*SUMIF(Summary!$A$247:$A$283,$A3307,Summary!$P$247:$P$283),0)</f>
        <v>1974.2946995661041</v>
      </c>
      <c r="AJ3307" s="196">
        <f>IFERROR($G3307/SUMIF($A:$A,$A3307,$G:$G)*(SUMIF(Summary!$A$247:$A$283,$A3307,Summary!$L$247:$L$283)+SUMIF(Summary!$A$297:$A$333,$A3307,Summary!$L$297:$L$333))-AI3307,0)</f>
        <v>3458.7682470976351</v>
      </c>
      <c r="AK3307" s="196">
        <f>IFERROR($G3307/SUMIF($A:$A,$A3307,$G:$G)*SUMIF(Summary!$A$247:$A$283,$A3307,Summary!$Q$247:$Q$283),0)</f>
        <v>1979.4500486357697</v>
      </c>
      <c r="AL3307" s="196">
        <f>IFERROR($G3307/SUMIF($A:$A,$A3307,$G:$G)*(SUMIF(Summary!$A$247:$A$283,$A3307,Summary!$L$247:$L$283)+SUMIF(Summary!$A$297:$A$333,$A3307,Summary!$L$297:$L$333))-AK3307,0)</f>
        <v>3453.6128980279695</v>
      </c>
      <c r="AM3307" s="198"/>
      <c r="AN3307" s="196">
        <f t="shared" ca="1" si="726"/>
        <v>116337.53121879976</v>
      </c>
      <c r="AO3307" s="196">
        <f t="shared" ca="1" si="727"/>
        <v>116304.10802715436</v>
      </c>
    </row>
    <row r="3308" spans="1:41">
      <c r="A3308" s="189">
        <v>12826</v>
      </c>
      <c r="B3308" s="190">
        <v>3</v>
      </c>
      <c r="C3308" s="191" t="s">
        <v>226</v>
      </c>
      <c r="D3308" s="192">
        <f t="shared" si="714"/>
        <v>0</v>
      </c>
      <c r="E3308" s="192">
        <f t="shared" si="715"/>
        <v>0</v>
      </c>
      <c r="F3308" s="192">
        <f t="shared" si="716"/>
        <v>0</v>
      </c>
      <c r="G3308" s="193">
        <f t="shared" si="717"/>
        <v>0</v>
      </c>
      <c r="H3308" s="194">
        <v>0</v>
      </c>
      <c r="I3308" s="194">
        <v>0</v>
      </c>
      <c r="J3308" s="194">
        <v>0</v>
      </c>
      <c r="K3308" s="193">
        <f t="shared" si="718"/>
        <v>0</v>
      </c>
      <c r="L3308" s="194">
        <v>0</v>
      </c>
      <c r="M3308" s="194">
        <v>0</v>
      </c>
      <c r="N3308" s="194">
        <v>0</v>
      </c>
      <c r="O3308" s="193">
        <f t="shared" si="719"/>
        <v>0</v>
      </c>
      <c r="P3308" s="194">
        <v>0</v>
      </c>
      <c r="Q3308" s="194">
        <v>0</v>
      </c>
      <c r="R3308" s="194">
        <v>0</v>
      </c>
      <c r="S3308" s="193">
        <f t="shared" si="720"/>
        <v>0</v>
      </c>
      <c r="T3308" s="193">
        <f t="shared" si="721"/>
        <v>0</v>
      </c>
      <c r="U3308" s="193">
        <f ca="1">OFFSET('Expenditure Study'!$B$7,'Operations Support'!$C3308,'Operations Support'!$B3308)*$G3308</f>
        <v>0</v>
      </c>
      <c r="V3308" s="199">
        <f ca="1">U3308*'Expenditure Study'!$B$31</f>
        <v>0</v>
      </c>
      <c r="W3308" s="199">
        <f ca="1">IF(A3308=10298,1.51,1)*IF($B3308&lt;3,$D3308*'Expenditure Study'!$B$32*OFFSET('Expenditure Study'!$B$7,'Operations Support'!$C3308,'Operations Support'!$B3308),0)</f>
        <v>0</v>
      </c>
      <c r="X3308" s="200">
        <f ca="1">W3308*'Expenditure Study'!$B$31</f>
        <v>0</v>
      </c>
      <c r="Y3308" s="199">
        <f ca="1">U3308*'Expenditure Study'!$B$31</f>
        <v>0</v>
      </c>
      <c r="Z3308" s="200">
        <f ca="1">W3308*'Expenditure Study'!$B$31</f>
        <v>0</v>
      </c>
      <c r="AA3308" s="195">
        <f t="shared" ca="1" si="722"/>
        <v>0</v>
      </c>
      <c r="AB3308" s="195">
        <f t="shared" ca="1" si="723"/>
        <v>0</v>
      </c>
      <c r="AD3308" s="196">
        <f>IFERROR($G3308/SUMIF($A:$A,$A3308,$G:$G)*SUMIF(Summary!$A$166:$A$242,$A3308,Summary!$P$166:$P$242),0)</f>
        <v>0</v>
      </c>
      <c r="AE3308" s="197">
        <f t="shared" ca="1" si="724"/>
        <v>0</v>
      </c>
      <c r="AF3308" s="196">
        <f>IFERROR(G3308/SUMIF(A:A,A3308,G:G)*SUMIF(Summary!$A$166:$A$242,'Operations Support'!A3308,Summary!$Q$166:$Q$242),0)</f>
        <v>0</v>
      </c>
      <c r="AG3308" s="196">
        <f t="shared" ca="1" si="725"/>
        <v>0</v>
      </c>
      <c r="AI3308" s="196">
        <f>IFERROR($G3308/SUMIF($A:$A,$A3308,$G:$G)*SUMIF(Summary!$A$247:$A$283,$A3308,Summary!$P$247:$P$283),0)</f>
        <v>0</v>
      </c>
      <c r="AJ3308" s="196">
        <f>IFERROR($G3308/SUMIF($A:$A,$A3308,$G:$G)*(SUMIF(Summary!$A$247:$A$283,$A3308,Summary!$L$247:$L$283)+SUMIF(Summary!$A$297:$A$333,$A3308,Summary!$L$297:$L$333))-AI3308,0)</f>
        <v>0</v>
      </c>
      <c r="AK3308" s="196">
        <f>IFERROR($G3308/SUMIF($A:$A,$A3308,$G:$G)*SUMIF(Summary!$A$247:$A$283,$A3308,Summary!$Q$247:$Q$283),0)</f>
        <v>0</v>
      </c>
      <c r="AL3308" s="196">
        <f>IFERROR($G3308/SUMIF($A:$A,$A3308,$G:$G)*(SUMIF(Summary!$A$247:$A$283,$A3308,Summary!$L$247:$L$283)+SUMIF(Summary!$A$297:$A$333,$A3308,Summary!$L$297:$L$333))-AK3308,0)</f>
        <v>0</v>
      </c>
      <c r="AM3308" s="198"/>
      <c r="AN3308" s="196">
        <f t="shared" ca="1" si="726"/>
        <v>0</v>
      </c>
      <c r="AO3308" s="196">
        <f t="shared" ca="1" si="727"/>
        <v>0</v>
      </c>
    </row>
    <row r="3309" spans="1:41">
      <c r="A3309" s="189">
        <v>12826</v>
      </c>
      <c r="B3309" s="190">
        <v>3</v>
      </c>
      <c r="C3309" s="191" t="s">
        <v>227</v>
      </c>
      <c r="D3309" s="192">
        <f t="shared" si="714"/>
        <v>0</v>
      </c>
      <c r="E3309" s="192">
        <f t="shared" si="715"/>
        <v>0</v>
      </c>
      <c r="F3309" s="192">
        <f t="shared" si="716"/>
        <v>0</v>
      </c>
      <c r="G3309" s="193">
        <f t="shared" si="717"/>
        <v>0</v>
      </c>
      <c r="H3309" s="194">
        <v>0</v>
      </c>
      <c r="I3309" s="194">
        <v>0</v>
      </c>
      <c r="J3309" s="194">
        <v>0</v>
      </c>
      <c r="K3309" s="193">
        <f t="shared" si="718"/>
        <v>0</v>
      </c>
      <c r="L3309" s="194">
        <v>0</v>
      </c>
      <c r="M3309" s="194">
        <v>0</v>
      </c>
      <c r="N3309" s="194">
        <v>0</v>
      </c>
      <c r="O3309" s="193">
        <f t="shared" si="719"/>
        <v>0</v>
      </c>
      <c r="P3309" s="194">
        <v>0</v>
      </c>
      <c r="Q3309" s="194">
        <v>0</v>
      </c>
      <c r="R3309" s="194">
        <v>0</v>
      </c>
      <c r="S3309" s="193">
        <f t="shared" si="720"/>
        <v>0</v>
      </c>
      <c r="T3309" s="193">
        <f t="shared" si="721"/>
        <v>0</v>
      </c>
      <c r="U3309" s="193">
        <f ca="1">OFFSET('Expenditure Study'!$B$7,'Operations Support'!$C3309,'Operations Support'!$B3309)*$G3309</f>
        <v>0</v>
      </c>
      <c r="V3309" s="199">
        <f ca="1">U3309*'Expenditure Study'!$B$31</f>
        <v>0</v>
      </c>
      <c r="W3309" s="199">
        <f ca="1">IF(A3309=10298,1.51,1)*IF($B3309&lt;3,$D3309*'Expenditure Study'!$B$32*OFFSET('Expenditure Study'!$B$7,'Operations Support'!$C3309,'Operations Support'!$B3309),0)</f>
        <v>0</v>
      </c>
      <c r="X3309" s="200">
        <f ca="1">W3309*'Expenditure Study'!$B$31</f>
        <v>0</v>
      </c>
      <c r="Y3309" s="199">
        <f ca="1">U3309*'Expenditure Study'!$B$31</f>
        <v>0</v>
      </c>
      <c r="Z3309" s="200">
        <f ca="1">W3309*'Expenditure Study'!$B$31</f>
        <v>0</v>
      </c>
      <c r="AA3309" s="195">
        <f t="shared" ca="1" si="722"/>
        <v>0</v>
      </c>
      <c r="AB3309" s="195">
        <f t="shared" ca="1" si="723"/>
        <v>0</v>
      </c>
      <c r="AD3309" s="196">
        <f>IFERROR($G3309/SUMIF($A:$A,$A3309,$G:$G)*SUMIF(Summary!$A$166:$A$242,$A3309,Summary!$P$166:$P$242),0)</f>
        <v>0</v>
      </c>
      <c r="AE3309" s="197">
        <f t="shared" ca="1" si="724"/>
        <v>0</v>
      </c>
      <c r="AF3309" s="196">
        <f>IFERROR(G3309/SUMIF(A:A,A3309,G:G)*SUMIF(Summary!$A$166:$A$242,'Operations Support'!A3309,Summary!$Q$166:$Q$242),0)</f>
        <v>0</v>
      </c>
      <c r="AG3309" s="196">
        <f t="shared" ca="1" si="725"/>
        <v>0</v>
      </c>
      <c r="AI3309" s="196">
        <f>IFERROR($G3309/SUMIF($A:$A,$A3309,$G:$G)*SUMIF(Summary!$A$247:$A$283,$A3309,Summary!$P$247:$P$283),0)</f>
        <v>0</v>
      </c>
      <c r="AJ3309" s="196">
        <f>IFERROR($G3309/SUMIF($A:$A,$A3309,$G:$G)*(SUMIF(Summary!$A$247:$A$283,$A3309,Summary!$L$247:$L$283)+SUMIF(Summary!$A$297:$A$333,$A3309,Summary!$L$297:$L$333))-AI3309,0)</f>
        <v>0</v>
      </c>
      <c r="AK3309" s="196">
        <f>IFERROR($G3309/SUMIF($A:$A,$A3309,$G:$G)*SUMIF(Summary!$A$247:$A$283,$A3309,Summary!$Q$247:$Q$283),0)</f>
        <v>0</v>
      </c>
      <c r="AL3309" s="196">
        <f>IFERROR($G3309/SUMIF($A:$A,$A3309,$G:$G)*(SUMIF(Summary!$A$247:$A$283,$A3309,Summary!$L$247:$L$283)+SUMIF(Summary!$A$297:$A$333,$A3309,Summary!$L$297:$L$333))-AK3309,0)</f>
        <v>0</v>
      </c>
      <c r="AM3309" s="198"/>
      <c r="AN3309" s="196">
        <f t="shared" ca="1" si="726"/>
        <v>0</v>
      </c>
      <c r="AO3309" s="196">
        <f t="shared" ca="1" si="727"/>
        <v>0</v>
      </c>
    </row>
    <row r="3310" spans="1:41">
      <c r="A3310" s="189">
        <v>12826</v>
      </c>
      <c r="B3310" s="190">
        <v>3</v>
      </c>
      <c r="C3310" s="191" t="s">
        <v>228</v>
      </c>
      <c r="D3310" s="192">
        <f t="shared" si="714"/>
        <v>0</v>
      </c>
      <c r="E3310" s="192">
        <f t="shared" si="715"/>
        <v>0</v>
      </c>
      <c r="F3310" s="192">
        <f t="shared" si="716"/>
        <v>0</v>
      </c>
      <c r="G3310" s="193">
        <f t="shared" si="717"/>
        <v>0</v>
      </c>
      <c r="H3310" s="194">
        <v>0</v>
      </c>
      <c r="I3310" s="194">
        <v>0</v>
      </c>
      <c r="J3310" s="194">
        <v>0</v>
      </c>
      <c r="K3310" s="193">
        <f t="shared" si="718"/>
        <v>0</v>
      </c>
      <c r="L3310" s="194">
        <v>0</v>
      </c>
      <c r="M3310" s="194">
        <v>0</v>
      </c>
      <c r="N3310" s="194">
        <v>0</v>
      </c>
      <c r="O3310" s="193">
        <f t="shared" si="719"/>
        <v>0</v>
      </c>
      <c r="P3310" s="194">
        <v>0</v>
      </c>
      <c r="Q3310" s="194">
        <v>0</v>
      </c>
      <c r="R3310" s="194">
        <v>0</v>
      </c>
      <c r="S3310" s="193">
        <f t="shared" si="720"/>
        <v>0</v>
      </c>
      <c r="T3310" s="193">
        <f t="shared" si="721"/>
        <v>0</v>
      </c>
      <c r="U3310" s="193">
        <f ca="1">OFFSET('Expenditure Study'!$B$7,'Operations Support'!$C3310,'Operations Support'!$B3310)*$G3310</f>
        <v>0</v>
      </c>
      <c r="V3310" s="199">
        <f ca="1">U3310*'Expenditure Study'!$B$31</f>
        <v>0</v>
      </c>
      <c r="W3310" s="199">
        <f ca="1">IF(A3310=10298,1.51,1)*IF($B3310&lt;3,$D3310*'Expenditure Study'!$B$32*OFFSET('Expenditure Study'!$B$7,'Operations Support'!$C3310,'Operations Support'!$B3310),0)</f>
        <v>0</v>
      </c>
      <c r="X3310" s="200">
        <f ca="1">W3310*'Expenditure Study'!$B$31</f>
        <v>0</v>
      </c>
      <c r="Y3310" s="199">
        <f ca="1">U3310*'Expenditure Study'!$B$31</f>
        <v>0</v>
      </c>
      <c r="Z3310" s="200">
        <f ca="1">W3310*'Expenditure Study'!$B$31</f>
        <v>0</v>
      </c>
      <c r="AA3310" s="195">
        <f t="shared" ca="1" si="722"/>
        <v>0</v>
      </c>
      <c r="AB3310" s="195">
        <f t="shared" ca="1" si="723"/>
        <v>0</v>
      </c>
      <c r="AD3310" s="196">
        <f>IFERROR($G3310/SUMIF($A:$A,$A3310,$G:$G)*SUMIF(Summary!$A$166:$A$242,$A3310,Summary!$P$166:$P$242),0)</f>
        <v>0</v>
      </c>
      <c r="AE3310" s="197">
        <f t="shared" ca="1" si="724"/>
        <v>0</v>
      </c>
      <c r="AF3310" s="196">
        <f>IFERROR(G3310/SUMIF(A:A,A3310,G:G)*SUMIF(Summary!$A$166:$A$242,'Operations Support'!A3310,Summary!$Q$166:$Q$242),0)</f>
        <v>0</v>
      </c>
      <c r="AG3310" s="196">
        <f t="shared" ca="1" si="725"/>
        <v>0</v>
      </c>
      <c r="AI3310" s="196">
        <f>IFERROR($G3310/SUMIF($A:$A,$A3310,$G:$G)*SUMIF(Summary!$A$247:$A$283,$A3310,Summary!$P$247:$P$283),0)</f>
        <v>0</v>
      </c>
      <c r="AJ3310" s="196">
        <f>IFERROR($G3310/SUMIF($A:$A,$A3310,$G:$G)*(SUMIF(Summary!$A$247:$A$283,$A3310,Summary!$L$247:$L$283)+SUMIF(Summary!$A$297:$A$333,$A3310,Summary!$L$297:$L$333))-AI3310,0)</f>
        <v>0</v>
      </c>
      <c r="AK3310" s="196">
        <f>IFERROR($G3310/SUMIF($A:$A,$A3310,$G:$G)*SUMIF(Summary!$A$247:$A$283,$A3310,Summary!$Q$247:$Q$283),0)</f>
        <v>0</v>
      </c>
      <c r="AL3310" s="196">
        <f>IFERROR($G3310/SUMIF($A:$A,$A3310,$G:$G)*(SUMIF(Summary!$A$247:$A$283,$A3310,Summary!$L$247:$L$283)+SUMIF(Summary!$A$297:$A$333,$A3310,Summary!$L$297:$L$333))-AK3310,0)</f>
        <v>0</v>
      </c>
      <c r="AM3310" s="198"/>
      <c r="AN3310" s="196">
        <f t="shared" ca="1" si="726"/>
        <v>0</v>
      </c>
      <c r="AO3310" s="196">
        <f t="shared" ca="1" si="727"/>
        <v>0</v>
      </c>
    </row>
    <row r="3311" spans="1:41" s="201" customFormat="1">
      <c r="A3311" s="189">
        <v>12826</v>
      </c>
      <c r="B3311" s="190">
        <v>3</v>
      </c>
      <c r="C3311" s="191" t="s">
        <v>229</v>
      </c>
      <c r="D3311" s="192">
        <f t="shared" si="714"/>
        <v>0</v>
      </c>
      <c r="E3311" s="192">
        <f t="shared" si="715"/>
        <v>0</v>
      </c>
      <c r="F3311" s="192">
        <f t="shared" si="716"/>
        <v>0</v>
      </c>
      <c r="G3311" s="193">
        <f t="shared" si="717"/>
        <v>0</v>
      </c>
      <c r="H3311" s="194">
        <v>0</v>
      </c>
      <c r="I3311" s="194">
        <v>0</v>
      </c>
      <c r="J3311" s="194">
        <v>0</v>
      </c>
      <c r="K3311" s="193">
        <f t="shared" si="718"/>
        <v>0</v>
      </c>
      <c r="L3311" s="194">
        <v>0</v>
      </c>
      <c r="M3311" s="194">
        <v>0</v>
      </c>
      <c r="N3311" s="194">
        <v>0</v>
      </c>
      <c r="O3311" s="193">
        <f t="shared" si="719"/>
        <v>0</v>
      </c>
      <c r="P3311" s="194">
        <v>0</v>
      </c>
      <c r="Q3311" s="194">
        <v>0</v>
      </c>
      <c r="R3311" s="194">
        <v>0</v>
      </c>
      <c r="S3311" s="193">
        <f t="shared" si="720"/>
        <v>0</v>
      </c>
      <c r="T3311" s="193">
        <f t="shared" si="721"/>
        <v>0</v>
      </c>
      <c r="U3311" s="193">
        <f ca="1">OFFSET('Expenditure Study'!$B$7,'Operations Support'!$C3311,'Operations Support'!$B3311)*$G3311</f>
        <v>0</v>
      </c>
      <c r="V3311" s="199">
        <f ca="1">U3311*'Expenditure Study'!$B$31</f>
        <v>0</v>
      </c>
      <c r="W3311" s="199">
        <f ca="1">IF(A3311=10298,1.51,1)*IF($B3311&lt;3,$D3311*'Expenditure Study'!$B$32*OFFSET('Expenditure Study'!$B$7,'Operations Support'!$C3311,'Operations Support'!$B3311),0)</f>
        <v>0</v>
      </c>
      <c r="X3311" s="200">
        <f ca="1">W3311*'Expenditure Study'!$B$31</f>
        <v>0</v>
      </c>
      <c r="Y3311" s="199">
        <f ca="1">U3311*'Expenditure Study'!$B$31</f>
        <v>0</v>
      </c>
      <c r="Z3311" s="200">
        <f ca="1">W3311*'Expenditure Study'!$B$31</f>
        <v>0</v>
      </c>
      <c r="AA3311" s="195">
        <f t="shared" ca="1" si="722"/>
        <v>0</v>
      </c>
      <c r="AB3311" s="195">
        <f t="shared" ca="1" si="723"/>
        <v>0</v>
      </c>
      <c r="AD3311" s="196">
        <f>IFERROR($G3311/SUMIF($A:$A,$A3311,$G:$G)*SUMIF(Summary!$A$166:$A$242,$A3311,Summary!$P$166:$P$242),0)</f>
        <v>0</v>
      </c>
      <c r="AE3311" s="197">
        <f t="shared" ca="1" si="724"/>
        <v>0</v>
      </c>
      <c r="AF3311" s="196">
        <f>IFERROR(G3311/SUMIF(A:A,A3311,G:G)*SUMIF(Summary!$A$166:$A$242,'Operations Support'!A3311,Summary!$Q$166:$Q$242),0)</f>
        <v>0</v>
      </c>
      <c r="AG3311" s="196">
        <f t="shared" ca="1" si="725"/>
        <v>0</v>
      </c>
      <c r="AH3311" s="180"/>
      <c r="AI3311" s="196">
        <f>IFERROR($G3311/SUMIF($A:$A,$A3311,$G:$G)*SUMIF(Summary!$A$247:$A$283,$A3311,Summary!$P$247:$P$283),0)</f>
        <v>0</v>
      </c>
      <c r="AJ3311" s="196">
        <f>IFERROR($G3311/SUMIF($A:$A,$A3311,$G:$G)*(SUMIF(Summary!$A$247:$A$283,$A3311,Summary!$L$247:$L$283)+SUMIF(Summary!$A$297:$A$333,$A3311,Summary!$L$297:$L$333))-AI3311,0)</f>
        <v>0</v>
      </c>
      <c r="AK3311" s="196">
        <f>IFERROR($G3311/SUMIF($A:$A,$A3311,$G:$G)*SUMIF(Summary!$A$247:$A$283,$A3311,Summary!$Q$247:$Q$283),0)</f>
        <v>0</v>
      </c>
      <c r="AL3311" s="196">
        <f>IFERROR($G3311/SUMIF($A:$A,$A3311,$G:$G)*(SUMIF(Summary!$A$247:$A$283,$A3311,Summary!$L$247:$L$283)+SUMIF(Summary!$A$297:$A$333,$A3311,Summary!$L$297:$L$333))-AK3311,0)</f>
        <v>0</v>
      </c>
      <c r="AM3311" s="198"/>
      <c r="AN3311" s="196">
        <f t="shared" ca="1" si="726"/>
        <v>0</v>
      </c>
      <c r="AO3311" s="196">
        <f t="shared" ca="1" si="727"/>
        <v>0</v>
      </c>
    </row>
    <row r="3312" spans="1:41">
      <c r="A3312" s="189">
        <v>12826</v>
      </c>
      <c r="B3312" s="190">
        <v>3</v>
      </c>
      <c r="C3312" s="191" t="s">
        <v>230</v>
      </c>
      <c r="D3312" s="192">
        <f t="shared" si="714"/>
        <v>0</v>
      </c>
      <c r="E3312" s="192">
        <f t="shared" si="715"/>
        <v>0</v>
      </c>
      <c r="F3312" s="192">
        <f t="shared" si="716"/>
        <v>0</v>
      </c>
      <c r="G3312" s="193">
        <f t="shared" si="717"/>
        <v>0</v>
      </c>
      <c r="H3312" s="194">
        <v>0</v>
      </c>
      <c r="I3312" s="194">
        <v>0</v>
      </c>
      <c r="J3312" s="194">
        <v>0</v>
      </c>
      <c r="K3312" s="193">
        <f t="shared" si="718"/>
        <v>0</v>
      </c>
      <c r="L3312" s="194">
        <v>0</v>
      </c>
      <c r="M3312" s="194">
        <v>0</v>
      </c>
      <c r="N3312" s="194">
        <v>0</v>
      </c>
      <c r="O3312" s="193">
        <f t="shared" si="719"/>
        <v>0</v>
      </c>
      <c r="P3312" s="194">
        <v>0</v>
      </c>
      <c r="Q3312" s="194">
        <v>0</v>
      </c>
      <c r="R3312" s="194">
        <v>0</v>
      </c>
      <c r="S3312" s="193">
        <f t="shared" si="720"/>
        <v>0</v>
      </c>
      <c r="T3312" s="193">
        <f t="shared" si="721"/>
        <v>0</v>
      </c>
      <c r="U3312" s="193">
        <f ca="1">OFFSET('Expenditure Study'!$B$7,'Operations Support'!$C3312,'Operations Support'!$B3312)*$G3312</f>
        <v>0</v>
      </c>
      <c r="V3312" s="199">
        <f ca="1">U3312*'Expenditure Study'!$B$31</f>
        <v>0</v>
      </c>
      <c r="W3312" s="199">
        <f ca="1">IF(A3312=10298,1.51,1)*IF($B3312&lt;3,$D3312*'Expenditure Study'!$B$32*OFFSET('Expenditure Study'!$B$7,'Operations Support'!$C3312,'Operations Support'!$B3312),0)</f>
        <v>0</v>
      </c>
      <c r="X3312" s="200">
        <f ca="1">W3312*'Expenditure Study'!$B$31</f>
        <v>0</v>
      </c>
      <c r="Y3312" s="199">
        <f ca="1">U3312*'Expenditure Study'!$B$31</f>
        <v>0</v>
      </c>
      <c r="Z3312" s="200">
        <f ca="1">W3312*'Expenditure Study'!$B$31</f>
        <v>0</v>
      </c>
      <c r="AA3312" s="195">
        <f t="shared" ca="1" si="722"/>
        <v>0</v>
      </c>
      <c r="AB3312" s="195">
        <f t="shared" ca="1" si="723"/>
        <v>0</v>
      </c>
      <c r="AD3312" s="196">
        <f>IFERROR($G3312/SUMIF($A:$A,$A3312,$G:$G)*SUMIF(Summary!$A$166:$A$242,$A3312,Summary!$P$166:$P$242),0)</f>
        <v>0</v>
      </c>
      <c r="AE3312" s="197">
        <f t="shared" ca="1" si="724"/>
        <v>0</v>
      </c>
      <c r="AF3312" s="196">
        <f>IFERROR(G3312/SUMIF(A:A,A3312,G:G)*SUMIF(Summary!$A$166:$A$242,'Operations Support'!A3312,Summary!$Q$166:$Q$242),0)</f>
        <v>0</v>
      </c>
      <c r="AG3312" s="196">
        <f t="shared" ca="1" si="725"/>
        <v>0</v>
      </c>
      <c r="AI3312" s="196">
        <f>IFERROR($G3312/SUMIF($A:$A,$A3312,$G:$G)*SUMIF(Summary!$A$247:$A$283,$A3312,Summary!$P$247:$P$283),0)</f>
        <v>0</v>
      </c>
      <c r="AJ3312" s="196">
        <f>IFERROR($G3312/SUMIF($A:$A,$A3312,$G:$G)*(SUMIF(Summary!$A$247:$A$283,$A3312,Summary!$L$247:$L$283)+SUMIF(Summary!$A$297:$A$333,$A3312,Summary!$L$297:$L$333))-AI3312,0)</f>
        <v>0</v>
      </c>
      <c r="AK3312" s="196">
        <f>IFERROR($G3312/SUMIF($A:$A,$A3312,$G:$G)*SUMIF(Summary!$A$247:$A$283,$A3312,Summary!$Q$247:$Q$283),0)</f>
        <v>0</v>
      </c>
      <c r="AL3312" s="196">
        <f>IFERROR($G3312/SUMIF($A:$A,$A3312,$G:$G)*(SUMIF(Summary!$A$247:$A$283,$A3312,Summary!$L$247:$L$283)+SUMIF(Summary!$A$297:$A$333,$A3312,Summary!$L$297:$L$333))-AK3312,0)</f>
        <v>0</v>
      </c>
      <c r="AM3312" s="198"/>
      <c r="AN3312" s="196">
        <f t="shared" ca="1" si="726"/>
        <v>0</v>
      </c>
      <c r="AO3312" s="196">
        <f t="shared" ca="1" si="727"/>
        <v>0</v>
      </c>
    </row>
    <row r="3313" spans="1:41">
      <c r="A3313" s="189">
        <v>12826</v>
      </c>
      <c r="B3313" s="190">
        <v>3</v>
      </c>
      <c r="C3313" s="191" t="s">
        <v>231</v>
      </c>
      <c r="D3313" s="192">
        <f t="shared" si="714"/>
        <v>0</v>
      </c>
      <c r="E3313" s="192">
        <f t="shared" si="715"/>
        <v>0</v>
      </c>
      <c r="F3313" s="192">
        <f t="shared" si="716"/>
        <v>0</v>
      </c>
      <c r="G3313" s="193">
        <f t="shared" si="717"/>
        <v>0</v>
      </c>
      <c r="H3313" s="194">
        <v>0</v>
      </c>
      <c r="I3313" s="194">
        <v>0</v>
      </c>
      <c r="J3313" s="194">
        <v>0</v>
      </c>
      <c r="K3313" s="193">
        <f t="shared" si="718"/>
        <v>0</v>
      </c>
      <c r="L3313" s="194">
        <v>0</v>
      </c>
      <c r="M3313" s="194">
        <v>0</v>
      </c>
      <c r="N3313" s="194">
        <v>0</v>
      </c>
      <c r="O3313" s="193">
        <f t="shared" si="719"/>
        <v>0</v>
      </c>
      <c r="P3313" s="194">
        <v>0</v>
      </c>
      <c r="Q3313" s="194">
        <v>0</v>
      </c>
      <c r="R3313" s="194">
        <v>0</v>
      </c>
      <c r="S3313" s="193">
        <f t="shared" si="720"/>
        <v>0</v>
      </c>
      <c r="T3313" s="193">
        <f t="shared" si="721"/>
        <v>0</v>
      </c>
      <c r="U3313" s="193">
        <f ca="1">OFFSET('Expenditure Study'!$B$7,'Operations Support'!$C3313,'Operations Support'!$B3313)*$G3313</f>
        <v>0</v>
      </c>
      <c r="V3313" s="199">
        <f ca="1">U3313*'Expenditure Study'!$B$31</f>
        <v>0</v>
      </c>
      <c r="W3313" s="199">
        <f ca="1">IF(A3313=10298,1.51,1)*IF($B3313&lt;3,$D3313*'Expenditure Study'!$B$32*OFFSET('Expenditure Study'!$B$7,'Operations Support'!$C3313,'Operations Support'!$B3313),0)</f>
        <v>0</v>
      </c>
      <c r="X3313" s="200">
        <f ca="1">W3313*'Expenditure Study'!$B$31</f>
        <v>0</v>
      </c>
      <c r="Y3313" s="199">
        <f ca="1">U3313*'Expenditure Study'!$B$31</f>
        <v>0</v>
      </c>
      <c r="Z3313" s="200">
        <f ca="1">W3313*'Expenditure Study'!$B$31</f>
        <v>0</v>
      </c>
      <c r="AA3313" s="195">
        <f t="shared" ca="1" si="722"/>
        <v>0</v>
      </c>
      <c r="AB3313" s="195">
        <f t="shared" ca="1" si="723"/>
        <v>0</v>
      </c>
      <c r="AD3313" s="196">
        <f>IFERROR($G3313/SUMIF($A:$A,$A3313,$G:$G)*SUMIF(Summary!$A$166:$A$242,$A3313,Summary!$P$166:$P$242),0)</f>
        <v>0</v>
      </c>
      <c r="AE3313" s="197">
        <f t="shared" ca="1" si="724"/>
        <v>0</v>
      </c>
      <c r="AF3313" s="196">
        <f>IFERROR(G3313/SUMIF(A:A,A3313,G:G)*SUMIF(Summary!$A$166:$A$242,'Operations Support'!A3313,Summary!$Q$166:$Q$242),0)</f>
        <v>0</v>
      </c>
      <c r="AG3313" s="196">
        <f t="shared" ca="1" si="725"/>
        <v>0</v>
      </c>
      <c r="AI3313" s="196">
        <f>IFERROR($G3313/SUMIF($A:$A,$A3313,$G:$G)*SUMIF(Summary!$A$247:$A$283,$A3313,Summary!$P$247:$P$283),0)</f>
        <v>0</v>
      </c>
      <c r="AJ3313" s="196">
        <f>IFERROR($G3313/SUMIF($A:$A,$A3313,$G:$G)*(SUMIF(Summary!$A$247:$A$283,$A3313,Summary!$L$247:$L$283)+SUMIF(Summary!$A$297:$A$333,$A3313,Summary!$L$297:$L$333))-AI3313,0)</f>
        <v>0</v>
      </c>
      <c r="AK3313" s="196">
        <f>IFERROR($G3313/SUMIF($A:$A,$A3313,$G:$G)*SUMIF(Summary!$A$247:$A$283,$A3313,Summary!$Q$247:$Q$283),0)</f>
        <v>0</v>
      </c>
      <c r="AL3313" s="196">
        <f>IFERROR($G3313/SUMIF($A:$A,$A3313,$G:$G)*(SUMIF(Summary!$A$247:$A$283,$A3313,Summary!$L$247:$L$283)+SUMIF(Summary!$A$297:$A$333,$A3313,Summary!$L$297:$L$333))-AK3313,0)</f>
        <v>0</v>
      </c>
      <c r="AM3313" s="198"/>
      <c r="AN3313" s="196">
        <f t="shared" ca="1" si="726"/>
        <v>0</v>
      </c>
      <c r="AO3313" s="196">
        <f t="shared" ca="1" si="727"/>
        <v>0</v>
      </c>
    </row>
    <row r="3314" spans="1:41">
      <c r="A3314" s="189">
        <v>12826</v>
      </c>
      <c r="B3314" s="190">
        <v>3</v>
      </c>
      <c r="C3314" s="191" t="s">
        <v>232</v>
      </c>
      <c r="D3314" s="192">
        <f t="shared" si="714"/>
        <v>0</v>
      </c>
      <c r="E3314" s="192">
        <f t="shared" si="715"/>
        <v>0</v>
      </c>
      <c r="F3314" s="192">
        <f t="shared" si="716"/>
        <v>0</v>
      </c>
      <c r="G3314" s="193">
        <f t="shared" si="717"/>
        <v>0</v>
      </c>
      <c r="H3314" s="194">
        <v>0</v>
      </c>
      <c r="I3314" s="194">
        <v>0</v>
      </c>
      <c r="J3314" s="194">
        <v>0</v>
      </c>
      <c r="K3314" s="193">
        <f t="shared" si="718"/>
        <v>0</v>
      </c>
      <c r="L3314" s="194">
        <v>0</v>
      </c>
      <c r="M3314" s="194">
        <v>0</v>
      </c>
      <c r="N3314" s="194">
        <v>0</v>
      </c>
      <c r="O3314" s="193">
        <f t="shared" si="719"/>
        <v>0</v>
      </c>
      <c r="P3314" s="194">
        <v>0</v>
      </c>
      <c r="Q3314" s="194">
        <v>0</v>
      </c>
      <c r="R3314" s="194">
        <v>0</v>
      </c>
      <c r="S3314" s="193">
        <f t="shared" si="720"/>
        <v>0</v>
      </c>
      <c r="T3314" s="193">
        <f t="shared" si="721"/>
        <v>0</v>
      </c>
      <c r="U3314" s="193">
        <f ca="1">OFFSET('Expenditure Study'!$B$7,'Operations Support'!$C3314,'Operations Support'!$B3314)*$G3314</f>
        <v>0</v>
      </c>
      <c r="V3314" s="199">
        <f ca="1">U3314*'Expenditure Study'!$B$31</f>
        <v>0</v>
      </c>
      <c r="W3314" s="199">
        <f ca="1">IF(A3314=10298,1.51,1)*IF($B3314&lt;3,$D3314*'Expenditure Study'!$B$32*OFFSET('Expenditure Study'!$B$7,'Operations Support'!$C3314,'Operations Support'!$B3314),0)</f>
        <v>0</v>
      </c>
      <c r="X3314" s="200">
        <f ca="1">W3314*'Expenditure Study'!$B$31</f>
        <v>0</v>
      </c>
      <c r="Y3314" s="199">
        <f ca="1">U3314*'Expenditure Study'!$B$31</f>
        <v>0</v>
      </c>
      <c r="Z3314" s="200">
        <f ca="1">W3314*'Expenditure Study'!$B$31</f>
        <v>0</v>
      </c>
      <c r="AA3314" s="195">
        <f t="shared" ca="1" si="722"/>
        <v>0</v>
      </c>
      <c r="AB3314" s="195">
        <f t="shared" ca="1" si="723"/>
        <v>0</v>
      </c>
      <c r="AD3314" s="196">
        <f>IFERROR($G3314/SUMIF($A:$A,$A3314,$G:$G)*SUMIF(Summary!$A$166:$A$242,$A3314,Summary!$P$166:$P$242),0)</f>
        <v>0</v>
      </c>
      <c r="AE3314" s="197">
        <f t="shared" ca="1" si="724"/>
        <v>0</v>
      </c>
      <c r="AF3314" s="196">
        <f>IFERROR(G3314/SUMIF(A:A,A3314,G:G)*SUMIF(Summary!$A$166:$A$242,'Operations Support'!A3314,Summary!$Q$166:$Q$242),0)</f>
        <v>0</v>
      </c>
      <c r="AG3314" s="196">
        <f t="shared" ca="1" si="725"/>
        <v>0</v>
      </c>
      <c r="AI3314" s="196">
        <f>IFERROR($G3314/SUMIF($A:$A,$A3314,$G:$G)*SUMIF(Summary!$A$247:$A$283,$A3314,Summary!$P$247:$P$283),0)</f>
        <v>0</v>
      </c>
      <c r="AJ3314" s="196">
        <f>IFERROR($G3314/SUMIF($A:$A,$A3314,$G:$G)*(SUMIF(Summary!$A$247:$A$283,$A3314,Summary!$L$247:$L$283)+SUMIF(Summary!$A$297:$A$333,$A3314,Summary!$L$297:$L$333))-AI3314,0)</f>
        <v>0</v>
      </c>
      <c r="AK3314" s="196">
        <f>IFERROR($G3314/SUMIF($A:$A,$A3314,$G:$G)*SUMIF(Summary!$A$247:$A$283,$A3314,Summary!$Q$247:$Q$283),0)</f>
        <v>0</v>
      </c>
      <c r="AL3314" s="196">
        <f>IFERROR($G3314/SUMIF($A:$A,$A3314,$G:$G)*(SUMIF(Summary!$A$247:$A$283,$A3314,Summary!$L$247:$L$283)+SUMIF(Summary!$A$297:$A$333,$A3314,Summary!$L$297:$L$333))-AK3314,0)</f>
        <v>0</v>
      </c>
      <c r="AM3314" s="198"/>
      <c r="AN3314" s="196">
        <f t="shared" ca="1" si="726"/>
        <v>0</v>
      </c>
      <c r="AO3314" s="196">
        <f t="shared" ca="1" si="727"/>
        <v>0</v>
      </c>
    </row>
    <row r="3315" spans="1:41">
      <c r="A3315" s="189">
        <v>12826</v>
      </c>
      <c r="B3315" s="190">
        <v>3</v>
      </c>
      <c r="C3315" s="191" t="s">
        <v>233</v>
      </c>
      <c r="D3315" s="192">
        <f t="shared" si="714"/>
        <v>0</v>
      </c>
      <c r="E3315" s="192">
        <f t="shared" si="715"/>
        <v>0</v>
      </c>
      <c r="F3315" s="192">
        <f t="shared" si="716"/>
        <v>0</v>
      </c>
      <c r="G3315" s="193">
        <f t="shared" si="717"/>
        <v>0</v>
      </c>
      <c r="H3315" s="194">
        <v>0</v>
      </c>
      <c r="I3315" s="194">
        <v>0</v>
      </c>
      <c r="J3315" s="194">
        <v>0</v>
      </c>
      <c r="K3315" s="193">
        <f t="shared" si="718"/>
        <v>0</v>
      </c>
      <c r="L3315" s="194">
        <v>0</v>
      </c>
      <c r="M3315" s="194">
        <v>0</v>
      </c>
      <c r="N3315" s="194">
        <v>0</v>
      </c>
      <c r="O3315" s="193">
        <f t="shared" si="719"/>
        <v>0</v>
      </c>
      <c r="P3315" s="194">
        <v>0</v>
      </c>
      <c r="Q3315" s="194">
        <v>0</v>
      </c>
      <c r="R3315" s="194">
        <v>0</v>
      </c>
      <c r="S3315" s="193">
        <f t="shared" si="720"/>
        <v>0</v>
      </c>
      <c r="T3315" s="193">
        <f t="shared" si="721"/>
        <v>0</v>
      </c>
      <c r="U3315" s="193">
        <f ca="1">OFFSET('Expenditure Study'!$B$7,'Operations Support'!$C3315,'Operations Support'!$B3315)*$G3315</f>
        <v>0</v>
      </c>
      <c r="V3315" s="199">
        <f ca="1">U3315*'Expenditure Study'!$B$31</f>
        <v>0</v>
      </c>
      <c r="W3315" s="199">
        <f ca="1">IF(A3315=10298,1.51,1)*IF($B3315&lt;3,$D3315*'Expenditure Study'!$B$32*OFFSET('Expenditure Study'!$B$7,'Operations Support'!$C3315,'Operations Support'!$B3315),0)</f>
        <v>0</v>
      </c>
      <c r="X3315" s="200">
        <f ca="1">W3315*'Expenditure Study'!$B$31</f>
        <v>0</v>
      </c>
      <c r="Y3315" s="199">
        <f ca="1">U3315*'Expenditure Study'!$B$31</f>
        <v>0</v>
      </c>
      <c r="Z3315" s="200">
        <f ca="1">W3315*'Expenditure Study'!$B$31</f>
        <v>0</v>
      </c>
      <c r="AA3315" s="195">
        <f t="shared" ca="1" si="722"/>
        <v>0</v>
      </c>
      <c r="AB3315" s="195">
        <f t="shared" ca="1" si="723"/>
        <v>0</v>
      </c>
      <c r="AD3315" s="196">
        <f>IFERROR($G3315/SUMIF($A:$A,$A3315,$G:$G)*SUMIF(Summary!$A$166:$A$242,$A3315,Summary!$P$166:$P$242),0)</f>
        <v>0</v>
      </c>
      <c r="AE3315" s="197">
        <f t="shared" ca="1" si="724"/>
        <v>0</v>
      </c>
      <c r="AF3315" s="196">
        <f>IFERROR(G3315/SUMIF(A:A,A3315,G:G)*SUMIF(Summary!$A$166:$A$242,'Operations Support'!A3315,Summary!$Q$166:$Q$242),0)</f>
        <v>0</v>
      </c>
      <c r="AG3315" s="196">
        <f t="shared" ca="1" si="725"/>
        <v>0</v>
      </c>
      <c r="AI3315" s="196">
        <f>IFERROR($G3315/SUMIF($A:$A,$A3315,$G:$G)*SUMIF(Summary!$A$247:$A$283,$A3315,Summary!$P$247:$P$283),0)</f>
        <v>0</v>
      </c>
      <c r="AJ3315" s="196">
        <f>IFERROR($G3315/SUMIF($A:$A,$A3315,$G:$G)*(SUMIF(Summary!$A$247:$A$283,$A3315,Summary!$L$247:$L$283)+SUMIF(Summary!$A$297:$A$333,$A3315,Summary!$L$297:$L$333))-AI3315,0)</f>
        <v>0</v>
      </c>
      <c r="AK3315" s="196">
        <f>IFERROR($G3315/SUMIF($A:$A,$A3315,$G:$G)*SUMIF(Summary!$A$247:$A$283,$A3315,Summary!$Q$247:$Q$283),0)</f>
        <v>0</v>
      </c>
      <c r="AL3315" s="196">
        <f>IFERROR($G3315/SUMIF($A:$A,$A3315,$G:$G)*(SUMIF(Summary!$A$247:$A$283,$A3315,Summary!$L$247:$L$283)+SUMIF(Summary!$A$297:$A$333,$A3315,Summary!$L$297:$L$333))-AK3315,0)</f>
        <v>0</v>
      </c>
      <c r="AM3315" s="198"/>
      <c r="AN3315" s="196">
        <f t="shared" ca="1" si="726"/>
        <v>0</v>
      </c>
      <c r="AO3315" s="196">
        <f t="shared" ca="1" si="727"/>
        <v>0</v>
      </c>
    </row>
    <row r="3316" spans="1:41">
      <c r="A3316" s="189">
        <v>12826</v>
      </c>
      <c r="B3316" s="190">
        <v>3</v>
      </c>
      <c r="C3316" s="191" t="s">
        <v>234</v>
      </c>
      <c r="D3316" s="192">
        <f t="shared" si="714"/>
        <v>0</v>
      </c>
      <c r="E3316" s="192">
        <f t="shared" si="715"/>
        <v>0</v>
      </c>
      <c r="F3316" s="192">
        <f t="shared" si="716"/>
        <v>0</v>
      </c>
      <c r="G3316" s="193">
        <f t="shared" si="717"/>
        <v>0</v>
      </c>
      <c r="H3316" s="194">
        <v>0</v>
      </c>
      <c r="I3316" s="194">
        <v>0</v>
      </c>
      <c r="J3316" s="194">
        <v>0</v>
      </c>
      <c r="K3316" s="193">
        <f t="shared" si="718"/>
        <v>0</v>
      </c>
      <c r="L3316" s="194">
        <v>0</v>
      </c>
      <c r="M3316" s="194">
        <v>0</v>
      </c>
      <c r="N3316" s="194">
        <v>0</v>
      </c>
      <c r="O3316" s="193">
        <f t="shared" si="719"/>
        <v>0</v>
      </c>
      <c r="P3316" s="194">
        <v>0</v>
      </c>
      <c r="Q3316" s="194">
        <v>0</v>
      </c>
      <c r="R3316" s="194">
        <v>0</v>
      </c>
      <c r="S3316" s="193">
        <f t="shared" si="720"/>
        <v>0</v>
      </c>
      <c r="T3316" s="193">
        <f t="shared" si="721"/>
        <v>0</v>
      </c>
      <c r="U3316" s="193">
        <f ca="1">OFFSET('Expenditure Study'!$B$7,'Operations Support'!$C3316,'Operations Support'!$B3316)*$G3316</f>
        <v>0</v>
      </c>
      <c r="V3316" s="199">
        <f ca="1">U3316*'Expenditure Study'!$B$31</f>
        <v>0</v>
      </c>
      <c r="W3316" s="199">
        <f ca="1">IF(A3316=10298,1.51,1)*IF($B3316&lt;3,$D3316*'Expenditure Study'!$B$32*OFFSET('Expenditure Study'!$B$7,'Operations Support'!$C3316,'Operations Support'!$B3316),0)</f>
        <v>0</v>
      </c>
      <c r="X3316" s="200">
        <f ca="1">W3316*'Expenditure Study'!$B$31</f>
        <v>0</v>
      </c>
      <c r="Y3316" s="199">
        <f ca="1">U3316*'Expenditure Study'!$B$31</f>
        <v>0</v>
      </c>
      <c r="Z3316" s="200">
        <f ca="1">W3316*'Expenditure Study'!$B$31</f>
        <v>0</v>
      </c>
      <c r="AA3316" s="195">
        <f t="shared" ca="1" si="722"/>
        <v>0</v>
      </c>
      <c r="AB3316" s="195">
        <f t="shared" ca="1" si="723"/>
        <v>0</v>
      </c>
      <c r="AD3316" s="196">
        <f>IFERROR($G3316/SUMIF($A:$A,$A3316,$G:$G)*SUMIF(Summary!$A$166:$A$242,$A3316,Summary!$P$166:$P$242),0)</f>
        <v>0</v>
      </c>
      <c r="AE3316" s="197">
        <f t="shared" ca="1" si="724"/>
        <v>0</v>
      </c>
      <c r="AF3316" s="196">
        <f>IFERROR(G3316/SUMIF(A:A,A3316,G:G)*SUMIF(Summary!$A$166:$A$242,'Operations Support'!A3316,Summary!$Q$166:$Q$242),0)</f>
        <v>0</v>
      </c>
      <c r="AG3316" s="196">
        <f t="shared" ca="1" si="725"/>
        <v>0</v>
      </c>
      <c r="AI3316" s="196">
        <f>IFERROR($G3316/SUMIF($A:$A,$A3316,$G:$G)*SUMIF(Summary!$A$247:$A$283,$A3316,Summary!$P$247:$P$283),0)</f>
        <v>0</v>
      </c>
      <c r="AJ3316" s="196">
        <f>IFERROR($G3316/SUMIF($A:$A,$A3316,$G:$G)*(SUMIF(Summary!$A$247:$A$283,$A3316,Summary!$L$247:$L$283)+SUMIF(Summary!$A$297:$A$333,$A3316,Summary!$L$297:$L$333))-AI3316,0)</f>
        <v>0</v>
      </c>
      <c r="AK3316" s="196">
        <f>IFERROR($G3316/SUMIF($A:$A,$A3316,$G:$G)*SUMIF(Summary!$A$247:$A$283,$A3316,Summary!$Q$247:$Q$283),0)</f>
        <v>0</v>
      </c>
      <c r="AL3316" s="196">
        <f>IFERROR($G3316/SUMIF($A:$A,$A3316,$G:$G)*(SUMIF(Summary!$A$247:$A$283,$A3316,Summary!$L$247:$L$283)+SUMIF(Summary!$A$297:$A$333,$A3316,Summary!$L$297:$L$333))-AK3316,0)</f>
        <v>0</v>
      </c>
      <c r="AM3316" s="198"/>
      <c r="AN3316" s="196">
        <f t="shared" ca="1" si="726"/>
        <v>0</v>
      </c>
      <c r="AO3316" s="196">
        <f t="shared" ca="1" si="727"/>
        <v>0</v>
      </c>
    </row>
    <row r="3317" spans="1:41">
      <c r="A3317" s="189">
        <v>12826</v>
      </c>
      <c r="B3317" s="190">
        <v>3</v>
      </c>
      <c r="C3317" s="191" t="s">
        <v>235</v>
      </c>
      <c r="D3317" s="192">
        <f t="shared" si="714"/>
        <v>9409.5</v>
      </c>
      <c r="E3317" s="192">
        <f t="shared" si="715"/>
        <v>8836.5</v>
      </c>
      <c r="F3317" s="192">
        <f t="shared" si="716"/>
        <v>0</v>
      </c>
      <c r="G3317" s="193">
        <f t="shared" si="717"/>
        <v>18246</v>
      </c>
      <c r="H3317" s="194">
        <v>3314</v>
      </c>
      <c r="I3317" s="194">
        <v>2938</v>
      </c>
      <c r="J3317" s="194">
        <v>0</v>
      </c>
      <c r="K3317" s="193">
        <f t="shared" si="718"/>
        <v>6252</v>
      </c>
      <c r="L3317" s="194">
        <v>1857</v>
      </c>
      <c r="M3317" s="194">
        <v>2072</v>
      </c>
      <c r="N3317" s="194">
        <v>0</v>
      </c>
      <c r="O3317" s="193">
        <f t="shared" si="719"/>
        <v>3929</v>
      </c>
      <c r="P3317" s="194">
        <v>4238.5</v>
      </c>
      <c r="Q3317" s="194">
        <v>3826.5</v>
      </c>
      <c r="R3317" s="194">
        <v>0</v>
      </c>
      <c r="S3317" s="193">
        <f t="shared" si="720"/>
        <v>8065</v>
      </c>
      <c r="T3317" s="193">
        <f t="shared" si="721"/>
        <v>760.25</v>
      </c>
      <c r="U3317" s="193">
        <f ca="1">OFFSET('Expenditure Study'!$B$7,'Operations Support'!$C3317,'Operations Support'!$B3317)*$G3317</f>
        <v>57657.36</v>
      </c>
      <c r="V3317" s="199">
        <f ca="1">U3317*'Expenditure Study'!$B$31</f>
        <v>3406580.2253306881</v>
      </c>
      <c r="W3317" s="199">
        <f ca="1">IF(A3317=10298,1.51,1)*IF($B3317&lt;3,$D3317*'Expenditure Study'!$B$32*OFFSET('Expenditure Study'!$B$7,'Operations Support'!$C3317,'Operations Support'!$B3317),0)</f>
        <v>0</v>
      </c>
      <c r="X3317" s="200">
        <f ca="1">W3317*'Expenditure Study'!$B$31</f>
        <v>0</v>
      </c>
      <c r="Y3317" s="199">
        <f ca="1">U3317*'Expenditure Study'!$B$31</f>
        <v>3406580.2253306881</v>
      </c>
      <c r="Z3317" s="200">
        <f ca="1">W3317*'Expenditure Study'!$B$31</f>
        <v>0</v>
      </c>
      <c r="AA3317" s="195">
        <f t="shared" ca="1" si="722"/>
        <v>3406580.2253306881</v>
      </c>
      <c r="AB3317" s="195">
        <f t="shared" ca="1" si="723"/>
        <v>3406580.2253306881</v>
      </c>
      <c r="AD3317" s="196">
        <f>IFERROR($G3317/SUMIF($A:$A,$A3317,$G:$G)*SUMIF(Summary!$A$166:$A$242,$A3317,Summary!$P$166:$P$242),0)</f>
        <v>651885.93199599162</v>
      </c>
      <c r="AE3317" s="197">
        <f t="shared" ca="1" si="724"/>
        <v>2754694.2933346964</v>
      </c>
      <c r="AF3317" s="196">
        <f>IFERROR(G3317/SUMIF(A:A,A3317,G:G)*SUMIF(Summary!$A$166:$A$242,'Operations Support'!A3317,Summary!$Q$166:$Q$242),0)</f>
        <v>653588.15990238392</v>
      </c>
      <c r="AG3317" s="196">
        <f t="shared" ca="1" si="725"/>
        <v>2752992.065428304</v>
      </c>
      <c r="AI3317" s="196">
        <f>IFERROR($G3317/SUMIF($A:$A,$A3317,$G:$G)*SUMIF(Summary!$A$247:$A$283,$A3317,Summary!$P$247:$P$283),0)</f>
        <v>118887.72636397075</v>
      </c>
      <c r="AJ3317" s="196">
        <f>IFERROR($G3317/SUMIF($A:$A,$A3317,$G:$G)*(SUMIF(Summary!$A$247:$A$283,$A3317,Summary!$L$247:$L$283)+SUMIF(Summary!$A$297:$A$333,$A3317,Summary!$L$297:$L$333))-AI3317,0)</f>
        <v>208279.48988958236</v>
      </c>
      <c r="AK3317" s="196">
        <f>IFERROR($G3317/SUMIF($A:$A,$A3317,$G:$G)*SUMIF(Summary!$A$247:$A$283,$A3317,Summary!$Q$247:$Q$283),0)</f>
        <v>119198.1702554728</v>
      </c>
      <c r="AL3317" s="196">
        <f>IFERROR($G3317/SUMIF($A:$A,$A3317,$G:$G)*(SUMIF(Summary!$A$247:$A$283,$A3317,Summary!$L$247:$L$283)+SUMIF(Summary!$A$297:$A$333,$A3317,Summary!$L$297:$L$333))-AK3317,0)</f>
        <v>207969.04599808031</v>
      </c>
      <c r="AM3317" s="198"/>
      <c r="AN3317" s="196">
        <f t="shared" ca="1" si="726"/>
        <v>2962973.7832242786</v>
      </c>
      <c r="AO3317" s="196">
        <f t="shared" ca="1" si="727"/>
        <v>2960961.1114263842</v>
      </c>
    </row>
    <row r="3318" spans="1:41">
      <c r="A3318" s="189">
        <v>12826</v>
      </c>
      <c r="B3318" s="190">
        <v>3</v>
      </c>
      <c r="C3318" s="191" t="s">
        <v>236</v>
      </c>
      <c r="D3318" s="192">
        <f t="shared" si="714"/>
        <v>0</v>
      </c>
      <c r="E3318" s="192">
        <f t="shared" si="715"/>
        <v>0</v>
      </c>
      <c r="F3318" s="192">
        <f t="shared" si="716"/>
        <v>0</v>
      </c>
      <c r="G3318" s="193">
        <f t="shared" si="717"/>
        <v>0</v>
      </c>
      <c r="H3318" s="194">
        <v>0</v>
      </c>
      <c r="I3318" s="194">
        <v>0</v>
      </c>
      <c r="J3318" s="194">
        <v>0</v>
      </c>
      <c r="K3318" s="193">
        <f t="shared" si="718"/>
        <v>0</v>
      </c>
      <c r="L3318" s="194">
        <v>0</v>
      </c>
      <c r="M3318" s="194">
        <v>0</v>
      </c>
      <c r="N3318" s="194">
        <v>0</v>
      </c>
      <c r="O3318" s="193">
        <f t="shared" si="719"/>
        <v>0</v>
      </c>
      <c r="P3318" s="194">
        <v>0</v>
      </c>
      <c r="Q3318" s="194">
        <v>0</v>
      </c>
      <c r="R3318" s="194">
        <v>0</v>
      </c>
      <c r="S3318" s="193">
        <f t="shared" si="720"/>
        <v>0</v>
      </c>
      <c r="T3318" s="193">
        <f t="shared" si="721"/>
        <v>0</v>
      </c>
      <c r="U3318" s="193">
        <f ca="1">OFFSET('Expenditure Study'!$B$7,'Operations Support'!$C3318,'Operations Support'!$B3318)*$G3318</f>
        <v>0</v>
      </c>
      <c r="V3318" s="199">
        <f ca="1">U3318*'Expenditure Study'!$B$31</f>
        <v>0</v>
      </c>
      <c r="W3318" s="199">
        <f ca="1">IF(A3318=10298,1.51,1)*IF($B3318&lt;3,$D3318*'Expenditure Study'!$B$32*OFFSET('Expenditure Study'!$B$7,'Operations Support'!$C3318,'Operations Support'!$B3318),0)</f>
        <v>0</v>
      </c>
      <c r="X3318" s="200">
        <f ca="1">W3318*'Expenditure Study'!$B$31</f>
        <v>0</v>
      </c>
      <c r="Y3318" s="199">
        <f ca="1">U3318*'Expenditure Study'!$B$31</f>
        <v>0</v>
      </c>
      <c r="Z3318" s="200">
        <f ca="1">W3318*'Expenditure Study'!$B$31</f>
        <v>0</v>
      </c>
      <c r="AA3318" s="195">
        <f t="shared" ca="1" si="722"/>
        <v>0</v>
      </c>
      <c r="AB3318" s="195">
        <f t="shared" ca="1" si="723"/>
        <v>0</v>
      </c>
      <c r="AD3318" s="196">
        <f>IFERROR($G3318/SUMIF($A:$A,$A3318,$G:$G)*SUMIF(Summary!$A$166:$A$242,$A3318,Summary!$P$166:$P$242),0)</f>
        <v>0</v>
      </c>
      <c r="AE3318" s="197">
        <f t="shared" ca="1" si="724"/>
        <v>0</v>
      </c>
      <c r="AF3318" s="196">
        <f>IFERROR(G3318/SUMIF(A:A,A3318,G:G)*SUMIF(Summary!$A$166:$A$242,'Operations Support'!A3318,Summary!$Q$166:$Q$242),0)</f>
        <v>0</v>
      </c>
      <c r="AG3318" s="196">
        <f t="shared" ca="1" si="725"/>
        <v>0</v>
      </c>
      <c r="AI3318" s="196">
        <f>IFERROR($G3318/SUMIF($A:$A,$A3318,$G:$G)*SUMIF(Summary!$A$247:$A$283,$A3318,Summary!$P$247:$P$283),0)</f>
        <v>0</v>
      </c>
      <c r="AJ3318" s="196">
        <f>IFERROR($G3318/SUMIF($A:$A,$A3318,$G:$G)*(SUMIF(Summary!$A$247:$A$283,$A3318,Summary!$L$247:$L$283)+SUMIF(Summary!$A$297:$A$333,$A3318,Summary!$L$297:$L$333))-AI3318,0)</f>
        <v>0</v>
      </c>
      <c r="AK3318" s="196">
        <f>IFERROR($G3318/SUMIF($A:$A,$A3318,$G:$G)*SUMIF(Summary!$A$247:$A$283,$A3318,Summary!$Q$247:$Q$283),0)</f>
        <v>0</v>
      </c>
      <c r="AL3318" s="196">
        <f>IFERROR($G3318/SUMIF($A:$A,$A3318,$G:$G)*(SUMIF(Summary!$A$247:$A$283,$A3318,Summary!$L$247:$L$283)+SUMIF(Summary!$A$297:$A$333,$A3318,Summary!$L$297:$L$333))-AK3318,0)</f>
        <v>0</v>
      </c>
      <c r="AM3318" s="198"/>
      <c r="AN3318" s="196">
        <f t="shared" ca="1" si="726"/>
        <v>0</v>
      </c>
      <c r="AO3318" s="196">
        <f t="shared" ca="1" si="727"/>
        <v>0</v>
      </c>
    </row>
    <row r="3319" spans="1:41">
      <c r="A3319" s="189">
        <v>12826</v>
      </c>
      <c r="B3319" s="190">
        <v>3</v>
      </c>
      <c r="C3319" s="191" t="s">
        <v>237</v>
      </c>
      <c r="D3319" s="192">
        <f t="shared" si="714"/>
        <v>0</v>
      </c>
      <c r="E3319" s="192">
        <f t="shared" si="715"/>
        <v>0</v>
      </c>
      <c r="F3319" s="192">
        <f t="shared" si="716"/>
        <v>0</v>
      </c>
      <c r="G3319" s="193">
        <f t="shared" si="717"/>
        <v>0</v>
      </c>
      <c r="H3319" s="194">
        <v>0</v>
      </c>
      <c r="I3319" s="194">
        <v>0</v>
      </c>
      <c r="J3319" s="194">
        <v>0</v>
      </c>
      <c r="K3319" s="193">
        <f t="shared" si="718"/>
        <v>0</v>
      </c>
      <c r="L3319" s="194">
        <v>0</v>
      </c>
      <c r="M3319" s="194">
        <v>0</v>
      </c>
      <c r="N3319" s="194">
        <v>0</v>
      </c>
      <c r="O3319" s="193">
        <f t="shared" si="719"/>
        <v>0</v>
      </c>
      <c r="P3319" s="194">
        <v>0</v>
      </c>
      <c r="Q3319" s="194">
        <v>0</v>
      </c>
      <c r="R3319" s="194">
        <v>0</v>
      </c>
      <c r="S3319" s="193">
        <f t="shared" si="720"/>
        <v>0</v>
      </c>
      <c r="T3319" s="193">
        <f t="shared" si="721"/>
        <v>0</v>
      </c>
      <c r="U3319" s="193">
        <f ca="1">OFFSET('Expenditure Study'!$B$7,'Operations Support'!$C3319,'Operations Support'!$B3319)*$G3319</f>
        <v>0</v>
      </c>
      <c r="V3319" s="199">
        <f ca="1">U3319*'Expenditure Study'!$B$31</f>
        <v>0</v>
      </c>
      <c r="W3319" s="199">
        <f ca="1">IF(A3319=10298,1.51,1)*IF($B3319&lt;3,$D3319*'Expenditure Study'!$B$32*OFFSET('Expenditure Study'!$B$7,'Operations Support'!$C3319,'Operations Support'!$B3319),0)</f>
        <v>0</v>
      </c>
      <c r="X3319" s="200">
        <f ca="1">W3319*'Expenditure Study'!$B$31</f>
        <v>0</v>
      </c>
      <c r="Y3319" s="199">
        <f ca="1">U3319*'Expenditure Study'!$B$31</f>
        <v>0</v>
      </c>
      <c r="Z3319" s="200">
        <f ca="1">W3319*'Expenditure Study'!$B$31</f>
        <v>0</v>
      </c>
      <c r="AA3319" s="195">
        <f t="shared" ca="1" si="722"/>
        <v>0</v>
      </c>
      <c r="AB3319" s="195">
        <f t="shared" ca="1" si="723"/>
        <v>0</v>
      </c>
      <c r="AD3319" s="196">
        <f>IFERROR($G3319/SUMIF($A:$A,$A3319,$G:$G)*SUMIF(Summary!$A$166:$A$242,$A3319,Summary!$P$166:$P$242),0)</f>
        <v>0</v>
      </c>
      <c r="AE3319" s="197">
        <f t="shared" ca="1" si="724"/>
        <v>0</v>
      </c>
      <c r="AF3319" s="196">
        <f>IFERROR(G3319/SUMIF(A:A,A3319,G:G)*SUMIF(Summary!$A$166:$A$242,'Operations Support'!A3319,Summary!$Q$166:$Q$242),0)</f>
        <v>0</v>
      </c>
      <c r="AG3319" s="196">
        <f t="shared" ca="1" si="725"/>
        <v>0</v>
      </c>
      <c r="AI3319" s="196">
        <f>IFERROR($G3319/SUMIF($A:$A,$A3319,$G:$G)*SUMIF(Summary!$A$247:$A$283,$A3319,Summary!$P$247:$P$283),0)</f>
        <v>0</v>
      </c>
      <c r="AJ3319" s="196">
        <f>IFERROR($G3319/SUMIF($A:$A,$A3319,$G:$G)*(SUMIF(Summary!$A$247:$A$283,$A3319,Summary!$L$247:$L$283)+SUMIF(Summary!$A$297:$A$333,$A3319,Summary!$L$297:$L$333))-AI3319,0)</f>
        <v>0</v>
      </c>
      <c r="AK3319" s="196">
        <f>IFERROR($G3319/SUMIF($A:$A,$A3319,$G:$G)*SUMIF(Summary!$A$247:$A$283,$A3319,Summary!$Q$247:$Q$283),0)</f>
        <v>0</v>
      </c>
      <c r="AL3319" s="196">
        <f>IFERROR($G3319/SUMIF($A:$A,$A3319,$G:$G)*(SUMIF(Summary!$A$247:$A$283,$A3319,Summary!$L$247:$L$283)+SUMIF(Summary!$A$297:$A$333,$A3319,Summary!$L$297:$L$333))-AK3319,0)</f>
        <v>0</v>
      </c>
      <c r="AM3319" s="198"/>
      <c r="AN3319" s="196">
        <f t="shared" ca="1" si="726"/>
        <v>0</v>
      </c>
      <c r="AO3319" s="196">
        <f t="shared" ca="1" si="727"/>
        <v>0</v>
      </c>
    </row>
    <row r="3320" spans="1:41">
      <c r="A3320" s="189">
        <v>12826</v>
      </c>
      <c r="B3320" s="190">
        <v>3</v>
      </c>
      <c r="C3320" s="191" t="s">
        <v>238</v>
      </c>
      <c r="D3320" s="192">
        <f t="shared" si="714"/>
        <v>495</v>
      </c>
      <c r="E3320" s="192">
        <f t="shared" si="715"/>
        <v>450</v>
      </c>
      <c r="F3320" s="192">
        <f t="shared" si="716"/>
        <v>0</v>
      </c>
      <c r="G3320" s="193">
        <f t="shared" si="717"/>
        <v>945</v>
      </c>
      <c r="H3320" s="194">
        <v>234</v>
      </c>
      <c r="I3320" s="194">
        <v>384</v>
      </c>
      <c r="J3320" s="194">
        <v>0</v>
      </c>
      <c r="K3320" s="193">
        <f t="shared" si="718"/>
        <v>618</v>
      </c>
      <c r="L3320" s="194">
        <v>171</v>
      </c>
      <c r="M3320" s="194">
        <v>27</v>
      </c>
      <c r="N3320" s="194">
        <v>0</v>
      </c>
      <c r="O3320" s="193">
        <f t="shared" si="719"/>
        <v>198</v>
      </c>
      <c r="P3320" s="194">
        <v>90</v>
      </c>
      <c r="Q3320" s="194">
        <v>39</v>
      </c>
      <c r="R3320" s="194">
        <v>0</v>
      </c>
      <c r="S3320" s="193">
        <f t="shared" si="720"/>
        <v>129</v>
      </c>
      <c r="T3320" s="193">
        <f t="shared" si="721"/>
        <v>39.375</v>
      </c>
      <c r="U3320" s="193">
        <f ca="1">OFFSET('Expenditure Study'!$B$7,'Operations Support'!$C3320,'Operations Support'!$B3320)*$G3320</f>
        <v>5518.8</v>
      </c>
      <c r="V3320" s="199">
        <f ca="1">U3320*'Expenditure Study'!$B$31</f>
        <v>326068.25819904002</v>
      </c>
      <c r="W3320" s="199">
        <f ca="1">IF(A3320=10298,1.51,1)*IF($B3320&lt;3,$D3320*'Expenditure Study'!$B$32*OFFSET('Expenditure Study'!$B$7,'Operations Support'!$C3320,'Operations Support'!$B3320),0)</f>
        <v>0</v>
      </c>
      <c r="X3320" s="200">
        <f ca="1">W3320*'Expenditure Study'!$B$31</f>
        <v>0</v>
      </c>
      <c r="Y3320" s="199">
        <f ca="1">U3320*'Expenditure Study'!$B$31</f>
        <v>326068.25819904002</v>
      </c>
      <c r="Z3320" s="200">
        <f ca="1">W3320*'Expenditure Study'!$B$31</f>
        <v>0</v>
      </c>
      <c r="AA3320" s="195">
        <f t="shared" ca="1" si="722"/>
        <v>326068.25819904002</v>
      </c>
      <c r="AB3320" s="195">
        <f t="shared" ca="1" si="723"/>
        <v>326068.25819904002</v>
      </c>
      <c r="AD3320" s="196">
        <f>IFERROR($G3320/SUMIF($A:$A,$A3320,$G:$G)*SUMIF(Summary!$A$166:$A$242,$A3320,Summary!$P$166:$P$242),0)</f>
        <v>33762.589374997922</v>
      </c>
      <c r="AE3320" s="197">
        <f t="shared" ca="1" si="724"/>
        <v>292305.66882404208</v>
      </c>
      <c r="AF3320" s="196">
        <f>IFERROR(G3320/SUMIF(A:A,A3320,G:G)*SUMIF(Summary!$A$166:$A$242,'Operations Support'!A3320,Summary!$Q$166:$Q$242),0)</f>
        <v>33850.751458278675</v>
      </c>
      <c r="AG3320" s="196">
        <f t="shared" ca="1" si="725"/>
        <v>292217.50674076134</v>
      </c>
      <c r="AI3320" s="196">
        <f>IFERROR($G3320/SUMIF($A:$A,$A3320,$G:$G)*SUMIF(Summary!$A$247:$A$283,$A3320,Summary!$P$247:$P$283),0)</f>
        <v>6157.4537659734924</v>
      </c>
      <c r="AJ3320" s="196">
        <f>IFERROR($G3320/SUMIF($A:$A,$A3320,$G:$G)*(SUMIF(Summary!$A$247:$A$283,$A3320,Summary!$L$247:$L$283)+SUMIF(Summary!$A$297:$A$333,$A3320,Summary!$L$297:$L$333))-AI3320,0)</f>
        <v>10787.247503324306</v>
      </c>
      <c r="AK3320" s="196">
        <f>IFERROR($G3320/SUMIF($A:$A,$A3320,$G:$G)*SUMIF(Summary!$A$247:$A$283,$A3320,Summary!$Q$247:$Q$283),0)</f>
        <v>6173.5323299036381</v>
      </c>
      <c r="AL3320" s="196">
        <f>IFERROR($G3320/SUMIF($A:$A,$A3320,$G:$G)*(SUMIF(Summary!$A$247:$A$283,$A3320,Summary!$L$247:$L$283)+SUMIF(Summary!$A$297:$A$333,$A3320,Summary!$L$297:$L$333))-AK3320,0)</f>
        <v>10771.16893939416</v>
      </c>
      <c r="AM3320" s="198"/>
      <c r="AN3320" s="196">
        <f t="shared" ca="1" si="726"/>
        <v>303092.91632736637</v>
      </c>
      <c r="AO3320" s="196">
        <f t="shared" ca="1" si="727"/>
        <v>302988.67568015552</v>
      </c>
    </row>
    <row r="3321" spans="1:41">
      <c r="A3321" s="189">
        <v>12826</v>
      </c>
      <c r="B3321" s="190">
        <v>3</v>
      </c>
      <c r="C3321" s="191" t="s">
        <v>239</v>
      </c>
      <c r="D3321" s="192">
        <f t="shared" si="714"/>
        <v>0</v>
      </c>
      <c r="E3321" s="192">
        <f t="shared" si="715"/>
        <v>0</v>
      </c>
      <c r="F3321" s="192">
        <f t="shared" si="716"/>
        <v>0</v>
      </c>
      <c r="G3321" s="193">
        <f t="shared" si="717"/>
        <v>0</v>
      </c>
      <c r="H3321" s="194">
        <v>0</v>
      </c>
      <c r="I3321" s="194">
        <v>0</v>
      </c>
      <c r="J3321" s="194">
        <v>0</v>
      </c>
      <c r="K3321" s="193">
        <f t="shared" si="718"/>
        <v>0</v>
      </c>
      <c r="L3321" s="194">
        <v>0</v>
      </c>
      <c r="M3321" s="194">
        <v>0</v>
      </c>
      <c r="N3321" s="194">
        <v>0</v>
      </c>
      <c r="O3321" s="193">
        <f t="shared" si="719"/>
        <v>0</v>
      </c>
      <c r="P3321" s="194">
        <v>0</v>
      </c>
      <c r="Q3321" s="194">
        <v>0</v>
      </c>
      <c r="R3321" s="194">
        <v>0</v>
      </c>
      <c r="S3321" s="193">
        <f t="shared" si="720"/>
        <v>0</v>
      </c>
      <c r="T3321" s="193">
        <f t="shared" si="721"/>
        <v>0</v>
      </c>
      <c r="U3321" s="193">
        <f ca="1">OFFSET('Expenditure Study'!$B$7,'Operations Support'!$C3321,'Operations Support'!$B3321)*$G3321</f>
        <v>0</v>
      </c>
      <c r="V3321" s="199">
        <f ca="1">U3321*'Expenditure Study'!$B$31</f>
        <v>0</v>
      </c>
      <c r="W3321" s="199">
        <f ca="1">IF(A3321=10298,1.51,1)*IF($B3321&lt;3,$D3321*'Expenditure Study'!$B$32*OFFSET('Expenditure Study'!$B$7,'Operations Support'!$C3321,'Operations Support'!$B3321),0)</f>
        <v>0</v>
      </c>
      <c r="X3321" s="200">
        <f ca="1">W3321*'Expenditure Study'!$B$31</f>
        <v>0</v>
      </c>
      <c r="Y3321" s="199">
        <f ca="1">U3321*'Expenditure Study'!$B$31</f>
        <v>0</v>
      </c>
      <c r="Z3321" s="200">
        <f ca="1">W3321*'Expenditure Study'!$B$31</f>
        <v>0</v>
      </c>
      <c r="AA3321" s="195">
        <f t="shared" ca="1" si="722"/>
        <v>0</v>
      </c>
      <c r="AB3321" s="195">
        <f t="shared" ca="1" si="723"/>
        <v>0</v>
      </c>
      <c r="AD3321" s="196">
        <f>IFERROR($G3321/SUMIF($A:$A,$A3321,$G:$G)*SUMIF(Summary!$A$166:$A$242,$A3321,Summary!$P$166:$P$242),0)</f>
        <v>0</v>
      </c>
      <c r="AE3321" s="197">
        <f t="shared" ca="1" si="724"/>
        <v>0</v>
      </c>
      <c r="AF3321" s="196">
        <f>IFERROR(G3321/SUMIF(A:A,A3321,G:G)*SUMIF(Summary!$A$166:$A$242,'Operations Support'!A3321,Summary!$Q$166:$Q$242),0)</f>
        <v>0</v>
      </c>
      <c r="AG3321" s="196">
        <f t="shared" ca="1" si="725"/>
        <v>0</v>
      </c>
      <c r="AI3321" s="196">
        <f>IFERROR($G3321/SUMIF($A:$A,$A3321,$G:$G)*SUMIF(Summary!$A$247:$A$283,$A3321,Summary!$P$247:$P$283),0)</f>
        <v>0</v>
      </c>
      <c r="AJ3321" s="196">
        <f>IFERROR($G3321/SUMIF($A:$A,$A3321,$G:$G)*(SUMIF(Summary!$A$247:$A$283,$A3321,Summary!$L$247:$L$283)+SUMIF(Summary!$A$297:$A$333,$A3321,Summary!$L$297:$L$333))-AI3321,0)</f>
        <v>0</v>
      </c>
      <c r="AK3321" s="196">
        <f>IFERROR($G3321/SUMIF($A:$A,$A3321,$G:$G)*SUMIF(Summary!$A$247:$A$283,$A3321,Summary!$Q$247:$Q$283),0)</f>
        <v>0</v>
      </c>
      <c r="AL3321" s="196">
        <f>IFERROR($G3321/SUMIF($A:$A,$A3321,$G:$G)*(SUMIF(Summary!$A$247:$A$283,$A3321,Summary!$L$247:$L$283)+SUMIF(Summary!$A$297:$A$333,$A3321,Summary!$L$297:$L$333))-AK3321,0)</f>
        <v>0</v>
      </c>
      <c r="AM3321" s="198"/>
      <c r="AN3321" s="196">
        <f t="shared" ca="1" si="726"/>
        <v>0</v>
      </c>
      <c r="AO3321" s="196">
        <f t="shared" ca="1" si="727"/>
        <v>0</v>
      </c>
    </row>
    <row r="3322" spans="1:41">
      <c r="A3322" s="189">
        <v>12826</v>
      </c>
      <c r="B3322" s="190">
        <v>3</v>
      </c>
      <c r="C3322" s="191" t="s">
        <v>240</v>
      </c>
      <c r="D3322" s="192">
        <f t="shared" si="714"/>
        <v>0</v>
      </c>
      <c r="E3322" s="192">
        <f t="shared" si="715"/>
        <v>0</v>
      </c>
      <c r="F3322" s="192">
        <f t="shared" si="716"/>
        <v>0</v>
      </c>
      <c r="G3322" s="193">
        <f t="shared" si="717"/>
        <v>0</v>
      </c>
      <c r="H3322" s="194">
        <v>0</v>
      </c>
      <c r="I3322" s="194">
        <v>0</v>
      </c>
      <c r="J3322" s="194">
        <v>0</v>
      </c>
      <c r="K3322" s="193">
        <f t="shared" si="718"/>
        <v>0</v>
      </c>
      <c r="L3322" s="194">
        <v>0</v>
      </c>
      <c r="M3322" s="194">
        <v>0</v>
      </c>
      <c r="N3322" s="194">
        <v>0</v>
      </c>
      <c r="O3322" s="193">
        <f t="shared" si="719"/>
        <v>0</v>
      </c>
      <c r="P3322" s="194">
        <v>0</v>
      </c>
      <c r="Q3322" s="194">
        <v>0</v>
      </c>
      <c r="R3322" s="194">
        <v>0</v>
      </c>
      <c r="S3322" s="193">
        <f t="shared" si="720"/>
        <v>0</v>
      </c>
      <c r="T3322" s="193">
        <f t="shared" si="721"/>
        <v>0</v>
      </c>
      <c r="U3322" s="193">
        <f ca="1">OFFSET('Expenditure Study'!$B$7,'Operations Support'!$C3322,'Operations Support'!$B3322)*$G3322</f>
        <v>0</v>
      </c>
      <c r="V3322" s="199">
        <f ca="1">U3322*'Expenditure Study'!$B$31</f>
        <v>0</v>
      </c>
      <c r="W3322" s="199">
        <f ca="1">IF(A3322=10298,1.51,1)*IF($B3322&lt;3,$D3322*'Expenditure Study'!$B$32*OFFSET('Expenditure Study'!$B$7,'Operations Support'!$C3322,'Operations Support'!$B3322),0)</f>
        <v>0</v>
      </c>
      <c r="X3322" s="200">
        <f ca="1">W3322*'Expenditure Study'!$B$31</f>
        <v>0</v>
      </c>
      <c r="Y3322" s="199">
        <f ca="1">U3322*'Expenditure Study'!$B$31</f>
        <v>0</v>
      </c>
      <c r="Z3322" s="200">
        <f ca="1">W3322*'Expenditure Study'!$B$31</f>
        <v>0</v>
      </c>
      <c r="AA3322" s="195">
        <f t="shared" ca="1" si="722"/>
        <v>0</v>
      </c>
      <c r="AB3322" s="195">
        <f t="shared" ca="1" si="723"/>
        <v>0</v>
      </c>
      <c r="AD3322" s="196">
        <f>IFERROR($G3322/SUMIF($A:$A,$A3322,$G:$G)*SUMIF(Summary!$A$166:$A$242,$A3322,Summary!$P$166:$P$242),0)</f>
        <v>0</v>
      </c>
      <c r="AE3322" s="197">
        <f t="shared" ca="1" si="724"/>
        <v>0</v>
      </c>
      <c r="AF3322" s="196">
        <f>IFERROR(G3322/SUMIF(A:A,A3322,G:G)*SUMIF(Summary!$A$166:$A$242,'Operations Support'!A3322,Summary!$Q$166:$Q$242),0)</f>
        <v>0</v>
      </c>
      <c r="AG3322" s="196">
        <f t="shared" ca="1" si="725"/>
        <v>0</v>
      </c>
      <c r="AI3322" s="196">
        <f>IFERROR($G3322/SUMIF($A:$A,$A3322,$G:$G)*SUMIF(Summary!$A$247:$A$283,$A3322,Summary!$P$247:$P$283),0)</f>
        <v>0</v>
      </c>
      <c r="AJ3322" s="196">
        <f>IFERROR($G3322/SUMIF($A:$A,$A3322,$G:$G)*(SUMIF(Summary!$A$247:$A$283,$A3322,Summary!$L$247:$L$283)+SUMIF(Summary!$A$297:$A$333,$A3322,Summary!$L$297:$L$333))-AI3322,0)</f>
        <v>0</v>
      </c>
      <c r="AK3322" s="196">
        <f>IFERROR($G3322/SUMIF($A:$A,$A3322,$G:$G)*SUMIF(Summary!$A$247:$A$283,$A3322,Summary!$Q$247:$Q$283),0)</f>
        <v>0</v>
      </c>
      <c r="AL3322" s="196">
        <f>IFERROR($G3322/SUMIF($A:$A,$A3322,$G:$G)*(SUMIF(Summary!$A$247:$A$283,$A3322,Summary!$L$247:$L$283)+SUMIF(Summary!$A$297:$A$333,$A3322,Summary!$L$297:$L$333))-AK3322,0)</f>
        <v>0</v>
      </c>
      <c r="AM3322" s="198"/>
      <c r="AN3322" s="196">
        <f t="shared" ca="1" si="726"/>
        <v>0</v>
      </c>
      <c r="AO3322" s="196">
        <f t="shared" ca="1" si="727"/>
        <v>0</v>
      </c>
    </row>
    <row r="3323" spans="1:41">
      <c r="A3323" s="189">
        <v>12826</v>
      </c>
      <c r="B3323" s="190">
        <v>4</v>
      </c>
      <c r="C3323" s="191" t="s">
        <v>220</v>
      </c>
      <c r="D3323" s="192">
        <f t="shared" si="714"/>
        <v>0</v>
      </c>
      <c r="E3323" s="192">
        <f t="shared" si="715"/>
        <v>0</v>
      </c>
      <c r="F3323" s="192">
        <f t="shared" si="716"/>
        <v>0</v>
      </c>
      <c r="G3323" s="193">
        <f t="shared" si="717"/>
        <v>0</v>
      </c>
      <c r="H3323" s="194">
        <v>0</v>
      </c>
      <c r="I3323" s="194">
        <v>0</v>
      </c>
      <c r="J3323" s="194">
        <v>0</v>
      </c>
      <c r="K3323" s="193">
        <f t="shared" si="718"/>
        <v>0</v>
      </c>
      <c r="L3323" s="194">
        <v>0</v>
      </c>
      <c r="M3323" s="194">
        <v>0</v>
      </c>
      <c r="N3323" s="194">
        <v>0</v>
      </c>
      <c r="O3323" s="193">
        <f t="shared" si="719"/>
        <v>0</v>
      </c>
      <c r="P3323" s="194">
        <v>0</v>
      </c>
      <c r="Q3323" s="194">
        <v>0</v>
      </c>
      <c r="R3323" s="194">
        <v>0</v>
      </c>
      <c r="S3323" s="193">
        <f t="shared" si="720"/>
        <v>0</v>
      </c>
      <c r="T3323" s="193">
        <f t="shared" si="721"/>
        <v>0</v>
      </c>
      <c r="U3323" s="193">
        <f ca="1">OFFSET('Expenditure Study'!$B$7,'Operations Support'!$C3323,'Operations Support'!$B3323)*$G3323</f>
        <v>0</v>
      </c>
      <c r="V3323" s="199">
        <f ca="1">U3323*'Expenditure Study'!$B$31</f>
        <v>0</v>
      </c>
      <c r="W3323" s="199">
        <f ca="1">IF(A3323=10298,1.51,1)*IF($B3323&lt;3,$D3323*'Expenditure Study'!$B$32*OFFSET('Expenditure Study'!$B$7,'Operations Support'!$C3323,'Operations Support'!$B3323),0)</f>
        <v>0</v>
      </c>
      <c r="X3323" s="200">
        <f ca="1">W3323*'Expenditure Study'!$B$31</f>
        <v>0</v>
      </c>
      <c r="Y3323" s="199">
        <f ca="1">U3323*'Expenditure Study'!$B$31</f>
        <v>0</v>
      </c>
      <c r="Z3323" s="200">
        <f ca="1">W3323*'Expenditure Study'!$B$31</f>
        <v>0</v>
      </c>
      <c r="AA3323" s="195">
        <f t="shared" ca="1" si="722"/>
        <v>0</v>
      </c>
      <c r="AB3323" s="195">
        <f t="shared" ca="1" si="723"/>
        <v>0</v>
      </c>
      <c r="AD3323" s="196">
        <f>IFERROR($G3323/SUMIF($A:$A,$A3323,$G:$G)*SUMIF(Summary!$A$166:$A$242,$A3323,Summary!$P$166:$P$242),0)</f>
        <v>0</v>
      </c>
      <c r="AE3323" s="197">
        <f t="shared" ca="1" si="724"/>
        <v>0</v>
      </c>
      <c r="AF3323" s="196">
        <f>IFERROR(G3323/SUMIF(A:A,A3323,G:G)*SUMIF(Summary!$A$166:$A$242,'Operations Support'!A3323,Summary!$Q$166:$Q$242),0)</f>
        <v>0</v>
      </c>
      <c r="AG3323" s="196">
        <f t="shared" ca="1" si="725"/>
        <v>0</v>
      </c>
      <c r="AI3323" s="196">
        <f>IFERROR($G3323/SUMIF($A:$A,$A3323,$G:$G)*SUMIF(Summary!$A$247:$A$283,$A3323,Summary!$P$247:$P$283),0)</f>
        <v>0</v>
      </c>
      <c r="AJ3323" s="196">
        <f>IFERROR($G3323/SUMIF($A:$A,$A3323,$G:$G)*(SUMIF(Summary!$A$247:$A$283,$A3323,Summary!$L$247:$L$283)+SUMIF(Summary!$A$297:$A$333,$A3323,Summary!$L$297:$L$333))-AI3323,0)</f>
        <v>0</v>
      </c>
      <c r="AK3323" s="196">
        <f>IFERROR($G3323/SUMIF($A:$A,$A3323,$G:$G)*SUMIF(Summary!$A$247:$A$283,$A3323,Summary!$Q$247:$Q$283),0)</f>
        <v>0</v>
      </c>
      <c r="AL3323" s="196">
        <f>IFERROR($G3323/SUMIF($A:$A,$A3323,$G:$G)*(SUMIF(Summary!$A$247:$A$283,$A3323,Summary!$L$247:$L$283)+SUMIF(Summary!$A$297:$A$333,$A3323,Summary!$L$297:$L$333))-AK3323,0)</f>
        <v>0</v>
      </c>
      <c r="AM3323" s="198"/>
      <c r="AN3323" s="196">
        <f t="shared" ca="1" si="726"/>
        <v>0</v>
      </c>
      <c r="AO3323" s="196">
        <f t="shared" ca="1" si="727"/>
        <v>0</v>
      </c>
    </row>
    <row r="3324" spans="1:41">
      <c r="A3324" s="189">
        <v>12826</v>
      </c>
      <c r="B3324" s="190">
        <v>4</v>
      </c>
      <c r="C3324" s="191" t="s">
        <v>221</v>
      </c>
      <c r="D3324" s="192">
        <f t="shared" si="714"/>
        <v>0</v>
      </c>
      <c r="E3324" s="192">
        <f t="shared" si="715"/>
        <v>0</v>
      </c>
      <c r="F3324" s="192">
        <f t="shared" si="716"/>
        <v>0</v>
      </c>
      <c r="G3324" s="193">
        <f t="shared" si="717"/>
        <v>0</v>
      </c>
      <c r="H3324" s="194">
        <v>0</v>
      </c>
      <c r="I3324" s="194">
        <v>0</v>
      </c>
      <c r="J3324" s="194">
        <v>0</v>
      </c>
      <c r="K3324" s="193">
        <f t="shared" si="718"/>
        <v>0</v>
      </c>
      <c r="L3324" s="194">
        <v>0</v>
      </c>
      <c r="M3324" s="194">
        <v>0</v>
      </c>
      <c r="N3324" s="194">
        <v>0</v>
      </c>
      <c r="O3324" s="193">
        <f t="shared" si="719"/>
        <v>0</v>
      </c>
      <c r="P3324" s="194">
        <v>0</v>
      </c>
      <c r="Q3324" s="194">
        <v>0</v>
      </c>
      <c r="R3324" s="194">
        <v>0</v>
      </c>
      <c r="S3324" s="193">
        <f t="shared" si="720"/>
        <v>0</v>
      </c>
      <c r="T3324" s="193">
        <f t="shared" si="721"/>
        <v>0</v>
      </c>
      <c r="U3324" s="193">
        <f ca="1">OFFSET('Expenditure Study'!$B$7,'Operations Support'!$C3324,'Operations Support'!$B3324)*$G3324</f>
        <v>0</v>
      </c>
      <c r="V3324" s="199">
        <f ca="1">U3324*'Expenditure Study'!$B$31</f>
        <v>0</v>
      </c>
      <c r="W3324" s="199">
        <f ca="1">IF(A3324=10298,1.51,1)*IF($B3324&lt;3,$D3324*'Expenditure Study'!$B$32*OFFSET('Expenditure Study'!$B$7,'Operations Support'!$C3324,'Operations Support'!$B3324),0)</f>
        <v>0</v>
      </c>
      <c r="X3324" s="200">
        <f ca="1">W3324*'Expenditure Study'!$B$31</f>
        <v>0</v>
      </c>
      <c r="Y3324" s="199">
        <f ca="1">U3324*'Expenditure Study'!$B$31</f>
        <v>0</v>
      </c>
      <c r="Z3324" s="200">
        <f ca="1">W3324*'Expenditure Study'!$B$31</f>
        <v>0</v>
      </c>
      <c r="AA3324" s="195">
        <f t="shared" ca="1" si="722"/>
        <v>0</v>
      </c>
      <c r="AB3324" s="195">
        <f t="shared" ca="1" si="723"/>
        <v>0</v>
      </c>
      <c r="AD3324" s="196">
        <f>IFERROR($G3324/SUMIF($A:$A,$A3324,$G:$G)*SUMIF(Summary!$A$166:$A$242,$A3324,Summary!$P$166:$P$242),0)</f>
        <v>0</v>
      </c>
      <c r="AE3324" s="197">
        <f t="shared" ca="1" si="724"/>
        <v>0</v>
      </c>
      <c r="AF3324" s="196">
        <f>IFERROR(G3324/SUMIF(A:A,A3324,G:G)*SUMIF(Summary!$A$166:$A$242,'Operations Support'!A3324,Summary!$Q$166:$Q$242),0)</f>
        <v>0</v>
      </c>
      <c r="AG3324" s="196">
        <f t="shared" ca="1" si="725"/>
        <v>0</v>
      </c>
      <c r="AI3324" s="196">
        <f>IFERROR($G3324/SUMIF($A:$A,$A3324,$G:$G)*SUMIF(Summary!$A$247:$A$283,$A3324,Summary!$P$247:$P$283),0)</f>
        <v>0</v>
      </c>
      <c r="AJ3324" s="196">
        <f>IFERROR($G3324/SUMIF($A:$A,$A3324,$G:$G)*(SUMIF(Summary!$A$247:$A$283,$A3324,Summary!$L$247:$L$283)+SUMIF(Summary!$A$297:$A$333,$A3324,Summary!$L$297:$L$333))-AI3324,0)</f>
        <v>0</v>
      </c>
      <c r="AK3324" s="196">
        <f>IFERROR($G3324/SUMIF($A:$A,$A3324,$G:$G)*SUMIF(Summary!$A$247:$A$283,$A3324,Summary!$Q$247:$Q$283),0)</f>
        <v>0</v>
      </c>
      <c r="AL3324" s="196">
        <f>IFERROR($G3324/SUMIF($A:$A,$A3324,$G:$G)*(SUMIF(Summary!$A$247:$A$283,$A3324,Summary!$L$247:$L$283)+SUMIF(Summary!$A$297:$A$333,$A3324,Summary!$L$297:$L$333))-AK3324,0)</f>
        <v>0</v>
      </c>
      <c r="AM3324" s="198"/>
      <c r="AN3324" s="196">
        <f t="shared" ca="1" si="726"/>
        <v>0</v>
      </c>
      <c r="AO3324" s="196">
        <f t="shared" ca="1" si="727"/>
        <v>0</v>
      </c>
    </row>
    <row r="3325" spans="1:41">
      <c r="A3325" s="189">
        <v>12826</v>
      </c>
      <c r="B3325" s="190">
        <v>4</v>
      </c>
      <c r="C3325" s="191" t="s">
        <v>222</v>
      </c>
      <c r="D3325" s="192">
        <f t="shared" si="714"/>
        <v>0</v>
      </c>
      <c r="E3325" s="192">
        <f t="shared" si="715"/>
        <v>0</v>
      </c>
      <c r="F3325" s="192">
        <f t="shared" si="716"/>
        <v>0</v>
      </c>
      <c r="G3325" s="193">
        <f t="shared" si="717"/>
        <v>0</v>
      </c>
      <c r="H3325" s="194">
        <v>0</v>
      </c>
      <c r="I3325" s="194">
        <v>0</v>
      </c>
      <c r="J3325" s="194">
        <v>0</v>
      </c>
      <c r="K3325" s="193">
        <f t="shared" si="718"/>
        <v>0</v>
      </c>
      <c r="L3325" s="194">
        <v>0</v>
      </c>
      <c r="M3325" s="194">
        <v>0</v>
      </c>
      <c r="N3325" s="194">
        <v>0</v>
      </c>
      <c r="O3325" s="193">
        <f t="shared" si="719"/>
        <v>0</v>
      </c>
      <c r="P3325" s="194">
        <v>0</v>
      </c>
      <c r="Q3325" s="194">
        <v>0</v>
      </c>
      <c r="R3325" s="194">
        <v>0</v>
      </c>
      <c r="S3325" s="193">
        <f t="shared" si="720"/>
        <v>0</v>
      </c>
      <c r="T3325" s="193">
        <f t="shared" si="721"/>
        <v>0</v>
      </c>
      <c r="U3325" s="193">
        <f ca="1">OFFSET('Expenditure Study'!$B$7,'Operations Support'!$C3325,'Operations Support'!$B3325)*$G3325</f>
        <v>0</v>
      </c>
      <c r="V3325" s="199">
        <f ca="1">U3325*'Expenditure Study'!$B$31</f>
        <v>0</v>
      </c>
      <c r="W3325" s="199">
        <f ca="1">IF(A3325=10298,1.51,1)*IF($B3325&lt;3,$D3325*'Expenditure Study'!$B$32*OFFSET('Expenditure Study'!$B$7,'Operations Support'!$C3325,'Operations Support'!$B3325),0)</f>
        <v>0</v>
      </c>
      <c r="X3325" s="200">
        <f ca="1">W3325*'Expenditure Study'!$B$31</f>
        <v>0</v>
      </c>
      <c r="Y3325" s="199">
        <f ca="1">U3325*'Expenditure Study'!$B$31</f>
        <v>0</v>
      </c>
      <c r="Z3325" s="200">
        <f ca="1">W3325*'Expenditure Study'!$B$31</f>
        <v>0</v>
      </c>
      <c r="AA3325" s="195">
        <f t="shared" ca="1" si="722"/>
        <v>0</v>
      </c>
      <c r="AB3325" s="195">
        <f t="shared" ca="1" si="723"/>
        <v>0</v>
      </c>
      <c r="AD3325" s="196">
        <f>IFERROR($G3325/SUMIF($A:$A,$A3325,$G:$G)*SUMIF(Summary!$A$166:$A$242,$A3325,Summary!$P$166:$P$242),0)</f>
        <v>0</v>
      </c>
      <c r="AE3325" s="197">
        <f t="shared" ca="1" si="724"/>
        <v>0</v>
      </c>
      <c r="AF3325" s="196">
        <f>IFERROR(G3325/SUMIF(A:A,A3325,G:G)*SUMIF(Summary!$A$166:$A$242,'Operations Support'!A3325,Summary!$Q$166:$Q$242),0)</f>
        <v>0</v>
      </c>
      <c r="AG3325" s="196">
        <f t="shared" ca="1" si="725"/>
        <v>0</v>
      </c>
      <c r="AI3325" s="196">
        <f>IFERROR($G3325/SUMIF($A:$A,$A3325,$G:$G)*SUMIF(Summary!$A$247:$A$283,$A3325,Summary!$P$247:$P$283),0)</f>
        <v>0</v>
      </c>
      <c r="AJ3325" s="196">
        <f>IFERROR($G3325/SUMIF($A:$A,$A3325,$G:$G)*(SUMIF(Summary!$A$247:$A$283,$A3325,Summary!$L$247:$L$283)+SUMIF(Summary!$A$297:$A$333,$A3325,Summary!$L$297:$L$333))-AI3325,0)</f>
        <v>0</v>
      </c>
      <c r="AK3325" s="196">
        <f>IFERROR($G3325/SUMIF($A:$A,$A3325,$G:$G)*SUMIF(Summary!$A$247:$A$283,$A3325,Summary!$Q$247:$Q$283),0)</f>
        <v>0</v>
      </c>
      <c r="AL3325" s="196">
        <f>IFERROR($G3325/SUMIF($A:$A,$A3325,$G:$G)*(SUMIF(Summary!$A$247:$A$283,$A3325,Summary!$L$247:$L$283)+SUMIF(Summary!$A$297:$A$333,$A3325,Summary!$L$297:$L$333))-AK3325,0)</f>
        <v>0</v>
      </c>
      <c r="AM3325" s="198"/>
      <c r="AN3325" s="196">
        <f t="shared" ca="1" si="726"/>
        <v>0</v>
      </c>
      <c r="AO3325" s="196">
        <f t="shared" ca="1" si="727"/>
        <v>0</v>
      </c>
    </row>
    <row r="3326" spans="1:41">
      <c r="A3326" s="189">
        <v>12826</v>
      </c>
      <c r="B3326" s="190">
        <v>4</v>
      </c>
      <c r="C3326" s="191" t="s">
        <v>223</v>
      </c>
      <c r="D3326" s="192">
        <f t="shared" si="714"/>
        <v>0</v>
      </c>
      <c r="E3326" s="192">
        <f t="shared" si="715"/>
        <v>0</v>
      </c>
      <c r="F3326" s="192">
        <f t="shared" si="716"/>
        <v>0</v>
      </c>
      <c r="G3326" s="193">
        <f t="shared" si="717"/>
        <v>0</v>
      </c>
      <c r="H3326" s="194">
        <v>0</v>
      </c>
      <c r="I3326" s="194">
        <v>0</v>
      </c>
      <c r="J3326" s="194">
        <v>0</v>
      </c>
      <c r="K3326" s="193">
        <f t="shared" si="718"/>
        <v>0</v>
      </c>
      <c r="L3326" s="194">
        <v>0</v>
      </c>
      <c r="M3326" s="194">
        <v>0</v>
      </c>
      <c r="N3326" s="194">
        <v>0</v>
      </c>
      <c r="O3326" s="193">
        <f t="shared" si="719"/>
        <v>0</v>
      </c>
      <c r="P3326" s="194">
        <v>0</v>
      </c>
      <c r="Q3326" s="194">
        <v>0</v>
      </c>
      <c r="R3326" s="194">
        <v>0</v>
      </c>
      <c r="S3326" s="193">
        <f t="shared" si="720"/>
        <v>0</v>
      </c>
      <c r="T3326" s="193">
        <f t="shared" si="721"/>
        <v>0</v>
      </c>
      <c r="U3326" s="193">
        <f ca="1">OFFSET('Expenditure Study'!$B$7,'Operations Support'!$C3326,'Operations Support'!$B3326)*$G3326</f>
        <v>0</v>
      </c>
      <c r="V3326" s="199">
        <f ca="1">U3326*'Expenditure Study'!$B$31</f>
        <v>0</v>
      </c>
      <c r="W3326" s="199">
        <f ca="1">IF(A3326=10298,1.51,1)*IF($B3326&lt;3,$D3326*'Expenditure Study'!$B$32*OFFSET('Expenditure Study'!$B$7,'Operations Support'!$C3326,'Operations Support'!$B3326),0)</f>
        <v>0</v>
      </c>
      <c r="X3326" s="200">
        <f ca="1">W3326*'Expenditure Study'!$B$31</f>
        <v>0</v>
      </c>
      <c r="Y3326" s="199">
        <f ca="1">U3326*'Expenditure Study'!$B$31</f>
        <v>0</v>
      </c>
      <c r="Z3326" s="200">
        <f ca="1">W3326*'Expenditure Study'!$B$31</f>
        <v>0</v>
      </c>
      <c r="AA3326" s="195">
        <f t="shared" ca="1" si="722"/>
        <v>0</v>
      </c>
      <c r="AB3326" s="195">
        <f t="shared" ca="1" si="723"/>
        <v>0</v>
      </c>
      <c r="AD3326" s="196">
        <f>IFERROR($G3326/SUMIF($A:$A,$A3326,$G:$G)*SUMIF(Summary!$A$166:$A$242,$A3326,Summary!$P$166:$P$242),0)</f>
        <v>0</v>
      </c>
      <c r="AE3326" s="197">
        <f t="shared" ca="1" si="724"/>
        <v>0</v>
      </c>
      <c r="AF3326" s="196">
        <f>IFERROR(G3326/SUMIF(A:A,A3326,G:G)*SUMIF(Summary!$A$166:$A$242,'Operations Support'!A3326,Summary!$Q$166:$Q$242),0)</f>
        <v>0</v>
      </c>
      <c r="AG3326" s="196">
        <f t="shared" ca="1" si="725"/>
        <v>0</v>
      </c>
      <c r="AI3326" s="196">
        <f>IFERROR($G3326/SUMIF($A:$A,$A3326,$G:$G)*SUMIF(Summary!$A$247:$A$283,$A3326,Summary!$P$247:$P$283),0)</f>
        <v>0</v>
      </c>
      <c r="AJ3326" s="196">
        <f>IFERROR($G3326/SUMIF($A:$A,$A3326,$G:$G)*(SUMIF(Summary!$A$247:$A$283,$A3326,Summary!$L$247:$L$283)+SUMIF(Summary!$A$297:$A$333,$A3326,Summary!$L$297:$L$333))-AI3326,0)</f>
        <v>0</v>
      </c>
      <c r="AK3326" s="196">
        <f>IFERROR($G3326/SUMIF($A:$A,$A3326,$G:$G)*SUMIF(Summary!$A$247:$A$283,$A3326,Summary!$Q$247:$Q$283),0)</f>
        <v>0</v>
      </c>
      <c r="AL3326" s="196">
        <f>IFERROR($G3326/SUMIF($A:$A,$A3326,$G:$G)*(SUMIF(Summary!$A$247:$A$283,$A3326,Summary!$L$247:$L$283)+SUMIF(Summary!$A$297:$A$333,$A3326,Summary!$L$297:$L$333))-AK3326,0)</f>
        <v>0</v>
      </c>
      <c r="AM3326" s="198"/>
      <c r="AN3326" s="196">
        <f t="shared" ca="1" si="726"/>
        <v>0</v>
      </c>
      <c r="AO3326" s="196">
        <f t="shared" ca="1" si="727"/>
        <v>0</v>
      </c>
    </row>
    <row r="3327" spans="1:41">
      <c r="A3327" s="189">
        <v>12826</v>
      </c>
      <c r="B3327" s="190">
        <v>4</v>
      </c>
      <c r="C3327" s="191" t="s">
        <v>224</v>
      </c>
      <c r="D3327" s="192">
        <f t="shared" si="714"/>
        <v>0</v>
      </c>
      <c r="E3327" s="192">
        <f t="shared" si="715"/>
        <v>0</v>
      </c>
      <c r="F3327" s="192">
        <f t="shared" si="716"/>
        <v>0</v>
      </c>
      <c r="G3327" s="193">
        <f t="shared" si="717"/>
        <v>0</v>
      </c>
      <c r="H3327" s="194">
        <v>0</v>
      </c>
      <c r="I3327" s="194">
        <v>0</v>
      </c>
      <c r="J3327" s="194">
        <v>0</v>
      </c>
      <c r="K3327" s="193">
        <f t="shared" si="718"/>
        <v>0</v>
      </c>
      <c r="L3327" s="194">
        <v>0</v>
      </c>
      <c r="M3327" s="194">
        <v>0</v>
      </c>
      <c r="N3327" s="194">
        <v>0</v>
      </c>
      <c r="O3327" s="193">
        <f t="shared" si="719"/>
        <v>0</v>
      </c>
      <c r="P3327" s="194">
        <v>0</v>
      </c>
      <c r="Q3327" s="194">
        <v>0</v>
      </c>
      <c r="R3327" s="194">
        <v>0</v>
      </c>
      <c r="S3327" s="193">
        <f t="shared" si="720"/>
        <v>0</v>
      </c>
      <c r="T3327" s="193">
        <f t="shared" si="721"/>
        <v>0</v>
      </c>
      <c r="U3327" s="193">
        <f ca="1">OFFSET('Expenditure Study'!$B$7,'Operations Support'!$C3327,'Operations Support'!$B3327)*$G3327</f>
        <v>0</v>
      </c>
      <c r="V3327" s="199">
        <f ca="1">U3327*'Expenditure Study'!$B$31</f>
        <v>0</v>
      </c>
      <c r="W3327" s="199">
        <f ca="1">IF(A3327=10298,1.51,1)*IF($B3327&lt;3,$D3327*'Expenditure Study'!$B$32*OFFSET('Expenditure Study'!$B$7,'Operations Support'!$C3327,'Operations Support'!$B3327),0)</f>
        <v>0</v>
      </c>
      <c r="X3327" s="200">
        <f ca="1">W3327*'Expenditure Study'!$B$31</f>
        <v>0</v>
      </c>
      <c r="Y3327" s="199">
        <f ca="1">U3327*'Expenditure Study'!$B$31</f>
        <v>0</v>
      </c>
      <c r="Z3327" s="200">
        <f ca="1">W3327*'Expenditure Study'!$B$31</f>
        <v>0</v>
      </c>
      <c r="AA3327" s="195">
        <f t="shared" ca="1" si="722"/>
        <v>0</v>
      </c>
      <c r="AB3327" s="195">
        <f t="shared" ca="1" si="723"/>
        <v>0</v>
      </c>
      <c r="AD3327" s="196">
        <f>IFERROR($G3327/SUMIF($A:$A,$A3327,$G:$G)*SUMIF(Summary!$A$166:$A$242,$A3327,Summary!$P$166:$P$242),0)</f>
        <v>0</v>
      </c>
      <c r="AE3327" s="197">
        <f t="shared" ca="1" si="724"/>
        <v>0</v>
      </c>
      <c r="AF3327" s="196">
        <f>IFERROR(G3327/SUMIF(A:A,A3327,G:G)*SUMIF(Summary!$A$166:$A$242,'Operations Support'!A3327,Summary!$Q$166:$Q$242),0)</f>
        <v>0</v>
      </c>
      <c r="AG3327" s="196">
        <f t="shared" ca="1" si="725"/>
        <v>0</v>
      </c>
      <c r="AI3327" s="196">
        <f>IFERROR($G3327/SUMIF($A:$A,$A3327,$G:$G)*SUMIF(Summary!$A$247:$A$283,$A3327,Summary!$P$247:$P$283),0)</f>
        <v>0</v>
      </c>
      <c r="AJ3327" s="196">
        <f>IFERROR($G3327/SUMIF($A:$A,$A3327,$G:$G)*(SUMIF(Summary!$A$247:$A$283,$A3327,Summary!$L$247:$L$283)+SUMIF(Summary!$A$297:$A$333,$A3327,Summary!$L$297:$L$333))-AI3327,0)</f>
        <v>0</v>
      </c>
      <c r="AK3327" s="196">
        <f>IFERROR($G3327/SUMIF($A:$A,$A3327,$G:$G)*SUMIF(Summary!$A$247:$A$283,$A3327,Summary!$Q$247:$Q$283),0)</f>
        <v>0</v>
      </c>
      <c r="AL3327" s="196">
        <f>IFERROR($G3327/SUMIF($A:$A,$A3327,$G:$G)*(SUMIF(Summary!$A$247:$A$283,$A3327,Summary!$L$247:$L$283)+SUMIF(Summary!$A$297:$A$333,$A3327,Summary!$L$297:$L$333))-AK3327,0)</f>
        <v>0</v>
      </c>
      <c r="AM3327" s="198"/>
      <c r="AN3327" s="196">
        <f t="shared" ca="1" si="726"/>
        <v>0</v>
      </c>
      <c r="AO3327" s="196">
        <f t="shared" ca="1" si="727"/>
        <v>0</v>
      </c>
    </row>
    <row r="3328" spans="1:41">
      <c r="A3328" s="189">
        <v>12826</v>
      </c>
      <c r="B3328" s="190">
        <v>4</v>
      </c>
      <c r="C3328" s="191" t="s">
        <v>225</v>
      </c>
      <c r="D3328" s="192">
        <f t="shared" si="714"/>
        <v>0</v>
      </c>
      <c r="E3328" s="192">
        <f t="shared" si="715"/>
        <v>0</v>
      </c>
      <c r="F3328" s="192">
        <f t="shared" si="716"/>
        <v>0</v>
      </c>
      <c r="G3328" s="193">
        <f t="shared" si="717"/>
        <v>0</v>
      </c>
      <c r="H3328" s="194">
        <v>0</v>
      </c>
      <c r="I3328" s="194">
        <v>0</v>
      </c>
      <c r="J3328" s="194">
        <v>0</v>
      </c>
      <c r="K3328" s="193">
        <f t="shared" si="718"/>
        <v>0</v>
      </c>
      <c r="L3328" s="194">
        <v>0</v>
      </c>
      <c r="M3328" s="194">
        <v>0</v>
      </c>
      <c r="N3328" s="194">
        <v>0</v>
      </c>
      <c r="O3328" s="193">
        <f t="shared" si="719"/>
        <v>0</v>
      </c>
      <c r="P3328" s="194">
        <v>0</v>
      </c>
      <c r="Q3328" s="194">
        <v>0</v>
      </c>
      <c r="R3328" s="194">
        <v>0</v>
      </c>
      <c r="S3328" s="193">
        <f t="shared" si="720"/>
        <v>0</v>
      </c>
      <c r="T3328" s="193">
        <f t="shared" si="721"/>
        <v>0</v>
      </c>
      <c r="U3328" s="193">
        <f ca="1">OFFSET('Expenditure Study'!$B$7,'Operations Support'!$C3328,'Operations Support'!$B3328)*$G3328</f>
        <v>0</v>
      </c>
      <c r="V3328" s="199">
        <f ca="1">U3328*'Expenditure Study'!$B$31</f>
        <v>0</v>
      </c>
      <c r="W3328" s="199">
        <f ca="1">IF(A3328=10298,1.51,1)*IF($B3328&lt;3,$D3328*'Expenditure Study'!$B$32*OFFSET('Expenditure Study'!$B$7,'Operations Support'!$C3328,'Operations Support'!$B3328),0)</f>
        <v>0</v>
      </c>
      <c r="X3328" s="200">
        <f ca="1">W3328*'Expenditure Study'!$B$31</f>
        <v>0</v>
      </c>
      <c r="Y3328" s="199">
        <f ca="1">U3328*'Expenditure Study'!$B$31</f>
        <v>0</v>
      </c>
      <c r="Z3328" s="200">
        <f ca="1">W3328*'Expenditure Study'!$B$31</f>
        <v>0</v>
      </c>
      <c r="AA3328" s="195">
        <f t="shared" ca="1" si="722"/>
        <v>0</v>
      </c>
      <c r="AB3328" s="195">
        <f t="shared" ca="1" si="723"/>
        <v>0</v>
      </c>
      <c r="AD3328" s="196">
        <f>IFERROR($G3328/SUMIF($A:$A,$A3328,$G:$G)*SUMIF(Summary!$A$166:$A$242,$A3328,Summary!$P$166:$P$242),0)</f>
        <v>0</v>
      </c>
      <c r="AE3328" s="197">
        <f t="shared" ca="1" si="724"/>
        <v>0</v>
      </c>
      <c r="AF3328" s="196">
        <f>IFERROR(G3328/SUMIF(A:A,A3328,G:G)*SUMIF(Summary!$A$166:$A$242,'Operations Support'!A3328,Summary!$Q$166:$Q$242),0)</f>
        <v>0</v>
      </c>
      <c r="AG3328" s="196">
        <f t="shared" ca="1" si="725"/>
        <v>0</v>
      </c>
      <c r="AI3328" s="196">
        <f>IFERROR($G3328/SUMIF($A:$A,$A3328,$G:$G)*SUMIF(Summary!$A$247:$A$283,$A3328,Summary!$P$247:$P$283),0)</f>
        <v>0</v>
      </c>
      <c r="AJ3328" s="196">
        <f>IFERROR($G3328/SUMIF($A:$A,$A3328,$G:$G)*(SUMIF(Summary!$A$247:$A$283,$A3328,Summary!$L$247:$L$283)+SUMIF(Summary!$A$297:$A$333,$A3328,Summary!$L$297:$L$333))-AI3328,0)</f>
        <v>0</v>
      </c>
      <c r="AK3328" s="196">
        <f>IFERROR($G3328/SUMIF($A:$A,$A3328,$G:$G)*SUMIF(Summary!$A$247:$A$283,$A3328,Summary!$Q$247:$Q$283),0)</f>
        <v>0</v>
      </c>
      <c r="AL3328" s="196">
        <f>IFERROR($G3328/SUMIF($A:$A,$A3328,$G:$G)*(SUMIF(Summary!$A$247:$A$283,$A3328,Summary!$L$247:$L$283)+SUMIF(Summary!$A$297:$A$333,$A3328,Summary!$L$297:$L$333))-AK3328,0)</f>
        <v>0</v>
      </c>
      <c r="AM3328" s="198"/>
      <c r="AN3328" s="196">
        <f t="shared" ca="1" si="726"/>
        <v>0</v>
      </c>
      <c r="AO3328" s="196">
        <f t="shared" ca="1" si="727"/>
        <v>0</v>
      </c>
    </row>
    <row r="3329" spans="1:41">
      <c r="A3329" s="189">
        <v>12826</v>
      </c>
      <c r="B3329" s="190">
        <v>4</v>
      </c>
      <c r="C3329" s="191" t="s">
        <v>226</v>
      </c>
      <c r="D3329" s="192">
        <f t="shared" si="714"/>
        <v>0</v>
      </c>
      <c r="E3329" s="192">
        <f t="shared" si="715"/>
        <v>0</v>
      </c>
      <c r="F3329" s="192">
        <f t="shared" si="716"/>
        <v>0</v>
      </c>
      <c r="G3329" s="193">
        <f t="shared" si="717"/>
        <v>0</v>
      </c>
      <c r="H3329" s="194">
        <v>0</v>
      </c>
      <c r="I3329" s="194">
        <v>0</v>
      </c>
      <c r="J3329" s="194">
        <v>0</v>
      </c>
      <c r="K3329" s="193">
        <f t="shared" si="718"/>
        <v>0</v>
      </c>
      <c r="L3329" s="194">
        <v>0</v>
      </c>
      <c r="M3329" s="194">
        <v>0</v>
      </c>
      <c r="N3329" s="194">
        <v>0</v>
      </c>
      <c r="O3329" s="193">
        <f t="shared" si="719"/>
        <v>0</v>
      </c>
      <c r="P3329" s="194">
        <v>0</v>
      </c>
      <c r="Q3329" s="194">
        <v>0</v>
      </c>
      <c r="R3329" s="194">
        <v>0</v>
      </c>
      <c r="S3329" s="193">
        <f t="shared" si="720"/>
        <v>0</v>
      </c>
      <c r="T3329" s="193">
        <f t="shared" si="721"/>
        <v>0</v>
      </c>
      <c r="U3329" s="193">
        <f ca="1">OFFSET('Expenditure Study'!$B$7,'Operations Support'!$C3329,'Operations Support'!$B3329)*$G3329</f>
        <v>0</v>
      </c>
      <c r="V3329" s="199">
        <f ca="1">U3329*'Expenditure Study'!$B$31</f>
        <v>0</v>
      </c>
      <c r="W3329" s="199">
        <f ca="1">IF(A3329=10298,1.51,1)*IF($B3329&lt;3,$D3329*'Expenditure Study'!$B$32*OFFSET('Expenditure Study'!$B$7,'Operations Support'!$C3329,'Operations Support'!$B3329),0)</f>
        <v>0</v>
      </c>
      <c r="X3329" s="200">
        <f ca="1">W3329*'Expenditure Study'!$B$31</f>
        <v>0</v>
      </c>
      <c r="Y3329" s="199">
        <f ca="1">U3329*'Expenditure Study'!$B$31</f>
        <v>0</v>
      </c>
      <c r="Z3329" s="200">
        <f ca="1">W3329*'Expenditure Study'!$B$31</f>
        <v>0</v>
      </c>
      <c r="AA3329" s="195">
        <f t="shared" ca="1" si="722"/>
        <v>0</v>
      </c>
      <c r="AB3329" s="195">
        <f t="shared" ca="1" si="723"/>
        <v>0</v>
      </c>
      <c r="AD3329" s="196">
        <f>IFERROR($G3329/SUMIF($A:$A,$A3329,$G:$G)*SUMIF(Summary!$A$166:$A$242,$A3329,Summary!$P$166:$P$242),0)</f>
        <v>0</v>
      </c>
      <c r="AE3329" s="197">
        <f t="shared" ca="1" si="724"/>
        <v>0</v>
      </c>
      <c r="AF3329" s="196">
        <f>IFERROR(G3329/SUMIF(A:A,A3329,G:G)*SUMIF(Summary!$A$166:$A$242,'Operations Support'!A3329,Summary!$Q$166:$Q$242),0)</f>
        <v>0</v>
      </c>
      <c r="AG3329" s="196">
        <f t="shared" ca="1" si="725"/>
        <v>0</v>
      </c>
      <c r="AI3329" s="196">
        <f>IFERROR($G3329/SUMIF($A:$A,$A3329,$G:$G)*SUMIF(Summary!$A$247:$A$283,$A3329,Summary!$P$247:$P$283),0)</f>
        <v>0</v>
      </c>
      <c r="AJ3329" s="196">
        <f>IFERROR($G3329/SUMIF($A:$A,$A3329,$G:$G)*(SUMIF(Summary!$A$247:$A$283,$A3329,Summary!$L$247:$L$283)+SUMIF(Summary!$A$297:$A$333,$A3329,Summary!$L$297:$L$333))-AI3329,0)</f>
        <v>0</v>
      </c>
      <c r="AK3329" s="196">
        <f>IFERROR($G3329/SUMIF($A:$A,$A3329,$G:$G)*SUMIF(Summary!$A$247:$A$283,$A3329,Summary!$Q$247:$Q$283),0)</f>
        <v>0</v>
      </c>
      <c r="AL3329" s="196">
        <f>IFERROR($G3329/SUMIF($A:$A,$A3329,$G:$G)*(SUMIF(Summary!$A$247:$A$283,$A3329,Summary!$L$247:$L$283)+SUMIF(Summary!$A$297:$A$333,$A3329,Summary!$L$297:$L$333))-AK3329,0)</f>
        <v>0</v>
      </c>
      <c r="AM3329" s="198"/>
      <c r="AN3329" s="196">
        <f t="shared" ca="1" si="726"/>
        <v>0</v>
      </c>
      <c r="AO3329" s="196">
        <f t="shared" ca="1" si="727"/>
        <v>0</v>
      </c>
    </row>
    <row r="3330" spans="1:41">
      <c r="A3330" s="189">
        <v>12826</v>
      </c>
      <c r="B3330" s="190">
        <v>4</v>
      </c>
      <c r="C3330" s="191" t="s">
        <v>227</v>
      </c>
      <c r="D3330" s="192">
        <f t="shared" si="714"/>
        <v>0</v>
      </c>
      <c r="E3330" s="192">
        <f t="shared" si="715"/>
        <v>0</v>
      </c>
      <c r="F3330" s="192">
        <f t="shared" si="716"/>
        <v>0</v>
      </c>
      <c r="G3330" s="193">
        <f t="shared" si="717"/>
        <v>0</v>
      </c>
      <c r="H3330" s="194">
        <v>0</v>
      </c>
      <c r="I3330" s="194">
        <v>0</v>
      </c>
      <c r="J3330" s="194">
        <v>0</v>
      </c>
      <c r="K3330" s="193">
        <f t="shared" si="718"/>
        <v>0</v>
      </c>
      <c r="L3330" s="194">
        <v>0</v>
      </c>
      <c r="M3330" s="194">
        <v>0</v>
      </c>
      <c r="N3330" s="194">
        <v>0</v>
      </c>
      <c r="O3330" s="193">
        <f t="shared" si="719"/>
        <v>0</v>
      </c>
      <c r="P3330" s="194">
        <v>0</v>
      </c>
      <c r="Q3330" s="194">
        <v>0</v>
      </c>
      <c r="R3330" s="194">
        <v>0</v>
      </c>
      <c r="S3330" s="193">
        <f t="shared" si="720"/>
        <v>0</v>
      </c>
      <c r="T3330" s="193">
        <f t="shared" si="721"/>
        <v>0</v>
      </c>
      <c r="U3330" s="193">
        <f ca="1">OFFSET('Expenditure Study'!$B$7,'Operations Support'!$C3330,'Operations Support'!$B3330)*$G3330</f>
        <v>0</v>
      </c>
      <c r="V3330" s="199">
        <f ca="1">U3330*'Expenditure Study'!$B$31</f>
        <v>0</v>
      </c>
      <c r="W3330" s="199">
        <f ca="1">IF(A3330=10298,1.51,1)*IF($B3330&lt;3,$D3330*'Expenditure Study'!$B$32*OFFSET('Expenditure Study'!$B$7,'Operations Support'!$C3330,'Operations Support'!$B3330),0)</f>
        <v>0</v>
      </c>
      <c r="X3330" s="200">
        <f ca="1">W3330*'Expenditure Study'!$B$31</f>
        <v>0</v>
      </c>
      <c r="Y3330" s="199">
        <f ca="1">U3330*'Expenditure Study'!$B$31</f>
        <v>0</v>
      </c>
      <c r="Z3330" s="200">
        <f ca="1">W3330*'Expenditure Study'!$B$31</f>
        <v>0</v>
      </c>
      <c r="AA3330" s="195">
        <f t="shared" ca="1" si="722"/>
        <v>0</v>
      </c>
      <c r="AB3330" s="195">
        <f t="shared" ca="1" si="723"/>
        <v>0</v>
      </c>
      <c r="AD3330" s="196">
        <f>IFERROR($G3330/SUMIF($A:$A,$A3330,$G:$G)*SUMIF(Summary!$A$166:$A$242,$A3330,Summary!$P$166:$P$242),0)</f>
        <v>0</v>
      </c>
      <c r="AE3330" s="197">
        <f t="shared" ca="1" si="724"/>
        <v>0</v>
      </c>
      <c r="AF3330" s="196">
        <f>IFERROR(G3330/SUMIF(A:A,A3330,G:G)*SUMIF(Summary!$A$166:$A$242,'Operations Support'!A3330,Summary!$Q$166:$Q$242),0)</f>
        <v>0</v>
      </c>
      <c r="AG3330" s="196">
        <f t="shared" ca="1" si="725"/>
        <v>0</v>
      </c>
      <c r="AI3330" s="196">
        <f>IFERROR($G3330/SUMIF($A:$A,$A3330,$G:$G)*SUMIF(Summary!$A$247:$A$283,$A3330,Summary!$P$247:$P$283),0)</f>
        <v>0</v>
      </c>
      <c r="AJ3330" s="196">
        <f>IFERROR($G3330/SUMIF($A:$A,$A3330,$G:$G)*(SUMIF(Summary!$A$247:$A$283,$A3330,Summary!$L$247:$L$283)+SUMIF(Summary!$A$297:$A$333,$A3330,Summary!$L$297:$L$333))-AI3330,0)</f>
        <v>0</v>
      </c>
      <c r="AK3330" s="196">
        <f>IFERROR($G3330/SUMIF($A:$A,$A3330,$G:$G)*SUMIF(Summary!$A$247:$A$283,$A3330,Summary!$Q$247:$Q$283),0)</f>
        <v>0</v>
      </c>
      <c r="AL3330" s="196">
        <f>IFERROR($G3330/SUMIF($A:$A,$A3330,$G:$G)*(SUMIF(Summary!$A$247:$A$283,$A3330,Summary!$L$247:$L$283)+SUMIF(Summary!$A$297:$A$333,$A3330,Summary!$L$297:$L$333))-AK3330,0)</f>
        <v>0</v>
      </c>
      <c r="AM3330" s="198"/>
      <c r="AN3330" s="196">
        <f t="shared" ca="1" si="726"/>
        <v>0</v>
      </c>
      <c r="AO3330" s="196">
        <f t="shared" ca="1" si="727"/>
        <v>0</v>
      </c>
    </row>
    <row r="3331" spans="1:41">
      <c r="A3331" s="189">
        <v>12826</v>
      </c>
      <c r="B3331" s="190">
        <v>4</v>
      </c>
      <c r="C3331" s="191" t="s">
        <v>228</v>
      </c>
      <c r="D3331" s="192">
        <f t="shared" si="714"/>
        <v>0</v>
      </c>
      <c r="E3331" s="192">
        <f t="shared" si="715"/>
        <v>0</v>
      </c>
      <c r="F3331" s="192">
        <f t="shared" si="716"/>
        <v>0</v>
      </c>
      <c r="G3331" s="193">
        <f t="shared" si="717"/>
        <v>0</v>
      </c>
      <c r="H3331" s="194">
        <v>0</v>
      </c>
      <c r="I3331" s="194">
        <v>0</v>
      </c>
      <c r="J3331" s="194">
        <v>0</v>
      </c>
      <c r="K3331" s="193">
        <f t="shared" si="718"/>
        <v>0</v>
      </c>
      <c r="L3331" s="194">
        <v>0</v>
      </c>
      <c r="M3331" s="194">
        <v>0</v>
      </c>
      <c r="N3331" s="194">
        <v>0</v>
      </c>
      <c r="O3331" s="193">
        <f t="shared" si="719"/>
        <v>0</v>
      </c>
      <c r="P3331" s="194">
        <v>0</v>
      </c>
      <c r="Q3331" s="194">
        <v>0</v>
      </c>
      <c r="R3331" s="194">
        <v>0</v>
      </c>
      <c r="S3331" s="193">
        <f t="shared" si="720"/>
        <v>0</v>
      </c>
      <c r="T3331" s="193">
        <f t="shared" si="721"/>
        <v>0</v>
      </c>
      <c r="U3331" s="193">
        <f ca="1">OFFSET('Expenditure Study'!$B$7,'Operations Support'!$C3331,'Operations Support'!$B3331)*$G3331</f>
        <v>0</v>
      </c>
      <c r="V3331" s="199">
        <f ca="1">U3331*'Expenditure Study'!$B$31</f>
        <v>0</v>
      </c>
      <c r="W3331" s="199">
        <f ca="1">IF(A3331=10298,1.51,1)*IF($B3331&lt;3,$D3331*'Expenditure Study'!$B$32*OFFSET('Expenditure Study'!$B$7,'Operations Support'!$C3331,'Operations Support'!$B3331),0)</f>
        <v>0</v>
      </c>
      <c r="X3331" s="200">
        <f ca="1">W3331*'Expenditure Study'!$B$31</f>
        <v>0</v>
      </c>
      <c r="Y3331" s="199">
        <f ca="1">U3331*'Expenditure Study'!$B$31</f>
        <v>0</v>
      </c>
      <c r="Z3331" s="200">
        <f ca="1">W3331*'Expenditure Study'!$B$31</f>
        <v>0</v>
      </c>
      <c r="AA3331" s="195">
        <f t="shared" ca="1" si="722"/>
        <v>0</v>
      </c>
      <c r="AB3331" s="195">
        <f t="shared" ca="1" si="723"/>
        <v>0</v>
      </c>
      <c r="AD3331" s="196">
        <f>IFERROR($G3331/SUMIF($A:$A,$A3331,$G:$G)*SUMIF(Summary!$A$166:$A$242,$A3331,Summary!$P$166:$P$242),0)</f>
        <v>0</v>
      </c>
      <c r="AE3331" s="197">
        <f t="shared" ca="1" si="724"/>
        <v>0</v>
      </c>
      <c r="AF3331" s="196">
        <f>IFERROR(G3331/SUMIF(A:A,A3331,G:G)*SUMIF(Summary!$A$166:$A$242,'Operations Support'!A3331,Summary!$Q$166:$Q$242),0)</f>
        <v>0</v>
      </c>
      <c r="AG3331" s="196">
        <f t="shared" ca="1" si="725"/>
        <v>0</v>
      </c>
      <c r="AI3331" s="196">
        <f>IFERROR($G3331/SUMIF($A:$A,$A3331,$G:$G)*SUMIF(Summary!$A$247:$A$283,$A3331,Summary!$P$247:$P$283),0)</f>
        <v>0</v>
      </c>
      <c r="AJ3331" s="196">
        <f>IFERROR($G3331/SUMIF($A:$A,$A3331,$G:$G)*(SUMIF(Summary!$A$247:$A$283,$A3331,Summary!$L$247:$L$283)+SUMIF(Summary!$A$297:$A$333,$A3331,Summary!$L$297:$L$333))-AI3331,0)</f>
        <v>0</v>
      </c>
      <c r="AK3331" s="196">
        <f>IFERROR($G3331/SUMIF($A:$A,$A3331,$G:$G)*SUMIF(Summary!$A$247:$A$283,$A3331,Summary!$Q$247:$Q$283),0)</f>
        <v>0</v>
      </c>
      <c r="AL3331" s="196">
        <f>IFERROR($G3331/SUMIF($A:$A,$A3331,$G:$G)*(SUMIF(Summary!$A$247:$A$283,$A3331,Summary!$L$247:$L$283)+SUMIF(Summary!$A$297:$A$333,$A3331,Summary!$L$297:$L$333))-AK3331,0)</f>
        <v>0</v>
      </c>
      <c r="AM3331" s="198"/>
      <c r="AN3331" s="196">
        <f t="shared" ca="1" si="726"/>
        <v>0</v>
      </c>
      <c r="AO3331" s="196">
        <f t="shared" ca="1" si="727"/>
        <v>0</v>
      </c>
    </row>
    <row r="3332" spans="1:41">
      <c r="A3332" s="189">
        <v>12826</v>
      </c>
      <c r="B3332" s="190">
        <v>4</v>
      </c>
      <c r="C3332" s="191" t="s">
        <v>229</v>
      </c>
      <c r="D3332" s="192">
        <f t="shared" si="714"/>
        <v>0</v>
      </c>
      <c r="E3332" s="192">
        <f t="shared" si="715"/>
        <v>0</v>
      </c>
      <c r="F3332" s="192">
        <f t="shared" si="716"/>
        <v>0</v>
      </c>
      <c r="G3332" s="193">
        <f t="shared" si="717"/>
        <v>0</v>
      </c>
      <c r="H3332" s="194">
        <v>0</v>
      </c>
      <c r="I3332" s="194">
        <v>0</v>
      </c>
      <c r="J3332" s="194">
        <v>0</v>
      </c>
      <c r="K3332" s="193">
        <f t="shared" si="718"/>
        <v>0</v>
      </c>
      <c r="L3332" s="194">
        <v>0</v>
      </c>
      <c r="M3332" s="194">
        <v>0</v>
      </c>
      <c r="N3332" s="194">
        <v>0</v>
      </c>
      <c r="O3332" s="193">
        <f t="shared" si="719"/>
        <v>0</v>
      </c>
      <c r="P3332" s="194">
        <v>0</v>
      </c>
      <c r="Q3332" s="194">
        <v>0</v>
      </c>
      <c r="R3332" s="194">
        <v>0</v>
      </c>
      <c r="S3332" s="193">
        <f t="shared" si="720"/>
        <v>0</v>
      </c>
      <c r="T3332" s="193">
        <f t="shared" si="721"/>
        <v>0</v>
      </c>
      <c r="U3332" s="193">
        <f ca="1">OFFSET('Expenditure Study'!$B$7,'Operations Support'!$C3332,'Operations Support'!$B3332)*$G3332</f>
        <v>0</v>
      </c>
      <c r="V3332" s="199">
        <f ca="1">U3332*'Expenditure Study'!$B$31</f>
        <v>0</v>
      </c>
      <c r="W3332" s="199">
        <f ca="1">IF(A3332=10298,1.51,1)*IF($B3332&lt;3,$D3332*'Expenditure Study'!$B$32*OFFSET('Expenditure Study'!$B$7,'Operations Support'!$C3332,'Operations Support'!$B3332),0)</f>
        <v>0</v>
      </c>
      <c r="X3332" s="200">
        <f ca="1">W3332*'Expenditure Study'!$B$31</f>
        <v>0</v>
      </c>
      <c r="Y3332" s="199">
        <f ca="1">U3332*'Expenditure Study'!$B$31</f>
        <v>0</v>
      </c>
      <c r="Z3332" s="200">
        <f ca="1">W3332*'Expenditure Study'!$B$31</f>
        <v>0</v>
      </c>
      <c r="AA3332" s="195">
        <f t="shared" ca="1" si="722"/>
        <v>0</v>
      </c>
      <c r="AB3332" s="195">
        <f t="shared" ca="1" si="723"/>
        <v>0</v>
      </c>
      <c r="AD3332" s="196">
        <f>IFERROR($G3332/SUMIF($A:$A,$A3332,$G:$G)*SUMIF(Summary!$A$166:$A$242,$A3332,Summary!$P$166:$P$242),0)</f>
        <v>0</v>
      </c>
      <c r="AE3332" s="197">
        <f t="shared" ca="1" si="724"/>
        <v>0</v>
      </c>
      <c r="AF3332" s="196">
        <f>IFERROR(G3332/SUMIF(A:A,A3332,G:G)*SUMIF(Summary!$A$166:$A$242,'Operations Support'!A3332,Summary!$Q$166:$Q$242),0)</f>
        <v>0</v>
      </c>
      <c r="AG3332" s="196">
        <f t="shared" ca="1" si="725"/>
        <v>0</v>
      </c>
      <c r="AI3332" s="196">
        <f>IFERROR($G3332/SUMIF($A:$A,$A3332,$G:$G)*SUMIF(Summary!$A$247:$A$283,$A3332,Summary!$P$247:$P$283),0)</f>
        <v>0</v>
      </c>
      <c r="AJ3332" s="196">
        <f>IFERROR($G3332/SUMIF($A:$A,$A3332,$G:$G)*(SUMIF(Summary!$A$247:$A$283,$A3332,Summary!$L$247:$L$283)+SUMIF(Summary!$A$297:$A$333,$A3332,Summary!$L$297:$L$333))-AI3332,0)</f>
        <v>0</v>
      </c>
      <c r="AK3332" s="196">
        <f>IFERROR($G3332/SUMIF($A:$A,$A3332,$G:$G)*SUMIF(Summary!$A$247:$A$283,$A3332,Summary!$Q$247:$Q$283),0)</f>
        <v>0</v>
      </c>
      <c r="AL3332" s="196">
        <f>IFERROR($G3332/SUMIF($A:$A,$A3332,$G:$G)*(SUMIF(Summary!$A$247:$A$283,$A3332,Summary!$L$247:$L$283)+SUMIF(Summary!$A$297:$A$333,$A3332,Summary!$L$297:$L$333))-AK3332,0)</f>
        <v>0</v>
      </c>
      <c r="AM3332" s="198"/>
      <c r="AN3332" s="196">
        <f t="shared" ca="1" si="726"/>
        <v>0</v>
      </c>
      <c r="AO3332" s="196">
        <f t="shared" ca="1" si="727"/>
        <v>0</v>
      </c>
    </row>
    <row r="3333" spans="1:41" s="201" customFormat="1">
      <c r="A3333" s="189">
        <v>12826</v>
      </c>
      <c r="B3333" s="190">
        <v>4</v>
      </c>
      <c r="C3333" s="191" t="s">
        <v>230</v>
      </c>
      <c r="D3333" s="192">
        <f t="shared" ref="D3333:D3396" si="728">H3333+L3333+P3333</f>
        <v>0</v>
      </c>
      <c r="E3333" s="192">
        <f t="shared" ref="E3333:E3396" si="729">I3333+M3333+Q3333</f>
        <v>0</v>
      </c>
      <c r="F3333" s="192">
        <f t="shared" ref="F3333:F3396" si="730">J3333+N3333+R3333</f>
        <v>0</v>
      </c>
      <c r="G3333" s="193">
        <f t="shared" ref="G3333:G3396" si="731">(SUM(D3333:E3333)-F3333)*IF(A3333=10298,1.51,1)</f>
        <v>0</v>
      </c>
      <c r="H3333" s="194">
        <v>0</v>
      </c>
      <c r="I3333" s="194">
        <v>0</v>
      </c>
      <c r="J3333" s="194">
        <v>0</v>
      </c>
      <c r="K3333" s="193">
        <f t="shared" ref="K3333:K3396" si="732">SUM(H3333:I3333)-J3333</f>
        <v>0</v>
      </c>
      <c r="L3333" s="194">
        <v>0</v>
      </c>
      <c r="M3333" s="194">
        <v>0</v>
      </c>
      <c r="N3333" s="194">
        <v>0</v>
      </c>
      <c r="O3333" s="193">
        <f t="shared" ref="O3333:O3396" si="733">SUM(L3333:M3333)-N3333</f>
        <v>0</v>
      </c>
      <c r="P3333" s="194">
        <v>0</v>
      </c>
      <c r="Q3333" s="194">
        <v>0</v>
      </c>
      <c r="R3333" s="194">
        <v>0</v>
      </c>
      <c r="S3333" s="193">
        <f t="shared" ref="S3333:S3396" si="734">SUM(P3333:Q3333)-R3333</f>
        <v>0</v>
      </c>
      <c r="T3333" s="193">
        <f t="shared" ref="T3333:T3396" si="735">IF(OR(B3333=1,B3333=2),G3333/30,IF(OR(B3333=3,B3333=5),G3333/24,IF(B3333=4,G3333/18,0)))</f>
        <v>0</v>
      </c>
      <c r="U3333" s="193">
        <f ca="1">OFFSET('Expenditure Study'!$B$7,'Operations Support'!$C3333,'Operations Support'!$B3333)*$G3333</f>
        <v>0</v>
      </c>
      <c r="V3333" s="199">
        <f ca="1">U3333*'Expenditure Study'!$B$31</f>
        <v>0</v>
      </c>
      <c r="W3333" s="199">
        <f ca="1">IF(A3333=10298,1.51,1)*IF($B3333&lt;3,$D3333*'Expenditure Study'!$B$32*OFFSET('Expenditure Study'!$B$7,'Operations Support'!$C3333,'Operations Support'!$B3333),0)</f>
        <v>0</v>
      </c>
      <c r="X3333" s="200">
        <f ca="1">W3333*'Expenditure Study'!$B$31</f>
        <v>0</v>
      </c>
      <c r="Y3333" s="199">
        <f ca="1">U3333*'Expenditure Study'!$B$31</f>
        <v>0</v>
      </c>
      <c r="Z3333" s="200">
        <f ca="1">W3333*'Expenditure Study'!$B$31</f>
        <v>0</v>
      </c>
      <c r="AA3333" s="195">
        <f t="shared" ref="AA3333:AA3396" ca="1" si="736">V3333+X3333</f>
        <v>0</v>
      </c>
      <c r="AB3333" s="195">
        <f t="shared" ref="AB3333:AB3396" ca="1" si="737">Y3333+Z3333</f>
        <v>0</v>
      </c>
      <c r="AD3333" s="196">
        <f>IFERROR($G3333/SUMIF($A:$A,$A3333,$G:$G)*SUMIF(Summary!$A$166:$A$242,$A3333,Summary!$P$166:$P$242),0)</f>
        <v>0</v>
      </c>
      <c r="AE3333" s="197">
        <f t="shared" ca="1" si="724"/>
        <v>0</v>
      </c>
      <c r="AF3333" s="196">
        <f>IFERROR(G3333/SUMIF(A:A,A3333,G:G)*SUMIF(Summary!$A$166:$A$242,'Operations Support'!A3333,Summary!$Q$166:$Q$242),0)</f>
        <v>0</v>
      </c>
      <c r="AG3333" s="196">
        <f t="shared" ca="1" si="725"/>
        <v>0</v>
      </c>
      <c r="AH3333" s="180"/>
      <c r="AI3333" s="196">
        <f>IFERROR($G3333/SUMIF($A:$A,$A3333,$G:$G)*SUMIF(Summary!$A$247:$A$283,$A3333,Summary!$P$247:$P$283),0)</f>
        <v>0</v>
      </c>
      <c r="AJ3333" s="196">
        <f>IFERROR($G3333/SUMIF($A:$A,$A3333,$G:$G)*(SUMIF(Summary!$A$247:$A$283,$A3333,Summary!$L$247:$L$283)+SUMIF(Summary!$A$297:$A$333,$A3333,Summary!$L$297:$L$333))-AI3333,0)</f>
        <v>0</v>
      </c>
      <c r="AK3333" s="196">
        <f>IFERROR($G3333/SUMIF($A:$A,$A3333,$G:$G)*SUMIF(Summary!$A$247:$A$283,$A3333,Summary!$Q$247:$Q$283),0)</f>
        <v>0</v>
      </c>
      <c r="AL3333" s="196">
        <f>IFERROR($G3333/SUMIF($A:$A,$A3333,$G:$G)*(SUMIF(Summary!$A$247:$A$283,$A3333,Summary!$L$247:$L$283)+SUMIF(Summary!$A$297:$A$333,$A3333,Summary!$L$297:$L$333))-AK3333,0)</f>
        <v>0</v>
      </c>
      <c r="AM3333" s="198"/>
      <c r="AN3333" s="196">
        <f t="shared" ca="1" si="726"/>
        <v>0</v>
      </c>
      <c r="AO3333" s="196">
        <f t="shared" ca="1" si="727"/>
        <v>0</v>
      </c>
    </row>
    <row r="3334" spans="1:41" s="201" customFormat="1">
      <c r="A3334" s="189">
        <v>12826</v>
      </c>
      <c r="B3334" s="190">
        <v>4</v>
      </c>
      <c r="C3334" s="191" t="s">
        <v>231</v>
      </c>
      <c r="D3334" s="192">
        <f t="shared" si="728"/>
        <v>0</v>
      </c>
      <c r="E3334" s="192">
        <f t="shared" si="729"/>
        <v>0</v>
      </c>
      <c r="F3334" s="192">
        <f t="shared" si="730"/>
        <v>0</v>
      </c>
      <c r="G3334" s="193">
        <f t="shared" si="731"/>
        <v>0</v>
      </c>
      <c r="H3334" s="194">
        <v>0</v>
      </c>
      <c r="I3334" s="194">
        <v>0</v>
      </c>
      <c r="J3334" s="194">
        <v>0</v>
      </c>
      <c r="K3334" s="193">
        <f t="shared" si="732"/>
        <v>0</v>
      </c>
      <c r="L3334" s="194">
        <v>0</v>
      </c>
      <c r="M3334" s="194">
        <v>0</v>
      </c>
      <c r="N3334" s="194">
        <v>0</v>
      </c>
      <c r="O3334" s="193">
        <f t="shared" si="733"/>
        <v>0</v>
      </c>
      <c r="P3334" s="194">
        <v>0</v>
      </c>
      <c r="Q3334" s="194">
        <v>0</v>
      </c>
      <c r="R3334" s="194">
        <v>0</v>
      </c>
      <c r="S3334" s="193">
        <f t="shared" si="734"/>
        <v>0</v>
      </c>
      <c r="T3334" s="193">
        <f t="shared" si="735"/>
        <v>0</v>
      </c>
      <c r="U3334" s="193">
        <f ca="1">OFFSET('Expenditure Study'!$B$7,'Operations Support'!$C3334,'Operations Support'!$B3334)*$G3334</f>
        <v>0</v>
      </c>
      <c r="V3334" s="199">
        <f ca="1">U3334*'Expenditure Study'!$B$31</f>
        <v>0</v>
      </c>
      <c r="W3334" s="199">
        <f ca="1">IF(A3334=10298,1.51,1)*IF($B3334&lt;3,$D3334*'Expenditure Study'!$B$32*OFFSET('Expenditure Study'!$B$7,'Operations Support'!$C3334,'Operations Support'!$B3334),0)</f>
        <v>0</v>
      </c>
      <c r="X3334" s="200">
        <f ca="1">W3334*'Expenditure Study'!$B$31</f>
        <v>0</v>
      </c>
      <c r="Y3334" s="199">
        <f ca="1">U3334*'Expenditure Study'!$B$31</f>
        <v>0</v>
      </c>
      <c r="Z3334" s="200">
        <f ca="1">W3334*'Expenditure Study'!$B$31</f>
        <v>0</v>
      </c>
      <c r="AA3334" s="195">
        <f t="shared" ca="1" si="736"/>
        <v>0</v>
      </c>
      <c r="AB3334" s="195">
        <f t="shared" ca="1" si="737"/>
        <v>0</v>
      </c>
      <c r="AD3334" s="196">
        <f>IFERROR($G3334/SUMIF($A:$A,$A3334,$G:$G)*SUMIF(Summary!$A$166:$A$242,$A3334,Summary!$P$166:$P$242),0)</f>
        <v>0</v>
      </c>
      <c r="AE3334" s="197">
        <f t="shared" ref="AE3334:AE3397" ca="1" si="738">V3334+X3334-AD3334</f>
        <v>0</v>
      </c>
      <c r="AF3334" s="196">
        <f>IFERROR(G3334/SUMIF(A:A,A3334,G:G)*SUMIF(Summary!$A$166:$A$242,'Operations Support'!A3334,Summary!$Q$166:$Q$242),0)</f>
        <v>0</v>
      </c>
      <c r="AG3334" s="196">
        <f t="shared" ref="AG3334:AG3397" ca="1" si="739">Y3334+Z3334-AF3334</f>
        <v>0</v>
      </c>
      <c r="AH3334" s="180"/>
      <c r="AI3334" s="196">
        <f>IFERROR($G3334/SUMIF($A:$A,$A3334,$G:$G)*SUMIF(Summary!$A$247:$A$283,$A3334,Summary!$P$247:$P$283),0)</f>
        <v>0</v>
      </c>
      <c r="AJ3334" s="196">
        <f>IFERROR($G3334/SUMIF($A:$A,$A3334,$G:$G)*(SUMIF(Summary!$A$247:$A$283,$A3334,Summary!$L$247:$L$283)+SUMIF(Summary!$A$297:$A$333,$A3334,Summary!$L$297:$L$333))-AI3334,0)</f>
        <v>0</v>
      </c>
      <c r="AK3334" s="196">
        <f>IFERROR($G3334/SUMIF($A:$A,$A3334,$G:$G)*SUMIF(Summary!$A$247:$A$283,$A3334,Summary!$Q$247:$Q$283),0)</f>
        <v>0</v>
      </c>
      <c r="AL3334" s="196">
        <f>IFERROR($G3334/SUMIF($A:$A,$A3334,$G:$G)*(SUMIF(Summary!$A$247:$A$283,$A3334,Summary!$L$247:$L$283)+SUMIF(Summary!$A$297:$A$333,$A3334,Summary!$L$297:$L$333))-AK3334,0)</f>
        <v>0</v>
      </c>
      <c r="AM3334" s="198"/>
      <c r="AN3334" s="196">
        <f t="shared" ref="AN3334:AN3397" ca="1" si="740">AE3334+AJ3334</f>
        <v>0</v>
      </c>
      <c r="AO3334" s="196">
        <f t="shared" ref="AO3334:AO3397" ca="1" si="741">AG3334+AL3334</f>
        <v>0</v>
      </c>
    </row>
    <row r="3335" spans="1:41">
      <c r="A3335" s="189">
        <v>12826</v>
      </c>
      <c r="B3335" s="190">
        <v>4</v>
      </c>
      <c r="C3335" s="191" t="s">
        <v>232</v>
      </c>
      <c r="D3335" s="192">
        <f t="shared" si="728"/>
        <v>0</v>
      </c>
      <c r="E3335" s="192">
        <f t="shared" si="729"/>
        <v>0</v>
      </c>
      <c r="F3335" s="192">
        <f t="shared" si="730"/>
        <v>0</v>
      </c>
      <c r="G3335" s="193">
        <f t="shared" si="731"/>
        <v>0</v>
      </c>
      <c r="H3335" s="194">
        <v>0</v>
      </c>
      <c r="I3335" s="194">
        <v>0</v>
      </c>
      <c r="J3335" s="194">
        <v>0</v>
      </c>
      <c r="K3335" s="193">
        <f t="shared" si="732"/>
        <v>0</v>
      </c>
      <c r="L3335" s="194">
        <v>0</v>
      </c>
      <c r="M3335" s="194">
        <v>0</v>
      </c>
      <c r="N3335" s="194">
        <v>0</v>
      </c>
      <c r="O3335" s="193">
        <f t="shared" si="733"/>
        <v>0</v>
      </c>
      <c r="P3335" s="194">
        <v>0</v>
      </c>
      <c r="Q3335" s="194">
        <v>0</v>
      </c>
      <c r="R3335" s="194">
        <v>0</v>
      </c>
      <c r="S3335" s="193">
        <f t="shared" si="734"/>
        <v>0</v>
      </c>
      <c r="T3335" s="193">
        <f t="shared" si="735"/>
        <v>0</v>
      </c>
      <c r="U3335" s="193">
        <f ca="1">OFFSET('Expenditure Study'!$B$7,'Operations Support'!$C3335,'Operations Support'!$B3335)*$G3335</f>
        <v>0</v>
      </c>
      <c r="V3335" s="199">
        <f ca="1">U3335*'Expenditure Study'!$B$31</f>
        <v>0</v>
      </c>
      <c r="W3335" s="199">
        <f ca="1">IF(A3335=10298,1.51,1)*IF($B3335&lt;3,$D3335*'Expenditure Study'!$B$32*OFFSET('Expenditure Study'!$B$7,'Operations Support'!$C3335,'Operations Support'!$B3335),0)</f>
        <v>0</v>
      </c>
      <c r="X3335" s="200">
        <f ca="1">W3335*'Expenditure Study'!$B$31</f>
        <v>0</v>
      </c>
      <c r="Y3335" s="199">
        <f ca="1">U3335*'Expenditure Study'!$B$31</f>
        <v>0</v>
      </c>
      <c r="Z3335" s="200">
        <f ca="1">W3335*'Expenditure Study'!$B$31</f>
        <v>0</v>
      </c>
      <c r="AA3335" s="195">
        <f t="shared" ca="1" si="736"/>
        <v>0</v>
      </c>
      <c r="AB3335" s="195">
        <f t="shared" ca="1" si="737"/>
        <v>0</v>
      </c>
      <c r="AD3335" s="196">
        <f>IFERROR($G3335/SUMIF($A:$A,$A3335,$G:$G)*SUMIF(Summary!$A$166:$A$242,$A3335,Summary!$P$166:$P$242),0)</f>
        <v>0</v>
      </c>
      <c r="AE3335" s="197">
        <f t="shared" ca="1" si="738"/>
        <v>0</v>
      </c>
      <c r="AF3335" s="196">
        <f>IFERROR(G3335/SUMIF(A:A,A3335,G:G)*SUMIF(Summary!$A$166:$A$242,'Operations Support'!A3335,Summary!$Q$166:$Q$242),0)</f>
        <v>0</v>
      </c>
      <c r="AG3335" s="196">
        <f t="shared" ca="1" si="739"/>
        <v>0</v>
      </c>
      <c r="AI3335" s="196">
        <f>IFERROR($G3335/SUMIF($A:$A,$A3335,$G:$G)*SUMIF(Summary!$A$247:$A$283,$A3335,Summary!$P$247:$P$283),0)</f>
        <v>0</v>
      </c>
      <c r="AJ3335" s="196">
        <f>IFERROR($G3335/SUMIF($A:$A,$A3335,$G:$G)*(SUMIF(Summary!$A$247:$A$283,$A3335,Summary!$L$247:$L$283)+SUMIF(Summary!$A$297:$A$333,$A3335,Summary!$L$297:$L$333))-AI3335,0)</f>
        <v>0</v>
      </c>
      <c r="AK3335" s="196">
        <f>IFERROR($G3335/SUMIF($A:$A,$A3335,$G:$G)*SUMIF(Summary!$A$247:$A$283,$A3335,Summary!$Q$247:$Q$283),0)</f>
        <v>0</v>
      </c>
      <c r="AL3335" s="196">
        <f>IFERROR($G3335/SUMIF($A:$A,$A3335,$G:$G)*(SUMIF(Summary!$A$247:$A$283,$A3335,Summary!$L$247:$L$283)+SUMIF(Summary!$A$297:$A$333,$A3335,Summary!$L$297:$L$333))-AK3335,0)</f>
        <v>0</v>
      </c>
      <c r="AM3335" s="198"/>
      <c r="AN3335" s="196">
        <f t="shared" ca="1" si="740"/>
        <v>0</v>
      </c>
      <c r="AO3335" s="196">
        <f t="shared" ca="1" si="741"/>
        <v>0</v>
      </c>
    </row>
    <row r="3336" spans="1:41">
      <c r="A3336" s="189">
        <v>12826</v>
      </c>
      <c r="B3336" s="190">
        <v>4</v>
      </c>
      <c r="C3336" s="191" t="s">
        <v>233</v>
      </c>
      <c r="D3336" s="192">
        <f t="shared" si="728"/>
        <v>0</v>
      </c>
      <c r="E3336" s="192">
        <f t="shared" si="729"/>
        <v>0</v>
      </c>
      <c r="F3336" s="192">
        <f t="shared" si="730"/>
        <v>0</v>
      </c>
      <c r="G3336" s="193">
        <f t="shared" si="731"/>
        <v>0</v>
      </c>
      <c r="H3336" s="194">
        <v>0</v>
      </c>
      <c r="I3336" s="194">
        <v>0</v>
      </c>
      <c r="J3336" s="194">
        <v>0</v>
      </c>
      <c r="K3336" s="193">
        <f t="shared" si="732"/>
        <v>0</v>
      </c>
      <c r="L3336" s="194">
        <v>0</v>
      </c>
      <c r="M3336" s="194">
        <v>0</v>
      </c>
      <c r="N3336" s="194">
        <v>0</v>
      </c>
      <c r="O3336" s="193">
        <f t="shared" si="733"/>
        <v>0</v>
      </c>
      <c r="P3336" s="194">
        <v>0</v>
      </c>
      <c r="Q3336" s="194">
        <v>0</v>
      </c>
      <c r="R3336" s="194">
        <v>0</v>
      </c>
      <c r="S3336" s="193">
        <f t="shared" si="734"/>
        <v>0</v>
      </c>
      <c r="T3336" s="193">
        <f t="shared" si="735"/>
        <v>0</v>
      </c>
      <c r="U3336" s="193">
        <f ca="1">OFFSET('Expenditure Study'!$B$7,'Operations Support'!$C3336,'Operations Support'!$B3336)*$G3336</f>
        <v>0</v>
      </c>
      <c r="V3336" s="199">
        <f ca="1">U3336*'Expenditure Study'!$B$31</f>
        <v>0</v>
      </c>
      <c r="W3336" s="199">
        <f ca="1">IF(A3336=10298,1.51,1)*IF($B3336&lt;3,$D3336*'Expenditure Study'!$B$32*OFFSET('Expenditure Study'!$B$7,'Operations Support'!$C3336,'Operations Support'!$B3336),0)</f>
        <v>0</v>
      </c>
      <c r="X3336" s="200">
        <f ca="1">W3336*'Expenditure Study'!$B$31</f>
        <v>0</v>
      </c>
      <c r="Y3336" s="199">
        <f ca="1">U3336*'Expenditure Study'!$B$31</f>
        <v>0</v>
      </c>
      <c r="Z3336" s="200">
        <f ca="1">W3336*'Expenditure Study'!$B$31</f>
        <v>0</v>
      </c>
      <c r="AA3336" s="195">
        <f t="shared" ca="1" si="736"/>
        <v>0</v>
      </c>
      <c r="AB3336" s="195">
        <f t="shared" ca="1" si="737"/>
        <v>0</v>
      </c>
      <c r="AD3336" s="196">
        <f>IFERROR($G3336/SUMIF($A:$A,$A3336,$G:$G)*SUMIF(Summary!$A$166:$A$242,$A3336,Summary!$P$166:$P$242),0)</f>
        <v>0</v>
      </c>
      <c r="AE3336" s="197">
        <f t="shared" ca="1" si="738"/>
        <v>0</v>
      </c>
      <c r="AF3336" s="196">
        <f>IFERROR(G3336/SUMIF(A:A,A3336,G:G)*SUMIF(Summary!$A$166:$A$242,'Operations Support'!A3336,Summary!$Q$166:$Q$242),0)</f>
        <v>0</v>
      </c>
      <c r="AG3336" s="196">
        <f t="shared" ca="1" si="739"/>
        <v>0</v>
      </c>
      <c r="AI3336" s="196">
        <f>IFERROR($G3336/SUMIF($A:$A,$A3336,$G:$G)*SUMIF(Summary!$A$247:$A$283,$A3336,Summary!$P$247:$P$283),0)</f>
        <v>0</v>
      </c>
      <c r="AJ3336" s="196">
        <f>IFERROR($G3336/SUMIF($A:$A,$A3336,$G:$G)*(SUMIF(Summary!$A$247:$A$283,$A3336,Summary!$L$247:$L$283)+SUMIF(Summary!$A$297:$A$333,$A3336,Summary!$L$297:$L$333))-AI3336,0)</f>
        <v>0</v>
      </c>
      <c r="AK3336" s="196">
        <f>IFERROR($G3336/SUMIF($A:$A,$A3336,$G:$G)*SUMIF(Summary!$A$247:$A$283,$A3336,Summary!$Q$247:$Q$283),0)</f>
        <v>0</v>
      </c>
      <c r="AL3336" s="196">
        <f>IFERROR($G3336/SUMIF($A:$A,$A3336,$G:$G)*(SUMIF(Summary!$A$247:$A$283,$A3336,Summary!$L$247:$L$283)+SUMIF(Summary!$A$297:$A$333,$A3336,Summary!$L$297:$L$333))-AK3336,0)</f>
        <v>0</v>
      </c>
      <c r="AM3336" s="198"/>
      <c r="AN3336" s="196">
        <f t="shared" ca="1" si="740"/>
        <v>0</v>
      </c>
      <c r="AO3336" s="196">
        <f t="shared" ca="1" si="741"/>
        <v>0</v>
      </c>
    </row>
    <row r="3337" spans="1:41">
      <c r="A3337" s="189">
        <v>12826</v>
      </c>
      <c r="B3337" s="190">
        <v>4</v>
      </c>
      <c r="C3337" s="191" t="s">
        <v>234</v>
      </c>
      <c r="D3337" s="192">
        <f t="shared" si="728"/>
        <v>0</v>
      </c>
      <c r="E3337" s="192">
        <f t="shared" si="729"/>
        <v>0</v>
      </c>
      <c r="F3337" s="192">
        <f t="shared" si="730"/>
        <v>0</v>
      </c>
      <c r="G3337" s="193">
        <f t="shared" si="731"/>
        <v>0</v>
      </c>
      <c r="H3337" s="194">
        <v>0</v>
      </c>
      <c r="I3337" s="194">
        <v>0</v>
      </c>
      <c r="J3337" s="194">
        <v>0</v>
      </c>
      <c r="K3337" s="193">
        <f t="shared" si="732"/>
        <v>0</v>
      </c>
      <c r="L3337" s="194">
        <v>0</v>
      </c>
      <c r="M3337" s="194">
        <v>0</v>
      </c>
      <c r="N3337" s="194">
        <v>0</v>
      </c>
      <c r="O3337" s="193">
        <f t="shared" si="733"/>
        <v>0</v>
      </c>
      <c r="P3337" s="194">
        <v>0</v>
      </c>
      <c r="Q3337" s="194">
        <v>0</v>
      </c>
      <c r="R3337" s="194">
        <v>0</v>
      </c>
      <c r="S3337" s="193">
        <f t="shared" si="734"/>
        <v>0</v>
      </c>
      <c r="T3337" s="193">
        <f t="shared" si="735"/>
        <v>0</v>
      </c>
      <c r="U3337" s="193">
        <f ca="1">OFFSET('Expenditure Study'!$B$7,'Operations Support'!$C3337,'Operations Support'!$B3337)*$G3337</f>
        <v>0</v>
      </c>
      <c r="V3337" s="199">
        <f ca="1">U3337*'Expenditure Study'!$B$31</f>
        <v>0</v>
      </c>
      <c r="W3337" s="199">
        <f ca="1">IF(A3337=10298,1.51,1)*IF($B3337&lt;3,$D3337*'Expenditure Study'!$B$32*OFFSET('Expenditure Study'!$B$7,'Operations Support'!$C3337,'Operations Support'!$B3337),0)</f>
        <v>0</v>
      </c>
      <c r="X3337" s="200">
        <f ca="1">W3337*'Expenditure Study'!$B$31</f>
        <v>0</v>
      </c>
      <c r="Y3337" s="199">
        <f ca="1">U3337*'Expenditure Study'!$B$31</f>
        <v>0</v>
      </c>
      <c r="Z3337" s="200">
        <f ca="1">W3337*'Expenditure Study'!$B$31</f>
        <v>0</v>
      </c>
      <c r="AA3337" s="195">
        <f t="shared" ca="1" si="736"/>
        <v>0</v>
      </c>
      <c r="AB3337" s="195">
        <f t="shared" ca="1" si="737"/>
        <v>0</v>
      </c>
      <c r="AD3337" s="196">
        <f>IFERROR($G3337/SUMIF($A:$A,$A3337,$G:$G)*SUMIF(Summary!$A$166:$A$242,$A3337,Summary!$P$166:$P$242),0)</f>
        <v>0</v>
      </c>
      <c r="AE3337" s="197">
        <f t="shared" ca="1" si="738"/>
        <v>0</v>
      </c>
      <c r="AF3337" s="196">
        <f>IFERROR(G3337/SUMIF(A:A,A3337,G:G)*SUMIF(Summary!$A$166:$A$242,'Operations Support'!A3337,Summary!$Q$166:$Q$242),0)</f>
        <v>0</v>
      </c>
      <c r="AG3337" s="196">
        <f t="shared" ca="1" si="739"/>
        <v>0</v>
      </c>
      <c r="AI3337" s="196">
        <f>IFERROR($G3337/SUMIF($A:$A,$A3337,$G:$G)*SUMIF(Summary!$A$247:$A$283,$A3337,Summary!$P$247:$P$283),0)</f>
        <v>0</v>
      </c>
      <c r="AJ3337" s="196">
        <f>IFERROR($G3337/SUMIF($A:$A,$A3337,$G:$G)*(SUMIF(Summary!$A$247:$A$283,$A3337,Summary!$L$247:$L$283)+SUMIF(Summary!$A$297:$A$333,$A3337,Summary!$L$297:$L$333))-AI3337,0)</f>
        <v>0</v>
      </c>
      <c r="AK3337" s="196">
        <f>IFERROR($G3337/SUMIF($A:$A,$A3337,$G:$G)*SUMIF(Summary!$A$247:$A$283,$A3337,Summary!$Q$247:$Q$283),0)</f>
        <v>0</v>
      </c>
      <c r="AL3337" s="196">
        <f>IFERROR($G3337/SUMIF($A:$A,$A3337,$G:$G)*(SUMIF(Summary!$A$247:$A$283,$A3337,Summary!$L$247:$L$283)+SUMIF(Summary!$A$297:$A$333,$A3337,Summary!$L$297:$L$333))-AK3337,0)</f>
        <v>0</v>
      </c>
      <c r="AM3337" s="198"/>
      <c r="AN3337" s="196">
        <f t="shared" ca="1" si="740"/>
        <v>0</v>
      </c>
      <c r="AO3337" s="196">
        <f t="shared" ca="1" si="741"/>
        <v>0</v>
      </c>
    </row>
    <row r="3338" spans="1:41">
      <c r="A3338" s="189">
        <v>12826</v>
      </c>
      <c r="B3338" s="190">
        <v>4</v>
      </c>
      <c r="C3338" s="191" t="s">
        <v>235</v>
      </c>
      <c r="D3338" s="192">
        <f t="shared" si="728"/>
        <v>0</v>
      </c>
      <c r="E3338" s="192">
        <f t="shared" si="729"/>
        <v>0</v>
      </c>
      <c r="F3338" s="192">
        <f t="shared" si="730"/>
        <v>0</v>
      </c>
      <c r="G3338" s="193">
        <f t="shared" si="731"/>
        <v>0</v>
      </c>
      <c r="H3338" s="194">
        <v>0</v>
      </c>
      <c r="I3338" s="194">
        <v>0</v>
      </c>
      <c r="J3338" s="194">
        <v>0</v>
      </c>
      <c r="K3338" s="193">
        <f t="shared" si="732"/>
        <v>0</v>
      </c>
      <c r="L3338" s="194">
        <v>0</v>
      </c>
      <c r="M3338" s="194">
        <v>0</v>
      </c>
      <c r="N3338" s="194">
        <v>0</v>
      </c>
      <c r="O3338" s="193">
        <f t="shared" si="733"/>
        <v>0</v>
      </c>
      <c r="P3338" s="194">
        <v>0</v>
      </c>
      <c r="Q3338" s="194">
        <v>0</v>
      </c>
      <c r="R3338" s="194">
        <v>0</v>
      </c>
      <c r="S3338" s="193">
        <f t="shared" si="734"/>
        <v>0</v>
      </c>
      <c r="T3338" s="193">
        <f t="shared" si="735"/>
        <v>0</v>
      </c>
      <c r="U3338" s="193">
        <f ca="1">OFFSET('Expenditure Study'!$B$7,'Operations Support'!$C3338,'Operations Support'!$B3338)*$G3338</f>
        <v>0</v>
      </c>
      <c r="V3338" s="199">
        <f ca="1">U3338*'Expenditure Study'!$B$31</f>
        <v>0</v>
      </c>
      <c r="W3338" s="199">
        <f ca="1">IF(A3338=10298,1.51,1)*IF($B3338&lt;3,$D3338*'Expenditure Study'!$B$32*OFFSET('Expenditure Study'!$B$7,'Operations Support'!$C3338,'Operations Support'!$B3338),0)</f>
        <v>0</v>
      </c>
      <c r="X3338" s="200">
        <f ca="1">W3338*'Expenditure Study'!$B$31</f>
        <v>0</v>
      </c>
      <c r="Y3338" s="199">
        <f ca="1">U3338*'Expenditure Study'!$B$31</f>
        <v>0</v>
      </c>
      <c r="Z3338" s="200">
        <f ca="1">W3338*'Expenditure Study'!$B$31</f>
        <v>0</v>
      </c>
      <c r="AA3338" s="195">
        <f t="shared" ca="1" si="736"/>
        <v>0</v>
      </c>
      <c r="AB3338" s="195">
        <f t="shared" ca="1" si="737"/>
        <v>0</v>
      </c>
      <c r="AD3338" s="196">
        <f>IFERROR($G3338/SUMIF($A:$A,$A3338,$G:$G)*SUMIF(Summary!$A$166:$A$242,$A3338,Summary!$P$166:$P$242),0)</f>
        <v>0</v>
      </c>
      <c r="AE3338" s="197">
        <f t="shared" ca="1" si="738"/>
        <v>0</v>
      </c>
      <c r="AF3338" s="196">
        <f>IFERROR(G3338/SUMIF(A:A,A3338,G:G)*SUMIF(Summary!$A$166:$A$242,'Operations Support'!A3338,Summary!$Q$166:$Q$242),0)</f>
        <v>0</v>
      </c>
      <c r="AG3338" s="196">
        <f t="shared" ca="1" si="739"/>
        <v>0</v>
      </c>
      <c r="AI3338" s="196">
        <f>IFERROR($G3338/SUMIF($A:$A,$A3338,$G:$G)*SUMIF(Summary!$A$247:$A$283,$A3338,Summary!$P$247:$P$283),0)</f>
        <v>0</v>
      </c>
      <c r="AJ3338" s="196">
        <f>IFERROR($G3338/SUMIF($A:$A,$A3338,$G:$G)*(SUMIF(Summary!$A$247:$A$283,$A3338,Summary!$L$247:$L$283)+SUMIF(Summary!$A$297:$A$333,$A3338,Summary!$L$297:$L$333))-AI3338,0)</f>
        <v>0</v>
      </c>
      <c r="AK3338" s="196">
        <f>IFERROR($G3338/SUMIF($A:$A,$A3338,$G:$G)*SUMIF(Summary!$A$247:$A$283,$A3338,Summary!$Q$247:$Q$283),0)</f>
        <v>0</v>
      </c>
      <c r="AL3338" s="196">
        <f>IFERROR($G3338/SUMIF($A:$A,$A3338,$G:$G)*(SUMIF(Summary!$A$247:$A$283,$A3338,Summary!$L$247:$L$283)+SUMIF(Summary!$A$297:$A$333,$A3338,Summary!$L$297:$L$333))-AK3338,0)</f>
        <v>0</v>
      </c>
      <c r="AM3338" s="198"/>
      <c r="AN3338" s="196">
        <f t="shared" ca="1" si="740"/>
        <v>0</v>
      </c>
      <c r="AO3338" s="196">
        <f t="shared" ca="1" si="741"/>
        <v>0</v>
      </c>
    </row>
    <row r="3339" spans="1:41">
      <c r="A3339" s="189">
        <v>12826</v>
      </c>
      <c r="B3339" s="190">
        <v>4</v>
      </c>
      <c r="C3339" s="191" t="s">
        <v>236</v>
      </c>
      <c r="D3339" s="192">
        <f t="shared" si="728"/>
        <v>0</v>
      </c>
      <c r="E3339" s="192">
        <f t="shared" si="729"/>
        <v>0</v>
      </c>
      <c r="F3339" s="192">
        <f t="shared" si="730"/>
        <v>0</v>
      </c>
      <c r="G3339" s="193">
        <f t="shared" si="731"/>
        <v>0</v>
      </c>
      <c r="H3339" s="194">
        <v>0</v>
      </c>
      <c r="I3339" s="194">
        <v>0</v>
      </c>
      <c r="J3339" s="194">
        <v>0</v>
      </c>
      <c r="K3339" s="193">
        <f t="shared" si="732"/>
        <v>0</v>
      </c>
      <c r="L3339" s="194">
        <v>0</v>
      </c>
      <c r="M3339" s="194">
        <v>0</v>
      </c>
      <c r="N3339" s="194">
        <v>0</v>
      </c>
      <c r="O3339" s="193">
        <f t="shared" si="733"/>
        <v>0</v>
      </c>
      <c r="P3339" s="194">
        <v>0</v>
      </c>
      <c r="Q3339" s="194">
        <v>0</v>
      </c>
      <c r="R3339" s="194">
        <v>0</v>
      </c>
      <c r="S3339" s="193">
        <f t="shared" si="734"/>
        <v>0</v>
      </c>
      <c r="T3339" s="193">
        <f t="shared" si="735"/>
        <v>0</v>
      </c>
      <c r="U3339" s="193">
        <f ca="1">OFFSET('Expenditure Study'!$B$7,'Operations Support'!$C3339,'Operations Support'!$B3339)*$G3339</f>
        <v>0</v>
      </c>
      <c r="V3339" s="199">
        <f ca="1">U3339*'Expenditure Study'!$B$31</f>
        <v>0</v>
      </c>
      <c r="W3339" s="199">
        <f ca="1">IF(A3339=10298,1.51,1)*IF($B3339&lt;3,$D3339*'Expenditure Study'!$B$32*OFFSET('Expenditure Study'!$B$7,'Operations Support'!$C3339,'Operations Support'!$B3339),0)</f>
        <v>0</v>
      </c>
      <c r="X3339" s="200">
        <f ca="1">W3339*'Expenditure Study'!$B$31</f>
        <v>0</v>
      </c>
      <c r="Y3339" s="199">
        <f ca="1">U3339*'Expenditure Study'!$B$31</f>
        <v>0</v>
      </c>
      <c r="Z3339" s="200">
        <f ca="1">W3339*'Expenditure Study'!$B$31</f>
        <v>0</v>
      </c>
      <c r="AA3339" s="195">
        <f t="shared" ca="1" si="736"/>
        <v>0</v>
      </c>
      <c r="AB3339" s="195">
        <f t="shared" ca="1" si="737"/>
        <v>0</v>
      </c>
      <c r="AD3339" s="196">
        <f>IFERROR($G3339/SUMIF($A:$A,$A3339,$G:$G)*SUMIF(Summary!$A$166:$A$242,$A3339,Summary!$P$166:$P$242),0)</f>
        <v>0</v>
      </c>
      <c r="AE3339" s="197">
        <f t="shared" ca="1" si="738"/>
        <v>0</v>
      </c>
      <c r="AF3339" s="196">
        <f>IFERROR(G3339/SUMIF(A:A,A3339,G:G)*SUMIF(Summary!$A$166:$A$242,'Operations Support'!A3339,Summary!$Q$166:$Q$242),0)</f>
        <v>0</v>
      </c>
      <c r="AG3339" s="196">
        <f t="shared" ca="1" si="739"/>
        <v>0</v>
      </c>
      <c r="AI3339" s="196">
        <f>IFERROR($G3339/SUMIF($A:$A,$A3339,$G:$G)*SUMIF(Summary!$A$247:$A$283,$A3339,Summary!$P$247:$P$283),0)</f>
        <v>0</v>
      </c>
      <c r="AJ3339" s="196">
        <f>IFERROR($G3339/SUMIF($A:$A,$A3339,$G:$G)*(SUMIF(Summary!$A$247:$A$283,$A3339,Summary!$L$247:$L$283)+SUMIF(Summary!$A$297:$A$333,$A3339,Summary!$L$297:$L$333))-AI3339,0)</f>
        <v>0</v>
      </c>
      <c r="AK3339" s="196">
        <f>IFERROR($G3339/SUMIF($A:$A,$A3339,$G:$G)*SUMIF(Summary!$A$247:$A$283,$A3339,Summary!$Q$247:$Q$283),0)</f>
        <v>0</v>
      </c>
      <c r="AL3339" s="196">
        <f>IFERROR($G3339/SUMIF($A:$A,$A3339,$G:$G)*(SUMIF(Summary!$A$247:$A$283,$A3339,Summary!$L$247:$L$283)+SUMIF(Summary!$A$297:$A$333,$A3339,Summary!$L$297:$L$333))-AK3339,0)</f>
        <v>0</v>
      </c>
      <c r="AM3339" s="198"/>
      <c r="AN3339" s="196">
        <f t="shared" ca="1" si="740"/>
        <v>0</v>
      </c>
      <c r="AO3339" s="196">
        <f t="shared" ca="1" si="741"/>
        <v>0</v>
      </c>
    </row>
    <row r="3340" spans="1:41">
      <c r="A3340" s="189">
        <v>12826</v>
      </c>
      <c r="B3340" s="190">
        <v>4</v>
      </c>
      <c r="C3340" s="191" t="s">
        <v>237</v>
      </c>
      <c r="D3340" s="192">
        <f t="shared" si="728"/>
        <v>0</v>
      </c>
      <c r="E3340" s="192">
        <f t="shared" si="729"/>
        <v>0</v>
      </c>
      <c r="F3340" s="192">
        <f t="shared" si="730"/>
        <v>0</v>
      </c>
      <c r="G3340" s="193">
        <f t="shared" si="731"/>
        <v>0</v>
      </c>
      <c r="H3340" s="194">
        <v>0</v>
      </c>
      <c r="I3340" s="194">
        <v>0</v>
      </c>
      <c r="J3340" s="194">
        <v>0</v>
      </c>
      <c r="K3340" s="193">
        <f t="shared" si="732"/>
        <v>0</v>
      </c>
      <c r="L3340" s="194">
        <v>0</v>
      </c>
      <c r="M3340" s="194">
        <v>0</v>
      </c>
      <c r="N3340" s="194">
        <v>0</v>
      </c>
      <c r="O3340" s="193">
        <f t="shared" si="733"/>
        <v>0</v>
      </c>
      <c r="P3340" s="194">
        <v>0</v>
      </c>
      <c r="Q3340" s="194">
        <v>0</v>
      </c>
      <c r="R3340" s="194">
        <v>0</v>
      </c>
      <c r="S3340" s="193">
        <f t="shared" si="734"/>
        <v>0</v>
      </c>
      <c r="T3340" s="193">
        <f t="shared" si="735"/>
        <v>0</v>
      </c>
      <c r="U3340" s="193">
        <f ca="1">OFFSET('Expenditure Study'!$B$7,'Operations Support'!$C3340,'Operations Support'!$B3340)*$G3340</f>
        <v>0</v>
      </c>
      <c r="V3340" s="199">
        <f ca="1">U3340*'Expenditure Study'!$B$31</f>
        <v>0</v>
      </c>
      <c r="W3340" s="199">
        <f ca="1">IF(A3340=10298,1.51,1)*IF($B3340&lt;3,$D3340*'Expenditure Study'!$B$32*OFFSET('Expenditure Study'!$B$7,'Operations Support'!$C3340,'Operations Support'!$B3340),0)</f>
        <v>0</v>
      </c>
      <c r="X3340" s="200">
        <f ca="1">W3340*'Expenditure Study'!$B$31</f>
        <v>0</v>
      </c>
      <c r="Y3340" s="199">
        <f ca="1">U3340*'Expenditure Study'!$B$31</f>
        <v>0</v>
      </c>
      <c r="Z3340" s="200">
        <f ca="1">W3340*'Expenditure Study'!$B$31</f>
        <v>0</v>
      </c>
      <c r="AA3340" s="195">
        <f t="shared" ca="1" si="736"/>
        <v>0</v>
      </c>
      <c r="AB3340" s="195">
        <f t="shared" ca="1" si="737"/>
        <v>0</v>
      </c>
      <c r="AD3340" s="196">
        <f>IFERROR($G3340/SUMIF($A:$A,$A3340,$G:$G)*SUMIF(Summary!$A$166:$A$242,$A3340,Summary!$P$166:$P$242),0)</f>
        <v>0</v>
      </c>
      <c r="AE3340" s="197">
        <f t="shared" ca="1" si="738"/>
        <v>0</v>
      </c>
      <c r="AF3340" s="196">
        <f>IFERROR(G3340/SUMIF(A:A,A3340,G:G)*SUMIF(Summary!$A$166:$A$242,'Operations Support'!A3340,Summary!$Q$166:$Q$242),0)</f>
        <v>0</v>
      </c>
      <c r="AG3340" s="196">
        <f t="shared" ca="1" si="739"/>
        <v>0</v>
      </c>
      <c r="AI3340" s="196">
        <f>IFERROR($G3340/SUMIF($A:$A,$A3340,$G:$G)*SUMIF(Summary!$A$247:$A$283,$A3340,Summary!$P$247:$P$283),0)</f>
        <v>0</v>
      </c>
      <c r="AJ3340" s="196">
        <f>IFERROR($G3340/SUMIF($A:$A,$A3340,$G:$G)*(SUMIF(Summary!$A$247:$A$283,$A3340,Summary!$L$247:$L$283)+SUMIF(Summary!$A$297:$A$333,$A3340,Summary!$L$297:$L$333))-AI3340,0)</f>
        <v>0</v>
      </c>
      <c r="AK3340" s="196">
        <f>IFERROR($G3340/SUMIF($A:$A,$A3340,$G:$G)*SUMIF(Summary!$A$247:$A$283,$A3340,Summary!$Q$247:$Q$283),0)</f>
        <v>0</v>
      </c>
      <c r="AL3340" s="196">
        <f>IFERROR($G3340/SUMIF($A:$A,$A3340,$G:$G)*(SUMIF(Summary!$A$247:$A$283,$A3340,Summary!$L$247:$L$283)+SUMIF(Summary!$A$297:$A$333,$A3340,Summary!$L$297:$L$333))-AK3340,0)</f>
        <v>0</v>
      </c>
      <c r="AM3340" s="198"/>
      <c r="AN3340" s="196">
        <f t="shared" ca="1" si="740"/>
        <v>0</v>
      </c>
      <c r="AO3340" s="196">
        <f t="shared" ca="1" si="741"/>
        <v>0</v>
      </c>
    </row>
    <row r="3341" spans="1:41">
      <c r="A3341" s="189">
        <v>12826</v>
      </c>
      <c r="B3341" s="190">
        <v>4</v>
      </c>
      <c r="C3341" s="191" t="s">
        <v>238</v>
      </c>
      <c r="D3341" s="192">
        <f t="shared" si="728"/>
        <v>0</v>
      </c>
      <c r="E3341" s="192">
        <f t="shared" si="729"/>
        <v>0</v>
      </c>
      <c r="F3341" s="192">
        <f t="shared" si="730"/>
        <v>0</v>
      </c>
      <c r="G3341" s="193">
        <f t="shared" si="731"/>
        <v>0</v>
      </c>
      <c r="H3341" s="194">
        <v>0</v>
      </c>
      <c r="I3341" s="194">
        <v>0</v>
      </c>
      <c r="J3341" s="194">
        <v>0</v>
      </c>
      <c r="K3341" s="193">
        <f t="shared" si="732"/>
        <v>0</v>
      </c>
      <c r="L3341" s="194">
        <v>0</v>
      </c>
      <c r="M3341" s="194">
        <v>0</v>
      </c>
      <c r="N3341" s="194">
        <v>0</v>
      </c>
      <c r="O3341" s="193">
        <f t="shared" si="733"/>
        <v>0</v>
      </c>
      <c r="P3341" s="194">
        <v>0</v>
      </c>
      <c r="Q3341" s="194">
        <v>0</v>
      </c>
      <c r="R3341" s="194">
        <v>0</v>
      </c>
      <c r="S3341" s="193">
        <f t="shared" si="734"/>
        <v>0</v>
      </c>
      <c r="T3341" s="193">
        <f t="shared" si="735"/>
        <v>0</v>
      </c>
      <c r="U3341" s="193">
        <f ca="1">OFFSET('Expenditure Study'!$B$7,'Operations Support'!$C3341,'Operations Support'!$B3341)*$G3341</f>
        <v>0</v>
      </c>
      <c r="V3341" s="199">
        <f ca="1">U3341*'Expenditure Study'!$B$31</f>
        <v>0</v>
      </c>
      <c r="W3341" s="199">
        <f ca="1">IF(A3341=10298,1.51,1)*IF($B3341&lt;3,$D3341*'Expenditure Study'!$B$32*OFFSET('Expenditure Study'!$B$7,'Operations Support'!$C3341,'Operations Support'!$B3341),0)</f>
        <v>0</v>
      </c>
      <c r="X3341" s="200">
        <f ca="1">W3341*'Expenditure Study'!$B$31</f>
        <v>0</v>
      </c>
      <c r="Y3341" s="199">
        <f ca="1">U3341*'Expenditure Study'!$B$31</f>
        <v>0</v>
      </c>
      <c r="Z3341" s="200">
        <f ca="1">W3341*'Expenditure Study'!$B$31</f>
        <v>0</v>
      </c>
      <c r="AA3341" s="195">
        <f t="shared" ca="1" si="736"/>
        <v>0</v>
      </c>
      <c r="AB3341" s="195">
        <f t="shared" ca="1" si="737"/>
        <v>0</v>
      </c>
      <c r="AD3341" s="196">
        <f>IFERROR($G3341/SUMIF($A:$A,$A3341,$G:$G)*SUMIF(Summary!$A$166:$A$242,$A3341,Summary!$P$166:$P$242),0)</f>
        <v>0</v>
      </c>
      <c r="AE3341" s="197">
        <f t="shared" ca="1" si="738"/>
        <v>0</v>
      </c>
      <c r="AF3341" s="196">
        <f>IFERROR(G3341/SUMIF(A:A,A3341,G:G)*SUMIF(Summary!$A$166:$A$242,'Operations Support'!A3341,Summary!$Q$166:$Q$242),0)</f>
        <v>0</v>
      </c>
      <c r="AG3341" s="196">
        <f t="shared" ca="1" si="739"/>
        <v>0</v>
      </c>
      <c r="AI3341" s="196">
        <f>IFERROR($G3341/SUMIF($A:$A,$A3341,$G:$G)*SUMIF(Summary!$A$247:$A$283,$A3341,Summary!$P$247:$P$283),0)</f>
        <v>0</v>
      </c>
      <c r="AJ3341" s="196">
        <f>IFERROR($G3341/SUMIF($A:$A,$A3341,$G:$G)*(SUMIF(Summary!$A$247:$A$283,$A3341,Summary!$L$247:$L$283)+SUMIF(Summary!$A$297:$A$333,$A3341,Summary!$L$297:$L$333))-AI3341,0)</f>
        <v>0</v>
      </c>
      <c r="AK3341" s="196">
        <f>IFERROR($G3341/SUMIF($A:$A,$A3341,$G:$G)*SUMIF(Summary!$A$247:$A$283,$A3341,Summary!$Q$247:$Q$283),0)</f>
        <v>0</v>
      </c>
      <c r="AL3341" s="196">
        <f>IFERROR($G3341/SUMIF($A:$A,$A3341,$G:$G)*(SUMIF(Summary!$A$247:$A$283,$A3341,Summary!$L$247:$L$283)+SUMIF(Summary!$A$297:$A$333,$A3341,Summary!$L$297:$L$333))-AK3341,0)</f>
        <v>0</v>
      </c>
      <c r="AM3341" s="198"/>
      <c r="AN3341" s="196">
        <f t="shared" ca="1" si="740"/>
        <v>0</v>
      </c>
      <c r="AO3341" s="196">
        <f t="shared" ca="1" si="741"/>
        <v>0</v>
      </c>
    </row>
    <row r="3342" spans="1:41">
      <c r="A3342" s="189">
        <v>12826</v>
      </c>
      <c r="B3342" s="190">
        <v>4</v>
      </c>
      <c r="C3342" s="191" t="s">
        <v>239</v>
      </c>
      <c r="D3342" s="192">
        <f t="shared" si="728"/>
        <v>0</v>
      </c>
      <c r="E3342" s="192">
        <f t="shared" si="729"/>
        <v>0</v>
      </c>
      <c r="F3342" s="192">
        <f t="shared" si="730"/>
        <v>0</v>
      </c>
      <c r="G3342" s="193">
        <f t="shared" si="731"/>
        <v>0</v>
      </c>
      <c r="H3342" s="194">
        <v>0</v>
      </c>
      <c r="I3342" s="194">
        <v>0</v>
      </c>
      <c r="J3342" s="194">
        <v>0</v>
      </c>
      <c r="K3342" s="193">
        <f t="shared" si="732"/>
        <v>0</v>
      </c>
      <c r="L3342" s="194">
        <v>0</v>
      </c>
      <c r="M3342" s="194">
        <v>0</v>
      </c>
      <c r="N3342" s="194">
        <v>0</v>
      </c>
      <c r="O3342" s="193">
        <f t="shared" si="733"/>
        <v>0</v>
      </c>
      <c r="P3342" s="194">
        <v>0</v>
      </c>
      <c r="Q3342" s="194">
        <v>0</v>
      </c>
      <c r="R3342" s="194">
        <v>0</v>
      </c>
      <c r="S3342" s="193">
        <f t="shared" si="734"/>
        <v>0</v>
      </c>
      <c r="T3342" s="193">
        <f t="shared" si="735"/>
        <v>0</v>
      </c>
      <c r="U3342" s="193">
        <f ca="1">OFFSET('Expenditure Study'!$B$7,'Operations Support'!$C3342,'Operations Support'!$B3342)*$G3342</f>
        <v>0</v>
      </c>
      <c r="V3342" s="199">
        <f ca="1">U3342*'Expenditure Study'!$B$31</f>
        <v>0</v>
      </c>
      <c r="W3342" s="199">
        <f ca="1">IF(A3342=10298,1.51,1)*IF($B3342&lt;3,$D3342*'Expenditure Study'!$B$32*OFFSET('Expenditure Study'!$B$7,'Operations Support'!$C3342,'Operations Support'!$B3342),0)</f>
        <v>0</v>
      </c>
      <c r="X3342" s="200">
        <f ca="1">W3342*'Expenditure Study'!$B$31</f>
        <v>0</v>
      </c>
      <c r="Y3342" s="199">
        <f ca="1">U3342*'Expenditure Study'!$B$31</f>
        <v>0</v>
      </c>
      <c r="Z3342" s="200">
        <f ca="1">W3342*'Expenditure Study'!$B$31</f>
        <v>0</v>
      </c>
      <c r="AA3342" s="195">
        <f t="shared" ca="1" si="736"/>
        <v>0</v>
      </c>
      <c r="AB3342" s="195">
        <f t="shared" ca="1" si="737"/>
        <v>0</v>
      </c>
      <c r="AD3342" s="196">
        <f>IFERROR($G3342/SUMIF($A:$A,$A3342,$G:$G)*SUMIF(Summary!$A$166:$A$242,$A3342,Summary!$P$166:$P$242),0)</f>
        <v>0</v>
      </c>
      <c r="AE3342" s="197">
        <f t="shared" ca="1" si="738"/>
        <v>0</v>
      </c>
      <c r="AF3342" s="196">
        <f>IFERROR(G3342/SUMIF(A:A,A3342,G:G)*SUMIF(Summary!$A$166:$A$242,'Operations Support'!A3342,Summary!$Q$166:$Q$242),0)</f>
        <v>0</v>
      </c>
      <c r="AG3342" s="196">
        <f t="shared" ca="1" si="739"/>
        <v>0</v>
      </c>
      <c r="AI3342" s="196">
        <f>IFERROR($G3342/SUMIF($A:$A,$A3342,$G:$G)*SUMIF(Summary!$A$247:$A$283,$A3342,Summary!$P$247:$P$283),0)</f>
        <v>0</v>
      </c>
      <c r="AJ3342" s="196">
        <f>IFERROR($G3342/SUMIF($A:$A,$A3342,$G:$G)*(SUMIF(Summary!$A$247:$A$283,$A3342,Summary!$L$247:$L$283)+SUMIF(Summary!$A$297:$A$333,$A3342,Summary!$L$297:$L$333))-AI3342,0)</f>
        <v>0</v>
      </c>
      <c r="AK3342" s="196">
        <f>IFERROR($G3342/SUMIF($A:$A,$A3342,$G:$G)*SUMIF(Summary!$A$247:$A$283,$A3342,Summary!$Q$247:$Q$283),0)</f>
        <v>0</v>
      </c>
      <c r="AL3342" s="196">
        <f>IFERROR($G3342/SUMIF($A:$A,$A3342,$G:$G)*(SUMIF(Summary!$A$247:$A$283,$A3342,Summary!$L$247:$L$283)+SUMIF(Summary!$A$297:$A$333,$A3342,Summary!$L$297:$L$333))-AK3342,0)</f>
        <v>0</v>
      </c>
      <c r="AM3342" s="198"/>
      <c r="AN3342" s="196">
        <f t="shared" ca="1" si="740"/>
        <v>0</v>
      </c>
      <c r="AO3342" s="196">
        <f t="shared" ca="1" si="741"/>
        <v>0</v>
      </c>
    </row>
    <row r="3343" spans="1:41">
      <c r="A3343" s="189">
        <v>12826</v>
      </c>
      <c r="B3343" s="190">
        <v>4</v>
      </c>
      <c r="C3343" s="191" t="s">
        <v>240</v>
      </c>
      <c r="D3343" s="192">
        <f t="shared" si="728"/>
        <v>0</v>
      </c>
      <c r="E3343" s="192">
        <f t="shared" si="729"/>
        <v>0</v>
      </c>
      <c r="F3343" s="192">
        <f t="shared" si="730"/>
        <v>0</v>
      </c>
      <c r="G3343" s="193">
        <f t="shared" si="731"/>
        <v>0</v>
      </c>
      <c r="H3343" s="194">
        <v>0</v>
      </c>
      <c r="I3343" s="194">
        <v>0</v>
      </c>
      <c r="J3343" s="194">
        <v>0</v>
      </c>
      <c r="K3343" s="193">
        <f t="shared" si="732"/>
        <v>0</v>
      </c>
      <c r="L3343" s="194">
        <v>0</v>
      </c>
      <c r="M3343" s="194">
        <v>0</v>
      </c>
      <c r="N3343" s="194">
        <v>0</v>
      </c>
      <c r="O3343" s="193">
        <f t="shared" si="733"/>
        <v>0</v>
      </c>
      <c r="P3343" s="194">
        <v>0</v>
      </c>
      <c r="Q3343" s="194">
        <v>0</v>
      </c>
      <c r="R3343" s="194">
        <v>0</v>
      </c>
      <c r="S3343" s="193">
        <f t="shared" si="734"/>
        <v>0</v>
      </c>
      <c r="T3343" s="193">
        <f t="shared" si="735"/>
        <v>0</v>
      </c>
      <c r="U3343" s="193">
        <f ca="1">OFFSET('Expenditure Study'!$B$7,'Operations Support'!$C3343,'Operations Support'!$B3343)*$G3343</f>
        <v>0</v>
      </c>
      <c r="V3343" s="199">
        <f ca="1">U3343*'Expenditure Study'!$B$31</f>
        <v>0</v>
      </c>
      <c r="W3343" s="199">
        <f ca="1">IF(A3343=10298,1.51,1)*IF($B3343&lt;3,$D3343*'Expenditure Study'!$B$32*OFFSET('Expenditure Study'!$B$7,'Operations Support'!$C3343,'Operations Support'!$B3343),0)</f>
        <v>0</v>
      </c>
      <c r="X3343" s="200">
        <f ca="1">W3343*'Expenditure Study'!$B$31</f>
        <v>0</v>
      </c>
      <c r="Y3343" s="199">
        <f ca="1">U3343*'Expenditure Study'!$B$31</f>
        <v>0</v>
      </c>
      <c r="Z3343" s="200">
        <f ca="1">W3343*'Expenditure Study'!$B$31</f>
        <v>0</v>
      </c>
      <c r="AA3343" s="195">
        <f t="shared" ca="1" si="736"/>
        <v>0</v>
      </c>
      <c r="AB3343" s="195">
        <f t="shared" ca="1" si="737"/>
        <v>0</v>
      </c>
      <c r="AD3343" s="196">
        <f>IFERROR($G3343/SUMIF($A:$A,$A3343,$G:$G)*SUMIF(Summary!$A$166:$A$242,$A3343,Summary!$P$166:$P$242),0)</f>
        <v>0</v>
      </c>
      <c r="AE3343" s="197">
        <f t="shared" ca="1" si="738"/>
        <v>0</v>
      </c>
      <c r="AF3343" s="196">
        <f>IFERROR(G3343/SUMIF(A:A,A3343,G:G)*SUMIF(Summary!$A$166:$A$242,'Operations Support'!A3343,Summary!$Q$166:$Q$242),0)</f>
        <v>0</v>
      </c>
      <c r="AG3343" s="196">
        <f t="shared" ca="1" si="739"/>
        <v>0</v>
      </c>
      <c r="AI3343" s="196">
        <f>IFERROR($G3343/SUMIF($A:$A,$A3343,$G:$G)*SUMIF(Summary!$A$247:$A$283,$A3343,Summary!$P$247:$P$283),0)</f>
        <v>0</v>
      </c>
      <c r="AJ3343" s="196">
        <f>IFERROR($G3343/SUMIF($A:$A,$A3343,$G:$G)*(SUMIF(Summary!$A$247:$A$283,$A3343,Summary!$L$247:$L$283)+SUMIF(Summary!$A$297:$A$333,$A3343,Summary!$L$297:$L$333))-AI3343,0)</f>
        <v>0</v>
      </c>
      <c r="AK3343" s="196">
        <f>IFERROR($G3343/SUMIF($A:$A,$A3343,$G:$G)*SUMIF(Summary!$A$247:$A$283,$A3343,Summary!$Q$247:$Q$283),0)</f>
        <v>0</v>
      </c>
      <c r="AL3343" s="196">
        <f>IFERROR($G3343/SUMIF($A:$A,$A3343,$G:$G)*(SUMIF(Summary!$A$247:$A$283,$A3343,Summary!$L$247:$L$283)+SUMIF(Summary!$A$297:$A$333,$A3343,Summary!$L$297:$L$333))-AK3343,0)</f>
        <v>0</v>
      </c>
      <c r="AM3343" s="198"/>
      <c r="AN3343" s="196">
        <f t="shared" ca="1" si="740"/>
        <v>0</v>
      </c>
      <c r="AO3343" s="196">
        <f t="shared" ca="1" si="741"/>
        <v>0</v>
      </c>
    </row>
    <row r="3344" spans="1:41">
      <c r="A3344" s="189">
        <v>12826</v>
      </c>
      <c r="B3344" s="190">
        <v>5</v>
      </c>
      <c r="C3344" s="191" t="s">
        <v>220</v>
      </c>
      <c r="D3344" s="192">
        <f t="shared" si="728"/>
        <v>0</v>
      </c>
      <c r="E3344" s="192">
        <f t="shared" si="729"/>
        <v>0</v>
      </c>
      <c r="F3344" s="192">
        <f t="shared" si="730"/>
        <v>0</v>
      </c>
      <c r="G3344" s="193">
        <f t="shared" si="731"/>
        <v>0</v>
      </c>
      <c r="H3344" s="194">
        <v>0</v>
      </c>
      <c r="I3344" s="194">
        <v>0</v>
      </c>
      <c r="J3344" s="194">
        <v>0</v>
      </c>
      <c r="K3344" s="193">
        <f t="shared" si="732"/>
        <v>0</v>
      </c>
      <c r="L3344" s="194">
        <v>0</v>
      </c>
      <c r="M3344" s="194">
        <v>0</v>
      </c>
      <c r="N3344" s="194">
        <v>0</v>
      </c>
      <c r="O3344" s="193">
        <f t="shared" si="733"/>
        <v>0</v>
      </c>
      <c r="P3344" s="194">
        <v>0</v>
      </c>
      <c r="Q3344" s="194">
        <v>0</v>
      </c>
      <c r="R3344" s="194">
        <v>0</v>
      </c>
      <c r="S3344" s="193">
        <f t="shared" si="734"/>
        <v>0</v>
      </c>
      <c r="T3344" s="193">
        <f t="shared" si="735"/>
        <v>0</v>
      </c>
      <c r="U3344" s="193">
        <f ca="1">OFFSET('Expenditure Study'!$B$7,'Operations Support'!$C3344,'Operations Support'!$B3344)*$G3344</f>
        <v>0</v>
      </c>
      <c r="V3344" s="199">
        <f ca="1">U3344*'Expenditure Study'!$B$31</f>
        <v>0</v>
      </c>
      <c r="W3344" s="199">
        <f ca="1">IF(A3344=10298,1.51,1)*IF($B3344&lt;3,$D3344*'Expenditure Study'!$B$32*OFFSET('Expenditure Study'!$B$7,'Operations Support'!$C3344,'Operations Support'!$B3344),0)</f>
        <v>0</v>
      </c>
      <c r="X3344" s="200">
        <f ca="1">W3344*'Expenditure Study'!$B$31</f>
        <v>0</v>
      </c>
      <c r="Y3344" s="199">
        <f ca="1">U3344*'Expenditure Study'!$B$31</f>
        <v>0</v>
      </c>
      <c r="Z3344" s="200">
        <f ca="1">W3344*'Expenditure Study'!$B$31</f>
        <v>0</v>
      </c>
      <c r="AA3344" s="195">
        <f t="shared" ca="1" si="736"/>
        <v>0</v>
      </c>
      <c r="AB3344" s="195">
        <f t="shared" ca="1" si="737"/>
        <v>0</v>
      </c>
      <c r="AD3344" s="196">
        <f>IFERROR($G3344/SUMIF($A:$A,$A3344,$G:$G)*SUMIF(Summary!$A$166:$A$242,$A3344,Summary!$P$166:$P$242),0)</f>
        <v>0</v>
      </c>
      <c r="AE3344" s="197">
        <f t="shared" ca="1" si="738"/>
        <v>0</v>
      </c>
      <c r="AF3344" s="196">
        <f>IFERROR(G3344/SUMIF(A:A,A3344,G:G)*SUMIF(Summary!$A$166:$A$242,'Operations Support'!A3344,Summary!$Q$166:$Q$242),0)</f>
        <v>0</v>
      </c>
      <c r="AG3344" s="196">
        <f t="shared" ca="1" si="739"/>
        <v>0</v>
      </c>
      <c r="AI3344" s="196">
        <f>IFERROR($G3344/SUMIF($A:$A,$A3344,$G:$G)*SUMIF(Summary!$A$247:$A$283,$A3344,Summary!$P$247:$P$283),0)</f>
        <v>0</v>
      </c>
      <c r="AJ3344" s="196">
        <f>IFERROR($G3344/SUMIF($A:$A,$A3344,$G:$G)*(SUMIF(Summary!$A$247:$A$283,$A3344,Summary!$L$247:$L$283)+SUMIF(Summary!$A$297:$A$333,$A3344,Summary!$L$297:$L$333))-AI3344,0)</f>
        <v>0</v>
      </c>
      <c r="AK3344" s="196">
        <f>IFERROR($G3344/SUMIF($A:$A,$A3344,$G:$G)*SUMIF(Summary!$A$247:$A$283,$A3344,Summary!$Q$247:$Q$283),0)</f>
        <v>0</v>
      </c>
      <c r="AL3344" s="196">
        <f>IFERROR($G3344/SUMIF($A:$A,$A3344,$G:$G)*(SUMIF(Summary!$A$247:$A$283,$A3344,Summary!$L$247:$L$283)+SUMIF(Summary!$A$297:$A$333,$A3344,Summary!$L$297:$L$333))-AK3344,0)</f>
        <v>0</v>
      </c>
      <c r="AM3344" s="198"/>
      <c r="AN3344" s="196">
        <f t="shared" ca="1" si="740"/>
        <v>0</v>
      </c>
      <c r="AO3344" s="196">
        <f t="shared" ca="1" si="741"/>
        <v>0</v>
      </c>
    </row>
    <row r="3345" spans="1:41">
      <c r="A3345" s="189">
        <v>12826</v>
      </c>
      <c r="B3345" s="190">
        <v>5</v>
      </c>
      <c r="C3345" s="191" t="s">
        <v>221</v>
      </c>
      <c r="D3345" s="192">
        <f t="shared" si="728"/>
        <v>0</v>
      </c>
      <c r="E3345" s="192">
        <f t="shared" si="729"/>
        <v>0</v>
      </c>
      <c r="F3345" s="192">
        <f t="shared" si="730"/>
        <v>0</v>
      </c>
      <c r="G3345" s="193">
        <f t="shared" si="731"/>
        <v>0</v>
      </c>
      <c r="H3345" s="194">
        <v>0</v>
      </c>
      <c r="I3345" s="194">
        <v>0</v>
      </c>
      <c r="J3345" s="194">
        <v>0</v>
      </c>
      <c r="K3345" s="193">
        <f t="shared" si="732"/>
        <v>0</v>
      </c>
      <c r="L3345" s="194">
        <v>0</v>
      </c>
      <c r="M3345" s="194">
        <v>0</v>
      </c>
      <c r="N3345" s="194">
        <v>0</v>
      </c>
      <c r="O3345" s="193">
        <f t="shared" si="733"/>
        <v>0</v>
      </c>
      <c r="P3345" s="194">
        <v>0</v>
      </c>
      <c r="Q3345" s="194">
        <v>0</v>
      </c>
      <c r="R3345" s="194">
        <v>0</v>
      </c>
      <c r="S3345" s="193">
        <f t="shared" si="734"/>
        <v>0</v>
      </c>
      <c r="T3345" s="193">
        <f t="shared" si="735"/>
        <v>0</v>
      </c>
      <c r="U3345" s="193">
        <f ca="1">OFFSET('Expenditure Study'!$B$7,'Operations Support'!$C3345,'Operations Support'!$B3345)*$G3345</f>
        <v>0</v>
      </c>
      <c r="V3345" s="199">
        <f ca="1">U3345*'Expenditure Study'!$B$31</f>
        <v>0</v>
      </c>
      <c r="W3345" s="199">
        <f ca="1">IF(A3345=10298,1.51,1)*IF($B3345&lt;3,$D3345*'Expenditure Study'!$B$32*OFFSET('Expenditure Study'!$B$7,'Operations Support'!$C3345,'Operations Support'!$B3345),0)</f>
        <v>0</v>
      </c>
      <c r="X3345" s="200">
        <f ca="1">W3345*'Expenditure Study'!$B$31</f>
        <v>0</v>
      </c>
      <c r="Y3345" s="199">
        <f ca="1">U3345*'Expenditure Study'!$B$31</f>
        <v>0</v>
      </c>
      <c r="Z3345" s="200">
        <f ca="1">W3345*'Expenditure Study'!$B$31</f>
        <v>0</v>
      </c>
      <c r="AA3345" s="195">
        <f t="shared" ca="1" si="736"/>
        <v>0</v>
      </c>
      <c r="AB3345" s="195">
        <f t="shared" ca="1" si="737"/>
        <v>0</v>
      </c>
      <c r="AD3345" s="196">
        <f>IFERROR($G3345/SUMIF($A:$A,$A3345,$G:$G)*SUMIF(Summary!$A$166:$A$242,$A3345,Summary!$P$166:$P$242),0)</f>
        <v>0</v>
      </c>
      <c r="AE3345" s="197">
        <f t="shared" ca="1" si="738"/>
        <v>0</v>
      </c>
      <c r="AF3345" s="196">
        <f>IFERROR(G3345/SUMIF(A:A,A3345,G:G)*SUMIF(Summary!$A$166:$A$242,'Operations Support'!A3345,Summary!$Q$166:$Q$242),0)</f>
        <v>0</v>
      </c>
      <c r="AG3345" s="196">
        <f t="shared" ca="1" si="739"/>
        <v>0</v>
      </c>
      <c r="AI3345" s="196">
        <f>IFERROR($G3345/SUMIF($A:$A,$A3345,$G:$G)*SUMIF(Summary!$A$247:$A$283,$A3345,Summary!$P$247:$P$283),0)</f>
        <v>0</v>
      </c>
      <c r="AJ3345" s="196">
        <f>IFERROR($G3345/SUMIF($A:$A,$A3345,$G:$G)*(SUMIF(Summary!$A$247:$A$283,$A3345,Summary!$L$247:$L$283)+SUMIF(Summary!$A$297:$A$333,$A3345,Summary!$L$297:$L$333))-AI3345,0)</f>
        <v>0</v>
      </c>
      <c r="AK3345" s="196">
        <f>IFERROR($G3345/SUMIF($A:$A,$A3345,$G:$G)*SUMIF(Summary!$A$247:$A$283,$A3345,Summary!$Q$247:$Q$283),0)</f>
        <v>0</v>
      </c>
      <c r="AL3345" s="196">
        <f>IFERROR($G3345/SUMIF($A:$A,$A3345,$G:$G)*(SUMIF(Summary!$A$247:$A$283,$A3345,Summary!$L$247:$L$283)+SUMIF(Summary!$A$297:$A$333,$A3345,Summary!$L$297:$L$333))-AK3345,0)</f>
        <v>0</v>
      </c>
      <c r="AM3345" s="198"/>
      <c r="AN3345" s="196">
        <f t="shared" ca="1" si="740"/>
        <v>0</v>
      </c>
      <c r="AO3345" s="196">
        <f t="shared" ca="1" si="741"/>
        <v>0</v>
      </c>
    </row>
    <row r="3346" spans="1:41">
      <c r="A3346" s="189">
        <v>12826</v>
      </c>
      <c r="B3346" s="190">
        <v>5</v>
      </c>
      <c r="C3346" s="191" t="s">
        <v>222</v>
      </c>
      <c r="D3346" s="192">
        <f t="shared" si="728"/>
        <v>0</v>
      </c>
      <c r="E3346" s="192">
        <f t="shared" si="729"/>
        <v>0</v>
      </c>
      <c r="F3346" s="192">
        <f t="shared" si="730"/>
        <v>0</v>
      </c>
      <c r="G3346" s="193">
        <f t="shared" si="731"/>
        <v>0</v>
      </c>
      <c r="H3346" s="194">
        <v>0</v>
      </c>
      <c r="I3346" s="194">
        <v>0</v>
      </c>
      <c r="J3346" s="194">
        <v>0</v>
      </c>
      <c r="K3346" s="193">
        <f t="shared" si="732"/>
        <v>0</v>
      </c>
      <c r="L3346" s="194">
        <v>0</v>
      </c>
      <c r="M3346" s="194">
        <v>0</v>
      </c>
      <c r="N3346" s="194">
        <v>0</v>
      </c>
      <c r="O3346" s="193">
        <f t="shared" si="733"/>
        <v>0</v>
      </c>
      <c r="P3346" s="194">
        <v>0</v>
      </c>
      <c r="Q3346" s="194">
        <v>0</v>
      </c>
      <c r="R3346" s="194">
        <v>0</v>
      </c>
      <c r="S3346" s="193">
        <f t="shared" si="734"/>
        <v>0</v>
      </c>
      <c r="T3346" s="193">
        <f t="shared" si="735"/>
        <v>0</v>
      </c>
      <c r="U3346" s="193">
        <f ca="1">OFFSET('Expenditure Study'!$B$7,'Operations Support'!$C3346,'Operations Support'!$B3346)*$G3346</f>
        <v>0</v>
      </c>
      <c r="V3346" s="199">
        <f ca="1">U3346*'Expenditure Study'!$B$31</f>
        <v>0</v>
      </c>
      <c r="W3346" s="199">
        <f ca="1">IF(A3346=10298,1.51,1)*IF($B3346&lt;3,$D3346*'Expenditure Study'!$B$32*OFFSET('Expenditure Study'!$B$7,'Operations Support'!$C3346,'Operations Support'!$B3346),0)</f>
        <v>0</v>
      </c>
      <c r="X3346" s="200">
        <f ca="1">W3346*'Expenditure Study'!$B$31</f>
        <v>0</v>
      </c>
      <c r="Y3346" s="199">
        <f ca="1">U3346*'Expenditure Study'!$B$31</f>
        <v>0</v>
      </c>
      <c r="Z3346" s="200">
        <f ca="1">W3346*'Expenditure Study'!$B$31</f>
        <v>0</v>
      </c>
      <c r="AA3346" s="195">
        <f t="shared" ca="1" si="736"/>
        <v>0</v>
      </c>
      <c r="AB3346" s="195">
        <f t="shared" ca="1" si="737"/>
        <v>0</v>
      </c>
      <c r="AD3346" s="196">
        <f>IFERROR($G3346/SUMIF($A:$A,$A3346,$G:$G)*SUMIF(Summary!$A$166:$A$242,$A3346,Summary!$P$166:$P$242),0)</f>
        <v>0</v>
      </c>
      <c r="AE3346" s="197">
        <f t="shared" ca="1" si="738"/>
        <v>0</v>
      </c>
      <c r="AF3346" s="196">
        <f>IFERROR(G3346/SUMIF(A:A,A3346,G:G)*SUMIF(Summary!$A$166:$A$242,'Operations Support'!A3346,Summary!$Q$166:$Q$242),0)</f>
        <v>0</v>
      </c>
      <c r="AG3346" s="196">
        <f t="shared" ca="1" si="739"/>
        <v>0</v>
      </c>
      <c r="AI3346" s="196">
        <f>IFERROR($G3346/SUMIF($A:$A,$A3346,$G:$G)*SUMIF(Summary!$A$247:$A$283,$A3346,Summary!$P$247:$P$283),0)</f>
        <v>0</v>
      </c>
      <c r="AJ3346" s="196">
        <f>IFERROR($G3346/SUMIF($A:$A,$A3346,$G:$G)*(SUMIF(Summary!$A$247:$A$283,$A3346,Summary!$L$247:$L$283)+SUMIF(Summary!$A$297:$A$333,$A3346,Summary!$L$297:$L$333))-AI3346,0)</f>
        <v>0</v>
      </c>
      <c r="AK3346" s="196">
        <f>IFERROR($G3346/SUMIF($A:$A,$A3346,$G:$G)*SUMIF(Summary!$A$247:$A$283,$A3346,Summary!$Q$247:$Q$283),0)</f>
        <v>0</v>
      </c>
      <c r="AL3346" s="196">
        <f>IFERROR($G3346/SUMIF($A:$A,$A3346,$G:$G)*(SUMIF(Summary!$A$247:$A$283,$A3346,Summary!$L$247:$L$283)+SUMIF(Summary!$A$297:$A$333,$A3346,Summary!$L$297:$L$333))-AK3346,0)</f>
        <v>0</v>
      </c>
      <c r="AM3346" s="198"/>
      <c r="AN3346" s="196">
        <f t="shared" ca="1" si="740"/>
        <v>0</v>
      </c>
      <c r="AO3346" s="196">
        <f t="shared" ca="1" si="741"/>
        <v>0</v>
      </c>
    </row>
    <row r="3347" spans="1:41">
      <c r="A3347" s="189">
        <v>12826</v>
      </c>
      <c r="B3347" s="190">
        <v>5</v>
      </c>
      <c r="C3347" s="191" t="s">
        <v>223</v>
      </c>
      <c r="D3347" s="192">
        <f t="shared" si="728"/>
        <v>0</v>
      </c>
      <c r="E3347" s="192">
        <f t="shared" si="729"/>
        <v>0</v>
      </c>
      <c r="F3347" s="192">
        <f t="shared" si="730"/>
        <v>0</v>
      </c>
      <c r="G3347" s="193">
        <f t="shared" si="731"/>
        <v>0</v>
      </c>
      <c r="H3347" s="194">
        <v>0</v>
      </c>
      <c r="I3347" s="194">
        <v>0</v>
      </c>
      <c r="J3347" s="194">
        <v>0</v>
      </c>
      <c r="K3347" s="193">
        <f t="shared" si="732"/>
        <v>0</v>
      </c>
      <c r="L3347" s="194">
        <v>0</v>
      </c>
      <c r="M3347" s="194">
        <v>0</v>
      </c>
      <c r="N3347" s="194">
        <v>0</v>
      </c>
      <c r="O3347" s="193">
        <f t="shared" si="733"/>
        <v>0</v>
      </c>
      <c r="P3347" s="194">
        <v>0</v>
      </c>
      <c r="Q3347" s="194">
        <v>0</v>
      </c>
      <c r="R3347" s="194">
        <v>0</v>
      </c>
      <c r="S3347" s="193">
        <f t="shared" si="734"/>
        <v>0</v>
      </c>
      <c r="T3347" s="193">
        <f t="shared" si="735"/>
        <v>0</v>
      </c>
      <c r="U3347" s="193">
        <f ca="1">OFFSET('Expenditure Study'!$B$7,'Operations Support'!$C3347,'Operations Support'!$B3347)*$G3347</f>
        <v>0</v>
      </c>
      <c r="V3347" s="199">
        <f ca="1">U3347*'Expenditure Study'!$B$31</f>
        <v>0</v>
      </c>
      <c r="W3347" s="199">
        <f ca="1">IF(A3347=10298,1.51,1)*IF($B3347&lt;3,$D3347*'Expenditure Study'!$B$32*OFFSET('Expenditure Study'!$B$7,'Operations Support'!$C3347,'Operations Support'!$B3347),0)</f>
        <v>0</v>
      </c>
      <c r="X3347" s="200">
        <f ca="1">W3347*'Expenditure Study'!$B$31</f>
        <v>0</v>
      </c>
      <c r="Y3347" s="199">
        <f ca="1">U3347*'Expenditure Study'!$B$31</f>
        <v>0</v>
      </c>
      <c r="Z3347" s="200">
        <f ca="1">W3347*'Expenditure Study'!$B$31</f>
        <v>0</v>
      </c>
      <c r="AA3347" s="195">
        <f t="shared" ca="1" si="736"/>
        <v>0</v>
      </c>
      <c r="AB3347" s="195">
        <f t="shared" ca="1" si="737"/>
        <v>0</v>
      </c>
      <c r="AD3347" s="196">
        <f>IFERROR($G3347/SUMIF($A:$A,$A3347,$G:$G)*SUMIF(Summary!$A$166:$A$242,$A3347,Summary!$P$166:$P$242),0)</f>
        <v>0</v>
      </c>
      <c r="AE3347" s="197">
        <f t="shared" ca="1" si="738"/>
        <v>0</v>
      </c>
      <c r="AF3347" s="196">
        <f>IFERROR(G3347/SUMIF(A:A,A3347,G:G)*SUMIF(Summary!$A$166:$A$242,'Operations Support'!A3347,Summary!$Q$166:$Q$242),0)</f>
        <v>0</v>
      </c>
      <c r="AG3347" s="196">
        <f t="shared" ca="1" si="739"/>
        <v>0</v>
      </c>
      <c r="AI3347" s="196">
        <f>IFERROR($G3347/SUMIF($A:$A,$A3347,$G:$G)*SUMIF(Summary!$A$247:$A$283,$A3347,Summary!$P$247:$P$283),0)</f>
        <v>0</v>
      </c>
      <c r="AJ3347" s="196">
        <f>IFERROR($G3347/SUMIF($A:$A,$A3347,$G:$G)*(SUMIF(Summary!$A$247:$A$283,$A3347,Summary!$L$247:$L$283)+SUMIF(Summary!$A$297:$A$333,$A3347,Summary!$L$297:$L$333))-AI3347,0)</f>
        <v>0</v>
      </c>
      <c r="AK3347" s="196">
        <f>IFERROR($G3347/SUMIF($A:$A,$A3347,$G:$G)*SUMIF(Summary!$A$247:$A$283,$A3347,Summary!$Q$247:$Q$283),0)</f>
        <v>0</v>
      </c>
      <c r="AL3347" s="196">
        <f>IFERROR($G3347/SUMIF($A:$A,$A3347,$G:$G)*(SUMIF(Summary!$A$247:$A$283,$A3347,Summary!$L$247:$L$283)+SUMIF(Summary!$A$297:$A$333,$A3347,Summary!$L$297:$L$333))-AK3347,0)</f>
        <v>0</v>
      </c>
      <c r="AM3347" s="198"/>
      <c r="AN3347" s="196">
        <f t="shared" ca="1" si="740"/>
        <v>0</v>
      </c>
      <c r="AO3347" s="196">
        <f t="shared" ca="1" si="741"/>
        <v>0</v>
      </c>
    </row>
    <row r="3348" spans="1:41">
      <c r="A3348" s="189">
        <v>12826</v>
      </c>
      <c r="B3348" s="190">
        <v>5</v>
      </c>
      <c r="C3348" s="191" t="s">
        <v>224</v>
      </c>
      <c r="D3348" s="192">
        <f t="shared" si="728"/>
        <v>0</v>
      </c>
      <c r="E3348" s="192">
        <f t="shared" si="729"/>
        <v>0</v>
      </c>
      <c r="F3348" s="192">
        <f t="shared" si="730"/>
        <v>0</v>
      </c>
      <c r="G3348" s="193">
        <f t="shared" si="731"/>
        <v>0</v>
      </c>
      <c r="H3348" s="194">
        <v>0</v>
      </c>
      <c r="I3348" s="194">
        <v>0</v>
      </c>
      <c r="J3348" s="194">
        <v>0</v>
      </c>
      <c r="K3348" s="193">
        <f t="shared" si="732"/>
        <v>0</v>
      </c>
      <c r="L3348" s="194">
        <v>0</v>
      </c>
      <c r="M3348" s="194">
        <v>0</v>
      </c>
      <c r="N3348" s="194">
        <v>0</v>
      </c>
      <c r="O3348" s="193">
        <f t="shared" si="733"/>
        <v>0</v>
      </c>
      <c r="P3348" s="194">
        <v>0</v>
      </c>
      <c r="Q3348" s="194">
        <v>0</v>
      </c>
      <c r="R3348" s="194">
        <v>0</v>
      </c>
      <c r="S3348" s="193">
        <f t="shared" si="734"/>
        <v>0</v>
      </c>
      <c r="T3348" s="193">
        <f t="shared" si="735"/>
        <v>0</v>
      </c>
      <c r="U3348" s="193">
        <f ca="1">OFFSET('Expenditure Study'!$B$7,'Operations Support'!$C3348,'Operations Support'!$B3348)*$G3348</f>
        <v>0</v>
      </c>
      <c r="V3348" s="199">
        <f ca="1">U3348*'Expenditure Study'!$B$31</f>
        <v>0</v>
      </c>
      <c r="W3348" s="199">
        <f ca="1">IF(A3348=10298,1.51,1)*IF($B3348&lt;3,$D3348*'Expenditure Study'!$B$32*OFFSET('Expenditure Study'!$B$7,'Operations Support'!$C3348,'Operations Support'!$B3348),0)</f>
        <v>0</v>
      </c>
      <c r="X3348" s="200">
        <f ca="1">W3348*'Expenditure Study'!$B$31</f>
        <v>0</v>
      </c>
      <c r="Y3348" s="199">
        <f ca="1">U3348*'Expenditure Study'!$B$31</f>
        <v>0</v>
      </c>
      <c r="Z3348" s="200">
        <f ca="1">W3348*'Expenditure Study'!$B$31</f>
        <v>0</v>
      </c>
      <c r="AA3348" s="195">
        <f t="shared" ca="1" si="736"/>
        <v>0</v>
      </c>
      <c r="AB3348" s="195">
        <f t="shared" ca="1" si="737"/>
        <v>0</v>
      </c>
      <c r="AD3348" s="196">
        <f>IFERROR($G3348/SUMIF($A:$A,$A3348,$G:$G)*SUMIF(Summary!$A$166:$A$242,$A3348,Summary!$P$166:$P$242),0)</f>
        <v>0</v>
      </c>
      <c r="AE3348" s="197">
        <f t="shared" ca="1" si="738"/>
        <v>0</v>
      </c>
      <c r="AF3348" s="196">
        <f>IFERROR(G3348/SUMIF(A:A,A3348,G:G)*SUMIF(Summary!$A$166:$A$242,'Operations Support'!A3348,Summary!$Q$166:$Q$242),0)</f>
        <v>0</v>
      </c>
      <c r="AG3348" s="196">
        <f t="shared" ca="1" si="739"/>
        <v>0</v>
      </c>
      <c r="AI3348" s="196">
        <f>IFERROR($G3348/SUMIF($A:$A,$A3348,$G:$G)*SUMIF(Summary!$A$247:$A$283,$A3348,Summary!$P$247:$P$283),0)</f>
        <v>0</v>
      </c>
      <c r="AJ3348" s="196">
        <f>IFERROR($G3348/SUMIF($A:$A,$A3348,$G:$G)*(SUMIF(Summary!$A$247:$A$283,$A3348,Summary!$L$247:$L$283)+SUMIF(Summary!$A$297:$A$333,$A3348,Summary!$L$297:$L$333))-AI3348,0)</f>
        <v>0</v>
      </c>
      <c r="AK3348" s="196">
        <f>IFERROR($G3348/SUMIF($A:$A,$A3348,$G:$G)*SUMIF(Summary!$A$247:$A$283,$A3348,Summary!$Q$247:$Q$283),0)</f>
        <v>0</v>
      </c>
      <c r="AL3348" s="196">
        <f>IFERROR($G3348/SUMIF($A:$A,$A3348,$G:$G)*(SUMIF(Summary!$A$247:$A$283,$A3348,Summary!$L$247:$L$283)+SUMIF(Summary!$A$297:$A$333,$A3348,Summary!$L$297:$L$333))-AK3348,0)</f>
        <v>0</v>
      </c>
      <c r="AM3348" s="198"/>
      <c r="AN3348" s="196">
        <f t="shared" ca="1" si="740"/>
        <v>0</v>
      </c>
      <c r="AO3348" s="196">
        <f t="shared" ca="1" si="741"/>
        <v>0</v>
      </c>
    </row>
    <row r="3349" spans="1:41">
      <c r="A3349" s="189">
        <v>12826</v>
      </c>
      <c r="B3349" s="190">
        <v>5</v>
      </c>
      <c r="C3349" s="191" t="s">
        <v>225</v>
      </c>
      <c r="D3349" s="192">
        <f t="shared" si="728"/>
        <v>0</v>
      </c>
      <c r="E3349" s="192">
        <f t="shared" si="729"/>
        <v>0</v>
      </c>
      <c r="F3349" s="192">
        <f t="shared" si="730"/>
        <v>0</v>
      </c>
      <c r="G3349" s="193">
        <f t="shared" si="731"/>
        <v>0</v>
      </c>
      <c r="H3349" s="194">
        <v>0</v>
      </c>
      <c r="I3349" s="194">
        <v>0</v>
      </c>
      <c r="J3349" s="194">
        <v>0</v>
      </c>
      <c r="K3349" s="193">
        <f t="shared" si="732"/>
        <v>0</v>
      </c>
      <c r="L3349" s="194">
        <v>0</v>
      </c>
      <c r="M3349" s="194">
        <v>0</v>
      </c>
      <c r="N3349" s="194">
        <v>0</v>
      </c>
      <c r="O3349" s="193">
        <f t="shared" si="733"/>
        <v>0</v>
      </c>
      <c r="P3349" s="194">
        <v>0</v>
      </c>
      <c r="Q3349" s="194">
        <v>0</v>
      </c>
      <c r="R3349" s="194">
        <v>0</v>
      </c>
      <c r="S3349" s="193">
        <f t="shared" si="734"/>
        <v>0</v>
      </c>
      <c r="T3349" s="193">
        <f t="shared" si="735"/>
        <v>0</v>
      </c>
      <c r="U3349" s="193">
        <f ca="1">OFFSET('Expenditure Study'!$B$7,'Operations Support'!$C3349,'Operations Support'!$B3349)*$G3349</f>
        <v>0</v>
      </c>
      <c r="V3349" s="199">
        <f ca="1">U3349*'Expenditure Study'!$B$31</f>
        <v>0</v>
      </c>
      <c r="W3349" s="199">
        <f ca="1">IF(A3349=10298,1.51,1)*IF($B3349&lt;3,$D3349*'Expenditure Study'!$B$32*OFFSET('Expenditure Study'!$B$7,'Operations Support'!$C3349,'Operations Support'!$B3349),0)</f>
        <v>0</v>
      </c>
      <c r="X3349" s="200">
        <f ca="1">W3349*'Expenditure Study'!$B$31</f>
        <v>0</v>
      </c>
      <c r="Y3349" s="199">
        <f ca="1">U3349*'Expenditure Study'!$B$31</f>
        <v>0</v>
      </c>
      <c r="Z3349" s="200">
        <f ca="1">W3349*'Expenditure Study'!$B$31</f>
        <v>0</v>
      </c>
      <c r="AA3349" s="195">
        <f t="shared" ca="1" si="736"/>
        <v>0</v>
      </c>
      <c r="AB3349" s="195">
        <f t="shared" ca="1" si="737"/>
        <v>0</v>
      </c>
      <c r="AD3349" s="196">
        <f>IFERROR($G3349/SUMIF($A:$A,$A3349,$G:$G)*SUMIF(Summary!$A$166:$A$242,$A3349,Summary!$P$166:$P$242),0)</f>
        <v>0</v>
      </c>
      <c r="AE3349" s="197">
        <f t="shared" ca="1" si="738"/>
        <v>0</v>
      </c>
      <c r="AF3349" s="196">
        <f>IFERROR(G3349/SUMIF(A:A,A3349,G:G)*SUMIF(Summary!$A$166:$A$242,'Operations Support'!A3349,Summary!$Q$166:$Q$242),0)</f>
        <v>0</v>
      </c>
      <c r="AG3349" s="196">
        <f t="shared" ca="1" si="739"/>
        <v>0</v>
      </c>
      <c r="AI3349" s="196">
        <f>IFERROR($G3349/SUMIF($A:$A,$A3349,$G:$G)*SUMIF(Summary!$A$247:$A$283,$A3349,Summary!$P$247:$P$283),0)</f>
        <v>0</v>
      </c>
      <c r="AJ3349" s="196">
        <f>IFERROR($G3349/SUMIF($A:$A,$A3349,$G:$G)*(SUMIF(Summary!$A$247:$A$283,$A3349,Summary!$L$247:$L$283)+SUMIF(Summary!$A$297:$A$333,$A3349,Summary!$L$297:$L$333))-AI3349,0)</f>
        <v>0</v>
      </c>
      <c r="AK3349" s="196">
        <f>IFERROR($G3349/SUMIF($A:$A,$A3349,$G:$G)*SUMIF(Summary!$A$247:$A$283,$A3349,Summary!$Q$247:$Q$283),0)</f>
        <v>0</v>
      </c>
      <c r="AL3349" s="196">
        <f>IFERROR($G3349/SUMIF($A:$A,$A3349,$G:$G)*(SUMIF(Summary!$A$247:$A$283,$A3349,Summary!$L$247:$L$283)+SUMIF(Summary!$A$297:$A$333,$A3349,Summary!$L$297:$L$333))-AK3349,0)</f>
        <v>0</v>
      </c>
      <c r="AM3349" s="198"/>
      <c r="AN3349" s="196">
        <f t="shared" ca="1" si="740"/>
        <v>0</v>
      </c>
      <c r="AO3349" s="196">
        <f t="shared" ca="1" si="741"/>
        <v>0</v>
      </c>
    </row>
    <row r="3350" spans="1:41">
      <c r="A3350" s="189">
        <v>12826</v>
      </c>
      <c r="B3350" s="190">
        <v>5</v>
      </c>
      <c r="C3350" s="191" t="s">
        <v>226</v>
      </c>
      <c r="D3350" s="192">
        <f t="shared" si="728"/>
        <v>0</v>
      </c>
      <c r="E3350" s="192">
        <f t="shared" si="729"/>
        <v>0</v>
      </c>
      <c r="F3350" s="192">
        <f t="shared" si="730"/>
        <v>0</v>
      </c>
      <c r="G3350" s="193">
        <f t="shared" si="731"/>
        <v>0</v>
      </c>
      <c r="H3350" s="194">
        <v>0</v>
      </c>
      <c r="I3350" s="194">
        <v>0</v>
      </c>
      <c r="J3350" s="194">
        <v>0</v>
      </c>
      <c r="K3350" s="193">
        <f t="shared" si="732"/>
        <v>0</v>
      </c>
      <c r="L3350" s="194">
        <v>0</v>
      </c>
      <c r="M3350" s="194">
        <v>0</v>
      </c>
      <c r="N3350" s="194">
        <v>0</v>
      </c>
      <c r="O3350" s="193">
        <f t="shared" si="733"/>
        <v>0</v>
      </c>
      <c r="P3350" s="194">
        <v>0</v>
      </c>
      <c r="Q3350" s="194">
        <v>0</v>
      </c>
      <c r="R3350" s="194">
        <v>0</v>
      </c>
      <c r="S3350" s="193">
        <f t="shared" si="734"/>
        <v>0</v>
      </c>
      <c r="T3350" s="193">
        <f t="shared" si="735"/>
        <v>0</v>
      </c>
      <c r="U3350" s="193">
        <f ca="1">OFFSET('Expenditure Study'!$B$7,'Operations Support'!$C3350,'Operations Support'!$B3350)*$G3350</f>
        <v>0</v>
      </c>
      <c r="V3350" s="199">
        <f ca="1">U3350*'Expenditure Study'!$B$31</f>
        <v>0</v>
      </c>
      <c r="W3350" s="199">
        <f ca="1">IF(A3350=10298,1.51,1)*IF($B3350&lt;3,$D3350*'Expenditure Study'!$B$32*OFFSET('Expenditure Study'!$B$7,'Operations Support'!$C3350,'Operations Support'!$B3350),0)</f>
        <v>0</v>
      </c>
      <c r="X3350" s="200">
        <f ca="1">W3350*'Expenditure Study'!$B$31</f>
        <v>0</v>
      </c>
      <c r="Y3350" s="199">
        <f ca="1">U3350*'Expenditure Study'!$B$31</f>
        <v>0</v>
      </c>
      <c r="Z3350" s="200">
        <f ca="1">W3350*'Expenditure Study'!$B$31</f>
        <v>0</v>
      </c>
      <c r="AA3350" s="195">
        <f t="shared" ca="1" si="736"/>
        <v>0</v>
      </c>
      <c r="AB3350" s="195">
        <f t="shared" ca="1" si="737"/>
        <v>0</v>
      </c>
      <c r="AD3350" s="196">
        <f>IFERROR($G3350/SUMIF($A:$A,$A3350,$G:$G)*SUMIF(Summary!$A$166:$A$242,$A3350,Summary!$P$166:$P$242),0)</f>
        <v>0</v>
      </c>
      <c r="AE3350" s="197">
        <f t="shared" ca="1" si="738"/>
        <v>0</v>
      </c>
      <c r="AF3350" s="196">
        <f>IFERROR(G3350/SUMIF(A:A,A3350,G:G)*SUMIF(Summary!$A$166:$A$242,'Operations Support'!A3350,Summary!$Q$166:$Q$242),0)</f>
        <v>0</v>
      </c>
      <c r="AG3350" s="196">
        <f t="shared" ca="1" si="739"/>
        <v>0</v>
      </c>
      <c r="AI3350" s="196">
        <f>IFERROR($G3350/SUMIF($A:$A,$A3350,$G:$G)*SUMIF(Summary!$A$247:$A$283,$A3350,Summary!$P$247:$P$283),0)</f>
        <v>0</v>
      </c>
      <c r="AJ3350" s="196">
        <f>IFERROR($G3350/SUMIF($A:$A,$A3350,$G:$G)*(SUMIF(Summary!$A$247:$A$283,$A3350,Summary!$L$247:$L$283)+SUMIF(Summary!$A$297:$A$333,$A3350,Summary!$L$297:$L$333))-AI3350,0)</f>
        <v>0</v>
      </c>
      <c r="AK3350" s="196">
        <f>IFERROR($G3350/SUMIF($A:$A,$A3350,$G:$G)*SUMIF(Summary!$A$247:$A$283,$A3350,Summary!$Q$247:$Q$283),0)</f>
        <v>0</v>
      </c>
      <c r="AL3350" s="196">
        <f>IFERROR($G3350/SUMIF($A:$A,$A3350,$G:$G)*(SUMIF(Summary!$A$247:$A$283,$A3350,Summary!$L$247:$L$283)+SUMIF(Summary!$A$297:$A$333,$A3350,Summary!$L$297:$L$333))-AK3350,0)</f>
        <v>0</v>
      </c>
      <c r="AM3350" s="198"/>
      <c r="AN3350" s="196">
        <f t="shared" ca="1" si="740"/>
        <v>0</v>
      </c>
      <c r="AO3350" s="196">
        <f t="shared" ca="1" si="741"/>
        <v>0</v>
      </c>
    </row>
    <row r="3351" spans="1:41">
      <c r="A3351" s="189">
        <v>12826</v>
      </c>
      <c r="B3351" s="190">
        <v>5</v>
      </c>
      <c r="C3351" s="191" t="s">
        <v>227</v>
      </c>
      <c r="D3351" s="192">
        <f t="shared" si="728"/>
        <v>0</v>
      </c>
      <c r="E3351" s="192">
        <f t="shared" si="729"/>
        <v>0</v>
      </c>
      <c r="F3351" s="192">
        <f t="shared" si="730"/>
        <v>0</v>
      </c>
      <c r="G3351" s="193">
        <f t="shared" si="731"/>
        <v>0</v>
      </c>
      <c r="H3351" s="194">
        <v>0</v>
      </c>
      <c r="I3351" s="194">
        <v>0</v>
      </c>
      <c r="J3351" s="194">
        <v>0</v>
      </c>
      <c r="K3351" s="193">
        <f t="shared" si="732"/>
        <v>0</v>
      </c>
      <c r="L3351" s="194">
        <v>0</v>
      </c>
      <c r="M3351" s="194">
        <v>0</v>
      </c>
      <c r="N3351" s="194">
        <v>0</v>
      </c>
      <c r="O3351" s="193">
        <f t="shared" si="733"/>
        <v>0</v>
      </c>
      <c r="P3351" s="194">
        <v>0</v>
      </c>
      <c r="Q3351" s="194">
        <v>0</v>
      </c>
      <c r="R3351" s="194">
        <v>0</v>
      </c>
      <c r="S3351" s="193">
        <f t="shared" si="734"/>
        <v>0</v>
      </c>
      <c r="T3351" s="193">
        <f t="shared" si="735"/>
        <v>0</v>
      </c>
      <c r="U3351" s="193">
        <f ca="1">OFFSET('Expenditure Study'!$B$7,'Operations Support'!$C3351,'Operations Support'!$B3351)*$G3351</f>
        <v>0</v>
      </c>
      <c r="V3351" s="199">
        <f ca="1">U3351*'Expenditure Study'!$B$31</f>
        <v>0</v>
      </c>
      <c r="W3351" s="199">
        <f ca="1">IF(A3351=10298,1.51,1)*IF($B3351&lt;3,$D3351*'Expenditure Study'!$B$32*OFFSET('Expenditure Study'!$B$7,'Operations Support'!$C3351,'Operations Support'!$B3351),0)</f>
        <v>0</v>
      </c>
      <c r="X3351" s="200">
        <f ca="1">W3351*'Expenditure Study'!$B$31</f>
        <v>0</v>
      </c>
      <c r="Y3351" s="199">
        <f ca="1">U3351*'Expenditure Study'!$B$31</f>
        <v>0</v>
      </c>
      <c r="Z3351" s="200">
        <f ca="1">W3351*'Expenditure Study'!$B$31</f>
        <v>0</v>
      </c>
      <c r="AA3351" s="195">
        <f t="shared" ca="1" si="736"/>
        <v>0</v>
      </c>
      <c r="AB3351" s="195">
        <f t="shared" ca="1" si="737"/>
        <v>0</v>
      </c>
      <c r="AD3351" s="196">
        <f>IFERROR($G3351/SUMIF($A:$A,$A3351,$G:$G)*SUMIF(Summary!$A$166:$A$242,$A3351,Summary!$P$166:$P$242),0)</f>
        <v>0</v>
      </c>
      <c r="AE3351" s="197">
        <f t="shared" ca="1" si="738"/>
        <v>0</v>
      </c>
      <c r="AF3351" s="196">
        <f>IFERROR(G3351/SUMIF(A:A,A3351,G:G)*SUMIF(Summary!$A$166:$A$242,'Operations Support'!A3351,Summary!$Q$166:$Q$242),0)</f>
        <v>0</v>
      </c>
      <c r="AG3351" s="196">
        <f t="shared" ca="1" si="739"/>
        <v>0</v>
      </c>
      <c r="AI3351" s="196">
        <f>IFERROR($G3351/SUMIF($A:$A,$A3351,$G:$G)*SUMIF(Summary!$A$247:$A$283,$A3351,Summary!$P$247:$P$283),0)</f>
        <v>0</v>
      </c>
      <c r="AJ3351" s="196">
        <f>IFERROR($G3351/SUMIF($A:$A,$A3351,$G:$G)*(SUMIF(Summary!$A$247:$A$283,$A3351,Summary!$L$247:$L$283)+SUMIF(Summary!$A$297:$A$333,$A3351,Summary!$L$297:$L$333))-AI3351,0)</f>
        <v>0</v>
      </c>
      <c r="AK3351" s="196">
        <f>IFERROR($G3351/SUMIF($A:$A,$A3351,$G:$G)*SUMIF(Summary!$A$247:$A$283,$A3351,Summary!$Q$247:$Q$283),0)</f>
        <v>0</v>
      </c>
      <c r="AL3351" s="196">
        <f>IFERROR($G3351/SUMIF($A:$A,$A3351,$G:$G)*(SUMIF(Summary!$A$247:$A$283,$A3351,Summary!$L$247:$L$283)+SUMIF(Summary!$A$297:$A$333,$A3351,Summary!$L$297:$L$333))-AK3351,0)</f>
        <v>0</v>
      </c>
      <c r="AM3351" s="198"/>
      <c r="AN3351" s="196">
        <f t="shared" ca="1" si="740"/>
        <v>0</v>
      </c>
      <c r="AO3351" s="196">
        <f t="shared" ca="1" si="741"/>
        <v>0</v>
      </c>
    </row>
    <row r="3352" spans="1:41">
      <c r="A3352" s="189">
        <v>12826</v>
      </c>
      <c r="B3352" s="190">
        <v>5</v>
      </c>
      <c r="C3352" s="191" t="s">
        <v>228</v>
      </c>
      <c r="D3352" s="192">
        <f t="shared" si="728"/>
        <v>0</v>
      </c>
      <c r="E3352" s="192">
        <f t="shared" si="729"/>
        <v>0</v>
      </c>
      <c r="F3352" s="192">
        <f t="shared" si="730"/>
        <v>0</v>
      </c>
      <c r="G3352" s="193">
        <f t="shared" si="731"/>
        <v>0</v>
      </c>
      <c r="H3352" s="194">
        <v>0</v>
      </c>
      <c r="I3352" s="194">
        <v>0</v>
      </c>
      <c r="J3352" s="194">
        <v>0</v>
      </c>
      <c r="K3352" s="193">
        <f t="shared" si="732"/>
        <v>0</v>
      </c>
      <c r="L3352" s="194">
        <v>0</v>
      </c>
      <c r="M3352" s="194">
        <v>0</v>
      </c>
      <c r="N3352" s="194">
        <v>0</v>
      </c>
      <c r="O3352" s="193">
        <f t="shared" si="733"/>
        <v>0</v>
      </c>
      <c r="P3352" s="194">
        <v>0</v>
      </c>
      <c r="Q3352" s="194">
        <v>0</v>
      </c>
      <c r="R3352" s="194">
        <v>0</v>
      </c>
      <c r="S3352" s="193">
        <f t="shared" si="734"/>
        <v>0</v>
      </c>
      <c r="T3352" s="193">
        <f t="shared" si="735"/>
        <v>0</v>
      </c>
      <c r="U3352" s="193">
        <f ca="1">OFFSET('Expenditure Study'!$B$7,'Operations Support'!$C3352,'Operations Support'!$B3352)*$G3352</f>
        <v>0</v>
      </c>
      <c r="V3352" s="199">
        <f ca="1">U3352*'Expenditure Study'!$B$31</f>
        <v>0</v>
      </c>
      <c r="W3352" s="199">
        <f ca="1">IF(A3352=10298,1.51,1)*IF($B3352&lt;3,$D3352*'Expenditure Study'!$B$32*OFFSET('Expenditure Study'!$B$7,'Operations Support'!$C3352,'Operations Support'!$B3352),0)</f>
        <v>0</v>
      </c>
      <c r="X3352" s="200">
        <f ca="1">W3352*'Expenditure Study'!$B$31</f>
        <v>0</v>
      </c>
      <c r="Y3352" s="199">
        <f ca="1">U3352*'Expenditure Study'!$B$31</f>
        <v>0</v>
      </c>
      <c r="Z3352" s="200">
        <f ca="1">W3352*'Expenditure Study'!$B$31</f>
        <v>0</v>
      </c>
      <c r="AA3352" s="195">
        <f t="shared" ca="1" si="736"/>
        <v>0</v>
      </c>
      <c r="AB3352" s="195">
        <f t="shared" ca="1" si="737"/>
        <v>0</v>
      </c>
      <c r="AD3352" s="196">
        <f>IFERROR($G3352/SUMIF($A:$A,$A3352,$G:$G)*SUMIF(Summary!$A$166:$A$242,$A3352,Summary!$P$166:$P$242),0)</f>
        <v>0</v>
      </c>
      <c r="AE3352" s="197">
        <f t="shared" ca="1" si="738"/>
        <v>0</v>
      </c>
      <c r="AF3352" s="196">
        <f>IFERROR(G3352/SUMIF(A:A,A3352,G:G)*SUMIF(Summary!$A$166:$A$242,'Operations Support'!A3352,Summary!$Q$166:$Q$242),0)</f>
        <v>0</v>
      </c>
      <c r="AG3352" s="196">
        <f t="shared" ca="1" si="739"/>
        <v>0</v>
      </c>
      <c r="AI3352" s="196">
        <f>IFERROR($G3352/SUMIF($A:$A,$A3352,$G:$G)*SUMIF(Summary!$A$247:$A$283,$A3352,Summary!$P$247:$P$283),0)</f>
        <v>0</v>
      </c>
      <c r="AJ3352" s="196">
        <f>IFERROR($G3352/SUMIF($A:$A,$A3352,$G:$G)*(SUMIF(Summary!$A$247:$A$283,$A3352,Summary!$L$247:$L$283)+SUMIF(Summary!$A$297:$A$333,$A3352,Summary!$L$297:$L$333))-AI3352,0)</f>
        <v>0</v>
      </c>
      <c r="AK3352" s="196">
        <f>IFERROR($G3352/SUMIF($A:$A,$A3352,$G:$G)*SUMIF(Summary!$A$247:$A$283,$A3352,Summary!$Q$247:$Q$283),0)</f>
        <v>0</v>
      </c>
      <c r="AL3352" s="196">
        <f>IFERROR($G3352/SUMIF($A:$A,$A3352,$G:$G)*(SUMIF(Summary!$A$247:$A$283,$A3352,Summary!$L$247:$L$283)+SUMIF(Summary!$A$297:$A$333,$A3352,Summary!$L$297:$L$333))-AK3352,0)</f>
        <v>0</v>
      </c>
      <c r="AM3352" s="198"/>
      <c r="AN3352" s="196">
        <f t="shared" ca="1" si="740"/>
        <v>0</v>
      </c>
      <c r="AO3352" s="196">
        <f t="shared" ca="1" si="741"/>
        <v>0</v>
      </c>
    </row>
    <row r="3353" spans="1:41">
      <c r="A3353" s="189">
        <v>12826</v>
      </c>
      <c r="B3353" s="190">
        <v>5</v>
      </c>
      <c r="C3353" s="191" t="s">
        <v>229</v>
      </c>
      <c r="D3353" s="192">
        <f t="shared" si="728"/>
        <v>0</v>
      </c>
      <c r="E3353" s="192">
        <f t="shared" si="729"/>
        <v>0</v>
      </c>
      <c r="F3353" s="192">
        <f t="shared" si="730"/>
        <v>0</v>
      </c>
      <c r="G3353" s="193">
        <f t="shared" si="731"/>
        <v>0</v>
      </c>
      <c r="H3353" s="194">
        <v>0</v>
      </c>
      <c r="I3353" s="194">
        <v>0</v>
      </c>
      <c r="J3353" s="194">
        <v>0</v>
      </c>
      <c r="K3353" s="193">
        <f t="shared" si="732"/>
        <v>0</v>
      </c>
      <c r="L3353" s="194">
        <v>0</v>
      </c>
      <c r="M3353" s="194">
        <v>0</v>
      </c>
      <c r="N3353" s="194">
        <v>0</v>
      </c>
      <c r="O3353" s="193">
        <f t="shared" si="733"/>
        <v>0</v>
      </c>
      <c r="P3353" s="194">
        <v>0</v>
      </c>
      <c r="Q3353" s="194">
        <v>0</v>
      </c>
      <c r="R3353" s="194">
        <v>0</v>
      </c>
      <c r="S3353" s="193">
        <f t="shared" si="734"/>
        <v>0</v>
      </c>
      <c r="T3353" s="193">
        <f t="shared" si="735"/>
        <v>0</v>
      </c>
      <c r="U3353" s="193">
        <f ca="1">OFFSET('Expenditure Study'!$B$7,'Operations Support'!$C3353,'Operations Support'!$B3353)*$G3353</f>
        <v>0</v>
      </c>
      <c r="V3353" s="199">
        <f ca="1">U3353*'Expenditure Study'!$B$31</f>
        <v>0</v>
      </c>
      <c r="W3353" s="199">
        <f ca="1">IF(A3353=10298,1.51,1)*IF($B3353&lt;3,$D3353*'Expenditure Study'!$B$32*OFFSET('Expenditure Study'!$B$7,'Operations Support'!$C3353,'Operations Support'!$B3353),0)</f>
        <v>0</v>
      </c>
      <c r="X3353" s="200">
        <f ca="1">W3353*'Expenditure Study'!$B$31</f>
        <v>0</v>
      </c>
      <c r="Y3353" s="199">
        <f ca="1">U3353*'Expenditure Study'!$B$31</f>
        <v>0</v>
      </c>
      <c r="Z3353" s="200">
        <f ca="1">W3353*'Expenditure Study'!$B$31</f>
        <v>0</v>
      </c>
      <c r="AA3353" s="195">
        <f t="shared" ca="1" si="736"/>
        <v>0</v>
      </c>
      <c r="AB3353" s="195">
        <f t="shared" ca="1" si="737"/>
        <v>0</v>
      </c>
      <c r="AD3353" s="196">
        <f>IFERROR($G3353/SUMIF($A:$A,$A3353,$G:$G)*SUMIF(Summary!$A$166:$A$242,$A3353,Summary!$P$166:$P$242),0)</f>
        <v>0</v>
      </c>
      <c r="AE3353" s="197">
        <f t="shared" ca="1" si="738"/>
        <v>0</v>
      </c>
      <c r="AF3353" s="196">
        <f>IFERROR(G3353/SUMIF(A:A,A3353,G:G)*SUMIF(Summary!$A$166:$A$242,'Operations Support'!A3353,Summary!$Q$166:$Q$242),0)</f>
        <v>0</v>
      </c>
      <c r="AG3353" s="196">
        <f t="shared" ca="1" si="739"/>
        <v>0</v>
      </c>
      <c r="AI3353" s="196">
        <f>IFERROR($G3353/SUMIF($A:$A,$A3353,$G:$G)*SUMIF(Summary!$A$247:$A$283,$A3353,Summary!$P$247:$P$283),0)</f>
        <v>0</v>
      </c>
      <c r="AJ3353" s="196">
        <f>IFERROR($G3353/SUMIF($A:$A,$A3353,$G:$G)*(SUMIF(Summary!$A$247:$A$283,$A3353,Summary!$L$247:$L$283)+SUMIF(Summary!$A$297:$A$333,$A3353,Summary!$L$297:$L$333))-AI3353,0)</f>
        <v>0</v>
      </c>
      <c r="AK3353" s="196">
        <f>IFERROR($G3353/SUMIF($A:$A,$A3353,$G:$G)*SUMIF(Summary!$A$247:$A$283,$A3353,Summary!$Q$247:$Q$283),0)</f>
        <v>0</v>
      </c>
      <c r="AL3353" s="196">
        <f>IFERROR($G3353/SUMIF($A:$A,$A3353,$G:$G)*(SUMIF(Summary!$A$247:$A$283,$A3353,Summary!$L$247:$L$283)+SUMIF(Summary!$A$297:$A$333,$A3353,Summary!$L$297:$L$333))-AK3353,0)</f>
        <v>0</v>
      </c>
      <c r="AM3353" s="198"/>
      <c r="AN3353" s="196">
        <f t="shared" ca="1" si="740"/>
        <v>0</v>
      </c>
      <c r="AO3353" s="196">
        <f t="shared" ca="1" si="741"/>
        <v>0</v>
      </c>
    </row>
    <row r="3354" spans="1:41">
      <c r="A3354" s="189">
        <v>12826</v>
      </c>
      <c r="B3354" s="190">
        <v>5</v>
      </c>
      <c r="C3354" s="191" t="s">
        <v>230</v>
      </c>
      <c r="D3354" s="192">
        <f t="shared" si="728"/>
        <v>0</v>
      </c>
      <c r="E3354" s="192">
        <f t="shared" si="729"/>
        <v>0</v>
      </c>
      <c r="F3354" s="192">
        <f t="shared" si="730"/>
        <v>0</v>
      </c>
      <c r="G3354" s="193">
        <f t="shared" si="731"/>
        <v>0</v>
      </c>
      <c r="H3354" s="194">
        <v>0</v>
      </c>
      <c r="I3354" s="194">
        <v>0</v>
      </c>
      <c r="J3354" s="194">
        <v>0</v>
      </c>
      <c r="K3354" s="193">
        <f t="shared" si="732"/>
        <v>0</v>
      </c>
      <c r="L3354" s="194">
        <v>0</v>
      </c>
      <c r="M3354" s="194">
        <v>0</v>
      </c>
      <c r="N3354" s="194">
        <v>0</v>
      </c>
      <c r="O3354" s="193">
        <f t="shared" si="733"/>
        <v>0</v>
      </c>
      <c r="P3354" s="194">
        <v>0</v>
      </c>
      <c r="Q3354" s="194">
        <v>0</v>
      </c>
      <c r="R3354" s="194">
        <v>0</v>
      </c>
      <c r="S3354" s="193">
        <f t="shared" si="734"/>
        <v>0</v>
      </c>
      <c r="T3354" s="193">
        <f t="shared" si="735"/>
        <v>0</v>
      </c>
      <c r="U3354" s="193">
        <f ca="1">OFFSET('Expenditure Study'!$B$7,'Operations Support'!$C3354,'Operations Support'!$B3354)*$G3354</f>
        <v>0</v>
      </c>
      <c r="V3354" s="199">
        <f ca="1">U3354*'Expenditure Study'!$B$31</f>
        <v>0</v>
      </c>
      <c r="W3354" s="199">
        <f ca="1">IF(A3354=10298,1.51,1)*IF($B3354&lt;3,$D3354*'Expenditure Study'!$B$32*OFFSET('Expenditure Study'!$B$7,'Operations Support'!$C3354,'Operations Support'!$B3354),0)</f>
        <v>0</v>
      </c>
      <c r="X3354" s="200">
        <f ca="1">W3354*'Expenditure Study'!$B$31</f>
        <v>0</v>
      </c>
      <c r="Y3354" s="199">
        <f ca="1">U3354*'Expenditure Study'!$B$31</f>
        <v>0</v>
      </c>
      <c r="Z3354" s="200">
        <f ca="1">W3354*'Expenditure Study'!$B$31</f>
        <v>0</v>
      </c>
      <c r="AA3354" s="195">
        <f t="shared" ca="1" si="736"/>
        <v>0</v>
      </c>
      <c r="AB3354" s="195">
        <f t="shared" ca="1" si="737"/>
        <v>0</v>
      </c>
      <c r="AD3354" s="196">
        <f>IFERROR($G3354/SUMIF($A:$A,$A3354,$G:$G)*SUMIF(Summary!$A$166:$A$242,$A3354,Summary!$P$166:$P$242),0)</f>
        <v>0</v>
      </c>
      <c r="AE3354" s="197">
        <f t="shared" ca="1" si="738"/>
        <v>0</v>
      </c>
      <c r="AF3354" s="196">
        <f>IFERROR(G3354/SUMIF(A:A,A3354,G:G)*SUMIF(Summary!$A$166:$A$242,'Operations Support'!A3354,Summary!$Q$166:$Q$242),0)</f>
        <v>0</v>
      </c>
      <c r="AG3354" s="196">
        <f t="shared" ca="1" si="739"/>
        <v>0</v>
      </c>
      <c r="AI3354" s="196">
        <f>IFERROR($G3354/SUMIF($A:$A,$A3354,$G:$G)*SUMIF(Summary!$A$247:$A$283,$A3354,Summary!$P$247:$P$283),0)</f>
        <v>0</v>
      </c>
      <c r="AJ3354" s="196">
        <f>IFERROR($G3354/SUMIF($A:$A,$A3354,$G:$G)*(SUMIF(Summary!$A$247:$A$283,$A3354,Summary!$L$247:$L$283)+SUMIF(Summary!$A$297:$A$333,$A3354,Summary!$L$297:$L$333))-AI3354,0)</f>
        <v>0</v>
      </c>
      <c r="AK3354" s="196">
        <f>IFERROR($G3354/SUMIF($A:$A,$A3354,$G:$G)*SUMIF(Summary!$A$247:$A$283,$A3354,Summary!$Q$247:$Q$283),0)</f>
        <v>0</v>
      </c>
      <c r="AL3354" s="196">
        <f>IFERROR($G3354/SUMIF($A:$A,$A3354,$G:$G)*(SUMIF(Summary!$A$247:$A$283,$A3354,Summary!$L$247:$L$283)+SUMIF(Summary!$A$297:$A$333,$A3354,Summary!$L$297:$L$333))-AK3354,0)</f>
        <v>0</v>
      </c>
      <c r="AM3354" s="198"/>
      <c r="AN3354" s="196">
        <f t="shared" ca="1" si="740"/>
        <v>0</v>
      </c>
      <c r="AO3354" s="196">
        <f t="shared" ca="1" si="741"/>
        <v>0</v>
      </c>
    </row>
    <row r="3355" spans="1:41">
      <c r="A3355" s="189">
        <v>12826</v>
      </c>
      <c r="B3355" s="190">
        <v>5</v>
      </c>
      <c r="C3355" s="191" t="s">
        <v>231</v>
      </c>
      <c r="D3355" s="192">
        <f t="shared" si="728"/>
        <v>0</v>
      </c>
      <c r="E3355" s="192">
        <f t="shared" si="729"/>
        <v>0</v>
      </c>
      <c r="F3355" s="192">
        <f t="shared" si="730"/>
        <v>0</v>
      </c>
      <c r="G3355" s="193">
        <f t="shared" si="731"/>
        <v>0</v>
      </c>
      <c r="H3355" s="194">
        <v>0</v>
      </c>
      <c r="I3355" s="194">
        <v>0</v>
      </c>
      <c r="J3355" s="194">
        <v>0</v>
      </c>
      <c r="K3355" s="193">
        <f t="shared" si="732"/>
        <v>0</v>
      </c>
      <c r="L3355" s="194">
        <v>0</v>
      </c>
      <c r="M3355" s="194">
        <v>0</v>
      </c>
      <c r="N3355" s="194">
        <v>0</v>
      </c>
      <c r="O3355" s="193">
        <f t="shared" si="733"/>
        <v>0</v>
      </c>
      <c r="P3355" s="194">
        <v>0</v>
      </c>
      <c r="Q3355" s="194">
        <v>0</v>
      </c>
      <c r="R3355" s="194">
        <v>0</v>
      </c>
      <c r="S3355" s="193">
        <f t="shared" si="734"/>
        <v>0</v>
      </c>
      <c r="T3355" s="193">
        <f t="shared" si="735"/>
        <v>0</v>
      </c>
      <c r="U3355" s="193">
        <f ca="1">OFFSET('Expenditure Study'!$B$7,'Operations Support'!$C3355,'Operations Support'!$B3355)*$G3355</f>
        <v>0</v>
      </c>
      <c r="V3355" s="199">
        <f ca="1">U3355*'Expenditure Study'!$B$31</f>
        <v>0</v>
      </c>
      <c r="W3355" s="199">
        <f ca="1">IF(A3355=10298,1.51,1)*IF($B3355&lt;3,$D3355*'Expenditure Study'!$B$32*OFFSET('Expenditure Study'!$B$7,'Operations Support'!$C3355,'Operations Support'!$B3355),0)</f>
        <v>0</v>
      </c>
      <c r="X3355" s="200">
        <f ca="1">W3355*'Expenditure Study'!$B$31</f>
        <v>0</v>
      </c>
      <c r="Y3355" s="199">
        <f ca="1">U3355*'Expenditure Study'!$B$31</f>
        <v>0</v>
      </c>
      <c r="Z3355" s="200">
        <f ca="1">W3355*'Expenditure Study'!$B$31</f>
        <v>0</v>
      </c>
      <c r="AA3355" s="195">
        <f t="shared" ca="1" si="736"/>
        <v>0</v>
      </c>
      <c r="AB3355" s="195">
        <f t="shared" ca="1" si="737"/>
        <v>0</v>
      </c>
      <c r="AD3355" s="196">
        <f>IFERROR($G3355/SUMIF($A:$A,$A3355,$G:$G)*SUMIF(Summary!$A$166:$A$242,$A3355,Summary!$P$166:$P$242),0)</f>
        <v>0</v>
      </c>
      <c r="AE3355" s="197">
        <f t="shared" ca="1" si="738"/>
        <v>0</v>
      </c>
      <c r="AF3355" s="196">
        <f>IFERROR(G3355/SUMIF(A:A,A3355,G:G)*SUMIF(Summary!$A$166:$A$242,'Operations Support'!A3355,Summary!$Q$166:$Q$242),0)</f>
        <v>0</v>
      </c>
      <c r="AG3355" s="196">
        <f t="shared" ca="1" si="739"/>
        <v>0</v>
      </c>
      <c r="AI3355" s="196">
        <f>IFERROR($G3355/SUMIF($A:$A,$A3355,$G:$G)*SUMIF(Summary!$A$247:$A$283,$A3355,Summary!$P$247:$P$283),0)</f>
        <v>0</v>
      </c>
      <c r="AJ3355" s="196">
        <f>IFERROR($G3355/SUMIF($A:$A,$A3355,$G:$G)*(SUMIF(Summary!$A$247:$A$283,$A3355,Summary!$L$247:$L$283)+SUMIF(Summary!$A$297:$A$333,$A3355,Summary!$L$297:$L$333))-AI3355,0)</f>
        <v>0</v>
      </c>
      <c r="AK3355" s="196">
        <f>IFERROR($G3355/SUMIF($A:$A,$A3355,$G:$G)*SUMIF(Summary!$A$247:$A$283,$A3355,Summary!$Q$247:$Q$283),0)</f>
        <v>0</v>
      </c>
      <c r="AL3355" s="196">
        <f>IFERROR($G3355/SUMIF($A:$A,$A3355,$G:$G)*(SUMIF(Summary!$A$247:$A$283,$A3355,Summary!$L$247:$L$283)+SUMIF(Summary!$A$297:$A$333,$A3355,Summary!$L$297:$L$333))-AK3355,0)</f>
        <v>0</v>
      </c>
      <c r="AM3355" s="198"/>
      <c r="AN3355" s="196">
        <f t="shared" ca="1" si="740"/>
        <v>0</v>
      </c>
      <c r="AO3355" s="196">
        <f t="shared" ca="1" si="741"/>
        <v>0</v>
      </c>
    </row>
    <row r="3356" spans="1:41" s="201" customFormat="1">
      <c r="A3356" s="189">
        <v>12826</v>
      </c>
      <c r="B3356" s="190">
        <v>5</v>
      </c>
      <c r="C3356" s="191" t="s">
        <v>232</v>
      </c>
      <c r="D3356" s="192">
        <f t="shared" si="728"/>
        <v>0</v>
      </c>
      <c r="E3356" s="192">
        <f t="shared" si="729"/>
        <v>0</v>
      </c>
      <c r="F3356" s="192">
        <f t="shared" si="730"/>
        <v>0</v>
      </c>
      <c r="G3356" s="193">
        <f t="shared" si="731"/>
        <v>0</v>
      </c>
      <c r="H3356" s="194">
        <v>0</v>
      </c>
      <c r="I3356" s="194">
        <v>0</v>
      </c>
      <c r="J3356" s="194">
        <v>0</v>
      </c>
      <c r="K3356" s="193">
        <f t="shared" si="732"/>
        <v>0</v>
      </c>
      <c r="L3356" s="194">
        <v>0</v>
      </c>
      <c r="M3356" s="194">
        <v>0</v>
      </c>
      <c r="N3356" s="194">
        <v>0</v>
      </c>
      <c r="O3356" s="193">
        <f t="shared" si="733"/>
        <v>0</v>
      </c>
      <c r="P3356" s="194">
        <v>0</v>
      </c>
      <c r="Q3356" s="194">
        <v>0</v>
      </c>
      <c r="R3356" s="194">
        <v>0</v>
      </c>
      <c r="S3356" s="193">
        <f t="shared" si="734"/>
        <v>0</v>
      </c>
      <c r="T3356" s="193">
        <f t="shared" si="735"/>
        <v>0</v>
      </c>
      <c r="U3356" s="193">
        <f ca="1">OFFSET('Expenditure Study'!$B$7,'Operations Support'!$C3356,'Operations Support'!$B3356)*$G3356</f>
        <v>0</v>
      </c>
      <c r="V3356" s="199">
        <f ca="1">U3356*'Expenditure Study'!$B$31</f>
        <v>0</v>
      </c>
      <c r="W3356" s="199">
        <f ca="1">IF(A3356=10298,1.51,1)*IF($B3356&lt;3,$D3356*'Expenditure Study'!$B$32*OFFSET('Expenditure Study'!$B$7,'Operations Support'!$C3356,'Operations Support'!$B3356),0)</f>
        <v>0</v>
      </c>
      <c r="X3356" s="200">
        <f ca="1">W3356*'Expenditure Study'!$B$31</f>
        <v>0</v>
      </c>
      <c r="Y3356" s="199">
        <f ca="1">U3356*'Expenditure Study'!$B$31</f>
        <v>0</v>
      </c>
      <c r="Z3356" s="200">
        <f ca="1">W3356*'Expenditure Study'!$B$31</f>
        <v>0</v>
      </c>
      <c r="AA3356" s="195">
        <f t="shared" ca="1" si="736"/>
        <v>0</v>
      </c>
      <c r="AB3356" s="195">
        <f t="shared" ca="1" si="737"/>
        <v>0</v>
      </c>
      <c r="AD3356" s="196">
        <f>IFERROR($G3356/SUMIF($A:$A,$A3356,$G:$G)*SUMIF(Summary!$A$166:$A$242,$A3356,Summary!$P$166:$P$242),0)</f>
        <v>0</v>
      </c>
      <c r="AE3356" s="197">
        <f t="shared" ca="1" si="738"/>
        <v>0</v>
      </c>
      <c r="AF3356" s="196">
        <f>IFERROR(G3356/SUMIF(A:A,A3356,G:G)*SUMIF(Summary!$A$166:$A$242,'Operations Support'!A3356,Summary!$Q$166:$Q$242),0)</f>
        <v>0</v>
      </c>
      <c r="AG3356" s="196">
        <f t="shared" ca="1" si="739"/>
        <v>0</v>
      </c>
      <c r="AH3356" s="180"/>
      <c r="AI3356" s="196">
        <f>IFERROR($G3356/SUMIF($A:$A,$A3356,$G:$G)*SUMIF(Summary!$A$247:$A$283,$A3356,Summary!$P$247:$P$283),0)</f>
        <v>0</v>
      </c>
      <c r="AJ3356" s="196">
        <f>IFERROR($G3356/SUMIF($A:$A,$A3356,$G:$G)*(SUMIF(Summary!$A$247:$A$283,$A3356,Summary!$L$247:$L$283)+SUMIF(Summary!$A$297:$A$333,$A3356,Summary!$L$297:$L$333))-AI3356,0)</f>
        <v>0</v>
      </c>
      <c r="AK3356" s="196">
        <f>IFERROR($G3356/SUMIF($A:$A,$A3356,$G:$G)*SUMIF(Summary!$A$247:$A$283,$A3356,Summary!$Q$247:$Q$283),0)</f>
        <v>0</v>
      </c>
      <c r="AL3356" s="196">
        <f>IFERROR($G3356/SUMIF($A:$A,$A3356,$G:$G)*(SUMIF(Summary!$A$247:$A$283,$A3356,Summary!$L$247:$L$283)+SUMIF(Summary!$A$297:$A$333,$A3356,Summary!$L$297:$L$333))-AK3356,0)</f>
        <v>0</v>
      </c>
      <c r="AM3356" s="198"/>
      <c r="AN3356" s="196">
        <f t="shared" ca="1" si="740"/>
        <v>0</v>
      </c>
      <c r="AO3356" s="196">
        <f t="shared" ca="1" si="741"/>
        <v>0</v>
      </c>
    </row>
    <row r="3357" spans="1:41">
      <c r="A3357" s="189">
        <v>12826</v>
      </c>
      <c r="B3357" s="190">
        <v>5</v>
      </c>
      <c r="C3357" s="191" t="s">
        <v>233</v>
      </c>
      <c r="D3357" s="192">
        <f t="shared" si="728"/>
        <v>0</v>
      </c>
      <c r="E3357" s="192">
        <f t="shared" si="729"/>
        <v>0</v>
      </c>
      <c r="F3357" s="192">
        <f t="shared" si="730"/>
        <v>0</v>
      </c>
      <c r="G3357" s="193">
        <f t="shared" si="731"/>
        <v>0</v>
      </c>
      <c r="H3357" s="194">
        <v>0</v>
      </c>
      <c r="I3357" s="194">
        <v>0</v>
      </c>
      <c r="J3357" s="194">
        <v>0</v>
      </c>
      <c r="K3357" s="193">
        <f t="shared" si="732"/>
        <v>0</v>
      </c>
      <c r="L3357" s="194">
        <v>0</v>
      </c>
      <c r="M3357" s="194">
        <v>0</v>
      </c>
      <c r="N3357" s="194">
        <v>0</v>
      </c>
      <c r="O3357" s="193">
        <f t="shared" si="733"/>
        <v>0</v>
      </c>
      <c r="P3357" s="194">
        <v>0</v>
      </c>
      <c r="Q3357" s="194">
        <v>0</v>
      </c>
      <c r="R3357" s="194">
        <v>0</v>
      </c>
      <c r="S3357" s="193">
        <f t="shared" si="734"/>
        <v>0</v>
      </c>
      <c r="T3357" s="193">
        <f t="shared" si="735"/>
        <v>0</v>
      </c>
      <c r="U3357" s="193">
        <f ca="1">OFFSET('Expenditure Study'!$B$7,'Operations Support'!$C3357,'Operations Support'!$B3357)*$G3357</f>
        <v>0</v>
      </c>
      <c r="V3357" s="199">
        <f ca="1">U3357*'Expenditure Study'!$B$31</f>
        <v>0</v>
      </c>
      <c r="W3357" s="199">
        <f ca="1">IF(A3357=10298,1.51,1)*IF($B3357&lt;3,$D3357*'Expenditure Study'!$B$32*OFFSET('Expenditure Study'!$B$7,'Operations Support'!$C3357,'Operations Support'!$B3357),0)</f>
        <v>0</v>
      </c>
      <c r="X3357" s="200">
        <f ca="1">W3357*'Expenditure Study'!$B$31</f>
        <v>0</v>
      </c>
      <c r="Y3357" s="199">
        <f ca="1">U3357*'Expenditure Study'!$B$31</f>
        <v>0</v>
      </c>
      <c r="Z3357" s="200">
        <f ca="1">W3357*'Expenditure Study'!$B$31</f>
        <v>0</v>
      </c>
      <c r="AA3357" s="195">
        <f t="shared" ca="1" si="736"/>
        <v>0</v>
      </c>
      <c r="AB3357" s="195">
        <f t="shared" ca="1" si="737"/>
        <v>0</v>
      </c>
      <c r="AD3357" s="196">
        <f>IFERROR($G3357/SUMIF($A:$A,$A3357,$G:$G)*SUMIF(Summary!$A$166:$A$242,$A3357,Summary!$P$166:$P$242),0)</f>
        <v>0</v>
      </c>
      <c r="AE3357" s="197">
        <f t="shared" ca="1" si="738"/>
        <v>0</v>
      </c>
      <c r="AF3357" s="196">
        <f>IFERROR(G3357/SUMIF(A:A,A3357,G:G)*SUMIF(Summary!$A$166:$A$242,'Operations Support'!A3357,Summary!$Q$166:$Q$242),0)</f>
        <v>0</v>
      </c>
      <c r="AG3357" s="196">
        <f t="shared" ca="1" si="739"/>
        <v>0</v>
      </c>
      <c r="AI3357" s="196">
        <f>IFERROR($G3357/SUMIF($A:$A,$A3357,$G:$G)*SUMIF(Summary!$A$247:$A$283,$A3357,Summary!$P$247:$P$283),0)</f>
        <v>0</v>
      </c>
      <c r="AJ3357" s="196">
        <f>IFERROR($G3357/SUMIF($A:$A,$A3357,$G:$G)*(SUMIF(Summary!$A$247:$A$283,$A3357,Summary!$L$247:$L$283)+SUMIF(Summary!$A$297:$A$333,$A3357,Summary!$L$297:$L$333))-AI3357,0)</f>
        <v>0</v>
      </c>
      <c r="AK3357" s="196">
        <f>IFERROR($G3357/SUMIF($A:$A,$A3357,$G:$G)*SUMIF(Summary!$A$247:$A$283,$A3357,Summary!$Q$247:$Q$283),0)</f>
        <v>0</v>
      </c>
      <c r="AL3357" s="196">
        <f>IFERROR($G3357/SUMIF($A:$A,$A3357,$G:$G)*(SUMIF(Summary!$A$247:$A$283,$A3357,Summary!$L$247:$L$283)+SUMIF(Summary!$A$297:$A$333,$A3357,Summary!$L$297:$L$333))-AK3357,0)</f>
        <v>0</v>
      </c>
      <c r="AM3357" s="198"/>
      <c r="AN3357" s="196">
        <f t="shared" ca="1" si="740"/>
        <v>0</v>
      </c>
      <c r="AO3357" s="196">
        <f t="shared" ca="1" si="741"/>
        <v>0</v>
      </c>
    </row>
    <row r="3358" spans="1:41">
      <c r="A3358" s="189">
        <v>12826</v>
      </c>
      <c r="B3358" s="190">
        <v>5</v>
      </c>
      <c r="C3358" s="191" t="s">
        <v>234</v>
      </c>
      <c r="D3358" s="192">
        <f t="shared" si="728"/>
        <v>0</v>
      </c>
      <c r="E3358" s="192">
        <f t="shared" si="729"/>
        <v>0</v>
      </c>
      <c r="F3358" s="192">
        <f t="shared" si="730"/>
        <v>0</v>
      </c>
      <c r="G3358" s="193">
        <f t="shared" si="731"/>
        <v>0</v>
      </c>
      <c r="H3358" s="194">
        <v>0</v>
      </c>
      <c r="I3358" s="194">
        <v>0</v>
      </c>
      <c r="J3358" s="194">
        <v>0</v>
      </c>
      <c r="K3358" s="193">
        <f t="shared" si="732"/>
        <v>0</v>
      </c>
      <c r="L3358" s="194">
        <v>0</v>
      </c>
      <c r="M3358" s="194">
        <v>0</v>
      </c>
      <c r="N3358" s="194">
        <v>0</v>
      </c>
      <c r="O3358" s="193">
        <f t="shared" si="733"/>
        <v>0</v>
      </c>
      <c r="P3358" s="194">
        <v>0</v>
      </c>
      <c r="Q3358" s="194">
        <v>0</v>
      </c>
      <c r="R3358" s="194">
        <v>0</v>
      </c>
      <c r="S3358" s="193">
        <f t="shared" si="734"/>
        <v>0</v>
      </c>
      <c r="T3358" s="193">
        <f t="shared" si="735"/>
        <v>0</v>
      </c>
      <c r="U3358" s="193">
        <f ca="1">OFFSET('Expenditure Study'!$B$7,'Operations Support'!$C3358,'Operations Support'!$B3358)*$G3358</f>
        <v>0</v>
      </c>
      <c r="V3358" s="199">
        <f ca="1">U3358*'Expenditure Study'!$B$31</f>
        <v>0</v>
      </c>
      <c r="W3358" s="199">
        <f ca="1">IF(A3358=10298,1.51,1)*IF($B3358&lt;3,$D3358*'Expenditure Study'!$B$32*OFFSET('Expenditure Study'!$B$7,'Operations Support'!$C3358,'Operations Support'!$B3358),0)</f>
        <v>0</v>
      </c>
      <c r="X3358" s="200">
        <f ca="1">W3358*'Expenditure Study'!$B$31</f>
        <v>0</v>
      </c>
      <c r="Y3358" s="199">
        <f ca="1">U3358*'Expenditure Study'!$B$31</f>
        <v>0</v>
      </c>
      <c r="Z3358" s="200">
        <f ca="1">W3358*'Expenditure Study'!$B$31</f>
        <v>0</v>
      </c>
      <c r="AA3358" s="195">
        <f t="shared" ca="1" si="736"/>
        <v>0</v>
      </c>
      <c r="AB3358" s="195">
        <f t="shared" ca="1" si="737"/>
        <v>0</v>
      </c>
      <c r="AD3358" s="196">
        <f>IFERROR($G3358/SUMIF($A:$A,$A3358,$G:$G)*SUMIF(Summary!$A$166:$A$242,$A3358,Summary!$P$166:$P$242),0)</f>
        <v>0</v>
      </c>
      <c r="AE3358" s="197">
        <f t="shared" ca="1" si="738"/>
        <v>0</v>
      </c>
      <c r="AF3358" s="196">
        <f>IFERROR(G3358/SUMIF(A:A,A3358,G:G)*SUMIF(Summary!$A$166:$A$242,'Operations Support'!A3358,Summary!$Q$166:$Q$242),0)</f>
        <v>0</v>
      </c>
      <c r="AG3358" s="196">
        <f t="shared" ca="1" si="739"/>
        <v>0</v>
      </c>
      <c r="AI3358" s="196">
        <f>IFERROR($G3358/SUMIF($A:$A,$A3358,$G:$G)*SUMIF(Summary!$A$247:$A$283,$A3358,Summary!$P$247:$P$283),0)</f>
        <v>0</v>
      </c>
      <c r="AJ3358" s="196">
        <f>IFERROR($G3358/SUMIF($A:$A,$A3358,$G:$G)*(SUMIF(Summary!$A$247:$A$283,$A3358,Summary!$L$247:$L$283)+SUMIF(Summary!$A$297:$A$333,$A3358,Summary!$L$297:$L$333))-AI3358,0)</f>
        <v>0</v>
      </c>
      <c r="AK3358" s="196">
        <f>IFERROR($G3358/SUMIF($A:$A,$A3358,$G:$G)*SUMIF(Summary!$A$247:$A$283,$A3358,Summary!$Q$247:$Q$283),0)</f>
        <v>0</v>
      </c>
      <c r="AL3358" s="196">
        <f>IFERROR($G3358/SUMIF($A:$A,$A3358,$G:$G)*(SUMIF(Summary!$A$247:$A$283,$A3358,Summary!$L$247:$L$283)+SUMIF(Summary!$A$297:$A$333,$A3358,Summary!$L$297:$L$333))-AK3358,0)</f>
        <v>0</v>
      </c>
      <c r="AM3358" s="198"/>
      <c r="AN3358" s="196">
        <f t="shared" ca="1" si="740"/>
        <v>0</v>
      </c>
      <c r="AO3358" s="196">
        <f t="shared" ca="1" si="741"/>
        <v>0</v>
      </c>
    </row>
    <row r="3359" spans="1:41">
      <c r="A3359" s="189">
        <v>12826</v>
      </c>
      <c r="B3359" s="190">
        <v>5</v>
      </c>
      <c r="C3359" s="191" t="s">
        <v>235</v>
      </c>
      <c r="D3359" s="192">
        <f t="shared" si="728"/>
        <v>0</v>
      </c>
      <c r="E3359" s="192">
        <f t="shared" si="729"/>
        <v>0</v>
      </c>
      <c r="F3359" s="192">
        <f t="shared" si="730"/>
        <v>0</v>
      </c>
      <c r="G3359" s="193">
        <f t="shared" si="731"/>
        <v>0</v>
      </c>
      <c r="H3359" s="194">
        <v>0</v>
      </c>
      <c r="I3359" s="194">
        <v>0</v>
      </c>
      <c r="J3359" s="194">
        <v>0</v>
      </c>
      <c r="K3359" s="193">
        <f t="shared" si="732"/>
        <v>0</v>
      </c>
      <c r="L3359" s="194">
        <v>0</v>
      </c>
      <c r="M3359" s="194">
        <v>0</v>
      </c>
      <c r="N3359" s="194">
        <v>0</v>
      </c>
      <c r="O3359" s="193">
        <f t="shared" si="733"/>
        <v>0</v>
      </c>
      <c r="P3359" s="194">
        <v>0</v>
      </c>
      <c r="Q3359" s="194">
        <v>0</v>
      </c>
      <c r="R3359" s="194">
        <v>0</v>
      </c>
      <c r="S3359" s="193">
        <f t="shared" si="734"/>
        <v>0</v>
      </c>
      <c r="T3359" s="193">
        <f t="shared" si="735"/>
        <v>0</v>
      </c>
      <c r="U3359" s="193">
        <f ca="1">OFFSET('Expenditure Study'!$B$7,'Operations Support'!$C3359,'Operations Support'!$B3359)*$G3359</f>
        <v>0</v>
      </c>
      <c r="V3359" s="199">
        <f ca="1">U3359*'Expenditure Study'!$B$31</f>
        <v>0</v>
      </c>
      <c r="W3359" s="199">
        <f ca="1">IF(A3359=10298,1.51,1)*IF($B3359&lt;3,$D3359*'Expenditure Study'!$B$32*OFFSET('Expenditure Study'!$B$7,'Operations Support'!$C3359,'Operations Support'!$B3359),0)</f>
        <v>0</v>
      </c>
      <c r="X3359" s="200">
        <f ca="1">W3359*'Expenditure Study'!$B$31</f>
        <v>0</v>
      </c>
      <c r="Y3359" s="199">
        <f ca="1">U3359*'Expenditure Study'!$B$31</f>
        <v>0</v>
      </c>
      <c r="Z3359" s="200">
        <f ca="1">W3359*'Expenditure Study'!$B$31</f>
        <v>0</v>
      </c>
      <c r="AA3359" s="195">
        <f t="shared" ca="1" si="736"/>
        <v>0</v>
      </c>
      <c r="AB3359" s="195">
        <f t="shared" ca="1" si="737"/>
        <v>0</v>
      </c>
      <c r="AD3359" s="196">
        <f>IFERROR($G3359/SUMIF($A:$A,$A3359,$G:$G)*SUMIF(Summary!$A$166:$A$242,$A3359,Summary!$P$166:$P$242),0)</f>
        <v>0</v>
      </c>
      <c r="AE3359" s="197">
        <f t="shared" ca="1" si="738"/>
        <v>0</v>
      </c>
      <c r="AF3359" s="196">
        <f>IFERROR(G3359/SUMIF(A:A,A3359,G:G)*SUMIF(Summary!$A$166:$A$242,'Operations Support'!A3359,Summary!$Q$166:$Q$242),0)</f>
        <v>0</v>
      </c>
      <c r="AG3359" s="196">
        <f t="shared" ca="1" si="739"/>
        <v>0</v>
      </c>
      <c r="AI3359" s="196">
        <f>IFERROR($G3359/SUMIF($A:$A,$A3359,$G:$G)*SUMIF(Summary!$A$247:$A$283,$A3359,Summary!$P$247:$P$283),0)</f>
        <v>0</v>
      </c>
      <c r="AJ3359" s="196">
        <f>IFERROR($G3359/SUMIF($A:$A,$A3359,$G:$G)*(SUMIF(Summary!$A$247:$A$283,$A3359,Summary!$L$247:$L$283)+SUMIF(Summary!$A$297:$A$333,$A3359,Summary!$L$297:$L$333))-AI3359,0)</f>
        <v>0</v>
      </c>
      <c r="AK3359" s="196">
        <f>IFERROR($G3359/SUMIF($A:$A,$A3359,$G:$G)*SUMIF(Summary!$A$247:$A$283,$A3359,Summary!$Q$247:$Q$283),0)</f>
        <v>0</v>
      </c>
      <c r="AL3359" s="196">
        <f>IFERROR($G3359/SUMIF($A:$A,$A3359,$G:$G)*(SUMIF(Summary!$A$247:$A$283,$A3359,Summary!$L$247:$L$283)+SUMIF(Summary!$A$297:$A$333,$A3359,Summary!$L$297:$L$333))-AK3359,0)</f>
        <v>0</v>
      </c>
      <c r="AM3359" s="198"/>
      <c r="AN3359" s="196">
        <f t="shared" ca="1" si="740"/>
        <v>0</v>
      </c>
      <c r="AO3359" s="196">
        <f t="shared" ca="1" si="741"/>
        <v>0</v>
      </c>
    </row>
    <row r="3360" spans="1:41">
      <c r="A3360" s="189">
        <v>12826</v>
      </c>
      <c r="B3360" s="190">
        <v>5</v>
      </c>
      <c r="C3360" s="191" t="s">
        <v>236</v>
      </c>
      <c r="D3360" s="192">
        <f t="shared" si="728"/>
        <v>0</v>
      </c>
      <c r="E3360" s="192">
        <f t="shared" si="729"/>
        <v>0</v>
      </c>
      <c r="F3360" s="192">
        <f t="shared" si="730"/>
        <v>0</v>
      </c>
      <c r="G3360" s="193">
        <f t="shared" si="731"/>
        <v>0</v>
      </c>
      <c r="H3360" s="194">
        <v>0</v>
      </c>
      <c r="I3360" s="194">
        <v>0</v>
      </c>
      <c r="J3360" s="194">
        <v>0</v>
      </c>
      <c r="K3360" s="193">
        <f t="shared" si="732"/>
        <v>0</v>
      </c>
      <c r="L3360" s="194">
        <v>0</v>
      </c>
      <c r="M3360" s="194">
        <v>0</v>
      </c>
      <c r="N3360" s="194">
        <v>0</v>
      </c>
      <c r="O3360" s="193">
        <f t="shared" si="733"/>
        <v>0</v>
      </c>
      <c r="P3360" s="194">
        <v>0</v>
      </c>
      <c r="Q3360" s="194">
        <v>0</v>
      </c>
      <c r="R3360" s="194">
        <v>0</v>
      </c>
      <c r="S3360" s="193">
        <f t="shared" si="734"/>
        <v>0</v>
      </c>
      <c r="T3360" s="193">
        <f t="shared" si="735"/>
        <v>0</v>
      </c>
      <c r="U3360" s="193">
        <f ca="1">OFFSET('Expenditure Study'!$B$7,'Operations Support'!$C3360,'Operations Support'!$B3360)*$G3360</f>
        <v>0</v>
      </c>
      <c r="V3360" s="199">
        <f ca="1">U3360*'Expenditure Study'!$B$31</f>
        <v>0</v>
      </c>
      <c r="W3360" s="199">
        <f ca="1">IF(A3360=10298,1.51,1)*IF($B3360&lt;3,$D3360*'Expenditure Study'!$B$32*OFFSET('Expenditure Study'!$B$7,'Operations Support'!$C3360,'Operations Support'!$B3360),0)</f>
        <v>0</v>
      </c>
      <c r="X3360" s="200">
        <f ca="1">W3360*'Expenditure Study'!$B$31</f>
        <v>0</v>
      </c>
      <c r="Y3360" s="199">
        <f ca="1">U3360*'Expenditure Study'!$B$31</f>
        <v>0</v>
      </c>
      <c r="Z3360" s="200">
        <f ca="1">W3360*'Expenditure Study'!$B$31</f>
        <v>0</v>
      </c>
      <c r="AA3360" s="195">
        <f t="shared" ca="1" si="736"/>
        <v>0</v>
      </c>
      <c r="AB3360" s="195">
        <f t="shared" ca="1" si="737"/>
        <v>0</v>
      </c>
      <c r="AD3360" s="196">
        <f>IFERROR($G3360/SUMIF($A:$A,$A3360,$G:$G)*SUMIF(Summary!$A$166:$A$242,$A3360,Summary!$P$166:$P$242),0)</f>
        <v>0</v>
      </c>
      <c r="AE3360" s="197">
        <f t="shared" ca="1" si="738"/>
        <v>0</v>
      </c>
      <c r="AF3360" s="196">
        <f>IFERROR(G3360/SUMIF(A:A,A3360,G:G)*SUMIF(Summary!$A$166:$A$242,'Operations Support'!A3360,Summary!$Q$166:$Q$242),0)</f>
        <v>0</v>
      </c>
      <c r="AG3360" s="196">
        <f t="shared" ca="1" si="739"/>
        <v>0</v>
      </c>
      <c r="AI3360" s="196">
        <f>IFERROR($G3360/SUMIF($A:$A,$A3360,$G:$G)*SUMIF(Summary!$A$247:$A$283,$A3360,Summary!$P$247:$P$283),0)</f>
        <v>0</v>
      </c>
      <c r="AJ3360" s="196">
        <f>IFERROR($G3360/SUMIF($A:$A,$A3360,$G:$G)*(SUMIF(Summary!$A$247:$A$283,$A3360,Summary!$L$247:$L$283)+SUMIF(Summary!$A$297:$A$333,$A3360,Summary!$L$297:$L$333))-AI3360,0)</f>
        <v>0</v>
      </c>
      <c r="AK3360" s="196">
        <f>IFERROR($G3360/SUMIF($A:$A,$A3360,$G:$G)*SUMIF(Summary!$A$247:$A$283,$A3360,Summary!$Q$247:$Q$283),0)</f>
        <v>0</v>
      </c>
      <c r="AL3360" s="196">
        <f>IFERROR($G3360/SUMIF($A:$A,$A3360,$G:$G)*(SUMIF(Summary!$A$247:$A$283,$A3360,Summary!$L$247:$L$283)+SUMIF(Summary!$A$297:$A$333,$A3360,Summary!$L$297:$L$333))-AK3360,0)</f>
        <v>0</v>
      </c>
      <c r="AM3360" s="198"/>
      <c r="AN3360" s="196">
        <f t="shared" ca="1" si="740"/>
        <v>0</v>
      </c>
      <c r="AO3360" s="196">
        <f t="shared" ca="1" si="741"/>
        <v>0</v>
      </c>
    </row>
    <row r="3361" spans="1:41">
      <c r="A3361" s="189">
        <v>12826</v>
      </c>
      <c r="B3361" s="190">
        <v>5</v>
      </c>
      <c r="C3361" s="191" t="s">
        <v>237</v>
      </c>
      <c r="D3361" s="192">
        <f t="shared" si="728"/>
        <v>0</v>
      </c>
      <c r="E3361" s="192">
        <f t="shared" si="729"/>
        <v>0</v>
      </c>
      <c r="F3361" s="192">
        <f t="shared" si="730"/>
        <v>0</v>
      </c>
      <c r="G3361" s="193">
        <f t="shared" si="731"/>
        <v>0</v>
      </c>
      <c r="H3361" s="194">
        <v>0</v>
      </c>
      <c r="I3361" s="194">
        <v>0</v>
      </c>
      <c r="J3361" s="194">
        <v>0</v>
      </c>
      <c r="K3361" s="193">
        <f t="shared" si="732"/>
        <v>0</v>
      </c>
      <c r="L3361" s="194">
        <v>0</v>
      </c>
      <c r="M3361" s="194">
        <v>0</v>
      </c>
      <c r="N3361" s="194">
        <v>0</v>
      </c>
      <c r="O3361" s="193">
        <f t="shared" si="733"/>
        <v>0</v>
      </c>
      <c r="P3361" s="194">
        <v>0</v>
      </c>
      <c r="Q3361" s="194">
        <v>0</v>
      </c>
      <c r="R3361" s="194">
        <v>0</v>
      </c>
      <c r="S3361" s="193">
        <f t="shared" si="734"/>
        <v>0</v>
      </c>
      <c r="T3361" s="193">
        <f t="shared" si="735"/>
        <v>0</v>
      </c>
      <c r="U3361" s="193">
        <f ca="1">OFFSET('Expenditure Study'!$B$7,'Operations Support'!$C3361,'Operations Support'!$B3361)*$G3361</f>
        <v>0</v>
      </c>
      <c r="V3361" s="199">
        <f ca="1">U3361*'Expenditure Study'!$B$31</f>
        <v>0</v>
      </c>
      <c r="W3361" s="199">
        <f ca="1">IF(A3361=10298,1.51,1)*IF($B3361&lt;3,$D3361*'Expenditure Study'!$B$32*OFFSET('Expenditure Study'!$B$7,'Operations Support'!$C3361,'Operations Support'!$B3361),0)</f>
        <v>0</v>
      </c>
      <c r="X3361" s="200">
        <f ca="1">W3361*'Expenditure Study'!$B$31</f>
        <v>0</v>
      </c>
      <c r="Y3361" s="199">
        <f ca="1">U3361*'Expenditure Study'!$B$31</f>
        <v>0</v>
      </c>
      <c r="Z3361" s="200">
        <f ca="1">W3361*'Expenditure Study'!$B$31</f>
        <v>0</v>
      </c>
      <c r="AA3361" s="195">
        <f t="shared" ca="1" si="736"/>
        <v>0</v>
      </c>
      <c r="AB3361" s="195">
        <f t="shared" ca="1" si="737"/>
        <v>0</v>
      </c>
      <c r="AD3361" s="196">
        <f>IFERROR($G3361/SUMIF($A:$A,$A3361,$G:$G)*SUMIF(Summary!$A$166:$A$242,$A3361,Summary!$P$166:$P$242),0)</f>
        <v>0</v>
      </c>
      <c r="AE3361" s="197">
        <f t="shared" ca="1" si="738"/>
        <v>0</v>
      </c>
      <c r="AF3361" s="196">
        <f>IFERROR(G3361/SUMIF(A:A,A3361,G:G)*SUMIF(Summary!$A$166:$A$242,'Operations Support'!A3361,Summary!$Q$166:$Q$242),0)</f>
        <v>0</v>
      </c>
      <c r="AG3361" s="196">
        <f t="shared" ca="1" si="739"/>
        <v>0</v>
      </c>
      <c r="AI3361" s="196">
        <f>IFERROR($G3361/SUMIF($A:$A,$A3361,$G:$G)*SUMIF(Summary!$A$247:$A$283,$A3361,Summary!$P$247:$P$283),0)</f>
        <v>0</v>
      </c>
      <c r="AJ3361" s="196">
        <f>IFERROR($G3361/SUMIF($A:$A,$A3361,$G:$G)*(SUMIF(Summary!$A$247:$A$283,$A3361,Summary!$L$247:$L$283)+SUMIF(Summary!$A$297:$A$333,$A3361,Summary!$L$297:$L$333))-AI3361,0)</f>
        <v>0</v>
      </c>
      <c r="AK3361" s="196">
        <f>IFERROR($G3361/SUMIF($A:$A,$A3361,$G:$G)*SUMIF(Summary!$A$247:$A$283,$A3361,Summary!$Q$247:$Q$283),0)</f>
        <v>0</v>
      </c>
      <c r="AL3361" s="196">
        <f>IFERROR($G3361/SUMIF($A:$A,$A3361,$G:$G)*(SUMIF(Summary!$A$247:$A$283,$A3361,Summary!$L$247:$L$283)+SUMIF(Summary!$A$297:$A$333,$A3361,Summary!$L$297:$L$333))-AK3361,0)</f>
        <v>0</v>
      </c>
      <c r="AM3361" s="198"/>
      <c r="AN3361" s="196">
        <f t="shared" ca="1" si="740"/>
        <v>0</v>
      </c>
      <c r="AO3361" s="196">
        <f t="shared" ca="1" si="741"/>
        <v>0</v>
      </c>
    </row>
    <row r="3362" spans="1:41">
      <c r="A3362" s="189">
        <v>12826</v>
      </c>
      <c r="B3362" s="190">
        <v>5</v>
      </c>
      <c r="C3362" s="191" t="s">
        <v>238</v>
      </c>
      <c r="D3362" s="192">
        <f t="shared" si="728"/>
        <v>0</v>
      </c>
      <c r="E3362" s="192">
        <f t="shared" si="729"/>
        <v>0</v>
      </c>
      <c r="F3362" s="192">
        <f t="shared" si="730"/>
        <v>0</v>
      </c>
      <c r="G3362" s="193">
        <f t="shared" si="731"/>
        <v>0</v>
      </c>
      <c r="H3362" s="194">
        <v>0</v>
      </c>
      <c r="I3362" s="194">
        <v>0</v>
      </c>
      <c r="J3362" s="194">
        <v>0</v>
      </c>
      <c r="K3362" s="193">
        <f t="shared" si="732"/>
        <v>0</v>
      </c>
      <c r="L3362" s="194">
        <v>0</v>
      </c>
      <c r="M3362" s="194">
        <v>0</v>
      </c>
      <c r="N3362" s="194">
        <v>0</v>
      </c>
      <c r="O3362" s="193">
        <f t="shared" si="733"/>
        <v>0</v>
      </c>
      <c r="P3362" s="194">
        <v>0</v>
      </c>
      <c r="Q3362" s="194">
        <v>0</v>
      </c>
      <c r="R3362" s="194">
        <v>0</v>
      </c>
      <c r="S3362" s="193">
        <f t="shared" si="734"/>
        <v>0</v>
      </c>
      <c r="T3362" s="193">
        <f t="shared" si="735"/>
        <v>0</v>
      </c>
      <c r="U3362" s="193">
        <f ca="1">OFFSET('Expenditure Study'!$B$7,'Operations Support'!$C3362,'Operations Support'!$B3362)*$G3362</f>
        <v>0</v>
      </c>
      <c r="V3362" s="199">
        <f ca="1">U3362*'Expenditure Study'!$B$31</f>
        <v>0</v>
      </c>
      <c r="W3362" s="199">
        <f ca="1">IF(A3362=10298,1.51,1)*IF($B3362&lt;3,$D3362*'Expenditure Study'!$B$32*OFFSET('Expenditure Study'!$B$7,'Operations Support'!$C3362,'Operations Support'!$B3362),0)</f>
        <v>0</v>
      </c>
      <c r="X3362" s="200">
        <f ca="1">W3362*'Expenditure Study'!$B$31</f>
        <v>0</v>
      </c>
      <c r="Y3362" s="199">
        <f ca="1">U3362*'Expenditure Study'!$B$31</f>
        <v>0</v>
      </c>
      <c r="Z3362" s="200">
        <f ca="1">W3362*'Expenditure Study'!$B$31</f>
        <v>0</v>
      </c>
      <c r="AA3362" s="195">
        <f t="shared" ca="1" si="736"/>
        <v>0</v>
      </c>
      <c r="AB3362" s="195">
        <f t="shared" ca="1" si="737"/>
        <v>0</v>
      </c>
      <c r="AD3362" s="196">
        <f>IFERROR($G3362/SUMIF($A:$A,$A3362,$G:$G)*SUMIF(Summary!$A$166:$A$242,$A3362,Summary!$P$166:$P$242),0)</f>
        <v>0</v>
      </c>
      <c r="AE3362" s="197">
        <f t="shared" ca="1" si="738"/>
        <v>0</v>
      </c>
      <c r="AF3362" s="196">
        <f>IFERROR(G3362/SUMIF(A:A,A3362,G:G)*SUMIF(Summary!$A$166:$A$242,'Operations Support'!A3362,Summary!$Q$166:$Q$242),0)</f>
        <v>0</v>
      </c>
      <c r="AG3362" s="196">
        <f t="shared" ca="1" si="739"/>
        <v>0</v>
      </c>
      <c r="AI3362" s="196">
        <f>IFERROR($G3362/SUMIF($A:$A,$A3362,$G:$G)*SUMIF(Summary!$A$247:$A$283,$A3362,Summary!$P$247:$P$283),0)</f>
        <v>0</v>
      </c>
      <c r="AJ3362" s="196">
        <f>IFERROR($G3362/SUMIF($A:$A,$A3362,$G:$G)*(SUMIF(Summary!$A$247:$A$283,$A3362,Summary!$L$247:$L$283)+SUMIF(Summary!$A$297:$A$333,$A3362,Summary!$L$297:$L$333))-AI3362,0)</f>
        <v>0</v>
      </c>
      <c r="AK3362" s="196">
        <f>IFERROR($G3362/SUMIF($A:$A,$A3362,$G:$G)*SUMIF(Summary!$A$247:$A$283,$A3362,Summary!$Q$247:$Q$283),0)</f>
        <v>0</v>
      </c>
      <c r="AL3362" s="196">
        <f>IFERROR($G3362/SUMIF($A:$A,$A3362,$G:$G)*(SUMIF(Summary!$A$247:$A$283,$A3362,Summary!$L$247:$L$283)+SUMIF(Summary!$A$297:$A$333,$A3362,Summary!$L$297:$L$333))-AK3362,0)</f>
        <v>0</v>
      </c>
      <c r="AM3362" s="198"/>
      <c r="AN3362" s="196">
        <f t="shared" ca="1" si="740"/>
        <v>0</v>
      </c>
      <c r="AO3362" s="196">
        <f t="shared" ca="1" si="741"/>
        <v>0</v>
      </c>
    </row>
    <row r="3363" spans="1:41">
      <c r="A3363" s="189">
        <v>12826</v>
      </c>
      <c r="B3363" s="190">
        <v>5</v>
      </c>
      <c r="C3363" s="191" t="s">
        <v>239</v>
      </c>
      <c r="D3363" s="192">
        <f t="shared" si="728"/>
        <v>0</v>
      </c>
      <c r="E3363" s="192">
        <f t="shared" si="729"/>
        <v>0</v>
      </c>
      <c r="F3363" s="192">
        <f t="shared" si="730"/>
        <v>0</v>
      </c>
      <c r="G3363" s="193">
        <f t="shared" si="731"/>
        <v>0</v>
      </c>
      <c r="H3363" s="194">
        <v>0</v>
      </c>
      <c r="I3363" s="194">
        <v>0</v>
      </c>
      <c r="J3363" s="194">
        <v>0</v>
      </c>
      <c r="K3363" s="193">
        <f t="shared" si="732"/>
        <v>0</v>
      </c>
      <c r="L3363" s="194">
        <v>0</v>
      </c>
      <c r="M3363" s="194">
        <v>0</v>
      </c>
      <c r="N3363" s="194">
        <v>0</v>
      </c>
      <c r="O3363" s="193">
        <f t="shared" si="733"/>
        <v>0</v>
      </c>
      <c r="P3363" s="194">
        <v>0</v>
      </c>
      <c r="Q3363" s="194">
        <v>0</v>
      </c>
      <c r="R3363" s="194">
        <v>0</v>
      </c>
      <c r="S3363" s="193">
        <f t="shared" si="734"/>
        <v>0</v>
      </c>
      <c r="T3363" s="193">
        <f t="shared" si="735"/>
        <v>0</v>
      </c>
      <c r="U3363" s="193">
        <f ca="1">OFFSET('Expenditure Study'!$B$7,'Operations Support'!$C3363,'Operations Support'!$B3363)*$G3363</f>
        <v>0</v>
      </c>
      <c r="V3363" s="199">
        <f ca="1">U3363*'Expenditure Study'!$B$31</f>
        <v>0</v>
      </c>
      <c r="W3363" s="199">
        <f ca="1">IF(A3363=10298,1.51,1)*IF($B3363&lt;3,$D3363*'Expenditure Study'!$B$32*OFFSET('Expenditure Study'!$B$7,'Operations Support'!$C3363,'Operations Support'!$B3363),0)</f>
        <v>0</v>
      </c>
      <c r="X3363" s="200">
        <f ca="1">W3363*'Expenditure Study'!$B$31</f>
        <v>0</v>
      </c>
      <c r="Y3363" s="199">
        <f ca="1">U3363*'Expenditure Study'!$B$31</f>
        <v>0</v>
      </c>
      <c r="Z3363" s="200">
        <f ca="1">W3363*'Expenditure Study'!$B$31</f>
        <v>0</v>
      </c>
      <c r="AA3363" s="195">
        <f t="shared" ca="1" si="736"/>
        <v>0</v>
      </c>
      <c r="AB3363" s="195">
        <f t="shared" ca="1" si="737"/>
        <v>0</v>
      </c>
      <c r="AD3363" s="196">
        <f>IFERROR($G3363/SUMIF($A:$A,$A3363,$G:$G)*SUMIF(Summary!$A$166:$A$242,$A3363,Summary!$P$166:$P$242),0)</f>
        <v>0</v>
      </c>
      <c r="AE3363" s="197">
        <f t="shared" ca="1" si="738"/>
        <v>0</v>
      </c>
      <c r="AF3363" s="196">
        <f>IFERROR(G3363/SUMIF(A:A,A3363,G:G)*SUMIF(Summary!$A$166:$A$242,'Operations Support'!A3363,Summary!$Q$166:$Q$242),0)</f>
        <v>0</v>
      </c>
      <c r="AG3363" s="196">
        <f t="shared" ca="1" si="739"/>
        <v>0</v>
      </c>
      <c r="AI3363" s="196">
        <f>IFERROR($G3363/SUMIF($A:$A,$A3363,$G:$G)*SUMIF(Summary!$A$247:$A$283,$A3363,Summary!$P$247:$P$283),0)</f>
        <v>0</v>
      </c>
      <c r="AJ3363" s="196">
        <f>IFERROR($G3363/SUMIF($A:$A,$A3363,$G:$G)*(SUMIF(Summary!$A$247:$A$283,$A3363,Summary!$L$247:$L$283)+SUMIF(Summary!$A$297:$A$333,$A3363,Summary!$L$297:$L$333))-AI3363,0)</f>
        <v>0</v>
      </c>
      <c r="AK3363" s="196">
        <f>IFERROR($G3363/SUMIF($A:$A,$A3363,$G:$G)*SUMIF(Summary!$A$247:$A$283,$A3363,Summary!$Q$247:$Q$283),0)</f>
        <v>0</v>
      </c>
      <c r="AL3363" s="196">
        <f>IFERROR($G3363/SUMIF($A:$A,$A3363,$G:$G)*(SUMIF(Summary!$A$247:$A$283,$A3363,Summary!$L$247:$L$283)+SUMIF(Summary!$A$297:$A$333,$A3363,Summary!$L$297:$L$333))-AK3363,0)</f>
        <v>0</v>
      </c>
      <c r="AM3363" s="198"/>
      <c r="AN3363" s="196">
        <f t="shared" ca="1" si="740"/>
        <v>0</v>
      </c>
      <c r="AO3363" s="196">
        <f t="shared" ca="1" si="741"/>
        <v>0</v>
      </c>
    </row>
    <row r="3364" spans="1:41">
      <c r="A3364" s="189">
        <v>12826</v>
      </c>
      <c r="B3364" s="190">
        <v>5</v>
      </c>
      <c r="C3364" s="191" t="s">
        <v>240</v>
      </c>
      <c r="D3364" s="192">
        <f t="shared" si="728"/>
        <v>0</v>
      </c>
      <c r="E3364" s="192">
        <f t="shared" si="729"/>
        <v>0</v>
      </c>
      <c r="F3364" s="192">
        <f t="shared" si="730"/>
        <v>0</v>
      </c>
      <c r="G3364" s="193">
        <f t="shared" si="731"/>
        <v>0</v>
      </c>
      <c r="H3364" s="194">
        <v>0</v>
      </c>
      <c r="I3364" s="194">
        <v>0</v>
      </c>
      <c r="J3364" s="194">
        <v>0</v>
      </c>
      <c r="K3364" s="193">
        <f t="shared" si="732"/>
        <v>0</v>
      </c>
      <c r="L3364" s="194">
        <v>0</v>
      </c>
      <c r="M3364" s="194">
        <v>0</v>
      </c>
      <c r="N3364" s="194">
        <v>0</v>
      </c>
      <c r="O3364" s="193">
        <f t="shared" si="733"/>
        <v>0</v>
      </c>
      <c r="P3364" s="194">
        <v>0</v>
      </c>
      <c r="Q3364" s="194">
        <v>0</v>
      </c>
      <c r="R3364" s="194">
        <v>0</v>
      </c>
      <c r="S3364" s="193">
        <f t="shared" si="734"/>
        <v>0</v>
      </c>
      <c r="T3364" s="193">
        <f t="shared" si="735"/>
        <v>0</v>
      </c>
      <c r="U3364" s="193">
        <f ca="1">OFFSET('Expenditure Study'!$B$7,'Operations Support'!$C3364,'Operations Support'!$B3364)*$G3364</f>
        <v>0</v>
      </c>
      <c r="V3364" s="199">
        <f ca="1">U3364*'Expenditure Study'!$B$31</f>
        <v>0</v>
      </c>
      <c r="W3364" s="199">
        <f ca="1">IF(A3364=10298,1.51,1)*IF($B3364&lt;3,$D3364*'Expenditure Study'!$B$32*OFFSET('Expenditure Study'!$B$7,'Operations Support'!$C3364,'Operations Support'!$B3364),0)</f>
        <v>0</v>
      </c>
      <c r="X3364" s="200">
        <f ca="1">W3364*'Expenditure Study'!$B$31</f>
        <v>0</v>
      </c>
      <c r="Y3364" s="199">
        <f ca="1">U3364*'Expenditure Study'!$B$31</f>
        <v>0</v>
      </c>
      <c r="Z3364" s="200">
        <f ca="1">W3364*'Expenditure Study'!$B$31</f>
        <v>0</v>
      </c>
      <c r="AA3364" s="195">
        <f t="shared" ca="1" si="736"/>
        <v>0</v>
      </c>
      <c r="AB3364" s="195">
        <f t="shared" ca="1" si="737"/>
        <v>0</v>
      </c>
      <c r="AD3364" s="196">
        <f>IFERROR($G3364/SUMIF($A:$A,$A3364,$G:$G)*SUMIF(Summary!$A$166:$A$242,$A3364,Summary!$P$166:$P$242),0)</f>
        <v>0</v>
      </c>
      <c r="AE3364" s="197">
        <f t="shared" ca="1" si="738"/>
        <v>0</v>
      </c>
      <c r="AF3364" s="196">
        <f>IFERROR(G3364/SUMIF(A:A,A3364,G:G)*SUMIF(Summary!$A$166:$A$242,'Operations Support'!A3364,Summary!$Q$166:$Q$242),0)</f>
        <v>0</v>
      </c>
      <c r="AG3364" s="196">
        <f t="shared" ca="1" si="739"/>
        <v>0</v>
      </c>
      <c r="AI3364" s="196">
        <f>IFERROR($G3364/SUMIF($A:$A,$A3364,$G:$G)*SUMIF(Summary!$A$247:$A$283,$A3364,Summary!$P$247:$P$283),0)</f>
        <v>0</v>
      </c>
      <c r="AJ3364" s="196">
        <f>IFERROR($G3364/SUMIF($A:$A,$A3364,$G:$G)*(SUMIF(Summary!$A$247:$A$283,$A3364,Summary!$L$247:$L$283)+SUMIF(Summary!$A$297:$A$333,$A3364,Summary!$L$297:$L$333))-AI3364,0)</f>
        <v>0</v>
      </c>
      <c r="AK3364" s="196">
        <f>IFERROR($G3364/SUMIF($A:$A,$A3364,$G:$G)*SUMIF(Summary!$A$247:$A$283,$A3364,Summary!$Q$247:$Q$283),0)</f>
        <v>0</v>
      </c>
      <c r="AL3364" s="196">
        <f>IFERROR($G3364/SUMIF($A:$A,$A3364,$G:$G)*(SUMIF(Summary!$A$247:$A$283,$A3364,Summary!$L$247:$L$283)+SUMIF(Summary!$A$297:$A$333,$A3364,Summary!$L$297:$L$333))-AK3364,0)</f>
        <v>0</v>
      </c>
      <c r="AM3364" s="198"/>
      <c r="AN3364" s="196">
        <f t="shared" ca="1" si="740"/>
        <v>0</v>
      </c>
      <c r="AO3364" s="196">
        <f t="shared" ca="1" si="741"/>
        <v>0</v>
      </c>
    </row>
    <row r="3365" spans="1:41">
      <c r="A3365" s="189">
        <v>13231</v>
      </c>
      <c r="B3365" s="190">
        <v>1</v>
      </c>
      <c r="C3365" s="191" t="s">
        <v>220</v>
      </c>
      <c r="D3365" s="192">
        <f t="shared" si="728"/>
        <v>5137</v>
      </c>
      <c r="E3365" s="192">
        <f t="shared" si="729"/>
        <v>8364</v>
      </c>
      <c r="F3365" s="192">
        <f t="shared" si="730"/>
        <v>0</v>
      </c>
      <c r="G3365" s="193">
        <f t="shared" si="731"/>
        <v>13501</v>
      </c>
      <c r="H3365" s="194">
        <v>2302</v>
      </c>
      <c r="I3365" s="194">
        <v>3421</v>
      </c>
      <c r="J3365" s="194">
        <v>0</v>
      </c>
      <c r="K3365" s="193">
        <f t="shared" si="732"/>
        <v>5723</v>
      </c>
      <c r="L3365" s="194">
        <v>2073</v>
      </c>
      <c r="M3365" s="194">
        <v>4001</v>
      </c>
      <c r="N3365" s="194">
        <v>0</v>
      </c>
      <c r="O3365" s="193">
        <f t="shared" si="733"/>
        <v>6074</v>
      </c>
      <c r="P3365" s="194">
        <v>762</v>
      </c>
      <c r="Q3365" s="194">
        <v>942</v>
      </c>
      <c r="R3365" s="194">
        <v>0</v>
      </c>
      <c r="S3365" s="193">
        <f t="shared" si="734"/>
        <v>1704</v>
      </c>
      <c r="T3365" s="193">
        <f t="shared" si="735"/>
        <v>450.03333333333336</v>
      </c>
      <c r="U3365" s="193">
        <f ca="1">OFFSET('Expenditure Study'!$B$7,'Operations Support'!$C3365,'Operations Support'!$B3365)*$G3365</f>
        <v>13501</v>
      </c>
      <c r="V3365" s="199">
        <f ca="1">U3365*'Expenditure Study'!$B$31</f>
        <v>797682.02398080006</v>
      </c>
      <c r="W3365" s="199">
        <f ca="1">IF(A3365=10298,1.51,1)*IF($B3365&lt;3,$D3365*'Expenditure Study'!$B$32*OFFSET('Expenditure Study'!$B$7,'Operations Support'!$C3365,'Operations Support'!$B3365),0)</f>
        <v>513.70000000000005</v>
      </c>
      <c r="X3365" s="200">
        <f ca="1">W3365*'Expenditure Study'!$B$31</f>
        <v>30351.029976960002</v>
      </c>
      <c r="Y3365" s="199">
        <f ca="1">U3365*'Expenditure Study'!$B$31</f>
        <v>797682.02398080006</v>
      </c>
      <c r="Z3365" s="200">
        <f ca="1">W3365*'Expenditure Study'!$B$31</f>
        <v>30351.029976960002</v>
      </c>
      <c r="AA3365" s="195">
        <f t="shared" ca="1" si="736"/>
        <v>828033.0539577601</v>
      </c>
      <c r="AB3365" s="195">
        <f t="shared" ca="1" si="737"/>
        <v>828033.0539577601</v>
      </c>
      <c r="AD3365" s="196">
        <f>IFERROR($G3365/SUMIF($A:$A,$A3365,$G:$G)*SUMIF(Summary!$A$166:$A$242,$A3365,Summary!$P$166:$P$242),0)</f>
        <v>504068.29223281553</v>
      </c>
      <c r="AE3365" s="197">
        <f t="shared" ca="1" si="738"/>
        <v>323964.76172494458</v>
      </c>
      <c r="AF3365" s="196">
        <f>IFERROR(G3365/SUMIF(A:A,A3365,G:G)*SUMIF(Summary!$A$166:$A$242,'Operations Support'!A3365,Summary!$Q$166:$Q$242),0)</f>
        <v>505095.83644410077</v>
      </c>
      <c r="AG3365" s="196">
        <f t="shared" ca="1" si="739"/>
        <v>322937.21751365933</v>
      </c>
      <c r="AI3365" s="196">
        <f>IFERROR($G3365/SUMIF($A:$A,$A3365,$G:$G)*SUMIF(Summary!$A$247:$A$283,$A3365,Summary!$P$247:$P$283),0)</f>
        <v>91929.477619249359</v>
      </c>
      <c r="AJ3365" s="196">
        <f>IFERROR($G3365/SUMIF($A:$A,$A3365,$G:$G)*(SUMIF(Summary!$A$247:$A$283,$A3365,Summary!$L$247:$L$283)+SUMIF(Summary!$A$297:$A$333,$A3365,Summary!$L$297:$L$333))-AI3365,0)</f>
        <v>387213.20644628006</v>
      </c>
      <c r="AK3365" s="196">
        <f>IFERROR($G3365/SUMIF($A:$A,$A3365,$G:$G)*SUMIF(Summary!$A$247:$A$283,$A3365,Summary!$Q$247:$Q$283),0)</f>
        <v>92116.876041307798</v>
      </c>
      <c r="AL3365" s="196">
        <f>IFERROR($G3365/SUMIF($A:$A,$A3365,$G:$G)*(SUMIF(Summary!$A$247:$A$283,$A3365,Summary!$L$247:$L$283)+SUMIF(Summary!$A$297:$A$333,$A3365,Summary!$L$297:$L$333))-AK3365,0)</f>
        <v>387025.80802422162</v>
      </c>
      <c r="AM3365" s="198"/>
      <c r="AN3365" s="196">
        <f t="shared" ca="1" si="740"/>
        <v>711177.9681712247</v>
      </c>
      <c r="AO3365" s="196">
        <f t="shared" ca="1" si="741"/>
        <v>709963.02553788095</v>
      </c>
    </row>
    <row r="3366" spans="1:41">
      <c r="A3366" s="189">
        <v>13231</v>
      </c>
      <c r="B3366" s="190">
        <v>1</v>
      </c>
      <c r="C3366" s="191" t="s">
        <v>221</v>
      </c>
      <c r="D3366" s="192">
        <f t="shared" si="728"/>
        <v>2188</v>
      </c>
      <c r="E3366" s="192">
        <f t="shared" si="729"/>
        <v>1916</v>
      </c>
      <c r="F3366" s="192">
        <f t="shared" si="730"/>
        <v>0</v>
      </c>
      <c r="G3366" s="193">
        <f t="shared" si="731"/>
        <v>4104</v>
      </c>
      <c r="H3366" s="194">
        <v>952</v>
      </c>
      <c r="I3366" s="194">
        <v>824</v>
      </c>
      <c r="J3366" s="194">
        <v>0</v>
      </c>
      <c r="K3366" s="193">
        <f t="shared" si="732"/>
        <v>1776</v>
      </c>
      <c r="L3366" s="194">
        <v>942</v>
      </c>
      <c r="M3366" s="194">
        <v>797</v>
      </c>
      <c r="N3366" s="194">
        <v>0</v>
      </c>
      <c r="O3366" s="193">
        <f t="shared" si="733"/>
        <v>1739</v>
      </c>
      <c r="P3366" s="194">
        <v>294</v>
      </c>
      <c r="Q3366" s="194">
        <v>295</v>
      </c>
      <c r="R3366" s="194">
        <v>0</v>
      </c>
      <c r="S3366" s="193">
        <f t="shared" si="734"/>
        <v>589</v>
      </c>
      <c r="T3366" s="193">
        <f t="shared" si="735"/>
        <v>136.80000000000001</v>
      </c>
      <c r="U3366" s="193">
        <f ca="1">OFFSET('Expenditure Study'!$B$7,'Operations Support'!$C3366,'Operations Support'!$B3366)*$G3366</f>
        <v>5499.3600000000006</v>
      </c>
      <c r="V3366" s="199">
        <f ca="1">U3366*'Expenditure Study'!$B$31</f>
        <v>324919.68116428802</v>
      </c>
      <c r="W3366" s="199">
        <f ca="1">IF(A3366=10298,1.51,1)*IF($B3366&lt;3,$D3366*'Expenditure Study'!$B$32*OFFSET('Expenditure Study'!$B$7,'Operations Support'!$C3366,'Operations Support'!$B3366),0)</f>
        <v>293.19200000000001</v>
      </c>
      <c r="X3366" s="200">
        <f ca="1">W3366*'Expenditure Study'!$B$31</f>
        <v>17322.715945113599</v>
      </c>
      <c r="Y3366" s="199">
        <f ca="1">U3366*'Expenditure Study'!$B$31</f>
        <v>324919.68116428802</v>
      </c>
      <c r="Z3366" s="200">
        <f ca="1">W3366*'Expenditure Study'!$B$31</f>
        <v>17322.715945113599</v>
      </c>
      <c r="AA3366" s="195">
        <f t="shared" ca="1" si="736"/>
        <v>342242.39710940165</v>
      </c>
      <c r="AB3366" s="195">
        <f t="shared" ca="1" si="737"/>
        <v>342242.39710940165</v>
      </c>
      <c r="AD3366" s="196">
        <f>IFERROR($G3366/SUMIF($A:$A,$A3366,$G:$G)*SUMIF(Summary!$A$166:$A$242,$A3366,Summary!$P$166:$P$242),0)</f>
        <v>153225.41080834568</v>
      </c>
      <c r="AE3366" s="197">
        <f t="shared" ca="1" si="738"/>
        <v>189016.98630105596</v>
      </c>
      <c r="AF3366" s="196">
        <f>IFERROR(G3366/SUMIF(A:A,A3366,G:G)*SUMIF(Summary!$A$166:$A$242,'Operations Support'!A3366,Summary!$Q$166:$Q$242),0)</f>
        <v>153537.76111151688</v>
      </c>
      <c r="AG3366" s="196">
        <f t="shared" ca="1" si="739"/>
        <v>188704.63599788476</v>
      </c>
      <c r="AI3366" s="196">
        <f>IFERROR($G3366/SUMIF($A:$A,$A3366,$G:$G)*SUMIF(Summary!$A$247:$A$283,$A3366,Summary!$P$247:$P$283),0)</f>
        <v>27944.491233938181</v>
      </c>
      <c r="AJ3366" s="196">
        <f>IFERROR($G3366/SUMIF($A:$A,$A3366,$G:$G)*(SUMIF(Summary!$A$247:$A$283,$A3366,Summary!$L$247:$L$283)+SUMIF(Summary!$A$297:$A$333,$A3366,Summary!$L$297:$L$333))-AI3366,0)</f>
        <v>117704.09593774781</v>
      </c>
      <c r="AK3366" s="196">
        <f>IFERROR($G3366/SUMIF($A:$A,$A3366,$G:$G)*SUMIF(Summary!$A$247:$A$283,$A3366,Summary!$Q$247:$Q$283),0)</f>
        <v>28001.456134621672</v>
      </c>
      <c r="AL3366" s="196">
        <f>IFERROR($G3366/SUMIF($A:$A,$A3366,$G:$G)*(SUMIF(Summary!$A$247:$A$283,$A3366,Summary!$L$247:$L$283)+SUMIF(Summary!$A$297:$A$333,$A3366,Summary!$L$297:$L$333))-AK3366,0)</f>
        <v>117647.13103706433</v>
      </c>
      <c r="AM3366" s="198"/>
      <c r="AN3366" s="196">
        <f t="shared" ca="1" si="740"/>
        <v>306721.08223880379</v>
      </c>
      <c r="AO3366" s="196">
        <f t="shared" ca="1" si="741"/>
        <v>306351.76703494909</v>
      </c>
    </row>
    <row r="3367" spans="1:41">
      <c r="A3367" s="189">
        <v>13231</v>
      </c>
      <c r="B3367" s="190">
        <v>1</v>
      </c>
      <c r="C3367" s="191" t="s">
        <v>222</v>
      </c>
      <c r="D3367" s="192">
        <f t="shared" si="728"/>
        <v>339</v>
      </c>
      <c r="E3367" s="192">
        <f t="shared" si="729"/>
        <v>555</v>
      </c>
      <c r="F3367" s="192">
        <f t="shared" si="730"/>
        <v>0</v>
      </c>
      <c r="G3367" s="193">
        <f t="shared" si="731"/>
        <v>894</v>
      </c>
      <c r="H3367" s="194">
        <v>96</v>
      </c>
      <c r="I3367" s="194">
        <v>327</v>
      </c>
      <c r="J3367" s="194">
        <v>0</v>
      </c>
      <c r="K3367" s="193">
        <f t="shared" si="732"/>
        <v>423</v>
      </c>
      <c r="L3367" s="194">
        <v>243</v>
      </c>
      <c r="M3367" s="194">
        <v>228</v>
      </c>
      <c r="N3367" s="194">
        <v>0</v>
      </c>
      <c r="O3367" s="193">
        <f t="shared" si="733"/>
        <v>471</v>
      </c>
      <c r="P3367" s="194">
        <v>0</v>
      </c>
      <c r="Q3367" s="194">
        <v>0</v>
      </c>
      <c r="R3367" s="194">
        <v>0</v>
      </c>
      <c r="S3367" s="193">
        <f t="shared" si="734"/>
        <v>0</v>
      </c>
      <c r="T3367" s="193">
        <f t="shared" si="735"/>
        <v>29.8</v>
      </c>
      <c r="U3367" s="193">
        <f ca="1">OFFSET('Expenditure Study'!$B$7,'Operations Support'!$C3367,'Operations Support'!$B3367)*$G3367</f>
        <v>1224.7800000000002</v>
      </c>
      <c r="V3367" s="199">
        <f ca="1">U3367*'Expenditure Study'!$B$31</f>
        <v>72363.898180224016</v>
      </c>
      <c r="W3367" s="199">
        <f ca="1">IF(A3367=10298,1.51,1)*IF($B3367&lt;3,$D3367*'Expenditure Study'!$B$32*OFFSET('Expenditure Study'!$B$7,'Operations Support'!$C3367,'Operations Support'!$B3367),0)</f>
        <v>46.443000000000005</v>
      </c>
      <c r="X3367" s="200">
        <f ca="1">W3367*'Expenditure Study'!$B$31</f>
        <v>2744.0001658944002</v>
      </c>
      <c r="Y3367" s="199">
        <f ca="1">U3367*'Expenditure Study'!$B$31</f>
        <v>72363.898180224016</v>
      </c>
      <c r="Z3367" s="200">
        <f ca="1">W3367*'Expenditure Study'!$B$31</f>
        <v>2744.0001658944002</v>
      </c>
      <c r="AA3367" s="195">
        <f t="shared" ca="1" si="736"/>
        <v>75107.898346118411</v>
      </c>
      <c r="AB3367" s="195">
        <f t="shared" ca="1" si="737"/>
        <v>75107.898346118411</v>
      </c>
      <c r="AD3367" s="196">
        <f>IFERROR($G3367/SUMIF($A:$A,$A3367,$G:$G)*SUMIF(Summary!$A$166:$A$242,$A3367,Summary!$P$166:$P$242),0)</f>
        <v>33378.05001526828</v>
      </c>
      <c r="AE3367" s="197">
        <f t="shared" ca="1" si="738"/>
        <v>41729.848330850131</v>
      </c>
      <c r="AF3367" s="196">
        <f>IFERROR(G3367/SUMIF(A:A,A3367,G:G)*SUMIF(Summary!$A$166:$A$242,'Operations Support'!A3367,Summary!$Q$166:$Q$242),0)</f>
        <v>33446.091236280721</v>
      </c>
      <c r="AG3367" s="196">
        <f t="shared" ca="1" si="739"/>
        <v>41661.807109837689</v>
      </c>
      <c r="AI3367" s="196">
        <f>IFERROR($G3367/SUMIF($A:$A,$A3367,$G:$G)*SUMIF(Summary!$A$247:$A$283,$A3367,Summary!$P$247:$P$283),0)</f>
        <v>6087.3233828315615</v>
      </c>
      <c r="AJ3367" s="196">
        <f>IFERROR($G3367/SUMIF($A:$A,$A3367,$G:$G)*(SUMIF(Summary!$A$247:$A$283,$A3367,Summary!$L$247:$L$283)+SUMIF(Summary!$A$297:$A$333,$A3367,Summary!$L$297:$L$333))-AI3367,0)</f>
        <v>25640.219729129276</v>
      </c>
      <c r="AK3367" s="196">
        <f>IFERROR($G3367/SUMIF($A:$A,$A3367,$G:$G)*SUMIF(Summary!$A$247:$A$283,$A3367,Summary!$Q$247:$Q$283),0)</f>
        <v>6099.7324035944866</v>
      </c>
      <c r="AL3367" s="196">
        <f>IFERROR($G3367/SUMIF($A:$A,$A3367,$G:$G)*(SUMIF(Summary!$A$247:$A$283,$A3367,Summary!$L$247:$L$283)+SUMIF(Summary!$A$297:$A$333,$A3367,Summary!$L$297:$L$333))-AK3367,0)</f>
        <v>25627.810708366349</v>
      </c>
      <c r="AM3367" s="198"/>
      <c r="AN3367" s="196">
        <f t="shared" ca="1" si="740"/>
        <v>67370.068059979414</v>
      </c>
      <c r="AO3367" s="196">
        <f t="shared" ca="1" si="741"/>
        <v>67289.617818204046</v>
      </c>
    </row>
    <row r="3368" spans="1:41">
      <c r="A3368" s="189">
        <v>13231</v>
      </c>
      <c r="B3368" s="190">
        <v>1</v>
      </c>
      <c r="C3368" s="191" t="s">
        <v>223</v>
      </c>
      <c r="D3368" s="192">
        <f t="shared" si="728"/>
        <v>441</v>
      </c>
      <c r="E3368" s="192">
        <f t="shared" si="729"/>
        <v>462</v>
      </c>
      <c r="F3368" s="192">
        <f t="shared" si="730"/>
        <v>0</v>
      </c>
      <c r="G3368" s="193">
        <f t="shared" si="731"/>
        <v>903</v>
      </c>
      <c r="H3368" s="194">
        <v>144</v>
      </c>
      <c r="I3368" s="194">
        <v>165</v>
      </c>
      <c r="J3368" s="194">
        <v>0</v>
      </c>
      <c r="K3368" s="193">
        <f t="shared" si="732"/>
        <v>309</v>
      </c>
      <c r="L3368" s="194">
        <v>234</v>
      </c>
      <c r="M3368" s="194">
        <v>279</v>
      </c>
      <c r="N3368" s="194">
        <v>0</v>
      </c>
      <c r="O3368" s="193">
        <f t="shared" si="733"/>
        <v>513</v>
      </c>
      <c r="P3368" s="194">
        <v>63</v>
      </c>
      <c r="Q3368" s="194">
        <v>18</v>
      </c>
      <c r="R3368" s="194">
        <v>0</v>
      </c>
      <c r="S3368" s="193">
        <f t="shared" si="734"/>
        <v>81</v>
      </c>
      <c r="T3368" s="193">
        <f t="shared" si="735"/>
        <v>30.1</v>
      </c>
      <c r="U3368" s="193">
        <f ca="1">OFFSET('Expenditure Study'!$B$7,'Operations Support'!$C3368,'Operations Support'!$B3368)*$G3368</f>
        <v>1137.78</v>
      </c>
      <c r="V3368" s="199">
        <f ca="1">U3368*'Expenditure Study'!$B$31</f>
        <v>67223.661450624</v>
      </c>
      <c r="W3368" s="199">
        <f ca="1">IF(A3368=10298,1.51,1)*IF($B3368&lt;3,$D3368*'Expenditure Study'!$B$32*OFFSET('Expenditure Study'!$B$7,'Operations Support'!$C3368,'Operations Support'!$B3368),0)</f>
        <v>55.566000000000003</v>
      </c>
      <c r="X3368" s="200">
        <f ca="1">W3368*'Expenditure Study'!$B$31</f>
        <v>3283.0160243328</v>
      </c>
      <c r="Y3368" s="199">
        <f ca="1">U3368*'Expenditure Study'!$B$31</f>
        <v>67223.661450624</v>
      </c>
      <c r="Z3368" s="200">
        <f ca="1">W3368*'Expenditure Study'!$B$31</f>
        <v>3283.0160243328</v>
      </c>
      <c r="AA3368" s="195">
        <f t="shared" ca="1" si="736"/>
        <v>70506.677474956799</v>
      </c>
      <c r="AB3368" s="195">
        <f t="shared" ca="1" si="737"/>
        <v>70506.677474956799</v>
      </c>
      <c r="AD3368" s="196">
        <f>IFERROR($G3368/SUMIF($A:$A,$A3368,$G:$G)*SUMIF(Summary!$A$166:$A$242,$A3368,Summary!$P$166:$P$242),0)</f>
        <v>33714.070653005881</v>
      </c>
      <c r="AE3368" s="197">
        <f t="shared" ca="1" si="738"/>
        <v>36792.606821950918</v>
      </c>
      <c r="AF3368" s="196">
        <f>IFERROR(G3368/SUMIF(A:A,A3368,G:G)*SUMIF(Summary!$A$166:$A$242,'Operations Support'!A3368,Summary!$Q$166:$Q$242),0)</f>
        <v>33782.796852753352</v>
      </c>
      <c r="AG3368" s="196">
        <f t="shared" ca="1" si="739"/>
        <v>36723.880622203447</v>
      </c>
      <c r="AI3368" s="196">
        <f>IFERROR($G3368/SUMIF($A:$A,$A3368,$G:$G)*SUMIF(Summary!$A$247:$A$283,$A3368,Summary!$P$247:$P$283),0)</f>
        <v>6148.6051618533565</v>
      </c>
      <c r="AJ3368" s="196">
        <f>IFERROR($G3368/SUMIF($A:$A,$A3368,$G:$G)*(SUMIF(Summary!$A$247:$A$283,$A3368,Summary!$L$247:$L$283)+SUMIF(Summary!$A$297:$A$333,$A3368,Summary!$L$297:$L$333))-AI3368,0)</f>
        <v>25898.342746536619</v>
      </c>
      <c r="AK3368" s="196">
        <f>IFERROR($G3368/SUMIF($A:$A,$A3368,$G:$G)*SUMIF(Summary!$A$247:$A$283,$A3368,Summary!$Q$247:$Q$283),0)</f>
        <v>6161.1391056440962</v>
      </c>
      <c r="AL3368" s="196">
        <f>IFERROR($G3368/SUMIF($A:$A,$A3368,$G:$G)*(SUMIF(Summary!$A$247:$A$283,$A3368,Summary!$L$247:$L$283)+SUMIF(Summary!$A$297:$A$333,$A3368,Summary!$L$297:$L$333))-AK3368,0)</f>
        <v>25885.80880274588</v>
      </c>
      <c r="AM3368" s="198"/>
      <c r="AN3368" s="196">
        <f t="shared" ca="1" si="740"/>
        <v>62690.949568487536</v>
      </c>
      <c r="AO3368" s="196">
        <f t="shared" ca="1" si="741"/>
        <v>62609.689424949327</v>
      </c>
    </row>
    <row r="3369" spans="1:41">
      <c r="A3369" s="189">
        <v>13231</v>
      </c>
      <c r="B3369" s="190">
        <v>1</v>
      </c>
      <c r="C3369" s="191" t="s">
        <v>224</v>
      </c>
      <c r="D3369" s="192">
        <f t="shared" si="728"/>
        <v>0</v>
      </c>
      <c r="E3369" s="192">
        <f t="shared" si="729"/>
        <v>0</v>
      </c>
      <c r="F3369" s="192">
        <f t="shared" si="730"/>
        <v>0</v>
      </c>
      <c r="G3369" s="193">
        <f t="shared" si="731"/>
        <v>0</v>
      </c>
      <c r="H3369" s="194">
        <v>0</v>
      </c>
      <c r="I3369" s="194">
        <v>0</v>
      </c>
      <c r="J3369" s="194">
        <v>0</v>
      </c>
      <c r="K3369" s="193">
        <f t="shared" si="732"/>
        <v>0</v>
      </c>
      <c r="L3369" s="194">
        <v>0</v>
      </c>
      <c r="M3369" s="194">
        <v>0</v>
      </c>
      <c r="N3369" s="194">
        <v>0</v>
      </c>
      <c r="O3369" s="193">
        <f t="shared" si="733"/>
        <v>0</v>
      </c>
      <c r="P3369" s="194">
        <v>0</v>
      </c>
      <c r="Q3369" s="194">
        <v>0</v>
      </c>
      <c r="R3369" s="194">
        <v>0</v>
      </c>
      <c r="S3369" s="193">
        <f t="shared" si="734"/>
        <v>0</v>
      </c>
      <c r="T3369" s="193">
        <f t="shared" si="735"/>
        <v>0</v>
      </c>
      <c r="U3369" s="193">
        <f ca="1">OFFSET('Expenditure Study'!$B$7,'Operations Support'!$C3369,'Operations Support'!$B3369)*$G3369</f>
        <v>0</v>
      </c>
      <c r="V3369" s="199">
        <f ca="1">U3369*'Expenditure Study'!$B$31</f>
        <v>0</v>
      </c>
      <c r="W3369" s="199">
        <f ca="1">IF(A3369=10298,1.51,1)*IF($B3369&lt;3,$D3369*'Expenditure Study'!$B$32*OFFSET('Expenditure Study'!$B$7,'Operations Support'!$C3369,'Operations Support'!$B3369),0)</f>
        <v>0</v>
      </c>
      <c r="X3369" s="200">
        <f ca="1">W3369*'Expenditure Study'!$B$31</f>
        <v>0</v>
      </c>
      <c r="Y3369" s="199">
        <f ca="1">U3369*'Expenditure Study'!$B$31</f>
        <v>0</v>
      </c>
      <c r="Z3369" s="200">
        <f ca="1">W3369*'Expenditure Study'!$B$31</f>
        <v>0</v>
      </c>
      <c r="AA3369" s="195">
        <f t="shared" ca="1" si="736"/>
        <v>0</v>
      </c>
      <c r="AB3369" s="195">
        <f t="shared" ca="1" si="737"/>
        <v>0</v>
      </c>
      <c r="AD3369" s="196">
        <f>IFERROR($G3369/SUMIF($A:$A,$A3369,$G:$G)*SUMIF(Summary!$A$166:$A$242,$A3369,Summary!$P$166:$P$242),0)</f>
        <v>0</v>
      </c>
      <c r="AE3369" s="197">
        <f t="shared" ca="1" si="738"/>
        <v>0</v>
      </c>
      <c r="AF3369" s="196">
        <f>IFERROR(G3369/SUMIF(A:A,A3369,G:G)*SUMIF(Summary!$A$166:$A$242,'Operations Support'!A3369,Summary!$Q$166:$Q$242),0)</f>
        <v>0</v>
      </c>
      <c r="AG3369" s="196">
        <f t="shared" ca="1" si="739"/>
        <v>0</v>
      </c>
      <c r="AI3369" s="196">
        <f>IFERROR($G3369/SUMIF($A:$A,$A3369,$G:$G)*SUMIF(Summary!$A$247:$A$283,$A3369,Summary!$P$247:$P$283),0)</f>
        <v>0</v>
      </c>
      <c r="AJ3369" s="196">
        <f>IFERROR($G3369/SUMIF($A:$A,$A3369,$G:$G)*(SUMIF(Summary!$A$247:$A$283,$A3369,Summary!$L$247:$L$283)+SUMIF(Summary!$A$297:$A$333,$A3369,Summary!$L$297:$L$333))-AI3369,0)</f>
        <v>0</v>
      </c>
      <c r="AK3369" s="196">
        <f>IFERROR($G3369/SUMIF($A:$A,$A3369,$G:$G)*SUMIF(Summary!$A$247:$A$283,$A3369,Summary!$Q$247:$Q$283),0)</f>
        <v>0</v>
      </c>
      <c r="AL3369" s="196">
        <f>IFERROR($G3369/SUMIF($A:$A,$A3369,$G:$G)*(SUMIF(Summary!$A$247:$A$283,$A3369,Summary!$L$247:$L$283)+SUMIF(Summary!$A$297:$A$333,$A3369,Summary!$L$297:$L$333))-AK3369,0)</f>
        <v>0</v>
      </c>
      <c r="AM3369" s="198"/>
      <c r="AN3369" s="196">
        <f t="shared" ca="1" si="740"/>
        <v>0</v>
      </c>
      <c r="AO3369" s="196">
        <f t="shared" ca="1" si="741"/>
        <v>0</v>
      </c>
    </row>
    <row r="3370" spans="1:41">
      <c r="A3370" s="189">
        <v>13231</v>
      </c>
      <c r="B3370" s="190">
        <v>1</v>
      </c>
      <c r="C3370" s="191" t="s">
        <v>225</v>
      </c>
      <c r="D3370" s="192">
        <f t="shared" si="728"/>
        <v>134</v>
      </c>
      <c r="E3370" s="192">
        <f t="shared" si="729"/>
        <v>2157</v>
      </c>
      <c r="F3370" s="192">
        <f t="shared" si="730"/>
        <v>0</v>
      </c>
      <c r="G3370" s="193">
        <f t="shared" si="731"/>
        <v>2291</v>
      </c>
      <c r="H3370" s="194">
        <v>30</v>
      </c>
      <c r="I3370" s="194">
        <v>1143</v>
      </c>
      <c r="J3370" s="194">
        <v>0</v>
      </c>
      <c r="K3370" s="193">
        <f t="shared" si="732"/>
        <v>1173</v>
      </c>
      <c r="L3370" s="194">
        <v>30</v>
      </c>
      <c r="M3370" s="194">
        <v>841</v>
      </c>
      <c r="N3370" s="194">
        <v>0</v>
      </c>
      <c r="O3370" s="193">
        <f t="shared" si="733"/>
        <v>871</v>
      </c>
      <c r="P3370" s="194">
        <v>74</v>
      </c>
      <c r="Q3370" s="194">
        <v>173</v>
      </c>
      <c r="R3370" s="194">
        <v>0</v>
      </c>
      <c r="S3370" s="193">
        <f t="shared" si="734"/>
        <v>247</v>
      </c>
      <c r="T3370" s="193">
        <f t="shared" si="735"/>
        <v>76.36666666666666</v>
      </c>
      <c r="U3370" s="193">
        <f ca="1">OFFSET('Expenditure Study'!$B$7,'Operations Support'!$C3370,'Operations Support'!$B3370)*$G3370</f>
        <v>4032.16</v>
      </c>
      <c r="V3370" s="199">
        <f ca="1">U3370*'Expenditure Study'!$B$31</f>
        <v>238232.83829452799</v>
      </c>
      <c r="W3370" s="199">
        <f ca="1">IF(A3370=10298,1.51,1)*IF($B3370&lt;3,$D3370*'Expenditure Study'!$B$32*OFFSET('Expenditure Study'!$B$7,'Operations Support'!$C3370,'Operations Support'!$B3370),0)</f>
        <v>23.584</v>
      </c>
      <c r="X3370" s="200">
        <f ca="1">W3370*'Expenditure Study'!$B$31</f>
        <v>1393.4177359872001</v>
      </c>
      <c r="Y3370" s="199">
        <f ca="1">U3370*'Expenditure Study'!$B$31</f>
        <v>238232.83829452799</v>
      </c>
      <c r="Z3370" s="200">
        <f ca="1">W3370*'Expenditure Study'!$B$31</f>
        <v>1393.4177359872001</v>
      </c>
      <c r="AA3370" s="195">
        <f t="shared" ca="1" si="736"/>
        <v>239626.25603051519</v>
      </c>
      <c r="AB3370" s="195">
        <f t="shared" ca="1" si="737"/>
        <v>239626.25603051519</v>
      </c>
      <c r="AD3370" s="196">
        <f>IFERROR($G3370/SUMIF($A:$A,$A3370,$G:$G)*SUMIF(Summary!$A$166:$A$242,$A3370,Summary!$P$166:$P$242),0)</f>
        <v>85535.920117426882</v>
      </c>
      <c r="AE3370" s="197">
        <f t="shared" ca="1" si="738"/>
        <v>154090.33591308829</v>
      </c>
      <c r="AF3370" s="196">
        <f>IFERROR(G3370/SUMIF(A:A,A3370,G:G)*SUMIF(Summary!$A$166:$A$242,'Operations Support'!A3370,Summary!$Q$166:$Q$242),0)</f>
        <v>85710.285259864817</v>
      </c>
      <c r="AG3370" s="196">
        <f t="shared" ca="1" si="739"/>
        <v>153915.97077065037</v>
      </c>
      <c r="AI3370" s="196">
        <f>IFERROR($G3370/SUMIF($A:$A,$A3370,$G:$G)*SUMIF(Summary!$A$247:$A$283,$A3370,Summary!$P$247:$P$283),0)</f>
        <v>15599.617304325626</v>
      </c>
      <c r="AJ3370" s="196">
        <f>IFERROR($G3370/SUMIF($A:$A,$A3370,$G:$G)*(SUMIF(Summary!$A$247:$A$283,$A3370,Summary!$L$247:$L$283)+SUMIF(Summary!$A$297:$A$333,$A3370,Summary!$L$297:$L$333))-AI3370,0)</f>
        <v>65706.648097802201</v>
      </c>
      <c r="AK3370" s="196">
        <f>IFERROR($G3370/SUMIF($A:$A,$A3370,$G:$G)*SUMIF(Summary!$A$247:$A$283,$A3370,Summary!$Q$247:$Q$283),0)</f>
        <v>15631.417155072673</v>
      </c>
      <c r="AL3370" s="196">
        <f>IFERROR($G3370/SUMIF($A:$A,$A3370,$G:$G)*(SUMIF(Summary!$A$247:$A$283,$A3370,Summary!$L$247:$L$283)+SUMIF(Summary!$A$297:$A$333,$A3370,Summary!$L$297:$L$333))-AK3370,0)</f>
        <v>65674.848247055153</v>
      </c>
      <c r="AM3370" s="198"/>
      <c r="AN3370" s="196">
        <f t="shared" ca="1" si="740"/>
        <v>219796.98401089048</v>
      </c>
      <c r="AO3370" s="196">
        <f t="shared" ca="1" si="741"/>
        <v>219590.81901770551</v>
      </c>
    </row>
    <row r="3371" spans="1:41">
      <c r="A3371" s="189">
        <v>13231</v>
      </c>
      <c r="B3371" s="190">
        <v>1</v>
      </c>
      <c r="C3371" s="191" t="s">
        <v>226</v>
      </c>
      <c r="D3371" s="192">
        <f t="shared" si="728"/>
        <v>36</v>
      </c>
      <c r="E3371" s="192">
        <f t="shared" si="729"/>
        <v>45</v>
      </c>
      <c r="F3371" s="192">
        <f t="shared" si="730"/>
        <v>0</v>
      </c>
      <c r="G3371" s="193">
        <f t="shared" si="731"/>
        <v>81</v>
      </c>
      <c r="H3371" s="194">
        <v>15</v>
      </c>
      <c r="I3371" s="194">
        <v>3</v>
      </c>
      <c r="J3371" s="194">
        <v>0</v>
      </c>
      <c r="K3371" s="193">
        <f t="shared" si="732"/>
        <v>18</v>
      </c>
      <c r="L3371" s="194">
        <v>21</v>
      </c>
      <c r="M3371" s="194">
        <v>33</v>
      </c>
      <c r="N3371" s="194">
        <v>0</v>
      </c>
      <c r="O3371" s="193">
        <f t="shared" si="733"/>
        <v>54</v>
      </c>
      <c r="P3371" s="194">
        <v>0</v>
      </c>
      <c r="Q3371" s="194">
        <v>9</v>
      </c>
      <c r="R3371" s="194">
        <v>0</v>
      </c>
      <c r="S3371" s="193">
        <f t="shared" si="734"/>
        <v>9</v>
      </c>
      <c r="T3371" s="193">
        <f t="shared" si="735"/>
        <v>2.7</v>
      </c>
      <c r="U3371" s="193">
        <f ca="1">OFFSET('Expenditure Study'!$B$7,'Operations Support'!$C3371,'Operations Support'!$B3371)*$G3371</f>
        <v>76.95</v>
      </c>
      <c r="V3371" s="199">
        <f ca="1">U3371*'Expenditure Study'!$B$31</f>
        <v>4546.4507625599999</v>
      </c>
      <c r="W3371" s="199">
        <f ca="1">IF(A3371=10298,1.51,1)*IF($B3371&lt;3,$D3371*'Expenditure Study'!$B$32*OFFSET('Expenditure Study'!$B$7,'Operations Support'!$C3371,'Operations Support'!$B3371),0)</f>
        <v>3.42</v>
      </c>
      <c r="X3371" s="200">
        <f ca="1">W3371*'Expenditure Study'!$B$31</f>
        <v>202.06447833600001</v>
      </c>
      <c r="Y3371" s="199">
        <f ca="1">U3371*'Expenditure Study'!$B$31</f>
        <v>4546.4507625599999</v>
      </c>
      <c r="Z3371" s="200">
        <f ca="1">W3371*'Expenditure Study'!$B$31</f>
        <v>202.06447833600001</v>
      </c>
      <c r="AA3371" s="195">
        <f t="shared" ca="1" si="736"/>
        <v>4748.5152408960003</v>
      </c>
      <c r="AB3371" s="195">
        <f t="shared" ca="1" si="737"/>
        <v>4748.5152408960003</v>
      </c>
      <c r="AD3371" s="196">
        <f>IFERROR($G3371/SUMIF($A:$A,$A3371,$G:$G)*SUMIF(Summary!$A$166:$A$242,$A3371,Summary!$P$166:$P$242),0)</f>
        <v>3024.1857396384012</v>
      </c>
      <c r="AE3371" s="197">
        <f t="shared" ca="1" si="738"/>
        <v>1724.3295012575991</v>
      </c>
      <c r="AF3371" s="196">
        <f>IFERROR(G3371/SUMIF(A:A,A3371,G:G)*SUMIF(Summary!$A$166:$A$242,'Operations Support'!A3371,Summary!$Q$166:$Q$242),0)</f>
        <v>3030.3505482536229</v>
      </c>
      <c r="AG3371" s="196">
        <f t="shared" ca="1" si="739"/>
        <v>1718.1646926423773</v>
      </c>
      <c r="AI3371" s="196">
        <f>IFERROR($G3371/SUMIF($A:$A,$A3371,$G:$G)*SUMIF(Summary!$A$247:$A$283,$A3371,Summary!$P$247:$P$283),0)</f>
        <v>551.53601119614825</v>
      </c>
      <c r="AJ3371" s="196">
        <f>IFERROR($G3371/SUMIF($A:$A,$A3371,$G:$G)*(SUMIF(Summary!$A$247:$A$283,$A3371,Summary!$L$247:$L$283)+SUMIF(Summary!$A$297:$A$333,$A3371,Summary!$L$297:$L$333))-AI3371,0)</f>
        <v>2323.1071566660758</v>
      </c>
      <c r="AK3371" s="196">
        <f>IFERROR($G3371/SUMIF($A:$A,$A3371,$G:$G)*SUMIF(Summary!$A$247:$A$283,$A3371,Summary!$Q$247:$Q$283),0)</f>
        <v>552.66031844648035</v>
      </c>
      <c r="AL3371" s="196">
        <f>IFERROR($G3371/SUMIF($A:$A,$A3371,$G:$G)*(SUMIF(Summary!$A$247:$A$283,$A3371,Summary!$L$247:$L$283)+SUMIF(Summary!$A$297:$A$333,$A3371,Summary!$L$297:$L$333))-AK3371,0)</f>
        <v>2321.9828494157437</v>
      </c>
      <c r="AM3371" s="198"/>
      <c r="AN3371" s="196">
        <f t="shared" ca="1" si="740"/>
        <v>4047.4366579236748</v>
      </c>
      <c r="AO3371" s="196">
        <f t="shared" ca="1" si="741"/>
        <v>4040.147542058121</v>
      </c>
    </row>
    <row r="3372" spans="1:41">
      <c r="A3372" s="189">
        <v>13231</v>
      </c>
      <c r="B3372" s="190">
        <v>1</v>
      </c>
      <c r="C3372" s="191" t="s">
        <v>227</v>
      </c>
      <c r="D3372" s="192">
        <f t="shared" si="728"/>
        <v>0</v>
      </c>
      <c r="E3372" s="192">
        <f t="shared" si="729"/>
        <v>0</v>
      </c>
      <c r="F3372" s="192">
        <f t="shared" si="730"/>
        <v>0</v>
      </c>
      <c r="G3372" s="193">
        <f t="shared" si="731"/>
        <v>0</v>
      </c>
      <c r="H3372" s="194">
        <v>0</v>
      </c>
      <c r="I3372" s="194">
        <v>0</v>
      </c>
      <c r="J3372" s="194">
        <v>0</v>
      </c>
      <c r="K3372" s="193">
        <f t="shared" si="732"/>
        <v>0</v>
      </c>
      <c r="L3372" s="194">
        <v>0</v>
      </c>
      <c r="M3372" s="194">
        <v>0</v>
      </c>
      <c r="N3372" s="194">
        <v>0</v>
      </c>
      <c r="O3372" s="193">
        <f t="shared" si="733"/>
        <v>0</v>
      </c>
      <c r="P3372" s="194">
        <v>0</v>
      </c>
      <c r="Q3372" s="194">
        <v>0</v>
      </c>
      <c r="R3372" s="194">
        <v>0</v>
      </c>
      <c r="S3372" s="193">
        <f t="shared" si="734"/>
        <v>0</v>
      </c>
      <c r="T3372" s="193">
        <f t="shared" si="735"/>
        <v>0</v>
      </c>
      <c r="U3372" s="193">
        <f ca="1">OFFSET('Expenditure Study'!$B$7,'Operations Support'!$C3372,'Operations Support'!$B3372)*$G3372</f>
        <v>0</v>
      </c>
      <c r="V3372" s="199">
        <f ca="1">U3372*'Expenditure Study'!$B$31</f>
        <v>0</v>
      </c>
      <c r="W3372" s="199">
        <f ca="1">IF(A3372=10298,1.51,1)*IF($B3372&lt;3,$D3372*'Expenditure Study'!$B$32*OFFSET('Expenditure Study'!$B$7,'Operations Support'!$C3372,'Operations Support'!$B3372),0)</f>
        <v>0</v>
      </c>
      <c r="X3372" s="200">
        <f ca="1">W3372*'Expenditure Study'!$B$31</f>
        <v>0</v>
      </c>
      <c r="Y3372" s="199">
        <f ca="1">U3372*'Expenditure Study'!$B$31</f>
        <v>0</v>
      </c>
      <c r="Z3372" s="200">
        <f ca="1">W3372*'Expenditure Study'!$B$31</f>
        <v>0</v>
      </c>
      <c r="AA3372" s="195">
        <f t="shared" ca="1" si="736"/>
        <v>0</v>
      </c>
      <c r="AB3372" s="195">
        <f t="shared" ca="1" si="737"/>
        <v>0</v>
      </c>
      <c r="AD3372" s="196">
        <f>IFERROR($G3372/SUMIF($A:$A,$A3372,$G:$G)*SUMIF(Summary!$A$166:$A$242,$A3372,Summary!$P$166:$P$242),0)</f>
        <v>0</v>
      </c>
      <c r="AE3372" s="197">
        <f t="shared" ca="1" si="738"/>
        <v>0</v>
      </c>
      <c r="AF3372" s="196">
        <f>IFERROR(G3372/SUMIF(A:A,A3372,G:G)*SUMIF(Summary!$A$166:$A$242,'Operations Support'!A3372,Summary!$Q$166:$Q$242),0)</f>
        <v>0</v>
      </c>
      <c r="AG3372" s="196">
        <f t="shared" ca="1" si="739"/>
        <v>0</v>
      </c>
      <c r="AI3372" s="196">
        <f>IFERROR($G3372/SUMIF($A:$A,$A3372,$G:$G)*SUMIF(Summary!$A$247:$A$283,$A3372,Summary!$P$247:$P$283),0)</f>
        <v>0</v>
      </c>
      <c r="AJ3372" s="196">
        <f>IFERROR($G3372/SUMIF($A:$A,$A3372,$G:$G)*(SUMIF(Summary!$A$247:$A$283,$A3372,Summary!$L$247:$L$283)+SUMIF(Summary!$A$297:$A$333,$A3372,Summary!$L$297:$L$333))-AI3372,0)</f>
        <v>0</v>
      </c>
      <c r="AK3372" s="196">
        <f>IFERROR($G3372/SUMIF($A:$A,$A3372,$G:$G)*SUMIF(Summary!$A$247:$A$283,$A3372,Summary!$Q$247:$Q$283),0)</f>
        <v>0</v>
      </c>
      <c r="AL3372" s="196">
        <f>IFERROR($G3372/SUMIF($A:$A,$A3372,$G:$G)*(SUMIF(Summary!$A$247:$A$283,$A3372,Summary!$L$247:$L$283)+SUMIF(Summary!$A$297:$A$333,$A3372,Summary!$L$297:$L$333))-AK3372,0)</f>
        <v>0</v>
      </c>
      <c r="AM3372" s="198"/>
      <c r="AN3372" s="196">
        <f t="shared" ca="1" si="740"/>
        <v>0</v>
      </c>
      <c r="AO3372" s="196">
        <f t="shared" ca="1" si="741"/>
        <v>0</v>
      </c>
    </row>
    <row r="3373" spans="1:41">
      <c r="A3373" s="189">
        <v>13231</v>
      </c>
      <c r="B3373" s="190">
        <v>1</v>
      </c>
      <c r="C3373" s="191" t="s">
        <v>228</v>
      </c>
      <c r="D3373" s="192">
        <f t="shared" si="728"/>
        <v>0</v>
      </c>
      <c r="E3373" s="192">
        <f t="shared" si="729"/>
        <v>0</v>
      </c>
      <c r="F3373" s="192">
        <f t="shared" si="730"/>
        <v>0</v>
      </c>
      <c r="G3373" s="193">
        <f t="shared" si="731"/>
        <v>0</v>
      </c>
      <c r="H3373" s="194">
        <v>0</v>
      </c>
      <c r="I3373" s="194">
        <v>0</v>
      </c>
      <c r="J3373" s="194">
        <v>0</v>
      </c>
      <c r="K3373" s="193">
        <f t="shared" si="732"/>
        <v>0</v>
      </c>
      <c r="L3373" s="194">
        <v>0</v>
      </c>
      <c r="M3373" s="194">
        <v>0</v>
      </c>
      <c r="N3373" s="194">
        <v>0</v>
      </c>
      <c r="O3373" s="193">
        <f t="shared" si="733"/>
        <v>0</v>
      </c>
      <c r="P3373" s="194">
        <v>0</v>
      </c>
      <c r="Q3373" s="194">
        <v>0</v>
      </c>
      <c r="R3373" s="194">
        <v>0</v>
      </c>
      <c r="S3373" s="193">
        <f t="shared" si="734"/>
        <v>0</v>
      </c>
      <c r="T3373" s="193">
        <f t="shared" si="735"/>
        <v>0</v>
      </c>
      <c r="U3373" s="193">
        <f ca="1">OFFSET('Expenditure Study'!$B$7,'Operations Support'!$C3373,'Operations Support'!$B3373)*$G3373</f>
        <v>0</v>
      </c>
      <c r="V3373" s="199">
        <f ca="1">U3373*'Expenditure Study'!$B$31</f>
        <v>0</v>
      </c>
      <c r="W3373" s="199">
        <f ca="1">IF(A3373=10298,1.51,1)*IF($B3373&lt;3,$D3373*'Expenditure Study'!$B$32*OFFSET('Expenditure Study'!$B$7,'Operations Support'!$C3373,'Operations Support'!$B3373),0)</f>
        <v>0</v>
      </c>
      <c r="X3373" s="200">
        <f ca="1">W3373*'Expenditure Study'!$B$31</f>
        <v>0</v>
      </c>
      <c r="Y3373" s="199">
        <f ca="1">U3373*'Expenditure Study'!$B$31</f>
        <v>0</v>
      </c>
      <c r="Z3373" s="200">
        <f ca="1">W3373*'Expenditure Study'!$B$31</f>
        <v>0</v>
      </c>
      <c r="AA3373" s="195">
        <f t="shared" ca="1" si="736"/>
        <v>0</v>
      </c>
      <c r="AB3373" s="195">
        <f t="shared" ca="1" si="737"/>
        <v>0</v>
      </c>
      <c r="AD3373" s="196">
        <f>IFERROR($G3373/SUMIF($A:$A,$A3373,$G:$G)*SUMIF(Summary!$A$166:$A$242,$A3373,Summary!$P$166:$P$242),0)</f>
        <v>0</v>
      </c>
      <c r="AE3373" s="197">
        <f t="shared" ca="1" si="738"/>
        <v>0</v>
      </c>
      <c r="AF3373" s="196">
        <f>IFERROR(G3373/SUMIF(A:A,A3373,G:G)*SUMIF(Summary!$A$166:$A$242,'Operations Support'!A3373,Summary!$Q$166:$Q$242),0)</f>
        <v>0</v>
      </c>
      <c r="AG3373" s="196">
        <f t="shared" ca="1" si="739"/>
        <v>0</v>
      </c>
      <c r="AI3373" s="196">
        <f>IFERROR($G3373/SUMIF($A:$A,$A3373,$G:$G)*SUMIF(Summary!$A$247:$A$283,$A3373,Summary!$P$247:$P$283),0)</f>
        <v>0</v>
      </c>
      <c r="AJ3373" s="196">
        <f>IFERROR($G3373/SUMIF($A:$A,$A3373,$G:$G)*(SUMIF(Summary!$A$247:$A$283,$A3373,Summary!$L$247:$L$283)+SUMIF(Summary!$A$297:$A$333,$A3373,Summary!$L$297:$L$333))-AI3373,0)</f>
        <v>0</v>
      </c>
      <c r="AK3373" s="196">
        <f>IFERROR($G3373/SUMIF($A:$A,$A3373,$G:$G)*SUMIF(Summary!$A$247:$A$283,$A3373,Summary!$Q$247:$Q$283),0)</f>
        <v>0</v>
      </c>
      <c r="AL3373" s="196">
        <f>IFERROR($G3373/SUMIF($A:$A,$A3373,$G:$G)*(SUMIF(Summary!$A$247:$A$283,$A3373,Summary!$L$247:$L$283)+SUMIF(Summary!$A$297:$A$333,$A3373,Summary!$L$297:$L$333))-AK3373,0)</f>
        <v>0</v>
      </c>
      <c r="AM3373" s="198"/>
      <c r="AN3373" s="196">
        <f t="shared" ca="1" si="740"/>
        <v>0</v>
      </c>
      <c r="AO3373" s="196">
        <f t="shared" ca="1" si="741"/>
        <v>0</v>
      </c>
    </row>
    <row r="3374" spans="1:41">
      <c r="A3374" s="189">
        <v>13231</v>
      </c>
      <c r="B3374" s="190">
        <v>1</v>
      </c>
      <c r="C3374" s="191" t="s">
        <v>229</v>
      </c>
      <c r="D3374" s="192">
        <f t="shared" si="728"/>
        <v>0</v>
      </c>
      <c r="E3374" s="192">
        <f t="shared" si="729"/>
        <v>0</v>
      </c>
      <c r="F3374" s="192">
        <f t="shared" si="730"/>
        <v>0</v>
      </c>
      <c r="G3374" s="193">
        <f t="shared" si="731"/>
        <v>0</v>
      </c>
      <c r="H3374" s="194">
        <v>0</v>
      </c>
      <c r="I3374" s="194">
        <v>0</v>
      </c>
      <c r="J3374" s="194">
        <v>0</v>
      </c>
      <c r="K3374" s="193">
        <f t="shared" si="732"/>
        <v>0</v>
      </c>
      <c r="L3374" s="194">
        <v>0</v>
      </c>
      <c r="M3374" s="194">
        <v>0</v>
      </c>
      <c r="N3374" s="194">
        <v>0</v>
      </c>
      <c r="O3374" s="193">
        <f t="shared" si="733"/>
        <v>0</v>
      </c>
      <c r="P3374" s="194">
        <v>0</v>
      </c>
      <c r="Q3374" s="194">
        <v>0</v>
      </c>
      <c r="R3374" s="194">
        <v>0</v>
      </c>
      <c r="S3374" s="193">
        <f t="shared" si="734"/>
        <v>0</v>
      </c>
      <c r="T3374" s="193">
        <f t="shared" si="735"/>
        <v>0</v>
      </c>
      <c r="U3374" s="193">
        <f ca="1">OFFSET('Expenditure Study'!$B$7,'Operations Support'!$C3374,'Operations Support'!$B3374)*$G3374</f>
        <v>0</v>
      </c>
      <c r="V3374" s="199">
        <f ca="1">U3374*'Expenditure Study'!$B$31</f>
        <v>0</v>
      </c>
      <c r="W3374" s="199">
        <f ca="1">IF(A3374=10298,1.51,1)*IF($B3374&lt;3,$D3374*'Expenditure Study'!$B$32*OFFSET('Expenditure Study'!$B$7,'Operations Support'!$C3374,'Operations Support'!$B3374),0)</f>
        <v>0</v>
      </c>
      <c r="X3374" s="200">
        <f ca="1">W3374*'Expenditure Study'!$B$31</f>
        <v>0</v>
      </c>
      <c r="Y3374" s="199">
        <f ca="1">U3374*'Expenditure Study'!$B$31</f>
        <v>0</v>
      </c>
      <c r="Z3374" s="200">
        <f ca="1">W3374*'Expenditure Study'!$B$31</f>
        <v>0</v>
      </c>
      <c r="AA3374" s="195">
        <f t="shared" ca="1" si="736"/>
        <v>0</v>
      </c>
      <c r="AB3374" s="195">
        <f t="shared" ca="1" si="737"/>
        <v>0</v>
      </c>
      <c r="AD3374" s="196">
        <f>IFERROR($G3374/SUMIF($A:$A,$A3374,$G:$G)*SUMIF(Summary!$A$166:$A$242,$A3374,Summary!$P$166:$P$242),0)</f>
        <v>0</v>
      </c>
      <c r="AE3374" s="197">
        <f t="shared" ca="1" si="738"/>
        <v>0</v>
      </c>
      <c r="AF3374" s="196">
        <f>IFERROR(G3374/SUMIF(A:A,A3374,G:G)*SUMIF(Summary!$A$166:$A$242,'Operations Support'!A3374,Summary!$Q$166:$Q$242),0)</f>
        <v>0</v>
      </c>
      <c r="AG3374" s="196">
        <f t="shared" ca="1" si="739"/>
        <v>0</v>
      </c>
      <c r="AI3374" s="196">
        <f>IFERROR($G3374/SUMIF($A:$A,$A3374,$G:$G)*SUMIF(Summary!$A$247:$A$283,$A3374,Summary!$P$247:$P$283),0)</f>
        <v>0</v>
      </c>
      <c r="AJ3374" s="196">
        <f>IFERROR($G3374/SUMIF($A:$A,$A3374,$G:$G)*(SUMIF(Summary!$A$247:$A$283,$A3374,Summary!$L$247:$L$283)+SUMIF(Summary!$A$297:$A$333,$A3374,Summary!$L$297:$L$333))-AI3374,0)</f>
        <v>0</v>
      </c>
      <c r="AK3374" s="196">
        <f>IFERROR($G3374/SUMIF($A:$A,$A3374,$G:$G)*SUMIF(Summary!$A$247:$A$283,$A3374,Summary!$Q$247:$Q$283),0)</f>
        <v>0</v>
      </c>
      <c r="AL3374" s="196">
        <f>IFERROR($G3374/SUMIF($A:$A,$A3374,$G:$G)*(SUMIF(Summary!$A$247:$A$283,$A3374,Summary!$L$247:$L$283)+SUMIF(Summary!$A$297:$A$333,$A3374,Summary!$L$297:$L$333))-AK3374,0)</f>
        <v>0</v>
      </c>
      <c r="AM3374" s="198"/>
      <c r="AN3374" s="196">
        <f t="shared" ca="1" si="740"/>
        <v>0</v>
      </c>
      <c r="AO3374" s="196">
        <f t="shared" ca="1" si="741"/>
        <v>0</v>
      </c>
    </row>
    <row r="3375" spans="1:41">
      <c r="A3375" s="189">
        <v>13231</v>
      </c>
      <c r="B3375" s="190">
        <v>1</v>
      </c>
      <c r="C3375" s="191" t="s">
        <v>230</v>
      </c>
      <c r="D3375" s="192">
        <f t="shared" si="728"/>
        <v>0</v>
      </c>
      <c r="E3375" s="192">
        <f t="shared" si="729"/>
        <v>0</v>
      </c>
      <c r="F3375" s="192">
        <f t="shared" si="730"/>
        <v>0</v>
      </c>
      <c r="G3375" s="193">
        <f t="shared" si="731"/>
        <v>0</v>
      </c>
      <c r="H3375" s="194">
        <v>0</v>
      </c>
      <c r="I3375" s="194">
        <v>0</v>
      </c>
      <c r="J3375" s="194">
        <v>0</v>
      </c>
      <c r="K3375" s="193">
        <f t="shared" si="732"/>
        <v>0</v>
      </c>
      <c r="L3375" s="194">
        <v>0</v>
      </c>
      <c r="M3375" s="194">
        <v>0</v>
      </c>
      <c r="N3375" s="194">
        <v>0</v>
      </c>
      <c r="O3375" s="193">
        <f t="shared" si="733"/>
        <v>0</v>
      </c>
      <c r="P3375" s="194">
        <v>0</v>
      </c>
      <c r="Q3375" s="194">
        <v>0</v>
      </c>
      <c r="R3375" s="194">
        <v>0</v>
      </c>
      <c r="S3375" s="193">
        <f t="shared" si="734"/>
        <v>0</v>
      </c>
      <c r="T3375" s="193">
        <f t="shared" si="735"/>
        <v>0</v>
      </c>
      <c r="U3375" s="193">
        <f ca="1">OFFSET('Expenditure Study'!$B$7,'Operations Support'!$C3375,'Operations Support'!$B3375)*$G3375</f>
        <v>0</v>
      </c>
      <c r="V3375" s="199">
        <f ca="1">U3375*'Expenditure Study'!$B$31</f>
        <v>0</v>
      </c>
      <c r="W3375" s="199">
        <f ca="1">IF(A3375=10298,1.51,1)*IF($B3375&lt;3,$D3375*'Expenditure Study'!$B$32*OFFSET('Expenditure Study'!$B$7,'Operations Support'!$C3375,'Operations Support'!$B3375),0)</f>
        <v>0</v>
      </c>
      <c r="X3375" s="200">
        <f ca="1">W3375*'Expenditure Study'!$B$31</f>
        <v>0</v>
      </c>
      <c r="Y3375" s="199">
        <f ca="1">U3375*'Expenditure Study'!$B$31</f>
        <v>0</v>
      </c>
      <c r="Z3375" s="200">
        <f ca="1">W3375*'Expenditure Study'!$B$31</f>
        <v>0</v>
      </c>
      <c r="AA3375" s="195">
        <f t="shared" ca="1" si="736"/>
        <v>0</v>
      </c>
      <c r="AB3375" s="195">
        <f t="shared" ca="1" si="737"/>
        <v>0</v>
      </c>
      <c r="AD3375" s="196">
        <f>IFERROR($G3375/SUMIF($A:$A,$A3375,$G:$G)*SUMIF(Summary!$A$166:$A$242,$A3375,Summary!$P$166:$P$242),0)</f>
        <v>0</v>
      </c>
      <c r="AE3375" s="197">
        <f t="shared" ca="1" si="738"/>
        <v>0</v>
      </c>
      <c r="AF3375" s="196">
        <f>IFERROR(G3375/SUMIF(A:A,A3375,G:G)*SUMIF(Summary!$A$166:$A$242,'Operations Support'!A3375,Summary!$Q$166:$Q$242),0)</f>
        <v>0</v>
      </c>
      <c r="AG3375" s="196">
        <f t="shared" ca="1" si="739"/>
        <v>0</v>
      </c>
      <c r="AI3375" s="196">
        <f>IFERROR($G3375/SUMIF($A:$A,$A3375,$G:$G)*SUMIF(Summary!$A$247:$A$283,$A3375,Summary!$P$247:$P$283),0)</f>
        <v>0</v>
      </c>
      <c r="AJ3375" s="196">
        <f>IFERROR($G3375/SUMIF($A:$A,$A3375,$G:$G)*(SUMIF(Summary!$A$247:$A$283,$A3375,Summary!$L$247:$L$283)+SUMIF(Summary!$A$297:$A$333,$A3375,Summary!$L$297:$L$333))-AI3375,0)</f>
        <v>0</v>
      </c>
      <c r="AK3375" s="196">
        <f>IFERROR($G3375/SUMIF($A:$A,$A3375,$G:$G)*SUMIF(Summary!$A$247:$A$283,$A3375,Summary!$Q$247:$Q$283),0)</f>
        <v>0</v>
      </c>
      <c r="AL3375" s="196">
        <f>IFERROR($G3375/SUMIF($A:$A,$A3375,$G:$G)*(SUMIF(Summary!$A$247:$A$283,$A3375,Summary!$L$247:$L$283)+SUMIF(Summary!$A$297:$A$333,$A3375,Summary!$L$297:$L$333))-AK3375,0)</f>
        <v>0</v>
      </c>
      <c r="AM3375" s="198"/>
      <c r="AN3375" s="196">
        <f t="shared" ca="1" si="740"/>
        <v>0</v>
      </c>
      <c r="AO3375" s="196">
        <f t="shared" ca="1" si="741"/>
        <v>0</v>
      </c>
    </row>
    <row r="3376" spans="1:41">
      <c r="A3376" s="189">
        <v>13231</v>
      </c>
      <c r="B3376" s="190">
        <v>1</v>
      </c>
      <c r="C3376" s="191" t="s">
        <v>231</v>
      </c>
      <c r="D3376" s="192">
        <f t="shared" si="728"/>
        <v>0</v>
      </c>
      <c r="E3376" s="192">
        <f t="shared" si="729"/>
        <v>0</v>
      </c>
      <c r="F3376" s="192">
        <f t="shared" si="730"/>
        <v>0</v>
      </c>
      <c r="G3376" s="193">
        <f t="shared" si="731"/>
        <v>0</v>
      </c>
      <c r="H3376" s="194">
        <v>0</v>
      </c>
      <c r="I3376" s="194">
        <v>0</v>
      </c>
      <c r="J3376" s="194">
        <v>0</v>
      </c>
      <c r="K3376" s="193">
        <f t="shared" si="732"/>
        <v>0</v>
      </c>
      <c r="L3376" s="194">
        <v>0</v>
      </c>
      <c r="M3376" s="194">
        <v>0</v>
      </c>
      <c r="N3376" s="194">
        <v>0</v>
      </c>
      <c r="O3376" s="193">
        <f t="shared" si="733"/>
        <v>0</v>
      </c>
      <c r="P3376" s="194">
        <v>0</v>
      </c>
      <c r="Q3376" s="194">
        <v>0</v>
      </c>
      <c r="R3376" s="194">
        <v>0</v>
      </c>
      <c r="S3376" s="193">
        <f t="shared" si="734"/>
        <v>0</v>
      </c>
      <c r="T3376" s="193">
        <f t="shared" si="735"/>
        <v>0</v>
      </c>
      <c r="U3376" s="193">
        <f ca="1">OFFSET('Expenditure Study'!$B$7,'Operations Support'!$C3376,'Operations Support'!$B3376)*$G3376</f>
        <v>0</v>
      </c>
      <c r="V3376" s="199">
        <f ca="1">U3376*'Expenditure Study'!$B$31</f>
        <v>0</v>
      </c>
      <c r="W3376" s="199">
        <f ca="1">IF(A3376=10298,1.51,1)*IF($B3376&lt;3,$D3376*'Expenditure Study'!$B$32*OFFSET('Expenditure Study'!$B$7,'Operations Support'!$C3376,'Operations Support'!$B3376),0)</f>
        <v>0</v>
      </c>
      <c r="X3376" s="200">
        <f ca="1">W3376*'Expenditure Study'!$B$31</f>
        <v>0</v>
      </c>
      <c r="Y3376" s="199">
        <f ca="1">U3376*'Expenditure Study'!$B$31</f>
        <v>0</v>
      </c>
      <c r="Z3376" s="200">
        <f ca="1">W3376*'Expenditure Study'!$B$31</f>
        <v>0</v>
      </c>
      <c r="AA3376" s="195">
        <f t="shared" ca="1" si="736"/>
        <v>0</v>
      </c>
      <c r="AB3376" s="195">
        <f t="shared" ca="1" si="737"/>
        <v>0</v>
      </c>
      <c r="AD3376" s="196">
        <f>IFERROR($G3376/SUMIF($A:$A,$A3376,$G:$G)*SUMIF(Summary!$A$166:$A$242,$A3376,Summary!$P$166:$P$242),0)</f>
        <v>0</v>
      </c>
      <c r="AE3376" s="197">
        <f t="shared" ca="1" si="738"/>
        <v>0</v>
      </c>
      <c r="AF3376" s="196">
        <f>IFERROR(G3376/SUMIF(A:A,A3376,G:G)*SUMIF(Summary!$A$166:$A$242,'Operations Support'!A3376,Summary!$Q$166:$Q$242),0)</f>
        <v>0</v>
      </c>
      <c r="AG3376" s="196">
        <f t="shared" ca="1" si="739"/>
        <v>0</v>
      </c>
      <c r="AI3376" s="196">
        <f>IFERROR($G3376/SUMIF($A:$A,$A3376,$G:$G)*SUMIF(Summary!$A$247:$A$283,$A3376,Summary!$P$247:$P$283),0)</f>
        <v>0</v>
      </c>
      <c r="AJ3376" s="196">
        <f>IFERROR($G3376/SUMIF($A:$A,$A3376,$G:$G)*(SUMIF(Summary!$A$247:$A$283,$A3376,Summary!$L$247:$L$283)+SUMIF(Summary!$A$297:$A$333,$A3376,Summary!$L$297:$L$333))-AI3376,0)</f>
        <v>0</v>
      </c>
      <c r="AK3376" s="196">
        <f>IFERROR($G3376/SUMIF($A:$A,$A3376,$G:$G)*SUMIF(Summary!$A$247:$A$283,$A3376,Summary!$Q$247:$Q$283),0)</f>
        <v>0</v>
      </c>
      <c r="AL3376" s="196">
        <f>IFERROR($G3376/SUMIF($A:$A,$A3376,$G:$G)*(SUMIF(Summary!$A$247:$A$283,$A3376,Summary!$L$247:$L$283)+SUMIF(Summary!$A$297:$A$333,$A3376,Summary!$L$297:$L$333))-AK3376,0)</f>
        <v>0</v>
      </c>
      <c r="AM3376" s="198"/>
      <c r="AN3376" s="196">
        <f t="shared" ca="1" si="740"/>
        <v>0</v>
      </c>
      <c r="AO3376" s="196">
        <f t="shared" ca="1" si="741"/>
        <v>0</v>
      </c>
    </row>
    <row r="3377" spans="1:41">
      <c r="A3377" s="189">
        <v>13231</v>
      </c>
      <c r="B3377" s="190">
        <v>1</v>
      </c>
      <c r="C3377" s="191" t="s">
        <v>232</v>
      </c>
      <c r="D3377" s="192">
        <f t="shared" si="728"/>
        <v>0</v>
      </c>
      <c r="E3377" s="192">
        <f t="shared" si="729"/>
        <v>0</v>
      </c>
      <c r="F3377" s="192">
        <f t="shared" si="730"/>
        <v>0</v>
      </c>
      <c r="G3377" s="193">
        <f t="shared" si="731"/>
        <v>0</v>
      </c>
      <c r="H3377" s="194">
        <v>0</v>
      </c>
      <c r="I3377" s="194">
        <v>0</v>
      </c>
      <c r="J3377" s="194">
        <v>0</v>
      </c>
      <c r="K3377" s="193">
        <f t="shared" si="732"/>
        <v>0</v>
      </c>
      <c r="L3377" s="194">
        <v>0</v>
      </c>
      <c r="M3377" s="194">
        <v>0</v>
      </c>
      <c r="N3377" s="194">
        <v>0</v>
      </c>
      <c r="O3377" s="193">
        <f t="shared" si="733"/>
        <v>0</v>
      </c>
      <c r="P3377" s="194">
        <v>0</v>
      </c>
      <c r="Q3377" s="194">
        <v>0</v>
      </c>
      <c r="R3377" s="194">
        <v>0</v>
      </c>
      <c r="S3377" s="193">
        <f t="shared" si="734"/>
        <v>0</v>
      </c>
      <c r="T3377" s="193">
        <f t="shared" si="735"/>
        <v>0</v>
      </c>
      <c r="U3377" s="193">
        <f ca="1">OFFSET('Expenditure Study'!$B$7,'Operations Support'!$C3377,'Operations Support'!$B3377)*$G3377</f>
        <v>0</v>
      </c>
      <c r="V3377" s="199">
        <f ca="1">U3377*'Expenditure Study'!$B$31</f>
        <v>0</v>
      </c>
      <c r="W3377" s="199">
        <f ca="1">IF(A3377=10298,1.51,1)*IF($B3377&lt;3,$D3377*'Expenditure Study'!$B$32*OFFSET('Expenditure Study'!$B$7,'Operations Support'!$C3377,'Operations Support'!$B3377),0)</f>
        <v>0</v>
      </c>
      <c r="X3377" s="200">
        <f ca="1">W3377*'Expenditure Study'!$B$31</f>
        <v>0</v>
      </c>
      <c r="Y3377" s="199">
        <f ca="1">U3377*'Expenditure Study'!$B$31</f>
        <v>0</v>
      </c>
      <c r="Z3377" s="200">
        <f ca="1">W3377*'Expenditure Study'!$B$31</f>
        <v>0</v>
      </c>
      <c r="AA3377" s="195">
        <f t="shared" ca="1" si="736"/>
        <v>0</v>
      </c>
      <c r="AB3377" s="195">
        <f t="shared" ca="1" si="737"/>
        <v>0</v>
      </c>
      <c r="AD3377" s="196">
        <f>IFERROR($G3377/SUMIF($A:$A,$A3377,$G:$G)*SUMIF(Summary!$A$166:$A$242,$A3377,Summary!$P$166:$P$242),0)</f>
        <v>0</v>
      </c>
      <c r="AE3377" s="197">
        <f t="shared" ca="1" si="738"/>
        <v>0</v>
      </c>
      <c r="AF3377" s="196">
        <f>IFERROR(G3377/SUMIF(A:A,A3377,G:G)*SUMIF(Summary!$A$166:$A$242,'Operations Support'!A3377,Summary!$Q$166:$Q$242),0)</f>
        <v>0</v>
      </c>
      <c r="AG3377" s="196">
        <f t="shared" ca="1" si="739"/>
        <v>0</v>
      </c>
      <c r="AI3377" s="196">
        <f>IFERROR($G3377/SUMIF($A:$A,$A3377,$G:$G)*SUMIF(Summary!$A$247:$A$283,$A3377,Summary!$P$247:$P$283),0)</f>
        <v>0</v>
      </c>
      <c r="AJ3377" s="196">
        <f>IFERROR($G3377/SUMIF($A:$A,$A3377,$G:$G)*(SUMIF(Summary!$A$247:$A$283,$A3377,Summary!$L$247:$L$283)+SUMIF(Summary!$A$297:$A$333,$A3377,Summary!$L$297:$L$333))-AI3377,0)</f>
        <v>0</v>
      </c>
      <c r="AK3377" s="196">
        <f>IFERROR($G3377/SUMIF($A:$A,$A3377,$G:$G)*SUMIF(Summary!$A$247:$A$283,$A3377,Summary!$Q$247:$Q$283),0)</f>
        <v>0</v>
      </c>
      <c r="AL3377" s="196">
        <f>IFERROR($G3377/SUMIF($A:$A,$A3377,$G:$G)*(SUMIF(Summary!$A$247:$A$283,$A3377,Summary!$L$247:$L$283)+SUMIF(Summary!$A$297:$A$333,$A3377,Summary!$L$297:$L$333))-AK3377,0)</f>
        <v>0</v>
      </c>
      <c r="AM3377" s="198"/>
      <c r="AN3377" s="196">
        <f t="shared" ca="1" si="740"/>
        <v>0</v>
      </c>
      <c r="AO3377" s="196">
        <f t="shared" ca="1" si="741"/>
        <v>0</v>
      </c>
    </row>
    <row r="3378" spans="1:41" s="201" customFormat="1">
      <c r="A3378" s="189">
        <v>13231</v>
      </c>
      <c r="B3378" s="190">
        <v>1</v>
      </c>
      <c r="C3378" s="191" t="s">
        <v>233</v>
      </c>
      <c r="D3378" s="192">
        <f t="shared" si="728"/>
        <v>127</v>
      </c>
      <c r="E3378" s="192">
        <f t="shared" si="729"/>
        <v>222</v>
      </c>
      <c r="F3378" s="192">
        <f t="shared" si="730"/>
        <v>0</v>
      </c>
      <c r="G3378" s="193">
        <f t="shared" si="731"/>
        <v>349</v>
      </c>
      <c r="H3378" s="194">
        <v>28</v>
      </c>
      <c r="I3378" s="194">
        <v>105</v>
      </c>
      <c r="J3378" s="194">
        <v>0</v>
      </c>
      <c r="K3378" s="193">
        <f t="shared" si="732"/>
        <v>133</v>
      </c>
      <c r="L3378" s="194">
        <v>39</v>
      </c>
      <c r="M3378" s="194">
        <v>93</v>
      </c>
      <c r="N3378" s="194">
        <v>0</v>
      </c>
      <c r="O3378" s="193">
        <f t="shared" si="733"/>
        <v>132</v>
      </c>
      <c r="P3378" s="194">
        <v>60</v>
      </c>
      <c r="Q3378" s="194">
        <v>24</v>
      </c>
      <c r="R3378" s="194">
        <v>0</v>
      </c>
      <c r="S3378" s="193">
        <f t="shared" si="734"/>
        <v>84</v>
      </c>
      <c r="T3378" s="193">
        <f t="shared" si="735"/>
        <v>11.633333333333333</v>
      </c>
      <c r="U3378" s="193">
        <f ca="1">OFFSET('Expenditure Study'!$B$7,'Operations Support'!$C3378,'Operations Support'!$B3378)*$G3378</f>
        <v>335.03999999999996</v>
      </c>
      <c r="V3378" s="199">
        <f ca="1">U3378*'Expenditure Study'!$B$31</f>
        <v>19795.228895231998</v>
      </c>
      <c r="W3378" s="199">
        <f ca="1">IF(A3378=10298,1.51,1)*IF($B3378&lt;3,$D3378*'Expenditure Study'!$B$32*OFFSET('Expenditure Study'!$B$7,'Operations Support'!$C3378,'Operations Support'!$B3378),0)</f>
        <v>12.192</v>
      </c>
      <c r="X3378" s="200">
        <f ca="1">W3378*'Expenditure Study'!$B$31</f>
        <v>720.3421403136</v>
      </c>
      <c r="Y3378" s="199">
        <f ca="1">U3378*'Expenditure Study'!$B$31</f>
        <v>19795.228895231998</v>
      </c>
      <c r="Z3378" s="200">
        <f ca="1">W3378*'Expenditure Study'!$B$31</f>
        <v>720.3421403136</v>
      </c>
      <c r="AA3378" s="195">
        <f t="shared" ca="1" si="736"/>
        <v>20515.571035545599</v>
      </c>
      <c r="AB3378" s="195">
        <f t="shared" ca="1" si="737"/>
        <v>20515.571035545599</v>
      </c>
      <c r="AD3378" s="196">
        <f>IFERROR($G3378/SUMIF($A:$A,$A3378,$G:$G)*SUMIF(Summary!$A$166:$A$242,$A3378,Summary!$P$166:$P$242),0)</f>
        <v>13030.133618935828</v>
      </c>
      <c r="AE3378" s="197">
        <f t="shared" ca="1" si="738"/>
        <v>7485.4374166097714</v>
      </c>
      <c r="AF3378" s="196">
        <f>IFERROR(G3378/SUMIF(A:A,A3378,G:G)*SUMIF(Summary!$A$166:$A$242,'Operations Support'!A3378,Summary!$Q$166:$Q$242),0)</f>
        <v>13056.695572105114</v>
      </c>
      <c r="AG3378" s="196">
        <f t="shared" ca="1" si="739"/>
        <v>7458.875463440485</v>
      </c>
      <c r="AH3378" s="180"/>
      <c r="AI3378" s="196">
        <f>IFERROR($G3378/SUMIF($A:$A,$A3378,$G:$G)*SUMIF(Summary!$A$247:$A$283,$A3378,Summary!$P$247:$P$283),0)</f>
        <v>2376.3712087340214</v>
      </c>
      <c r="AJ3378" s="196">
        <f>IFERROR($G3378/SUMIF($A:$A,$A3378,$G:$G)*(SUMIF(Summary!$A$247:$A$283,$A3378,Summary!$L$247:$L$283)+SUMIF(Summary!$A$297:$A$333,$A3378,Summary!$L$297:$L$333))-AI3378,0)</f>
        <v>10009.437008351362</v>
      </c>
      <c r="AK3378" s="196">
        <f>IFERROR($G3378/SUMIF($A:$A,$A3378,$G:$G)*SUMIF(Summary!$A$247:$A$283,$A3378,Summary!$Q$247:$Q$283),0)</f>
        <v>2381.2154461459463</v>
      </c>
      <c r="AL3378" s="196">
        <f>IFERROR($G3378/SUMIF($A:$A,$A3378,$G:$G)*(SUMIF(Summary!$A$247:$A$283,$A3378,Summary!$L$247:$L$283)+SUMIF(Summary!$A$297:$A$333,$A3378,Summary!$L$297:$L$333))-AK3378,0)</f>
        <v>10004.592770939436</v>
      </c>
      <c r="AM3378" s="198"/>
      <c r="AN3378" s="196">
        <f t="shared" ca="1" si="740"/>
        <v>17494.874424961134</v>
      </c>
      <c r="AO3378" s="196">
        <f t="shared" ca="1" si="741"/>
        <v>17463.468234379921</v>
      </c>
    </row>
    <row r="3379" spans="1:41">
      <c r="A3379" s="189">
        <v>13231</v>
      </c>
      <c r="B3379" s="190">
        <v>1</v>
      </c>
      <c r="C3379" s="191" t="s">
        <v>234</v>
      </c>
      <c r="D3379" s="192">
        <f t="shared" si="728"/>
        <v>0</v>
      </c>
      <c r="E3379" s="192">
        <f t="shared" si="729"/>
        <v>0</v>
      </c>
      <c r="F3379" s="192">
        <f t="shared" si="730"/>
        <v>0</v>
      </c>
      <c r="G3379" s="193">
        <f t="shared" si="731"/>
        <v>0</v>
      </c>
      <c r="H3379" s="194">
        <v>0</v>
      </c>
      <c r="I3379" s="194">
        <v>0</v>
      </c>
      <c r="J3379" s="194">
        <v>0</v>
      </c>
      <c r="K3379" s="193">
        <f t="shared" si="732"/>
        <v>0</v>
      </c>
      <c r="L3379" s="194">
        <v>0</v>
      </c>
      <c r="M3379" s="194">
        <v>0</v>
      </c>
      <c r="N3379" s="194">
        <v>0</v>
      </c>
      <c r="O3379" s="193">
        <f t="shared" si="733"/>
        <v>0</v>
      </c>
      <c r="P3379" s="194">
        <v>0</v>
      </c>
      <c r="Q3379" s="194">
        <v>0</v>
      </c>
      <c r="R3379" s="194">
        <v>0</v>
      </c>
      <c r="S3379" s="193">
        <f t="shared" si="734"/>
        <v>0</v>
      </c>
      <c r="T3379" s="193">
        <f t="shared" si="735"/>
        <v>0</v>
      </c>
      <c r="U3379" s="193">
        <f ca="1">OFFSET('Expenditure Study'!$B$7,'Operations Support'!$C3379,'Operations Support'!$B3379)*$G3379</f>
        <v>0</v>
      </c>
      <c r="V3379" s="199">
        <f ca="1">U3379*'Expenditure Study'!$B$31</f>
        <v>0</v>
      </c>
      <c r="W3379" s="199">
        <f ca="1">IF(A3379=10298,1.51,1)*IF($B3379&lt;3,$D3379*'Expenditure Study'!$B$32*OFFSET('Expenditure Study'!$B$7,'Operations Support'!$C3379,'Operations Support'!$B3379),0)</f>
        <v>0</v>
      </c>
      <c r="X3379" s="200">
        <f ca="1">W3379*'Expenditure Study'!$B$31</f>
        <v>0</v>
      </c>
      <c r="Y3379" s="199">
        <f ca="1">U3379*'Expenditure Study'!$B$31</f>
        <v>0</v>
      </c>
      <c r="Z3379" s="200">
        <f ca="1">W3379*'Expenditure Study'!$B$31</f>
        <v>0</v>
      </c>
      <c r="AA3379" s="195">
        <f t="shared" ca="1" si="736"/>
        <v>0</v>
      </c>
      <c r="AB3379" s="195">
        <f t="shared" ca="1" si="737"/>
        <v>0</v>
      </c>
      <c r="AD3379" s="196">
        <f>IFERROR($G3379/SUMIF($A:$A,$A3379,$G:$G)*SUMIF(Summary!$A$166:$A$242,$A3379,Summary!$P$166:$P$242),0)</f>
        <v>0</v>
      </c>
      <c r="AE3379" s="197">
        <f t="shared" ca="1" si="738"/>
        <v>0</v>
      </c>
      <c r="AF3379" s="196">
        <f>IFERROR(G3379/SUMIF(A:A,A3379,G:G)*SUMIF(Summary!$A$166:$A$242,'Operations Support'!A3379,Summary!$Q$166:$Q$242),0)</f>
        <v>0</v>
      </c>
      <c r="AG3379" s="196">
        <f t="shared" ca="1" si="739"/>
        <v>0</v>
      </c>
      <c r="AI3379" s="196">
        <f>IFERROR($G3379/SUMIF($A:$A,$A3379,$G:$G)*SUMIF(Summary!$A$247:$A$283,$A3379,Summary!$P$247:$P$283),0)</f>
        <v>0</v>
      </c>
      <c r="AJ3379" s="196">
        <f>IFERROR($G3379/SUMIF($A:$A,$A3379,$G:$G)*(SUMIF(Summary!$A$247:$A$283,$A3379,Summary!$L$247:$L$283)+SUMIF(Summary!$A$297:$A$333,$A3379,Summary!$L$297:$L$333))-AI3379,0)</f>
        <v>0</v>
      </c>
      <c r="AK3379" s="196">
        <f>IFERROR($G3379/SUMIF($A:$A,$A3379,$G:$G)*SUMIF(Summary!$A$247:$A$283,$A3379,Summary!$Q$247:$Q$283),0)</f>
        <v>0</v>
      </c>
      <c r="AL3379" s="196">
        <f>IFERROR($G3379/SUMIF($A:$A,$A3379,$G:$G)*(SUMIF(Summary!$A$247:$A$283,$A3379,Summary!$L$247:$L$283)+SUMIF(Summary!$A$297:$A$333,$A3379,Summary!$L$297:$L$333))-AK3379,0)</f>
        <v>0</v>
      </c>
      <c r="AM3379" s="198"/>
      <c r="AN3379" s="196">
        <f t="shared" ca="1" si="740"/>
        <v>0</v>
      </c>
      <c r="AO3379" s="196">
        <f t="shared" ca="1" si="741"/>
        <v>0</v>
      </c>
    </row>
    <row r="3380" spans="1:41">
      <c r="A3380" s="189">
        <v>13231</v>
      </c>
      <c r="B3380" s="190">
        <v>1</v>
      </c>
      <c r="C3380" s="191" t="s">
        <v>235</v>
      </c>
      <c r="D3380" s="192">
        <f t="shared" si="728"/>
        <v>1326</v>
      </c>
      <c r="E3380" s="192">
        <f t="shared" si="729"/>
        <v>258</v>
      </c>
      <c r="F3380" s="192">
        <f t="shared" si="730"/>
        <v>0</v>
      </c>
      <c r="G3380" s="193">
        <f t="shared" si="731"/>
        <v>1584</v>
      </c>
      <c r="H3380" s="194">
        <v>522</v>
      </c>
      <c r="I3380" s="194">
        <v>117</v>
      </c>
      <c r="J3380" s="194">
        <v>0</v>
      </c>
      <c r="K3380" s="193">
        <f t="shared" si="732"/>
        <v>639</v>
      </c>
      <c r="L3380" s="194">
        <v>573</v>
      </c>
      <c r="M3380" s="194">
        <v>126</v>
      </c>
      <c r="N3380" s="194">
        <v>0</v>
      </c>
      <c r="O3380" s="193">
        <f t="shared" si="733"/>
        <v>699</v>
      </c>
      <c r="P3380" s="194">
        <v>231</v>
      </c>
      <c r="Q3380" s="194">
        <v>15</v>
      </c>
      <c r="R3380" s="194">
        <v>0</v>
      </c>
      <c r="S3380" s="193">
        <f t="shared" si="734"/>
        <v>246</v>
      </c>
      <c r="T3380" s="193">
        <f t="shared" si="735"/>
        <v>52.8</v>
      </c>
      <c r="U3380" s="193">
        <f ca="1">OFFSET('Expenditure Study'!$B$7,'Operations Support'!$C3380,'Operations Support'!$B3380)*$G3380</f>
        <v>1742.4</v>
      </c>
      <c r="V3380" s="199">
        <f ca="1">U3380*'Expenditure Study'!$B$31</f>
        <v>102946.53422592001</v>
      </c>
      <c r="W3380" s="199">
        <f ca="1">IF(A3380=10298,1.51,1)*IF($B3380&lt;3,$D3380*'Expenditure Study'!$B$32*OFFSET('Expenditure Study'!$B$7,'Operations Support'!$C3380,'Operations Support'!$B3380),0)</f>
        <v>145.86000000000001</v>
      </c>
      <c r="X3380" s="200">
        <f ca="1">W3380*'Expenditure Study'!$B$31</f>
        <v>8617.8727514880011</v>
      </c>
      <c r="Y3380" s="199">
        <f ca="1">U3380*'Expenditure Study'!$B$31</f>
        <v>102946.53422592001</v>
      </c>
      <c r="Z3380" s="200">
        <f ca="1">W3380*'Expenditure Study'!$B$31</f>
        <v>8617.8727514880011</v>
      </c>
      <c r="AA3380" s="195">
        <f t="shared" ca="1" si="736"/>
        <v>111564.40697740801</v>
      </c>
      <c r="AB3380" s="195">
        <f t="shared" ca="1" si="737"/>
        <v>111564.40697740801</v>
      </c>
      <c r="AD3380" s="196">
        <f>IFERROR($G3380/SUMIF($A:$A,$A3380,$G:$G)*SUMIF(Summary!$A$166:$A$242,$A3380,Summary!$P$166:$P$242),0)</f>
        <v>59139.632241817621</v>
      </c>
      <c r="AE3380" s="197">
        <f t="shared" ca="1" si="738"/>
        <v>52424.774735590392</v>
      </c>
      <c r="AF3380" s="196">
        <f>IFERROR(G3380/SUMIF(A:A,A3380,G:G)*SUMIF(Summary!$A$166:$A$242,'Operations Support'!A3380,Summary!$Q$166:$Q$242),0)</f>
        <v>59260.188499181953</v>
      </c>
      <c r="AG3380" s="196">
        <f t="shared" ca="1" si="739"/>
        <v>52304.218478226059</v>
      </c>
      <c r="AI3380" s="196">
        <f>IFERROR($G3380/SUMIF($A:$A,$A3380,$G:$G)*SUMIF(Summary!$A$247:$A$283,$A3380,Summary!$P$247:$P$283),0)</f>
        <v>10785.593107835788</v>
      </c>
      <c r="AJ3380" s="196">
        <f>IFERROR($G3380/SUMIF($A:$A,$A3380,$G:$G)*(SUMIF(Summary!$A$247:$A$283,$A3380,Summary!$L$247:$L$283)+SUMIF(Summary!$A$297:$A$333,$A3380,Summary!$L$297:$L$333))-AI3380,0)</f>
        <v>45429.651063692138</v>
      </c>
      <c r="AK3380" s="196">
        <f>IFERROR($G3380/SUMIF($A:$A,$A3380,$G:$G)*SUMIF(Summary!$A$247:$A$283,$A3380,Summary!$Q$247:$Q$283),0)</f>
        <v>10807.57956073117</v>
      </c>
      <c r="AL3380" s="196">
        <f>IFERROR($G3380/SUMIF($A:$A,$A3380,$G:$G)*(SUMIF(Summary!$A$247:$A$283,$A3380,Summary!$L$247:$L$283)+SUMIF(Summary!$A$297:$A$333,$A3380,Summary!$L$297:$L$333))-AK3380,0)</f>
        <v>45407.664610796754</v>
      </c>
      <c r="AM3380" s="198"/>
      <c r="AN3380" s="196">
        <f t="shared" ca="1" si="740"/>
        <v>97854.42579928253</v>
      </c>
      <c r="AO3380" s="196">
        <f t="shared" ca="1" si="741"/>
        <v>97711.883089022813</v>
      </c>
    </row>
    <row r="3381" spans="1:41">
      <c r="A3381" s="189">
        <v>13231</v>
      </c>
      <c r="B3381" s="190">
        <v>1</v>
      </c>
      <c r="C3381" s="191" t="s">
        <v>236</v>
      </c>
      <c r="D3381" s="192">
        <f t="shared" si="728"/>
        <v>0</v>
      </c>
      <c r="E3381" s="192">
        <f t="shared" si="729"/>
        <v>0</v>
      </c>
      <c r="F3381" s="192">
        <f t="shared" si="730"/>
        <v>0</v>
      </c>
      <c r="G3381" s="193">
        <f t="shared" si="731"/>
        <v>0</v>
      </c>
      <c r="H3381" s="194">
        <v>0</v>
      </c>
      <c r="I3381" s="194">
        <v>0</v>
      </c>
      <c r="J3381" s="194">
        <v>0</v>
      </c>
      <c r="K3381" s="193">
        <f t="shared" si="732"/>
        <v>0</v>
      </c>
      <c r="L3381" s="194">
        <v>0</v>
      </c>
      <c r="M3381" s="194">
        <v>0</v>
      </c>
      <c r="N3381" s="194">
        <v>0</v>
      </c>
      <c r="O3381" s="193">
        <f t="shared" si="733"/>
        <v>0</v>
      </c>
      <c r="P3381" s="194">
        <v>0</v>
      </c>
      <c r="Q3381" s="194">
        <v>0</v>
      </c>
      <c r="R3381" s="194">
        <v>0</v>
      </c>
      <c r="S3381" s="193">
        <f t="shared" si="734"/>
        <v>0</v>
      </c>
      <c r="T3381" s="193">
        <f t="shared" si="735"/>
        <v>0</v>
      </c>
      <c r="U3381" s="193">
        <f ca="1">OFFSET('Expenditure Study'!$B$7,'Operations Support'!$C3381,'Operations Support'!$B3381)*$G3381</f>
        <v>0</v>
      </c>
      <c r="V3381" s="199">
        <f ca="1">U3381*'Expenditure Study'!$B$31</f>
        <v>0</v>
      </c>
      <c r="W3381" s="199">
        <f ca="1">IF(A3381=10298,1.51,1)*IF($B3381&lt;3,$D3381*'Expenditure Study'!$B$32*OFFSET('Expenditure Study'!$B$7,'Operations Support'!$C3381,'Operations Support'!$B3381),0)</f>
        <v>0</v>
      </c>
      <c r="X3381" s="200">
        <f ca="1">W3381*'Expenditure Study'!$B$31</f>
        <v>0</v>
      </c>
      <c r="Y3381" s="199">
        <f ca="1">U3381*'Expenditure Study'!$B$31</f>
        <v>0</v>
      </c>
      <c r="Z3381" s="200">
        <f ca="1">W3381*'Expenditure Study'!$B$31</f>
        <v>0</v>
      </c>
      <c r="AA3381" s="195">
        <f t="shared" ca="1" si="736"/>
        <v>0</v>
      </c>
      <c r="AB3381" s="195">
        <f t="shared" ca="1" si="737"/>
        <v>0</v>
      </c>
      <c r="AD3381" s="196">
        <f>IFERROR($G3381/SUMIF($A:$A,$A3381,$G:$G)*SUMIF(Summary!$A$166:$A$242,$A3381,Summary!$P$166:$P$242),0)</f>
        <v>0</v>
      </c>
      <c r="AE3381" s="197">
        <f t="shared" ca="1" si="738"/>
        <v>0</v>
      </c>
      <c r="AF3381" s="196">
        <f>IFERROR(G3381/SUMIF(A:A,A3381,G:G)*SUMIF(Summary!$A$166:$A$242,'Operations Support'!A3381,Summary!$Q$166:$Q$242),0)</f>
        <v>0</v>
      </c>
      <c r="AG3381" s="196">
        <f t="shared" ca="1" si="739"/>
        <v>0</v>
      </c>
      <c r="AI3381" s="196">
        <f>IFERROR($G3381/SUMIF($A:$A,$A3381,$G:$G)*SUMIF(Summary!$A$247:$A$283,$A3381,Summary!$P$247:$P$283),0)</f>
        <v>0</v>
      </c>
      <c r="AJ3381" s="196">
        <f>IFERROR($G3381/SUMIF($A:$A,$A3381,$G:$G)*(SUMIF(Summary!$A$247:$A$283,$A3381,Summary!$L$247:$L$283)+SUMIF(Summary!$A$297:$A$333,$A3381,Summary!$L$297:$L$333))-AI3381,0)</f>
        <v>0</v>
      </c>
      <c r="AK3381" s="196">
        <f>IFERROR($G3381/SUMIF($A:$A,$A3381,$G:$G)*SUMIF(Summary!$A$247:$A$283,$A3381,Summary!$Q$247:$Q$283),0)</f>
        <v>0</v>
      </c>
      <c r="AL3381" s="196">
        <f>IFERROR($G3381/SUMIF($A:$A,$A3381,$G:$G)*(SUMIF(Summary!$A$247:$A$283,$A3381,Summary!$L$247:$L$283)+SUMIF(Summary!$A$297:$A$333,$A3381,Summary!$L$297:$L$333))-AK3381,0)</f>
        <v>0</v>
      </c>
      <c r="AM3381" s="198"/>
      <c r="AN3381" s="196">
        <f t="shared" ca="1" si="740"/>
        <v>0</v>
      </c>
      <c r="AO3381" s="196">
        <f t="shared" ca="1" si="741"/>
        <v>0</v>
      </c>
    </row>
    <row r="3382" spans="1:41">
      <c r="A3382" s="189">
        <v>13231</v>
      </c>
      <c r="B3382" s="190">
        <v>1</v>
      </c>
      <c r="C3382" s="191" t="s">
        <v>237</v>
      </c>
      <c r="D3382" s="192">
        <f t="shared" si="728"/>
        <v>0</v>
      </c>
      <c r="E3382" s="192">
        <f t="shared" si="729"/>
        <v>0</v>
      </c>
      <c r="F3382" s="192">
        <f t="shared" si="730"/>
        <v>0</v>
      </c>
      <c r="G3382" s="193">
        <f t="shared" si="731"/>
        <v>0</v>
      </c>
      <c r="H3382" s="194">
        <v>0</v>
      </c>
      <c r="I3382" s="194">
        <v>0</v>
      </c>
      <c r="J3382" s="194">
        <v>0</v>
      </c>
      <c r="K3382" s="193">
        <f t="shared" si="732"/>
        <v>0</v>
      </c>
      <c r="L3382" s="194">
        <v>0</v>
      </c>
      <c r="M3382" s="194">
        <v>0</v>
      </c>
      <c r="N3382" s="194">
        <v>0</v>
      </c>
      <c r="O3382" s="193">
        <f t="shared" si="733"/>
        <v>0</v>
      </c>
      <c r="P3382" s="194">
        <v>0</v>
      </c>
      <c r="Q3382" s="194">
        <v>0</v>
      </c>
      <c r="R3382" s="194">
        <v>0</v>
      </c>
      <c r="S3382" s="193">
        <f t="shared" si="734"/>
        <v>0</v>
      </c>
      <c r="T3382" s="193">
        <f t="shared" si="735"/>
        <v>0</v>
      </c>
      <c r="U3382" s="193">
        <f ca="1">OFFSET('Expenditure Study'!$B$7,'Operations Support'!$C3382,'Operations Support'!$B3382)*$G3382</f>
        <v>0</v>
      </c>
      <c r="V3382" s="199">
        <f ca="1">U3382*'Expenditure Study'!$B$31</f>
        <v>0</v>
      </c>
      <c r="W3382" s="199">
        <f ca="1">IF(A3382=10298,1.51,1)*IF($B3382&lt;3,$D3382*'Expenditure Study'!$B$32*OFFSET('Expenditure Study'!$B$7,'Operations Support'!$C3382,'Operations Support'!$B3382),0)</f>
        <v>0</v>
      </c>
      <c r="X3382" s="200">
        <f ca="1">W3382*'Expenditure Study'!$B$31</f>
        <v>0</v>
      </c>
      <c r="Y3382" s="199">
        <f ca="1">U3382*'Expenditure Study'!$B$31</f>
        <v>0</v>
      </c>
      <c r="Z3382" s="200">
        <f ca="1">W3382*'Expenditure Study'!$B$31</f>
        <v>0</v>
      </c>
      <c r="AA3382" s="195">
        <f t="shared" ca="1" si="736"/>
        <v>0</v>
      </c>
      <c r="AB3382" s="195">
        <f t="shared" ca="1" si="737"/>
        <v>0</v>
      </c>
      <c r="AD3382" s="196">
        <f>IFERROR($G3382/SUMIF($A:$A,$A3382,$G:$G)*SUMIF(Summary!$A$166:$A$242,$A3382,Summary!$P$166:$P$242),0)</f>
        <v>0</v>
      </c>
      <c r="AE3382" s="197">
        <f t="shared" ca="1" si="738"/>
        <v>0</v>
      </c>
      <c r="AF3382" s="196">
        <f>IFERROR(G3382/SUMIF(A:A,A3382,G:G)*SUMIF(Summary!$A$166:$A$242,'Operations Support'!A3382,Summary!$Q$166:$Q$242),0)</f>
        <v>0</v>
      </c>
      <c r="AG3382" s="196">
        <f t="shared" ca="1" si="739"/>
        <v>0</v>
      </c>
      <c r="AI3382" s="196">
        <f>IFERROR($G3382/SUMIF($A:$A,$A3382,$G:$G)*SUMIF(Summary!$A$247:$A$283,$A3382,Summary!$P$247:$P$283),0)</f>
        <v>0</v>
      </c>
      <c r="AJ3382" s="196">
        <f>IFERROR($G3382/SUMIF($A:$A,$A3382,$G:$G)*(SUMIF(Summary!$A$247:$A$283,$A3382,Summary!$L$247:$L$283)+SUMIF(Summary!$A$297:$A$333,$A3382,Summary!$L$297:$L$333))-AI3382,0)</f>
        <v>0</v>
      </c>
      <c r="AK3382" s="196">
        <f>IFERROR($G3382/SUMIF($A:$A,$A3382,$G:$G)*SUMIF(Summary!$A$247:$A$283,$A3382,Summary!$Q$247:$Q$283),0)</f>
        <v>0</v>
      </c>
      <c r="AL3382" s="196">
        <f>IFERROR($G3382/SUMIF($A:$A,$A3382,$G:$G)*(SUMIF(Summary!$A$247:$A$283,$A3382,Summary!$L$247:$L$283)+SUMIF(Summary!$A$297:$A$333,$A3382,Summary!$L$297:$L$333))-AK3382,0)</f>
        <v>0</v>
      </c>
      <c r="AM3382" s="198"/>
      <c r="AN3382" s="196">
        <f t="shared" ca="1" si="740"/>
        <v>0</v>
      </c>
      <c r="AO3382" s="196">
        <f t="shared" ca="1" si="741"/>
        <v>0</v>
      </c>
    </row>
    <row r="3383" spans="1:41">
      <c r="A3383" s="189">
        <v>13231</v>
      </c>
      <c r="B3383" s="190">
        <v>1</v>
      </c>
      <c r="C3383" s="191" t="s">
        <v>238</v>
      </c>
      <c r="D3383" s="192">
        <f t="shared" si="728"/>
        <v>0</v>
      </c>
      <c r="E3383" s="192">
        <f t="shared" si="729"/>
        <v>0</v>
      </c>
      <c r="F3383" s="192">
        <f t="shared" si="730"/>
        <v>0</v>
      </c>
      <c r="G3383" s="193">
        <f t="shared" si="731"/>
        <v>0</v>
      </c>
      <c r="H3383" s="194">
        <v>0</v>
      </c>
      <c r="I3383" s="194">
        <v>0</v>
      </c>
      <c r="J3383" s="194">
        <v>0</v>
      </c>
      <c r="K3383" s="193">
        <f t="shared" si="732"/>
        <v>0</v>
      </c>
      <c r="L3383" s="194">
        <v>0</v>
      </c>
      <c r="M3383" s="194">
        <v>0</v>
      </c>
      <c r="N3383" s="194">
        <v>0</v>
      </c>
      <c r="O3383" s="193">
        <f t="shared" si="733"/>
        <v>0</v>
      </c>
      <c r="P3383" s="194">
        <v>0</v>
      </c>
      <c r="Q3383" s="194">
        <v>0</v>
      </c>
      <c r="R3383" s="194">
        <v>0</v>
      </c>
      <c r="S3383" s="193">
        <f t="shared" si="734"/>
        <v>0</v>
      </c>
      <c r="T3383" s="193">
        <f t="shared" si="735"/>
        <v>0</v>
      </c>
      <c r="U3383" s="193">
        <f ca="1">OFFSET('Expenditure Study'!$B$7,'Operations Support'!$C3383,'Operations Support'!$B3383)*$G3383</f>
        <v>0</v>
      </c>
      <c r="V3383" s="199">
        <f ca="1">U3383*'Expenditure Study'!$B$31</f>
        <v>0</v>
      </c>
      <c r="W3383" s="199">
        <f ca="1">IF(A3383=10298,1.51,1)*IF($B3383&lt;3,$D3383*'Expenditure Study'!$B$32*OFFSET('Expenditure Study'!$B$7,'Operations Support'!$C3383,'Operations Support'!$B3383),0)</f>
        <v>0</v>
      </c>
      <c r="X3383" s="200">
        <f ca="1">W3383*'Expenditure Study'!$B$31</f>
        <v>0</v>
      </c>
      <c r="Y3383" s="199">
        <f ca="1">U3383*'Expenditure Study'!$B$31</f>
        <v>0</v>
      </c>
      <c r="Z3383" s="200">
        <f ca="1">W3383*'Expenditure Study'!$B$31</f>
        <v>0</v>
      </c>
      <c r="AA3383" s="195">
        <f t="shared" ca="1" si="736"/>
        <v>0</v>
      </c>
      <c r="AB3383" s="195">
        <f t="shared" ca="1" si="737"/>
        <v>0</v>
      </c>
      <c r="AD3383" s="196">
        <f>IFERROR($G3383/SUMIF($A:$A,$A3383,$G:$G)*SUMIF(Summary!$A$166:$A$242,$A3383,Summary!$P$166:$P$242),0)</f>
        <v>0</v>
      </c>
      <c r="AE3383" s="197">
        <f t="shared" ca="1" si="738"/>
        <v>0</v>
      </c>
      <c r="AF3383" s="196">
        <f>IFERROR(G3383/SUMIF(A:A,A3383,G:G)*SUMIF(Summary!$A$166:$A$242,'Operations Support'!A3383,Summary!$Q$166:$Q$242),0)</f>
        <v>0</v>
      </c>
      <c r="AG3383" s="196">
        <f t="shared" ca="1" si="739"/>
        <v>0</v>
      </c>
      <c r="AI3383" s="196">
        <f>IFERROR($G3383/SUMIF($A:$A,$A3383,$G:$G)*SUMIF(Summary!$A$247:$A$283,$A3383,Summary!$P$247:$P$283),0)</f>
        <v>0</v>
      </c>
      <c r="AJ3383" s="196">
        <f>IFERROR($G3383/SUMIF($A:$A,$A3383,$G:$G)*(SUMIF(Summary!$A$247:$A$283,$A3383,Summary!$L$247:$L$283)+SUMIF(Summary!$A$297:$A$333,$A3383,Summary!$L$297:$L$333))-AI3383,0)</f>
        <v>0</v>
      </c>
      <c r="AK3383" s="196">
        <f>IFERROR($G3383/SUMIF($A:$A,$A3383,$G:$G)*SUMIF(Summary!$A$247:$A$283,$A3383,Summary!$Q$247:$Q$283),0)</f>
        <v>0</v>
      </c>
      <c r="AL3383" s="196">
        <f>IFERROR($G3383/SUMIF($A:$A,$A3383,$G:$G)*(SUMIF(Summary!$A$247:$A$283,$A3383,Summary!$L$247:$L$283)+SUMIF(Summary!$A$297:$A$333,$A3383,Summary!$L$297:$L$333))-AK3383,0)</f>
        <v>0</v>
      </c>
      <c r="AM3383" s="198"/>
      <c r="AN3383" s="196">
        <f t="shared" ca="1" si="740"/>
        <v>0</v>
      </c>
      <c r="AO3383" s="196">
        <f t="shared" ca="1" si="741"/>
        <v>0</v>
      </c>
    </row>
    <row r="3384" spans="1:41">
      <c r="A3384" s="189">
        <v>13231</v>
      </c>
      <c r="B3384" s="190">
        <v>1</v>
      </c>
      <c r="C3384" s="191" t="s">
        <v>239</v>
      </c>
      <c r="D3384" s="192">
        <f t="shared" si="728"/>
        <v>0</v>
      </c>
      <c r="E3384" s="192">
        <f t="shared" si="729"/>
        <v>0</v>
      </c>
      <c r="F3384" s="192">
        <f t="shared" si="730"/>
        <v>0</v>
      </c>
      <c r="G3384" s="193">
        <f t="shared" si="731"/>
        <v>0</v>
      </c>
      <c r="H3384" s="194">
        <v>0</v>
      </c>
      <c r="I3384" s="194">
        <v>0</v>
      </c>
      <c r="J3384" s="194">
        <v>0</v>
      </c>
      <c r="K3384" s="193">
        <f t="shared" si="732"/>
        <v>0</v>
      </c>
      <c r="L3384" s="194">
        <v>0</v>
      </c>
      <c r="M3384" s="194">
        <v>0</v>
      </c>
      <c r="N3384" s="194">
        <v>0</v>
      </c>
      <c r="O3384" s="193">
        <f t="shared" si="733"/>
        <v>0</v>
      </c>
      <c r="P3384" s="194">
        <v>0</v>
      </c>
      <c r="Q3384" s="194">
        <v>0</v>
      </c>
      <c r="R3384" s="194">
        <v>0</v>
      </c>
      <c r="S3384" s="193">
        <f t="shared" si="734"/>
        <v>0</v>
      </c>
      <c r="T3384" s="193">
        <f t="shared" si="735"/>
        <v>0</v>
      </c>
      <c r="U3384" s="193">
        <f ca="1">OFFSET('Expenditure Study'!$B$7,'Operations Support'!$C3384,'Operations Support'!$B3384)*$G3384</f>
        <v>0</v>
      </c>
      <c r="V3384" s="199">
        <f ca="1">U3384*'Expenditure Study'!$B$31</f>
        <v>0</v>
      </c>
      <c r="W3384" s="199">
        <f ca="1">IF(A3384=10298,1.51,1)*IF($B3384&lt;3,$D3384*'Expenditure Study'!$B$32*OFFSET('Expenditure Study'!$B$7,'Operations Support'!$C3384,'Operations Support'!$B3384),0)</f>
        <v>0</v>
      </c>
      <c r="X3384" s="200">
        <f ca="1">W3384*'Expenditure Study'!$B$31</f>
        <v>0</v>
      </c>
      <c r="Y3384" s="199">
        <f ca="1">U3384*'Expenditure Study'!$B$31</f>
        <v>0</v>
      </c>
      <c r="Z3384" s="200">
        <f ca="1">W3384*'Expenditure Study'!$B$31</f>
        <v>0</v>
      </c>
      <c r="AA3384" s="195">
        <f t="shared" ca="1" si="736"/>
        <v>0</v>
      </c>
      <c r="AB3384" s="195">
        <f t="shared" ca="1" si="737"/>
        <v>0</v>
      </c>
      <c r="AD3384" s="196">
        <f>IFERROR($G3384/SUMIF($A:$A,$A3384,$G:$G)*SUMIF(Summary!$A$166:$A$242,$A3384,Summary!$P$166:$P$242),0)</f>
        <v>0</v>
      </c>
      <c r="AE3384" s="197">
        <f t="shared" ca="1" si="738"/>
        <v>0</v>
      </c>
      <c r="AF3384" s="196">
        <f>IFERROR(G3384/SUMIF(A:A,A3384,G:G)*SUMIF(Summary!$A$166:$A$242,'Operations Support'!A3384,Summary!$Q$166:$Q$242),0)</f>
        <v>0</v>
      </c>
      <c r="AG3384" s="196">
        <f t="shared" ca="1" si="739"/>
        <v>0</v>
      </c>
      <c r="AI3384" s="196">
        <f>IFERROR($G3384/SUMIF($A:$A,$A3384,$G:$G)*SUMIF(Summary!$A$247:$A$283,$A3384,Summary!$P$247:$P$283),0)</f>
        <v>0</v>
      </c>
      <c r="AJ3384" s="196">
        <f>IFERROR($G3384/SUMIF($A:$A,$A3384,$G:$G)*(SUMIF(Summary!$A$247:$A$283,$A3384,Summary!$L$247:$L$283)+SUMIF(Summary!$A$297:$A$333,$A3384,Summary!$L$297:$L$333))-AI3384,0)</f>
        <v>0</v>
      </c>
      <c r="AK3384" s="196">
        <f>IFERROR($G3384/SUMIF($A:$A,$A3384,$G:$G)*SUMIF(Summary!$A$247:$A$283,$A3384,Summary!$Q$247:$Q$283),0)</f>
        <v>0</v>
      </c>
      <c r="AL3384" s="196">
        <f>IFERROR($G3384/SUMIF($A:$A,$A3384,$G:$G)*(SUMIF(Summary!$A$247:$A$283,$A3384,Summary!$L$247:$L$283)+SUMIF(Summary!$A$297:$A$333,$A3384,Summary!$L$297:$L$333))-AK3384,0)</f>
        <v>0</v>
      </c>
      <c r="AM3384" s="198"/>
      <c r="AN3384" s="196">
        <f t="shared" ca="1" si="740"/>
        <v>0</v>
      </c>
      <c r="AO3384" s="196">
        <f t="shared" ca="1" si="741"/>
        <v>0</v>
      </c>
    </row>
    <row r="3385" spans="1:41">
      <c r="A3385" s="189">
        <v>13231</v>
      </c>
      <c r="B3385" s="190">
        <v>1</v>
      </c>
      <c r="C3385" s="191" t="s">
        <v>240</v>
      </c>
      <c r="D3385" s="192">
        <f t="shared" si="728"/>
        <v>102</v>
      </c>
      <c r="E3385" s="192">
        <f t="shared" si="729"/>
        <v>717</v>
      </c>
      <c r="F3385" s="192">
        <f t="shared" si="730"/>
        <v>0</v>
      </c>
      <c r="G3385" s="193">
        <f t="shared" si="731"/>
        <v>819</v>
      </c>
      <c r="H3385" s="194">
        <v>0</v>
      </c>
      <c r="I3385" s="194">
        <v>255</v>
      </c>
      <c r="J3385" s="194">
        <v>0</v>
      </c>
      <c r="K3385" s="193">
        <f t="shared" si="732"/>
        <v>255</v>
      </c>
      <c r="L3385" s="194">
        <v>84</v>
      </c>
      <c r="M3385" s="194">
        <v>411</v>
      </c>
      <c r="N3385" s="194">
        <v>0</v>
      </c>
      <c r="O3385" s="193">
        <f t="shared" si="733"/>
        <v>495</v>
      </c>
      <c r="P3385" s="194">
        <v>18</v>
      </c>
      <c r="Q3385" s="194">
        <v>51</v>
      </c>
      <c r="R3385" s="194">
        <v>0</v>
      </c>
      <c r="S3385" s="193">
        <f t="shared" si="734"/>
        <v>69</v>
      </c>
      <c r="T3385" s="193">
        <f t="shared" si="735"/>
        <v>27.3</v>
      </c>
      <c r="U3385" s="193">
        <f ca="1">OFFSET('Expenditure Study'!$B$7,'Operations Support'!$C3385,'Operations Support'!$B3385)*$G3385</f>
        <v>819</v>
      </c>
      <c r="V3385" s="199">
        <f ca="1">U3385*'Expenditure Study'!$B$31</f>
        <v>48389.125075199998</v>
      </c>
      <c r="W3385" s="199">
        <f ca="1">IF(A3385=10298,1.51,1)*IF($B3385&lt;3,$D3385*'Expenditure Study'!$B$32*OFFSET('Expenditure Study'!$B$7,'Operations Support'!$C3385,'Operations Support'!$B3385),0)</f>
        <v>10.200000000000001</v>
      </c>
      <c r="X3385" s="200">
        <f ca="1">W3385*'Expenditure Study'!$B$31</f>
        <v>602.64844416000005</v>
      </c>
      <c r="Y3385" s="199">
        <f ca="1">U3385*'Expenditure Study'!$B$31</f>
        <v>48389.125075199998</v>
      </c>
      <c r="Z3385" s="200">
        <f ca="1">W3385*'Expenditure Study'!$B$31</f>
        <v>602.64844416000005</v>
      </c>
      <c r="AA3385" s="195">
        <f t="shared" ca="1" si="736"/>
        <v>48991.773519359995</v>
      </c>
      <c r="AB3385" s="195">
        <f t="shared" ca="1" si="737"/>
        <v>48991.773519359995</v>
      </c>
      <c r="AD3385" s="196">
        <f>IFERROR($G3385/SUMIF($A:$A,$A3385,$G:$G)*SUMIF(Summary!$A$166:$A$242,$A3385,Summary!$P$166:$P$242),0)</f>
        <v>30577.878034121612</v>
      </c>
      <c r="AE3385" s="197">
        <f t="shared" ca="1" si="738"/>
        <v>18413.895485238383</v>
      </c>
      <c r="AF3385" s="196">
        <f>IFERROR(G3385/SUMIF(A:A,A3385,G:G)*SUMIF(Summary!$A$166:$A$242,'Operations Support'!A3385,Summary!$Q$166:$Q$242),0)</f>
        <v>30640.211099008851</v>
      </c>
      <c r="AG3385" s="196">
        <f t="shared" ca="1" si="739"/>
        <v>18351.562420351143</v>
      </c>
      <c r="AI3385" s="196">
        <f>IFERROR($G3385/SUMIF($A:$A,$A3385,$G:$G)*SUMIF(Summary!$A$247:$A$283,$A3385,Summary!$P$247:$P$283),0)</f>
        <v>5576.6418909832764</v>
      </c>
      <c r="AJ3385" s="196">
        <f>IFERROR($G3385/SUMIF($A:$A,$A3385,$G:$G)*(SUMIF(Summary!$A$247:$A$283,$A3385,Summary!$L$247:$L$283)+SUMIF(Summary!$A$297:$A$333,$A3385,Summary!$L$297:$L$333))-AI3385,0)</f>
        <v>23489.1945840681</v>
      </c>
      <c r="AK3385" s="196">
        <f>IFERROR($G3385/SUMIF($A:$A,$A3385,$G:$G)*SUMIF(Summary!$A$247:$A$283,$A3385,Summary!$Q$247:$Q$283),0)</f>
        <v>5588.0098865144128</v>
      </c>
      <c r="AL3385" s="196">
        <f>IFERROR($G3385/SUMIF($A:$A,$A3385,$G:$G)*(SUMIF(Summary!$A$247:$A$283,$A3385,Summary!$L$247:$L$283)+SUMIF(Summary!$A$297:$A$333,$A3385,Summary!$L$297:$L$333))-AK3385,0)</f>
        <v>23477.826588536962</v>
      </c>
      <c r="AM3385" s="198"/>
      <c r="AN3385" s="196">
        <f t="shared" ca="1" si="740"/>
        <v>41903.090069306483</v>
      </c>
      <c r="AO3385" s="196">
        <f t="shared" ca="1" si="741"/>
        <v>41829.389008888102</v>
      </c>
    </row>
    <row r="3386" spans="1:41">
      <c r="A3386" s="189">
        <v>13231</v>
      </c>
      <c r="B3386" s="190">
        <v>2</v>
      </c>
      <c r="C3386" s="191" t="s">
        <v>220</v>
      </c>
      <c r="D3386" s="192">
        <f t="shared" si="728"/>
        <v>8090</v>
      </c>
      <c r="E3386" s="192">
        <f t="shared" si="729"/>
        <v>5907</v>
      </c>
      <c r="F3386" s="192">
        <f t="shared" si="730"/>
        <v>0</v>
      </c>
      <c r="G3386" s="193">
        <f t="shared" si="731"/>
        <v>13997</v>
      </c>
      <c r="H3386" s="194">
        <v>3269</v>
      </c>
      <c r="I3386" s="194">
        <v>2399</v>
      </c>
      <c r="J3386" s="194">
        <v>0</v>
      </c>
      <c r="K3386" s="193">
        <f t="shared" si="732"/>
        <v>5668</v>
      </c>
      <c r="L3386" s="194">
        <v>3230</v>
      </c>
      <c r="M3386" s="194">
        <v>2057</v>
      </c>
      <c r="N3386" s="194">
        <v>0</v>
      </c>
      <c r="O3386" s="193">
        <f t="shared" si="733"/>
        <v>5287</v>
      </c>
      <c r="P3386" s="194">
        <v>1591</v>
      </c>
      <c r="Q3386" s="194">
        <v>1451</v>
      </c>
      <c r="R3386" s="194">
        <v>0</v>
      </c>
      <c r="S3386" s="193">
        <f t="shared" si="734"/>
        <v>3042</v>
      </c>
      <c r="T3386" s="193">
        <f t="shared" si="735"/>
        <v>466.56666666666666</v>
      </c>
      <c r="U3386" s="193">
        <f ca="1">OFFSET('Expenditure Study'!$B$7,'Operations Support'!$C3386,'Operations Support'!$B3386)*$G3386</f>
        <v>25754.48</v>
      </c>
      <c r="V3386" s="199">
        <f ca="1">U3386*'Expenditure Study'!$B$31</f>
        <v>1521656.598249984</v>
      </c>
      <c r="W3386" s="199">
        <f ca="1">IF(A3386=10298,1.51,1)*IF($B3386&lt;3,$D3386*'Expenditure Study'!$B$32*OFFSET('Expenditure Study'!$B$7,'Operations Support'!$C3386,'Operations Support'!$B3386),0)</f>
        <v>1488.5600000000002</v>
      </c>
      <c r="X3386" s="200">
        <f ca="1">W3386*'Expenditure Study'!$B$31</f>
        <v>87948.859611648018</v>
      </c>
      <c r="Y3386" s="199">
        <f ca="1">U3386*'Expenditure Study'!$B$31</f>
        <v>1521656.598249984</v>
      </c>
      <c r="Z3386" s="200">
        <f ca="1">W3386*'Expenditure Study'!$B$31</f>
        <v>87948.859611648018</v>
      </c>
      <c r="AA3386" s="195">
        <f t="shared" ca="1" si="736"/>
        <v>1609605.4578616321</v>
      </c>
      <c r="AB3386" s="195">
        <f t="shared" ca="1" si="737"/>
        <v>1609605.4578616321</v>
      </c>
      <c r="AD3386" s="196">
        <f>IFERROR($G3386/SUMIF($A:$A,$A3386,$G:$G)*SUMIF(Summary!$A$166:$A$242,$A3386,Summary!$P$166:$P$242),0)</f>
        <v>522586.76293479878</v>
      </c>
      <c r="AE3386" s="197">
        <f t="shared" ca="1" si="738"/>
        <v>1087018.6949268333</v>
      </c>
      <c r="AF3386" s="196">
        <f>IFERROR(G3386/SUMIF(A:A,A3386,G:G)*SUMIF(Summary!$A$166:$A$242,'Operations Support'!A3386,Summary!$Q$166:$Q$242),0)</f>
        <v>523652.05708525871</v>
      </c>
      <c r="AG3386" s="196">
        <f t="shared" ca="1" si="739"/>
        <v>1085953.4007763735</v>
      </c>
      <c r="AI3386" s="196">
        <f>IFERROR($G3386/SUMIF($A:$A,$A3386,$G:$G)*SUMIF(Summary!$A$247:$A$283,$A3386,Summary!$P$247:$P$283),0)</f>
        <v>95306.784552006007</v>
      </c>
      <c r="AJ3386" s="196">
        <f>IFERROR($G3386/SUMIF($A:$A,$A3386,$G:$G)*(SUMIF(Summary!$A$247:$A$283,$A3386,Summary!$L$247:$L$283)+SUMIF(Summary!$A$297:$A$333,$A3386,Summary!$L$297:$L$333))-AI3386,0)</f>
        <v>401438.65273895132</v>
      </c>
      <c r="AK3386" s="196">
        <f>IFERROR($G3386/SUMIF($A:$A,$A3386,$G:$G)*SUMIF(Summary!$A$247:$A$283,$A3386,Summary!$Q$247:$Q$283),0)</f>
        <v>95501.067620930684</v>
      </c>
      <c r="AL3386" s="196">
        <f>IFERROR($G3386/SUMIF($A:$A,$A3386,$G:$G)*(SUMIF(Summary!$A$247:$A$283,$A3386,Summary!$L$247:$L$283)+SUMIF(Summary!$A$297:$A$333,$A3386,Summary!$L$297:$L$333))-AK3386,0)</f>
        <v>401244.36967002664</v>
      </c>
      <c r="AM3386" s="198"/>
      <c r="AN3386" s="196">
        <f t="shared" ca="1" si="740"/>
        <v>1488457.3476657846</v>
      </c>
      <c r="AO3386" s="196">
        <f t="shared" ca="1" si="741"/>
        <v>1487197.7704464002</v>
      </c>
    </row>
    <row r="3387" spans="1:41">
      <c r="A3387" s="189">
        <v>13231</v>
      </c>
      <c r="B3387" s="190">
        <v>2</v>
      </c>
      <c r="C3387" s="191" t="s">
        <v>221</v>
      </c>
      <c r="D3387" s="192">
        <f t="shared" si="728"/>
        <v>1794</v>
      </c>
      <c r="E3387" s="192">
        <f t="shared" si="729"/>
        <v>541</v>
      </c>
      <c r="F3387" s="192">
        <f t="shared" si="730"/>
        <v>0</v>
      </c>
      <c r="G3387" s="193">
        <f t="shared" si="731"/>
        <v>2335</v>
      </c>
      <c r="H3387" s="194">
        <v>788</v>
      </c>
      <c r="I3387" s="194">
        <v>370</v>
      </c>
      <c r="J3387" s="194">
        <v>0</v>
      </c>
      <c r="K3387" s="193">
        <f t="shared" si="732"/>
        <v>1158</v>
      </c>
      <c r="L3387" s="194">
        <v>691</v>
      </c>
      <c r="M3387" s="194">
        <v>78</v>
      </c>
      <c r="N3387" s="194">
        <v>0</v>
      </c>
      <c r="O3387" s="193">
        <f t="shared" si="733"/>
        <v>769</v>
      </c>
      <c r="P3387" s="194">
        <v>315</v>
      </c>
      <c r="Q3387" s="194">
        <v>93</v>
      </c>
      <c r="R3387" s="194">
        <v>0</v>
      </c>
      <c r="S3387" s="193">
        <f t="shared" si="734"/>
        <v>408</v>
      </c>
      <c r="T3387" s="193">
        <f t="shared" si="735"/>
        <v>77.833333333333329</v>
      </c>
      <c r="U3387" s="193">
        <f ca="1">OFFSET('Expenditure Study'!$B$7,'Operations Support'!$C3387,'Operations Support'!$B3387)*$G3387</f>
        <v>6141.05</v>
      </c>
      <c r="V3387" s="199">
        <f ca="1">U3387*'Expenditure Study'!$B$31</f>
        <v>362832.76745184005</v>
      </c>
      <c r="W3387" s="199">
        <f ca="1">IF(A3387=10298,1.51,1)*IF($B3387&lt;3,$D3387*'Expenditure Study'!$B$32*OFFSET('Expenditure Study'!$B$7,'Operations Support'!$C3387,'Operations Support'!$B3387),0)</f>
        <v>471.822</v>
      </c>
      <c r="X3387" s="200">
        <f ca="1">W3387*'Expenditure Study'!$B$31</f>
        <v>27876.7445314176</v>
      </c>
      <c r="Y3387" s="199">
        <f ca="1">U3387*'Expenditure Study'!$B$31</f>
        <v>362832.76745184005</v>
      </c>
      <c r="Z3387" s="200">
        <f ca="1">W3387*'Expenditure Study'!$B$31</f>
        <v>27876.7445314176</v>
      </c>
      <c r="AA3387" s="195">
        <f t="shared" ca="1" si="736"/>
        <v>390709.51198325766</v>
      </c>
      <c r="AB3387" s="195">
        <f t="shared" ca="1" si="737"/>
        <v>390709.51198325766</v>
      </c>
      <c r="AD3387" s="196">
        <f>IFERROR($G3387/SUMIF($A:$A,$A3387,$G:$G)*SUMIF(Summary!$A$166:$A$242,$A3387,Summary!$P$166:$P$242),0)</f>
        <v>87178.687679699593</v>
      </c>
      <c r="AE3387" s="197">
        <f t="shared" ca="1" si="738"/>
        <v>303530.8243035581</v>
      </c>
      <c r="AF3387" s="196">
        <f>IFERROR(G3387/SUMIF(A:A,A3387,G:G)*SUMIF(Summary!$A$166:$A$242,'Operations Support'!A3387,Summary!$Q$166:$Q$242),0)</f>
        <v>87356.401607064312</v>
      </c>
      <c r="AG3387" s="196">
        <f t="shared" ca="1" si="739"/>
        <v>303353.11037619336</v>
      </c>
      <c r="AI3387" s="196">
        <f>IFERROR($G3387/SUMIF($A:$A,$A3387,$G:$G)*SUMIF(Summary!$A$247:$A$283,$A3387,Summary!$P$247:$P$283),0)</f>
        <v>15899.217112876619</v>
      </c>
      <c r="AJ3387" s="196">
        <f>IFERROR($G3387/SUMIF($A:$A,$A3387,$G:$G)*(SUMIF(Summary!$A$247:$A$283,$A3387,Summary!$L$247:$L$283)+SUMIF(Summary!$A$297:$A$333,$A3387,Summary!$L$297:$L$333))-AI3387,0)</f>
        <v>66968.582849571423</v>
      </c>
      <c r="AK3387" s="196">
        <f>IFERROR($G3387/SUMIF($A:$A,$A3387,$G:$G)*SUMIF(Summary!$A$247:$A$283,$A3387,Summary!$Q$247:$Q$283),0)</f>
        <v>15931.627698426315</v>
      </c>
      <c r="AL3387" s="196">
        <f>IFERROR($G3387/SUMIF($A:$A,$A3387,$G:$G)*(SUMIF(Summary!$A$247:$A$283,$A3387,Summary!$L$247:$L$283)+SUMIF(Summary!$A$297:$A$333,$A3387,Summary!$L$297:$L$333))-AK3387,0)</f>
        <v>66936.172264021734</v>
      </c>
      <c r="AM3387" s="198"/>
      <c r="AN3387" s="196">
        <f t="shared" ca="1" si="740"/>
        <v>370499.40715312952</v>
      </c>
      <c r="AO3387" s="196">
        <f t="shared" ca="1" si="741"/>
        <v>370289.28264021513</v>
      </c>
    </row>
    <row r="3388" spans="1:41">
      <c r="A3388" s="189">
        <v>13231</v>
      </c>
      <c r="B3388" s="190">
        <v>2</v>
      </c>
      <c r="C3388" s="191" t="s">
        <v>222</v>
      </c>
      <c r="D3388" s="192">
        <f t="shared" si="728"/>
        <v>0</v>
      </c>
      <c r="E3388" s="192">
        <f t="shared" si="729"/>
        <v>384</v>
      </c>
      <c r="F3388" s="192">
        <f t="shared" si="730"/>
        <v>0</v>
      </c>
      <c r="G3388" s="193">
        <f t="shared" si="731"/>
        <v>384</v>
      </c>
      <c r="H3388" s="194">
        <v>0</v>
      </c>
      <c r="I3388" s="194">
        <v>231</v>
      </c>
      <c r="J3388" s="194">
        <v>0</v>
      </c>
      <c r="K3388" s="193">
        <f t="shared" si="732"/>
        <v>231</v>
      </c>
      <c r="L3388" s="194">
        <v>0</v>
      </c>
      <c r="M3388" s="194">
        <v>153</v>
      </c>
      <c r="N3388" s="194">
        <v>0</v>
      </c>
      <c r="O3388" s="193">
        <f t="shared" si="733"/>
        <v>153</v>
      </c>
      <c r="P3388" s="194">
        <v>0</v>
      </c>
      <c r="Q3388" s="194">
        <v>0</v>
      </c>
      <c r="R3388" s="194">
        <v>0</v>
      </c>
      <c r="S3388" s="193">
        <f t="shared" si="734"/>
        <v>0</v>
      </c>
      <c r="T3388" s="193">
        <f t="shared" si="735"/>
        <v>12.8</v>
      </c>
      <c r="U3388" s="193">
        <f ca="1">OFFSET('Expenditure Study'!$B$7,'Operations Support'!$C3388,'Operations Support'!$B3388)*$G3388</f>
        <v>1021.44</v>
      </c>
      <c r="V3388" s="199">
        <f ca="1">U3388*'Expenditure Study'!$B$31</f>
        <v>60349.924196352003</v>
      </c>
      <c r="W3388" s="199">
        <f ca="1">IF(A3388=10298,1.51,1)*IF($B3388&lt;3,$D3388*'Expenditure Study'!$B$32*OFFSET('Expenditure Study'!$B$7,'Operations Support'!$C3388,'Operations Support'!$B3388),0)</f>
        <v>0</v>
      </c>
      <c r="X3388" s="200">
        <f ca="1">W3388*'Expenditure Study'!$B$31</f>
        <v>0</v>
      </c>
      <c r="Y3388" s="199">
        <f ca="1">U3388*'Expenditure Study'!$B$31</f>
        <v>60349.924196352003</v>
      </c>
      <c r="Z3388" s="200">
        <f ca="1">W3388*'Expenditure Study'!$B$31</f>
        <v>0</v>
      </c>
      <c r="AA3388" s="195">
        <f t="shared" ca="1" si="736"/>
        <v>60349.924196352003</v>
      </c>
      <c r="AB3388" s="195">
        <f t="shared" ca="1" si="737"/>
        <v>60349.924196352003</v>
      </c>
      <c r="AD3388" s="196">
        <f>IFERROR($G3388/SUMIF($A:$A,$A3388,$G:$G)*SUMIF(Summary!$A$166:$A$242,$A3388,Summary!$P$166:$P$242),0)</f>
        <v>14336.880543470939</v>
      </c>
      <c r="AE3388" s="197">
        <f t="shared" ca="1" si="738"/>
        <v>46013.043652881068</v>
      </c>
      <c r="AF3388" s="196">
        <f>IFERROR(G3388/SUMIF(A:A,A3388,G:G)*SUMIF(Summary!$A$166:$A$242,'Operations Support'!A3388,Summary!$Q$166:$Q$242),0)</f>
        <v>14366.10630283199</v>
      </c>
      <c r="AG3388" s="196">
        <f t="shared" ca="1" si="739"/>
        <v>45983.817893520012</v>
      </c>
      <c r="AI3388" s="196">
        <f>IFERROR($G3388/SUMIF($A:$A,$A3388,$G:$G)*SUMIF(Summary!$A$247:$A$283,$A3388,Summary!$P$247:$P$283),0)</f>
        <v>2614.6892382632213</v>
      </c>
      <c r="AJ3388" s="196">
        <f>IFERROR($G3388/SUMIF($A:$A,$A3388,$G:$G)*(SUMIF(Summary!$A$247:$A$283,$A3388,Summary!$L$247:$L$283)+SUMIF(Summary!$A$297:$A$333,$A3388,Summary!$L$297:$L$333))-AI3388,0)</f>
        <v>11013.248742713247</v>
      </c>
      <c r="AK3388" s="196">
        <f>IFERROR($G3388/SUMIF($A:$A,$A3388,$G:$G)*SUMIF(Summary!$A$247:$A$283,$A3388,Summary!$Q$247:$Q$283),0)</f>
        <v>2620.0192874499812</v>
      </c>
      <c r="AL3388" s="196">
        <f>IFERROR($G3388/SUMIF($A:$A,$A3388,$G:$G)*(SUMIF(Summary!$A$247:$A$283,$A3388,Summary!$L$247:$L$283)+SUMIF(Summary!$A$297:$A$333,$A3388,Summary!$L$297:$L$333))-AK3388,0)</f>
        <v>11007.918693526488</v>
      </c>
      <c r="AM3388" s="198"/>
      <c r="AN3388" s="196">
        <f t="shared" ca="1" si="740"/>
        <v>57026.292395594312</v>
      </c>
      <c r="AO3388" s="196">
        <f t="shared" ca="1" si="741"/>
        <v>56991.7365870465</v>
      </c>
    </row>
    <row r="3389" spans="1:41">
      <c r="A3389" s="189">
        <v>13231</v>
      </c>
      <c r="B3389" s="190">
        <v>2</v>
      </c>
      <c r="C3389" s="191" t="s">
        <v>223</v>
      </c>
      <c r="D3389" s="192">
        <f t="shared" si="728"/>
        <v>2256</v>
      </c>
      <c r="E3389" s="192">
        <f t="shared" si="729"/>
        <v>2307</v>
      </c>
      <c r="F3389" s="192">
        <f t="shared" si="730"/>
        <v>0</v>
      </c>
      <c r="G3389" s="193">
        <f t="shared" si="731"/>
        <v>4563</v>
      </c>
      <c r="H3389" s="194">
        <v>795</v>
      </c>
      <c r="I3389" s="194">
        <v>951</v>
      </c>
      <c r="J3389" s="194">
        <v>0</v>
      </c>
      <c r="K3389" s="193">
        <f t="shared" si="732"/>
        <v>1746</v>
      </c>
      <c r="L3389" s="194">
        <v>873</v>
      </c>
      <c r="M3389" s="194">
        <v>888</v>
      </c>
      <c r="N3389" s="194">
        <v>0</v>
      </c>
      <c r="O3389" s="193">
        <f t="shared" si="733"/>
        <v>1761</v>
      </c>
      <c r="P3389" s="194">
        <v>588</v>
      </c>
      <c r="Q3389" s="194">
        <v>468</v>
      </c>
      <c r="R3389" s="194">
        <v>0</v>
      </c>
      <c r="S3389" s="193">
        <f t="shared" si="734"/>
        <v>1056</v>
      </c>
      <c r="T3389" s="193">
        <f t="shared" si="735"/>
        <v>152.1</v>
      </c>
      <c r="U3389" s="193">
        <f ca="1">OFFSET('Expenditure Study'!$B$7,'Operations Support'!$C3389,'Operations Support'!$B3389)*$G3389</f>
        <v>8669.6999999999989</v>
      </c>
      <c r="V3389" s="199">
        <f ca="1">U3389*'Expenditure Study'!$B$31</f>
        <v>512233.45258175995</v>
      </c>
      <c r="W3389" s="199">
        <f ca="1">IF(A3389=10298,1.51,1)*IF($B3389&lt;3,$D3389*'Expenditure Study'!$B$32*OFFSET('Expenditure Study'!$B$7,'Operations Support'!$C3389,'Operations Support'!$B3389),0)</f>
        <v>428.64000000000004</v>
      </c>
      <c r="X3389" s="200">
        <f ca="1">W3389*'Expenditure Study'!$B$31</f>
        <v>25325.414618112001</v>
      </c>
      <c r="Y3389" s="199">
        <f ca="1">U3389*'Expenditure Study'!$B$31</f>
        <v>512233.45258175995</v>
      </c>
      <c r="Z3389" s="200">
        <f ca="1">W3389*'Expenditure Study'!$B$31</f>
        <v>25325.414618112001</v>
      </c>
      <c r="AA3389" s="195">
        <f t="shared" ca="1" si="736"/>
        <v>537558.86719987192</v>
      </c>
      <c r="AB3389" s="195">
        <f t="shared" ca="1" si="737"/>
        <v>537558.86719987192</v>
      </c>
      <c r="AD3389" s="196">
        <f>IFERROR($G3389/SUMIF($A:$A,$A3389,$G:$G)*SUMIF(Summary!$A$166:$A$242,$A3389,Summary!$P$166:$P$242),0)</f>
        <v>170362.46333296326</v>
      </c>
      <c r="AE3389" s="197">
        <f t="shared" ca="1" si="738"/>
        <v>367196.40386690863</v>
      </c>
      <c r="AF3389" s="196">
        <f>IFERROR(G3389/SUMIF(A:A,A3389,G:G)*SUMIF(Summary!$A$166:$A$242,'Operations Support'!A3389,Summary!$Q$166:$Q$242),0)</f>
        <v>170709.74755162073</v>
      </c>
      <c r="AG3389" s="196">
        <f t="shared" ca="1" si="739"/>
        <v>366849.11964825122</v>
      </c>
      <c r="AI3389" s="196">
        <f>IFERROR($G3389/SUMIF($A:$A,$A3389,$G:$G)*SUMIF(Summary!$A$247:$A$283,$A3389,Summary!$P$247:$P$283),0)</f>
        <v>31069.861964049684</v>
      </c>
      <c r="AJ3389" s="196">
        <f>IFERROR($G3389/SUMIF($A:$A,$A3389,$G:$G)*(SUMIF(Summary!$A$247:$A$283,$A3389,Summary!$L$247:$L$283)+SUMIF(Summary!$A$297:$A$333,$A3389,Summary!$L$297:$L$333))-AI3389,0)</f>
        <v>130868.36982552224</v>
      </c>
      <c r="AK3389" s="196">
        <f>IFERROR($G3389/SUMIF($A:$A,$A3389,$G:$G)*SUMIF(Summary!$A$247:$A$283,$A3389,Summary!$Q$247:$Q$283),0)</f>
        <v>31133.197939151723</v>
      </c>
      <c r="AL3389" s="196">
        <f>IFERROR($G3389/SUMIF($A:$A,$A3389,$G:$G)*(SUMIF(Summary!$A$247:$A$283,$A3389,Summary!$L$247:$L$283)+SUMIF(Summary!$A$297:$A$333,$A3389,Summary!$L$297:$L$333))-AK3389,0)</f>
        <v>130805.03385042021</v>
      </c>
      <c r="AM3389" s="198"/>
      <c r="AN3389" s="196">
        <f t="shared" ca="1" si="740"/>
        <v>498064.77369243087</v>
      </c>
      <c r="AO3389" s="196">
        <f t="shared" ca="1" si="741"/>
        <v>497654.15349867143</v>
      </c>
    </row>
    <row r="3390" spans="1:41">
      <c r="A3390" s="189">
        <v>13231</v>
      </c>
      <c r="B3390" s="190">
        <v>2</v>
      </c>
      <c r="C3390" s="191" t="s">
        <v>224</v>
      </c>
      <c r="D3390" s="192">
        <f t="shared" si="728"/>
        <v>0</v>
      </c>
      <c r="E3390" s="192">
        <f t="shared" si="729"/>
        <v>0</v>
      </c>
      <c r="F3390" s="192">
        <f t="shared" si="730"/>
        <v>0</v>
      </c>
      <c r="G3390" s="193">
        <f t="shared" si="731"/>
        <v>0</v>
      </c>
      <c r="H3390" s="194">
        <v>0</v>
      </c>
      <c r="I3390" s="194">
        <v>0</v>
      </c>
      <c r="J3390" s="194">
        <v>0</v>
      </c>
      <c r="K3390" s="193">
        <f t="shared" si="732"/>
        <v>0</v>
      </c>
      <c r="L3390" s="194">
        <v>0</v>
      </c>
      <c r="M3390" s="194">
        <v>0</v>
      </c>
      <c r="N3390" s="194">
        <v>0</v>
      </c>
      <c r="O3390" s="193">
        <f t="shared" si="733"/>
        <v>0</v>
      </c>
      <c r="P3390" s="194">
        <v>0</v>
      </c>
      <c r="Q3390" s="194">
        <v>0</v>
      </c>
      <c r="R3390" s="194">
        <v>0</v>
      </c>
      <c r="S3390" s="193">
        <f t="shared" si="734"/>
        <v>0</v>
      </c>
      <c r="T3390" s="193">
        <f t="shared" si="735"/>
        <v>0</v>
      </c>
      <c r="U3390" s="193">
        <f ca="1">OFFSET('Expenditure Study'!$B$7,'Operations Support'!$C3390,'Operations Support'!$B3390)*$G3390</f>
        <v>0</v>
      </c>
      <c r="V3390" s="199">
        <f ca="1">U3390*'Expenditure Study'!$B$31</f>
        <v>0</v>
      </c>
      <c r="W3390" s="199">
        <f ca="1">IF(A3390=10298,1.51,1)*IF($B3390&lt;3,$D3390*'Expenditure Study'!$B$32*OFFSET('Expenditure Study'!$B$7,'Operations Support'!$C3390,'Operations Support'!$B3390),0)</f>
        <v>0</v>
      </c>
      <c r="X3390" s="200">
        <f ca="1">W3390*'Expenditure Study'!$B$31</f>
        <v>0</v>
      </c>
      <c r="Y3390" s="199">
        <f ca="1">U3390*'Expenditure Study'!$B$31</f>
        <v>0</v>
      </c>
      <c r="Z3390" s="200">
        <f ca="1">W3390*'Expenditure Study'!$B$31</f>
        <v>0</v>
      </c>
      <c r="AA3390" s="195">
        <f t="shared" ca="1" si="736"/>
        <v>0</v>
      </c>
      <c r="AB3390" s="195">
        <f t="shared" ca="1" si="737"/>
        <v>0</v>
      </c>
      <c r="AD3390" s="196">
        <f>IFERROR($G3390/SUMIF($A:$A,$A3390,$G:$G)*SUMIF(Summary!$A$166:$A$242,$A3390,Summary!$P$166:$P$242),0)</f>
        <v>0</v>
      </c>
      <c r="AE3390" s="197">
        <f t="shared" ca="1" si="738"/>
        <v>0</v>
      </c>
      <c r="AF3390" s="196">
        <f>IFERROR(G3390/SUMIF(A:A,A3390,G:G)*SUMIF(Summary!$A$166:$A$242,'Operations Support'!A3390,Summary!$Q$166:$Q$242),0)</f>
        <v>0</v>
      </c>
      <c r="AG3390" s="196">
        <f t="shared" ca="1" si="739"/>
        <v>0</v>
      </c>
      <c r="AI3390" s="196">
        <f>IFERROR($G3390/SUMIF($A:$A,$A3390,$G:$G)*SUMIF(Summary!$A$247:$A$283,$A3390,Summary!$P$247:$P$283),0)</f>
        <v>0</v>
      </c>
      <c r="AJ3390" s="196">
        <f>IFERROR($G3390/SUMIF($A:$A,$A3390,$G:$G)*(SUMIF(Summary!$A$247:$A$283,$A3390,Summary!$L$247:$L$283)+SUMIF(Summary!$A$297:$A$333,$A3390,Summary!$L$297:$L$333))-AI3390,0)</f>
        <v>0</v>
      </c>
      <c r="AK3390" s="196">
        <f>IFERROR($G3390/SUMIF($A:$A,$A3390,$G:$G)*SUMIF(Summary!$A$247:$A$283,$A3390,Summary!$Q$247:$Q$283),0)</f>
        <v>0</v>
      </c>
      <c r="AL3390" s="196">
        <f>IFERROR($G3390/SUMIF($A:$A,$A3390,$G:$G)*(SUMIF(Summary!$A$247:$A$283,$A3390,Summary!$L$247:$L$283)+SUMIF(Summary!$A$297:$A$333,$A3390,Summary!$L$297:$L$333))-AK3390,0)</f>
        <v>0</v>
      </c>
      <c r="AM3390" s="198"/>
      <c r="AN3390" s="196">
        <f t="shared" ca="1" si="740"/>
        <v>0</v>
      </c>
      <c r="AO3390" s="196">
        <f t="shared" ca="1" si="741"/>
        <v>0</v>
      </c>
    </row>
    <row r="3391" spans="1:41">
      <c r="A3391" s="189">
        <v>13231</v>
      </c>
      <c r="B3391" s="190">
        <v>2</v>
      </c>
      <c r="C3391" s="191" t="s">
        <v>225</v>
      </c>
      <c r="D3391" s="192">
        <f t="shared" si="728"/>
        <v>1233</v>
      </c>
      <c r="E3391" s="192">
        <f t="shared" si="729"/>
        <v>1803</v>
      </c>
      <c r="F3391" s="192">
        <f t="shared" si="730"/>
        <v>0</v>
      </c>
      <c r="G3391" s="193">
        <f t="shared" si="731"/>
        <v>3036</v>
      </c>
      <c r="H3391" s="194">
        <v>639</v>
      </c>
      <c r="I3391" s="194">
        <v>606</v>
      </c>
      <c r="J3391" s="194">
        <v>0</v>
      </c>
      <c r="K3391" s="193">
        <f t="shared" si="732"/>
        <v>1245</v>
      </c>
      <c r="L3391" s="194">
        <v>354</v>
      </c>
      <c r="M3391" s="194">
        <v>1119</v>
      </c>
      <c r="N3391" s="194">
        <v>0</v>
      </c>
      <c r="O3391" s="193">
        <f t="shared" si="733"/>
        <v>1473</v>
      </c>
      <c r="P3391" s="194">
        <v>240</v>
      </c>
      <c r="Q3391" s="194">
        <v>78</v>
      </c>
      <c r="R3391" s="194">
        <v>0</v>
      </c>
      <c r="S3391" s="193">
        <f t="shared" si="734"/>
        <v>318</v>
      </c>
      <c r="T3391" s="193">
        <f t="shared" si="735"/>
        <v>101.2</v>
      </c>
      <c r="U3391" s="193">
        <f ca="1">OFFSET('Expenditure Study'!$B$7,'Operations Support'!$C3391,'Operations Support'!$B3391)*$G3391</f>
        <v>8500.7999999999993</v>
      </c>
      <c r="V3391" s="199">
        <f ca="1">U3391*'Expenditure Study'!$B$31</f>
        <v>502254.30334463995</v>
      </c>
      <c r="W3391" s="199">
        <f ca="1">IF(A3391=10298,1.51,1)*IF($B3391&lt;3,$D3391*'Expenditure Study'!$B$32*OFFSET('Expenditure Study'!$B$7,'Operations Support'!$C3391,'Operations Support'!$B3391),0)</f>
        <v>345.24</v>
      </c>
      <c r="X3391" s="200">
        <f ca="1">W3391*'Expenditure Study'!$B$31</f>
        <v>20397.877339392002</v>
      </c>
      <c r="Y3391" s="199">
        <f ca="1">U3391*'Expenditure Study'!$B$31</f>
        <v>502254.30334463995</v>
      </c>
      <c r="Z3391" s="200">
        <f ca="1">W3391*'Expenditure Study'!$B$31</f>
        <v>20397.877339392002</v>
      </c>
      <c r="AA3391" s="195">
        <f t="shared" ca="1" si="736"/>
        <v>522652.18068403198</v>
      </c>
      <c r="AB3391" s="195">
        <f t="shared" ca="1" si="737"/>
        <v>522652.18068403198</v>
      </c>
      <c r="AD3391" s="196">
        <f>IFERROR($G3391/SUMIF($A:$A,$A3391,$G:$G)*SUMIF(Summary!$A$166:$A$242,$A3391,Summary!$P$166:$P$242),0)</f>
        <v>113350.96179681711</v>
      </c>
      <c r="AE3391" s="197">
        <f t="shared" ca="1" si="738"/>
        <v>409301.2188872149</v>
      </c>
      <c r="AF3391" s="196">
        <f>IFERROR(G3391/SUMIF(A:A,A3391,G:G)*SUMIF(Summary!$A$166:$A$242,'Operations Support'!A3391,Summary!$Q$166:$Q$242),0)</f>
        <v>113582.02795676541</v>
      </c>
      <c r="AG3391" s="196">
        <f t="shared" ca="1" si="739"/>
        <v>409070.15272726654</v>
      </c>
      <c r="AI3391" s="196">
        <f>IFERROR($G3391/SUMIF($A:$A,$A3391,$G:$G)*SUMIF(Summary!$A$247:$A$283,$A3391,Summary!$P$247:$P$283),0)</f>
        <v>20672.386790018591</v>
      </c>
      <c r="AJ3391" s="196">
        <f>IFERROR($G3391/SUMIF($A:$A,$A3391,$G:$G)*(SUMIF(Summary!$A$247:$A$283,$A3391,Summary!$L$247:$L$283)+SUMIF(Summary!$A$297:$A$333,$A3391,Summary!$L$297:$L$333))-AI3391,0)</f>
        <v>87073.497872076608</v>
      </c>
      <c r="AK3391" s="196">
        <f>IFERROR($G3391/SUMIF($A:$A,$A3391,$G:$G)*SUMIF(Summary!$A$247:$A$283,$A3391,Summary!$Q$247:$Q$283),0)</f>
        <v>20714.527491401412</v>
      </c>
      <c r="AL3391" s="196">
        <f>IFERROR($G3391/SUMIF($A:$A,$A3391,$G:$G)*(SUMIF(Summary!$A$247:$A$283,$A3391,Summary!$L$247:$L$283)+SUMIF(Summary!$A$297:$A$333,$A3391,Summary!$L$297:$L$333))-AK3391,0)</f>
        <v>87031.35717069378</v>
      </c>
      <c r="AM3391" s="198"/>
      <c r="AN3391" s="196">
        <f t="shared" ca="1" si="740"/>
        <v>496374.71675929148</v>
      </c>
      <c r="AO3391" s="196">
        <f t="shared" ca="1" si="741"/>
        <v>496101.50989796035</v>
      </c>
    </row>
    <row r="3392" spans="1:41">
      <c r="A3392" s="189">
        <v>13231</v>
      </c>
      <c r="B3392" s="190">
        <v>2</v>
      </c>
      <c r="C3392" s="191" t="s">
        <v>226</v>
      </c>
      <c r="D3392" s="192">
        <f t="shared" si="728"/>
        <v>300</v>
      </c>
      <c r="E3392" s="192">
        <f t="shared" si="729"/>
        <v>336</v>
      </c>
      <c r="F3392" s="192">
        <f t="shared" si="730"/>
        <v>0</v>
      </c>
      <c r="G3392" s="193">
        <f t="shared" si="731"/>
        <v>636</v>
      </c>
      <c r="H3392" s="194">
        <v>171</v>
      </c>
      <c r="I3392" s="194">
        <v>63</v>
      </c>
      <c r="J3392" s="194">
        <v>0</v>
      </c>
      <c r="K3392" s="193">
        <f t="shared" si="732"/>
        <v>234</v>
      </c>
      <c r="L3392" s="194">
        <v>129</v>
      </c>
      <c r="M3392" s="194">
        <v>123</v>
      </c>
      <c r="N3392" s="194">
        <v>0</v>
      </c>
      <c r="O3392" s="193">
        <f t="shared" si="733"/>
        <v>252</v>
      </c>
      <c r="P3392" s="194">
        <v>0</v>
      </c>
      <c r="Q3392" s="194">
        <v>150</v>
      </c>
      <c r="R3392" s="194">
        <v>0</v>
      </c>
      <c r="S3392" s="193">
        <f t="shared" si="734"/>
        <v>150</v>
      </c>
      <c r="T3392" s="193">
        <f t="shared" si="735"/>
        <v>21.2</v>
      </c>
      <c r="U3392" s="193">
        <f ca="1">OFFSET('Expenditure Study'!$B$7,'Operations Support'!$C3392,'Operations Support'!$B3392)*$G3392</f>
        <v>1144.8</v>
      </c>
      <c r="V3392" s="199">
        <f ca="1">U3392*'Expenditure Study'!$B$31</f>
        <v>67638.425379840002</v>
      </c>
      <c r="W3392" s="199">
        <f ca="1">IF(A3392=10298,1.51,1)*IF($B3392&lt;3,$D3392*'Expenditure Study'!$B$32*OFFSET('Expenditure Study'!$B$7,'Operations Support'!$C3392,'Operations Support'!$B3392),0)</f>
        <v>54</v>
      </c>
      <c r="X3392" s="200">
        <f ca="1">W3392*'Expenditure Study'!$B$31</f>
        <v>3190.4917632000002</v>
      </c>
      <c r="Y3392" s="199">
        <f ca="1">U3392*'Expenditure Study'!$B$31</f>
        <v>67638.425379840002</v>
      </c>
      <c r="Z3392" s="200">
        <f ca="1">W3392*'Expenditure Study'!$B$31</f>
        <v>3190.4917632000002</v>
      </c>
      <c r="AA3392" s="195">
        <f t="shared" ca="1" si="736"/>
        <v>70828.917143040002</v>
      </c>
      <c r="AB3392" s="195">
        <f t="shared" ca="1" si="737"/>
        <v>70828.917143040002</v>
      </c>
      <c r="AD3392" s="196">
        <f>IFERROR($G3392/SUMIF($A:$A,$A3392,$G:$G)*SUMIF(Summary!$A$166:$A$242,$A3392,Summary!$P$166:$P$242),0)</f>
        <v>23745.458400123742</v>
      </c>
      <c r="AE3392" s="197">
        <f t="shared" ca="1" si="738"/>
        <v>47083.458742916264</v>
      </c>
      <c r="AF3392" s="196">
        <f>IFERROR(G3392/SUMIF(A:A,A3392,G:G)*SUMIF(Summary!$A$166:$A$242,'Operations Support'!A3392,Summary!$Q$166:$Q$242),0)</f>
        <v>23793.863564065483</v>
      </c>
      <c r="AG3392" s="196">
        <f t="shared" ca="1" si="739"/>
        <v>47035.053578974519</v>
      </c>
      <c r="AI3392" s="196">
        <f>IFERROR($G3392/SUMIF($A:$A,$A3392,$G:$G)*SUMIF(Summary!$A$247:$A$283,$A3392,Summary!$P$247:$P$283),0)</f>
        <v>4330.5790508734599</v>
      </c>
      <c r="AJ3392" s="196">
        <f>IFERROR($G3392/SUMIF($A:$A,$A3392,$G:$G)*(SUMIF(Summary!$A$247:$A$283,$A3392,Summary!$L$247:$L$283)+SUMIF(Summary!$A$297:$A$333,$A3392,Summary!$L$297:$L$333))-AI3392,0)</f>
        <v>18240.693230118814</v>
      </c>
      <c r="AK3392" s="196">
        <f>IFERROR($G3392/SUMIF($A:$A,$A3392,$G:$G)*SUMIF(Summary!$A$247:$A$283,$A3392,Summary!$Q$247:$Q$283),0)</f>
        <v>4339.406944839031</v>
      </c>
      <c r="AL3392" s="196">
        <f>IFERROR($G3392/SUMIF($A:$A,$A3392,$G:$G)*(SUMIF(Summary!$A$247:$A$283,$A3392,Summary!$L$247:$L$283)+SUMIF(Summary!$A$297:$A$333,$A3392,Summary!$L$297:$L$333))-AK3392,0)</f>
        <v>18231.865336153242</v>
      </c>
      <c r="AM3392" s="198"/>
      <c r="AN3392" s="196">
        <f t="shared" ca="1" si="740"/>
        <v>65324.151973035077</v>
      </c>
      <c r="AO3392" s="196">
        <f t="shared" ca="1" si="741"/>
        <v>65266.918915127761</v>
      </c>
    </row>
    <row r="3393" spans="1:41">
      <c r="A3393" s="189">
        <v>13231</v>
      </c>
      <c r="B3393" s="190">
        <v>2</v>
      </c>
      <c r="C3393" s="191" t="s">
        <v>227</v>
      </c>
      <c r="D3393" s="192">
        <f t="shared" si="728"/>
        <v>0</v>
      </c>
      <c r="E3393" s="192">
        <f t="shared" si="729"/>
        <v>0</v>
      </c>
      <c r="F3393" s="192">
        <f t="shared" si="730"/>
        <v>0</v>
      </c>
      <c r="G3393" s="193">
        <f t="shared" si="731"/>
        <v>0</v>
      </c>
      <c r="H3393" s="194">
        <v>0</v>
      </c>
      <c r="I3393" s="194">
        <v>0</v>
      </c>
      <c r="J3393" s="194">
        <v>0</v>
      </c>
      <c r="K3393" s="193">
        <f t="shared" si="732"/>
        <v>0</v>
      </c>
      <c r="L3393" s="194">
        <v>0</v>
      </c>
      <c r="M3393" s="194">
        <v>0</v>
      </c>
      <c r="N3393" s="194">
        <v>0</v>
      </c>
      <c r="O3393" s="193">
        <f t="shared" si="733"/>
        <v>0</v>
      </c>
      <c r="P3393" s="194">
        <v>0</v>
      </c>
      <c r="Q3393" s="194">
        <v>0</v>
      </c>
      <c r="R3393" s="194">
        <v>0</v>
      </c>
      <c r="S3393" s="193">
        <f t="shared" si="734"/>
        <v>0</v>
      </c>
      <c r="T3393" s="193">
        <f t="shared" si="735"/>
        <v>0</v>
      </c>
      <c r="U3393" s="193">
        <f ca="1">OFFSET('Expenditure Study'!$B$7,'Operations Support'!$C3393,'Operations Support'!$B3393)*$G3393</f>
        <v>0</v>
      </c>
      <c r="V3393" s="199">
        <f ca="1">U3393*'Expenditure Study'!$B$31</f>
        <v>0</v>
      </c>
      <c r="W3393" s="199">
        <f ca="1">IF(A3393=10298,1.51,1)*IF($B3393&lt;3,$D3393*'Expenditure Study'!$B$32*OFFSET('Expenditure Study'!$B$7,'Operations Support'!$C3393,'Operations Support'!$B3393),0)</f>
        <v>0</v>
      </c>
      <c r="X3393" s="200">
        <f ca="1">W3393*'Expenditure Study'!$B$31</f>
        <v>0</v>
      </c>
      <c r="Y3393" s="199">
        <f ca="1">U3393*'Expenditure Study'!$B$31</f>
        <v>0</v>
      </c>
      <c r="Z3393" s="200">
        <f ca="1">W3393*'Expenditure Study'!$B$31</f>
        <v>0</v>
      </c>
      <c r="AA3393" s="195">
        <f t="shared" ca="1" si="736"/>
        <v>0</v>
      </c>
      <c r="AB3393" s="195">
        <f t="shared" ca="1" si="737"/>
        <v>0</v>
      </c>
      <c r="AD3393" s="196">
        <f>IFERROR($G3393/SUMIF($A:$A,$A3393,$G:$G)*SUMIF(Summary!$A$166:$A$242,$A3393,Summary!$P$166:$P$242),0)</f>
        <v>0</v>
      </c>
      <c r="AE3393" s="197">
        <f t="shared" ca="1" si="738"/>
        <v>0</v>
      </c>
      <c r="AF3393" s="196">
        <f>IFERROR(G3393/SUMIF(A:A,A3393,G:G)*SUMIF(Summary!$A$166:$A$242,'Operations Support'!A3393,Summary!$Q$166:$Q$242),0)</f>
        <v>0</v>
      </c>
      <c r="AG3393" s="196">
        <f t="shared" ca="1" si="739"/>
        <v>0</v>
      </c>
      <c r="AI3393" s="196">
        <f>IFERROR($G3393/SUMIF($A:$A,$A3393,$G:$G)*SUMIF(Summary!$A$247:$A$283,$A3393,Summary!$P$247:$P$283),0)</f>
        <v>0</v>
      </c>
      <c r="AJ3393" s="196">
        <f>IFERROR($G3393/SUMIF($A:$A,$A3393,$G:$G)*(SUMIF(Summary!$A$247:$A$283,$A3393,Summary!$L$247:$L$283)+SUMIF(Summary!$A$297:$A$333,$A3393,Summary!$L$297:$L$333))-AI3393,0)</f>
        <v>0</v>
      </c>
      <c r="AK3393" s="196">
        <f>IFERROR($G3393/SUMIF($A:$A,$A3393,$G:$G)*SUMIF(Summary!$A$247:$A$283,$A3393,Summary!$Q$247:$Q$283),0)</f>
        <v>0</v>
      </c>
      <c r="AL3393" s="196">
        <f>IFERROR($G3393/SUMIF($A:$A,$A3393,$G:$G)*(SUMIF(Summary!$A$247:$A$283,$A3393,Summary!$L$247:$L$283)+SUMIF(Summary!$A$297:$A$333,$A3393,Summary!$L$297:$L$333))-AK3393,0)</f>
        <v>0</v>
      </c>
      <c r="AM3393" s="198"/>
      <c r="AN3393" s="196">
        <f t="shared" ca="1" si="740"/>
        <v>0</v>
      </c>
      <c r="AO3393" s="196">
        <f t="shared" ca="1" si="741"/>
        <v>0</v>
      </c>
    </row>
    <row r="3394" spans="1:41">
      <c r="A3394" s="189">
        <v>13231</v>
      </c>
      <c r="B3394" s="190">
        <v>2</v>
      </c>
      <c r="C3394" s="191" t="s">
        <v>228</v>
      </c>
      <c r="D3394" s="192">
        <f t="shared" si="728"/>
        <v>0</v>
      </c>
      <c r="E3394" s="192">
        <f t="shared" si="729"/>
        <v>0</v>
      </c>
      <c r="F3394" s="192">
        <f t="shared" si="730"/>
        <v>0</v>
      </c>
      <c r="G3394" s="193">
        <f t="shared" si="731"/>
        <v>0</v>
      </c>
      <c r="H3394" s="194">
        <v>0</v>
      </c>
      <c r="I3394" s="194">
        <v>0</v>
      </c>
      <c r="J3394" s="194">
        <v>0</v>
      </c>
      <c r="K3394" s="193">
        <f t="shared" si="732"/>
        <v>0</v>
      </c>
      <c r="L3394" s="194">
        <v>0</v>
      </c>
      <c r="M3394" s="194">
        <v>0</v>
      </c>
      <c r="N3394" s="194">
        <v>0</v>
      </c>
      <c r="O3394" s="193">
        <f t="shared" si="733"/>
        <v>0</v>
      </c>
      <c r="P3394" s="194">
        <v>0</v>
      </c>
      <c r="Q3394" s="194">
        <v>0</v>
      </c>
      <c r="R3394" s="194">
        <v>0</v>
      </c>
      <c r="S3394" s="193">
        <f t="shared" si="734"/>
        <v>0</v>
      </c>
      <c r="T3394" s="193">
        <f t="shared" si="735"/>
        <v>0</v>
      </c>
      <c r="U3394" s="193">
        <f ca="1">OFFSET('Expenditure Study'!$B$7,'Operations Support'!$C3394,'Operations Support'!$B3394)*$G3394</f>
        <v>0</v>
      </c>
      <c r="V3394" s="199">
        <f ca="1">U3394*'Expenditure Study'!$B$31</f>
        <v>0</v>
      </c>
      <c r="W3394" s="199">
        <f ca="1">IF(A3394=10298,1.51,1)*IF($B3394&lt;3,$D3394*'Expenditure Study'!$B$32*OFFSET('Expenditure Study'!$B$7,'Operations Support'!$C3394,'Operations Support'!$B3394),0)</f>
        <v>0</v>
      </c>
      <c r="X3394" s="200">
        <f ca="1">W3394*'Expenditure Study'!$B$31</f>
        <v>0</v>
      </c>
      <c r="Y3394" s="199">
        <f ca="1">U3394*'Expenditure Study'!$B$31</f>
        <v>0</v>
      </c>
      <c r="Z3394" s="200">
        <f ca="1">W3394*'Expenditure Study'!$B$31</f>
        <v>0</v>
      </c>
      <c r="AA3394" s="195">
        <f t="shared" ca="1" si="736"/>
        <v>0</v>
      </c>
      <c r="AB3394" s="195">
        <f t="shared" ca="1" si="737"/>
        <v>0</v>
      </c>
      <c r="AD3394" s="196">
        <f>IFERROR($G3394/SUMIF($A:$A,$A3394,$G:$G)*SUMIF(Summary!$A$166:$A$242,$A3394,Summary!$P$166:$P$242),0)</f>
        <v>0</v>
      </c>
      <c r="AE3394" s="197">
        <f t="shared" ca="1" si="738"/>
        <v>0</v>
      </c>
      <c r="AF3394" s="196">
        <f>IFERROR(G3394/SUMIF(A:A,A3394,G:G)*SUMIF(Summary!$A$166:$A$242,'Operations Support'!A3394,Summary!$Q$166:$Q$242),0)</f>
        <v>0</v>
      </c>
      <c r="AG3394" s="196">
        <f t="shared" ca="1" si="739"/>
        <v>0</v>
      </c>
      <c r="AI3394" s="196">
        <f>IFERROR($G3394/SUMIF($A:$A,$A3394,$G:$G)*SUMIF(Summary!$A$247:$A$283,$A3394,Summary!$P$247:$P$283),0)</f>
        <v>0</v>
      </c>
      <c r="AJ3394" s="196">
        <f>IFERROR($G3394/SUMIF($A:$A,$A3394,$G:$G)*(SUMIF(Summary!$A$247:$A$283,$A3394,Summary!$L$247:$L$283)+SUMIF(Summary!$A$297:$A$333,$A3394,Summary!$L$297:$L$333))-AI3394,0)</f>
        <v>0</v>
      </c>
      <c r="AK3394" s="196">
        <f>IFERROR($G3394/SUMIF($A:$A,$A3394,$G:$G)*SUMIF(Summary!$A$247:$A$283,$A3394,Summary!$Q$247:$Q$283),0)</f>
        <v>0</v>
      </c>
      <c r="AL3394" s="196">
        <f>IFERROR($G3394/SUMIF($A:$A,$A3394,$G:$G)*(SUMIF(Summary!$A$247:$A$283,$A3394,Summary!$L$247:$L$283)+SUMIF(Summary!$A$297:$A$333,$A3394,Summary!$L$297:$L$333))-AK3394,0)</f>
        <v>0</v>
      </c>
      <c r="AM3394" s="198"/>
      <c r="AN3394" s="196">
        <f t="shared" ca="1" si="740"/>
        <v>0</v>
      </c>
      <c r="AO3394" s="196">
        <f t="shared" ca="1" si="741"/>
        <v>0</v>
      </c>
    </row>
    <row r="3395" spans="1:41">
      <c r="A3395" s="189">
        <v>13231</v>
      </c>
      <c r="B3395" s="190">
        <v>2</v>
      </c>
      <c r="C3395" s="191" t="s">
        <v>229</v>
      </c>
      <c r="D3395" s="192">
        <f t="shared" si="728"/>
        <v>0</v>
      </c>
      <c r="E3395" s="192">
        <f t="shared" si="729"/>
        <v>0</v>
      </c>
      <c r="F3395" s="192">
        <f t="shared" si="730"/>
        <v>0</v>
      </c>
      <c r="G3395" s="193">
        <f t="shared" si="731"/>
        <v>0</v>
      </c>
      <c r="H3395" s="194">
        <v>0</v>
      </c>
      <c r="I3395" s="194">
        <v>0</v>
      </c>
      <c r="J3395" s="194">
        <v>0</v>
      </c>
      <c r="K3395" s="193">
        <f t="shared" si="732"/>
        <v>0</v>
      </c>
      <c r="L3395" s="194">
        <v>0</v>
      </c>
      <c r="M3395" s="194">
        <v>0</v>
      </c>
      <c r="N3395" s="194">
        <v>0</v>
      </c>
      <c r="O3395" s="193">
        <f t="shared" si="733"/>
        <v>0</v>
      </c>
      <c r="P3395" s="194">
        <v>0</v>
      </c>
      <c r="Q3395" s="194">
        <v>0</v>
      </c>
      <c r="R3395" s="194">
        <v>0</v>
      </c>
      <c r="S3395" s="193">
        <f t="shared" si="734"/>
        <v>0</v>
      </c>
      <c r="T3395" s="193">
        <f t="shared" si="735"/>
        <v>0</v>
      </c>
      <c r="U3395" s="193">
        <f ca="1">OFFSET('Expenditure Study'!$B$7,'Operations Support'!$C3395,'Operations Support'!$B3395)*$G3395</f>
        <v>0</v>
      </c>
      <c r="V3395" s="199">
        <f ca="1">U3395*'Expenditure Study'!$B$31</f>
        <v>0</v>
      </c>
      <c r="W3395" s="199">
        <f ca="1">IF(A3395=10298,1.51,1)*IF($B3395&lt;3,$D3395*'Expenditure Study'!$B$32*OFFSET('Expenditure Study'!$B$7,'Operations Support'!$C3395,'Operations Support'!$B3395),0)</f>
        <v>0</v>
      </c>
      <c r="X3395" s="200">
        <f ca="1">W3395*'Expenditure Study'!$B$31</f>
        <v>0</v>
      </c>
      <c r="Y3395" s="199">
        <f ca="1">U3395*'Expenditure Study'!$B$31</f>
        <v>0</v>
      </c>
      <c r="Z3395" s="200">
        <f ca="1">W3395*'Expenditure Study'!$B$31</f>
        <v>0</v>
      </c>
      <c r="AA3395" s="195">
        <f t="shared" ca="1" si="736"/>
        <v>0</v>
      </c>
      <c r="AB3395" s="195">
        <f t="shared" ca="1" si="737"/>
        <v>0</v>
      </c>
      <c r="AD3395" s="196">
        <f>IFERROR($G3395/SUMIF($A:$A,$A3395,$G:$G)*SUMIF(Summary!$A$166:$A$242,$A3395,Summary!$P$166:$P$242),0)</f>
        <v>0</v>
      </c>
      <c r="AE3395" s="197">
        <f t="shared" ca="1" si="738"/>
        <v>0</v>
      </c>
      <c r="AF3395" s="196">
        <f>IFERROR(G3395/SUMIF(A:A,A3395,G:G)*SUMIF(Summary!$A$166:$A$242,'Operations Support'!A3395,Summary!$Q$166:$Q$242),0)</f>
        <v>0</v>
      </c>
      <c r="AG3395" s="196">
        <f t="shared" ca="1" si="739"/>
        <v>0</v>
      </c>
      <c r="AI3395" s="196">
        <f>IFERROR($G3395/SUMIF($A:$A,$A3395,$G:$G)*SUMIF(Summary!$A$247:$A$283,$A3395,Summary!$P$247:$P$283),0)</f>
        <v>0</v>
      </c>
      <c r="AJ3395" s="196">
        <f>IFERROR($G3395/SUMIF($A:$A,$A3395,$G:$G)*(SUMIF(Summary!$A$247:$A$283,$A3395,Summary!$L$247:$L$283)+SUMIF(Summary!$A$297:$A$333,$A3395,Summary!$L$297:$L$333))-AI3395,0)</f>
        <v>0</v>
      </c>
      <c r="AK3395" s="196">
        <f>IFERROR($G3395/SUMIF($A:$A,$A3395,$G:$G)*SUMIF(Summary!$A$247:$A$283,$A3395,Summary!$Q$247:$Q$283),0)</f>
        <v>0</v>
      </c>
      <c r="AL3395" s="196">
        <f>IFERROR($G3395/SUMIF($A:$A,$A3395,$G:$G)*(SUMIF(Summary!$A$247:$A$283,$A3395,Summary!$L$247:$L$283)+SUMIF(Summary!$A$297:$A$333,$A3395,Summary!$L$297:$L$333))-AK3395,0)</f>
        <v>0</v>
      </c>
      <c r="AM3395" s="198"/>
      <c r="AN3395" s="196">
        <f t="shared" ca="1" si="740"/>
        <v>0</v>
      </c>
      <c r="AO3395" s="196">
        <f t="shared" ca="1" si="741"/>
        <v>0</v>
      </c>
    </row>
    <row r="3396" spans="1:41">
      <c r="A3396" s="189">
        <v>13231</v>
      </c>
      <c r="B3396" s="190">
        <v>2</v>
      </c>
      <c r="C3396" s="191" t="s">
        <v>230</v>
      </c>
      <c r="D3396" s="192">
        <f t="shared" si="728"/>
        <v>0</v>
      </c>
      <c r="E3396" s="192">
        <f t="shared" si="729"/>
        <v>0</v>
      </c>
      <c r="F3396" s="192">
        <f t="shared" si="730"/>
        <v>0</v>
      </c>
      <c r="G3396" s="193">
        <f t="shared" si="731"/>
        <v>0</v>
      </c>
      <c r="H3396" s="194">
        <v>0</v>
      </c>
      <c r="I3396" s="194">
        <v>0</v>
      </c>
      <c r="J3396" s="194">
        <v>0</v>
      </c>
      <c r="K3396" s="193">
        <f t="shared" si="732"/>
        <v>0</v>
      </c>
      <c r="L3396" s="194">
        <v>0</v>
      </c>
      <c r="M3396" s="194">
        <v>0</v>
      </c>
      <c r="N3396" s="194">
        <v>0</v>
      </c>
      <c r="O3396" s="193">
        <f t="shared" si="733"/>
        <v>0</v>
      </c>
      <c r="P3396" s="194">
        <v>0</v>
      </c>
      <c r="Q3396" s="194">
        <v>0</v>
      </c>
      <c r="R3396" s="194">
        <v>0</v>
      </c>
      <c r="S3396" s="193">
        <f t="shared" si="734"/>
        <v>0</v>
      </c>
      <c r="T3396" s="193">
        <f t="shared" si="735"/>
        <v>0</v>
      </c>
      <c r="U3396" s="193">
        <f ca="1">OFFSET('Expenditure Study'!$B$7,'Operations Support'!$C3396,'Operations Support'!$B3396)*$G3396</f>
        <v>0</v>
      </c>
      <c r="V3396" s="199">
        <f ca="1">U3396*'Expenditure Study'!$B$31</f>
        <v>0</v>
      </c>
      <c r="W3396" s="199">
        <f ca="1">IF(A3396=10298,1.51,1)*IF($B3396&lt;3,$D3396*'Expenditure Study'!$B$32*OFFSET('Expenditure Study'!$B$7,'Operations Support'!$C3396,'Operations Support'!$B3396),0)</f>
        <v>0</v>
      </c>
      <c r="X3396" s="200">
        <f ca="1">W3396*'Expenditure Study'!$B$31</f>
        <v>0</v>
      </c>
      <c r="Y3396" s="199">
        <f ca="1">U3396*'Expenditure Study'!$B$31</f>
        <v>0</v>
      </c>
      <c r="Z3396" s="200">
        <f ca="1">W3396*'Expenditure Study'!$B$31</f>
        <v>0</v>
      </c>
      <c r="AA3396" s="195">
        <f t="shared" ca="1" si="736"/>
        <v>0</v>
      </c>
      <c r="AB3396" s="195">
        <f t="shared" ca="1" si="737"/>
        <v>0</v>
      </c>
      <c r="AD3396" s="196">
        <f>IFERROR($G3396/SUMIF($A:$A,$A3396,$G:$G)*SUMIF(Summary!$A$166:$A$242,$A3396,Summary!$P$166:$P$242),0)</f>
        <v>0</v>
      </c>
      <c r="AE3396" s="197">
        <f t="shared" ca="1" si="738"/>
        <v>0</v>
      </c>
      <c r="AF3396" s="196">
        <f>IFERROR(G3396/SUMIF(A:A,A3396,G:G)*SUMIF(Summary!$A$166:$A$242,'Operations Support'!A3396,Summary!$Q$166:$Q$242),0)</f>
        <v>0</v>
      </c>
      <c r="AG3396" s="196">
        <f t="shared" ca="1" si="739"/>
        <v>0</v>
      </c>
      <c r="AI3396" s="196">
        <f>IFERROR($G3396/SUMIF($A:$A,$A3396,$G:$G)*SUMIF(Summary!$A$247:$A$283,$A3396,Summary!$P$247:$P$283),0)</f>
        <v>0</v>
      </c>
      <c r="AJ3396" s="196">
        <f>IFERROR($G3396/SUMIF($A:$A,$A3396,$G:$G)*(SUMIF(Summary!$A$247:$A$283,$A3396,Summary!$L$247:$L$283)+SUMIF(Summary!$A$297:$A$333,$A3396,Summary!$L$297:$L$333))-AI3396,0)</f>
        <v>0</v>
      </c>
      <c r="AK3396" s="196">
        <f>IFERROR($G3396/SUMIF($A:$A,$A3396,$G:$G)*SUMIF(Summary!$A$247:$A$283,$A3396,Summary!$Q$247:$Q$283),0)</f>
        <v>0</v>
      </c>
      <c r="AL3396" s="196">
        <f>IFERROR($G3396/SUMIF($A:$A,$A3396,$G:$G)*(SUMIF(Summary!$A$247:$A$283,$A3396,Summary!$L$247:$L$283)+SUMIF(Summary!$A$297:$A$333,$A3396,Summary!$L$297:$L$333))-AK3396,0)</f>
        <v>0</v>
      </c>
      <c r="AM3396" s="198"/>
      <c r="AN3396" s="196">
        <f t="shared" ca="1" si="740"/>
        <v>0</v>
      </c>
      <c r="AO3396" s="196">
        <f t="shared" ca="1" si="741"/>
        <v>0</v>
      </c>
    </row>
    <row r="3397" spans="1:41">
      <c r="A3397" s="189">
        <v>13231</v>
      </c>
      <c r="B3397" s="190">
        <v>2</v>
      </c>
      <c r="C3397" s="191" t="s">
        <v>231</v>
      </c>
      <c r="D3397" s="192">
        <f t="shared" ref="D3397:D3460" si="742">H3397+L3397+P3397</f>
        <v>0</v>
      </c>
      <c r="E3397" s="192">
        <f t="shared" ref="E3397:E3460" si="743">I3397+M3397+Q3397</f>
        <v>0</v>
      </c>
      <c r="F3397" s="192">
        <f t="shared" ref="F3397:F3460" si="744">J3397+N3397+R3397</f>
        <v>0</v>
      </c>
      <c r="G3397" s="193">
        <f t="shared" ref="G3397:G3460" si="745">(SUM(D3397:E3397)-F3397)*IF(A3397=10298,1.51,1)</f>
        <v>0</v>
      </c>
      <c r="H3397" s="194">
        <v>0</v>
      </c>
      <c r="I3397" s="194">
        <v>0</v>
      </c>
      <c r="J3397" s="194">
        <v>0</v>
      </c>
      <c r="K3397" s="193">
        <f t="shared" ref="K3397:K3460" si="746">SUM(H3397:I3397)-J3397</f>
        <v>0</v>
      </c>
      <c r="L3397" s="194">
        <v>0</v>
      </c>
      <c r="M3397" s="194">
        <v>0</v>
      </c>
      <c r="N3397" s="194">
        <v>0</v>
      </c>
      <c r="O3397" s="193">
        <f t="shared" ref="O3397:O3460" si="747">SUM(L3397:M3397)-N3397</f>
        <v>0</v>
      </c>
      <c r="P3397" s="194">
        <v>0</v>
      </c>
      <c r="Q3397" s="194">
        <v>0</v>
      </c>
      <c r="R3397" s="194">
        <v>0</v>
      </c>
      <c r="S3397" s="193">
        <f t="shared" ref="S3397:S3460" si="748">SUM(P3397:Q3397)-R3397</f>
        <v>0</v>
      </c>
      <c r="T3397" s="193">
        <f t="shared" ref="T3397:T3460" si="749">IF(OR(B3397=1,B3397=2),G3397/30,IF(OR(B3397=3,B3397=5),G3397/24,IF(B3397=4,G3397/18,0)))</f>
        <v>0</v>
      </c>
      <c r="U3397" s="193">
        <f ca="1">OFFSET('Expenditure Study'!$B$7,'Operations Support'!$C3397,'Operations Support'!$B3397)*$G3397</f>
        <v>0</v>
      </c>
      <c r="V3397" s="199">
        <f ca="1">U3397*'Expenditure Study'!$B$31</f>
        <v>0</v>
      </c>
      <c r="W3397" s="199">
        <f ca="1">IF(A3397=10298,1.51,1)*IF($B3397&lt;3,$D3397*'Expenditure Study'!$B$32*OFFSET('Expenditure Study'!$B$7,'Operations Support'!$C3397,'Operations Support'!$B3397),0)</f>
        <v>0</v>
      </c>
      <c r="X3397" s="200">
        <f ca="1">W3397*'Expenditure Study'!$B$31</f>
        <v>0</v>
      </c>
      <c r="Y3397" s="199">
        <f ca="1">U3397*'Expenditure Study'!$B$31</f>
        <v>0</v>
      </c>
      <c r="Z3397" s="200">
        <f ca="1">W3397*'Expenditure Study'!$B$31</f>
        <v>0</v>
      </c>
      <c r="AA3397" s="195">
        <f t="shared" ref="AA3397:AA3460" ca="1" si="750">V3397+X3397</f>
        <v>0</v>
      </c>
      <c r="AB3397" s="195">
        <f t="shared" ref="AB3397:AB3460" ca="1" si="751">Y3397+Z3397</f>
        <v>0</v>
      </c>
      <c r="AD3397" s="196">
        <f>IFERROR($G3397/SUMIF($A:$A,$A3397,$G:$G)*SUMIF(Summary!$A$166:$A$242,$A3397,Summary!$P$166:$P$242),0)</f>
        <v>0</v>
      </c>
      <c r="AE3397" s="197">
        <f t="shared" ca="1" si="738"/>
        <v>0</v>
      </c>
      <c r="AF3397" s="196">
        <f>IFERROR(G3397/SUMIF(A:A,A3397,G:G)*SUMIF(Summary!$A$166:$A$242,'Operations Support'!A3397,Summary!$Q$166:$Q$242),0)</f>
        <v>0</v>
      </c>
      <c r="AG3397" s="196">
        <f t="shared" ca="1" si="739"/>
        <v>0</v>
      </c>
      <c r="AI3397" s="196">
        <f>IFERROR($G3397/SUMIF($A:$A,$A3397,$G:$G)*SUMIF(Summary!$A$247:$A$283,$A3397,Summary!$P$247:$P$283),0)</f>
        <v>0</v>
      </c>
      <c r="AJ3397" s="196">
        <f>IFERROR($G3397/SUMIF($A:$A,$A3397,$G:$G)*(SUMIF(Summary!$A$247:$A$283,$A3397,Summary!$L$247:$L$283)+SUMIF(Summary!$A$297:$A$333,$A3397,Summary!$L$297:$L$333))-AI3397,0)</f>
        <v>0</v>
      </c>
      <c r="AK3397" s="196">
        <f>IFERROR($G3397/SUMIF($A:$A,$A3397,$G:$G)*SUMIF(Summary!$A$247:$A$283,$A3397,Summary!$Q$247:$Q$283),0)</f>
        <v>0</v>
      </c>
      <c r="AL3397" s="196">
        <f>IFERROR($G3397/SUMIF($A:$A,$A3397,$G:$G)*(SUMIF(Summary!$A$247:$A$283,$A3397,Summary!$L$247:$L$283)+SUMIF(Summary!$A$297:$A$333,$A3397,Summary!$L$297:$L$333))-AK3397,0)</f>
        <v>0</v>
      </c>
      <c r="AM3397" s="198"/>
      <c r="AN3397" s="196">
        <f t="shared" ca="1" si="740"/>
        <v>0</v>
      </c>
      <c r="AO3397" s="196">
        <f t="shared" ca="1" si="741"/>
        <v>0</v>
      </c>
    </row>
    <row r="3398" spans="1:41">
      <c r="A3398" s="189">
        <v>13231</v>
      </c>
      <c r="B3398" s="190">
        <v>2</v>
      </c>
      <c r="C3398" s="191" t="s">
        <v>232</v>
      </c>
      <c r="D3398" s="192">
        <f t="shared" si="742"/>
        <v>0</v>
      </c>
      <c r="E3398" s="192">
        <f t="shared" si="743"/>
        <v>0</v>
      </c>
      <c r="F3398" s="192">
        <f t="shared" si="744"/>
        <v>0</v>
      </c>
      <c r="G3398" s="193">
        <f t="shared" si="745"/>
        <v>0</v>
      </c>
      <c r="H3398" s="194">
        <v>0</v>
      </c>
      <c r="I3398" s="194">
        <v>0</v>
      </c>
      <c r="J3398" s="194">
        <v>0</v>
      </c>
      <c r="K3398" s="193">
        <f t="shared" si="746"/>
        <v>0</v>
      </c>
      <c r="L3398" s="194">
        <v>0</v>
      </c>
      <c r="M3398" s="194">
        <v>0</v>
      </c>
      <c r="N3398" s="194">
        <v>0</v>
      </c>
      <c r="O3398" s="193">
        <f t="shared" si="747"/>
        <v>0</v>
      </c>
      <c r="P3398" s="194">
        <v>0</v>
      </c>
      <c r="Q3398" s="194">
        <v>0</v>
      </c>
      <c r="R3398" s="194">
        <v>0</v>
      </c>
      <c r="S3398" s="193">
        <f t="shared" si="748"/>
        <v>0</v>
      </c>
      <c r="T3398" s="193">
        <f t="shared" si="749"/>
        <v>0</v>
      </c>
      <c r="U3398" s="193">
        <f ca="1">OFFSET('Expenditure Study'!$B$7,'Operations Support'!$C3398,'Operations Support'!$B3398)*$G3398</f>
        <v>0</v>
      </c>
      <c r="V3398" s="199">
        <f ca="1">U3398*'Expenditure Study'!$B$31</f>
        <v>0</v>
      </c>
      <c r="W3398" s="199">
        <f ca="1">IF(A3398=10298,1.51,1)*IF($B3398&lt;3,$D3398*'Expenditure Study'!$B$32*OFFSET('Expenditure Study'!$B$7,'Operations Support'!$C3398,'Operations Support'!$B3398),0)</f>
        <v>0</v>
      </c>
      <c r="X3398" s="200">
        <f ca="1">W3398*'Expenditure Study'!$B$31</f>
        <v>0</v>
      </c>
      <c r="Y3398" s="199">
        <f ca="1">U3398*'Expenditure Study'!$B$31</f>
        <v>0</v>
      </c>
      <c r="Z3398" s="200">
        <f ca="1">W3398*'Expenditure Study'!$B$31</f>
        <v>0</v>
      </c>
      <c r="AA3398" s="195">
        <f t="shared" ca="1" si="750"/>
        <v>0</v>
      </c>
      <c r="AB3398" s="195">
        <f t="shared" ca="1" si="751"/>
        <v>0</v>
      </c>
      <c r="AD3398" s="196">
        <f>IFERROR($G3398/SUMIF($A:$A,$A3398,$G:$G)*SUMIF(Summary!$A$166:$A$242,$A3398,Summary!$P$166:$P$242),0)</f>
        <v>0</v>
      </c>
      <c r="AE3398" s="197">
        <f t="shared" ref="AE3398:AE3461" ca="1" si="752">V3398+X3398-AD3398</f>
        <v>0</v>
      </c>
      <c r="AF3398" s="196">
        <f>IFERROR(G3398/SUMIF(A:A,A3398,G:G)*SUMIF(Summary!$A$166:$A$242,'Operations Support'!A3398,Summary!$Q$166:$Q$242),0)</f>
        <v>0</v>
      </c>
      <c r="AG3398" s="196">
        <f t="shared" ref="AG3398:AG3461" ca="1" si="753">Y3398+Z3398-AF3398</f>
        <v>0</v>
      </c>
      <c r="AI3398" s="196">
        <f>IFERROR($G3398/SUMIF($A:$A,$A3398,$G:$G)*SUMIF(Summary!$A$247:$A$283,$A3398,Summary!$P$247:$P$283),0)</f>
        <v>0</v>
      </c>
      <c r="AJ3398" s="196">
        <f>IFERROR($G3398/SUMIF($A:$A,$A3398,$G:$G)*(SUMIF(Summary!$A$247:$A$283,$A3398,Summary!$L$247:$L$283)+SUMIF(Summary!$A$297:$A$333,$A3398,Summary!$L$297:$L$333))-AI3398,0)</f>
        <v>0</v>
      </c>
      <c r="AK3398" s="196">
        <f>IFERROR($G3398/SUMIF($A:$A,$A3398,$G:$G)*SUMIF(Summary!$A$247:$A$283,$A3398,Summary!$Q$247:$Q$283),0)</f>
        <v>0</v>
      </c>
      <c r="AL3398" s="196">
        <f>IFERROR($G3398/SUMIF($A:$A,$A3398,$G:$G)*(SUMIF(Summary!$A$247:$A$283,$A3398,Summary!$L$247:$L$283)+SUMIF(Summary!$A$297:$A$333,$A3398,Summary!$L$297:$L$333))-AK3398,0)</f>
        <v>0</v>
      </c>
      <c r="AM3398" s="198"/>
      <c r="AN3398" s="196">
        <f t="shared" ref="AN3398:AN3461" ca="1" si="754">AE3398+AJ3398</f>
        <v>0</v>
      </c>
      <c r="AO3398" s="196">
        <f t="shared" ref="AO3398:AO3461" ca="1" si="755">AG3398+AL3398</f>
        <v>0</v>
      </c>
    </row>
    <row r="3399" spans="1:41">
      <c r="A3399" s="189">
        <v>13231</v>
      </c>
      <c r="B3399" s="190">
        <v>2</v>
      </c>
      <c r="C3399" s="191" t="s">
        <v>233</v>
      </c>
      <c r="D3399" s="192">
        <f t="shared" si="742"/>
        <v>685</v>
      </c>
      <c r="E3399" s="192">
        <f t="shared" si="743"/>
        <v>468</v>
      </c>
      <c r="F3399" s="192">
        <f t="shared" si="744"/>
        <v>0</v>
      </c>
      <c r="G3399" s="193">
        <f t="shared" si="745"/>
        <v>1153</v>
      </c>
      <c r="H3399" s="194">
        <v>228</v>
      </c>
      <c r="I3399" s="194">
        <v>174</v>
      </c>
      <c r="J3399" s="194">
        <v>0</v>
      </c>
      <c r="K3399" s="193">
        <f t="shared" si="746"/>
        <v>402</v>
      </c>
      <c r="L3399" s="194">
        <v>307</v>
      </c>
      <c r="M3399" s="194">
        <v>159</v>
      </c>
      <c r="N3399" s="194">
        <v>0</v>
      </c>
      <c r="O3399" s="193">
        <f t="shared" si="747"/>
        <v>466</v>
      </c>
      <c r="P3399" s="194">
        <v>150</v>
      </c>
      <c r="Q3399" s="194">
        <v>135</v>
      </c>
      <c r="R3399" s="194">
        <v>0</v>
      </c>
      <c r="S3399" s="193">
        <f t="shared" si="748"/>
        <v>285</v>
      </c>
      <c r="T3399" s="193">
        <f t="shared" si="749"/>
        <v>38.43333333333333</v>
      </c>
      <c r="U3399" s="193">
        <f ca="1">OFFSET('Expenditure Study'!$B$7,'Operations Support'!$C3399,'Operations Support'!$B3399)*$G3399</f>
        <v>1856.3300000000002</v>
      </c>
      <c r="V3399" s="199">
        <f ca="1">U3399*'Expenditure Study'!$B$31</f>
        <v>109677.88101446402</v>
      </c>
      <c r="W3399" s="199">
        <f ca="1">IF(A3399=10298,1.51,1)*IF($B3399&lt;3,$D3399*'Expenditure Study'!$B$32*OFFSET('Expenditure Study'!$B$7,'Operations Support'!$C3399,'Operations Support'!$B3399),0)</f>
        <v>110.28500000000001</v>
      </c>
      <c r="X3399" s="200">
        <f ca="1">W3399*'Expenditure Study'!$B$31</f>
        <v>6515.9885945280012</v>
      </c>
      <c r="Y3399" s="199">
        <f ca="1">U3399*'Expenditure Study'!$B$31</f>
        <v>109677.88101446402</v>
      </c>
      <c r="Z3399" s="200">
        <f ca="1">W3399*'Expenditure Study'!$B$31</f>
        <v>6515.9885945280012</v>
      </c>
      <c r="AA3399" s="195">
        <f t="shared" ca="1" si="750"/>
        <v>116193.86960899201</v>
      </c>
      <c r="AB3399" s="195">
        <f t="shared" ca="1" si="751"/>
        <v>116193.86960899201</v>
      </c>
      <c r="AD3399" s="196">
        <f>IFERROR($G3399/SUMIF($A:$A,$A3399,$G:$G)*SUMIF(Summary!$A$166:$A$242,$A3399,Summary!$P$166:$P$242),0)</f>
        <v>43047.977256828104</v>
      </c>
      <c r="AE3399" s="197">
        <f t="shared" ca="1" si="752"/>
        <v>73145.892352163908</v>
      </c>
      <c r="AF3399" s="196">
        <f>IFERROR(G3399/SUMIF(A:A,A3399,G:G)*SUMIF(Summary!$A$166:$A$242,'Operations Support'!A3399,Summary!$Q$166:$Q$242),0)</f>
        <v>43135.73064365959</v>
      </c>
      <c r="AG3399" s="196">
        <f t="shared" ca="1" si="753"/>
        <v>73058.138965332415</v>
      </c>
      <c r="AI3399" s="196">
        <f>IFERROR($G3399/SUMIF($A:$A,$A3399,$G:$G)*SUMIF(Summary!$A$247:$A$283,$A3399,Summary!$P$247:$P$283),0)</f>
        <v>7850.8768013476401</v>
      </c>
      <c r="AJ3399" s="196">
        <f>IFERROR($G3399/SUMIF($A:$A,$A3399,$G:$G)*(SUMIF(Summary!$A$247:$A$283,$A3399,Summary!$L$247:$L$283)+SUMIF(Summary!$A$297:$A$333,$A3399,Summary!$L$297:$L$333))-AI3399,0)</f>
        <v>33068.426563407222</v>
      </c>
      <c r="AK3399" s="196">
        <f>IFERROR($G3399/SUMIF($A:$A,$A3399,$G:$G)*SUMIF(Summary!$A$247:$A$283,$A3399,Summary!$Q$247:$Q$283),0)</f>
        <v>7866.8808292443437</v>
      </c>
      <c r="AL3399" s="196">
        <f>IFERROR($G3399/SUMIF($A:$A,$A3399,$G:$G)*(SUMIF(Summary!$A$247:$A$283,$A3399,Summary!$L$247:$L$283)+SUMIF(Summary!$A$297:$A$333,$A3399,Summary!$L$297:$L$333))-AK3399,0)</f>
        <v>33052.422535510515</v>
      </c>
      <c r="AM3399" s="198"/>
      <c r="AN3399" s="196">
        <f t="shared" ca="1" si="754"/>
        <v>106214.31891557113</v>
      </c>
      <c r="AO3399" s="196">
        <f t="shared" ca="1" si="755"/>
        <v>106110.56150084293</v>
      </c>
    </row>
    <row r="3400" spans="1:41" s="201" customFormat="1">
      <c r="A3400" s="189">
        <v>13231</v>
      </c>
      <c r="B3400" s="190">
        <v>2</v>
      </c>
      <c r="C3400" s="191" t="s">
        <v>234</v>
      </c>
      <c r="D3400" s="192">
        <f t="shared" si="742"/>
        <v>0</v>
      </c>
      <c r="E3400" s="192">
        <f t="shared" si="743"/>
        <v>0</v>
      </c>
      <c r="F3400" s="192">
        <f t="shared" si="744"/>
        <v>0</v>
      </c>
      <c r="G3400" s="193">
        <f t="shared" si="745"/>
        <v>0</v>
      </c>
      <c r="H3400" s="194">
        <v>0</v>
      </c>
      <c r="I3400" s="194">
        <v>0</v>
      </c>
      <c r="J3400" s="194">
        <v>0</v>
      </c>
      <c r="K3400" s="193">
        <f t="shared" si="746"/>
        <v>0</v>
      </c>
      <c r="L3400" s="194">
        <v>0</v>
      </c>
      <c r="M3400" s="194">
        <v>0</v>
      </c>
      <c r="N3400" s="194">
        <v>0</v>
      </c>
      <c r="O3400" s="193">
        <f t="shared" si="747"/>
        <v>0</v>
      </c>
      <c r="P3400" s="194">
        <v>0</v>
      </c>
      <c r="Q3400" s="194">
        <v>0</v>
      </c>
      <c r="R3400" s="194">
        <v>0</v>
      </c>
      <c r="S3400" s="193">
        <f t="shared" si="748"/>
        <v>0</v>
      </c>
      <c r="T3400" s="193">
        <f t="shared" si="749"/>
        <v>0</v>
      </c>
      <c r="U3400" s="193">
        <f ca="1">OFFSET('Expenditure Study'!$B$7,'Operations Support'!$C3400,'Operations Support'!$B3400)*$G3400</f>
        <v>0</v>
      </c>
      <c r="V3400" s="199">
        <f ca="1">U3400*'Expenditure Study'!$B$31</f>
        <v>0</v>
      </c>
      <c r="W3400" s="199">
        <f ca="1">IF(A3400=10298,1.51,1)*IF($B3400&lt;3,$D3400*'Expenditure Study'!$B$32*OFFSET('Expenditure Study'!$B$7,'Operations Support'!$C3400,'Operations Support'!$B3400),0)</f>
        <v>0</v>
      </c>
      <c r="X3400" s="200">
        <f ca="1">W3400*'Expenditure Study'!$B$31</f>
        <v>0</v>
      </c>
      <c r="Y3400" s="199">
        <f ca="1">U3400*'Expenditure Study'!$B$31</f>
        <v>0</v>
      </c>
      <c r="Z3400" s="200">
        <f ca="1">W3400*'Expenditure Study'!$B$31</f>
        <v>0</v>
      </c>
      <c r="AA3400" s="195">
        <f t="shared" ca="1" si="750"/>
        <v>0</v>
      </c>
      <c r="AB3400" s="195">
        <f t="shared" ca="1" si="751"/>
        <v>0</v>
      </c>
      <c r="AD3400" s="196">
        <f>IFERROR($G3400/SUMIF($A:$A,$A3400,$G:$G)*SUMIF(Summary!$A$166:$A$242,$A3400,Summary!$P$166:$P$242),0)</f>
        <v>0</v>
      </c>
      <c r="AE3400" s="197">
        <f t="shared" ca="1" si="752"/>
        <v>0</v>
      </c>
      <c r="AF3400" s="196">
        <f>IFERROR(G3400/SUMIF(A:A,A3400,G:G)*SUMIF(Summary!$A$166:$A$242,'Operations Support'!A3400,Summary!$Q$166:$Q$242),0)</f>
        <v>0</v>
      </c>
      <c r="AG3400" s="196">
        <f t="shared" ca="1" si="753"/>
        <v>0</v>
      </c>
      <c r="AH3400" s="180"/>
      <c r="AI3400" s="196">
        <f>IFERROR($G3400/SUMIF($A:$A,$A3400,$G:$G)*SUMIF(Summary!$A$247:$A$283,$A3400,Summary!$P$247:$P$283),0)</f>
        <v>0</v>
      </c>
      <c r="AJ3400" s="196">
        <f>IFERROR($G3400/SUMIF($A:$A,$A3400,$G:$G)*(SUMIF(Summary!$A$247:$A$283,$A3400,Summary!$L$247:$L$283)+SUMIF(Summary!$A$297:$A$333,$A3400,Summary!$L$297:$L$333))-AI3400,0)</f>
        <v>0</v>
      </c>
      <c r="AK3400" s="196">
        <f>IFERROR($G3400/SUMIF($A:$A,$A3400,$G:$G)*SUMIF(Summary!$A$247:$A$283,$A3400,Summary!$Q$247:$Q$283),0)</f>
        <v>0</v>
      </c>
      <c r="AL3400" s="196">
        <f>IFERROR($G3400/SUMIF($A:$A,$A3400,$G:$G)*(SUMIF(Summary!$A$247:$A$283,$A3400,Summary!$L$247:$L$283)+SUMIF(Summary!$A$297:$A$333,$A3400,Summary!$L$297:$L$333))-AK3400,0)</f>
        <v>0</v>
      </c>
      <c r="AM3400" s="198"/>
      <c r="AN3400" s="196">
        <f t="shared" ca="1" si="754"/>
        <v>0</v>
      </c>
      <c r="AO3400" s="196">
        <f t="shared" ca="1" si="755"/>
        <v>0</v>
      </c>
    </row>
    <row r="3401" spans="1:41">
      <c r="A3401" s="189">
        <v>13231</v>
      </c>
      <c r="B3401" s="190">
        <v>2</v>
      </c>
      <c r="C3401" s="191" t="s">
        <v>235</v>
      </c>
      <c r="D3401" s="192">
        <f t="shared" si="742"/>
        <v>7950</v>
      </c>
      <c r="E3401" s="192">
        <f t="shared" si="743"/>
        <v>2928</v>
      </c>
      <c r="F3401" s="192">
        <f t="shared" si="744"/>
        <v>0</v>
      </c>
      <c r="G3401" s="193">
        <f t="shared" si="745"/>
        <v>10878</v>
      </c>
      <c r="H3401" s="194">
        <v>3237</v>
      </c>
      <c r="I3401" s="194">
        <v>1323</v>
      </c>
      <c r="J3401" s="194">
        <v>0</v>
      </c>
      <c r="K3401" s="193">
        <f t="shared" si="746"/>
        <v>4560</v>
      </c>
      <c r="L3401" s="194">
        <v>3942</v>
      </c>
      <c r="M3401" s="194">
        <v>936</v>
      </c>
      <c r="N3401" s="194">
        <v>0</v>
      </c>
      <c r="O3401" s="193">
        <f t="shared" si="747"/>
        <v>4878</v>
      </c>
      <c r="P3401" s="194">
        <v>771</v>
      </c>
      <c r="Q3401" s="194">
        <v>669</v>
      </c>
      <c r="R3401" s="194">
        <v>0</v>
      </c>
      <c r="S3401" s="193">
        <f t="shared" si="748"/>
        <v>1440</v>
      </c>
      <c r="T3401" s="193">
        <f t="shared" si="749"/>
        <v>362.6</v>
      </c>
      <c r="U3401" s="193">
        <f ca="1">OFFSET('Expenditure Study'!$B$7,'Operations Support'!$C3401,'Operations Support'!$B3401)*$G3401</f>
        <v>20341.86</v>
      </c>
      <c r="V3401" s="199">
        <f ca="1">U3401*'Expenditure Study'!$B$31</f>
        <v>1201861.7921882879</v>
      </c>
      <c r="W3401" s="199">
        <f ca="1">IF(A3401=10298,1.51,1)*IF($B3401&lt;3,$D3401*'Expenditure Study'!$B$32*OFFSET('Expenditure Study'!$B$7,'Operations Support'!$C3401,'Operations Support'!$B3401),0)</f>
        <v>1486.65</v>
      </c>
      <c r="X3401" s="200">
        <f ca="1">W3401*'Expenditure Study'!$B$31</f>
        <v>87836.010736320008</v>
      </c>
      <c r="Y3401" s="199">
        <f ca="1">U3401*'Expenditure Study'!$B$31</f>
        <v>1201861.7921882879</v>
      </c>
      <c r="Z3401" s="200">
        <f ca="1">W3401*'Expenditure Study'!$B$31</f>
        <v>87836.010736320008</v>
      </c>
      <c r="AA3401" s="195">
        <f t="shared" ca="1" si="750"/>
        <v>1289697.8029246079</v>
      </c>
      <c r="AB3401" s="195">
        <f t="shared" ca="1" si="751"/>
        <v>1289697.8029246079</v>
      </c>
      <c r="AD3401" s="196">
        <f>IFERROR($G3401/SUMIF($A:$A,$A3401,$G:$G)*SUMIF(Summary!$A$166:$A$242,$A3401,Summary!$P$166:$P$242),0)</f>
        <v>406136.94414551271</v>
      </c>
      <c r="AE3401" s="197">
        <f t="shared" ca="1" si="752"/>
        <v>883560.85877909511</v>
      </c>
      <c r="AF3401" s="196">
        <f>IFERROR(G3401/SUMIF(A:A,A3401,G:G)*SUMIF(Summary!$A$166:$A$242,'Operations Support'!A3401,Summary!$Q$166:$Q$242),0)</f>
        <v>406964.85510991246</v>
      </c>
      <c r="AG3401" s="196">
        <f t="shared" ca="1" si="753"/>
        <v>882732.94781469542</v>
      </c>
      <c r="AI3401" s="196">
        <f>IFERROR($G3401/SUMIF($A:$A,$A3401,$G:$G)*SUMIF(Summary!$A$247:$A$283,$A3401,Summary!$P$247:$P$283),0)</f>
        <v>74069.243577675326</v>
      </c>
      <c r="AJ3401" s="196">
        <f>IFERROR($G3401/SUMIF($A:$A,$A3401,$G:$G)*(SUMIF(Summary!$A$247:$A$283,$A3401,Summary!$L$247:$L$283)+SUMIF(Summary!$A$297:$A$333,$A3401,Summary!$L$297:$L$333))-AI3401,0)</f>
        <v>311984.68703967374</v>
      </c>
      <c r="AK3401" s="196">
        <f>IFERROR($G3401/SUMIF($A:$A,$A3401,$G:$G)*SUMIF(Summary!$A$247:$A$283,$A3401,Summary!$Q$247:$Q$283),0)</f>
        <v>74220.233877293998</v>
      </c>
      <c r="AL3401" s="196">
        <f>IFERROR($G3401/SUMIF($A:$A,$A3401,$G:$G)*(SUMIF(Summary!$A$247:$A$283,$A3401,Summary!$L$247:$L$283)+SUMIF(Summary!$A$297:$A$333,$A3401,Summary!$L$297:$L$333))-AK3401,0)</f>
        <v>311833.69674005505</v>
      </c>
      <c r="AM3401" s="198"/>
      <c r="AN3401" s="196">
        <f t="shared" ca="1" si="754"/>
        <v>1195545.5458187689</v>
      </c>
      <c r="AO3401" s="196">
        <f t="shared" ca="1" si="755"/>
        <v>1194566.6445547505</v>
      </c>
    </row>
    <row r="3402" spans="1:41">
      <c r="A3402" s="189">
        <v>13231</v>
      </c>
      <c r="B3402" s="190">
        <v>2</v>
      </c>
      <c r="C3402" s="191" t="s">
        <v>236</v>
      </c>
      <c r="D3402" s="192">
        <f t="shared" si="742"/>
        <v>0</v>
      </c>
      <c r="E3402" s="192">
        <f t="shared" si="743"/>
        <v>0</v>
      </c>
      <c r="F3402" s="192">
        <f t="shared" si="744"/>
        <v>0</v>
      </c>
      <c r="G3402" s="193">
        <f t="shared" si="745"/>
        <v>0</v>
      </c>
      <c r="H3402" s="194">
        <v>0</v>
      </c>
      <c r="I3402" s="194">
        <v>0</v>
      </c>
      <c r="J3402" s="194">
        <v>0</v>
      </c>
      <c r="K3402" s="193">
        <f t="shared" si="746"/>
        <v>0</v>
      </c>
      <c r="L3402" s="194">
        <v>0</v>
      </c>
      <c r="M3402" s="194">
        <v>0</v>
      </c>
      <c r="N3402" s="194">
        <v>0</v>
      </c>
      <c r="O3402" s="193">
        <f t="shared" si="747"/>
        <v>0</v>
      </c>
      <c r="P3402" s="194">
        <v>0</v>
      </c>
      <c r="Q3402" s="194">
        <v>0</v>
      </c>
      <c r="R3402" s="194">
        <v>0</v>
      </c>
      <c r="S3402" s="193">
        <f t="shared" si="748"/>
        <v>0</v>
      </c>
      <c r="T3402" s="193">
        <f t="shared" si="749"/>
        <v>0</v>
      </c>
      <c r="U3402" s="193">
        <f ca="1">OFFSET('Expenditure Study'!$B$7,'Operations Support'!$C3402,'Operations Support'!$B3402)*$G3402</f>
        <v>0</v>
      </c>
      <c r="V3402" s="199">
        <f ca="1">U3402*'Expenditure Study'!$B$31</f>
        <v>0</v>
      </c>
      <c r="W3402" s="199">
        <f ca="1">IF(A3402=10298,1.51,1)*IF($B3402&lt;3,$D3402*'Expenditure Study'!$B$32*OFFSET('Expenditure Study'!$B$7,'Operations Support'!$C3402,'Operations Support'!$B3402),0)</f>
        <v>0</v>
      </c>
      <c r="X3402" s="200">
        <f ca="1">W3402*'Expenditure Study'!$B$31</f>
        <v>0</v>
      </c>
      <c r="Y3402" s="199">
        <f ca="1">U3402*'Expenditure Study'!$B$31</f>
        <v>0</v>
      </c>
      <c r="Z3402" s="200">
        <f ca="1">W3402*'Expenditure Study'!$B$31</f>
        <v>0</v>
      </c>
      <c r="AA3402" s="195">
        <f t="shared" ca="1" si="750"/>
        <v>0</v>
      </c>
      <c r="AB3402" s="195">
        <f t="shared" ca="1" si="751"/>
        <v>0</v>
      </c>
      <c r="AD3402" s="196">
        <f>IFERROR($G3402/SUMIF($A:$A,$A3402,$G:$G)*SUMIF(Summary!$A$166:$A$242,$A3402,Summary!$P$166:$P$242),0)</f>
        <v>0</v>
      </c>
      <c r="AE3402" s="197">
        <f t="shared" ca="1" si="752"/>
        <v>0</v>
      </c>
      <c r="AF3402" s="196">
        <f>IFERROR(G3402/SUMIF(A:A,A3402,G:G)*SUMIF(Summary!$A$166:$A$242,'Operations Support'!A3402,Summary!$Q$166:$Q$242),0)</f>
        <v>0</v>
      </c>
      <c r="AG3402" s="196">
        <f t="shared" ca="1" si="753"/>
        <v>0</v>
      </c>
      <c r="AI3402" s="196">
        <f>IFERROR($G3402/SUMIF($A:$A,$A3402,$G:$G)*SUMIF(Summary!$A$247:$A$283,$A3402,Summary!$P$247:$P$283),0)</f>
        <v>0</v>
      </c>
      <c r="AJ3402" s="196">
        <f>IFERROR($G3402/SUMIF($A:$A,$A3402,$G:$G)*(SUMIF(Summary!$A$247:$A$283,$A3402,Summary!$L$247:$L$283)+SUMIF(Summary!$A$297:$A$333,$A3402,Summary!$L$297:$L$333))-AI3402,0)</f>
        <v>0</v>
      </c>
      <c r="AK3402" s="196">
        <f>IFERROR($G3402/SUMIF($A:$A,$A3402,$G:$G)*SUMIF(Summary!$A$247:$A$283,$A3402,Summary!$Q$247:$Q$283),0)</f>
        <v>0</v>
      </c>
      <c r="AL3402" s="196">
        <f>IFERROR($G3402/SUMIF($A:$A,$A3402,$G:$G)*(SUMIF(Summary!$A$247:$A$283,$A3402,Summary!$L$247:$L$283)+SUMIF(Summary!$A$297:$A$333,$A3402,Summary!$L$297:$L$333))-AK3402,0)</f>
        <v>0</v>
      </c>
      <c r="AM3402" s="198"/>
      <c r="AN3402" s="196">
        <f t="shared" ca="1" si="754"/>
        <v>0</v>
      </c>
      <c r="AO3402" s="196">
        <f t="shared" ca="1" si="755"/>
        <v>0</v>
      </c>
    </row>
    <row r="3403" spans="1:41">
      <c r="A3403" s="189">
        <v>13231</v>
      </c>
      <c r="B3403" s="190">
        <v>2</v>
      </c>
      <c r="C3403" s="191" t="s">
        <v>237</v>
      </c>
      <c r="D3403" s="192">
        <f t="shared" si="742"/>
        <v>300</v>
      </c>
      <c r="E3403" s="192">
        <f t="shared" si="743"/>
        <v>0</v>
      </c>
      <c r="F3403" s="192">
        <f t="shared" si="744"/>
        <v>0</v>
      </c>
      <c r="G3403" s="193">
        <f t="shared" si="745"/>
        <v>300</v>
      </c>
      <c r="H3403" s="194">
        <v>168</v>
      </c>
      <c r="I3403" s="194">
        <v>0</v>
      </c>
      <c r="J3403" s="194">
        <v>0</v>
      </c>
      <c r="K3403" s="193">
        <f t="shared" si="746"/>
        <v>168</v>
      </c>
      <c r="L3403" s="194">
        <v>132</v>
      </c>
      <c r="M3403" s="194">
        <v>0</v>
      </c>
      <c r="N3403" s="194">
        <v>0</v>
      </c>
      <c r="O3403" s="193">
        <f t="shared" si="747"/>
        <v>132</v>
      </c>
      <c r="P3403" s="194">
        <v>0</v>
      </c>
      <c r="Q3403" s="194">
        <v>0</v>
      </c>
      <c r="R3403" s="194">
        <v>0</v>
      </c>
      <c r="S3403" s="193">
        <f t="shared" si="748"/>
        <v>0</v>
      </c>
      <c r="T3403" s="193">
        <f t="shared" si="749"/>
        <v>10</v>
      </c>
      <c r="U3403" s="193">
        <f ca="1">OFFSET('Expenditure Study'!$B$7,'Operations Support'!$C3403,'Operations Support'!$B3403)*$G3403</f>
        <v>702</v>
      </c>
      <c r="V3403" s="199">
        <f ca="1">U3403*'Expenditure Study'!$B$31</f>
        <v>41476.392921600003</v>
      </c>
      <c r="W3403" s="199">
        <f ca="1">IF(A3403=10298,1.51,1)*IF($B3403&lt;3,$D3403*'Expenditure Study'!$B$32*OFFSET('Expenditure Study'!$B$7,'Operations Support'!$C3403,'Operations Support'!$B3403),0)</f>
        <v>70.199999999999989</v>
      </c>
      <c r="X3403" s="200">
        <f ca="1">W3403*'Expenditure Study'!$B$31</f>
        <v>4147.6392921599991</v>
      </c>
      <c r="Y3403" s="199">
        <f ca="1">U3403*'Expenditure Study'!$B$31</f>
        <v>41476.392921600003</v>
      </c>
      <c r="Z3403" s="200">
        <f ca="1">W3403*'Expenditure Study'!$B$31</f>
        <v>4147.6392921599991</v>
      </c>
      <c r="AA3403" s="195">
        <f t="shared" ca="1" si="750"/>
        <v>45624.032213760001</v>
      </c>
      <c r="AB3403" s="195">
        <f t="shared" ca="1" si="751"/>
        <v>45624.032213760001</v>
      </c>
      <c r="AD3403" s="196">
        <f>IFERROR($G3403/SUMIF($A:$A,$A3403,$G:$G)*SUMIF(Summary!$A$166:$A$242,$A3403,Summary!$P$166:$P$242),0)</f>
        <v>11200.687924586671</v>
      </c>
      <c r="AE3403" s="197">
        <f t="shared" ca="1" si="752"/>
        <v>34423.344289173328</v>
      </c>
      <c r="AF3403" s="196">
        <f>IFERROR(G3403/SUMIF(A:A,A3403,G:G)*SUMIF(Summary!$A$166:$A$242,'Operations Support'!A3403,Summary!$Q$166:$Q$242),0)</f>
        <v>11223.520549087492</v>
      </c>
      <c r="AG3403" s="196">
        <f t="shared" ca="1" si="753"/>
        <v>34400.511664672507</v>
      </c>
      <c r="AI3403" s="196">
        <f>IFERROR($G3403/SUMIF($A:$A,$A3403,$G:$G)*SUMIF(Summary!$A$247:$A$283,$A3403,Summary!$P$247:$P$283),0)</f>
        <v>2042.7259673931417</v>
      </c>
      <c r="AJ3403" s="196">
        <f>IFERROR($G3403/SUMIF($A:$A,$A3403,$G:$G)*(SUMIF(Summary!$A$247:$A$283,$A3403,Summary!$L$247:$L$283)+SUMIF(Summary!$A$297:$A$333,$A3403,Summary!$L$297:$L$333))-AI3403,0)</f>
        <v>8604.1005802447235</v>
      </c>
      <c r="AK3403" s="196">
        <f>IFERROR($G3403/SUMIF($A:$A,$A3403,$G:$G)*SUMIF(Summary!$A$247:$A$283,$A3403,Summary!$Q$247:$Q$283),0)</f>
        <v>2046.8900683202978</v>
      </c>
      <c r="AL3403" s="196">
        <f>IFERROR($G3403/SUMIF($A:$A,$A3403,$G:$G)*(SUMIF(Summary!$A$247:$A$283,$A3403,Summary!$L$247:$L$283)+SUMIF(Summary!$A$297:$A$333,$A3403,Summary!$L$297:$L$333))-AK3403,0)</f>
        <v>8599.9364793175682</v>
      </c>
      <c r="AM3403" s="198"/>
      <c r="AN3403" s="196">
        <f t="shared" ca="1" si="754"/>
        <v>43027.444869418054</v>
      </c>
      <c r="AO3403" s="196">
        <f t="shared" ca="1" si="755"/>
        <v>43000.448143990077</v>
      </c>
    </row>
    <row r="3404" spans="1:41">
      <c r="A3404" s="189">
        <v>13231</v>
      </c>
      <c r="B3404" s="190">
        <v>2</v>
      </c>
      <c r="C3404" s="191" t="s">
        <v>238</v>
      </c>
      <c r="D3404" s="192">
        <f t="shared" si="742"/>
        <v>123</v>
      </c>
      <c r="E3404" s="192">
        <f t="shared" si="743"/>
        <v>36</v>
      </c>
      <c r="F3404" s="192">
        <f t="shared" si="744"/>
        <v>0</v>
      </c>
      <c r="G3404" s="193">
        <f t="shared" si="745"/>
        <v>159</v>
      </c>
      <c r="H3404" s="194">
        <v>123</v>
      </c>
      <c r="I3404" s="194">
        <v>18</v>
      </c>
      <c r="J3404" s="194">
        <v>0</v>
      </c>
      <c r="K3404" s="193">
        <f t="shared" si="746"/>
        <v>141</v>
      </c>
      <c r="L3404" s="194">
        <v>0</v>
      </c>
      <c r="M3404" s="194">
        <v>18</v>
      </c>
      <c r="N3404" s="194">
        <v>0</v>
      </c>
      <c r="O3404" s="193">
        <f t="shared" si="747"/>
        <v>18</v>
      </c>
      <c r="P3404" s="194">
        <v>0</v>
      </c>
      <c r="Q3404" s="194">
        <v>0</v>
      </c>
      <c r="R3404" s="194">
        <v>0</v>
      </c>
      <c r="S3404" s="193">
        <f t="shared" si="748"/>
        <v>0</v>
      </c>
      <c r="T3404" s="193">
        <f t="shared" si="749"/>
        <v>5.3</v>
      </c>
      <c r="U3404" s="193">
        <f ca="1">OFFSET('Expenditure Study'!$B$7,'Operations Support'!$C3404,'Operations Support'!$B3404)*$G3404</f>
        <v>381.59999999999997</v>
      </c>
      <c r="V3404" s="199">
        <f ca="1">U3404*'Expenditure Study'!$B$31</f>
        <v>22546.14179328</v>
      </c>
      <c r="W3404" s="199">
        <f ca="1">IF(A3404=10298,1.51,1)*IF($B3404&lt;3,$D3404*'Expenditure Study'!$B$32*OFFSET('Expenditure Study'!$B$7,'Operations Support'!$C3404,'Operations Support'!$B3404),0)</f>
        <v>29.52</v>
      </c>
      <c r="X3404" s="200">
        <f ca="1">W3404*'Expenditure Study'!$B$31</f>
        <v>1744.135497216</v>
      </c>
      <c r="Y3404" s="199">
        <f ca="1">U3404*'Expenditure Study'!$B$31</f>
        <v>22546.14179328</v>
      </c>
      <c r="Z3404" s="200">
        <f ca="1">W3404*'Expenditure Study'!$B$31</f>
        <v>1744.135497216</v>
      </c>
      <c r="AA3404" s="195">
        <f t="shared" ca="1" si="750"/>
        <v>24290.277290496</v>
      </c>
      <c r="AB3404" s="195">
        <f t="shared" ca="1" si="751"/>
        <v>24290.277290496</v>
      </c>
      <c r="AD3404" s="196">
        <f>IFERROR($G3404/SUMIF($A:$A,$A3404,$G:$G)*SUMIF(Summary!$A$166:$A$242,$A3404,Summary!$P$166:$P$242),0)</f>
        <v>5936.3646000309354</v>
      </c>
      <c r="AE3404" s="197">
        <f t="shared" ca="1" si="752"/>
        <v>18353.912690465066</v>
      </c>
      <c r="AF3404" s="196">
        <f>IFERROR(G3404/SUMIF(A:A,A3404,G:G)*SUMIF(Summary!$A$166:$A$242,'Operations Support'!A3404,Summary!$Q$166:$Q$242),0)</f>
        <v>5948.4658910163707</v>
      </c>
      <c r="AG3404" s="196">
        <f t="shared" ca="1" si="753"/>
        <v>18341.811399479629</v>
      </c>
      <c r="AI3404" s="196">
        <f>IFERROR($G3404/SUMIF($A:$A,$A3404,$G:$G)*SUMIF(Summary!$A$247:$A$283,$A3404,Summary!$P$247:$P$283),0)</f>
        <v>1082.644762718365</v>
      </c>
      <c r="AJ3404" s="196">
        <f>IFERROR($G3404/SUMIF($A:$A,$A3404,$G:$G)*(SUMIF(Summary!$A$247:$A$283,$A3404,Summary!$L$247:$L$283)+SUMIF(Summary!$A$297:$A$333,$A3404,Summary!$L$297:$L$333))-AI3404,0)</f>
        <v>4560.1733075297034</v>
      </c>
      <c r="AK3404" s="196">
        <f>IFERROR($G3404/SUMIF($A:$A,$A3404,$G:$G)*SUMIF(Summary!$A$247:$A$283,$A3404,Summary!$Q$247:$Q$283),0)</f>
        <v>1084.8517362097577</v>
      </c>
      <c r="AL3404" s="196">
        <f>IFERROR($G3404/SUMIF($A:$A,$A3404,$G:$G)*(SUMIF(Summary!$A$247:$A$283,$A3404,Summary!$L$247:$L$283)+SUMIF(Summary!$A$297:$A$333,$A3404,Summary!$L$297:$L$333))-AK3404,0)</f>
        <v>4557.9663340383104</v>
      </c>
      <c r="AM3404" s="198"/>
      <c r="AN3404" s="196">
        <f t="shared" ca="1" si="754"/>
        <v>22914.085997994771</v>
      </c>
      <c r="AO3404" s="196">
        <f t="shared" ca="1" si="755"/>
        <v>22899.777733517942</v>
      </c>
    </row>
    <row r="3405" spans="1:41">
      <c r="A3405" s="189">
        <v>13231</v>
      </c>
      <c r="B3405" s="190">
        <v>2</v>
      </c>
      <c r="C3405" s="191" t="s">
        <v>239</v>
      </c>
      <c r="D3405" s="192">
        <f t="shared" si="742"/>
        <v>0</v>
      </c>
      <c r="E3405" s="192">
        <f t="shared" si="743"/>
        <v>907</v>
      </c>
      <c r="F3405" s="192">
        <f t="shared" si="744"/>
        <v>0</v>
      </c>
      <c r="G3405" s="193">
        <f t="shared" si="745"/>
        <v>907</v>
      </c>
      <c r="H3405" s="194">
        <v>0</v>
      </c>
      <c r="I3405" s="194">
        <v>345</v>
      </c>
      <c r="J3405" s="194">
        <v>0</v>
      </c>
      <c r="K3405" s="193">
        <f t="shared" si="746"/>
        <v>345</v>
      </c>
      <c r="L3405" s="194">
        <v>0</v>
      </c>
      <c r="M3405" s="194">
        <v>191</v>
      </c>
      <c r="N3405" s="194">
        <v>0</v>
      </c>
      <c r="O3405" s="193">
        <f t="shared" si="747"/>
        <v>191</v>
      </c>
      <c r="P3405" s="194">
        <v>0</v>
      </c>
      <c r="Q3405" s="194">
        <v>371</v>
      </c>
      <c r="R3405" s="194">
        <v>0</v>
      </c>
      <c r="S3405" s="193">
        <f t="shared" si="748"/>
        <v>371</v>
      </c>
      <c r="T3405" s="193">
        <f t="shared" si="749"/>
        <v>30.233333333333334</v>
      </c>
      <c r="U3405" s="193">
        <f ca="1">OFFSET('Expenditure Study'!$B$7,'Operations Support'!$C3405,'Operations Support'!$B3405)*$G3405</f>
        <v>1886.5600000000002</v>
      </c>
      <c r="V3405" s="199">
        <f ca="1">U3405*'Expenditure Study'!$B$31</f>
        <v>111463.96557004801</v>
      </c>
      <c r="W3405" s="199">
        <f ca="1">IF(A3405=10298,1.51,1)*IF($B3405&lt;3,$D3405*'Expenditure Study'!$B$32*OFFSET('Expenditure Study'!$B$7,'Operations Support'!$C3405,'Operations Support'!$B3405),0)</f>
        <v>0</v>
      </c>
      <c r="X3405" s="200">
        <f ca="1">W3405*'Expenditure Study'!$B$31</f>
        <v>0</v>
      </c>
      <c r="Y3405" s="199">
        <f ca="1">U3405*'Expenditure Study'!$B$31</f>
        <v>111463.96557004801</v>
      </c>
      <c r="Z3405" s="200">
        <f ca="1">W3405*'Expenditure Study'!$B$31</f>
        <v>0</v>
      </c>
      <c r="AA3405" s="195">
        <f t="shared" ca="1" si="750"/>
        <v>111463.96557004801</v>
      </c>
      <c r="AB3405" s="195">
        <f t="shared" ca="1" si="751"/>
        <v>111463.96557004801</v>
      </c>
      <c r="AD3405" s="196">
        <f>IFERROR($G3405/SUMIF($A:$A,$A3405,$G:$G)*SUMIF(Summary!$A$166:$A$242,$A3405,Summary!$P$166:$P$242),0)</f>
        <v>33863.413158667034</v>
      </c>
      <c r="AE3405" s="197">
        <f t="shared" ca="1" si="752"/>
        <v>77600.552411380981</v>
      </c>
      <c r="AF3405" s="196">
        <f>IFERROR(G3405/SUMIF(A:A,A3405,G:G)*SUMIF(Summary!$A$166:$A$242,'Operations Support'!A3405,Summary!$Q$166:$Q$242),0)</f>
        <v>33932.443793407852</v>
      </c>
      <c r="AG3405" s="196">
        <f t="shared" ca="1" si="753"/>
        <v>77531.521776640147</v>
      </c>
      <c r="AI3405" s="196">
        <f>IFERROR($G3405/SUMIF($A:$A,$A3405,$G:$G)*SUMIF(Summary!$A$247:$A$283,$A3405,Summary!$P$247:$P$283),0)</f>
        <v>6175.8415080852646</v>
      </c>
      <c r="AJ3405" s="196">
        <f>IFERROR($G3405/SUMIF($A:$A,$A3405,$G:$G)*(SUMIF(Summary!$A$247:$A$283,$A3405,Summary!$L$247:$L$283)+SUMIF(Summary!$A$297:$A$333,$A3405,Summary!$L$297:$L$333))-AI3405,0)</f>
        <v>26013.064087606548</v>
      </c>
      <c r="AK3405" s="196">
        <f>IFERROR($G3405/SUMIF($A:$A,$A3405,$G:$G)*SUMIF(Summary!$A$247:$A$283,$A3405,Summary!$Q$247:$Q$283),0)</f>
        <v>6188.4309732216998</v>
      </c>
      <c r="AL3405" s="196">
        <f>IFERROR($G3405/SUMIF($A:$A,$A3405,$G:$G)*(SUMIF(Summary!$A$247:$A$283,$A3405,Summary!$L$247:$L$283)+SUMIF(Summary!$A$297:$A$333,$A3405,Summary!$L$297:$L$333))-AK3405,0)</f>
        <v>26000.474622470112</v>
      </c>
      <c r="AM3405" s="198"/>
      <c r="AN3405" s="196">
        <f t="shared" ca="1" si="754"/>
        <v>103613.61649898753</v>
      </c>
      <c r="AO3405" s="196">
        <f t="shared" ca="1" si="755"/>
        <v>103531.99639911026</v>
      </c>
    </row>
    <row r="3406" spans="1:41">
      <c r="A3406" s="189">
        <v>13231</v>
      </c>
      <c r="B3406" s="190">
        <v>2</v>
      </c>
      <c r="C3406" s="191" t="s">
        <v>240</v>
      </c>
      <c r="D3406" s="192">
        <f t="shared" si="742"/>
        <v>0</v>
      </c>
      <c r="E3406" s="192">
        <f t="shared" si="743"/>
        <v>0</v>
      </c>
      <c r="F3406" s="192">
        <f t="shared" si="744"/>
        <v>0</v>
      </c>
      <c r="G3406" s="193">
        <f t="shared" si="745"/>
        <v>0</v>
      </c>
      <c r="H3406" s="194">
        <v>0</v>
      </c>
      <c r="I3406" s="194">
        <v>0</v>
      </c>
      <c r="J3406" s="194">
        <v>0</v>
      </c>
      <c r="K3406" s="193">
        <f t="shared" si="746"/>
        <v>0</v>
      </c>
      <c r="L3406" s="194">
        <v>0</v>
      </c>
      <c r="M3406" s="194">
        <v>0</v>
      </c>
      <c r="N3406" s="194">
        <v>0</v>
      </c>
      <c r="O3406" s="193">
        <f t="shared" si="747"/>
        <v>0</v>
      </c>
      <c r="P3406" s="194">
        <v>0</v>
      </c>
      <c r="Q3406" s="194">
        <v>0</v>
      </c>
      <c r="R3406" s="194">
        <v>0</v>
      </c>
      <c r="S3406" s="193">
        <f t="shared" si="748"/>
        <v>0</v>
      </c>
      <c r="T3406" s="193">
        <f t="shared" si="749"/>
        <v>0</v>
      </c>
      <c r="U3406" s="193">
        <f ca="1">OFFSET('Expenditure Study'!$B$7,'Operations Support'!$C3406,'Operations Support'!$B3406)*$G3406</f>
        <v>0</v>
      </c>
      <c r="V3406" s="199">
        <f ca="1">U3406*'Expenditure Study'!$B$31</f>
        <v>0</v>
      </c>
      <c r="W3406" s="199">
        <f ca="1">IF(A3406=10298,1.51,1)*IF($B3406&lt;3,$D3406*'Expenditure Study'!$B$32*OFFSET('Expenditure Study'!$B$7,'Operations Support'!$C3406,'Operations Support'!$B3406),0)</f>
        <v>0</v>
      </c>
      <c r="X3406" s="200">
        <f ca="1">W3406*'Expenditure Study'!$B$31</f>
        <v>0</v>
      </c>
      <c r="Y3406" s="199">
        <f ca="1">U3406*'Expenditure Study'!$B$31</f>
        <v>0</v>
      </c>
      <c r="Z3406" s="200">
        <f ca="1">W3406*'Expenditure Study'!$B$31</f>
        <v>0</v>
      </c>
      <c r="AA3406" s="195">
        <f t="shared" ca="1" si="750"/>
        <v>0</v>
      </c>
      <c r="AB3406" s="195">
        <f t="shared" ca="1" si="751"/>
        <v>0</v>
      </c>
      <c r="AD3406" s="196">
        <f>IFERROR($G3406/SUMIF($A:$A,$A3406,$G:$G)*SUMIF(Summary!$A$166:$A$242,$A3406,Summary!$P$166:$P$242),0)</f>
        <v>0</v>
      </c>
      <c r="AE3406" s="197">
        <f t="shared" ca="1" si="752"/>
        <v>0</v>
      </c>
      <c r="AF3406" s="196">
        <f>IFERROR(G3406/SUMIF(A:A,A3406,G:G)*SUMIF(Summary!$A$166:$A$242,'Operations Support'!A3406,Summary!$Q$166:$Q$242),0)</f>
        <v>0</v>
      </c>
      <c r="AG3406" s="196">
        <f t="shared" ca="1" si="753"/>
        <v>0</v>
      </c>
      <c r="AI3406" s="196">
        <f>IFERROR($G3406/SUMIF($A:$A,$A3406,$G:$G)*SUMIF(Summary!$A$247:$A$283,$A3406,Summary!$P$247:$P$283),0)</f>
        <v>0</v>
      </c>
      <c r="AJ3406" s="196">
        <f>IFERROR($G3406/SUMIF($A:$A,$A3406,$G:$G)*(SUMIF(Summary!$A$247:$A$283,$A3406,Summary!$L$247:$L$283)+SUMIF(Summary!$A$297:$A$333,$A3406,Summary!$L$297:$L$333))-AI3406,0)</f>
        <v>0</v>
      </c>
      <c r="AK3406" s="196">
        <f>IFERROR($G3406/SUMIF($A:$A,$A3406,$G:$G)*SUMIF(Summary!$A$247:$A$283,$A3406,Summary!$Q$247:$Q$283),0)</f>
        <v>0</v>
      </c>
      <c r="AL3406" s="196">
        <f>IFERROR($G3406/SUMIF($A:$A,$A3406,$G:$G)*(SUMIF(Summary!$A$247:$A$283,$A3406,Summary!$L$247:$L$283)+SUMIF(Summary!$A$297:$A$333,$A3406,Summary!$L$297:$L$333))-AK3406,0)</f>
        <v>0</v>
      </c>
      <c r="AM3406" s="198"/>
      <c r="AN3406" s="196">
        <f t="shared" ca="1" si="754"/>
        <v>0</v>
      </c>
      <c r="AO3406" s="196">
        <f t="shared" ca="1" si="755"/>
        <v>0</v>
      </c>
    </row>
    <row r="3407" spans="1:41">
      <c r="A3407" s="189">
        <v>13231</v>
      </c>
      <c r="B3407" s="190">
        <v>3</v>
      </c>
      <c r="C3407" s="191" t="s">
        <v>220</v>
      </c>
      <c r="D3407" s="192">
        <f t="shared" si="742"/>
        <v>3486</v>
      </c>
      <c r="E3407" s="192">
        <f t="shared" si="743"/>
        <v>822</v>
      </c>
      <c r="F3407" s="192">
        <f t="shared" si="744"/>
        <v>0</v>
      </c>
      <c r="G3407" s="193">
        <f t="shared" si="745"/>
        <v>4308</v>
      </c>
      <c r="H3407" s="194">
        <v>1323</v>
      </c>
      <c r="I3407" s="194">
        <v>336</v>
      </c>
      <c r="J3407" s="194">
        <v>0</v>
      </c>
      <c r="K3407" s="193">
        <f t="shared" si="746"/>
        <v>1659</v>
      </c>
      <c r="L3407" s="194">
        <v>1638</v>
      </c>
      <c r="M3407" s="194">
        <v>228</v>
      </c>
      <c r="N3407" s="194">
        <v>0</v>
      </c>
      <c r="O3407" s="193">
        <f t="shared" si="747"/>
        <v>1866</v>
      </c>
      <c r="P3407" s="194">
        <v>525</v>
      </c>
      <c r="Q3407" s="194">
        <v>258</v>
      </c>
      <c r="R3407" s="194">
        <v>0</v>
      </c>
      <c r="S3407" s="193">
        <f t="shared" si="748"/>
        <v>783</v>
      </c>
      <c r="T3407" s="193">
        <f t="shared" si="749"/>
        <v>179.5</v>
      </c>
      <c r="U3407" s="193">
        <f ca="1">OFFSET('Expenditure Study'!$B$7,'Operations Support'!$C3407,'Operations Support'!$B3407)*$G3407</f>
        <v>19213.68</v>
      </c>
      <c r="V3407" s="199">
        <f ca="1">U3407*'Expenditure Study'!$B$31</f>
        <v>1135205.329273344</v>
      </c>
      <c r="W3407" s="199">
        <f ca="1">IF(A3407=10298,1.51,1)*IF($B3407&lt;3,$D3407*'Expenditure Study'!$B$32*OFFSET('Expenditure Study'!$B$7,'Operations Support'!$C3407,'Operations Support'!$B3407),0)</f>
        <v>0</v>
      </c>
      <c r="X3407" s="200">
        <f ca="1">W3407*'Expenditure Study'!$B$31</f>
        <v>0</v>
      </c>
      <c r="Y3407" s="199">
        <f ca="1">U3407*'Expenditure Study'!$B$31</f>
        <v>1135205.329273344</v>
      </c>
      <c r="Z3407" s="200">
        <f ca="1">W3407*'Expenditure Study'!$B$31</f>
        <v>0</v>
      </c>
      <c r="AA3407" s="195">
        <f t="shared" ca="1" si="750"/>
        <v>1135205.329273344</v>
      </c>
      <c r="AB3407" s="195">
        <f t="shared" ca="1" si="751"/>
        <v>1135205.329273344</v>
      </c>
      <c r="AD3407" s="196">
        <f>IFERROR($G3407/SUMIF($A:$A,$A3407,$G:$G)*SUMIF(Summary!$A$166:$A$242,$A3407,Summary!$P$166:$P$242),0)</f>
        <v>160841.87859706461</v>
      </c>
      <c r="AE3407" s="197">
        <f t="shared" ca="1" si="752"/>
        <v>974363.45067627938</v>
      </c>
      <c r="AF3407" s="196">
        <f>IFERROR(G3407/SUMIF(A:A,A3407,G:G)*SUMIF(Summary!$A$166:$A$242,'Operations Support'!A3407,Summary!$Q$166:$Q$242),0)</f>
        <v>161169.75508489637</v>
      </c>
      <c r="AG3407" s="196">
        <f t="shared" ca="1" si="753"/>
        <v>974035.57418844767</v>
      </c>
      <c r="AI3407" s="196">
        <f>IFERROR($G3407/SUMIF($A:$A,$A3407,$G:$G)*SUMIF(Summary!$A$247:$A$283,$A3407,Summary!$P$247:$P$283),0)</f>
        <v>29333.544891765516</v>
      </c>
      <c r="AJ3407" s="196">
        <f>IFERROR($G3407/SUMIF($A:$A,$A3407,$G:$G)*(SUMIF(Summary!$A$247:$A$283,$A3407,Summary!$L$247:$L$283)+SUMIF(Summary!$A$297:$A$333,$A3407,Summary!$L$297:$L$333))-AI3407,0)</f>
        <v>123554.88433231425</v>
      </c>
      <c r="AK3407" s="196">
        <f>IFERROR($G3407/SUMIF($A:$A,$A3407,$G:$G)*SUMIF(Summary!$A$247:$A$283,$A3407,Summary!$Q$247:$Q$283),0)</f>
        <v>29393.341381079474</v>
      </c>
      <c r="AL3407" s="196">
        <f>IFERROR($G3407/SUMIF($A:$A,$A3407,$G:$G)*(SUMIF(Summary!$A$247:$A$283,$A3407,Summary!$L$247:$L$283)+SUMIF(Summary!$A$297:$A$333,$A3407,Summary!$L$297:$L$333))-AK3407,0)</f>
        <v>123495.08784300029</v>
      </c>
      <c r="AM3407" s="198"/>
      <c r="AN3407" s="196">
        <f t="shared" ca="1" si="754"/>
        <v>1097918.3350085937</v>
      </c>
      <c r="AO3407" s="196">
        <f t="shared" ca="1" si="755"/>
        <v>1097530.662031448</v>
      </c>
    </row>
    <row r="3408" spans="1:41">
      <c r="A3408" s="189">
        <v>13231</v>
      </c>
      <c r="B3408" s="190">
        <v>3</v>
      </c>
      <c r="C3408" s="191" t="s">
        <v>221</v>
      </c>
      <c r="D3408" s="192">
        <f t="shared" si="742"/>
        <v>375</v>
      </c>
      <c r="E3408" s="192">
        <f t="shared" si="743"/>
        <v>123</v>
      </c>
      <c r="F3408" s="192">
        <f t="shared" si="744"/>
        <v>0</v>
      </c>
      <c r="G3408" s="193">
        <f t="shared" si="745"/>
        <v>498</v>
      </c>
      <c r="H3408" s="194">
        <v>123</v>
      </c>
      <c r="I3408" s="194">
        <v>66</v>
      </c>
      <c r="J3408" s="194">
        <v>0</v>
      </c>
      <c r="K3408" s="193">
        <f t="shared" si="746"/>
        <v>189</v>
      </c>
      <c r="L3408" s="194">
        <v>153</v>
      </c>
      <c r="M3408" s="194">
        <v>57</v>
      </c>
      <c r="N3408" s="194">
        <v>0</v>
      </c>
      <c r="O3408" s="193">
        <f t="shared" si="747"/>
        <v>210</v>
      </c>
      <c r="P3408" s="194">
        <v>99</v>
      </c>
      <c r="Q3408" s="194">
        <v>0</v>
      </c>
      <c r="R3408" s="194">
        <v>0</v>
      </c>
      <c r="S3408" s="193">
        <f t="shared" si="748"/>
        <v>99</v>
      </c>
      <c r="T3408" s="193">
        <f t="shared" si="749"/>
        <v>20.75</v>
      </c>
      <c r="U3408" s="193">
        <f ca="1">OFFSET('Expenditure Study'!$B$7,'Operations Support'!$C3408,'Operations Support'!$B3408)*$G3408</f>
        <v>3486</v>
      </c>
      <c r="V3408" s="199">
        <f ca="1">U3408*'Expenditure Study'!$B$31</f>
        <v>205963.9682688</v>
      </c>
      <c r="W3408" s="199">
        <f ca="1">IF(A3408=10298,1.51,1)*IF($B3408&lt;3,$D3408*'Expenditure Study'!$B$32*OFFSET('Expenditure Study'!$B$7,'Operations Support'!$C3408,'Operations Support'!$B3408),0)</f>
        <v>0</v>
      </c>
      <c r="X3408" s="200">
        <f ca="1">W3408*'Expenditure Study'!$B$31</f>
        <v>0</v>
      </c>
      <c r="Y3408" s="199">
        <f ca="1">U3408*'Expenditure Study'!$B$31</f>
        <v>205963.9682688</v>
      </c>
      <c r="Z3408" s="200">
        <f ca="1">W3408*'Expenditure Study'!$B$31</f>
        <v>0</v>
      </c>
      <c r="AA3408" s="195">
        <f t="shared" ca="1" si="750"/>
        <v>205963.9682688</v>
      </c>
      <c r="AB3408" s="195">
        <f t="shared" ca="1" si="751"/>
        <v>205963.9682688</v>
      </c>
      <c r="AD3408" s="196">
        <f>IFERROR($G3408/SUMIF($A:$A,$A3408,$G:$G)*SUMIF(Summary!$A$166:$A$242,$A3408,Summary!$P$166:$P$242),0)</f>
        <v>18593.141954813873</v>
      </c>
      <c r="AE3408" s="197">
        <f t="shared" ca="1" si="752"/>
        <v>187370.82631398612</v>
      </c>
      <c r="AF3408" s="196">
        <f>IFERROR(G3408/SUMIF(A:A,A3408,G:G)*SUMIF(Summary!$A$166:$A$242,'Operations Support'!A3408,Summary!$Q$166:$Q$242),0)</f>
        <v>18631.044111485236</v>
      </c>
      <c r="AG3408" s="196">
        <f t="shared" ca="1" si="753"/>
        <v>187332.92415731476</v>
      </c>
      <c r="AI3408" s="196">
        <f>IFERROR($G3408/SUMIF($A:$A,$A3408,$G:$G)*SUMIF(Summary!$A$247:$A$283,$A3408,Summary!$P$247:$P$283),0)</f>
        <v>3390.9251058726154</v>
      </c>
      <c r="AJ3408" s="196">
        <f>IFERROR($G3408/SUMIF($A:$A,$A3408,$G:$G)*(SUMIF(Summary!$A$247:$A$283,$A3408,Summary!$L$247:$L$283)+SUMIF(Summary!$A$297:$A$333,$A3408,Summary!$L$297:$L$333))-AI3408,0)</f>
        <v>14282.806963206243</v>
      </c>
      <c r="AK3408" s="196">
        <f>IFERROR($G3408/SUMIF($A:$A,$A3408,$G:$G)*SUMIF(Summary!$A$247:$A$283,$A3408,Summary!$Q$247:$Q$283),0)</f>
        <v>3397.8375134116941</v>
      </c>
      <c r="AL3408" s="196">
        <f>IFERROR($G3408/SUMIF($A:$A,$A3408,$G:$G)*(SUMIF(Summary!$A$247:$A$283,$A3408,Summary!$L$247:$L$283)+SUMIF(Summary!$A$297:$A$333,$A3408,Summary!$L$297:$L$333))-AK3408,0)</f>
        <v>14275.894555667164</v>
      </c>
      <c r="AM3408" s="198"/>
      <c r="AN3408" s="196">
        <f t="shared" ca="1" si="754"/>
        <v>201653.63327719236</v>
      </c>
      <c r="AO3408" s="196">
        <f t="shared" ca="1" si="755"/>
        <v>201608.81871298191</v>
      </c>
    </row>
    <row r="3409" spans="1:41">
      <c r="A3409" s="189">
        <v>13231</v>
      </c>
      <c r="B3409" s="190">
        <v>3</v>
      </c>
      <c r="C3409" s="191" t="s">
        <v>222</v>
      </c>
      <c r="D3409" s="192">
        <f t="shared" si="742"/>
        <v>0</v>
      </c>
      <c r="E3409" s="192">
        <f t="shared" si="743"/>
        <v>0</v>
      </c>
      <c r="F3409" s="192">
        <f t="shared" si="744"/>
        <v>0</v>
      </c>
      <c r="G3409" s="193">
        <f t="shared" si="745"/>
        <v>0</v>
      </c>
      <c r="H3409" s="194">
        <v>0</v>
      </c>
      <c r="I3409" s="194">
        <v>0</v>
      </c>
      <c r="J3409" s="194">
        <v>0</v>
      </c>
      <c r="K3409" s="193">
        <f t="shared" si="746"/>
        <v>0</v>
      </c>
      <c r="L3409" s="194">
        <v>0</v>
      </c>
      <c r="M3409" s="194">
        <v>0</v>
      </c>
      <c r="N3409" s="194">
        <v>0</v>
      </c>
      <c r="O3409" s="193">
        <f t="shared" si="747"/>
        <v>0</v>
      </c>
      <c r="P3409" s="194">
        <v>0</v>
      </c>
      <c r="Q3409" s="194">
        <v>0</v>
      </c>
      <c r="R3409" s="194">
        <v>0</v>
      </c>
      <c r="S3409" s="193">
        <f t="shared" si="748"/>
        <v>0</v>
      </c>
      <c r="T3409" s="193">
        <f t="shared" si="749"/>
        <v>0</v>
      </c>
      <c r="U3409" s="193">
        <f ca="1">OFFSET('Expenditure Study'!$B$7,'Operations Support'!$C3409,'Operations Support'!$B3409)*$G3409</f>
        <v>0</v>
      </c>
      <c r="V3409" s="199">
        <f ca="1">U3409*'Expenditure Study'!$B$31</f>
        <v>0</v>
      </c>
      <c r="W3409" s="199">
        <f ca="1">IF(A3409=10298,1.51,1)*IF($B3409&lt;3,$D3409*'Expenditure Study'!$B$32*OFFSET('Expenditure Study'!$B$7,'Operations Support'!$C3409,'Operations Support'!$B3409),0)</f>
        <v>0</v>
      </c>
      <c r="X3409" s="200">
        <f ca="1">W3409*'Expenditure Study'!$B$31</f>
        <v>0</v>
      </c>
      <c r="Y3409" s="199">
        <f ca="1">U3409*'Expenditure Study'!$B$31</f>
        <v>0</v>
      </c>
      <c r="Z3409" s="200">
        <f ca="1">W3409*'Expenditure Study'!$B$31</f>
        <v>0</v>
      </c>
      <c r="AA3409" s="195">
        <f t="shared" ca="1" si="750"/>
        <v>0</v>
      </c>
      <c r="AB3409" s="195">
        <f t="shared" ca="1" si="751"/>
        <v>0</v>
      </c>
      <c r="AD3409" s="196">
        <f>IFERROR($G3409/SUMIF($A:$A,$A3409,$G:$G)*SUMIF(Summary!$A$166:$A$242,$A3409,Summary!$P$166:$P$242),0)</f>
        <v>0</v>
      </c>
      <c r="AE3409" s="197">
        <f t="shared" ca="1" si="752"/>
        <v>0</v>
      </c>
      <c r="AF3409" s="196">
        <f>IFERROR(G3409/SUMIF(A:A,A3409,G:G)*SUMIF(Summary!$A$166:$A$242,'Operations Support'!A3409,Summary!$Q$166:$Q$242),0)</f>
        <v>0</v>
      </c>
      <c r="AG3409" s="196">
        <f t="shared" ca="1" si="753"/>
        <v>0</v>
      </c>
      <c r="AI3409" s="196">
        <f>IFERROR($G3409/SUMIF($A:$A,$A3409,$G:$G)*SUMIF(Summary!$A$247:$A$283,$A3409,Summary!$P$247:$P$283),0)</f>
        <v>0</v>
      </c>
      <c r="AJ3409" s="196">
        <f>IFERROR($G3409/SUMIF($A:$A,$A3409,$G:$G)*(SUMIF(Summary!$A$247:$A$283,$A3409,Summary!$L$247:$L$283)+SUMIF(Summary!$A$297:$A$333,$A3409,Summary!$L$297:$L$333))-AI3409,0)</f>
        <v>0</v>
      </c>
      <c r="AK3409" s="196">
        <f>IFERROR($G3409/SUMIF($A:$A,$A3409,$G:$G)*SUMIF(Summary!$A$247:$A$283,$A3409,Summary!$Q$247:$Q$283),0)</f>
        <v>0</v>
      </c>
      <c r="AL3409" s="196">
        <f>IFERROR($G3409/SUMIF($A:$A,$A3409,$G:$G)*(SUMIF(Summary!$A$247:$A$283,$A3409,Summary!$L$247:$L$283)+SUMIF(Summary!$A$297:$A$333,$A3409,Summary!$L$297:$L$333))-AK3409,0)</f>
        <v>0</v>
      </c>
      <c r="AM3409" s="198"/>
      <c r="AN3409" s="196">
        <f t="shared" ca="1" si="754"/>
        <v>0</v>
      </c>
      <c r="AO3409" s="196">
        <f t="shared" ca="1" si="755"/>
        <v>0</v>
      </c>
    </row>
    <row r="3410" spans="1:41">
      <c r="A3410" s="189">
        <v>13231</v>
      </c>
      <c r="B3410" s="190">
        <v>3</v>
      </c>
      <c r="C3410" s="191" t="s">
        <v>223</v>
      </c>
      <c r="D3410" s="192">
        <f t="shared" si="742"/>
        <v>3177</v>
      </c>
      <c r="E3410" s="192">
        <f t="shared" si="743"/>
        <v>2244</v>
      </c>
      <c r="F3410" s="192">
        <f t="shared" si="744"/>
        <v>0</v>
      </c>
      <c r="G3410" s="193">
        <f t="shared" si="745"/>
        <v>5421</v>
      </c>
      <c r="H3410" s="194">
        <v>1279</v>
      </c>
      <c r="I3410" s="194">
        <v>780</v>
      </c>
      <c r="J3410" s="194">
        <v>0</v>
      </c>
      <c r="K3410" s="193">
        <f t="shared" si="746"/>
        <v>2059</v>
      </c>
      <c r="L3410" s="194">
        <v>1178</v>
      </c>
      <c r="M3410" s="194">
        <v>873</v>
      </c>
      <c r="N3410" s="194">
        <v>0</v>
      </c>
      <c r="O3410" s="193">
        <f t="shared" si="747"/>
        <v>2051</v>
      </c>
      <c r="P3410" s="194">
        <v>720</v>
      </c>
      <c r="Q3410" s="194">
        <v>591</v>
      </c>
      <c r="R3410" s="194">
        <v>0</v>
      </c>
      <c r="S3410" s="193">
        <f t="shared" si="748"/>
        <v>1311</v>
      </c>
      <c r="T3410" s="193">
        <f t="shared" si="749"/>
        <v>225.875</v>
      </c>
      <c r="U3410" s="193">
        <f ca="1">OFFSET('Expenditure Study'!$B$7,'Operations Support'!$C3410,'Operations Support'!$B3410)*$G3410</f>
        <v>12143.04</v>
      </c>
      <c r="V3410" s="199">
        <f ca="1">U3410*'Expenditure Study'!$B$31</f>
        <v>717449.42778163205</v>
      </c>
      <c r="W3410" s="199">
        <f ca="1">IF(A3410=10298,1.51,1)*IF($B3410&lt;3,$D3410*'Expenditure Study'!$B$32*OFFSET('Expenditure Study'!$B$7,'Operations Support'!$C3410,'Operations Support'!$B3410),0)</f>
        <v>0</v>
      </c>
      <c r="X3410" s="200">
        <f ca="1">W3410*'Expenditure Study'!$B$31</f>
        <v>0</v>
      </c>
      <c r="Y3410" s="199">
        <f ca="1">U3410*'Expenditure Study'!$B$31</f>
        <v>717449.42778163205</v>
      </c>
      <c r="Z3410" s="200">
        <f ca="1">W3410*'Expenditure Study'!$B$31</f>
        <v>0</v>
      </c>
      <c r="AA3410" s="195">
        <f t="shared" ca="1" si="750"/>
        <v>717449.42778163205</v>
      </c>
      <c r="AB3410" s="195">
        <f t="shared" ca="1" si="751"/>
        <v>717449.42778163205</v>
      </c>
      <c r="AD3410" s="196">
        <f>IFERROR($G3410/SUMIF($A:$A,$A3410,$G:$G)*SUMIF(Summary!$A$166:$A$242,$A3410,Summary!$P$166:$P$242),0)</f>
        <v>202396.43079728115</v>
      </c>
      <c r="AE3410" s="197">
        <f t="shared" ca="1" si="752"/>
        <v>515052.9969843509</v>
      </c>
      <c r="AF3410" s="196">
        <f>IFERROR(G3410/SUMIF(A:A,A3410,G:G)*SUMIF(Summary!$A$166:$A$242,'Operations Support'!A3410,Summary!$Q$166:$Q$242),0)</f>
        <v>202809.01632201098</v>
      </c>
      <c r="AG3410" s="196">
        <f t="shared" ca="1" si="753"/>
        <v>514640.41145962104</v>
      </c>
      <c r="AI3410" s="196">
        <f>IFERROR($G3410/SUMIF($A:$A,$A3410,$G:$G)*SUMIF(Summary!$A$247:$A$283,$A3410,Summary!$P$247:$P$283),0)</f>
        <v>36912.058230794071</v>
      </c>
      <c r="AJ3410" s="196">
        <f>IFERROR($G3410/SUMIF($A:$A,$A3410,$G:$G)*(SUMIF(Summary!$A$247:$A$283,$A3410,Summary!$L$247:$L$283)+SUMIF(Summary!$A$297:$A$333,$A3410,Summary!$L$297:$L$333))-AI3410,0)</f>
        <v>155476.09748502218</v>
      </c>
      <c r="AK3410" s="196">
        <f>IFERROR($G3410/SUMIF($A:$A,$A3410,$G:$G)*SUMIF(Summary!$A$247:$A$283,$A3410,Summary!$Q$247:$Q$283),0)</f>
        <v>36987.303534547777</v>
      </c>
      <c r="AL3410" s="196">
        <f>IFERROR($G3410/SUMIF($A:$A,$A3410,$G:$G)*(SUMIF(Summary!$A$247:$A$283,$A3410,Summary!$L$247:$L$283)+SUMIF(Summary!$A$297:$A$333,$A3410,Summary!$L$297:$L$333))-AK3410,0)</f>
        <v>155400.85218126848</v>
      </c>
      <c r="AM3410" s="198"/>
      <c r="AN3410" s="196">
        <f t="shared" ca="1" si="754"/>
        <v>670529.09446937311</v>
      </c>
      <c r="AO3410" s="196">
        <f t="shared" ca="1" si="755"/>
        <v>670041.26364088955</v>
      </c>
    </row>
    <row r="3411" spans="1:41">
      <c r="A3411" s="189">
        <v>13231</v>
      </c>
      <c r="B3411" s="190">
        <v>3</v>
      </c>
      <c r="C3411" s="191" t="s">
        <v>224</v>
      </c>
      <c r="D3411" s="192">
        <f t="shared" si="742"/>
        <v>0</v>
      </c>
      <c r="E3411" s="192">
        <f t="shared" si="743"/>
        <v>0</v>
      </c>
      <c r="F3411" s="192">
        <f t="shared" si="744"/>
        <v>0</v>
      </c>
      <c r="G3411" s="193">
        <f t="shared" si="745"/>
        <v>0</v>
      </c>
      <c r="H3411" s="194">
        <v>0</v>
      </c>
      <c r="I3411" s="194">
        <v>0</v>
      </c>
      <c r="J3411" s="194">
        <v>0</v>
      </c>
      <c r="K3411" s="193">
        <f t="shared" si="746"/>
        <v>0</v>
      </c>
      <c r="L3411" s="194">
        <v>0</v>
      </c>
      <c r="M3411" s="194">
        <v>0</v>
      </c>
      <c r="N3411" s="194">
        <v>0</v>
      </c>
      <c r="O3411" s="193">
        <f t="shared" si="747"/>
        <v>0</v>
      </c>
      <c r="P3411" s="194">
        <v>0</v>
      </c>
      <c r="Q3411" s="194">
        <v>0</v>
      </c>
      <c r="R3411" s="194">
        <v>0</v>
      </c>
      <c r="S3411" s="193">
        <f t="shared" si="748"/>
        <v>0</v>
      </c>
      <c r="T3411" s="193">
        <f t="shared" si="749"/>
        <v>0</v>
      </c>
      <c r="U3411" s="193">
        <f ca="1">OFFSET('Expenditure Study'!$B$7,'Operations Support'!$C3411,'Operations Support'!$B3411)*$G3411</f>
        <v>0</v>
      </c>
      <c r="V3411" s="199">
        <f ca="1">U3411*'Expenditure Study'!$B$31</f>
        <v>0</v>
      </c>
      <c r="W3411" s="199">
        <f ca="1">IF(A3411=10298,1.51,1)*IF($B3411&lt;3,$D3411*'Expenditure Study'!$B$32*OFFSET('Expenditure Study'!$B$7,'Operations Support'!$C3411,'Operations Support'!$B3411),0)</f>
        <v>0</v>
      </c>
      <c r="X3411" s="200">
        <f ca="1">W3411*'Expenditure Study'!$B$31</f>
        <v>0</v>
      </c>
      <c r="Y3411" s="199">
        <f ca="1">U3411*'Expenditure Study'!$B$31</f>
        <v>0</v>
      </c>
      <c r="Z3411" s="200">
        <f ca="1">W3411*'Expenditure Study'!$B$31</f>
        <v>0</v>
      </c>
      <c r="AA3411" s="195">
        <f t="shared" ca="1" si="750"/>
        <v>0</v>
      </c>
      <c r="AB3411" s="195">
        <f t="shared" ca="1" si="751"/>
        <v>0</v>
      </c>
      <c r="AD3411" s="196">
        <f>IFERROR($G3411/SUMIF($A:$A,$A3411,$G:$G)*SUMIF(Summary!$A$166:$A$242,$A3411,Summary!$P$166:$P$242),0)</f>
        <v>0</v>
      </c>
      <c r="AE3411" s="197">
        <f t="shared" ca="1" si="752"/>
        <v>0</v>
      </c>
      <c r="AF3411" s="196">
        <f>IFERROR(G3411/SUMIF(A:A,A3411,G:G)*SUMIF(Summary!$A$166:$A$242,'Operations Support'!A3411,Summary!$Q$166:$Q$242),0)</f>
        <v>0</v>
      </c>
      <c r="AG3411" s="196">
        <f t="shared" ca="1" si="753"/>
        <v>0</v>
      </c>
      <c r="AI3411" s="196">
        <f>IFERROR($G3411/SUMIF($A:$A,$A3411,$G:$G)*SUMIF(Summary!$A$247:$A$283,$A3411,Summary!$P$247:$P$283),0)</f>
        <v>0</v>
      </c>
      <c r="AJ3411" s="196">
        <f>IFERROR($G3411/SUMIF($A:$A,$A3411,$G:$G)*(SUMIF(Summary!$A$247:$A$283,$A3411,Summary!$L$247:$L$283)+SUMIF(Summary!$A$297:$A$333,$A3411,Summary!$L$297:$L$333))-AI3411,0)</f>
        <v>0</v>
      </c>
      <c r="AK3411" s="196">
        <f>IFERROR($G3411/SUMIF($A:$A,$A3411,$G:$G)*SUMIF(Summary!$A$247:$A$283,$A3411,Summary!$Q$247:$Q$283),0)</f>
        <v>0</v>
      </c>
      <c r="AL3411" s="196">
        <f>IFERROR($G3411/SUMIF($A:$A,$A3411,$G:$G)*(SUMIF(Summary!$A$247:$A$283,$A3411,Summary!$L$247:$L$283)+SUMIF(Summary!$A$297:$A$333,$A3411,Summary!$L$297:$L$333))-AK3411,0)</f>
        <v>0</v>
      </c>
      <c r="AM3411" s="198"/>
      <c r="AN3411" s="196">
        <f t="shared" ca="1" si="754"/>
        <v>0</v>
      </c>
      <c r="AO3411" s="196">
        <f t="shared" ca="1" si="755"/>
        <v>0</v>
      </c>
    </row>
    <row r="3412" spans="1:41">
      <c r="A3412" s="189">
        <v>13231</v>
      </c>
      <c r="B3412" s="190">
        <v>3</v>
      </c>
      <c r="C3412" s="191" t="s">
        <v>225</v>
      </c>
      <c r="D3412" s="192">
        <f t="shared" si="742"/>
        <v>779</v>
      </c>
      <c r="E3412" s="192">
        <f t="shared" si="743"/>
        <v>276</v>
      </c>
      <c r="F3412" s="192">
        <f t="shared" si="744"/>
        <v>0</v>
      </c>
      <c r="G3412" s="193">
        <f t="shared" si="745"/>
        <v>1055</v>
      </c>
      <c r="H3412" s="194">
        <v>308</v>
      </c>
      <c r="I3412" s="194">
        <v>174</v>
      </c>
      <c r="J3412" s="194">
        <v>0</v>
      </c>
      <c r="K3412" s="193">
        <f t="shared" si="746"/>
        <v>482</v>
      </c>
      <c r="L3412" s="194">
        <v>339</v>
      </c>
      <c r="M3412" s="194">
        <v>69</v>
      </c>
      <c r="N3412" s="194">
        <v>0</v>
      </c>
      <c r="O3412" s="193">
        <f t="shared" si="747"/>
        <v>408</v>
      </c>
      <c r="P3412" s="194">
        <v>132</v>
      </c>
      <c r="Q3412" s="194">
        <v>33</v>
      </c>
      <c r="R3412" s="194">
        <v>0</v>
      </c>
      <c r="S3412" s="193">
        <f t="shared" si="748"/>
        <v>165</v>
      </c>
      <c r="T3412" s="193">
        <f t="shared" si="749"/>
        <v>43.958333333333336</v>
      </c>
      <c r="U3412" s="193">
        <f ca="1">OFFSET('Expenditure Study'!$B$7,'Operations Support'!$C3412,'Operations Support'!$B3412)*$G3412</f>
        <v>7290.05</v>
      </c>
      <c r="V3412" s="199">
        <f ca="1">U3412*'Expenditure Study'!$B$31</f>
        <v>430719.34219103999</v>
      </c>
      <c r="W3412" s="199">
        <f ca="1">IF(A3412=10298,1.51,1)*IF($B3412&lt;3,$D3412*'Expenditure Study'!$B$32*OFFSET('Expenditure Study'!$B$7,'Operations Support'!$C3412,'Operations Support'!$B3412),0)</f>
        <v>0</v>
      </c>
      <c r="X3412" s="200">
        <f ca="1">W3412*'Expenditure Study'!$B$31</f>
        <v>0</v>
      </c>
      <c r="Y3412" s="199">
        <f ca="1">U3412*'Expenditure Study'!$B$31</f>
        <v>430719.34219103999</v>
      </c>
      <c r="Z3412" s="200">
        <f ca="1">W3412*'Expenditure Study'!$B$31</f>
        <v>0</v>
      </c>
      <c r="AA3412" s="195">
        <f t="shared" ca="1" si="750"/>
        <v>430719.34219103999</v>
      </c>
      <c r="AB3412" s="195">
        <f t="shared" ca="1" si="751"/>
        <v>430719.34219103999</v>
      </c>
      <c r="AD3412" s="196">
        <f>IFERROR($G3412/SUMIF($A:$A,$A3412,$G:$G)*SUMIF(Summary!$A$166:$A$242,$A3412,Summary!$P$166:$P$242),0)</f>
        <v>39389.08586812979</v>
      </c>
      <c r="AE3412" s="197">
        <f t="shared" ca="1" si="752"/>
        <v>391330.25632291019</v>
      </c>
      <c r="AF3412" s="196">
        <f>IFERROR(G3412/SUMIF(A:A,A3412,G:G)*SUMIF(Summary!$A$166:$A$242,'Operations Support'!A3412,Summary!$Q$166:$Q$242),0)</f>
        <v>39469.380597624346</v>
      </c>
      <c r="AG3412" s="196">
        <f t="shared" ca="1" si="753"/>
        <v>391249.96159341565</v>
      </c>
      <c r="AI3412" s="196">
        <f>IFERROR($G3412/SUMIF($A:$A,$A3412,$G:$G)*SUMIF(Summary!$A$247:$A$283,$A3412,Summary!$P$247:$P$283),0)</f>
        <v>7183.5863186658817</v>
      </c>
      <c r="AJ3412" s="196">
        <f>IFERROR($G3412/SUMIF($A:$A,$A3412,$G:$G)*(SUMIF(Summary!$A$247:$A$283,$A3412,Summary!$L$247:$L$283)+SUMIF(Summary!$A$297:$A$333,$A3412,Summary!$L$297:$L$333))-AI3412,0)</f>
        <v>30257.753707193944</v>
      </c>
      <c r="AK3412" s="196">
        <f>IFERROR($G3412/SUMIF($A:$A,$A3412,$G:$G)*SUMIF(Summary!$A$247:$A$283,$A3412,Summary!$Q$247:$Q$283),0)</f>
        <v>7198.2300735930467</v>
      </c>
      <c r="AL3412" s="196">
        <f>IFERROR($G3412/SUMIF($A:$A,$A3412,$G:$G)*(SUMIF(Summary!$A$247:$A$283,$A3412,Summary!$L$247:$L$283)+SUMIF(Summary!$A$297:$A$333,$A3412,Summary!$L$297:$L$333))-AK3412,0)</f>
        <v>30243.109952266779</v>
      </c>
      <c r="AM3412" s="198"/>
      <c r="AN3412" s="196">
        <f t="shared" ca="1" si="754"/>
        <v>421588.01003010414</v>
      </c>
      <c r="AO3412" s="196">
        <f t="shared" ca="1" si="755"/>
        <v>421493.07154568244</v>
      </c>
    </row>
    <row r="3413" spans="1:41">
      <c r="A3413" s="189">
        <v>13231</v>
      </c>
      <c r="B3413" s="190">
        <v>3</v>
      </c>
      <c r="C3413" s="191" t="s">
        <v>226</v>
      </c>
      <c r="D3413" s="192">
        <f t="shared" si="742"/>
        <v>0</v>
      </c>
      <c r="E3413" s="192">
        <f t="shared" si="743"/>
        <v>0</v>
      </c>
      <c r="F3413" s="192">
        <f t="shared" si="744"/>
        <v>0</v>
      </c>
      <c r="G3413" s="193">
        <f t="shared" si="745"/>
        <v>0</v>
      </c>
      <c r="H3413" s="194">
        <v>0</v>
      </c>
      <c r="I3413" s="194">
        <v>0</v>
      </c>
      <c r="J3413" s="194">
        <v>0</v>
      </c>
      <c r="K3413" s="193">
        <f t="shared" si="746"/>
        <v>0</v>
      </c>
      <c r="L3413" s="194">
        <v>0</v>
      </c>
      <c r="M3413" s="194">
        <v>0</v>
      </c>
      <c r="N3413" s="194">
        <v>0</v>
      </c>
      <c r="O3413" s="193">
        <f t="shared" si="747"/>
        <v>0</v>
      </c>
      <c r="P3413" s="194">
        <v>0</v>
      </c>
      <c r="Q3413" s="194">
        <v>0</v>
      </c>
      <c r="R3413" s="194">
        <v>0</v>
      </c>
      <c r="S3413" s="193">
        <f t="shared" si="748"/>
        <v>0</v>
      </c>
      <c r="T3413" s="193">
        <f t="shared" si="749"/>
        <v>0</v>
      </c>
      <c r="U3413" s="193">
        <f ca="1">OFFSET('Expenditure Study'!$B$7,'Operations Support'!$C3413,'Operations Support'!$B3413)*$G3413</f>
        <v>0</v>
      </c>
      <c r="V3413" s="199">
        <f ca="1">U3413*'Expenditure Study'!$B$31</f>
        <v>0</v>
      </c>
      <c r="W3413" s="199">
        <f ca="1">IF(A3413=10298,1.51,1)*IF($B3413&lt;3,$D3413*'Expenditure Study'!$B$32*OFFSET('Expenditure Study'!$B$7,'Operations Support'!$C3413,'Operations Support'!$B3413),0)</f>
        <v>0</v>
      </c>
      <c r="X3413" s="200">
        <f ca="1">W3413*'Expenditure Study'!$B$31</f>
        <v>0</v>
      </c>
      <c r="Y3413" s="199">
        <f ca="1">U3413*'Expenditure Study'!$B$31</f>
        <v>0</v>
      </c>
      <c r="Z3413" s="200">
        <f ca="1">W3413*'Expenditure Study'!$B$31</f>
        <v>0</v>
      </c>
      <c r="AA3413" s="195">
        <f t="shared" ca="1" si="750"/>
        <v>0</v>
      </c>
      <c r="AB3413" s="195">
        <f t="shared" ca="1" si="751"/>
        <v>0</v>
      </c>
      <c r="AD3413" s="196">
        <f>IFERROR($G3413/SUMIF($A:$A,$A3413,$G:$G)*SUMIF(Summary!$A$166:$A$242,$A3413,Summary!$P$166:$P$242),0)</f>
        <v>0</v>
      </c>
      <c r="AE3413" s="197">
        <f t="shared" ca="1" si="752"/>
        <v>0</v>
      </c>
      <c r="AF3413" s="196">
        <f>IFERROR(G3413/SUMIF(A:A,A3413,G:G)*SUMIF(Summary!$A$166:$A$242,'Operations Support'!A3413,Summary!$Q$166:$Q$242),0)</f>
        <v>0</v>
      </c>
      <c r="AG3413" s="196">
        <f t="shared" ca="1" si="753"/>
        <v>0</v>
      </c>
      <c r="AI3413" s="196">
        <f>IFERROR($G3413/SUMIF($A:$A,$A3413,$G:$G)*SUMIF(Summary!$A$247:$A$283,$A3413,Summary!$P$247:$P$283),0)</f>
        <v>0</v>
      </c>
      <c r="AJ3413" s="196">
        <f>IFERROR($G3413/SUMIF($A:$A,$A3413,$G:$G)*(SUMIF(Summary!$A$247:$A$283,$A3413,Summary!$L$247:$L$283)+SUMIF(Summary!$A$297:$A$333,$A3413,Summary!$L$297:$L$333))-AI3413,0)</f>
        <v>0</v>
      </c>
      <c r="AK3413" s="196">
        <f>IFERROR($G3413/SUMIF($A:$A,$A3413,$G:$G)*SUMIF(Summary!$A$247:$A$283,$A3413,Summary!$Q$247:$Q$283),0)</f>
        <v>0</v>
      </c>
      <c r="AL3413" s="196">
        <f>IFERROR($G3413/SUMIF($A:$A,$A3413,$G:$G)*(SUMIF(Summary!$A$247:$A$283,$A3413,Summary!$L$247:$L$283)+SUMIF(Summary!$A$297:$A$333,$A3413,Summary!$L$297:$L$333))-AK3413,0)</f>
        <v>0</v>
      </c>
      <c r="AM3413" s="198"/>
      <c r="AN3413" s="196">
        <f t="shared" ca="1" si="754"/>
        <v>0</v>
      </c>
      <c r="AO3413" s="196">
        <f t="shared" ca="1" si="755"/>
        <v>0</v>
      </c>
    </row>
    <row r="3414" spans="1:41">
      <c r="A3414" s="189">
        <v>13231</v>
      </c>
      <c r="B3414" s="190">
        <v>3</v>
      </c>
      <c r="C3414" s="191" t="s">
        <v>227</v>
      </c>
      <c r="D3414" s="192">
        <f t="shared" si="742"/>
        <v>0</v>
      </c>
      <c r="E3414" s="192">
        <f t="shared" si="743"/>
        <v>0</v>
      </c>
      <c r="F3414" s="192">
        <f t="shared" si="744"/>
        <v>0</v>
      </c>
      <c r="G3414" s="193">
        <f t="shared" si="745"/>
        <v>0</v>
      </c>
      <c r="H3414" s="194">
        <v>0</v>
      </c>
      <c r="I3414" s="194">
        <v>0</v>
      </c>
      <c r="J3414" s="194">
        <v>0</v>
      </c>
      <c r="K3414" s="193">
        <f t="shared" si="746"/>
        <v>0</v>
      </c>
      <c r="L3414" s="194">
        <v>0</v>
      </c>
      <c r="M3414" s="194">
        <v>0</v>
      </c>
      <c r="N3414" s="194">
        <v>0</v>
      </c>
      <c r="O3414" s="193">
        <f t="shared" si="747"/>
        <v>0</v>
      </c>
      <c r="P3414" s="194">
        <v>0</v>
      </c>
      <c r="Q3414" s="194">
        <v>0</v>
      </c>
      <c r="R3414" s="194">
        <v>0</v>
      </c>
      <c r="S3414" s="193">
        <f t="shared" si="748"/>
        <v>0</v>
      </c>
      <c r="T3414" s="193">
        <f t="shared" si="749"/>
        <v>0</v>
      </c>
      <c r="U3414" s="193">
        <f ca="1">OFFSET('Expenditure Study'!$B$7,'Operations Support'!$C3414,'Operations Support'!$B3414)*$G3414</f>
        <v>0</v>
      </c>
      <c r="V3414" s="199">
        <f ca="1">U3414*'Expenditure Study'!$B$31</f>
        <v>0</v>
      </c>
      <c r="W3414" s="199">
        <f ca="1">IF(A3414=10298,1.51,1)*IF($B3414&lt;3,$D3414*'Expenditure Study'!$B$32*OFFSET('Expenditure Study'!$B$7,'Operations Support'!$C3414,'Operations Support'!$B3414),0)</f>
        <v>0</v>
      </c>
      <c r="X3414" s="200">
        <f ca="1">W3414*'Expenditure Study'!$B$31</f>
        <v>0</v>
      </c>
      <c r="Y3414" s="199">
        <f ca="1">U3414*'Expenditure Study'!$B$31</f>
        <v>0</v>
      </c>
      <c r="Z3414" s="200">
        <f ca="1">W3414*'Expenditure Study'!$B$31</f>
        <v>0</v>
      </c>
      <c r="AA3414" s="195">
        <f t="shared" ca="1" si="750"/>
        <v>0</v>
      </c>
      <c r="AB3414" s="195">
        <f t="shared" ca="1" si="751"/>
        <v>0</v>
      </c>
      <c r="AD3414" s="196">
        <f>IFERROR($G3414/SUMIF($A:$A,$A3414,$G:$G)*SUMIF(Summary!$A$166:$A$242,$A3414,Summary!$P$166:$P$242),0)</f>
        <v>0</v>
      </c>
      <c r="AE3414" s="197">
        <f t="shared" ca="1" si="752"/>
        <v>0</v>
      </c>
      <c r="AF3414" s="196">
        <f>IFERROR(G3414/SUMIF(A:A,A3414,G:G)*SUMIF(Summary!$A$166:$A$242,'Operations Support'!A3414,Summary!$Q$166:$Q$242),0)</f>
        <v>0</v>
      </c>
      <c r="AG3414" s="196">
        <f t="shared" ca="1" si="753"/>
        <v>0</v>
      </c>
      <c r="AI3414" s="196">
        <f>IFERROR($G3414/SUMIF($A:$A,$A3414,$G:$G)*SUMIF(Summary!$A$247:$A$283,$A3414,Summary!$P$247:$P$283),0)</f>
        <v>0</v>
      </c>
      <c r="AJ3414" s="196">
        <f>IFERROR($G3414/SUMIF($A:$A,$A3414,$G:$G)*(SUMIF(Summary!$A$247:$A$283,$A3414,Summary!$L$247:$L$283)+SUMIF(Summary!$A$297:$A$333,$A3414,Summary!$L$297:$L$333))-AI3414,0)</f>
        <v>0</v>
      </c>
      <c r="AK3414" s="196">
        <f>IFERROR($G3414/SUMIF($A:$A,$A3414,$G:$G)*SUMIF(Summary!$A$247:$A$283,$A3414,Summary!$Q$247:$Q$283),0)</f>
        <v>0</v>
      </c>
      <c r="AL3414" s="196">
        <f>IFERROR($G3414/SUMIF($A:$A,$A3414,$G:$G)*(SUMIF(Summary!$A$247:$A$283,$A3414,Summary!$L$247:$L$283)+SUMIF(Summary!$A$297:$A$333,$A3414,Summary!$L$297:$L$333))-AK3414,0)</f>
        <v>0</v>
      </c>
      <c r="AM3414" s="198"/>
      <c r="AN3414" s="196">
        <f t="shared" ca="1" si="754"/>
        <v>0</v>
      </c>
      <c r="AO3414" s="196">
        <f t="shared" ca="1" si="755"/>
        <v>0</v>
      </c>
    </row>
    <row r="3415" spans="1:41">
      <c r="A3415" s="189">
        <v>13231</v>
      </c>
      <c r="B3415" s="190">
        <v>3</v>
      </c>
      <c r="C3415" s="191" t="s">
        <v>228</v>
      </c>
      <c r="D3415" s="192">
        <f t="shared" si="742"/>
        <v>0</v>
      </c>
      <c r="E3415" s="192">
        <f t="shared" si="743"/>
        <v>0</v>
      </c>
      <c r="F3415" s="192">
        <f t="shared" si="744"/>
        <v>0</v>
      </c>
      <c r="G3415" s="193">
        <f t="shared" si="745"/>
        <v>0</v>
      </c>
      <c r="H3415" s="194">
        <v>0</v>
      </c>
      <c r="I3415" s="194">
        <v>0</v>
      </c>
      <c r="J3415" s="194">
        <v>0</v>
      </c>
      <c r="K3415" s="193">
        <f t="shared" si="746"/>
        <v>0</v>
      </c>
      <c r="L3415" s="194">
        <v>0</v>
      </c>
      <c r="M3415" s="194">
        <v>0</v>
      </c>
      <c r="N3415" s="194">
        <v>0</v>
      </c>
      <c r="O3415" s="193">
        <f t="shared" si="747"/>
        <v>0</v>
      </c>
      <c r="P3415" s="194">
        <v>0</v>
      </c>
      <c r="Q3415" s="194">
        <v>0</v>
      </c>
      <c r="R3415" s="194">
        <v>0</v>
      </c>
      <c r="S3415" s="193">
        <f t="shared" si="748"/>
        <v>0</v>
      </c>
      <c r="T3415" s="193">
        <f t="shared" si="749"/>
        <v>0</v>
      </c>
      <c r="U3415" s="193">
        <f ca="1">OFFSET('Expenditure Study'!$B$7,'Operations Support'!$C3415,'Operations Support'!$B3415)*$G3415</f>
        <v>0</v>
      </c>
      <c r="V3415" s="199">
        <f ca="1">U3415*'Expenditure Study'!$B$31</f>
        <v>0</v>
      </c>
      <c r="W3415" s="199">
        <f ca="1">IF(A3415=10298,1.51,1)*IF($B3415&lt;3,$D3415*'Expenditure Study'!$B$32*OFFSET('Expenditure Study'!$B$7,'Operations Support'!$C3415,'Operations Support'!$B3415),0)</f>
        <v>0</v>
      </c>
      <c r="X3415" s="200">
        <f ca="1">W3415*'Expenditure Study'!$B$31</f>
        <v>0</v>
      </c>
      <c r="Y3415" s="199">
        <f ca="1">U3415*'Expenditure Study'!$B$31</f>
        <v>0</v>
      </c>
      <c r="Z3415" s="200">
        <f ca="1">W3415*'Expenditure Study'!$B$31</f>
        <v>0</v>
      </c>
      <c r="AA3415" s="195">
        <f t="shared" ca="1" si="750"/>
        <v>0</v>
      </c>
      <c r="AB3415" s="195">
        <f t="shared" ca="1" si="751"/>
        <v>0</v>
      </c>
      <c r="AD3415" s="196">
        <f>IFERROR($G3415/SUMIF($A:$A,$A3415,$G:$G)*SUMIF(Summary!$A$166:$A$242,$A3415,Summary!$P$166:$P$242),0)</f>
        <v>0</v>
      </c>
      <c r="AE3415" s="197">
        <f t="shared" ca="1" si="752"/>
        <v>0</v>
      </c>
      <c r="AF3415" s="196">
        <f>IFERROR(G3415/SUMIF(A:A,A3415,G:G)*SUMIF(Summary!$A$166:$A$242,'Operations Support'!A3415,Summary!$Q$166:$Q$242),0)</f>
        <v>0</v>
      </c>
      <c r="AG3415" s="196">
        <f t="shared" ca="1" si="753"/>
        <v>0</v>
      </c>
      <c r="AI3415" s="196">
        <f>IFERROR($G3415/SUMIF($A:$A,$A3415,$G:$G)*SUMIF(Summary!$A$247:$A$283,$A3415,Summary!$P$247:$P$283),0)</f>
        <v>0</v>
      </c>
      <c r="AJ3415" s="196">
        <f>IFERROR($G3415/SUMIF($A:$A,$A3415,$G:$G)*(SUMIF(Summary!$A$247:$A$283,$A3415,Summary!$L$247:$L$283)+SUMIF(Summary!$A$297:$A$333,$A3415,Summary!$L$297:$L$333))-AI3415,0)</f>
        <v>0</v>
      </c>
      <c r="AK3415" s="196">
        <f>IFERROR($G3415/SUMIF($A:$A,$A3415,$G:$G)*SUMIF(Summary!$A$247:$A$283,$A3415,Summary!$Q$247:$Q$283),0)</f>
        <v>0</v>
      </c>
      <c r="AL3415" s="196">
        <f>IFERROR($G3415/SUMIF($A:$A,$A3415,$G:$G)*(SUMIF(Summary!$A$247:$A$283,$A3415,Summary!$L$247:$L$283)+SUMIF(Summary!$A$297:$A$333,$A3415,Summary!$L$297:$L$333))-AK3415,0)</f>
        <v>0</v>
      </c>
      <c r="AM3415" s="198"/>
      <c r="AN3415" s="196">
        <f t="shared" ca="1" si="754"/>
        <v>0</v>
      </c>
      <c r="AO3415" s="196">
        <f t="shared" ca="1" si="755"/>
        <v>0</v>
      </c>
    </row>
    <row r="3416" spans="1:41">
      <c r="A3416" s="189">
        <v>13231</v>
      </c>
      <c r="B3416" s="190">
        <v>3</v>
      </c>
      <c r="C3416" s="191" t="s">
        <v>229</v>
      </c>
      <c r="D3416" s="192">
        <f t="shared" si="742"/>
        <v>0</v>
      </c>
      <c r="E3416" s="192">
        <f t="shared" si="743"/>
        <v>0</v>
      </c>
      <c r="F3416" s="192">
        <f t="shared" si="744"/>
        <v>0</v>
      </c>
      <c r="G3416" s="193">
        <f t="shared" si="745"/>
        <v>0</v>
      </c>
      <c r="H3416" s="194">
        <v>0</v>
      </c>
      <c r="I3416" s="194">
        <v>0</v>
      </c>
      <c r="J3416" s="194">
        <v>0</v>
      </c>
      <c r="K3416" s="193">
        <f t="shared" si="746"/>
        <v>0</v>
      </c>
      <c r="L3416" s="194">
        <v>0</v>
      </c>
      <c r="M3416" s="194">
        <v>0</v>
      </c>
      <c r="N3416" s="194">
        <v>0</v>
      </c>
      <c r="O3416" s="193">
        <f t="shared" si="747"/>
        <v>0</v>
      </c>
      <c r="P3416" s="194">
        <v>0</v>
      </c>
      <c r="Q3416" s="194">
        <v>0</v>
      </c>
      <c r="R3416" s="194">
        <v>0</v>
      </c>
      <c r="S3416" s="193">
        <f t="shared" si="748"/>
        <v>0</v>
      </c>
      <c r="T3416" s="193">
        <f t="shared" si="749"/>
        <v>0</v>
      </c>
      <c r="U3416" s="193">
        <f ca="1">OFFSET('Expenditure Study'!$B$7,'Operations Support'!$C3416,'Operations Support'!$B3416)*$G3416</f>
        <v>0</v>
      </c>
      <c r="V3416" s="199">
        <f ca="1">U3416*'Expenditure Study'!$B$31</f>
        <v>0</v>
      </c>
      <c r="W3416" s="199">
        <f ca="1">IF(A3416=10298,1.51,1)*IF($B3416&lt;3,$D3416*'Expenditure Study'!$B$32*OFFSET('Expenditure Study'!$B$7,'Operations Support'!$C3416,'Operations Support'!$B3416),0)</f>
        <v>0</v>
      </c>
      <c r="X3416" s="200">
        <f ca="1">W3416*'Expenditure Study'!$B$31</f>
        <v>0</v>
      </c>
      <c r="Y3416" s="199">
        <f ca="1">U3416*'Expenditure Study'!$B$31</f>
        <v>0</v>
      </c>
      <c r="Z3416" s="200">
        <f ca="1">W3416*'Expenditure Study'!$B$31</f>
        <v>0</v>
      </c>
      <c r="AA3416" s="195">
        <f t="shared" ca="1" si="750"/>
        <v>0</v>
      </c>
      <c r="AB3416" s="195">
        <f t="shared" ca="1" si="751"/>
        <v>0</v>
      </c>
      <c r="AD3416" s="196">
        <f>IFERROR($G3416/SUMIF($A:$A,$A3416,$G:$G)*SUMIF(Summary!$A$166:$A$242,$A3416,Summary!$P$166:$P$242),0)</f>
        <v>0</v>
      </c>
      <c r="AE3416" s="197">
        <f t="shared" ca="1" si="752"/>
        <v>0</v>
      </c>
      <c r="AF3416" s="196">
        <f>IFERROR(G3416/SUMIF(A:A,A3416,G:G)*SUMIF(Summary!$A$166:$A$242,'Operations Support'!A3416,Summary!$Q$166:$Q$242),0)</f>
        <v>0</v>
      </c>
      <c r="AG3416" s="196">
        <f t="shared" ca="1" si="753"/>
        <v>0</v>
      </c>
      <c r="AI3416" s="196">
        <f>IFERROR($G3416/SUMIF($A:$A,$A3416,$G:$G)*SUMIF(Summary!$A$247:$A$283,$A3416,Summary!$P$247:$P$283),0)</f>
        <v>0</v>
      </c>
      <c r="AJ3416" s="196">
        <f>IFERROR($G3416/SUMIF($A:$A,$A3416,$G:$G)*(SUMIF(Summary!$A$247:$A$283,$A3416,Summary!$L$247:$L$283)+SUMIF(Summary!$A$297:$A$333,$A3416,Summary!$L$297:$L$333))-AI3416,0)</f>
        <v>0</v>
      </c>
      <c r="AK3416" s="196">
        <f>IFERROR($G3416/SUMIF($A:$A,$A3416,$G:$G)*SUMIF(Summary!$A$247:$A$283,$A3416,Summary!$Q$247:$Q$283),0)</f>
        <v>0</v>
      </c>
      <c r="AL3416" s="196">
        <f>IFERROR($G3416/SUMIF($A:$A,$A3416,$G:$G)*(SUMIF(Summary!$A$247:$A$283,$A3416,Summary!$L$247:$L$283)+SUMIF(Summary!$A$297:$A$333,$A3416,Summary!$L$297:$L$333))-AK3416,0)</f>
        <v>0</v>
      </c>
      <c r="AM3416" s="198"/>
      <c r="AN3416" s="196">
        <f t="shared" ca="1" si="754"/>
        <v>0</v>
      </c>
      <c r="AO3416" s="196">
        <f t="shared" ca="1" si="755"/>
        <v>0</v>
      </c>
    </row>
    <row r="3417" spans="1:41">
      <c r="A3417" s="189">
        <v>13231</v>
      </c>
      <c r="B3417" s="190">
        <v>3</v>
      </c>
      <c r="C3417" s="191" t="s">
        <v>230</v>
      </c>
      <c r="D3417" s="192">
        <f t="shared" si="742"/>
        <v>0</v>
      </c>
      <c r="E3417" s="192">
        <f t="shared" si="743"/>
        <v>0</v>
      </c>
      <c r="F3417" s="192">
        <f t="shared" si="744"/>
        <v>0</v>
      </c>
      <c r="G3417" s="193">
        <f t="shared" si="745"/>
        <v>0</v>
      </c>
      <c r="H3417" s="194">
        <v>0</v>
      </c>
      <c r="I3417" s="194">
        <v>0</v>
      </c>
      <c r="J3417" s="194">
        <v>0</v>
      </c>
      <c r="K3417" s="193">
        <f t="shared" si="746"/>
        <v>0</v>
      </c>
      <c r="L3417" s="194">
        <v>0</v>
      </c>
      <c r="M3417" s="194">
        <v>0</v>
      </c>
      <c r="N3417" s="194">
        <v>0</v>
      </c>
      <c r="O3417" s="193">
        <f t="shared" si="747"/>
        <v>0</v>
      </c>
      <c r="P3417" s="194">
        <v>0</v>
      </c>
      <c r="Q3417" s="194">
        <v>0</v>
      </c>
      <c r="R3417" s="194">
        <v>0</v>
      </c>
      <c r="S3417" s="193">
        <f t="shared" si="748"/>
        <v>0</v>
      </c>
      <c r="T3417" s="193">
        <f t="shared" si="749"/>
        <v>0</v>
      </c>
      <c r="U3417" s="193">
        <f ca="1">OFFSET('Expenditure Study'!$B$7,'Operations Support'!$C3417,'Operations Support'!$B3417)*$G3417</f>
        <v>0</v>
      </c>
      <c r="V3417" s="199">
        <f ca="1">U3417*'Expenditure Study'!$B$31</f>
        <v>0</v>
      </c>
      <c r="W3417" s="199">
        <f ca="1">IF(A3417=10298,1.51,1)*IF($B3417&lt;3,$D3417*'Expenditure Study'!$B$32*OFFSET('Expenditure Study'!$B$7,'Operations Support'!$C3417,'Operations Support'!$B3417),0)</f>
        <v>0</v>
      </c>
      <c r="X3417" s="200">
        <f ca="1">W3417*'Expenditure Study'!$B$31</f>
        <v>0</v>
      </c>
      <c r="Y3417" s="199">
        <f ca="1">U3417*'Expenditure Study'!$B$31</f>
        <v>0</v>
      </c>
      <c r="Z3417" s="200">
        <f ca="1">W3417*'Expenditure Study'!$B$31</f>
        <v>0</v>
      </c>
      <c r="AA3417" s="195">
        <f t="shared" ca="1" si="750"/>
        <v>0</v>
      </c>
      <c r="AB3417" s="195">
        <f t="shared" ca="1" si="751"/>
        <v>0</v>
      </c>
      <c r="AD3417" s="196">
        <f>IFERROR($G3417/SUMIF($A:$A,$A3417,$G:$G)*SUMIF(Summary!$A$166:$A$242,$A3417,Summary!$P$166:$P$242),0)</f>
        <v>0</v>
      </c>
      <c r="AE3417" s="197">
        <f t="shared" ca="1" si="752"/>
        <v>0</v>
      </c>
      <c r="AF3417" s="196">
        <f>IFERROR(G3417/SUMIF(A:A,A3417,G:G)*SUMIF(Summary!$A$166:$A$242,'Operations Support'!A3417,Summary!$Q$166:$Q$242),0)</f>
        <v>0</v>
      </c>
      <c r="AG3417" s="196">
        <f t="shared" ca="1" si="753"/>
        <v>0</v>
      </c>
      <c r="AI3417" s="196">
        <f>IFERROR($G3417/SUMIF($A:$A,$A3417,$G:$G)*SUMIF(Summary!$A$247:$A$283,$A3417,Summary!$P$247:$P$283),0)</f>
        <v>0</v>
      </c>
      <c r="AJ3417" s="196">
        <f>IFERROR($G3417/SUMIF($A:$A,$A3417,$G:$G)*(SUMIF(Summary!$A$247:$A$283,$A3417,Summary!$L$247:$L$283)+SUMIF(Summary!$A$297:$A$333,$A3417,Summary!$L$297:$L$333))-AI3417,0)</f>
        <v>0</v>
      </c>
      <c r="AK3417" s="196">
        <f>IFERROR($G3417/SUMIF($A:$A,$A3417,$G:$G)*SUMIF(Summary!$A$247:$A$283,$A3417,Summary!$Q$247:$Q$283),0)</f>
        <v>0</v>
      </c>
      <c r="AL3417" s="196">
        <f>IFERROR($G3417/SUMIF($A:$A,$A3417,$G:$G)*(SUMIF(Summary!$A$247:$A$283,$A3417,Summary!$L$247:$L$283)+SUMIF(Summary!$A$297:$A$333,$A3417,Summary!$L$297:$L$333))-AK3417,0)</f>
        <v>0</v>
      </c>
      <c r="AM3417" s="198"/>
      <c r="AN3417" s="196">
        <f t="shared" ca="1" si="754"/>
        <v>0</v>
      </c>
      <c r="AO3417" s="196">
        <f t="shared" ca="1" si="755"/>
        <v>0</v>
      </c>
    </row>
    <row r="3418" spans="1:41">
      <c r="A3418" s="189">
        <v>13231</v>
      </c>
      <c r="B3418" s="190">
        <v>3</v>
      </c>
      <c r="C3418" s="191" t="s">
        <v>231</v>
      </c>
      <c r="D3418" s="192">
        <f t="shared" si="742"/>
        <v>0</v>
      </c>
      <c r="E3418" s="192">
        <f t="shared" si="743"/>
        <v>0</v>
      </c>
      <c r="F3418" s="192">
        <f t="shared" si="744"/>
        <v>0</v>
      </c>
      <c r="G3418" s="193">
        <f t="shared" si="745"/>
        <v>0</v>
      </c>
      <c r="H3418" s="194">
        <v>0</v>
      </c>
      <c r="I3418" s="194">
        <v>0</v>
      </c>
      <c r="J3418" s="194">
        <v>0</v>
      </c>
      <c r="K3418" s="193">
        <f t="shared" si="746"/>
        <v>0</v>
      </c>
      <c r="L3418" s="194">
        <v>0</v>
      </c>
      <c r="M3418" s="194">
        <v>0</v>
      </c>
      <c r="N3418" s="194">
        <v>0</v>
      </c>
      <c r="O3418" s="193">
        <f t="shared" si="747"/>
        <v>0</v>
      </c>
      <c r="P3418" s="194">
        <v>0</v>
      </c>
      <c r="Q3418" s="194">
        <v>0</v>
      </c>
      <c r="R3418" s="194">
        <v>0</v>
      </c>
      <c r="S3418" s="193">
        <f t="shared" si="748"/>
        <v>0</v>
      </c>
      <c r="T3418" s="193">
        <f t="shared" si="749"/>
        <v>0</v>
      </c>
      <c r="U3418" s="193">
        <f ca="1">OFFSET('Expenditure Study'!$B$7,'Operations Support'!$C3418,'Operations Support'!$B3418)*$G3418</f>
        <v>0</v>
      </c>
      <c r="V3418" s="199">
        <f ca="1">U3418*'Expenditure Study'!$B$31</f>
        <v>0</v>
      </c>
      <c r="W3418" s="199">
        <f ca="1">IF(A3418=10298,1.51,1)*IF($B3418&lt;3,$D3418*'Expenditure Study'!$B$32*OFFSET('Expenditure Study'!$B$7,'Operations Support'!$C3418,'Operations Support'!$B3418),0)</f>
        <v>0</v>
      </c>
      <c r="X3418" s="200">
        <f ca="1">W3418*'Expenditure Study'!$B$31</f>
        <v>0</v>
      </c>
      <c r="Y3418" s="199">
        <f ca="1">U3418*'Expenditure Study'!$B$31</f>
        <v>0</v>
      </c>
      <c r="Z3418" s="200">
        <f ca="1">W3418*'Expenditure Study'!$B$31</f>
        <v>0</v>
      </c>
      <c r="AA3418" s="195">
        <f t="shared" ca="1" si="750"/>
        <v>0</v>
      </c>
      <c r="AB3418" s="195">
        <f t="shared" ca="1" si="751"/>
        <v>0</v>
      </c>
      <c r="AD3418" s="196">
        <f>IFERROR($G3418/SUMIF($A:$A,$A3418,$G:$G)*SUMIF(Summary!$A$166:$A$242,$A3418,Summary!$P$166:$P$242),0)</f>
        <v>0</v>
      </c>
      <c r="AE3418" s="197">
        <f t="shared" ca="1" si="752"/>
        <v>0</v>
      </c>
      <c r="AF3418" s="196">
        <f>IFERROR(G3418/SUMIF(A:A,A3418,G:G)*SUMIF(Summary!$A$166:$A$242,'Operations Support'!A3418,Summary!$Q$166:$Q$242),0)</f>
        <v>0</v>
      </c>
      <c r="AG3418" s="196">
        <f t="shared" ca="1" si="753"/>
        <v>0</v>
      </c>
      <c r="AI3418" s="196">
        <f>IFERROR($G3418/SUMIF($A:$A,$A3418,$G:$G)*SUMIF(Summary!$A$247:$A$283,$A3418,Summary!$P$247:$P$283),0)</f>
        <v>0</v>
      </c>
      <c r="AJ3418" s="196">
        <f>IFERROR($G3418/SUMIF($A:$A,$A3418,$G:$G)*(SUMIF(Summary!$A$247:$A$283,$A3418,Summary!$L$247:$L$283)+SUMIF(Summary!$A$297:$A$333,$A3418,Summary!$L$297:$L$333))-AI3418,0)</f>
        <v>0</v>
      </c>
      <c r="AK3418" s="196">
        <f>IFERROR($G3418/SUMIF($A:$A,$A3418,$G:$G)*SUMIF(Summary!$A$247:$A$283,$A3418,Summary!$Q$247:$Q$283),0)</f>
        <v>0</v>
      </c>
      <c r="AL3418" s="196">
        <f>IFERROR($G3418/SUMIF($A:$A,$A3418,$G:$G)*(SUMIF(Summary!$A$247:$A$283,$A3418,Summary!$L$247:$L$283)+SUMIF(Summary!$A$297:$A$333,$A3418,Summary!$L$297:$L$333))-AK3418,0)</f>
        <v>0</v>
      </c>
      <c r="AM3418" s="198"/>
      <c r="AN3418" s="196">
        <f t="shared" ca="1" si="754"/>
        <v>0</v>
      </c>
      <c r="AO3418" s="196">
        <f t="shared" ca="1" si="755"/>
        <v>0</v>
      </c>
    </row>
    <row r="3419" spans="1:41">
      <c r="A3419" s="189">
        <v>13231</v>
      </c>
      <c r="B3419" s="190">
        <v>3</v>
      </c>
      <c r="C3419" s="191" t="s">
        <v>232</v>
      </c>
      <c r="D3419" s="192">
        <f t="shared" si="742"/>
        <v>0</v>
      </c>
      <c r="E3419" s="192">
        <f t="shared" si="743"/>
        <v>0</v>
      </c>
      <c r="F3419" s="192">
        <f t="shared" si="744"/>
        <v>0</v>
      </c>
      <c r="G3419" s="193">
        <f t="shared" si="745"/>
        <v>0</v>
      </c>
      <c r="H3419" s="194">
        <v>0</v>
      </c>
      <c r="I3419" s="194">
        <v>0</v>
      </c>
      <c r="J3419" s="194">
        <v>0</v>
      </c>
      <c r="K3419" s="193">
        <f t="shared" si="746"/>
        <v>0</v>
      </c>
      <c r="L3419" s="194">
        <v>0</v>
      </c>
      <c r="M3419" s="194">
        <v>0</v>
      </c>
      <c r="N3419" s="194">
        <v>0</v>
      </c>
      <c r="O3419" s="193">
        <f t="shared" si="747"/>
        <v>0</v>
      </c>
      <c r="P3419" s="194">
        <v>0</v>
      </c>
      <c r="Q3419" s="194">
        <v>0</v>
      </c>
      <c r="R3419" s="194">
        <v>0</v>
      </c>
      <c r="S3419" s="193">
        <f t="shared" si="748"/>
        <v>0</v>
      </c>
      <c r="T3419" s="193">
        <f t="shared" si="749"/>
        <v>0</v>
      </c>
      <c r="U3419" s="193">
        <f ca="1">OFFSET('Expenditure Study'!$B$7,'Operations Support'!$C3419,'Operations Support'!$B3419)*$G3419</f>
        <v>0</v>
      </c>
      <c r="V3419" s="199">
        <f ca="1">U3419*'Expenditure Study'!$B$31</f>
        <v>0</v>
      </c>
      <c r="W3419" s="199">
        <f ca="1">IF(A3419=10298,1.51,1)*IF($B3419&lt;3,$D3419*'Expenditure Study'!$B$32*OFFSET('Expenditure Study'!$B$7,'Operations Support'!$C3419,'Operations Support'!$B3419),0)</f>
        <v>0</v>
      </c>
      <c r="X3419" s="200">
        <f ca="1">W3419*'Expenditure Study'!$B$31</f>
        <v>0</v>
      </c>
      <c r="Y3419" s="199">
        <f ca="1">U3419*'Expenditure Study'!$B$31</f>
        <v>0</v>
      </c>
      <c r="Z3419" s="200">
        <f ca="1">W3419*'Expenditure Study'!$B$31</f>
        <v>0</v>
      </c>
      <c r="AA3419" s="195">
        <f t="shared" ca="1" si="750"/>
        <v>0</v>
      </c>
      <c r="AB3419" s="195">
        <f t="shared" ca="1" si="751"/>
        <v>0</v>
      </c>
      <c r="AD3419" s="196">
        <f>IFERROR($G3419/SUMIF($A:$A,$A3419,$G:$G)*SUMIF(Summary!$A$166:$A$242,$A3419,Summary!$P$166:$P$242),0)</f>
        <v>0</v>
      </c>
      <c r="AE3419" s="197">
        <f t="shared" ca="1" si="752"/>
        <v>0</v>
      </c>
      <c r="AF3419" s="196">
        <f>IFERROR(G3419/SUMIF(A:A,A3419,G:G)*SUMIF(Summary!$A$166:$A$242,'Operations Support'!A3419,Summary!$Q$166:$Q$242),0)</f>
        <v>0</v>
      </c>
      <c r="AG3419" s="196">
        <f t="shared" ca="1" si="753"/>
        <v>0</v>
      </c>
      <c r="AI3419" s="196">
        <f>IFERROR($G3419/SUMIF($A:$A,$A3419,$G:$G)*SUMIF(Summary!$A$247:$A$283,$A3419,Summary!$P$247:$P$283),0)</f>
        <v>0</v>
      </c>
      <c r="AJ3419" s="196">
        <f>IFERROR($G3419/SUMIF($A:$A,$A3419,$G:$G)*(SUMIF(Summary!$A$247:$A$283,$A3419,Summary!$L$247:$L$283)+SUMIF(Summary!$A$297:$A$333,$A3419,Summary!$L$297:$L$333))-AI3419,0)</f>
        <v>0</v>
      </c>
      <c r="AK3419" s="196">
        <f>IFERROR($G3419/SUMIF($A:$A,$A3419,$G:$G)*SUMIF(Summary!$A$247:$A$283,$A3419,Summary!$Q$247:$Q$283),0)</f>
        <v>0</v>
      </c>
      <c r="AL3419" s="196">
        <f>IFERROR($G3419/SUMIF($A:$A,$A3419,$G:$G)*(SUMIF(Summary!$A$247:$A$283,$A3419,Summary!$L$247:$L$283)+SUMIF(Summary!$A$297:$A$333,$A3419,Summary!$L$297:$L$333))-AK3419,0)</f>
        <v>0</v>
      </c>
      <c r="AM3419" s="198"/>
      <c r="AN3419" s="196">
        <f t="shared" ca="1" si="754"/>
        <v>0</v>
      </c>
      <c r="AO3419" s="196">
        <f t="shared" ca="1" si="755"/>
        <v>0</v>
      </c>
    </row>
    <row r="3420" spans="1:41">
      <c r="A3420" s="189">
        <v>13231</v>
      </c>
      <c r="B3420" s="190">
        <v>3</v>
      </c>
      <c r="C3420" s="191" t="s">
        <v>233</v>
      </c>
      <c r="D3420" s="192">
        <f t="shared" si="742"/>
        <v>30</v>
      </c>
      <c r="E3420" s="192">
        <f t="shared" si="743"/>
        <v>138</v>
      </c>
      <c r="F3420" s="192">
        <f t="shared" si="744"/>
        <v>0</v>
      </c>
      <c r="G3420" s="193">
        <f t="shared" si="745"/>
        <v>168</v>
      </c>
      <c r="H3420" s="194">
        <v>30</v>
      </c>
      <c r="I3420" s="194">
        <v>36</v>
      </c>
      <c r="J3420" s="194">
        <v>0</v>
      </c>
      <c r="K3420" s="193">
        <f t="shared" si="746"/>
        <v>66</v>
      </c>
      <c r="L3420" s="194">
        <v>0</v>
      </c>
      <c r="M3420" s="194">
        <v>72</v>
      </c>
      <c r="N3420" s="194">
        <v>0</v>
      </c>
      <c r="O3420" s="193">
        <f t="shared" si="747"/>
        <v>72</v>
      </c>
      <c r="P3420" s="194">
        <v>0</v>
      </c>
      <c r="Q3420" s="194">
        <v>30</v>
      </c>
      <c r="R3420" s="194">
        <v>0</v>
      </c>
      <c r="S3420" s="193">
        <f t="shared" si="748"/>
        <v>30</v>
      </c>
      <c r="T3420" s="193">
        <f t="shared" si="749"/>
        <v>7</v>
      </c>
      <c r="U3420" s="193">
        <f ca="1">OFFSET('Expenditure Study'!$B$7,'Operations Support'!$C3420,'Operations Support'!$B3420)*$G3420</f>
        <v>440.16</v>
      </c>
      <c r="V3420" s="199">
        <f ca="1">U3420*'Expenditure Study'!$B$31</f>
        <v>26006.052860928001</v>
      </c>
      <c r="W3420" s="199">
        <f ca="1">IF(A3420=10298,1.51,1)*IF($B3420&lt;3,$D3420*'Expenditure Study'!$B$32*OFFSET('Expenditure Study'!$B$7,'Operations Support'!$C3420,'Operations Support'!$B3420),0)</f>
        <v>0</v>
      </c>
      <c r="X3420" s="200">
        <f ca="1">W3420*'Expenditure Study'!$B$31</f>
        <v>0</v>
      </c>
      <c r="Y3420" s="199">
        <f ca="1">U3420*'Expenditure Study'!$B$31</f>
        <v>26006.052860928001</v>
      </c>
      <c r="Z3420" s="200">
        <f ca="1">W3420*'Expenditure Study'!$B$31</f>
        <v>0</v>
      </c>
      <c r="AA3420" s="195">
        <f t="shared" ca="1" si="750"/>
        <v>26006.052860928001</v>
      </c>
      <c r="AB3420" s="195">
        <f t="shared" ca="1" si="751"/>
        <v>26006.052860928001</v>
      </c>
      <c r="AD3420" s="196">
        <f>IFERROR($G3420/SUMIF($A:$A,$A3420,$G:$G)*SUMIF(Summary!$A$166:$A$242,$A3420,Summary!$P$166:$P$242),0)</f>
        <v>6272.3852377685353</v>
      </c>
      <c r="AE3420" s="197">
        <f t="shared" ca="1" si="752"/>
        <v>19733.667623159465</v>
      </c>
      <c r="AF3420" s="196">
        <f>IFERROR(G3420/SUMIF(A:A,A3420,G:G)*SUMIF(Summary!$A$166:$A$242,'Operations Support'!A3420,Summary!$Q$166:$Q$242),0)</f>
        <v>6285.1715074889944</v>
      </c>
      <c r="AG3420" s="196">
        <f t="shared" ca="1" si="753"/>
        <v>19720.881353439006</v>
      </c>
      <c r="AI3420" s="196">
        <f>IFERROR($G3420/SUMIF($A:$A,$A3420,$G:$G)*SUMIF(Summary!$A$247:$A$283,$A3420,Summary!$P$247:$P$283),0)</f>
        <v>1143.9265417401591</v>
      </c>
      <c r="AJ3420" s="196">
        <f>IFERROR($G3420/SUMIF($A:$A,$A3420,$G:$G)*(SUMIF(Summary!$A$247:$A$283,$A3420,Summary!$L$247:$L$283)+SUMIF(Summary!$A$297:$A$333,$A3420,Summary!$L$297:$L$333))-AI3420,0)</f>
        <v>4818.296324937045</v>
      </c>
      <c r="AK3420" s="196">
        <f>IFERROR($G3420/SUMIF($A:$A,$A3420,$G:$G)*SUMIF(Summary!$A$247:$A$283,$A3420,Summary!$Q$247:$Q$283),0)</f>
        <v>1146.2584382593666</v>
      </c>
      <c r="AL3420" s="196">
        <f>IFERROR($G3420/SUMIF($A:$A,$A3420,$G:$G)*(SUMIF(Summary!$A$247:$A$283,$A3420,Summary!$L$247:$L$283)+SUMIF(Summary!$A$297:$A$333,$A3420,Summary!$L$297:$L$333))-AK3420,0)</f>
        <v>4815.9644284178376</v>
      </c>
      <c r="AM3420" s="198"/>
      <c r="AN3420" s="196">
        <f t="shared" ca="1" si="754"/>
        <v>24551.963948096509</v>
      </c>
      <c r="AO3420" s="196">
        <f t="shared" ca="1" si="755"/>
        <v>24536.845781856842</v>
      </c>
    </row>
    <row r="3421" spans="1:41">
      <c r="A3421" s="189">
        <v>13231</v>
      </c>
      <c r="B3421" s="190">
        <v>3</v>
      </c>
      <c r="C3421" s="191" t="s">
        <v>234</v>
      </c>
      <c r="D3421" s="192">
        <f t="shared" si="742"/>
        <v>0</v>
      </c>
      <c r="E3421" s="192">
        <f t="shared" si="743"/>
        <v>0</v>
      </c>
      <c r="F3421" s="192">
        <f t="shared" si="744"/>
        <v>0</v>
      </c>
      <c r="G3421" s="193">
        <f t="shared" si="745"/>
        <v>0</v>
      </c>
      <c r="H3421" s="194">
        <v>0</v>
      </c>
      <c r="I3421" s="194">
        <v>0</v>
      </c>
      <c r="J3421" s="194">
        <v>0</v>
      </c>
      <c r="K3421" s="193">
        <f t="shared" si="746"/>
        <v>0</v>
      </c>
      <c r="L3421" s="194">
        <v>0</v>
      </c>
      <c r="M3421" s="194">
        <v>0</v>
      </c>
      <c r="N3421" s="194">
        <v>0</v>
      </c>
      <c r="O3421" s="193">
        <f t="shared" si="747"/>
        <v>0</v>
      </c>
      <c r="P3421" s="194">
        <v>0</v>
      </c>
      <c r="Q3421" s="194">
        <v>0</v>
      </c>
      <c r="R3421" s="194">
        <v>0</v>
      </c>
      <c r="S3421" s="193">
        <f t="shared" si="748"/>
        <v>0</v>
      </c>
      <c r="T3421" s="193">
        <f t="shared" si="749"/>
        <v>0</v>
      </c>
      <c r="U3421" s="193">
        <f ca="1">OFFSET('Expenditure Study'!$B$7,'Operations Support'!$C3421,'Operations Support'!$B3421)*$G3421</f>
        <v>0</v>
      </c>
      <c r="V3421" s="199">
        <f ca="1">U3421*'Expenditure Study'!$B$31</f>
        <v>0</v>
      </c>
      <c r="W3421" s="199">
        <f ca="1">IF(A3421=10298,1.51,1)*IF($B3421&lt;3,$D3421*'Expenditure Study'!$B$32*OFFSET('Expenditure Study'!$B$7,'Operations Support'!$C3421,'Operations Support'!$B3421),0)</f>
        <v>0</v>
      </c>
      <c r="X3421" s="200">
        <f ca="1">W3421*'Expenditure Study'!$B$31</f>
        <v>0</v>
      </c>
      <c r="Y3421" s="199">
        <f ca="1">U3421*'Expenditure Study'!$B$31</f>
        <v>0</v>
      </c>
      <c r="Z3421" s="200">
        <f ca="1">W3421*'Expenditure Study'!$B$31</f>
        <v>0</v>
      </c>
      <c r="AA3421" s="195">
        <f t="shared" ca="1" si="750"/>
        <v>0</v>
      </c>
      <c r="AB3421" s="195">
        <f t="shared" ca="1" si="751"/>
        <v>0</v>
      </c>
      <c r="AD3421" s="196">
        <f>IFERROR($G3421/SUMIF($A:$A,$A3421,$G:$G)*SUMIF(Summary!$A$166:$A$242,$A3421,Summary!$P$166:$P$242),0)</f>
        <v>0</v>
      </c>
      <c r="AE3421" s="197">
        <f t="shared" ca="1" si="752"/>
        <v>0</v>
      </c>
      <c r="AF3421" s="196">
        <f>IFERROR(G3421/SUMIF(A:A,A3421,G:G)*SUMIF(Summary!$A$166:$A$242,'Operations Support'!A3421,Summary!$Q$166:$Q$242),0)</f>
        <v>0</v>
      </c>
      <c r="AG3421" s="196">
        <f t="shared" ca="1" si="753"/>
        <v>0</v>
      </c>
      <c r="AI3421" s="196">
        <f>IFERROR($G3421/SUMIF($A:$A,$A3421,$G:$G)*SUMIF(Summary!$A$247:$A$283,$A3421,Summary!$P$247:$P$283),0)</f>
        <v>0</v>
      </c>
      <c r="AJ3421" s="196">
        <f>IFERROR($G3421/SUMIF($A:$A,$A3421,$G:$G)*(SUMIF(Summary!$A$247:$A$283,$A3421,Summary!$L$247:$L$283)+SUMIF(Summary!$A$297:$A$333,$A3421,Summary!$L$297:$L$333))-AI3421,0)</f>
        <v>0</v>
      </c>
      <c r="AK3421" s="196">
        <f>IFERROR($G3421/SUMIF($A:$A,$A3421,$G:$G)*SUMIF(Summary!$A$247:$A$283,$A3421,Summary!$Q$247:$Q$283),0)</f>
        <v>0</v>
      </c>
      <c r="AL3421" s="196">
        <f>IFERROR($G3421/SUMIF($A:$A,$A3421,$G:$G)*(SUMIF(Summary!$A$247:$A$283,$A3421,Summary!$L$247:$L$283)+SUMIF(Summary!$A$297:$A$333,$A3421,Summary!$L$297:$L$333))-AK3421,0)</f>
        <v>0</v>
      </c>
      <c r="AM3421" s="198"/>
      <c r="AN3421" s="196">
        <f t="shared" ca="1" si="754"/>
        <v>0</v>
      </c>
      <c r="AO3421" s="196">
        <f t="shared" ca="1" si="755"/>
        <v>0</v>
      </c>
    </row>
    <row r="3422" spans="1:41" s="201" customFormat="1">
      <c r="A3422" s="189">
        <v>13231</v>
      </c>
      <c r="B3422" s="190">
        <v>3</v>
      </c>
      <c r="C3422" s="191" t="s">
        <v>235</v>
      </c>
      <c r="D3422" s="192">
        <f t="shared" si="742"/>
        <v>8658</v>
      </c>
      <c r="E3422" s="192">
        <f t="shared" si="743"/>
        <v>363</v>
      </c>
      <c r="F3422" s="192">
        <f t="shared" si="744"/>
        <v>0</v>
      </c>
      <c r="G3422" s="193">
        <f t="shared" si="745"/>
        <v>9021</v>
      </c>
      <c r="H3422" s="194">
        <v>3135</v>
      </c>
      <c r="I3422" s="194">
        <v>171</v>
      </c>
      <c r="J3422" s="194">
        <v>0</v>
      </c>
      <c r="K3422" s="193">
        <f t="shared" si="746"/>
        <v>3306</v>
      </c>
      <c r="L3422" s="194">
        <v>2532</v>
      </c>
      <c r="M3422" s="194">
        <v>24</v>
      </c>
      <c r="N3422" s="194">
        <v>0</v>
      </c>
      <c r="O3422" s="193">
        <f t="shared" si="747"/>
        <v>2556</v>
      </c>
      <c r="P3422" s="194">
        <v>2991</v>
      </c>
      <c r="Q3422" s="194">
        <v>168</v>
      </c>
      <c r="R3422" s="194">
        <v>0</v>
      </c>
      <c r="S3422" s="193">
        <f t="shared" si="748"/>
        <v>3159</v>
      </c>
      <c r="T3422" s="193">
        <f t="shared" si="749"/>
        <v>375.875</v>
      </c>
      <c r="U3422" s="193">
        <f ca="1">OFFSET('Expenditure Study'!$B$7,'Operations Support'!$C3422,'Operations Support'!$B3422)*$G3422</f>
        <v>28506.36</v>
      </c>
      <c r="V3422" s="199">
        <f ca="1">U3422*'Expenditure Study'!$B$31</f>
        <v>1684246.4218298881</v>
      </c>
      <c r="W3422" s="199">
        <f ca="1">IF(A3422=10298,1.51,1)*IF($B3422&lt;3,$D3422*'Expenditure Study'!$B$32*OFFSET('Expenditure Study'!$B$7,'Operations Support'!$C3422,'Operations Support'!$B3422),0)</f>
        <v>0</v>
      </c>
      <c r="X3422" s="200">
        <f ca="1">W3422*'Expenditure Study'!$B$31</f>
        <v>0</v>
      </c>
      <c r="Y3422" s="199">
        <f ca="1">U3422*'Expenditure Study'!$B$31</f>
        <v>1684246.4218298881</v>
      </c>
      <c r="Z3422" s="200">
        <f ca="1">W3422*'Expenditure Study'!$B$31</f>
        <v>0</v>
      </c>
      <c r="AA3422" s="195">
        <f t="shared" ca="1" si="750"/>
        <v>1684246.4218298881</v>
      </c>
      <c r="AB3422" s="195">
        <f t="shared" ca="1" si="751"/>
        <v>1684246.4218298881</v>
      </c>
      <c r="AD3422" s="196">
        <f>IFERROR($G3422/SUMIF($A:$A,$A3422,$G:$G)*SUMIF(Summary!$A$166:$A$242,$A3422,Summary!$P$166:$P$242),0)</f>
        <v>336804.68589232117</v>
      </c>
      <c r="AE3422" s="197">
        <f t="shared" ca="1" si="752"/>
        <v>1347441.735937567</v>
      </c>
      <c r="AF3422" s="196">
        <f>IFERROR(G3422/SUMIF(A:A,A3422,G:G)*SUMIF(Summary!$A$166:$A$242,'Operations Support'!A3422,Summary!$Q$166:$Q$242),0)</f>
        <v>337491.26291106088</v>
      </c>
      <c r="AG3422" s="196">
        <f t="shared" ca="1" si="753"/>
        <v>1346755.1589188273</v>
      </c>
      <c r="AH3422" s="180"/>
      <c r="AI3422" s="196">
        <f>IFERROR($G3422/SUMIF($A:$A,$A3422,$G:$G)*SUMIF(Summary!$A$247:$A$283,$A3422,Summary!$P$247:$P$283),0)</f>
        <v>61424.76983951177</v>
      </c>
      <c r="AJ3422" s="196">
        <f>IFERROR($G3422/SUMIF($A:$A,$A3422,$G:$G)*(SUMIF(Summary!$A$247:$A$283,$A3422,Summary!$L$247:$L$283)+SUMIF(Summary!$A$297:$A$333,$A3422,Summary!$L$297:$L$333))-AI3422,0)</f>
        <v>258725.30444795883</v>
      </c>
      <c r="AK3422" s="196">
        <f>IFERROR($G3422/SUMIF($A:$A,$A3422,$G:$G)*SUMIF(Summary!$A$247:$A$283,$A3422,Summary!$Q$247:$Q$283),0)</f>
        <v>61549.984354391345</v>
      </c>
      <c r="AL3422" s="196">
        <f>IFERROR($G3422/SUMIF($A:$A,$A3422,$G:$G)*(SUMIF(Summary!$A$247:$A$283,$A3422,Summary!$L$247:$L$283)+SUMIF(Summary!$A$297:$A$333,$A3422,Summary!$L$297:$L$333))-AK3422,0)</f>
        <v>258600.08993307926</v>
      </c>
      <c r="AM3422" s="198"/>
      <c r="AN3422" s="196">
        <f t="shared" ca="1" si="754"/>
        <v>1606167.0403855257</v>
      </c>
      <c r="AO3422" s="196">
        <f t="shared" ca="1" si="755"/>
        <v>1605355.2488519065</v>
      </c>
    </row>
    <row r="3423" spans="1:41">
      <c r="A3423" s="189">
        <v>13231</v>
      </c>
      <c r="B3423" s="190">
        <v>3</v>
      </c>
      <c r="C3423" s="191" t="s">
        <v>236</v>
      </c>
      <c r="D3423" s="192">
        <f t="shared" si="742"/>
        <v>0</v>
      </c>
      <c r="E3423" s="192">
        <f t="shared" si="743"/>
        <v>0</v>
      </c>
      <c r="F3423" s="192">
        <f t="shared" si="744"/>
        <v>0</v>
      </c>
      <c r="G3423" s="193">
        <f t="shared" si="745"/>
        <v>0</v>
      </c>
      <c r="H3423" s="194">
        <v>0</v>
      </c>
      <c r="I3423" s="194">
        <v>0</v>
      </c>
      <c r="J3423" s="194">
        <v>0</v>
      </c>
      <c r="K3423" s="193">
        <f t="shared" si="746"/>
        <v>0</v>
      </c>
      <c r="L3423" s="194">
        <v>0</v>
      </c>
      <c r="M3423" s="194">
        <v>0</v>
      </c>
      <c r="N3423" s="194">
        <v>0</v>
      </c>
      <c r="O3423" s="193">
        <f t="shared" si="747"/>
        <v>0</v>
      </c>
      <c r="P3423" s="194">
        <v>0</v>
      </c>
      <c r="Q3423" s="194">
        <v>0</v>
      </c>
      <c r="R3423" s="194">
        <v>0</v>
      </c>
      <c r="S3423" s="193">
        <f t="shared" si="748"/>
        <v>0</v>
      </c>
      <c r="T3423" s="193">
        <f t="shared" si="749"/>
        <v>0</v>
      </c>
      <c r="U3423" s="193">
        <f ca="1">OFFSET('Expenditure Study'!$B$7,'Operations Support'!$C3423,'Operations Support'!$B3423)*$G3423</f>
        <v>0</v>
      </c>
      <c r="V3423" s="199">
        <f ca="1">U3423*'Expenditure Study'!$B$31</f>
        <v>0</v>
      </c>
      <c r="W3423" s="199">
        <f ca="1">IF(A3423=10298,1.51,1)*IF($B3423&lt;3,$D3423*'Expenditure Study'!$B$32*OFFSET('Expenditure Study'!$B$7,'Operations Support'!$C3423,'Operations Support'!$B3423),0)</f>
        <v>0</v>
      </c>
      <c r="X3423" s="200">
        <f ca="1">W3423*'Expenditure Study'!$B$31</f>
        <v>0</v>
      </c>
      <c r="Y3423" s="199">
        <f ca="1">U3423*'Expenditure Study'!$B$31</f>
        <v>0</v>
      </c>
      <c r="Z3423" s="200">
        <f ca="1">W3423*'Expenditure Study'!$B$31</f>
        <v>0</v>
      </c>
      <c r="AA3423" s="195">
        <f t="shared" ca="1" si="750"/>
        <v>0</v>
      </c>
      <c r="AB3423" s="195">
        <f t="shared" ca="1" si="751"/>
        <v>0</v>
      </c>
      <c r="AD3423" s="196">
        <f>IFERROR($G3423/SUMIF($A:$A,$A3423,$G:$G)*SUMIF(Summary!$A$166:$A$242,$A3423,Summary!$P$166:$P$242),0)</f>
        <v>0</v>
      </c>
      <c r="AE3423" s="197">
        <f t="shared" ca="1" si="752"/>
        <v>0</v>
      </c>
      <c r="AF3423" s="196">
        <f>IFERROR(G3423/SUMIF(A:A,A3423,G:G)*SUMIF(Summary!$A$166:$A$242,'Operations Support'!A3423,Summary!$Q$166:$Q$242),0)</f>
        <v>0</v>
      </c>
      <c r="AG3423" s="196">
        <f t="shared" ca="1" si="753"/>
        <v>0</v>
      </c>
      <c r="AI3423" s="196">
        <f>IFERROR($G3423/SUMIF($A:$A,$A3423,$G:$G)*SUMIF(Summary!$A$247:$A$283,$A3423,Summary!$P$247:$P$283),0)</f>
        <v>0</v>
      </c>
      <c r="AJ3423" s="196">
        <f>IFERROR($G3423/SUMIF($A:$A,$A3423,$G:$G)*(SUMIF(Summary!$A$247:$A$283,$A3423,Summary!$L$247:$L$283)+SUMIF(Summary!$A$297:$A$333,$A3423,Summary!$L$297:$L$333))-AI3423,0)</f>
        <v>0</v>
      </c>
      <c r="AK3423" s="196">
        <f>IFERROR($G3423/SUMIF($A:$A,$A3423,$G:$G)*SUMIF(Summary!$A$247:$A$283,$A3423,Summary!$Q$247:$Q$283),0)</f>
        <v>0</v>
      </c>
      <c r="AL3423" s="196">
        <f>IFERROR($G3423/SUMIF($A:$A,$A3423,$G:$G)*(SUMIF(Summary!$A$247:$A$283,$A3423,Summary!$L$247:$L$283)+SUMIF(Summary!$A$297:$A$333,$A3423,Summary!$L$297:$L$333))-AK3423,0)</f>
        <v>0</v>
      </c>
      <c r="AM3423" s="198"/>
      <c r="AN3423" s="196">
        <f t="shared" ca="1" si="754"/>
        <v>0</v>
      </c>
      <c r="AO3423" s="196">
        <f t="shared" ca="1" si="755"/>
        <v>0</v>
      </c>
    </row>
    <row r="3424" spans="1:41">
      <c r="A3424" s="189">
        <v>13231</v>
      </c>
      <c r="B3424" s="190">
        <v>3</v>
      </c>
      <c r="C3424" s="191" t="s">
        <v>237</v>
      </c>
      <c r="D3424" s="192">
        <f t="shared" si="742"/>
        <v>0</v>
      </c>
      <c r="E3424" s="192">
        <f t="shared" si="743"/>
        <v>0</v>
      </c>
      <c r="F3424" s="192">
        <f t="shared" si="744"/>
        <v>0</v>
      </c>
      <c r="G3424" s="193">
        <f t="shared" si="745"/>
        <v>0</v>
      </c>
      <c r="H3424" s="194">
        <v>0</v>
      </c>
      <c r="I3424" s="194">
        <v>0</v>
      </c>
      <c r="J3424" s="194">
        <v>0</v>
      </c>
      <c r="K3424" s="193">
        <f t="shared" si="746"/>
        <v>0</v>
      </c>
      <c r="L3424" s="194">
        <v>0</v>
      </c>
      <c r="M3424" s="194">
        <v>0</v>
      </c>
      <c r="N3424" s="194">
        <v>0</v>
      </c>
      <c r="O3424" s="193">
        <f t="shared" si="747"/>
        <v>0</v>
      </c>
      <c r="P3424" s="194">
        <v>0</v>
      </c>
      <c r="Q3424" s="194">
        <v>0</v>
      </c>
      <c r="R3424" s="194">
        <v>0</v>
      </c>
      <c r="S3424" s="193">
        <f t="shared" si="748"/>
        <v>0</v>
      </c>
      <c r="T3424" s="193">
        <f t="shared" si="749"/>
        <v>0</v>
      </c>
      <c r="U3424" s="193">
        <f ca="1">OFFSET('Expenditure Study'!$B$7,'Operations Support'!$C3424,'Operations Support'!$B3424)*$G3424</f>
        <v>0</v>
      </c>
      <c r="V3424" s="199">
        <f ca="1">U3424*'Expenditure Study'!$B$31</f>
        <v>0</v>
      </c>
      <c r="W3424" s="199">
        <f ca="1">IF(A3424=10298,1.51,1)*IF($B3424&lt;3,$D3424*'Expenditure Study'!$B$32*OFFSET('Expenditure Study'!$B$7,'Operations Support'!$C3424,'Operations Support'!$B3424),0)</f>
        <v>0</v>
      </c>
      <c r="X3424" s="200">
        <f ca="1">W3424*'Expenditure Study'!$B$31</f>
        <v>0</v>
      </c>
      <c r="Y3424" s="199">
        <f ca="1">U3424*'Expenditure Study'!$B$31</f>
        <v>0</v>
      </c>
      <c r="Z3424" s="200">
        <f ca="1">W3424*'Expenditure Study'!$B$31</f>
        <v>0</v>
      </c>
      <c r="AA3424" s="195">
        <f t="shared" ca="1" si="750"/>
        <v>0</v>
      </c>
      <c r="AB3424" s="195">
        <f t="shared" ca="1" si="751"/>
        <v>0</v>
      </c>
      <c r="AD3424" s="196">
        <f>IFERROR($G3424/SUMIF($A:$A,$A3424,$G:$G)*SUMIF(Summary!$A$166:$A$242,$A3424,Summary!$P$166:$P$242),0)</f>
        <v>0</v>
      </c>
      <c r="AE3424" s="197">
        <f t="shared" ca="1" si="752"/>
        <v>0</v>
      </c>
      <c r="AF3424" s="196">
        <f>IFERROR(G3424/SUMIF(A:A,A3424,G:G)*SUMIF(Summary!$A$166:$A$242,'Operations Support'!A3424,Summary!$Q$166:$Q$242),0)</f>
        <v>0</v>
      </c>
      <c r="AG3424" s="196">
        <f t="shared" ca="1" si="753"/>
        <v>0</v>
      </c>
      <c r="AI3424" s="196">
        <f>IFERROR($G3424/SUMIF($A:$A,$A3424,$G:$G)*SUMIF(Summary!$A$247:$A$283,$A3424,Summary!$P$247:$P$283),0)</f>
        <v>0</v>
      </c>
      <c r="AJ3424" s="196">
        <f>IFERROR($G3424/SUMIF($A:$A,$A3424,$G:$G)*(SUMIF(Summary!$A$247:$A$283,$A3424,Summary!$L$247:$L$283)+SUMIF(Summary!$A$297:$A$333,$A3424,Summary!$L$297:$L$333))-AI3424,0)</f>
        <v>0</v>
      </c>
      <c r="AK3424" s="196">
        <f>IFERROR($G3424/SUMIF($A:$A,$A3424,$G:$G)*SUMIF(Summary!$A$247:$A$283,$A3424,Summary!$Q$247:$Q$283),0)</f>
        <v>0</v>
      </c>
      <c r="AL3424" s="196">
        <f>IFERROR($G3424/SUMIF($A:$A,$A3424,$G:$G)*(SUMIF(Summary!$A$247:$A$283,$A3424,Summary!$L$247:$L$283)+SUMIF(Summary!$A$297:$A$333,$A3424,Summary!$L$297:$L$333))-AK3424,0)</f>
        <v>0</v>
      </c>
      <c r="AM3424" s="198"/>
      <c r="AN3424" s="196">
        <f t="shared" ca="1" si="754"/>
        <v>0</v>
      </c>
      <c r="AO3424" s="196">
        <f t="shared" ca="1" si="755"/>
        <v>0</v>
      </c>
    </row>
    <row r="3425" spans="1:41">
      <c r="A3425" s="189">
        <v>13231</v>
      </c>
      <c r="B3425" s="190">
        <v>3</v>
      </c>
      <c r="C3425" s="191" t="s">
        <v>238</v>
      </c>
      <c r="D3425" s="192">
        <f t="shared" si="742"/>
        <v>36</v>
      </c>
      <c r="E3425" s="192">
        <f t="shared" si="743"/>
        <v>84</v>
      </c>
      <c r="F3425" s="192">
        <f t="shared" si="744"/>
        <v>0</v>
      </c>
      <c r="G3425" s="193">
        <f t="shared" si="745"/>
        <v>120</v>
      </c>
      <c r="H3425" s="194">
        <v>21</v>
      </c>
      <c r="I3425" s="194">
        <v>45</v>
      </c>
      <c r="J3425" s="194">
        <v>0</v>
      </c>
      <c r="K3425" s="193">
        <f t="shared" si="746"/>
        <v>66</v>
      </c>
      <c r="L3425" s="194">
        <v>0</v>
      </c>
      <c r="M3425" s="194">
        <v>39</v>
      </c>
      <c r="N3425" s="194">
        <v>0</v>
      </c>
      <c r="O3425" s="193">
        <f t="shared" si="747"/>
        <v>39</v>
      </c>
      <c r="P3425" s="194">
        <v>15</v>
      </c>
      <c r="Q3425" s="194">
        <v>0</v>
      </c>
      <c r="R3425" s="194">
        <v>0</v>
      </c>
      <c r="S3425" s="193">
        <f t="shared" si="748"/>
        <v>15</v>
      </c>
      <c r="T3425" s="193">
        <f t="shared" si="749"/>
        <v>5</v>
      </c>
      <c r="U3425" s="193">
        <f ca="1">OFFSET('Expenditure Study'!$B$7,'Operations Support'!$C3425,'Operations Support'!$B3425)*$G3425</f>
        <v>700.8</v>
      </c>
      <c r="V3425" s="199">
        <f ca="1">U3425*'Expenditure Study'!$B$31</f>
        <v>41405.493104640002</v>
      </c>
      <c r="W3425" s="199">
        <f ca="1">IF(A3425=10298,1.51,1)*IF($B3425&lt;3,$D3425*'Expenditure Study'!$B$32*OFFSET('Expenditure Study'!$B$7,'Operations Support'!$C3425,'Operations Support'!$B3425),0)</f>
        <v>0</v>
      </c>
      <c r="X3425" s="200">
        <f ca="1">W3425*'Expenditure Study'!$B$31</f>
        <v>0</v>
      </c>
      <c r="Y3425" s="199">
        <f ca="1">U3425*'Expenditure Study'!$B$31</f>
        <v>41405.493104640002</v>
      </c>
      <c r="Z3425" s="200">
        <f ca="1">W3425*'Expenditure Study'!$B$31</f>
        <v>0</v>
      </c>
      <c r="AA3425" s="195">
        <f t="shared" ca="1" si="750"/>
        <v>41405.493104640002</v>
      </c>
      <c r="AB3425" s="195">
        <f t="shared" ca="1" si="751"/>
        <v>41405.493104640002</v>
      </c>
      <c r="AD3425" s="196">
        <f>IFERROR($G3425/SUMIF($A:$A,$A3425,$G:$G)*SUMIF(Summary!$A$166:$A$242,$A3425,Summary!$P$166:$P$242),0)</f>
        <v>4480.2751698346683</v>
      </c>
      <c r="AE3425" s="197">
        <f t="shared" ca="1" si="752"/>
        <v>36925.217934805332</v>
      </c>
      <c r="AF3425" s="196">
        <f>IFERROR(G3425/SUMIF(A:A,A3425,G:G)*SUMIF(Summary!$A$166:$A$242,'Operations Support'!A3425,Summary!$Q$166:$Q$242),0)</f>
        <v>4489.4082196349964</v>
      </c>
      <c r="AG3425" s="196">
        <f t="shared" ca="1" si="753"/>
        <v>36916.084885005002</v>
      </c>
      <c r="AI3425" s="196">
        <f>IFERROR($G3425/SUMIF($A:$A,$A3425,$G:$G)*SUMIF(Summary!$A$247:$A$283,$A3425,Summary!$P$247:$P$283),0)</f>
        <v>817.09038695725667</v>
      </c>
      <c r="AJ3425" s="196">
        <f>IFERROR($G3425/SUMIF($A:$A,$A3425,$G:$G)*(SUMIF(Summary!$A$247:$A$283,$A3425,Summary!$L$247:$L$283)+SUMIF(Summary!$A$297:$A$333,$A3425,Summary!$L$297:$L$333))-AI3425,0)</f>
        <v>3441.6402320978896</v>
      </c>
      <c r="AK3425" s="196">
        <f>IFERROR($G3425/SUMIF($A:$A,$A3425,$G:$G)*SUMIF(Summary!$A$247:$A$283,$A3425,Summary!$Q$247:$Q$283),0)</f>
        <v>818.75602732811899</v>
      </c>
      <c r="AL3425" s="196">
        <f>IFERROR($G3425/SUMIF($A:$A,$A3425,$G:$G)*(SUMIF(Summary!$A$247:$A$283,$A3425,Summary!$L$247:$L$283)+SUMIF(Summary!$A$297:$A$333,$A3425,Summary!$L$297:$L$333))-AK3425,0)</f>
        <v>3439.9745917270275</v>
      </c>
      <c r="AM3425" s="198"/>
      <c r="AN3425" s="196">
        <f t="shared" ca="1" si="754"/>
        <v>40366.858166903221</v>
      </c>
      <c r="AO3425" s="196">
        <f t="shared" ca="1" si="755"/>
        <v>40356.059476732029</v>
      </c>
    </row>
    <row r="3426" spans="1:41">
      <c r="A3426" s="189">
        <v>13231</v>
      </c>
      <c r="B3426" s="190">
        <v>3</v>
      </c>
      <c r="C3426" s="191" t="s">
        <v>239</v>
      </c>
      <c r="D3426" s="192">
        <f t="shared" si="742"/>
        <v>0</v>
      </c>
      <c r="E3426" s="192">
        <f t="shared" si="743"/>
        <v>0</v>
      </c>
      <c r="F3426" s="192">
        <f t="shared" si="744"/>
        <v>0</v>
      </c>
      <c r="G3426" s="193">
        <f t="shared" si="745"/>
        <v>0</v>
      </c>
      <c r="H3426" s="194">
        <v>0</v>
      </c>
      <c r="I3426" s="194">
        <v>0</v>
      </c>
      <c r="J3426" s="194">
        <v>0</v>
      </c>
      <c r="K3426" s="193">
        <f t="shared" si="746"/>
        <v>0</v>
      </c>
      <c r="L3426" s="194">
        <v>0</v>
      </c>
      <c r="M3426" s="194">
        <v>0</v>
      </c>
      <c r="N3426" s="194">
        <v>0</v>
      </c>
      <c r="O3426" s="193">
        <f t="shared" si="747"/>
        <v>0</v>
      </c>
      <c r="P3426" s="194">
        <v>0</v>
      </c>
      <c r="Q3426" s="194">
        <v>0</v>
      </c>
      <c r="R3426" s="194">
        <v>0</v>
      </c>
      <c r="S3426" s="193">
        <f t="shared" si="748"/>
        <v>0</v>
      </c>
      <c r="T3426" s="193">
        <f t="shared" si="749"/>
        <v>0</v>
      </c>
      <c r="U3426" s="193">
        <f ca="1">OFFSET('Expenditure Study'!$B$7,'Operations Support'!$C3426,'Operations Support'!$B3426)*$G3426</f>
        <v>0</v>
      </c>
      <c r="V3426" s="199">
        <f ca="1">U3426*'Expenditure Study'!$B$31</f>
        <v>0</v>
      </c>
      <c r="W3426" s="199">
        <f ca="1">IF(A3426=10298,1.51,1)*IF($B3426&lt;3,$D3426*'Expenditure Study'!$B$32*OFFSET('Expenditure Study'!$B$7,'Operations Support'!$C3426,'Operations Support'!$B3426),0)</f>
        <v>0</v>
      </c>
      <c r="X3426" s="200">
        <f ca="1">W3426*'Expenditure Study'!$B$31</f>
        <v>0</v>
      </c>
      <c r="Y3426" s="199">
        <f ca="1">U3426*'Expenditure Study'!$B$31</f>
        <v>0</v>
      </c>
      <c r="Z3426" s="200">
        <f ca="1">W3426*'Expenditure Study'!$B$31</f>
        <v>0</v>
      </c>
      <c r="AA3426" s="195">
        <f t="shared" ca="1" si="750"/>
        <v>0</v>
      </c>
      <c r="AB3426" s="195">
        <f t="shared" ca="1" si="751"/>
        <v>0</v>
      </c>
      <c r="AD3426" s="196">
        <f>IFERROR($G3426/SUMIF($A:$A,$A3426,$G:$G)*SUMIF(Summary!$A$166:$A$242,$A3426,Summary!$P$166:$P$242),0)</f>
        <v>0</v>
      </c>
      <c r="AE3426" s="197">
        <f t="shared" ca="1" si="752"/>
        <v>0</v>
      </c>
      <c r="AF3426" s="196">
        <f>IFERROR(G3426/SUMIF(A:A,A3426,G:G)*SUMIF(Summary!$A$166:$A$242,'Operations Support'!A3426,Summary!$Q$166:$Q$242),0)</f>
        <v>0</v>
      </c>
      <c r="AG3426" s="196">
        <f t="shared" ca="1" si="753"/>
        <v>0</v>
      </c>
      <c r="AI3426" s="196">
        <f>IFERROR($G3426/SUMIF($A:$A,$A3426,$G:$G)*SUMIF(Summary!$A$247:$A$283,$A3426,Summary!$P$247:$P$283),0)</f>
        <v>0</v>
      </c>
      <c r="AJ3426" s="196">
        <f>IFERROR($G3426/SUMIF($A:$A,$A3426,$G:$G)*(SUMIF(Summary!$A$247:$A$283,$A3426,Summary!$L$247:$L$283)+SUMIF(Summary!$A$297:$A$333,$A3426,Summary!$L$297:$L$333))-AI3426,0)</f>
        <v>0</v>
      </c>
      <c r="AK3426" s="196">
        <f>IFERROR($G3426/SUMIF($A:$A,$A3426,$G:$G)*SUMIF(Summary!$A$247:$A$283,$A3426,Summary!$Q$247:$Q$283),0)</f>
        <v>0</v>
      </c>
      <c r="AL3426" s="196">
        <f>IFERROR($G3426/SUMIF($A:$A,$A3426,$G:$G)*(SUMIF(Summary!$A$247:$A$283,$A3426,Summary!$L$247:$L$283)+SUMIF(Summary!$A$297:$A$333,$A3426,Summary!$L$297:$L$333))-AK3426,0)</f>
        <v>0</v>
      </c>
      <c r="AM3426" s="198"/>
      <c r="AN3426" s="196">
        <f t="shared" ca="1" si="754"/>
        <v>0</v>
      </c>
      <c r="AO3426" s="196">
        <f t="shared" ca="1" si="755"/>
        <v>0</v>
      </c>
    </row>
    <row r="3427" spans="1:41">
      <c r="A3427" s="189">
        <v>13231</v>
      </c>
      <c r="B3427" s="190">
        <v>3</v>
      </c>
      <c r="C3427" s="191" t="s">
        <v>240</v>
      </c>
      <c r="D3427" s="192">
        <f t="shared" si="742"/>
        <v>0</v>
      </c>
      <c r="E3427" s="192">
        <f t="shared" si="743"/>
        <v>0</v>
      </c>
      <c r="F3427" s="192">
        <f t="shared" si="744"/>
        <v>0</v>
      </c>
      <c r="G3427" s="193">
        <f t="shared" si="745"/>
        <v>0</v>
      </c>
      <c r="H3427" s="194">
        <v>0</v>
      </c>
      <c r="I3427" s="194">
        <v>0</v>
      </c>
      <c r="J3427" s="194">
        <v>0</v>
      </c>
      <c r="K3427" s="193">
        <f t="shared" si="746"/>
        <v>0</v>
      </c>
      <c r="L3427" s="194">
        <v>0</v>
      </c>
      <c r="M3427" s="194">
        <v>0</v>
      </c>
      <c r="N3427" s="194">
        <v>0</v>
      </c>
      <c r="O3427" s="193">
        <f t="shared" si="747"/>
        <v>0</v>
      </c>
      <c r="P3427" s="194">
        <v>0</v>
      </c>
      <c r="Q3427" s="194">
        <v>0</v>
      </c>
      <c r="R3427" s="194">
        <v>0</v>
      </c>
      <c r="S3427" s="193">
        <f t="shared" si="748"/>
        <v>0</v>
      </c>
      <c r="T3427" s="193">
        <f t="shared" si="749"/>
        <v>0</v>
      </c>
      <c r="U3427" s="193">
        <f ca="1">OFFSET('Expenditure Study'!$B$7,'Operations Support'!$C3427,'Operations Support'!$B3427)*$G3427</f>
        <v>0</v>
      </c>
      <c r="V3427" s="199">
        <f ca="1">U3427*'Expenditure Study'!$B$31</f>
        <v>0</v>
      </c>
      <c r="W3427" s="199">
        <f ca="1">IF(A3427=10298,1.51,1)*IF($B3427&lt;3,$D3427*'Expenditure Study'!$B$32*OFFSET('Expenditure Study'!$B$7,'Operations Support'!$C3427,'Operations Support'!$B3427),0)</f>
        <v>0</v>
      </c>
      <c r="X3427" s="200">
        <f ca="1">W3427*'Expenditure Study'!$B$31</f>
        <v>0</v>
      </c>
      <c r="Y3427" s="199">
        <f ca="1">U3427*'Expenditure Study'!$B$31</f>
        <v>0</v>
      </c>
      <c r="Z3427" s="200">
        <f ca="1">W3427*'Expenditure Study'!$B$31</f>
        <v>0</v>
      </c>
      <c r="AA3427" s="195">
        <f t="shared" ca="1" si="750"/>
        <v>0</v>
      </c>
      <c r="AB3427" s="195">
        <f t="shared" ca="1" si="751"/>
        <v>0</v>
      </c>
      <c r="AD3427" s="196">
        <f>IFERROR($G3427/SUMIF($A:$A,$A3427,$G:$G)*SUMIF(Summary!$A$166:$A$242,$A3427,Summary!$P$166:$P$242),0)</f>
        <v>0</v>
      </c>
      <c r="AE3427" s="197">
        <f t="shared" ca="1" si="752"/>
        <v>0</v>
      </c>
      <c r="AF3427" s="196">
        <f>IFERROR(G3427/SUMIF(A:A,A3427,G:G)*SUMIF(Summary!$A$166:$A$242,'Operations Support'!A3427,Summary!$Q$166:$Q$242),0)</f>
        <v>0</v>
      </c>
      <c r="AG3427" s="196">
        <f t="shared" ca="1" si="753"/>
        <v>0</v>
      </c>
      <c r="AI3427" s="196">
        <f>IFERROR($G3427/SUMIF($A:$A,$A3427,$G:$G)*SUMIF(Summary!$A$247:$A$283,$A3427,Summary!$P$247:$P$283),0)</f>
        <v>0</v>
      </c>
      <c r="AJ3427" s="196">
        <f>IFERROR($G3427/SUMIF($A:$A,$A3427,$G:$G)*(SUMIF(Summary!$A$247:$A$283,$A3427,Summary!$L$247:$L$283)+SUMIF(Summary!$A$297:$A$333,$A3427,Summary!$L$297:$L$333))-AI3427,0)</f>
        <v>0</v>
      </c>
      <c r="AK3427" s="196">
        <f>IFERROR($G3427/SUMIF($A:$A,$A3427,$G:$G)*SUMIF(Summary!$A$247:$A$283,$A3427,Summary!$Q$247:$Q$283),0)</f>
        <v>0</v>
      </c>
      <c r="AL3427" s="196">
        <f>IFERROR($G3427/SUMIF($A:$A,$A3427,$G:$G)*(SUMIF(Summary!$A$247:$A$283,$A3427,Summary!$L$247:$L$283)+SUMIF(Summary!$A$297:$A$333,$A3427,Summary!$L$297:$L$333))-AK3427,0)</f>
        <v>0</v>
      </c>
      <c r="AM3427" s="198"/>
      <c r="AN3427" s="196">
        <f t="shared" ca="1" si="754"/>
        <v>0</v>
      </c>
      <c r="AO3427" s="196">
        <f t="shared" ca="1" si="755"/>
        <v>0</v>
      </c>
    </row>
    <row r="3428" spans="1:41">
      <c r="A3428" s="189">
        <v>13231</v>
      </c>
      <c r="B3428" s="190">
        <v>4</v>
      </c>
      <c r="C3428" s="191" t="s">
        <v>220</v>
      </c>
      <c r="D3428" s="192">
        <f t="shared" si="742"/>
        <v>0</v>
      </c>
      <c r="E3428" s="192">
        <f t="shared" si="743"/>
        <v>0</v>
      </c>
      <c r="F3428" s="192">
        <f t="shared" si="744"/>
        <v>0</v>
      </c>
      <c r="G3428" s="193">
        <f t="shared" si="745"/>
        <v>0</v>
      </c>
      <c r="H3428" s="194">
        <v>0</v>
      </c>
      <c r="I3428" s="194">
        <v>0</v>
      </c>
      <c r="J3428" s="194">
        <v>0</v>
      </c>
      <c r="K3428" s="193">
        <f t="shared" si="746"/>
        <v>0</v>
      </c>
      <c r="L3428" s="194">
        <v>0</v>
      </c>
      <c r="M3428" s="194">
        <v>0</v>
      </c>
      <c r="N3428" s="194">
        <v>0</v>
      </c>
      <c r="O3428" s="193">
        <f t="shared" si="747"/>
        <v>0</v>
      </c>
      <c r="P3428" s="194">
        <v>0</v>
      </c>
      <c r="Q3428" s="194">
        <v>0</v>
      </c>
      <c r="R3428" s="194">
        <v>0</v>
      </c>
      <c r="S3428" s="193">
        <f t="shared" si="748"/>
        <v>0</v>
      </c>
      <c r="T3428" s="193">
        <f t="shared" si="749"/>
        <v>0</v>
      </c>
      <c r="U3428" s="193">
        <f ca="1">OFFSET('Expenditure Study'!$B$7,'Operations Support'!$C3428,'Operations Support'!$B3428)*$G3428</f>
        <v>0</v>
      </c>
      <c r="V3428" s="199">
        <f ca="1">U3428*'Expenditure Study'!$B$31</f>
        <v>0</v>
      </c>
      <c r="W3428" s="199">
        <f ca="1">IF(A3428=10298,1.51,1)*IF($B3428&lt;3,$D3428*'Expenditure Study'!$B$32*OFFSET('Expenditure Study'!$B$7,'Operations Support'!$C3428,'Operations Support'!$B3428),0)</f>
        <v>0</v>
      </c>
      <c r="X3428" s="200">
        <f ca="1">W3428*'Expenditure Study'!$B$31</f>
        <v>0</v>
      </c>
      <c r="Y3428" s="199">
        <f ca="1">U3428*'Expenditure Study'!$B$31</f>
        <v>0</v>
      </c>
      <c r="Z3428" s="200">
        <f ca="1">W3428*'Expenditure Study'!$B$31</f>
        <v>0</v>
      </c>
      <c r="AA3428" s="195">
        <f t="shared" ca="1" si="750"/>
        <v>0</v>
      </c>
      <c r="AB3428" s="195">
        <f t="shared" ca="1" si="751"/>
        <v>0</v>
      </c>
      <c r="AD3428" s="196">
        <f>IFERROR($G3428/SUMIF($A:$A,$A3428,$G:$G)*SUMIF(Summary!$A$166:$A$242,$A3428,Summary!$P$166:$P$242),0)</f>
        <v>0</v>
      </c>
      <c r="AE3428" s="197">
        <f t="shared" ca="1" si="752"/>
        <v>0</v>
      </c>
      <c r="AF3428" s="196">
        <f>IFERROR(G3428/SUMIF(A:A,A3428,G:G)*SUMIF(Summary!$A$166:$A$242,'Operations Support'!A3428,Summary!$Q$166:$Q$242),0)</f>
        <v>0</v>
      </c>
      <c r="AG3428" s="196">
        <f t="shared" ca="1" si="753"/>
        <v>0</v>
      </c>
      <c r="AI3428" s="196">
        <f>IFERROR($G3428/SUMIF($A:$A,$A3428,$G:$G)*SUMIF(Summary!$A$247:$A$283,$A3428,Summary!$P$247:$P$283),0)</f>
        <v>0</v>
      </c>
      <c r="AJ3428" s="196">
        <f>IFERROR($G3428/SUMIF($A:$A,$A3428,$G:$G)*(SUMIF(Summary!$A$247:$A$283,$A3428,Summary!$L$247:$L$283)+SUMIF(Summary!$A$297:$A$333,$A3428,Summary!$L$297:$L$333))-AI3428,0)</f>
        <v>0</v>
      </c>
      <c r="AK3428" s="196">
        <f>IFERROR($G3428/SUMIF($A:$A,$A3428,$G:$G)*SUMIF(Summary!$A$247:$A$283,$A3428,Summary!$Q$247:$Q$283),0)</f>
        <v>0</v>
      </c>
      <c r="AL3428" s="196">
        <f>IFERROR($G3428/SUMIF($A:$A,$A3428,$G:$G)*(SUMIF(Summary!$A$247:$A$283,$A3428,Summary!$L$247:$L$283)+SUMIF(Summary!$A$297:$A$333,$A3428,Summary!$L$297:$L$333))-AK3428,0)</f>
        <v>0</v>
      </c>
      <c r="AM3428" s="198"/>
      <c r="AN3428" s="196">
        <f t="shared" ca="1" si="754"/>
        <v>0</v>
      </c>
      <c r="AO3428" s="196">
        <f t="shared" ca="1" si="755"/>
        <v>0</v>
      </c>
    </row>
    <row r="3429" spans="1:41">
      <c r="A3429" s="189">
        <v>13231</v>
      </c>
      <c r="B3429" s="190">
        <v>4</v>
      </c>
      <c r="C3429" s="191" t="s">
        <v>221</v>
      </c>
      <c r="D3429" s="192">
        <f t="shared" si="742"/>
        <v>0</v>
      </c>
      <c r="E3429" s="192">
        <f t="shared" si="743"/>
        <v>0</v>
      </c>
      <c r="F3429" s="192">
        <f t="shared" si="744"/>
        <v>0</v>
      </c>
      <c r="G3429" s="193">
        <f t="shared" si="745"/>
        <v>0</v>
      </c>
      <c r="H3429" s="194">
        <v>0</v>
      </c>
      <c r="I3429" s="194">
        <v>0</v>
      </c>
      <c r="J3429" s="194">
        <v>0</v>
      </c>
      <c r="K3429" s="193">
        <f t="shared" si="746"/>
        <v>0</v>
      </c>
      <c r="L3429" s="194">
        <v>0</v>
      </c>
      <c r="M3429" s="194">
        <v>0</v>
      </c>
      <c r="N3429" s="194">
        <v>0</v>
      </c>
      <c r="O3429" s="193">
        <f t="shared" si="747"/>
        <v>0</v>
      </c>
      <c r="P3429" s="194">
        <v>0</v>
      </c>
      <c r="Q3429" s="194">
        <v>0</v>
      </c>
      <c r="R3429" s="194">
        <v>0</v>
      </c>
      <c r="S3429" s="193">
        <f t="shared" si="748"/>
        <v>0</v>
      </c>
      <c r="T3429" s="193">
        <f t="shared" si="749"/>
        <v>0</v>
      </c>
      <c r="U3429" s="193">
        <f ca="1">OFFSET('Expenditure Study'!$B$7,'Operations Support'!$C3429,'Operations Support'!$B3429)*$G3429</f>
        <v>0</v>
      </c>
      <c r="V3429" s="199">
        <f ca="1">U3429*'Expenditure Study'!$B$31</f>
        <v>0</v>
      </c>
      <c r="W3429" s="199">
        <f ca="1">IF(A3429=10298,1.51,1)*IF($B3429&lt;3,$D3429*'Expenditure Study'!$B$32*OFFSET('Expenditure Study'!$B$7,'Operations Support'!$C3429,'Operations Support'!$B3429),0)</f>
        <v>0</v>
      </c>
      <c r="X3429" s="200">
        <f ca="1">W3429*'Expenditure Study'!$B$31</f>
        <v>0</v>
      </c>
      <c r="Y3429" s="199">
        <f ca="1">U3429*'Expenditure Study'!$B$31</f>
        <v>0</v>
      </c>
      <c r="Z3429" s="200">
        <f ca="1">W3429*'Expenditure Study'!$B$31</f>
        <v>0</v>
      </c>
      <c r="AA3429" s="195">
        <f t="shared" ca="1" si="750"/>
        <v>0</v>
      </c>
      <c r="AB3429" s="195">
        <f t="shared" ca="1" si="751"/>
        <v>0</v>
      </c>
      <c r="AD3429" s="196">
        <f>IFERROR($G3429/SUMIF($A:$A,$A3429,$G:$G)*SUMIF(Summary!$A$166:$A$242,$A3429,Summary!$P$166:$P$242),0)</f>
        <v>0</v>
      </c>
      <c r="AE3429" s="197">
        <f t="shared" ca="1" si="752"/>
        <v>0</v>
      </c>
      <c r="AF3429" s="196">
        <f>IFERROR(G3429/SUMIF(A:A,A3429,G:G)*SUMIF(Summary!$A$166:$A$242,'Operations Support'!A3429,Summary!$Q$166:$Q$242),0)</f>
        <v>0</v>
      </c>
      <c r="AG3429" s="196">
        <f t="shared" ca="1" si="753"/>
        <v>0</v>
      </c>
      <c r="AI3429" s="196">
        <f>IFERROR($G3429/SUMIF($A:$A,$A3429,$G:$G)*SUMIF(Summary!$A$247:$A$283,$A3429,Summary!$P$247:$P$283),0)</f>
        <v>0</v>
      </c>
      <c r="AJ3429" s="196">
        <f>IFERROR($G3429/SUMIF($A:$A,$A3429,$G:$G)*(SUMIF(Summary!$A$247:$A$283,$A3429,Summary!$L$247:$L$283)+SUMIF(Summary!$A$297:$A$333,$A3429,Summary!$L$297:$L$333))-AI3429,0)</f>
        <v>0</v>
      </c>
      <c r="AK3429" s="196">
        <f>IFERROR($G3429/SUMIF($A:$A,$A3429,$G:$G)*SUMIF(Summary!$A$247:$A$283,$A3429,Summary!$Q$247:$Q$283),0)</f>
        <v>0</v>
      </c>
      <c r="AL3429" s="196">
        <f>IFERROR($G3429/SUMIF($A:$A,$A3429,$G:$G)*(SUMIF(Summary!$A$247:$A$283,$A3429,Summary!$L$247:$L$283)+SUMIF(Summary!$A$297:$A$333,$A3429,Summary!$L$297:$L$333))-AK3429,0)</f>
        <v>0</v>
      </c>
      <c r="AM3429" s="198"/>
      <c r="AN3429" s="196">
        <f t="shared" ca="1" si="754"/>
        <v>0</v>
      </c>
      <c r="AO3429" s="196">
        <f t="shared" ca="1" si="755"/>
        <v>0</v>
      </c>
    </row>
    <row r="3430" spans="1:41">
      <c r="A3430" s="189">
        <v>13231</v>
      </c>
      <c r="B3430" s="190">
        <v>4</v>
      </c>
      <c r="C3430" s="191" t="s">
        <v>222</v>
      </c>
      <c r="D3430" s="192">
        <f t="shared" si="742"/>
        <v>0</v>
      </c>
      <c r="E3430" s="192">
        <f t="shared" si="743"/>
        <v>0</v>
      </c>
      <c r="F3430" s="192">
        <f t="shared" si="744"/>
        <v>0</v>
      </c>
      <c r="G3430" s="193">
        <f t="shared" si="745"/>
        <v>0</v>
      </c>
      <c r="H3430" s="194">
        <v>0</v>
      </c>
      <c r="I3430" s="194">
        <v>0</v>
      </c>
      <c r="J3430" s="194">
        <v>0</v>
      </c>
      <c r="K3430" s="193">
        <f t="shared" si="746"/>
        <v>0</v>
      </c>
      <c r="L3430" s="194">
        <v>0</v>
      </c>
      <c r="M3430" s="194">
        <v>0</v>
      </c>
      <c r="N3430" s="194">
        <v>0</v>
      </c>
      <c r="O3430" s="193">
        <f t="shared" si="747"/>
        <v>0</v>
      </c>
      <c r="P3430" s="194">
        <v>0</v>
      </c>
      <c r="Q3430" s="194">
        <v>0</v>
      </c>
      <c r="R3430" s="194">
        <v>0</v>
      </c>
      <c r="S3430" s="193">
        <f t="shared" si="748"/>
        <v>0</v>
      </c>
      <c r="T3430" s="193">
        <f t="shared" si="749"/>
        <v>0</v>
      </c>
      <c r="U3430" s="193">
        <f ca="1">OFFSET('Expenditure Study'!$B$7,'Operations Support'!$C3430,'Operations Support'!$B3430)*$G3430</f>
        <v>0</v>
      </c>
      <c r="V3430" s="199">
        <f ca="1">U3430*'Expenditure Study'!$B$31</f>
        <v>0</v>
      </c>
      <c r="W3430" s="199">
        <f ca="1">IF(A3430=10298,1.51,1)*IF($B3430&lt;3,$D3430*'Expenditure Study'!$B$32*OFFSET('Expenditure Study'!$B$7,'Operations Support'!$C3430,'Operations Support'!$B3430),0)</f>
        <v>0</v>
      </c>
      <c r="X3430" s="200">
        <f ca="1">W3430*'Expenditure Study'!$B$31</f>
        <v>0</v>
      </c>
      <c r="Y3430" s="199">
        <f ca="1">U3430*'Expenditure Study'!$B$31</f>
        <v>0</v>
      </c>
      <c r="Z3430" s="200">
        <f ca="1">W3430*'Expenditure Study'!$B$31</f>
        <v>0</v>
      </c>
      <c r="AA3430" s="195">
        <f t="shared" ca="1" si="750"/>
        <v>0</v>
      </c>
      <c r="AB3430" s="195">
        <f t="shared" ca="1" si="751"/>
        <v>0</v>
      </c>
      <c r="AD3430" s="196">
        <f>IFERROR($G3430/SUMIF($A:$A,$A3430,$G:$G)*SUMIF(Summary!$A$166:$A$242,$A3430,Summary!$P$166:$P$242),0)</f>
        <v>0</v>
      </c>
      <c r="AE3430" s="197">
        <f t="shared" ca="1" si="752"/>
        <v>0</v>
      </c>
      <c r="AF3430" s="196">
        <f>IFERROR(G3430/SUMIF(A:A,A3430,G:G)*SUMIF(Summary!$A$166:$A$242,'Operations Support'!A3430,Summary!$Q$166:$Q$242),0)</f>
        <v>0</v>
      </c>
      <c r="AG3430" s="196">
        <f t="shared" ca="1" si="753"/>
        <v>0</v>
      </c>
      <c r="AI3430" s="196">
        <f>IFERROR($G3430/SUMIF($A:$A,$A3430,$G:$G)*SUMIF(Summary!$A$247:$A$283,$A3430,Summary!$P$247:$P$283),0)</f>
        <v>0</v>
      </c>
      <c r="AJ3430" s="196">
        <f>IFERROR($G3430/SUMIF($A:$A,$A3430,$G:$G)*(SUMIF(Summary!$A$247:$A$283,$A3430,Summary!$L$247:$L$283)+SUMIF(Summary!$A$297:$A$333,$A3430,Summary!$L$297:$L$333))-AI3430,0)</f>
        <v>0</v>
      </c>
      <c r="AK3430" s="196">
        <f>IFERROR($G3430/SUMIF($A:$A,$A3430,$G:$G)*SUMIF(Summary!$A$247:$A$283,$A3430,Summary!$Q$247:$Q$283),0)</f>
        <v>0</v>
      </c>
      <c r="AL3430" s="196">
        <f>IFERROR($G3430/SUMIF($A:$A,$A3430,$G:$G)*(SUMIF(Summary!$A$247:$A$283,$A3430,Summary!$L$247:$L$283)+SUMIF(Summary!$A$297:$A$333,$A3430,Summary!$L$297:$L$333))-AK3430,0)</f>
        <v>0</v>
      </c>
      <c r="AM3430" s="198"/>
      <c r="AN3430" s="196">
        <f t="shared" ca="1" si="754"/>
        <v>0</v>
      </c>
      <c r="AO3430" s="196">
        <f t="shared" ca="1" si="755"/>
        <v>0</v>
      </c>
    </row>
    <row r="3431" spans="1:41">
      <c r="A3431" s="189">
        <v>13231</v>
      </c>
      <c r="B3431" s="190">
        <v>4</v>
      </c>
      <c r="C3431" s="191" t="s">
        <v>223</v>
      </c>
      <c r="D3431" s="192">
        <f t="shared" si="742"/>
        <v>0</v>
      </c>
      <c r="E3431" s="192">
        <f t="shared" si="743"/>
        <v>0</v>
      </c>
      <c r="F3431" s="192">
        <f t="shared" si="744"/>
        <v>0</v>
      </c>
      <c r="G3431" s="193">
        <f t="shared" si="745"/>
        <v>0</v>
      </c>
      <c r="H3431" s="194">
        <v>0</v>
      </c>
      <c r="I3431" s="194">
        <v>0</v>
      </c>
      <c r="J3431" s="194">
        <v>0</v>
      </c>
      <c r="K3431" s="193">
        <f t="shared" si="746"/>
        <v>0</v>
      </c>
      <c r="L3431" s="194">
        <v>0</v>
      </c>
      <c r="M3431" s="194">
        <v>0</v>
      </c>
      <c r="N3431" s="194">
        <v>0</v>
      </c>
      <c r="O3431" s="193">
        <f t="shared" si="747"/>
        <v>0</v>
      </c>
      <c r="P3431" s="194">
        <v>0</v>
      </c>
      <c r="Q3431" s="194">
        <v>0</v>
      </c>
      <c r="R3431" s="194">
        <v>0</v>
      </c>
      <c r="S3431" s="193">
        <f t="shared" si="748"/>
        <v>0</v>
      </c>
      <c r="T3431" s="193">
        <f t="shared" si="749"/>
        <v>0</v>
      </c>
      <c r="U3431" s="193">
        <f ca="1">OFFSET('Expenditure Study'!$B$7,'Operations Support'!$C3431,'Operations Support'!$B3431)*$G3431</f>
        <v>0</v>
      </c>
      <c r="V3431" s="199">
        <f ca="1">U3431*'Expenditure Study'!$B$31</f>
        <v>0</v>
      </c>
      <c r="W3431" s="199">
        <f ca="1">IF(A3431=10298,1.51,1)*IF($B3431&lt;3,$D3431*'Expenditure Study'!$B$32*OFFSET('Expenditure Study'!$B$7,'Operations Support'!$C3431,'Operations Support'!$B3431),0)</f>
        <v>0</v>
      </c>
      <c r="X3431" s="200">
        <f ca="1">W3431*'Expenditure Study'!$B$31</f>
        <v>0</v>
      </c>
      <c r="Y3431" s="199">
        <f ca="1">U3431*'Expenditure Study'!$B$31</f>
        <v>0</v>
      </c>
      <c r="Z3431" s="200">
        <f ca="1">W3431*'Expenditure Study'!$B$31</f>
        <v>0</v>
      </c>
      <c r="AA3431" s="195">
        <f t="shared" ca="1" si="750"/>
        <v>0</v>
      </c>
      <c r="AB3431" s="195">
        <f t="shared" ca="1" si="751"/>
        <v>0</v>
      </c>
      <c r="AD3431" s="196">
        <f>IFERROR($G3431/SUMIF($A:$A,$A3431,$G:$G)*SUMIF(Summary!$A$166:$A$242,$A3431,Summary!$P$166:$P$242),0)</f>
        <v>0</v>
      </c>
      <c r="AE3431" s="197">
        <f t="shared" ca="1" si="752"/>
        <v>0</v>
      </c>
      <c r="AF3431" s="196">
        <f>IFERROR(G3431/SUMIF(A:A,A3431,G:G)*SUMIF(Summary!$A$166:$A$242,'Operations Support'!A3431,Summary!$Q$166:$Q$242),0)</f>
        <v>0</v>
      </c>
      <c r="AG3431" s="196">
        <f t="shared" ca="1" si="753"/>
        <v>0</v>
      </c>
      <c r="AI3431" s="196">
        <f>IFERROR($G3431/SUMIF($A:$A,$A3431,$G:$G)*SUMIF(Summary!$A$247:$A$283,$A3431,Summary!$P$247:$P$283),0)</f>
        <v>0</v>
      </c>
      <c r="AJ3431" s="196">
        <f>IFERROR($G3431/SUMIF($A:$A,$A3431,$G:$G)*(SUMIF(Summary!$A$247:$A$283,$A3431,Summary!$L$247:$L$283)+SUMIF(Summary!$A$297:$A$333,$A3431,Summary!$L$297:$L$333))-AI3431,0)</f>
        <v>0</v>
      </c>
      <c r="AK3431" s="196">
        <f>IFERROR($G3431/SUMIF($A:$A,$A3431,$G:$G)*SUMIF(Summary!$A$247:$A$283,$A3431,Summary!$Q$247:$Q$283),0)</f>
        <v>0</v>
      </c>
      <c r="AL3431" s="196">
        <f>IFERROR($G3431/SUMIF($A:$A,$A3431,$G:$G)*(SUMIF(Summary!$A$247:$A$283,$A3431,Summary!$L$247:$L$283)+SUMIF(Summary!$A$297:$A$333,$A3431,Summary!$L$297:$L$333))-AK3431,0)</f>
        <v>0</v>
      </c>
      <c r="AM3431" s="198"/>
      <c r="AN3431" s="196">
        <f t="shared" ca="1" si="754"/>
        <v>0</v>
      </c>
      <c r="AO3431" s="196">
        <f t="shared" ca="1" si="755"/>
        <v>0</v>
      </c>
    </row>
    <row r="3432" spans="1:41">
      <c r="A3432" s="189">
        <v>13231</v>
      </c>
      <c r="B3432" s="190">
        <v>4</v>
      </c>
      <c r="C3432" s="191" t="s">
        <v>224</v>
      </c>
      <c r="D3432" s="192">
        <f t="shared" si="742"/>
        <v>0</v>
      </c>
      <c r="E3432" s="192">
        <f t="shared" si="743"/>
        <v>0</v>
      </c>
      <c r="F3432" s="192">
        <f t="shared" si="744"/>
        <v>0</v>
      </c>
      <c r="G3432" s="193">
        <f t="shared" si="745"/>
        <v>0</v>
      </c>
      <c r="H3432" s="194">
        <v>0</v>
      </c>
      <c r="I3432" s="194">
        <v>0</v>
      </c>
      <c r="J3432" s="194">
        <v>0</v>
      </c>
      <c r="K3432" s="193">
        <f t="shared" si="746"/>
        <v>0</v>
      </c>
      <c r="L3432" s="194">
        <v>0</v>
      </c>
      <c r="M3432" s="194">
        <v>0</v>
      </c>
      <c r="N3432" s="194">
        <v>0</v>
      </c>
      <c r="O3432" s="193">
        <f t="shared" si="747"/>
        <v>0</v>
      </c>
      <c r="P3432" s="194">
        <v>0</v>
      </c>
      <c r="Q3432" s="194">
        <v>0</v>
      </c>
      <c r="R3432" s="194">
        <v>0</v>
      </c>
      <c r="S3432" s="193">
        <f t="shared" si="748"/>
        <v>0</v>
      </c>
      <c r="T3432" s="193">
        <f t="shared" si="749"/>
        <v>0</v>
      </c>
      <c r="U3432" s="193">
        <f ca="1">OFFSET('Expenditure Study'!$B$7,'Operations Support'!$C3432,'Operations Support'!$B3432)*$G3432</f>
        <v>0</v>
      </c>
      <c r="V3432" s="199">
        <f ca="1">U3432*'Expenditure Study'!$B$31</f>
        <v>0</v>
      </c>
      <c r="W3432" s="199">
        <f ca="1">IF(A3432=10298,1.51,1)*IF($B3432&lt;3,$D3432*'Expenditure Study'!$B$32*OFFSET('Expenditure Study'!$B$7,'Operations Support'!$C3432,'Operations Support'!$B3432),0)</f>
        <v>0</v>
      </c>
      <c r="X3432" s="200">
        <f ca="1">W3432*'Expenditure Study'!$B$31</f>
        <v>0</v>
      </c>
      <c r="Y3432" s="199">
        <f ca="1">U3432*'Expenditure Study'!$B$31</f>
        <v>0</v>
      </c>
      <c r="Z3432" s="200">
        <f ca="1">W3432*'Expenditure Study'!$B$31</f>
        <v>0</v>
      </c>
      <c r="AA3432" s="195">
        <f t="shared" ca="1" si="750"/>
        <v>0</v>
      </c>
      <c r="AB3432" s="195">
        <f t="shared" ca="1" si="751"/>
        <v>0</v>
      </c>
      <c r="AD3432" s="196">
        <f>IFERROR($G3432/SUMIF($A:$A,$A3432,$G:$G)*SUMIF(Summary!$A$166:$A$242,$A3432,Summary!$P$166:$P$242),0)</f>
        <v>0</v>
      </c>
      <c r="AE3432" s="197">
        <f t="shared" ca="1" si="752"/>
        <v>0</v>
      </c>
      <c r="AF3432" s="196">
        <f>IFERROR(G3432/SUMIF(A:A,A3432,G:G)*SUMIF(Summary!$A$166:$A$242,'Operations Support'!A3432,Summary!$Q$166:$Q$242),0)</f>
        <v>0</v>
      </c>
      <c r="AG3432" s="196">
        <f t="shared" ca="1" si="753"/>
        <v>0</v>
      </c>
      <c r="AI3432" s="196">
        <f>IFERROR($G3432/SUMIF($A:$A,$A3432,$G:$G)*SUMIF(Summary!$A$247:$A$283,$A3432,Summary!$P$247:$P$283),0)</f>
        <v>0</v>
      </c>
      <c r="AJ3432" s="196">
        <f>IFERROR($G3432/SUMIF($A:$A,$A3432,$G:$G)*(SUMIF(Summary!$A$247:$A$283,$A3432,Summary!$L$247:$L$283)+SUMIF(Summary!$A$297:$A$333,$A3432,Summary!$L$297:$L$333))-AI3432,0)</f>
        <v>0</v>
      </c>
      <c r="AK3432" s="196">
        <f>IFERROR($G3432/SUMIF($A:$A,$A3432,$G:$G)*SUMIF(Summary!$A$247:$A$283,$A3432,Summary!$Q$247:$Q$283),0)</f>
        <v>0</v>
      </c>
      <c r="AL3432" s="196">
        <f>IFERROR($G3432/SUMIF($A:$A,$A3432,$G:$G)*(SUMIF(Summary!$A$247:$A$283,$A3432,Summary!$L$247:$L$283)+SUMIF(Summary!$A$297:$A$333,$A3432,Summary!$L$297:$L$333))-AK3432,0)</f>
        <v>0</v>
      </c>
      <c r="AM3432" s="198"/>
      <c r="AN3432" s="196">
        <f t="shared" ca="1" si="754"/>
        <v>0</v>
      </c>
      <c r="AO3432" s="196">
        <f t="shared" ca="1" si="755"/>
        <v>0</v>
      </c>
    </row>
    <row r="3433" spans="1:41">
      <c r="A3433" s="189">
        <v>13231</v>
      </c>
      <c r="B3433" s="190">
        <v>4</v>
      </c>
      <c r="C3433" s="191" t="s">
        <v>225</v>
      </c>
      <c r="D3433" s="192">
        <f t="shared" si="742"/>
        <v>0</v>
      </c>
      <c r="E3433" s="192">
        <f t="shared" si="743"/>
        <v>0</v>
      </c>
      <c r="F3433" s="192">
        <f t="shared" si="744"/>
        <v>0</v>
      </c>
      <c r="G3433" s="193">
        <f t="shared" si="745"/>
        <v>0</v>
      </c>
      <c r="H3433" s="194">
        <v>0</v>
      </c>
      <c r="I3433" s="194">
        <v>0</v>
      </c>
      <c r="J3433" s="194">
        <v>0</v>
      </c>
      <c r="K3433" s="193">
        <f t="shared" si="746"/>
        <v>0</v>
      </c>
      <c r="L3433" s="194">
        <v>0</v>
      </c>
      <c r="M3433" s="194">
        <v>0</v>
      </c>
      <c r="N3433" s="194">
        <v>0</v>
      </c>
      <c r="O3433" s="193">
        <f t="shared" si="747"/>
        <v>0</v>
      </c>
      <c r="P3433" s="194">
        <v>0</v>
      </c>
      <c r="Q3433" s="194">
        <v>0</v>
      </c>
      <c r="R3433" s="194">
        <v>0</v>
      </c>
      <c r="S3433" s="193">
        <f t="shared" si="748"/>
        <v>0</v>
      </c>
      <c r="T3433" s="193">
        <f t="shared" si="749"/>
        <v>0</v>
      </c>
      <c r="U3433" s="193">
        <f ca="1">OFFSET('Expenditure Study'!$B$7,'Operations Support'!$C3433,'Operations Support'!$B3433)*$G3433</f>
        <v>0</v>
      </c>
      <c r="V3433" s="199">
        <f ca="1">U3433*'Expenditure Study'!$B$31</f>
        <v>0</v>
      </c>
      <c r="W3433" s="199">
        <f ca="1">IF(A3433=10298,1.51,1)*IF($B3433&lt;3,$D3433*'Expenditure Study'!$B$32*OFFSET('Expenditure Study'!$B$7,'Operations Support'!$C3433,'Operations Support'!$B3433),0)</f>
        <v>0</v>
      </c>
      <c r="X3433" s="200">
        <f ca="1">W3433*'Expenditure Study'!$B$31</f>
        <v>0</v>
      </c>
      <c r="Y3433" s="199">
        <f ca="1">U3433*'Expenditure Study'!$B$31</f>
        <v>0</v>
      </c>
      <c r="Z3433" s="200">
        <f ca="1">W3433*'Expenditure Study'!$B$31</f>
        <v>0</v>
      </c>
      <c r="AA3433" s="195">
        <f t="shared" ca="1" si="750"/>
        <v>0</v>
      </c>
      <c r="AB3433" s="195">
        <f t="shared" ca="1" si="751"/>
        <v>0</v>
      </c>
      <c r="AD3433" s="196">
        <f>IFERROR($G3433/SUMIF($A:$A,$A3433,$G:$G)*SUMIF(Summary!$A$166:$A$242,$A3433,Summary!$P$166:$P$242),0)</f>
        <v>0</v>
      </c>
      <c r="AE3433" s="197">
        <f t="shared" ca="1" si="752"/>
        <v>0</v>
      </c>
      <c r="AF3433" s="196">
        <f>IFERROR(G3433/SUMIF(A:A,A3433,G:G)*SUMIF(Summary!$A$166:$A$242,'Operations Support'!A3433,Summary!$Q$166:$Q$242),0)</f>
        <v>0</v>
      </c>
      <c r="AG3433" s="196">
        <f t="shared" ca="1" si="753"/>
        <v>0</v>
      </c>
      <c r="AI3433" s="196">
        <f>IFERROR($G3433/SUMIF($A:$A,$A3433,$G:$G)*SUMIF(Summary!$A$247:$A$283,$A3433,Summary!$P$247:$P$283),0)</f>
        <v>0</v>
      </c>
      <c r="AJ3433" s="196">
        <f>IFERROR($G3433/SUMIF($A:$A,$A3433,$G:$G)*(SUMIF(Summary!$A$247:$A$283,$A3433,Summary!$L$247:$L$283)+SUMIF(Summary!$A$297:$A$333,$A3433,Summary!$L$297:$L$333))-AI3433,0)</f>
        <v>0</v>
      </c>
      <c r="AK3433" s="196">
        <f>IFERROR($G3433/SUMIF($A:$A,$A3433,$G:$G)*SUMIF(Summary!$A$247:$A$283,$A3433,Summary!$Q$247:$Q$283),0)</f>
        <v>0</v>
      </c>
      <c r="AL3433" s="196">
        <f>IFERROR($G3433/SUMIF($A:$A,$A3433,$G:$G)*(SUMIF(Summary!$A$247:$A$283,$A3433,Summary!$L$247:$L$283)+SUMIF(Summary!$A$297:$A$333,$A3433,Summary!$L$297:$L$333))-AK3433,0)</f>
        <v>0</v>
      </c>
      <c r="AM3433" s="198"/>
      <c r="AN3433" s="196">
        <f t="shared" ca="1" si="754"/>
        <v>0</v>
      </c>
      <c r="AO3433" s="196">
        <f t="shared" ca="1" si="755"/>
        <v>0</v>
      </c>
    </row>
    <row r="3434" spans="1:41">
      <c r="A3434" s="189">
        <v>13231</v>
      </c>
      <c r="B3434" s="190">
        <v>4</v>
      </c>
      <c r="C3434" s="191" t="s">
        <v>226</v>
      </c>
      <c r="D3434" s="192">
        <f t="shared" si="742"/>
        <v>0</v>
      </c>
      <c r="E3434" s="192">
        <f t="shared" si="743"/>
        <v>0</v>
      </c>
      <c r="F3434" s="192">
        <f t="shared" si="744"/>
        <v>0</v>
      </c>
      <c r="G3434" s="193">
        <f t="shared" si="745"/>
        <v>0</v>
      </c>
      <c r="H3434" s="194">
        <v>0</v>
      </c>
      <c r="I3434" s="194">
        <v>0</v>
      </c>
      <c r="J3434" s="194">
        <v>0</v>
      </c>
      <c r="K3434" s="193">
        <f t="shared" si="746"/>
        <v>0</v>
      </c>
      <c r="L3434" s="194">
        <v>0</v>
      </c>
      <c r="M3434" s="194">
        <v>0</v>
      </c>
      <c r="N3434" s="194">
        <v>0</v>
      </c>
      <c r="O3434" s="193">
        <f t="shared" si="747"/>
        <v>0</v>
      </c>
      <c r="P3434" s="194">
        <v>0</v>
      </c>
      <c r="Q3434" s="194">
        <v>0</v>
      </c>
      <c r="R3434" s="194">
        <v>0</v>
      </c>
      <c r="S3434" s="193">
        <f t="shared" si="748"/>
        <v>0</v>
      </c>
      <c r="T3434" s="193">
        <f t="shared" si="749"/>
        <v>0</v>
      </c>
      <c r="U3434" s="193">
        <f ca="1">OFFSET('Expenditure Study'!$B$7,'Operations Support'!$C3434,'Operations Support'!$B3434)*$G3434</f>
        <v>0</v>
      </c>
      <c r="V3434" s="199">
        <f ca="1">U3434*'Expenditure Study'!$B$31</f>
        <v>0</v>
      </c>
      <c r="W3434" s="199">
        <f ca="1">IF(A3434=10298,1.51,1)*IF($B3434&lt;3,$D3434*'Expenditure Study'!$B$32*OFFSET('Expenditure Study'!$B$7,'Operations Support'!$C3434,'Operations Support'!$B3434),0)</f>
        <v>0</v>
      </c>
      <c r="X3434" s="200">
        <f ca="1">W3434*'Expenditure Study'!$B$31</f>
        <v>0</v>
      </c>
      <c r="Y3434" s="199">
        <f ca="1">U3434*'Expenditure Study'!$B$31</f>
        <v>0</v>
      </c>
      <c r="Z3434" s="200">
        <f ca="1">W3434*'Expenditure Study'!$B$31</f>
        <v>0</v>
      </c>
      <c r="AA3434" s="195">
        <f t="shared" ca="1" si="750"/>
        <v>0</v>
      </c>
      <c r="AB3434" s="195">
        <f t="shared" ca="1" si="751"/>
        <v>0</v>
      </c>
      <c r="AD3434" s="196">
        <f>IFERROR($G3434/SUMIF($A:$A,$A3434,$G:$G)*SUMIF(Summary!$A$166:$A$242,$A3434,Summary!$P$166:$P$242),0)</f>
        <v>0</v>
      </c>
      <c r="AE3434" s="197">
        <f t="shared" ca="1" si="752"/>
        <v>0</v>
      </c>
      <c r="AF3434" s="196">
        <f>IFERROR(G3434/SUMIF(A:A,A3434,G:G)*SUMIF(Summary!$A$166:$A$242,'Operations Support'!A3434,Summary!$Q$166:$Q$242),0)</f>
        <v>0</v>
      </c>
      <c r="AG3434" s="196">
        <f t="shared" ca="1" si="753"/>
        <v>0</v>
      </c>
      <c r="AI3434" s="196">
        <f>IFERROR($G3434/SUMIF($A:$A,$A3434,$G:$G)*SUMIF(Summary!$A$247:$A$283,$A3434,Summary!$P$247:$P$283),0)</f>
        <v>0</v>
      </c>
      <c r="AJ3434" s="196">
        <f>IFERROR($G3434/SUMIF($A:$A,$A3434,$G:$G)*(SUMIF(Summary!$A$247:$A$283,$A3434,Summary!$L$247:$L$283)+SUMIF(Summary!$A$297:$A$333,$A3434,Summary!$L$297:$L$333))-AI3434,0)</f>
        <v>0</v>
      </c>
      <c r="AK3434" s="196">
        <f>IFERROR($G3434/SUMIF($A:$A,$A3434,$G:$G)*SUMIF(Summary!$A$247:$A$283,$A3434,Summary!$Q$247:$Q$283),0)</f>
        <v>0</v>
      </c>
      <c r="AL3434" s="196">
        <f>IFERROR($G3434/SUMIF($A:$A,$A3434,$G:$G)*(SUMIF(Summary!$A$247:$A$283,$A3434,Summary!$L$247:$L$283)+SUMIF(Summary!$A$297:$A$333,$A3434,Summary!$L$297:$L$333))-AK3434,0)</f>
        <v>0</v>
      </c>
      <c r="AM3434" s="198"/>
      <c r="AN3434" s="196">
        <f t="shared" ca="1" si="754"/>
        <v>0</v>
      </c>
      <c r="AO3434" s="196">
        <f t="shared" ca="1" si="755"/>
        <v>0</v>
      </c>
    </row>
    <row r="3435" spans="1:41">
      <c r="A3435" s="189">
        <v>13231</v>
      </c>
      <c r="B3435" s="190">
        <v>4</v>
      </c>
      <c r="C3435" s="191" t="s">
        <v>227</v>
      </c>
      <c r="D3435" s="192">
        <f t="shared" si="742"/>
        <v>0</v>
      </c>
      <c r="E3435" s="192">
        <f t="shared" si="743"/>
        <v>0</v>
      </c>
      <c r="F3435" s="192">
        <f t="shared" si="744"/>
        <v>0</v>
      </c>
      <c r="G3435" s="193">
        <f t="shared" si="745"/>
        <v>0</v>
      </c>
      <c r="H3435" s="194">
        <v>0</v>
      </c>
      <c r="I3435" s="194">
        <v>0</v>
      </c>
      <c r="J3435" s="194">
        <v>0</v>
      </c>
      <c r="K3435" s="193">
        <f t="shared" si="746"/>
        <v>0</v>
      </c>
      <c r="L3435" s="194">
        <v>0</v>
      </c>
      <c r="M3435" s="194">
        <v>0</v>
      </c>
      <c r="N3435" s="194">
        <v>0</v>
      </c>
      <c r="O3435" s="193">
        <f t="shared" si="747"/>
        <v>0</v>
      </c>
      <c r="P3435" s="194">
        <v>0</v>
      </c>
      <c r="Q3435" s="194">
        <v>0</v>
      </c>
      <c r="R3435" s="194">
        <v>0</v>
      </c>
      <c r="S3435" s="193">
        <f t="shared" si="748"/>
        <v>0</v>
      </c>
      <c r="T3435" s="193">
        <f t="shared" si="749"/>
        <v>0</v>
      </c>
      <c r="U3435" s="193">
        <f ca="1">OFFSET('Expenditure Study'!$B$7,'Operations Support'!$C3435,'Operations Support'!$B3435)*$G3435</f>
        <v>0</v>
      </c>
      <c r="V3435" s="199">
        <f ca="1">U3435*'Expenditure Study'!$B$31</f>
        <v>0</v>
      </c>
      <c r="W3435" s="199">
        <f ca="1">IF(A3435=10298,1.51,1)*IF($B3435&lt;3,$D3435*'Expenditure Study'!$B$32*OFFSET('Expenditure Study'!$B$7,'Operations Support'!$C3435,'Operations Support'!$B3435),0)</f>
        <v>0</v>
      </c>
      <c r="X3435" s="200">
        <f ca="1">W3435*'Expenditure Study'!$B$31</f>
        <v>0</v>
      </c>
      <c r="Y3435" s="199">
        <f ca="1">U3435*'Expenditure Study'!$B$31</f>
        <v>0</v>
      </c>
      <c r="Z3435" s="200">
        <f ca="1">W3435*'Expenditure Study'!$B$31</f>
        <v>0</v>
      </c>
      <c r="AA3435" s="195">
        <f t="shared" ca="1" si="750"/>
        <v>0</v>
      </c>
      <c r="AB3435" s="195">
        <f t="shared" ca="1" si="751"/>
        <v>0</v>
      </c>
      <c r="AD3435" s="196">
        <f>IFERROR($G3435/SUMIF($A:$A,$A3435,$G:$G)*SUMIF(Summary!$A$166:$A$242,$A3435,Summary!$P$166:$P$242),0)</f>
        <v>0</v>
      </c>
      <c r="AE3435" s="197">
        <f t="shared" ca="1" si="752"/>
        <v>0</v>
      </c>
      <c r="AF3435" s="196">
        <f>IFERROR(G3435/SUMIF(A:A,A3435,G:G)*SUMIF(Summary!$A$166:$A$242,'Operations Support'!A3435,Summary!$Q$166:$Q$242),0)</f>
        <v>0</v>
      </c>
      <c r="AG3435" s="196">
        <f t="shared" ca="1" si="753"/>
        <v>0</v>
      </c>
      <c r="AI3435" s="196">
        <f>IFERROR($G3435/SUMIF($A:$A,$A3435,$G:$G)*SUMIF(Summary!$A$247:$A$283,$A3435,Summary!$P$247:$P$283),0)</f>
        <v>0</v>
      </c>
      <c r="AJ3435" s="196">
        <f>IFERROR($G3435/SUMIF($A:$A,$A3435,$G:$G)*(SUMIF(Summary!$A$247:$A$283,$A3435,Summary!$L$247:$L$283)+SUMIF(Summary!$A$297:$A$333,$A3435,Summary!$L$297:$L$333))-AI3435,0)</f>
        <v>0</v>
      </c>
      <c r="AK3435" s="196">
        <f>IFERROR($G3435/SUMIF($A:$A,$A3435,$G:$G)*SUMIF(Summary!$A$247:$A$283,$A3435,Summary!$Q$247:$Q$283),0)</f>
        <v>0</v>
      </c>
      <c r="AL3435" s="196">
        <f>IFERROR($G3435/SUMIF($A:$A,$A3435,$G:$G)*(SUMIF(Summary!$A$247:$A$283,$A3435,Summary!$L$247:$L$283)+SUMIF(Summary!$A$297:$A$333,$A3435,Summary!$L$297:$L$333))-AK3435,0)</f>
        <v>0</v>
      </c>
      <c r="AM3435" s="198"/>
      <c r="AN3435" s="196">
        <f t="shared" ca="1" si="754"/>
        <v>0</v>
      </c>
      <c r="AO3435" s="196">
        <f t="shared" ca="1" si="755"/>
        <v>0</v>
      </c>
    </row>
    <row r="3436" spans="1:41">
      <c r="A3436" s="189">
        <v>13231</v>
      </c>
      <c r="B3436" s="190">
        <v>4</v>
      </c>
      <c r="C3436" s="191" t="s">
        <v>228</v>
      </c>
      <c r="D3436" s="192">
        <f t="shared" si="742"/>
        <v>0</v>
      </c>
      <c r="E3436" s="192">
        <f t="shared" si="743"/>
        <v>0</v>
      </c>
      <c r="F3436" s="192">
        <f t="shared" si="744"/>
        <v>0</v>
      </c>
      <c r="G3436" s="193">
        <f t="shared" si="745"/>
        <v>0</v>
      </c>
      <c r="H3436" s="194">
        <v>0</v>
      </c>
      <c r="I3436" s="194">
        <v>0</v>
      </c>
      <c r="J3436" s="194">
        <v>0</v>
      </c>
      <c r="K3436" s="193">
        <f t="shared" si="746"/>
        <v>0</v>
      </c>
      <c r="L3436" s="194">
        <v>0</v>
      </c>
      <c r="M3436" s="194">
        <v>0</v>
      </c>
      <c r="N3436" s="194">
        <v>0</v>
      </c>
      <c r="O3436" s="193">
        <f t="shared" si="747"/>
        <v>0</v>
      </c>
      <c r="P3436" s="194">
        <v>0</v>
      </c>
      <c r="Q3436" s="194">
        <v>0</v>
      </c>
      <c r="R3436" s="194">
        <v>0</v>
      </c>
      <c r="S3436" s="193">
        <f t="shared" si="748"/>
        <v>0</v>
      </c>
      <c r="T3436" s="193">
        <f t="shared" si="749"/>
        <v>0</v>
      </c>
      <c r="U3436" s="193">
        <f ca="1">OFFSET('Expenditure Study'!$B$7,'Operations Support'!$C3436,'Operations Support'!$B3436)*$G3436</f>
        <v>0</v>
      </c>
      <c r="V3436" s="199">
        <f ca="1">U3436*'Expenditure Study'!$B$31</f>
        <v>0</v>
      </c>
      <c r="W3436" s="199">
        <f ca="1">IF(A3436=10298,1.51,1)*IF($B3436&lt;3,$D3436*'Expenditure Study'!$B$32*OFFSET('Expenditure Study'!$B$7,'Operations Support'!$C3436,'Operations Support'!$B3436),0)</f>
        <v>0</v>
      </c>
      <c r="X3436" s="200">
        <f ca="1">W3436*'Expenditure Study'!$B$31</f>
        <v>0</v>
      </c>
      <c r="Y3436" s="199">
        <f ca="1">U3436*'Expenditure Study'!$B$31</f>
        <v>0</v>
      </c>
      <c r="Z3436" s="200">
        <f ca="1">W3436*'Expenditure Study'!$B$31</f>
        <v>0</v>
      </c>
      <c r="AA3436" s="195">
        <f t="shared" ca="1" si="750"/>
        <v>0</v>
      </c>
      <c r="AB3436" s="195">
        <f t="shared" ca="1" si="751"/>
        <v>0</v>
      </c>
      <c r="AD3436" s="196">
        <f>IFERROR($G3436/SUMIF($A:$A,$A3436,$G:$G)*SUMIF(Summary!$A$166:$A$242,$A3436,Summary!$P$166:$P$242),0)</f>
        <v>0</v>
      </c>
      <c r="AE3436" s="197">
        <f t="shared" ca="1" si="752"/>
        <v>0</v>
      </c>
      <c r="AF3436" s="196">
        <f>IFERROR(G3436/SUMIF(A:A,A3436,G:G)*SUMIF(Summary!$A$166:$A$242,'Operations Support'!A3436,Summary!$Q$166:$Q$242),0)</f>
        <v>0</v>
      </c>
      <c r="AG3436" s="196">
        <f t="shared" ca="1" si="753"/>
        <v>0</v>
      </c>
      <c r="AI3436" s="196">
        <f>IFERROR($G3436/SUMIF($A:$A,$A3436,$G:$G)*SUMIF(Summary!$A$247:$A$283,$A3436,Summary!$P$247:$P$283),0)</f>
        <v>0</v>
      </c>
      <c r="AJ3436" s="196">
        <f>IFERROR($G3436/SUMIF($A:$A,$A3436,$G:$G)*(SUMIF(Summary!$A$247:$A$283,$A3436,Summary!$L$247:$L$283)+SUMIF(Summary!$A$297:$A$333,$A3436,Summary!$L$297:$L$333))-AI3436,0)</f>
        <v>0</v>
      </c>
      <c r="AK3436" s="196">
        <f>IFERROR($G3436/SUMIF($A:$A,$A3436,$G:$G)*SUMIF(Summary!$A$247:$A$283,$A3436,Summary!$Q$247:$Q$283),0)</f>
        <v>0</v>
      </c>
      <c r="AL3436" s="196">
        <f>IFERROR($G3436/SUMIF($A:$A,$A3436,$G:$G)*(SUMIF(Summary!$A$247:$A$283,$A3436,Summary!$L$247:$L$283)+SUMIF(Summary!$A$297:$A$333,$A3436,Summary!$L$297:$L$333))-AK3436,0)</f>
        <v>0</v>
      </c>
      <c r="AM3436" s="198"/>
      <c r="AN3436" s="196">
        <f t="shared" ca="1" si="754"/>
        <v>0</v>
      </c>
      <c r="AO3436" s="196">
        <f t="shared" ca="1" si="755"/>
        <v>0</v>
      </c>
    </row>
    <row r="3437" spans="1:41">
      <c r="A3437" s="189">
        <v>13231</v>
      </c>
      <c r="B3437" s="190">
        <v>4</v>
      </c>
      <c r="C3437" s="191" t="s">
        <v>229</v>
      </c>
      <c r="D3437" s="192">
        <f t="shared" si="742"/>
        <v>0</v>
      </c>
      <c r="E3437" s="192">
        <f t="shared" si="743"/>
        <v>0</v>
      </c>
      <c r="F3437" s="192">
        <f t="shared" si="744"/>
        <v>0</v>
      </c>
      <c r="G3437" s="193">
        <f t="shared" si="745"/>
        <v>0</v>
      </c>
      <c r="H3437" s="194">
        <v>0</v>
      </c>
      <c r="I3437" s="194">
        <v>0</v>
      </c>
      <c r="J3437" s="194">
        <v>0</v>
      </c>
      <c r="K3437" s="193">
        <f t="shared" si="746"/>
        <v>0</v>
      </c>
      <c r="L3437" s="194">
        <v>0</v>
      </c>
      <c r="M3437" s="194">
        <v>0</v>
      </c>
      <c r="N3437" s="194">
        <v>0</v>
      </c>
      <c r="O3437" s="193">
        <f t="shared" si="747"/>
        <v>0</v>
      </c>
      <c r="P3437" s="194">
        <v>0</v>
      </c>
      <c r="Q3437" s="194">
        <v>0</v>
      </c>
      <c r="R3437" s="194">
        <v>0</v>
      </c>
      <c r="S3437" s="193">
        <f t="shared" si="748"/>
        <v>0</v>
      </c>
      <c r="T3437" s="193">
        <f t="shared" si="749"/>
        <v>0</v>
      </c>
      <c r="U3437" s="193">
        <f ca="1">OFFSET('Expenditure Study'!$B$7,'Operations Support'!$C3437,'Operations Support'!$B3437)*$G3437</f>
        <v>0</v>
      </c>
      <c r="V3437" s="199">
        <f ca="1">U3437*'Expenditure Study'!$B$31</f>
        <v>0</v>
      </c>
      <c r="W3437" s="199">
        <f ca="1">IF(A3437=10298,1.51,1)*IF($B3437&lt;3,$D3437*'Expenditure Study'!$B$32*OFFSET('Expenditure Study'!$B$7,'Operations Support'!$C3437,'Operations Support'!$B3437),0)</f>
        <v>0</v>
      </c>
      <c r="X3437" s="200">
        <f ca="1">W3437*'Expenditure Study'!$B$31</f>
        <v>0</v>
      </c>
      <c r="Y3437" s="199">
        <f ca="1">U3437*'Expenditure Study'!$B$31</f>
        <v>0</v>
      </c>
      <c r="Z3437" s="200">
        <f ca="1">W3437*'Expenditure Study'!$B$31</f>
        <v>0</v>
      </c>
      <c r="AA3437" s="195">
        <f t="shared" ca="1" si="750"/>
        <v>0</v>
      </c>
      <c r="AB3437" s="195">
        <f t="shared" ca="1" si="751"/>
        <v>0</v>
      </c>
      <c r="AD3437" s="196">
        <f>IFERROR($G3437/SUMIF($A:$A,$A3437,$G:$G)*SUMIF(Summary!$A$166:$A$242,$A3437,Summary!$P$166:$P$242),0)</f>
        <v>0</v>
      </c>
      <c r="AE3437" s="197">
        <f t="shared" ca="1" si="752"/>
        <v>0</v>
      </c>
      <c r="AF3437" s="196">
        <f>IFERROR(G3437/SUMIF(A:A,A3437,G:G)*SUMIF(Summary!$A$166:$A$242,'Operations Support'!A3437,Summary!$Q$166:$Q$242),0)</f>
        <v>0</v>
      </c>
      <c r="AG3437" s="196">
        <f t="shared" ca="1" si="753"/>
        <v>0</v>
      </c>
      <c r="AI3437" s="196">
        <f>IFERROR($G3437/SUMIF($A:$A,$A3437,$G:$G)*SUMIF(Summary!$A$247:$A$283,$A3437,Summary!$P$247:$P$283),0)</f>
        <v>0</v>
      </c>
      <c r="AJ3437" s="196">
        <f>IFERROR($G3437/SUMIF($A:$A,$A3437,$G:$G)*(SUMIF(Summary!$A$247:$A$283,$A3437,Summary!$L$247:$L$283)+SUMIF(Summary!$A$297:$A$333,$A3437,Summary!$L$297:$L$333))-AI3437,0)</f>
        <v>0</v>
      </c>
      <c r="AK3437" s="196">
        <f>IFERROR($G3437/SUMIF($A:$A,$A3437,$G:$G)*SUMIF(Summary!$A$247:$A$283,$A3437,Summary!$Q$247:$Q$283),0)</f>
        <v>0</v>
      </c>
      <c r="AL3437" s="196">
        <f>IFERROR($G3437/SUMIF($A:$A,$A3437,$G:$G)*(SUMIF(Summary!$A$247:$A$283,$A3437,Summary!$L$247:$L$283)+SUMIF(Summary!$A$297:$A$333,$A3437,Summary!$L$297:$L$333))-AK3437,0)</f>
        <v>0</v>
      </c>
      <c r="AM3437" s="198"/>
      <c r="AN3437" s="196">
        <f t="shared" ca="1" si="754"/>
        <v>0</v>
      </c>
      <c r="AO3437" s="196">
        <f t="shared" ca="1" si="755"/>
        <v>0</v>
      </c>
    </row>
    <row r="3438" spans="1:41">
      <c r="A3438" s="189">
        <v>13231</v>
      </c>
      <c r="B3438" s="190">
        <v>4</v>
      </c>
      <c r="C3438" s="191" t="s">
        <v>230</v>
      </c>
      <c r="D3438" s="192">
        <f t="shared" si="742"/>
        <v>0</v>
      </c>
      <c r="E3438" s="192">
        <f t="shared" si="743"/>
        <v>0</v>
      </c>
      <c r="F3438" s="192">
        <f t="shared" si="744"/>
        <v>0</v>
      </c>
      <c r="G3438" s="193">
        <f t="shared" si="745"/>
        <v>0</v>
      </c>
      <c r="H3438" s="194">
        <v>0</v>
      </c>
      <c r="I3438" s="194">
        <v>0</v>
      </c>
      <c r="J3438" s="194">
        <v>0</v>
      </c>
      <c r="K3438" s="193">
        <f t="shared" si="746"/>
        <v>0</v>
      </c>
      <c r="L3438" s="194">
        <v>0</v>
      </c>
      <c r="M3438" s="194">
        <v>0</v>
      </c>
      <c r="N3438" s="194">
        <v>0</v>
      </c>
      <c r="O3438" s="193">
        <f t="shared" si="747"/>
        <v>0</v>
      </c>
      <c r="P3438" s="194">
        <v>0</v>
      </c>
      <c r="Q3438" s="194">
        <v>0</v>
      </c>
      <c r="R3438" s="194">
        <v>0</v>
      </c>
      <c r="S3438" s="193">
        <f t="shared" si="748"/>
        <v>0</v>
      </c>
      <c r="T3438" s="193">
        <f t="shared" si="749"/>
        <v>0</v>
      </c>
      <c r="U3438" s="193">
        <f ca="1">OFFSET('Expenditure Study'!$B$7,'Operations Support'!$C3438,'Operations Support'!$B3438)*$G3438</f>
        <v>0</v>
      </c>
      <c r="V3438" s="199">
        <f ca="1">U3438*'Expenditure Study'!$B$31</f>
        <v>0</v>
      </c>
      <c r="W3438" s="199">
        <f ca="1">IF(A3438=10298,1.51,1)*IF($B3438&lt;3,$D3438*'Expenditure Study'!$B$32*OFFSET('Expenditure Study'!$B$7,'Operations Support'!$C3438,'Operations Support'!$B3438),0)</f>
        <v>0</v>
      </c>
      <c r="X3438" s="200">
        <f ca="1">W3438*'Expenditure Study'!$B$31</f>
        <v>0</v>
      </c>
      <c r="Y3438" s="199">
        <f ca="1">U3438*'Expenditure Study'!$B$31</f>
        <v>0</v>
      </c>
      <c r="Z3438" s="200">
        <f ca="1">W3438*'Expenditure Study'!$B$31</f>
        <v>0</v>
      </c>
      <c r="AA3438" s="195">
        <f t="shared" ca="1" si="750"/>
        <v>0</v>
      </c>
      <c r="AB3438" s="195">
        <f t="shared" ca="1" si="751"/>
        <v>0</v>
      </c>
      <c r="AD3438" s="196">
        <f>IFERROR($G3438/SUMIF($A:$A,$A3438,$G:$G)*SUMIF(Summary!$A$166:$A$242,$A3438,Summary!$P$166:$P$242),0)</f>
        <v>0</v>
      </c>
      <c r="AE3438" s="197">
        <f t="shared" ca="1" si="752"/>
        <v>0</v>
      </c>
      <c r="AF3438" s="196">
        <f>IFERROR(G3438/SUMIF(A:A,A3438,G:G)*SUMIF(Summary!$A$166:$A$242,'Operations Support'!A3438,Summary!$Q$166:$Q$242),0)</f>
        <v>0</v>
      </c>
      <c r="AG3438" s="196">
        <f t="shared" ca="1" si="753"/>
        <v>0</v>
      </c>
      <c r="AI3438" s="196">
        <f>IFERROR($G3438/SUMIF($A:$A,$A3438,$G:$G)*SUMIF(Summary!$A$247:$A$283,$A3438,Summary!$P$247:$P$283),0)</f>
        <v>0</v>
      </c>
      <c r="AJ3438" s="196">
        <f>IFERROR($G3438/SUMIF($A:$A,$A3438,$G:$G)*(SUMIF(Summary!$A$247:$A$283,$A3438,Summary!$L$247:$L$283)+SUMIF(Summary!$A$297:$A$333,$A3438,Summary!$L$297:$L$333))-AI3438,0)</f>
        <v>0</v>
      </c>
      <c r="AK3438" s="196">
        <f>IFERROR($G3438/SUMIF($A:$A,$A3438,$G:$G)*SUMIF(Summary!$A$247:$A$283,$A3438,Summary!$Q$247:$Q$283),0)</f>
        <v>0</v>
      </c>
      <c r="AL3438" s="196">
        <f>IFERROR($G3438/SUMIF($A:$A,$A3438,$G:$G)*(SUMIF(Summary!$A$247:$A$283,$A3438,Summary!$L$247:$L$283)+SUMIF(Summary!$A$297:$A$333,$A3438,Summary!$L$297:$L$333))-AK3438,0)</f>
        <v>0</v>
      </c>
      <c r="AM3438" s="198"/>
      <c r="AN3438" s="196">
        <f t="shared" ca="1" si="754"/>
        <v>0</v>
      </c>
      <c r="AO3438" s="196">
        <f t="shared" ca="1" si="755"/>
        <v>0</v>
      </c>
    </row>
    <row r="3439" spans="1:41">
      <c r="A3439" s="189">
        <v>13231</v>
      </c>
      <c r="B3439" s="190">
        <v>4</v>
      </c>
      <c r="C3439" s="191" t="s">
        <v>231</v>
      </c>
      <c r="D3439" s="192">
        <f t="shared" si="742"/>
        <v>0</v>
      </c>
      <c r="E3439" s="192">
        <f t="shared" si="743"/>
        <v>0</v>
      </c>
      <c r="F3439" s="192">
        <f t="shared" si="744"/>
        <v>0</v>
      </c>
      <c r="G3439" s="193">
        <f t="shared" si="745"/>
        <v>0</v>
      </c>
      <c r="H3439" s="194">
        <v>0</v>
      </c>
      <c r="I3439" s="194">
        <v>0</v>
      </c>
      <c r="J3439" s="194">
        <v>0</v>
      </c>
      <c r="K3439" s="193">
        <f t="shared" si="746"/>
        <v>0</v>
      </c>
      <c r="L3439" s="194">
        <v>0</v>
      </c>
      <c r="M3439" s="194">
        <v>0</v>
      </c>
      <c r="N3439" s="194">
        <v>0</v>
      </c>
      <c r="O3439" s="193">
        <f t="shared" si="747"/>
        <v>0</v>
      </c>
      <c r="P3439" s="194">
        <v>0</v>
      </c>
      <c r="Q3439" s="194">
        <v>0</v>
      </c>
      <c r="R3439" s="194">
        <v>0</v>
      </c>
      <c r="S3439" s="193">
        <f t="shared" si="748"/>
        <v>0</v>
      </c>
      <c r="T3439" s="193">
        <f t="shared" si="749"/>
        <v>0</v>
      </c>
      <c r="U3439" s="193">
        <f ca="1">OFFSET('Expenditure Study'!$B$7,'Operations Support'!$C3439,'Operations Support'!$B3439)*$G3439</f>
        <v>0</v>
      </c>
      <c r="V3439" s="199">
        <f ca="1">U3439*'Expenditure Study'!$B$31</f>
        <v>0</v>
      </c>
      <c r="W3439" s="199">
        <f ca="1">IF(A3439=10298,1.51,1)*IF($B3439&lt;3,$D3439*'Expenditure Study'!$B$32*OFFSET('Expenditure Study'!$B$7,'Operations Support'!$C3439,'Operations Support'!$B3439),0)</f>
        <v>0</v>
      </c>
      <c r="X3439" s="200">
        <f ca="1">W3439*'Expenditure Study'!$B$31</f>
        <v>0</v>
      </c>
      <c r="Y3439" s="199">
        <f ca="1">U3439*'Expenditure Study'!$B$31</f>
        <v>0</v>
      </c>
      <c r="Z3439" s="200">
        <f ca="1">W3439*'Expenditure Study'!$B$31</f>
        <v>0</v>
      </c>
      <c r="AA3439" s="195">
        <f t="shared" ca="1" si="750"/>
        <v>0</v>
      </c>
      <c r="AB3439" s="195">
        <f t="shared" ca="1" si="751"/>
        <v>0</v>
      </c>
      <c r="AD3439" s="196">
        <f>IFERROR($G3439/SUMIF($A:$A,$A3439,$G:$G)*SUMIF(Summary!$A$166:$A$242,$A3439,Summary!$P$166:$P$242),0)</f>
        <v>0</v>
      </c>
      <c r="AE3439" s="197">
        <f t="shared" ca="1" si="752"/>
        <v>0</v>
      </c>
      <c r="AF3439" s="196">
        <f>IFERROR(G3439/SUMIF(A:A,A3439,G:G)*SUMIF(Summary!$A$166:$A$242,'Operations Support'!A3439,Summary!$Q$166:$Q$242),0)</f>
        <v>0</v>
      </c>
      <c r="AG3439" s="196">
        <f t="shared" ca="1" si="753"/>
        <v>0</v>
      </c>
      <c r="AI3439" s="196">
        <f>IFERROR($G3439/SUMIF($A:$A,$A3439,$G:$G)*SUMIF(Summary!$A$247:$A$283,$A3439,Summary!$P$247:$P$283),0)</f>
        <v>0</v>
      </c>
      <c r="AJ3439" s="196">
        <f>IFERROR($G3439/SUMIF($A:$A,$A3439,$G:$G)*(SUMIF(Summary!$A$247:$A$283,$A3439,Summary!$L$247:$L$283)+SUMIF(Summary!$A$297:$A$333,$A3439,Summary!$L$297:$L$333))-AI3439,0)</f>
        <v>0</v>
      </c>
      <c r="AK3439" s="196">
        <f>IFERROR($G3439/SUMIF($A:$A,$A3439,$G:$G)*SUMIF(Summary!$A$247:$A$283,$A3439,Summary!$Q$247:$Q$283),0)</f>
        <v>0</v>
      </c>
      <c r="AL3439" s="196">
        <f>IFERROR($G3439/SUMIF($A:$A,$A3439,$G:$G)*(SUMIF(Summary!$A$247:$A$283,$A3439,Summary!$L$247:$L$283)+SUMIF(Summary!$A$297:$A$333,$A3439,Summary!$L$297:$L$333))-AK3439,0)</f>
        <v>0</v>
      </c>
      <c r="AM3439" s="198"/>
      <c r="AN3439" s="196">
        <f t="shared" ca="1" si="754"/>
        <v>0</v>
      </c>
      <c r="AO3439" s="196">
        <f t="shared" ca="1" si="755"/>
        <v>0</v>
      </c>
    </row>
    <row r="3440" spans="1:41">
      <c r="A3440" s="189">
        <v>13231</v>
      </c>
      <c r="B3440" s="190">
        <v>4</v>
      </c>
      <c r="C3440" s="191" t="s">
        <v>232</v>
      </c>
      <c r="D3440" s="192">
        <f t="shared" si="742"/>
        <v>0</v>
      </c>
      <c r="E3440" s="192">
        <f t="shared" si="743"/>
        <v>0</v>
      </c>
      <c r="F3440" s="192">
        <f t="shared" si="744"/>
        <v>0</v>
      </c>
      <c r="G3440" s="193">
        <f t="shared" si="745"/>
        <v>0</v>
      </c>
      <c r="H3440" s="194">
        <v>0</v>
      </c>
      <c r="I3440" s="194">
        <v>0</v>
      </c>
      <c r="J3440" s="194">
        <v>0</v>
      </c>
      <c r="K3440" s="193">
        <f t="shared" si="746"/>
        <v>0</v>
      </c>
      <c r="L3440" s="194">
        <v>0</v>
      </c>
      <c r="M3440" s="194">
        <v>0</v>
      </c>
      <c r="N3440" s="194">
        <v>0</v>
      </c>
      <c r="O3440" s="193">
        <f t="shared" si="747"/>
        <v>0</v>
      </c>
      <c r="P3440" s="194">
        <v>0</v>
      </c>
      <c r="Q3440" s="194">
        <v>0</v>
      </c>
      <c r="R3440" s="194">
        <v>0</v>
      </c>
      <c r="S3440" s="193">
        <f t="shared" si="748"/>
        <v>0</v>
      </c>
      <c r="T3440" s="193">
        <f t="shared" si="749"/>
        <v>0</v>
      </c>
      <c r="U3440" s="193">
        <f ca="1">OFFSET('Expenditure Study'!$B$7,'Operations Support'!$C3440,'Operations Support'!$B3440)*$G3440</f>
        <v>0</v>
      </c>
      <c r="V3440" s="199">
        <f ca="1">U3440*'Expenditure Study'!$B$31</f>
        <v>0</v>
      </c>
      <c r="W3440" s="199">
        <f ca="1">IF(A3440=10298,1.51,1)*IF($B3440&lt;3,$D3440*'Expenditure Study'!$B$32*OFFSET('Expenditure Study'!$B$7,'Operations Support'!$C3440,'Operations Support'!$B3440),0)</f>
        <v>0</v>
      </c>
      <c r="X3440" s="200">
        <f ca="1">W3440*'Expenditure Study'!$B$31</f>
        <v>0</v>
      </c>
      <c r="Y3440" s="199">
        <f ca="1">U3440*'Expenditure Study'!$B$31</f>
        <v>0</v>
      </c>
      <c r="Z3440" s="200">
        <f ca="1">W3440*'Expenditure Study'!$B$31</f>
        <v>0</v>
      </c>
      <c r="AA3440" s="195">
        <f t="shared" ca="1" si="750"/>
        <v>0</v>
      </c>
      <c r="AB3440" s="195">
        <f t="shared" ca="1" si="751"/>
        <v>0</v>
      </c>
      <c r="AD3440" s="196">
        <f>IFERROR($G3440/SUMIF($A:$A,$A3440,$G:$G)*SUMIF(Summary!$A$166:$A$242,$A3440,Summary!$P$166:$P$242),0)</f>
        <v>0</v>
      </c>
      <c r="AE3440" s="197">
        <f t="shared" ca="1" si="752"/>
        <v>0</v>
      </c>
      <c r="AF3440" s="196">
        <f>IFERROR(G3440/SUMIF(A:A,A3440,G:G)*SUMIF(Summary!$A$166:$A$242,'Operations Support'!A3440,Summary!$Q$166:$Q$242),0)</f>
        <v>0</v>
      </c>
      <c r="AG3440" s="196">
        <f t="shared" ca="1" si="753"/>
        <v>0</v>
      </c>
      <c r="AI3440" s="196">
        <f>IFERROR($G3440/SUMIF($A:$A,$A3440,$G:$G)*SUMIF(Summary!$A$247:$A$283,$A3440,Summary!$P$247:$P$283),0)</f>
        <v>0</v>
      </c>
      <c r="AJ3440" s="196">
        <f>IFERROR($G3440/SUMIF($A:$A,$A3440,$G:$G)*(SUMIF(Summary!$A$247:$A$283,$A3440,Summary!$L$247:$L$283)+SUMIF(Summary!$A$297:$A$333,$A3440,Summary!$L$297:$L$333))-AI3440,0)</f>
        <v>0</v>
      </c>
      <c r="AK3440" s="196">
        <f>IFERROR($G3440/SUMIF($A:$A,$A3440,$G:$G)*SUMIF(Summary!$A$247:$A$283,$A3440,Summary!$Q$247:$Q$283),0)</f>
        <v>0</v>
      </c>
      <c r="AL3440" s="196">
        <f>IFERROR($G3440/SUMIF($A:$A,$A3440,$G:$G)*(SUMIF(Summary!$A$247:$A$283,$A3440,Summary!$L$247:$L$283)+SUMIF(Summary!$A$297:$A$333,$A3440,Summary!$L$297:$L$333))-AK3440,0)</f>
        <v>0</v>
      </c>
      <c r="AM3440" s="198"/>
      <c r="AN3440" s="196">
        <f t="shared" ca="1" si="754"/>
        <v>0</v>
      </c>
      <c r="AO3440" s="196">
        <f t="shared" ca="1" si="755"/>
        <v>0</v>
      </c>
    </row>
    <row r="3441" spans="1:41">
      <c r="A3441" s="189">
        <v>13231</v>
      </c>
      <c r="B3441" s="190">
        <v>4</v>
      </c>
      <c r="C3441" s="191" t="s">
        <v>233</v>
      </c>
      <c r="D3441" s="192">
        <f t="shared" si="742"/>
        <v>0</v>
      </c>
      <c r="E3441" s="192">
        <f t="shared" si="743"/>
        <v>0</v>
      </c>
      <c r="F3441" s="192">
        <f t="shared" si="744"/>
        <v>0</v>
      </c>
      <c r="G3441" s="193">
        <f t="shared" si="745"/>
        <v>0</v>
      </c>
      <c r="H3441" s="194">
        <v>0</v>
      </c>
      <c r="I3441" s="194">
        <v>0</v>
      </c>
      <c r="J3441" s="194">
        <v>0</v>
      </c>
      <c r="K3441" s="193">
        <f t="shared" si="746"/>
        <v>0</v>
      </c>
      <c r="L3441" s="194">
        <v>0</v>
      </c>
      <c r="M3441" s="194">
        <v>0</v>
      </c>
      <c r="N3441" s="194">
        <v>0</v>
      </c>
      <c r="O3441" s="193">
        <f t="shared" si="747"/>
        <v>0</v>
      </c>
      <c r="P3441" s="194">
        <v>0</v>
      </c>
      <c r="Q3441" s="194">
        <v>0</v>
      </c>
      <c r="R3441" s="194">
        <v>0</v>
      </c>
      <c r="S3441" s="193">
        <f t="shared" si="748"/>
        <v>0</v>
      </c>
      <c r="T3441" s="193">
        <f t="shared" si="749"/>
        <v>0</v>
      </c>
      <c r="U3441" s="193">
        <f ca="1">OFFSET('Expenditure Study'!$B$7,'Operations Support'!$C3441,'Operations Support'!$B3441)*$G3441</f>
        <v>0</v>
      </c>
      <c r="V3441" s="199">
        <f ca="1">U3441*'Expenditure Study'!$B$31</f>
        <v>0</v>
      </c>
      <c r="W3441" s="199">
        <f ca="1">IF(A3441=10298,1.51,1)*IF($B3441&lt;3,$D3441*'Expenditure Study'!$B$32*OFFSET('Expenditure Study'!$B$7,'Operations Support'!$C3441,'Operations Support'!$B3441),0)</f>
        <v>0</v>
      </c>
      <c r="X3441" s="200">
        <f ca="1">W3441*'Expenditure Study'!$B$31</f>
        <v>0</v>
      </c>
      <c r="Y3441" s="199">
        <f ca="1">U3441*'Expenditure Study'!$B$31</f>
        <v>0</v>
      </c>
      <c r="Z3441" s="200">
        <f ca="1">W3441*'Expenditure Study'!$B$31</f>
        <v>0</v>
      </c>
      <c r="AA3441" s="195">
        <f t="shared" ca="1" si="750"/>
        <v>0</v>
      </c>
      <c r="AB3441" s="195">
        <f t="shared" ca="1" si="751"/>
        <v>0</v>
      </c>
      <c r="AD3441" s="196">
        <f>IFERROR($G3441/SUMIF($A:$A,$A3441,$G:$G)*SUMIF(Summary!$A$166:$A$242,$A3441,Summary!$P$166:$P$242),0)</f>
        <v>0</v>
      </c>
      <c r="AE3441" s="197">
        <f t="shared" ca="1" si="752"/>
        <v>0</v>
      </c>
      <c r="AF3441" s="196">
        <f>IFERROR(G3441/SUMIF(A:A,A3441,G:G)*SUMIF(Summary!$A$166:$A$242,'Operations Support'!A3441,Summary!$Q$166:$Q$242),0)</f>
        <v>0</v>
      </c>
      <c r="AG3441" s="196">
        <f t="shared" ca="1" si="753"/>
        <v>0</v>
      </c>
      <c r="AI3441" s="196">
        <f>IFERROR($G3441/SUMIF($A:$A,$A3441,$G:$G)*SUMIF(Summary!$A$247:$A$283,$A3441,Summary!$P$247:$P$283),0)</f>
        <v>0</v>
      </c>
      <c r="AJ3441" s="196">
        <f>IFERROR($G3441/SUMIF($A:$A,$A3441,$G:$G)*(SUMIF(Summary!$A$247:$A$283,$A3441,Summary!$L$247:$L$283)+SUMIF(Summary!$A$297:$A$333,$A3441,Summary!$L$297:$L$333))-AI3441,0)</f>
        <v>0</v>
      </c>
      <c r="AK3441" s="196">
        <f>IFERROR($G3441/SUMIF($A:$A,$A3441,$G:$G)*SUMIF(Summary!$A$247:$A$283,$A3441,Summary!$Q$247:$Q$283),0)</f>
        <v>0</v>
      </c>
      <c r="AL3441" s="196">
        <f>IFERROR($G3441/SUMIF($A:$A,$A3441,$G:$G)*(SUMIF(Summary!$A$247:$A$283,$A3441,Summary!$L$247:$L$283)+SUMIF(Summary!$A$297:$A$333,$A3441,Summary!$L$297:$L$333))-AK3441,0)</f>
        <v>0</v>
      </c>
      <c r="AM3441" s="198"/>
      <c r="AN3441" s="196">
        <f t="shared" ca="1" si="754"/>
        <v>0</v>
      </c>
      <c r="AO3441" s="196">
        <f t="shared" ca="1" si="755"/>
        <v>0</v>
      </c>
    </row>
    <row r="3442" spans="1:41">
      <c r="A3442" s="189">
        <v>13231</v>
      </c>
      <c r="B3442" s="190">
        <v>4</v>
      </c>
      <c r="C3442" s="191" t="s">
        <v>234</v>
      </c>
      <c r="D3442" s="192">
        <f t="shared" si="742"/>
        <v>0</v>
      </c>
      <c r="E3442" s="192">
        <f t="shared" si="743"/>
        <v>0</v>
      </c>
      <c r="F3442" s="192">
        <f t="shared" si="744"/>
        <v>0</v>
      </c>
      <c r="G3442" s="193">
        <f t="shared" si="745"/>
        <v>0</v>
      </c>
      <c r="H3442" s="194">
        <v>0</v>
      </c>
      <c r="I3442" s="194">
        <v>0</v>
      </c>
      <c r="J3442" s="194">
        <v>0</v>
      </c>
      <c r="K3442" s="193">
        <f t="shared" si="746"/>
        <v>0</v>
      </c>
      <c r="L3442" s="194">
        <v>0</v>
      </c>
      <c r="M3442" s="194">
        <v>0</v>
      </c>
      <c r="N3442" s="194">
        <v>0</v>
      </c>
      <c r="O3442" s="193">
        <f t="shared" si="747"/>
        <v>0</v>
      </c>
      <c r="P3442" s="194">
        <v>0</v>
      </c>
      <c r="Q3442" s="194">
        <v>0</v>
      </c>
      <c r="R3442" s="194">
        <v>0</v>
      </c>
      <c r="S3442" s="193">
        <f t="shared" si="748"/>
        <v>0</v>
      </c>
      <c r="T3442" s="193">
        <f t="shared" si="749"/>
        <v>0</v>
      </c>
      <c r="U3442" s="193">
        <f ca="1">OFFSET('Expenditure Study'!$B$7,'Operations Support'!$C3442,'Operations Support'!$B3442)*$G3442</f>
        <v>0</v>
      </c>
      <c r="V3442" s="199">
        <f ca="1">U3442*'Expenditure Study'!$B$31</f>
        <v>0</v>
      </c>
      <c r="W3442" s="199">
        <f ca="1">IF(A3442=10298,1.51,1)*IF($B3442&lt;3,$D3442*'Expenditure Study'!$B$32*OFFSET('Expenditure Study'!$B$7,'Operations Support'!$C3442,'Operations Support'!$B3442),0)</f>
        <v>0</v>
      </c>
      <c r="X3442" s="200">
        <f ca="1">W3442*'Expenditure Study'!$B$31</f>
        <v>0</v>
      </c>
      <c r="Y3442" s="199">
        <f ca="1">U3442*'Expenditure Study'!$B$31</f>
        <v>0</v>
      </c>
      <c r="Z3442" s="200">
        <f ca="1">W3442*'Expenditure Study'!$B$31</f>
        <v>0</v>
      </c>
      <c r="AA3442" s="195">
        <f t="shared" ca="1" si="750"/>
        <v>0</v>
      </c>
      <c r="AB3442" s="195">
        <f t="shared" ca="1" si="751"/>
        <v>0</v>
      </c>
      <c r="AD3442" s="196">
        <f>IFERROR($G3442/SUMIF($A:$A,$A3442,$G:$G)*SUMIF(Summary!$A$166:$A$242,$A3442,Summary!$P$166:$P$242),0)</f>
        <v>0</v>
      </c>
      <c r="AE3442" s="197">
        <f t="shared" ca="1" si="752"/>
        <v>0</v>
      </c>
      <c r="AF3442" s="196">
        <f>IFERROR(G3442/SUMIF(A:A,A3442,G:G)*SUMIF(Summary!$A$166:$A$242,'Operations Support'!A3442,Summary!$Q$166:$Q$242),0)</f>
        <v>0</v>
      </c>
      <c r="AG3442" s="196">
        <f t="shared" ca="1" si="753"/>
        <v>0</v>
      </c>
      <c r="AI3442" s="196">
        <f>IFERROR($G3442/SUMIF($A:$A,$A3442,$G:$G)*SUMIF(Summary!$A$247:$A$283,$A3442,Summary!$P$247:$P$283),0)</f>
        <v>0</v>
      </c>
      <c r="AJ3442" s="196">
        <f>IFERROR($G3442/SUMIF($A:$A,$A3442,$G:$G)*(SUMIF(Summary!$A$247:$A$283,$A3442,Summary!$L$247:$L$283)+SUMIF(Summary!$A$297:$A$333,$A3442,Summary!$L$297:$L$333))-AI3442,0)</f>
        <v>0</v>
      </c>
      <c r="AK3442" s="196">
        <f>IFERROR($G3442/SUMIF($A:$A,$A3442,$G:$G)*SUMIF(Summary!$A$247:$A$283,$A3442,Summary!$Q$247:$Q$283),0)</f>
        <v>0</v>
      </c>
      <c r="AL3442" s="196">
        <f>IFERROR($G3442/SUMIF($A:$A,$A3442,$G:$G)*(SUMIF(Summary!$A$247:$A$283,$A3442,Summary!$L$247:$L$283)+SUMIF(Summary!$A$297:$A$333,$A3442,Summary!$L$297:$L$333))-AK3442,0)</f>
        <v>0</v>
      </c>
      <c r="AM3442" s="198"/>
      <c r="AN3442" s="196">
        <f t="shared" ca="1" si="754"/>
        <v>0</v>
      </c>
      <c r="AO3442" s="196">
        <f t="shared" ca="1" si="755"/>
        <v>0</v>
      </c>
    </row>
    <row r="3443" spans="1:41">
      <c r="A3443" s="189">
        <v>13231</v>
      </c>
      <c r="B3443" s="190">
        <v>4</v>
      </c>
      <c r="C3443" s="191" t="s">
        <v>235</v>
      </c>
      <c r="D3443" s="192">
        <f t="shared" si="742"/>
        <v>0</v>
      </c>
      <c r="E3443" s="192">
        <f t="shared" si="743"/>
        <v>0</v>
      </c>
      <c r="F3443" s="192">
        <f t="shared" si="744"/>
        <v>0</v>
      </c>
      <c r="G3443" s="193">
        <f t="shared" si="745"/>
        <v>0</v>
      </c>
      <c r="H3443" s="194">
        <v>0</v>
      </c>
      <c r="I3443" s="194">
        <v>0</v>
      </c>
      <c r="J3443" s="194">
        <v>0</v>
      </c>
      <c r="K3443" s="193">
        <f t="shared" si="746"/>
        <v>0</v>
      </c>
      <c r="L3443" s="194">
        <v>0</v>
      </c>
      <c r="M3443" s="194">
        <v>0</v>
      </c>
      <c r="N3443" s="194">
        <v>0</v>
      </c>
      <c r="O3443" s="193">
        <f t="shared" si="747"/>
        <v>0</v>
      </c>
      <c r="P3443" s="194">
        <v>0</v>
      </c>
      <c r="Q3443" s="194">
        <v>0</v>
      </c>
      <c r="R3443" s="194">
        <v>0</v>
      </c>
      <c r="S3443" s="193">
        <f t="shared" si="748"/>
        <v>0</v>
      </c>
      <c r="T3443" s="193">
        <f t="shared" si="749"/>
        <v>0</v>
      </c>
      <c r="U3443" s="193">
        <f ca="1">OFFSET('Expenditure Study'!$B$7,'Operations Support'!$C3443,'Operations Support'!$B3443)*$G3443</f>
        <v>0</v>
      </c>
      <c r="V3443" s="199">
        <f ca="1">U3443*'Expenditure Study'!$B$31</f>
        <v>0</v>
      </c>
      <c r="W3443" s="199">
        <f ca="1">IF(A3443=10298,1.51,1)*IF($B3443&lt;3,$D3443*'Expenditure Study'!$B$32*OFFSET('Expenditure Study'!$B$7,'Operations Support'!$C3443,'Operations Support'!$B3443),0)</f>
        <v>0</v>
      </c>
      <c r="X3443" s="200">
        <f ca="1">W3443*'Expenditure Study'!$B$31</f>
        <v>0</v>
      </c>
      <c r="Y3443" s="199">
        <f ca="1">U3443*'Expenditure Study'!$B$31</f>
        <v>0</v>
      </c>
      <c r="Z3443" s="200">
        <f ca="1">W3443*'Expenditure Study'!$B$31</f>
        <v>0</v>
      </c>
      <c r="AA3443" s="195">
        <f t="shared" ca="1" si="750"/>
        <v>0</v>
      </c>
      <c r="AB3443" s="195">
        <f t="shared" ca="1" si="751"/>
        <v>0</v>
      </c>
      <c r="AD3443" s="196">
        <f>IFERROR($G3443/SUMIF($A:$A,$A3443,$G:$G)*SUMIF(Summary!$A$166:$A$242,$A3443,Summary!$P$166:$P$242),0)</f>
        <v>0</v>
      </c>
      <c r="AE3443" s="197">
        <f t="shared" ca="1" si="752"/>
        <v>0</v>
      </c>
      <c r="AF3443" s="196">
        <f>IFERROR(G3443/SUMIF(A:A,A3443,G:G)*SUMIF(Summary!$A$166:$A$242,'Operations Support'!A3443,Summary!$Q$166:$Q$242),0)</f>
        <v>0</v>
      </c>
      <c r="AG3443" s="196">
        <f t="shared" ca="1" si="753"/>
        <v>0</v>
      </c>
      <c r="AI3443" s="196">
        <f>IFERROR($G3443/SUMIF($A:$A,$A3443,$G:$G)*SUMIF(Summary!$A$247:$A$283,$A3443,Summary!$P$247:$P$283),0)</f>
        <v>0</v>
      </c>
      <c r="AJ3443" s="196">
        <f>IFERROR($G3443/SUMIF($A:$A,$A3443,$G:$G)*(SUMIF(Summary!$A$247:$A$283,$A3443,Summary!$L$247:$L$283)+SUMIF(Summary!$A$297:$A$333,$A3443,Summary!$L$297:$L$333))-AI3443,0)</f>
        <v>0</v>
      </c>
      <c r="AK3443" s="196">
        <f>IFERROR($G3443/SUMIF($A:$A,$A3443,$G:$G)*SUMIF(Summary!$A$247:$A$283,$A3443,Summary!$Q$247:$Q$283),0)</f>
        <v>0</v>
      </c>
      <c r="AL3443" s="196">
        <f>IFERROR($G3443/SUMIF($A:$A,$A3443,$G:$G)*(SUMIF(Summary!$A$247:$A$283,$A3443,Summary!$L$247:$L$283)+SUMIF(Summary!$A$297:$A$333,$A3443,Summary!$L$297:$L$333))-AK3443,0)</f>
        <v>0</v>
      </c>
      <c r="AM3443" s="198"/>
      <c r="AN3443" s="196">
        <f t="shared" ca="1" si="754"/>
        <v>0</v>
      </c>
      <c r="AO3443" s="196">
        <f t="shared" ca="1" si="755"/>
        <v>0</v>
      </c>
    </row>
    <row r="3444" spans="1:41" s="201" customFormat="1">
      <c r="A3444" s="189">
        <v>13231</v>
      </c>
      <c r="B3444" s="190">
        <v>4</v>
      </c>
      <c r="C3444" s="191" t="s">
        <v>236</v>
      </c>
      <c r="D3444" s="192">
        <f t="shared" si="742"/>
        <v>0</v>
      </c>
      <c r="E3444" s="192">
        <f t="shared" si="743"/>
        <v>0</v>
      </c>
      <c r="F3444" s="192">
        <f t="shared" si="744"/>
        <v>0</v>
      </c>
      <c r="G3444" s="193">
        <f t="shared" si="745"/>
        <v>0</v>
      </c>
      <c r="H3444" s="194">
        <v>0</v>
      </c>
      <c r="I3444" s="194">
        <v>0</v>
      </c>
      <c r="J3444" s="194">
        <v>0</v>
      </c>
      <c r="K3444" s="193">
        <f t="shared" si="746"/>
        <v>0</v>
      </c>
      <c r="L3444" s="194">
        <v>0</v>
      </c>
      <c r="M3444" s="194">
        <v>0</v>
      </c>
      <c r="N3444" s="194">
        <v>0</v>
      </c>
      <c r="O3444" s="193">
        <f t="shared" si="747"/>
        <v>0</v>
      </c>
      <c r="P3444" s="194">
        <v>0</v>
      </c>
      <c r="Q3444" s="194">
        <v>0</v>
      </c>
      <c r="R3444" s="194">
        <v>0</v>
      </c>
      <c r="S3444" s="193">
        <f t="shared" si="748"/>
        <v>0</v>
      </c>
      <c r="T3444" s="193">
        <f t="shared" si="749"/>
        <v>0</v>
      </c>
      <c r="U3444" s="193">
        <f ca="1">OFFSET('Expenditure Study'!$B$7,'Operations Support'!$C3444,'Operations Support'!$B3444)*$G3444</f>
        <v>0</v>
      </c>
      <c r="V3444" s="199">
        <f ca="1">U3444*'Expenditure Study'!$B$31</f>
        <v>0</v>
      </c>
      <c r="W3444" s="199">
        <f ca="1">IF(A3444=10298,1.51,1)*IF($B3444&lt;3,$D3444*'Expenditure Study'!$B$32*OFFSET('Expenditure Study'!$B$7,'Operations Support'!$C3444,'Operations Support'!$B3444),0)</f>
        <v>0</v>
      </c>
      <c r="X3444" s="200">
        <f ca="1">W3444*'Expenditure Study'!$B$31</f>
        <v>0</v>
      </c>
      <c r="Y3444" s="199">
        <f ca="1">U3444*'Expenditure Study'!$B$31</f>
        <v>0</v>
      </c>
      <c r="Z3444" s="200">
        <f ca="1">W3444*'Expenditure Study'!$B$31</f>
        <v>0</v>
      </c>
      <c r="AA3444" s="195">
        <f t="shared" ca="1" si="750"/>
        <v>0</v>
      </c>
      <c r="AB3444" s="195">
        <f t="shared" ca="1" si="751"/>
        <v>0</v>
      </c>
      <c r="AD3444" s="196">
        <f>IFERROR($G3444/SUMIF($A:$A,$A3444,$G:$G)*SUMIF(Summary!$A$166:$A$242,$A3444,Summary!$P$166:$P$242),0)</f>
        <v>0</v>
      </c>
      <c r="AE3444" s="197">
        <f t="shared" ca="1" si="752"/>
        <v>0</v>
      </c>
      <c r="AF3444" s="196">
        <f>IFERROR(G3444/SUMIF(A:A,A3444,G:G)*SUMIF(Summary!$A$166:$A$242,'Operations Support'!A3444,Summary!$Q$166:$Q$242),0)</f>
        <v>0</v>
      </c>
      <c r="AG3444" s="196">
        <f t="shared" ca="1" si="753"/>
        <v>0</v>
      </c>
      <c r="AH3444" s="180"/>
      <c r="AI3444" s="196">
        <f>IFERROR($G3444/SUMIF($A:$A,$A3444,$G:$G)*SUMIF(Summary!$A$247:$A$283,$A3444,Summary!$P$247:$P$283),0)</f>
        <v>0</v>
      </c>
      <c r="AJ3444" s="196">
        <f>IFERROR($G3444/SUMIF($A:$A,$A3444,$G:$G)*(SUMIF(Summary!$A$247:$A$283,$A3444,Summary!$L$247:$L$283)+SUMIF(Summary!$A$297:$A$333,$A3444,Summary!$L$297:$L$333))-AI3444,0)</f>
        <v>0</v>
      </c>
      <c r="AK3444" s="196">
        <f>IFERROR($G3444/SUMIF($A:$A,$A3444,$G:$G)*SUMIF(Summary!$A$247:$A$283,$A3444,Summary!$Q$247:$Q$283),0)</f>
        <v>0</v>
      </c>
      <c r="AL3444" s="196">
        <f>IFERROR($G3444/SUMIF($A:$A,$A3444,$G:$G)*(SUMIF(Summary!$A$247:$A$283,$A3444,Summary!$L$247:$L$283)+SUMIF(Summary!$A$297:$A$333,$A3444,Summary!$L$297:$L$333))-AK3444,0)</f>
        <v>0</v>
      </c>
      <c r="AM3444" s="198"/>
      <c r="AN3444" s="196">
        <f t="shared" ca="1" si="754"/>
        <v>0</v>
      </c>
      <c r="AO3444" s="196">
        <f t="shared" ca="1" si="755"/>
        <v>0</v>
      </c>
    </row>
    <row r="3445" spans="1:41" s="201" customFormat="1">
      <c r="A3445" s="189">
        <v>13231</v>
      </c>
      <c r="B3445" s="190">
        <v>4</v>
      </c>
      <c r="C3445" s="191" t="s">
        <v>237</v>
      </c>
      <c r="D3445" s="192">
        <f t="shared" si="742"/>
        <v>0</v>
      </c>
      <c r="E3445" s="192">
        <f t="shared" si="743"/>
        <v>0</v>
      </c>
      <c r="F3445" s="192">
        <f t="shared" si="744"/>
        <v>0</v>
      </c>
      <c r="G3445" s="193">
        <f t="shared" si="745"/>
        <v>0</v>
      </c>
      <c r="H3445" s="194">
        <v>0</v>
      </c>
      <c r="I3445" s="194">
        <v>0</v>
      </c>
      <c r="J3445" s="194">
        <v>0</v>
      </c>
      <c r="K3445" s="193">
        <f t="shared" si="746"/>
        <v>0</v>
      </c>
      <c r="L3445" s="194">
        <v>0</v>
      </c>
      <c r="M3445" s="194">
        <v>0</v>
      </c>
      <c r="N3445" s="194">
        <v>0</v>
      </c>
      <c r="O3445" s="193">
        <f t="shared" si="747"/>
        <v>0</v>
      </c>
      <c r="P3445" s="194">
        <v>0</v>
      </c>
      <c r="Q3445" s="194">
        <v>0</v>
      </c>
      <c r="R3445" s="194">
        <v>0</v>
      </c>
      <c r="S3445" s="193">
        <f t="shared" si="748"/>
        <v>0</v>
      </c>
      <c r="T3445" s="193">
        <f t="shared" si="749"/>
        <v>0</v>
      </c>
      <c r="U3445" s="193">
        <f ca="1">OFFSET('Expenditure Study'!$B$7,'Operations Support'!$C3445,'Operations Support'!$B3445)*$G3445</f>
        <v>0</v>
      </c>
      <c r="V3445" s="199">
        <f ca="1">U3445*'Expenditure Study'!$B$31</f>
        <v>0</v>
      </c>
      <c r="W3445" s="199">
        <f ca="1">IF(A3445=10298,1.51,1)*IF($B3445&lt;3,$D3445*'Expenditure Study'!$B$32*OFFSET('Expenditure Study'!$B$7,'Operations Support'!$C3445,'Operations Support'!$B3445),0)</f>
        <v>0</v>
      </c>
      <c r="X3445" s="200">
        <f ca="1">W3445*'Expenditure Study'!$B$31</f>
        <v>0</v>
      </c>
      <c r="Y3445" s="199">
        <f ca="1">U3445*'Expenditure Study'!$B$31</f>
        <v>0</v>
      </c>
      <c r="Z3445" s="200">
        <f ca="1">W3445*'Expenditure Study'!$B$31</f>
        <v>0</v>
      </c>
      <c r="AA3445" s="195">
        <f t="shared" ca="1" si="750"/>
        <v>0</v>
      </c>
      <c r="AB3445" s="195">
        <f t="shared" ca="1" si="751"/>
        <v>0</v>
      </c>
      <c r="AD3445" s="196">
        <f>IFERROR($G3445/SUMIF($A:$A,$A3445,$G:$G)*SUMIF(Summary!$A$166:$A$242,$A3445,Summary!$P$166:$P$242),0)</f>
        <v>0</v>
      </c>
      <c r="AE3445" s="197">
        <f t="shared" ca="1" si="752"/>
        <v>0</v>
      </c>
      <c r="AF3445" s="196">
        <f>IFERROR(G3445/SUMIF(A:A,A3445,G:G)*SUMIF(Summary!$A$166:$A$242,'Operations Support'!A3445,Summary!$Q$166:$Q$242),0)</f>
        <v>0</v>
      </c>
      <c r="AG3445" s="196">
        <f t="shared" ca="1" si="753"/>
        <v>0</v>
      </c>
      <c r="AH3445" s="180"/>
      <c r="AI3445" s="196">
        <f>IFERROR($G3445/SUMIF($A:$A,$A3445,$G:$G)*SUMIF(Summary!$A$247:$A$283,$A3445,Summary!$P$247:$P$283),0)</f>
        <v>0</v>
      </c>
      <c r="AJ3445" s="196">
        <f>IFERROR($G3445/SUMIF($A:$A,$A3445,$G:$G)*(SUMIF(Summary!$A$247:$A$283,$A3445,Summary!$L$247:$L$283)+SUMIF(Summary!$A$297:$A$333,$A3445,Summary!$L$297:$L$333))-AI3445,0)</f>
        <v>0</v>
      </c>
      <c r="AK3445" s="196">
        <f>IFERROR($G3445/SUMIF($A:$A,$A3445,$G:$G)*SUMIF(Summary!$A$247:$A$283,$A3445,Summary!$Q$247:$Q$283),0)</f>
        <v>0</v>
      </c>
      <c r="AL3445" s="196">
        <f>IFERROR($G3445/SUMIF($A:$A,$A3445,$G:$G)*(SUMIF(Summary!$A$247:$A$283,$A3445,Summary!$L$247:$L$283)+SUMIF(Summary!$A$297:$A$333,$A3445,Summary!$L$297:$L$333))-AK3445,0)</f>
        <v>0</v>
      </c>
      <c r="AM3445" s="198"/>
      <c r="AN3445" s="196">
        <f t="shared" ca="1" si="754"/>
        <v>0</v>
      </c>
      <c r="AO3445" s="196">
        <f t="shared" ca="1" si="755"/>
        <v>0</v>
      </c>
    </row>
    <row r="3446" spans="1:41">
      <c r="A3446" s="189">
        <v>13231</v>
      </c>
      <c r="B3446" s="190">
        <v>4</v>
      </c>
      <c r="C3446" s="191" t="s">
        <v>238</v>
      </c>
      <c r="D3446" s="192">
        <f t="shared" si="742"/>
        <v>0</v>
      </c>
      <c r="E3446" s="192">
        <f t="shared" si="743"/>
        <v>0</v>
      </c>
      <c r="F3446" s="192">
        <f t="shared" si="744"/>
        <v>0</v>
      </c>
      <c r="G3446" s="193">
        <f t="shared" si="745"/>
        <v>0</v>
      </c>
      <c r="H3446" s="194">
        <v>0</v>
      </c>
      <c r="I3446" s="194">
        <v>0</v>
      </c>
      <c r="J3446" s="194">
        <v>0</v>
      </c>
      <c r="K3446" s="193">
        <f t="shared" si="746"/>
        <v>0</v>
      </c>
      <c r="L3446" s="194">
        <v>0</v>
      </c>
      <c r="M3446" s="194">
        <v>0</v>
      </c>
      <c r="N3446" s="194">
        <v>0</v>
      </c>
      <c r="O3446" s="193">
        <f t="shared" si="747"/>
        <v>0</v>
      </c>
      <c r="P3446" s="194">
        <v>0</v>
      </c>
      <c r="Q3446" s="194">
        <v>0</v>
      </c>
      <c r="R3446" s="194">
        <v>0</v>
      </c>
      <c r="S3446" s="193">
        <f t="shared" si="748"/>
        <v>0</v>
      </c>
      <c r="T3446" s="193">
        <f t="shared" si="749"/>
        <v>0</v>
      </c>
      <c r="U3446" s="193">
        <f ca="1">OFFSET('Expenditure Study'!$B$7,'Operations Support'!$C3446,'Operations Support'!$B3446)*$G3446</f>
        <v>0</v>
      </c>
      <c r="V3446" s="199">
        <f ca="1">U3446*'Expenditure Study'!$B$31</f>
        <v>0</v>
      </c>
      <c r="W3446" s="199">
        <f ca="1">IF(A3446=10298,1.51,1)*IF($B3446&lt;3,$D3446*'Expenditure Study'!$B$32*OFFSET('Expenditure Study'!$B$7,'Operations Support'!$C3446,'Operations Support'!$B3446),0)</f>
        <v>0</v>
      </c>
      <c r="X3446" s="200">
        <f ca="1">W3446*'Expenditure Study'!$B$31</f>
        <v>0</v>
      </c>
      <c r="Y3446" s="199">
        <f ca="1">U3446*'Expenditure Study'!$B$31</f>
        <v>0</v>
      </c>
      <c r="Z3446" s="200">
        <f ca="1">W3446*'Expenditure Study'!$B$31</f>
        <v>0</v>
      </c>
      <c r="AA3446" s="195">
        <f t="shared" ca="1" si="750"/>
        <v>0</v>
      </c>
      <c r="AB3446" s="195">
        <f t="shared" ca="1" si="751"/>
        <v>0</v>
      </c>
      <c r="AD3446" s="196">
        <f>IFERROR($G3446/SUMIF($A:$A,$A3446,$G:$G)*SUMIF(Summary!$A$166:$A$242,$A3446,Summary!$P$166:$P$242),0)</f>
        <v>0</v>
      </c>
      <c r="AE3446" s="197">
        <f t="shared" ca="1" si="752"/>
        <v>0</v>
      </c>
      <c r="AF3446" s="196">
        <f>IFERROR(G3446/SUMIF(A:A,A3446,G:G)*SUMIF(Summary!$A$166:$A$242,'Operations Support'!A3446,Summary!$Q$166:$Q$242),0)</f>
        <v>0</v>
      </c>
      <c r="AG3446" s="196">
        <f t="shared" ca="1" si="753"/>
        <v>0</v>
      </c>
      <c r="AI3446" s="196">
        <f>IFERROR($G3446/SUMIF($A:$A,$A3446,$G:$G)*SUMIF(Summary!$A$247:$A$283,$A3446,Summary!$P$247:$P$283),0)</f>
        <v>0</v>
      </c>
      <c r="AJ3446" s="196">
        <f>IFERROR($G3446/SUMIF($A:$A,$A3446,$G:$G)*(SUMIF(Summary!$A$247:$A$283,$A3446,Summary!$L$247:$L$283)+SUMIF(Summary!$A$297:$A$333,$A3446,Summary!$L$297:$L$333))-AI3446,0)</f>
        <v>0</v>
      </c>
      <c r="AK3446" s="196">
        <f>IFERROR($G3446/SUMIF($A:$A,$A3446,$G:$G)*SUMIF(Summary!$A$247:$A$283,$A3446,Summary!$Q$247:$Q$283),0)</f>
        <v>0</v>
      </c>
      <c r="AL3446" s="196">
        <f>IFERROR($G3446/SUMIF($A:$A,$A3446,$G:$G)*(SUMIF(Summary!$A$247:$A$283,$A3446,Summary!$L$247:$L$283)+SUMIF(Summary!$A$297:$A$333,$A3446,Summary!$L$297:$L$333))-AK3446,0)</f>
        <v>0</v>
      </c>
      <c r="AM3446" s="198"/>
      <c r="AN3446" s="196">
        <f t="shared" ca="1" si="754"/>
        <v>0</v>
      </c>
      <c r="AO3446" s="196">
        <f t="shared" ca="1" si="755"/>
        <v>0</v>
      </c>
    </row>
    <row r="3447" spans="1:41">
      <c r="A3447" s="189">
        <v>13231</v>
      </c>
      <c r="B3447" s="190">
        <v>4</v>
      </c>
      <c r="C3447" s="191" t="s">
        <v>239</v>
      </c>
      <c r="D3447" s="192">
        <f t="shared" si="742"/>
        <v>0</v>
      </c>
      <c r="E3447" s="192">
        <f t="shared" si="743"/>
        <v>0</v>
      </c>
      <c r="F3447" s="192">
        <f t="shared" si="744"/>
        <v>0</v>
      </c>
      <c r="G3447" s="193">
        <f t="shared" si="745"/>
        <v>0</v>
      </c>
      <c r="H3447" s="194">
        <v>0</v>
      </c>
      <c r="I3447" s="194">
        <v>0</v>
      </c>
      <c r="J3447" s="194">
        <v>0</v>
      </c>
      <c r="K3447" s="193">
        <f t="shared" si="746"/>
        <v>0</v>
      </c>
      <c r="L3447" s="194">
        <v>0</v>
      </c>
      <c r="M3447" s="194">
        <v>0</v>
      </c>
      <c r="N3447" s="194">
        <v>0</v>
      </c>
      <c r="O3447" s="193">
        <f t="shared" si="747"/>
        <v>0</v>
      </c>
      <c r="P3447" s="194">
        <v>0</v>
      </c>
      <c r="Q3447" s="194">
        <v>0</v>
      </c>
      <c r="R3447" s="194">
        <v>0</v>
      </c>
      <c r="S3447" s="193">
        <f t="shared" si="748"/>
        <v>0</v>
      </c>
      <c r="T3447" s="193">
        <f t="shared" si="749"/>
        <v>0</v>
      </c>
      <c r="U3447" s="193">
        <f ca="1">OFFSET('Expenditure Study'!$B$7,'Operations Support'!$C3447,'Operations Support'!$B3447)*$G3447</f>
        <v>0</v>
      </c>
      <c r="V3447" s="199">
        <f ca="1">U3447*'Expenditure Study'!$B$31</f>
        <v>0</v>
      </c>
      <c r="W3447" s="199">
        <f ca="1">IF(A3447=10298,1.51,1)*IF($B3447&lt;3,$D3447*'Expenditure Study'!$B$32*OFFSET('Expenditure Study'!$B$7,'Operations Support'!$C3447,'Operations Support'!$B3447),0)</f>
        <v>0</v>
      </c>
      <c r="X3447" s="200">
        <f ca="1">W3447*'Expenditure Study'!$B$31</f>
        <v>0</v>
      </c>
      <c r="Y3447" s="199">
        <f ca="1">U3447*'Expenditure Study'!$B$31</f>
        <v>0</v>
      </c>
      <c r="Z3447" s="200">
        <f ca="1">W3447*'Expenditure Study'!$B$31</f>
        <v>0</v>
      </c>
      <c r="AA3447" s="195">
        <f t="shared" ca="1" si="750"/>
        <v>0</v>
      </c>
      <c r="AB3447" s="195">
        <f t="shared" ca="1" si="751"/>
        <v>0</v>
      </c>
      <c r="AD3447" s="196">
        <f>IFERROR($G3447/SUMIF($A:$A,$A3447,$G:$G)*SUMIF(Summary!$A$166:$A$242,$A3447,Summary!$P$166:$P$242),0)</f>
        <v>0</v>
      </c>
      <c r="AE3447" s="197">
        <f t="shared" ca="1" si="752"/>
        <v>0</v>
      </c>
      <c r="AF3447" s="196">
        <f>IFERROR(G3447/SUMIF(A:A,A3447,G:G)*SUMIF(Summary!$A$166:$A$242,'Operations Support'!A3447,Summary!$Q$166:$Q$242),0)</f>
        <v>0</v>
      </c>
      <c r="AG3447" s="196">
        <f t="shared" ca="1" si="753"/>
        <v>0</v>
      </c>
      <c r="AI3447" s="196">
        <f>IFERROR($G3447/SUMIF($A:$A,$A3447,$G:$G)*SUMIF(Summary!$A$247:$A$283,$A3447,Summary!$P$247:$P$283),0)</f>
        <v>0</v>
      </c>
      <c r="AJ3447" s="196">
        <f>IFERROR($G3447/SUMIF($A:$A,$A3447,$G:$G)*(SUMIF(Summary!$A$247:$A$283,$A3447,Summary!$L$247:$L$283)+SUMIF(Summary!$A$297:$A$333,$A3447,Summary!$L$297:$L$333))-AI3447,0)</f>
        <v>0</v>
      </c>
      <c r="AK3447" s="196">
        <f>IFERROR($G3447/SUMIF($A:$A,$A3447,$G:$G)*SUMIF(Summary!$A$247:$A$283,$A3447,Summary!$Q$247:$Q$283),0)</f>
        <v>0</v>
      </c>
      <c r="AL3447" s="196">
        <f>IFERROR($G3447/SUMIF($A:$A,$A3447,$G:$G)*(SUMIF(Summary!$A$247:$A$283,$A3447,Summary!$L$247:$L$283)+SUMIF(Summary!$A$297:$A$333,$A3447,Summary!$L$297:$L$333))-AK3447,0)</f>
        <v>0</v>
      </c>
      <c r="AM3447" s="198"/>
      <c r="AN3447" s="196">
        <f t="shared" ca="1" si="754"/>
        <v>0</v>
      </c>
      <c r="AO3447" s="196">
        <f t="shared" ca="1" si="755"/>
        <v>0</v>
      </c>
    </row>
    <row r="3448" spans="1:41">
      <c r="A3448" s="189">
        <v>13231</v>
      </c>
      <c r="B3448" s="190">
        <v>4</v>
      </c>
      <c r="C3448" s="191" t="s">
        <v>240</v>
      </c>
      <c r="D3448" s="192">
        <f t="shared" si="742"/>
        <v>0</v>
      </c>
      <c r="E3448" s="192">
        <f t="shared" si="743"/>
        <v>0</v>
      </c>
      <c r="F3448" s="192">
        <f t="shared" si="744"/>
        <v>0</v>
      </c>
      <c r="G3448" s="193">
        <f t="shared" si="745"/>
        <v>0</v>
      </c>
      <c r="H3448" s="194">
        <v>0</v>
      </c>
      <c r="I3448" s="194">
        <v>0</v>
      </c>
      <c r="J3448" s="194">
        <v>0</v>
      </c>
      <c r="K3448" s="193">
        <f t="shared" si="746"/>
        <v>0</v>
      </c>
      <c r="L3448" s="194">
        <v>0</v>
      </c>
      <c r="M3448" s="194">
        <v>0</v>
      </c>
      <c r="N3448" s="194">
        <v>0</v>
      </c>
      <c r="O3448" s="193">
        <f t="shared" si="747"/>
        <v>0</v>
      </c>
      <c r="P3448" s="194">
        <v>0</v>
      </c>
      <c r="Q3448" s="194">
        <v>0</v>
      </c>
      <c r="R3448" s="194">
        <v>0</v>
      </c>
      <c r="S3448" s="193">
        <f t="shared" si="748"/>
        <v>0</v>
      </c>
      <c r="T3448" s="193">
        <f t="shared" si="749"/>
        <v>0</v>
      </c>
      <c r="U3448" s="193">
        <f ca="1">OFFSET('Expenditure Study'!$B$7,'Operations Support'!$C3448,'Operations Support'!$B3448)*$G3448</f>
        <v>0</v>
      </c>
      <c r="V3448" s="199">
        <f ca="1">U3448*'Expenditure Study'!$B$31</f>
        <v>0</v>
      </c>
      <c r="W3448" s="199">
        <f ca="1">IF(A3448=10298,1.51,1)*IF($B3448&lt;3,$D3448*'Expenditure Study'!$B$32*OFFSET('Expenditure Study'!$B$7,'Operations Support'!$C3448,'Operations Support'!$B3448),0)</f>
        <v>0</v>
      </c>
      <c r="X3448" s="200">
        <f ca="1">W3448*'Expenditure Study'!$B$31</f>
        <v>0</v>
      </c>
      <c r="Y3448" s="199">
        <f ca="1">U3448*'Expenditure Study'!$B$31</f>
        <v>0</v>
      </c>
      <c r="Z3448" s="200">
        <f ca="1">W3448*'Expenditure Study'!$B$31</f>
        <v>0</v>
      </c>
      <c r="AA3448" s="195">
        <f t="shared" ca="1" si="750"/>
        <v>0</v>
      </c>
      <c r="AB3448" s="195">
        <f t="shared" ca="1" si="751"/>
        <v>0</v>
      </c>
      <c r="AD3448" s="196">
        <f>IFERROR($G3448/SUMIF($A:$A,$A3448,$G:$G)*SUMIF(Summary!$A$166:$A$242,$A3448,Summary!$P$166:$P$242),0)</f>
        <v>0</v>
      </c>
      <c r="AE3448" s="197">
        <f t="shared" ca="1" si="752"/>
        <v>0</v>
      </c>
      <c r="AF3448" s="196">
        <f>IFERROR(G3448/SUMIF(A:A,A3448,G:G)*SUMIF(Summary!$A$166:$A$242,'Operations Support'!A3448,Summary!$Q$166:$Q$242),0)</f>
        <v>0</v>
      </c>
      <c r="AG3448" s="196">
        <f t="shared" ca="1" si="753"/>
        <v>0</v>
      </c>
      <c r="AI3448" s="196">
        <f>IFERROR($G3448/SUMIF($A:$A,$A3448,$G:$G)*SUMIF(Summary!$A$247:$A$283,$A3448,Summary!$P$247:$P$283),0)</f>
        <v>0</v>
      </c>
      <c r="AJ3448" s="196">
        <f>IFERROR($G3448/SUMIF($A:$A,$A3448,$G:$G)*(SUMIF(Summary!$A$247:$A$283,$A3448,Summary!$L$247:$L$283)+SUMIF(Summary!$A$297:$A$333,$A3448,Summary!$L$297:$L$333))-AI3448,0)</f>
        <v>0</v>
      </c>
      <c r="AK3448" s="196">
        <f>IFERROR($G3448/SUMIF($A:$A,$A3448,$G:$G)*SUMIF(Summary!$A$247:$A$283,$A3448,Summary!$Q$247:$Q$283),0)</f>
        <v>0</v>
      </c>
      <c r="AL3448" s="196">
        <f>IFERROR($G3448/SUMIF($A:$A,$A3448,$G:$G)*(SUMIF(Summary!$A$247:$A$283,$A3448,Summary!$L$247:$L$283)+SUMIF(Summary!$A$297:$A$333,$A3448,Summary!$L$297:$L$333))-AK3448,0)</f>
        <v>0</v>
      </c>
      <c r="AM3448" s="198"/>
      <c r="AN3448" s="196">
        <f t="shared" ca="1" si="754"/>
        <v>0</v>
      </c>
      <c r="AO3448" s="196">
        <f t="shared" ca="1" si="755"/>
        <v>0</v>
      </c>
    </row>
    <row r="3449" spans="1:41">
      <c r="A3449" s="189">
        <v>13231</v>
      </c>
      <c r="B3449" s="190">
        <v>5</v>
      </c>
      <c r="C3449" s="191" t="s">
        <v>220</v>
      </c>
      <c r="D3449" s="192">
        <f t="shared" si="742"/>
        <v>0</v>
      </c>
      <c r="E3449" s="192">
        <f t="shared" si="743"/>
        <v>0</v>
      </c>
      <c r="F3449" s="192">
        <f t="shared" si="744"/>
        <v>0</v>
      </c>
      <c r="G3449" s="193">
        <f t="shared" si="745"/>
        <v>0</v>
      </c>
      <c r="H3449" s="194">
        <v>0</v>
      </c>
      <c r="I3449" s="194">
        <v>0</v>
      </c>
      <c r="J3449" s="194">
        <v>0</v>
      </c>
      <c r="K3449" s="193">
        <f t="shared" si="746"/>
        <v>0</v>
      </c>
      <c r="L3449" s="194">
        <v>0</v>
      </c>
      <c r="M3449" s="194">
        <v>0</v>
      </c>
      <c r="N3449" s="194">
        <v>0</v>
      </c>
      <c r="O3449" s="193">
        <f t="shared" si="747"/>
        <v>0</v>
      </c>
      <c r="P3449" s="194">
        <v>0</v>
      </c>
      <c r="Q3449" s="194">
        <v>0</v>
      </c>
      <c r="R3449" s="194">
        <v>0</v>
      </c>
      <c r="S3449" s="193">
        <f t="shared" si="748"/>
        <v>0</v>
      </c>
      <c r="T3449" s="193">
        <f t="shared" si="749"/>
        <v>0</v>
      </c>
      <c r="U3449" s="193">
        <f ca="1">OFFSET('Expenditure Study'!$B$7,'Operations Support'!$C3449,'Operations Support'!$B3449)*$G3449</f>
        <v>0</v>
      </c>
      <c r="V3449" s="199">
        <f ca="1">U3449*'Expenditure Study'!$B$31</f>
        <v>0</v>
      </c>
      <c r="W3449" s="199">
        <f ca="1">IF(A3449=10298,1.51,1)*IF($B3449&lt;3,$D3449*'Expenditure Study'!$B$32*OFFSET('Expenditure Study'!$B$7,'Operations Support'!$C3449,'Operations Support'!$B3449),0)</f>
        <v>0</v>
      </c>
      <c r="X3449" s="200">
        <f ca="1">W3449*'Expenditure Study'!$B$31</f>
        <v>0</v>
      </c>
      <c r="Y3449" s="199">
        <f ca="1">U3449*'Expenditure Study'!$B$31</f>
        <v>0</v>
      </c>
      <c r="Z3449" s="200">
        <f ca="1">W3449*'Expenditure Study'!$B$31</f>
        <v>0</v>
      </c>
      <c r="AA3449" s="195">
        <f t="shared" ca="1" si="750"/>
        <v>0</v>
      </c>
      <c r="AB3449" s="195">
        <f t="shared" ca="1" si="751"/>
        <v>0</v>
      </c>
      <c r="AD3449" s="196">
        <f>IFERROR($G3449/SUMIF($A:$A,$A3449,$G:$G)*SUMIF(Summary!$A$166:$A$242,$A3449,Summary!$P$166:$P$242),0)</f>
        <v>0</v>
      </c>
      <c r="AE3449" s="197">
        <f t="shared" ca="1" si="752"/>
        <v>0</v>
      </c>
      <c r="AF3449" s="196">
        <f>IFERROR(G3449/SUMIF(A:A,A3449,G:G)*SUMIF(Summary!$A$166:$A$242,'Operations Support'!A3449,Summary!$Q$166:$Q$242),0)</f>
        <v>0</v>
      </c>
      <c r="AG3449" s="196">
        <f t="shared" ca="1" si="753"/>
        <v>0</v>
      </c>
      <c r="AI3449" s="196">
        <f>IFERROR($G3449/SUMIF($A:$A,$A3449,$G:$G)*SUMIF(Summary!$A$247:$A$283,$A3449,Summary!$P$247:$P$283),0)</f>
        <v>0</v>
      </c>
      <c r="AJ3449" s="196">
        <f>IFERROR($G3449/SUMIF($A:$A,$A3449,$G:$G)*(SUMIF(Summary!$A$247:$A$283,$A3449,Summary!$L$247:$L$283)+SUMIF(Summary!$A$297:$A$333,$A3449,Summary!$L$297:$L$333))-AI3449,0)</f>
        <v>0</v>
      </c>
      <c r="AK3449" s="196">
        <f>IFERROR($G3449/SUMIF($A:$A,$A3449,$G:$G)*SUMIF(Summary!$A$247:$A$283,$A3449,Summary!$Q$247:$Q$283),0)</f>
        <v>0</v>
      </c>
      <c r="AL3449" s="196">
        <f>IFERROR($G3449/SUMIF($A:$A,$A3449,$G:$G)*(SUMIF(Summary!$A$247:$A$283,$A3449,Summary!$L$247:$L$283)+SUMIF(Summary!$A$297:$A$333,$A3449,Summary!$L$297:$L$333))-AK3449,0)</f>
        <v>0</v>
      </c>
      <c r="AM3449" s="198"/>
      <c r="AN3449" s="196">
        <f t="shared" ca="1" si="754"/>
        <v>0</v>
      </c>
      <c r="AO3449" s="196">
        <f t="shared" ca="1" si="755"/>
        <v>0</v>
      </c>
    </row>
    <row r="3450" spans="1:41">
      <c r="A3450" s="189">
        <v>13231</v>
      </c>
      <c r="B3450" s="190">
        <v>5</v>
      </c>
      <c r="C3450" s="191" t="s">
        <v>221</v>
      </c>
      <c r="D3450" s="192">
        <f t="shared" si="742"/>
        <v>0</v>
      </c>
      <c r="E3450" s="192">
        <f t="shared" si="743"/>
        <v>0</v>
      </c>
      <c r="F3450" s="192">
        <f t="shared" si="744"/>
        <v>0</v>
      </c>
      <c r="G3450" s="193">
        <f t="shared" si="745"/>
        <v>0</v>
      </c>
      <c r="H3450" s="194">
        <v>0</v>
      </c>
      <c r="I3450" s="194">
        <v>0</v>
      </c>
      <c r="J3450" s="194">
        <v>0</v>
      </c>
      <c r="K3450" s="193">
        <f t="shared" si="746"/>
        <v>0</v>
      </c>
      <c r="L3450" s="194">
        <v>0</v>
      </c>
      <c r="M3450" s="194">
        <v>0</v>
      </c>
      <c r="N3450" s="194">
        <v>0</v>
      </c>
      <c r="O3450" s="193">
        <f t="shared" si="747"/>
        <v>0</v>
      </c>
      <c r="P3450" s="194">
        <v>0</v>
      </c>
      <c r="Q3450" s="194">
        <v>0</v>
      </c>
      <c r="R3450" s="194">
        <v>0</v>
      </c>
      <c r="S3450" s="193">
        <f t="shared" si="748"/>
        <v>0</v>
      </c>
      <c r="T3450" s="193">
        <f t="shared" si="749"/>
        <v>0</v>
      </c>
      <c r="U3450" s="193">
        <f ca="1">OFFSET('Expenditure Study'!$B$7,'Operations Support'!$C3450,'Operations Support'!$B3450)*$G3450</f>
        <v>0</v>
      </c>
      <c r="V3450" s="199">
        <f ca="1">U3450*'Expenditure Study'!$B$31</f>
        <v>0</v>
      </c>
      <c r="W3450" s="199">
        <f ca="1">IF(A3450=10298,1.51,1)*IF($B3450&lt;3,$D3450*'Expenditure Study'!$B$32*OFFSET('Expenditure Study'!$B$7,'Operations Support'!$C3450,'Operations Support'!$B3450),0)</f>
        <v>0</v>
      </c>
      <c r="X3450" s="200">
        <f ca="1">W3450*'Expenditure Study'!$B$31</f>
        <v>0</v>
      </c>
      <c r="Y3450" s="199">
        <f ca="1">U3450*'Expenditure Study'!$B$31</f>
        <v>0</v>
      </c>
      <c r="Z3450" s="200">
        <f ca="1">W3450*'Expenditure Study'!$B$31</f>
        <v>0</v>
      </c>
      <c r="AA3450" s="195">
        <f t="shared" ca="1" si="750"/>
        <v>0</v>
      </c>
      <c r="AB3450" s="195">
        <f t="shared" ca="1" si="751"/>
        <v>0</v>
      </c>
      <c r="AD3450" s="196">
        <f>IFERROR($G3450/SUMIF($A:$A,$A3450,$G:$G)*SUMIF(Summary!$A$166:$A$242,$A3450,Summary!$P$166:$P$242),0)</f>
        <v>0</v>
      </c>
      <c r="AE3450" s="197">
        <f t="shared" ca="1" si="752"/>
        <v>0</v>
      </c>
      <c r="AF3450" s="196">
        <f>IFERROR(G3450/SUMIF(A:A,A3450,G:G)*SUMIF(Summary!$A$166:$A$242,'Operations Support'!A3450,Summary!$Q$166:$Q$242),0)</f>
        <v>0</v>
      </c>
      <c r="AG3450" s="196">
        <f t="shared" ca="1" si="753"/>
        <v>0</v>
      </c>
      <c r="AI3450" s="196">
        <f>IFERROR($G3450/SUMIF($A:$A,$A3450,$G:$G)*SUMIF(Summary!$A$247:$A$283,$A3450,Summary!$P$247:$P$283),0)</f>
        <v>0</v>
      </c>
      <c r="AJ3450" s="196">
        <f>IFERROR($G3450/SUMIF($A:$A,$A3450,$G:$G)*(SUMIF(Summary!$A$247:$A$283,$A3450,Summary!$L$247:$L$283)+SUMIF(Summary!$A$297:$A$333,$A3450,Summary!$L$297:$L$333))-AI3450,0)</f>
        <v>0</v>
      </c>
      <c r="AK3450" s="196">
        <f>IFERROR($G3450/SUMIF($A:$A,$A3450,$G:$G)*SUMIF(Summary!$A$247:$A$283,$A3450,Summary!$Q$247:$Q$283),0)</f>
        <v>0</v>
      </c>
      <c r="AL3450" s="196">
        <f>IFERROR($G3450/SUMIF($A:$A,$A3450,$G:$G)*(SUMIF(Summary!$A$247:$A$283,$A3450,Summary!$L$247:$L$283)+SUMIF(Summary!$A$297:$A$333,$A3450,Summary!$L$297:$L$333))-AK3450,0)</f>
        <v>0</v>
      </c>
      <c r="AM3450" s="198"/>
      <c r="AN3450" s="196">
        <f t="shared" ca="1" si="754"/>
        <v>0</v>
      </c>
      <c r="AO3450" s="196">
        <f t="shared" ca="1" si="755"/>
        <v>0</v>
      </c>
    </row>
    <row r="3451" spans="1:41">
      <c r="A3451" s="189">
        <v>13231</v>
      </c>
      <c r="B3451" s="190">
        <v>5</v>
      </c>
      <c r="C3451" s="191" t="s">
        <v>222</v>
      </c>
      <c r="D3451" s="192">
        <f t="shared" si="742"/>
        <v>0</v>
      </c>
      <c r="E3451" s="192">
        <f t="shared" si="743"/>
        <v>0</v>
      </c>
      <c r="F3451" s="192">
        <f t="shared" si="744"/>
        <v>0</v>
      </c>
      <c r="G3451" s="193">
        <f t="shared" si="745"/>
        <v>0</v>
      </c>
      <c r="H3451" s="194">
        <v>0</v>
      </c>
      <c r="I3451" s="194">
        <v>0</v>
      </c>
      <c r="J3451" s="194">
        <v>0</v>
      </c>
      <c r="K3451" s="193">
        <f t="shared" si="746"/>
        <v>0</v>
      </c>
      <c r="L3451" s="194">
        <v>0</v>
      </c>
      <c r="M3451" s="194">
        <v>0</v>
      </c>
      <c r="N3451" s="194">
        <v>0</v>
      </c>
      <c r="O3451" s="193">
        <f t="shared" si="747"/>
        <v>0</v>
      </c>
      <c r="P3451" s="194">
        <v>0</v>
      </c>
      <c r="Q3451" s="194">
        <v>0</v>
      </c>
      <c r="R3451" s="194">
        <v>0</v>
      </c>
      <c r="S3451" s="193">
        <f t="shared" si="748"/>
        <v>0</v>
      </c>
      <c r="T3451" s="193">
        <f t="shared" si="749"/>
        <v>0</v>
      </c>
      <c r="U3451" s="193">
        <f ca="1">OFFSET('Expenditure Study'!$B$7,'Operations Support'!$C3451,'Operations Support'!$B3451)*$G3451</f>
        <v>0</v>
      </c>
      <c r="V3451" s="199">
        <f ca="1">U3451*'Expenditure Study'!$B$31</f>
        <v>0</v>
      </c>
      <c r="W3451" s="199">
        <f ca="1">IF(A3451=10298,1.51,1)*IF($B3451&lt;3,$D3451*'Expenditure Study'!$B$32*OFFSET('Expenditure Study'!$B$7,'Operations Support'!$C3451,'Operations Support'!$B3451),0)</f>
        <v>0</v>
      </c>
      <c r="X3451" s="200">
        <f ca="1">W3451*'Expenditure Study'!$B$31</f>
        <v>0</v>
      </c>
      <c r="Y3451" s="199">
        <f ca="1">U3451*'Expenditure Study'!$B$31</f>
        <v>0</v>
      </c>
      <c r="Z3451" s="200">
        <f ca="1">W3451*'Expenditure Study'!$B$31</f>
        <v>0</v>
      </c>
      <c r="AA3451" s="195">
        <f t="shared" ca="1" si="750"/>
        <v>0</v>
      </c>
      <c r="AB3451" s="195">
        <f t="shared" ca="1" si="751"/>
        <v>0</v>
      </c>
      <c r="AD3451" s="196">
        <f>IFERROR($G3451/SUMIF($A:$A,$A3451,$G:$G)*SUMIF(Summary!$A$166:$A$242,$A3451,Summary!$P$166:$P$242),0)</f>
        <v>0</v>
      </c>
      <c r="AE3451" s="197">
        <f t="shared" ca="1" si="752"/>
        <v>0</v>
      </c>
      <c r="AF3451" s="196">
        <f>IFERROR(G3451/SUMIF(A:A,A3451,G:G)*SUMIF(Summary!$A$166:$A$242,'Operations Support'!A3451,Summary!$Q$166:$Q$242),0)</f>
        <v>0</v>
      </c>
      <c r="AG3451" s="196">
        <f t="shared" ca="1" si="753"/>
        <v>0</v>
      </c>
      <c r="AI3451" s="196">
        <f>IFERROR($G3451/SUMIF($A:$A,$A3451,$G:$G)*SUMIF(Summary!$A$247:$A$283,$A3451,Summary!$P$247:$P$283),0)</f>
        <v>0</v>
      </c>
      <c r="AJ3451" s="196">
        <f>IFERROR($G3451/SUMIF($A:$A,$A3451,$G:$G)*(SUMIF(Summary!$A$247:$A$283,$A3451,Summary!$L$247:$L$283)+SUMIF(Summary!$A$297:$A$333,$A3451,Summary!$L$297:$L$333))-AI3451,0)</f>
        <v>0</v>
      </c>
      <c r="AK3451" s="196">
        <f>IFERROR($G3451/SUMIF($A:$A,$A3451,$G:$G)*SUMIF(Summary!$A$247:$A$283,$A3451,Summary!$Q$247:$Q$283),0)</f>
        <v>0</v>
      </c>
      <c r="AL3451" s="196">
        <f>IFERROR($G3451/SUMIF($A:$A,$A3451,$G:$G)*(SUMIF(Summary!$A$247:$A$283,$A3451,Summary!$L$247:$L$283)+SUMIF(Summary!$A$297:$A$333,$A3451,Summary!$L$297:$L$333))-AK3451,0)</f>
        <v>0</v>
      </c>
      <c r="AM3451" s="198"/>
      <c r="AN3451" s="196">
        <f t="shared" ca="1" si="754"/>
        <v>0</v>
      </c>
      <c r="AO3451" s="196">
        <f t="shared" ca="1" si="755"/>
        <v>0</v>
      </c>
    </row>
    <row r="3452" spans="1:41">
      <c r="A3452" s="189">
        <v>13231</v>
      </c>
      <c r="B3452" s="190">
        <v>5</v>
      </c>
      <c r="C3452" s="191" t="s">
        <v>223</v>
      </c>
      <c r="D3452" s="192">
        <f t="shared" si="742"/>
        <v>0</v>
      </c>
      <c r="E3452" s="192">
        <f t="shared" si="743"/>
        <v>0</v>
      </c>
      <c r="F3452" s="192">
        <f t="shared" si="744"/>
        <v>0</v>
      </c>
      <c r="G3452" s="193">
        <f t="shared" si="745"/>
        <v>0</v>
      </c>
      <c r="H3452" s="194">
        <v>0</v>
      </c>
      <c r="I3452" s="194">
        <v>0</v>
      </c>
      <c r="J3452" s="194">
        <v>0</v>
      </c>
      <c r="K3452" s="193">
        <f t="shared" si="746"/>
        <v>0</v>
      </c>
      <c r="L3452" s="194">
        <v>0</v>
      </c>
      <c r="M3452" s="194">
        <v>0</v>
      </c>
      <c r="N3452" s="194">
        <v>0</v>
      </c>
      <c r="O3452" s="193">
        <f t="shared" si="747"/>
        <v>0</v>
      </c>
      <c r="P3452" s="194">
        <v>0</v>
      </c>
      <c r="Q3452" s="194">
        <v>0</v>
      </c>
      <c r="R3452" s="194">
        <v>0</v>
      </c>
      <c r="S3452" s="193">
        <f t="shared" si="748"/>
        <v>0</v>
      </c>
      <c r="T3452" s="193">
        <f t="shared" si="749"/>
        <v>0</v>
      </c>
      <c r="U3452" s="193">
        <f ca="1">OFFSET('Expenditure Study'!$B$7,'Operations Support'!$C3452,'Operations Support'!$B3452)*$G3452</f>
        <v>0</v>
      </c>
      <c r="V3452" s="199">
        <f ca="1">U3452*'Expenditure Study'!$B$31</f>
        <v>0</v>
      </c>
      <c r="W3452" s="199">
        <f ca="1">IF(A3452=10298,1.51,1)*IF($B3452&lt;3,$D3452*'Expenditure Study'!$B$32*OFFSET('Expenditure Study'!$B$7,'Operations Support'!$C3452,'Operations Support'!$B3452),0)</f>
        <v>0</v>
      </c>
      <c r="X3452" s="200">
        <f ca="1">W3452*'Expenditure Study'!$B$31</f>
        <v>0</v>
      </c>
      <c r="Y3452" s="199">
        <f ca="1">U3452*'Expenditure Study'!$B$31</f>
        <v>0</v>
      </c>
      <c r="Z3452" s="200">
        <f ca="1">W3452*'Expenditure Study'!$B$31</f>
        <v>0</v>
      </c>
      <c r="AA3452" s="195">
        <f t="shared" ca="1" si="750"/>
        <v>0</v>
      </c>
      <c r="AB3452" s="195">
        <f t="shared" ca="1" si="751"/>
        <v>0</v>
      </c>
      <c r="AD3452" s="196">
        <f>IFERROR($G3452/SUMIF($A:$A,$A3452,$G:$G)*SUMIF(Summary!$A$166:$A$242,$A3452,Summary!$P$166:$P$242),0)</f>
        <v>0</v>
      </c>
      <c r="AE3452" s="197">
        <f t="shared" ca="1" si="752"/>
        <v>0</v>
      </c>
      <c r="AF3452" s="196">
        <f>IFERROR(G3452/SUMIF(A:A,A3452,G:G)*SUMIF(Summary!$A$166:$A$242,'Operations Support'!A3452,Summary!$Q$166:$Q$242),0)</f>
        <v>0</v>
      </c>
      <c r="AG3452" s="196">
        <f t="shared" ca="1" si="753"/>
        <v>0</v>
      </c>
      <c r="AI3452" s="196">
        <f>IFERROR($G3452/SUMIF($A:$A,$A3452,$G:$G)*SUMIF(Summary!$A$247:$A$283,$A3452,Summary!$P$247:$P$283),0)</f>
        <v>0</v>
      </c>
      <c r="AJ3452" s="196">
        <f>IFERROR($G3452/SUMIF($A:$A,$A3452,$G:$G)*(SUMIF(Summary!$A$247:$A$283,$A3452,Summary!$L$247:$L$283)+SUMIF(Summary!$A$297:$A$333,$A3452,Summary!$L$297:$L$333))-AI3452,0)</f>
        <v>0</v>
      </c>
      <c r="AK3452" s="196">
        <f>IFERROR($G3452/SUMIF($A:$A,$A3452,$G:$G)*SUMIF(Summary!$A$247:$A$283,$A3452,Summary!$Q$247:$Q$283),0)</f>
        <v>0</v>
      </c>
      <c r="AL3452" s="196">
        <f>IFERROR($G3452/SUMIF($A:$A,$A3452,$G:$G)*(SUMIF(Summary!$A$247:$A$283,$A3452,Summary!$L$247:$L$283)+SUMIF(Summary!$A$297:$A$333,$A3452,Summary!$L$297:$L$333))-AK3452,0)</f>
        <v>0</v>
      </c>
      <c r="AM3452" s="198"/>
      <c r="AN3452" s="196">
        <f t="shared" ca="1" si="754"/>
        <v>0</v>
      </c>
      <c r="AO3452" s="196">
        <f t="shared" ca="1" si="755"/>
        <v>0</v>
      </c>
    </row>
    <row r="3453" spans="1:41">
      <c r="A3453" s="189">
        <v>13231</v>
      </c>
      <c r="B3453" s="190">
        <v>5</v>
      </c>
      <c r="C3453" s="191" t="s">
        <v>224</v>
      </c>
      <c r="D3453" s="192">
        <f t="shared" si="742"/>
        <v>0</v>
      </c>
      <c r="E3453" s="192">
        <f t="shared" si="743"/>
        <v>0</v>
      </c>
      <c r="F3453" s="192">
        <f t="shared" si="744"/>
        <v>0</v>
      </c>
      <c r="G3453" s="193">
        <f t="shared" si="745"/>
        <v>0</v>
      </c>
      <c r="H3453" s="194">
        <v>0</v>
      </c>
      <c r="I3453" s="194">
        <v>0</v>
      </c>
      <c r="J3453" s="194">
        <v>0</v>
      </c>
      <c r="K3453" s="193">
        <f t="shared" si="746"/>
        <v>0</v>
      </c>
      <c r="L3453" s="194">
        <v>0</v>
      </c>
      <c r="M3453" s="194">
        <v>0</v>
      </c>
      <c r="N3453" s="194">
        <v>0</v>
      </c>
      <c r="O3453" s="193">
        <f t="shared" si="747"/>
        <v>0</v>
      </c>
      <c r="P3453" s="194">
        <v>0</v>
      </c>
      <c r="Q3453" s="194">
        <v>0</v>
      </c>
      <c r="R3453" s="194">
        <v>0</v>
      </c>
      <c r="S3453" s="193">
        <f t="shared" si="748"/>
        <v>0</v>
      </c>
      <c r="T3453" s="193">
        <f t="shared" si="749"/>
        <v>0</v>
      </c>
      <c r="U3453" s="193">
        <f ca="1">OFFSET('Expenditure Study'!$B$7,'Operations Support'!$C3453,'Operations Support'!$B3453)*$G3453</f>
        <v>0</v>
      </c>
      <c r="V3453" s="199">
        <f ca="1">U3453*'Expenditure Study'!$B$31</f>
        <v>0</v>
      </c>
      <c r="W3453" s="199">
        <f ca="1">IF(A3453=10298,1.51,1)*IF($B3453&lt;3,$D3453*'Expenditure Study'!$B$32*OFFSET('Expenditure Study'!$B$7,'Operations Support'!$C3453,'Operations Support'!$B3453),0)</f>
        <v>0</v>
      </c>
      <c r="X3453" s="200">
        <f ca="1">W3453*'Expenditure Study'!$B$31</f>
        <v>0</v>
      </c>
      <c r="Y3453" s="199">
        <f ca="1">U3453*'Expenditure Study'!$B$31</f>
        <v>0</v>
      </c>
      <c r="Z3453" s="200">
        <f ca="1">W3453*'Expenditure Study'!$B$31</f>
        <v>0</v>
      </c>
      <c r="AA3453" s="195">
        <f t="shared" ca="1" si="750"/>
        <v>0</v>
      </c>
      <c r="AB3453" s="195">
        <f t="shared" ca="1" si="751"/>
        <v>0</v>
      </c>
      <c r="AD3453" s="196">
        <f>IFERROR($G3453/SUMIF($A:$A,$A3453,$G:$G)*SUMIF(Summary!$A$166:$A$242,$A3453,Summary!$P$166:$P$242),0)</f>
        <v>0</v>
      </c>
      <c r="AE3453" s="197">
        <f t="shared" ca="1" si="752"/>
        <v>0</v>
      </c>
      <c r="AF3453" s="196">
        <f>IFERROR(G3453/SUMIF(A:A,A3453,G:G)*SUMIF(Summary!$A$166:$A$242,'Operations Support'!A3453,Summary!$Q$166:$Q$242),0)</f>
        <v>0</v>
      </c>
      <c r="AG3453" s="196">
        <f t="shared" ca="1" si="753"/>
        <v>0</v>
      </c>
      <c r="AI3453" s="196">
        <f>IFERROR($G3453/SUMIF($A:$A,$A3453,$G:$G)*SUMIF(Summary!$A$247:$A$283,$A3453,Summary!$P$247:$P$283),0)</f>
        <v>0</v>
      </c>
      <c r="AJ3453" s="196">
        <f>IFERROR($G3453/SUMIF($A:$A,$A3453,$G:$G)*(SUMIF(Summary!$A$247:$A$283,$A3453,Summary!$L$247:$L$283)+SUMIF(Summary!$A$297:$A$333,$A3453,Summary!$L$297:$L$333))-AI3453,0)</f>
        <v>0</v>
      </c>
      <c r="AK3453" s="196">
        <f>IFERROR($G3453/SUMIF($A:$A,$A3453,$G:$G)*SUMIF(Summary!$A$247:$A$283,$A3453,Summary!$Q$247:$Q$283),0)</f>
        <v>0</v>
      </c>
      <c r="AL3453" s="196">
        <f>IFERROR($G3453/SUMIF($A:$A,$A3453,$G:$G)*(SUMIF(Summary!$A$247:$A$283,$A3453,Summary!$L$247:$L$283)+SUMIF(Summary!$A$297:$A$333,$A3453,Summary!$L$297:$L$333))-AK3453,0)</f>
        <v>0</v>
      </c>
      <c r="AM3453" s="198"/>
      <c r="AN3453" s="196">
        <f t="shared" ca="1" si="754"/>
        <v>0</v>
      </c>
      <c r="AO3453" s="196">
        <f t="shared" ca="1" si="755"/>
        <v>0</v>
      </c>
    </row>
    <row r="3454" spans="1:41">
      <c r="A3454" s="189">
        <v>13231</v>
      </c>
      <c r="B3454" s="190">
        <v>5</v>
      </c>
      <c r="C3454" s="191" t="s">
        <v>225</v>
      </c>
      <c r="D3454" s="192">
        <f t="shared" si="742"/>
        <v>0</v>
      </c>
      <c r="E3454" s="192">
        <f t="shared" si="743"/>
        <v>0</v>
      </c>
      <c r="F3454" s="192">
        <f t="shared" si="744"/>
        <v>0</v>
      </c>
      <c r="G3454" s="193">
        <f t="shared" si="745"/>
        <v>0</v>
      </c>
      <c r="H3454" s="194">
        <v>0</v>
      </c>
      <c r="I3454" s="194">
        <v>0</v>
      </c>
      <c r="J3454" s="194">
        <v>0</v>
      </c>
      <c r="K3454" s="193">
        <f t="shared" si="746"/>
        <v>0</v>
      </c>
      <c r="L3454" s="194">
        <v>0</v>
      </c>
      <c r="M3454" s="194">
        <v>0</v>
      </c>
      <c r="N3454" s="194">
        <v>0</v>
      </c>
      <c r="O3454" s="193">
        <f t="shared" si="747"/>
        <v>0</v>
      </c>
      <c r="P3454" s="194">
        <v>0</v>
      </c>
      <c r="Q3454" s="194">
        <v>0</v>
      </c>
      <c r="R3454" s="194">
        <v>0</v>
      </c>
      <c r="S3454" s="193">
        <f t="shared" si="748"/>
        <v>0</v>
      </c>
      <c r="T3454" s="193">
        <f t="shared" si="749"/>
        <v>0</v>
      </c>
      <c r="U3454" s="193">
        <f ca="1">OFFSET('Expenditure Study'!$B$7,'Operations Support'!$C3454,'Operations Support'!$B3454)*$G3454</f>
        <v>0</v>
      </c>
      <c r="V3454" s="199">
        <f ca="1">U3454*'Expenditure Study'!$B$31</f>
        <v>0</v>
      </c>
      <c r="W3454" s="199">
        <f ca="1">IF(A3454=10298,1.51,1)*IF($B3454&lt;3,$D3454*'Expenditure Study'!$B$32*OFFSET('Expenditure Study'!$B$7,'Operations Support'!$C3454,'Operations Support'!$B3454),0)</f>
        <v>0</v>
      </c>
      <c r="X3454" s="200">
        <f ca="1">W3454*'Expenditure Study'!$B$31</f>
        <v>0</v>
      </c>
      <c r="Y3454" s="199">
        <f ca="1">U3454*'Expenditure Study'!$B$31</f>
        <v>0</v>
      </c>
      <c r="Z3454" s="200">
        <f ca="1">W3454*'Expenditure Study'!$B$31</f>
        <v>0</v>
      </c>
      <c r="AA3454" s="195">
        <f t="shared" ca="1" si="750"/>
        <v>0</v>
      </c>
      <c r="AB3454" s="195">
        <f t="shared" ca="1" si="751"/>
        <v>0</v>
      </c>
      <c r="AD3454" s="196">
        <f>IFERROR($G3454/SUMIF($A:$A,$A3454,$G:$G)*SUMIF(Summary!$A$166:$A$242,$A3454,Summary!$P$166:$P$242),0)</f>
        <v>0</v>
      </c>
      <c r="AE3454" s="197">
        <f t="shared" ca="1" si="752"/>
        <v>0</v>
      </c>
      <c r="AF3454" s="196">
        <f>IFERROR(G3454/SUMIF(A:A,A3454,G:G)*SUMIF(Summary!$A$166:$A$242,'Operations Support'!A3454,Summary!$Q$166:$Q$242),0)</f>
        <v>0</v>
      </c>
      <c r="AG3454" s="196">
        <f t="shared" ca="1" si="753"/>
        <v>0</v>
      </c>
      <c r="AI3454" s="196">
        <f>IFERROR($G3454/SUMIF($A:$A,$A3454,$G:$G)*SUMIF(Summary!$A$247:$A$283,$A3454,Summary!$P$247:$P$283),0)</f>
        <v>0</v>
      </c>
      <c r="AJ3454" s="196">
        <f>IFERROR($G3454/SUMIF($A:$A,$A3454,$G:$G)*(SUMIF(Summary!$A$247:$A$283,$A3454,Summary!$L$247:$L$283)+SUMIF(Summary!$A$297:$A$333,$A3454,Summary!$L$297:$L$333))-AI3454,0)</f>
        <v>0</v>
      </c>
      <c r="AK3454" s="196">
        <f>IFERROR($G3454/SUMIF($A:$A,$A3454,$G:$G)*SUMIF(Summary!$A$247:$A$283,$A3454,Summary!$Q$247:$Q$283),0)</f>
        <v>0</v>
      </c>
      <c r="AL3454" s="196">
        <f>IFERROR($G3454/SUMIF($A:$A,$A3454,$G:$G)*(SUMIF(Summary!$A$247:$A$283,$A3454,Summary!$L$247:$L$283)+SUMIF(Summary!$A$297:$A$333,$A3454,Summary!$L$297:$L$333))-AK3454,0)</f>
        <v>0</v>
      </c>
      <c r="AM3454" s="198"/>
      <c r="AN3454" s="196">
        <f t="shared" ca="1" si="754"/>
        <v>0</v>
      </c>
      <c r="AO3454" s="196">
        <f t="shared" ca="1" si="755"/>
        <v>0</v>
      </c>
    </row>
    <row r="3455" spans="1:41">
      <c r="A3455" s="189">
        <v>13231</v>
      </c>
      <c r="B3455" s="190">
        <v>5</v>
      </c>
      <c r="C3455" s="191" t="s">
        <v>226</v>
      </c>
      <c r="D3455" s="192">
        <f t="shared" si="742"/>
        <v>0</v>
      </c>
      <c r="E3455" s="192">
        <f t="shared" si="743"/>
        <v>0</v>
      </c>
      <c r="F3455" s="192">
        <f t="shared" si="744"/>
        <v>0</v>
      </c>
      <c r="G3455" s="193">
        <f t="shared" si="745"/>
        <v>0</v>
      </c>
      <c r="H3455" s="194">
        <v>0</v>
      </c>
      <c r="I3455" s="194">
        <v>0</v>
      </c>
      <c r="J3455" s="194">
        <v>0</v>
      </c>
      <c r="K3455" s="193">
        <f t="shared" si="746"/>
        <v>0</v>
      </c>
      <c r="L3455" s="194">
        <v>0</v>
      </c>
      <c r="M3455" s="194">
        <v>0</v>
      </c>
      <c r="N3455" s="194">
        <v>0</v>
      </c>
      <c r="O3455" s="193">
        <f t="shared" si="747"/>
        <v>0</v>
      </c>
      <c r="P3455" s="194">
        <v>0</v>
      </c>
      <c r="Q3455" s="194">
        <v>0</v>
      </c>
      <c r="R3455" s="194">
        <v>0</v>
      </c>
      <c r="S3455" s="193">
        <f t="shared" si="748"/>
        <v>0</v>
      </c>
      <c r="T3455" s="193">
        <f t="shared" si="749"/>
        <v>0</v>
      </c>
      <c r="U3455" s="193">
        <f ca="1">OFFSET('Expenditure Study'!$B$7,'Operations Support'!$C3455,'Operations Support'!$B3455)*$G3455</f>
        <v>0</v>
      </c>
      <c r="V3455" s="199">
        <f ca="1">U3455*'Expenditure Study'!$B$31</f>
        <v>0</v>
      </c>
      <c r="W3455" s="199">
        <f ca="1">IF(A3455=10298,1.51,1)*IF($B3455&lt;3,$D3455*'Expenditure Study'!$B$32*OFFSET('Expenditure Study'!$B$7,'Operations Support'!$C3455,'Operations Support'!$B3455),0)</f>
        <v>0</v>
      </c>
      <c r="X3455" s="200">
        <f ca="1">W3455*'Expenditure Study'!$B$31</f>
        <v>0</v>
      </c>
      <c r="Y3455" s="199">
        <f ca="1">U3455*'Expenditure Study'!$B$31</f>
        <v>0</v>
      </c>
      <c r="Z3455" s="200">
        <f ca="1">W3455*'Expenditure Study'!$B$31</f>
        <v>0</v>
      </c>
      <c r="AA3455" s="195">
        <f t="shared" ca="1" si="750"/>
        <v>0</v>
      </c>
      <c r="AB3455" s="195">
        <f t="shared" ca="1" si="751"/>
        <v>0</v>
      </c>
      <c r="AD3455" s="196">
        <f>IFERROR($G3455/SUMIF($A:$A,$A3455,$G:$G)*SUMIF(Summary!$A$166:$A$242,$A3455,Summary!$P$166:$P$242),0)</f>
        <v>0</v>
      </c>
      <c r="AE3455" s="197">
        <f t="shared" ca="1" si="752"/>
        <v>0</v>
      </c>
      <c r="AF3455" s="196">
        <f>IFERROR(G3455/SUMIF(A:A,A3455,G:G)*SUMIF(Summary!$A$166:$A$242,'Operations Support'!A3455,Summary!$Q$166:$Q$242),0)</f>
        <v>0</v>
      </c>
      <c r="AG3455" s="196">
        <f t="shared" ca="1" si="753"/>
        <v>0</v>
      </c>
      <c r="AI3455" s="196">
        <f>IFERROR($G3455/SUMIF($A:$A,$A3455,$G:$G)*SUMIF(Summary!$A$247:$A$283,$A3455,Summary!$P$247:$P$283),0)</f>
        <v>0</v>
      </c>
      <c r="AJ3455" s="196">
        <f>IFERROR($G3455/SUMIF($A:$A,$A3455,$G:$G)*(SUMIF(Summary!$A$247:$A$283,$A3455,Summary!$L$247:$L$283)+SUMIF(Summary!$A$297:$A$333,$A3455,Summary!$L$297:$L$333))-AI3455,0)</f>
        <v>0</v>
      </c>
      <c r="AK3455" s="196">
        <f>IFERROR($G3455/SUMIF($A:$A,$A3455,$G:$G)*SUMIF(Summary!$A$247:$A$283,$A3455,Summary!$Q$247:$Q$283),0)</f>
        <v>0</v>
      </c>
      <c r="AL3455" s="196">
        <f>IFERROR($G3455/SUMIF($A:$A,$A3455,$G:$G)*(SUMIF(Summary!$A$247:$A$283,$A3455,Summary!$L$247:$L$283)+SUMIF(Summary!$A$297:$A$333,$A3455,Summary!$L$297:$L$333))-AK3455,0)</f>
        <v>0</v>
      </c>
      <c r="AM3455" s="198"/>
      <c r="AN3455" s="196">
        <f t="shared" ca="1" si="754"/>
        <v>0</v>
      </c>
      <c r="AO3455" s="196">
        <f t="shared" ca="1" si="755"/>
        <v>0</v>
      </c>
    </row>
    <row r="3456" spans="1:41">
      <c r="A3456" s="189">
        <v>13231</v>
      </c>
      <c r="B3456" s="190">
        <v>5</v>
      </c>
      <c r="C3456" s="191" t="s">
        <v>227</v>
      </c>
      <c r="D3456" s="192">
        <f t="shared" si="742"/>
        <v>0</v>
      </c>
      <c r="E3456" s="192">
        <f t="shared" si="743"/>
        <v>0</v>
      </c>
      <c r="F3456" s="192">
        <f t="shared" si="744"/>
        <v>0</v>
      </c>
      <c r="G3456" s="193">
        <f t="shared" si="745"/>
        <v>0</v>
      </c>
      <c r="H3456" s="194">
        <v>0</v>
      </c>
      <c r="I3456" s="194">
        <v>0</v>
      </c>
      <c r="J3456" s="194">
        <v>0</v>
      </c>
      <c r="K3456" s="193">
        <f t="shared" si="746"/>
        <v>0</v>
      </c>
      <c r="L3456" s="194">
        <v>0</v>
      </c>
      <c r="M3456" s="194">
        <v>0</v>
      </c>
      <c r="N3456" s="194">
        <v>0</v>
      </c>
      <c r="O3456" s="193">
        <f t="shared" si="747"/>
        <v>0</v>
      </c>
      <c r="P3456" s="194">
        <v>0</v>
      </c>
      <c r="Q3456" s="194">
        <v>0</v>
      </c>
      <c r="R3456" s="194">
        <v>0</v>
      </c>
      <c r="S3456" s="193">
        <f t="shared" si="748"/>
        <v>0</v>
      </c>
      <c r="T3456" s="193">
        <f t="shared" si="749"/>
        <v>0</v>
      </c>
      <c r="U3456" s="193">
        <f ca="1">OFFSET('Expenditure Study'!$B$7,'Operations Support'!$C3456,'Operations Support'!$B3456)*$G3456</f>
        <v>0</v>
      </c>
      <c r="V3456" s="199">
        <f ca="1">U3456*'Expenditure Study'!$B$31</f>
        <v>0</v>
      </c>
      <c r="W3456" s="199">
        <f ca="1">IF(A3456=10298,1.51,1)*IF($B3456&lt;3,$D3456*'Expenditure Study'!$B$32*OFFSET('Expenditure Study'!$B$7,'Operations Support'!$C3456,'Operations Support'!$B3456),0)</f>
        <v>0</v>
      </c>
      <c r="X3456" s="200">
        <f ca="1">W3456*'Expenditure Study'!$B$31</f>
        <v>0</v>
      </c>
      <c r="Y3456" s="199">
        <f ca="1">U3456*'Expenditure Study'!$B$31</f>
        <v>0</v>
      </c>
      <c r="Z3456" s="200">
        <f ca="1">W3456*'Expenditure Study'!$B$31</f>
        <v>0</v>
      </c>
      <c r="AA3456" s="195">
        <f t="shared" ca="1" si="750"/>
        <v>0</v>
      </c>
      <c r="AB3456" s="195">
        <f t="shared" ca="1" si="751"/>
        <v>0</v>
      </c>
      <c r="AD3456" s="196">
        <f>IFERROR($G3456/SUMIF($A:$A,$A3456,$G:$G)*SUMIF(Summary!$A$166:$A$242,$A3456,Summary!$P$166:$P$242),0)</f>
        <v>0</v>
      </c>
      <c r="AE3456" s="197">
        <f t="shared" ca="1" si="752"/>
        <v>0</v>
      </c>
      <c r="AF3456" s="196">
        <f>IFERROR(G3456/SUMIF(A:A,A3456,G:G)*SUMIF(Summary!$A$166:$A$242,'Operations Support'!A3456,Summary!$Q$166:$Q$242),0)</f>
        <v>0</v>
      </c>
      <c r="AG3456" s="196">
        <f t="shared" ca="1" si="753"/>
        <v>0</v>
      </c>
      <c r="AI3456" s="196">
        <f>IFERROR($G3456/SUMIF($A:$A,$A3456,$G:$G)*SUMIF(Summary!$A$247:$A$283,$A3456,Summary!$P$247:$P$283),0)</f>
        <v>0</v>
      </c>
      <c r="AJ3456" s="196">
        <f>IFERROR($G3456/SUMIF($A:$A,$A3456,$G:$G)*(SUMIF(Summary!$A$247:$A$283,$A3456,Summary!$L$247:$L$283)+SUMIF(Summary!$A$297:$A$333,$A3456,Summary!$L$297:$L$333))-AI3456,0)</f>
        <v>0</v>
      </c>
      <c r="AK3456" s="196">
        <f>IFERROR($G3456/SUMIF($A:$A,$A3456,$G:$G)*SUMIF(Summary!$A$247:$A$283,$A3456,Summary!$Q$247:$Q$283),0)</f>
        <v>0</v>
      </c>
      <c r="AL3456" s="196">
        <f>IFERROR($G3456/SUMIF($A:$A,$A3456,$G:$G)*(SUMIF(Summary!$A$247:$A$283,$A3456,Summary!$L$247:$L$283)+SUMIF(Summary!$A$297:$A$333,$A3456,Summary!$L$297:$L$333))-AK3456,0)</f>
        <v>0</v>
      </c>
      <c r="AM3456" s="198"/>
      <c r="AN3456" s="196">
        <f t="shared" ca="1" si="754"/>
        <v>0</v>
      </c>
      <c r="AO3456" s="196">
        <f t="shared" ca="1" si="755"/>
        <v>0</v>
      </c>
    </row>
    <row r="3457" spans="1:41">
      <c r="A3457" s="189">
        <v>13231</v>
      </c>
      <c r="B3457" s="190">
        <v>5</v>
      </c>
      <c r="C3457" s="191" t="s">
        <v>228</v>
      </c>
      <c r="D3457" s="192">
        <f t="shared" si="742"/>
        <v>0</v>
      </c>
      <c r="E3457" s="192">
        <f t="shared" si="743"/>
        <v>0</v>
      </c>
      <c r="F3457" s="192">
        <f t="shared" si="744"/>
        <v>0</v>
      </c>
      <c r="G3457" s="193">
        <f t="shared" si="745"/>
        <v>0</v>
      </c>
      <c r="H3457" s="194">
        <v>0</v>
      </c>
      <c r="I3457" s="194">
        <v>0</v>
      </c>
      <c r="J3457" s="194">
        <v>0</v>
      </c>
      <c r="K3457" s="193">
        <f t="shared" si="746"/>
        <v>0</v>
      </c>
      <c r="L3457" s="194">
        <v>0</v>
      </c>
      <c r="M3457" s="194">
        <v>0</v>
      </c>
      <c r="N3457" s="194">
        <v>0</v>
      </c>
      <c r="O3457" s="193">
        <f t="shared" si="747"/>
        <v>0</v>
      </c>
      <c r="P3457" s="194">
        <v>0</v>
      </c>
      <c r="Q3457" s="194">
        <v>0</v>
      </c>
      <c r="R3457" s="194">
        <v>0</v>
      </c>
      <c r="S3457" s="193">
        <f t="shared" si="748"/>
        <v>0</v>
      </c>
      <c r="T3457" s="193">
        <f t="shared" si="749"/>
        <v>0</v>
      </c>
      <c r="U3457" s="193">
        <f ca="1">OFFSET('Expenditure Study'!$B$7,'Operations Support'!$C3457,'Operations Support'!$B3457)*$G3457</f>
        <v>0</v>
      </c>
      <c r="V3457" s="199">
        <f ca="1">U3457*'Expenditure Study'!$B$31</f>
        <v>0</v>
      </c>
      <c r="W3457" s="199">
        <f ca="1">IF(A3457=10298,1.51,1)*IF($B3457&lt;3,$D3457*'Expenditure Study'!$B$32*OFFSET('Expenditure Study'!$B$7,'Operations Support'!$C3457,'Operations Support'!$B3457),0)</f>
        <v>0</v>
      </c>
      <c r="X3457" s="200">
        <f ca="1">W3457*'Expenditure Study'!$B$31</f>
        <v>0</v>
      </c>
      <c r="Y3457" s="199">
        <f ca="1">U3457*'Expenditure Study'!$B$31</f>
        <v>0</v>
      </c>
      <c r="Z3457" s="200">
        <f ca="1">W3457*'Expenditure Study'!$B$31</f>
        <v>0</v>
      </c>
      <c r="AA3457" s="195">
        <f t="shared" ca="1" si="750"/>
        <v>0</v>
      </c>
      <c r="AB3457" s="195">
        <f t="shared" ca="1" si="751"/>
        <v>0</v>
      </c>
      <c r="AD3457" s="196">
        <f>IFERROR($G3457/SUMIF($A:$A,$A3457,$G:$G)*SUMIF(Summary!$A$166:$A$242,$A3457,Summary!$P$166:$P$242),0)</f>
        <v>0</v>
      </c>
      <c r="AE3457" s="197">
        <f t="shared" ca="1" si="752"/>
        <v>0</v>
      </c>
      <c r="AF3457" s="196">
        <f>IFERROR(G3457/SUMIF(A:A,A3457,G:G)*SUMIF(Summary!$A$166:$A$242,'Operations Support'!A3457,Summary!$Q$166:$Q$242),0)</f>
        <v>0</v>
      </c>
      <c r="AG3457" s="196">
        <f t="shared" ca="1" si="753"/>
        <v>0</v>
      </c>
      <c r="AI3457" s="196">
        <f>IFERROR($G3457/SUMIF($A:$A,$A3457,$G:$G)*SUMIF(Summary!$A$247:$A$283,$A3457,Summary!$P$247:$P$283),0)</f>
        <v>0</v>
      </c>
      <c r="AJ3457" s="196">
        <f>IFERROR($G3457/SUMIF($A:$A,$A3457,$G:$G)*(SUMIF(Summary!$A$247:$A$283,$A3457,Summary!$L$247:$L$283)+SUMIF(Summary!$A$297:$A$333,$A3457,Summary!$L$297:$L$333))-AI3457,0)</f>
        <v>0</v>
      </c>
      <c r="AK3457" s="196">
        <f>IFERROR($G3457/SUMIF($A:$A,$A3457,$G:$G)*SUMIF(Summary!$A$247:$A$283,$A3457,Summary!$Q$247:$Q$283),0)</f>
        <v>0</v>
      </c>
      <c r="AL3457" s="196">
        <f>IFERROR($G3457/SUMIF($A:$A,$A3457,$G:$G)*(SUMIF(Summary!$A$247:$A$283,$A3457,Summary!$L$247:$L$283)+SUMIF(Summary!$A$297:$A$333,$A3457,Summary!$L$297:$L$333))-AK3457,0)</f>
        <v>0</v>
      </c>
      <c r="AM3457" s="198"/>
      <c r="AN3457" s="196">
        <f t="shared" ca="1" si="754"/>
        <v>0</v>
      </c>
      <c r="AO3457" s="196">
        <f t="shared" ca="1" si="755"/>
        <v>0</v>
      </c>
    </row>
    <row r="3458" spans="1:41">
      <c r="A3458" s="189">
        <v>13231</v>
      </c>
      <c r="B3458" s="190">
        <v>5</v>
      </c>
      <c r="C3458" s="191" t="s">
        <v>229</v>
      </c>
      <c r="D3458" s="192">
        <f t="shared" si="742"/>
        <v>0</v>
      </c>
      <c r="E3458" s="192">
        <f t="shared" si="743"/>
        <v>0</v>
      </c>
      <c r="F3458" s="192">
        <f t="shared" si="744"/>
        <v>0</v>
      </c>
      <c r="G3458" s="193">
        <f t="shared" si="745"/>
        <v>0</v>
      </c>
      <c r="H3458" s="194">
        <v>0</v>
      </c>
      <c r="I3458" s="194">
        <v>0</v>
      </c>
      <c r="J3458" s="194">
        <v>0</v>
      </c>
      <c r="K3458" s="193">
        <f t="shared" si="746"/>
        <v>0</v>
      </c>
      <c r="L3458" s="194">
        <v>0</v>
      </c>
      <c r="M3458" s="194">
        <v>0</v>
      </c>
      <c r="N3458" s="194">
        <v>0</v>
      </c>
      <c r="O3458" s="193">
        <f t="shared" si="747"/>
        <v>0</v>
      </c>
      <c r="P3458" s="194">
        <v>0</v>
      </c>
      <c r="Q3458" s="194">
        <v>0</v>
      </c>
      <c r="R3458" s="194">
        <v>0</v>
      </c>
      <c r="S3458" s="193">
        <f t="shared" si="748"/>
        <v>0</v>
      </c>
      <c r="T3458" s="193">
        <f t="shared" si="749"/>
        <v>0</v>
      </c>
      <c r="U3458" s="193">
        <f ca="1">OFFSET('Expenditure Study'!$B$7,'Operations Support'!$C3458,'Operations Support'!$B3458)*$G3458</f>
        <v>0</v>
      </c>
      <c r="V3458" s="199">
        <f ca="1">U3458*'Expenditure Study'!$B$31</f>
        <v>0</v>
      </c>
      <c r="W3458" s="199">
        <f ca="1">IF(A3458=10298,1.51,1)*IF($B3458&lt;3,$D3458*'Expenditure Study'!$B$32*OFFSET('Expenditure Study'!$B$7,'Operations Support'!$C3458,'Operations Support'!$B3458),0)</f>
        <v>0</v>
      </c>
      <c r="X3458" s="200">
        <f ca="1">W3458*'Expenditure Study'!$B$31</f>
        <v>0</v>
      </c>
      <c r="Y3458" s="199">
        <f ca="1">U3458*'Expenditure Study'!$B$31</f>
        <v>0</v>
      </c>
      <c r="Z3458" s="200">
        <f ca="1">W3458*'Expenditure Study'!$B$31</f>
        <v>0</v>
      </c>
      <c r="AA3458" s="195">
        <f t="shared" ca="1" si="750"/>
        <v>0</v>
      </c>
      <c r="AB3458" s="195">
        <f t="shared" ca="1" si="751"/>
        <v>0</v>
      </c>
      <c r="AD3458" s="196">
        <f>IFERROR($G3458/SUMIF($A:$A,$A3458,$G:$G)*SUMIF(Summary!$A$166:$A$242,$A3458,Summary!$P$166:$P$242),0)</f>
        <v>0</v>
      </c>
      <c r="AE3458" s="197">
        <f t="shared" ca="1" si="752"/>
        <v>0</v>
      </c>
      <c r="AF3458" s="196">
        <f>IFERROR(G3458/SUMIF(A:A,A3458,G:G)*SUMIF(Summary!$A$166:$A$242,'Operations Support'!A3458,Summary!$Q$166:$Q$242),0)</f>
        <v>0</v>
      </c>
      <c r="AG3458" s="196">
        <f t="shared" ca="1" si="753"/>
        <v>0</v>
      </c>
      <c r="AI3458" s="196">
        <f>IFERROR($G3458/SUMIF($A:$A,$A3458,$G:$G)*SUMIF(Summary!$A$247:$A$283,$A3458,Summary!$P$247:$P$283),0)</f>
        <v>0</v>
      </c>
      <c r="AJ3458" s="196">
        <f>IFERROR($G3458/SUMIF($A:$A,$A3458,$G:$G)*(SUMIF(Summary!$A$247:$A$283,$A3458,Summary!$L$247:$L$283)+SUMIF(Summary!$A$297:$A$333,$A3458,Summary!$L$297:$L$333))-AI3458,0)</f>
        <v>0</v>
      </c>
      <c r="AK3458" s="196">
        <f>IFERROR($G3458/SUMIF($A:$A,$A3458,$G:$G)*SUMIF(Summary!$A$247:$A$283,$A3458,Summary!$Q$247:$Q$283),0)</f>
        <v>0</v>
      </c>
      <c r="AL3458" s="196">
        <f>IFERROR($G3458/SUMIF($A:$A,$A3458,$G:$G)*(SUMIF(Summary!$A$247:$A$283,$A3458,Summary!$L$247:$L$283)+SUMIF(Summary!$A$297:$A$333,$A3458,Summary!$L$297:$L$333))-AK3458,0)</f>
        <v>0</v>
      </c>
      <c r="AM3458" s="198"/>
      <c r="AN3458" s="196">
        <f t="shared" ca="1" si="754"/>
        <v>0</v>
      </c>
      <c r="AO3458" s="196">
        <f t="shared" ca="1" si="755"/>
        <v>0</v>
      </c>
    </row>
    <row r="3459" spans="1:41">
      <c r="A3459" s="189">
        <v>13231</v>
      </c>
      <c r="B3459" s="190">
        <v>5</v>
      </c>
      <c r="C3459" s="191" t="s">
        <v>230</v>
      </c>
      <c r="D3459" s="192">
        <f t="shared" si="742"/>
        <v>0</v>
      </c>
      <c r="E3459" s="192">
        <f t="shared" si="743"/>
        <v>0</v>
      </c>
      <c r="F3459" s="192">
        <f t="shared" si="744"/>
        <v>0</v>
      </c>
      <c r="G3459" s="193">
        <f t="shared" si="745"/>
        <v>0</v>
      </c>
      <c r="H3459" s="194">
        <v>0</v>
      </c>
      <c r="I3459" s="194">
        <v>0</v>
      </c>
      <c r="J3459" s="194">
        <v>0</v>
      </c>
      <c r="K3459" s="193">
        <f t="shared" si="746"/>
        <v>0</v>
      </c>
      <c r="L3459" s="194">
        <v>0</v>
      </c>
      <c r="M3459" s="194">
        <v>0</v>
      </c>
      <c r="N3459" s="194">
        <v>0</v>
      </c>
      <c r="O3459" s="193">
        <f t="shared" si="747"/>
        <v>0</v>
      </c>
      <c r="P3459" s="194">
        <v>0</v>
      </c>
      <c r="Q3459" s="194">
        <v>0</v>
      </c>
      <c r="R3459" s="194">
        <v>0</v>
      </c>
      <c r="S3459" s="193">
        <f t="shared" si="748"/>
        <v>0</v>
      </c>
      <c r="T3459" s="193">
        <f t="shared" si="749"/>
        <v>0</v>
      </c>
      <c r="U3459" s="193">
        <f ca="1">OFFSET('Expenditure Study'!$B$7,'Operations Support'!$C3459,'Operations Support'!$B3459)*$G3459</f>
        <v>0</v>
      </c>
      <c r="V3459" s="199">
        <f ca="1">U3459*'Expenditure Study'!$B$31</f>
        <v>0</v>
      </c>
      <c r="W3459" s="199">
        <f ca="1">IF(A3459=10298,1.51,1)*IF($B3459&lt;3,$D3459*'Expenditure Study'!$B$32*OFFSET('Expenditure Study'!$B$7,'Operations Support'!$C3459,'Operations Support'!$B3459),0)</f>
        <v>0</v>
      </c>
      <c r="X3459" s="200">
        <f ca="1">W3459*'Expenditure Study'!$B$31</f>
        <v>0</v>
      </c>
      <c r="Y3459" s="199">
        <f ca="1">U3459*'Expenditure Study'!$B$31</f>
        <v>0</v>
      </c>
      <c r="Z3459" s="200">
        <f ca="1">W3459*'Expenditure Study'!$B$31</f>
        <v>0</v>
      </c>
      <c r="AA3459" s="195">
        <f t="shared" ca="1" si="750"/>
        <v>0</v>
      </c>
      <c r="AB3459" s="195">
        <f t="shared" ca="1" si="751"/>
        <v>0</v>
      </c>
      <c r="AD3459" s="196">
        <f>IFERROR($G3459/SUMIF($A:$A,$A3459,$G:$G)*SUMIF(Summary!$A$166:$A$242,$A3459,Summary!$P$166:$P$242),0)</f>
        <v>0</v>
      </c>
      <c r="AE3459" s="197">
        <f t="shared" ca="1" si="752"/>
        <v>0</v>
      </c>
      <c r="AF3459" s="196">
        <f>IFERROR(G3459/SUMIF(A:A,A3459,G:G)*SUMIF(Summary!$A$166:$A$242,'Operations Support'!A3459,Summary!$Q$166:$Q$242),0)</f>
        <v>0</v>
      </c>
      <c r="AG3459" s="196">
        <f t="shared" ca="1" si="753"/>
        <v>0</v>
      </c>
      <c r="AI3459" s="196">
        <f>IFERROR($G3459/SUMIF($A:$A,$A3459,$G:$G)*SUMIF(Summary!$A$247:$A$283,$A3459,Summary!$P$247:$P$283),0)</f>
        <v>0</v>
      </c>
      <c r="AJ3459" s="196">
        <f>IFERROR($G3459/SUMIF($A:$A,$A3459,$G:$G)*(SUMIF(Summary!$A$247:$A$283,$A3459,Summary!$L$247:$L$283)+SUMIF(Summary!$A$297:$A$333,$A3459,Summary!$L$297:$L$333))-AI3459,0)</f>
        <v>0</v>
      </c>
      <c r="AK3459" s="196">
        <f>IFERROR($G3459/SUMIF($A:$A,$A3459,$G:$G)*SUMIF(Summary!$A$247:$A$283,$A3459,Summary!$Q$247:$Q$283),0)</f>
        <v>0</v>
      </c>
      <c r="AL3459" s="196">
        <f>IFERROR($G3459/SUMIF($A:$A,$A3459,$G:$G)*(SUMIF(Summary!$A$247:$A$283,$A3459,Summary!$L$247:$L$283)+SUMIF(Summary!$A$297:$A$333,$A3459,Summary!$L$297:$L$333))-AK3459,0)</f>
        <v>0</v>
      </c>
      <c r="AM3459" s="198"/>
      <c r="AN3459" s="196">
        <f t="shared" ca="1" si="754"/>
        <v>0</v>
      </c>
      <c r="AO3459" s="196">
        <f t="shared" ca="1" si="755"/>
        <v>0</v>
      </c>
    </row>
    <row r="3460" spans="1:41">
      <c r="A3460" s="189">
        <v>13231</v>
      </c>
      <c r="B3460" s="190">
        <v>5</v>
      </c>
      <c r="C3460" s="191" t="s">
        <v>231</v>
      </c>
      <c r="D3460" s="192">
        <f t="shared" si="742"/>
        <v>0</v>
      </c>
      <c r="E3460" s="192">
        <f t="shared" si="743"/>
        <v>0</v>
      </c>
      <c r="F3460" s="192">
        <f t="shared" si="744"/>
        <v>0</v>
      </c>
      <c r="G3460" s="193">
        <f t="shared" si="745"/>
        <v>0</v>
      </c>
      <c r="H3460" s="194">
        <v>0</v>
      </c>
      <c r="I3460" s="194">
        <v>0</v>
      </c>
      <c r="J3460" s="194">
        <v>0</v>
      </c>
      <c r="K3460" s="193">
        <f t="shared" si="746"/>
        <v>0</v>
      </c>
      <c r="L3460" s="194">
        <v>0</v>
      </c>
      <c r="M3460" s="194">
        <v>0</v>
      </c>
      <c r="N3460" s="194">
        <v>0</v>
      </c>
      <c r="O3460" s="193">
        <f t="shared" si="747"/>
        <v>0</v>
      </c>
      <c r="P3460" s="194">
        <v>0</v>
      </c>
      <c r="Q3460" s="194">
        <v>0</v>
      </c>
      <c r="R3460" s="194">
        <v>0</v>
      </c>
      <c r="S3460" s="193">
        <f t="shared" si="748"/>
        <v>0</v>
      </c>
      <c r="T3460" s="193">
        <f t="shared" si="749"/>
        <v>0</v>
      </c>
      <c r="U3460" s="193">
        <f ca="1">OFFSET('Expenditure Study'!$B$7,'Operations Support'!$C3460,'Operations Support'!$B3460)*$G3460</f>
        <v>0</v>
      </c>
      <c r="V3460" s="199">
        <f ca="1">U3460*'Expenditure Study'!$B$31</f>
        <v>0</v>
      </c>
      <c r="W3460" s="199">
        <f ca="1">IF(A3460=10298,1.51,1)*IF($B3460&lt;3,$D3460*'Expenditure Study'!$B$32*OFFSET('Expenditure Study'!$B$7,'Operations Support'!$C3460,'Operations Support'!$B3460),0)</f>
        <v>0</v>
      </c>
      <c r="X3460" s="200">
        <f ca="1">W3460*'Expenditure Study'!$B$31</f>
        <v>0</v>
      </c>
      <c r="Y3460" s="199">
        <f ca="1">U3460*'Expenditure Study'!$B$31</f>
        <v>0</v>
      </c>
      <c r="Z3460" s="200">
        <f ca="1">W3460*'Expenditure Study'!$B$31</f>
        <v>0</v>
      </c>
      <c r="AA3460" s="195">
        <f t="shared" ca="1" si="750"/>
        <v>0</v>
      </c>
      <c r="AB3460" s="195">
        <f t="shared" ca="1" si="751"/>
        <v>0</v>
      </c>
      <c r="AD3460" s="196">
        <f>IFERROR($G3460/SUMIF($A:$A,$A3460,$G:$G)*SUMIF(Summary!$A$166:$A$242,$A3460,Summary!$P$166:$P$242),0)</f>
        <v>0</v>
      </c>
      <c r="AE3460" s="197">
        <f t="shared" ca="1" si="752"/>
        <v>0</v>
      </c>
      <c r="AF3460" s="196">
        <f>IFERROR(G3460/SUMIF(A:A,A3460,G:G)*SUMIF(Summary!$A$166:$A$242,'Operations Support'!A3460,Summary!$Q$166:$Q$242),0)</f>
        <v>0</v>
      </c>
      <c r="AG3460" s="196">
        <f t="shared" ca="1" si="753"/>
        <v>0</v>
      </c>
      <c r="AI3460" s="196">
        <f>IFERROR($G3460/SUMIF($A:$A,$A3460,$G:$G)*SUMIF(Summary!$A$247:$A$283,$A3460,Summary!$P$247:$P$283),0)</f>
        <v>0</v>
      </c>
      <c r="AJ3460" s="196">
        <f>IFERROR($G3460/SUMIF($A:$A,$A3460,$G:$G)*(SUMIF(Summary!$A$247:$A$283,$A3460,Summary!$L$247:$L$283)+SUMIF(Summary!$A$297:$A$333,$A3460,Summary!$L$297:$L$333))-AI3460,0)</f>
        <v>0</v>
      </c>
      <c r="AK3460" s="196">
        <f>IFERROR($G3460/SUMIF($A:$A,$A3460,$G:$G)*SUMIF(Summary!$A$247:$A$283,$A3460,Summary!$Q$247:$Q$283),0)</f>
        <v>0</v>
      </c>
      <c r="AL3460" s="196">
        <f>IFERROR($G3460/SUMIF($A:$A,$A3460,$G:$G)*(SUMIF(Summary!$A$247:$A$283,$A3460,Summary!$L$247:$L$283)+SUMIF(Summary!$A$297:$A$333,$A3460,Summary!$L$297:$L$333))-AK3460,0)</f>
        <v>0</v>
      </c>
      <c r="AM3460" s="198"/>
      <c r="AN3460" s="196">
        <f t="shared" ca="1" si="754"/>
        <v>0</v>
      </c>
      <c r="AO3460" s="196">
        <f t="shared" ca="1" si="755"/>
        <v>0</v>
      </c>
    </row>
    <row r="3461" spans="1:41">
      <c r="A3461" s="189">
        <v>13231</v>
      </c>
      <c r="B3461" s="190">
        <v>5</v>
      </c>
      <c r="C3461" s="191" t="s">
        <v>232</v>
      </c>
      <c r="D3461" s="192">
        <f t="shared" ref="D3461:D3524" si="756">H3461+L3461+P3461</f>
        <v>0</v>
      </c>
      <c r="E3461" s="192">
        <f t="shared" ref="E3461:E3524" si="757">I3461+M3461+Q3461</f>
        <v>0</v>
      </c>
      <c r="F3461" s="192">
        <f t="shared" ref="F3461:F3524" si="758">J3461+N3461+R3461</f>
        <v>0</v>
      </c>
      <c r="G3461" s="193">
        <f t="shared" ref="G3461:G3524" si="759">(SUM(D3461:E3461)-F3461)*IF(A3461=10298,1.51,1)</f>
        <v>0</v>
      </c>
      <c r="H3461" s="194">
        <v>0</v>
      </c>
      <c r="I3461" s="194">
        <v>0</v>
      </c>
      <c r="J3461" s="194">
        <v>0</v>
      </c>
      <c r="K3461" s="193">
        <f t="shared" ref="K3461:K3524" si="760">SUM(H3461:I3461)-J3461</f>
        <v>0</v>
      </c>
      <c r="L3461" s="194">
        <v>0</v>
      </c>
      <c r="M3461" s="194">
        <v>0</v>
      </c>
      <c r="N3461" s="194">
        <v>0</v>
      </c>
      <c r="O3461" s="193">
        <f t="shared" ref="O3461:O3524" si="761">SUM(L3461:M3461)-N3461</f>
        <v>0</v>
      </c>
      <c r="P3461" s="194">
        <v>0</v>
      </c>
      <c r="Q3461" s="194">
        <v>0</v>
      </c>
      <c r="R3461" s="194">
        <v>0</v>
      </c>
      <c r="S3461" s="193">
        <f t="shared" ref="S3461:S3524" si="762">SUM(P3461:Q3461)-R3461</f>
        <v>0</v>
      </c>
      <c r="T3461" s="193">
        <f t="shared" ref="T3461:T3524" si="763">IF(OR(B3461=1,B3461=2),G3461/30,IF(OR(B3461=3,B3461=5),G3461/24,IF(B3461=4,G3461/18,0)))</f>
        <v>0</v>
      </c>
      <c r="U3461" s="193">
        <f ca="1">OFFSET('Expenditure Study'!$B$7,'Operations Support'!$C3461,'Operations Support'!$B3461)*$G3461</f>
        <v>0</v>
      </c>
      <c r="V3461" s="199">
        <f ca="1">U3461*'Expenditure Study'!$B$31</f>
        <v>0</v>
      </c>
      <c r="W3461" s="199">
        <f ca="1">IF(A3461=10298,1.51,1)*IF($B3461&lt;3,$D3461*'Expenditure Study'!$B$32*OFFSET('Expenditure Study'!$B$7,'Operations Support'!$C3461,'Operations Support'!$B3461),0)</f>
        <v>0</v>
      </c>
      <c r="X3461" s="200">
        <f ca="1">W3461*'Expenditure Study'!$B$31</f>
        <v>0</v>
      </c>
      <c r="Y3461" s="199">
        <f ca="1">U3461*'Expenditure Study'!$B$31</f>
        <v>0</v>
      </c>
      <c r="Z3461" s="200">
        <f ca="1">W3461*'Expenditure Study'!$B$31</f>
        <v>0</v>
      </c>
      <c r="AA3461" s="195">
        <f t="shared" ref="AA3461:AA3524" ca="1" si="764">V3461+X3461</f>
        <v>0</v>
      </c>
      <c r="AB3461" s="195">
        <f t="shared" ref="AB3461:AB3524" ca="1" si="765">Y3461+Z3461</f>
        <v>0</v>
      </c>
      <c r="AD3461" s="196">
        <f>IFERROR($G3461/SUMIF($A:$A,$A3461,$G:$G)*SUMIF(Summary!$A$166:$A$242,$A3461,Summary!$P$166:$P$242),0)</f>
        <v>0</v>
      </c>
      <c r="AE3461" s="197">
        <f t="shared" ca="1" si="752"/>
        <v>0</v>
      </c>
      <c r="AF3461" s="196">
        <f>IFERROR(G3461/SUMIF(A:A,A3461,G:G)*SUMIF(Summary!$A$166:$A$242,'Operations Support'!A3461,Summary!$Q$166:$Q$242),0)</f>
        <v>0</v>
      </c>
      <c r="AG3461" s="196">
        <f t="shared" ca="1" si="753"/>
        <v>0</v>
      </c>
      <c r="AI3461" s="196">
        <f>IFERROR($G3461/SUMIF($A:$A,$A3461,$G:$G)*SUMIF(Summary!$A$247:$A$283,$A3461,Summary!$P$247:$P$283),0)</f>
        <v>0</v>
      </c>
      <c r="AJ3461" s="196">
        <f>IFERROR($G3461/SUMIF($A:$A,$A3461,$G:$G)*(SUMIF(Summary!$A$247:$A$283,$A3461,Summary!$L$247:$L$283)+SUMIF(Summary!$A$297:$A$333,$A3461,Summary!$L$297:$L$333))-AI3461,0)</f>
        <v>0</v>
      </c>
      <c r="AK3461" s="196">
        <f>IFERROR($G3461/SUMIF($A:$A,$A3461,$G:$G)*SUMIF(Summary!$A$247:$A$283,$A3461,Summary!$Q$247:$Q$283),0)</f>
        <v>0</v>
      </c>
      <c r="AL3461" s="196">
        <f>IFERROR($G3461/SUMIF($A:$A,$A3461,$G:$G)*(SUMIF(Summary!$A$247:$A$283,$A3461,Summary!$L$247:$L$283)+SUMIF(Summary!$A$297:$A$333,$A3461,Summary!$L$297:$L$333))-AK3461,0)</f>
        <v>0</v>
      </c>
      <c r="AM3461" s="198"/>
      <c r="AN3461" s="196">
        <f t="shared" ca="1" si="754"/>
        <v>0</v>
      </c>
      <c r="AO3461" s="196">
        <f t="shared" ca="1" si="755"/>
        <v>0</v>
      </c>
    </row>
    <row r="3462" spans="1:41">
      <c r="A3462" s="189">
        <v>13231</v>
      </c>
      <c r="B3462" s="190">
        <v>5</v>
      </c>
      <c r="C3462" s="191" t="s">
        <v>233</v>
      </c>
      <c r="D3462" s="192">
        <f t="shared" si="756"/>
        <v>0</v>
      </c>
      <c r="E3462" s="192">
        <f t="shared" si="757"/>
        <v>0</v>
      </c>
      <c r="F3462" s="192">
        <f t="shared" si="758"/>
        <v>0</v>
      </c>
      <c r="G3462" s="193">
        <f t="shared" si="759"/>
        <v>0</v>
      </c>
      <c r="H3462" s="194">
        <v>0</v>
      </c>
      <c r="I3462" s="194">
        <v>0</v>
      </c>
      <c r="J3462" s="194">
        <v>0</v>
      </c>
      <c r="K3462" s="193">
        <f t="shared" si="760"/>
        <v>0</v>
      </c>
      <c r="L3462" s="194">
        <v>0</v>
      </c>
      <c r="M3462" s="194">
        <v>0</v>
      </c>
      <c r="N3462" s="194">
        <v>0</v>
      </c>
      <c r="O3462" s="193">
        <f t="shared" si="761"/>
        <v>0</v>
      </c>
      <c r="P3462" s="194">
        <v>0</v>
      </c>
      <c r="Q3462" s="194">
        <v>0</v>
      </c>
      <c r="R3462" s="194">
        <v>0</v>
      </c>
      <c r="S3462" s="193">
        <f t="shared" si="762"/>
        <v>0</v>
      </c>
      <c r="T3462" s="193">
        <f t="shared" si="763"/>
        <v>0</v>
      </c>
      <c r="U3462" s="193">
        <f ca="1">OFFSET('Expenditure Study'!$B$7,'Operations Support'!$C3462,'Operations Support'!$B3462)*$G3462</f>
        <v>0</v>
      </c>
      <c r="V3462" s="199">
        <f ca="1">U3462*'Expenditure Study'!$B$31</f>
        <v>0</v>
      </c>
      <c r="W3462" s="199">
        <f ca="1">IF(A3462=10298,1.51,1)*IF($B3462&lt;3,$D3462*'Expenditure Study'!$B$32*OFFSET('Expenditure Study'!$B$7,'Operations Support'!$C3462,'Operations Support'!$B3462),0)</f>
        <v>0</v>
      </c>
      <c r="X3462" s="200">
        <f ca="1">W3462*'Expenditure Study'!$B$31</f>
        <v>0</v>
      </c>
      <c r="Y3462" s="199">
        <f ca="1">U3462*'Expenditure Study'!$B$31</f>
        <v>0</v>
      </c>
      <c r="Z3462" s="200">
        <f ca="1">W3462*'Expenditure Study'!$B$31</f>
        <v>0</v>
      </c>
      <c r="AA3462" s="195">
        <f t="shared" ca="1" si="764"/>
        <v>0</v>
      </c>
      <c r="AB3462" s="195">
        <f t="shared" ca="1" si="765"/>
        <v>0</v>
      </c>
      <c r="AD3462" s="196">
        <f>IFERROR($G3462/SUMIF($A:$A,$A3462,$G:$G)*SUMIF(Summary!$A$166:$A$242,$A3462,Summary!$P$166:$P$242),0)</f>
        <v>0</v>
      </c>
      <c r="AE3462" s="197">
        <f t="shared" ref="AE3462:AE3525" ca="1" si="766">V3462+X3462-AD3462</f>
        <v>0</v>
      </c>
      <c r="AF3462" s="196">
        <f>IFERROR(G3462/SUMIF(A:A,A3462,G:G)*SUMIF(Summary!$A$166:$A$242,'Operations Support'!A3462,Summary!$Q$166:$Q$242),0)</f>
        <v>0</v>
      </c>
      <c r="AG3462" s="196">
        <f t="shared" ref="AG3462:AG3525" ca="1" si="767">Y3462+Z3462-AF3462</f>
        <v>0</v>
      </c>
      <c r="AI3462" s="196">
        <f>IFERROR($G3462/SUMIF($A:$A,$A3462,$G:$G)*SUMIF(Summary!$A$247:$A$283,$A3462,Summary!$P$247:$P$283),0)</f>
        <v>0</v>
      </c>
      <c r="AJ3462" s="196">
        <f>IFERROR($G3462/SUMIF($A:$A,$A3462,$G:$G)*(SUMIF(Summary!$A$247:$A$283,$A3462,Summary!$L$247:$L$283)+SUMIF(Summary!$A$297:$A$333,$A3462,Summary!$L$297:$L$333))-AI3462,0)</f>
        <v>0</v>
      </c>
      <c r="AK3462" s="196">
        <f>IFERROR($G3462/SUMIF($A:$A,$A3462,$G:$G)*SUMIF(Summary!$A$247:$A$283,$A3462,Summary!$Q$247:$Q$283),0)</f>
        <v>0</v>
      </c>
      <c r="AL3462" s="196">
        <f>IFERROR($G3462/SUMIF($A:$A,$A3462,$G:$G)*(SUMIF(Summary!$A$247:$A$283,$A3462,Summary!$L$247:$L$283)+SUMIF(Summary!$A$297:$A$333,$A3462,Summary!$L$297:$L$333))-AK3462,0)</f>
        <v>0</v>
      </c>
      <c r="AM3462" s="198"/>
      <c r="AN3462" s="196">
        <f t="shared" ref="AN3462:AN3525" ca="1" si="768">AE3462+AJ3462</f>
        <v>0</v>
      </c>
      <c r="AO3462" s="196">
        <f t="shared" ref="AO3462:AO3525" ca="1" si="769">AG3462+AL3462</f>
        <v>0</v>
      </c>
    </row>
    <row r="3463" spans="1:41">
      <c r="A3463" s="189">
        <v>13231</v>
      </c>
      <c r="B3463" s="190">
        <v>5</v>
      </c>
      <c r="C3463" s="191" t="s">
        <v>234</v>
      </c>
      <c r="D3463" s="192">
        <f t="shared" si="756"/>
        <v>0</v>
      </c>
      <c r="E3463" s="192">
        <f t="shared" si="757"/>
        <v>0</v>
      </c>
      <c r="F3463" s="192">
        <f t="shared" si="758"/>
        <v>0</v>
      </c>
      <c r="G3463" s="193">
        <f t="shared" si="759"/>
        <v>0</v>
      </c>
      <c r="H3463" s="194">
        <v>0</v>
      </c>
      <c r="I3463" s="194">
        <v>0</v>
      </c>
      <c r="J3463" s="194">
        <v>0</v>
      </c>
      <c r="K3463" s="193">
        <f t="shared" si="760"/>
        <v>0</v>
      </c>
      <c r="L3463" s="194">
        <v>0</v>
      </c>
      <c r="M3463" s="194">
        <v>0</v>
      </c>
      <c r="N3463" s="194">
        <v>0</v>
      </c>
      <c r="O3463" s="193">
        <f t="shared" si="761"/>
        <v>0</v>
      </c>
      <c r="P3463" s="194">
        <v>0</v>
      </c>
      <c r="Q3463" s="194">
        <v>0</v>
      </c>
      <c r="R3463" s="194">
        <v>0</v>
      </c>
      <c r="S3463" s="193">
        <f t="shared" si="762"/>
        <v>0</v>
      </c>
      <c r="T3463" s="193">
        <f t="shared" si="763"/>
        <v>0</v>
      </c>
      <c r="U3463" s="193">
        <f ca="1">OFFSET('Expenditure Study'!$B$7,'Operations Support'!$C3463,'Operations Support'!$B3463)*$G3463</f>
        <v>0</v>
      </c>
      <c r="V3463" s="199">
        <f ca="1">U3463*'Expenditure Study'!$B$31</f>
        <v>0</v>
      </c>
      <c r="W3463" s="199">
        <f ca="1">IF(A3463=10298,1.51,1)*IF($B3463&lt;3,$D3463*'Expenditure Study'!$B$32*OFFSET('Expenditure Study'!$B$7,'Operations Support'!$C3463,'Operations Support'!$B3463),0)</f>
        <v>0</v>
      </c>
      <c r="X3463" s="200">
        <f ca="1">W3463*'Expenditure Study'!$B$31</f>
        <v>0</v>
      </c>
      <c r="Y3463" s="199">
        <f ca="1">U3463*'Expenditure Study'!$B$31</f>
        <v>0</v>
      </c>
      <c r="Z3463" s="200">
        <f ca="1">W3463*'Expenditure Study'!$B$31</f>
        <v>0</v>
      </c>
      <c r="AA3463" s="195">
        <f t="shared" ca="1" si="764"/>
        <v>0</v>
      </c>
      <c r="AB3463" s="195">
        <f t="shared" ca="1" si="765"/>
        <v>0</v>
      </c>
      <c r="AD3463" s="196">
        <f>IFERROR($G3463/SUMIF($A:$A,$A3463,$G:$G)*SUMIF(Summary!$A$166:$A$242,$A3463,Summary!$P$166:$P$242),0)</f>
        <v>0</v>
      </c>
      <c r="AE3463" s="197">
        <f t="shared" ca="1" si="766"/>
        <v>0</v>
      </c>
      <c r="AF3463" s="196">
        <f>IFERROR(G3463/SUMIF(A:A,A3463,G:G)*SUMIF(Summary!$A$166:$A$242,'Operations Support'!A3463,Summary!$Q$166:$Q$242),0)</f>
        <v>0</v>
      </c>
      <c r="AG3463" s="196">
        <f t="shared" ca="1" si="767"/>
        <v>0</v>
      </c>
      <c r="AI3463" s="196">
        <f>IFERROR($G3463/SUMIF($A:$A,$A3463,$G:$G)*SUMIF(Summary!$A$247:$A$283,$A3463,Summary!$P$247:$P$283),0)</f>
        <v>0</v>
      </c>
      <c r="AJ3463" s="196">
        <f>IFERROR($G3463/SUMIF($A:$A,$A3463,$G:$G)*(SUMIF(Summary!$A$247:$A$283,$A3463,Summary!$L$247:$L$283)+SUMIF(Summary!$A$297:$A$333,$A3463,Summary!$L$297:$L$333))-AI3463,0)</f>
        <v>0</v>
      </c>
      <c r="AK3463" s="196">
        <f>IFERROR($G3463/SUMIF($A:$A,$A3463,$G:$G)*SUMIF(Summary!$A$247:$A$283,$A3463,Summary!$Q$247:$Q$283),0)</f>
        <v>0</v>
      </c>
      <c r="AL3463" s="196">
        <f>IFERROR($G3463/SUMIF($A:$A,$A3463,$G:$G)*(SUMIF(Summary!$A$247:$A$283,$A3463,Summary!$L$247:$L$283)+SUMIF(Summary!$A$297:$A$333,$A3463,Summary!$L$297:$L$333))-AK3463,0)</f>
        <v>0</v>
      </c>
      <c r="AM3463" s="198"/>
      <c r="AN3463" s="196">
        <f t="shared" ca="1" si="768"/>
        <v>0</v>
      </c>
      <c r="AO3463" s="196">
        <f t="shared" ca="1" si="769"/>
        <v>0</v>
      </c>
    </row>
    <row r="3464" spans="1:41">
      <c r="A3464" s="189">
        <v>13231</v>
      </c>
      <c r="B3464" s="190">
        <v>5</v>
      </c>
      <c r="C3464" s="191" t="s">
        <v>235</v>
      </c>
      <c r="D3464" s="192">
        <f t="shared" si="756"/>
        <v>0</v>
      </c>
      <c r="E3464" s="192">
        <f t="shared" si="757"/>
        <v>0</v>
      </c>
      <c r="F3464" s="192">
        <f t="shared" si="758"/>
        <v>0</v>
      </c>
      <c r="G3464" s="193">
        <f t="shared" si="759"/>
        <v>0</v>
      </c>
      <c r="H3464" s="194">
        <v>0</v>
      </c>
      <c r="I3464" s="194">
        <v>0</v>
      </c>
      <c r="J3464" s="194">
        <v>0</v>
      </c>
      <c r="K3464" s="193">
        <f t="shared" si="760"/>
        <v>0</v>
      </c>
      <c r="L3464" s="194">
        <v>0</v>
      </c>
      <c r="M3464" s="194">
        <v>0</v>
      </c>
      <c r="N3464" s="194">
        <v>0</v>
      </c>
      <c r="O3464" s="193">
        <f t="shared" si="761"/>
        <v>0</v>
      </c>
      <c r="P3464" s="194">
        <v>0</v>
      </c>
      <c r="Q3464" s="194">
        <v>0</v>
      </c>
      <c r="R3464" s="194">
        <v>0</v>
      </c>
      <c r="S3464" s="193">
        <f t="shared" si="762"/>
        <v>0</v>
      </c>
      <c r="T3464" s="193">
        <f t="shared" si="763"/>
        <v>0</v>
      </c>
      <c r="U3464" s="193">
        <f ca="1">OFFSET('Expenditure Study'!$B$7,'Operations Support'!$C3464,'Operations Support'!$B3464)*$G3464</f>
        <v>0</v>
      </c>
      <c r="V3464" s="199">
        <f ca="1">U3464*'Expenditure Study'!$B$31</f>
        <v>0</v>
      </c>
      <c r="W3464" s="199">
        <f ca="1">IF(A3464=10298,1.51,1)*IF($B3464&lt;3,$D3464*'Expenditure Study'!$B$32*OFFSET('Expenditure Study'!$B$7,'Operations Support'!$C3464,'Operations Support'!$B3464),0)</f>
        <v>0</v>
      </c>
      <c r="X3464" s="200">
        <f ca="1">W3464*'Expenditure Study'!$B$31</f>
        <v>0</v>
      </c>
      <c r="Y3464" s="199">
        <f ca="1">U3464*'Expenditure Study'!$B$31</f>
        <v>0</v>
      </c>
      <c r="Z3464" s="200">
        <f ca="1">W3464*'Expenditure Study'!$B$31</f>
        <v>0</v>
      </c>
      <c r="AA3464" s="195">
        <f t="shared" ca="1" si="764"/>
        <v>0</v>
      </c>
      <c r="AB3464" s="195">
        <f t="shared" ca="1" si="765"/>
        <v>0</v>
      </c>
      <c r="AD3464" s="196">
        <f>IFERROR($G3464/SUMIF($A:$A,$A3464,$G:$G)*SUMIF(Summary!$A$166:$A$242,$A3464,Summary!$P$166:$P$242),0)</f>
        <v>0</v>
      </c>
      <c r="AE3464" s="197">
        <f t="shared" ca="1" si="766"/>
        <v>0</v>
      </c>
      <c r="AF3464" s="196">
        <f>IFERROR(G3464/SUMIF(A:A,A3464,G:G)*SUMIF(Summary!$A$166:$A$242,'Operations Support'!A3464,Summary!$Q$166:$Q$242),0)</f>
        <v>0</v>
      </c>
      <c r="AG3464" s="196">
        <f t="shared" ca="1" si="767"/>
        <v>0</v>
      </c>
      <c r="AI3464" s="196">
        <f>IFERROR($G3464/SUMIF($A:$A,$A3464,$G:$G)*SUMIF(Summary!$A$247:$A$283,$A3464,Summary!$P$247:$P$283),0)</f>
        <v>0</v>
      </c>
      <c r="AJ3464" s="196">
        <f>IFERROR($G3464/SUMIF($A:$A,$A3464,$G:$G)*(SUMIF(Summary!$A$247:$A$283,$A3464,Summary!$L$247:$L$283)+SUMIF(Summary!$A$297:$A$333,$A3464,Summary!$L$297:$L$333))-AI3464,0)</f>
        <v>0</v>
      </c>
      <c r="AK3464" s="196">
        <f>IFERROR($G3464/SUMIF($A:$A,$A3464,$G:$G)*SUMIF(Summary!$A$247:$A$283,$A3464,Summary!$Q$247:$Q$283),0)</f>
        <v>0</v>
      </c>
      <c r="AL3464" s="196">
        <f>IFERROR($G3464/SUMIF($A:$A,$A3464,$G:$G)*(SUMIF(Summary!$A$247:$A$283,$A3464,Summary!$L$247:$L$283)+SUMIF(Summary!$A$297:$A$333,$A3464,Summary!$L$297:$L$333))-AK3464,0)</f>
        <v>0</v>
      </c>
      <c r="AM3464" s="198"/>
      <c r="AN3464" s="196">
        <f t="shared" ca="1" si="768"/>
        <v>0</v>
      </c>
      <c r="AO3464" s="196">
        <f t="shared" ca="1" si="769"/>
        <v>0</v>
      </c>
    </row>
    <row r="3465" spans="1:41">
      <c r="A3465" s="189">
        <v>13231</v>
      </c>
      <c r="B3465" s="190">
        <v>5</v>
      </c>
      <c r="C3465" s="191" t="s">
        <v>236</v>
      </c>
      <c r="D3465" s="192">
        <f t="shared" si="756"/>
        <v>0</v>
      </c>
      <c r="E3465" s="192">
        <f t="shared" si="757"/>
        <v>0</v>
      </c>
      <c r="F3465" s="192">
        <f t="shared" si="758"/>
        <v>0</v>
      </c>
      <c r="G3465" s="193">
        <f t="shared" si="759"/>
        <v>0</v>
      </c>
      <c r="H3465" s="194">
        <v>0</v>
      </c>
      <c r="I3465" s="194">
        <v>0</v>
      </c>
      <c r="J3465" s="194">
        <v>0</v>
      </c>
      <c r="K3465" s="193">
        <f t="shared" si="760"/>
        <v>0</v>
      </c>
      <c r="L3465" s="194">
        <v>0</v>
      </c>
      <c r="M3465" s="194">
        <v>0</v>
      </c>
      <c r="N3465" s="194">
        <v>0</v>
      </c>
      <c r="O3465" s="193">
        <f t="shared" si="761"/>
        <v>0</v>
      </c>
      <c r="P3465" s="194">
        <v>0</v>
      </c>
      <c r="Q3465" s="194">
        <v>0</v>
      </c>
      <c r="R3465" s="194">
        <v>0</v>
      </c>
      <c r="S3465" s="193">
        <f t="shared" si="762"/>
        <v>0</v>
      </c>
      <c r="T3465" s="193">
        <f t="shared" si="763"/>
        <v>0</v>
      </c>
      <c r="U3465" s="193">
        <f ca="1">OFFSET('Expenditure Study'!$B$7,'Operations Support'!$C3465,'Operations Support'!$B3465)*$G3465</f>
        <v>0</v>
      </c>
      <c r="V3465" s="199">
        <f ca="1">U3465*'Expenditure Study'!$B$31</f>
        <v>0</v>
      </c>
      <c r="W3465" s="199">
        <f ca="1">IF(A3465=10298,1.51,1)*IF($B3465&lt;3,$D3465*'Expenditure Study'!$B$32*OFFSET('Expenditure Study'!$B$7,'Operations Support'!$C3465,'Operations Support'!$B3465),0)</f>
        <v>0</v>
      </c>
      <c r="X3465" s="200">
        <f ca="1">W3465*'Expenditure Study'!$B$31</f>
        <v>0</v>
      </c>
      <c r="Y3465" s="199">
        <f ca="1">U3465*'Expenditure Study'!$B$31</f>
        <v>0</v>
      </c>
      <c r="Z3465" s="200">
        <f ca="1">W3465*'Expenditure Study'!$B$31</f>
        <v>0</v>
      </c>
      <c r="AA3465" s="195">
        <f t="shared" ca="1" si="764"/>
        <v>0</v>
      </c>
      <c r="AB3465" s="195">
        <f t="shared" ca="1" si="765"/>
        <v>0</v>
      </c>
      <c r="AD3465" s="196">
        <f>IFERROR($G3465/SUMIF($A:$A,$A3465,$G:$G)*SUMIF(Summary!$A$166:$A$242,$A3465,Summary!$P$166:$P$242),0)</f>
        <v>0</v>
      </c>
      <c r="AE3465" s="197">
        <f t="shared" ca="1" si="766"/>
        <v>0</v>
      </c>
      <c r="AF3465" s="196">
        <f>IFERROR(G3465/SUMIF(A:A,A3465,G:G)*SUMIF(Summary!$A$166:$A$242,'Operations Support'!A3465,Summary!$Q$166:$Q$242),0)</f>
        <v>0</v>
      </c>
      <c r="AG3465" s="196">
        <f t="shared" ca="1" si="767"/>
        <v>0</v>
      </c>
      <c r="AI3465" s="196">
        <f>IFERROR($G3465/SUMIF($A:$A,$A3465,$G:$G)*SUMIF(Summary!$A$247:$A$283,$A3465,Summary!$P$247:$P$283),0)</f>
        <v>0</v>
      </c>
      <c r="AJ3465" s="196">
        <f>IFERROR($G3465/SUMIF($A:$A,$A3465,$G:$G)*(SUMIF(Summary!$A$247:$A$283,$A3465,Summary!$L$247:$L$283)+SUMIF(Summary!$A$297:$A$333,$A3465,Summary!$L$297:$L$333))-AI3465,0)</f>
        <v>0</v>
      </c>
      <c r="AK3465" s="196">
        <f>IFERROR($G3465/SUMIF($A:$A,$A3465,$G:$G)*SUMIF(Summary!$A$247:$A$283,$A3465,Summary!$Q$247:$Q$283),0)</f>
        <v>0</v>
      </c>
      <c r="AL3465" s="196">
        <f>IFERROR($G3465/SUMIF($A:$A,$A3465,$G:$G)*(SUMIF(Summary!$A$247:$A$283,$A3465,Summary!$L$247:$L$283)+SUMIF(Summary!$A$297:$A$333,$A3465,Summary!$L$297:$L$333))-AK3465,0)</f>
        <v>0</v>
      </c>
      <c r="AM3465" s="198"/>
      <c r="AN3465" s="196">
        <f t="shared" ca="1" si="768"/>
        <v>0</v>
      </c>
      <c r="AO3465" s="196">
        <f t="shared" ca="1" si="769"/>
        <v>0</v>
      </c>
    </row>
    <row r="3466" spans="1:41">
      <c r="A3466" s="189">
        <v>13231</v>
      </c>
      <c r="B3466" s="190">
        <v>5</v>
      </c>
      <c r="C3466" s="191" t="s">
        <v>237</v>
      </c>
      <c r="D3466" s="192">
        <f t="shared" si="756"/>
        <v>0</v>
      </c>
      <c r="E3466" s="192">
        <f t="shared" si="757"/>
        <v>0</v>
      </c>
      <c r="F3466" s="192">
        <f t="shared" si="758"/>
        <v>0</v>
      </c>
      <c r="G3466" s="193">
        <f t="shared" si="759"/>
        <v>0</v>
      </c>
      <c r="H3466" s="194">
        <v>0</v>
      </c>
      <c r="I3466" s="194">
        <v>0</v>
      </c>
      <c r="J3466" s="194">
        <v>0</v>
      </c>
      <c r="K3466" s="193">
        <f t="shared" si="760"/>
        <v>0</v>
      </c>
      <c r="L3466" s="194">
        <v>0</v>
      </c>
      <c r="M3466" s="194">
        <v>0</v>
      </c>
      <c r="N3466" s="194">
        <v>0</v>
      </c>
      <c r="O3466" s="193">
        <f t="shared" si="761"/>
        <v>0</v>
      </c>
      <c r="P3466" s="194">
        <v>0</v>
      </c>
      <c r="Q3466" s="194">
        <v>0</v>
      </c>
      <c r="R3466" s="194">
        <v>0</v>
      </c>
      <c r="S3466" s="193">
        <f t="shared" si="762"/>
        <v>0</v>
      </c>
      <c r="T3466" s="193">
        <f t="shared" si="763"/>
        <v>0</v>
      </c>
      <c r="U3466" s="193">
        <f ca="1">OFFSET('Expenditure Study'!$B$7,'Operations Support'!$C3466,'Operations Support'!$B3466)*$G3466</f>
        <v>0</v>
      </c>
      <c r="V3466" s="199">
        <f ca="1">U3466*'Expenditure Study'!$B$31</f>
        <v>0</v>
      </c>
      <c r="W3466" s="199">
        <f ca="1">IF(A3466=10298,1.51,1)*IF($B3466&lt;3,$D3466*'Expenditure Study'!$B$32*OFFSET('Expenditure Study'!$B$7,'Operations Support'!$C3466,'Operations Support'!$B3466),0)</f>
        <v>0</v>
      </c>
      <c r="X3466" s="200">
        <f ca="1">W3466*'Expenditure Study'!$B$31</f>
        <v>0</v>
      </c>
      <c r="Y3466" s="199">
        <f ca="1">U3466*'Expenditure Study'!$B$31</f>
        <v>0</v>
      </c>
      <c r="Z3466" s="200">
        <f ca="1">W3466*'Expenditure Study'!$B$31</f>
        <v>0</v>
      </c>
      <c r="AA3466" s="195">
        <f t="shared" ca="1" si="764"/>
        <v>0</v>
      </c>
      <c r="AB3466" s="195">
        <f t="shared" ca="1" si="765"/>
        <v>0</v>
      </c>
      <c r="AD3466" s="196">
        <f>IFERROR($G3466/SUMIF($A:$A,$A3466,$G:$G)*SUMIF(Summary!$A$166:$A$242,$A3466,Summary!$P$166:$P$242),0)</f>
        <v>0</v>
      </c>
      <c r="AE3466" s="197">
        <f t="shared" ca="1" si="766"/>
        <v>0</v>
      </c>
      <c r="AF3466" s="196">
        <f>IFERROR(G3466/SUMIF(A:A,A3466,G:G)*SUMIF(Summary!$A$166:$A$242,'Operations Support'!A3466,Summary!$Q$166:$Q$242),0)</f>
        <v>0</v>
      </c>
      <c r="AG3466" s="196">
        <f t="shared" ca="1" si="767"/>
        <v>0</v>
      </c>
      <c r="AI3466" s="196">
        <f>IFERROR($G3466/SUMIF($A:$A,$A3466,$G:$G)*SUMIF(Summary!$A$247:$A$283,$A3466,Summary!$P$247:$P$283),0)</f>
        <v>0</v>
      </c>
      <c r="AJ3466" s="196">
        <f>IFERROR($G3466/SUMIF($A:$A,$A3466,$G:$G)*(SUMIF(Summary!$A$247:$A$283,$A3466,Summary!$L$247:$L$283)+SUMIF(Summary!$A$297:$A$333,$A3466,Summary!$L$297:$L$333))-AI3466,0)</f>
        <v>0</v>
      </c>
      <c r="AK3466" s="196">
        <f>IFERROR($G3466/SUMIF($A:$A,$A3466,$G:$G)*SUMIF(Summary!$A$247:$A$283,$A3466,Summary!$Q$247:$Q$283),0)</f>
        <v>0</v>
      </c>
      <c r="AL3466" s="196">
        <f>IFERROR($G3466/SUMIF($A:$A,$A3466,$G:$G)*(SUMIF(Summary!$A$247:$A$283,$A3466,Summary!$L$247:$L$283)+SUMIF(Summary!$A$297:$A$333,$A3466,Summary!$L$297:$L$333))-AK3466,0)</f>
        <v>0</v>
      </c>
      <c r="AM3466" s="198"/>
      <c r="AN3466" s="196">
        <f t="shared" ca="1" si="768"/>
        <v>0</v>
      </c>
      <c r="AO3466" s="196">
        <f t="shared" ca="1" si="769"/>
        <v>0</v>
      </c>
    </row>
    <row r="3467" spans="1:41" s="201" customFormat="1">
      <c r="A3467" s="189">
        <v>13231</v>
      </c>
      <c r="B3467" s="190">
        <v>5</v>
      </c>
      <c r="C3467" s="191" t="s">
        <v>238</v>
      </c>
      <c r="D3467" s="192">
        <f t="shared" si="756"/>
        <v>0</v>
      </c>
      <c r="E3467" s="192">
        <f t="shared" si="757"/>
        <v>0</v>
      </c>
      <c r="F3467" s="192">
        <f t="shared" si="758"/>
        <v>0</v>
      </c>
      <c r="G3467" s="193">
        <f t="shared" si="759"/>
        <v>0</v>
      </c>
      <c r="H3467" s="194">
        <v>0</v>
      </c>
      <c r="I3467" s="194">
        <v>0</v>
      </c>
      <c r="J3467" s="194">
        <v>0</v>
      </c>
      <c r="K3467" s="193">
        <f t="shared" si="760"/>
        <v>0</v>
      </c>
      <c r="L3467" s="194">
        <v>0</v>
      </c>
      <c r="M3467" s="194">
        <v>0</v>
      </c>
      <c r="N3467" s="194">
        <v>0</v>
      </c>
      <c r="O3467" s="193">
        <f t="shared" si="761"/>
        <v>0</v>
      </c>
      <c r="P3467" s="194">
        <v>0</v>
      </c>
      <c r="Q3467" s="194">
        <v>0</v>
      </c>
      <c r="R3467" s="194">
        <v>0</v>
      </c>
      <c r="S3467" s="193">
        <f t="shared" si="762"/>
        <v>0</v>
      </c>
      <c r="T3467" s="193">
        <f t="shared" si="763"/>
        <v>0</v>
      </c>
      <c r="U3467" s="193">
        <f ca="1">OFFSET('Expenditure Study'!$B$7,'Operations Support'!$C3467,'Operations Support'!$B3467)*$G3467</f>
        <v>0</v>
      </c>
      <c r="V3467" s="199">
        <f ca="1">U3467*'Expenditure Study'!$B$31</f>
        <v>0</v>
      </c>
      <c r="W3467" s="199">
        <f ca="1">IF(A3467=10298,1.51,1)*IF($B3467&lt;3,$D3467*'Expenditure Study'!$B$32*OFFSET('Expenditure Study'!$B$7,'Operations Support'!$C3467,'Operations Support'!$B3467),0)</f>
        <v>0</v>
      </c>
      <c r="X3467" s="200">
        <f ca="1">W3467*'Expenditure Study'!$B$31</f>
        <v>0</v>
      </c>
      <c r="Y3467" s="199">
        <f ca="1">U3467*'Expenditure Study'!$B$31</f>
        <v>0</v>
      </c>
      <c r="Z3467" s="200">
        <f ca="1">W3467*'Expenditure Study'!$B$31</f>
        <v>0</v>
      </c>
      <c r="AA3467" s="195">
        <f t="shared" ca="1" si="764"/>
        <v>0</v>
      </c>
      <c r="AB3467" s="195">
        <f t="shared" ca="1" si="765"/>
        <v>0</v>
      </c>
      <c r="AD3467" s="196">
        <f>IFERROR($G3467/SUMIF($A:$A,$A3467,$G:$G)*SUMIF(Summary!$A$166:$A$242,$A3467,Summary!$P$166:$P$242),0)</f>
        <v>0</v>
      </c>
      <c r="AE3467" s="197">
        <f t="shared" ca="1" si="766"/>
        <v>0</v>
      </c>
      <c r="AF3467" s="196">
        <f>IFERROR(G3467/SUMIF(A:A,A3467,G:G)*SUMIF(Summary!$A$166:$A$242,'Operations Support'!A3467,Summary!$Q$166:$Q$242),0)</f>
        <v>0</v>
      </c>
      <c r="AG3467" s="196">
        <f t="shared" ca="1" si="767"/>
        <v>0</v>
      </c>
      <c r="AH3467" s="180"/>
      <c r="AI3467" s="196">
        <f>IFERROR($G3467/SUMIF($A:$A,$A3467,$G:$G)*SUMIF(Summary!$A$247:$A$283,$A3467,Summary!$P$247:$P$283),0)</f>
        <v>0</v>
      </c>
      <c r="AJ3467" s="196">
        <f>IFERROR($G3467/SUMIF($A:$A,$A3467,$G:$G)*(SUMIF(Summary!$A$247:$A$283,$A3467,Summary!$L$247:$L$283)+SUMIF(Summary!$A$297:$A$333,$A3467,Summary!$L$297:$L$333))-AI3467,0)</f>
        <v>0</v>
      </c>
      <c r="AK3467" s="196">
        <f>IFERROR($G3467/SUMIF($A:$A,$A3467,$G:$G)*SUMIF(Summary!$A$247:$A$283,$A3467,Summary!$Q$247:$Q$283),0)</f>
        <v>0</v>
      </c>
      <c r="AL3467" s="196">
        <f>IFERROR($G3467/SUMIF($A:$A,$A3467,$G:$G)*(SUMIF(Summary!$A$247:$A$283,$A3467,Summary!$L$247:$L$283)+SUMIF(Summary!$A$297:$A$333,$A3467,Summary!$L$297:$L$333))-AK3467,0)</f>
        <v>0</v>
      </c>
      <c r="AM3467" s="198"/>
      <c r="AN3467" s="196">
        <f t="shared" ca="1" si="768"/>
        <v>0</v>
      </c>
      <c r="AO3467" s="196">
        <f t="shared" ca="1" si="769"/>
        <v>0</v>
      </c>
    </row>
    <row r="3468" spans="1:41">
      <c r="A3468" s="189">
        <v>13231</v>
      </c>
      <c r="B3468" s="190">
        <v>5</v>
      </c>
      <c r="C3468" s="191" t="s">
        <v>239</v>
      </c>
      <c r="D3468" s="192">
        <f t="shared" si="756"/>
        <v>0</v>
      </c>
      <c r="E3468" s="192">
        <f t="shared" si="757"/>
        <v>0</v>
      </c>
      <c r="F3468" s="192">
        <f t="shared" si="758"/>
        <v>0</v>
      </c>
      <c r="G3468" s="193">
        <f t="shared" si="759"/>
        <v>0</v>
      </c>
      <c r="H3468" s="194">
        <v>0</v>
      </c>
      <c r="I3468" s="194">
        <v>0</v>
      </c>
      <c r="J3468" s="194">
        <v>0</v>
      </c>
      <c r="K3468" s="193">
        <f t="shared" si="760"/>
        <v>0</v>
      </c>
      <c r="L3468" s="194">
        <v>0</v>
      </c>
      <c r="M3468" s="194">
        <v>0</v>
      </c>
      <c r="N3468" s="194">
        <v>0</v>
      </c>
      <c r="O3468" s="193">
        <f t="shared" si="761"/>
        <v>0</v>
      </c>
      <c r="P3468" s="194">
        <v>0</v>
      </c>
      <c r="Q3468" s="194">
        <v>0</v>
      </c>
      <c r="R3468" s="194">
        <v>0</v>
      </c>
      <c r="S3468" s="193">
        <f t="shared" si="762"/>
        <v>0</v>
      </c>
      <c r="T3468" s="193">
        <f t="shared" si="763"/>
        <v>0</v>
      </c>
      <c r="U3468" s="193">
        <f ca="1">OFFSET('Expenditure Study'!$B$7,'Operations Support'!$C3468,'Operations Support'!$B3468)*$G3468</f>
        <v>0</v>
      </c>
      <c r="V3468" s="199">
        <f ca="1">U3468*'Expenditure Study'!$B$31</f>
        <v>0</v>
      </c>
      <c r="W3468" s="199">
        <f ca="1">IF(A3468=10298,1.51,1)*IF($B3468&lt;3,$D3468*'Expenditure Study'!$B$32*OFFSET('Expenditure Study'!$B$7,'Operations Support'!$C3468,'Operations Support'!$B3468),0)</f>
        <v>0</v>
      </c>
      <c r="X3468" s="200">
        <f ca="1">W3468*'Expenditure Study'!$B$31</f>
        <v>0</v>
      </c>
      <c r="Y3468" s="199">
        <f ca="1">U3468*'Expenditure Study'!$B$31</f>
        <v>0</v>
      </c>
      <c r="Z3468" s="200">
        <f ca="1">W3468*'Expenditure Study'!$B$31</f>
        <v>0</v>
      </c>
      <c r="AA3468" s="195">
        <f t="shared" ca="1" si="764"/>
        <v>0</v>
      </c>
      <c r="AB3468" s="195">
        <f t="shared" ca="1" si="765"/>
        <v>0</v>
      </c>
      <c r="AD3468" s="196">
        <f>IFERROR($G3468/SUMIF($A:$A,$A3468,$G:$G)*SUMIF(Summary!$A$166:$A$242,$A3468,Summary!$P$166:$P$242),0)</f>
        <v>0</v>
      </c>
      <c r="AE3468" s="197">
        <f t="shared" ca="1" si="766"/>
        <v>0</v>
      </c>
      <c r="AF3468" s="196">
        <f>IFERROR(G3468/SUMIF(A:A,A3468,G:G)*SUMIF(Summary!$A$166:$A$242,'Operations Support'!A3468,Summary!$Q$166:$Q$242),0)</f>
        <v>0</v>
      </c>
      <c r="AG3468" s="196">
        <f t="shared" ca="1" si="767"/>
        <v>0</v>
      </c>
      <c r="AI3468" s="196">
        <f>IFERROR($G3468/SUMIF($A:$A,$A3468,$G:$G)*SUMIF(Summary!$A$247:$A$283,$A3468,Summary!$P$247:$P$283),0)</f>
        <v>0</v>
      </c>
      <c r="AJ3468" s="196">
        <f>IFERROR($G3468/SUMIF($A:$A,$A3468,$G:$G)*(SUMIF(Summary!$A$247:$A$283,$A3468,Summary!$L$247:$L$283)+SUMIF(Summary!$A$297:$A$333,$A3468,Summary!$L$297:$L$333))-AI3468,0)</f>
        <v>0</v>
      </c>
      <c r="AK3468" s="196">
        <f>IFERROR($G3468/SUMIF($A:$A,$A3468,$G:$G)*SUMIF(Summary!$A$247:$A$283,$A3468,Summary!$Q$247:$Q$283),0)</f>
        <v>0</v>
      </c>
      <c r="AL3468" s="196">
        <f>IFERROR($G3468/SUMIF($A:$A,$A3468,$G:$G)*(SUMIF(Summary!$A$247:$A$283,$A3468,Summary!$L$247:$L$283)+SUMIF(Summary!$A$297:$A$333,$A3468,Summary!$L$297:$L$333))-AK3468,0)</f>
        <v>0</v>
      </c>
      <c r="AM3468" s="198"/>
      <c r="AN3468" s="196">
        <f t="shared" ca="1" si="768"/>
        <v>0</v>
      </c>
      <c r="AO3468" s="196">
        <f t="shared" ca="1" si="769"/>
        <v>0</v>
      </c>
    </row>
    <row r="3469" spans="1:41">
      <c r="A3469" s="189">
        <v>13231</v>
      </c>
      <c r="B3469" s="190">
        <v>5</v>
      </c>
      <c r="C3469" s="191" t="s">
        <v>240</v>
      </c>
      <c r="D3469" s="192">
        <f t="shared" si="756"/>
        <v>0</v>
      </c>
      <c r="E3469" s="192">
        <f t="shared" si="757"/>
        <v>0</v>
      </c>
      <c r="F3469" s="192">
        <f t="shared" si="758"/>
        <v>0</v>
      </c>
      <c r="G3469" s="193">
        <f t="shared" si="759"/>
        <v>0</v>
      </c>
      <c r="H3469" s="194">
        <v>0</v>
      </c>
      <c r="I3469" s="194">
        <v>0</v>
      </c>
      <c r="J3469" s="194">
        <v>0</v>
      </c>
      <c r="K3469" s="193">
        <f t="shared" si="760"/>
        <v>0</v>
      </c>
      <c r="L3469" s="194">
        <v>0</v>
      </c>
      <c r="M3469" s="194">
        <v>0</v>
      </c>
      <c r="N3469" s="194">
        <v>0</v>
      </c>
      <c r="O3469" s="193">
        <f t="shared" si="761"/>
        <v>0</v>
      </c>
      <c r="P3469" s="194">
        <v>0</v>
      </c>
      <c r="Q3469" s="194">
        <v>0</v>
      </c>
      <c r="R3469" s="194">
        <v>0</v>
      </c>
      <c r="S3469" s="193">
        <f t="shared" si="762"/>
        <v>0</v>
      </c>
      <c r="T3469" s="193">
        <f t="shared" si="763"/>
        <v>0</v>
      </c>
      <c r="U3469" s="193">
        <f ca="1">OFFSET('Expenditure Study'!$B$7,'Operations Support'!$C3469,'Operations Support'!$B3469)*$G3469</f>
        <v>0</v>
      </c>
      <c r="V3469" s="199">
        <f ca="1">U3469*'Expenditure Study'!$B$31</f>
        <v>0</v>
      </c>
      <c r="W3469" s="199">
        <f ca="1">IF(A3469=10298,1.51,1)*IF($B3469&lt;3,$D3469*'Expenditure Study'!$B$32*OFFSET('Expenditure Study'!$B$7,'Operations Support'!$C3469,'Operations Support'!$B3469),0)</f>
        <v>0</v>
      </c>
      <c r="X3469" s="200">
        <f ca="1">W3469*'Expenditure Study'!$B$31</f>
        <v>0</v>
      </c>
      <c r="Y3469" s="199">
        <f ca="1">U3469*'Expenditure Study'!$B$31</f>
        <v>0</v>
      </c>
      <c r="Z3469" s="200">
        <f ca="1">W3469*'Expenditure Study'!$B$31</f>
        <v>0</v>
      </c>
      <c r="AA3469" s="195">
        <f t="shared" ca="1" si="764"/>
        <v>0</v>
      </c>
      <c r="AB3469" s="195">
        <f t="shared" ca="1" si="765"/>
        <v>0</v>
      </c>
      <c r="AD3469" s="196">
        <f>IFERROR($G3469/SUMIF($A:$A,$A3469,$G:$G)*SUMIF(Summary!$A$166:$A$242,$A3469,Summary!$P$166:$P$242),0)</f>
        <v>0</v>
      </c>
      <c r="AE3469" s="197">
        <f t="shared" ca="1" si="766"/>
        <v>0</v>
      </c>
      <c r="AF3469" s="196">
        <f>IFERROR(G3469/SUMIF(A:A,A3469,G:G)*SUMIF(Summary!$A$166:$A$242,'Operations Support'!A3469,Summary!$Q$166:$Q$242),0)</f>
        <v>0</v>
      </c>
      <c r="AG3469" s="196">
        <f t="shared" ca="1" si="767"/>
        <v>0</v>
      </c>
      <c r="AI3469" s="196">
        <f>IFERROR($G3469/SUMIF($A:$A,$A3469,$G:$G)*SUMIF(Summary!$A$247:$A$283,$A3469,Summary!$P$247:$P$283),0)</f>
        <v>0</v>
      </c>
      <c r="AJ3469" s="196">
        <f>IFERROR($G3469/SUMIF($A:$A,$A3469,$G:$G)*(SUMIF(Summary!$A$247:$A$283,$A3469,Summary!$L$247:$L$283)+SUMIF(Summary!$A$297:$A$333,$A3469,Summary!$L$297:$L$333))-AI3469,0)</f>
        <v>0</v>
      </c>
      <c r="AK3469" s="196">
        <f>IFERROR($G3469/SUMIF($A:$A,$A3469,$G:$G)*SUMIF(Summary!$A$247:$A$283,$A3469,Summary!$Q$247:$Q$283),0)</f>
        <v>0</v>
      </c>
      <c r="AL3469" s="196">
        <f>IFERROR($G3469/SUMIF($A:$A,$A3469,$G:$G)*(SUMIF(Summary!$A$247:$A$283,$A3469,Summary!$L$247:$L$283)+SUMIF(Summary!$A$297:$A$333,$A3469,Summary!$L$297:$L$333))-AK3469,0)</f>
        <v>0</v>
      </c>
      <c r="AM3469" s="198"/>
      <c r="AN3469" s="196">
        <f t="shared" ca="1" si="768"/>
        <v>0</v>
      </c>
      <c r="AO3469" s="196">
        <f t="shared" ca="1" si="769"/>
        <v>0</v>
      </c>
    </row>
    <row r="3470" spans="1:41">
      <c r="A3470" s="189">
        <v>29269</v>
      </c>
      <c r="B3470" s="190">
        <v>1</v>
      </c>
      <c r="C3470" s="191" t="s">
        <v>220</v>
      </c>
      <c r="D3470" s="192">
        <f t="shared" si="756"/>
        <v>5591</v>
      </c>
      <c r="E3470" s="192">
        <f t="shared" si="757"/>
        <v>5325</v>
      </c>
      <c r="F3470" s="192">
        <f t="shared" si="758"/>
        <v>0</v>
      </c>
      <c r="G3470" s="193">
        <f t="shared" si="759"/>
        <v>10916</v>
      </c>
      <c r="H3470" s="194">
        <v>2339</v>
      </c>
      <c r="I3470" s="194">
        <v>2246</v>
      </c>
      <c r="J3470" s="194">
        <v>0</v>
      </c>
      <c r="K3470" s="193">
        <f t="shared" si="760"/>
        <v>4585</v>
      </c>
      <c r="L3470" s="194">
        <v>2735</v>
      </c>
      <c r="M3470" s="194">
        <v>2904</v>
      </c>
      <c r="N3470" s="194">
        <v>0</v>
      </c>
      <c r="O3470" s="193">
        <f t="shared" si="761"/>
        <v>5639</v>
      </c>
      <c r="P3470" s="194">
        <v>517</v>
      </c>
      <c r="Q3470" s="194">
        <v>175</v>
      </c>
      <c r="R3470" s="194">
        <v>0</v>
      </c>
      <c r="S3470" s="193">
        <f t="shared" si="762"/>
        <v>692</v>
      </c>
      <c r="T3470" s="193">
        <f t="shared" si="763"/>
        <v>363.86666666666667</v>
      </c>
      <c r="U3470" s="193">
        <f ca="1">OFFSET('Expenditure Study'!$B$7,'Operations Support'!$C3470,'Operations Support'!$B3470)*$G3470</f>
        <v>10916</v>
      </c>
      <c r="V3470" s="199">
        <f ca="1">U3470*'Expenditure Study'!$B$31</f>
        <v>644952.00161280006</v>
      </c>
      <c r="W3470" s="199">
        <f ca="1">IF(A3470=10298,1.51,1)*IF($B3470&lt;3,$D3470*'Expenditure Study'!$B$32*OFFSET('Expenditure Study'!$B$7,'Operations Support'!$C3470,'Operations Support'!$B3470),0)</f>
        <v>559.1</v>
      </c>
      <c r="X3470" s="200">
        <f ca="1">W3470*'Expenditure Study'!$B$31</f>
        <v>33033.406385280003</v>
      </c>
      <c r="Y3470" s="199">
        <f ca="1">U3470*'Expenditure Study'!$B$31</f>
        <v>644952.00161280006</v>
      </c>
      <c r="Z3470" s="200">
        <f ca="1">W3470*'Expenditure Study'!$B$31</f>
        <v>33033.406385280003</v>
      </c>
      <c r="AA3470" s="195">
        <f t="shared" ca="1" si="764"/>
        <v>677985.40799808002</v>
      </c>
      <c r="AB3470" s="195">
        <f t="shared" ca="1" si="765"/>
        <v>677985.40799808002</v>
      </c>
      <c r="AD3470" s="196">
        <f>IFERROR($G3470/SUMIF($A:$A,$A3470,$G:$G)*SUMIF(Summary!$A$166:$A$242,$A3470,Summary!$P$166:$P$242),0)</f>
        <v>344555.4404284996</v>
      </c>
      <c r="AE3470" s="197">
        <f t="shared" ca="1" si="766"/>
        <v>333429.96756958042</v>
      </c>
      <c r="AF3470" s="196">
        <f>IFERROR(G3470/SUMIF(A:A,A3470,G:G)*SUMIF(Summary!$A$166:$A$242,'Operations Support'!A3470,Summary!$Q$166:$Q$242),0)</f>
        <v>345705.03668709117</v>
      </c>
      <c r="AG3470" s="196">
        <f t="shared" ca="1" si="767"/>
        <v>332280.37131098885</v>
      </c>
      <c r="AI3470" s="196">
        <f>IFERROR($G3470/SUMIF($A:$A,$A3470,$G:$G)*SUMIF(Summary!$A$247:$A$283,$A3470,Summary!$P$247:$P$283),0)</f>
        <v>62838.314048987275</v>
      </c>
      <c r="AJ3470" s="196">
        <f>IFERROR($G3470/SUMIF($A:$A,$A3470,$G:$G)*(SUMIF(Summary!$A$247:$A$283,$A3470,Summary!$L$247:$L$283)+SUMIF(Summary!$A$297:$A$333,$A3470,Summary!$L$297:$L$333))-AI3470,0)</f>
        <v>522067.0839320778</v>
      </c>
      <c r="AK3470" s="196">
        <f>IFERROR($G3470/SUMIF($A:$A,$A3470,$G:$G)*SUMIF(Summary!$A$247:$A$283,$A3470,Summary!$Q$247:$Q$283),0)</f>
        <v>63047.971718699526</v>
      </c>
      <c r="AL3470" s="196">
        <f>IFERROR($G3470/SUMIF($A:$A,$A3470,$G:$G)*(SUMIF(Summary!$A$247:$A$283,$A3470,Summary!$L$247:$L$283)+SUMIF(Summary!$A$297:$A$333,$A3470,Summary!$L$297:$L$333))-AK3470,0)</f>
        <v>521857.42626236554</v>
      </c>
      <c r="AM3470" s="198"/>
      <c r="AN3470" s="196">
        <f t="shared" ca="1" si="768"/>
        <v>855497.05150165828</v>
      </c>
      <c r="AO3470" s="196">
        <f t="shared" ca="1" si="769"/>
        <v>854137.79757335433</v>
      </c>
    </row>
    <row r="3471" spans="1:41">
      <c r="A3471" s="189">
        <v>29269</v>
      </c>
      <c r="B3471" s="190">
        <v>1</v>
      </c>
      <c r="C3471" s="191" t="s">
        <v>221</v>
      </c>
      <c r="D3471" s="192">
        <f t="shared" si="756"/>
        <v>1809</v>
      </c>
      <c r="E3471" s="192">
        <f t="shared" si="757"/>
        <v>1077</v>
      </c>
      <c r="F3471" s="192">
        <f t="shared" si="758"/>
        <v>0</v>
      </c>
      <c r="G3471" s="193">
        <f t="shared" si="759"/>
        <v>2886</v>
      </c>
      <c r="H3471" s="194">
        <v>767</v>
      </c>
      <c r="I3471" s="194">
        <v>409</v>
      </c>
      <c r="J3471" s="194">
        <v>0</v>
      </c>
      <c r="K3471" s="193">
        <f t="shared" si="760"/>
        <v>1176</v>
      </c>
      <c r="L3471" s="194">
        <v>986</v>
      </c>
      <c r="M3471" s="194">
        <v>604</v>
      </c>
      <c r="N3471" s="194">
        <v>0</v>
      </c>
      <c r="O3471" s="193">
        <f t="shared" si="761"/>
        <v>1590</v>
      </c>
      <c r="P3471" s="194">
        <v>56</v>
      </c>
      <c r="Q3471" s="194">
        <v>64</v>
      </c>
      <c r="R3471" s="194">
        <v>0</v>
      </c>
      <c r="S3471" s="193">
        <f t="shared" si="762"/>
        <v>120</v>
      </c>
      <c r="T3471" s="193">
        <f t="shared" si="763"/>
        <v>96.2</v>
      </c>
      <c r="U3471" s="193">
        <f ca="1">OFFSET('Expenditure Study'!$B$7,'Operations Support'!$C3471,'Operations Support'!$B3471)*$G3471</f>
        <v>3867.2400000000002</v>
      </c>
      <c r="V3471" s="199">
        <f ca="1">U3471*'Expenditure Study'!$B$31</f>
        <v>228488.84011699201</v>
      </c>
      <c r="W3471" s="199">
        <f ca="1">IF(A3471=10298,1.51,1)*IF($B3471&lt;3,$D3471*'Expenditure Study'!$B$32*OFFSET('Expenditure Study'!$B$7,'Operations Support'!$C3471,'Operations Support'!$B3471),0)</f>
        <v>242.40600000000003</v>
      </c>
      <c r="X3471" s="200">
        <f ca="1">W3471*'Expenditure Study'!$B$31</f>
        <v>14322.117525004802</v>
      </c>
      <c r="Y3471" s="199">
        <f ca="1">U3471*'Expenditure Study'!$B$31</f>
        <v>228488.84011699201</v>
      </c>
      <c r="Z3471" s="200">
        <f ca="1">W3471*'Expenditure Study'!$B$31</f>
        <v>14322.117525004802</v>
      </c>
      <c r="AA3471" s="195">
        <f t="shared" ca="1" si="764"/>
        <v>242810.95764199682</v>
      </c>
      <c r="AB3471" s="195">
        <f t="shared" ca="1" si="765"/>
        <v>242810.95764199682</v>
      </c>
      <c r="AD3471" s="196">
        <f>IFERROR($G3471/SUMIF($A:$A,$A3471,$G:$G)*SUMIF(Summary!$A$166:$A$242,$A3471,Summary!$P$166:$P$242),0)</f>
        <v>91094.448614570356</v>
      </c>
      <c r="AE3471" s="197">
        <f t="shared" ca="1" si="766"/>
        <v>151716.50902742648</v>
      </c>
      <c r="AF3471" s="196">
        <f>IFERROR(G3471/SUMIF(A:A,A3471,G:G)*SUMIF(Summary!$A$166:$A$242,'Operations Support'!A3471,Summary!$Q$166:$Q$242),0)</f>
        <v>91398.381813754604</v>
      </c>
      <c r="AG3471" s="196">
        <f t="shared" ca="1" si="767"/>
        <v>151412.57582824223</v>
      </c>
      <c r="AI3471" s="196">
        <f>IFERROR($G3471/SUMIF($A:$A,$A3471,$G:$G)*SUMIF(Summary!$A$247:$A$283,$A3471,Summary!$P$247:$P$283),0)</f>
        <v>16613.354190672162</v>
      </c>
      <c r="AJ3471" s="196">
        <f>IFERROR($G3471/SUMIF($A:$A,$A3471,$G:$G)*(SUMIF(Summary!$A$247:$A$283,$A3471,Summary!$L$247:$L$283)+SUMIF(Summary!$A$297:$A$333,$A3471,Summary!$L$297:$L$333))-AI3471,0)</f>
        <v>138025.43094796414</v>
      </c>
      <c r="AK3471" s="196">
        <f>IFERROR($G3471/SUMIF($A:$A,$A3471,$G:$G)*SUMIF(Summary!$A$247:$A$283,$A3471,Summary!$Q$247:$Q$283),0)</f>
        <v>16668.784021634925</v>
      </c>
      <c r="AL3471" s="196">
        <f>IFERROR($G3471/SUMIF($A:$A,$A3471,$G:$G)*(SUMIF(Summary!$A$247:$A$283,$A3471,Summary!$L$247:$L$283)+SUMIF(Summary!$A$297:$A$333,$A3471,Summary!$L$297:$L$333))-AK3471,0)</f>
        <v>137970.00111700137</v>
      </c>
      <c r="AM3471" s="198"/>
      <c r="AN3471" s="196">
        <f t="shared" ca="1" si="768"/>
        <v>289741.93997539062</v>
      </c>
      <c r="AO3471" s="196">
        <f t="shared" ca="1" si="769"/>
        <v>289382.57694524364</v>
      </c>
    </row>
    <row r="3472" spans="1:41">
      <c r="A3472" s="189">
        <v>29269</v>
      </c>
      <c r="B3472" s="190">
        <v>1</v>
      </c>
      <c r="C3472" s="191" t="s">
        <v>222</v>
      </c>
      <c r="D3472" s="192">
        <f t="shared" si="756"/>
        <v>180</v>
      </c>
      <c r="E3472" s="192">
        <f t="shared" si="757"/>
        <v>378</v>
      </c>
      <c r="F3472" s="192">
        <f t="shared" si="758"/>
        <v>0</v>
      </c>
      <c r="G3472" s="193">
        <f t="shared" si="759"/>
        <v>558</v>
      </c>
      <c r="H3472" s="194">
        <v>39</v>
      </c>
      <c r="I3472" s="194">
        <v>204</v>
      </c>
      <c r="J3472" s="194">
        <v>0</v>
      </c>
      <c r="K3472" s="193">
        <f t="shared" si="760"/>
        <v>243</v>
      </c>
      <c r="L3472" s="194">
        <v>141</v>
      </c>
      <c r="M3472" s="194">
        <v>135</v>
      </c>
      <c r="N3472" s="194">
        <v>0</v>
      </c>
      <c r="O3472" s="193">
        <f t="shared" si="761"/>
        <v>276</v>
      </c>
      <c r="P3472" s="194">
        <v>0</v>
      </c>
      <c r="Q3472" s="194">
        <v>39</v>
      </c>
      <c r="R3472" s="194">
        <v>0</v>
      </c>
      <c r="S3472" s="193">
        <f t="shared" si="762"/>
        <v>39</v>
      </c>
      <c r="T3472" s="193">
        <f t="shared" si="763"/>
        <v>18.600000000000001</v>
      </c>
      <c r="U3472" s="193">
        <f ca="1">OFFSET('Expenditure Study'!$B$7,'Operations Support'!$C3472,'Operations Support'!$B3472)*$G3472</f>
        <v>764.46</v>
      </c>
      <c r="V3472" s="199">
        <f ca="1">U3472*'Expenditure Study'!$B$31</f>
        <v>45166.728394368001</v>
      </c>
      <c r="W3472" s="199">
        <f ca="1">IF(A3472=10298,1.51,1)*IF($B3472&lt;3,$D3472*'Expenditure Study'!$B$32*OFFSET('Expenditure Study'!$B$7,'Operations Support'!$C3472,'Operations Support'!$B3472),0)</f>
        <v>24.660000000000004</v>
      </c>
      <c r="X3472" s="200">
        <f ca="1">W3472*'Expenditure Study'!$B$31</f>
        <v>1456.9912385280002</v>
      </c>
      <c r="Y3472" s="199">
        <f ca="1">U3472*'Expenditure Study'!$B$31</f>
        <v>45166.728394368001</v>
      </c>
      <c r="Z3472" s="200">
        <f ca="1">W3472*'Expenditure Study'!$B$31</f>
        <v>1456.9912385280002</v>
      </c>
      <c r="AA3472" s="195">
        <f t="shared" ca="1" si="764"/>
        <v>46623.719632895998</v>
      </c>
      <c r="AB3472" s="195">
        <f t="shared" ca="1" si="765"/>
        <v>46623.719632895998</v>
      </c>
      <c r="AD3472" s="196">
        <f>IFERROR($G3472/SUMIF($A:$A,$A3472,$G:$G)*SUMIF(Summary!$A$166:$A$242,$A3472,Summary!$P$166:$P$242),0)</f>
        <v>17612.855969137305</v>
      </c>
      <c r="AE3472" s="197">
        <f t="shared" ca="1" si="766"/>
        <v>29010.863663758693</v>
      </c>
      <c r="AF3472" s="196">
        <f>IFERROR(G3472/SUMIF(A:A,A3472,G:G)*SUMIF(Summary!$A$166:$A$242,'Operations Support'!A3472,Summary!$Q$166:$Q$242),0)</f>
        <v>17671.62060016461</v>
      </c>
      <c r="AG3472" s="196">
        <f t="shared" ca="1" si="767"/>
        <v>28952.099032731388</v>
      </c>
      <c r="AI3472" s="196">
        <f>IFERROR($G3472/SUMIF($A:$A,$A3472,$G:$G)*SUMIF(Summary!$A$247:$A$283,$A3472,Summary!$P$247:$P$283),0)</f>
        <v>3212.1454048492951</v>
      </c>
      <c r="AJ3472" s="196">
        <f>IFERROR($G3472/SUMIF($A:$A,$A3472,$G:$G)*(SUMIF(Summary!$A$247:$A$283,$A3472,Summary!$L$247:$L$283)+SUMIF(Summary!$A$297:$A$333,$A3472,Summary!$L$297:$L$333))-AI3472,0)</f>
        <v>26686.829684325705</v>
      </c>
      <c r="AK3472" s="196">
        <f>IFERROR($G3472/SUMIF($A:$A,$A3472,$G:$G)*SUMIF(Summary!$A$247:$A$283,$A3472,Summary!$Q$247:$Q$283),0)</f>
        <v>3222.8626070936552</v>
      </c>
      <c r="AL3472" s="196">
        <f>IFERROR($G3472/SUMIF($A:$A,$A3472,$G:$G)*(SUMIF(Summary!$A$247:$A$283,$A3472,Summary!$L$247:$L$283)+SUMIF(Summary!$A$297:$A$333,$A3472,Summary!$L$297:$L$333))-AK3472,0)</f>
        <v>26676.112482081346</v>
      </c>
      <c r="AM3472" s="198"/>
      <c r="AN3472" s="196">
        <f t="shared" ca="1" si="768"/>
        <v>55697.693348084402</v>
      </c>
      <c r="AO3472" s="196">
        <f t="shared" ca="1" si="769"/>
        <v>55628.211514812734</v>
      </c>
    </row>
    <row r="3473" spans="1:41">
      <c r="A3473" s="189">
        <v>29269</v>
      </c>
      <c r="B3473" s="190">
        <v>1</v>
      </c>
      <c r="C3473" s="191" t="s">
        <v>223</v>
      </c>
      <c r="D3473" s="192">
        <f t="shared" si="756"/>
        <v>24</v>
      </c>
      <c r="E3473" s="192">
        <f t="shared" si="757"/>
        <v>132</v>
      </c>
      <c r="F3473" s="192">
        <f t="shared" si="758"/>
        <v>0</v>
      </c>
      <c r="G3473" s="193">
        <f t="shared" si="759"/>
        <v>156</v>
      </c>
      <c r="H3473" s="194">
        <v>15</v>
      </c>
      <c r="I3473" s="194">
        <v>63</v>
      </c>
      <c r="J3473" s="194">
        <v>0</v>
      </c>
      <c r="K3473" s="193">
        <f t="shared" si="760"/>
        <v>78</v>
      </c>
      <c r="L3473" s="194">
        <v>6</v>
      </c>
      <c r="M3473" s="194">
        <v>63</v>
      </c>
      <c r="N3473" s="194">
        <v>0</v>
      </c>
      <c r="O3473" s="193">
        <f t="shared" si="761"/>
        <v>69</v>
      </c>
      <c r="P3473" s="194">
        <v>3</v>
      </c>
      <c r="Q3473" s="194">
        <v>6</v>
      </c>
      <c r="R3473" s="194">
        <v>0</v>
      </c>
      <c r="S3473" s="193">
        <f t="shared" si="762"/>
        <v>9</v>
      </c>
      <c r="T3473" s="193">
        <f t="shared" si="763"/>
        <v>5.2</v>
      </c>
      <c r="U3473" s="193">
        <f ca="1">OFFSET('Expenditure Study'!$B$7,'Operations Support'!$C3473,'Operations Support'!$B3473)*$G3473</f>
        <v>196.56</v>
      </c>
      <c r="V3473" s="199">
        <f ca="1">U3473*'Expenditure Study'!$B$31</f>
        <v>11613.390018048</v>
      </c>
      <c r="W3473" s="199">
        <f ca="1">IF(A3473=10298,1.51,1)*IF($B3473&lt;3,$D3473*'Expenditure Study'!$B$32*OFFSET('Expenditure Study'!$B$7,'Operations Support'!$C3473,'Operations Support'!$B3473),0)</f>
        <v>3.0240000000000005</v>
      </c>
      <c r="X3473" s="200">
        <f ca="1">W3473*'Expenditure Study'!$B$31</f>
        <v>178.66753873920004</v>
      </c>
      <c r="Y3473" s="199">
        <f ca="1">U3473*'Expenditure Study'!$B$31</f>
        <v>11613.390018048</v>
      </c>
      <c r="Z3473" s="200">
        <f ca="1">W3473*'Expenditure Study'!$B$31</f>
        <v>178.66753873920004</v>
      </c>
      <c r="AA3473" s="195">
        <f t="shared" ca="1" si="764"/>
        <v>11792.0575567872</v>
      </c>
      <c r="AB3473" s="195">
        <f t="shared" ca="1" si="765"/>
        <v>11792.0575567872</v>
      </c>
      <c r="AD3473" s="196">
        <f>IFERROR($G3473/SUMIF($A:$A,$A3473,$G:$G)*SUMIF(Summary!$A$166:$A$242,$A3473,Summary!$P$166:$P$242),0)</f>
        <v>4924.0242494362346</v>
      </c>
      <c r="AE3473" s="197">
        <f t="shared" ca="1" si="766"/>
        <v>6868.0333073509655</v>
      </c>
      <c r="AF3473" s="196">
        <f>IFERROR(G3473/SUMIF(A:A,A3473,G:G)*SUMIF(Summary!$A$166:$A$242,'Operations Support'!A3473,Summary!$Q$166:$Q$242),0)</f>
        <v>4940.4530710137615</v>
      </c>
      <c r="AG3473" s="196">
        <f t="shared" ca="1" si="767"/>
        <v>6851.6044857734387</v>
      </c>
      <c r="AI3473" s="196">
        <f>IFERROR($G3473/SUMIF($A:$A,$A3473,$G:$G)*SUMIF(Summary!$A$247:$A$283,$A3473,Summary!$P$247:$P$283),0)</f>
        <v>898.01914544173837</v>
      </c>
      <c r="AJ3473" s="196">
        <f>IFERROR($G3473/SUMIF($A:$A,$A3473,$G:$G)*(SUMIF(Summary!$A$247:$A$283,$A3473,Summary!$L$247:$L$283)+SUMIF(Summary!$A$297:$A$333,$A3473,Summary!$L$297:$L$333))-AI3473,0)</f>
        <v>7460.8341052953583</v>
      </c>
      <c r="AK3473" s="196">
        <f>IFERROR($G3473/SUMIF($A:$A,$A3473,$G:$G)*SUMIF(Summary!$A$247:$A$283,$A3473,Summary!$Q$247:$Q$283),0)</f>
        <v>901.0153525208068</v>
      </c>
      <c r="AL3473" s="196">
        <f>IFERROR($G3473/SUMIF($A:$A,$A3473,$G:$G)*(SUMIF(Summary!$A$247:$A$283,$A3473,Summary!$L$247:$L$283)+SUMIF(Summary!$A$297:$A$333,$A3473,Summary!$L$297:$L$333))-AK3473,0)</f>
        <v>7457.8378982162894</v>
      </c>
      <c r="AM3473" s="198"/>
      <c r="AN3473" s="196">
        <f t="shared" ca="1" si="768"/>
        <v>14328.867412646323</v>
      </c>
      <c r="AO3473" s="196">
        <f t="shared" ca="1" si="769"/>
        <v>14309.442383989728</v>
      </c>
    </row>
    <row r="3474" spans="1:41">
      <c r="A3474" s="189">
        <v>29269</v>
      </c>
      <c r="B3474" s="190">
        <v>1</v>
      </c>
      <c r="C3474" s="191" t="s">
        <v>224</v>
      </c>
      <c r="D3474" s="192">
        <f t="shared" si="756"/>
        <v>0</v>
      </c>
      <c r="E3474" s="192">
        <f t="shared" si="757"/>
        <v>0</v>
      </c>
      <c r="F3474" s="192">
        <f t="shared" si="758"/>
        <v>0</v>
      </c>
      <c r="G3474" s="193">
        <f t="shared" si="759"/>
        <v>0</v>
      </c>
      <c r="H3474" s="194">
        <v>0</v>
      </c>
      <c r="I3474" s="194">
        <v>0</v>
      </c>
      <c r="J3474" s="194">
        <v>0</v>
      </c>
      <c r="K3474" s="193">
        <f t="shared" si="760"/>
        <v>0</v>
      </c>
      <c r="L3474" s="194">
        <v>0</v>
      </c>
      <c r="M3474" s="194">
        <v>0</v>
      </c>
      <c r="N3474" s="194">
        <v>0</v>
      </c>
      <c r="O3474" s="193">
        <f t="shared" si="761"/>
        <v>0</v>
      </c>
      <c r="P3474" s="194">
        <v>0</v>
      </c>
      <c r="Q3474" s="194">
        <v>0</v>
      </c>
      <c r="R3474" s="194">
        <v>0</v>
      </c>
      <c r="S3474" s="193">
        <f t="shared" si="762"/>
        <v>0</v>
      </c>
      <c r="T3474" s="193">
        <f t="shared" si="763"/>
        <v>0</v>
      </c>
      <c r="U3474" s="193">
        <f ca="1">OFFSET('Expenditure Study'!$B$7,'Operations Support'!$C3474,'Operations Support'!$B3474)*$G3474</f>
        <v>0</v>
      </c>
      <c r="V3474" s="199">
        <f ca="1">U3474*'Expenditure Study'!$B$31</f>
        <v>0</v>
      </c>
      <c r="W3474" s="199">
        <f ca="1">IF(A3474=10298,1.51,1)*IF($B3474&lt;3,$D3474*'Expenditure Study'!$B$32*OFFSET('Expenditure Study'!$B$7,'Operations Support'!$C3474,'Operations Support'!$B3474),0)</f>
        <v>0</v>
      </c>
      <c r="X3474" s="200">
        <f ca="1">W3474*'Expenditure Study'!$B$31</f>
        <v>0</v>
      </c>
      <c r="Y3474" s="199">
        <f ca="1">U3474*'Expenditure Study'!$B$31</f>
        <v>0</v>
      </c>
      <c r="Z3474" s="200">
        <f ca="1">W3474*'Expenditure Study'!$B$31</f>
        <v>0</v>
      </c>
      <c r="AA3474" s="195">
        <f t="shared" ca="1" si="764"/>
        <v>0</v>
      </c>
      <c r="AB3474" s="195">
        <f t="shared" ca="1" si="765"/>
        <v>0</v>
      </c>
      <c r="AD3474" s="196">
        <f>IFERROR($G3474/SUMIF($A:$A,$A3474,$G:$G)*SUMIF(Summary!$A$166:$A$242,$A3474,Summary!$P$166:$P$242),0)</f>
        <v>0</v>
      </c>
      <c r="AE3474" s="197">
        <f t="shared" ca="1" si="766"/>
        <v>0</v>
      </c>
      <c r="AF3474" s="196">
        <f>IFERROR(G3474/SUMIF(A:A,A3474,G:G)*SUMIF(Summary!$A$166:$A$242,'Operations Support'!A3474,Summary!$Q$166:$Q$242),0)</f>
        <v>0</v>
      </c>
      <c r="AG3474" s="196">
        <f t="shared" ca="1" si="767"/>
        <v>0</v>
      </c>
      <c r="AI3474" s="196">
        <f>IFERROR($G3474/SUMIF($A:$A,$A3474,$G:$G)*SUMIF(Summary!$A$247:$A$283,$A3474,Summary!$P$247:$P$283),0)</f>
        <v>0</v>
      </c>
      <c r="AJ3474" s="196">
        <f>IFERROR($G3474/SUMIF($A:$A,$A3474,$G:$G)*(SUMIF(Summary!$A$247:$A$283,$A3474,Summary!$L$247:$L$283)+SUMIF(Summary!$A$297:$A$333,$A3474,Summary!$L$297:$L$333))-AI3474,0)</f>
        <v>0</v>
      </c>
      <c r="AK3474" s="196">
        <f>IFERROR($G3474/SUMIF($A:$A,$A3474,$G:$G)*SUMIF(Summary!$A$247:$A$283,$A3474,Summary!$Q$247:$Q$283),0)</f>
        <v>0</v>
      </c>
      <c r="AL3474" s="196">
        <f>IFERROR($G3474/SUMIF($A:$A,$A3474,$G:$G)*(SUMIF(Summary!$A$247:$A$283,$A3474,Summary!$L$247:$L$283)+SUMIF(Summary!$A$297:$A$333,$A3474,Summary!$L$297:$L$333))-AK3474,0)</f>
        <v>0</v>
      </c>
      <c r="AM3474" s="198"/>
      <c r="AN3474" s="196">
        <f t="shared" ca="1" si="768"/>
        <v>0</v>
      </c>
      <c r="AO3474" s="196">
        <f t="shared" ca="1" si="769"/>
        <v>0</v>
      </c>
    </row>
    <row r="3475" spans="1:41">
      <c r="A3475" s="189">
        <v>29269</v>
      </c>
      <c r="B3475" s="190">
        <v>1</v>
      </c>
      <c r="C3475" s="191" t="s">
        <v>225</v>
      </c>
      <c r="D3475" s="192">
        <f t="shared" si="756"/>
        <v>221</v>
      </c>
      <c r="E3475" s="192">
        <f t="shared" si="757"/>
        <v>399</v>
      </c>
      <c r="F3475" s="192">
        <f t="shared" si="758"/>
        <v>0</v>
      </c>
      <c r="G3475" s="193">
        <f t="shared" si="759"/>
        <v>620</v>
      </c>
      <c r="H3475" s="194">
        <v>130</v>
      </c>
      <c r="I3475" s="194">
        <v>190</v>
      </c>
      <c r="J3475" s="194">
        <v>0</v>
      </c>
      <c r="K3475" s="193">
        <f t="shared" si="760"/>
        <v>320</v>
      </c>
      <c r="L3475" s="194">
        <v>88</v>
      </c>
      <c r="M3475" s="194">
        <v>200</v>
      </c>
      <c r="N3475" s="194">
        <v>0</v>
      </c>
      <c r="O3475" s="193">
        <f t="shared" si="761"/>
        <v>288</v>
      </c>
      <c r="P3475" s="194">
        <v>3</v>
      </c>
      <c r="Q3475" s="194">
        <v>9</v>
      </c>
      <c r="R3475" s="194">
        <v>0</v>
      </c>
      <c r="S3475" s="193">
        <f t="shared" si="762"/>
        <v>12</v>
      </c>
      <c r="T3475" s="193">
        <f t="shared" si="763"/>
        <v>20.666666666666668</v>
      </c>
      <c r="U3475" s="193">
        <f ca="1">OFFSET('Expenditure Study'!$B$7,'Operations Support'!$C3475,'Operations Support'!$B3475)*$G3475</f>
        <v>1091.2</v>
      </c>
      <c r="V3475" s="199">
        <f ca="1">U3475*'Expenditure Study'!$B$31</f>
        <v>64471.566888960006</v>
      </c>
      <c r="W3475" s="199">
        <f ca="1">IF(A3475=10298,1.51,1)*IF($B3475&lt;3,$D3475*'Expenditure Study'!$B$32*OFFSET('Expenditure Study'!$B$7,'Operations Support'!$C3475,'Operations Support'!$B3475),0)</f>
        <v>38.896000000000001</v>
      </c>
      <c r="X3475" s="200">
        <f ca="1">W3475*'Expenditure Study'!$B$31</f>
        <v>2298.0994003967999</v>
      </c>
      <c r="Y3475" s="199">
        <f ca="1">U3475*'Expenditure Study'!$B$31</f>
        <v>64471.566888960006</v>
      </c>
      <c r="Z3475" s="200">
        <f ca="1">W3475*'Expenditure Study'!$B$31</f>
        <v>2298.0994003967999</v>
      </c>
      <c r="AA3475" s="195">
        <f t="shared" ca="1" si="764"/>
        <v>66769.666289356799</v>
      </c>
      <c r="AB3475" s="195">
        <f t="shared" ca="1" si="765"/>
        <v>66769.666289356799</v>
      </c>
      <c r="AD3475" s="196">
        <f>IFERROR($G3475/SUMIF($A:$A,$A3475,$G:$G)*SUMIF(Summary!$A$166:$A$242,$A3475,Summary!$P$166:$P$242),0)</f>
        <v>19569.839965708114</v>
      </c>
      <c r="AE3475" s="197">
        <f t="shared" ca="1" si="766"/>
        <v>47199.826323648682</v>
      </c>
      <c r="AF3475" s="196">
        <f>IFERROR(G3475/SUMIF(A:A,A3475,G:G)*SUMIF(Summary!$A$166:$A$242,'Operations Support'!A3475,Summary!$Q$166:$Q$242),0)</f>
        <v>19635.134000182901</v>
      </c>
      <c r="AG3475" s="196">
        <f t="shared" ca="1" si="767"/>
        <v>47134.532289173898</v>
      </c>
      <c r="AI3475" s="196">
        <f>IFERROR($G3475/SUMIF($A:$A,$A3475,$G:$G)*SUMIF(Summary!$A$247:$A$283,$A3475,Summary!$P$247:$P$283),0)</f>
        <v>3569.0504498325499</v>
      </c>
      <c r="AJ3475" s="196">
        <f>IFERROR($G3475/SUMIF($A:$A,$A3475,$G:$G)*(SUMIF(Summary!$A$247:$A$283,$A3475,Summary!$L$247:$L$283)+SUMIF(Summary!$A$297:$A$333,$A3475,Summary!$L$297:$L$333))-AI3475,0)</f>
        <v>29652.032982584115</v>
      </c>
      <c r="AK3475" s="196">
        <f>IFERROR($G3475/SUMIF($A:$A,$A3475,$G:$G)*SUMIF(Summary!$A$247:$A$283,$A3475,Summary!$Q$247:$Q$283),0)</f>
        <v>3580.9584523262833</v>
      </c>
      <c r="AL3475" s="196">
        <f>IFERROR($G3475/SUMIF($A:$A,$A3475,$G:$G)*(SUMIF(Summary!$A$247:$A$283,$A3475,Summary!$L$247:$L$283)+SUMIF(Summary!$A$297:$A$333,$A3475,Summary!$L$297:$L$333))-AK3475,0)</f>
        <v>29640.124980090382</v>
      </c>
      <c r="AM3475" s="198"/>
      <c r="AN3475" s="196">
        <f t="shared" ca="1" si="768"/>
        <v>76851.8593062328</v>
      </c>
      <c r="AO3475" s="196">
        <f t="shared" ca="1" si="769"/>
        <v>76774.65726926428</v>
      </c>
    </row>
    <row r="3476" spans="1:41">
      <c r="A3476" s="189">
        <v>29269</v>
      </c>
      <c r="B3476" s="190">
        <v>1</v>
      </c>
      <c r="C3476" s="191" t="s">
        <v>226</v>
      </c>
      <c r="D3476" s="192">
        <f t="shared" si="756"/>
        <v>0</v>
      </c>
      <c r="E3476" s="192">
        <f t="shared" si="757"/>
        <v>3</v>
      </c>
      <c r="F3476" s="192">
        <f t="shared" si="758"/>
        <v>0</v>
      </c>
      <c r="G3476" s="193">
        <f t="shared" si="759"/>
        <v>3</v>
      </c>
      <c r="H3476" s="194">
        <v>0</v>
      </c>
      <c r="I3476" s="194">
        <v>0</v>
      </c>
      <c r="J3476" s="194">
        <v>0</v>
      </c>
      <c r="K3476" s="193">
        <f t="shared" si="760"/>
        <v>0</v>
      </c>
      <c r="L3476" s="194">
        <v>0</v>
      </c>
      <c r="M3476" s="194">
        <v>3</v>
      </c>
      <c r="N3476" s="194">
        <v>0</v>
      </c>
      <c r="O3476" s="193">
        <f t="shared" si="761"/>
        <v>3</v>
      </c>
      <c r="P3476" s="194">
        <v>0</v>
      </c>
      <c r="Q3476" s="194">
        <v>0</v>
      </c>
      <c r="R3476" s="194">
        <v>0</v>
      </c>
      <c r="S3476" s="193">
        <f t="shared" si="762"/>
        <v>0</v>
      </c>
      <c r="T3476" s="193">
        <f t="shared" si="763"/>
        <v>0.1</v>
      </c>
      <c r="U3476" s="193">
        <f ca="1">OFFSET('Expenditure Study'!$B$7,'Operations Support'!$C3476,'Operations Support'!$B3476)*$G3476</f>
        <v>2.8499999999999996</v>
      </c>
      <c r="V3476" s="199">
        <f ca="1">U3476*'Expenditure Study'!$B$31</f>
        <v>168.38706527999997</v>
      </c>
      <c r="W3476" s="199">
        <f ca="1">IF(A3476=10298,1.51,1)*IF($B3476&lt;3,$D3476*'Expenditure Study'!$B$32*OFFSET('Expenditure Study'!$B$7,'Operations Support'!$C3476,'Operations Support'!$B3476),0)</f>
        <v>0</v>
      </c>
      <c r="X3476" s="200">
        <f ca="1">W3476*'Expenditure Study'!$B$31</f>
        <v>0</v>
      </c>
      <c r="Y3476" s="199">
        <f ca="1">U3476*'Expenditure Study'!$B$31</f>
        <v>168.38706527999997</v>
      </c>
      <c r="Z3476" s="200">
        <f ca="1">W3476*'Expenditure Study'!$B$31</f>
        <v>0</v>
      </c>
      <c r="AA3476" s="195">
        <f t="shared" ca="1" si="764"/>
        <v>168.38706527999997</v>
      </c>
      <c r="AB3476" s="195">
        <f t="shared" ca="1" si="765"/>
        <v>168.38706527999997</v>
      </c>
      <c r="AD3476" s="196">
        <f>IFERROR($G3476/SUMIF($A:$A,$A3476,$G:$G)*SUMIF(Summary!$A$166:$A$242,$A3476,Summary!$P$166:$P$242),0)</f>
        <v>94.692774027619905</v>
      </c>
      <c r="AE3476" s="197">
        <f t="shared" ca="1" si="766"/>
        <v>73.694291252380069</v>
      </c>
      <c r="AF3476" s="196">
        <f>IFERROR(G3476/SUMIF(A:A,A3476,G:G)*SUMIF(Summary!$A$166:$A$242,'Operations Support'!A3476,Summary!$Q$166:$Q$242),0)</f>
        <v>95.008712904110794</v>
      </c>
      <c r="AG3476" s="196">
        <f t="shared" ca="1" si="767"/>
        <v>73.378352375889179</v>
      </c>
      <c r="AI3476" s="196">
        <f>IFERROR($G3476/SUMIF($A:$A,$A3476,$G:$G)*SUMIF(Summary!$A$247:$A$283,$A3476,Summary!$P$247:$P$283),0)</f>
        <v>17.26959895080266</v>
      </c>
      <c r="AJ3476" s="196">
        <f>IFERROR($G3476/SUMIF($A:$A,$A3476,$G:$G)*(SUMIF(Summary!$A$247:$A$283,$A3476,Summary!$L$247:$L$283)+SUMIF(Summary!$A$297:$A$333,$A3476,Summary!$L$297:$L$333))-AI3476,0)</f>
        <v>143.47757894798764</v>
      </c>
      <c r="AK3476" s="196">
        <f>IFERROR($G3476/SUMIF($A:$A,$A3476,$G:$G)*SUMIF(Summary!$A$247:$A$283,$A3476,Summary!$Q$247:$Q$283),0)</f>
        <v>17.327218317707821</v>
      </c>
      <c r="AL3476" s="196">
        <f>IFERROR($G3476/SUMIF($A:$A,$A3476,$G:$G)*(SUMIF(Summary!$A$247:$A$283,$A3476,Summary!$L$247:$L$283)+SUMIF(Summary!$A$297:$A$333,$A3476,Summary!$L$297:$L$333))-AK3476,0)</f>
        <v>143.41995958108248</v>
      </c>
      <c r="AM3476" s="198"/>
      <c r="AN3476" s="196">
        <f t="shared" ca="1" si="768"/>
        <v>217.17187020036772</v>
      </c>
      <c r="AO3476" s="196">
        <f t="shared" ca="1" si="769"/>
        <v>216.79831195697165</v>
      </c>
    </row>
    <row r="3477" spans="1:41">
      <c r="A3477" s="189">
        <v>29269</v>
      </c>
      <c r="B3477" s="190">
        <v>1</v>
      </c>
      <c r="C3477" s="191" t="s">
        <v>227</v>
      </c>
      <c r="D3477" s="192">
        <f t="shared" si="756"/>
        <v>0</v>
      </c>
      <c r="E3477" s="192">
        <f t="shared" si="757"/>
        <v>0</v>
      </c>
      <c r="F3477" s="192">
        <f t="shared" si="758"/>
        <v>0</v>
      </c>
      <c r="G3477" s="193">
        <f t="shared" si="759"/>
        <v>0</v>
      </c>
      <c r="H3477" s="194">
        <v>0</v>
      </c>
      <c r="I3477" s="194">
        <v>0</v>
      </c>
      <c r="J3477" s="194">
        <v>0</v>
      </c>
      <c r="K3477" s="193">
        <f t="shared" si="760"/>
        <v>0</v>
      </c>
      <c r="L3477" s="194">
        <v>0</v>
      </c>
      <c r="M3477" s="194">
        <v>0</v>
      </c>
      <c r="N3477" s="194">
        <v>0</v>
      </c>
      <c r="O3477" s="193">
        <f t="shared" si="761"/>
        <v>0</v>
      </c>
      <c r="P3477" s="194">
        <v>0</v>
      </c>
      <c r="Q3477" s="194">
        <v>0</v>
      </c>
      <c r="R3477" s="194">
        <v>0</v>
      </c>
      <c r="S3477" s="193">
        <f t="shared" si="762"/>
        <v>0</v>
      </c>
      <c r="T3477" s="193">
        <f t="shared" si="763"/>
        <v>0</v>
      </c>
      <c r="U3477" s="193">
        <f ca="1">OFFSET('Expenditure Study'!$B$7,'Operations Support'!$C3477,'Operations Support'!$B3477)*$G3477</f>
        <v>0</v>
      </c>
      <c r="V3477" s="199">
        <f ca="1">U3477*'Expenditure Study'!$B$31</f>
        <v>0</v>
      </c>
      <c r="W3477" s="199">
        <f ca="1">IF(A3477=10298,1.51,1)*IF($B3477&lt;3,$D3477*'Expenditure Study'!$B$32*OFFSET('Expenditure Study'!$B$7,'Operations Support'!$C3477,'Operations Support'!$B3477),0)</f>
        <v>0</v>
      </c>
      <c r="X3477" s="200">
        <f ca="1">W3477*'Expenditure Study'!$B$31</f>
        <v>0</v>
      </c>
      <c r="Y3477" s="199">
        <f ca="1">U3477*'Expenditure Study'!$B$31</f>
        <v>0</v>
      </c>
      <c r="Z3477" s="200">
        <f ca="1">W3477*'Expenditure Study'!$B$31</f>
        <v>0</v>
      </c>
      <c r="AA3477" s="195">
        <f t="shared" ca="1" si="764"/>
        <v>0</v>
      </c>
      <c r="AB3477" s="195">
        <f t="shared" ca="1" si="765"/>
        <v>0</v>
      </c>
      <c r="AD3477" s="196">
        <f>IFERROR($G3477/SUMIF($A:$A,$A3477,$G:$G)*SUMIF(Summary!$A$166:$A$242,$A3477,Summary!$P$166:$P$242),0)</f>
        <v>0</v>
      </c>
      <c r="AE3477" s="197">
        <f t="shared" ca="1" si="766"/>
        <v>0</v>
      </c>
      <c r="AF3477" s="196">
        <f>IFERROR(G3477/SUMIF(A:A,A3477,G:G)*SUMIF(Summary!$A$166:$A$242,'Operations Support'!A3477,Summary!$Q$166:$Q$242),0)</f>
        <v>0</v>
      </c>
      <c r="AG3477" s="196">
        <f t="shared" ca="1" si="767"/>
        <v>0</v>
      </c>
      <c r="AI3477" s="196">
        <f>IFERROR($G3477/SUMIF($A:$A,$A3477,$G:$G)*SUMIF(Summary!$A$247:$A$283,$A3477,Summary!$P$247:$P$283),0)</f>
        <v>0</v>
      </c>
      <c r="AJ3477" s="196">
        <f>IFERROR($G3477/SUMIF($A:$A,$A3477,$G:$G)*(SUMIF(Summary!$A$247:$A$283,$A3477,Summary!$L$247:$L$283)+SUMIF(Summary!$A$297:$A$333,$A3477,Summary!$L$297:$L$333))-AI3477,0)</f>
        <v>0</v>
      </c>
      <c r="AK3477" s="196">
        <f>IFERROR($G3477/SUMIF($A:$A,$A3477,$G:$G)*SUMIF(Summary!$A$247:$A$283,$A3477,Summary!$Q$247:$Q$283),0)</f>
        <v>0</v>
      </c>
      <c r="AL3477" s="196">
        <f>IFERROR($G3477/SUMIF($A:$A,$A3477,$G:$G)*(SUMIF(Summary!$A$247:$A$283,$A3477,Summary!$L$247:$L$283)+SUMIF(Summary!$A$297:$A$333,$A3477,Summary!$L$297:$L$333))-AK3477,0)</f>
        <v>0</v>
      </c>
      <c r="AM3477" s="198"/>
      <c r="AN3477" s="196">
        <f t="shared" ca="1" si="768"/>
        <v>0</v>
      </c>
      <c r="AO3477" s="196">
        <f t="shared" ca="1" si="769"/>
        <v>0</v>
      </c>
    </row>
    <row r="3478" spans="1:41">
      <c r="A3478" s="189">
        <v>29269</v>
      </c>
      <c r="B3478" s="190">
        <v>1</v>
      </c>
      <c r="C3478" s="191" t="s">
        <v>228</v>
      </c>
      <c r="D3478" s="192">
        <f t="shared" si="756"/>
        <v>21</v>
      </c>
      <c r="E3478" s="192">
        <f t="shared" si="757"/>
        <v>30</v>
      </c>
      <c r="F3478" s="192">
        <f t="shared" si="758"/>
        <v>0</v>
      </c>
      <c r="G3478" s="193">
        <f t="shared" si="759"/>
        <v>51</v>
      </c>
      <c r="H3478" s="194">
        <v>3</v>
      </c>
      <c r="I3478" s="194">
        <v>9</v>
      </c>
      <c r="J3478" s="194">
        <v>0</v>
      </c>
      <c r="K3478" s="193">
        <f t="shared" si="760"/>
        <v>12</v>
      </c>
      <c r="L3478" s="194">
        <v>6</v>
      </c>
      <c r="M3478" s="194">
        <v>21</v>
      </c>
      <c r="N3478" s="194">
        <v>0</v>
      </c>
      <c r="O3478" s="193">
        <f t="shared" si="761"/>
        <v>27</v>
      </c>
      <c r="P3478" s="194">
        <v>12</v>
      </c>
      <c r="Q3478" s="194">
        <v>0</v>
      </c>
      <c r="R3478" s="194">
        <v>0</v>
      </c>
      <c r="S3478" s="193">
        <f t="shared" si="762"/>
        <v>12</v>
      </c>
      <c r="T3478" s="193">
        <f t="shared" si="763"/>
        <v>1.7</v>
      </c>
      <c r="U3478" s="193">
        <f ca="1">OFFSET('Expenditure Study'!$B$7,'Operations Support'!$C3478,'Operations Support'!$B3478)*$G3478</f>
        <v>80.58</v>
      </c>
      <c r="V3478" s="199">
        <f ca="1">U3478*'Expenditure Study'!$B$31</f>
        <v>4760.922708864</v>
      </c>
      <c r="W3478" s="199">
        <f ca="1">IF(A3478=10298,1.51,1)*IF($B3478&lt;3,$D3478*'Expenditure Study'!$B$32*OFFSET('Expenditure Study'!$B$7,'Operations Support'!$C3478,'Operations Support'!$B3478),0)</f>
        <v>3.3180000000000005</v>
      </c>
      <c r="X3478" s="200">
        <f ca="1">W3478*'Expenditure Study'!$B$31</f>
        <v>196.03799389440005</v>
      </c>
      <c r="Y3478" s="199">
        <f ca="1">U3478*'Expenditure Study'!$B$31</f>
        <v>4760.922708864</v>
      </c>
      <c r="Z3478" s="200">
        <f ca="1">W3478*'Expenditure Study'!$B$31</f>
        <v>196.03799389440005</v>
      </c>
      <c r="AA3478" s="195">
        <f t="shared" ca="1" si="764"/>
        <v>4956.9607027583997</v>
      </c>
      <c r="AB3478" s="195">
        <f t="shared" ca="1" si="765"/>
        <v>4956.9607027583997</v>
      </c>
      <c r="AD3478" s="196">
        <f>IFERROR($G3478/SUMIF($A:$A,$A3478,$G:$G)*SUMIF(Summary!$A$166:$A$242,$A3478,Summary!$P$166:$P$242),0)</f>
        <v>1609.7771584695386</v>
      </c>
      <c r="AE3478" s="197">
        <f t="shared" ca="1" si="766"/>
        <v>3347.1835442888614</v>
      </c>
      <c r="AF3478" s="196">
        <f>IFERROR(G3478/SUMIF(A:A,A3478,G:G)*SUMIF(Summary!$A$166:$A$242,'Operations Support'!A3478,Summary!$Q$166:$Q$242),0)</f>
        <v>1615.1481193698837</v>
      </c>
      <c r="AG3478" s="196">
        <f t="shared" ca="1" si="767"/>
        <v>3341.812583388516</v>
      </c>
      <c r="AI3478" s="196">
        <f>IFERROR($G3478/SUMIF($A:$A,$A3478,$G:$G)*SUMIF(Summary!$A$247:$A$283,$A3478,Summary!$P$247:$P$283),0)</f>
        <v>293.58318216364523</v>
      </c>
      <c r="AJ3478" s="196">
        <f>IFERROR($G3478/SUMIF($A:$A,$A3478,$G:$G)*(SUMIF(Summary!$A$247:$A$283,$A3478,Summary!$L$247:$L$283)+SUMIF(Summary!$A$297:$A$333,$A3478,Summary!$L$297:$L$333))-AI3478,0)</f>
        <v>2439.1188421157904</v>
      </c>
      <c r="AK3478" s="196">
        <f>IFERROR($G3478/SUMIF($A:$A,$A3478,$G:$G)*SUMIF(Summary!$A$247:$A$283,$A3478,Summary!$Q$247:$Q$283),0)</f>
        <v>294.56271140103303</v>
      </c>
      <c r="AL3478" s="196">
        <f>IFERROR($G3478/SUMIF($A:$A,$A3478,$G:$G)*(SUMIF(Summary!$A$247:$A$283,$A3478,Summary!$L$247:$L$283)+SUMIF(Summary!$A$297:$A$333,$A3478,Summary!$L$297:$L$333))-AK3478,0)</f>
        <v>2438.1393128784025</v>
      </c>
      <c r="AM3478" s="198"/>
      <c r="AN3478" s="196">
        <f t="shared" ca="1" si="768"/>
        <v>5786.3023864046518</v>
      </c>
      <c r="AO3478" s="196">
        <f t="shared" ca="1" si="769"/>
        <v>5779.951896266919</v>
      </c>
    </row>
    <row r="3479" spans="1:41">
      <c r="A3479" s="189">
        <v>29269</v>
      </c>
      <c r="B3479" s="190">
        <v>1</v>
      </c>
      <c r="C3479" s="191" t="s">
        <v>229</v>
      </c>
      <c r="D3479" s="192">
        <f t="shared" si="756"/>
        <v>0</v>
      </c>
      <c r="E3479" s="192">
        <f t="shared" si="757"/>
        <v>0</v>
      </c>
      <c r="F3479" s="192">
        <f t="shared" si="758"/>
        <v>0</v>
      </c>
      <c r="G3479" s="193">
        <f t="shared" si="759"/>
        <v>0</v>
      </c>
      <c r="H3479" s="194">
        <v>0</v>
      </c>
      <c r="I3479" s="194">
        <v>0</v>
      </c>
      <c r="J3479" s="194">
        <v>0</v>
      </c>
      <c r="K3479" s="193">
        <f t="shared" si="760"/>
        <v>0</v>
      </c>
      <c r="L3479" s="194">
        <v>0</v>
      </c>
      <c r="M3479" s="194">
        <v>0</v>
      </c>
      <c r="N3479" s="194">
        <v>0</v>
      </c>
      <c r="O3479" s="193">
        <f t="shared" si="761"/>
        <v>0</v>
      </c>
      <c r="P3479" s="194">
        <v>0</v>
      </c>
      <c r="Q3479" s="194">
        <v>0</v>
      </c>
      <c r="R3479" s="194">
        <v>0</v>
      </c>
      <c r="S3479" s="193">
        <f t="shared" si="762"/>
        <v>0</v>
      </c>
      <c r="T3479" s="193">
        <f t="shared" si="763"/>
        <v>0</v>
      </c>
      <c r="U3479" s="193">
        <f ca="1">OFFSET('Expenditure Study'!$B$7,'Operations Support'!$C3479,'Operations Support'!$B3479)*$G3479</f>
        <v>0</v>
      </c>
      <c r="V3479" s="199">
        <f ca="1">U3479*'Expenditure Study'!$B$31</f>
        <v>0</v>
      </c>
      <c r="W3479" s="199">
        <f ca="1">IF(A3479=10298,1.51,1)*IF($B3479&lt;3,$D3479*'Expenditure Study'!$B$32*OFFSET('Expenditure Study'!$B$7,'Operations Support'!$C3479,'Operations Support'!$B3479),0)</f>
        <v>0</v>
      </c>
      <c r="X3479" s="200">
        <f ca="1">W3479*'Expenditure Study'!$B$31</f>
        <v>0</v>
      </c>
      <c r="Y3479" s="199">
        <f ca="1">U3479*'Expenditure Study'!$B$31</f>
        <v>0</v>
      </c>
      <c r="Z3479" s="200">
        <f ca="1">W3479*'Expenditure Study'!$B$31</f>
        <v>0</v>
      </c>
      <c r="AA3479" s="195">
        <f t="shared" ca="1" si="764"/>
        <v>0</v>
      </c>
      <c r="AB3479" s="195">
        <f t="shared" ca="1" si="765"/>
        <v>0</v>
      </c>
      <c r="AD3479" s="196">
        <f>IFERROR($G3479/SUMIF($A:$A,$A3479,$G:$G)*SUMIF(Summary!$A$166:$A$242,$A3479,Summary!$P$166:$P$242),0)</f>
        <v>0</v>
      </c>
      <c r="AE3479" s="197">
        <f t="shared" ca="1" si="766"/>
        <v>0</v>
      </c>
      <c r="AF3479" s="196">
        <f>IFERROR(G3479/SUMIF(A:A,A3479,G:G)*SUMIF(Summary!$A$166:$A$242,'Operations Support'!A3479,Summary!$Q$166:$Q$242),0)</f>
        <v>0</v>
      </c>
      <c r="AG3479" s="196">
        <f t="shared" ca="1" si="767"/>
        <v>0</v>
      </c>
      <c r="AI3479" s="196">
        <f>IFERROR($G3479/SUMIF($A:$A,$A3479,$G:$G)*SUMIF(Summary!$A$247:$A$283,$A3479,Summary!$P$247:$P$283),0)</f>
        <v>0</v>
      </c>
      <c r="AJ3479" s="196">
        <f>IFERROR($G3479/SUMIF($A:$A,$A3479,$G:$G)*(SUMIF(Summary!$A$247:$A$283,$A3479,Summary!$L$247:$L$283)+SUMIF(Summary!$A$297:$A$333,$A3479,Summary!$L$297:$L$333))-AI3479,0)</f>
        <v>0</v>
      </c>
      <c r="AK3479" s="196">
        <f>IFERROR($G3479/SUMIF($A:$A,$A3479,$G:$G)*SUMIF(Summary!$A$247:$A$283,$A3479,Summary!$Q$247:$Q$283),0)</f>
        <v>0</v>
      </c>
      <c r="AL3479" s="196">
        <f>IFERROR($G3479/SUMIF($A:$A,$A3479,$G:$G)*(SUMIF(Summary!$A$247:$A$283,$A3479,Summary!$L$247:$L$283)+SUMIF(Summary!$A$297:$A$333,$A3479,Summary!$L$297:$L$333))-AK3479,0)</f>
        <v>0</v>
      </c>
      <c r="AM3479" s="198"/>
      <c r="AN3479" s="196">
        <f t="shared" ca="1" si="768"/>
        <v>0</v>
      </c>
      <c r="AO3479" s="196">
        <f t="shared" ca="1" si="769"/>
        <v>0</v>
      </c>
    </row>
    <row r="3480" spans="1:41">
      <c r="A3480" s="189">
        <v>29269</v>
      </c>
      <c r="B3480" s="190">
        <v>1</v>
      </c>
      <c r="C3480" s="191" t="s">
        <v>230</v>
      </c>
      <c r="D3480" s="192">
        <f t="shared" si="756"/>
        <v>0</v>
      </c>
      <c r="E3480" s="192">
        <f t="shared" si="757"/>
        <v>0</v>
      </c>
      <c r="F3480" s="192">
        <f t="shared" si="758"/>
        <v>0</v>
      </c>
      <c r="G3480" s="193">
        <f t="shared" si="759"/>
        <v>0</v>
      </c>
      <c r="H3480" s="194">
        <v>0</v>
      </c>
      <c r="I3480" s="194">
        <v>0</v>
      </c>
      <c r="J3480" s="194">
        <v>0</v>
      </c>
      <c r="K3480" s="193">
        <f t="shared" si="760"/>
        <v>0</v>
      </c>
      <c r="L3480" s="194">
        <v>0</v>
      </c>
      <c r="M3480" s="194">
        <v>0</v>
      </c>
      <c r="N3480" s="194">
        <v>0</v>
      </c>
      <c r="O3480" s="193">
        <f t="shared" si="761"/>
        <v>0</v>
      </c>
      <c r="P3480" s="194">
        <v>0</v>
      </c>
      <c r="Q3480" s="194">
        <v>0</v>
      </c>
      <c r="R3480" s="194">
        <v>0</v>
      </c>
      <c r="S3480" s="193">
        <f t="shared" si="762"/>
        <v>0</v>
      </c>
      <c r="T3480" s="193">
        <f t="shared" si="763"/>
        <v>0</v>
      </c>
      <c r="U3480" s="193">
        <f ca="1">OFFSET('Expenditure Study'!$B$7,'Operations Support'!$C3480,'Operations Support'!$B3480)*$G3480</f>
        <v>0</v>
      </c>
      <c r="V3480" s="199">
        <f ca="1">U3480*'Expenditure Study'!$B$31</f>
        <v>0</v>
      </c>
      <c r="W3480" s="199">
        <f ca="1">IF(A3480=10298,1.51,1)*IF($B3480&lt;3,$D3480*'Expenditure Study'!$B$32*OFFSET('Expenditure Study'!$B$7,'Operations Support'!$C3480,'Operations Support'!$B3480),0)</f>
        <v>0</v>
      </c>
      <c r="X3480" s="200">
        <f ca="1">W3480*'Expenditure Study'!$B$31</f>
        <v>0</v>
      </c>
      <c r="Y3480" s="199">
        <f ca="1">U3480*'Expenditure Study'!$B$31</f>
        <v>0</v>
      </c>
      <c r="Z3480" s="200">
        <f ca="1">W3480*'Expenditure Study'!$B$31</f>
        <v>0</v>
      </c>
      <c r="AA3480" s="195">
        <f t="shared" ca="1" si="764"/>
        <v>0</v>
      </c>
      <c r="AB3480" s="195">
        <f t="shared" ca="1" si="765"/>
        <v>0</v>
      </c>
      <c r="AD3480" s="196">
        <f>IFERROR($G3480/SUMIF($A:$A,$A3480,$G:$G)*SUMIF(Summary!$A$166:$A$242,$A3480,Summary!$P$166:$P$242),0)</f>
        <v>0</v>
      </c>
      <c r="AE3480" s="197">
        <f t="shared" ca="1" si="766"/>
        <v>0</v>
      </c>
      <c r="AF3480" s="196">
        <f>IFERROR(G3480/SUMIF(A:A,A3480,G:G)*SUMIF(Summary!$A$166:$A$242,'Operations Support'!A3480,Summary!$Q$166:$Q$242),0)</f>
        <v>0</v>
      </c>
      <c r="AG3480" s="196">
        <f t="shared" ca="1" si="767"/>
        <v>0</v>
      </c>
      <c r="AI3480" s="196">
        <f>IFERROR($G3480/SUMIF($A:$A,$A3480,$G:$G)*SUMIF(Summary!$A$247:$A$283,$A3480,Summary!$P$247:$P$283),0)</f>
        <v>0</v>
      </c>
      <c r="AJ3480" s="196">
        <f>IFERROR($G3480/SUMIF($A:$A,$A3480,$G:$G)*(SUMIF(Summary!$A$247:$A$283,$A3480,Summary!$L$247:$L$283)+SUMIF(Summary!$A$297:$A$333,$A3480,Summary!$L$297:$L$333))-AI3480,0)</f>
        <v>0</v>
      </c>
      <c r="AK3480" s="196">
        <f>IFERROR($G3480/SUMIF($A:$A,$A3480,$G:$G)*SUMIF(Summary!$A$247:$A$283,$A3480,Summary!$Q$247:$Q$283),0)</f>
        <v>0</v>
      </c>
      <c r="AL3480" s="196">
        <f>IFERROR($G3480/SUMIF($A:$A,$A3480,$G:$G)*(SUMIF(Summary!$A$247:$A$283,$A3480,Summary!$L$247:$L$283)+SUMIF(Summary!$A$297:$A$333,$A3480,Summary!$L$297:$L$333))-AK3480,0)</f>
        <v>0</v>
      </c>
      <c r="AM3480" s="198"/>
      <c r="AN3480" s="196">
        <f t="shared" ca="1" si="768"/>
        <v>0</v>
      </c>
      <c r="AO3480" s="196">
        <f t="shared" ca="1" si="769"/>
        <v>0</v>
      </c>
    </row>
    <row r="3481" spans="1:41">
      <c r="A3481" s="189">
        <v>29269</v>
      </c>
      <c r="B3481" s="190">
        <v>1</v>
      </c>
      <c r="C3481" s="191" t="s">
        <v>231</v>
      </c>
      <c r="D3481" s="192">
        <f t="shared" si="756"/>
        <v>0</v>
      </c>
      <c r="E3481" s="192">
        <f t="shared" si="757"/>
        <v>0</v>
      </c>
      <c r="F3481" s="192">
        <f t="shared" si="758"/>
        <v>0</v>
      </c>
      <c r="G3481" s="193">
        <f t="shared" si="759"/>
        <v>0</v>
      </c>
      <c r="H3481" s="194">
        <v>0</v>
      </c>
      <c r="I3481" s="194">
        <v>0</v>
      </c>
      <c r="J3481" s="194">
        <v>0</v>
      </c>
      <c r="K3481" s="193">
        <f t="shared" si="760"/>
        <v>0</v>
      </c>
      <c r="L3481" s="194">
        <v>0</v>
      </c>
      <c r="M3481" s="194">
        <v>0</v>
      </c>
      <c r="N3481" s="194">
        <v>0</v>
      </c>
      <c r="O3481" s="193">
        <f t="shared" si="761"/>
        <v>0</v>
      </c>
      <c r="P3481" s="194">
        <v>0</v>
      </c>
      <c r="Q3481" s="194">
        <v>0</v>
      </c>
      <c r="R3481" s="194">
        <v>0</v>
      </c>
      <c r="S3481" s="193">
        <f t="shared" si="762"/>
        <v>0</v>
      </c>
      <c r="T3481" s="193">
        <f t="shared" si="763"/>
        <v>0</v>
      </c>
      <c r="U3481" s="193">
        <f ca="1">OFFSET('Expenditure Study'!$B$7,'Operations Support'!$C3481,'Operations Support'!$B3481)*$G3481</f>
        <v>0</v>
      </c>
      <c r="V3481" s="199">
        <f ca="1">U3481*'Expenditure Study'!$B$31</f>
        <v>0</v>
      </c>
      <c r="W3481" s="199">
        <f ca="1">IF(A3481=10298,1.51,1)*IF($B3481&lt;3,$D3481*'Expenditure Study'!$B$32*OFFSET('Expenditure Study'!$B$7,'Operations Support'!$C3481,'Operations Support'!$B3481),0)</f>
        <v>0</v>
      </c>
      <c r="X3481" s="200">
        <f ca="1">W3481*'Expenditure Study'!$B$31</f>
        <v>0</v>
      </c>
      <c r="Y3481" s="199">
        <f ca="1">U3481*'Expenditure Study'!$B$31</f>
        <v>0</v>
      </c>
      <c r="Z3481" s="200">
        <f ca="1">W3481*'Expenditure Study'!$B$31</f>
        <v>0</v>
      </c>
      <c r="AA3481" s="195">
        <f t="shared" ca="1" si="764"/>
        <v>0</v>
      </c>
      <c r="AB3481" s="195">
        <f t="shared" ca="1" si="765"/>
        <v>0</v>
      </c>
      <c r="AD3481" s="196">
        <f>IFERROR($G3481/SUMIF($A:$A,$A3481,$G:$G)*SUMIF(Summary!$A$166:$A$242,$A3481,Summary!$P$166:$P$242),0)</f>
        <v>0</v>
      </c>
      <c r="AE3481" s="197">
        <f t="shared" ca="1" si="766"/>
        <v>0</v>
      </c>
      <c r="AF3481" s="196">
        <f>IFERROR(G3481/SUMIF(A:A,A3481,G:G)*SUMIF(Summary!$A$166:$A$242,'Operations Support'!A3481,Summary!$Q$166:$Q$242),0)</f>
        <v>0</v>
      </c>
      <c r="AG3481" s="196">
        <f t="shared" ca="1" si="767"/>
        <v>0</v>
      </c>
      <c r="AI3481" s="196">
        <f>IFERROR($G3481/SUMIF($A:$A,$A3481,$G:$G)*SUMIF(Summary!$A$247:$A$283,$A3481,Summary!$P$247:$P$283),0)</f>
        <v>0</v>
      </c>
      <c r="AJ3481" s="196">
        <f>IFERROR($G3481/SUMIF($A:$A,$A3481,$G:$G)*(SUMIF(Summary!$A$247:$A$283,$A3481,Summary!$L$247:$L$283)+SUMIF(Summary!$A$297:$A$333,$A3481,Summary!$L$297:$L$333))-AI3481,0)</f>
        <v>0</v>
      </c>
      <c r="AK3481" s="196">
        <f>IFERROR($G3481/SUMIF($A:$A,$A3481,$G:$G)*SUMIF(Summary!$A$247:$A$283,$A3481,Summary!$Q$247:$Q$283),0)</f>
        <v>0</v>
      </c>
      <c r="AL3481" s="196">
        <f>IFERROR($G3481/SUMIF($A:$A,$A3481,$G:$G)*(SUMIF(Summary!$A$247:$A$283,$A3481,Summary!$L$247:$L$283)+SUMIF(Summary!$A$297:$A$333,$A3481,Summary!$L$297:$L$333))-AK3481,0)</f>
        <v>0</v>
      </c>
      <c r="AM3481" s="198"/>
      <c r="AN3481" s="196">
        <f t="shared" ca="1" si="768"/>
        <v>0</v>
      </c>
      <c r="AO3481" s="196">
        <f t="shared" ca="1" si="769"/>
        <v>0</v>
      </c>
    </row>
    <row r="3482" spans="1:41">
      <c r="A3482" s="189">
        <v>29269</v>
      </c>
      <c r="B3482" s="190">
        <v>1</v>
      </c>
      <c r="C3482" s="191" t="s">
        <v>232</v>
      </c>
      <c r="D3482" s="192">
        <f t="shared" si="756"/>
        <v>0</v>
      </c>
      <c r="E3482" s="192">
        <f t="shared" si="757"/>
        <v>0</v>
      </c>
      <c r="F3482" s="192">
        <f t="shared" si="758"/>
        <v>0</v>
      </c>
      <c r="G3482" s="193">
        <f t="shared" si="759"/>
        <v>0</v>
      </c>
      <c r="H3482" s="194">
        <v>0</v>
      </c>
      <c r="I3482" s="194">
        <v>0</v>
      </c>
      <c r="J3482" s="194">
        <v>0</v>
      </c>
      <c r="K3482" s="193">
        <f t="shared" si="760"/>
        <v>0</v>
      </c>
      <c r="L3482" s="194">
        <v>0</v>
      </c>
      <c r="M3482" s="194">
        <v>0</v>
      </c>
      <c r="N3482" s="194">
        <v>0</v>
      </c>
      <c r="O3482" s="193">
        <f t="shared" si="761"/>
        <v>0</v>
      </c>
      <c r="P3482" s="194">
        <v>0</v>
      </c>
      <c r="Q3482" s="194">
        <v>0</v>
      </c>
      <c r="R3482" s="194">
        <v>0</v>
      </c>
      <c r="S3482" s="193">
        <f t="shared" si="762"/>
        <v>0</v>
      </c>
      <c r="T3482" s="193">
        <f t="shared" si="763"/>
        <v>0</v>
      </c>
      <c r="U3482" s="193">
        <f ca="1">OFFSET('Expenditure Study'!$B$7,'Operations Support'!$C3482,'Operations Support'!$B3482)*$G3482</f>
        <v>0</v>
      </c>
      <c r="V3482" s="199">
        <f ca="1">U3482*'Expenditure Study'!$B$31</f>
        <v>0</v>
      </c>
      <c r="W3482" s="199">
        <f ca="1">IF(A3482=10298,1.51,1)*IF($B3482&lt;3,$D3482*'Expenditure Study'!$B$32*OFFSET('Expenditure Study'!$B$7,'Operations Support'!$C3482,'Operations Support'!$B3482),0)</f>
        <v>0</v>
      </c>
      <c r="X3482" s="200">
        <f ca="1">W3482*'Expenditure Study'!$B$31</f>
        <v>0</v>
      </c>
      <c r="Y3482" s="199">
        <f ca="1">U3482*'Expenditure Study'!$B$31</f>
        <v>0</v>
      </c>
      <c r="Z3482" s="200">
        <f ca="1">W3482*'Expenditure Study'!$B$31</f>
        <v>0</v>
      </c>
      <c r="AA3482" s="195">
        <f t="shared" ca="1" si="764"/>
        <v>0</v>
      </c>
      <c r="AB3482" s="195">
        <f t="shared" ca="1" si="765"/>
        <v>0</v>
      </c>
      <c r="AD3482" s="196">
        <f>IFERROR($G3482/SUMIF($A:$A,$A3482,$G:$G)*SUMIF(Summary!$A$166:$A$242,$A3482,Summary!$P$166:$P$242),0)</f>
        <v>0</v>
      </c>
      <c r="AE3482" s="197">
        <f t="shared" ca="1" si="766"/>
        <v>0</v>
      </c>
      <c r="AF3482" s="196">
        <f>IFERROR(G3482/SUMIF(A:A,A3482,G:G)*SUMIF(Summary!$A$166:$A$242,'Operations Support'!A3482,Summary!$Q$166:$Q$242),0)</f>
        <v>0</v>
      </c>
      <c r="AG3482" s="196">
        <f t="shared" ca="1" si="767"/>
        <v>0</v>
      </c>
      <c r="AI3482" s="196">
        <f>IFERROR($G3482/SUMIF($A:$A,$A3482,$G:$G)*SUMIF(Summary!$A$247:$A$283,$A3482,Summary!$P$247:$P$283),0)</f>
        <v>0</v>
      </c>
      <c r="AJ3482" s="196">
        <f>IFERROR($G3482/SUMIF($A:$A,$A3482,$G:$G)*(SUMIF(Summary!$A$247:$A$283,$A3482,Summary!$L$247:$L$283)+SUMIF(Summary!$A$297:$A$333,$A3482,Summary!$L$297:$L$333))-AI3482,0)</f>
        <v>0</v>
      </c>
      <c r="AK3482" s="196">
        <f>IFERROR($G3482/SUMIF($A:$A,$A3482,$G:$G)*SUMIF(Summary!$A$247:$A$283,$A3482,Summary!$Q$247:$Q$283),0)</f>
        <v>0</v>
      </c>
      <c r="AL3482" s="196">
        <f>IFERROR($G3482/SUMIF($A:$A,$A3482,$G:$G)*(SUMIF(Summary!$A$247:$A$283,$A3482,Summary!$L$247:$L$283)+SUMIF(Summary!$A$297:$A$333,$A3482,Summary!$L$297:$L$333))-AK3482,0)</f>
        <v>0</v>
      </c>
      <c r="AM3482" s="198"/>
      <c r="AN3482" s="196">
        <f t="shared" ca="1" si="768"/>
        <v>0</v>
      </c>
      <c r="AO3482" s="196">
        <f t="shared" ca="1" si="769"/>
        <v>0</v>
      </c>
    </row>
    <row r="3483" spans="1:41">
      <c r="A3483" s="189">
        <v>29269</v>
      </c>
      <c r="B3483" s="190">
        <v>1</v>
      </c>
      <c r="C3483" s="191" t="s">
        <v>233</v>
      </c>
      <c r="D3483" s="192">
        <f t="shared" si="756"/>
        <v>374</v>
      </c>
      <c r="E3483" s="192">
        <f t="shared" si="757"/>
        <v>321</v>
      </c>
      <c r="F3483" s="192">
        <f t="shared" si="758"/>
        <v>0</v>
      </c>
      <c r="G3483" s="193">
        <f t="shared" si="759"/>
        <v>695</v>
      </c>
      <c r="H3483" s="194">
        <v>194</v>
      </c>
      <c r="I3483" s="194">
        <v>150</v>
      </c>
      <c r="J3483" s="194">
        <v>0</v>
      </c>
      <c r="K3483" s="193">
        <f t="shared" si="760"/>
        <v>344</v>
      </c>
      <c r="L3483" s="194">
        <v>180</v>
      </c>
      <c r="M3483" s="194">
        <v>171</v>
      </c>
      <c r="N3483" s="194">
        <v>0</v>
      </c>
      <c r="O3483" s="193">
        <f t="shared" si="761"/>
        <v>351</v>
      </c>
      <c r="P3483" s="194">
        <v>0</v>
      </c>
      <c r="Q3483" s="194">
        <v>0</v>
      </c>
      <c r="R3483" s="194">
        <v>0</v>
      </c>
      <c r="S3483" s="193">
        <f t="shared" si="762"/>
        <v>0</v>
      </c>
      <c r="T3483" s="193">
        <f t="shared" si="763"/>
        <v>23.166666666666668</v>
      </c>
      <c r="U3483" s="193">
        <f ca="1">OFFSET('Expenditure Study'!$B$7,'Operations Support'!$C3483,'Operations Support'!$B3483)*$G3483</f>
        <v>667.19999999999993</v>
      </c>
      <c r="V3483" s="199">
        <f ca="1">U3483*'Expenditure Study'!$B$31</f>
        <v>39420.298229759996</v>
      </c>
      <c r="W3483" s="199">
        <f ca="1">IF(A3483=10298,1.51,1)*IF($B3483&lt;3,$D3483*'Expenditure Study'!$B$32*OFFSET('Expenditure Study'!$B$7,'Operations Support'!$C3483,'Operations Support'!$B3483),0)</f>
        <v>35.903999999999996</v>
      </c>
      <c r="X3483" s="200">
        <f ca="1">W3483*'Expenditure Study'!$B$31</f>
        <v>2121.3225234431998</v>
      </c>
      <c r="Y3483" s="199">
        <f ca="1">U3483*'Expenditure Study'!$B$31</f>
        <v>39420.298229759996</v>
      </c>
      <c r="Z3483" s="200">
        <f ca="1">W3483*'Expenditure Study'!$B$31</f>
        <v>2121.3225234431998</v>
      </c>
      <c r="AA3483" s="195">
        <f t="shared" ca="1" si="764"/>
        <v>41541.620753203199</v>
      </c>
      <c r="AB3483" s="195">
        <f t="shared" ca="1" si="765"/>
        <v>41541.620753203199</v>
      </c>
      <c r="AD3483" s="196">
        <f>IFERROR($G3483/SUMIF($A:$A,$A3483,$G:$G)*SUMIF(Summary!$A$166:$A$242,$A3483,Summary!$P$166:$P$242),0)</f>
        <v>21937.159316398611</v>
      </c>
      <c r="AE3483" s="197">
        <f t="shared" ca="1" si="766"/>
        <v>19604.461436804588</v>
      </c>
      <c r="AF3483" s="196">
        <f>IFERROR(G3483/SUMIF(A:A,A3483,G:G)*SUMIF(Summary!$A$166:$A$242,'Operations Support'!A3483,Summary!$Q$166:$Q$242),0)</f>
        <v>22010.351822785669</v>
      </c>
      <c r="AG3483" s="196">
        <f t="shared" ca="1" si="767"/>
        <v>19531.268930417529</v>
      </c>
      <c r="AI3483" s="196">
        <f>IFERROR($G3483/SUMIF($A:$A,$A3483,$G:$G)*SUMIF(Summary!$A$247:$A$283,$A3483,Summary!$P$247:$P$283),0)</f>
        <v>4000.7904236026161</v>
      </c>
      <c r="AJ3483" s="196">
        <f>IFERROR($G3483/SUMIF($A:$A,$A3483,$G:$G)*(SUMIF(Summary!$A$247:$A$283,$A3483,Summary!$L$247:$L$283)+SUMIF(Summary!$A$297:$A$333,$A3483,Summary!$L$297:$L$333))-AI3483,0)</f>
        <v>33238.972456283809</v>
      </c>
      <c r="AK3483" s="196">
        <f>IFERROR($G3483/SUMIF($A:$A,$A3483,$G:$G)*SUMIF(Summary!$A$247:$A$283,$A3483,Summary!$Q$247:$Q$283),0)</f>
        <v>4014.1389102689786</v>
      </c>
      <c r="AL3483" s="196">
        <f>IFERROR($G3483/SUMIF($A:$A,$A3483,$G:$G)*(SUMIF(Summary!$A$247:$A$283,$A3483,Summary!$L$247:$L$283)+SUMIF(Summary!$A$297:$A$333,$A3483,Summary!$L$297:$L$333))-AK3483,0)</f>
        <v>33225.623969617445</v>
      </c>
      <c r="AM3483" s="198"/>
      <c r="AN3483" s="196">
        <f t="shared" ca="1" si="768"/>
        <v>52843.433893088397</v>
      </c>
      <c r="AO3483" s="196">
        <f t="shared" ca="1" si="769"/>
        <v>52756.892900034974</v>
      </c>
    </row>
    <row r="3484" spans="1:41">
      <c r="A3484" s="189">
        <v>29269</v>
      </c>
      <c r="B3484" s="190">
        <v>1</v>
      </c>
      <c r="C3484" s="191" t="s">
        <v>234</v>
      </c>
      <c r="D3484" s="192">
        <f t="shared" si="756"/>
        <v>0</v>
      </c>
      <c r="E3484" s="192">
        <f t="shared" si="757"/>
        <v>0</v>
      </c>
      <c r="F3484" s="192">
        <f t="shared" si="758"/>
        <v>0</v>
      </c>
      <c r="G3484" s="193">
        <f t="shared" si="759"/>
        <v>0</v>
      </c>
      <c r="H3484" s="194">
        <v>0</v>
      </c>
      <c r="I3484" s="194">
        <v>0</v>
      </c>
      <c r="J3484" s="194">
        <v>0</v>
      </c>
      <c r="K3484" s="193">
        <f t="shared" si="760"/>
        <v>0</v>
      </c>
      <c r="L3484" s="194">
        <v>0</v>
      </c>
      <c r="M3484" s="194">
        <v>0</v>
      </c>
      <c r="N3484" s="194">
        <v>0</v>
      </c>
      <c r="O3484" s="193">
        <f t="shared" si="761"/>
        <v>0</v>
      </c>
      <c r="P3484" s="194">
        <v>0</v>
      </c>
      <c r="Q3484" s="194">
        <v>0</v>
      </c>
      <c r="R3484" s="194">
        <v>0</v>
      </c>
      <c r="S3484" s="193">
        <f t="shared" si="762"/>
        <v>0</v>
      </c>
      <c r="T3484" s="193">
        <f t="shared" si="763"/>
        <v>0</v>
      </c>
      <c r="U3484" s="193">
        <f ca="1">OFFSET('Expenditure Study'!$B$7,'Operations Support'!$C3484,'Operations Support'!$B3484)*$G3484</f>
        <v>0</v>
      </c>
      <c r="V3484" s="199">
        <f ca="1">U3484*'Expenditure Study'!$B$31</f>
        <v>0</v>
      </c>
      <c r="W3484" s="199">
        <f ca="1">IF(A3484=10298,1.51,1)*IF($B3484&lt;3,$D3484*'Expenditure Study'!$B$32*OFFSET('Expenditure Study'!$B$7,'Operations Support'!$C3484,'Operations Support'!$B3484),0)</f>
        <v>0</v>
      </c>
      <c r="X3484" s="200">
        <f ca="1">W3484*'Expenditure Study'!$B$31</f>
        <v>0</v>
      </c>
      <c r="Y3484" s="199">
        <f ca="1">U3484*'Expenditure Study'!$B$31</f>
        <v>0</v>
      </c>
      <c r="Z3484" s="200">
        <f ca="1">W3484*'Expenditure Study'!$B$31</f>
        <v>0</v>
      </c>
      <c r="AA3484" s="195">
        <f t="shared" ca="1" si="764"/>
        <v>0</v>
      </c>
      <c r="AB3484" s="195">
        <f t="shared" ca="1" si="765"/>
        <v>0</v>
      </c>
      <c r="AD3484" s="196">
        <f>IFERROR($G3484/SUMIF($A:$A,$A3484,$G:$G)*SUMIF(Summary!$A$166:$A$242,$A3484,Summary!$P$166:$P$242),0)</f>
        <v>0</v>
      </c>
      <c r="AE3484" s="197">
        <f t="shared" ca="1" si="766"/>
        <v>0</v>
      </c>
      <c r="AF3484" s="196">
        <f>IFERROR(G3484/SUMIF(A:A,A3484,G:G)*SUMIF(Summary!$A$166:$A$242,'Operations Support'!A3484,Summary!$Q$166:$Q$242),0)</f>
        <v>0</v>
      </c>
      <c r="AG3484" s="196">
        <f t="shared" ca="1" si="767"/>
        <v>0</v>
      </c>
      <c r="AI3484" s="196">
        <f>IFERROR($G3484/SUMIF($A:$A,$A3484,$G:$G)*SUMIF(Summary!$A$247:$A$283,$A3484,Summary!$P$247:$P$283),0)</f>
        <v>0</v>
      </c>
      <c r="AJ3484" s="196">
        <f>IFERROR($G3484/SUMIF($A:$A,$A3484,$G:$G)*(SUMIF(Summary!$A$247:$A$283,$A3484,Summary!$L$247:$L$283)+SUMIF(Summary!$A$297:$A$333,$A3484,Summary!$L$297:$L$333))-AI3484,0)</f>
        <v>0</v>
      </c>
      <c r="AK3484" s="196">
        <f>IFERROR($G3484/SUMIF($A:$A,$A3484,$G:$G)*SUMIF(Summary!$A$247:$A$283,$A3484,Summary!$Q$247:$Q$283),0)</f>
        <v>0</v>
      </c>
      <c r="AL3484" s="196">
        <f>IFERROR($G3484/SUMIF($A:$A,$A3484,$G:$G)*(SUMIF(Summary!$A$247:$A$283,$A3484,Summary!$L$247:$L$283)+SUMIF(Summary!$A$297:$A$333,$A3484,Summary!$L$297:$L$333))-AK3484,0)</f>
        <v>0</v>
      </c>
      <c r="AM3484" s="198"/>
      <c r="AN3484" s="196">
        <f t="shared" ca="1" si="768"/>
        <v>0</v>
      </c>
      <c r="AO3484" s="196">
        <f t="shared" ca="1" si="769"/>
        <v>0</v>
      </c>
    </row>
    <row r="3485" spans="1:41">
      <c r="A3485" s="189">
        <v>29269</v>
      </c>
      <c r="B3485" s="190">
        <v>1</v>
      </c>
      <c r="C3485" s="191" t="s">
        <v>235</v>
      </c>
      <c r="D3485" s="192">
        <f t="shared" si="756"/>
        <v>507</v>
      </c>
      <c r="E3485" s="192">
        <f t="shared" si="757"/>
        <v>1059</v>
      </c>
      <c r="F3485" s="192">
        <f t="shared" si="758"/>
        <v>0</v>
      </c>
      <c r="G3485" s="193">
        <f t="shared" si="759"/>
        <v>1566</v>
      </c>
      <c r="H3485" s="194">
        <v>288</v>
      </c>
      <c r="I3485" s="194">
        <v>468</v>
      </c>
      <c r="J3485" s="194">
        <v>0</v>
      </c>
      <c r="K3485" s="193">
        <f t="shared" si="760"/>
        <v>756</v>
      </c>
      <c r="L3485" s="194">
        <v>198</v>
      </c>
      <c r="M3485" s="194">
        <v>501</v>
      </c>
      <c r="N3485" s="194">
        <v>0</v>
      </c>
      <c r="O3485" s="193">
        <f t="shared" si="761"/>
        <v>699</v>
      </c>
      <c r="P3485" s="194">
        <v>21</v>
      </c>
      <c r="Q3485" s="194">
        <v>90</v>
      </c>
      <c r="R3485" s="194">
        <v>0</v>
      </c>
      <c r="S3485" s="193">
        <f t="shared" si="762"/>
        <v>111</v>
      </c>
      <c r="T3485" s="193">
        <f t="shared" si="763"/>
        <v>52.2</v>
      </c>
      <c r="U3485" s="193">
        <f ca="1">OFFSET('Expenditure Study'!$B$7,'Operations Support'!$C3485,'Operations Support'!$B3485)*$G3485</f>
        <v>1722.6000000000001</v>
      </c>
      <c r="V3485" s="199">
        <f ca="1">U3485*'Expenditure Study'!$B$31</f>
        <v>101776.68724608001</v>
      </c>
      <c r="W3485" s="199">
        <f ca="1">IF(A3485=10298,1.51,1)*IF($B3485&lt;3,$D3485*'Expenditure Study'!$B$32*OFFSET('Expenditure Study'!$B$7,'Operations Support'!$C3485,'Operations Support'!$B3485),0)</f>
        <v>55.77000000000001</v>
      </c>
      <c r="X3485" s="200">
        <f ca="1">W3485*'Expenditure Study'!$B$31</f>
        <v>3295.0689932160008</v>
      </c>
      <c r="Y3485" s="199">
        <f ca="1">U3485*'Expenditure Study'!$B$31</f>
        <v>101776.68724608001</v>
      </c>
      <c r="Z3485" s="200">
        <f ca="1">W3485*'Expenditure Study'!$B$31</f>
        <v>3295.0689932160008</v>
      </c>
      <c r="AA3485" s="195">
        <f t="shared" ca="1" si="764"/>
        <v>105071.75623929601</v>
      </c>
      <c r="AB3485" s="195">
        <f t="shared" ca="1" si="765"/>
        <v>105071.75623929601</v>
      </c>
      <c r="AD3485" s="196">
        <f>IFERROR($G3485/SUMIF($A:$A,$A3485,$G:$G)*SUMIF(Summary!$A$166:$A$242,$A3485,Summary!$P$166:$P$242),0)</f>
        <v>49429.628042417593</v>
      </c>
      <c r="AE3485" s="197">
        <f t="shared" ca="1" si="766"/>
        <v>55642.128196878417</v>
      </c>
      <c r="AF3485" s="196">
        <f>IFERROR(G3485/SUMIF(A:A,A3485,G:G)*SUMIF(Summary!$A$166:$A$242,'Operations Support'!A3485,Summary!$Q$166:$Q$242),0)</f>
        <v>49594.548135945843</v>
      </c>
      <c r="AG3485" s="196">
        <f t="shared" ca="1" si="767"/>
        <v>55477.208103350167</v>
      </c>
      <c r="AI3485" s="196">
        <f>IFERROR($G3485/SUMIF($A:$A,$A3485,$G:$G)*SUMIF(Summary!$A$247:$A$283,$A3485,Summary!$P$247:$P$283),0)</f>
        <v>9014.7306523189891</v>
      </c>
      <c r="AJ3485" s="196">
        <f>IFERROR($G3485/SUMIF($A:$A,$A3485,$G:$G)*(SUMIF(Summary!$A$247:$A$283,$A3485,Summary!$L$247:$L$283)+SUMIF(Summary!$A$297:$A$333,$A3485,Summary!$L$297:$L$333))-AI3485,0)</f>
        <v>74895.296210849556</v>
      </c>
      <c r="AK3485" s="196">
        <f>IFERROR($G3485/SUMIF($A:$A,$A3485,$G:$G)*SUMIF(Summary!$A$247:$A$283,$A3485,Summary!$Q$247:$Q$283),0)</f>
        <v>9044.807961843484</v>
      </c>
      <c r="AL3485" s="196">
        <f>IFERROR($G3485/SUMIF($A:$A,$A3485,$G:$G)*(SUMIF(Summary!$A$247:$A$283,$A3485,Summary!$L$247:$L$283)+SUMIF(Summary!$A$297:$A$333,$A3485,Summary!$L$297:$L$333))-AK3485,0)</f>
        <v>74865.218901325061</v>
      </c>
      <c r="AM3485" s="198"/>
      <c r="AN3485" s="196">
        <f t="shared" ca="1" si="768"/>
        <v>130537.42440772797</v>
      </c>
      <c r="AO3485" s="196">
        <f t="shared" ca="1" si="769"/>
        <v>130342.42700467524</v>
      </c>
    </row>
    <row r="3486" spans="1:41">
      <c r="A3486" s="189">
        <v>29269</v>
      </c>
      <c r="B3486" s="190">
        <v>1</v>
      </c>
      <c r="C3486" s="191" t="s">
        <v>236</v>
      </c>
      <c r="D3486" s="192">
        <f t="shared" si="756"/>
        <v>0</v>
      </c>
      <c r="E3486" s="192">
        <f t="shared" si="757"/>
        <v>0</v>
      </c>
      <c r="F3486" s="192">
        <f t="shared" si="758"/>
        <v>0</v>
      </c>
      <c r="G3486" s="193">
        <f t="shared" si="759"/>
        <v>0</v>
      </c>
      <c r="H3486" s="194">
        <v>0</v>
      </c>
      <c r="I3486" s="194">
        <v>0</v>
      </c>
      <c r="J3486" s="194">
        <v>0</v>
      </c>
      <c r="K3486" s="193">
        <f t="shared" si="760"/>
        <v>0</v>
      </c>
      <c r="L3486" s="194">
        <v>0</v>
      </c>
      <c r="M3486" s="194">
        <v>0</v>
      </c>
      <c r="N3486" s="194">
        <v>0</v>
      </c>
      <c r="O3486" s="193">
        <f t="shared" si="761"/>
        <v>0</v>
      </c>
      <c r="P3486" s="194">
        <v>0</v>
      </c>
      <c r="Q3486" s="194">
        <v>0</v>
      </c>
      <c r="R3486" s="194">
        <v>0</v>
      </c>
      <c r="S3486" s="193">
        <f t="shared" si="762"/>
        <v>0</v>
      </c>
      <c r="T3486" s="193">
        <f t="shared" si="763"/>
        <v>0</v>
      </c>
      <c r="U3486" s="193">
        <f ca="1">OFFSET('Expenditure Study'!$B$7,'Operations Support'!$C3486,'Operations Support'!$B3486)*$G3486</f>
        <v>0</v>
      </c>
      <c r="V3486" s="199">
        <f ca="1">U3486*'Expenditure Study'!$B$31</f>
        <v>0</v>
      </c>
      <c r="W3486" s="199">
        <f ca="1">IF(A3486=10298,1.51,1)*IF($B3486&lt;3,$D3486*'Expenditure Study'!$B$32*OFFSET('Expenditure Study'!$B$7,'Operations Support'!$C3486,'Operations Support'!$B3486),0)</f>
        <v>0</v>
      </c>
      <c r="X3486" s="200">
        <f ca="1">W3486*'Expenditure Study'!$B$31</f>
        <v>0</v>
      </c>
      <c r="Y3486" s="199">
        <f ca="1">U3486*'Expenditure Study'!$B$31</f>
        <v>0</v>
      </c>
      <c r="Z3486" s="200">
        <f ca="1">W3486*'Expenditure Study'!$B$31</f>
        <v>0</v>
      </c>
      <c r="AA3486" s="195">
        <f t="shared" ca="1" si="764"/>
        <v>0</v>
      </c>
      <c r="AB3486" s="195">
        <f t="shared" ca="1" si="765"/>
        <v>0</v>
      </c>
      <c r="AD3486" s="196">
        <f>IFERROR($G3486/SUMIF($A:$A,$A3486,$G:$G)*SUMIF(Summary!$A$166:$A$242,$A3486,Summary!$P$166:$P$242),0)</f>
        <v>0</v>
      </c>
      <c r="AE3486" s="197">
        <f t="shared" ca="1" si="766"/>
        <v>0</v>
      </c>
      <c r="AF3486" s="196">
        <f>IFERROR(G3486/SUMIF(A:A,A3486,G:G)*SUMIF(Summary!$A$166:$A$242,'Operations Support'!A3486,Summary!$Q$166:$Q$242),0)</f>
        <v>0</v>
      </c>
      <c r="AG3486" s="196">
        <f t="shared" ca="1" si="767"/>
        <v>0</v>
      </c>
      <c r="AI3486" s="196">
        <f>IFERROR($G3486/SUMIF($A:$A,$A3486,$G:$G)*SUMIF(Summary!$A$247:$A$283,$A3486,Summary!$P$247:$P$283),0)</f>
        <v>0</v>
      </c>
      <c r="AJ3486" s="196">
        <f>IFERROR($G3486/SUMIF($A:$A,$A3486,$G:$G)*(SUMIF(Summary!$A$247:$A$283,$A3486,Summary!$L$247:$L$283)+SUMIF(Summary!$A$297:$A$333,$A3486,Summary!$L$297:$L$333))-AI3486,0)</f>
        <v>0</v>
      </c>
      <c r="AK3486" s="196">
        <f>IFERROR($G3486/SUMIF($A:$A,$A3486,$G:$G)*SUMIF(Summary!$A$247:$A$283,$A3486,Summary!$Q$247:$Q$283),0)</f>
        <v>0</v>
      </c>
      <c r="AL3486" s="196">
        <f>IFERROR($G3486/SUMIF($A:$A,$A3486,$G:$G)*(SUMIF(Summary!$A$247:$A$283,$A3486,Summary!$L$247:$L$283)+SUMIF(Summary!$A$297:$A$333,$A3486,Summary!$L$297:$L$333))-AK3486,0)</f>
        <v>0</v>
      </c>
      <c r="AM3486" s="198"/>
      <c r="AN3486" s="196">
        <f t="shared" ca="1" si="768"/>
        <v>0</v>
      </c>
      <c r="AO3486" s="196">
        <f t="shared" ca="1" si="769"/>
        <v>0</v>
      </c>
    </row>
    <row r="3487" spans="1:41">
      <c r="A3487" s="189">
        <v>29269</v>
      </c>
      <c r="B3487" s="190">
        <v>1</v>
      </c>
      <c r="C3487" s="191" t="s">
        <v>237</v>
      </c>
      <c r="D3487" s="192">
        <f t="shared" si="756"/>
        <v>0</v>
      </c>
      <c r="E3487" s="192">
        <f t="shared" si="757"/>
        <v>0</v>
      </c>
      <c r="F3487" s="192">
        <f t="shared" si="758"/>
        <v>0</v>
      </c>
      <c r="G3487" s="193">
        <f t="shared" si="759"/>
        <v>0</v>
      </c>
      <c r="H3487" s="194">
        <v>0</v>
      </c>
      <c r="I3487" s="194">
        <v>0</v>
      </c>
      <c r="J3487" s="194">
        <v>0</v>
      </c>
      <c r="K3487" s="193">
        <f t="shared" si="760"/>
        <v>0</v>
      </c>
      <c r="L3487" s="194">
        <v>0</v>
      </c>
      <c r="M3487" s="194">
        <v>0</v>
      </c>
      <c r="N3487" s="194">
        <v>0</v>
      </c>
      <c r="O3487" s="193">
        <f t="shared" si="761"/>
        <v>0</v>
      </c>
      <c r="P3487" s="194">
        <v>0</v>
      </c>
      <c r="Q3487" s="194">
        <v>0</v>
      </c>
      <c r="R3487" s="194">
        <v>0</v>
      </c>
      <c r="S3487" s="193">
        <f t="shared" si="762"/>
        <v>0</v>
      </c>
      <c r="T3487" s="193">
        <f t="shared" si="763"/>
        <v>0</v>
      </c>
      <c r="U3487" s="193">
        <f ca="1">OFFSET('Expenditure Study'!$B$7,'Operations Support'!$C3487,'Operations Support'!$B3487)*$G3487</f>
        <v>0</v>
      </c>
      <c r="V3487" s="199">
        <f ca="1">U3487*'Expenditure Study'!$B$31</f>
        <v>0</v>
      </c>
      <c r="W3487" s="199">
        <f ca="1">IF(A3487=10298,1.51,1)*IF($B3487&lt;3,$D3487*'Expenditure Study'!$B$32*OFFSET('Expenditure Study'!$B$7,'Operations Support'!$C3487,'Operations Support'!$B3487),0)</f>
        <v>0</v>
      </c>
      <c r="X3487" s="200">
        <f ca="1">W3487*'Expenditure Study'!$B$31</f>
        <v>0</v>
      </c>
      <c r="Y3487" s="199">
        <f ca="1">U3487*'Expenditure Study'!$B$31</f>
        <v>0</v>
      </c>
      <c r="Z3487" s="200">
        <f ca="1">W3487*'Expenditure Study'!$B$31</f>
        <v>0</v>
      </c>
      <c r="AA3487" s="195">
        <f t="shared" ca="1" si="764"/>
        <v>0</v>
      </c>
      <c r="AB3487" s="195">
        <f t="shared" ca="1" si="765"/>
        <v>0</v>
      </c>
      <c r="AD3487" s="196">
        <f>IFERROR($G3487/SUMIF($A:$A,$A3487,$G:$G)*SUMIF(Summary!$A$166:$A$242,$A3487,Summary!$P$166:$P$242),0)</f>
        <v>0</v>
      </c>
      <c r="AE3487" s="197">
        <f t="shared" ca="1" si="766"/>
        <v>0</v>
      </c>
      <c r="AF3487" s="196">
        <f>IFERROR(G3487/SUMIF(A:A,A3487,G:G)*SUMIF(Summary!$A$166:$A$242,'Operations Support'!A3487,Summary!$Q$166:$Q$242),0)</f>
        <v>0</v>
      </c>
      <c r="AG3487" s="196">
        <f t="shared" ca="1" si="767"/>
        <v>0</v>
      </c>
      <c r="AI3487" s="196">
        <f>IFERROR($G3487/SUMIF($A:$A,$A3487,$G:$G)*SUMIF(Summary!$A$247:$A$283,$A3487,Summary!$P$247:$P$283),0)</f>
        <v>0</v>
      </c>
      <c r="AJ3487" s="196">
        <f>IFERROR($G3487/SUMIF($A:$A,$A3487,$G:$G)*(SUMIF(Summary!$A$247:$A$283,$A3487,Summary!$L$247:$L$283)+SUMIF(Summary!$A$297:$A$333,$A3487,Summary!$L$297:$L$333))-AI3487,0)</f>
        <v>0</v>
      </c>
      <c r="AK3487" s="196">
        <f>IFERROR($G3487/SUMIF($A:$A,$A3487,$G:$G)*SUMIF(Summary!$A$247:$A$283,$A3487,Summary!$Q$247:$Q$283),0)</f>
        <v>0</v>
      </c>
      <c r="AL3487" s="196">
        <f>IFERROR($G3487/SUMIF($A:$A,$A3487,$G:$G)*(SUMIF(Summary!$A$247:$A$283,$A3487,Summary!$L$247:$L$283)+SUMIF(Summary!$A$297:$A$333,$A3487,Summary!$L$297:$L$333))-AK3487,0)</f>
        <v>0</v>
      </c>
      <c r="AM3487" s="198"/>
      <c r="AN3487" s="196">
        <f t="shared" ca="1" si="768"/>
        <v>0</v>
      </c>
      <c r="AO3487" s="196">
        <f t="shared" ca="1" si="769"/>
        <v>0</v>
      </c>
    </row>
    <row r="3488" spans="1:41">
      <c r="A3488" s="189">
        <v>29269</v>
      </c>
      <c r="B3488" s="190">
        <v>1</v>
      </c>
      <c r="C3488" s="191" t="s">
        <v>238</v>
      </c>
      <c r="D3488" s="192">
        <f t="shared" si="756"/>
        <v>54</v>
      </c>
      <c r="E3488" s="192">
        <f t="shared" si="757"/>
        <v>75</v>
      </c>
      <c r="F3488" s="192">
        <f t="shared" si="758"/>
        <v>0</v>
      </c>
      <c r="G3488" s="193">
        <f t="shared" si="759"/>
        <v>129</v>
      </c>
      <c r="H3488" s="194">
        <v>36</v>
      </c>
      <c r="I3488" s="194">
        <v>0</v>
      </c>
      <c r="J3488" s="194">
        <v>0</v>
      </c>
      <c r="K3488" s="193">
        <f t="shared" si="760"/>
        <v>36</v>
      </c>
      <c r="L3488" s="194">
        <v>18</v>
      </c>
      <c r="M3488" s="194">
        <v>75</v>
      </c>
      <c r="N3488" s="194">
        <v>0</v>
      </c>
      <c r="O3488" s="193">
        <f t="shared" si="761"/>
        <v>93</v>
      </c>
      <c r="P3488" s="194">
        <v>0</v>
      </c>
      <c r="Q3488" s="194">
        <v>0</v>
      </c>
      <c r="R3488" s="194">
        <v>0</v>
      </c>
      <c r="S3488" s="193">
        <f t="shared" si="762"/>
        <v>0</v>
      </c>
      <c r="T3488" s="193">
        <f t="shared" si="763"/>
        <v>4.3</v>
      </c>
      <c r="U3488" s="193">
        <f ca="1">OFFSET('Expenditure Study'!$B$7,'Operations Support'!$C3488,'Operations Support'!$B3488)*$G3488</f>
        <v>229.62</v>
      </c>
      <c r="V3488" s="199">
        <f ca="1">U3488*'Expenditure Study'!$B$31</f>
        <v>13566.679975296</v>
      </c>
      <c r="W3488" s="199">
        <f ca="1">IF(A3488=10298,1.51,1)*IF($B3488&lt;3,$D3488*'Expenditure Study'!$B$32*OFFSET('Expenditure Study'!$B$7,'Operations Support'!$C3488,'Operations Support'!$B3488),0)</f>
        <v>9.6120000000000001</v>
      </c>
      <c r="X3488" s="200">
        <f ca="1">W3488*'Expenditure Study'!$B$31</f>
        <v>567.90753384959999</v>
      </c>
      <c r="Y3488" s="199">
        <f ca="1">U3488*'Expenditure Study'!$B$31</f>
        <v>13566.679975296</v>
      </c>
      <c r="Z3488" s="200">
        <f ca="1">W3488*'Expenditure Study'!$B$31</f>
        <v>567.90753384959999</v>
      </c>
      <c r="AA3488" s="195">
        <f t="shared" ca="1" si="764"/>
        <v>14134.5875091456</v>
      </c>
      <c r="AB3488" s="195">
        <f t="shared" ca="1" si="765"/>
        <v>14134.5875091456</v>
      </c>
      <c r="AD3488" s="196">
        <f>IFERROR($G3488/SUMIF($A:$A,$A3488,$G:$G)*SUMIF(Summary!$A$166:$A$242,$A3488,Summary!$P$166:$P$242),0)</f>
        <v>4071.7892831876561</v>
      </c>
      <c r="AE3488" s="197">
        <f t="shared" ca="1" si="766"/>
        <v>10062.798225957944</v>
      </c>
      <c r="AF3488" s="196">
        <f>IFERROR(G3488/SUMIF(A:A,A3488,G:G)*SUMIF(Summary!$A$166:$A$242,'Operations Support'!A3488,Summary!$Q$166:$Q$242),0)</f>
        <v>4085.3746548767645</v>
      </c>
      <c r="AG3488" s="196">
        <f t="shared" ca="1" si="767"/>
        <v>10049.212854268835</v>
      </c>
      <c r="AI3488" s="196">
        <f>IFERROR($G3488/SUMIF($A:$A,$A3488,$G:$G)*SUMIF(Summary!$A$247:$A$283,$A3488,Summary!$P$247:$P$283),0)</f>
        <v>742.59275488451442</v>
      </c>
      <c r="AJ3488" s="196">
        <f>IFERROR($G3488/SUMIF($A:$A,$A3488,$G:$G)*(SUMIF(Summary!$A$247:$A$283,$A3488,Summary!$L$247:$L$283)+SUMIF(Summary!$A$297:$A$333,$A3488,Summary!$L$297:$L$333))-AI3488,0)</f>
        <v>6169.5358947634695</v>
      </c>
      <c r="AK3488" s="196">
        <f>IFERROR($G3488/SUMIF($A:$A,$A3488,$G:$G)*SUMIF(Summary!$A$247:$A$283,$A3488,Summary!$Q$247:$Q$283),0)</f>
        <v>745.07038766143637</v>
      </c>
      <c r="AL3488" s="196">
        <f>IFERROR($G3488/SUMIF($A:$A,$A3488,$G:$G)*(SUMIF(Summary!$A$247:$A$283,$A3488,Summary!$L$247:$L$283)+SUMIF(Summary!$A$297:$A$333,$A3488,Summary!$L$297:$L$333))-AK3488,0)</f>
        <v>6167.0582619865481</v>
      </c>
      <c r="AM3488" s="198"/>
      <c r="AN3488" s="196">
        <f t="shared" ca="1" si="768"/>
        <v>16232.334120721414</v>
      </c>
      <c r="AO3488" s="196">
        <f t="shared" ca="1" si="769"/>
        <v>16216.271116255382</v>
      </c>
    </row>
    <row r="3489" spans="1:41" s="201" customFormat="1">
      <c r="A3489" s="189">
        <v>29269</v>
      </c>
      <c r="B3489" s="190">
        <v>1</v>
      </c>
      <c r="C3489" s="191" t="s">
        <v>239</v>
      </c>
      <c r="D3489" s="192">
        <f t="shared" si="756"/>
        <v>0</v>
      </c>
      <c r="E3489" s="192">
        <f t="shared" si="757"/>
        <v>21</v>
      </c>
      <c r="F3489" s="192">
        <f t="shared" si="758"/>
        <v>0</v>
      </c>
      <c r="G3489" s="193">
        <f t="shared" si="759"/>
        <v>21</v>
      </c>
      <c r="H3489" s="194">
        <v>0</v>
      </c>
      <c r="I3489" s="194">
        <v>0</v>
      </c>
      <c r="J3489" s="194">
        <v>0</v>
      </c>
      <c r="K3489" s="193">
        <f t="shared" si="760"/>
        <v>0</v>
      </c>
      <c r="L3489" s="194">
        <v>0</v>
      </c>
      <c r="M3489" s="194">
        <v>21</v>
      </c>
      <c r="N3489" s="194">
        <v>0</v>
      </c>
      <c r="O3489" s="193">
        <f t="shared" si="761"/>
        <v>21</v>
      </c>
      <c r="P3489" s="194">
        <v>0</v>
      </c>
      <c r="Q3489" s="194">
        <v>0</v>
      </c>
      <c r="R3489" s="194">
        <v>0</v>
      </c>
      <c r="S3489" s="193">
        <f t="shared" si="762"/>
        <v>0</v>
      </c>
      <c r="T3489" s="193">
        <f t="shared" si="763"/>
        <v>0.7</v>
      </c>
      <c r="U3489" s="193">
        <f ca="1">OFFSET('Expenditure Study'!$B$7,'Operations Support'!$C3489,'Operations Support'!$B3489)*$G3489</f>
        <v>32.550000000000004</v>
      </c>
      <c r="V3489" s="199">
        <f ca="1">U3489*'Expenditure Study'!$B$31</f>
        <v>1923.1575350400003</v>
      </c>
      <c r="W3489" s="199">
        <f ca="1">IF(A3489=10298,1.51,1)*IF($B3489&lt;3,$D3489*'Expenditure Study'!$B$32*OFFSET('Expenditure Study'!$B$7,'Operations Support'!$C3489,'Operations Support'!$B3489),0)</f>
        <v>0</v>
      </c>
      <c r="X3489" s="200">
        <f ca="1">W3489*'Expenditure Study'!$B$31</f>
        <v>0</v>
      </c>
      <c r="Y3489" s="199">
        <f ca="1">U3489*'Expenditure Study'!$B$31</f>
        <v>1923.1575350400003</v>
      </c>
      <c r="Z3489" s="200">
        <f ca="1">W3489*'Expenditure Study'!$B$31</f>
        <v>0</v>
      </c>
      <c r="AA3489" s="195">
        <f t="shared" ca="1" si="764"/>
        <v>1923.1575350400003</v>
      </c>
      <c r="AB3489" s="195">
        <f t="shared" ca="1" si="765"/>
        <v>1923.1575350400003</v>
      </c>
      <c r="AD3489" s="196">
        <f>IFERROR($G3489/SUMIF($A:$A,$A3489,$G:$G)*SUMIF(Summary!$A$166:$A$242,$A3489,Summary!$P$166:$P$242),0)</f>
        <v>662.84941819333937</v>
      </c>
      <c r="AE3489" s="197">
        <f t="shared" ca="1" si="766"/>
        <v>1260.3081168466611</v>
      </c>
      <c r="AF3489" s="196">
        <f>IFERROR(G3489/SUMIF(A:A,A3489,G:G)*SUMIF(Summary!$A$166:$A$242,'Operations Support'!A3489,Summary!$Q$166:$Q$242),0)</f>
        <v>665.06099032877569</v>
      </c>
      <c r="AG3489" s="196">
        <f t="shared" ca="1" si="767"/>
        <v>1258.0965447112246</v>
      </c>
      <c r="AH3489" s="180"/>
      <c r="AI3489" s="196">
        <f>IFERROR($G3489/SUMIF($A:$A,$A3489,$G:$G)*SUMIF(Summary!$A$247:$A$283,$A3489,Summary!$P$247:$P$283),0)</f>
        <v>120.88719265561863</v>
      </c>
      <c r="AJ3489" s="196">
        <f>IFERROR($G3489/SUMIF($A:$A,$A3489,$G:$G)*(SUMIF(Summary!$A$247:$A$283,$A3489,Summary!$L$247:$L$283)+SUMIF(Summary!$A$297:$A$333,$A3489,Summary!$L$297:$L$333))-AI3489,0)</f>
        <v>1004.3430526359138</v>
      </c>
      <c r="AK3489" s="196">
        <f>IFERROR($G3489/SUMIF($A:$A,$A3489,$G:$G)*SUMIF(Summary!$A$247:$A$283,$A3489,Summary!$Q$247:$Q$283),0)</f>
        <v>121.29052822395477</v>
      </c>
      <c r="AL3489" s="196">
        <f>IFERROR($G3489/SUMIF($A:$A,$A3489,$G:$G)*(SUMIF(Summary!$A$247:$A$283,$A3489,Summary!$L$247:$L$283)+SUMIF(Summary!$A$297:$A$333,$A3489,Summary!$L$297:$L$333))-AK3489,0)</f>
        <v>1003.9397170675776</v>
      </c>
      <c r="AM3489" s="198"/>
      <c r="AN3489" s="196">
        <f t="shared" ca="1" si="768"/>
        <v>2264.6511694825749</v>
      </c>
      <c r="AO3489" s="196">
        <f t="shared" ca="1" si="769"/>
        <v>2262.0362617788023</v>
      </c>
    </row>
    <row r="3490" spans="1:41">
      <c r="A3490" s="189">
        <v>29269</v>
      </c>
      <c r="B3490" s="190">
        <v>1</v>
      </c>
      <c r="C3490" s="191" t="s">
        <v>240</v>
      </c>
      <c r="D3490" s="192">
        <f t="shared" si="756"/>
        <v>0</v>
      </c>
      <c r="E3490" s="192">
        <f t="shared" si="757"/>
        <v>690</v>
      </c>
      <c r="F3490" s="192">
        <f t="shared" si="758"/>
        <v>0</v>
      </c>
      <c r="G3490" s="193">
        <f t="shared" si="759"/>
        <v>690</v>
      </c>
      <c r="H3490" s="194">
        <v>0</v>
      </c>
      <c r="I3490" s="194">
        <v>276</v>
      </c>
      <c r="J3490" s="194">
        <v>0</v>
      </c>
      <c r="K3490" s="193">
        <f t="shared" si="760"/>
        <v>276</v>
      </c>
      <c r="L3490" s="194">
        <v>0</v>
      </c>
      <c r="M3490" s="194">
        <v>411</v>
      </c>
      <c r="N3490" s="194">
        <v>0</v>
      </c>
      <c r="O3490" s="193">
        <f t="shared" si="761"/>
        <v>411</v>
      </c>
      <c r="P3490" s="194">
        <v>0</v>
      </c>
      <c r="Q3490" s="194">
        <v>3</v>
      </c>
      <c r="R3490" s="194">
        <v>0</v>
      </c>
      <c r="S3490" s="193">
        <f t="shared" si="762"/>
        <v>3</v>
      </c>
      <c r="T3490" s="193">
        <f t="shared" si="763"/>
        <v>23</v>
      </c>
      <c r="U3490" s="193">
        <f ca="1">OFFSET('Expenditure Study'!$B$7,'Operations Support'!$C3490,'Operations Support'!$B3490)*$G3490</f>
        <v>690</v>
      </c>
      <c r="V3490" s="199">
        <f ca="1">U3490*'Expenditure Study'!$B$31</f>
        <v>40767.394752</v>
      </c>
      <c r="W3490" s="199">
        <f ca="1">IF(A3490=10298,1.51,1)*IF($B3490&lt;3,$D3490*'Expenditure Study'!$B$32*OFFSET('Expenditure Study'!$B$7,'Operations Support'!$C3490,'Operations Support'!$B3490),0)</f>
        <v>0</v>
      </c>
      <c r="X3490" s="200">
        <f ca="1">W3490*'Expenditure Study'!$B$31</f>
        <v>0</v>
      </c>
      <c r="Y3490" s="199">
        <f ca="1">U3490*'Expenditure Study'!$B$31</f>
        <v>40767.394752</v>
      </c>
      <c r="Z3490" s="200">
        <f ca="1">W3490*'Expenditure Study'!$B$31</f>
        <v>0</v>
      </c>
      <c r="AA3490" s="195">
        <f t="shared" ca="1" si="764"/>
        <v>40767.394752</v>
      </c>
      <c r="AB3490" s="195">
        <f t="shared" ca="1" si="765"/>
        <v>40767.394752</v>
      </c>
      <c r="AD3490" s="196">
        <f>IFERROR($G3490/SUMIF($A:$A,$A3490,$G:$G)*SUMIF(Summary!$A$166:$A$242,$A3490,Summary!$P$166:$P$242),0)</f>
        <v>21779.338026352576</v>
      </c>
      <c r="AE3490" s="197">
        <f t="shared" ca="1" si="766"/>
        <v>18988.056725647424</v>
      </c>
      <c r="AF3490" s="196">
        <f>IFERROR(G3490/SUMIF(A:A,A3490,G:G)*SUMIF(Summary!$A$166:$A$242,'Operations Support'!A3490,Summary!$Q$166:$Q$242),0)</f>
        <v>21852.003967945486</v>
      </c>
      <c r="AG3490" s="196">
        <f t="shared" ca="1" si="767"/>
        <v>18915.390784054514</v>
      </c>
      <c r="AI3490" s="196">
        <f>IFERROR($G3490/SUMIF($A:$A,$A3490,$G:$G)*SUMIF(Summary!$A$247:$A$283,$A3490,Summary!$P$247:$P$283),0)</f>
        <v>3972.0077586846119</v>
      </c>
      <c r="AJ3490" s="196">
        <f>IFERROR($G3490/SUMIF($A:$A,$A3490,$G:$G)*(SUMIF(Summary!$A$247:$A$283,$A3490,Summary!$L$247:$L$283)+SUMIF(Summary!$A$297:$A$333,$A3490,Summary!$L$297:$L$333))-AI3490,0)</f>
        <v>32999.843158037169</v>
      </c>
      <c r="AK3490" s="196">
        <f>IFERROR($G3490/SUMIF($A:$A,$A3490,$G:$G)*SUMIF(Summary!$A$247:$A$283,$A3490,Summary!$Q$247:$Q$283),0)</f>
        <v>3985.2602130727992</v>
      </c>
      <c r="AL3490" s="196">
        <f>IFERROR($G3490/SUMIF($A:$A,$A3490,$G:$G)*(SUMIF(Summary!$A$247:$A$283,$A3490,Summary!$L$247:$L$283)+SUMIF(Summary!$A$297:$A$333,$A3490,Summary!$L$297:$L$333))-AK3490,0)</f>
        <v>32986.590703648981</v>
      </c>
      <c r="AM3490" s="198"/>
      <c r="AN3490" s="196">
        <f t="shared" ca="1" si="768"/>
        <v>51987.899883684593</v>
      </c>
      <c r="AO3490" s="196">
        <f t="shared" ca="1" si="769"/>
        <v>51901.981487703495</v>
      </c>
    </row>
    <row r="3491" spans="1:41">
      <c r="A3491" s="189">
        <v>29269</v>
      </c>
      <c r="B3491" s="190">
        <v>2</v>
      </c>
      <c r="C3491" s="191" t="s">
        <v>220</v>
      </c>
      <c r="D3491" s="192">
        <f t="shared" si="756"/>
        <v>4053</v>
      </c>
      <c r="E3491" s="192">
        <f t="shared" si="757"/>
        <v>3711</v>
      </c>
      <c r="F3491" s="192">
        <f t="shared" si="758"/>
        <v>0</v>
      </c>
      <c r="G3491" s="193">
        <f t="shared" si="759"/>
        <v>7764</v>
      </c>
      <c r="H3491" s="194">
        <v>1644</v>
      </c>
      <c r="I3491" s="194">
        <v>1611</v>
      </c>
      <c r="J3491" s="194">
        <v>0</v>
      </c>
      <c r="K3491" s="193">
        <f t="shared" si="760"/>
        <v>3255</v>
      </c>
      <c r="L3491" s="194">
        <v>1632</v>
      </c>
      <c r="M3491" s="194">
        <v>1503</v>
      </c>
      <c r="N3491" s="194">
        <v>0</v>
      </c>
      <c r="O3491" s="193">
        <f t="shared" si="761"/>
        <v>3135</v>
      </c>
      <c r="P3491" s="194">
        <v>777</v>
      </c>
      <c r="Q3491" s="194">
        <v>597</v>
      </c>
      <c r="R3491" s="194">
        <v>0</v>
      </c>
      <c r="S3491" s="193">
        <f t="shared" si="762"/>
        <v>1374</v>
      </c>
      <c r="T3491" s="193">
        <f t="shared" si="763"/>
        <v>258.8</v>
      </c>
      <c r="U3491" s="193">
        <f ca="1">OFFSET('Expenditure Study'!$B$7,'Operations Support'!$C3491,'Operations Support'!$B3491)*$G3491</f>
        <v>14285.76</v>
      </c>
      <c r="V3491" s="199">
        <f ca="1">U3491*'Expenditure Study'!$B$31</f>
        <v>844048.14094540803</v>
      </c>
      <c r="W3491" s="199">
        <f ca="1">IF(A3491=10298,1.51,1)*IF($B3491&lt;3,$D3491*'Expenditure Study'!$B$32*OFFSET('Expenditure Study'!$B$7,'Operations Support'!$C3491,'Operations Support'!$B3491),0)</f>
        <v>745.75200000000007</v>
      </c>
      <c r="X3491" s="200">
        <f ca="1">W3491*'Expenditure Study'!$B$31</f>
        <v>44061.400247961603</v>
      </c>
      <c r="Y3491" s="199">
        <f ca="1">U3491*'Expenditure Study'!$B$31</f>
        <v>844048.14094540803</v>
      </c>
      <c r="Z3491" s="200">
        <f ca="1">W3491*'Expenditure Study'!$B$31</f>
        <v>44061.400247961603</v>
      </c>
      <c r="AA3491" s="195">
        <f t="shared" ca="1" si="764"/>
        <v>888109.54119336966</v>
      </c>
      <c r="AB3491" s="195">
        <f t="shared" ca="1" si="765"/>
        <v>888109.54119336966</v>
      </c>
      <c r="AD3491" s="196">
        <f>IFERROR($G3491/SUMIF($A:$A,$A3491,$G:$G)*SUMIF(Summary!$A$166:$A$242,$A3491,Summary!$P$166:$P$242),0)</f>
        <v>245064.8991834803</v>
      </c>
      <c r="AE3491" s="197">
        <f t="shared" ca="1" si="766"/>
        <v>643044.64200988936</v>
      </c>
      <c r="AF3491" s="196">
        <f>IFERROR(G3491/SUMIF(A:A,A3491,G:G)*SUMIF(Summary!$A$166:$A$242,'Operations Support'!A3491,Summary!$Q$166:$Q$242),0)</f>
        <v>245882.54899583873</v>
      </c>
      <c r="AG3491" s="196">
        <f t="shared" ca="1" si="767"/>
        <v>642226.99219753093</v>
      </c>
      <c r="AI3491" s="196">
        <f>IFERROR($G3491/SUMIF($A:$A,$A3491,$G:$G)*SUMIF(Summary!$A$247:$A$283,$A3491,Summary!$P$247:$P$283),0)</f>
        <v>44693.722084677283</v>
      </c>
      <c r="AJ3491" s="196">
        <f>IFERROR($G3491/SUMIF($A:$A,$A3491,$G:$G)*(SUMIF(Summary!$A$247:$A$283,$A3491,Summary!$L$247:$L$283)+SUMIF(Summary!$A$297:$A$333,$A3491,Summary!$L$297:$L$333))-AI3491,0)</f>
        <v>371319.9743173921</v>
      </c>
      <c r="AK3491" s="196">
        <f>IFERROR($G3491/SUMIF($A:$A,$A3491,$G:$G)*SUMIF(Summary!$A$247:$A$283,$A3491,Summary!$Q$247:$Q$283),0)</f>
        <v>44842.841006227842</v>
      </c>
      <c r="AL3491" s="196">
        <f>IFERROR($G3491/SUMIF($A:$A,$A3491,$G:$G)*(SUMIF(Summary!$A$247:$A$283,$A3491,Summary!$L$247:$L$283)+SUMIF(Summary!$A$297:$A$333,$A3491,Summary!$L$297:$L$333))-AK3491,0)</f>
        <v>371170.85539584153</v>
      </c>
      <c r="AM3491" s="198"/>
      <c r="AN3491" s="196">
        <f t="shared" ca="1" si="768"/>
        <v>1014364.6163272815</v>
      </c>
      <c r="AO3491" s="196">
        <f t="shared" ca="1" si="769"/>
        <v>1013397.8475933725</v>
      </c>
    </row>
    <row r="3492" spans="1:41">
      <c r="A3492" s="189">
        <v>29269</v>
      </c>
      <c r="B3492" s="190">
        <v>2</v>
      </c>
      <c r="C3492" s="191" t="s">
        <v>221</v>
      </c>
      <c r="D3492" s="192">
        <f t="shared" si="756"/>
        <v>1422</v>
      </c>
      <c r="E3492" s="192">
        <f t="shared" si="757"/>
        <v>340</v>
      </c>
      <c r="F3492" s="192">
        <f t="shared" si="758"/>
        <v>0</v>
      </c>
      <c r="G3492" s="193">
        <f t="shared" si="759"/>
        <v>1762</v>
      </c>
      <c r="H3492" s="194">
        <v>530</v>
      </c>
      <c r="I3492" s="194">
        <v>218</v>
      </c>
      <c r="J3492" s="194">
        <v>0</v>
      </c>
      <c r="K3492" s="193">
        <f t="shared" si="760"/>
        <v>748</v>
      </c>
      <c r="L3492" s="194">
        <v>625</v>
      </c>
      <c r="M3492" s="194">
        <v>84</v>
      </c>
      <c r="N3492" s="194">
        <v>0</v>
      </c>
      <c r="O3492" s="193">
        <f t="shared" si="761"/>
        <v>709</v>
      </c>
      <c r="P3492" s="194">
        <v>267</v>
      </c>
      <c r="Q3492" s="194">
        <v>38</v>
      </c>
      <c r="R3492" s="194">
        <v>0</v>
      </c>
      <c r="S3492" s="193">
        <f t="shared" si="762"/>
        <v>305</v>
      </c>
      <c r="T3492" s="193">
        <f t="shared" si="763"/>
        <v>58.733333333333334</v>
      </c>
      <c r="U3492" s="193">
        <f ca="1">OFFSET('Expenditure Study'!$B$7,'Operations Support'!$C3492,'Operations Support'!$B3492)*$G3492</f>
        <v>4634.0599999999995</v>
      </c>
      <c r="V3492" s="199">
        <f ca="1">U3492*'Expenditure Study'!$B$31</f>
        <v>273795.00481804798</v>
      </c>
      <c r="W3492" s="199">
        <f ca="1">IF(A3492=10298,1.51,1)*IF($B3492&lt;3,$D3492*'Expenditure Study'!$B$32*OFFSET('Expenditure Study'!$B$7,'Operations Support'!$C3492,'Operations Support'!$B3492),0)</f>
        <v>373.98600000000005</v>
      </c>
      <c r="X3492" s="200">
        <f ca="1">W3492*'Expenditure Study'!$B$31</f>
        <v>22096.282454668803</v>
      </c>
      <c r="Y3492" s="199">
        <f ca="1">U3492*'Expenditure Study'!$B$31</f>
        <v>273795.00481804798</v>
      </c>
      <c r="Z3492" s="200">
        <f ca="1">W3492*'Expenditure Study'!$B$31</f>
        <v>22096.282454668803</v>
      </c>
      <c r="AA3492" s="195">
        <f t="shared" ca="1" si="764"/>
        <v>295891.28727271676</v>
      </c>
      <c r="AB3492" s="195">
        <f t="shared" ca="1" si="765"/>
        <v>295891.28727271676</v>
      </c>
      <c r="AD3492" s="196">
        <f>IFERROR($G3492/SUMIF($A:$A,$A3492,$G:$G)*SUMIF(Summary!$A$166:$A$242,$A3492,Summary!$P$166:$P$242),0)</f>
        <v>55616.222612222089</v>
      </c>
      <c r="AE3492" s="197">
        <f t="shared" ca="1" si="766"/>
        <v>240275.06466049468</v>
      </c>
      <c r="AF3492" s="196">
        <f>IFERROR(G3492/SUMIF(A:A,A3492,G:G)*SUMIF(Summary!$A$166:$A$242,'Operations Support'!A3492,Summary!$Q$166:$Q$242),0)</f>
        <v>55801.784045681074</v>
      </c>
      <c r="AG3492" s="196">
        <f t="shared" ca="1" si="767"/>
        <v>240089.50322703569</v>
      </c>
      <c r="AI3492" s="196">
        <f>IFERROR($G3492/SUMIF($A:$A,$A3492,$G:$G)*SUMIF(Summary!$A$247:$A$283,$A3492,Summary!$P$247:$P$283),0)</f>
        <v>10143.011117104761</v>
      </c>
      <c r="AJ3492" s="196">
        <f>IFERROR($G3492/SUMIF($A:$A,$A3492,$G:$G)*(SUMIF(Summary!$A$247:$A$283,$A3492,Summary!$L$247:$L$283)+SUMIF(Summary!$A$297:$A$333,$A3492,Summary!$L$297:$L$333))-AI3492,0)</f>
        <v>84269.164702118083</v>
      </c>
      <c r="AK3492" s="196">
        <f>IFERROR($G3492/SUMIF($A:$A,$A3492,$G:$G)*SUMIF(Summary!$A$247:$A$283,$A3492,Summary!$Q$247:$Q$283),0)</f>
        <v>10176.852891933728</v>
      </c>
      <c r="AL3492" s="196">
        <f>IFERROR($G3492/SUMIF($A:$A,$A3492,$G:$G)*(SUMIF(Summary!$A$247:$A$283,$A3492,Summary!$L$247:$L$283)+SUMIF(Summary!$A$297:$A$333,$A3492,Summary!$L$297:$L$333))-AK3492,0)</f>
        <v>84235.322927289119</v>
      </c>
      <c r="AM3492" s="198"/>
      <c r="AN3492" s="196">
        <f t="shared" ca="1" si="768"/>
        <v>324544.22936261276</v>
      </c>
      <c r="AO3492" s="196">
        <f t="shared" ca="1" si="769"/>
        <v>324324.82615432481</v>
      </c>
    </row>
    <row r="3493" spans="1:41">
      <c r="A3493" s="189">
        <v>29269</v>
      </c>
      <c r="B3493" s="190">
        <v>2</v>
      </c>
      <c r="C3493" s="191" t="s">
        <v>222</v>
      </c>
      <c r="D3493" s="192">
        <f t="shared" si="756"/>
        <v>36</v>
      </c>
      <c r="E3493" s="192">
        <f t="shared" si="757"/>
        <v>123</v>
      </c>
      <c r="F3493" s="192">
        <f t="shared" si="758"/>
        <v>0</v>
      </c>
      <c r="G3493" s="193">
        <f t="shared" si="759"/>
        <v>159</v>
      </c>
      <c r="H3493" s="194">
        <v>18</v>
      </c>
      <c r="I3493" s="194">
        <v>30</v>
      </c>
      <c r="J3493" s="194">
        <v>0</v>
      </c>
      <c r="K3493" s="193">
        <f t="shared" si="760"/>
        <v>48</v>
      </c>
      <c r="L3493" s="194">
        <v>18</v>
      </c>
      <c r="M3493" s="194">
        <v>51</v>
      </c>
      <c r="N3493" s="194">
        <v>0</v>
      </c>
      <c r="O3493" s="193">
        <f t="shared" si="761"/>
        <v>69</v>
      </c>
      <c r="P3493" s="194">
        <v>0</v>
      </c>
      <c r="Q3493" s="194">
        <v>42</v>
      </c>
      <c r="R3493" s="194">
        <v>0</v>
      </c>
      <c r="S3493" s="193">
        <f t="shared" si="762"/>
        <v>42</v>
      </c>
      <c r="T3493" s="193">
        <f t="shared" si="763"/>
        <v>5.3</v>
      </c>
      <c r="U3493" s="193">
        <f ca="1">OFFSET('Expenditure Study'!$B$7,'Operations Support'!$C3493,'Operations Support'!$B3493)*$G3493</f>
        <v>422.94</v>
      </c>
      <c r="V3493" s="199">
        <f ca="1">U3493*'Expenditure Study'!$B$31</f>
        <v>24988.640487552002</v>
      </c>
      <c r="W3493" s="199">
        <f ca="1">IF(A3493=10298,1.51,1)*IF($B3493&lt;3,$D3493*'Expenditure Study'!$B$32*OFFSET('Expenditure Study'!$B$7,'Operations Support'!$C3493,'Operations Support'!$B3493),0)</f>
        <v>9.5760000000000005</v>
      </c>
      <c r="X3493" s="200">
        <f ca="1">W3493*'Expenditure Study'!$B$31</f>
        <v>565.78053934080003</v>
      </c>
      <c r="Y3493" s="199">
        <f ca="1">U3493*'Expenditure Study'!$B$31</f>
        <v>24988.640487552002</v>
      </c>
      <c r="Z3493" s="200">
        <f ca="1">W3493*'Expenditure Study'!$B$31</f>
        <v>565.78053934080003</v>
      </c>
      <c r="AA3493" s="195">
        <f t="shared" ca="1" si="764"/>
        <v>25554.421026892804</v>
      </c>
      <c r="AB3493" s="195">
        <f t="shared" ca="1" si="765"/>
        <v>25554.421026892804</v>
      </c>
      <c r="AD3493" s="196">
        <f>IFERROR($G3493/SUMIF($A:$A,$A3493,$G:$G)*SUMIF(Summary!$A$166:$A$242,$A3493,Summary!$P$166:$P$242),0)</f>
        <v>5018.7170234638552</v>
      </c>
      <c r="AE3493" s="197">
        <f t="shared" ca="1" si="766"/>
        <v>20535.704003428949</v>
      </c>
      <c r="AF3493" s="196">
        <f>IFERROR(G3493/SUMIF(A:A,A3493,G:G)*SUMIF(Summary!$A$166:$A$242,'Operations Support'!A3493,Summary!$Q$166:$Q$242),0)</f>
        <v>5035.4617839178727</v>
      </c>
      <c r="AG3493" s="196">
        <f t="shared" ca="1" si="767"/>
        <v>20518.959242974932</v>
      </c>
      <c r="AI3493" s="196">
        <f>IFERROR($G3493/SUMIF($A:$A,$A3493,$G:$G)*SUMIF(Summary!$A$247:$A$283,$A3493,Summary!$P$247:$P$283),0)</f>
        <v>915.28874439254093</v>
      </c>
      <c r="AJ3493" s="196">
        <f>IFERROR($G3493/SUMIF($A:$A,$A3493,$G:$G)*(SUMIF(Summary!$A$247:$A$283,$A3493,Summary!$L$247:$L$283)+SUMIF(Summary!$A$297:$A$333,$A3493,Summary!$L$297:$L$333))-AI3493,0)</f>
        <v>7604.3116842433465</v>
      </c>
      <c r="AK3493" s="196">
        <f>IFERROR($G3493/SUMIF($A:$A,$A3493,$G:$G)*SUMIF(Summary!$A$247:$A$283,$A3493,Summary!$Q$247:$Q$283),0)</f>
        <v>918.34257083851458</v>
      </c>
      <c r="AL3493" s="196">
        <f>IFERROR($G3493/SUMIF($A:$A,$A3493,$G:$G)*(SUMIF(Summary!$A$247:$A$283,$A3493,Summary!$L$247:$L$283)+SUMIF(Summary!$A$297:$A$333,$A3493,Summary!$L$297:$L$333))-AK3493,0)</f>
        <v>7601.2578577973727</v>
      </c>
      <c r="AM3493" s="198"/>
      <c r="AN3493" s="196">
        <f t="shared" ca="1" si="768"/>
        <v>28140.015687672298</v>
      </c>
      <c r="AO3493" s="196">
        <f t="shared" ca="1" si="769"/>
        <v>28120.217100772305</v>
      </c>
    </row>
    <row r="3494" spans="1:41">
      <c r="A3494" s="189">
        <v>29269</v>
      </c>
      <c r="B3494" s="190">
        <v>2</v>
      </c>
      <c r="C3494" s="191" t="s">
        <v>223</v>
      </c>
      <c r="D3494" s="192">
        <f t="shared" si="756"/>
        <v>801</v>
      </c>
      <c r="E3494" s="192">
        <f t="shared" si="757"/>
        <v>1332</v>
      </c>
      <c r="F3494" s="192">
        <f t="shared" si="758"/>
        <v>0</v>
      </c>
      <c r="G3494" s="193">
        <f t="shared" si="759"/>
        <v>2133</v>
      </c>
      <c r="H3494" s="194">
        <v>396</v>
      </c>
      <c r="I3494" s="194">
        <v>507</v>
      </c>
      <c r="J3494" s="194">
        <v>0</v>
      </c>
      <c r="K3494" s="193">
        <f t="shared" si="760"/>
        <v>903</v>
      </c>
      <c r="L3494" s="194">
        <v>288</v>
      </c>
      <c r="M3494" s="194">
        <v>588</v>
      </c>
      <c r="N3494" s="194">
        <v>0</v>
      </c>
      <c r="O3494" s="193">
        <f t="shared" si="761"/>
        <v>876</v>
      </c>
      <c r="P3494" s="194">
        <v>117</v>
      </c>
      <c r="Q3494" s="194">
        <v>237</v>
      </c>
      <c r="R3494" s="194">
        <v>0</v>
      </c>
      <c r="S3494" s="193">
        <f t="shared" si="762"/>
        <v>354</v>
      </c>
      <c r="T3494" s="193">
        <f t="shared" si="763"/>
        <v>71.099999999999994</v>
      </c>
      <c r="U3494" s="193">
        <f ca="1">OFFSET('Expenditure Study'!$B$7,'Operations Support'!$C3494,'Operations Support'!$B3494)*$G3494</f>
        <v>4052.7</v>
      </c>
      <c r="V3494" s="199">
        <f ca="1">U3494*'Expenditure Study'!$B$31</f>
        <v>239446.40682815999</v>
      </c>
      <c r="W3494" s="199">
        <f ca="1">IF(A3494=10298,1.51,1)*IF($B3494&lt;3,$D3494*'Expenditure Study'!$B$32*OFFSET('Expenditure Study'!$B$7,'Operations Support'!$C3494,'Operations Support'!$B3494),0)</f>
        <v>152.19</v>
      </c>
      <c r="X3494" s="200">
        <f ca="1">W3494*'Expenditure Study'!$B$31</f>
        <v>8991.8692859519997</v>
      </c>
      <c r="Y3494" s="199">
        <f ca="1">U3494*'Expenditure Study'!$B$31</f>
        <v>239446.40682815999</v>
      </c>
      <c r="Z3494" s="200">
        <f ca="1">W3494*'Expenditure Study'!$B$31</f>
        <v>8991.8692859519997</v>
      </c>
      <c r="AA3494" s="195">
        <f t="shared" ca="1" si="764"/>
        <v>248438.276114112</v>
      </c>
      <c r="AB3494" s="195">
        <f t="shared" ca="1" si="765"/>
        <v>248438.276114112</v>
      </c>
      <c r="AD3494" s="196">
        <f>IFERROR($G3494/SUMIF($A:$A,$A3494,$G:$G)*SUMIF(Summary!$A$166:$A$242,$A3494,Summary!$P$166:$P$242),0)</f>
        <v>67326.562333637747</v>
      </c>
      <c r="AE3494" s="197">
        <f t="shared" ca="1" si="766"/>
        <v>181111.71378047427</v>
      </c>
      <c r="AF3494" s="196">
        <f>IFERROR(G3494/SUMIF(A:A,A3494,G:G)*SUMIF(Summary!$A$166:$A$242,'Operations Support'!A3494,Summary!$Q$166:$Q$242),0)</f>
        <v>67551.194874822788</v>
      </c>
      <c r="AG3494" s="196">
        <f t="shared" ca="1" si="767"/>
        <v>180887.0812392892</v>
      </c>
      <c r="AI3494" s="196">
        <f>IFERROR($G3494/SUMIF($A:$A,$A3494,$G:$G)*SUMIF(Summary!$A$247:$A$283,$A3494,Summary!$P$247:$P$283),0)</f>
        <v>12278.684854020692</v>
      </c>
      <c r="AJ3494" s="196">
        <f>IFERROR($G3494/SUMIF($A:$A,$A3494,$G:$G)*(SUMIF(Summary!$A$247:$A$283,$A3494,Summary!$L$247:$L$283)+SUMIF(Summary!$A$297:$A$333,$A3494,Summary!$L$297:$L$333))-AI3494,0)</f>
        <v>102012.55863201924</v>
      </c>
      <c r="AK3494" s="196">
        <f>IFERROR($G3494/SUMIF($A:$A,$A3494,$G:$G)*SUMIF(Summary!$A$247:$A$283,$A3494,Summary!$Q$247:$Q$283),0)</f>
        <v>12319.652223890262</v>
      </c>
      <c r="AL3494" s="196">
        <f>IFERROR($G3494/SUMIF($A:$A,$A3494,$G:$G)*(SUMIF(Summary!$A$247:$A$283,$A3494,Summary!$L$247:$L$283)+SUMIF(Summary!$A$297:$A$333,$A3494,Summary!$L$297:$L$333))-AK3494,0)</f>
        <v>101971.59126214965</v>
      </c>
      <c r="AM3494" s="198"/>
      <c r="AN3494" s="196">
        <f t="shared" ca="1" si="768"/>
        <v>283124.27241249348</v>
      </c>
      <c r="AO3494" s="196">
        <f t="shared" ca="1" si="769"/>
        <v>282858.67250143888</v>
      </c>
    </row>
    <row r="3495" spans="1:41">
      <c r="A3495" s="189">
        <v>29269</v>
      </c>
      <c r="B3495" s="190">
        <v>2</v>
      </c>
      <c r="C3495" s="191" t="s">
        <v>224</v>
      </c>
      <c r="D3495" s="192">
        <f t="shared" si="756"/>
        <v>0</v>
      </c>
      <c r="E3495" s="192">
        <f t="shared" si="757"/>
        <v>0</v>
      </c>
      <c r="F3495" s="192">
        <f t="shared" si="758"/>
        <v>0</v>
      </c>
      <c r="G3495" s="193">
        <f t="shared" si="759"/>
        <v>0</v>
      </c>
      <c r="H3495" s="194">
        <v>0</v>
      </c>
      <c r="I3495" s="194">
        <v>0</v>
      </c>
      <c r="J3495" s="194">
        <v>0</v>
      </c>
      <c r="K3495" s="193">
        <f t="shared" si="760"/>
        <v>0</v>
      </c>
      <c r="L3495" s="194">
        <v>0</v>
      </c>
      <c r="M3495" s="194">
        <v>0</v>
      </c>
      <c r="N3495" s="194">
        <v>0</v>
      </c>
      <c r="O3495" s="193">
        <f t="shared" si="761"/>
        <v>0</v>
      </c>
      <c r="P3495" s="194">
        <v>0</v>
      </c>
      <c r="Q3495" s="194">
        <v>0</v>
      </c>
      <c r="R3495" s="194">
        <v>0</v>
      </c>
      <c r="S3495" s="193">
        <f t="shared" si="762"/>
        <v>0</v>
      </c>
      <c r="T3495" s="193">
        <f t="shared" si="763"/>
        <v>0</v>
      </c>
      <c r="U3495" s="193">
        <f ca="1">OFFSET('Expenditure Study'!$B$7,'Operations Support'!$C3495,'Operations Support'!$B3495)*$G3495</f>
        <v>0</v>
      </c>
      <c r="V3495" s="199">
        <f ca="1">U3495*'Expenditure Study'!$B$31</f>
        <v>0</v>
      </c>
      <c r="W3495" s="199">
        <f ca="1">IF(A3495=10298,1.51,1)*IF($B3495&lt;3,$D3495*'Expenditure Study'!$B$32*OFFSET('Expenditure Study'!$B$7,'Operations Support'!$C3495,'Operations Support'!$B3495),0)</f>
        <v>0</v>
      </c>
      <c r="X3495" s="200">
        <f ca="1">W3495*'Expenditure Study'!$B$31</f>
        <v>0</v>
      </c>
      <c r="Y3495" s="199">
        <f ca="1">U3495*'Expenditure Study'!$B$31</f>
        <v>0</v>
      </c>
      <c r="Z3495" s="200">
        <f ca="1">W3495*'Expenditure Study'!$B$31</f>
        <v>0</v>
      </c>
      <c r="AA3495" s="195">
        <f t="shared" ca="1" si="764"/>
        <v>0</v>
      </c>
      <c r="AB3495" s="195">
        <f t="shared" ca="1" si="765"/>
        <v>0</v>
      </c>
      <c r="AD3495" s="196">
        <f>IFERROR($G3495/SUMIF($A:$A,$A3495,$G:$G)*SUMIF(Summary!$A$166:$A$242,$A3495,Summary!$P$166:$P$242),0)</f>
        <v>0</v>
      </c>
      <c r="AE3495" s="197">
        <f t="shared" ca="1" si="766"/>
        <v>0</v>
      </c>
      <c r="AF3495" s="196">
        <f>IFERROR(G3495/SUMIF(A:A,A3495,G:G)*SUMIF(Summary!$A$166:$A$242,'Operations Support'!A3495,Summary!$Q$166:$Q$242),0)</f>
        <v>0</v>
      </c>
      <c r="AG3495" s="196">
        <f t="shared" ca="1" si="767"/>
        <v>0</v>
      </c>
      <c r="AI3495" s="196">
        <f>IFERROR($G3495/SUMIF($A:$A,$A3495,$G:$G)*SUMIF(Summary!$A$247:$A$283,$A3495,Summary!$P$247:$P$283),0)</f>
        <v>0</v>
      </c>
      <c r="AJ3495" s="196">
        <f>IFERROR($G3495/SUMIF($A:$A,$A3495,$G:$G)*(SUMIF(Summary!$A$247:$A$283,$A3495,Summary!$L$247:$L$283)+SUMIF(Summary!$A$297:$A$333,$A3495,Summary!$L$297:$L$333))-AI3495,0)</f>
        <v>0</v>
      </c>
      <c r="AK3495" s="196">
        <f>IFERROR($G3495/SUMIF($A:$A,$A3495,$G:$G)*SUMIF(Summary!$A$247:$A$283,$A3495,Summary!$Q$247:$Q$283),0)</f>
        <v>0</v>
      </c>
      <c r="AL3495" s="196">
        <f>IFERROR($G3495/SUMIF($A:$A,$A3495,$G:$G)*(SUMIF(Summary!$A$247:$A$283,$A3495,Summary!$L$247:$L$283)+SUMIF(Summary!$A$297:$A$333,$A3495,Summary!$L$297:$L$333))-AK3495,0)</f>
        <v>0</v>
      </c>
      <c r="AM3495" s="198"/>
      <c r="AN3495" s="196">
        <f t="shared" ca="1" si="768"/>
        <v>0</v>
      </c>
      <c r="AO3495" s="196">
        <f t="shared" ca="1" si="769"/>
        <v>0</v>
      </c>
    </row>
    <row r="3496" spans="1:41">
      <c r="A3496" s="189">
        <v>29269</v>
      </c>
      <c r="B3496" s="190">
        <v>2</v>
      </c>
      <c r="C3496" s="191" t="s">
        <v>225</v>
      </c>
      <c r="D3496" s="192">
        <f t="shared" si="756"/>
        <v>1672</v>
      </c>
      <c r="E3496" s="192">
        <f t="shared" si="757"/>
        <v>481</v>
      </c>
      <c r="F3496" s="192">
        <f t="shared" si="758"/>
        <v>0</v>
      </c>
      <c r="G3496" s="193">
        <f t="shared" si="759"/>
        <v>2153</v>
      </c>
      <c r="H3496" s="194">
        <v>908</v>
      </c>
      <c r="I3496" s="194">
        <v>218</v>
      </c>
      <c r="J3496" s="194">
        <v>0</v>
      </c>
      <c r="K3496" s="193">
        <f t="shared" si="760"/>
        <v>1126</v>
      </c>
      <c r="L3496" s="194">
        <v>683</v>
      </c>
      <c r="M3496" s="194">
        <v>215</v>
      </c>
      <c r="N3496" s="194">
        <v>0</v>
      </c>
      <c r="O3496" s="193">
        <f t="shared" si="761"/>
        <v>898</v>
      </c>
      <c r="P3496" s="194">
        <v>81</v>
      </c>
      <c r="Q3496" s="194">
        <v>48</v>
      </c>
      <c r="R3496" s="194">
        <v>0</v>
      </c>
      <c r="S3496" s="193">
        <f t="shared" si="762"/>
        <v>129</v>
      </c>
      <c r="T3496" s="193">
        <f t="shared" si="763"/>
        <v>71.766666666666666</v>
      </c>
      <c r="U3496" s="193">
        <f ca="1">OFFSET('Expenditure Study'!$B$7,'Operations Support'!$C3496,'Operations Support'!$B3496)*$G3496</f>
        <v>6028.4</v>
      </c>
      <c r="V3496" s="199">
        <f ca="1">U3496*'Expenditure Study'!$B$31</f>
        <v>356177.04713471996</v>
      </c>
      <c r="W3496" s="199">
        <f ca="1">IF(A3496=10298,1.51,1)*IF($B3496&lt;3,$D3496*'Expenditure Study'!$B$32*OFFSET('Expenditure Study'!$B$7,'Operations Support'!$C3496,'Operations Support'!$B3496),0)</f>
        <v>468.16</v>
      </c>
      <c r="X3496" s="200">
        <f ca="1">W3496*'Expenditure Study'!$B$31</f>
        <v>27660.381923328001</v>
      </c>
      <c r="Y3496" s="199">
        <f ca="1">U3496*'Expenditure Study'!$B$31</f>
        <v>356177.04713471996</v>
      </c>
      <c r="Z3496" s="200">
        <f ca="1">W3496*'Expenditure Study'!$B$31</f>
        <v>27660.381923328001</v>
      </c>
      <c r="AA3496" s="195">
        <f t="shared" ca="1" si="764"/>
        <v>383837.42905804794</v>
      </c>
      <c r="AB3496" s="195">
        <f t="shared" ca="1" si="765"/>
        <v>383837.42905804794</v>
      </c>
      <c r="AD3496" s="196">
        <f>IFERROR($G3496/SUMIF($A:$A,$A3496,$G:$G)*SUMIF(Summary!$A$166:$A$242,$A3496,Summary!$P$166:$P$242),0)</f>
        <v>67957.847493821886</v>
      </c>
      <c r="AE3496" s="197">
        <f t="shared" ca="1" si="766"/>
        <v>315879.58156422607</v>
      </c>
      <c r="AF3496" s="196">
        <f>IFERROR(G3496/SUMIF(A:A,A3496,G:G)*SUMIF(Summary!$A$166:$A$242,'Operations Support'!A3496,Summary!$Q$166:$Q$242),0)</f>
        <v>68184.586294183522</v>
      </c>
      <c r="AG3496" s="196">
        <f t="shared" ca="1" si="767"/>
        <v>315652.84276386444</v>
      </c>
      <c r="AI3496" s="196">
        <f>IFERROR($G3496/SUMIF($A:$A,$A3496,$G:$G)*SUMIF(Summary!$A$247:$A$283,$A3496,Summary!$P$247:$P$283),0)</f>
        <v>12393.815513692709</v>
      </c>
      <c r="AJ3496" s="196">
        <f>IFERROR($G3496/SUMIF($A:$A,$A3496,$G:$G)*(SUMIF(Summary!$A$247:$A$283,$A3496,Summary!$L$247:$L$283)+SUMIF(Summary!$A$297:$A$333,$A3496,Summary!$L$297:$L$333))-AI3496,0)</f>
        <v>102969.07582500583</v>
      </c>
      <c r="AK3496" s="196">
        <f>IFERROR($G3496/SUMIF($A:$A,$A3496,$G:$G)*SUMIF(Summary!$A$247:$A$283,$A3496,Summary!$Q$247:$Q$283),0)</f>
        <v>12435.167012674981</v>
      </c>
      <c r="AL3496" s="196">
        <f>IFERROR($G3496/SUMIF($A:$A,$A3496,$G:$G)*(SUMIF(Summary!$A$247:$A$283,$A3496,Summary!$L$247:$L$283)+SUMIF(Summary!$A$297:$A$333,$A3496,Summary!$L$297:$L$333))-AK3496,0)</f>
        <v>102927.72432602356</v>
      </c>
      <c r="AM3496" s="198"/>
      <c r="AN3496" s="196">
        <f t="shared" ca="1" si="768"/>
        <v>418848.6573892319</v>
      </c>
      <c r="AO3496" s="196">
        <f t="shared" ca="1" si="769"/>
        <v>418580.56708988798</v>
      </c>
    </row>
    <row r="3497" spans="1:41">
      <c r="A3497" s="189">
        <v>29269</v>
      </c>
      <c r="B3497" s="190">
        <v>2</v>
      </c>
      <c r="C3497" s="191" t="s">
        <v>226</v>
      </c>
      <c r="D3497" s="192">
        <f t="shared" si="756"/>
        <v>15</v>
      </c>
      <c r="E3497" s="192">
        <f t="shared" si="757"/>
        <v>156</v>
      </c>
      <c r="F3497" s="192">
        <f t="shared" si="758"/>
        <v>0</v>
      </c>
      <c r="G3497" s="193">
        <f t="shared" si="759"/>
        <v>171</v>
      </c>
      <c r="H3497" s="194">
        <v>15</v>
      </c>
      <c r="I3497" s="194">
        <v>60</v>
      </c>
      <c r="J3497" s="194">
        <v>0</v>
      </c>
      <c r="K3497" s="193">
        <f t="shared" si="760"/>
        <v>75</v>
      </c>
      <c r="L3497" s="194">
        <v>0</v>
      </c>
      <c r="M3497" s="194">
        <v>96</v>
      </c>
      <c r="N3497" s="194">
        <v>0</v>
      </c>
      <c r="O3497" s="193">
        <f t="shared" si="761"/>
        <v>96</v>
      </c>
      <c r="P3497" s="194">
        <v>0</v>
      </c>
      <c r="Q3497" s="194">
        <v>0</v>
      </c>
      <c r="R3497" s="194">
        <v>0</v>
      </c>
      <c r="S3497" s="193">
        <f t="shared" si="762"/>
        <v>0</v>
      </c>
      <c r="T3497" s="193">
        <f t="shared" si="763"/>
        <v>5.7</v>
      </c>
      <c r="U3497" s="193">
        <f ca="1">OFFSET('Expenditure Study'!$B$7,'Operations Support'!$C3497,'Operations Support'!$B3497)*$G3497</f>
        <v>307.8</v>
      </c>
      <c r="V3497" s="199">
        <f ca="1">U3497*'Expenditure Study'!$B$31</f>
        <v>18185.80305024</v>
      </c>
      <c r="W3497" s="199">
        <f ca="1">IF(A3497=10298,1.51,1)*IF($B3497&lt;3,$D3497*'Expenditure Study'!$B$32*OFFSET('Expenditure Study'!$B$7,'Operations Support'!$C3497,'Operations Support'!$B3497),0)</f>
        <v>2.7</v>
      </c>
      <c r="X3497" s="200">
        <f ca="1">W3497*'Expenditure Study'!$B$31</f>
        <v>159.52458816000001</v>
      </c>
      <c r="Y3497" s="199">
        <f ca="1">U3497*'Expenditure Study'!$B$31</f>
        <v>18185.80305024</v>
      </c>
      <c r="Z3497" s="200">
        <f ca="1">W3497*'Expenditure Study'!$B$31</f>
        <v>159.52458816000001</v>
      </c>
      <c r="AA3497" s="195">
        <f t="shared" ca="1" si="764"/>
        <v>18345.327638399998</v>
      </c>
      <c r="AB3497" s="195">
        <f t="shared" ca="1" si="765"/>
        <v>18345.327638399998</v>
      </c>
      <c r="AD3497" s="196">
        <f>IFERROR($G3497/SUMIF($A:$A,$A3497,$G:$G)*SUMIF(Summary!$A$166:$A$242,$A3497,Summary!$P$166:$P$242),0)</f>
        <v>5397.4881195743346</v>
      </c>
      <c r="AE3497" s="197">
        <f t="shared" ca="1" si="766"/>
        <v>12947.839518825664</v>
      </c>
      <c r="AF3497" s="196">
        <f>IFERROR(G3497/SUMIF(A:A,A3497,G:G)*SUMIF(Summary!$A$166:$A$242,'Operations Support'!A3497,Summary!$Q$166:$Q$242),0)</f>
        <v>5415.4966355343158</v>
      </c>
      <c r="AG3497" s="196">
        <f t="shared" ca="1" si="767"/>
        <v>12929.831002865682</v>
      </c>
      <c r="AI3497" s="196">
        <f>IFERROR($G3497/SUMIF($A:$A,$A3497,$G:$G)*SUMIF(Summary!$A$247:$A$283,$A3497,Summary!$P$247:$P$283),0)</f>
        <v>984.36714019575163</v>
      </c>
      <c r="AJ3497" s="196">
        <f>IFERROR($G3497/SUMIF($A:$A,$A3497,$G:$G)*(SUMIF(Summary!$A$247:$A$283,$A3497,Summary!$L$247:$L$283)+SUMIF(Summary!$A$297:$A$333,$A3497,Summary!$L$297:$L$333))-AI3497,0)</f>
        <v>8178.2220000352982</v>
      </c>
      <c r="AK3497" s="196">
        <f>IFERROR($G3497/SUMIF($A:$A,$A3497,$G:$G)*SUMIF(Summary!$A$247:$A$283,$A3497,Summary!$Q$247:$Q$283),0)</f>
        <v>987.6514441093459</v>
      </c>
      <c r="AL3497" s="196">
        <f>IFERROR($G3497/SUMIF($A:$A,$A3497,$G:$G)*(SUMIF(Summary!$A$247:$A$283,$A3497,Summary!$L$247:$L$283)+SUMIF(Summary!$A$297:$A$333,$A3497,Summary!$L$297:$L$333))-AK3497,0)</f>
        <v>8174.937696121704</v>
      </c>
      <c r="AM3497" s="198"/>
      <c r="AN3497" s="196">
        <f t="shared" ca="1" si="768"/>
        <v>21126.061518860963</v>
      </c>
      <c r="AO3497" s="196">
        <f t="shared" ca="1" si="769"/>
        <v>21104.768698987384</v>
      </c>
    </row>
    <row r="3498" spans="1:41">
      <c r="A3498" s="189">
        <v>29269</v>
      </c>
      <c r="B3498" s="190">
        <v>2</v>
      </c>
      <c r="C3498" s="191" t="s">
        <v>227</v>
      </c>
      <c r="D3498" s="192">
        <f t="shared" si="756"/>
        <v>0</v>
      </c>
      <c r="E3498" s="192">
        <f t="shared" si="757"/>
        <v>0</v>
      </c>
      <c r="F3498" s="192">
        <f t="shared" si="758"/>
        <v>0</v>
      </c>
      <c r="G3498" s="193">
        <f t="shared" si="759"/>
        <v>0</v>
      </c>
      <c r="H3498" s="194">
        <v>0</v>
      </c>
      <c r="I3498" s="194">
        <v>0</v>
      </c>
      <c r="J3498" s="194">
        <v>0</v>
      </c>
      <c r="K3498" s="193">
        <f t="shared" si="760"/>
        <v>0</v>
      </c>
      <c r="L3498" s="194">
        <v>0</v>
      </c>
      <c r="M3498" s="194">
        <v>0</v>
      </c>
      <c r="N3498" s="194">
        <v>0</v>
      </c>
      <c r="O3498" s="193">
        <f t="shared" si="761"/>
        <v>0</v>
      </c>
      <c r="P3498" s="194">
        <v>0</v>
      </c>
      <c r="Q3498" s="194">
        <v>0</v>
      </c>
      <c r="R3498" s="194">
        <v>0</v>
      </c>
      <c r="S3498" s="193">
        <f t="shared" si="762"/>
        <v>0</v>
      </c>
      <c r="T3498" s="193">
        <f t="shared" si="763"/>
        <v>0</v>
      </c>
      <c r="U3498" s="193">
        <f ca="1">OFFSET('Expenditure Study'!$B$7,'Operations Support'!$C3498,'Operations Support'!$B3498)*$G3498</f>
        <v>0</v>
      </c>
      <c r="V3498" s="199">
        <f ca="1">U3498*'Expenditure Study'!$B$31</f>
        <v>0</v>
      </c>
      <c r="W3498" s="199">
        <f ca="1">IF(A3498=10298,1.51,1)*IF($B3498&lt;3,$D3498*'Expenditure Study'!$B$32*OFFSET('Expenditure Study'!$B$7,'Operations Support'!$C3498,'Operations Support'!$B3498),0)</f>
        <v>0</v>
      </c>
      <c r="X3498" s="200">
        <f ca="1">W3498*'Expenditure Study'!$B$31</f>
        <v>0</v>
      </c>
      <c r="Y3498" s="199">
        <f ca="1">U3498*'Expenditure Study'!$B$31</f>
        <v>0</v>
      </c>
      <c r="Z3498" s="200">
        <f ca="1">W3498*'Expenditure Study'!$B$31</f>
        <v>0</v>
      </c>
      <c r="AA3498" s="195">
        <f t="shared" ca="1" si="764"/>
        <v>0</v>
      </c>
      <c r="AB3498" s="195">
        <f t="shared" ca="1" si="765"/>
        <v>0</v>
      </c>
      <c r="AD3498" s="196">
        <f>IFERROR($G3498/SUMIF($A:$A,$A3498,$G:$G)*SUMIF(Summary!$A$166:$A$242,$A3498,Summary!$P$166:$P$242),0)</f>
        <v>0</v>
      </c>
      <c r="AE3498" s="197">
        <f t="shared" ca="1" si="766"/>
        <v>0</v>
      </c>
      <c r="AF3498" s="196">
        <f>IFERROR(G3498/SUMIF(A:A,A3498,G:G)*SUMIF(Summary!$A$166:$A$242,'Operations Support'!A3498,Summary!$Q$166:$Q$242),0)</f>
        <v>0</v>
      </c>
      <c r="AG3498" s="196">
        <f t="shared" ca="1" si="767"/>
        <v>0</v>
      </c>
      <c r="AI3498" s="196">
        <f>IFERROR($G3498/SUMIF($A:$A,$A3498,$G:$G)*SUMIF(Summary!$A$247:$A$283,$A3498,Summary!$P$247:$P$283),0)</f>
        <v>0</v>
      </c>
      <c r="AJ3498" s="196">
        <f>IFERROR($G3498/SUMIF($A:$A,$A3498,$G:$G)*(SUMIF(Summary!$A$247:$A$283,$A3498,Summary!$L$247:$L$283)+SUMIF(Summary!$A$297:$A$333,$A3498,Summary!$L$297:$L$333))-AI3498,0)</f>
        <v>0</v>
      </c>
      <c r="AK3498" s="196">
        <f>IFERROR($G3498/SUMIF($A:$A,$A3498,$G:$G)*SUMIF(Summary!$A$247:$A$283,$A3498,Summary!$Q$247:$Q$283),0)</f>
        <v>0</v>
      </c>
      <c r="AL3498" s="196">
        <f>IFERROR($G3498/SUMIF($A:$A,$A3498,$G:$G)*(SUMIF(Summary!$A$247:$A$283,$A3498,Summary!$L$247:$L$283)+SUMIF(Summary!$A$297:$A$333,$A3498,Summary!$L$297:$L$333))-AK3498,0)</f>
        <v>0</v>
      </c>
      <c r="AM3498" s="198"/>
      <c r="AN3498" s="196">
        <f t="shared" ca="1" si="768"/>
        <v>0</v>
      </c>
      <c r="AO3498" s="196">
        <f t="shared" ca="1" si="769"/>
        <v>0</v>
      </c>
    </row>
    <row r="3499" spans="1:41">
      <c r="A3499" s="189">
        <v>29269</v>
      </c>
      <c r="B3499" s="190">
        <v>2</v>
      </c>
      <c r="C3499" s="191" t="s">
        <v>228</v>
      </c>
      <c r="D3499" s="192">
        <f t="shared" si="756"/>
        <v>81</v>
      </c>
      <c r="E3499" s="192">
        <f t="shared" si="757"/>
        <v>33</v>
      </c>
      <c r="F3499" s="192">
        <f t="shared" si="758"/>
        <v>0</v>
      </c>
      <c r="G3499" s="193">
        <f t="shared" si="759"/>
        <v>114</v>
      </c>
      <c r="H3499" s="194">
        <v>27</v>
      </c>
      <c r="I3499" s="194">
        <v>33</v>
      </c>
      <c r="J3499" s="194">
        <v>0</v>
      </c>
      <c r="K3499" s="193">
        <f t="shared" si="760"/>
        <v>60</v>
      </c>
      <c r="L3499" s="194">
        <v>12</v>
      </c>
      <c r="M3499" s="194">
        <v>0</v>
      </c>
      <c r="N3499" s="194">
        <v>0</v>
      </c>
      <c r="O3499" s="193">
        <f t="shared" si="761"/>
        <v>12</v>
      </c>
      <c r="P3499" s="194">
        <v>42</v>
      </c>
      <c r="Q3499" s="194">
        <v>0</v>
      </c>
      <c r="R3499" s="194">
        <v>0</v>
      </c>
      <c r="S3499" s="193">
        <f t="shared" si="762"/>
        <v>42</v>
      </c>
      <c r="T3499" s="193">
        <f t="shared" si="763"/>
        <v>3.8</v>
      </c>
      <c r="U3499" s="193">
        <f ca="1">OFFSET('Expenditure Study'!$B$7,'Operations Support'!$C3499,'Operations Support'!$B3499)*$G3499</f>
        <v>217.73999999999998</v>
      </c>
      <c r="V3499" s="199">
        <f ca="1">U3499*'Expenditure Study'!$B$31</f>
        <v>12864.771787391999</v>
      </c>
      <c r="W3499" s="199">
        <f ca="1">IF(A3499=10298,1.51,1)*IF($B3499&lt;3,$D3499*'Expenditure Study'!$B$32*OFFSET('Expenditure Study'!$B$7,'Operations Support'!$C3499,'Operations Support'!$B3499),0)</f>
        <v>15.470999999999998</v>
      </c>
      <c r="X3499" s="200">
        <f ca="1">W3499*'Expenditure Study'!$B$31</f>
        <v>914.07589015679991</v>
      </c>
      <c r="Y3499" s="199">
        <f ca="1">U3499*'Expenditure Study'!$B$31</f>
        <v>12864.771787391999</v>
      </c>
      <c r="Z3499" s="200">
        <f ca="1">W3499*'Expenditure Study'!$B$31</f>
        <v>914.07589015679991</v>
      </c>
      <c r="AA3499" s="195">
        <f t="shared" ca="1" si="764"/>
        <v>13778.8476775488</v>
      </c>
      <c r="AB3499" s="195">
        <f t="shared" ca="1" si="765"/>
        <v>13778.8476775488</v>
      </c>
      <c r="AD3499" s="196">
        <f>IFERROR($G3499/SUMIF($A:$A,$A3499,$G:$G)*SUMIF(Summary!$A$166:$A$242,$A3499,Summary!$P$166:$P$242),0)</f>
        <v>3598.3254130495561</v>
      </c>
      <c r="AE3499" s="197">
        <f t="shared" ca="1" si="766"/>
        <v>10180.522264499243</v>
      </c>
      <c r="AF3499" s="196">
        <f>IFERROR(G3499/SUMIF(A:A,A3499,G:G)*SUMIF(Summary!$A$166:$A$242,'Operations Support'!A3499,Summary!$Q$166:$Q$242),0)</f>
        <v>3610.3310903562106</v>
      </c>
      <c r="AG3499" s="196">
        <f t="shared" ca="1" si="767"/>
        <v>10168.516587192589</v>
      </c>
      <c r="AI3499" s="196">
        <f>IFERROR($G3499/SUMIF($A:$A,$A3499,$G:$G)*SUMIF(Summary!$A$247:$A$283,$A3499,Summary!$P$247:$P$283),0)</f>
        <v>656.24476013050105</v>
      </c>
      <c r="AJ3499" s="196">
        <f>IFERROR($G3499/SUMIF($A:$A,$A3499,$G:$G)*(SUMIF(Summary!$A$247:$A$283,$A3499,Summary!$L$247:$L$283)+SUMIF(Summary!$A$297:$A$333,$A3499,Summary!$L$297:$L$333))-AI3499,0)</f>
        <v>5452.1480000235315</v>
      </c>
      <c r="AK3499" s="196">
        <f>IFERROR($G3499/SUMIF($A:$A,$A3499,$G:$G)*SUMIF(Summary!$A$247:$A$283,$A3499,Summary!$Q$247:$Q$283),0)</f>
        <v>658.43429607289727</v>
      </c>
      <c r="AL3499" s="196">
        <f>IFERROR($G3499/SUMIF($A:$A,$A3499,$G:$G)*(SUMIF(Summary!$A$247:$A$283,$A3499,Summary!$L$247:$L$283)+SUMIF(Summary!$A$297:$A$333,$A3499,Summary!$L$297:$L$333))-AK3499,0)</f>
        <v>5449.9584640811354</v>
      </c>
      <c r="AM3499" s="198"/>
      <c r="AN3499" s="196">
        <f t="shared" ca="1" si="768"/>
        <v>15632.670264522774</v>
      </c>
      <c r="AO3499" s="196">
        <f t="shared" ca="1" si="769"/>
        <v>15618.475051273725</v>
      </c>
    </row>
    <row r="3500" spans="1:41">
      <c r="A3500" s="189">
        <v>29269</v>
      </c>
      <c r="B3500" s="190">
        <v>2</v>
      </c>
      <c r="C3500" s="191" t="s">
        <v>229</v>
      </c>
      <c r="D3500" s="192">
        <f t="shared" si="756"/>
        <v>0</v>
      </c>
      <c r="E3500" s="192">
        <f t="shared" si="757"/>
        <v>0</v>
      </c>
      <c r="F3500" s="192">
        <f t="shared" si="758"/>
        <v>0</v>
      </c>
      <c r="G3500" s="193">
        <f t="shared" si="759"/>
        <v>0</v>
      </c>
      <c r="H3500" s="194">
        <v>0</v>
      </c>
      <c r="I3500" s="194">
        <v>0</v>
      </c>
      <c r="J3500" s="194">
        <v>0</v>
      </c>
      <c r="K3500" s="193">
        <f t="shared" si="760"/>
        <v>0</v>
      </c>
      <c r="L3500" s="194">
        <v>0</v>
      </c>
      <c r="M3500" s="194">
        <v>0</v>
      </c>
      <c r="N3500" s="194">
        <v>0</v>
      </c>
      <c r="O3500" s="193">
        <f t="shared" si="761"/>
        <v>0</v>
      </c>
      <c r="P3500" s="194">
        <v>0</v>
      </c>
      <c r="Q3500" s="194">
        <v>0</v>
      </c>
      <c r="R3500" s="194">
        <v>0</v>
      </c>
      <c r="S3500" s="193">
        <f t="shared" si="762"/>
        <v>0</v>
      </c>
      <c r="T3500" s="193">
        <f t="shared" si="763"/>
        <v>0</v>
      </c>
      <c r="U3500" s="193">
        <f ca="1">OFFSET('Expenditure Study'!$B$7,'Operations Support'!$C3500,'Operations Support'!$B3500)*$G3500</f>
        <v>0</v>
      </c>
      <c r="V3500" s="199">
        <f ca="1">U3500*'Expenditure Study'!$B$31</f>
        <v>0</v>
      </c>
      <c r="W3500" s="199">
        <f ca="1">IF(A3500=10298,1.51,1)*IF($B3500&lt;3,$D3500*'Expenditure Study'!$B$32*OFFSET('Expenditure Study'!$B$7,'Operations Support'!$C3500,'Operations Support'!$B3500),0)</f>
        <v>0</v>
      </c>
      <c r="X3500" s="200">
        <f ca="1">W3500*'Expenditure Study'!$B$31</f>
        <v>0</v>
      </c>
      <c r="Y3500" s="199">
        <f ca="1">U3500*'Expenditure Study'!$B$31</f>
        <v>0</v>
      </c>
      <c r="Z3500" s="200">
        <f ca="1">W3500*'Expenditure Study'!$B$31</f>
        <v>0</v>
      </c>
      <c r="AA3500" s="195">
        <f t="shared" ca="1" si="764"/>
        <v>0</v>
      </c>
      <c r="AB3500" s="195">
        <f t="shared" ca="1" si="765"/>
        <v>0</v>
      </c>
      <c r="AD3500" s="196">
        <f>IFERROR($G3500/SUMIF($A:$A,$A3500,$G:$G)*SUMIF(Summary!$A$166:$A$242,$A3500,Summary!$P$166:$P$242),0)</f>
        <v>0</v>
      </c>
      <c r="AE3500" s="197">
        <f t="shared" ca="1" si="766"/>
        <v>0</v>
      </c>
      <c r="AF3500" s="196">
        <f>IFERROR(G3500/SUMIF(A:A,A3500,G:G)*SUMIF(Summary!$A$166:$A$242,'Operations Support'!A3500,Summary!$Q$166:$Q$242),0)</f>
        <v>0</v>
      </c>
      <c r="AG3500" s="196">
        <f t="shared" ca="1" si="767"/>
        <v>0</v>
      </c>
      <c r="AI3500" s="196">
        <f>IFERROR($G3500/SUMIF($A:$A,$A3500,$G:$G)*SUMIF(Summary!$A$247:$A$283,$A3500,Summary!$P$247:$P$283),0)</f>
        <v>0</v>
      </c>
      <c r="AJ3500" s="196">
        <f>IFERROR($G3500/SUMIF($A:$A,$A3500,$G:$G)*(SUMIF(Summary!$A$247:$A$283,$A3500,Summary!$L$247:$L$283)+SUMIF(Summary!$A$297:$A$333,$A3500,Summary!$L$297:$L$333))-AI3500,0)</f>
        <v>0</v>
      </c>
      <c r="AK3500" s="196">
        <f>IFERROR($G3500/SUMIF($A:$A,$A3500,$G:$G)*SUMIF(Summary!$A$247:$A$283,$A3500,Summary!$Q$247:$Q$283),0)</f>
        <v>0</v>
      </c>
      <c r="AL3500" s="196">
        <f>IFERROR($G3500/SUMIF($A:$A,$A3500,$G:$G)*(SUMIF(Summary!$A$247:$A$283,$A3500,Summary!$L$247:$L$283)+SUMIF(Summary!$A$297:$A$333,$A3500,Summary!$L$297:$L$333))-AK3500,0)</f>
        <v>0</v>
      </c>
      <c r="AM3500" s="198"/>
      <c r="AN3500" s="196">
        <f t="shared" ca="1" si="768"/>
        <v>0</v>
      </c>
      <c r="AO3500" s="196">
        <f t="shared" ca="1" si="769"/>
        <v>0</v>
      </c>
    </row>
    <row r="3501" spans="1:41">
      <c r="A3501" s="189">
        <v>29269</v>
      </c>
      <c r="B3501" s="190">
        <v>2</v>
      </c>
      <c r="C3501" s="191" t="s">
        <v>230</v>
      </c>
      <c r="D3501" s="192">
        <f t="shared" si="756"/>
        <v>0</v>
      </c>
      <c r="E3501" s="192">
        <f t="shared" si="757"/>
        <v>0</v>
      </c>
      <c r="F3501" s="192">
        <f t="shared" si="758"/>
        <v>0</v>
      </c>
      <c r="G3501" s="193">
        <f t="shared" si="759"/>
        <v>0</v>
      </c>
      <c r="H3501" s="194">
        <v>0</v>
      </c>
      <c r="I3501" s="194">
        <v>0</v>
      </c>
      <c r="J3501" s="194">
        <v>0</v>
      </c>
      <c r="K3501" s="193">
        <f t="shared" si="760"/>
        <v>0</v>
      </c>
      <c r="L3501" s="194">
        <v>0</v>
      </c>
      <c r="M3501" s="194">
        <v>0</v>
      </c>
      <c r="N3501" s="194">
        <v>0</v>
      </c>
      <c r="O3501" s="193">
        <f t="shared" si="761"/>
        <v>0</v>
      </c>
      <c r="P3501" s="194">
        <v>0</v>
      </c>
      <c r="Q3501" s="194">
        <v>0</v>
      </c>
      <c r="R3501" s="194">
        <v>0</v>
      </c>
      <c r="S3501" s="193">
        <f t="shared" si="762"/>
        <v>0</v>
      </c>
      <c r="T3501" s="193">
        <f t="shared" si="763"/>
        <v>0</v>
      </c>
      <c r="U3501" s="193">
        <f ca="1">OFFSET('Expenditure Study'!$B$7,'Operations Support'!$C3501,'Operations Support'!$B3501)*$G3501</f>
        <v>0</v>
      </c>
      <c r="V3501" s="199">
        <f ca="1">U3501*'Expenditure Study'!$B$31</f>
        <v>0</v>
      </c>
      <c r="W3501" s="199">
        <f ca="1">IF(A3501=10298,1.51,1)*IF($B3501&lt;3,$D3501*'Expenditure Study'!$B$32*OFFSET('Expenditure Study'!$B$7,'Operations Support'!$C3501,'Operations Support'!$B3501),0)</f>
        <v>0</v>
      </c>
      <c r="X3501" s="200">
        <f ca="1">W3501*'Expenditure Study'!$B$31</f>
        <v>0</v>
      </c>
      <c r="Y3501" s="199">
        <f ca="1">U3501*'Expenditure Study'!$B$31</f>
        <v>0</v>
      </c>
      <c r="Z3501" s="200">
        <f ca="1">W3501*'Expenditure Study'!$B$31</f>
        <v>0</v>
      </c>
      <c r="AA3501" s="195">
        <f t="shared" ca="1" si="764"/>
        <v>0</v>
      </c>
      <c r="AB3501" s="195">
        <f t="shared" ca="1" si="765"/>
        <v>0</v>
      </c>
      <c r="AD3501" s="196">
        <f>IFERROR($G3501/SUMIF($A:$A,$A3501,$G:$G)*SUMIF(Summary!$A$166:$A$242,$A3501,Summary!$P$166:$P$242),0)</f>
        <v>0</v>
      </c>
      <c r="AE3501" s="197">
        <f t="shared" ca="1" si="766"/>
        <v>0</v>
      </c>
      <c r="AF3501" s="196">
        <f>IFERROR(G3501/SUMIF(A:A,A3501,G:G)*SUMIF(Summary!$A$166:$A$242,'Operations Support'!A3501,Summary!$Q$166:$Q$242),0)</f>
        <v>0</v>
      </c>
      <c r="AG3501" s="196">
        <f t="shared" ca="1" si="767"/>
        <v>0</v>
      </c>
      <c r="AI3501" s="196">
        <f>IFERROR($G3501/SUMIF($A:$A,$A3501,$G:$G)*SUMIF(Summary!$A$247:$A$283,$A3501,Summary!$P$247:$P$283),0)</f>
        <v>0</v>
      </c>
      <c r="AJ3501" s="196">
        <f>IFERROR($G3501/SUMIF($A:$A,$A3501,$G:$G)*(SUMIF(Summary!$A$247:$A$283,$A3501,Summary!$L$247:$L$283)+SUMIF(Summary!$A$297:$A$333,$A3501,Summary!$L$297:$L$333))-AI3501,0)</f>
        <v>0</v>
      </c>
      <c r="AK3501" s="196">
        <f>IFERROR($G3501/SUMIF($A:$A,$A3501,$G:$G)*SUMIF(Summary!$A$247:$A$283,$A3501,Summary!$Q$247:$Q$283),0)</f>
        <v>0</v>
      </c>
      <c r="AL3501" s="196">
        <f>IFERROR($G3501/SUMIF($A:$A,$A3501,$G:$G)*(SUMIF(Summary!$A$247:$A$283,$A3501,Summary!$L$247:$L$283)+SUMIF(Summary!$A$297:$A$333,$A3501,Summary!$L$297:$L$333))-AK3501,0)</f>
        <v>0</v>
      </c>
      <c r="AM3501" s="198"/>
      <c r="AN3501" s="196">
        <f t="shared" ca="1" si="768"/>
        <v>0</v>
      </c>
      <c r="AO3501" s="196">
        <f t="shared" ca="1" si="769"/>
        <v>0</v>
      </c>
    </row>
    <row r="3502" spans="1:41">
      <c r="A3502" s="189">
        <v>29269</v>
      </c>
      <c r="B3502" s="190">
        <v>2</v>
      </c>
      <c r="C3502" s="191" t="s">
        <v>231</v>
      </c>
      <c r="D3502" s="192">
        <f t="shared" si="756"/>
        <v>0</v>
      </c>
      <c r="E3502" s="192">
        <f t="shared" si="757"/>
        <v>0</v>
      </c>
      <c r="F3502" s="192">
        <f t="shared" si="758"/>
        <v>0</v>
      </c>
      <c r="G3502" s="193">
        <f t="shared" si="759"/>
        <v>0</v>
      </c>
      <c r="H3502" s="194">
        <v>0</v>
      </c>
      <c r="I3502" s="194">
        <v>0</v>
      </c>
      <c r="J3502" s="194">
        <v>0</v>
      </c>
      <c r="K3502" s="193">
        <f t="shared" si="760"/>
        <v>0</v>
      </c>
      <c r="L3502" s="194">
        <v>0</v>
      </c>
      <c r="M3502" s="194">
        <v>0</v>
      </c>
      <c r="N3502" s="194">
        <v>0</v>
      </c>
      <c r="O3502" s="193">
        <f t="shared" si="761"/>
        <v>0</v>
      </c>
      <c r="P3502" s="194">
        <v>0</v>
      </c>
      <c r="Q3502" s="194">
        <v>0</v>
      </c>
      <c r="R3502" s="194">
        <v>0</v>
      </c>
      <c r="S3502" s="193">
        <f t="shared" si="762"/>
        <v>0</v>
      </c>
      <c r="T3502" s="193">
        <f t="shared" si="763"/>
        <v>0</v>
      </c>
      <c r="U3502" s="193">
        <f ca="1">OFFSET('Expenditure Study'!$B$7,'Operations Support'!$C3502,'Operations Support'!$B3502)*$G3502</f>
        <v>0</v>
      </c>
      <c r="V3502" s="199">
        <f ca="1">U3502*'Expenditure Study'!$B$31</f>
        <v>0</v>
      </c>
      <c r="W3502" s="199">
        <f ca="1">IF(A3502=10298,1.51,1)*IF($B3502&lt;3,$D3502*'Expenditure Study'!$B$32*OFFSET('Expenditure Study'!$B$7,'Operations Support'!$C3502,'Operations Support'!$B3502),0)</f>
        <v>0</v>
      </c>
      <c r="X3502" s="200">
        <f ca="1">W3502*'Expenditure Study'!$B$31</f>
        <v>0</v>
      </c>
      <c r="Y3502" s="199">
        <f ca="1">U3502*'Expenditure Study'!$B$31</f>
        <v>0</v>
      </c>
      <c r="Z3502" s="200">
        <f ca="1">W3502*'Expenditure Study'!$B$31</f>
        <v>0</v>
      </c>
      <c r="AA3502" s="195">
        <f t="shared" ca="1" si="764"/>
        <v>0</v>
      </c>
      <c r="AB3502" s="195">
        <f t="shared" ca="1" si="765"/>
        <v>0</v>
      </c>
      <c r="AD3502" s="196">
        <f>IFERROR($G3502/SUMIF($A:$A,$A3502,$G:$G)*SUMIF(Summary!$A$166:$A$242,$A3502,Summary!$P$166:$P$242),0)</f>
        <v>0</v>
      </c>
      <c r="AE3502" s="197">
        <f t="shared" ca="1" si="766"/>
        <v>0</v>
      </c>
      <c r="AF3502" s="196">
        <f>IFERROR(G3502/SUMIF(A:A,A3502,G:G)*SUMIF(Summary!$A$166:$A$242,'Operations Support'!A3502,Summary!$Q$166:$Q$242),0)</f>
        <v>0</v>
      </c>
      <c r="AG3502" s="196">
        <f t="shared" ca="1" si="767"/>
        <v>0</v>
      </c>
      <c r="AI3502" s="196">
        <f>IFERROR($G3502/SUMIF($A:$A,$A3502,$G:$G)*SUMIF(Summary!$A$247:$A$283,$A3502,Summary!$P$247:$P$283),0)</f>
        <v>0</v>
      </c>
      <c r="AJ3502" s="196">
        <f>IFERROR($G3502/SUMIF($A:$A,$A3502,$G:$G)*(SUMIF(Summary!$A$247:$A$283,$A3502,Summary!$L$247:$L$283)+SUMIF(Summary!$A$297:$A$333,$A3502,Summary!$L$297:$L$333))-AI3502,0)</f>
        <v>0</v>
      </c>
      <c r="AK3502" s="196">
        <f>IFERROR($G3502/SUMIF($A:$A,$A3502,$G:$G)*SUMIF(Summary!$A$247:$A$283,$A3502,Summary!$Q$247:$Q$283),0)</f>
        <v>0</v>
      </c>
      <c r="AL3502" s="196">
        <f>IFERROR($G3502/SUMIF($A:$A,$A3502,$G:$G)*(SUMIF(Summary!$A$247:$A$283,$A3502,Summary!$L$247:$L$283)+SUMIF(Summary!$A$297:$A$333,$A3502,Summary!$L$297:$L$333))-AK3502,0)</f>
        <v>0</v>
      </c>
      <c r="AM3502" s="198"/>
      <c r="AN3502" s="196">
        <f t="shared" ca="1" si="768"/>
        <v>0</v>
      </c>
      <c r="AO3502" s="196">
        <f t="shared" ca="1" si="769"/>
        <v>0</v>
      </c>
    </row>
    <row r="3503" spans="1:41">
      <c r="A3503" s="189">
        <v>29269</v>
      </c>
      <c r="B3503" s="190">
        <v>2</v>
      </c>
      <c r="C3503" s="191" t="s">
        <v>232</v>
      </c>
      <c r="D3503" s="192">
        <f t="shared" si="756"/>
        <v>0</v>
      </c>
      <c r="E3503" s="192">
        <f t="shared" si="757"/>
        <v>0</v>
      </c>
      <c r="F3503" s="192">
        <f t="shared" si="758"/>
        <v>0</v>
      </c>
      <c r="G3503" s="193">
        <f t="shared" si="759"/>
        <v>0</v>
      </c>
      <c r="H3503" s="194">
        <v>0</v>
      </c>
      <c r="I3503" s="194">
        <v>0</v>
      </c>
      <c r="J3503" s="194">
        <v>0</v>
      </c>
      <c r="K3503" s="193">
        <f t="shared" si="760"/>
        <v>0</v>
      </c>
      <c r="L3503" s="194">
        <v>0</v>
      </c>
      <c r="M3503" s="194">
        <v>0</v>
      </c>
      <c r="N3503" s="194">
        <v>0</v>
      </c>
      <c r="O3503" s="193">
        <f t="shared" si="761"/>
        <v>0</v>
      </c>
      <c r="P3503" s="194">
        <v>0</v>
      </c>
      <c r="Q3503" s="194">
        <v>0</v>
      </c>
      <c r="R3503" s="194">
        <v>0</v>
      </c>
      <c r="S3503" s="193">
        <f t="shared" si="762"/>
        <v>0</v>
      </c>
      <c r="T3503" s="193">
        <f t="shared" si="763"/>
        <v>0</v>
      </c>
      <c r="U3503" s="193">
        <f ca="1">OFFSET('Expenditure Study'!$B$7,'Operations Support'!$C3503,'Operations Support'!$B3503)*$G3503</f>
        <v>0</v>
      </c>
      <c r="V3503" s="199">
        <f ca="1">U3503*'Expenditure Study'!$B$31</f>
        <v>0</v>
      </c>
      <c r="W3503" s="199">
        <f ca="1">IF(A3503=10298,1.51,1)*IF($B3503&lt;3,$D3503*'Expenditure Study'!$B$32*OFFSET('Expenditure Study'!$B$7,'Operations Support'!$C3503,'Operations Support'!$B3503),0)</f>
        <v>0</v>
      </c>
      <c r="X3503" s="200">
        <f ca="1">W3503*'Expenditure Study'!$B$31</f>
        <v>0</v>
      </c>
      <c r="Y3503" s="199">
        <f ca="1">U3503*'Expenditure Study'!$B$31</f>
        <v>0</v>
      </c>
      <c r="Z3503" s="200">
        <f ca="1">W3503*'Expenditure Study'!$B$31</f>
        <v>0</v>
      </c>
      <c r="AA3503" s="195">
        <f t="shared" ca="1" si="764"/>
        <v>0</v>
      </c>
      <c r="AB3503" s="195">
        <f t="shared" ca="1" si="765"/>
        <v>0</v>
      </c>
      <c r="AD3503" s="196">
        <f>IFERROR($G3503/SUMIF($A:$A,$A3503,$G:$G)*SUMIF(Summary!$A$166:$A$242,$A3503,Summary!$P$166:$P$242),0)</f>
        <v>0</v>
      </c>
      <c r="AE3503" s="197">
        <f t="shared" ca="1" si="766"/>
        <v>0</v>
      </c>
      <c r="AF3503" s="196">
        <f>IFERROR(G3503/SUMIF(A:A,A3503,G:G)*SUMIF(Summary!$A$166:$A$242,'Operations Support'!A3503,Summary!$Q$166:$Q$242),0)</f>
        <v>0</v>
      </c>
      <c r="AG3503" s="196">
        <f t="shared" ca="1" si="767"/>
        <v>0</v>
      </c>
      <c r="AI3503" s="196">
        <f>IFERROR($G3503/SUMIF($A:$A,$A3503,$G:$G)*SUMIF(Summary!$A$247:$A$283,$A3503,Summary!$P$247:$P$283),0)</f>
        <v>0</v>
      </c>
      <c r="AJ3503" s="196">
        <f>IFERROR($G3503/SUMIF($A:$A,$A3503,$G:$G)*(SUMIF(Summary!$A$247:$A$283,$A3503,Summary!$L$247:$L$283)+SUMIF(Summary!$A$297:$A$333,$A3503,Summary!$L$297:$L$333))-AI3503,0)</f>
        <v>0</v>
      </c>
      <c r="AK3503" s="196">
        <f>IFERROR($G3503/SUMIF($A:$A,$A3503,$G:$G)*SUMIF(Summary!$A$247:$A$283,$A3503,Summary!$Q$247:$Q$283),0)</f>
        <v>0</v>
      </c>
      <c r="AL3503" s="196">
        <f>IFERROR($G3503/SUMIF($A:$A,$A3503,$G:$G)*(SUMIF(Summary!$A$247:$A$283,$A3503,Summary!$L$247:$L$283)+SUMIF(Summary!$A$297:$A$333,$A3503,Summary!$L$297:$L$333))-AK3503,0)</f>
        <v>0</v>
      </c>
      <c r="AM3503" s="198"/>
      <c r="AN3503" s="196">
        <f t="shared" ca="1" si="768"/>
        <v>0</v>
      </c>
      <c r="AO3503" s="196">
        <f t="shared" ca="1" si="769"/>
        <v>0</v>
      </c>
    </row>
    <row r="3504" spans="1:41">
      <c r="A3504" s="189">
        <v>29269</v>
      </c>
      <c r="B3504" s="190">
        <v>2</v>
      </c>
      <c r="C3504" s="191" t="s">
        <v>233</v>
      </c>
      <c r="D3504" s="192">
        <f t="shared" si="756"/>
        <v>811</v>
      </c>
      <c r="E3504" s="192">
        <f t="shared" si="757"/>
        <v>252</v>
      </c>
      <c r="F3504" s="192">
        <f t="shared" si="758"/>
        <v>0</v>
      </c>
      <c r="G3504" s="193">
        <f t="shared" si="759"/>
        <v>1063</v>
      </c>
      <c r="H3504" s="194">
        <v>356</v>
      </c>
      <c r="I3504" s="194">
        <v>126</v>
      </c>
      <c r="J3504" s="194">
        <v>0</v>
      </c>
      <c r="K3504" s="193">
        <f t="shared" si="760"/>
        <v>482</v>
      </c>
      <c r="L3504" s="194">
        <v>340</v>
      </c>
      <c r="M3504" s="194">
        <v>108</v>
      </c>
      <c r="N3504" s="194">
        <v>0</v>
      </c>
      <c r="O3504" s="193">
        <f t="shared" si="761"/>
        <v>448</v>
      </c>
      <c r="P3504" s="194">
        <v>115</v>
      </c>
      <c r="Q3504" s="194">
        <v>18</v>
      </c>
      <c r="R3504" s="194">
        <v>0</v>
      </c>
      <c r="S3504" s="193">
        <f t="shared" si="762"/>
        <v>133</v>
      </c>
      <c r="T3504" s="193">
        <f t="shared" si="763"/>
        <v>35.43333333333333</v>
      </c>
      <c r="U3504" s="193">
        <f ca="1">OFFSET('Expenditure Study'!$B$7,'Operations Support'!$C3504,'Operations Support'!$B3504)*$G3504</f>
        <v>1711.43</v>
      </c>
      <c r="V3504" s="199">
        <f ca="1">U3504*'Expenditure Study'!$B$31</f>
        <v>101116.72811654401</v>
      </c>
      <c r="W3504" s="199">
        <f ca="1">IF(A3504=10298,1.51,1)*IF($B3504&lt;3,$D3504*'Expenditure Study'!$B$32*OFFSET('Expenditure Study'!$B$7,'Operations Support'!$C3504,'Operations Support'!$B3504),0)</f>
        <v>130.57100000000003</v>
      </c>
      <c r="X3504" s="200">
        <f ca="1">W3504*'Expenditure Study'!$B$31</f>
        <v>7714.5500002368017</v>
      </c>
      <c r="Y3504" s="199">
        <f ca="1">U3504*'Expenditure Study'!$B$31</f>
        <v>101116.72811654401</v>
      </c>
      <c r="Z3504" s="200">
        <f ca="1">W3504*'Expenditure Study'!$B$31</f>
        <v>7714.5500002368017</v>
      </c>
      <c r="AA3504" s="195">
        <f t="shared" ca="1" si="764"/>
        <v>108831.27811678081</v>
      </c>
      <c r="AB3504" s="195">
        <f t="shared" ca="1" si="765"/>
        <v>108831.27811678081</v>
      </c>
      <c r="AD3504" s="196">
        <f>IFERROR($G3504/SUMIF($A:$A,$A3504,$G:$G)*SUMIF(Summary!$A$166:$A$242,$A3504,Summary!$P$166:$P$242),0)</f>
        <v>33552.806263786653</v>
      </c>
      <c r="AE3504" s="197">
        <f t="shared" ca="1" si="766"/>
        <v>75278.47185299416</v>
      </c>
      <c r="AF3504" s="196">
        <f>IFERROR(G3504/SUMIF(A:A,A3504,G:G)*SUMIF(Summary!$A$166:$A$242,'Operations Support'!A3504,Summary!$Q$166:$Q$242),0)</f>
        <v>33664.753939023263</v>
      </c>
      <c r="AG3504" s="196">
        <f t="shared" ca="1" si="767"/>
        <v>75166.524177757557</v>
      </c>
      <c r="AI3504" s="196">
        <f>IFERROR($G3504/SUMIF($A:$A,$A3504,$G:$G)*SUMIF(Summary!$A$247:$A$283,$A3504,Summary!$P$247:$P$283),0)</f>
        <v>6119.1945615677432</v>
      </c>
      <c r="AJ3504" s="196">
        <f>IFERROR($G3504/SUMIF($A:$A,$A3504,$G:$G)*(SUMIF(Summary!$A$247:$A$283,$A3504,Summary!$L$247:$L$283)+SUMIF(Summary!$A$297:$A$333,$A3504,Summary!$L$297:$L$333))-AI3504,0)</f>
        <v>50838.888807236974</v>
      </c>
      <c r="AK3504" s="196">
        <f>IFERROR($G3504/SUMIF($A:$A,$A3504,$G:$G)*SUMIF(Summary!$A$247:$A$283,$A3504,Summary!$Q$247:$Q$283),0)</f>
        <v>6139.6110239078052</v>
      </c>
      <c r="AL3504" s="196">
        <f>IFERROR($G3504/SUMIF($A:$A,$A3504,$G:$G)*(SUMIF(Summary!$A$247:$A$283,$A3504,Summary!$L$247:$L$283)+SUMIF(Summary!$A$297:$A$333,$A3504,Summary!$L$297:$L$333))-AK3504,0)</f>
        <v>50818.472344896909</v>
      </c>
      <c r="AM3504" s="198"/>
      <c r="AN3504" s="196">
        <f t="shared" ca="1" si="768"/>
        <v>126117.36066023113</v>
      </c>
      <c r="AO3504" s="196">
        <f t="shared" ca="1" si="769"/>
        <v>125984.99652265446</v>
      </c>
    </row>
    <row r="3505" spans="1:41">
      <c r="A3505" s="189">
        <v>29269</v>
      </c>
      <c r="B3505" s="190">
        <v>2</v>
      </c>
      <c r="C3505" s="191" t="s">
        <v>234</v>
      </c>
      <c r="D3505" s="192">
        <f t="shared" si="756"/>
        <v>0</v>
      </c>
      <c r="E3505" s="192">
        <f t="shared" si="757"/>
        <v>0</v>
      </c>
      <c r="F3505" s="192">
        <f t="shared" si="758"/>
        <v>0</v>
      </c>
      <c r="G3505" s="193">
        <f t="shared" si="759"/>
        <v>0</v>
      </c>
      <c r="H3505" s="194">
        <v>0</v>
      </c>
      <c r="I3505" s="194">
        <v>0</v>
      </c>
      <c r="J3505" s="194">
        <v>0</v>
      </c>
      <c r="K3505" s="193">
        <f t="shared" si="760"/>
        <v>0</v>
      </c>
      <c r="L3505" s="194">
        <v>0</v>
      </c>
      <c r="M3505" s="194">
        <v>0</v>
      </c>
      <c r="N3505" s="194">
        <v>0</v>
      </c>
      <c r="O3505" s="193">
        <f t="shared" si="761"/>
        <v>0</v>
      </c>
      <c r="P3505" s="194">
        <v>0</v>
      </c>
      <c r="Q3505" s="194">
        <v>0</v>
      </c>
      <c r="R3505" s="194">
        <v>0</v>
      </c>
      <c r="S3505" s="193">
        <f t="shared" si="762"/>
        <v>0</v>
      </c>
      <c r="T3505" s="193">
        <f t="shared" si="763"/>
        <v>0</v>
      </c>
      <c r="U3505" s="193">
        <f ca="1">OFFSET('Expenditure Study'!$B$7,'Operations Support'!$C3505,'Operations Support'!$B3505)*$G3505</f>
        <v>0</v>
      </c>
      <c r="V3505" s="199">
        <f ca="1">U3505*'Expenditure Study'!$B$31</f>
        <v>0</v>
      </c>
      <c r="W3505" s="199">
        <f ca="1">IF(A3505=10298,1.51,1)*IF($B3505&lt;3,$D3505*'Expenditure Study'!$B$32*OFFSET('Expenditure Study'!$B$7,'Operations Support'!$C3505,'Operations Support'!$B3505),0)</f>
        <v>0</v>
      </c>
      <c r="X3505" s="200">
        <f ca="1">W3505*'Expenditure Study'!$B$31</f>
        <v>0</v>
      </c>
      <c r="Y3505" s="199">
        <f ca="1">U3505*'Expenditure Study'!$B$31</f>
        <v>0</v>
      </c>
      <c r="Z3505" s="200">
        <f ca="1">W3505*'Expenditure Study'!$B$31</f>
        <v>0</v>
      </c>
      <c r="AA3505" s="195">
        <f t="shared" ca="1" si="764"/>
        <v>0</v>
      </c>
      <c r="AB3505" s="195">
        <f t="shared" ca="1" si="765"/>
        <v>0</v>
      </c>
      <c r="AD3505" s="196">
        <f>IFERROR($G3505/SUMIF($A:$A,$A3505,$G:$G)*SUMIF(Summary!$A$166:$A$242,$A3505,Summary!$P$166:$P$242),0)</f>
        <v>0</v>
      </c>
      <c r="AE3505" s="197">
        <f t="shared" ca="1" si="766"/>
        <v>0</v>
      </c>
      <c r="AF3505" s="196">
        <f>IFERROR(G3505/SUMIF(A:A,A3505,G:G)*SUMIF(Summary!$A$166:$A$242,'Operations Support'!A3505,Summary!$Q$166:$Q$242),0)</f>
        <v>0</v>
      </c>
      <c r="AG3505" s="196">
        <f t="shared" ca="1" si="767"/>
        <v>0</v>
      </c>
      <c r="AI3505" s="196">
        <f>IFERROR($G3505/SUMIF($A:$A,$A3505,$G:$G)*SUMIF(Summary!$A$247:$A$283,$A3505,Summary!$P$247:$P$283),0)</f>
        <v>0</v>
      </c>
      <c r="AJ3505" s="196">
        <f>IFERROR($G3505/SUMIF($A:$A,$A3505,$G:$G)*(SUMIF(Summary!$A$247:$A$283,$A3505,Summary!$L$247:$L$283)+SUMIF(Summary!$A$297:$A$333,$A3505,Summary!$L$297:$L$333))-AI3505,0)</f>
        <v>0</v>
      </c>
      <c r="AK3505" s="196">
        <f>IFERROR($G3505/SUMIF($A:$A,$A3505,$G:$G)*SUMIF(Summary!$A$247:$A$283,$A3505,Summary!$Q$247:$Q$283),0)</f>
        <v>0</v>
      </c>
      <c r="AL3505" s="196">
        <f>IFERROR($G3505/SUMIF($A:$A,$A3505,$G:$G)*(SUMIF(Summary!$A$247:$A$283,$A3505,Summary!$L$247:$L$283)+SUMIF(Summary!$A$297:$A$333,$A3505,Summary!$L$297:$L$333))-AK3505,0)</f>
        <v>0</v>
      </c>
      <c r="AM3505" s="198"/>
      <c r="AN3505" s="196">
        <f t="shared" ca="1" si="768"/>
        <v>0</v>
      </c>
      <c r="AO3505" s="196">
        <f t="shared" ca="1" si="769"/>
        <v>0</v>
      </c>
    </row>
    <row r="3506" spans="1:41">
      <c r="A3506" s="189">
        <v>29269</v>
      </c>
      <c r="B3506" s="190">
        <v>2</v>
      </c>
      <c r="C3506" s="191" t="s">
        <v>235</v>
      </c>
      <c r="D3506" s="192">
        <f t="shared" si="756"/>
        <v>2520</v>
      </c>
      <c r="E3506" s="192">
        <f t="shared" si="757"/>
        <v>3510</v>
      </c>
      <c r="F3506" s="192">
        <f t="shared" si="758"/>
        <v>0</v>
      </c>
      <c r="G3506" s="193">
        <f t="shared" si="759"/>
        <v>6030</v>
      </c>
      <c r="H3506" s="194">
        <v>1119</v>
      </c>
      <c r="I3506" s="194">
        <v>1509</v>
      </c>
      <c r="J3506" s="194">
        <v>0</v>
      </c>
      <c r="K3506" s="193">
        <f t="shared" si="760"/>
        <v>2628</v>
      </c>
      <c r="L3506" s="194">
        <v>927</v>
      </c>
      <c r="M3506" s="194">
        <v>1782</v>
      </c>
      <c r="N3506" s="194">
        <v>0</v>
      </c>
      <c r="O3506" s="193">
        <f t="shared" si="761"/>
        <v>2709</v>
      </c>
      <c r="P3506" s="194">
        <v>474</v>
      </c>
      <c r="Q3506" s="194">
        <v>219</v>
      </c>
      <c r="R3506" s="194">
        <v>0</v>
      </c>
      <c r="S3506" s="193">
        <f t="shared" si="762"/>
        <v>693</v>
      </c>
      <c r="T3506" s="193">
        <f t="shared" si="763"/>
        <v>201</v>
      </c>
      <c r="U3506" s="193">
        <f ca="1">OFFSET('Expenditure Study'!$B$7,'Operations Support'!$C3506,'Operations Support'!$B3506)*$G3506</f>
        <v>11276.1</v>
      </c>
      <c r="V3506" s="199">
        <f ca="1">U3506*'Expenditure Study'!$B$31</f>
        <v>666227.85501887999</v>
      </c>
      <c r="W3506" s="199">
        <f ca="1">IF(A3506=10298,1.51,1)*IF($B3506&lt;3,$D3506*'Expenditure Study'!$B$32*OFFSET('Expenditure Study'!$B$7,'Operations Support'!$C3506,'Operations Support'!$B3506),0)</f>
        <v>471.24</v>
      </c>
      <c r="X3506" s="200">
        <f ca="1">W3506*'Expenditure Study'!$B$31</f>
        <v>27842.358120192002</v>
      </c>
      <c r="Y3506" s="199">
        <f ca="1">U3506*'Expenditure Study'!$B$31</f>
        <v>666227.85501887999</v>
      </c>
      <c r="Z3506" s="200">
        <f ca="1">W3506*'Expenditure Study'!$B$31</f>
        <v>27842.358120192002</v>
      </c>
      <c r="AA3506" s="195">
        <f t="shared" ca="1" si="764"/>
        <v>694070.21313907194</v>
      </c>
      <c r="AB3506" s="195">
        <f t="shared" ca="1" si="765"/>
        <v>694070.21313907194</v>
      </c>
      <c r="AD3506" s="196">
        <f>IFERROR($G3506/SUMIF($A:$A,$A3506,$G:$G)*SUMIF(Summary!$A$166:$A$242,$A3506,Summary!$P$166:$P$242),0)</f>
        <v>190332.47579551599</v>
      </c>
      <c r="AE3506" s="197">
        <f t="shared" ca="1" si="766"/>
        <v>503737.73734355596</v>
      </c>
      <c r="AF3506" s="196">
        <f>IFERROR(G3506/SUMIF(A:A,A3506,G:G)*SUMIF(Summary!$A$166:$A$242,'Operations Support'!A3506,Summary!$Q$166:$Q$242),0)</f>
        <v>190967.51293726271</v>
      </c>
      <c r="AG3506" s="196">
        <f t="shared" ca="1" si="767"/>
        <v>503102.70020180923</v>
      </c>
      <c r="AI3506" s="196">
        <f>IFERROR($G3506/SUMIF($A:$A,$A3506,$G:$G)*SUMIF(Summary!$A$247:$A$283,$A3506,Summary!$P$247:$P$283),0)</f>
        <v>34711.893891113345</v>
      </c>
      <c r="AJ3506" s="196">
        <f>IFERROR($G3506/SUMIF($A:$A,$A3506,$G:$G)*(SUMIF(Summary!$A$247:$A$283,$A3506,Summary!$L$247:$L$283)+SUMIF(Summary!$A$297:$A$333,$A3506,Summary!$L$297:$L$333))-AI3506,0)</f>
        <v>288389.93368545518</v>
      </c>
      <c r="AK3506" s="196">
        <f>IFERROR($G3506/SUMIF($A:$A,$A3506,$G:$G)*SUMIF(Summary!$A$247:$A$283,$A3506,Summary!$Q$247:$Q$283),0)</f>
        <v>34827.70881859272</v>
      </c>
      <c r="AL3506" s="196">
        <f>IFERROR($G3506/SUMIF($A:$A,$A3506,$G:$G)*(SUMIF(Summary!$A$247:$A$283,$A3506,Summary!$L$247:$L$283)+SUMIF(Summary!$A$297:$A$333,$A3506,Summary!$L$297:$L$333))-AK3506,0)</f>
        <v>288274.11875797581</v>
      </c>
      <c r="AM3506" s="198"/>
      <c r="AN3506" s="196">
        <f t="shared" ca="1" si="768"/>
        <v>792127.67102901114</v>
      </c>
      <c r="AO3506" s="196">
        <f t="shared" ca="1" si="769"/>
        <v>791376.81895978504</v>
      </c>
    </row>
    <row r="3507" spans="1:41">
      <c r="A3507" s="189">
        <v>29269</v>
      </c>
      <c r="B3507" s="190">
        <v>2</v>
      </c>
      <c r="C3507" s="191" t="s">
        <v>236</v>
      </c>
      <c r="D3507" s="192">
        <f t="shared" si="756"/>
        <v>0</v>
      </c>
      <c r="E3507" s="192">
        <f t="shared" si="757"/>
        <v>0</v>
      </c>
      <c r="F3507" s="192">
        <f t="shared" si="758"/>
        <v>0</v>
      </c>
      <c r="G3507" s="193">
        <f t="shared" si="759"/>
        <v>0</v>
      </c>
      <c r="H3507" s="194">
        <v>0</v>
      </c>
      <c r="I3507" s="194">
        <v>0</v>
      </c>
      <c r="J3507" s="194">
        <v>0</v>
      </c>
      <c r="K3507" s="193">
        <f t="shared" si="760"/>
        <v>0</v>
      </c>
      <c r="L3507" s="194">
        <v>0</v>
      </c>
      <c r="M3507" s="194">
        <v>0</v>
      </c>
      <c r="N3507" s="194">
        <v>0</v>
      </c>
      <c r="O3507" s="193">
        <f t="shared" si="761"/>
        <v>0</v>
      </c>
      <c r="P3507" s="194">
        <v>0</v>
      </c>
      <c r="Q3507" s="194">
        <v>0</v>
      </c>
      <c r="R3507" s="194">
        <v>0</v>
      </c>
      <c r="S3507" s="193">
        <f t="shared" si="762"/>
        <v>0</v>
      </c>
      <c r="T3507" s="193">
        <f t="shared" si="763"/>
        <v>0</v>
      </c>
      <c r="U3507" s="193">
        <f ca="1">OFFSET('Expenditure Study'!$B$7,'Operations Support'!$C3507,'Operations Support'!$B3507)*$G3507</f>
        <v>0</v>
      </c>
      <c r="V3507" s="199">
        <f ca="1">U3507*'Expenditure Study'!$B$31</f>
        <v>0</v>
      </c>
      <c r="W3507" s="199">
        <f ca="1">IF(A3507=10298,1.51,1)*IF($B3507&lt;3,$D3507*'Expenditure Study'!$B$32*OFFSET('Expenditure Study'!$B$7,'Operations Support'!$C3507,'Operations Support'!$B3507),0)</f>
        <v>0</v>
      </c>
      <c r="X3507" s="200">
        <f ca="1">W3507*'Expenditure Study'!$B$31</f>
        <v>0</v>
      </c>
      <c r="Y3507" s="199">
        <f ca="1">U3507*'Expenditure Study'!$B$31</f>
        <v>0</v>
      </c>
      <c r="Z3507" s="200">
        <f ca="1">W3507*'Expenditure Study'!$B$31</f>
        <v>0</v>
      </c>
      <c r="AA3507" s="195">
        <f t="shared" ca="1" si="764"/>
        <v>0</v>
      </c>
      <c r="AB3507" s="195">
        <f t="shared" ca="1" si="765"/>
        <v>0</v>
      </c>
      <c r="AD3507" s="196">
        <f>IFERROR($G3507/SUMIF($A:$A,$A3507,$G:$G)*SUMIF(Summary!$A$166:$A$242,$A3507,Summary!$P$166:$P$242),0)</f>
        <v>0</v>
      </c>
      <c r="AE3507" s="197">
        <f t="shared" ca="1" si="766"/>
        <v>0</v>
      </c>
      <c r="AF3507" s="196">
        <f>IFERROR(G3507/SUMIF(A:A,A3507,G:G)*SUMIF(Summary!$A$166:$A$242,'Operations Support'!A3507,Summary!$Q$166:$Q$242),0)</f>
        <v>0</v>
      </c>
      <c r="AG3507" s="196">
        <f t="shared" ca="1" si="767"/>
        <v>0</v>
      </c>
      <c r="AI3507" s="196">
        <f>IFERROR($G3507/SUMIF($A:$A,$A3507,$G:$G)*SUMIF(Summary!$A$247:$A$283,$A3507,Summary!$P$247:$P$283),0)</f>
        <v>0</v>
      </c>
      <c r="AJ3507" s="196">
        <f>IFERROR($G3507/SUMIF($A:$A,$A3507,$G:$G)*(SUMIF(Summary!$A$247:$A$283,$A3507,Summary!$L$247:$L$283)+SUMIF(Summary!$A$297:$A$333,$A3507,Summary!$L$297:$L$333))-AI3507,0)</f>
        <v>0</v>
      </c>
      <c r="AK3507" s="196">
        <f>IFERROR($G3507/SUMIF($A:$A,$A3507,$G:$G)*SUMIF(Summary!$A$247:$A$283,$A3507,Summary!$Q$247:$Q$283),0)</f>
        <v>0</v>
      </c>
      <c r="AL3507" s="196">
        <f>IFERROR($G3507/SUMIF($A:$A,$A3507,$G:$G)*(SUMIF(Summary!$A$247:$A$283,$A3507,Summary!$L$247:$L$283)+SUMIF(Summary!$A$297:$A$333,$A3507,Summary!$L$297:$L$333))-AK3507,0)</f>
        <v>0</v>
      </c>
      <c r="AM3507" s="198"/>
      <c r="AN3507" s="196">
        <f t="shared" ca="1" si="768"/>
        <v>0</v>
      </c>
      <c r="AO3507" s="196">
        <f t="shared" ca="1" si="769"/>
        <v>0</v>
      </c>
    </row>
    <row r="3508" spans="1:41">
      <c r="A3508" s="189">
        <v>29269</v>
      </c>
      <c r="B3508" s="190">
        <v>2</v>
      </c>
      <c r="C3508" s="191" t="s">
        <v>237</v>
      </c>
      <c r="D3508" s="192">
        <f t="shared" si="756"/>
        <v>0</v>
      </c>
      <c r="E3508" s="192">
        <f t="shared" si="757"/>
        <v>18</v>
      </c>
      <c r="F3508" s="192">
        <f t="shared" si="758"/>
        <v>0</v>
      </c>
      <c r="G3508" s="193">
        <f t="shared" si="759"/>
        <v>18</v>
      </c>
      <c r="H3508" s="194">
        <v>0</v>
      </c>
      <c r="I3508" s="194">
        <v>12</v>
      </c>
      <c r="J3508" s="194">
        <v>0</v>
      </c>
      <c r="K3508" s="193">
        <f t="shared" si="760"/>
        <v>12</v>
      </c>
      <c r="L3508" s="194">
        <v>0</v>
      </c>
      <c r="M3508" s="194">
        <v>6</v>
      </c>
      <c r="N3508" s="194">
        <v>0</v>
      </c>
      <c r="O3508" s="193">
        <f t="shared" si="761"/>
        <v>6</v>
      </c>
      <c r="P3508" s="194">
        <v>0</v>
      </c>
      <c r="Q3508" s="194">
        <v>0</v>
      </c>
      <c r="R3508" s="194">
        <v>0</v>
      </c>
      <c r="S3508" s="193">
        <f t="shared" si="762"/>
        <v>0</v>
      </c>
      <c r="T3508" s="193">
        <f t="shared" si="763"/>
        <v>0.6</v>
      </c>
      <c r="U3508" s="193">
        <f ca="1">OFFSET('Expenditure Study'!$B$7,'Operations Support'!$C3508,'Operations Support'!$B3508)*$G3508</f>
        <v>42.12</v>
      </c>
      <c r="V3508" s="199">
        <f ca="1">U3508*'Expenditure Study'!$B$31</f>
        <v>2488.5835752959997</v>
      </c>
      <c r="W3508" s="199">
        <f ca="1">IF(A3508=10298,1.51,1)*IF($B3508&lt;3,$D3508*'Expenditure Study'!$B$32*OFFSET('Expenditure Study'!$B$7,'Operations Support'!$C3508,'Operations Support'!$B3508),0)</f>
        <v>0</v>
      </c>
      <c r="X3508" s="200">
        <f ca="1">W3508*'Expenditure Study'!$B$31</f>
        <v>0</v>
      </c>
      <c r="Y3508" s="199">
        <f ca="1">U3508*'Expenditure Study'!$B$31</f>
        <v>2488.5835752959997</v>
      </c>
      <c r="Z3508" s="200">
        <f ca="1">W3508*'Expenditure Study'!$B$31</f>
        <v>0</v>
      </c>
      <c r="AA3508" s="195">
        <f t="shared" ca="1" si="764"/>
        <v>2488.5835752959997</v>
      </c>
      <c r="AB3508" s="195">
        <f t="shared" ca="1" si="765"/>
        <v>2488.5835752959997</v>
      </c>
      <c r="AD3508" s="196">
        <f>IFERROR($G3508/SUMIF($A:$A,$A3508,$G:$G)*SUMIF(Summary!$A$166:$A$242,$A3508,Summary!$P$166:$P$242),0)</f>
        <v>568.15664416571951</v>
      </c>
      <c r="AE3508" s="197">
        <f t="shared" ca="1" si="766"/>
        <v>1920.4269311302801</v>
      </c>
      <c r="AF3508" s="196">
        <f>IFERROR(G3508/SUMIF(A:A,A3508,G:G)*SUMIF(Summary!$A$166:$A$242,'Operations Support'!A3508,Summary!$Q$166:$Q$242),0)</f>
        <v>570.05227742466491</v>
      </c>
      <c r="AG3508" s="196">
        <f t="shared" ca="1" si="767"/>
        <v>1918.5312978713348</v>
      </c>
      <c r="AI3508" s="196">
        <f>IFERROR($G3508/SUMIF($A:$A,$A3508,$G:$G)*SUMIF(Summary!$A$247:$A$283,$A3508,Summary!$P$247:$P$283),0)</f>
        <v>103.61759370481597</v>
      </c>
      <c r="AJ3508" s="196">
        <f>IFERROR($G3508/SUMIF($A:$A,$A3508,$G:$G)*(SUMIF(Summary!$A$247:$A$283,$A3508,Summary!$L$247:$L$283)+SUMIF(Summary!$A$297:$A$333,$A3508,Summary!$L$297:$L$333))-AI3508,0)</f>
        <v>860.86547368792606</v>
      </c>
      <c r="AK3508" s="196">
        <f>IFERROR($G3508/SUMIF($A:$A,$A3508,$G:$G)*SUMIF(Summary!$A$247:$A$283,$A3508,Summary!$Q$247:$Q$283),0)</f>
        <v>103.96330990624695</v>
      </c>
      <c r="AL3508" s="196">
        <f>IFERROR($G3508/SUMIF($A:$A,$A3508,$G:$G)*(SUMIF(Summary!$A$247:$A$283,$A3508,Summary!$L$247:$L$283)+SUMIF(Summary!$A$297:$A$333,$A3508,Summary!$L$297:$L$333))-AK3508,0)</f>
        <v>860.519757486495</v>
      </c>
      <c r="AM3508" s="198"/>
      <c r="AN3508" s="196">
        <f t="shared" ca="1" si="768"/>
        <v>2781.2924048182063</v>
      </c>
      <c r="AO3508" s="196">
        <f t="shared" ca="1" si="769"/>
        <v>2779.0510553578297</v>
      </c>
    </row>
    <row r="3509" spans="1:41">
      <c r="A3509" s="189">
        <v>29269</v>
      </c>
      <c r="B3509" s="190">
        <v>2</v>
      </c>
      <c r="C3509" s="191" t="s">
        <v>238</v>
      </c>
      <c r="D3509" s="192">
        <f t="shared" si="756"/>
        <v>147</v>
      </c>
      <c r="E3509" s="192">
        <f t="shared" si="757"/>
        <v>75</v>
      </c>
      <c r="F3509" s="192">
        <f t="shared" si="758"/>
        <v>0</v>
      </c>
      <c r="G3509" s="193">
        <f t="shared" si="759"/>
        <v>222</v>
      </c>
      <c r="H3509" s="194">
        <v>6</v>
      </c>
      <c r="I3509" s="194">
        <v>0</v>
      </c>
      <c r="J3509" s="194">
        <v>0</v>
      </c>
      <c r="K3509" s="193">
        <f t="shared" si="760"/>
        <v>6</v>
      </c>
      <c r="L3509" s="194">
        <v>123</v>
      </c>
      <c r="M3509" s="194">
        <v>75</v>
      </c>
      <c r="N3509" s="194">
        <v>0</v>
      </c>
      <c r="O3509" s="193">
        <f t="shared" si="761"/>
        <v>198</v>
      </c>
      <c r="P3509" s="194">
        <v>18</v>
      </c>
      <c r="Q3509" s="194">
        <v>0</v>
      </c>
      <c r="R3509" s="194">
        <v>0</v>
      </c>
      <c r="S3509" s="193">
        <f t="shared" si="762"/>
        <v>18</v>
      </c>
      <c r="T3509" s="193">
        <f t="shared" si="763"/>
        <v>7.4</v>
      </c>
      <c r="U3509" s="193">
        <f ca="1">OFFSET('Expenditure Study'!$B$7,'Operations Support'!$C3509,'Operations Support'!$B3509)*$G3509</f>
        <v>532.79999999999995</v>
      </c>
      <c r="V3509" s="199">
        <f ca="1">U3509*'Expenditure Study'!$B$31</f>
        <v>31479.518730239997</v>
      </c>
      <c r="W3509" s="199">
        <f ca="1">IF(A3509=10298,1.51,1)*IF($B3509&lt;3,$D3509*'Expenditure Study'!$B$32*OFFSET('Expenditure Study'!$B$7,'Operations Support'!$C3509,'Operations Support'!$B3509),0)</f>
        <v>35.28</v>
      </c>
      <c r="X3509" s="200">
        <f ca="1">W3509*'Expenditure Study'!$B$31</f>
        <v>2084.454618624</v>
      </c>
      <c r="Y3509" s="199">
        <f ca="1">U3509*'Expenditure Study'!$B$31</f>
        <v>31479.518730239997</v>
      </c>
      <c r="Z3509" s="200">
        <f ca="1">W3509*'Expenditure Study'!$B$31</f>
        <v>2084.454618624</v>
      </c>
      <c r="AA3509" s="195">
        <f t="shared" ca="1" si="764"/>
        <v>33563.973348863998</v>
      </c>
      <c r="AB3509" s="195">
        <f t="shared" ca="1" si="765"/>
        <v>33563.973348863998</v>
      </c>
      <c r="AD3509" s="196">
        <f>IFERROR($G3509/SUMIF($A:$A,$A3509,$G:$G)*SUMIF(Summary!$A$166:$A$242,$A3509,Summary!$P$166:$P$242),0)</f>
        <v>7007.265278043873</v>
      </c>
      <c r="AE3509" s="197">
        <f t="shared" ca="1" si="766"/>
        <v>26556.708070820125</v>
      </c>
      <c r="AF3509" s="196">
        <f>IFERROR(G3509/SUMIF(A:A,A3509,G:G)*SUMIF(Summary!$A$166:$A$242,'Operations Support'!A3509,Summary!$Q$166:$Q$242),0)</f>
        <v>7030.6447549041995</v>
      </c>
      <c r="AG3509" s="196">
        <f t="shared" ca="1" si="767"/>
        <v>26533.328593959799</v>
      </c>
      <c r="AI3509" s="196">
        <f>IFERROR($G3509/SUMIF($A:$A,$A3509,$G:$G)*SUMIF(Summary!$A$247:$A$283,$A3509,Summary!$P$247:$P$283),0)</f>
        <v>1277.950322359397</v>
      </c>
      <c r="AJ3509" s="196">
        <f>IFERROR($G3509/SUMIF($A:$A,$A3509,$G:$G)*(SUMIF(Summary!$A$247:$A$283,$A3509,Summary!$L$247:$L$283)+SUMIF(Summary!$A$297:$A$333,$A3509,Summary!$L$297:$L$333))-AI3509,0)</f>
        <v>10617.340842151089</v>
      </c>
      <c r="AK3509" s="196">
        <f>IFERROR($G3509/SUMIF($A:$A,$A3509,$G:$G)*SUMIF(Summary!$A$247:$A$283,$A3509,Summary!$Q$247:$Q$283),0)</f>
        <v>1282.2141555103788</v>
      </c>
      <c r="AL3509" s="196">
        <f>IFERROR($G3509/SUMIF($A:$A,$A3509,$G:$G)*(SUMIF(Summary!$A$247:$A$283,$A3509,Summary!$L$247:$L$283)+SUMIF(Summary!$A$297:$A$333,$A3509,Summary!$L$297:$L$333))-AK3509,0)</f>
        <v>10613.077009000106</v>
      </c>
      <c r="AM3509" s="198"/>
      <c r="AN3509" s="196">
        <f t="shared" ca="1" si="768"/>
        <v>37174.048912971215</v>
      </c>
      <c r="AO3509" s="196">
        <f t="shared" ca="1" si="769"/>
        <v>37146.405602959901</v>
      </c>
    </row>
    <row r="3510" spans="1:41">
      <c r="A3510" s="189">
        <v>29269</v>
      </c>
      <c r="B3510" s="190">
        <v>2</v>
      </c>
      <c r="C3510" s="191" t="s">
        <v>239</v>
      </c>
      <c r="D3510" s="192">
        <f t="shared" si="756"/>
        <v>45</v>
      </c>
      <c r="E3510" s="192">
        <f t="shared" si="757"/>
        <v>1031</v>
      </c>
      <c r="F3510" s="192">
        <f t="shared" si="758"/>
        <v>0</v>
      </c>
      <c r="G3510" s="193">
        <f t="shared" si="759"/>
        <v>1076</v>
      </c>
      <c r="H3510" s="194">
        <v>15</v>
      </c>
      <c r="I3510" s="194">
        <v>500</v>
      </c>
      <c r="J3510" s="194">
        <v>0</v>
      </c>
      <c r="K3510" s="193">
        <f t="shared" si="760"/>
        <v>515</v>
      </c>
      <c r="L3510" s="194">
        <v>30</v>
      </c>
      <c r="M3510" s="194">
        <v>471</v>
      </c>
      <c r="N3510" s="194">
        <v>0</v>
      </c>
      <c r="O3510" s="193">
        <f t="shared" si="761"/>
        <v>501</v>
      </c>
      <c r="P3510" s="194">
        <v>0</v>
      </c>
      <c r="Q3510" s="194">
        <v>60</v>
      </c>
      <c r="R3510" s="194">
        <v>0</v>
      </c>
      <c r="S3510" s="193">
        <f t="shared" si="762"/>
        <v>60</v>
      </c>
      <c r="T3510" s="193">
        <f t="shared" si="763"/>
        <v>35.866666666666667</v>
      </c>
      <c r="U3510" s="193">
        <f ca="1">OFFSET('Expenditure Study'!$B$7,'Operations Support'!$C3510,'Operations Support'!$B3510)*$G3510</f>
        <v>2238.08</v>
      </c>
      <c r="V3510" s="199">
        <f ca="1">U3510*'Expenditure Study'!$B$31</f>
        <v>132232.88528486399</v>
      </c>
      <c r="W3510" s="199">
        <f ca="1">IF(A3510=10298,1.51,1)*IF($B3510&lt;3,$D3510*'Expenditure Study'!$B$32*OFFSET('Expenditure Study'!$B$7,'Operations Support'!$C3510,'Operations Support'!$B3510),0)</f>
        <v>9.36</v>
      </c>
      <c r="X3510" s="200">
        <f ca="1">W3510*'Expenditure Study'!$B$31</f>
        <v>553.01857228799997</v>
      </c>
      <c r="Y3510" s="199">
        <f ca="1">U3510*'Expenditure Study'!$B$31</f>
        <v>132232.88528486399</v>
      </c>
      <c r="Z3510" s="200">
        <f ca="1">W3510*'Expenditure Study'!$B$31</f>
        <v>553.01857228799997</v>
      </c>
      <c r="AA3510" s="195">
        <f t="shared" ca="1" si="764"/>
        <v>132785.90385715201</v>
      </c>
      <c r="AB3510" s="195">
        <f t="shared" ca="1" si="765"/>
        <v>132785.90385715201</v>
      </c>
      <c r="AD3510" s="196">
        <f>IFERROR($G3510/SUMIF($A:$A,$A3510,$G:$G)*SUMIF(Summary!$A$166:$A$242,$A3510,Summary!$P$166:$P$242),0)</f>
        <v>33963.141617906345</v>
      </c>
      <c r="AE3510" s="197">
        <f t="shared" ca="1" si="766"/>
        <v>98822.762239245669</v>
      </c>
      <c r="AF3510" s="196">
        <f>IFERROR(G3510/SUMIF(A:A,A3510,G:G)*SUMIF(Summary!$A$166:$A$242,'Operations Support'!A3510,Summary!$Q$166:$Q$242),0)</f>
        <v>34076.458361607743</v>
      </c>
      <c r="AG3510" s="196">
        <f t="shared" ca="1" si="767"/>
        <v>98709.445495544263</v>
      </c>
      <c r="AI3510" s="196">
        <f>IFERROR($G3510/SUMIF($A:$A,$A3510,$G:$G)*SUMIF(Summary!$A$247:$A$283,$A3510,Summary!$P$247:$P$283),0)</f>
        <v>6194.0294903545546</v>
      </c>
      <c r="AJ3510" s="196">
        <f>IFERROR($G3510/SUMIF($A:$A,$A3510,$G:$G)*(SUMIF(Summary!$A$247:$A$283,$A3510,Summary!$L$247:$L$283)+SUMIF(Summary!$A$297:$A$333,$A3510,Summary!$L$297:$L$333))-AI3510,0)</f>
        <v>51460.624982678244</v>
      </c>
      <c r="AK3510" s="196">
        <f>IFERROR($G3510/SUMIF($A:$A,$A3510,$G:$G)*SUMIF(Summary!$A$247:$A$283,$A3510,Summary!$Q$247:$Q$283),0)</f>
        <v>6214.6956366178729</v>
      </c>
      <c r="AL3510" s="196">
        <f>IFERROR($G3510/SUMIF($A:$A,$A3510,$G:$G)*(SUMIF(Summary!$A$247:$A$283,$A3510,Summary!$L$247:$L$283)+SUMIF(Summary!$A$297:$A$333,$A3510,Summary!$L$297:$L$333))-AK3510,0)</f>
        <v>51439.958836414931</v>
      </c>
      <c r="AM3510" s="198"/>
      <c r="AN3510" s="196">
        <f t="shared" ca="1" si="768"/>
        <v>150283.38722192391</v>
      </c>
      <c r="AO3510" s="196">
        <f t="shared" ca="1" si="769"/>
        <v>150149.4043319592</v>
      </c>
    </row>
    <row r="3511" spans="1:41" s="201" customFormat="1">
      <c r="A3511" s="189">
        <v>29269</v>
      </c>
      <c r="B3511" s="190">
        <v>2</v>
      </c>
      <c r="C3511" s="191" t="s">
        <v>240</v>
      </c>
      <c r="D3511" s="192">
        <f t="shared" si="756"/>
        <v>0</v>
      </c>
      <c r="E3511" s="192">
        <f t="shared" si="757"/>
        <v>0</v>
      </c>
      <c r="F3511" s="192">
        <f t="shared" si="758"/>
        <v>0</v>
      </c>
      <c r="G3511" s="193">
        <f t="shared" si="759"/>
        <v>0</v>
      </c>
      <c r="H3511" s="194">
        <v>0</v>
      </c>
      <c r="I3511" s="194">
        <v>0</v>
      </c>
      <c r="J3511" s="194">
        <v>0</v>
      </c>
      <c r="K3511" s="193">
        <f t="shared" si="760"/>
        <v>0</v>
      </c>
      <c r="L3511" s="194">
        <v>0</v>
      </c>
      <c r="M3511" s="194">
        <v>0</v>
      </c>
      <c r="N3511" s="194">
        <v>0</v>
      </c>
      <c r="O3511" s="193">
        <f t="shared" si="761"/>
        <v>0</v>
      </c>
      <c r="P3511" s="194">
        <v>0</v>
      </c>
      <c r="Q3511" s="194">
        <v>0</v>
      </c>
      <c r="R3511" s="194">
        <v>0</v>
      </c>
      <c r="S3511" s="193">
        <f t="shared" si="762"/>
        <v>0</v>
      </c>
      <c r="T3511" s="193">
        <f t="shared" si="763"/>
        <v>0</v>
      </c>
      <c r="U3511" s="193">
        <f ca="1">OFFSET('Expenditure Study'!$B$7,'Operations Support'!$C3511,'Operations Support'!$B3511)*$G3511</f>
        <v>0</v>
      </c>
      <c r="V3511" s="199">
        <f ca="1">U3511*'Expenditure Study'!$B$31</f>
        <v>0</v>
      </c>
      <c r="W3511" s="199">
        <f ca="1">IF(A3511=10298,1.51,1)*IF($B3511&lt;3,$D3511*'Expenditure Study'!$B$32*OFFSET('Expenditure Study'!$B$7,'Operations Support'!$C3511,'Operations Support'!$B3511),0)</f>
        <v>0</v>
      </c>
      <c r="X3511" s="200">
        <f ca="1">W3511*'Expenditure Study'!$B$31</f>
        <v>0</v>
      </c>
      <c r="Y3511" s="199">
        <f ca="1">U3511*'Expenditure Study'!$B$31</f>
        <v>0</v>
      </c>
      <c r="Z3511" s="200">
        <f ca="1">W3511*'Expenditure Study'!$B$31</f>
        <v>0</v>
      </c>
      <c r="AA3511" s="195">
        <f t="shared" ca="1" si="764"/>
        <v>0</v>
      </c>
      <c r="AB3511" s="195">
        <f t="shared" ca="1" si="765"/>
        <v>0</v>
      </c>
      <c r="AD3511" s="196">
        <f>IFERROR($G3511/SUMIF($A:$A,$A3511,$G:$G)*SUMIF(Summary!$A$166:$A$242,$A3511,Summary!$P$166:$P$242),0)</f>
        <v>0</v>
      </c>
      <c r="AE3511" s="197">
        <f t="shared" ca="1" si="766"/>
        <v>0</v>
      </c>
      <c r="AF3511" s="196">
        <f>IFERROR(G3511/SUMIF(A:A,A3511,G:G)*SUMIF(Summary!$A$166:$A$242,'Operations Support'!A3511,Summary!$Q$166:$Q$242),0)</f>
        <v>0</v>
      </c>
      <c r="AG3511" s="196">
        <f t="shared" ca="1" si="767"/>
        <v>0</v>
      </c>
      <c r="AH3511" s="180"/>
      <c r="AI3511" s="196">
        <f>IFERROR($G3511/SUMIF($A:$A,$A3511,$G:$G)*SUMIF(Summary!$A$247:$A$283,$A3511,Summary!$P$247:$P$283),0)</f>
        <v>0</v>
      </c>
      <c r="AJ3511" s="196">
        <f>IFERROR($G3511/SUMIF($A:$A,$A3511,$G:$G)*(SUMIF(Summary!$A$247:$A$283,$A3511,Summary!$L$247:$L$283)+SUMIF(Summary!$A$297:$A$333,$A3511,Summary!$L$297:$L$333))-AI3511,0)</f>
        <v>0</v>
      </c>
      <c r="AK3511" s="196">
        <f>IFERROR($G3511/SUMIF($A:$A,$A3511,$G:$G)*SUMIF(Summary!$A$247:$A$283,$A3511,Summary!$Q$247:$Q$283),0)</f>
        <v>0</v>
      </c>
      <c r="AL3511" s="196">
        <f>IFERROR($G3511/SUMIF($A:$A,$A3511,$G:$G)*(SUMIF(Summary!$A$247:$A$283,$A3511,Summary!$L$247:$L$283)+SUMIF(Summary!$A$297:$A$333,$A3511,Summary!$L$297:$L$333))-AK3511,0)</f>
        <v>0</v>
      </c>
      <c r="AM3511" s="198"/>
      <c r="AN3511" s="196">
        <f t="shared" ca="1" si="768"/>
        <v>0</v>
      </c>
      <c r="AO3511" s="196">
        <f t="shared" ca="1" si="769"/>
        <v>0</v>
      </c>
    </row>
    <row r="3512" spans="1:41">
      <c r="A3512" s="189">
        <v>29269</v>
      </c>
      <c r="B3512" s="190">
        <v>3</v>
      </c>
      <c r="C3512" s="191" t="s">
        <v>220</v>
      </c>
      <c r="D3512" s="192">
        <f t="shared" si="756"/>
        <v>1023</v>
      </c>
      <c r="E3512" s="192">
        <f t="shared" si="757"/>
        <v>33</v>
      </c>
      <c r="F3512" s="192">
        <f t="shared" si="758"/>
        <v>0</v>
      </c>
      <c r="G3512" s="193">
        <f t="shared" si="759"/>
        <v>1056</v>
      </c>
      <c r="H3512" s="194">
        <v>381</v>
      </c>
      <c r="I3512" s="194">
        <v>15</v>
      </c>
      <c r="J3512" s="194">
        <v>0</v>
      </c>
      <c r="K3512" s="193">
        <f t="shared" si="760"/>
        <v>396</v>
      </c>
      <c r="L3512" s="194">
        <v>399</v>
      </c>
      <c r="M3512" s="194">
        <v>18</v>
      </c>
      <c r="N3512" s="194">
        <v>0</v>
      </c>
      <c r="O3512" s="193">
        <f t="shared" si="761"/>
        <v>417</v>
      </c>
      <c r="P3512" s="194">
        <v>243</v>
      </c>
      <c r="Q3512" s="194">
        <v>0</v>
      </c>
      <c r="R3512" s="194">
        <v>0</v>
      </c>
      <c r="S3512" s="193">
        <f t="shared" si="762"/>
        <v>243</v>
      </c>
      <c r="T3512" s="193">
        <f t="shared" si="763"/>
        <v>44</v>
      </c>
      <c r="U3512" s="193">
        <f ca="1">OFFSET('Expenditure Study'!$B$7,'Operations Support'!$C3512,'Operations Support'!$B3512)*$G3512</f>
        <v>4709.76</v>
      </c>
      <c r="V3512" s="199">
        <f ca="1">U3512*'Expenditure Study'!$B$31</f>
        <v>278267.601604608</v>
      </c>
      <c r="W3512" s="199">
        <f ca="1">IF(A3512=10298,1.51,1)*IF($B3512&lt;3,$D3512*'Expenditure Study'!$B$32*OFFSET('Expenditure Study'!$B$7,'Operations Support'!$C3512,'Operations Support'!$B3512),0)</f>
        <v>0</v>
      </c>
      <c r="X3512" s="200">
        <f ca="1">W3512*'Expenditure Study'!$B$31</f>
        <v>0</v>
      </c>
      <c r="Y3512" s="199">
        <f ca="1">U3512*'Expenditure Study'!$B$31</f>
        <v>278267.601604608</v>
      </c>
      <c r="Z3512" s="200">
        <f ca="1">W3512*'Expenditure Study'!$B$31</f>
        <v>0</v>
      </c>
      <c r="AA3512" s="195">
        <f t="shared" ca="1" si="764"/>
        <v>278267.601604608</v>
      </c>
      <c r="AB3512" s="195">
        <f t="shared" ca="1" si="765"/>
        <v>278267.601604608</v>
      </c>
      <c r="AD3512" s="196">
        <f>IFERROR($G3512/SUMIF($A:$A,$A3512,$G:$G)*SUMIF(Summary!$A$166:$A$242,$A3512,Summary!$P$166:$P$242),0)</f>
        <v>33331.856457722206</v>
      </c>
      <c r="AE3512" s="197">
        <f t="shared" ca="1" si="766"/>
        <v>244935.74514688581</v>
      </c>
      <c r="AF3512" s="196">
        <f>IFERROR(G3512/SUMIF(A:A,A3512,G:G)*SUMIF(Summary!$A$166:$A$242,'Operations Support'!A3512,Summary!$Q$166:$Q$242),0)</f>
        <v>33443.066942247002</v>
      </c>
      <c r="AG3512" s="196">
        <f t="shared" ca="1" si="767"/>
        <v>244824.53466236099</v>
      </c>
      <c r="AI3512" s="196">
        <f>IFERROR($G3512/SUMIF($A:$A,$A3512,$G:$G)*SUMIF(Summary!$A$247:$A$283,$A3512,Summary!$P$247:$P$283),0)</f>
        <v>6078.8988306825368</v>
      </c>
      <c r="AJ3512" s="196">
        <f>IFERROR($G3512/SUMIF($A:$A,$A3512,$G:$G)*(SUMIF(Summary!$A$247:$A$283,$A3512,Summary!$L$247:$L$283)+SUMIF(Summary!$A$297:$A$333,$A3512,Summary!$L$297:$L$333))-AI3512,0)</f>
        <v>50504.107789691661</v>
      </c>
      <c r="AK3512" s="196">
        <f>IFERROR($G3512/SUMIF($A:$A,$A3512,$G:$G)*SUMIF(Summary!$A$247:$A$283,$A3512,Summary!$Q$247:$Q$283),0)</f>
        <v>6099.1808478331532</v>
      </c>
      <c r="AL3512" s="196">
        <f>IFERROR($G3512/SUMIF($A:$A,$A3512,$G:$G)*(SUMIF(Summary!$A$247:$A$283,$A3512,Summary!$L$247:$L$283)+SUMIF(Summary!$A$297:$A$333,$A3512,Summary!$L$297:$L$333))-AK3512,0)</f>
        <v>50483.825772541044</v>
      </c>
      <c r="AM3512" s="198"/>
      <c r="AN3512" s="196">
        <f t="shared" ca="1" si="768"/>
        <v>295439.85293657746</v>
      </c>
      <c r="AO3512" s="196">
        <f t="shared" ca="1" si="769"/>
        <v>295308.36043490202</v>
      </c>
    </row>
    <row r="3513" spans="1:41">
      <c r="A3513" s="189">
        <v>29269</v>
      </c>
      <c r="B3513" s="190">
        <v>3</v>
      </c>
      <c r="C3513" s="191" t="s">
        <v>221</v>
      </c>
      <c r="D3513" s="192">
        <f t="shared" si="756"/>
        <v>9</v>
      </c>
      <c r="E3513" s="192">
        <f t="shared" si="757"/>
        <v>0</v>
      </c>
      <c r="F3513" s="192">
        <f t="shared" si="758"/>
        <v>0</v>
      </c>
      <c r="G3513" s="193">
        <f t="shared" si="759"/>
        <v>9</v>
      </c>
      <c r="H3513" s="194">
        <v>0</v>
      </c>
      <c r="I3513" s="194">
        <v>0</v>
      </c>
      <c r="J3513" s="194">
        <v>0</v>
      </c>
      <c r="K3513" s="193">
        <f t="shared" si="760"/>
        <v>0</v>
      </c>
      <c r="L3513" s="194">
        <v>6</v>
      </c>
      <c r="M3513" s="194">
        <v>0</v>
      </c>
      <c r="N3513" s="194">
        <v>0</v>
      </c>
      <c r="O3513" s="193">
        <f t="shared" si="761"/>
        <v>6</v>
      </c>
      <c r="P3513" s="194">
        <v>3</v>
      </c>
      <c r="Q3513" s="194">
        <v>0</v>
      </c>
      <c r="R3513" s="194">
        <v>0</v>
      </c>
      <c r="S3513" s="193">
        <f t="shared" si="762"/>
        <v>3</v>
      </c>
      <c r="T3513" s="193">
        <f t="shared" si="763"/>
        <v>0.375</v>
      </c>
      <c r="U3513" s="193">
        <f ca="1">OFFSET('Expenditure Study'!$B$7,'Operations Support'!$C3513,'Operations Support'!$B3513)*$G3513</f>
        <v>63</v>
      </c>
      <c r="V3513" s="199">
        <f ca="1">U3513*'Expenditure Study'!$B$31</f>
        <v>3722.2403904000003</v>
      </c>
      <c r="W3513" s="199">
        <f ca="1">IF(A3513=10298,1.51,1)*IF($B3513&lt;3,$D3513*'Expenditure Study'!$B$32*OFFSET('Expenditure Study'!$B$7,'Operations Support'!$C3513,'Operations Support'!$B3513),0)</f>
        <v>0</v>
      </c>
      <c r="X3513" s="200">
        <f ca="1">W3513*'Expenditure Study'!$B$31</f>
        <v>0</v>
      </c>
      <c r="Y3513" s="199">
        <f ca="1">U3513*'Expenditure Study'!$B$31</f>
        <v>3722.2403904000003</v>
      </c>
      <c r="Z3513" s="200">
        <f ca="1">W3513*'Expenditure Study'!$B$31</f>
        <v>0</v>
      </c>
      <c r="AA3513" s="195">
        <f t="shared" ca="1" si="764"/>
        <v>3722.2403904000003</v>
      </c>
      <c r="AB3513" s="195">
        <f t="shared" ca="1" si="765"/>
        <v>3722.2403904000003</v>
      </c>
      <c r="AD3513" s="196">
        <f>IFERROR($G3513/SUMIF($A:$A,$A3513,$G:$G)*SUMIF(Summary!$A$166:$A$242,$A3513,Summary!$P$166:$P$242),0)</f>
        <v>284.07832208285976</v>
      </c>
      <c r="AE3513" s="197">
        <f t="shared" ca="1" si="766"/>
        <v>3438.1620683171404</v>
      </c>
      <c r="AF3513" s="196">
        <f>IFERROR(G3513/SUMIF(A:A,A3513,G:G)*SUMIF(Summary!$A$166:$A$242,'Operations Support'!A3513,Summary!$Q$166:$Q$242),0)</f>
        <v>285.02613871233245</v>
      </c>
      <c r="AG3513" s="196">
        <f t="shared" ca="1" si="767"/>
        <v>3437.2142516876679</v>
      </c>
      <c r="AI3513" s="196">
        <f>IFERROR($G3513/SUMIF($A:$A,$A3513,$G:$G)*SUMIF(Summary!$A$247:$A$283,$A3513,Summary!$P$247:$P$283),0)</f>
        <v>51.808796852407987</v>
      </c>
      <c r="AJ3513" s="196">
        <f>IFERROR($G3513/SUMIF($A:$A,$A3513,$G:$G)*(SUMIF(Summary!$A$247:$A$283,$A3513,Summary!$L$247:$L$283)+SUMIF(Summary!$A$297:$A$333,$A3513,Summary!$L$297:$L$333))-AI3513,0)</f>
        <v>430.43273684396303</v>
      </c>
      <c r="AK3513" s="196">
        <f>IFERROR($G3513/SUMIF($A:$A,$A3513,$G:$G)*SUMIF(Summary!$A$247:$A$283,$A3513,Summary!$Q$247:$Q$283),0)</f>
        <v>51.981654953123474</v>
      </c>
      <c r="AL3513" s="196">
        <f>IFERROR($G3513/SUMIF($A:$A,$A3513,$G:$G)*(SUMIF(Summary!$A$247:$A$283,$A3513,Summary!$L$247:$L$283)+SUMIF(Summary!$A$297:$A$333,$A3513,Summary!$L$297:$L$333))-AK3513,0)</f>
        <v>430.2598787432475</v>
      </c>
      <c r="AM3513" s="198"/>
      <c r="AN3513" s="196">
        <f t="shared" ca="1" si="768"/>
        <v>3868.5948051611035</v>
      </c>
      <c r="AO3513" s="196">
        <f t="shared" ca="1" si="769"/>
        <v>3867.4741304309155</v>
      </c>
    </row>
    <row r="3514" spans="1:41">
      <c r="A3514" s="189">
        <v>29269</v>
      </c>
      <c r="B3514" s="190">
        <v>3</v>
      </c>
      <c r="C3514" s="191" t="s">
        <v>222</v>
      </c>
      <c r="D3514" s="192">
        <f t="shared" si="756"/>
        <v>0</v>
      </c>
      <c r="E3514" s="192">
        <f t="shared" si="757"/>
        <v>0</v>
      </c>
      <c r="F3514" s="192">
        <f t="shared" si="758"/>
        <v>0</v>
      </c>
      <c r="G3514" s="193">
        <f t="shared" si="759"/>
        <v>0</v>
      </c>
      <c r="H3514" s="194">
        <v>0</v>
      </c>
      <c r="I3514" s="194">
        <v>0</v>
      </c>
      <c r="J3514" s="194">
        <v>0</v>
      </c>
      <c r="K3514" s="193">
        <f t="shared" si="760"/>
        <v>0</v>
      </c>
      <c r="L3514" s="194">
        <v>0</v>
      </c>
      <c r="M3514" s="194">
        <v>0</v>
      </c>
      <c r="N3514" s="194">
        <v>0</v>
      </c>
      <c r="O3514" s="193">
        <f t="shared" si="761"/>
        <v>0</v>
      </c>
      <c r="P3514" s="194">
        <v>0</v>
      </c>
      <c r="Q3514" s="194">
        <v>0</v>
      </c>
      <c r="R3514" s="194">
        <v>0</v>
      </c>
      <c r="S3514" s="193">
        <f t="shared" si="762"/>
        <v>0</v>
      </c>
      <c r="T3514" s="193">
        <f t="shared" si="763"/>
        <v>0</v>
      </c>
      <c r="U3514" s="193">
        <f ca="1">OFFSET('Expenditure Study'!$B$7,'Operations Support'!$C3514,'Operations Support'!$B3514)*$G3514</f>
        <v>0</v>
      </c>
      <c r="V3514" s="199">
        <f ca="1">U3514*'Expenditure Study'!$B$31</f>
        <v>0</v>
      </c>
      <c r="W3514" s="199">
        <f ca="1">IF(A3514=10298,1.51,1)*IF($B3514&lt;3,$D3514*'Expenditure Study'!$B$32*OFFSET('Expenditure Study'!$B$7,'Operations Support'!$C3514,'Operations Support'!$B3514),0)</f>
        <v>0</v>
      </c>
      <c r="X3514" s="200">
        <f ca="1">W3514*'Expenditure Study'!$B$31</f>
        <v>0</v>
      </c>
      <c r="Y3514" s="199">
        <f ca="1">U3514*'Expenditure Study'!$B$31</f>
        <v>0</v>
      </c>
      <c r="Z3514" s="200">
        <f ca="1">W3514*'Expenditure Study'!$B$31</f>
        <v>0</v>
      </c>
      <c r="AA3514" s="195">
        <f t="shared" ca="1" si="764"/>
        <v>0</v>
      </c>
      <c r="AB3514" s="195">
        <f t="shared" ca="1" si="765"/>
        <v>0</v>
      </c>
      <c r="AD3514" s="196">
        <f>IFERROR($G3514/SUMIF($A:$A,$A3514,$G:$G)*SUMIF(Summary!$A$166:$A$242,$A3514,Summary!$P$166:$P$242),0)</f>
        <v>0</v>
      </c>
      <c r="AE3514" s="197">
        <f t="shared" ca="1" si="766"/>
        <v>0</v>
      </c>
      <c r="AF3514" s="196">
        <f>IFERROR(G3514/SUMIF(A:A,A3514,G:G)*SUMIF(Summary!$A$166:$A$242,'Operations Support'!A3514,Summary!$Q$166:$Q$242),0)</f>
        <v>0</v>
      </c>
      <c r="AG3514" s="196">
        <f t="shared" ca="1" si="767"/>
        <v>0</v>
      </c>
      <c r="AI3514" s="196">
        <f>IFERROR($G3514/SUMIF($A:$A,$A3514,$G:$G)*SUMIF(Summary!$A$247:$A$283,$A3514,Summary!$P$247:$P$283),0)</f>
        <v>0</v>
      </c>
      <c r="AJ3514" s="196">
        <f>IFERROR($G3514/SUMIF($A:$A,$A3514,$G:$G)*(SUMIF(Summary!$A$247:$A$283,$A3514,Summary!$L$247:$L$283)+SUMIF(Summary!$A$297:$A$333,$A3514,Summary!$L$297:$L$333))-AI3514,0)</f>
        <v>0</v>
      </c>
      <c r="AK3514" s="196">
        <f>IFERROR($G3514/SUMIF($A:$A,$A3514,$G:$G)*SUMIF(Summary!$A$247:$A$283,$A3514,Summary!$Q$247:$Q$283),0)</f>
        <v>0</v>
      </c>
      <c r="AL3514" s="196">
        <f>IFERROR($G3514/SUMIF($A:$A,$A3514,$G:$G)*(SUMIF(Summary!$A$247:$A$283,$A3514,Summary!$L$247:$L$283)+SUMIF(Summary!$A$297:$A$333,$A3514,Summary!$L$297:$L$333))-AK3514,0)</f>
        <v>0</v>
      </c>
      <c r="AM3514" s="198"/>
      <c r="AN3514" s="196">
        <f t="shared" ca="1" si="768"/>
        <v>0</v>
      </c>
      <c r="AO3514" s="196">
        <f t="shared" ca="1" si="769"/>
        <v>0</v>
      </c>
    </row>
    <row r="3515" spans="1:41">
      <c r="A3515" s="189">
        <v>29269</v>
      </c>
      <c r="B3515" s="190">
        <v>3</v>
      </c>
      <c r="C3515" s="191" t="s">
        <v>223</v>
      </c>
      <c r="D3515" s="192">
        <f t="shared" si="756"/>
        <v>819</v>
      </c>
      <c r="E3515" s="192">
        <f t="shared" si="757"/>
        <v>867</v>
      </c>
      <c r="F3515" s="192">
        <f t="shared" si="758"/>
        <v>0</v>
      </c>
      <c r="G3515" s="193">
        <f t="shared" si="759"/>
        <v>1686</v>
      </c>
      <c r="H3515" s="194">
        <v>261</v>
      </c>
      <c r="I3515" s="194">
        <v>255</v>
      </c>
      <c r="J3515" s="194">
        <v>0</v>
      </c>
      <c r="K3515" s="193">
        <f t="shared" si="760"/>
        <v>516</v>
      </c>
      <c r="L3515" s="194">
        <v>336</v>
      </c>
      <c r="M3515" s="194">
        <v>240</v>
      </c>
      <c r="N3515" s="194">
        <v>0</v>
      </c>
      <c r="O3515" s="193">
        <f t="shared" si="761"/>
        <v>576</v>
      </c>
      <c r="P3515" s="194">
        <v>222</v>
      </c>
      <c r="Q3515" s="194">
        <v>372</v>
      </c>
      <c r="R3515" s="194">
        <v>0</v>
      </c>
      <c r="S3515" s="193">
        <f t="shared" si="762"/>
        <v>594</v>
      </c>
      <c r="T3515" s="193">
        <f t="shared" si="763"/>
        <v>70.25</v>
      </c>
      <c r="U3515" s="193">
        <f ca="1">OFFSET('Expenditure Study'!$B$7,'Operations Support'!$C3515,'Operations Support'!$B3515)*$G3515</f>
        <v>3776.6400000000003</v>
      </c>
      <c r="V3515" s="199">
        <f ca="1">U3515*'Expenditure Study'!$B$31</f>
        <v>223135.90393651201</v>
      </c>
      <c r="W3515" s="199">
        <f ca="1">IF(A3515=10298,1.51,1)*IF($B3515&lt;3,$D3515*'Expenditure Study'!$B$32*OFFSET('Expenditure Study'!$B$7,'Operations Support'!$C3515,'Operations Support'!$B3515),0)</f>
        <v>0</v>
      </c>
      <c r="X3515" s="200">
        <f ca="1">W3515*'Expenditure Study'!$B$31</f>
        <v>0</v>
      </c>
      <c r="Y3515" s="199">
        <f ca="1">U3515*'Expenditure Study'!$B$31</f>
        <v>223135.90393651201</v>
      </c>
      <c r="Z3515" s="200">
        <f ca="1">W3515*'Expenditure Study'!$B$31</f>
        <v>0</v>
      </c>
      <c r="AA3515" s="195">
        <f t="shared" ca="1" si="764"/>
        <v>223135.90393651201</v>
      </c>
      <c r="AB3515" s="195">
        <f t="shared" ca="1" si="765"/>
        <v>223135.90393651201</v>
      </c>
      <c r="AD3515" s="196">
        <f>IFERROR($G3515/SUMIF($A:$A,$A3515,$G:$G)*SUMIF(Summary!$A$166:$A$242,$A3515,Summary!$P$166:$P$242),0)</f>
        <v>53217.339003522386</v>
      </c>
      <c r="AE3515" s="197">
        <f t="shared" ca="1" si="766"/>
        <v>169918.56493298963</v>
      </c>
      <c r="AF3515" s="196">
        <f>IFERROR(G3515/SUMIF(A:A,A3515,G:G)*SUMIF(Summary!$A$166:$A$242,'Operations Support'!A3515,Summary!$Q$166:$Q$242),0)</f>
        <v>53394.89665211027</v>
      </c>
      <c r="AG3515" s="196">
        <f t="shared" ca="1" si="767"/>
        <v>169741.00728440174</v>
      </c>
      <c r="AI3515" s="196">
        <f>IFERROR($G3515/SUMIF($A:$A,$A3515,$G:$G)*SUMIF(Summary!$A$247:$A$283,$A3515,Summary!$P$247:$P$283),0)</f>
        <v>9705.5146103510961</v>
      </c>
      <c r="AJ3515" s="196">
        <f>IFERROR($G3515/SUMIF($A:$A,$A3515,$G:$G)*(SUMIF(Summary!$A$247:$A$283,$A3515,Summary!$L$247:$L$283)+SUMIF(Summary!$A$297:$A$333,$A3515,Summary!$L$297:$L$333))-AI3515,0)</f>
        <v>80634.399368769067</v>
      </c>
      <c r="AK3515" s="196">
        <f>IFERROR($G3515/SUMIF($A:$A,$A3515,$G:$G)*SUMIF(Summary!$A$247:$A$283,$A3515,Summary!$Q$247:$Q$283),0)</f>
        <v>9737.8966945517968</v>
      </c>
      <c r="AL3515" s="196">
        <f>IFERROR($G3515/SUMIF($A:$A,$A3515,$G:$G)*(SUMIF(Summary!$A$247:$A$283,$A3515,Summary!$L$247:$L$283)+SUMIF(Summary!$A$297:$A$333,$A3515,Summary!$L$297:$L$333))-AK3515,0)</f>
        <v>80602.01728456837</v>
      </c>
      <c r="AM3515" s="198"/>
      <c r="AN3515" s="196">
        <f t="shared" ca="1" si="768"/>
        <v>250552.96430175868</v>
      </c>
      <c r="AO3515" s="196">
        <f t="shared" ca="1" si="769"/>
        <v>250343.02456897011</v>
      </c>
    </row>
    <row r="3516" spans="1:41">
      <c r="A3516" s="189">
        <v>29269</v>
      </c>
      <c r="B3516" s="190">
        <v>3</v>
      </c>
      <c r="C3516" s="191" t="s">
        <v>224</v>
      </c>
      <c r="D3516" s="192">
        <f t="shared" si="756"/>
        <v>0</v>
      </c>
      <c r="E3516" s="192">
        <f t="shared" si="757"/>
        <v>0</v>
      </c>
      <c r="F3516" s="192">
        <f t="shared" si="758"/>
        <v>0</v>
      </c>
      <c r="G3516" s="193">
        <f t="shared" si="759"/>
        <v>0</v>
      </c>
      <c r="H3516" s="194">
        <v>0</v>
      </c>
      <c r="I3516" s="194">
        <v>0</v>
      </c>
      <c r="J3516" s="194">
        <v>0</v>
      </c>
      <c r="K3516" s="193">
        <f t="shared" si="760"/>
        <v>0</v>
      </c>
      <c r="L3516" s="194">
        <v>0</v>
      </c>
      <c r="M3516" s="194">
        <v>0</v>
      </c>
      <c r="N3516" s="194">
        <v>0</v>
      </c>
      <c r="O3516" s="193">
        <f t="shared" si="761"/>
        <v>0</v>
      </c>
      <c r="P3516" s="194">
        <v>0</v>
      </c>
      <c r="Q3516" s="194">
        <v>0</v>
      </c>
      <c r="R3516" s="194">
        <v>0</v>
      </c>
      <c r="S3516" s="193">
        <f t="shared" si="762"/>
        <v>0</v>
      </c>
      <c r="T3516" s="193">
        <f t="shared" si="763"/>
        <v>0</v>
      </c>
      <c r="U3516" s="193">
        <f ca="1">OFFSET('Expenditure Study'!$B$7,'Operations Support'!$C3516,'Operations Support'!$B3516)*$G3516</f>
        <v>0</v>
      </c>
      <c r="V3516" s="199">
        <f ca="1">U3516*'Expenditure Study'!$B$31</f>
        <v>0</v>
      </c>
      <c r="W3516" s="199">
        <f ca="1">IF(A3516=10298,1.51,1)*IF($B3516&lt;3,$D3516*'Expenditure Study'!$B$32*OFFSET('Expenditure Study'!$B$7,'Operations Support'!$C3516,'Operations Support'!$B3516),0)</f>
        <v>0</v>
      </c>
      <c r="X3516" s="200">
        <f ca="1">W3516*'Expenditure Study'!$B$31</f>
        <v>0</v>
      </c>
      <c r="Y3516" s="199">
        <f ca="1">U3516*'Expenditure Study'!$B$31</f>
        <v>0</v>
      </c>
      <c r="Z3516" s="200">
        <f ca="1">W3516*'Expenditure Study'!$B$31</f>
        <v>0</v>
      </c>
      <c r="AA3516" s="195">
        <f t="shared" ca="1" si="764"/>
        <v>0</v>
      </c>
      <c r="AB3516" s="195">
        <f t="shared" ca="1" si="765"/>
        <v>0</v>
      </c>
      <c r="AD3516" s="196">
        <f>IFERROR($G3516/SUMIF($A:$A,$A3516,$G:$G)*SUMIF(Summary!$A$166:$A$242,$A3516,Summary!$P$166:$P$242),0)</f>
        <v>0</v>
      </c>
      <c r="AE3516" s="197">
        <f t="shared" ca="1" si="766"/>
        <v>0</v>
      </c>
      <c r="AF3516" s="196">
        <f>IFERROR(G3516/SUMIF(A:A,A3516,G:G)*SUMIF(Summary!$A$166:$A$242,'Operations Support'!A3516,Summary!$Q$166:$Q$242),0)</f>
        <v>0</v>
      </c>
      <c r="AG3516" s="196">
        <f t="shared" ca="1" si="767"/>
        <v>0</v>
      </c>
      <c r="AI3516" s="196">
        <f>IFERROR($G3516/SUMIF($A:$A,$A3516,$G:$G)*SUMIF(Summary!$A$247:$A$283,$A3516,Summary!$P$247:$P$283),0)</f>
        <v>0</v>
      </c>
      <c r="AJ3516" s="196">
        <f>IFERROR($G3516/SUMIF($A:$A,$A3516,$G:$G)*(SUMIF(Summary!$A$247:$A$283,$A3516,Summary!$L$247:$L$283)+SUMIF(Summary!$A$297:$A$333,$A3516,Summary!$L$297:$L$333))-AI3516,0)</f>
        <v>0</v>
      </c>
      <c r="AK3516" s="196">
        <f>IFERROR($G3516/SUMIF($A:$A,$A3516,$G:$G)*SUMIF(Summary!$A$247:$A$283,$A3516,Summary!$Q$247:$Q$283),0)</f>
        <v>0</v>
      </c>
      <c r="AL3516" s="196">
        <f>IFERROR($G3516/SUMIF($A:$A,$A3516,$G:$G)*(SUMIF(Summary!$A$247:$A$283,$A3516,Summary!$L$247:$L$283)+SUMIF(Summary!$A$297:$A$333,$A3516,Summary!$L$297:$L$333))-AK3516,0)</f>
        <v>0</v>
      </c>
      <c r="AM3516" s="198"/>
      <c r="AN3516" s="196">
        <f t="shared" ca="1" si="768"/>
        <v>0</v>
      </c>
      <c r="AO3516" s="196">
        <f t="shared" ca="1" si="769"/>
        <v>0</v>
      </c>
    </row>
    <row r="3517" spans="1:41">
      <c r="A3517" s="189">
        <v>29269</v>
      </c>
      <c r="B3517" s="190">
        <v>3</v>
      </c>
      <c r="C3517" s="191" t="s">
        <v>225</v>
      </c>
      <c r="D3517" s="192">
        <f t="shared" si="756"/>
        <v>27</v>
      </c>
      <c r="E3517" s="192">
        <f t="shared" si="757"/>
        <v>33</v>
      </c>
      <c r="F3517" s="192">
        <f t="shared" si="758"/>
        <v>0</v>
      </c>
      <c r="G3517" s="193">
        <f t="shared" si="759"/>
        <v>60</v>
      </c>
      <c r="H3517" s="194">
        <v>27</v>
      </c>
      <c r="I3517" s="194">
        <v>0</v>
      </c>
      <c r="J3517" s="194">
        <v>0</v>
      </c>
      <c r="K3517" s="193">
        <f t="shared" si="760"/>
        <v>27</v>
      </c>
      <c r="L3517" s="194">
        <v>0</v>
      </c>
      <c r="M3517" s="194">
        <v>33</v>
      </c>
      <c r="N3517" s="194">
        <v>0</v>
      </c>
      <c r="O3517" s="193">
        <f t="shared" si="761"/>
        <v>33</v>
      </c>
      <c r="P3517" s="194">
        <v>0</v>
      </c>
      <c r="Q3517" s="194">
        <v>0</v>
      </c>
      <c r="R3517" s="194">
        <v>0</v>
      </c>
      <c r="S3517" s="193">
        <f t="shared" si="762"/>
        <v>0</v>
      </c>
      <c r="T3517" s="193">
        <f t="shared" si="763"/>
        <v>2.5</v>
      </c>
      <c r="U3517" s="193">
        <f ca="1">OFFSET('Expenditure Study'!$B$7,'Operations Support'!$C3517,'Operations Support'!$B3517)*$G3517</f>
        <v>414.6</v>
      </c>
      <c r="V3517" s="199">
        <f ca="1">U3517*'Expenditure Study'!$B$31</f>
        <v>24495.886759680001</v>
      </c>
      <c r="W3517" s="199">
        <f ca="1">IF(A3517=10298,1.51,1)*IF($B3517&lt;3,$D3517*'Expenditure Study'!$B$32*OFFSET('Expenditure Study'!$B$7,'Operations Support'!$C3517,'Operations Support'!$B3517),0)</f>
        <v>0</v>
      </c>
      <c r="X3517" s="200">
        <f ca="1">W3517*'Expenditure Study'!$B$31</f>
        <v>0</v>
      </c>
      <c r="Y3517" s="199">
        <f ca="1">U3517*'Expenditure Study'!$B$31</f>
        <v>24495.886759680001</v>
      </c>
      <c r="Z3517" s="200">
        <f ca="1">W3517*'Expenditure Study'!$B$31</f>
        <v>0</v>
      </c>
      <c r="AA3517" s="195">
        <f t="shared" ca="1" si="764"/>
        <v>24495.886759680001</v>
      </c>
      <c r="AB3517" s="195">
        <f t="shared" ca="1" si="765"/>
        <v>24495.886759680001</v>
      </c>
      <c r="AD3517" s="196">
        <f>IFERROR($G3517/SUMIF($A:$A,$A3517,$G:$G)*SUMIF(Summary!$A$166:$A$242,$A3517,Summary!$P$166:$P$242),0)</f>
        <v>1893.8554805523979</v>
      </c>
      <c r="AE3517" s="197">
        <f t="shared" ca="1" si="766"/>
        <v>22602.031279127605</v>
      </c>
      <c r="AF3517" s="196">
        <f>IFERROR(G3517/SUMIF(A:A,A3517,G:G)*SUMIF(Summary!$A$166:$A$242,'Operations Support'!A3517,Summary!$Q$166:$Q$242),0)</f>
        <v>1900.1742580822161</v>
      </c>
      <c r="AG3517" s="196">
        <f t="shared" ca="1" si="767"/>
        <v>22595.712501597784</v>
      </c>
      <c r="AI3517" s="196">
        <f>IFERROR($G3517/SUMIF($A:$A,$A3517,$G:$G)*SUMIF(Summary!$A$247:$A$283,$A3517,Summary!$P$247:$P$283),0)</f>
        <v>345.3919790160532</v>
      </c>
      <c r="AJ3517" s="196">
        <f>IFERROR($G3517/SUMIF($A:$A,$A3517,$G:$G)*(SUMIF(Summary!$A$247:$A$283,$A3517,Summary!$L$247:$L$283)+SUMIF(Summary!$A$297:$A$333,$A3517,Summary!$L$297:$L$333))-AI3517,0)</f>
        <v>2869.5515789597534</v>
      </c>
      <c r="AK3517" s="196">
        <f>IFERROR($G3517/SUMIF($A:$A,$A3517,$G:$G)*SUMIF(Summary!$A$247:$A$283,$A3517,Summary!$Q$247:$Q$283),0)</f>
        <v>346.54436635415641</v>
      </c>
      <c r="AL3517" s="196">
        <f>IFERROR($G3517/SUMIF($A:$A,$A3517,$G:$G)*(SUMIF(Summary!$A$247:$A$283,$A3517,Summary!$L$247:$L$283)+SUMIF(Summary!$A$297:$A$333,$A3517,Summary!$L$297:$L$333))-AK3517,0)</f>
        <v>2868.3991916216501</v>
      </c>
      <c r="AM3517" s="198"/>
      <c r="AN3517" s="196">
        <f t="shared" ca="1" si="768"/>
        <v>25471.582858087357</v>
      </c>
      <c r="AO3517" s="196">
        <f t="shared" ca="1" si="769"/>
        <v>25464.111693219435</v>
      </c>
    </row>
    <row r="3518" spans="1:41">
      <c r="A3518" s="189">
        <v>29269</v>
      </c>
      <c r="B3518" s="190">
        <v>3</v>
      </c>
      <c r="C3518" s="191" t="s">
        <v>226</v>
      </c>
      <c r="D3518" s="192">
        <f t="shared" si="756"/>
        <v>0</v>
      </c>
      <c r="E3518" s="192">
        <f t="shared" si="757"/>
        <v>81</v>
      </c>
      <c r="F3518" s="192">
        <f t="shared" si="758"/>
        <v>0</v>
      </c>
      <c r="G3518" s="193">
        <f t="shared" si="759"/>
        <v>81</v>
      </c>
      <c r="H3518" s="194">
        <v>0</v>
      </c>
      <c r="I3518" s="194">
        <v>0</v>
      </c>
      <c r="J3518" s="194">
        <v>0</v>
      </c>
      <c r="K3518" s="193">
        <f t="shared" si="760"/>
        <v>0</v>
      </c>
      <c r="L3518" s="194">
        <v>0</v>
      </c>
      <c r="M3518" s="194">
        <v>0</v>
      </c>
      <c r="N3518" s="194">
        <v>0</v>
      </c>
      <c r="O3518" s="193">
        <f t="shared" si="761"/>
        <v>0</v>
      </c>
      <c r="P3518" s="194">
        <v>0</v>
      </c>
      <c r="Q3518" s="194">
        <v>81</v>
      </c>
      <c r="R3518" s="194">
        <v>0</v>
      </c>
      <c r="S3518" s="193">
        <f t="shared" si="762"/>
        <v>81</v>
      </c>
      <c r="T3518" s="193">
        <f t="shared" si="763"/>
        <v>3.375</v>
      </c>
      <c r="U3518" s="193">
        <f ca="1">OFFSET('Expenditure Study'!$B$7,'Operations Support'!$C3518,'Operations Support'!$B3518)*$G3518</f>
        <v>279.45</v>
      </c>
      <c r="V3518" s="199">
        <f ca="1">U3518*'Expenditure Study'!$B$31</f>
        <v>16510.794874560001</v>
      </c>
      <c r="W3518" s="199">
        <f ca="1">IF(A3518=10298,1.51,1)*IF($B3518&lt;3,$D3518*'Expenditure Study'!$B$32*OFFSET('Expenditure Study'!$B$7,'Operations Support'!$C3518,'Operations Support'!$B3518),0)</f>
        <v>0</v>
      </c>
      <c r="X3518" s="200">
        <f ca="1">W3518*'Expenditure Study'!$B$31</f>
        <v>0</v>
      </c>
      <c r="Y3518" s="199">
        <f ca="1">U3518*'Expenditure Study'!$B$31</f>
        <v>16510.794874560001</v>
      </c>
      <c r="Z3518" s="200">
        <f ca="1">W3518*'Expenditure Study'!$B$31</f>
        <v>0</v>
      </c>
      <c r="AA3518" s="195">
        <f t="shared" ca="1" si="764"/>
        <v>16510.794874560001</v>
      </c>
      <c r="AB3518" s="195">
        <f t="shared" ca="1" si="765"/>
        <v>16510.794874560001</v>
      </c>
      <c r="AD3518" s="196">
        <f>IFERROR($G3518/SUMIF($A:$A,$A3518,$G:$G)*SUMIF(Summary!$A$166:$A$242,$A3518,Summary!$P$166:$P$242),0)</f>
        <v>2556.7048987457374</v>
      </c>
      <c r="AE3518" s="197">
        <f t="shared" ca="1" si="766"/>
        <v>13954.089975814262</v>
      </c>
      <c r="AF3518" s="196">
        <f>IFERROR(G3518/SUMIF(A:A,A3518,G:G)*SUMIF(Summary!$A$166:$A$242,'Operations Support'!A3518,Summary!$Q$166:$Q$242),0)</f>
        <v>2565.2352484109915</v>
      </c>
      <c r="AG3518" s="196">
        <f t="shared" ca="1" si="767"/>
        <v>13945.55962614901</v>
      </c>
      <c r="AI3518" s="196">
        <f>IFERROR($G3518/SUMIF($A:$A,$A3518,$G:$G)*SUMIF(Summary!$A$247:$A$283,$A3518,Summary!$P$247:$P$283),0)</f>
        <v>466.2791716716718</v>
      </c>
      <c r="AJ3518" s="196">
        <f>IFERROR($G3518/SUMIF($A:$A,$A3518,$G:$G)*(SUMIF(Summary!$A$247:$A$283,$A3518,Summary!$L$247:$L$283)+SUMIF(Summary!$A$297:$A$333,$A3518,Summary!$L$297:$L$333))-AI3518,0)</f>
        <v>3873.8946315956664</v>
      </c>
      <c r="AK3518" s="196">
        <f>IFERROR($G3518/SUMIF($A:$A,$A3518,$G:$G)*SUMIF(Summary!$A$247:$A$283,$A3518,Summary!$Q$247:$Q$283),0)</f>
        <v>467.83489457811118</v>
      </c>
      <c r="AL3518" s="196">
        <f>IFERROR($G3518/SUMIF($A:$A,$A3518,$G:$G)*(SUMIF(Summary!$A$247:$A$283,$A3518,Summary!$L$247:$L$283)+SUMIF(Summary!$A$297:$A$333,$A3518,Summary!$L$297:$L$333))-AK3518,0)</f>
        <v>3872.3389086892271</v>
      </c>
      <c r="AM3518" s="198"/>
      <c r="AN3518" s="196">
        <f t="shared" ca="1" si="768"/>
        <v>17827.98460740993</v>
      </c>
      <c r="AO3518" s="196">
        <f t="shared" ca="1" si="769"/>
        <v>17817.898534838238</v>
      </c>
    </row>
    <row r="3519" spans="1:41">
      <c r="A3519" s="189">
        <v>29269</v>
      </c>
      <c r="B3519" s="190">
        <v>3</v>
      </c>
      <c r="C3519" s="191" t="s">
        <v>227</v>
      </c>
      <c r="D3519" s="192">
        <f t="shared" si="756"/>
        <v>0</v>
      </c>
      <c r="E3519" s="192">
        <f t="shared" si="757"/>
        <v>0</v>
      </c>
      <c r="F3519" s="192">
        <f t="shared" si="758"/>
        <v>0</v>
      </c>
      <c r="G3519" s="193">
        <f t="shared" si="759"/>
        <v>0</v>
      </c>
      <c r="H3519" s="194">
        <v>0</v>
      </c>
      <c r="I3519" s="194">
        <v>0</v>
      </c>
      <c r="J3519" s="194">
        <v>0</v>
      </c>
      <c r="K3519" s="193">
        <f t="shared" si="760"/>
        <v>0</v>
      </c>
      <c r="L3519" s="194">
        <v>0</v>
      </c>
      <c r="M3519" s="194">
        <v>0</v>
      </c>
      <c r="N3519" s="194">
        <v>0</v>
      </c>
      <c r="O3519" s="193">
        <f t="shared" si="761"/>
        <v>0</v>
      </c>
      <c r="P3519" s="194">
        <v>0</v>
      </c>
      <c r="Q3519" s="194">
        <v>0</v>
      </c>
      <c r="R3519" s="194">
        <v>0</v>
      </c>
      <c r="S3519" s="193">
        <f t="shared" si="762"/>
        <v>0</v>
      </c>
      <c r="T3519" s="193">
        <f t="shared" si="763"/>
        <v>0</v>
      </c>
      <c r="U3519" s="193">
        <f ca="1">OFFSET('Expenditure Study'!$B$7,'Operations Support'!$C3519,'Operations Support'!$B3519)*$G3519</f>
        <v>0</v>
      </c>
      <c r="V3519" s="199">
        <f ca="1">U3519*'Expenditure Study'!$B$31</f>
        <v>0</v>
      </c>
      <c r="W3519" s="199">
        <f ca="1">IF(A3519=10298,1.51,1)*IF($B3519&lt;3,$D3519*'Expenditure Study'!$B$32*OFFSET('Expenditure Study'!$B$7,'Operations Support'!$C3519,'Operations Support'!$B3519),0)</f>
        <v>0</v>
      </c>
      <c r="X3519" s="200">
        <f ca="1">W3519*'Expenditure Study'!$B$31</f>
        <v>0</v>
      </c>
      <c r="Y3519" s="199">
        <f ca="1">U3519*'Expenditure Study'!$B$31</f>
        <v>0</v>
      </c>
      <c r="Z3519" s="200">
        <f ca="1">W3519*'Expenditure Study'!$B$31</f>
        <v>0</v>
      </c>
      <c r="AA3519" s="195">
        <f t="shared" ca="1" si="764"/>
        <v>0</v>
      </c>
      <c r="AB3519" s="195">
        <f t="shared" ca="1" si="765"/>
        <v>0</v>
      </c>
      <c r="AD3519" s="196">
        <f>IFERROR($G3519/SUMIF($A:$A,$A3519,$G:$G)*SUMIF(Summary!$A$166:$A$242,$A3519,Summary!$P$166:$P$242),0)</f>
        <v>0</v>
      </c>
      <c r="AE3519" s="197">
        <f t="shared" ca="1" si="766"/>
        <v>0</v>
      </c>
      <c r="AF3519" s="196">
        <f>IFERROR(G3519/SUMIF(A:A,A3519,G:G)*SUMIF(Summary!$A$166:$A$242,'Operations Support'!A3519,Summary!$Q$166:$Q$242),0)</f>
        <v>0</v>
      </c>
      <c r="AG3519" s="196">
        <f t="shared" ca="1" si="767"/>
        <v>0</v>
      </c>
      <c r="AI3519" s="196">
        <f>IFERROR($G3519/SUMIF($A:$A,$A3519,$G:$G)*SUMIF(Summary!$A$247:$A$283,$A3519,Summary!$P$247:$P$283),0)</f>
        <v>0</v>
      </c>
      <c r="AJ3519" s="196">
        <f>IFERROR($G3519/SUMIF($A:$A,$A3519,$G:$G)*(SUMIF(Summary!$A$247:$A$283,$A3519,Summary!$L$247:$L$283)+SUMIF(Summary!$A$297:$A$333,$A3519,Summary!$L$297:$L$333))-AI3519,0)</f>
        <v>0</v>
      </c>
      <c r="AK3519" s="196">
        <f>IFERROR($G3519/SUMIF($A:$A,$A3519,$G:$G)*SUMIF(Summary!$A$247:$A$283,$A3519,Summary!$Q$247:$Q$283),0)</f>
        <v>0</v>
      </c>
      <c r="AL3519" s="196">
        <f>IFERROR($G3519/SUMIF($A:$A,$A3519,$G:$G)*(SUMIF(Summary!$A$247:$A$283,$A3519,Summary!$L$247:$L$283)+SUMIF(Summary!$A$297:$A$333,$A3519,Summary!$L$297:$L$333))-AK3519,0)</f>
        <v>0</v>
      </c>
      <c r="AM3519" s="198"/>
      <c r="AN3519" s="196">
        <f t="shared" ca="1" si="768"/>
        <v>0</v>
      </c>
      <c r="AO3519" s="196">
        <f t="shared" ca="1" si="769"/>
        <v>0</v>
      </c>
    </row>
    <row r="3520" spans="1:41">
      <c r="A3520" s="189">
        <v>29269</v>
      </c>
      <c r="B3520" s="190">
        <v>3</v>
      </c>
      <c r="C3520" s="191" t="s">
        <v>228</v>
      </c>
      <c r="D3520" s="192">
        <f t="shared" si="756"/>
        <v>379</v>
      </c>
      <c r="E3520" s="192">
        <f t="shared" si="757"/>
        <v>235</v>
      </c>
      <c r="F3520" s="192">
        <f t="shared" si="758"/>
        <v>0</v>
      </c>
      <c r="G3520" s="193">
        <f t="shared" si="759"/>
        <v>614</v>
      </c>
      <c r="H3520" s="194">
        <v>166</v>
      </c>
      <c r="I3520" s="194">
        <v>100</v>
      </c>
      <c r="J3520" s="194">
        <v>0</v>
      </c>
      <c r="K3520" s="193">
        <f t="shared" si="760"/>
        <v>266</v>
      </c>
      <c r="L3520" s="194">
        <v>173</v>
      </c>
      <c r="M3520" s="194">
        <v>111</v>
      </c>
      <c r="N3520" s="194">
        <v>0</v>
      </c>
      <c r="O3520" s="193">
        <f t="shared" si="761"/>
        <v>284</v>
      </c>
      <c r="P3520" s="194">
        <v>40</v>
      </c>
      <c r="Q3520" s="194">
        <v>24</v>
      </c>
      <c r="R3520" s="194">
        <v>0</v>
      </c>
      <c r="S3520" s="193">
        <f t="shared" si="762"/>
        <v>64</v>
      </c>
      <c r="T3520" s="193">
        <f t="shared" si="763"/>
        <v>25.583333333333332</v>
      </c>
      <c r="U3520" s="193">
        <f ca="1">OFFSET('Expenditure Study'!$B$7,'Operations Support'!$C3520,'Operations Support'!$B3520)*$G3520</f>
        <v>1498.1599999999999</v>
      </c>
      <c r="V3520" s="199">
        <f ca="1">U3520*'Expenditure Study'!$B$31</f>
        <v>88516.058147327989</v>
      </c>
      <c r="W3520" s="199">
        <f ca="1">IF(A3520=10298,1.51,1)*IF($B3520&lt;3,$D3520*'Expenditure Study'!$B$32*OFFSET('Expenditure Study'!$B$7,'Operations Support'!$C3520,'Operations Support'!$B3520),0)</f>
        <v>0</v>
      </c>
      <c r="X3520" s="200">
        <f ca="1">W3520*'Expenditure Study'!$B$31</f>
        <v>0</v>
      </c>
      <c r="Y3520" s="199">
        <f ca="1">U3520*'Expenditure Study'!$B$31</f>
        <v>88516.058147327989</v>
      </c>
      <c r="Z3520" s="200">
        <f ca="1">W3520*'Expenditure Study'!$B$31</f>
        <v>0</v>
      </c>
      <c r="AA3520" s="195">
        <f t="shared" ca="1" si="764"/>
        <v>88516.058147327989</v>
      </c>
      <c r="AB3520" s="195">
        <f t="shared" ca="1" si="765"/>
        <v>88516.058147327989</v>
      </c>
      <c r="AD3520" s="196">
        <f>IFERROR($G3520/SUMIF($A:$A,$A3520,$G:$G)*SUMIF(Summary!$A$166:$A$242,$A3520,Summary!$P$166:$P$242),0)</f>
        <v>19380.454417652873</v>
      </c>
      <c r="AE3520" s="197">
        <f t="shared" ca="1" si="766"/>
        <v>69135.603729675116</v>
      </c>
      <c r="AF3520" s="196">
        <f>IFERROR(G3520/SUMIF(A:A,A3520,G:G)*SUMIF(Summary!$A$166:$A$242,'Operations Support'!A3520,Summary!$Q$166:$Q$242),0)</f>
        <v>19445.116574374675</v>
      </c>
      <c r="AG3520" s="196">
        <f t="shared" ca="1" si="767"/>
        <v>69070.941572953307</v>
      </c>
      <c r="AI3520" s="196">
        <f>IFERROR($G3520/SUMIF($A:$A,$A3520,$G:$G)*SUMIF(Summary!$A$247:$A$283,$A3520,Summary!$P$247:$P$283),0)</f>
        <v>3534.5112519309441</v>
      </c>
      <c r="AJ3520" s="196">
        <f>IFERROR($G3520/SUMIF($A:$A,$A3520,$G:$G)*(SUMIF(Summary!$A$247:$A$283,$A3520,Summary!$L$247:$L$283)+SUMIF(Summary!$A$297:$A$333,$A3520,Summary!$L$297:$L$333))-AI3520,0)</f>
        <v>29365.077824688142</v>
      </c>
      <c r="AK3520" s="196">
        <f>IFERROR($G3520/SUMIF($A:$A,$A3520,$G:$G)*SUMIF(Summary!$A$247:$A$283,$A3520,Summary!$Q$247:$Q$283),0)</f>
        <v>3546.3040156908673</v>
      </c>
      <c r="AL3520" s="196">
        <f>IFERROR($G3520/SUMIF($A:$A,$A3520,$G:$G)*(SUMIF(Summary!$A$247:$A$283,$A3520,Summary!$L$247:$L$283)+SUMIF(Summary!$A$297:$A$333,$A3520,Summary!$L$297:$L$333))-AK3520,0)</f>
        <v>29353.285060928218</v>
      </c>
      <c r="AM3520" s="198"/>
      <c r="AN3520" s="196">
        <f t="shared" ca="1" si="768"/>
        <v>98500.681554363255</v>
      </c>
      <c r="AO3520" s="196">
        <f t="shared" ca="1" si="769"/>
        <v>98424.226633881524</v>
      </c>
    </row>
    <row r="3521" spans="1:41">
      <c r="A3521" s="189">
        <v>29269</v>
      </c>
      <c r="B3521" s="190">
        <v>3</v>
      </c>
      <c r="C3521" s="191" t="s">
        <v>229</v>
      </c>
      <c r="D3521" s="192">
        <f t="shared" si="756"/>
        <v>0</v>
      </c>
      <c r="E3521" s="192">
        <f t="shared" si="757"/>
        <v>0</v>
      </c>
      <c r="F3521" s="192">
        <f t="shared" si="758"/>
        <v>0</v>
      </c>
      <c r="G3521" s="193">
        <f t="shared" si="759"/>
        <v>0</v>
      </c>
      <c r="H3521" s="194">
        <v>0</v>
      </c>
      <c r="I3521" s="194">
        <v>0</v>
      </c>
      <c r="J3521" s="194">
        <v>0</v>
      </c>
      <c r="K3521" s="193">
        <f t="shared" si="760"/>
        <v>0</v>
      </c>
      <c r="L3521" s="194">
        <v>0</v>
      </c>
      <c r="M3521" s="194">
        <v>0</v>
      </c>
      <c r="N3521" s="194">
        <v>0</v>
      </c>
      <c r="O3521" s="193">
        <f t="shared" si="761"/>
        <v>0</v>
      </c>
      <c r="P3521" s="194">
        <v>0</v>
      </c>
      <c r="Q3521" s="194">
        <v>0</v>
      </c>
      <c r="R3521" s="194">
        <v>0</v>
      </c>
      <c r="S3521" s="193">
        <f t="shared" si="762"/>
        <v>0</v>
      </c>
      <c r="T3521" s="193">
        <f t="shared" si="763"/>
        <v>0</v>
      </c>
      <c r="U3521" s="193">
        <f ca="1">OFFSET('Expenditure Study'!$B$7,'Operations Support'!$C3521,'Operations Support'!$B3521)*$G3521</f>
        <v>0</v>
      </c>
      <c r="V3521" s="199">
        <f ca="1">U3521*'Expenditure Study'!$B$31</f>
        <v>0</v>
      </c>
      <c r="W3521" s="199">
        <f ca="1">IF(A3521=10298,1.51,1)*IF($B3521&lt;3,$D3521*'Expenditure Study'!$B$32*OFFSET('Expenditure Study'!$B$7,'Operations Support'!$C3521,'Operations Support'!$B3521),0)</f>
        <v>0</v>
      </c>
      <c r="X3521" s="200">
        <f ca="1">W3521*'Expenditure Study'!$B$31</f>
        <v>0</v>
      </c>
      <c r="Y3521" s="199">
        <f ca="1">U3521*'Expenditure Study'!$B$31</f>
        <v>0</v>
      </c>
      <c r="Z3521" s="200">
        <f ca="1">W3521*'Expenditure Study'!$B$31</f>
        <v>0</v>
      </c>
      <c r="AA3521" s="195">
        <f t="shared" ca="1" si="764"/>
        <v>0</v>
      </c>
      <c r="AB3521" s="195">
        <f t="shared" ca="1" si="765"/>
        <v>0</v>
      </c>
      <c r="AD3521" s="196">
        <f>IFERROR($G3521/SUMIF($A:$A,$A3521,$G:$G)*SUMIF(Summary!$A$166:$A$242,$A3521,Summary!$P$166:$P$242),0)</f>
        <v>0</v>
      </c>
      <c r="AE3521" s="197">
        <f t="shared" ca="1" si="766"/>
        <v>0</v>
      </c>
      <c r="AF3521" s="196">
        <f>IFERROR(G3521/SUMIF(A:A,A3521,G:G)*SUMIF(Summary!$A$166:$A$242,'Operations Support'!A3521,Summary!$Q$166:$Q$242),0)</f>
        <v>0</v>
      </c>
      <c r="AG3521" s="196">
        <f t="shared" ca="1" si="767"/>
        <v>0</v>
      </c>
      <c r="AI3521" s="196">
        <f>IFERROR($G3521/SUMIF($A:$A,$A3521,$G:$G)*SUMIF(Summary!$A$247:$A$283,$A3521,Summary!$P$247:$P$283),0)</f>
        <v>0</v>
      </c>
      <c r="AJ3521" s="196">
        <f>IFERROR($G3521/SUMIF($A:$A,$A3521,$G:$G)*(SUMIF(Summary!$A$247:$A$283,$A3521,Summary!$L$247:$L$283)+SUMIF(Summary!$A$297:$A$333,$A3521,Summary!$L$297:$L$333))-AI3521,0)</f>
        <v>0</v>
      </c>
      <c r="AK3521" s="196">
        <f>IFERROR($G3521/SUMIF($A:$A,$A3521,$G:$G)*SUMIF(Summary!$A$247:$A$283,$A3521,Summary!$Q$247:$Q$283),0)</f>
        <v>0</v>
      </c>
      <c r="AL3521" s="196">
        <f>IFERROR($G3521/SUMIF($A:$A,$A3521,$G:$G)*(SUMIF(Summary!$A$247:$A$283,$A3521,Summary!$L$247:$L$283)+SUMIF(Summary!$A$297:$A$333,$A3521,Summary!$L$297:$L$333))-AK3521,0)</f>
        <v>0</v>
      </c>
      <c r="AM3521" s="198"/>
      <c r="AN3521" s="196">
        <f t="shared" ca="1" si="768"/>
        <v>0</v>
      </c>
      <c r="AO3521" s="196">
        <f t="shared" ca="1" si="769"/>
        <v>0</v>
      </c>
    </row>
    <row r="3522" spans="1:41">
      <c r="A3522" s="189">
        <v>29269</v>
      </c>
      <c r="B3522" s="190">
        <v>3</v>
      </c>
      <c r="C3522" s="191" t="s">
        <v>230</v>
      </c>
      <c r="D3522" s="192">
        <f t="shared" si="756"/>
        <v>0</v>
      </c>
      <c r="E3522" s="192">
        <f t="shared" si="757"/>
        <v>0</v>
      </c>
      <c r="F3522" s="192">
        <f t="shared" si="758"/>
        <v>0</v>
      </c>
      <c r="G3522" s="193">
        <f t="shared" si="759"/>
        <v>0</v>
      </c>
      <c r="H3522" s="194">
        <v>0</v>
      </c>
      <c r="I3522" s="194">
        <v>0</v>
      </c>
      <c r="J3522" s="194">
        <v>0</v>
      </c>
      <c r="K3522" s="193">
        <f t="shared" si="760"/>
        <v>0</v>
      </c>
      <c r="L3522" s="194">
        <v>0</v>
      </c>
      <c r="M3522" s="194">
        <v>0</v>
      </c>
      <c r="N3522" s="194">
        <v>0</v>
      </c>
      <c r="O3522" s="193">
        <f t="shared" si="761"/>
        <v>0</v>
      </c>
      <c r="P3522" s="194">
        <v>0</v>
      </c>
      <c r="Q3522" s="194">
        <v>0</v>
      </c>
      <c r="R3522" s="194">
        <v>0</v>
      </c>
      <c r="S3522" s="193">
        <f t="shared" si="762"/>
        <v>0</v>
      </c>
      <c r="T3522" s="193">
        <f t="shared" si="763"/>
        <v>0</v>
      </c>
      <c r="U3522" s="193">
        <f ca="1">OFFSET('Expenditure Study'!$B$7,'Operations Support'!$C3522,'Operations Support'!$B3522)*$G3522</f>
        <v>0</v>
      </c>
      <c r="V3522" s="199">
        <f ca="1">U3522*'Expenditure Study'!$B$31</f>
        <v>0</v>
      </c>
      <c r="W3522" s="199">
        <f ca="1">IF(A3522=10298,1.51,1)*IF($B3522&lt;3,$D3522*'Expenditure Study'!$B$32*OFFSET('Expenditure Study'!$B$7,'Operations Support'!$C3522,'Operations Support'!$B3522),0)</f>
        <v>0</v>
      </c>
      <c r="X3522" s="200">
        <f ca="1">W3522*'Expenditure Study'!$B$31</f>
        <v>0</v>
      </c>
      <c r="Y3522" s="199">
        <f ca="1">U3522*'Expenditure Study'!$B$31</f>
        <v>0</v>
      </c>
      <c r="Z3522" s="200">
        <f ca="1">W3522*'Expenditure Study'!$B$31</f>
        <v>0</v>
      </c>
      <c r="AA3522" s="195">
        <f t="shared" ca="1" si="764"/>
        <v>0</v>
      </c>
      <c r="AB3522" s="195">
        <f t="shared" ca="1" si="765"/>
        <v>0</v>
      </c>
      <c r="AD3522" s="196">
        <f>IFERROR($G3522/SUMIF($A:$A,$A3522,$G:$G)*SUMIF(Summary!$A$166:$A$242,$A3522,Summary!$P$166:$P$242),0)</f>
        <v>0</v>
      </c>
      <c r="AE3522" s="197">
        <f t="shared" ca="1" si="766"/>
        <v>0</v>
      </c>
      <c r="AF3522" s="196">
        <f>IFERROR(G3522/SUMIF(A:A,A3522,G:G)*SUMIF(Summary!$A$166:$A$242,'Operations Support'!A3522,Summary!$Q$166:$Q$242),0)</f>
        <v>0</v>
      </c>
      <c r="AG3522" s="196">
        <f t="shared" ca="1" si="767"/>
        <v>0</v>
      </c>
      <c r="AI3522" s="196">
        <f>IFERROR($G3522/SUMIF($A:$A,$A3522,$G:$G)*SUMIF(Summary!$A$247:$A$283,$A3522,Summary!$P$247:$P$283),0)</f>
        <v>0</v>
      </c>
      <c r="AJ3522" s="196">
        <f>IFERROR($G3522/SUMIF($A:$A,$A3522,$G:$G)*(SUMIF(Summary!$A$247:$A$283,$A3522,Summary!$L$247:$L$283)+SUMIF(Summary!$A$297:$A$333,$A3522,Summary!$L$297:$L$333))-AI3522,0)</f>
        <v>0</v>
      </c>
      <c r="AK3522" s="196">
        <f>IFERROR($G3522/SUMIF($A:$A,$A3522,$G:$G)*SUMIF(Summary!$A$247:$A$283,$A3522,Summary!$Q$247:$Q$283),0)</f>
        <v>0</v>
      </c>
      <c r="AL3522" s="196">
        <f>IFERROR($G3522/SUMIF($A:$A,$A3522,$G:$G)*(SUMIF(Summary!$A$247:$A$283,$A3522,Summary!$L$247:$L$283)+SUMIF(Summary!$A$297:$A$333,$A3522,Summary!$L$297:$L$333))-AK3522,0)</f>
        <v>0</v>
      </c>
      <c r="AM3522" s="198"/>
      <c r="AN3522" s="196">
        <f t="shared" ca="1" si="768"/>
        <v>0</v>
      </c>
      <c r="AO3522" s="196">
        <f t="shared" ca="1" si="769"/>
        <v>0</v>
      </c>
    </row>
    <row r="3523" spans="1:41">
      <c r="A3523" s="189">
        <v>29269</v>
      </c>
      <c r="B3523" s="190">
        <v>3</v>
      </c>
      <c r="C3523" s="191" t="s">
        <v>231</v>
      </c>
      <c r="D3523" s="192">
        <f t="shared" si="756"/>
        <v>0</v>
      </c>
      <c r="E3523" s="192">
        <f t="shared" si="757"/>
        <v>0</v>
      </c>
      <c r="F3523" s="192">
        <f t="shared" si="758"/>
        <v>0</v>
      </c>
      <c r="G3523" s="193">
        <f t="shared" si="759"/>
        <v>0</v>
      </c>
      <c r="H3523" s="194">
        <v>0</v>
      </c>
      <c r="I3523" s="194">
        <v>0</v>
      </c>
      <c r="J3523" s="194">
        <v>0</v>
      </c>
      <c r="K3523" s="193">
        <f t="shared" si="760"/>
        <v>0</v>
      </c>
      <c r="L3523" s="194">
        <v>0</v>
      </c>
      <c r="M3523" s="194">
        <v>0</v>
      </c>
      <c r="N3523" s="194">
        <v>0</v>
      </c>
      <c r="O3523" s="193">
        <f t="shared" si="761"/>
        <v>0</v>
      </c>
      <c r="P3523" s="194">
        <v>0</v>
      </c>
      <c r="Q3523" s="194">
        <v>0</v>
      </c>
      <c r="R3523" s="194">
        <v>0</v>
      </c>
      <c r="S3523" s="193">
        <f t="shared" si="762"/>
        <v>0</v>
      </c>
      <c r="T3523" s="193">
        <f t="shared" si="763"/>
        <v>0</v>
      </c>
      <c r="U3523" s="193">
        <f ca="1">OFFSET('Expenditure Study'!$B$7,'Operations Support'!$C3523,'Operations Support'!$B3523)*$G3523</f>
        <v>0</v>
      </c>
      <c r="V3523" s="199">
        <f ca="1">U3523*'Expenditure Study'!$B$31</f>
        <v>0</v>
      </c>
      <c r="W3523" s="199">
        <f ca="1">IF(A3523=10298,1.51,1)*IF($B3523&lt;3,$D3523*'Expenditure Study'!$B$32*OFFSET('Expenditure Study'!$B$7,'Operations Support'!$C3523,'Operations Support'!$B3523),0)</f>
        <v>0</v>
      </c>
      <c r="X3523" s="200">
        <f ca="1">W3523*'Expenditure Study'!$B$31</f>
        <v>0</v>
      </c>
      <c r="Y3523" s="199">
        <f ca="1">U3523*'Expenditure Study'!$B$31</f>
        <v>0</v>
      </c>
      <c r="Z3523" s="200">
        <f ca="1">W3523*'Expenditure Study'!$B$31</f>
        <v>0</v>
      </c>
      <c r="AA3523" s="195">
        <f t="shared" ca="1" si="764"/>
        <v>0</v>
      </c>
      <c r="AB3523" s="195">
        <f t="shared" ca="1" si="765"/>
        <v>0</v>
      </c>
      <c r="AD3523" s="196">
        <f>IFERROR($G3523/SUMIF($A:$A,$A3523,$G:$G)*SUMIF(Summary!$A$166:$A$242,$A3523,Summary!$P$166:$P$242),0)</f>
        <v>0</v>
      </c>
      <c r="AE3523" s="197">
        <f t="shared" ca="1" si="766"/>
        <v>0</v>
      </c>
      <c r="AF3523" s="196">
        <f>IFERROR(G3523/SUMIF(A:A,A3523,G:G)*SUMIF(Summary!$A$166:$A$242,'Operations Support'!A3523,Summary!$Q$166:$Q$242),0)</f>
        <v>0</v>
      </c>
      <c r="AG3523" s="196">
        <f t="shared" ca="1" si="767"/>
        <v>0</v>
      </c>
      <c r="AI3523" s="196">
        <f>IFERROR($G3523/SUMIF($A:$A,$A3523,$G:$G)*SUMIF(Summary!$A$247:$A$283,$A3523,Summary!$P$247:$P$283),0)</f>
        <v>0</v>
      </c>
      <c r="AJ3523" s="196">
        <f>IFERROR($G3523/SUMIF($A:$A,$A3523,$G:$G)*(SUMIF(Summary!$A$247:$A$283,$A3523,Summary!$L$247:$L$283)+SUMIF(Summary!$A$297:$A$333,$A3523,Summary!$L$297:$L$333))-AI3523,0)</f>
        <v>0</v>
      </c>
      <c r="AK3523" s="196">
        <f>IFERROR($G3523/SUMIF($A:$A,$A3523,$G:$G)*SUMIF(Summary!$A$247:$A$283,$A3523,Summary!$Q$247:$Q$283),0)</f>
        <v>0</v>
      </c>
      <c r="AL3523" s="196">
        <f>IFERROR($G3523/SUMIF($A:$A,$A3523,$G:$G)*(SUMIF(Summary!$A$247:$A$283,$A3523,Summary!$L$247:$L$283)+SUMIF(Summary!$A$297:$A$333,$A3523,Summary!$L$297:$L$333))-AK3523,0)</f>
        <v>0</v>
      </c>
      <c r="AM3523" s="198"/>
      <c r="AN3523" s="196">
        <f t="shared" ca="1" si="768"/>
        <v>0</v>
      </c>
      <c r="AO3523" s="196">
        <f t="shared" ca="1" si="769"/>
        <v>0</v>
      </c>
    </row>
    <row r="3524" spans="1:41">
      <c r="A3524" s="189">
        <v>29269</v>
      </c>
      <c r="B3524" s="190">
        <v>3</v>
      </c>
      <c r="C3524" s="191" t="s">
        <v>232</v>
      </c>
      <c r="D3524" s="192">
        <f t="shared" si="756"/>
        <v>0</v>
      </c>
      <c r="E3524" s="192">
        <f t="shared" si="757"/>
        <v>0</v>
      </c>
      <c r="F3524" s="192">
        <f t="shared" si="758"/>
        <v>0</v>
      </c>
      <c r="G3524" s="193">
        <f t="shared" si="759"/>
        <v>0</v>
      </c>
      <c r="H3524" s="194">
        <v>0</v>
      </c>
      <c r="I3524" s="194">
        <v>0</v>
      </c>
      <c r="J3524" s="194">
        <v>0</v>
      </c>
      <c r="K3524" s="193">
        <f t="shared" si="760"/>
        <v>0</v>
      </c>
      <c r="L3524" s="194">
        <v>0</v>
      </c>
      <c r="M3524" s="194">
        <v>0</v>
      </c>
      <c r="N3524" s="194">
        <v>0</v>
      </c>
      <c r="O3524" s="193">
        <f t="shared" si="761"/>
        <v>0</v>
      </c>
      <c r="P3524" s="194">
        <v>0</v>
      </c>
      <c r="Q3524" s="194">
        <v>0</v>
      </c>
      <c r="R3524" s="194">
        <v>0</v>
      </c>
      <c r="S3524" s="193">
        <f t="shared" si="762"/>
        <v>0</v>
      </c>
      <c r="T3524" s="193">
        <f t="shared" si="763"/>
        <v>0</v>
      </c>
      <c r="U3524" s="193">
        <f ca="1">OFFSET('Expenditure Study'!$B$7,'Operations Support'!$C3524,'Operations Support'!$B3524)*$G3524</f>
        <v>0</v>
      </c>
      <c r="V3524" s="199">
        <f ca="1">U3524*'Expenditure Study'!$B$31</f>
        <v>0</v>
      </c>
      <c r="W3524" s="199">
        <f ca="1">IF(A3524=10298,1.51,1)*IF($B3524&lt;3,$D3524*'Expenditure Study'!$B$32*OFFSET('Expenditure Study'!$B$7,'Operations Support'!$C3524,'Operations Support'!$B3524),0)</f>
        <v>0</v>
      </c>
      <c r="X3524" s="200">
        <f ca="1">W3524*'Expenditure Study'!$B$31</f>
        <v>0</v>
      </c>
      <c r="Y3524" s="199">
        <f ca="1">U3524*'Expenditure Study'!$B$31</f>
        <v>0</v>
      </c>
      <c r="Z3524" s="200">
        <f ca="1">W3524*'Expenditure Study'!$B$31</f>
        <v>0</v>
      </c>
      <c r="AA3524" s="195">
        <f t="shared" ca="1" si="764"/>
        <v>0</v>
      </c>
      <c r="AB3524" s="195">
        <f t="shared" ca="1" si="765"/>
        <v>0</v>
      </c>
      <c r="AD3524" s="196">
        <f>IFERROR($G3524/SUMIF($A:$A,$A3524,$G:$G)*SUMIF(Summary!$A$166:$A$242,$A3524,Summary!$P$166:$P$242),0)</f>
        <v>0</v>
      </c>
      <c r="AE3524" s="197">
        <f t="shared" ca="1" si="766"/>
        <v>0</v>
      </c>
      <c r="AF3524" s="196">
        <f>IFERROR(G3524/SUMIF(A:A,A3524,G:G)*SUMIF(Summary!$A$166:$A$242,'Operations Support'!A3524,Summary!$Q$166:$Q$242),0)</f>
        <v>0</v>
      </c>
      <c r="AG3524" s="196">
        <f t="shared" ca="1" si="767"/>
        <v>0</v>
      </c>
      <c r="AI3524" s="196">
        <f>IFERROR($G3524/SUMIF($A:$A,$A3524,$G:$G)*SUMIF(Summary!$A$247:$A$283,$A3524,Summary!$P$247:$P$283),0)</f>
        <v>0</v>
      </c>
      <c r="AJ3524" s="196">
        <f>IFERROR($G3524/SUMIF($A:$A,$A3524,$G:$G)*(SUMIF(Summary!$A$247:$A$283,$A3524,Summary!$L$247:$L$283)+SUMIF(Summary!$A$297:$A$333,$A3524,Summary!$L$297:$L$333))-AI3524,0)</f>
        <v>0</v>
      </c>
      <c r="AK3524" s="196">
        <f>IFERROR($G3524/SUMIF($A:$A,$A3524,$G:$G)*SUMIF(Summary!$A$247:$A$283,$A3524,Summary!$Q$247:$Q$283),0)</f>
        <v>0</v>
      </c>
      <c r="AL3524" s="196">
        <f>IFERROR($G3524/SUMIF($A:$A,$A3524,$G:$G)*(SUMIF(Summary!$A$247:$A$283,$A3524,Summary!$L$247:$L$283)+SUMIF(Summary!$A$297:$A$333,$A3524,Summary!$L$297:$L$333))-AK3524,0)</f>
        <v>0</v>
      </c>
      <c r="AM3524" s="198"/>
      <c r="AN3524" s="196">
        <f t="shared" ca="1" si="768"/>
        <v>0</v>
      </c>
      <c r="AO3524" s="196">
        <f t="shared" ca="1" si="769"/>
        <v>0</v>
      </c>
    </row>
    <row r="3525" spans="1:41">
      <c r="A3525" s="189">
        <v>29269</v>
      </c>
      <c r="B3525" s="190">
        <v>3</v>
      </c>
      <c r="C3525" s="191" t="s">
        <v>233</v>
      </c>
      <c r="D3525" s="192">
        <f t="shared" ref="D3525:D3588" si="770">H3525+L3525+P3525</f>
        <v>6</v>
      </c>
      <c r="E3525" s="192">
        <f t="shared" ref="E3525:E3588" si="771">I3525+M3525+Q3525</f>
        <v>24</v>
      </c>
      <c r="F3525" s="192">
        <f t="shared" ref="F3525:F3588" si="772">J3525+N3525+R3525</f>
        <v>0</v>
      </c>
      <c r="G3525" s="193">
        <f t="shared" ref="G3525:G3588" si="773">(SUM(D3525:E3525)-F3525)*IF(A3525=10298,1.51,1)</f>
        <v>30</v>
      </c>
      <c r="H3525" s="194">
        <v>0</v>
      </c>
      <c r="I3525" s="194">
        <v>24</v>
      </c>
      <c r="J3525" s="194">
        <v>0</v>
      </c>
      <c r="K3525" s="193">
        <f t="shared" ref="K3525:K3588" si="774">SUM(H3525:I3525)-J3525</f>
        <v>24</v>
      </c>
      <c r="L3525" s="194">
        <v>6</v>
      </c>
      <c r="M3525" s="194">
        <v>0</v>
      </c>
      <c r="N3525" s="194">
        <v>0</v>
      </c>
      <c r="O3525" s="193">
        <f t="shared" ref="O3525:O3588" si="775">SUM(L3525:M3525)-N3525</f>
        <v>6</v>
      </c>
      <c r="P3525" s="194">
        <v>0</v>
      </c>
      <c r="Q3525" s="194">
        <v>0</v>
      </c>
      <c r="R3525" s="194">
        <v>0</v>
      </c>
      <c r="S3525" s="193">
        <f t="shared" ref="S3525:S3588" si="776">SUM(P3525:Q3525)-R3525</f>
        <v>0</v>
      </c>
      <c r="T3525" s="193">
        <f t="shared" ref="T3525:T3588" si="777">IF(OR(B3525=1,B3525=2),G3525/30,IF(OR(B3525=3,B3525=5),G3525/24,IF(B3525=4,G3525/18,0)))</f>
        <v>1.25</v>
      </c>
      <c r="U3525" s="193">
        <f ca="1">OFFSET('Expenditure Study'!$B$7,'Operations Support'!$C3525,'Operations Support'!$B3525)*$G3525</f>
        <v>78.600000000000009</v>
      </c>
      <c r="V3525" s="199">
        <f ca="1">U3525*'Expenditure Study'!$B$31</f>
        <v>4643.9380108800005</v>
      </c>
      <c r="W3525" s="199">
        <f ca="1">IF(A3525=10298,1.51,1)*IF($B3525&lt;3,$D3525*'Expenditure Study'!$B$32*OFFSET('Expenditure Study'!$B$7,'Operations Support'!$C3525,'Operations Support'!$B3525),0)</f>
        <v>0</v>
      </c>
      <c r="X3525" s="200">
        <f ca="1">W3525*'Expenditure Study'!$B$31</f>
        <v>0</v>
      </c>
      <c r="Y3525" s="199">
        <f ca="1">U3525*'Expenditure Study'!$B$31</f>
        <v>4643.9380108800005</v>
      </c>
      <c r="Z3525" s="200">
        <f ca="1">W3525*'Expenditure Study'!$B$31</f>
        <v>0</v>
      </c>
      <c r="AA3525" s="195">
        <f t="shared" ref="AA3525:AA3588" ca="1" si="778">V3525+X3525</f>
        <v>4643.9380108800005</v>
      </c>
      <c r="AB3525" s="195">
        <f t="shared" ref="AB3525:AB3588" ca="1" si="779">Y3525+Z3525</f>
        <v>4643.9380108800005</v>
      </c>
      <c r="AD3525" s="196">
        <f>IFERROR($G3525/SUMIF($A:$A,$A3525,$G:$G)*SUMIF(Summary!$A$166:$A$242,$A3525,Summary!$P$166:$P$242),0)</f>
        <v>946.92774027619896</v>
      </c>
      <c r="AE3525" s="197">
        <f t="shared" ca="1" si="766"/>
        <v>3697.0102706038015</v>
      </c>
      <c r="AF3525" s="196">
        <f>IFERROR(G3525/SUMIF(A:A,A3525,G:G)*SUMIF(Summary!$A$166:$A$242,'Operations Support'!A3525,Summary!$Q$166:$Q$242),0)</f>
        <v>950.08712904110803</v>
      </c>
      <c r="AG3525" s="196">
        <f t="shared" ca="1" si="767"/>
        <v>3693.8508818388927</v>
      </c>
      <c r="AI3525" s="196">
        <f>IFERROR($G3525/SUMIF($A:$A,$A3525,$G:$G)*SUMIF(Summary!$A$247:$A$283,$A3525,Summary!$P$247:$P$283),0)</f>
        <v>172.6959895080266</v>
      </c>
      <c r="AJ3525" s="196">
        <f>IFERROR($G3525/SUMIF($A:$A,$A3525,$G:$G)*(SUMIF(Summary!$A$247:$A$283,$A3525,Summary!$L$247:$L$283)+SUMIF(Summary!$A$297:$A$333,$A3525,Summary!$L$297:$L$333))-AI3525,0)</f>
        <v>1434.7757894798767</v>
      </c>
      <c r="AK3525" s="196">
        <f>IFERROR($G3525/SUMIF($A:$A,$A3525,$G:$G)*SUMIF(Summary!$A$247:$A$283,$A3525,Summary!$Q$247:$Q$283),0)</f>
        <v>173.2721831770782</v>
      </c>
      <c r="AL3525" s="196">
        <f>IFERROR($G3525/SUMIF($A:$A,$A3525,$G:$G)*(SUMIF(Summary!$A$247:$A$283,$A3525,Summary!$L$247:$L$283)+SUMIF(Summary!$A$297:$A$333,$A3525,Summary!$L$297:$L$333))-AK3525,0)</f>
        <v>1434.199595810825</v>
      </c>
      <c r="AM3525" s="198"/>
      <c r="AN3525" s="196">
        <f t="shared" ca="1" si="768"/>
        <v>5131.7860600836784</v>
      </c>
      <c r="AO3525" s="196">
        <f t="shared" ca="1" si="769"/>
        <v>5128.0504776497182</v>
      </c>
    </row>
    <row r="3526" spans="1:41">
      <c r="A3526" s="189">
        <v>29269</v>
      </c>
      <c r="B3526" s="190">
        <v>3</v>
      </c>
      <c r="C3526" s="191" t="s">
        <v>234</v>
      </c>
      <c r="D3526" s="192">
        <f t="shared" si="770"/>
        <v>0</v>
      </c>
      <c r="E3526" s="192">
        <f t="shared" si="771"/>
        <v>0</v>
      </c>
      <c r="F3526" s="192">
        <f t="shared" si="772"/>
        <v>0</v>
      </c>
      <c r="G3526" s="193">
        <f t="shared" si="773"/>
        <v>0</v>
      </c>
      <c r="H3526" s="194">
        <v>0</v>
      </c>
      <c r="I3526" s="194">
        <v>0</v>
      </c>
      <c r="J3526" s="194">
        <v>0</v>
      </c>
      <c r="K3526" s="193">
        <f t="shared" si="774"/>
        <v>0</v>
      </c>
      <c r="L3526" s="194">
        <v>0</v>
      </c>
      <c r="M3526" s="194">
        <v>0</v>
      </c>
      <c r="N3526" s="194">
        <v>0</v>
      </c>
      <c r="O3526" s="193">
        <f t="shared" si="775"/>
        <v>0</v>
      </c>
      <c r="P3526" s="194">
        <v>0</v>
      </c>
      <c r="Q3526" s="194">
        <v>0</v>
      </c>
      <c r="R3526" s="194">
        <v>0</v>
      </c>
      <c r="S3526" s="193">
        <f t="shared" si="776"/>
        <v>0</v>
      </c>
      <c r="T3526" s="193">
        <f t="shared" si="777"/>
        <v>0</v>
      </c>
      <c r="U3526" s="193">
        <f ca="1">OFFSET('Expenditure Study'!$B$7,'Operations Support'!$C3526,'Operations Support'!$B3526)*$G3526</f>
        <v>0</v>
      </c>
      <c r="V3526" s="199">
        <f ca="1">U3526*'Expenditure Study'!$B$31</f>
        <v>0</v>
      </c>
      <c r="W3526" s="199">
        <f ca="1">IF(A3526=10298,1.51,1)*IF($B3526&lt;3,$D3526*'Expenditure Study'!$B$32*OFFSET('Expenditure Study'!$B$7,'Operations Support'!$C3526,'Operations Support'!$B3526),0)</f>
        <v>0</v>
      </c>
      <c r="X3526" s="200">
        <f ca="1">W3526*'Expenditure Study'!$B$31</f>
        <v>0</v>
      </c>
      <c r="Y3526" s="199">
        <f ca="1">U3526*'Expenditure Study'!$B$31</f>
        <v>0</v>
      </c>
      <c r="Z3526" s="200">
        <f ca="1">W3526*'Expenditure Study'!$B$31</f>
        <v>0</v>
      </c>
      <c r="AA3526" s="195">
        <f t="shared" ca="1" si="778"/>
        <v>0</v>
      </c>
      <c r="AB3526" s="195">
        <f t="shared" ca="1" si="779"/>
        <v>0</v>
      </c>
      <c r="AD3526" s="196">
        <f>IFERROR($G3526/SUMIF($A:$A,$A3526,$G:$G)*SUMIF(Summary!$A$166:$A$242,$A3526,Summary!$P$166:$P$242),0)</f>
        <v>0</v>
      </c>
      <c r="AE3526" s="197">
        <f t="shared" ref="AE3526:AE3589" ca="1" si="780">V3526+X3526-AD3526</f>
        <v>0</v>
      </c>
      <c r="AF3526" s="196">
        <f>IFERROR(G3526/SUMIF(A:A,A3526,G:G)*SUMIF(Summary!$A$166:$A$242,'Operations Support'!A3526,Summary!$Q$166:$Q$242),0)</f>
        <v>0</v>
      </c>
      <c r="AG3526" s="196">
        <f t="shared" ref="AG3526:AG3589" ca="1" si="781">Y3526+Z3526-AF3526</f>
        <v>0</v>
      </c>
      <c r="AI3526" s="196">
        <f>IFERROR($G3526/SUMIF($A:$A,$A3526,$G:$G)*SUMIF(Summary!$A$247:$A$283,$A3526,Summary!$P$247:$P$283),0)</f>
        <v>0</v>
      </c>
      <c r="AJ3526" s="196">
        <f>IFERROR($G3526/SUMIF($A:$A,$A3526,$G:$G)*(SUMIF(Summary!$A$247:$A$283,$A3526,Summary!$L$247:$L$283)+SUMIF(Summary!$A$297:$A$333,$A3526,Summary!$L$297:$L$333))-AI3526,0)</f>
        <v>0</v>
      </c>
      <c r="AK3526" s="196">
        <f>IFERROR($G3526/SUMIF($A:$A,$A3526,$G:$G)*SUMIF(Summary!$A$247:$A$283,$A3526,Summary!$Q$247:$Q$283),0)</f>
        <v>0</v>
      </c>
      <c r="AL3526" s="196">
        <f>IFERROR($G3526/SUMIF($A:$A,$A3526,$G:$G)*(SUMIF(Summary!$A$247:$A$283,$A3526,Summary!$L$247:$L$283)+SUMIF(Summary!$A$297:$A$333,$A3526,Summary!$L$297:$L$333))-AK3526,0)</f>
        <v>0</v>
      </c>
      <c r="AM3526" s="198"/>
      <c r="AN3526" s="196">
        <f t="shared" ref="AN3526:AN3589" ca="1" si="782">AE3526+AJ3526</f>
        <v>0</v>
      </c>
      <c r="AO3526" s="196">
        <f t="shared" ref="AO3526:AO3589" ca="1" si="783">AG3526+AL3526</f>
        <v>0</v>
      </c>
    </row>
    <row r="3527" spans="1:41">
      <c r="A3527" s="189">
        <v>29269</v>
      </c>
      <c r="B3527" s="190">
        <v>3</v>
      </c>
      <c r="C3527" s="191" t="s">
        <v>235</v>
      </c>
      <c r="D3527" s="192">
        <f t="shared" si="770"/>
        <v>783</v>
      </c>
      <c r="E3527" s="192">
        <f t="shared" si="771"/>
        <v>330</v>
      </c>
      <c r="F3527" s="192">
        <f t="shared" si="772"/>
        <v>0</v>
      </c>
      <c r="G3527" s="193">
        <f t="shared" si="773"/>
        <v>1113</v>
      </c>
      <c r="H3527" s="194">
        <v>270</v>
      </c>
      <c r="I3527" s="194">
        <v>162</v>
      </c>
      <c r="J3527" s="194">
        <v>0</v>
      </c>
      <c r="K3527" s="193">
        <f t="shared" si="774"/>
        <v>432</v>
      </c>
      <c r="L3527" s="194">
        <v>345</v>
      </c>
      <c r="M3527" s="194">
        <v>168</v>
      </c>
      <c r="N3527" s="194">
        <v>0</v>
      </c>
      <c r="O3527" s="193">
        <f t="shared" si="775"/>
        <v>513</v>
      </c>
      <c r="P3527" s="194">
        <v>168</v>
      </c>
      <c r="Q3527" s="194">
        <v>0</v>
      </c>
      <c r="R3527" s="194">
        <v>0</v>
      </c>
      <c r="S3527" s="193">
        <f t="shared" si="776"/>
        <v>168</v>
      </c>
      <c r="T3527" s="193">
        <f t="shared" si="777"/>
        <v>46.375</v>
      </c>
      <c r="U3527" s="193">
        <f ca="1">OFFSET('Expenditure Study'!$B$7,'Operations Support'!$C3527,'Operations Support'!$B3527)*$G3527</f>
        <v>3517.0800000000004</v>
      </c>
      <c r="V3527" s="199">
        <f ca="1">U3527*'Expenditure Study'!$B$31</f>
        <v>207800.27352806402</v>
      </c>
      <c r="W3527" s="199">
        <f ca="1">IF(A3527=10298,1.51,1)*IF($B3527&lt;3,$D3527*'Expenditure Study'!$B$32*OFFSET('Expenditure Study'!$B$7,'Operations Support'!$C3527,'Operations Support'!$B3527),0)</f>
        <v>0</v>
      </c>
      <c r="X3527" s="200">
        <f ca="1">W3527*'Expenditure Study'!$B$31</f>
        <v>0</v>
      </c>
      <c r="Y3527" s="199">
        <f ca="1">U3527*'Expenditure Study'!$B$31</f>
        <v>207800.27352806402</v>
      </c>
      <c r="Z3527" s="200">
        <f ca="1">W3527*'Expenditure Study'!$B$31</f>
        <v>0</v>
      </c>
      <c r="AA3527" s="195">
        <f t="shared" ca="1" si="778"/>
        <v>207800.27352806402</v>
      </c>
      <c r="AB3527" s="195">
        <f t="shared" ca="1" si="779"/>
        <v>207800.27352806402</v>
      </c>
      <c r="AD3527" s="196">
        <f>IFERROR($G3527/SUMIF($A:$A,$A3527,$G:$G)*SUMIF(Summary!$A$166:$A$242,$A3527,Summary!$P$166:$P$242),0)</f>
        <v>35131.019164246987</v>
      </c>
      <c r="AE3527" s="197">
        <f t="shared" ca="1" si="780"/>
        <v>172669.25436381705</v>
      </c>
      <c r="AF3527" s="196">
        <f>IFERROR(G3527/SUMIF(A:A,A3527,G:G)*SUMIF(Summary!$A$166:$A$242,'Operations Support'!A3527,Summary!$Q$166:$Q$242),0)</f>
        <v>35248.232487425114</v>
      </c>
      <c r="AG3527" s="196">
        <f t="shared" ca="1" si="781"/>
        <v>172552.0410406389</v>
      </c>
      <c r="AI3527" s="196">
        <f>IFERROR($G3527/SUMIF($A:$A,$A3527,$G:$G)*SUMIF(Summary!$A$247:$A$283,$A3527,Summary!$P$247:$P$283),0)</f>
        <v>6407.0212107477873</v>
      </c>
      <c r="AJ3527" s="196">
        <f>IFERROR($G3527/SUMIF($A:$A,$A3527,$G:$G)*(SUMIF(Summary!$A$247:$A$283,$A3527,Summary!$L$247:$L$283)+SUMIF(Summary!$A$297:$A$333,$A3527,Summary!$L$297:$L$333))-AI3527,0)</f>
        <v>53230.181789703427</v>
      </c>
      <c r="AK3527" s="196">
        <f>IFERROR($G3527/SUMIF($A:$A,$A3527,$G:$G)*SUMIF(Summary!$A$247:$A$283,$A3527,Summary!$Q$247:$Q$283),0)</f>
        <v>6428.3979958696027</v>
      </c>
      <c r="AL3527" s="196">
        <f>IFERROR($G3527/SUMIF($A:$A,$A3527,$G:$G)*(SUMIF(Summary!$A$247:$A$283,$A3527,Summary!$L$247:$L$283)+SUMIF(Summary!$A$297:$A$333,$A3527,Summary!$L$297:$L$333))-AK3527,0)</f>
        <v>53208.805004581613</v>
      </c>
      <c r="AM3527" s="198"/>
      <c r="AN3527" s="196">
        <f t="shared" ca="1" si="782"/>
        <v>225899.43615352048</v>
      </c>
      <c r="AO3527" s="196">
        <f t="shared" ca="1" si="783"/>
        <v>225760.8460452205</v>
      </c>
    </row>
    <row r="3528" spans="1:41">
      <c r="A3528" s="189">
        <v>29269</v>
      </c>
      <c r="B3528" s="190">
        <v>3</v>
      </c>
      <c r="C3528" s="191" t="s">
        <v>236</v>
      </c>
      <c r="D3528" s="192">
        <f t="shared" si="770"/>
        <v>0</v>
      </c>
      <c r="E3528" s="192">
        <f t="shared" si="771"/>
        <v>0</v>
      </c>
      <c r="F3528" s="192">
        <f t="shared" si="772"/>
        <v>0</v>
      </c>
      <c r="G3528" s="193">
        <f t="shared" si="773"/>
        <v>0</v>
      </c>
      <c r="H3528" s="194">
        <v>0</v>
      </c>
      <c r="I3528" s="194">
        <v>0</v>
      </c>
      <c r="J3528" s="194">
        <v>0</v>
      </c>
      <c r="K3528" s="193">
        <f t="shared" si="774"/>
        <v>0</v>
      </c>
      <c r="L3528" s="194">
        <v>0</v>
      </c>
      <c r="M3528" s="194">
        <v>0</v>
      </c>
      <c r="N3528" s="194">
        <v>0</v>
      </c>
      <c r="O3528" s="193">
        <f t="shared" si="775"/>
        <v>0</v>
      </c>
      <c r="P3528" s="194">
        <v>0</v>
      </c>
      <c r="Q3528" s="194">
        <v>0</v>
      </c>
      <c r="R3528" s="194">
        <v>0</v>
      </c>
      <c r="S3528" s="193">
        <f t="shared" si="776"/>
        <v>0</v>
      </c>
      <c r="T3528" s="193">
        <f t="shared" si="777"/>
        <v>0</v>
      </c>
      <c r="U3528" s="193">
        <f ca="1">OFFSET('Expenditure Study'!$B$7,'Operations Support'!$C3528,'Operations Support'!$B3528)*$G3528</f>
        <v>0</v>
      </c>
      <c r="V3528" s="199">
        <f ca="1">U3528*'Expenditure Study'!$B$31</f>
        <v>0</v>
      </c>
      <c r="W3528" s="199">
        <f ca="1">IF(A3528=10298,1.51,1)*IF($B3528&lt;3,$D3528*'Expenditure Study'!$B$32*OFFSET('Expenditure Study'!$B$7,'Operations Support'!$C3528,'Operations Support'!$B3528),0)</f>
        <v>0</v>
      </c>
      <c r="X3528" s="200">
        <f ca="1">W3528*'Expenditure Study'!$B$31</f>
        <v>0</v>
      </c>
      <c r="Y3528" s="199">
        <f ca="1">U3528*'Expenditure Study'!$B$31</f>
        <v>0</v>
      </c>
      <c r="Z3528" s="200">
        <f ca="1">W3528*'Expenditure Study'!$B$31</f>
        <v>0</v>
      </c>
      <c r="AA3528" s="195">
        <f t="shared" ca="1" si="778"/>
        <v>0</v>
      </c>
      <c r="AB3528" s="195">
        <f t="shared" ca="1" si="779"/>
        <v>0</v>
      </c>
      <c r="AD3528" s="196">
        <f>IFERROR($G3528/SUMIF($A:$A,$A3528,$G:$G)*SUMIF(Summary!$A$166:$A$242,$A3528,Summary!$P$166:$P$242),0)</f>
        <v>0</v>
      </c>
      <c r="AE3528" s="197">
        <f t="shared" ca="1" si="780"/>
        <v>0</v>
      </c>
      <c r="AF3528" s="196">
        <f>IFERROR(G3528/SUMIF(A:A,A3528,G:G)*SUMIF(Summary!$A$166:$A$242,'Operations Support'!A3528,Summary!$Q$166:$Q$242),0)</f>
        <v>0</v>
      </c>
      <c r="AG3528" s="196">
        <f t="shared" ca="1" si="781"/>
        <v>0</v>
      </c>
      <c r="AI3528" s="196">
        <f>IFERROR($G3528/SUMIF($A:$A,$A3528,$G:$G)*SUMIF(Summary!$A$247:$A$283,$A3528,Summary!$P$247:$P$283),0)</f>
        <v>0</v>
      </c>
      <c r="AJ3528" s="196">
        <f>IFERROR($G3528/SUMIF($A:$A,$A3528,$G:$G)*(SUMIF(Summary!$A$247:$A$283,$A3528,Summary!$L$247:$L$283)+SUMIF(Summary!$A$297:$A$333,$A3528,Summary!$L$297:$L$333))-AI3528,0)</f>
        <v>0</v>
      </c>
      <c r="AK3528" s="196">
        <f>IFERROR($G3528/SUMIF($A:$A,$A3528,$G:$G)*SUMIF(Summary!$A$247:$A$283,$A3528,Summary!$Q$247:$Q$283),0)</f>
        <v>0</v>
      </c>
      <c r="AL3528" s="196">
        <f>IFERROR($G3528/SUMIF($A:$A,$A3528,$G:$G)*(SUMIF(Summary!$A$247:$A$283,$A3528,Summary!$L$247:$L$283)+SUMIF(Summary!$A$297:$A$333,$A3528,Summary!$L$297:$L$333))-AK3528,0)</f>
        <v>0</v>
      </c>
      <c r="AM3528" s="198"/>
      <c r="AN3528" s="196">
        <f t="shared" ca="1" si="782"/>
        <v>0</v>
      </c>
      <c r="AO3528" s="196">
        <f t="shared" ca="1" si="783"/>
        <v>0</v>
      </c>
    </row>
    <row r="3529" spans="1:41">
      <c r="A3529" s="189">
        <v>29269</v>
      </c>
      <c r="B3529" s="190">
        <v>3</v>
      </c>
      <c r="C3529" s="191" t="s">
        <v>237</v>
      </c>
      <c r="D3529" s="192">
        <f t="shared" si="770"/>
        <v>0</v>
      </c>
      <c r="E3529" s="192">
        <f t="shared" si="771"/>
        <v>0</v>
      </c>
      <c r="F3529" s="192">
        <f t="shared" si="772"/>
        <v>0</v>
      </c>
      <c r="G3529" s="193">
        <f t="shared" si="773"/>
        <v>0</v>
      </c>
      <c r="H3529" s="194">
        <v>0</v>
      </c>
      <c r="I3529" s="194">
        <v>0</v>
      </c>
      <c r="J3529" s="194">
        <v>0</v>
      </c>
      <c r="K3529" s="193">
        <f t="shared" si="774"/>
        <v>0</v>
      </c>
      <c r="L3529" s="194">
        <v>0</v>
      </c>
      <c r="M3529" s="194">
        <v>0</v>
      </c>
      <c r="N3529" s="194">
        <v>0</v>
      </c>
      <c r="O3529" s="193">
        <f t="shared" si="775"/>
        <v>0</v>
      </c>
      <c r="P3529" s="194">
        <v>0</v>
      </c>
      <c r="Q3529" s="194">
        <v>0</v>
      </c>
      <c r="R3529" s="194">
        <v>0</v>
      </c>
      <c r="S3529" s="193">
        <f t="shared" si="776"/>
        <v>0</v>
      </c>
      <c r="T3529" s="193">
        <f t="shared" si="777"/>
        <v>0</v>
      </c>
      <c r="U3529" s="193">
        <f ca="1">OFFSET('Expenditure Study'!$B$7,'Operations Support'!$C3529,'Operations Support'!$B3529)*$G3529</f>
        <v>0</v>
      </c>
      <c r="V3529" s="199">
        <f ca="1">U3529*'Expenditure Study'!$B$31</f>
        <v>0</v>
      </c>
      <c r="W3529" s="199">
        <f ca="1">IF(A3529=10298,1.51,1)*IF($B3529&lt;3,$D3529*'Expenditure Study'!$B$32*OFFSET('Expenditure Study'!$B$7,'Operations Support'!$C3529,'Operations Support'!$B3529),0)</f>
        <v>0</v>
      </c>
      <c r="X3529" s="200">
        <f ca="1">W3529*'Expenditure Study'!$B$31</f>
        <v>0</v>
      </c>
      <c r="Y3529" s="199">
        <f ca="1">U3529*'Expenditure Study'!$B$31</f>
        <v>0</v>
      </c>
      <c r="Z3529" s="200">
        <f ca="1">W3529*'Expenditure Study'!$B$31</f>
        <v>0</v>
      </c>
      <c r="AA3529" s="195">
        <f t="shared" ca="1" si="778"/>
        <v>0</v>
      </c>
      <c r="AB3529" s="195">
        <f t="shared" ca="1" si="779"/>
        <v>0</v>
      </c>
      <c r="AD3529" s="196">
        <f>IFERROR($G3529/SUMIF($A:$A,$A3529,$G:$G)*SUMIF(Summary!$A$166:$A$242,$A3529,Summary!$P$166:$P$242),0)</f>
        <v>0</v>
      </c>
      <c r="AE3529" s="197">
        <f t="shared" ca="1" si="780"/>
        <v>0</v>
      </c>
      <c r="AF3529" s="196">
        <f>IFERROR(G3529/SUMIF(A:A,A3529,G:G)*SUMIF(Summary!$A$166:$A$242,'Operations Support'!A3529,Summary!$Q$166:$Q$242),0)</f>
        <v>0</v>
      </c>
      <c r="AG3529" s="196">
        <f t="shared" ca="1" si="781"/>
        <v>0</v>
      </c>
      <c r="AI3529" s="196">
        <f>IFERROR($G3529/SUMIF($A:$A,$A3529,$G:$G)*SUMIF(Summary!$A$247:$A$283,$A3529,Summary!$P$247:$P$283),0)</f>
        <v>0</v>
      </c>
      <c r="AJ3529" s="196">
        <f>IFERROR($G3529/SUMIF($A:$A,$A3529,$G:$G)*(SUMIF(Summary!$A$247:$A$283,$A3529,Summary!$L$247:$L$283)+SUMIF(Summary!$A$297:$A$333,$A3529,Summary!$L$297:$L$333))-AI3529,0)</f>
        <v>0</v>
      </c>
      <c r="AK3529" s="196">
        <f>IFERROR($G3529/SUMIF($A:$A,$A3529,$G:$G)*SUMIF(Summary!$A$247:$A$283,$A3529,Summary!$Q$247:$Q$283),0)</f>
        <v>0</v>
      </c>
      <c r="AL3529" s="196">
        <f>IFERROR($G3529/SUMIF($A:$A,$A3529,$G:$G)*(SUMIF(Summary!$A$247:$A$283,$A3529,Summary!$L$247:$L$283)+SUMIF(Summary!$A$297:$A$333,$A3529,Summary!$L$297:$L$333))-AK3529,0)</f>
        <v>0</v>
      </c>
      <c r="AM3529" s="198"/>
      <c r="AN3529" s="196">
        <f t="shared" ca="1" si="782"/>
        <v>0</v>
      </c>
      <c r="AO3529" s="196">
        <f t="shared" ca="1" si="783"/>
        <v>0</v>
      </c>
    </row>
    <row r="3530" spans="1:41">
      <c r="A3530" s="189">
        <v>29269</v>
      </c>
      <c r="B3530" s="190">
        <v>3</v>
      </c>
      <c r="C3530" s="191" t="s">
        <v>238</v>
      </c>
      <c r="D3530" s="192">
        <f t="shared" si="770"/>
        <v>0</v>
      </c>
      <c r="E3530" s="192">
        <f t="shared" si="771"/>
        <v>0</v>
      </c>
      <c r="F3530" s="192">
        <f t="shared" si="772"/>
        <v>0</v>
      </c>
      <c r="G3530" s="193">
        <f t="shared" si="773"/>
        <v>0</v>
      </c>
      <c r="H3530" s="194">
        <v>0</v>
      </c>
      <c r="I3530" s="194">
        <v>0</v>
      </c>
      <c r="J3530" s="194">
        <v>0</v>
      </c>
      <c r="K3530" s="193">
        <f t="shared" si="774"/>
        <v>0</v>
      </c>
      <c r="L3530" s="194">
        <v>0</v>
      </c>
      <c r="M3530" s="194">
        <v>0</v>
      </c>
      <c r="N3530" s="194">
        <v>0</v>
      </c>
      <c r="O3530" s="193">
        <f t="shared" si="775"/>
        <v>0</v>
      </c>
      <c r="P3530" s="194">
        <v>0</v>
      </c>
      <c r="Q3530" s="194">
        <v>0</v>
      </c>
      <c r="R3530" s="194">
        <v>0</v>
      </c>
      <c r="S3530" s="193">
        <f t="shared" si="776"/>
        <v>0</v>
      </c>
      <c r="T3530" s="193">
        <f t="shared" si="777"/>
        <v>0</v>
      </c>
      <c r="U3530" s="193">
        <f ca="1">OFFSET('Expenditure Study'!$B$7,'Operations Support'!$C3530,'Operations Support'!$B3530)*$G3530</f>
        <v>0</v>
      </c>
      <c r="V3530" s="199">
        <f ca="1">U3530*'Expenditure Study'!$B$31</f>
        <v>0</v>
      </c>
      <c r="W3530" s="199">
        <f ca="1">IF(A3530=10298,1.51,1)*IF($B3530&lt;3,$D3530*'Expenditure Study'!$B$32*OFFSET('Expenditure Study'!$B$7,'Operations Support'!$C3530,'Operations Support'!$B3530),0)</f>
        <v>0</v>
      </c>
      <c r="X3530" s="200">
        <f ca="1">W3530*'Expenditure Study'!$B$31</f>
        <v>0</v>
      </c>
      <c r="Y3530" s="199">
        <f ca="1">U3530*'Expenditure Study'!$B$31</f>
        <v>0</v>
      </c>
      <c r="Z3530" s="200">
        <f ca="1">W3530*'Expenditure Study'!$B$31</f>
        <v>0</v>
      </c>
      <c r="AA3530" s="195">
        <f t="shared" ca="1" si="778"/>
        <v>0</v>
      </c>
      <c r="AB3530" s="195">
        <f t="shared" ca="1" si="779"/>
        <v>0</v>
      </c>
      <c r="AD3530" s="196">
        <f>IFERROR($G3530/SUMIF($A:$A,$A3530,$G:$G)*SUMIF(Summary!$A$166:$A$242,$A3530,Summary!$P$166:$P$242),0)</f>
        <v>0</v>
      </c>
      <c r="AE3530" s="197">
        <f t="shared" ca="1" si="780"/>
        <v>0</v>
      </c>
      <c r="AF3530" s="196">
        <f>IFERROR(G3530/SUMIF(A:A,A3530,G:G)*SUMIF(Summary!$A$166:$A$242,'Operations Support'!A3530,Summary!$Q$166:$Q$242),0)</f>
        <v>0</v>
      </c>
      <c r="AG3530" s="196">
        <f t="shared" ca="1" si="781"/>
        <v>0</v>
      </c>
      <c r="AI3530" s="196">
        <f>IFERROR($G3530/SUMIF($A:$A,$A3530,$G:$G)*SUMIF(Summary!$A$247:$A$283,$A3530,Summary!$P$247:$P$283),0)</f>
        <v>0</v>
      </c>
      <c r="AJ3530" s="196">
        <f>IFERROR($G3530/SUMIF($A:$A,$A3530,$G:$G)*(SUMIF(Summary!$A$247:$A$283,$A3530,Summary!$L$247:$L$283)+SUMIF(Summary!$A$297:$A$333,$A3530,Summary!$L$297:$L$333))-AI3530,0)</f>
        <v>0</v>
      </c>
      <c r="AK3530" s="196">
        <f>IFERROR($G3530/SUMIF($A:$A,$A3530,$G:$G)*SUMIF(Summary!$A$247:$A$283,$A3530,Summary!$Q$247:$Q$283),0)</f>
        <v>0</v>
      </c>
      <c r="AL3530" s="196">
        <f>IFERROR($G3530/SUMIF($A:$A,$A3530,$G:$G)*(SUMIF(Summary!$A$247:$A$283,$A3530,Summary!$L$247:$L$283)+SUMIF(Summary!$A$297:$A$333,$A3530,Summary!$L$297:$L$333))-AK3530,0)</f>
        <v>0</v>
      </c>
      <c r="AM3530" s="198"/>
      <c r="AN3530" s="196">
        <f t="shared" ca="1" si="782"/>
        <v>0</v>
      </c>
      <c r="AO3530" s="196">
        <f t="shared" ca="1" si="783"/>
        <v>0</v>
      </c>
    </row>
    <row r="3531" spans="1:41">
      <c r="A3531" s="189">
        <v>29269</v>
      </c>
      <c r="B3531" s="190">
        <v>3</v>
      </c>
      <c r="C3531" s="191" t="s">
        <v>239</v>
      </c>
      <c r="D3531" s="192">
        <f t="shared" si="770"/>
        <v>33</v>
      </c>
      <c r="E3531" s="192">
        <f t="shared" si="771"/>
        <v>87</v>
      </c>
      <c r="F3531" s="192">
        <f t="shared" si="772"/>
        <v>0</v>
      </c>
      <c r="G3531" s="193">
        <f t="shared" si="773"/>
        <v>120</v>
      </c>
      <c r="H3531" s="194">
        <v>6</v>
      </c>
      <c r="I3531" s="194">
        <v>39</v>
      </c>
      <c r="J3531" s="194">
        <v>0</v>
      </c>
      <c r="K3531" s="193">
        <f t="shared" si="774"/>
        <v>45</v>
      </c>
      <c r="L3531" s="194">
        <v>0</v>
      </c>
      <c r="M3531" s="194">
        <v>24</v>
      </c>
      <c r="N3531" s="194">
        <v>0</v>
      </c>
      <c r="O3531" s="193">
        <f t="shared" si="775"/>
        <v>24</v>
      </c>
      <c r="P3531" s="194">
        <v>27</v>
      </c>
      <c r="Q3531" s="194">
        <v>24</v>
      </c>
      <c r="R3531" s="194">
        <v>0</v>
      </c>
      <c r="S3531" s="193">
        <f t="shared" si="776"/>
        <v>51</v>
      </c>
      <c r="T3531" s="193">
        <f t="shared" si="777"/>
        <v>5</v>
      </c>
      <c r="U3531" s="193">
        <f ca="1">OFFSET('Expenditure Study'!$B$7,'Operations Support'!$C3531,'Operations Support'!$B3531)*$G3531</f>
        <v>326.40000000000003</v>
      </c>
      <c r="V3531" s="199">
        <f ca="1">U3531*'Expenditure Study'!$B$31</f>
        <v>19284.750213120002</v>
      </c>
      <c r="W3531" s="199">
        <f ca="1">IF(A3531=10298,1.51,1)*IF($B3531&lt;3,$D3531*'Expenditure Study'!$B$32*OFFSET('Expenditure Study'!$B$7,'Operations Support'!$C3531,'Operations Support'!$B3531),0)</f>
        <v>0</v>
      </c>
      <c r="X3531" s="200">
        <f ca="1">W3531*'Expenditure Study'!$B$31</f>
        <v>0</v>
      </c>
      <c r="Y3531" s="199">
        <f ca="1">U3531*'Expenditure Study'!$B$31</f>
        <v>19284.750213120002</v>
      </c>
      <c r="Z3531" s="200">
        <f ca="1">W3531*'Expenditure Study'!$B$31</f>
        <v>0</v>
      </c>
      <c r="AA3531" s="195">
        <f t="shared" ca="1" si="778"/>
        <v>19284.750213120002</v>
      </c>
      <c r="AB3531" s="195">
        <f t="shared" ca="1" si="779"/>
        <v>19284.750213120002</v>
      </c>
      <c r="AD3531" s="196">
        <f>IFERROR($G3531/SUMIF($A:$A,$A3531,$G:$G)*SUMIF(Summary!$A$166:$A$242,$A3531,Summary!$P$166:$P$242),0)</f>
        <v>3787.7109611047958</v>
      </c>
      <c r="AE3531" s="197">
        <f t="shared" ca="1" si="780"/>
        <v>15497.039252015205</v>
      </c>
      <c r="AF3531" s="196">
        <f>IFERROR(G3531/SUMIF(A:A,A3531,G:G)*SUMIF(Summary!$A$166:$A$242,'Operations Support'!A3531,Summary!$Q$166:$Q$242),0)</f>
        <v>3800.3485161644321</v>
      </c>
      <c r="AG3531" s="196">
        <f t="shared" ca="1" si="781"/>
        <v>15484.401696955571</v>
      </c>
      <c r="AI3531" s="196">
        <f>IFERROR($G3531/SUMIF($A:$A,$A3531,$G:$G)*SUMIF(Summary!$A$247:$A$283,$A3531,Summary!$P$247:$P$283),0)</f>
        <v>690.7839580321064</v>
      </c>
      <c r="AJ3531" s="196">
        <f>IFERROR($G3531/SUMIF($A:$A,$A3531,$G:$G)*(SUMIF(Summary!$A$247:$A$283,$A3531,Summary!$L$247:$L$283)+SUMIF(Summary!$A$297:$A$333,$A3531,Summary!$L$297:$L$333))-AI3531,0)</f>
        <v>5739.1031579195069</v>
      </c>
      <c r="AK3531" s="196">
        <f>IFERROR($G3531/SUMIF($A:$A,$A3531,$G:$G)*SUMIF(Summary!$A$247:$A$283,$A3531,Summary!$Q$247:$Q$283),0)</f>
        <v>693.08873270831282</v>
      </c>
      <c r="AL3531" s="196">
        <f>IFERROR($G3531/SUMIF($A:$A,$A3531,$G:$G)*(SUMIF(Summary!$A$247:$A$283,$A3531,Summary!$L$247:$L$283)+SUMIF(Summary!$A$297:$A$333,$A3531,Summary!$L$297:$L$333))-AK3531,0)</f>
        <v>5736.7983832433001</v>
      </c>
      <c r="AM3531" s="198"/>
      <c r="AN3531" s="196">
        <f t="shared" ca="1" si="782"/>
        <v>21236.142409934713</v>
      </c>
      <c r="AO3531" s="196">
        <f t="shared" ca="1" si="783"/>
        <v>21221.200080198869</v>
      </c>
    </row>
    <row r="3532" spans="1:41">
      <c r="A3532" s="189">
        <v>29269</v>
      </c>
      <c r="B3532" s="190">
        <v>3</v>
      </c>
      <c r="C3532" s="191" t="s">
        <v>240</v>
      </c>
      <c r="D3532" s="192">
        <f t="shared" si="770"/>
        <v>0</v>
      </c>
      <c r="E3532" s="192">
        <f t="shared" si="771"/>
        <v>0</v>
      </c>
      <c r="F3532" s="192">
        <f t="shared" si="772"/>
        <v>0</v>
      </c>
      <c r="G3532" s="193">
        <f t="shared" si="773"/>
        <v>0</v>
      </c>
      <c r="H3532" s="194">
        <v>0</v>
      </c>
      <c r="I3532" s="194">
        <v>0</v>
      </c>
      <c r="J3532" s="194">
        <v>0</v>
      </c>
      <c r="K3532" s="193">
        <f t="shared" si="774"/>
        <v>0</v>
      </c>
      <c r="L3532" s="194">
        <v>0</v>
      </c>
      <c r="M3532" s="194">
        <v>0</v>
      </c>
      <c r="N3532" s="194">
        <v>0</v>
      </c>
      <c r="O3532" s="193">
        <f t="shared" si="775"/>
        <v>0</v>
      </c>
      <c r="P3532" s="194">
        <v>0</v>
      </c>
      <c r="Q3532" s="194">
        <v>0</v>
      </c>
      <c r="R3532" s="194">
        <v>0</v>
      </c>
      <c r="S3532" s="193">
        <f t="shared" si="776"/>
        <v>0</v>
      </c>
      <c r="T3532" s="193">
        <f t="shared" si="777"/>
        <v>0</v>
      </c>
      <c r="U3532" s="193">
        <f ca="1">OFFSET('Expenditure Study'!$B$7,'Operations Support'!$C3532,'Operations Support'!$B3532)*$G3532</f>
        <v>0</v>
      </c>
      <c r="V3532" s="199">
        <f ca="1">U3532*'Expenditure Study'!$B$31</f>
        <v>0</v>
      </c>
      <c r="W3532" s="199">
        <f ca="1">IF(A3532=10298,1.51,1)*IF($B3532&lt;3,$D3532*'Expenditure Study'!$B$32*OFFSET('Expenditure Study'!$B$7,'Operations Support'!$C3532,'Operations Support'!$B3532),0)</f>
        <v>0</v>
      </c>
      <c r="X3532" s="200">
        <f ca="1">W3532*'Expenditure Study'!$B$31</f>
        <v>0</v>
      </c>
      <c r="Y3532" s="199">
        <f ca="1">U3532*'Expenditure Study'!$B$31</f>
        <v>0</v>
      </c>
      <c r="Z3532" s="200">
        <f ca="1">W3532*'Expenditure Study'!$B$31</f>
        <v>0</v>
      </c>
      <c r="AA3532" s="195">
        <f t="shared" ca="1" si="778"/>
        <v>0</v>
      </c>
      <c r="AB3532" s="195">
        <f t="shared" ca="1" si="779"/>
        <v>0</v>
      </c>
      <c r="AD3532" s="196">
        <f>IFERROR($G3532/SUMIF($A:$A,$A3532,$G:$G)*SUMIF(Summary!$A$166:$A$242,$A3532,Summary!$P$166:$P$242),0)</f>
        <v>0</v>
      </c>
      <c r="AE3532" s="197">
        <f t="shared" ca="1" si="780"/>
        <v>0</v>
      </c>
      <c r="AF3532" s="196">
        <f>IFERROR(G3532/SUMIF(A:A,A3532,G:G)*SUMIF(Summary!$A$166:$A$242,'Operations Support'!A3532,Summary!$Q$166:$Q$242),0)</f>
        <v>0</v>
      </c>
      <c r="AG3532" s="196">
        <f t="shared" ca="1" si="781"/>
        <v>0</v>
      </c>
      <c r="AI3532" s="196">
        <f>IFERROR($G3532/SUMIF($A:$A,$A3532,$G:$G)*SUMIF(Summary!$A$247:$A$283,$A3532,Summary!$P$247:$P$283),0)</f>
        <v>0</v>
      </c>
      <c r="AJ3532" s="196">
        <f>IFERROR($G3532/SUMIF($A:$A,$A3532,$G:$G)*(SUMIF(Summary!$A$247:$A$283,$A3532,Summary!$L$247:$L$283)+SUMIF(Summary!$A$297:$A$333,$A3532,Summary!$L$297:$L$333))-AI3532,0)</f>
        <v>0</v>
      </c>
      <c r="AK3532" s="196">
        <f>IFERROR($G3532/SUMIF($A:$A,$A3532,$G:$G)*SUMIF(Summary!$A$247:$A$283,$A3532,Summary!$Q$247:$Q$283),0)</f>
        <v>0</v>
      </c>
      <c r="AL3532" s="196">
        <f>IFERROR($G3532/SUMIF($A:$A,$A3532,$G:$G)*(SUMIF(Summary!$A$247:$A$283,$A3532,Summary!$L$247:$L$283)+SUMIF(Summary!$A$297:$A$333,$A3532,Summary!$L$297:$L$333))-AK3532,0)</f>
        <v>0</v>
      </c>
      <c r="AM3532" s="198"/>
      <c r="AN3532" s="196">
        <f t="shared" ca="1" si="782"/>
        <v>0</v>
      </c>
      <c r="AO3532" s="196">
        <f t="shared" ca="1" si="783"/>
        <v>0</v>
      </c>
    </row>
    <row r="3533" spans="1:41" s="201" customFormat="1">
      <c r="A3533" s="189">
        <v>29269</v>
      </c>
      <c r="B3533" s="190">
        <v>4</v>
      </c>
      <c r="C3533" s="191" t="s">
        <v>220</v>
      </c>
      <c r="D3533" s="192">
        <f t="shared" si="770"/>
        <v>0</v>
      </c>
      <c r="E3533" s="192">
        <f t="shared" si="771"/>
        <v>0</v>
      </c>
      <c r="F3533" s="192">
        <f t="shared" si="772"/>
        <v>0</v>
      </c>
      <c r="G3533" s="193">
        <f t="shared" si="773"/>
        <v>0</v>
      </c>
      <c r="H3533" s="194">
        <v>0</v>
      </c>
      <c r="I3533" s="194">
        <v>0</v>
      </c>
      <c r="J3533" s="194">
        <v>0</v>
      </c>
      <c r="K3533" s="193">
        <f t="shared" si="774"/>
        <v>0</v>
      </c>
      <c r="L3533" s="194">
        <v>0</v>
      </c>
      <c r="M3533" s="194">
        <v>0</v>
      </c>
      <c r="N3533" s="194">
        <v>0</v>
      </c>
      <c r="O3533" s="193">
        <f t="shared" si="775"/>
        <v>0</v>
      </c>
      <c r="P3533" s="194">
        <v>0</v>
      </c>
      <c r="Q3533" s="194">
        <v>0</v>
      </c>
      <c r="R3533" s="194">
        <v>0</v>
      </c>
      <c r="S3533" s="193">
        <f t="shared" si="776"/>
        <v>0</v>
      </c>
      <c r="T3533" s="193">
        <f t="shared" si="777"/>
        <v>0</v>
      </c>
      <c r="U3533" s="193">
        <f ca="1">OFFSET('Expenditure Study'!$B$7,'Operations Support'!$C3533,'Operations Support'!$B3533)*$G3533</f>
        <v>0</v>
      </c>
      <c r="V3533" s="199">
        <f ca="1">U3533*'Expenditure Study'!$B$31</f>
        <v>0</v>
      </c>
      <c r="W3533" s="199">
        <f ca="1">IF(A3533=10298,1.51,1)*IF($B3533&lt;3,$D3533*'Expenditure Study'!$B$32*OFFSET('Expenditure Study'!$B$7,'Operations Support'!$C3533,'Operations Support'!$B3533),0)</f>
        <v>0</v>
      </c>
      <c r="X3533" s="200">
        <f ca="1">W3533*'Expenditure Study'!$B$31</f>
        <v>0</v>
      </c>
      <c r="Y3533" s="199">
        <f ca="1">U3533*'Expenditure Study'!$B$31</f>
        <v>0</v>
      </c>
      <c r="Z3533" s="200">
        <f ca="1">W3533*'Expenditure Study'!$B$31</f>
        <v>0</v>
      </c>
      <c r="AA3533" s="195">
        <f t="shared" ca="1" si="778"/>
        <v>0</v>
      </c>
      <c r="AB3533" s="195">
        <f t="shared" ca="1" si="779"/>
        <v>0</v>
      </c>
      <c r="AD3533" s="196">
        <f>IFERROR($G3533/SUMIF($A:$A,$A3533,$G:$G)*SUMIF(Summary!$A$166:$A$242,$A3533,Summary!$P$166:$P$242),0)</f>
        <v>0</v>
      </c>
      <c r="AE3533" s="197">
        <f t="shared" ca="1" si="780"/>
        <v>0</v>
      </c>
      <c r="AF3533" s="196">
        <f>IFERROR(G3533/SUMIF(A:A,A3533,G:G)*SUMIF(Summary!$A$166:$A$242,'Operations Support'!A3533,Summary!$Q$166:$Q$242),0)</f>
        <v>0</v>
      </c>
      <c r="AG3533" s="196">
        <f t="shared" ca="1" si="781"/>
        <v>0</v>
      </c>
      <c r="AH3533" s="180"/>
      <c r="AI3533" s="196">
        <f>IFERROR($G3533/SUMIF($A:$A,$A3533,$G:$G)*SUMIF(Summary!$A$247:$A$283,$A3533,Summary!$P$247:$P$283),0)</f>
        <v>0</v>
      </c>
      <c r="AJ3533" s="196">
        <f>IFERROR($G3533/SUMIF($A:$A,$A3533,$G:$G)*(SUMIF(Summary!$A$247:$A$283,$A3533,Summary!$L$247:$L$283)+SUMIF(Summary!$A$297:$A$333,$A3533,Summary!$L$297:$L$333))-AI3533,0)</f>
        <v>0</v>
      </c>
      <c r="AK3533" s="196">
        <f>IFERROR($G3533/SUMIF($A:$A,$A3533,$G:$G)*SUMIF(Summary!$A$247:$A$283,$A3533,Summary!$Q$247:$Q$283),0)</f>
        <v>0</v>
      </c>
      <c r="AL3533" s="196">
        <f>IFERROR($G3533/SUMIF($A:$A,$A3533,$G:$G)*(SUMIF(Summary!$A$247:$A$283,$A3533,Summary!$L$247:$L$283)+SUMIF(Summary!$A$297:$A$333,$A3533,Summary!$L$297:$L$333))-AK3533,0)</f>
        <v>0</v>
      </c>
      <c r="AM3533" s="198"/>
      <c r="AN3533" s="196">
        <f t="shared" ca="1" si="782"/>
        <v>0</v>
      </c>
      <c r="AO3533" s="196">
        <f t="shared" ca="1" si="783"/>
        <v>0</v>
      </c>
    </row>
    <row r="3534" spans="1:41">
      <c r="A3534" s="189">
        <v>29269</v>
      </c>
      <c r="B3534" s="190">
        <v>4</v>
      </c>
      <c r="C3534" s="191" t="s">
        <v>221</v>
      </c>
      <c r="D3534" s="192">
        <f t="shared" si="770"/>
        <v>0</v>
      </c>
      <c r="E3534" s="192">
        <f t="shared" si="771"/>
        <v>0</v>
      </c>
      <c r="F3534" s="192">
        <f t="shared" si="772"/>
        <v>0</v>
      </c>
      <c r="G3534" s="193">
        <f t="shared" si="773"/>
        <v>0</v>
      </c>
      <c r="H3534" s="194">
        <v>0</v>
      </c>
      <c r="I3534" s="194">
        <v>0</v>
      </c>
      <c r="J3534" s="194">
        <v>0</v>
      </c>
      <c r="K3534" s="193">
        <f t="shared" si="774"/>
        <v>0</v>
      </c>
      <c r="L3534" s="194">
        <v>0</v>
      </c>
      <c r="M3534" s="194">
        <v>0</v>
      </c>
      <c r="N3534" s="194">
        <v>0</v>
      </c>
      <c r="O3534" s="193">
        <f t="shared" si="775"/>
        <v>0</v>
      </c>
      <c r="P3534" s="194">
        <v>0</v>
      </c>
      <c r="Q3534" s="194">
        <v>0</v>
      </c>
      <c r="R3534" s="194">
        <v>0</v>
      </c>
      <c r="S3534" s="193">
        <f t="shared" si="776"/>
        <v>0</v>
      </c>
      <c r="T3534" s="193">
        <f t="shared" si="777"/>
        <v>0</v>
      </c>
      <c r="U3534" s="193">
        <f ca="1">OFFSET('Expenditure Study'!$B$7,'Operations Support'!$C3534,'Operations Support'!$B3534)*$G3534</f>
        <v>0</v>
      </c>
      <c r="V3534" s="199">
        <f ca="1">U3534*'Expenditure Study'!$B$31</f>
        <v>0</v>
      </c>
      <c r="W3534" s="199">
        <f ca="1">IF(A3534=10298,1.51,1)*IF($B3534&lt;3,$D3534*'Expenditure Study'!$B$32*OFFSET('Expenditure Study'!$B$7,'Operations Support'!$C3534,'Operations Support'!$B3534),0)</f>
        <v>0</v>
      </c>
      <c r="X3534" s="200">
        <f ca="1">W3534*'Expenditure Study'!$B$31</f>
        <v>0</v>
      </c>
      <c r="Y3534" s="199">
        <f ca="1">U3534*'Expenditure Study'!$B$31</f>
        <v>0</v>
      </c>
      <c r="Z3534" s="200">
        <f ca="1">W3534*'Expenditure Study'!$B$31</f>
        <v>0</v>
      </c>
      <c r="AA3534" s="195">
        <f t="shared" ca="1" si="778"/>
        <v>0</v>
      </c>
      <c r="AB3534" s="195">
        <f t="shared" ca="1" si="779"/>
        <v>0</v>
      </c>
      <c r="AD3534" s="196">
        <f>IFERROR($G3534/SUMIF($A:$A,$A3534,$G:$G)*SUMIF(Summary!$A$166:$A$242,$A3534,Summary!$P$166:$P$242),0)</f>
        <v>0</v>
      </c>
      <c r="AE3534" s="197">
        <f t="shared" ca="1" si="780"/>
        <v>0</v>
      </c>
      <c r="AF3534" s="196">
        <f>IFERROR(G3534/SUMIF(A:A,A3534,G:G)*SUMIF(Summary!$A$166:$A$242,'Operations Support'!A3534,Summary!$Q$166:$Q$242),0)</f>
        <v>0</v>
      </c>
      <c r="AG3534" s="196">
        <f t="shared" ca="1" si="781"/>
        <v>0</v>
      </c>
      <c r="AI3534" s="196">
        <f>IFERROR($G3534/SUMIF($A:$A,$A3534,$G:$G)*SUMIF(Summary!$A$247:$A$283,$A3534,Summary!$P$247:$P$283),0)</f>
        <v>0</v>
      </c>
      <c r="AJ3534" s="196">
        <f>IFERROR($G3534/SUMIF($A:$A,$A3534,$G:$G)*(SUMIF(Summary!$A$247:$A$283,$A3534,Summary!$L$247:$L$283)+SUMIF(Summary!$A$297:$A$333,$A3534,Summary!$L$297:$L$333))-AI3534,0)</f>
        <v>0</v>
      </c>
      <c r="AK3534" s="196">
        <f>IFERROR($G3534/SUMIF($A:$A,$A3534,$G:$G)*SUMIF(Summary!$A$247:$A$283,$A3534,Summary!$Q$247:$Q$283),0)</f>
        <v>0</v>
      </c>
      <c r="AL3534" s="196">
        <f>IFERROR($G3534/SUMIF($A:$A,$A3534,$G:$G)*(SUMIF(Summary!$A$247:$A$283,$A3534,Summary!$L$247:$L$283)+SUMIF(Summary!$A$297:$A$333,$A3534,Summary!$L$297:$L$333))-AK3534,0)</f>
        <v>0</v>
      </c>
      <c r="AM3534" s="198"/>
      <c r="AN3534" s="196">
        <f t="shared" ca="1" si="782"/>
        <v>0</v>
      </c>
      <c r="AO3534" s="196">
        <f t="shared" ca="1" si="783"/>
        <v>0</v>
      </c>
    </row>
    <row r="3535" spans="1:41">
      <c r="A3535" s="189">
        <v>29269</v>
      </c>
      <c r="B3535" s="190">
        <v>4</v>
      </c>
      <c r="C3535" s="191" t="s">
        <v>222</v>
      </c>
      <c r="D3535" s="192">
        <f t="shared" si="770"/>
        <v>0</v>
      </c>
      <c r="E3535" s="192">
        <f t="shared" si="771"/>
        <v>0</v>
      </c>
      <c r="F3535" s="192">
        <f t="shared" si="772"/>
        <v>0</v>
      </c>
      <c r="G3535" s="193">
        <f t="shared" si="773"/>
        <v>0</v>
      </c>
      <c r="H3535" s="194">
        <v>0</v>
      </c>
      <c r="I3535" s="194">
        <v>0</v>
      </c>
      <c r="J3535" s="194">
        <v>0</v>
      </c>
      <c r="K3535" s="193">
        <f t="shared" si="774"/>
        <v>0</v>
      </c>
      <c r="L3535" s="194">
        <v>0</v>
      </c>
      <c r="M3535" s="194">
        <v>0</v>
      </c>
      <c r="N3535" s="194">
        <v>0</v>
      </c>
      <c r="O3535" s="193">
        <f t="shared" si="775"/>
        <v>0</v>
      </c>
      <c r="P3535" s="194">
        <v>0</v>
      </c>
      <c r="Q3535" s="194">
        <v>0</v>
      </c>
      <c r="R3535" s="194">
        <v>0</v>
      </c>
      <c r="S3535" s="193">
        <f t="shared" si="776"/>
        <v>0</v>
      </c>
      <c r="T3535" s="193">
        <f t="shared" si="777"/>
        <v>0</v>
      </c>
      <c r="U3535" s="193">
        <f ca="1">OFFSET('Expenditure Study'!$B$7,'Operations Support'!$C3535,'Operations Support'!$B3535)*$G3535</f>
        <v>0</v>
      </c>
      <c r="V3535" s="199">
        <f ca="1">U3535*'Expenditure Study'!$B$31</f>
        <v>0</v>
      </c>
      <c r="W3535" s="199">
        <f ca="1">IF(A3535=10298,1.51,1)*IF($B3535&lt;3,$D3535*'Expenditure Study'!$B$32*OFFSET('Expenditure Study'!$B$7,'Operations Support'!$C3535,'Operations Support'!$B3535),0)</f>
        <v>0</v>
      </c>
      <c r="X3535" s="200">
        <f ca="1">W3535*'Expenditure Study'!$B$31</f>
        <v>0</v>
      </c>
      <c r="Y3535" s="199">
        <f ca="1">U3535*'Expenditure Study'!$B$31</f>
        <v>0</v>
      </c>
      <c r="Z3535" s="200">
        <f ca="1">W3535*'Expenditure Study'!$B$31</f>
        <v>0</v>
      </c>
      <c r="AA3535" s="195">
        <f t="shared" ca="1" si="778"/>
        <v>0</v>
      </c>
      <c r="AB3535" s="195">
        <f t="shared" ca="1" si="779"/>
        <v>0</v>
      </c>
      <c r="AD3535" s="196">
        <f>IFERROR($G3535/SUMIF($A:$A,$A3535,$G:$G)*SUMIF(Summary!$A$166:$A$242,$A3535,Summary!$P$166:$P$242),0)</f>
        <v>0</v>
      </c>
      <c r="AE3535" s="197">
        <f t="shared" ca="1" si="780"/>
        <v>0</v>
      </c>
      <c r="AF3535" s="196">
        <f>IFERROR(G3535/SUMIF(A:A,A3535,G:G)*SUMIF(Summary!$A$166:$A$242,'Operations Support'!A3535,Summary!$Q$166:$Q$242),0)</f>
        <v>0</v>
      </c>
      <c r="AG3535" s="196">
        <f t="shared" ca="1" si="781"/>
        <v>0</v>
      </c>
      <c r="AI3535" s="196">
        <f>IFERROR($G3535/SUMIF($A:$A,$A3535,$G:$G)*SUMIF(Summary!$A$247:$A$283,$A3535,Summary!$P$247:$P$283),0)</f>
        <v>0</v>
      </c>
      <c r="AJ3535" s="196">
        <f>IFERROR($G3535/SUMIF($A:$A,$A3535,$G:$G)*(SUMIF(Summary!$A$247:$A$283,$A3535,Summary!$L$247:$L$283)+SUMIF(Summary!$A$297:$A$333,$A3535,Summary!$L$297:$L$333))-AI3535,0)</f>
        <v>0</v>
      </c>
      <c r="AK3535" s="196">
        <f>IFERROR($G3535/SUMIF($A:$A,$A3535,$G:$G)*SUMIF(Summary!$A$247:$A$283,$A3535,Summary!$Q$247:$Q$283),0)</f>
        <v>0</v>
      </c>
      <c r="AL3535" s="196">
        <f>IFERROR($G3535/SUMIF($A:$A,$A3535,$G:$G)*(SUMIF(Summary!$A$247:$A$283,$A3535,Summary!$L$247:$L$283)+SUMIF(Summary!$A$297:$A$333,$A3535,Summary!$L$297:$L$333))-AK3535,0)</f>
        <v>0</v>
      </c>
      <c r="AM3535" s="198"/>
      <c r="AN3535" s="196">
        <f t="shared" ca="1" si="782"/>
        <v>0</v>
      </c>
      <c r="AO3535" s="196">
        <f t="shared" ca="1" si="783"/>
        <v>0</v>
      </c>
    </row>
    <row r="3536" spans="1:41">
      <c r="A3536" s="189">
        <v>29269</v>
      </c>
      <c r="B3536" s="190">
        <v>4</v>
      </c>
      <c r="C3536" s="191" t="s">
        <v>223</v>
      </c>
      <c r="D3536" s="192">
        <f t="shared" si="770"/>
        <v>403</v>
      </c>
      <c r="E3536" s="192">
        <f t="shared" si="771"/>
        <v>15</v>
      </c>
      <c r="F3536" s="192">
        <f t="shared" si="772"/>
        <v>0</v>
      </c>
      <c r="G3536" s="193">
        <f t="shared" si="773"/>
        <v>418</v>
      </c>
      <c r="H3536" s="194">
        <v>156</v>
      </c>
      <c r="I3536" s="194">
        <v>6</v>
      </c>
      <c r="J3536" s="194">
        <v>0</v>
      </c>
      <c r="K3536" s="193">
        <f t="shared" si="774"/>
        <v>162</v>
      </c>
      <c r="L3536" s="194">
        <v>133</v>
      </c>
      <c r="M3536" s="194">
        <v>3</v>
      </c>
      <c r="N3536" s="194">
        <v>0</v>
      </c>
      <c r="O3536" s="193">
        <f t="shared" si="775"/>
        <v>136</v>
      </c>
      <c r="P3536" s="194">
        <v>114</v>
      </c>
      <c r="Q3536" s="194">
        <v>6</v>
      </c>
      <c r="R3536" s="194">
        <v>0</v>
      </c>
      <c r="S3536" s="193">
        <f t="shared" si="776"/>
        <v>120</v>
      </c>
      <c r="T3536" s="193">
        <f t="shared" si="777"/>
        <v>23.222222222222221</v>
      </c>
      <c r="U3536" s="193">
        <f ca="1">OFFSET('Expenditure Study'!$B$7,'Operations Support'!$C3536,'Operations Support'!$B3536)*$G3536</f>
        <v>3268.76</v>
      </c>
      <c r="V3536" s="199">
        <f ca="1">U3536*'Expenditure Study'!$B$31</f>
        <v>193128.73807180801</v>
      </c>
      <c r="W3536" s="199">
        <f ca="1">IF(A3536=10298,1.51,1)*IF($B3536&lt;3,$D3536*'Expenditure Study'!$B$32*OFFSET('Expenditure Study'!$B$7,'Operations Support'!$C3536,'Operations Support'!$B3536),0)</f>
        <v>0</v>
      </c>
      <c r="X3536" s="200">
        <f ca="1">W3536*'Expenditure Study'!$B$31</f>
        <v>0</v>
      </c>
      <c r="Y3536" s="199">
        <f ca="1">U3536*'Expenditure Study'!$B$31</f>
        <v>193128.73807180801</v>
      </c>
      <c r="Z3536" s="200">
        <f ca="1">W3536*'Expenditure Study'!$B$31</f>
        <v>0</v>
      </c>
      <c r="AA3536" s="195">
        <f t="shared" ca="1" si="778"/>
        <v>193128.73807180801</v>
      </c>
      <c r="AB3536" s="195">
        <f t="shared" ca="1" si="779"/>
        <v>193128.73807180801</v>
      </c>
      <c r="AD3536" s="196">
        <f>IFERROR($G3536/SUMIF($A:$A,$A3536,$G:$G)*SUMIF(Summary!$A$166:$A$242,$A3536,Summary!$P$166:$P$242),0)</f>
        <v>13193.859847848373</v>
      </c>
      <c r="AE3536" s="197">
        <f t="shared" ca="1" si="780"/>
        <v>179934.87822395965</v>
      </c>
      <c r="AF3536" s="196">
        <f>IFERROR(G3536/SUMIF(A:A,A3536,G:G)*SUMIF(Summary!$A$166:$A$242,'Operations Support'!A3536,Summary!$Q$166:$Q$242),0)</f>
        <v>13237.880664639439</v>
      </c>
      <c r="AG3536" s="196">
        <f t="shared" ca="1" si="781"/>
        <v>179890.85740716857</v>
      </c>
      <c r="AI3536" s="196">
        <f>IFERROR($G3536/SUMIF($A:$A,$A3536,$G:$G)*SUMIF(Summary!$A$247:$A$283,$A3536,Summary!$P$247:$P$283),0)</f>
        <v>2406.2307871451708</v>
      </c>
      <c r="AJ3536" s="196">
        <f>IFERROR($G3536/SUMIF($A:$A,$A3536,$G:$G)*(SUMIF(Summary!$A$247:$A$283,$A3536,Summary!$L$247:$L$283)+SUMIF(Summary!$A$297:$A$333,$A3536,Summary!$L$297:$L$333))-AI3536,0)</f>
        <v>19991.209333419614</v>
      </c>
      <c r="AK3536" s="196">
        <f>IFERROR($G3536/SUMIF($A:$A,$A3536,$G:$G)*SUMIF(Summary!$A$247:$A$283,$A3536,Summary!$Q$247:$Q$283),0)</f>
        <v>2414.2590856006232</v>
      </c>
      <c r="AL3536" s="196">
        <f>IFERROR($G3536/SUMIF($A:$A,$A3536,$G:$G)*(SUMIF(Summary!$A$247:$A$283,$A3536,Summary!$L$247:$L$283)+SUMIF(Summary!$A$297:$A$333,$A3536,Summary!$L$297:$L$333))-AK3536,0)</f>
        <v>19983.18103496416</v>
      </c>
      <c r="AM3536" s="198"/>
      <c r="AN3536" s="196">
        <f t="shared" ca="1" si="782"/>
        <v>199926.08755737927</v>
      </c>
      <c r="AO3536" s="196">
        <f t="shared" ca="1" si="783"/>
        <v>199874.03844213273</v>
      </c>
    </row>
    <row r="3537" spans="1:41">
      <c r="A3537" s="189">
        <v>29269</v>
      </c>
      <c r="B3537" s="190">
        <v>4</v>
      </c>
      <c r="C3537" s="191" t="s">
        <v>224</v>
      </c>
      <c r="D3537" s="192">
        <f t="shared" si="770"/>
        <v>0</v>
      </c>
      <c r="E3537" s="192">
        <f t="shared" si="771"/>
        <v>0</v>
      </c>
      <c r="F3537" s="192">
        <f t="shared" si="772"/>
        <v>0</v>
      </c>
      <c r="G3537" s="193">
        <f t="shared" si="773"/>
        <v>0</v>
      </c>
      <c r="H3537" s="194">
        <v>0</v>
      </c>
      <c r="I3537" s="194">
        <v>0</v>
      </c>
      <c r="J3537" s="194">
        <v>0</v>
      </c>
      <c r="K3537" s="193">
        <f t="shared" si="774"/>
        <v>0</v>
      </c>
      <c r="L3537" s="194">
        <v>0</v>
      </c>
      <c r="M3537" s="194">
        <v>0</v>
      </c>
      <c r="N3537" s="194">
        <v>0</v>
      </c>
      <c r="O3537" s="193">
        <f t="shared" si="775"/>
        <v>0</v>
      </c>
      <c r="P3537" s="194">
        <v>0</v>
      </c>
      <c r="Q3537" s="194">
        <v>0</v>
      </c>
      <c r="R3537" s="194">
        <v>0</v>
      </c>
      <c r="S3537" s="193">
        <f t="shared" si="776"/>
        <v>0</v>
      </c>
      <c r="T3537" s="193">
        <f t="shared" si="777"/>
        <v>0</v>
      </c>
      <c r="U3537" s="193">
        <f ca="1">OFFSET('Expenditure Study'!$B$7,'Operations Support'!$C3537,'Operations Support'!$B3537)*$G3537</f>
        <v>0</v>
      </c>
      <c r="V3537" s="199">
        <f ca="1">U3537*'Expenditure Study'!$B$31</f>
        <v>0</v>
      </c>
      <c r="W3537" s="199">
        <f ca="1">IF(A3537=10298,1.51,1)*IF($B3537&lt;3,$D3537*'Expenditure Study'!$B$32*OFFSET('Expenditure Study'!$B$7,'Operations Support'!$C3537,'Operations Support'!$B3537),0)</f>
        <v>0</v>
      </c>
      <c r="X3537" s="200">
        <f ca="1">W3537*'Expenditure Study'!$B$31</f>
        <v>0</v>
      </c>
      <c r="Y3537" s="199">
        <f ca="1">U3537*'Expenditure Study'!$B$31</f>
        <v>0</v>
      </c>
      <c r="Z3537" s="200">
        <f ca="1">W3537*'Expenditure Study'!$B$31</f>
        <v>0</v>
      </c>
      <c r="AA3537" s="195">
        <f t="shared" ca="1" si="778"/>
        <v>0</v>
      </c>
      <c r="AB3537" s="195">
        <f t="shared" ca="1" si="779"/>
        <v>0</v>
      </c>
      <c r="AD3537" s="196">
        <f>IFERROR($G3537/SUMIF($A:$A,$A3537,$G:$G)*SUMIF(Summary!$A$166:$A$242,$A3537,Summary!$P$166:$P$242),0)</f>
        <v>0</v>
      </c>
      <c r="AE3537" s="197">
        <f t="shared" ca="1" si="780"/>
        <v>0</v>
      </c>
      <c r="AF3537" s="196">
        <f>IFERROR(G3537/SUMIF(A:A,A3537,G:G)*SUMIF(Summary!$A$166:$A$242,'Operations Support'!A3537,Summary!$Q$166:$Q$242),0)</f>
        <v>0</v>
      </c>
      <c r="AG3537" s="196">
        <f t="shared" ca="1" si="781"/>
        <v>0</v>
      </c>
      <c r="AI3537" s="196">
        <f>IFERROR($G3537/SUMIF($A:$A,$A3537,$G:$G)*SUMIF(Summary!$A$247:$A$283,$A3537,Summary!$P$247:$P$283),0)</f>
        <v>0</v>
      </c>
      <c r="AJ3537" s="196">
        <f>IFERROR($G3537/SUMIF($A:$A,$A3537,$G:$G)*(SUMIF(Summary!$A$247:$A$283,$A3537,Summary!$L$247:$L$283)+SUMIF(Summary!$A$297:$A$333,$A3537,Summary!$L$297:$L$333))-AI3537,0)</f>
        <v>0</v>
      </c>
      <c r="AK3537" s="196">
        <f>IFERROR($G3537/SUMIF($A:$A,$A3537,$G:$G)*SUMIF(Summary!$A$247:$A$283,$A3537,Summary!$Q$247:$Q$283),0)</f>
        <v>0</v>
      </c>
      <c r="AL3537" s="196">
        <f>IFERROR($G3537/SUMIF($A:$A,$A3537,$G:$G)*(SUMIF(Summary!$A$247:$A$283,$A3537,Summary!$L$247:$L$283)+SUMIF(Summary!$A$297:$A$333,$A3537,Summary!$L$297:$L$333))-AK3537,0)</f>
        <v>0</v>
      </c>
      <c r="AM3537" s="198"/>
      <c r="AN3537" s="196">
        <f t="shared" ca="1" si="782"/>
        <v>0</v>
      </c>
      <c r="AO3537" s="196">
        <f t="shared" ca="1" si="783"/>
        <v>0</v>
      </c>
    </row>
    <row r="3538" spans="1:41">
      <c r="A3538" s="189">
        <v>29269</v>
      </c>
      <c r="B3538" s="190">
        <v>4</v>
      </c>
      <c r="C3538" s="191" t="s">
        <v>225</v>
      </c>
      <c r="D3538" s="192">
        <f t="shared" si="770"/>
        <v>0</v>
      </c>
      <c r="E3538" s="192">
        <f t="shared" si="771"/>
        <v>0</v>
      </c>
      <c r="F3538" s="192">
        <f t="shared" si="772"/>
        <v>0</v>
      </c>
      <c r="G3538" s="193">
        <f t="shared" si="773"/>
        <v>0</v>
      </c>
      <c r="H3538" s="194">
        <v>0</v>
      </c>
      <c r="I3538" s="194">
        <v>0</v>
      </c>
      <c r="J3538" s="194">
        <v>0</v>
      </c>
      <c r="K3538" s="193">
        <f t="shared" si="774"/>
        <v>0</v>
      </c>
      <c r="L3538" s="194">
        <v>0</v>
      </c>
      <c r="M3538" s="194">
        <v>0</v>
      </c>
      <c r="N3538" s="194">
        <v>0</v>
      </c>
      <c r="O3538" s="193">
        <f t="shared" si="775"/>
        <v>0</v>
      </c>
      <c r="P3538" s="194">
        <v>0</v>
      </c>
      <c r="Q3538" s="194">
        <v>0</v>
      </c>
      <c r="R3538" s="194">
        <v>0</v>
      </c>
      <c r="S3538" s="193">
        <f t="shared" si="776"/>
        <v>0</v>
      </c>
      <c r="T3538" s="193">
        <f t="shared" si="777"/>
        <v>0</v>
      </c>
      <c r="U3538" s="193">
        <f ca="1">OFFSET('Expenditure Study'!$B$7,'Operations Support'!$C3538,'Operations Support'!$B3538)*$G3538</f>
        <v>0</v>
      </c>
      <c r="V3538" s="199">
        <f ca="1">U3538*'Expenditure Study'!$B$31</f>
        <v>0</v>
      </c>
      <c r="W3538" s="199">
        <f ca="1">IF(A3538=10298,1.51,1)*IF($B3538&lt;3,$D3538*'Expenditure Study'!$B$32*OFFSET('Expenditure Study'!$B$7,'Operations Support'!$C3538,'Operations Support'!$B3538),0)</f>
        <v>0</v>
      </c>
      <c r="X3538" s="200">
        <f ca="1">W3538*'Expenditure Study'!$B$31</f>
        <v>0</v>
      </c>
      <c r="Y3538" s="199">
        <f ca="1">U3538*'Expenditure Study'!$B$31</f>
        <v>0</v>
      </c>
      <c r="Z3538" s="200">
        <f ca="1">W3538*'Expenditure Study'!$B$31</f>
        <v>0</v>
      </c>
      <c r="AA3538" s="195">
        <f t="shared" ca="1" si="778"/>
        <v>0</v>
      </c>
      <c r="AB3538" s="195">
        <f t="shared" ca="1" si="779"/>
        <v>0</v>
      </c>
      <c r="AD3538" s="196">
        <f>IFERROR($G3538/SUMIF($A:$A,$A3538,$G:$G)*SUMIF(Summary!$A$166:$A$242,$A3538,Summary!$P$166:$P$242),0)</f>
        <v>0</v>
      </c>
      <c r="AE3538" s="197">
        <f t="shared" ca="1" si="780"/>
        <v>0</v>
      </c>
      <c r="AF3538" s="196">
        <f>IFERROR(G3538/SUMIF(A:A,A3538,G:G)*SUMIF(Summary!$A$166:$A$242,'Operations Support'!A3538,Summary!$Q$166:$Q$242),0)</f>
        <v>0</v>
      </c>
      <c r="AG3538" s="196">
        <f t="shared" ca="1" si="781"/>
        <v>0</v>
      </c>
      <c r="AI3538" s="196">
        <f>IFERROR($G3538/SUMIF($A:$A,$A3538,$G:$G)*SUMIF(Summary!$A$247:$A$283,$A3538,Summary!$P$247:$P$283),0)</f>
        <v>0</v>
      </c>
      <c r="AJ3538" s="196">
        <f>IFERROR($G3538/SUMIF($A:$A,$A3538,$G:$G)*(SUMIF(Summary!$A$247:$A$283,$A3538,Summary!$L$247:$L$283)+SUMIF(Summary!$A$297:$A$333,$A3538,Summary!$L$297:$L$333))-AI3538,0)</f>
        <v>0</v>
      </c>
      <c r="AK3538" s="196">
        <f>IFERROR($G3538/SUMIF($A:$A,$A3538,$G:$G)*SUMIF(Summary!$A$247:$A$283,$A3538,Summary!$Q$247:$Q$283),0)</f>
        <v>0</v>
      </c>
      <c r="AL3538" s="196">
        <f>IFERROR($G3538/SUMIF($A:$A,$A3538,$G:$G)*(SUMIF(Summary!$A$247:$A$283,$A3538,Summary!$L$247:$L$283)+SUMIF(Summary!$A$297:$A$333,$A3538,Summary!$L$297:$L$333))-AK3538,0)</f>
        <v>0</v>
      </c>
      <c r="AM3538" s="198"/>
      <c r="AN3538" s="196">
        <f t="shared" ca="1" si="782"/>
        <v>0</v>
      </c>
      <c r="AO3538" s="196">
        <f t="shared" ca="1" si="783"/>
        <v>0</v>
      </c>
    </row>
    <row r="3539" spans="1:41">
      <c r="A3539" s="189">
        <v>29269</v>
      </c>
      <c r="B3539" s="190">
        <v>4</v>
      </c>
      <c r="C3539" s="191" t="s">
        <v>226</v>
      </c>
      <c r="D3539" s="192">
        <f t="shared" si="770"/>
        <v>0</v>
      </c>
      <c r="E3539" s="192">
        <f t="shared" si="771"/>
        <v>0</v>
      </c>
      <c r="F3539" s="192">
        <f t="shared" si="772"/>
        <v>0</v>
      </c>
      <c r="G3539" s="193">
        <f t="shared" si="773"/>
        <v>0</v>
      </c>
      <c r="H3539" s="194">
        <v>0</v>
      </c>
      <c r="I3539" s="194">
        <v>0</v>
      </c>
      <c r="J3539" s="194">
        <v>0</v>
      </c>
      <c r="K3539" s="193">
        <f t="shared" si="774"/>
        <v>0</v>
      </c>
      <c r="L3539" s="194">
        <v>0</v>
      </c>
      <c r="M3539" s="194">
        <v>0</v>
      </c>
      <c r="N3539" s="194">
        <v>0</v>
      </c>
      <c r="O3539" s="193">
        <f t="shared" si="775"/>
        <v>0</v>
      </c>
      <c r="P3539" s="194">
        <v>0</v>
      </c>
      <c r="Q3539" s="194">
        <v>0</v>
      </c>
      <c r="R3539" s="194">
        <v>0</v>
      </c>
      <c r="S3539" s="193">
        <f t="shared" si="776"/>
        <v>0</v>
      </c>
      <c r="T3539" s="193">
        <f t="shared" si="777"/>
        <v>0</v>
      </c>
      <c r="U3539" s="193">
        <f ca="1">OFFSET('Expenditure Study'!$B$7,'Operations Support'!$C3539,'Operations Support'!$B3539)*$G3539</f>
        <v>0</v>
      </c>
      <c r="V3539" s="199">
        <f ca="1">U3539*'Expenditure Study'!$B$31</f>
        <v>0</v>
      </c>
      <c r="W3539" s="199">
        <f ca="1">IF(A3539=10298,1.51,1)*IF($B3539&lt;3,$D3539*'Expenditure Study'!$B$32*OFFSET('Expenditure Study'!$B$7,'Operations Support'!$C3539,'Operations Support'!$B3539),0)</f>
        <v>0</v>
      </c>
      <c r="X3539" s="200">
        <f ca="1">W3539*'Expenditure Study'!$B$31</f>
        <v>0</v>
      </c>
      <c r="Y3539" s="199">
        <f ca="1">U3539*'Expenditure Study'!$B$31</f>
        <v>0</v>
      </c>
      <c r="Z3539" s="200">
        <f ca="1">W3539*'Expenditure Study'!$B$31</f>
        <v>0</v>
      </c>
      <c r="AA3539" s="195">
        <f t="shared" ca="1" si="778"/>
        <v>0</v>
      </c>
      <c r="AB3539" s="195">
        <f t="shared" ca="1" si="779"/>
        <v>0</v>
      </c>
      <c r="AD3539" s="196">
        <f>IFERROR($G3539/SUMIF($A:$A,$A3539,$G:$G)*SUMIF(Summary!$A$166:$A$242,$A3539,Summary!$P$166:$P$242),0)</f>
        <v>0</v>
      </c>
      <c r="AE3539" s="197">
        <f t="shared" ca="1" si="780"/>
        <v>0</v>
      </c>
      <c r="AF3539" s="196">
        <f>IFERROR(G3539/SUMIF(A:A,A3539,G:G)*SUMIF(Summary!$A$166:$A$242,'Operations Support'!A3539,Summary!$Q$166:$Q$242),0)</f>
        <v>0</v>
      </c>
      <c r="AG3539" s="196">
        <f t="shared" ca="1" si="781"/>
        <v>0</v>
      </c>
      <c r="AI3539" s="196">
        <f>IFERROR($G3539/SUMIF($A:$A,$A3539,$G:$G)*SUMIF(Summary!$A$247:$A$283,$A3539,Summary!$P$247:$P$283),0)</f>
        <v>0</v>
      </c>
      <c r="AJ3539" s="196">
        <f>IFERROR($G3539/SUMIF($A:$A,$A3539,$G:$G)*(SUMIF(Summary!$A$247:$A$283,$A3539,Summary!$L$247:$L$283)+SUMIF(Summary!$A$297:$A$333,$A3539,Summary!$L$297:$L$333))-AI3539,0)</f>
        <v>0</v>
      </c>
      <c r="AK3539" s="196">
        <f>IFERROR($G3539/SUMIF($A:$A,$A3539,$G:$G)*SUMIF(Summary!$A$247:$A$283,$A3539,Summary!$Q$247:$Q$283),0)</f>
        <v>0</v>
      </c>
      <c r="AL3539" s="196">
        <f>IFERROR($G3539/SUMIF($A:$A,$A3539,$G:$G)*(SUMIF(Summary!$A$247:$A$283,$A3539,Summary!$L$247:$L$283)+SUMIF(Summary!$A$297:$A$333,$A3539,Summary!$L$297:$L$333))-AK3539,0)</f>
        <v>0</v>
      </c>
      <c r="AM3539" s="198"/>
      <c r="AN3539" s="196">
        <f t="shared" ca="1" si="782"/>
        <v>0</v>
      </c>
      <c r="AO3539" s="196">
        <f t="shared" ca="1" si="783"/>
        <v>0</v>
      </c>
    </row>
    <row r="3540" spans="1:41">
      <c r="A3540" s="189">
        <v>29269</v>
      </c>
      <c r="B3540" s="190">
        <v>4</v>
      </c>
      <c r="C3540" s="191" t="s">
        <v>227</v>
      </c>
      <c r="D3540" s="192">
        <f t="shared" si="770"/>
        <v>0</v>
      </c>
      <c r="E3540" s="192">
        <f t="shared" si="771"/>
        <v>0</v>
      </c>
      <c r="F3540" s="192">
        <f t="shared" si="772"/>
        <v>0</v>
      </c>
      <c r="G3540" s="193">
        <f t="shared" si="773"/>
        <v>0</v>
      </c>
      <c r="H3540" s="194">
        <v>0</v>
      </c>
      <c r="I3540" s="194">
        <v>0</v>
      </c>
      <c r="J3540" s="194">
        <v>0</v>
      </c>
      <c r="K3540" s="193">
        <f t="shared" si="774"/>
        <v>0</v>
      </c>
      <c r="L3540" s="194">
        <v>0</v>
      </c>
      <c r="M3540" s="194">
        <v>0</v>
      </c>
      <c r="N3540" s="194">
        <v>0</v>
      </c>
      <c r="O3540" s="193">
        <f t="shared" si="775"/>
        <v>0</v>
      </c>
      <c r="P3540" s="194">
        <v>0</v>
      </c>
      <c r="Q3540" s="194">
        <v>0</v>
      </c>
      <c r="R3540" s="194">
        <v>0</v>
      </c>
      <c r="S3540" s="193">
        <f t="shared" si="776"/>
        <v>0</v>
      </c>
      <c r="T3540" s="193">
        <f t="shared" si="777"/>
        <v>0</v>
      </c>
      <c r="U3540" s="193">
        <f ca="1">OFFSET('Expenditure Study'!$B$7,'Operations Support'!$C3540,'Operations Support'!$B3540)*$G3540</f>
        <v>0</v>
      </c>
      <c r="V3540" s="199">
        <f ca="1">U3540*'Expenditure Study'!$B$31</f>
        <v>0</v>
      </c>
      <c r="W3540" s="199">
        <f ca="1">IF(A3540=10298,1.51,1)*IF($B3540&lt;3,$D3540*'Expenditure Study'!$B$32*OFFSET('Expenditure Study'!$B$7,'Operations Support'!$C3540,'Operations Support'!$B3540),0)</f>
        <v>0</v>
      </c>
      <c r="X3540" s="200">
        <f ca="1">W3540*'Expenditure Study'!$B$31</f>
        <v>0</v>
      </c>
      <c r="Y3540" s="199">
        <f ca="1">U3540*'Expenditure Study'!$B$31</f>
        <v>0</v>
      </c>
      <c r="Z3540" s="200">
        <f ca="1">W3540*'Expenditure Study'!$B$31</f>
        <v>0</v>
      </c>
      <c r="AA3540" s="195">
        <f t="shared" ca="1" si="778"/>
        <v>0</v>
      </c>
      <c r="AB3540" s="195">
        <f t="shared" ca="1" si="779"/>
        <v>0</v>
      </c>
      <c r="AD3540" s="196">
        <f>IFERROR($G3540/SUMIF($A:$A,$A3540,$G:$G)*SUMIF(Summary!$A$166:$A$242,$A3540,Summary!$P$166:$P$242),0)</f>
        <v>0</v>
      </c>
      <c r="AE3540" s="197">
        <f t="shared" ca="1" si="780"/>
        <v>0</v>
      </c>
      <c r="AF3540" s="196">
        <f>IFERROR(G3540/SUMIF(A:A,A3540,G:G)*SUMIF(Summary!$A$166:$A$242,'Operations Support'!A3540,Summary!$Q$166:$Q$242),0)</f>
        <v>0</v>
      </c>
      <c r="AG3540" s="196">
        <f t="shared" ca="1" si="781"/>
        <v>0</v>
      </c>
      <c r="AI3540" s="196">
        <f>IFERROR($G3540/SUMIF($A:$A,$A3540,$G:$G)*SUMIF(Summary!$A$247:$A$283,$A3540,Summary!$P$247:$P$283),0)</f>
        <v>0</v>
      </c>
      <c r="AJ3540" s="196">
        <f>IFERROR($G3540/SUMIF($A:$A,$A3540,$G:$G)*(SUMIF(Summary!$A$247:$A$283,$A3540,Summary!$L$247:$L$283)+SUMIF(Summary!$A$297:$A$333,$A3540,Summary!$L$297:$L$333))-AI3540,0)</f>
        <v>0</v>
      </c>
      <c r="AK3540" s="196">
        <f>IFERROR($G3540/SUMIF($A:$A,$A3540,$G:$G)*SUMIF(Summary!$A$247:$A$283,$A3540,Summary!$Q$247:$Q$283),0)</f>
        <v>0</v>
      </c>
      <c r="AL3540" s="196">
        <f>IFERROR($G3540/SUMIF($A:$A,$A3540,$G:$G)*(SUMIF(Summary!$A$247:$A$283,$A3540,Summary!$L$247:$L$283)+SUMIF(Summary!$A$297:$A$333,$A3540,Summary!$L$297:$L$333))-AK3540,0)</f>
        <v>0</v>
      </c>
      <c r="AM3540" s="198"/>
      <c r="AN3540" s="196">
        <f t="shared" ca="1" si="782"/>
        <v>0</v>
      </c>
      <c r="AO3540" s="196">
        <f t="shared" ca="1" si="783"/>
        <v>0</v>
      </c>
    </row>
    <row r="3541" spans="1:41">
      <c r="A3541" s="189">
        <v>29269</v>
      </c>
      <c r="B3541" s="190">
        <v>4</v>
      </c>
      <c r="C3541" s="191" t="s">
        <v>228</v>
      </c>
      <c r="D3541" s="192">
        <f t="shared" si="770"/>
        <v>0</v>
      </c>
      <c r="E3541" s="192">
        <f t="shared" si="771"/>
        <v>0</v>
      </c>
      <c r="F3541" s="192">
        <f t="shared" si="772"/>
        <v>0</v>
      </c>
      <c r="G3541" s="193">
        <f t="shared" si="773"/>
        <v>0</v>
      </c>
      <c r="H3541" s="194">
        <v>0</v>
      </c>
      <c r="I3541" s="194">
        <v>0</v>
      </c>
      <c r="J3541" s="194">
        <v>0</v>
      </c>
      <c r="K3541" s="193">
        <f t="shared" si="774"/>
        <v>0</v>
      </c>
      <c r="L3541" s="194">
        <v>0</v>
      </c>
      <c r="M3541" s="194">
        <v>0</v>
      </c>
      <c r="N3541" s="194">
        <v>0</v>
      </c>
      <c r="O3541" s="193">
        <f t="shared" si="775"/>
        <v>0</v>
      </c>
      <c r="P3541" s="194">
        <v>0</v>
      </c>
      <c r="Q3541" s="194">
        <v>0</v>
      </c>
      <c r="R3541" s="194">
        <v>0</v>
      </c>
      <c r="S3541" s="193">
        <f t="shared" si="776"/>
        <v>0</v>
      </c>
      <c r="T3541" s="193">
        <f t="shared" si="777"/>
        <v>0</v>
      </c>
      <c r="U3541" s="193">
        <f ca="1">OFFSET('Expenditure Study'!$B$7,'Operations Support'!$C3541,'Operations Support'!$B3541)*$G3541</f>
        <v>0</v>
      </c>
      <c r="V3541" s="199">
        <f ca="1">U3541*'Expenditure Study'!$B$31</f>
        <v>0</v>
      </c>
      <c r="W3541" s="199">
        <f ca="1">IF(A3541=10298,1.51,1)*IF($B3541&lt;3,$D3541*'Expenditure Study'!$B$32*OFFSET('Expenditure Study'!$B$7,'Operations Support'!$C3541,'Operations Support'!$B3541),0)</f>
        <v>0</v>
      </c>
      <c r="X3541" s="200">
        <f ca="1">W3541*'Expenditure Study'!$B$31</f>
        <v>0</v>
      </c>
      <c r="Y3541" s="199">
        <f ca="1">U3541*'Expenditure Study'!$B$31</f>
        <v>0</v>
      </c>
      <c r="Z3541" s="200">
        <f ca="1">W3541*'Expenditure Study'!$B$31</f>
        <v>0</v>
      </c>
      <c r="AA3541" s="195">
        <f t="shared" ca="1" si="778"/>
        <v>0</v>
      </c>
      <c r="AB3541" s="195">
        <f t="shared" ca="1" si="779"/>
        <v>0</v>
      </c>
      <c r="AD3541" s="196">
        <f>IFERROR($G3541/SUMIF($A:$A,$A3541,$G:$G)*SUMIF(Summary!$A$166:$A$242,$A3541,Summary!$P$166:$P$242),0)</f>
        <v>0</v>
      </c>
      <c r="AE3541" s="197">
        <f t="shared" ca="1" si="780"/>
        <v>0</v>
      </c>
      <c r="AF3541" s="196">
        <f>IFERROR(G3541/SUMIF(A:A,A3541,G:G)*SUMIF(Summary!$A$166:$A$242,'Operations Support'!A3541,Summary!$Q$166:$Q$242),0)</f>
        <v>0</v>
      </c>
      <c r="AG3541" s="196">
        <f t="shared" ca="1" si="781"/>
        <v>0</v>
      </c>
      <c r="AI3541" s="196">
        <f>IFERROR($G3541/SUMIF($A:$A,$A3541,$G:$G)*SUMIF(Summary!$A$247:$A$283,$A3541,Summary!$P$247:$P$283),0)</f>
        <v>0</v>
      </c>
      <c r="AJ3541" s="196">
        <f>IFERROR($G3541/SUMIF($A:$A,$A3541,$G:$G)*(SUMIF(Summary!$A$247:$A$283,$A3541,Summary!$L$247:$L$283)+SUMIF(Summary!$A$297:$A$333,$A3541,Summary!$L$297:$L$333))-AI3541,0)</f>
        <v>0</v>
      </c>
      <c r="AK3541" s="196">
        <f>IFERROR($G3541/SUMIF($A:$A,$A3541,$G:$G)*SUMIF(Summary!$A$247:$A$283,$A3541,Summary!$Q$247:$Q$283),0)</f>
        <v>0</v>
      </c>
      <c r="AL3541" s="196">
        <f>IFERROR($G3541/SUMIF($A:$A,$A3541,$G:$G)*(SUMIF(Summary!$A$247:$A$283,$A3541,Summary!$L$247:$L$283)+SUMIF(Summary!$A$297:$A$333,$A3541,Summary!$L$297:$L$333))-AK3541,0)</f>
        <v>0</v>
      </c>
      <c r="AM3541" s="198"/>
      <c r="AN3541" s="196">
        <f t="shared" ca="1" si="782"/>
        <v>0</v>
      </c>
      <c r="AO3541" s="196">
        <f t="shared" ca="1" si="783"/>
        <v>0</v>
      </c>
    </row>
    <row r="3542" spans="1:41">
      <c r="A3542" s="189">
        <v>29269</v>
      </c>
      <c r="B3542" s="190">
        <v>4</v>
      </c>
      <c r="C3542" s="191" t="s">
        <v>229</v>
      </c>
      <c r="D3542" s="192">
        <f t="shared" si="770"/>
        <v>0</v>
      </c>
      <c r="E3542" s="192">
        <f t="shared" si="771"/>
        <v>0</v>
      </c>
      <c r="F3542" s="192">
        <f t="shared" si="772"/>
        <v>0</v>
      </c>
      <c r="G3542" s="193">
        <f t="shared" si="773"/>
        <v>0</v>
      </c>
      <c r="H3542" s="194">
        <v>0</v>
      </c>
      <c r="I3542" s="194">
        <v>0</v>
      </c>
      <c r="J3542" s="194">
        <v>0</v>
      </c>
      <c r="K3542" s="193">
        <f t="shared" si="774"/>
        <v>0</v>
      </c>
      <c r="L3542" s="194">
        <v>0</v>
      </c>
      <c r="M3542" s="194">
        <v>0</v>
      </c>
      <c r="N3542" s="194">
        <v>0</v>
      </c>
      <c r="O3542" s="193">
        <f t="shared" si="775"/>
        <v>0</v>
      </c>
      <c r="P3542" s="194">
        <v>0</v>
      </c>
      <c r="Q3542" s="194">
        <v>0</v>
      </c>
      <c r="R3542" s="194">
        <v>0</v>
      </c>
      <c r="S3542" s="193">
        <f t="shared" si="776"/>
        <v>0</v>
      </c>
      <c r="T3542" s="193">
        <f t="shared" si="777"/>
        <v>0</v>
      </c>
      <c r="U3542" s="193">
        <f ca="1">OFFSET('Expenditure Study'!$B$7,'Operations Support'!$C3542,'Operations Support'!$B3542)*$G3542</f>
        <v>0</v>
      </c>
      <c r="V3542" s="199">
        <f ca="1">U3542*'Expenditure Study'!$B$31</f>
        <v>0</v>
      </c>
      <c r="W3542" s="199">
        <f ca="1">IF(A3542=10298,1.51,1)*IF($B3542&lt;3,$D3542*'Expenditure Study'!$B$32*OFFSET('Expenditure Study'!$B$7,'Operations Support'!$C3542,'Operations Support'!$B3542),0)</f>
        <v>0</v>
      </c>
      <c r="X3542" s="200">
        <f ca="1">W3542*'Expenditure Study'!$B$31</f>
        <v>0</v>
      </c>
      <c r="Y3542" s="199">
        <f ca="1">U3542*'Expenditure Study'!$B$31</f>
        <v>0</v>
      </c>
      <c r="Z3542" s="200">
        <f ca="1">W3542*'Expenditure Study'!$B$31</f>
        <v>0</v>
      </c>
      <c r="AA3542" s="195">
        <f t="shared" ca="1" si="778"/>
        <v>0</v>
      </c>
      <c r="AB3542" s="195">
        <f t="shared" ca="1" si="779"/>
        <v>0</v>
      </c>
      <c r="AD3542" s="196">
        <f>IFERROR($G3542/SUMIF($A:$A,$A3542,$G:$G)*SUMIF(Summary!$A$166:$A$242,$A3542,Summary!$P$166:$P$242),0)</f>
        <v>0</v>
      </c>
      <c r="AE3542" s="197">
        <f t="shared" ca="1" si="780"/>
        <v>0</v>
      </c>
      <c r="AF3542" s="196">
        <f>IFERROR(G3542/SUMIF(A:A,A3542,G:G)*SUMIF(Summary!$A$166:$A$242,'Operations Support'!A3542,Summary!$Q$166:$Q$242),0)</f>
        <v>0</v>
      </c>
      <c r="AG3542" s="196">
        <f t="shared" ca="1" si="781"/>
        <v>0</v>
      </c>
      <c r="AI3542" s="196">
        <f>IFERROR($G3542/SUMIF($A:$A,$A3542,$G:$G)*SUMIF(Summary!$A$247:$A$283,$A3542,Summary!$P$247:$P$283),0)</f>
        <v>0</v>
      </c>
      <c r="AJ3542" s="196">
        <f>IFERROR($G3542/SUMIF($A:$A,$A3542,$G:$G)*(SUMIF(Summary!$A$247:$A$283,$A3542,Summary!$L$247:$L$283)+SUMIF(Summary!$A$297:$A$333,$A3542,Summary!$L$297:$L$333))-AI3542,0)</f>
        <v>0</v>
      </c>
      <c r="AK3542" s="196">
        <f>IFERROR($G3542/SUMIF($A:$A,$A3542,$G:$G)*SUMIF(Summary!$A$247:$A$283,$A3542,Summary!$Q$247:$Q$283),0)</f>
        <v>0</v>
      </c>
      <c r="AL3542" s="196">
        <f>IFERROR($G3542/SUMIF($A:$A,$A3542,$G:$G)*(SUMIF(Summary!$A$247:$A$283,$A3542,Summary!$L$247:$L$283)+SUMIF(Summary!$A$297:$A$333,$A3542,Summary!$L$297:$L$333))-AK3542,0)</f>
        <v>0</v>
      </c>
      <c r="AM3542" s="198"/>
      <c r="AN3542" s="196">
        <f t="shared" ca="1" si="782"/>
        <v>0</v>
      </c>
      <c r="AO3542" s="196">
        <f t="shared" ca="1" si="783"/>
        <v>0</v>
      </c>
    </row>
    <row r="3543" spans="1:41">
      <c r="A3543" s="189">
        <v>29269</v>
      </c>
      <c r="B3543" s="190">
        <v>4</v>
      </c>
      <c r="C3543" s="191" t="s">
        <v>230</v>
      </c>
      <c r="D3543" s="192">
        <f t="shared" si="770"/>
        <v>0</v>
      </c>
      <c r="E3543" s="192">
        <f t="shared" si="771"/>
        <v>0</v>
      </c>
      <c r="F3543" s="192">
        <f t="shared" si="772"/>
        <v>0</v>
      </c>
      <c r="G3543" s="193">
        <f t="shared" si="773"/>
        <v>0</v>
      </c>
      <c r="H3543" s="194">
        <v>0</v>
      </c>
      <c r="I3543" s="194">
        <v>0</v>
      </c>
      <c r="J3543" s="194">
        <v>0</v>
      </c>
      <c r="K3543" s="193">
        <f t="shared" si="774"/>
        <v>0</v>
      </c>
      <c r="L3543" s="194">
        <v>0</v>
      </c>
      <c r="M3543" s="194">
        <v>0</v>
      </c>
      <c r="N3543" s="194">
        <v>0</v>
      </c>
      <c r="O3543" s="193">
        <f t="shared" si="775"/>
        <v>0</v>
      </c>
      <c r="P3543" s="194">
        <v>0</v>
      </c>
      <c r="Q3543" s="194">
        <v>0</v>
      </c>
      <c r="R3543" s="194">
        <v>0</v>
      </c>
      <c r="S3543" s="193">
        <f t="shared" si="776"/>
        <v>0</v>
      </c>
      <c r="T3543" s="193">
        <f t="shared" si="777"/>
        <v>0</v>
      </c>
      <c r="U3543" s="193">
        <f ca="1">OFFSET('Expenditure Study'!$B$7,'Operations Support'!$C3543,'Operations Support'!$B3543)*$G3543</f>
        <v>0</v>
      </c>
      <c r="V3543" s="199">
        <f ca="1">U3543*'Expenditure Study'!$B$31</f>
        <v>0</v>
      </c>
      <c r="W3543" s="199">
        <f ca="1">IF(A3543=10298,1.51,1)*IF($B3543&lt;3,$D3543*'Expenditure Study'!$B$32*OFFSET('Expenditure Study'!$B$7,'Operations Support'!$C3543,'Operations Support'!$B3543),0)</f>
        <v>0</v>
      </c>
      <c r="X3543" s="200">
        <f ca="1">W3543*'Expenditure Study'!$B$31</f>
        <v>0</v>
      </c>
      <c r="Y3543" s="199">
        <f ca="1">U3543*'Expenditure Study'!$B$31</f>
        <v>0</v>
      </c>
      <c r="Z3543" s="200">
        <f ca="1">W3543*'Expenditure Study'!$B$31</f>
        <v>0</v>
      </c>
      <c r="AA3543" s="195">
        <f t="shared" ca="1" si="778"/>
        <v>0</v>
      </c>
      <c r="AB3543" s="195">
        <f t="shared" ca="1" si="779"/>
        <v>0</v>
      </c>
      <c r="AD3543" s="196">
        <f>IFERROR($G3543/SUMIF($A:$A,$A3543,$G:$G)*SUMIF(Summary!$A$166:$A$242,$A3543,Summary!$P$166:$P$242),0)</f>
        <v>0</v>
      </c>
      <c r="AE3543" s="197">
        <f t="shared" ca="1" si="780"/>
        <v>0</v>
      </c>
      <c r="AF3543" s="196">
        <f>IFERROR(G3543/SUMIF(A:A,A3543,G:G)*SUMIF(Summary!$A$166:$A$242,'Operations Support'!A3543,Summary!$Q$166:$Q$242),0)</f>
        <v>0</v>
      </c>
      <c r="AG3543" s="196">
        <f t="shared" ca="1" si="781"/>
        <v>0</v>
      </c>
      <c r="AI3543" s="196">
        <f>IFERROR($G3543/SUMIF($A:$A,$A3543,$G:$G)*SUMIF(Summary!$A$247:$A$283,$A3543,Summary!$P$247:$P$283),0)</f>
        <v>0</v>
      </c>
      <c r="AJ3543" s="196">
        <f>IFERROR($G3543/SUMIF($A:$A,$A3543,$G:$G)*(SUMIF(Summary!$A$247:$A$283,$A3543,Summary!$L$247:$L$283)+SUMIF(Summary!$A$297:$A$333,$A3543,Summary!$L$297:$L$333))-AI3543,0)</f>
        <v>0</v>
      </c>
      <c r="AK3543" s="196">
        <f>IFERROR($G3543/SUMIF($A:$A,$A3543,$G:$G)*SUMIF(Summary!$A$247:$A$283,$A3543,Summary!$Q$247:$Q$283),0)</f>
        <v>0</v>
      </c>
      <c r="AL3543" s="196">
        <f>IFERROR($G3543/SUMIF($A:$A,$A3543,$G:$G)*(SUMIF(Summary!$A$247:$A$283,$A3543,Summary!$L$247:$L$283)+SUMIF(Summary!$A$297:$A$333,$A3543,Summary!$L$297:$L$333))-AK3543,0)</f>
        <v>0</v>
      </c>
      <c r="AM3543" s="198"/>
      <c r="AN3543" s="196">
        <f t="shared" ca="1" si="782"/>
        <v>0</v>
      </c>
      <c r="AO3543" s="196">
        <f t="shared" ca="1" si="783"/>
        <v>0</v>
      </c>
    </row>
    <row r="3544" spans="1:41">
      <c r="A3544" s="189">
        <v>29269</v>
      </c>
      <c r="B3544" s="190">
        <v>4</v>
      </c>
      <c r="C3544" s="191" t="s">
        <v>231</v>
      </c>
      <c r="D3544" s="192">
        <f t="shared" si="770"/>
        <v>0</v>
      </c>
      <c r="E3544" s="192">
        <f t="shared" si="771"/>
        <v>0</v>
      </c>
      <c r="F3544" s="192">
        <f t="shared" si="772"/>
        <v>0</v>
      </c>
      <c r="G3544" s="193">
        <f t="shared" si="773"/>
        <v>0</v>
      </c>
      <c r="H3544" s="194">
        <v>0</v>
      </c>
      <c r="I3544" s="194">
        <v>0</v>
      </c>
      <c r="J3544" s="194">
        <v>0</v>
      </c>
      <c r="K3544" s="193">
        <f t="shared" si="774"/>
        <v>0</v>
      </c>
      <c r="L3544" s="194">
        <v>0</v>
      </c>
      <c r="M3544" s="194">
        <v>0</v>
      </c>
      <c r="N3544" s="194">
        <v>0</v>
      </c>
      <c r="O3544" s="193">
        <f t="shared" si="775"/>
        <v>0</v>
      </c>
      <c r="P3544" s="194">
        <v>0</v>
      </c>
      <c r="Q3544" s="194">
        <v>0</v>
      </c>
      <c r="R3544" s="194">
        <v>0</v>
      </c>
      <c r="S3544" s="193">
        <f t="shared" si="776"/>
        <v>0</v>
      </c>
      <c r="T3544" s="193">
        <f t="shared" si="777"/>
        <v>0</v>
      </c>
      <c r="U3544" s="193">
        <f ca="1">OFFSET('Expenditure Study'!$B$7,'Operations Support'!$C3544,'Operations Support'!$B3544)*$G3544</f>
        <v>0</v>
      </c>
      <c r="V3544" s="199">
        <f ca="1">U3544*'Expenditure Study'!$B$31</f>
        <v>0</v>
      </c>
      <c r="W3544" s="199">
        <f ca="1">IF(A3544=10298,1.51,1)*IF($B3544&lt;3,$D3544*'Expenditure Study'!$B$32*OFFSET('Expenditure Study'!$B$7,'Operations Support'!$C3544,'Operations Support'!$B3544),0)</f>
        <v>0</v>
      </c>
      <c r="X3544" s="200">
        <f ca="1">W3544*'Expenditure Study'!$B$31</f>
        <v>0</v>
      </c>
      <c r="Y3544" s="199">
        <f ca="1">U3544*'Expenditure Study'!$B$31</f>
        <v>0</v>
      </c>
      <c r="Z3544" s="200">
        <f ca="1">W3544*'Expenditure Study'!$B$31</f>
        <v>0</v>
      </c>
      <c r="AA3544" s="195">
        <f t="shared" ca="1" si="778"/>
        <v>0</v>
      </c>
      <c r="AB3544" s="195">
        <f t="shared" ca="1" si="779"/>
        <v>0</v>
      </c>
      <c r="AD3544" s="196">
        <f>IFERROR($G3544/SUMIF($A:$A,$A3544,$G:$G)*SUMIF(Summary!$A$166:$A$242,$A3544,Summary!$P$166:$P$242),0)</f>
        <v>0</v>
      </c>
      <c r="AE3544" s="197">
        <f t="shared" ca="1" si="780"/>
        <v>0</v>
      </c>
      <c r="AF3544" s="196">
        <f>IFERROR(G3544/SUMIF(A:A,A3544,G:G)*SUMIF(Summary!$A$166:$A$242,'Operations Support'!A3544,Summary!$Q$166:$Q$242),0)</f>
        <v>0</v>
      </c>
      <c r="AG3544" s="196">
        <f t="shared" ca="1" si="781"/>
        <v>0</v>
      </c>
      <c r="AI3544" s="196">
        <f>IFERROR($G3544/SUMIF($A:$A,$A3544,$G:$G)*SUMIF(Summary!$A$247:$A$283,$A3544,Summary!$P$247:$P$283),0)</f>
        <v>0</v>
      </c>
      <c r="AJ3544" s="196">
        <f>IFERROR($G3544/SUMIF($A:$A,$A3544,$G:$G)*(SUMIF(Summary!$A$247:$A$283,$A3544,Summary!$L$247:$L$283)+SUMIF(Summary!$A$297:$A$333,$A3544,Summary!$L$297:$L$333))-AI3544,0)</f>
        <v>0</v>
      </c>
      <c r="AK3544" s="196">
        <f>IFERROR($G3544/SUMIF($A:$A,$A3544,$G:$G)*SUMIF(Summary!$A$247:$A$283,$A3544,Summary!$Q$247:$Q$283),0)</f>
        <v>0</v>
      </c>
      <c r="AL3544" s="196">
        <f>IFERROR($G3544/SUMIF($A:$A,$A3544,$G:$G)*(SUMIF(Summary!$A$247:$A$283,$A3544,Summary!$L$247:$L$283)+SUMIF(Summary!$A$297:$A$333,$A3544,Summary!$L$297:$L$333))-AK3544,0)</f>
        <v>0</v>
      </c>
      <c r="AM3544" s="198"/>
      <c r="AN3544" s="196">
        <f t="shared" ca="1" si="782"/>
        <v>0</v>
      </c>
      <c r="AO3544" s="196">
        <f t="shared" ca="1" si="783"/>
        <v>0</v>
      </c>
    </row>
    <row r="3545" spans="1:41">
      <c r="A3545" s="189">
        <v>29269</v>
      </c>
      <c r="B3545" s="190">
        <v>4</v>
      </c>
      <c r="C3545" s="191" t="s">
        <v>232</v>
      </c>
      <c r="D3545" s="192">
        <f t="shared" si="770"/>
        <v>0</v>
      </c>
      <c r="E3545" s="192">
        <f t="shared" si="771"/>
        <v>0</v>
      </c>
      <c r="F3545" s="192">
        <f t="shared" si="772"/>
        <v>0</v>
      </c>
      <c r="G3545" s="193">
        <f t="shared" si="773"/>
        <v>0</v>
      </c>
      <c r="H3545" s="194">
        <v>0</v>
      </c>
      <c r="I3545" s="194">
        <v>0</v>
      </c>
      <c r="J3545" s="194">
        <v>0</v>
      </c>
      <c r="K3545" s="193">
        <f t="shared" si="774"/>
        <v>0</v>
      </c>
      <c r="L3545" s="194">
        <v>0</v>
      </c>
      <c r="M3545" s="194">
        <v>0</v>
      </c>
      <c r="N3545" s="194">
        <v>0</v>
      </c>
      <c r="O3545" s="193">
        <f t="shared" si="775"/>
        <v>0</v>
      </c>
      <c r="P3545" s="194">
        <v>0</v>
      </c>
      <c r="Q3545" s="194">
        <v>0</v>
      </c>
      <c r="R3545" s="194">
        <v>0</v>
      </c>
      <c r="S3545" s="193">
        <f t="shared" si="776"/>
        <v>0</v>
      </c>
      <c r="T3545" s="193">
        <f t="shared" si="777"/>
        <v>0</v>
      </c>
      <c r="U3545" s="193">
        <f ca="1">OFFSET('Expenditure Study'!$B$7,'Operations Support'!$C3545,'Operations Support'!$B3545)*$G3545</f>
        <v>0</v>
      </c>
      <c r="V3545" s="199">
        <f ca="1">U3545*'Expenditure Study'!$B$31</f>
        <v>0</v>
      </c>
      <c r="W3545" s="199">
        <f ca="1">IF(A3545=10298,1.51,1)*IF($B3545&lt;3,$D3545*'Expenditure Study'!$B$32*OFFSET('Expenditure Study'!$B$7,'Operations Support'!$C3545,'Operations Support'!$B3545),0)</f>
        <v>0</v>
      </c>
      <c r="X3545" s="200">
        <f ca="1">W3545*'Expenditure Study'!$B$31</f>
        <v>0</v>
      </c>
      <c r="Y3545" s="199">
        <f ca="1">U3545*'Expenditure Study'!$B$31</f>
        <v>0</v>
      </c>
      <c r="Z3545" s="200">
        <f ca="1">W3545*'Expenditure Study'!$B$31</f>
        <v>0</v>
      </c>
      <c r="AA3545" s="195">
        <f t="shared" ca="1" si="778"/>
        <v>0</v>
      </c>
      <c r="AB3545" s="195">
        <f t="shared" ca="1" si="779"/>
        <v>0</v>
      </c>
      <c r="AD3545" s="196">
        <f>IFERROR($G3545/SUMIF($A:$A,$A3545,$G:$G)*SUMIF(Summary!$A$166:$A$242,$A3545,Summary!$P$166:$P$242),0)</f>
        <v>0</v>
      </c>
      <c r="AE3545" s="197">
        <f t="shared" ca="1" si="780"/>
        <v>0</v>
      </c>
      <c r="AF3545" s="196">
        <f>IFERROR(G3545/SUMIF(A:A,A3545,G:G)*SUMIF(Summary!$A$166:$A$242,'Operations Support'!A3545,Summary!$Q$166:$Q$242),0)</f>
        <v>0</v>
      </c>
      <c r="AG3545" s="196">
        <f t="shared" ca="1" si="781"/>
        <v>0</v>
      </c>
      <c r="AI3545" s="196">
        <f>IFERROR($G3545/SUMIF($A:$A,$A3545,$G:$G)*SUMIF(Summary!$A$247:$A$283,$A3545,Summary!$P$247:$P$283),0)</f>
        <v>0</v>
      </c>
      <c r="AJ3545" s="196">
        <f>IFERROR($G3545/SUMIF($A:$A,$A3545,$G:$G)*(SUMIF(Summary!$A$247:$A$283,$A3545,Summary!$L$247:$L$283)+SUMIF(Summary!$A$297:$A$333,$A3545,Summary!$L$297:$L$333))-AI3545,0)</f>
        <v>0</v>
      </c>
      <c r="AK3545" s="196">
        <f>IFERROR($G3545/SUMIF($A:$A,$A3545,$G:$G)*SUMIF(Summary!$A$247:$A$283,$A3545,Summary!$Q$247:$Q$283),0)</f>
        <v>0</v>
      </c>
      <c r="AL3545" s="196">
        <f>IFERROR($G3545/SUMIF($A:$A,$A3545,$G:$G)*(SUMIF(Summary!$A$247:$A$283,$A3545,Summary!$L$247:$L$283)+SUMIF(Summary!$A$297:$A$333,$A3545,Summary!$L$297:$L$333))-AK3545,0)</f>
        <v>0</v>
      </c>
      <c r="AM3545" s="198"/>
      <c r="AN3545" s="196">
        <f t="shared" ca="1" si="782"/>
        <v>0</v>
      </c>
      <c r="AO3545" s="196">
        <f t="shared" ca="1" si="783"/>
        <v>0</v>
      </c>
    </row>
    <row r="3546" spans="1:41">
      <c r="A3546" s="189">
        <v>29269</v>
      </c>
      <c r="B3546" s="190">
        <v>4</v>
      </c>
      <c r="C3546" s="191" t="s">
        <v>233</v>
      </c>
      <c r="D3546" s="192">
        <f t="shared" si="770"/>
        <v>0</v>
      </c>
      <c r="E3546" s="192">
        <f t="shared" si="771"/>
        <v>0</v>
      </c>
      <c r="F3546" s="192">
        <f t="shared" si="772"/>
        <v>0</v>
      </c>
      <c r="G3546" s="193">
        <f t="shared" si="773"/>
        <v>0</v>
      </c>
      <c r="H3546" s="194">
        <v>0</v>
      </c>
      <c r="I3546" s="194">
        <v>0</v>
      </c>
      <c r="J3546" s="194">
        <v>0</v>
      </c>
      <c r="K3546" s="193">
        <f t="shared" si="774"/>
        <v>0</v>
      </c>
      <c r="L3546" s="194">
        <v>0</v>
      </c>
      <c r="M3546" s="194">
        <v>0</v>
      </c>
      <c r="N3546" s="194">
        <v>0</v>
      </c>
      <c r="O3546" s="193">
        <f t="shared" si="775"/>
        <v>0</v>
      </c>
      <c r="P3546" s="194">
        <v>0</v>
      </c>
      <c r="Q3546" s="194">
        <v>0</v>
      </c>
      <c r="R3546" s="194">
        <v>0</v>
      </c>
      <c r="S3546" s="193">
        <f t="shared" si="776"/>
        <v>0</v>
      </c>
      <c r="T3546" s="193">
        <f t="shared" si="777"/>
        <v>0</v>
      </c>
      <c r="U3546" s="193">
        <f ca="1">OFFSET('Expenditure Study'!$B$7,'Operations Support'!$C3546,'Operations Support'!$B3546)*$G3546</f>
        <v>0</v>
      </c>
      <c r="V3546" s="199">
        <f ca="1">U3546*'Expenditure Study'!$B$31</f>
        <v>0</v>
      </c>
      <c r="W3546" s="199">
        <f ca="1">IF(A3546=10298,1.51,1)*IF($B3546&lt;3,$D3546*'Expenditure Study'!$B$32*OFFSET('Expenditure Study'!$B$7,'Operations Support'!$C3546,'Operations Support'!$B3546),0)</f>
        <v>0</v>
      </c>
      <c r="X3546" s="200">
        <f ca="1">W3546*'Expenditure Study'!$B$31</f>
        <v>0</v>
      </c>
      <c r="Y3546" s="199">
        <f ca="1">U3546*'Expenditure Study'!$B$31</f>
        <v>0</v>
      </c>
      <c r="Z3546" s="200">
        <f ca="1">W3546*'Expenditure Study'!$B$31</f>
        <v>0</v>
      </c>
      <c r="AA3546" s="195">
        <f t="shared" ca="1" si="778"/>
        <v>0</v>
      </c>
      <c r="AB3546" s="195">
        <f t="shared" ca="1" si="779"/>
        <v>0</v>
      </c>
      <c r="AD3546" s="196">
        <f>IFERROR($G3546/SUMIF($A:$A,$A3546,$G:$G)*SUMIF(Summary!$A$166:$A$242,$A3546,Summary!$P$166:$P$242),0)</f>
        <v>0</v>
      </c>
      <c r="AE3546" s="197">
        <f t="shared" ca="1" si="780"/>
        <v>0</v>
      </c>
      <c r="AF3546" s="196">
        <f>IFERROR(G3546/SUMIF(A:A,A3546,G:G)*SUMIF(Summary!$A$166:$A$242,'Operations Support'!A3546,Summary!$Q$166:$Q$242),0)</f>
        <v>0</v>
      </c>
      <c r="AG3546" s="196">
        <f t="shared" ca="1" si="781"/>
        <v>0</v>
      </c>
      <c r="AI3546" s="196">
        <f>IFERROR($G3546/SUMIF($A:$A,$A3546,$G:$G)*SUMIF(Summary!$A$247:$A$283,$A3546,Summary!$P$247:$P$283),0)</f>
        <v>0</v>
      </c>
      <c r="AJ3546" s="196">
        <f>IFERROR($G3546/SUMIF($A:$A,$A3546,$G:$G)*(SUMIF(Summary!$A$247:$A$283,$A3546,Summary!$L$247:$L$283)+SUMIF(Summary!$A$297:$A$333,$A3546,Summary!$L$297:$L$333))-AI3546,0)</f>
        <v>0</v>
      </c>
      <c r="AK3546" s="196">
        <f>IFERROR($G3546/SUMIF($A:$A,$A3546,$G:$G)*SUMIF(Summary!$A$247:$A$283,$A3546,Summary!$Q$247:$Q$283),0)</f>
        <v>0</v>
      </c>
      <c r="AL3546" s="196">
        <f>IFERROR($G3546/SUMIF($A:$A,$A3546,$G:$G)*(SUMIF(Summary!$A$247:$A$283,$A3546,Summary!$L$247:$L$283)+SUMIF(Summary!$A$297:$A$333,$A3546,Summary!$L$297:$L$333))-AK3546,0)</f>
        <v>0</v>
      </c>
      <c r="AM3546" s="198"/>
      <c r="AN3546" s="196">
        <f t="shared" ca="1" si="782"/>
        <v>0</v>
      </c>
      <c r="AO3546" s="196">
        <f t="shared" ca="1" si="783"/>
        <v>0</v>
      </c>
    </row>
    <row r="3547" spans="1:41">
      <c r="A3547" s="189">
        <v>29269</v>
      </c>
      <c r="B3547" s="190">
        <v>4</v>
      </c>
      <c r="C3547" s="191" t="s">
        <v>234</v>
      </c>
      <c r="D3547" s="192">
        <f t="shared" si="770"/>
        <v>0</v>
      </c>
      <c r="E3547" s="192">
        <f t="shared" si="771"/>
        <v>0</v>
      </c>
      <c r="F3547" s="192">
        <f t="shared" si="772"/>
        <v>0</v>
      </c>
      <c r="G3547" s="193">
        <f t="shared" si="773"/>
        <v>0</v>
      </c>
      <c r="H3547" s="194">
        <v>0</v>
      </c>
      <c r="I3547" s="194">
        <v>0</v>
      </c>
      <c r="J3547" s="194">
        <v>0</v>
      </c>
      <c r="K3547" s="193">
        <f t="shared" si="774"/>
        <v>0</v>
      </c>
      <c r="L3547" s="194">
        <v>0</v>
      </c>
      <c r="M3547" s="194">
        <v>0</v>
      </c>
      <c r="N3547" s="194">
        <v>0</v>
      </c>
      <c r="O3547" s="193">
        <f t="shared" si="775"/>
        <v>0</v>
      </c>
      <c r="P3547" s="194">
        <v>0</v>
      </c>
      <c r="Q3547" s="194">
        <v>0</v>
      </c>
      <c r="R3547" s="194">
        <v>0</v>
      </c>
      <c r="S3547" s="193">
        <f t="shared" si="776"/>
        <v>0</v>
      </c>
      <c r="T3547" s="193">
        <f t="shared" si="777"/>
        <v>0</v>
      </c>
      <c r="U3547" s="193">
        <f ca="1">OFFSET('Expenditure Study'!$B$7,'Operations Support'!$C3547,'Operations Support'!$B3547)*$G3547</f>
        <v>0</v>
      </c>
      <c r="V3547" s="199">
        <f ca="1">U3547*'Expenditure Study'!$B$31</f>
        <v>0</v>
      </c>
      <c r="W3547" s="199">
        <f ca="1">IF(A3547=10298,1.51,1)*IF($B3547&lt;3,$D3547*'Expenditure Study'!$B$32*OFFSET('Expenditure Study'!$B$7,'Operations Support'!$C3547,'Operations Support'!$B3547),0)</f>
        <v>0</v>
      </c>
      <c r="X3547" s="200">
        <f ca="1">W3547*'Expenditure Study'!$B$31</f>
        <v>0</v>
      </c>
      <c r="Y3547" s="199">
        <f ca="1">U3547*'Expenditure Study'!$B$31</f>
        <v>0</v>
      </c>
      <c r="Z3547" s="200">
        <f ca="1">W3547*'Expenditure Study'!$B$31</f>
        <v>0</v>
      </c>
      <c r="AA3547" s="195">
        <f t="shared" ca="1" si="778"/>
        <v>0</v>
      </c>
      <c r="AB3547" s="195">
        <f t="shared" ca="1" si="779"/>
        <v>0</v>
      </c>
      <c r="AD3547" s="196">
        <f>IFERROR($G3547/SUMIF($A:$A,$A3547,$G:$G)*SUMIF(Summary!$A$166:$A$242,$A3547,Summary!$P$166:$P$242),0)</f>
        <v>0</v>
      </c>
      <c r="AE3547" s="197">
        <f t="shared" ca="1" si="780"/>
        <v>0</v>
      </c>
      <c r="AF3547" s="196">
        <f>IFERROR(G3547/SUMIF(A:A,A3547,G:G)*SUMIF(Summary!$A$166:$A$242,'Operations Support'!A3547,Summary!$Q$166:$Q$242),0)</f>
        <v>0</v>
      </c>
      <c r="AG3547" s="196">
        <f t="shared" ca="1" si="781"/>
        <v>0</v>
      </c>
      <c r="AI3547" s="196">
        <f>IFERROR($G3547/SUMIF($A:$A,$A3547,$G:$G)*SUMIF(Summary!$A$247:$A$283,$A3547,Summary!$P$247:$P$283),0)</f>
        <v>0</v>
      </c>
      <c r="AJ3547" s="196">
        <f>IFERROR($G3547/SUMIF($A:$A,$A3547,$G:$G)*(SUMIF(Summary!$A$247:$A$283,$A3547,Summary!$L$247:$L$283)+SUMIF(Summary!$A$297:$A$333,$A3547,Summary!$L$297:$L$333))-AI3547,0)</f>
        <v>0</v>
      </c>
      <c r="AK3547" s="196">
        <f>IFERROR($G3547/SUMIF($A:$A,$A3547,$G:$G)*SUMIF(Summary!$A$247:$A$283,$A3547,Summary!$Q$247:$Q$283),0)</f>
        <v>0</v>
      </c>
      <c r="AL3547" s="196">
        <f>IFERROR($G3547/SUMIF($A:$A,$A3547,$G:$G)*(SUMIF(Summary!$A$247:$A$283,$A3547,Summary!$L$247:$L$283)+SUMIF(Summary!$A$297:$A$333,$A3547,Summary!$L$297:$L$333))-AK3547,0)</f>
        <v>0</v>
      </c>
      <c r="AM3547" s="198"/>
      <c r="AN3547" s="196">
        <f t="shared" ca="1" si="782"/>
        <v>0</v>
      </c>
      <c r="AO3547" s="196">
        <f t="shared" ca="1" si="783"/>
        <v>0</v>
      </c>
    </row>
    <row r="3548" spans="1:41">
      <c r="A3548" s="189">
        <v>29269</v>
      </c>
      <c r="B3548" s="190">
        <v>4</v>
      </c>
      <c r="C3548" s="191" t="s">
        <v>235</v>
      </c>
      <c r="D3548" s="192">
        <f t="shared" si="770"/>
        <v>0</v>
      </c>
      <c r="E3548" s="192">
        <f t="shared" si="771"/>
        <v>0</v>
      </c>
      <c r="F3548" s="192">
        <f t="shared" si="772"/>
        <v>0</v>
      </c>
      <c r="G3548" s="193">
        <f t="shared" si="773"/>
        <v>0</v>
      </c>
      <c r="H3548" s="194">
        <v>0</v>
      </c>
      <c r="I3548" s="194">
        <v>0</v>
      </c>
      <c r="J3548" s="194">
        <v>0</v>
      </c>
      <c r="K3548" s="193">
        <f t="shared" si="774"/>
        <v>0</v>
      </c>
      <c r="L3548" s="194">
        <v>0</v>
      </c>
      <c r="M3548" s="194">
        <v>0</v>
      </c>
      <c r="N3548" s="194">
        <v>0</v>
      </c>
      <c r="O3548" s="193">
        <f t="shared" si="775"/>
        <v>0</v>
      </c>
      <c r="P3548" s="194">
        <v>0</v>
      </c>
      <c r="Q3548" s="194">
        <v>0</v>
      </c>
      <c r="R3548" s="194">
        <v>0</v>
      </c>
      <c r="S3548" s="193">
        <f t="shared" si="776"/>
        <v>0</v>
      </c>
      <c r="T3548" s="193">
        <f t="shared" si="777"/>
        <v>0</v>
      </c>
      <c r="U3548" s="193">
        <f ca="1">OFFSET('Expenditure Study'!$B$7,'Operations Support'!$C3548,'Operations Support'!$B3548)*$G3548</f>
        <v>0</v>
      </c>
      <c r="V3548" s="199">
        <f ca="1">U3548*'Expenditure Study'!$B$31</f>
        <v>0</v>
      </c>
      <c r="W3548" s="199">
        <f ca="1">IF(A3548=10298,1.51,1)*IF($B3548&lt;3,$D3548*'Expenditure Study'!$B$32*OFFSET('Expenditure Study'!$B$7,'Operations Support'!$C3548,'Operations Support'!$B3548),0)</f>
        <v>0</v>
      </c>
      <c r="X3548" s="200">
        <f ca="1">W3548*'Expenditure Study'!$B$31</f>
        <v>0</v>
      </c>
      <c r="Y3548" s="199">
        <f ca="1">U3548*'Expenditure Study'!$B$31</f>
        <v>0</v>
      </c>
      <c r="Z3548" s="200">
        <f ca="1">W3548*'Expenditure Study'!$B$31</f>
        <v>0</v>
      </c>
      <c r="AA3548" s="195">
        <f t="shared" ca="1" si="778"/>
        <v>0</v>
      </c>
      <c r="AB3548" s="195">
        <f t="shared" ca="1" si="779"/>
        <v>0</v>
      </c>
      <c r="AD3548" s="196">
        <f>IFERROR($G3548/SUMIF($A:$A,$A3548,$G:$G)*SUMIF(Summary!$A$166:$A$242,$A3548,Summary!$P$166:$P$242),0)</f>
        <v>0</v>
      </c>
      <c r="AE3548" s="197">
        <f t="shared" ca="1" si="780"/>
        <v>0</v>
      </c>
      <c r="AF3548" s="196">
        <f>IFERROR(G3548/SUMIF(A:A,A3548,G:G)*SUMIF(Summary!$A$166:$A$242,'Operations Support'!A3548,Summary!$Q$166:$Q$242),0)</f>
        <v>0</v>
      </c>
      <c r="AG3548" s="196">
        <f t="shared" ca="1" si="781"/>
        <v>0</v>
      </c>
      <c r="AI3548" s="196">
        <f>IFERROR($G3548/SUMIF($A:$A,$A3548,$G:$G)*SUMIF(Summary!$A$247:$A$283,$A3548,Summary!$P$247:$P$283),0)</f>
        <v>0</v>
      </c>
      <c r="AJ3548" s="196">
        <f>IFERROR($G3548/SUMIF($A:$A,$A3548,$G:$G)*(SUMIF(Summary!$A$247:$A$283,$A3548,Summary!$L$247:$L$283)+SUMIF(Summary!$A$297:$A$333,$A3548,Summary!$L$297:$L$333))-AI3548,0)</f>
        <v>0</v>
      </c>
      <c r="AK3548" s="196">
        <f>IFERROR($G3548/SUMIF($A:$A,$A3548,$G:$G)*SUMIF(Summary!$A$247:$A$283,$A3548,Summary!$Q$247:$Q$283),0)</f>
        <v>0</v>
      </c>
      <c r="AL3548" s="196">
        <f>IFERROR($G3548/SUMIF($A:$A,$A3548,$G:$G)*(SUMIF(Summary!$A$247:$A$283,$A3548,Summary!$L$247:$L$283)+SUMIF(Summary!$A$297:$A$333,$A3548,Summary!$L$297:$L$333))-AK3548,0)</f>
        <v>0</v>
      </c>
      <c r="AM3548" s="198"/>
      <c r="AN3548" s="196">
        <f t="shared" ca="1" si="782"/>
        <v>0</v>
      </c>
      <c r="AO3548" s="196">
        <f t="shared" ca="1" si="783"/>
        <v>0</v>
      </c>
    </row>
    <row r="3549" spans="1:41">
      <c r="A3549" s="189">
        <v>29269</v>
      </c>
      <c r="B3549" s="190">
        <v>4</v>
      </c>
      <c r="C3549" s="191" t="s">
        <v>236</v>
      </c>
      <c r="D3549" s="192">
        <f t="shared" si="770"/>
        <v>0</v>
      </c>
      <c r="E3549" s="192">
        <f t="shared" si="771"/>
        <v>0</v>
      </c>
      <c r="F3549" s="192">
        <f t="shared" si="772"/>
        <v>0</v>
      </c>
      <c r="G3549" s="193">
        <f t="shared" si="773"/>
        <v>0</v>
      </c>
      <c r="H3549" s="194">
        <v>0</v>
      </c>
      <c r="I3549" s="194">
        <v>0</v>
      </c>
      <c r="J3549" s="194">
        <v>0</v>
      </c>
      <c r="K3549" s="193">
        <f t="shared" si="774"/>
        <v>0</v>
      </c>
      <c r="L3549" s="194">
        <v>0</v>
      </c>
      <c r="M3549" s="194">
        <v>0</v>
      </c>
      <c r="N3549" s="194">
        <v>0</v>
      </c>
      <c r="O3549" s="193">
        <f t="shared" si="775"/>
        <v>0</v>
      </c>
      <c r="P3549" s="194">
        <v>0</v>
      </c>
      <c r="Q3549" s="194">
        <v>0</v>
      </c>
      <c r="R3549" s="194">
        <v>0</v>
      </c>
      <c r="S3549" s="193">
        <f t="shared" si="776"/>
        <v>0</v>
      </c>
      <c r="T3549" s="193">
        <f t="shared" si="777"/>
        <v>0</v>
      </c>
      <c r="U3549" s="193">
        <f ca="1">OFFSET('Expenditure Study'!$B$7,'Operations Support'!$C3549,'Operations Support'!$B3549)*$G3549</f>
        <v>0</v>
      </c>
      <c r="V3549" s="199">
        <f ca="1">U3549*'Expenditure Study'!$B$31</f>
        <v>0</v>
      </c>
      <c r="W3549" s="199">
        <f ca="1">IF(A3549=10298,1.51,1)*IF($B3549&lt;3,$D3549*'Expenditure Study'!$B$32*OFFSET('Expenditure Study'!$B$7,'Operations Support'!$C3549,'Operations Support'!$B3549),0)</f>
        <v>0</v>
      </c>
      <c r="X3549" s="200">
        <f ca="1">W3549*'Expenditure Study'!$B$31</f>
        <v>0</v>
      </c>
      <c r="Y3549" s="199">
        <f ca="1">U3549*'Expenditure Study'!$B$31</f>
        <v>0</v>
      </c>
      <c r="Z3549" s="200">
        <f ca="1">W3549*'Expenditure Study'!$B$31</f>
        <v>0</v>
      </c>
      <c r="AA3549" s="195">
        <f t="shared" ca="1" si="778"/>
        <v>0</v>
      </c>
      <c r="AB3549" s="195">
        <f t="shared" ca="1" si="779"/>
        <v>0</v>
      </c>
      <c r="AD3549" s="196">
        <f>IFERROR($G3549/SUMIF($A:$A,$A3549,$G:$G)*SUMIF(Summary!$A$166:$A$242,$A3549,Summary!$P$166:$P$242),0)</f>
        <v>0</v>
      </c>
      <c r="AE3549" s="197">
        <f t="shared" ca="1" si="780"/>
        <v>0</v>
      </c>
      <c r="AF3549" s="196">
        <f>IFERROR(G3549/SUMIF(A:A,A3549,G:G)*SUMIF(Summary!$A$166:$A$242,'Operations Support'!A3549,Summary!$Q$166:$Q$242),0)</f>
        <v>0</v>
      </c>
      <c r="AG3549" s="196">
        <f t="shared" ca="1" si="781"/>
        <v>0</v>
      </c>
      <c r="AI3549" s="196">
        <f>IFERROR($G3549/SUMIF($A:$A,$A3549,$G:$G)*SUMIF(Summary!$A$247:$A$283,$A3549,Summary!$P$247:$P$283),0)</f>
        <v>0</v>
      </c>
      <c r="AJ3549" s="196">
        <f>IFERROR($G3549/SUMIF($A:$A,$A3549,$G:$G)*(SUMIF(Summary!$A$247:$A$283,$A3549,Summary!$L$247:$L$283)+SUMIF(Summary!$A$297:$A$333,$A3549,Summary!$L$297:$L$333))-AI3549,0)</f>
        <v>0</v>
      </c>
      <c r="AK3549" s="196">
        <f>IFERROR($G3549/SUMIF($A:$A,$A3549,$G:$G)*SUMIF(Summary!$A$247:$A$283,$A3549,Summary!$Q$247:$Q$283),0)</f>
        <v>0</v>
      </c>
      <c r="AL3549" s="196">
        <f>IFERROR($G3549/SUMIF($A:$A,$A3549,$G:$G)*(SUMIF(Summary!$A$247:$A$283,$A3549,Summary!$L$247:$L$283)+SUMIF(Summary!$A$297:$A$333,$A3549,Summary!$L$297:$L$333))-AK3549,0)</f>
        <v>0</v>
      </c>
      <c r="AM3549" s="198"/>
      <c r="AN3549" s="196">
        <f t="shared" ca="1" si="782"/>
        <v>0</v>
      </c>
      <c r="AO3549" s="196">
        <f t="shared" ca="1" si="783"/>
        <v>0</v>
      </c>
    </row>
    <row r="3550" spans="1:41">
      <c r="A3550" s="189">
        <v>29269</v>
      </c>
      <c r="B3550" s="190">
        <v>4</v>
      </c>
      <c r="C3550" s="191" t="s">
        <v>237</v>
      </c>
      <c r="D3550" s="192">
        <f t="shared" si="770"/>
        <v>0</v>
      </c>
      <c r="E3550" s="192">
        <f t="shared" si="771"/>
        <v>0</v>
      </c>
      <c r="F3550" s="192">
        <f t="shared" si="772"/>
        <v>0</v>
      </c>
      <c r="G3550" s="193">
        <f t="shared" si="773"/>
        <v>0</v>
      </c>
      <c r="H3550" s="194">
        <v>0</v>
      </c>
      <c r="I3550" s="194">
        <v>0</v>
      </c>
      <c r="J3550" s="194">
        <v>0</v>
      </c>
      <c r="K3550" s="193">
        <f t="shared" si="774"/>
        <v>0</v>
      </c>
      <c r="L3550" s="194">
        <v>0</v>
      </c>
      <c r="M3550" s="194">
        <v>0</v>
      </c>
      <c r="N3550" s="194">
        <v>0</v>
      </c>
      <c r="O3550" s="193">
        <f t="shared" si="775"/>
        <v>0</v>
      </c>
      <c r="P3550" s="194">
        <v>0</v>
      </c>
      <c r="Q3550" s="194">
        <v>0</v>
      </c>
      <c r="R3550" s="194">
        <v>0</v>
      </c>
      <c r="S3550" s="193">
        <f t="shared" si="776"/>
        <v>0</v>
      </c>
      <c r="T3550" s="193">
        <f t="shared" si="777"/>
        <v>0</v>
      </c>
      <c r="U3550" s="193">
        <f ca="1">OFFSET('Expenditure Study'!$B$7,'Operations Support'!$C3550,'Operations Support'!$B3550)*$G3550</f>
        <v>0</v>
      </c>
      <c r="V3550" s="199">
        <f ca="1">U3550*'Expenditure Study'!$B$31</f>
        <v>0</v>
      </c>
      <c r="W3550" s="199">
        <f ca="1">IF(A3550=10298,1.51,1)*IF($B3550&lt;3,$D3550*'Expenditure Study'!$B$32*OFFSET('Expenditure Study'!$B$7,'Operations Support'!$C3550,'Operations Support'!$B3550),0)</f>
        <v>0</v>
      </c>
      <c r="X3550" s="200">
        <f ca="1">W3550*'Expenditure Study'!$B$31</f>
        <v>0</v>
      </c>
      <c r="Y3550" s="199">
        <f ca="1">U3550*'Expenditure Study'!$B$31</f>
        <v>0</v>
      </c>
      <c r="Z3550" s="200">
        <f ca="1">W3550*'Expenditure Study'!$B$31</f>
        <v>0</v>
      </c>
      <c r="AA3550" s="195">
        <f t="shared" ca="1" si="778"/>
        <v>0</v>
      </c>
      <c r="AB3550" s="195">
        <f t="shared" ca="1" si="779"/>
        <v>0</v>
      </c>
      <c r="AD3550" s="196">
        <f>IFERROR($G3550/SUMIF($A:$A,$A3550,$G:$G)*SUMIF(Summary!$A$166:$A$242,$A3550,Summary!$P$166:$P$242),0)</f>
        <v>0</v>
      </c>
      <c r="AE3550" s="197">
        <f t="shared" ca="1" si="780"/>
        <v>0</v>
      </c>
      <c r="AF3550" s="196">
        <f>IFERROR(G3550/SUMIF(A:A,A3550,G:G)*SUMIF(Summary!$A$166:$A$242,'Operations Support'!A3550,Summary!$Q$166:$Q$242),0)</f>
        <v>0</v>
      </c>
      <c r="AG3550" s="196">
        <f t="shared" ca="1" si="781"/>
        <v>0</v>
      </c>
      <c r="AI3550" s="196">
        <f>IFERROR($G3550/SUMIF($A:$A,$A3550,$G:$G)*SUMIF(Summary!$A$247:$A$283,$A3550,Summary!$P$247:$P$283),0)</f>
        <v>0</v>
      </c>
      <c r="AJ3550" s="196">
        <f>IFERROR($G3550/SUMIF($A:$A,$A3550,$G:$G)*(SUMIF(Summary!$A$247:$A$283,$A3550,Summary!$L$247:$L$283)+SUMIF(Summary!$A$297:$A$333,$A3550,Summary!$L$297:$L$333))-AI3550,0)</f>
        <v>0</v>
      </c>
      <c r="AK3550" s="196">
        <f>IFERROR($G3550/SUMIF($A:$A,$A3550,$G:$G)*SUMIF(Summary!$A$247:$A$283,$A3550,Summary!$Q$247:$Q$283),0)</f>
        <v>0</v>
      </c>
      <c r="AL3550" s="196">
        <f>IFERROR($G3550/SUMIF($A:$A,$A3550,$G:$G)*(SUMIF(Summary!$A$247:$A$283,$A3550,Summary!$L$247:$L$283)+SUMIF(Summary!$A$297:$A$333,$A3550,Summary!$L$297:$L$333))-AK3550,0)</f>
        <v>0</v>
      </c>
      <c r="AM3550" s="198"/>
      <c r="AN3550" s="196">
        <f t="shared" ca="1" si="782"/>
        <v>0</v>
      </c>
      <c r="AO3550" s="196">
        <f t="shared" ca="1" si="783"/>
        <v>0</v>
      </c>
    </row>
    <row r="3551" spans="1:41">
      <c r="A3551" s="189">
        <v>29269</v>
      </c>
      <c r="B3551" s="190">
        <v>4</v>
      </c>
      <c r="C3551" s="191" t="s">
        <v>238</v>
      </c>
      <c r="D3551" s="192">
        <f t="shared" si="770"/>
        <v>0</v>
      </c>
      <c r="E3551" s="192">
        <f t="shared" si="771"/>
        <v>0</v>
      </c>
      <c r="F3551" s="192">
        <f t="shared" si="772"/>
        <v>0</v>
      </c>
      <c r="G3551" s="193">
        <f t="shared" si="773"/>
        <v>0</v>
      </c>
      <c r="H3551" s="194">
        <v>0</v>
      </c>
      <c r="I3551" s="194">
        <v>0</v>
      </c>
      <c r="J3551" s="194">
        <v>0</v>
      </c>
      <c r="K3551" s="193">
        <f t="shared" si="774"/>
        <v>0</v>
      </c>
      <c r="L3551" s="194">
        <v>0</v>
      </c>
      <c r="M3551" s="194">
        <v>0</v>
      </c>
      <c r="N3551" s="194">
        <v>0</v>
      </c>
      <c r="O3551" s="193">
        <f t="shared" si="775"/>
        <v>0</v>
      </c>
      <c r="P3551" s="194">
        <v>0</v>
      </c>
      <c r="Q3551" s="194">
        <v>0</v>
      </c>
      <c r="R3551" s="194">
        <v>0</v>
      </c>
      <c r="S3551" s="193">
        <f t="shared" si="776"/>
        <v>0</v>
      </c>
      <c r="T3551" s="193">
        <f t="shared" si="777"/>
        <v>0</v>
      </c>
      <c r="U3551" s="193">
        <f ca="1">OFFSET('Expenditure Study'!$B$7,'Operations Support'!$C3551,'Operations Support'!$B3551)*$G3551</f>
        <v>0</v>
      </c>
      <c r="V3551" s="199">
        <f ca="1">U3551*'Expenditure Study'!$B$31</f>
        <v>0</v>
      </c>
      <c r="W3551" s="199">
        <f ca="1">IF(A3551=10298,1.51,1)*IF($B3551&lt;3,$D3551*'Expenditure Study'!$B$32*OFFSET('Expenditure Study'!$B$7,'Operations Support'!$C3551,'Operations Support'!$B3551),0)</f>
        <v>0</v>
      </c>
      <c r="X3551" s="200">
        <f ca="1">W3551*'Expenditure Study'!$B$31</f>
        <v>0</v>
      </c>
      <c r="Y3551" s="199">
        <f ca="1">U3551*'Expenditure Study'!$B$31</f>
        <v>0</v>
      </c>
      <c r="Z3551" s="200">
        <f ca="1">W3551*'Expenditure Study'!$B$31</f>
        <v>0</v>
      </c>
      <c r="AA3551" s="195">
        <f t="shared" ca="1" si="778"/>
        <v>0</v>
      </c>
      <c r="AB3551" s="195">
        <f t="shared" ca="1" si="779"/>
        <v>0</v>
      </c>
      <c r="AD3551" s="196">
        <f>IFERROR($G3551/SUMIF($A:$A,$A3551,$G:$G)*SUMIF(Summary!$A$166:$A$242,$A3551,Summary!$P$166:$P$242),0)</f>
        <v>0</v>
      </c>
      <c r="AE3551" s="197">
        <f t="shared" ca="1" si="780"/>
        <v>0</v>
      </c>
      <c r="AF3551" s="196">
        <f>IFERROR(G3551/SUMIF(A:A,A3551,G:G)*SUMIF(Summary!$A$166:$A$242,'Operations Support'!A3551,Summary!$Q$166:$Q$242),0)</f>
        <v>0</v>
      </c>
      <c r="AG3551" s="196">
        <f t="shared" ca="1" si="781"/>
        <v>0</v>
      </c>
      <c r="AI3551" s="196">
        <f>IFERROR($G3551/SUMIF($A:$A,$A3551,$G:$G)*SUMIF(Summary!$A$247:$A$283,$A3551,Summary!$P$247:$P$283),0)</f>
        <v>0</v>
      </c>
      <c r="AJ3551" s="196">
        <f>IFERROR($G3551/SUMIF($A:$A,$A3551,$G:$G)*(SUMIF(Summary!$A$247:$A$283,$A3551,Summary!$L$247:$L$283)+SUMIF(Summary!$A$297:$A$333,$A3551,Summary!$L$297:$L$333))-AI3551,0)</f>
        <v>0</v>
      </c>
      <c r="AK3551" s="196">
        <f>IFERROR($G3551/SUMIF($A:$A,$A3551,$G:$G)*SUMIF(Summary!$A$247:$A$283,$A3551,Summary!$Q$247:$Q$283),0)</f>
        <v>0</v>
      </c>
      <c r="AL3551" s="196">
        <f>IFERROR($G3551/SUMIF($A:$A,$A3551,$G:$G)*(SUMIF(Summary!$A$247:$A$283,$A3551,Summary!$L$247:$L$283)+SUMIF(Summary!$A$297:$A$333,$A3551,Summary!$L$297:$L$333))-AK3551,0)</f>
        <v>0</v>
      </c>
      <c r="AM3551" s="198"/>
      <c r="AN3551" s="196">
        <f t="shared" ca="1" si="782"/>
        <v>0</v>
      </c>
      <c r="AO3551" s="196">
        <f t="shared" ca="1" si="783"/>
        <v>0</v>
      </c>
    </row>
    <row r="3552" spans="1:41">
      <c r="A3552" s="189">
        <v>29269</v>
      </c>
      <c r="B3552" s="190">
        <v>4</v>
      </c>
      <c r="C3552" s="191" t="s">
        <v>239</v>
      </c>
      <c r="D3552" s="192">
        <f t="shared" si="770"/>
        <v>0</v>
      </c>
      <c r="E3552" s="192">
        <f t="shared" si="771"/>
        <v>0</v>
      </c>
      <c r="F3552" s="192">
        <f t="shared" si="772"/>
        <v>0</v>
      </c>
      <c r="G3552" s="193">
        <f t="shared" si="773"/>
        <v>0</v>
      </c>
      <c r="H3552" s="194">
        <v>0</v>
      </c>
      <c r="I3552" s="194">
        <v>0</v>
      </c>
      <c r="J3552" s="194">
        <v>0</v>
      </c>
      <c r="K3552" s="193">
        <f t="shared" si="774"/>
        <v>0</v>
      </c>
      <c r="L3552" s="194">
        <v>0</v>
      </c>
      <c r="M3552" s="194">
        <v>0</v>
      </c>
      <c r="N3552" s="194">
        <v>0</v>
      </c>
      <c r="O3552" s="193">
        <f t="shared" si="775"/>
        <v>0</v>
      </c>
      <c r="P3552" s="194">
        <v>0</v>
      </c>
      <c r="Q3552" s="194">
        <v>0</v>
      </c>
      <c r="R3552" s="194">
        <v>0</v>
      </c>
      <c r="S3552" s="193">
        <f t="shared" si="776"/>
        <v>0</v>
      </c>
      <c r="T3552" s="193">
        <f t="shared" si="777"/>
        <v>0</v>
      </c>
      <c r="U3552" s="193">
        <f ca="1">OFFSET('Expenditure Study'!$B$7,'Operations Support'!$C3552,'Operations Support'!$B3552)*$G3552</f>
        <v>0</v>
      </c>
      <c r="V3552" s="199">
        <f ca="1">U3552*'Expenditure Study'!$B$31</f>
        <v>0</v>
      </c>
      <c r="W3552" s="199">
        <f ca="1">IF(A3552=10298,1.51,1)*IF($B3552&lt;3,$D3552*'Expenditure Study'!$B$32*OFFSET('Expenditure Study'!$B$7,'Operations Support'!$C3552,'Operations Support'!$B3552),0)</f>
        <v>0</v>
      </c>
      <c r="X3552" s="200">
        <f ca="1">W3552*'Expenditure Study'!$B$31</f>
        <v>0</v>
      </c>
      <c r="Y3552" s="199">
        <f ca="1">U3552*'Expenditure Study'!$B$31</f>
        <v>0</v>
      </c>
      <c r="Z3552" s="200">
        <f ca="1">W3552*'Expenditure Study'!$B$31</f>
        <v>0</v>
      </c>
      <c r="AA3552" s="195">
        <f t="shared" ca="1" si="778"/>
        <v>0</v>
      </c>
      <c r="AB3552" s="195">
        <f t="shared" ca="1" si="779"/>
        <v>0</v>
      </c>
      <c r="AD3552" s="196">
        <f>IFERROR($G3552/SUMIF($A:$A,$A3552,$G:$G)*SUMIF(Summary!$A$166:$A$242,$A3552,Summary!$P$166:$P$242),0)</f>
        <v>0</v>
      </c>
      <c r="AE3552" s="197">
        <f t="shared" ca="1" si="780"/>
        <v>0</v>
      </c>
      <c r="AF3552" s="196">
        <f>IFERROR(G3552/SUMIF(A:A,A3552,G:G)*SUMIF(Summary!$A$166:$A$242,'Operations Support'!A3552,Summary!$Q$166:$Q$242),0)</f>
        <v>0</v>
      </c>
      <c r="AG3552" s="196">
        <f t="shared" ca="1" si="781"/>
        <v>0</v>
      </c>
      <c r="AI3552" s="196">
        <f>IFERROR($G3552/SUMIF($A:$A,$A3552,$G:$G)*SUMIF(Summary!$A$247:$A$283,$A3552,Summary!$P$247:$P$283),0)</f>
        <v>0</v>
      </c>
      <c r="AJ3552" s="196">
        <f>IFERROR($G3552/SUMIF($A:$A,$A3552,$G:$G)*(SUMIF(Summary!$A$247:$A$283,$A3552,Summary!$L$247:$L$283)+SUMIF(Summary!$A$297:$A$333,$A3552,Summary!$L$297:$L$333))-AI3552,0)</f>
        <v>0</v>
      </c>
      <c r="AK3552" s="196">
        <f>IFERROR($G3552/SUMIF($A:$A,$A3552,$G:$G)*SUMIF(Summary!$A$247:$A$283,$A3552,Summary!$Q$247:$Q$283),0)</f>
        <v>0</v>
      </c>
      <c r="AL3552" s="196">
        <f>IFERROR($G3552/SUMIF($A:$A,$A3552,$G:$G)*(SUMIF(Summary!$A$247:$A$283,$A3552,Summary!$L$247:$L$283)+SUMIF(Summary!$A$297:$A$333,$A3552,Summary!$L$297:$L$333))-AK3552,0)</f>
        <v>0</v>
      </c>
      <c r="AM3552" s="198"/>
      <c r="AN3552" s="196">
        <f t="shared" ca="1" si="782"/>
        <v>0</v>
      </c>
      <c r="AO3552" s="196">
        <f t="shared" ca="1" si="783"/>
        <v>0</v>
      </c>
    </row>
    <row r="3553" spans="1:41">
      <c r="A3553" s="189">
        <v>29269</v>
      </c>
      <c r="B3553" s="190">
        <v>4</v>
      </c>
      <c r="C3553" s="191" t="s">
        <v>240</v>
      </c>
      <c r="D3553" s="192">
        <f t="shared" si="770"/>
        <v>0</v>
      </c>
      <c r="E3553" s="192">
        <f t="shared" si="771"/>
        <v>0</v>
      </c>
      <c r="F3553" s="192">
        <f t="shared" si="772"/>
        <v>0</v>
      </c>
      <c r="G3553" s="193">
        <f t="shared" si="773"/>
        <v>0</v>
      </c>
      <c r="H3553" s="194">
        <v>0</v>
      </c>
      <c r="I3553" s="194">
        <v>0</v>
      </c>
      <c r="J3553" s="194">
        <v>0</v>
      </c>
      <c r="K3553" s="193">
        <f t="shared" si="774"/>
        <v>0</v>
      </c>
      <c r="L3553" s="194">
        <v>0</v>
      </c>
      <c r="M3553" s="194">
        <v>0</v>
      </c>
      <c r="N3553" s="194">
        <v>0</v>
      </c>
      <c r="O3553" s="193">
        <f t="shared" si="775"/>
        <v>0</v>
      </c>
      <c r="P3553" s="194">
        <v>0</v>
      </c>
      <c r="Q3553" s="194">
        <v>0</v>
      </c>
      <c r="R3553" s="194">
        <v>0</v>
      </c>
      <c r="S3553" s="193">
        <f t="shared" si="776"/>
        <v>0</v>
      </c>
      <c r="T3553" s="193">
        <f t="shared" si="777"/>
        <v>0</v>
      </c>
      <c r="U3553" s="193">
        <f ca="1">OFFSET('Expenditure Study'!$B$7,'Operations Support'!$C3553,'Operations Support'!$B3553)*$G3553</f>
        <v>0</v>
      </c>
      <c r="V3553" s="199">
        <f ca="1">U3553*'Expenditure Study'!$B$31</f>
        <v>0</v>
      </c>
      <c r="W3553" s="199">
        <f ca="1">IF(A3553=10298,1.51,1)*IF($B3553&lt;3,$D3553*'Expenditure Study'!$B$32*OFFSET('Expenditure Study'!$B$7,'Operations Support'!$C3553,'Operations Support'!$B3553),0)</f>
        <v>0</v>
      </c>
      <c r="X3553" s="200">
        <f ca="1">W3553*'Expenditure Study'!$B$31</f>
        <v>0</v>
      </c>
      <c r="Y3553" s="199">
        <f ca="1">U3553*'Expenditure Study'!$B$31</f>
        <v>0</v>
      </c>
      <c r="Z3553" s="200">
        <f ca="1">W3553*'Expenditure Study'!$B$31</f>
        <v>0</v>
      </c>
      <c r="AA3553" s="195">
        <f t="shared" ca="1" si="778"/>
        <v>0</v>
      </c>
      <c r="AB3553" s="195">
        <f t="shared" ca="1" si="779"/>
        <v>0</v>
      </c>
      <c r="AD3553" s="196">
        <f>IFERROR($G3553/SUMIF($A:$A,$A3553,$G:$G)*SUMIF(Summary!$A$166:$A$242,$A3553,Summary!$P$166:$P$242),0)</f>
        <v>0</v>
      </c>
      <c r="AE3553" s="197">
        <f t="shared" ca="1" si="780"/>
        <v>0</v>
      </c>
      <c r="AF3553" s="196">
        <f>IFERROR(G3553/SUMIF(A:A,A3553,G:G)*SUMIF(Summary!$A$166:$A$242,'Operations Support'!A3553,Summary!$Q$166:$Q$242),0)</f>
        <v>0</v>
      </c>
      <c r="AG3553" s="196">
        <f t="shared" ca="1" si="781"/>
        <v>0</v>
      </c>
      <c r="AI3553" s="196">
        <f>IFERROR($G3553/SUMIF($A:$A,$A3553,$G:$G)*SUMIF(Summary!$A$247:$A$283,$A3553,Summary!$P$247:$P$283),0)</f>
        <v>0</v>
      </c>
      <c r="AJ3553" s="196">
        <f>IFERROR($G3553/SUMIF($A:$A,$A3553,$G:$G)*(SUMIF(Summary!$A$247:$A$283,$A3553,Summary!$L$247:$L$283)+SUMIF(Summary!$A$297:$A$333,$A3553,Summary!$L$297:$L$333))-AI3553,0)</f>
        <v>0</v>
      </c>
      <c r="AK3553" s="196">
        <f>IFERROR($G3553/SUMIF($A:$A,$A3553,$G:$G)*SUMIF(Summary!$A$247:$A$283,$A3553,Summary!$Q$247:$Q$283),0)</f>
        <v>0</v>
      </c>
      <c r="AL3553" s="196">
        <f>IFERROR($G3553/SUMIF($A:$A,$A3553,$G:$G)*(SUMIF(Summary!$A$247:$A$283,$A3553,Summary!$L$247:$L$283)+SUMIF(Summary!$A$297:$A$333,$A3553,Summary!$L$297:$L$333))-AK3553,0)</f>
        <v>0</v>
      </c>
      <c r="AM3553" s="198"/>
      <c r="AN3553" s="196">
        <f t="shared" ca="1" si="782"/>
        <v>0</v>
      </c>
      <c r="AO3553" s="196">
        <f t="shared" ca="1" si="783"/>
        <v>0</v>
      </c>
    </row>
    <row r="3554" spans="1:41">
      <c r="A3554" s="189">
        <v>29269</v>
      </c>
      <c r="B3554" s="190">
        <v>5</v>
      </c>
      <c r="C3554" s="191" t="s">
        <v>220</v>
      </c>
      <c r="D3554" s="192">
        <f t="shared" si="770"/>
        <v>0</v>
      </c>
      <c r="E3554" s="192">
        <f t="shared" si="771"/>
        <v>0</v>
      </c>
      <c r="F3554" s="192">
        <f t="shared" si="772"/>
        <v>0</v>
      </c>
      <c r="G3554" s="193">
        <f t="shared" si="773"/>
        <v>0</v>
      </c>
      <c r="H3554" s="194">
        <v>0</v>
      </c>
      <c r="I3554" s="194">
        <v>0</v>
      </c>
      <c r="J3554" s="194">
        <v>0</v>
      </c>
      <c r="K3554" s="193">
        <f t="shared" si="774"/>
        <v>0</v>
      </c>
      <c r="L3554" s="194">
        <v>0</v>
      </c>
      <c r="M3554" s="194">
        <v>0</v>
      </c>
      <c r="N3554" s="194">
        <v>0</v>
      </c>
      <c r="O3554" s="193">
        <f t="shared" si="775"/>
        <v>0</v>
      </c>
      <c r="P3554" s="194">
        <v>0</v>
      </c>
      <c r="Q3554" s="194">
        <v>0</v>
      </c>
      <c r="R3554" s="194">
        <v>0</v>
      </c>
      <c r="S3554" s="193">
        <f t="shared" si="776"/>
        <v>0</v>
      </c>
      <c r="T3554" s="193">
        <f t="shared" si="777"/>
        <v>0</v>
      </c>
      <c r="U3554" s="193">
        <f ca="1">OFFSET('Expenditure Study'!$B$7,'Operations Support'!$C3554,'Operations Support'!$B3554)*$G3554</f>
        <v>0</v>
      </c>
      <c r="V3554" s="199">
        <f ca="1">U3554*'Expenditure Study'!$B$31</f>
        <v>0</v>
      </c>
      <c r="W3554" s="199">
        <f ca="1">IF(A3554=10298,1.51,1)*IF($B3554&lt;3,$D3554*'Expenditure Study'!$B$32*OFFSET('Expenditure Study'!$B$7,'Operations Support'!$C3554,'Operations Support'!$B3554),0)</f>
        <v>0</v>
      </c>
      <c r="X3554" s="200">
        <f ca="1">W3554*'Expenditure Study'!$B$31</f>
        <v>0</v>
      </c>
      <c r="Y3554" s="199">
        <f ca="1">U3554*'Expenditure Study'!$B$31</f>
        <v>0</v>
      </c>
      <c r="Z3554" s="200">
        <f ca="1">W3554*'Expenditure Study'!$B$31</f>
        <v>0</v>
      </c>
      <c r="AA3554" s="195">
        <f t="shared" ca="1" si="778"/>
        <v>0</v>
      </c>
      <c r="AB3554" s="195">
        <f t="shared" ca="1" si="779"/>
        <v>0</v>
      </c>
      <c r="AD3554" s="196">
        <f>IFERROR($G3554/SUMIF($A:$A,$A3554,$G:$G)*SUMIF(Summary!$A$166:$A$242,$A3554,Summary!$P$166:$P$242),0)</f>
        <v>0</v>
      </c>
      <c r="AE3554" s="197">
        <f t="shared" ca="1" si="780"/>
        <v>0</v>
      </c>
      <c r="AF3554" s="196">
        <f>IFERROR(G3554/SUMIF(A:A,A3554,G:G)*SUMIF(Summary!$A$166:$A$242,'Operations Support'!A3554,Summary!$Q$166:$Q$242),0)</f>
        <v>0</v>
      </c>
      <c r="AG3554" s="196">
        <f t="shared" ca="1" si="781"/>
        <v>0</v>
      </c>
      <c r="AI3554" s="196">
        <f>IFERROR($G3554/SUMIF($A:$A,$A3554,$G:$G)*SUMIF(Summary!$A$247:$A$283,$A3554,Summary!$P$247:$P$283),0)</f>
        <v>0</v>
      </c>
      <c r="AJ3554" s="196">
        <f>IFERROR($G3554/SUMIF($A:$A,$A3554,$G:$G)*(SUMIF(Summary!$A$247:$A$283,$A3554,Summary!$L$247:$L$283)+SUMIF(Summary!$A$297:$A$333,$A3554,Summary!$L$297:$L$333))-AI3554,0)</f>
        <v>0</v>
      </c>
      <c r="AK3554" s="196">
        <f>IFERROR($G3554/SUMIF($A:$A,$A3554,$G:$G)*SUMIF(Summary!$A$247:$A$283,$A3554,Summary!$Q$247:$Q$283),0)</f>
        <v>0</v>
      </c>
      <c r="AL3554" s="196">
        <f>IFERROR($G3554/SUMIF($A:$A,$A3554,$G:$G)*(SUMIF(Summary!$A$247:$A$283,$A3554,Summary!$L$247:$L$283)+SUMIF(Summary!$A$297:$A$333,$A3554,Summary!$L$297:$L$333))-AK3554,0)</f>
        <v>0</v>
      </c>
      <c r="AM3554" s="198"/>
      <c r="AN3554" s="196">
        <f t="shared" ca="1" si="782"/>
        <v>0</v>
      </c>
      <c r="AO3554" s="196">
        <f t="shared" ca="1" si="783"/>
        <v>0</v>
      </c>
    </row>
    <row r="3555" spans="1:41" s="201" customFormat="1">
      <c r="A3555" s="189">
        <v>29269</v>
      </c>
      <c r="B3555" s="190">
        <v>5</v>
      </c>
      <c r="C3555" s="191" t="s">
        <v>221</v>
      </c>
      <c r="D3555" s="192">
        <f t="shared" si="770"/>
        <v>0</v>
      </c>
      <c r="E3555" s="192">
        <f t="shared" si="771"/>
        <v>0</v>
      </c>
      <c r="F3555" s="192">
        <f t="shared" si="772"/>
        <v>0</v>
      </c>
      <c r="G3555" s="193">
        <f t="shared" si="773"/>
        <v>0</v>
      </c>
      <c r="H3555" s="194">
        <v>0</v>
      </c>
      <c r="I3555" s="194">
        <v>0</v>
      </c>
      <c r="J3555" s="194">
        <v>0</v>
      </c>
      <c r="K3555" s="193">
        <f t="shared" si="774"/>
        <v>0</v>
      </c>
      <c r="L3555" s="194">
        <v>0</v>
      </c>
      <c r="M3555" s="194">
        <v>0</v>
      </c>
      <c r="N3555" s="194">
        <v>0</v>
      </c>
      <c r="O3555" s="193">
        <f t="shared" si="775"/>
        <v>0</v>
      </c>
      <c r="P3555" s="194">
        <v>0</v>
      </c>
      <c r="Q3555" s="194">
        <v>0</v>
      </c>
      <c r="R3555" s="194">
        <v>0</v>
      </c>
      <c r="S3555" s="193">
        <f t="shared" si="776"/>
        <v>0</v>
      </c>
      <c r="T3555" s="193">
        <f t="shared" si="777"/>
        <v>0</v>
      </c>
      <c r="U3555" s="193">
        <f ca="1">OFFSET('Expenditure Study'!$B$7,'Operations Support'!$C3555,'Operations Support'!$B3555)*$G3555</f>
        <v>0</v>
      </c>
      <c r="V3555" s="199">
        <f ca="1">U3555*'Expenditure Study'!$B$31</f>
        <v>0</v>
      </c>
      <c r="W3555" s="199">
        <f ca="1">IF(A3555=10298,1.51,1)*IF($B3555&lt;3,$D3555*'Expenditure Study'!$B$32*OFFSET('Expenditure Study'!$B$7,'Operations Support'!$C3555,'Operations Support'!$B3555),0)</f>
        <v>0</v>
      </c>
      <c r="X3555" s="200">
        <f ca="1">W3555*'Expenditure Study'!$B$31</f>
        <v>0</v>
      </c>
      <c r="Y3555" s="199">
        <f ca="1">U3555*'Expenditure Study'!$B$31</f>
        <v>0</v>
      </c>
      <c r="Z3555" s="200">
        <f ca="1">W3555*'Expenditure Study'!$B$31</f>
        <v>0</v>
      </c>
      <c r="AA3555" s="195">
        <f t="shared" ca="1" si="778"/>
        <v>0</v>
      </c>
      <c r="AB3555" s="195">
        <f t="shared" ca="1" si="779"/>
        <v>0</v>
      </c>
      <c r="AD3555" s="196">
        <f>IFERROR($G3555/SUMIF($A:$A,$A3555,$G:$G)*SUMIF(Summary!$A$166:$A$242,$A3555,Summary!$P$166:$P$242),0)</f>
        <v>0</v>
      </c>
      <c r="AE3555" s="197">
        <f t="shared" ca="1" si="780"/>
        <v>0</v>
      </c>
      <c r="AF3555" s="196">
        <f>IFERROR(G3555/SUMIF(A:A,A3555,G:G)*SUMIF(Summary!$A$166:$A$242,'Operations Support'!A3555,Summary!$Q$166:$Q$242),0)</f>
        <v>0</v>
      </c>
      <c r="AG3555" s="196">
        <f t="shared" ca="1" si="781"/>
        <v>0</v>
      </c>
      <c r="AH3555" s="180"/>
      <c r="AI3555" s="196">
        <f>IFERROR($G3555/SUMIF($A:$A,$A3555,$G:$G)*SUMIF(Summary!$A$247:$A$283,$A3555,Summary!$P$247:$P$283),0)</f>
        <v>0</v>
      </c>
      <c r="AJ3555" s="196">
        <f>IFERROR($G3555/SUMIF($A:$A,$A3555,$G:$G)*(SUMIF(Summary!$A$247:$A$283,$A3555,Summary!$L$247:$L$283)+SUMIF(Summary!$A$297:$A$333,$A3555,Summary!$L$297:$L$333))-AI3555,0)</f>
        <v>0</v>
      </c>
      <c r="AK3555" s="196">
        <f>IFERROR($G3555/SUMIF($A:$A,$A3555,$G:$G)*SUMIF(Summary!$A$247:$A$283,$A3555,Summary!$Q$247:$Q$283),0)</f>
        <v>0</v>
      </c>
      <c r="AL3555" s="196">
        <f>IFERROR($G3555/SUMIF($A:$A,$A3555,$G:$G)*(SUMIF(Summary!$A$247:$A$283,$A3555,Summary!$L$247:$L$283)+SUMIF(Summary!$A$297:$A$333,$A3555,Summary!$L$297:$L$333))-AK3555,0)</f>
        <v>0</v>
      </c>
      <c r="AM3555" s="198"/>
      <c r="AN3555" s="196">
        <f t="shared" ca="1" si="782"/>
        <v>0</v>
      </c>
      <c r="AO3555" s="196">
        <f t="shared" ca="1" si="783"/>
        <v>0</v>
      </c>
    </row>
    <row r="3556" spans="1:41" s="201" customFormat="1">
      <c r="A3556" s="189">
        <v>29269</v>
      </c>
      <c r="B3556" s="190">
        <v>5</v>
      </c>
      <c r="C3556" s="191" t="s">
        <v>222</v>
      </c>
      <c r="D3556" s="192">
        <f t="shared" si="770"/>
        <v>0</v>
      </c>
      <c r="E3556" s="192">
        <f t="shared" si="771"/>
        <v>0</v>
      </c>
      <c r="F3556" s="192">
        <f t="shared" si="772"/>
        <v>0</v>
      </c>
      <c r="G3556" s="193">
        <f t="shared" si="773"/>
        <v>0</v>
      </c>
      <c r="H3556" s="194">
        <v>0</v>
      </c>
      <c r="I3556" s="194">
        <v>0</v>
      </c>
      <c r="J3556" s="194">
        <v>0</v>
      </c>
      <c r="K3556" s="193">
        <f t="shared" si="774"/>
        <v>0</v>
      </c>
      <c r="L3556" s="194">
        <v>0</v>
      </c>
      <c r="M3556" s="194">
        <v>0</v>
      </c>
      <c r="N3556" s="194">
        <v>0</v>
      </c>
      <c r="O3556" s="193">
        <f t="shared" si="775"/>
        <v>0</v>
      </c>
      <c r="P3556" s="194">
        <v>0</v>
      </c>
      <c r="Q3556" s="194">
        <v>0</v>
      </c>
      <c r="R3556" s="194">
        <v>0</v>
      </c>
      <c r="S3556" s="193">
        <f t="shared" si="776"/>
        <v>0</v>
      </c>
      <c r="T3556" s="193">
        <f t="shared" si="777"/>
        <v>0</v>
      </c>
      <c r="U3556" s="193">
        <f ca="1">OFFSET('Expenditure Study'!$B$7,'Operations Support'!$C3556,'Operations Support'!$B3556)*$G3556</f>
        <v>0</v>
      </c>
      <c r="V3556" s="199">
        <f ca="1">U3556*'Expenditure Study'!$B$31</f>
        <v>0</v>
      </c>
      <c r="W3556" s="199">
        <f ca="1">IF(A3556=10298,1.51,1)*IF($B3556&lt;3,$D3556*'Expenditure Study'!$B$32*OFFSET('Expenditure Study'!$B$7,'Operations Support'!$C3556,'Operations Support'!$B3556),0)</f>
        <v>0</v>
      </c>
      <c r="X3556" s="200">
        <f ca="1">W3556*'Expenditure Study'!$B$31</f>
        <v>0</v>
      </c>
      <c r="Y3556" s="199">
        <f ca="1">U3556*'Expenditure Study'!$B$31</f>
        <v>0</v>
      </c>
      <c r="Z3556" s="200">
        <f ca="1">W3556*'Expenditure Study'!$B$31</f>
        <v>0</v>
      </c>
      <c r="AA3556" s="195">
        <f t="shared" ca="1" si="778"/>
        <v>0</v>
      </c>
      <c r="AB3556" s="195">
        <f t="shared" ca="1" si="779"/>
        <v>0</v>
      </c>
      <c r="AD3556" s="196">
        <f>IFERROR($G3556/SUMIF($A:$A,$A3556,$G:$G)*SUMIF(Summary!$A$166:$A$242,$A3556,Summary!$P$166:$P$242),0)</f>
        <v>0</v>
      </c>
      <c r="AE3556" s="197">
        <f t="shared" ca="1" si="780"/>
        <v>0</v>
      </c>
      <c r="AF3556" s="196">
        <f>IFERROR(G3556/SUMIF(A:A,A3556,G:G)*SUMIF(Summary!$A$166:$A$242,'Operations Support'!A3556,Summary!$Q$166:$Q$242),0)</f>
        <v>0</v>
      </c>
      <c r="AG3556" s="196">
        <f t="shared" ca="1" si="781"/>
        <v>0</v>
      </c>
      <c r="AH3556" s="180"/>
      <c r="AI3556" s="196">
        <f>IFERROR($G3556/SUMIF($A:$A,$A3556,$G:$G)*SUMIF(Summary!$A$247:$A$283,$A3556,Summary!$P$247:$P$283),0)</f>
        <v>0</v>
      </c>
      <c r="AJ3556" s="196">
        <f>IFERROR($G3556/SUMIF($A:$A,$A3556,$G:$G)*(SUMIF(Summary!$A$247:$A$283,$A3556,Summary!$L$247:$L$283)+SUMIF(Summary!$A$297:$A$333,$A3556,Summary!$L$297:$L$333))-AI3556,0)</f>
        <v>0</v>
      </c>
      <c r="AK3556" s="196">
        <f>IFERROR($G3556/SUMIF($A:$A,$A3556,$G:$G)*SUMIF(Summary!$A$247:$A$283,$A3556,Summary!$Q$247:$Q$283),0)</f>
        <v>0</v>
      </c>
      <c r="AL3556" s="196">
        <f>IFERROR($G3556/SUMIF($A:$A,$A3556,$G:$G)*(SUMIF(Summary!$A$247:$A$283,$A3556,Summary!$L$247:$L$283)+SUMIF(Summary!$A$297:$A$333,$A3556,Summary!$L$297:$L$333))-AK3556,0)</f>
        <v>0</v>
      </c>
      <c r="AM3556" s="198"/>
      <c r="AN3556" s="196">
        <f t="shared" ca="1" si="782"/>
        <v>0</v>
      </c>
      <c r="AO3556" s="196">
        <f t="shared" ca="1" si="783"/>
        <v>0</v>
      </c>
    </row>
    <row r="3557" spans="1:41">
      <c r="A3557" s="189">
        <v>29269</v>
      </c>
      <c r="B3557" s="190">
        <v>5</v>
      </c>
      <c r="C3557" s="191" t="s">
        <v>223</v>
      </c>
      <c r="D3557" s="192">
        <f t="shared" si="770"/>
        <v>0</v>
      </c>
      <c r="E3557" s="192">
        <f t="shared" si="771"/>
        <v>0</v>
      </c>
      <c r="F3557" s="192">
        <f t="shared" si="772"/>
        <v>0</v>
      </c>
      <c r="G3557" s="193">
        <f t="shared" si="773"/>
        <v>0</v>
      </c>
      <c r="H3557" s="194">
        <v>0</v>
      </c>
      <c r="I3557" s="194">
        <v>0</v>
      </c>
      <c r="J3557" s="194">
        <v>0</v>
      </c>
      <c r="K3557" s="193">
        <f t="shared" si="774"/>
        <v>0</v>
      </c>
      <c r="L3557" s="194">
        <v>0</v>
      </c>
      <c r="M3557" s="194">
        <v>0</v>
      </c>
      <c r="N3557" s="194">
        <v>0</v>
      </c>
      <c r="O3557" s="193">
        <f t="shared" si="775"/>
        <v>0</v>
      </c>
      <c r="P3557" s="194">
        <v>0</v>
      </c>
      <c r="Q3557" s="194">
        <v>0</v>
      </c>
      <c r="R3557" s="194">
        <v>0</v>
      </c>
      <c r="S3557" s="193">
        <f t="shared" si="776"/>
        <v>0</v>
      </c>
      <c r="T3557" s="193">
        <f t="shared" si="777"/>
        <v>0</v>
      </c>
      <c r="U3557" s="193">
        <f ca="1">OFFSET('Expenditure Study'!$B$7,'Operations Support'!$C3557,'Operations Support'!$B3557)*$G3557</f>
        <v>0</v>
      </c>
      <c r="V3557" s="199">
        <f ca="1">U3557*'Expenditure Study'!$B$31</f>
        <v>0</v>
      </c>
      <c r="W3557" s="199">
        <f ca="1">IF(A3557=10298,1.51,1)*IF($B3557&lt;3,$D3557*'Expenditure Study'!$B$32*OFFSET('Expenditure Study'!$B$7,'Operations Support'!$C3557,'Operations Support'!$B3557),0)</f>
        <v>0</v>
      </c>
      <c r="X3557" s="200">
        <f ca="1">W3557*'Expenditure Study'!$B$31</f>
        <v>0</v>
      </c>
      <c r="Y3557" s="199">
        <f ca="1">U3557*'Expenditure Study'!$B$31</f>
        <v>0</v>
      </c>
      <c r="Z3557" s="200">
        <f ca="1">W3557*'Expenditure Study'!$B$31</f>
        <v>0</v>
      </c>
      <c r="AA3557" s="195">
        <f t="shared" ca="1" si="778"/>
        <v>0</v>
      </c>
      <c r="AB3557" s="195">
        <f t="shared" ca="1" si="779"/>
        <v>0</v>
      </c>
      <c r="AD3557" s="196">
        <f>IFERROR($G3557/SUMIF($A:$A,$A3557,$G:$G)*SUMIF(Summary!$A$166:$A$242,$A3557,Summary!$P$166:$P$242),0)</f>
        <v>0</v>
      </c>
      <c r="AE3557" s="197">
        <f t="shared" ca="1" si="780"/>
        <v>0</v>
      </c>
      <c r="AF3557" s="196">
        <f>IFERROR(G3557/SUMIF(A:A,A3557,G:G)*SUMIF(Summary!$A$166:$A$242,'Operations Support'!A3557,Summary!$Q$166:$Q$242),0)</f>
        <v>0</v>
      </c>
      <c r="AG3557" s="196">
        <f t="shared" ca="1" si="781"/>
        <v>0</v>
      </c>
      <c r="AI3557" s="196">
        <f>IFERROR($G3557/SUMIF($A:$A,$A3557,$G:$G)*SUMIF(Summary!$A$247:$A$283,$A3557,Summary!$P$247:$P$283),0)</f>
        <v>0</v>
      </c>
      <c r="AJ3557" s="196">
        <f>IFERROR($G3557/SUMIF($A:$A,$A3557,$G:$G)*(SUMIF(Summary!$A$247:$A$283,$A3557,Summary!$L$247:$L$283)+SUMIF(Summary!$A$297:$A$333,$A3557,Summary!$L$297:$L$333))-AI3557,0)</f>
        <v>0</v>
      </c>
      <c r="AK3557" s="196">
        <f>IFERROR($G3557/SUMIF($A:$A,$A3557,$G:$G)*SUMIF(Summary!$A$247:$A$283,$A3557,Summary!$Q$247:$Q$283),0)</f>
        <v>0</v>
      </c>
      <c r="AL3557" s="196">
        <f>IFERROR($G3557/SUMIF($A:$A,$A3557,$G:$G)*(SUMIF(Summary!$A$247:$A$283,$A3557,Summary!$L$247:$L$283)+SUMIF(Summary!$A$297:$A$333,$A3557,Summary!$L$297:$L$333))-AK3557,0)</f>
        <v>0</v>
      </c>
      <c r="AM3557" s="198"/>
      <c r="AN3557" s="196">
        <f t="shared" ca="1" si="782"/>
        <v>0</v>
      </c>
      <c r="AO3557" s="196">
        <f t="shared" ca="1" si="783"/>
        <v>0</v>
      </c>
    </row>
    <row r="3558" spans="1:41">
      <c r="A3558" s="189">
        <v>29269</v>
      </c>
      <c r="B3558" s="190">
        <v>5</v>
      </c>
      <c r="C3558" s="191" t="s">
        <v>224</v>
      </c>
      <c r="D3558" s="192">
        <f t="shared" si="770"/>
        <v>0</v>
      </c>
      <c r="E3558" s="192">
        <f t="shared" si="771"/>
        <v>0</v>
      </c>
      <c r="F3558" s="192">
        <f t="shared" si="772"/>
        <v>0</v>
      </c>
      <c r="G3558" s="193">
        <f t="shared" si="773"/>
        <v>0</v>
      </c>
      <c r="H3558" s="194">
        <v>0</v>
      </c>
      <c r="I3558" s="194">
        <v>0</v>
      </c>
      <c r="J3558" s="194">
        <v>0</v>
      </c>
      <c r="K3558" s="193">
        <f t="shared" si="774"/>
        <v>0</v>
      </c>
      <c r="L3558" s="194">
        <v>0</v>
      </c>
      <c r="M3558" s="194">
        <v>0</v>
      </c>
      <c r="N3558" s="194">
        <v>0</v>
      </c>
      <c r="O3558" s="193">
        <f t="shared" si="775"/>
        <v>0</v>
      </c>
      <c r="P3558" s="194">
        <v>0</v>
      </c>
      <c r="Q3558" s="194">
        <v>0</v>
      </c>
      <c r="R3558" s="194">
        <v>0</v>
      </c>
      <c r="S3558" s="193">
        <f t="shared" si="776"/>
        <v>0</v>
      </c>
      <c r="T3558" s="193">
        <f t="shared" si="777"/>
        <v>0</v>
      </c>
      <c r="U3558" s="193">
        <f ca="1">OFFSET('Expenditure Study'!$B$7,'Operations Support'!$C3558,'Operations Support'!$B3558)*$G3558</f>
        <v>0</v>
      </c>
      <c r="V3558" s="199">
        <f ca="1">U3558*'Expenditure Study'!$B$31</f>
        <v>0</v>
      </c>
      <c r="W3558" s="199">
        <f ca="1">IF(A3558=10298,1.51,1)*IF($B3558&lt;3,$D3558*'Expenditure Study'!$B$32*OFFSET('Expenditure Study'!$B$7,'Operations Support'!$C3558,'Operations Support'!$B3558),0)</f>
        <v>0</v>
      </c>
      <c r="X3558" s="200">
        <f ca="1">W3558*'Expenditure Study'!$B$31</f>
        <v>0</v>
      </c>
      <c r="Y3558" s="199">
        <f ca="1">U3558*'Expenditure Study'!$B$31</f>
        <v>0</v>
      </c>
      <c r="Z3558" s="200">
        <f ca="1">W3558*'Expenditure Study'!$B$31</f>
        <v>0</v>
      </c>
      <c r="AA3558" s="195">
        <f t="shared" ca="1" si="778"/>
        <v>0</v>
      </c>
      <c r="AB3558" s="195">
        <f t="shared" ca="1" si="779"/>
        <v>0</v>
      </c>
      <c r="AD3558" s="196">
        <f>IFERROR($G3558/SUMIF($A:$A,$A3558,$G:$G)*SUMIF(Summary!$A$166:$A$242,$A3558,Summary!$P$166:$P$242),0)</f>
        <v>0</v>
      </c>
      <c r="AE3558" s="197">
        <f t="shared" ca="1" si="780"/>
        <v>0</v>
      </c>
      <c r="AF3558" s="196">
        <f>IFERROR(G3558/SUMIF(A:A,A3558,G:G)*SUMIF(Summary!$A$166:$A$242,'Operations Support'!A3558,Summary!$Q$166:$Q$242),0)</f>
        <v>0</v>
      </c>
      <c r="AG3558" s="196">
        <f t="shared" ca="1" si="781"/>
        <v>0</v>
      </c>
      <c r="AI3558" s="196">
        <f>IFERROR($G3558/SUMIF($A:$A,$A3558,$G:$G)*SUMIF(Summary!$A$247:$A$283,$A3558,Summary!$P$247:$P$283),0)</f>
        <v>0</v>
      </c>
      <c r="AJ3558" s="196">
        <f>IFERROR($G3558/SUMIF($A:$A,$A3558,$G:$G)*(SUMIF(Summary!$A$247:$A$283,$A3558,Summary!$L$247:$L$283)+SUMIF(Summary!$A$297:$A$333,$A3558,Summary!$L$297:$L$333))-AI3558,0)</f>
        <v>0</v>
      </c>
      <c r="AK3558" s="196">
        <f>IFERROR($G3558/SUMIF($A:$A,$A3558,$G:$G)*SUMIF(Summary!$A$247:$A$283,$A3558,Summary!$Q$247:$Q$283),0)</f>
        <v>0</v>
      </c>
      <c r="AL3558" s="196">
        <f>IFERROR($G3558/SUMIF($A:$A,$A3558,$G:$G)*(SUMIF(Summary!$A$247:$A$283,$A3558,Summary!$L$247:$L$283)+SUMIF(Summary!$A$297:$A$333,$A3558,Summary!$L$297:$L$333))-AK3558,0)</f>
        <v>0</v>
      </c>
      <c r="AM3558" s="198"/>
      <c r="AN3558" s="196">
        <f t="shared" ca="1" si="782"/>
        <v>0</v>
      </c>
      <c r="AO3558" s="196">
        <f t="shared" ca="1" si="783"/>
        <v>0</v>
      </c>
    </row>
    <row r="3559" spans="1:41">
      <c r="A3559" s="189">
        <v>29269</v>
      </c>
      <c r="B3559" s="190">
        <v>5</v>
      </c>
      <c r="C3559" s="191" t="s">
        <v>225</v>
      </c>
      <c r="D3559" s="192">
        <f t="shared" si="770"/>
        <v>0</v>
      </c>
      <c r="E3559" s="192">
        <f t="shared" si="771"/>
        <v>0</v>
      </c>
      <c r="F3559" s="192">
        <f t="shared" si="772"/>
        <v>0</v>
      </c>
      <c r="G3559" s="193">
        <f t="shared" si="773"/>
        <v>0</v>
      </c>
      <c r="H3559" s="194">
        <v>0</v>
      </c>
      <c r="I3559" s="194">
        <v>0</v>
      </c>
      <c r="J3559" s="194">
        <v>0</v>
      </c>
      <c r="K3559" s="193">
        <f t="shared" si="774"/>
        <v>0</v>
      </c>
      <c r="L3559" s="194">
        <v>0</v>
      </c>
      <c r="M3559" s="194">
        <v>0</v>
      </c>
      <c r="N3559" s="194">
        <v>0</v>
      </c>
      <c r="O3559" s="193">
        <f t="shared" si="775"/>
        <v>0</v>
      </c>
      <c r="P3559" s="194">
        <v>0</v>
      </c>
      <c r="Q3559" s="194">
        <v>0</v>
      </c>
      <c r="R3559" s="194">
        <v>0</v>
      </c>
      <c r="S3559" s="193">
        <f t="shared" si="776"/>
        <v>0</v>
      </c>
      <c r="T3559" s="193">
        <f t="shared" si="777"/>
        <v>0</v>
      </c>
      <c r="U3559" s="193">
        <f ca="1">OFFSET('Expenditure Study'!$B$7,'Operations Support'!$C3559,'Operations Support'!$B3559)*$G3559</f>
        <v>0</v>
      </c>
      <c r="V3559" s="199">
        <f ca="1">U3559*'Expenditure Study'!$B$31</f>
        <v>0</v>
      </c>
      <c r="W3559" s="199">
        <f ca="1">IF(A3559=10298,1.51,1)*IF($B3559&lt;3,$D3559*'Expenditure Study'!$B$32*OFFSET('Expenditure Study'!$B$7,'Operations Support'!$C3559,'Operations Support'!$B3559),0)</f>
        <v>0</v>
      </c>
      <c r="X3559" s="200">
        <f ca="1">W3559*'Expenditure Study'!$B$31</f>
        <v>0</v>
      </c>
      <c r="Y3559" s="199">
        <f ca="1">U3559*'Expenditure Study'!$B$31</f>
        <v>0</v>
      </c>
      <c r="Z3559" s="200">
        <f ca="1">W3559*'Expenditure Study'!$B$31</f>
        <v>0</v>
      </c>
      <c r="AA3559" s="195">
        <f t="shared" ca="1" si="778"/>
        <v>0</v>
      </c>
      <c r="AB3559" s="195">
        <f t="shared" ca="1" si="779"/>
        <v>0</v>
      </c>
      <c r="AD3559" s="196">
        <f>IFERROR($G3559/SUMIF($A:$A,$A3559,$G:$G)*SUMIF(Summary!$A$166:$A$242,$A3559,Summary!$P$166:$P$242),0)</f>
        <v>0</v>
      </c>
      <c r="AE3559" s="197">
        <f t="shared" ca="1" si="780"/>
        <v>0</v>
      </c>
      <c r="AF3559" s="196">
        <f>IFERROR(G3559/SUMIF(A:A,A3559,G:G)*SUMIF(Summary!$A$166:$A$242,'Operations Support'!A3559,Summary!$Q$166:$Q$242),0)</f>
        <v>0</v>
      </c>
      <c r="AG3559" s="196">
        <f t="shared" ca="1" si="781"/>
        <v>0</v>
      </c>
      <c r="AI3559" s="196">
        <f>IFERROR($G3559/SUMIF($A:$A,$A3559,$G:$G)*SUMIF(Summary!$A$247:$A$283,$A3559,Summary!$P$247:$P$283),0)</f>
        <v>0</v>
      </c>
      <c r="AJ3559" s="196">
        <f>IFERROR($G3559/SUMIF($A:$A,$A3559,$G:$G)*(SUMIF(Summary!$A$247:$A$283,$A3559,Summary!$L$247:$L$283)+SUMIF(Summary!$A$297:$A$333,$A3559,Summary!$L$297:$L$333))-AI3559,0)</f>
        <v>0</v>
      </c>
      <c r="AK3559" s="196">
        <f>IFERROR($G3559/SUMIF($A:$A,$A3559,$G:$G)*SUMIF(Summary!$A$247:$A$283,$A3559,Summary!$Q$247:$Q$283),0)</f>
        <v>0</v>
      </c>
      <c r="AL3559" s="196">
        <f>IFERROR($G3559/SUMIF($A:$A,$A3559,$G:$G)*(SUMIF(Summary!$A$247:$A$283,$A3559,Summary!$L$247:$L$283)+SUMIF(Summary!$A$297:$A$333,$A3559,Summary!$L$297:$L$333))-AK3559,0)</f>
        <v>0</v>
      </c>
      <c r="AM3559" s="198"/>
      <c r="AN3559" s="196">
        <f t="shared" ca="1" si="782"/>
        <v>0</v>
      </c>
      <c r="AO3559" s="196">
        <f t="shared" ca="1" si="783"/>
        <v>0</v>
      </c>
    </row>
    <row r="3560" spans="1:41">
      <c r="A3560" s="189">
        <v>29269</v>
      </c>
      <c r="B3560" s="190">
        <v>5</v>
      </c>
      <c r="C3560" s="191" t="s">
        <v>226</v>
      </c>
      <c r="D3560" s="192">
        <f t="shared" si="770"/>
        <v>0</v>
      </c>
      <c r="E3560" s="192">
        <f t="shared" si="771"/>
        <v>0</v>
      </c>
      <c r="F3560" s="192">
        <f t="shared" si="772"/>
        <v>0</v>
      </c>
      <c r="G3560" s="193">
        <f t="shared" si="773"/>
        <v>0</v>
      </c>
      <c r="H3560" s="194">
        <v>0</v>
      </c>
      <c r="I3560" s="194">
        <v>0</v>
      </c>
      <c r="J3560" s="194">
        <v>0</v>
      </c>
      <c r="K3560" s="193">
        <f t="shared" si="774"/>
        <v>0</v>
      </c>
      <c r="L3560" s="194">
        <v>0</v>
      </c>
      <c r="M3560" s="194">
        <v>0</v>
      </c>
      <c r="N3560" s="194">
        <v>0</v>
      </c>
      <c r="O3560" s="193">
        <f t="shared" si="775"/>
        <v>0</v>
      </c>
      <c r="P3560" s="194">
        <v>0</v>
      </c>
      <c r="Q3560" s="194">
        <v>0</v>
      </c>
      <c r="R3560" s="194">
        <v>0</v>
      </c>
      <c r="S3560" s="193">
        <f t="shared" si="776"/>
        <v>0</v>
      </c>
      <c r="T3560" s="193">
        <f t="shared" si="777"/>
        <v>0</v>
      </c>
      <c r="U3560" s="193">
        <f ca="1">OFFSET('Expenditure Study'!$B$7,'Operations Support'!$C3560,'Operations Support'!$B3560)*$G3560</f>
        <v>0</v>
      </c>
      <c r="V3560" s="199">
        <f ca="1">U3560*'Expenditure Study'!$B$31</f>
        <v>0</v>
      </c>
      <c r="W3560" s="199">
        <f ca="1">IF(A3560=10298,1.51,1)*IF($B3560&lt;3,$D3560*'Expenditure Study'!$B$32*OFFSET('Expenditure Study'!$B$7,'Operations Support'!$C3560,'Operations Support'!$B3560),0)</f>
        <v>0</v>
      </c>
      <c r="X3560" s="200">
        <f ca="1">W3560*'Expenditure Study'!$B$31</f>
        <v>0</v>
      </c>
      <c r="Y3560" s="199">
        <f ca="1">U3560*'Expenditure Study'!$B$31</f>
        <v>0</v>
      </c>
      <c r="Z3560" s="200">
        <f ca="1">W3560*'Expenditure Study'!$B$31</f>
        <v>0</v>
      </c>
      <c r="AA3560" s="195">
        <f t="shared" ca="1" si="778"/>
        <v>0</v>
      </c>
      <c r="AB3560" s="195">
        <f t="shared" ca="1" si="779"/>
        <v>0</v>
      </c>
      <c r="AD3560" s="196">
        <f>IFERROR($G3560/SUMIF($A:$A,$A3560,$G:$G)*SUMIF(Summary!$A$166:$A$242,$A3560,Summary!$P$166:$P$242),0)</f>
        <v>0</v>
      </c>
      <c r="AE3560" s="197">
        <f t="shared" ca="1" si="780"/>
        <v>0</v>
      </c>
      <c r="AF3560" s="196">
        <f>IFERROR(G3560/SUMIF(A:A,A3560,G:G)*SUMIF(Summary!$A$166:$A$242,'Operations Support'!A3560,Summary!$Q$166:$Q$242),0)</f>
        <v>0</v>
      </c>
      <c r="AG3560" s="196">
        <f t="shared" ca="1" si="781"/>
        <v>0</v>
      </c>
      <c r="AI3560" s="196">
        <f>IFERROR($G3560/SUMIF($A:$A,$A3560,$G:$G)*SUMIF(Summary!$A$247:$A$283,$A3560,Summary!$P$247:$P$283),0)</f>
        <v>0</v>
      </c>
      <c r="AJ3560" s="196">
        <f>IFERROR($G3560/SUMIF($A:$A,$A3560,$G:$G)*(SUMIF(Summary!$A$247:$A$283,$A3560,Summary!$L$247:$L$283)+SUMIF(Summary!$A$297:$A$333,$A3560,Summary!$L$297:$L$333))-AI3560,0)</f>
        <v>0</v>
      </c>
      <c r="AK3560" s="196">
        <f>IFERROR($G3560/SUMIF($A:$A,$A3560,$G:$G)*SUMIF(Summary!$A$247:$A$283,$A3560,Summary!$Q$247:$Q$283),0)</f>
        <v>0</v>
      </c>
      <c r="AL3560" s="196">
        <f>IFERROR($G3560/SUMIF($A:$A,$A3560,$G:$G)*(SUMIF(Summary!$A$247:$A$283,$A3560,Summary!$L$247:$L$283)+SUMIF(Summary!$A$297:$A$333,$A3560,Summary!$L$297:$L$333))-AK3560,0)</f>
        <v>0</v>
      </c>
      <c r="AM3560" s="198"/>
      <c r="AN3560" s="196">
        <f t="shared" ca="1" si="782"/>
        <v>0</v>
      </c>
      <c r="AO3560" s="196">
        <f t="shared" ca="1" si="783"/>
        <v>0</v>
      </c>
    </row>
    <row r="3561" spans="1:41">
      <c r="A3561" s="189">
        <v>29269</v>
      </c>
      <c r="B3561" s="190">
        <v>5</v>
      </c>
      <c r="C3561" s="191" t="s">
        <v>227</v>
      </c>
      <c r="D3561" s="192">
        <f t="shared" si="770"/>
        <v>0</v>
      </c>
      <c r="E3561" s="192">
        <f t="shared" si="771"/>
        <v>0</v>
      </c>
      <c r="F3561" s="192">
        <f t="shared" si="772"/>
        <v>0</v>
      </c>
      <c r="G3561" s="193">
        <f t="shared" si="773"/>
        <v>0</v>
      </c>
      <c r="H3561" s="194">
        <v>0</v>
      </c>
      <c r="I3561" s="194">
        <v>0</v>
      </c>
      <c r="J3561" s="194">
        <v>0</v>
      </c>
      <c r="K3561" s="193">
        <f t="shared" si="774"/>
        <v>0</v>
      </c>
      <c r="L3561" s="194">
        <v>0</v>
      </c>
      <c r="M3561" s="194">
        <v>0</v>
      </c>
      <c r="N3561" s="194">
        <v>0</v>
      </c>
      <c r="O3561" s="193">
        <f t="shared" si="775"/>
        <v>0</v>
      </c>
      <c r="P3561" s="194">
        <v>0</v>
      </c>
      <c r="Q3561" s="194">
        <v>0</v>
      </c>
      <c r="R3561" s="194">
        <v>0</v>
      </c>
      <c r="S3561" s="193">
        <f t="shared" si="776"/>
        <v>0</v>
      </c>
      <c r="T3561" s="193">
        <f t="shared" si="777"/>
        <v>0</v>
      </c>
      <c r="U3561" s="193">
        <f ca="1">OFFSET('Expenditure Study'!$B$7,'Operations Support'!$C3561,'Operations Support'!$B3561)*$G3561</f>
        <v>0</v>
      </c>
      <c r="V3561" s="199">
        <f ca="1">U3561*'Expenditure Study'!$B$31</f>
        <v>0</v>
      </c>
      <c r="W3561" s="199">
        <f ca="1">IF(A3561=10298,1.51,1)*IF($B3561&lt;3,$D3561*'Expenditure Study'!$B$32*OFFSET('Expenditure Study'!$B$7,'Operations Support'!$C3561,'Operations Support'!$B3561),0)</f>
        <v>0</v>
      </c>
      <c r="X3561" s="200">
        <f ca="1">W3561*'Expenditure Study'!$B$31</f>
        <v>0</v>
      </c>
      <c r="Y3561" s="199">
        <f ca="1">U3561*'Expenditure Study'!$B$31</f>
        <v>0</v>
      </c>
      <c r="Z3561" s="200">
        <f ca="1">W3561*'Expenditure Study'!$B$31</f>
        <v>0</v>
      </c>
      <c r="AA3561" s="195">
        <f t="shared" ca="1" si="778"/>
        <v>0</v>
      </c>
      <c r="AB3561" s="195">
        <f t="shared" ca="1" si="779"/>
        <v>0</v>
      </c>
      <c r="AD3561" s="196">
        <f>IFERROR($G3561/SUMIF($A:$A,$A3561,$G:$G)*SUMIF(Summary!$A$166:$A$242,$A3561,Summary!$P$166:$P$242),0)</f>
        <v>0</v>
      </c>
      <c r="AE3561" s="197">
        <f t="shared" ca="1" si="780"/>
        <v>0</v>
      </c>
      <c r="AF3561" s="196">
        <f>IFERROR(G3561/SUMIF(A:A,A3561,G:G)*SUMIF(Summary!$A$166:$A$242,'Operations Support'!A3561,Summary!$Q$166:$Q$242),0)</f>
        <v>0</v>
      </c>
      <c r="AG3561" s="196">
        <f t="shared" ca="1" si="781"/>
        <v>0</v>
      </c>
      <c r="AI3561" s="196">
        <f>IFERROR($G3561/SUMIF($A:$A,$A3561,$G:$G)*SUMIF(Summary!$A$247:$A$283,$A3561,Summary!$P$247:$P$283),0)</f>
        <v>0</v>
      </c>
      <c r="AJ3561" s="196">
        <f>IFERROR($G3561/SUMIF($A:$A,$A3561,$G:$G)*(SUMIF(Summary!$A$247:$A$283,$A3561,Summary!$L$247:$L$283)+SUMIF(Summary!$A$297:$A$333,$A3561,Summary!$L$297:$L$333))-AI3561,0)</f>
        <v>0</v>
      </c>
      <c r="AK3561" s="196">
        <f>IFERROR($G3561/SUMIF($A:$A,$A3561,$G:$G)*SUMIF(Summary!$A$247:$A$283,$A3561,Summary!$Q$247:$Q$283),0)</f>
        <v>0</v>
      </c>
      <c r="AL3561" s="196">
        <f>IFERROR($G3561/SUMIF($A:$A,$A3561,$G:$G)*(SUMIF(Summary!$A$247:$A$283,$A3561,Summary!$L$247:$L$283)+SUMIF(Summary!$A$297:$A$333,$A3561,Summary!$L$297:$L$333))-AK3561,0)</f>
        <v>0</v>
      </c>
      <c r="AM3561" s="198"/>
      <c r="AN3561" s="196">
        <f t="shared" ca="1" si="782"/>
        <v>0</v>
      </c>
      <c r="AO3561" s="196">
        <f t="shared" ca="1" si="783"/>
        <v>0</v>
      </c>
    </row>
    <row r="3562" spans="1:41">
      <c r="A3562" s="189">
        <v>29269</v>
      </c>
      <c r="B3562" s="190">
        <v>5</v>
      </c>
      <c r="C3562" s="191" t="s">
        <v>228</v>
      </c>
      <c r="D3562" s="192">
        <f t="shared" si="770"/>
        <v>0</v>
      </c>
      <c r="E3562" s="192">
        <f t="shared" si="771"/>
        <v>0</v>
      </c>
      <c r="F3562" s="192">
        <f t="shared" si="772"/>
        <v>0</v>
      </c>
      <c r="G3562" s="193">
        <f t="shared" si="773"/>
        <v>0</v>
      </c>
      <c r="H3562" s="194">
        <v>0</v>
      </c>
      <c r="I3562" s="194">
        <v>0</v>
      </c>
      <c r="J3562" s="194">
        <v>0</v>
      </c>
      <c r="K3562" s="193">
        <f t="shared" si="774"/>
        <v>0</v>
      </c>
      <c r="L3562" s="194">
        <v>0</v>
      </c>
      <c r="M3562" s="194">
        <v>0</v>
      </c>
      <c r="N3562" s="194">
        <v>0</v>
      </c>
      <c r="O3562" s="193">
        <f t="shared" si="775"/>
        <v>0</v>
      </c>
      <c r="P3562" s="194">
        <v>0</v>
      </c>
      <c r="Q3562" s="194">
        <v>0</v>
      </c>
      <c r="R3562" s="194">
        <v>0</v>
      </c>
      <c r="S3562" s="193">
        <f t="shared" si="776"/>
        <v>0</v>
      </c>
      <c r="T3562" s="193">
        <f t="shared" si="777"/>
        <v>0</v>
      </c>
      <c r="U3562" s="193">
        <f ca="1">OFFSET('Expenditure Study'!$B$7,'Operations Support'!$C3562,'Operations Support'!$B3562)*$G3562</f>
        <v>0</v>
      </c>
      <c r="V3562" s="199">
        <f ca="1">U3562*'Expenditure Study'!$B$31</f>
        <v>0</v>
      </c>
      <c r="W3562" s="199">
        <f ca="1">IF(A3562=10298,1.51,1)*IF($B3562&lt;3,$D3562*'Expenditure Study'!$B$32*OFFSET('Expenditure Study'!$B$7,'Operations Support'!$C3562,'Operations Support'!$B3562),0)</f>
        <v>0</v>
      </c>
      <c r="X3562" s="200">
        <f ca="1">W3562*'Expenditure Study'!$B$31</f>
        <v>0</v>
      </c>
      <c r="Y3562" s="199">
        <f ca="1">U3562*'Expenditure Study'!$B$31</f>
        <v>0</v>
      </c>
      <c r="Z3562" s="200">
        <f ca="1">W3562*'Expenditure Study'!$B$31</f>
        <v>0</v>
      </c>
      <c r="AA3562" s="195">
        <f t="shared" ca="1" si="778"/>
        <v>0</v>
      </c>
      <c r="AB3562" s="195">
        <f t="shared" ca="1" si="779"/>
        <v>0</v>
      </c>
      <c r="AD3562" s="196">
        <f>IFERROR($G3562/SUMIF($A:$A,$A3562,$G:$G)*SUMIF(Summary!$A$166:$A$242,$A3562,Summary!$P$166:$P$242),0)</f>
        <v>0</v>
      </c>
      <c r="AE3562" s="197">
        <f t="shared" ca="1" si="780"/>
        <v>0</v>
      </c>
      <c r="AF3562" s="196">
        <f>IFERROR(G3562/SUMIF(A:A,A3562,G:G)*SUMIF(Summary!$A$166:$A$242,'Operations Support'!A3562,Summary!$Q$166:$Q$242),0)</f>
        <v>0</v>
      </c>
      <c r="AG3562" s="196">
        <f t="shared" ca="1" si="781"/>
        <v>0</v>
      </c>
      <c r="AI3562" s="196">
        <f>IFERROR($G3562/SUMIF($A:$A,$A3562,$G:$G)*SUMIF(Summary!$A$247:$A$283,$A3562,Summary!$P$247:$P$283),0)</f>
        <v>0</v>
      </c>
      <c r="AJ3562" s="196">
        <f>IFERROR($G3562/SUMIF($A:$A,$A3562,$G:$G)*(SUMIF(Summary!$A$247:$A$283,$A3562,Summary!$L$247:$L$283)+SUMIF(Summary!$A$297:$A$333,$A3562,Summary!$L$297:$L$333))-AI3562,0)</f>
        <v>0</v>
      </c>
      <c r="AK3562" s="196">
        <f>IFERROR($G3562/SUMIF($A:$A,$A3562,$G:$G)*SUMIF(Summary!$A$247:$A$283,$A3562,Summary!$Q$247:$Q$283),0)</f>
        <v>0</v>
      </c>
      <c r="AL3562" s="196">
        <f>IFERROR($G3562/SUMIF($A:$A,$A3562,$G:$G)*(SUMIF(Summary!$A$247:$A$283,$A3562,Summary!$L$247:$L$283)+SUMIF(Summary!$A$297:$A$333,$A3562,Summary!$L$297:$L$333))-AK3562,0)</f>
        <v>0</v>
      </c>
      <c r="AM3562" s="198"/>
      <c r="AN3562" s="196">
        <f t="shared" ca="1" si="782"/>
        <v>0</v>
      </c>
      <c r="AO3562" s="196">
        <f t="shared" ca="1" si="783"/>
        <v>0</v>
      </c>
    </row>
    <row r="3563" spans="1:41">
      <c r="A3563" s="189">
        <v>29269</v>
      </c>
      <c r="B3563" s="190">
        <v>5</v>
      </c>
      <c r="C3563" s="191" t="s">
        <v>229</v>
      </c>
      <c r="D3563" s="192">
        <f t="shared" si="770"/>
        <v>0</v>
      </c>
      <c r="E3563" s="192">
        <f t="shared" si="771"/>
        <v>0</v>
      </c>
      <c r="F3563" s="192">
        <f t="shared" si="772"/>
        <v>0</v>
      </c>
      <c r="G3563" s="193">
        <f t="shared" si="773"/>
        <v>0</v>
      </c>
      <c r="H3563" s="194">
        <v>0</v>
      </c>
      <c r="I3563" s="194">
        <v>0</v>
      </c>
      <c r="J3563" s="194">
        <v>0</v>
      </c>
      <c r="K3563" s="193">
        <f t="shared" si="774"/>
        <v>0</v>
      </c>
      <c r="L3563" s="194">
        <v>0</v>
      </c>
      <c r="M3563" s="194">
        <v>0</v>
      </c>
      <c r="N3563" s="194">
        <v>0</v>
      </c>
      <c r="O3563" s="193">
        <f t="shared" si="775"/>
        <v>0</v>
      </c>
      <c r="P3563" s="194">
        <v>0</v>
      </c>
      <c r="Q3563" s="194">
        <v>0</v>
      </c>
      <c r="R3563" s="194">
        <v>0</v>
      </c>
      <c r="S3563" s="193">
        <f t="shared" si="776"/>
        <v>0</v>
      </c>
      <c r="T3563" s="193">
        <f t="shared" si="777"/>
        <v>0</v>
      </c>
      <c r="U3563" s="193">
        <f ca="1">OFFSET('Expenditure Study'!$B$7,'Operations Support'!$C3563,'Operations Support'!$B3563)*$G3563</f>
        <v>0</v>
      </c>
      <c r="V3563" s="199">
        <f ca="1">U3563*'Expenditure Study'!$B$31</f>
        <v>0</v>
      </c>
      <c r="W3563" s="199">
        <f ca="1">IF(A3563=10298,1.51,1)*IF($B3563&lt;3,$D3563*'Expenditure Study'!$B$32*OFFSET('Expenditure Study'!$B$7,'Operations Support'!$C3563,'Operations Support'!$B3563),0)</f>
        <v>0</v>
      </c>
      <c r="X3563" s="200">
        <f ca="1">W3563*'Expenditure Study'!$B$31</f>
        <v>0</v>
      </c>
      <c r="Y3563" s="199">
        <f ca="1">U3563*'Expenditure Study'!$B$31</f>
        <v>0</v>
      </c>
      <c r="Z3563" s="200">
        <f ca="1">W3563*'Expenditure Study'!$B$31</f>
        <v>0</v>
      </c>
      <c r="AA3563" s="195">
        <f t="shared" ca="1" si="778"/>
        <v>0</v>
      </c>
      <c r="AB3563" s="195">
        <f t="shared" ca="1" si="779"/>
        <v>0</v>
      </c>
      <c r="AD3563" s="196">
        <f>IFERROR($G3563/SUMIF($A:$A,$A3563,$G:$G)*SUMIF(Summary!$A$166:$A$242,$A3563,Summary!$P$166:$P$242),0)</f>
        <v>0</v>
      </c>
      <c r="AE3563" s="197">
        <f t="shared" ca="1" si="780"/>
        <v>0</v>
      </c>
      <c r="AF3563" s="196">
        <f>IFERROR(G3563/SUMIF(A:A,A3563,G:G)*SUMIF(Summary!$A$166:$A$242,'Operations Support'!A3563,Summary!$Q$166:$Q$242),0)</f>
        <v>0</v>
      </c>
      <c r="AG3563" s="196">
        <f t="shared" ca="1" si="781"/>
        <v>0</v>
      </c>
      <c r="AI3563" s="196">
        <f>IFERROR($G3563/SUMIF($A:$A,$A3563,$G:$G)*SUMIF(Summary!$A$247:$A$283,$A3563,Summary!$P$247:$P$283),0)</f>
        <v>0</v>
      </c>
      <c r="AJ3563" s="196">
        <f>IFERROR($G3563/SUMIF($A:$A,$A3563,$G:$G)*(SUMIF(Summary!$A$247:$A$283,$A3563,Summary!$L$247:$L$283)+SUMIF(Summary!$A$297:$A$333,$A3563,Summary!$L$297:$L$333))-AI3563,0)</f>
        <v>0</v>
      </c>
      <c r="AK3563" s="196">
        <f>IFERROR($G3563/SUMIF($A:$A,$A3563,$G:$G)*SUMIF(Summary!$A$247:$A$283,$A3563,Summary!$Q$247:$Q$283),0)</f>
        <v>0</v>
      </c>
      <c r="AL3563" s="196">
        <f>IFERROR($G3563/SUMIF($A:$A,$A3563,$G:$G)*(SUMIF(Summary!$A$247:$A$283,$A3563,Summary!$L$247:$L$283)+SUMIF(Summary!$A$297:$A$333,$A3563,Summary!$L$297:$L$333))-AK3563,0)</f>
        <v>0</v>
      </c>
      <c r="AM3563" s="198"/>
      <c r="AN3563" s="196">
        <f t="shared" ca="1" si="782"/>
        <v>0</v>
      </c>
      <c r="AO3563" s="196">
        <f t="shared" ca="1" si="783"/>
        <v>0</v>
      </c>
    </row>
    <row r="3564" spans="1:41">
      <c r="A3564" s="189">
        <v>29269</v>
      </c>
      <c r="B3564" s="190">
        <v>5</v>
      </c>
      <c r="C3564" s="191" t="s">
        <v>230</v>
      </c>
      <c r="D3564" s="192">
        <f t="shared" si="770"/>
        <v>0</v>
      </c>
      <c r="E3564" s="192">
        <f t="shared" si="771"/>
        <v>0</v>
      </c>
      <c r="F3564" s="192">
        <f t="shared" si="772"/>
        <v>0</v>
      </c>
      <c r="G3564" s="193">
        <f t="shared" si="773"/>
        <v>0</v>
      </c>
      <c r="H3564" s="194">
        <v>0</v>
      </c>
      <c r="I3564" s="194">
        <v>0</v>
      </c>
      <c r="J3564" s="194">
        <v>0</v>
      </c>
      <c r="K3564" s="193">
        <f t="shared" si="774"/>
        <v>0</v>
      </c>
      <c r="L3564" s="194">
        <v>0</v>
      </c>
      <c r="M3564" s="194">
        <v>0</v>
      </c>
      <c r="N3564" s="194">
        <v>0</v>
      </c>
      <c r="O3564" s="193">
        <f t="shared" si="775"/>
        <v>0</v>
      </c>
      <c r="P3564" s="194">
        <v>0</v>
      </c>
      <c r="Q3564" s="194">
        <v>0</v>
      </c>
      <c r="R3564" s="194">
        <v>0</v>
      </c>
      <c r="S3564" s="193">
        <f t="shared" si="776"/>
        <v>0</v>
      </c>
      <c r="T3564" s="193">
        <f t="shared" si="777"/>
        <v>0</v>
      </c>
      <c r="U3564" s="193">
        <f ca="1">OFFSET('Expenditure Study'!$B$7,'Operations Support'!$C3564,'Operations Support'!$B3564)*$G3564</f>
        <v>0</v>
      </c>
      <c r="V3564" s="199">
        <f ca="1">U3564*'Expenditure Study'!$B$31</f>
        <v>0</v>
      </c>
      <c r="W3564" s="199">
        <f ca="1">IF(A3564=10298,1.51,1)*IF($B3564&lt;3,$D3564*'Expenditure Study'!$B$32*OFFSET('Expenditure Study'!$B$7,'Operations Support'!$C3564,'Operations Support'!$B3564),0)</f>
        <v>0</v>
      </c>
      <c r="X3564" s="200">
        <f ca="1">W3564*'Expenditure Study'!$B$31</f>
        <v>0</v>
      </c>
      <c r="Y3564" s="199">
        <f ca="1">U3564*'Expenditure Study'!$B$31</f>
        <v>0</v>
      </c>
      <c r="Z3564" s="200">
        <f ca="1">W3564*'Expenditure Study'!$B$31</f>
        <v>0</v>
      </c>
      <c r="AA3564" s="195">
        <f t="shared" ca="1" si="778"/>
        <v>0</v>
      </c>
      <c r="AB3564" s="195">
        <f t="shared" ca="1" si="779"/>
        <v>0</v>
      </c>
      <c r="AD3564" s="196">
        <f>IFERROR($G3564/SUMIF($A:$A,$A3564,$G:$G)*SUMIF(Summary!$A$166:$A$242,$A3564,Summary!$P$166:$P$242),0)</f>
        <v>0</v>
      </c>
      <c r="AE3564" s="197">
        <f t="shared" ca="1" si="780"/>
        <v>0</v>
      </c>
      <c r="AF3564" s="196">
        <f>IFERROR(G3564/SUMIF(A:A,A3564,G:G)*SUMIF(Summary!$A$166:$A$242,'Operations Support'!A3564,Summary!$Q$166:$Q$242),0)</f>
        <v>0</v>
      </c>
      <c r="AG3564" s="196">
        <f t="shared" ca="1" si="781"/>
        <v>0</v>
      </c>
      <c r="AI3564" s="196">
        <f>IFERROR($G3564/SUMIF($A:$A,$A3564,$G:$G)*SUMIF(Summary!$A$247:$A$283,$A3564,Summary!$P$247:$P$283),0)</f>
        <v>0</v>
      </c>
      <c r="AJ3564" s="196">
        <f>IFERROR($G3564/SUMIF($A:$A,$A3564,$G:$G)*(SUMIF(Summary!$A$247:$A$283,$A3564,Summary!$L$247:$L$283)+SUMIF(Summary!$A$297:$A$333,$A3564,Summary!$L$297:$L$333))-AI3564,0)</f>
        <v>0</v>
      </c>
      <c r="AK3564" s="196">
        <f>IFERROR($G3564/SUMIF($A:$A,$A3564,$G:$G)*SUMIF(Summary!$A$247:$A$283,$A3564,Summary!$Q$247:$Q$283),0)</f>
        <v>0</v>
      </c>
      <c r="AL3564" s="196">
        <f>IFERROR($G3564/SUMIF($A:$A,$A3564,$G:$G)*(SUMIF(Summary!$A$247:$A$283,$A3564,Summary!$L$247:$L$283)+SUMIF(Summary!$A$297:$A$333,$A3564,Summary!$L$297:$L$333))-AK3564,0)</f>
        <v>0</v>
      </c>
      <c r="AM3564" s="198"/>
      <c r="AN3564" s="196">
        <f t="shared" ca="1" si="782"/>
        <v>0</v>
      </c>
      <c r="AO3564" s="196">
        <f t="shared" ca="1" si="783"/>
        <v>0</v>
      </c>
    </row>
    <row r="3565" spans="1:41">
      <c r="A3565" s="189">
        <v>29269</v>
      </c>
      <c r="B3565" s="190">
        <v>5</v>
      </c>
      <c r="C3565" s="191" t="s">
        <v>231</v>
      </c>
      <c r="D3565" s="192">
        <f t="shared" si="770"/>
        <v>0</v>
      </c>
      <c r="E3565" s="192">
        <f t="shared" si="771"/>
        <v>0</v>
      </c>
      <c r="F3565" s="192">
        <f t="shared" si="772"/>
        <v>0</v>
      </c>
      <c r="G3565" s="193">
        <f t="shared" si="773"/>
        <v>0</v>
      </c>
      <c r="H3565" s="194">
        <v>0</v>
      </c>
      <c r="I3565" s="194">
        <v>0</v>
      </c>
      <c r="J3565" s="194">
        <v>0</v>
      </c>
      <c r="K3565" s="193">
        <f t="shared" si="774"/>
        <v>0</v>
      </c>
      <c r="L3565" s="194">
        <v>0</v>
      </c>
      <c r="M3565" s="194">
        <v>0</v>
      </c>
      <c r="N3565" s="194">
        <v>0</v>
      </c>
      <c r="O3565" s="193">
        <f t="shared" si="775"/>
        <v>0</v>
      </c>
      <c r="P3565" s="194">
        <v>0</v>
      </c>
      <c r="Q3565" s="194">
        <v>0</v>
      </c>
      <c r="R3565" s="194">
        <v>0</v>
      </c>
      <c r="S3565" s="193">
        <f t="shared" si="776"/>
        <v>0</v>
      </c>
      <c r="T3565" s="193">
        <f t="shared" si="777"/>
        <v>0</v>
      </c>
      <c r="U3565" s="193">
        <f ca="1">OFFSET('Expenditure Study'!$B$7,'Operations Support'!$C3565,'Operations Support'!$B3565)*$G3565</f>
        <v>0</v>
      </c>
      <c r="V3565" s="199">
        <f ca="1">U3565*'Expenditure Study'!$B$31</f>
        <v>0</v>
      </c>
      <c r="W3565" s="199">
        <f ca="1">IF(A3565=10298,1.51,1)*IF($B3565&lt;3,$D3565*'Expenditure Study'!$B$32*OFFSET('Expenditure Study'!$B$7,'Operations Support'!$C3565,'Operations Support'!$B3565),0)</f>
        <v>0</v>
      </c>
      <c r="X3565" s="200">
        <f ca="1">W3565*'Expenditure Study'!$B$31</f>
        <v>0</v>
      </c>
      <c r="Y3565" s="199">
        <f ca="1">U3565*'Expenditure Study'!$B$31</f>
        <v>0</v>
      </c>
      <c r="Z3565" s="200">
        <f ca="1">W3565*'Expenditure Study'!$B$31</f>
        <v>0</v>
      </c>
      <c r="AA3565" s="195">
        <f t="shared" ca="1" si="778"/>
        <v>0</v>
      </c>
      <c r="AB3565" s="195">
        <f t="shared" ca="1" si="779"/>
        <v>0</v>
      </c>
      <c r="AD3565" s="196">
        <f>IFERROR($G3565/SUMIF($A:$A,$A3565,$G:$G)*SUMIF(Summary!$A$166:$A$242,$A3565,Summary!$P$166:$P$242),0)</f>
        <v>0</v>
      </c>
      <c r="AE3565" s="197">
        <f t="shared" ca="1" si="780"/>
        <v>0</v>
      </c>
      <c r="AF3565" s="196">
        <f>IFERROR(G3565/SUMIF(A:A,A3565,G:G)*SUMIF(Summary!$A$166:$A$242,'Operations Support'!A3565,Summary!$Q$166:$Q$242),0)</f>
        <v>0</v>
      </c>
      <c r="AG3565" s="196">
        <f t="shared" ca="1" si="781"/>
        <v>0</v>
      </c>
      <c r="AI3565" s="196">
        <f>IFERROR($G3565/SUMIF($A:$A,$A3565,$G:$G)*SUMIF(Summary!$A$247:$A$283,$A3565,Summary!$P$247:$P$283),0)</f>
        <v>0</v>
      </c>
      <c r="AJ3565" s="196">
        <f>IFERROR($G3565/SUMIF($A:$A,$A3565,$G:$G)*(SUMIF(Summary!$A$247:$A$283,$A3565,Summary!$L$247:$L$283)+SUMIF(Summary!$A$297:$A$333,$A3565,Summary!$L$297:$L$333))-AI3565,0)</f>
        <v>0</v>
      </c>
      <c r="AK3565" s="196">
        <f>IFERROR($G3565/SUMIF($A:$A,$A3565,$G:$G)*SUMIF(Summary!$A$247:$A$283,$A3565,Summary!$Q$247:$Q$283),0)</f>
        <v>0</v>
      </c>
      <c r="AL3565" s="196">
        <f>IFERROR($G3565/SUMIF($A:$A,$A3565,$G:$G)*(SUMIF(Summary!$A$247:$A$283,$A3565,Summary!$L$247:$L$283)+SUMIF(Summary!$A$297:$A$333,$A3565,Summary!$L$297:$L$333))-AK3565,0)</f>
        <v>0</v>
      </c>
      <c r="AM3565" s="198"/>
      <c r="AN3565" s="196">
        <f t="shared" ca="1" si="782"/>
        <v>0</v>
      </c>
      <c r="AO3565" s="196">
        <f t="shared" ca="1" si="783"/>
        <v>0</v>
      </c>
    </row>
    <row r="3566" spans="1:41">
      <c r="A3566" s="189">
        <v>29269</v>
      </c>
      <c r="B3566" s="190">
        <v>5</v>
      </c>
      <c r="C3566" s="191" t="s">
        <v>232</v>
      </c>
      <c r="D3566" s="192">
        <f t="shared" si="770"/>
        <v>0</v>
      </c>
      <c r="E3566" s="192">
        <f t="shared" si="771"/>
        <v>0</v>
      </c>
      <c r="F3566" s="192">
        <f t="shared" si="772"/>
        <v>0</v>
      </c>
      <c r="G3566" s="193">
        <f t="shared" si="773"/>
        <v>0</v>
      </c>
      <c r="H3566" s="194">
        <v>0</v>
      </c>
      <c r="I3566" s="194">
        <v>0</v>
      </c>
      <c r="J3566" s="194">
        <v>0</v>
      </c>
      <c r="K3566" s="193">
        <f t="shared" si="774"/>
        <v>0</v>
      </c>
      <c r="L3566" s="194">
        <v>0</v>
      </c>
      <c r="M3566" s="194">
        <v>0</v>
      </c>
      <c r="N3566" s="194">
        <v>0</v>
      </c>
      <c r="O3566" s="193">
        <f t="shared" si="775"/>
        <v>0</v>
      </c>
      <c r="P3566" s="194">
        <v>0</v>
      </c>
      <c r="Q3566" s="194">
        <v>0</v>
      </c>
      <c r="R3566" s="194">
        <v>0</v>
      </c>
      <c r="S3566" s="193">
        <f t="shared" si="776"/>
        <v>0</v>
      </c>
      <c r="T3566" s="193">
        <f t="shared" si="777"/>
        <v>0</v>
      </c>
      <c r="U3566" s="193">
        <f ca="1">OFFSET('Expenditure Study'!$B$7,'Operations Support'!$C3566,'Operations Support'!$B3566)*$G3566</f>
        <v>0</v>
      </c>
      <c r="V3566" s="199">
        <f ca="1">U3566*'Expenditure Study'!$B$31</f>
        <v>0</v>
      </c>
      <c r="W3566" s="199">
        <f ca="1">IF(A3566=10298,1.51,1)*IF($B3566&lt;3,$D3566*'Expenditure Study'!$B$32*OFFSET('Expenditure Study'!$B$7,'Operations Support'!$C3566,'Operations Support'!$B3566),0)</f>
        <v>0</v>
      </c>
      <c r="X3566" s="200">
        <f ca="1">W3566*'Expenditure Study'!$B$31</f>
        <v>0</v>
      </c>
      <c r="Y3566" s="199">
        <f ca="1">U3566*'Expenditure Study'!$B$31</f>
        <v>0</v>
      </c>
      <c r="Z3566" s="200">
        <f ca="1">W3566*'Expenditure Study'!$B$31</f>
        <v>0</v>
      </c>
      <c r="AA3566" s="195">
        <f t="shared" ca="1" si="778"/>
        <v>0</v>
      </c>
      <c r="AB3566" s="195">
        <f t="shared" ca="1" si="779"/>
        <v>0</v>
      </c>
      <c r="AD3566" s="196">
        <f>IFERROR($G3566/SUMIF($A:$A,$A3566,$G:$G)*SUMIF(Summary!$A$166:$A$242,$A3566,Summary!$P$166:$P$242),0)</f>
        <v>0</v>
      </c>
      <c r="AE3566" s="197">
        <f t="shared" ca="1" si="780"/>
        <v>0</v>
      </c>
      <c r="AF3566" s="196">
        <f>IFERROR(G3566/SUMIF(A:A,A3566,G:G)*SUMIF(Summary!$A$166:$A$242,'Operations Support'!A3566,Summary!$Q$166:$Q$242),0)</f>
        <v>0</v>
      </c>
      <c r="AG3566" s="196">
        <f t="shared" ca="1" si="781"/>
        <v>0</v>
      </c>
      <c r="AI3566" s="196">
        <f>IFERROR($G3566/SUMIF($A:$A,$A3566,$G:$G)*SUMIF(Summary!$A$247:$A$283,$A3566,Summary!$P$247:$P$283),0)</f>
        <v>0</v>
      </c>
      <c r="AJ3566" s="196">
        <f>IFERROR($G3566/SUMIF($A:$A,$A3566,$G:$G)*(SUMIF(Summary!$A$247:$A$283,$A3566,Summary!$L$247:$L$283)+SUMIF(Summary!$A$297:$A$333,$A3566,Summary!$L$297:$L$333))-AI3566,0)</f>
        <v>0</v>
      </c>
      <c r="AK3566" s="196">
        <f>IFERROR($G3566/SUMIF($A:$A,$A3566,$G:$G)*SUMIF(Summary!$A$247:$A$283,$A3566,Summary!$Q$247:$Q$283),0)</f>
        <v>0</v>
      </c>
      <c r="AL3566" s="196">
        <f>IFERROR($G3566/SUMIF($A:$A,$A3566,$G:$G)*(SUMIF(Summary!$A$247:$A$283,$A3566,Summary!$L$247:$L$283)+SUMIF(Summary!$A$297:$A$333,$A3566,Summary!$L$297:$L$333))-AK3566,0)</f>
        <v>0</v>
      </c>
      <c r="AM3566" s="198"/>
      <c r="AN3566" s="196">
        <f t="shared" ca="1" si="782"/>
        <v>0</v>
      </c>
      <c r="AO3566" s="196">
        <f t="shared" ca="1" si="783"/>
        <v>0</v>
      </c>
    </row>
    <row r="3567" spans="1:41">
      <c r="A3567" s="189">
        <v>29269</v>
      </c>
      <c r="B3567" s="190">
        <v>5</v>
      </c>
      <c r="C3567" s="191" t="s">
        <v>233</v>
      </c>
      <c r="D3567" s="192">
        <f t="shared" si="770"/>
        <v>0</v>
      </c>
      <c r="E3567" s="192">
        <f t="shared" si="771"/>
        <v>0</v>
      </c>
      <c r="F3567" s="192">
        <f t="shared" si="772"/>
        <v>0</v>
      </c>
      <c r="G3567" s="193">
        <f t="shared" si="773"/>
        <v>0</v>
      </c>
      <c r="H3567" s="194">
        <v>0</v>
      </c>
      <c r="I3567" s="194">
        <v>0</v>
      </c>
      <c r="J3567" s="194">
        <v>0</v>
      </c>
      <c r="K3567" s="193">
        <f t="shared" si="774"/>
        <v>0</v>
      </c>
      <c r="L3567" s="194">
        <v>0</v>
      </c>
      <c r="M3567" s="194">
        <v>0</v>
      </c>
      <c r="N3567" s="194">
        <v>0</v>
      </c>
      <c r="O3567" s="193">
        <f t="shared" si="775"/>
        <v>0</v>
      </c>
      <c r="P3567" s="194">
        <v>0</v>
      </c>
      <c r="Q3567" s="194">
        <v>0</v>
      </c>
      <c r="R3567" s="194">
        <v>0</v>
      </c>
      <c r="S3567" s="193">
        <f t="shared" si="776"/>
        <v>0</v>
      </c>
      <c r="T3567" s="193">
        <f t="shared" si="777"/>
        <v>0</v>
      </c>
      <c r="U3567" s="193">
        <f ca="1">OFFSET('Expenditure Study'!$B$7,'Operations Support'!$C3567,'Operations Support'!$B3567)*$G3567</f>
        <v>0</v>
      </c>
      <c r="V3567" s="199">
        <f ca="1">U3567*'Expenditure Study'!$B$31</f>
        <v>0</v>
      </c>
      <c r="W3567" s="199">
        <f ca="1">IF(A3567=10298,1.51,1)*IF($B3567&lt;3,$D3567*'Expenditure Study'!$B$32*OFFSET('Expenditure Study'!$B$7,'Operations Support'!$C3567,'Operations Support'!$B3567),0)</f>
        <v>0</v>
      </c>
      <c r="X3567" s="200">
        <f ca="1">W3567*'Expenditure Study'!$B$31</f>
        <v>0</v>
      </c>
      <c r="Y3567" s="199">
        <f ca="1">U3567*'Expenditure Study'!$B$31</f>
        <v>0</v>
      </c>
      <c r="Z3567" s="200">
        <f ca="1">W3567*'Expenditure Study'!$B$31</f>
        <v>0</v>
      </c>
      <c r="AA3567" s="195">
        <f t="shared" ca="1" si="778"/>
        <v>0</v>
      </c>
      <c r="AB3567" s="195">
        <f t="shared" ca="1" si="779"/>
        <v>0</v>
      </c>
      <c r="AD3567" s="196">
        <f>IFERROR($G3567/SUMIF($A:$A,$A3567,$G:$G)*SUMIF(Summary!$A$166:$A$242,$A3567,Summary!$P$166:$P$242),0)</f>
        <v>0</v>
      </c>
      <c r="AE3567" s="197">
        <f t="shared" ca="1" si="780"/>
        <v>0</v>
      </c>
      <c r="AF3567" s="196">
        <f>IFERROR(G3567/SUMIF(A:A,A3567,G:G)*SUMIF(Summary!$A$166:$A$242,'Operations Support'!A3567,Summary!$Q$166:$Q$242),0)</f>
        <v>0</v>
      </c>
      <c r="AG3567" s="196">
        <f t="shared" ca="1" si="781"/>
        <v>0</v>
      </c>
      <c r="AI3567" s="196">
        <f>IFERROR($G3567/SUMIF($A:$A,$A3567,$G:$G)*SUMIF(Summary!$A$247:$A$283,$A3567,Summary!$P$247:$P$283),0)</f>
        <v>0</v>
      </c>
      <c r="AJ3567" s="196">
        <f>IFERROR($G3567/SUMIF($A:$A,$A3567,$G:$G)*(SUMIF(Summary!$A$247:$A$283,$A3567,Summary!$L$247:$L$283)+SUMIF(Summary!$A$297:$A$333,$A3567,Summary!$L$297:$L$333))-AI3567,0)</f>
        <v>0</v>
      </c>
      <c r="AK3567" s="196">
        <f>IFERROR($G3567/SUMIF($A:$A,$A3567,$G:$G)*SUMIF(Summary!$A$247:$A$283,$A3567,Summary!$Q$247:$Q$283),0)</f>
        <v>0</v>
      </c>
      <c r="AL3567" s="196">
        <f>IFERROR($G3567/SUMIF($A:$A,$A3567,$G:$G)*(SUMIF(Summary!$A$247:$A$283,$A3567,Summary!$L$247:$L$283)+SUMIF(Summary!$A$297:$A$333,$A3567,Summary!$L$297:$L$333))-AK3567,0)</f>
        <v>0</v>
      </c>
      <c r="AM3567" s="198"/>
      <c r="AN3567" s="196">
        <f t="shared" ca="1" si="782"/>
        <v>0</v>
      </c>
      <c r="AO3567" s="196">
        <f t="shared" ca="1" si="783"/>
        <v>0</v>
      </c>
    </row>
    <row r="3568" spans="1:41">
      <c r="A3568" s="189">
        <v>29269</v>
      </c>
      <c r="B3568" s="190">
        <v>5</v>
      </c>
      <c r="C3568" s="191" t="s">
        <v>234</v>
      </c>
      <c r="D3568" s="192">
        <f t="shared" si="770"/>
        <v>0</v>
      </c>
      <c r="E3568" s="192">
        <f t="shared" si="771"/>
        <v>0</v>
      </c>
      <c r="F3568" s="192">
        <f t="shared" si="772"/>
        <v>0</v>
      </c>
      <c r="G3568" s="193">
        <f t="shared" si="773"/>
        <v>0</v>
      </c>
      <c r="H3568" s="194">
        <v>0</v>
      </c>
      <c r="I3568" s="194">
        <v>0</v>
      </c>
      <c r="J3568" s="194">
        <v>0</v>
      </c>
      <c r="K3568" s="193">
        <f t="shared" si="774"/>
        <v>0</v>
      </c>
      <c r="L3568" s="194">
        <v>0</v>
      </c>
      <c r="M3568" s="194">
        <v>0</v>
      </c>
      <c r="N3568" s="194">
        <v>0</v>
      </c>
      <c r="O3568" s="193">
        <f t="shared" si="775"/>
        <v>0</v>
      </c>
      <c r="P3568" s="194">
        <v>0</v>
      </c>
      <c r="Q3568" s="194">
        <v>0</v>
      </c>
      <c r="R3568" s="194">
        <v>0</v>
      </c>
      <c r="S3568" s="193">
        <f t="shared" si="776"/>
        <v>0</v>
      </c>
      <c r="T3568" s="193">
        <f t="shared" si="777"/>
        <v>0</v>
      </c>
      <c r="U3568" s="193">
        <f ca="1">OFFSET('Expenditure Study'!$B$7,'Operations Support'!$C3568,'Operations Support'!$B3568)*$G3568</f>
        <v>0</v>
      </c>
      <c r="V3568" s="199">
        <f ca="1">U3568*'Expenditure Study'!$B$31</f>
        <v>0</v>
      </c>
      <c r="W3568" s="199">
        <f ca="1">IF(A3568=10298,1.51,1)*IF($B3568&lt;3,$D3568*'Expenditure Study'!$B$32*OFFSET('Expenditure Study'!$B$7,'Operations Support'!$C3568,'Operations Support'!$B3568),0)</f>
        <v>0</v>
      </c>
      <c r="X3568" s="200">
        <f ca="1">W3568*'Expenditure Study'!$B$31</f>
        <v>0</v>
      </c>
      <c r="Y3568" s="199">
        <f ca="1">U3568*'Expenditure Study'!$B$31</f>
        <v>0</v>
      </c>
      <c r="Z3568" s="200">
        <f ca="1">W3568*'Expenditure Study'!$B$31</f>
        <v>0</v>
      </c>
      <c r="AA3568" s="195">
        <f t="shared" ca="1" si="778"/>
        <v>0</v>
      </c>
      <c r="AB3568" s="195">
        <f t="shared" ca="1" si="779"/>
        <v>0</v>
      </c>
      <c r="AD3568" s="196">
        <f>IFERROR($G3568/SUMIF($A:$A,$A3568,$G:$G)*SUMIF(Summary!$A$166:$A$242,$A3568,Summary!$P$166:$P$242),0)</f>
        <v>0</v>
      </c>
      <c r="AE3568" s="197">
        <f t="shared" ca="1" si="780"/>
        <v>0</v>
      </c>
      <c r="AF3568" s="196">
        <f>IFERROR(G3568/SUMIF(A:A,A3568,G:G)*SUMIF(Summary!$A$166:$A$242,'Operations Support'!A3568,Summary!$Q$166:$Q$242),0)</f>
        <v>0</v>
      </c>
      <c r="AG3568" s="196">
        <f t="shared" ca="1" si="781"/>
        <v>0</v>
      </c>
      <c r="AI3568" s="196">
        <f>IFERROR($G3568/SUMIF($A:$A,$A3568,$G:$G)*SUMIF(Summary!$A$247:$A$283,$A3568,Summary!$P$247:$P$283),0)</f>
        <v>0</v>
      </c>
      <c r="AJ3568" s="196">
        <f>IFERROR($G3568/SUMIF($A:$A,$A3568,$G:$G)*(SUMIF(Summary!$A$247:$A$283,$A3568,Summary!$L$247:$L$283)+SUMIF(Summary!$A$297:$A$333,$A3568,Summary!$L$297:$L$333))-AI3568,0)</f>
        <v>0</v>
      </c>
      <c r="AK3568" s="196">
        <f>IFERROR($G3568/SUMIF($A:$A,$A3568,$G:$G)*SUMIF(Summary!$A$247:$A$283,$A3568,Summary!$Q$247:$Q$283),0)</f>
        <v>0</v>
      </c>
      <c r="AL3568" s="196">
        <f>IFERROR($G3568/SUMIF($A:$A,$A3568,$G:$G)*(SUMIF(Summary!$A$247:$A$283,$A3568,Summary!$L$247:$L$283)+SUMIF(Summary!$A$297:$A$333,$A3568,Summary!$L$297:$L$333))-AK3568,0)</f>
        <v>0</v>
      </c>
      <c r="AM3568" s="198"/>
      <c r="AN3568" s="196">
        <f t="shared" ca="1" si="782"/>
        <v>0</v>
      </c>
      <c r="AO3568" s="196">
        <f t="shared" ca="1" si="783"/>
        <v>0</v>
      </c>
    </row>
    <row r="3569" spans="1:41">
      <c r="A3569" s="189">
        <v>29269</v>
      </c>
      <c r="B3569" s="190">
        <v>5</v>
      </c>
      <c r="C3569" s="191" t="s">
        <v>235</v>
      </c>
      <c r="D3569" s="192">
        <f t="shared" si="770"/>
        <v>0</v>
      </c>
      <c r="E3569" s="192">
        <f t="shared" si="771"/>
        <v>0</v>
      </c>
      <c r="F3569" s="192">
        <f t="shared" si="772"/>
        <v>0</v>
      </c>
      <c r="G3569" s="193">
        <f t="shared" si="773"/>
        <v>0</v>
      </c>
      <c r="H3569" s="194">
        <v>0</v>
      </c>
      <c r="I3569" s="194">
        <v>0</v>
      </c>
      <c r="J3569" s="194">
        <v>0</v>
      </c>
      <c r="K3569" s="193">
        <f t="shared" si="774"/>
        <v>0</v>
      </c>
      <c r="L3569" s="194">
        <v>0</v>
      </c>
      <c r="M3569" s="194">
        <v>0</v>
      </c>
      <c r="N3569" s="194">
        <v>0</v>
      </c>
      <c r="O3569" s="193">
        <f t="shared" si="775"/>
        <v>0</v>
      </c>
      <c r="P3569" s="194">
        <v>0</v>
      </c>
      <c r="Q3569" s="194">
        <v>0</v>
      </c>
      <c r="R3569" s="194">
        <v>0</v>
      </c>
      <c r="S3569" s="193">
        <f t="shared" si="776"/>
        <v>0</v>
      </c>
      <c r="T3569" s="193">
        <f t="shared" si="777"/>
        <v>0</v>
      </c>
      <c r="U3569" s="193">
        <f ca="1">OFFSET('Expenditure Study'!$B$7,'Operations Support'!$C3569,'Operations Support'!$B3569)*$G3569</f>
        <v>0</v>
      </c>
      <c r="V3569" s="199">
        <f ca="1">U3569*'Expenditure Study'!$B$31</f>
        <v>0</v>
      </c>
      <c r="W3569" s="199">
        <f ca="1">IF(A3569=10298,1.51,1)*IF($B3569&lt;3,$D3569*'Expenditure Study'!$B$32*OFFSET('Expenditure Study'!$B$7,'Operations Support'!$C3569,'Operations Support'!$B3569),0)</f>
        <v>0</v>
      </c>
      <c r="X3569" s="200">
        <f ca="1">W3569*'Expenditure Study'!$B$31</f>
        <v>0</v>
      </c>
      <c r="Y3569" s="199">
        <f ca="1">U3569*'Expenditure Study'!$B$31</f>
        <v>0</v>
      </c>
      <c r="Z3569" s="200">
        <f ca="1">W3569*'Expenditure Study'!$B$31</f>
        <v>0</v>
      </c>
      <c r="AA3569" s="195">
        <f t="shared" ca="1" si="778"/>
        <v>0</v>
      </c>
      <c r="AB3569" s="195">
        <f t="shared" ca="1" si="779"/>
        <v>0</v>
      </c>
      <c r="AD3569" s="196">
        <f>IFERROR($G3569/SUMIF($A:$A,$A3569,$G:$G)*SUMIF(Summary!$A$166:$A$242,$A3569,Summary!$P$166:$P$242),0)</f>
        <v>0</v>
      </c>
      <c r="AE3569" s="197">
        <f t="shared" ca="1" si="780"/>
        <v>0</v>
      </c>
      <c r="AF3569" s="196">
        <f>IFERROR(G3569/SUMIF(A:A,A3569,G:G)*SUMIF(Summary!$A$166:$A$242,'Operations Support'!A3569,Summary!$Q$166:$Q$242),0)</f>
        <v>0</v>
      </c>
      <c r="AG3569" s="196">
        <f t="shared" ca="1" si="781"/>
        <v>0</v>
      </c>
      <c r="AI3569" s="196">
        <f>IFERROR($G3569/SUMIF($A:$A,$A3569,$G:$G)*SUMIF(Summary!$A$247:$A$283,$A3569,Summary!$P$247:$P$283),0)</f>
        <v>0</v>
      </c>
      <c r="AJ3569" s="196">
        <f>IFERROR($G3569/SUMIF($A:$A,$A3569,$G:$G)*(SUMIF(Summary!$A$247:$A$283,$A3569,Summary!$L$247:$L$283)+SUMIF(Summary!$A$297:$A$333,$A3569,Summary!$L$297:$L$333))-AI3569,0)</f>
        <v>0</v>
      </c>
      <c r="AK3569" s="196">
        <f>IFERROR($G3569/SUMIF($A:$A,$A3569,$G:$G)*SUMIF(Summary!$A$247:$A$283,$A3569,Summary!$Q$247:$Q$283),0)</f>
        <v>0</v>
      </c>
      <c r="AL3569" s="196">
        <f>IFERROR($G3569/SUMIF($A:$A,$A3569,$G:$G)*(SUMIF(Summary!$A$247:$A$283,$A3569,Summary!$L$247:$L$283)+SUMIF(Summary!$A$297:$A$333,$A3569,Summary!$L$297:$L$333))-AK3569,0)</f>
        <v>0</v>
      </c>
      <c r="AM3569" s="198"/>
      <c r="AN3569" s="196">
        <f t="shared" ca="1" si="782"/>
        <v>0</v>
      </c>
      <c r="AO3569" s="196">
        <f t="shared" ca="1" si="783"/>
        <v>0</v>
      </c>
    </row>
    <row r="3570" spans="1:41">
      <c r="A3570" s="189">
        <v>29269</v>
      </c>
      <c r="B3570" s="190">
        <v>5</v>
      </c>
      <c r="C3570" s="191" t="s">
        <v>236</v>
      </c>
      <c r="D3570" s="192">
        <f t="shared" si="770"/>
        <v>0</v>
      </c>
      <c r="E3570" s="192">
        <f t="shared" si="771"/>
        <v>0</v>
      </c>
      <c r="F3570" s="192">
        <f t="shared" si="772"/>
        <v>0</v>
      </c>
      <c r="G3570" s="193">
        <f t="shared" si="773"/>
        <v>0</v>
      </c>
      <c r="H3570" s="194">
        <v>0</v>
      </c>
      <c r="I3570" s="194">
        <v>0</v>
      </c>
      <c r="J3570" s="194">
        <v>0</v>
      </c>
      <c r="K3570" s="193">
        <f t="shared" si="774"/>
        <v>0</v>
      </c>
      <c r="L3570" s="194">
        <v>0</v>
      </c>
      <c r="M3570" s="194">
        <v>0</v>
      </c>
      <c r="N3570" s="194">
        <v>0</v>
      </c>
      <c r="O3570" s="193">
        <f t="shared" si="775"/>
        <v>0</v>
      </c>
      <c r="P3570" s="194">
        <v>0</v>
      </c>
      <c r="Q3570" s="194">
        <v>0</v>
      </c>
      <c r="R3570" s="194">
        <v>0</v>
      </c>
      <c r="S3570" s="193">
        <f t="shared" si="776"/>
        <v>0</v>
      </c>
      <c r="T3570" s="193">
        <f t="shared" si="777"/>
        <v>0</v>
      </c>
      <c r="U3570" s="193">
        <f ca="1">OFFSET('Expenditure Study'!$B$7,'Operations Support'!$C3570,'Operations Support'!$B3570)*$G3570</f>
        <v>0</v>
      </c>
      <c r="V3570" s="199">
        <f ca="1">U3570*'Expenditure Study'!$B$31</f>
        <v>0</v>
      </c>
      <c r="W3570" s="199">
        <f ca="1">IF(A3570=10298,1.51,1)*IF($B3570&lt;3,$D3570*'Expenditure Study'!$B$32*OFFSET('Expenditure Study'!$B$7,'Operations Support'!$C3570,'Operations Support'!$B3570),0)</f>
        <v>0</v>
      </c>
      <c r="X3570" s="200">
        <f ca="1">W3570*'Expenditure Study'!$B$31</f>
        <v>0</v>
      </c>
      <c r="Y3570" s="199">
        <f ca="1">U3570*'Expenditure Study'!$B$31</f>
        <v>0</v>
      </c>
      <c r="Z3570" s="200">
        <f ca="1">W3570*'Expenditure Study'!$B$31</f>
        <v>0</v>
      </c>
      <c r="AA3570" s="195">
        <f t="shared" ca="1" si="778"/>
        <v>0</v>
      </c>
      <c r="AB3570" s="195">
        <f t="shared" ca="1" si="779"/>
        <v>0</v>
      </c>
      <c r="AD3570" s="196">
        <f>IFERROR($G3570/SUMIF($A:$A,$A3570,$G:$G)*SUMIF(Summary!$A$166:$A$242,$A3570,Summary!$P$166:$P$242),0)</f>
        <v>0</v>
      </c>
      <c r="AE3570" s="197">
        <f t="shared" ca="1" si="780"/>
        <v>0</v>
      </c>
      <c r="AF3570" s="196">
        <f>IFERROR(G3570/SUMIF(A:A,A3570,G:G)*SUMIF(Summary!$A$166:$A$242,'Operations Support'!A3570,Summary!$Q$166:$Q$242),0)</f>
        <v>0</v>
      </c>
      <c r="AG3570" s="196">
        <f t="shared" ca="1" si="781"/>
        <v>0</v>
      </c>
      <c r="AI3570" s="196">
        <f>IFERROR($G3570/SUMIF($A:$A,$A3570,$G:$G)*SUMIF(Summary!$A$247:$A$283,$A3570,Summary!$P$247:$P$283),0)</f>
        <v>0</v>
      </c>
      <c r="AJ3570" s="196">
        <f>IFERROR($G3570/SUMIF($A:$A,$A3570,$G:$G)*(SUMIF(Summary!$A$247:$A$283,$A3570,Summary!$L$247:$L$283)+SUMIF(Summary!$A$297:$A$333,$A3570,Summary!$L$297:$L$333))-AI3570,0)</f>
        <v>0</v>
      </c>
      <c r="AK3570" s="196">
        <f>IFERROR($G3570/SUMIF($A:$A,$A3570,$G:$G)*SUMIF(Summary!$A$247:$A$283,$A3570,Summary!$Q$247:$Q$283),0)</f>
        <v>0</v>
      </c>
      <c r="AL3570" s="196">
        <f>IFERROR($G3570/SUMIF($A:$A,$A3570,$G:$G)*(SUMIF(Summary!$A$247:$A$283,$A3570,Summary!$L$247:$L$283)+SUMIF(Summary!$A$297:$A$333,$A3570,Summary!$L$297:$L$333))-AK3570,0)</f>
        <v>0</v>
      </c>
      <c r="AM3570" s="198"/>
      <c r="AN3570" s="196">
        <f t="shared" ca="1" si="782"/>
        <v>0</v>
      </c>
      <c r="AO3570" s="196">
        <f t="shared" ca="1" si="783"/>
        <v>0</v>
      </c>
    </row>
    <row r="3571" spans="1:41">
      <c r="A3571" s="189">
        <v>29269</v>
      </c>
      <c r="B3571" s="190">
        <v>5</v>
      </c>
      <c r="C3571" s="191" t="s">
        <v>237</v>
      </c>
      <c r="D3571" s="192">
        <f t="shared" si="770"/>
        <v>0</v>
      </c>
      <c r="E3571" s="192">
        <f t="shared" si="771"/>
        <v>0</v>
      </c>
      <c r="F3571" s="192">
        <f t="shared" si="772"/>
        <v>0</v>
      </c>
      <c r="G3571" s="193">
        <f t="shared" si="773"/>
        <v>0</v>
      </c>
      <c r="H3571" s="194">
        <v>0</v>
      </c>
      <c r="I3571" s="194">
        <v>0</v>
      </c>
      <c r="J3571" s="194">
        <v>0</v>
      </c>
      <c r="K3571" s="193">
        <f t="shared" si="774"/>
        <v>0</v>
      </c>
      <c r="L3571" s="194">
        <v>0</v>
      </c>
      <c r="M3571" s="194">
        <v>0</v>
      </c>
      <c r="N3571" s="194">
        <v>0</v>
      </c>
      <c r="O3571" s="193">
        <f t="shared" si="775"/>
        <v>0</v>
      </c>
      <c r="P3571" s="194">
        <v>0</v>
      </c>
      <c r="Q3571" s="194">
        <v>0</v>
      </c>
      <c r="R3571" s="194">
        <v>0</v>
      </c>
      <c r="S3571" s="193">
        <f t="shared" si="776"/>
        <v>0</v>
      </c>
      <c r="T3571" s="193">
        <f t="shared" si="777"/>
        <v>0</v>
      </c>
      <c r="U3571" s="193">
        <f ca="1">OFFSET('Expenditure Study'!$B$7,'Operations Support'!$C3571,'Operations Support'!$B3571)*$G3571</f>
        <v>0</v>
      </c>
      <c r="V3571" s="199">
        <f ca="1">U3571*'Expenditure Study'!$B$31</f>
        <v>0</v>
      </c>
      <c r="W3571" s="199">
        <f ca="1">IF(A3571=10298,1.51,1)*IF($B3571&lt;3,$D3571*'Expenditure Study'!$B$32*OFFSET('Expenditure Study'!$B$7,'Operations Support'!$C3571,'Operations Support'!$B3571),0)</f>
        <v>0</v>
      </c>
      <c r="X3571" s="200">
        <f ca="1">W3571*'Expenditure Study'!$B$31</f>
        <v>0</v>
      </c>
      <c r="Y3571" s="199">
        <f ca="1">U3571*'Expenditure Study'!$B$31</f>
        <v>0</v>
      </c>
      <c r="Z3571" s="200">
        <f ca="1">W3571*'Expenditure Study'!$B$31</f>
        <v>0</v>
      </c>
      <c r="AA3571" s="195">
        <f t="shared" ca="1" si="778"/>
        <v>0</v>
      </c>
      <c r="AB3571" s="195">
        <f t="shared" ca="1" si="779"/>
        <v>0</v>
      </c>
      <c r="AD3571" s="196">
        <f>IFERROR($G3571/SUMIF($A:$A,$A3571,$G:$G)*SUMIF(Summary!$A$166:$A$242,$A3571,Summary!$P$166:$P$242),0)</f>
        <v>0</v>
      </c>
      <c r="AE3571" s="197">
        <f t="shared" ca="1" si="780"/>
        <v>0</v>
      </c>
      <c r="AF3571" s="196">
        <f>IFERROR(G3571/SUMIF(A:A,A3571,G:G)*SUMIF(Summary!$A$166:$A$242,'Operations Support'!A3571,Summary!$Q$166:$Q$242),0)</f>
        <v>0</v>
      </c>
      <c r="AG3571" s="196">
        <f t="shared" ca="1" si="781"/>
        <v>0</v>
      </c>
      <c r="AI3571" s="196">
        <f>IFERROR($G3571/SUMIF($A:$A,$A3571,$G:$G)*SUMIF(Summary!$A$247:$A$283,$A3571,Summary!$P$247:$P$283),0)</f>
        <v>0</v>
      </c>
      <c r="AJ3571" s="196">
        <f>IFERROR($G3571/SUMIF($A:$A,$A3571,$G:$G)*(SUMIF(Summary!$A$247:$A$283,$A3571,Summary!$L$247:$L$283)+SUMIF(Summary!$A$297:$A$333,$A3571,Summary!$L$297:$L$333))-AI3571,0)</f>
        <v>0</v>
      </c>
      <c r="AK3571" s="196">
        <f>IFERROR($G3571/SUMIF($A:$A,$A3571,$G:$G)*SUMIF(Summary!$A$247:$A$283,$A3571,Summary!$Q$247:$Q$283),0)</f>
        <v>0</v>
      </c>
      <c r="AL3571" s="196">
        <f>IFERROR($G3571/SUMIF($A:$A,$A3571,$G:$G)*(SUMIF(Summary!$A$247:$A$283,$A3571,Summary!$L$247:$L$283)+SUMIF(Summary!$A$297:$A$333,$A3571,Summary!$L$297:$L$333))-AK3571,0)</f>
        <v>0</v>
      </c>
      <c r="AM3571" s="198"/>
      <c r="AN3571" s="196">
        <f t="shared" ca="1" si="782"/>
        <v>0</v>
      </c>
      <c r="AO3571" s="196">
        <f t="shared" ca="1" si="783"/>
        <v>0</v>
      </c>
    </row>
    <row r="3572" spans="1:41">
      <c r="A3572" s="189">
        <v>29269</v>
      </c>
      <c r="B3572" s="190">
        <v>5</v>
      </c>
      <c r="C3572" s="191" t="s">
        <v>238</v>
      </c>
      <c r="D3572" s="192">
        <f t="shared" si="770"/>
        <v>0</v>
      </c>
      <c r="E3572" s="192">
        <f t="shared" si="771"/>
        <v>0</v>
      </c>
      <c r="F3572" s="192">
        <f t="shared" si="772"/>
        <v>0</v>
      </c>
      <c r="G3572" s="193">
        <f t="shared" si="773"/>
        <v>0</v>
      </c>
      <c r="H3572" s="194">
        <v>0</v>
      </c>
      <c r="I3572" s="194">
        <v>0</v>
      </c>
      <c r="J3572" s="194">
        <v>0</v>
      </c>
      <c r="K3572" s="193">
        <f t="shared" si="774"/>
        <v>0</v>
      </c>
      <c r="L3572" s="194">
        <v>0</v>
      </c>
      <c r="M3572" s="194">
        <v>0</v>
      </c>
      <c r="N3572" s="194">
        <v>0</v>
      </c>
      <c r="O3572" s="193">
        <f t="shared" si="775"/>
        <v>0</v>
      </c>
      <c r="P3572" s="194">
        <v>0</v>
      </c>
      <c r="Q3572" s="194">
        <v>0</v>
      </c>
      <c r="R3572" s="194">
        <v>0</v>
      </c>
      <c r="S3572" s="193">
        <f t="shared" si="776"/>
        <v>0</v>
      </c>
      <c r="T3572" s="193">
        <f t="shared" si="777"/>
        <v>0</v>
      </c>
      <c r="U3572" s="193">
        <f ca="1">OFFSET('Expenditure Study'!$B$7,'Operations Support'!$C3572,'Operations Support'!$B3572)*$G3572</f>
        <v>0</v>
      </c>
      <c r="V3572" s="199">
        <f ca="1">U3572*'Expenditure Study'!$B$31</f>
        <v>0</v>
      </c>
      <c r="W3572" s="199">
        <f ca="1">IF(A3572=10298,1.51,1)*IF($B3572&lt;3,$D3572*'Expenditure Study'!$B$32*OFFSET('Expenditure Study'!$B$7,'Operations Support'!$C3572,'Operations Support'!$B3572),0)</f>
        <v>0</v>
      </c>
      <c r="X3572" s="200">
        <f ca="1">W3572*'Expenditure Study'!$B$31</f>
        <v>0</v>
      </c>
      <c r="Y3572" s="199">
        <f ca="1">U3572*'Expenditure Study'!$B$31</f>
        <v>0</v>
      </c>
      <c r="Z3572" s="200">
        <f ca="1">W3572*'Expenditure Study'!$B$31</f>
        <v>0</v>
      </c>
      <c r="AA3572" s="195">
        <f t="shared" ca="1" si="778"/>
        <v>0</v>
      </c>
      <c r="AB3572" s="195">
        <f t="shared" ca="1" si="779"/>
        <v>0</v>
      </c>
      <c r="AD3572" s="196">
        <f>IFERROR($G3572/SUMIF($A:$A,$A3572,$G:$G)*SUMIF(Summary!$A$166:$A$242,$A3572,Summary!$P$166:$P$242),0)</f>
        <v>0</v>
      </c>
      <c r="AE3572" s="197">
        <f t="shared" ca="1" si="780"/>
        <v>0</v>
      </c>
      <c r="AF3572" s="196">
        <f>IFERROR(G3572/SUMIF(A:A,A3572,G:G)*SUMIF(Summary!$A$166:$A$242,'Operations Support'!A3572,Summary!$Q$166:$Q$242),0)</f>
        <v>0</v>
      </c>
      <c r="AG3572" s="196">
        <f t="shared" ca="1" si="781"/>
        <v>0</v>
      </c>
      <c r="AI3572" s="196">
        <f>IFERROR($G3572/SUMIF($A:$A,$A3572,$G:$G)*SUMIF(Summary!$A$247:$A$283,$A3572,Summary!$P$247:$P$283),0)</f>
        <v>0</v>
      </c>
      <c r="AJ3572" s="196">
        <f>IFERROR($G3572/SUMIF($A:$A,$A3572,$G:$G)*(SUMIF(Summary!$A$247:$A$283,$A3572,Summary!$L$247:$L$283)+SUMIF(Summary!$A$297:$A$333,$A3572,Summary!$L$297:$L$333))-AI3572,0)</f>
        <v>0</v>
      </c>
      <c r="AK3572" s="196">
        <f>IFERROR($G3572/SUMIF($A:$A,$A3572,$G:$G)*SUMIF(Summary!$A$247:$A$283,$A3572,Summary!$Q$247:$Q$283),0)</f>
        <v>0</v>
      </c>
      <c r="AL3572" s="196">
        <f>IFERROR($G3572/SUMIF($A:$A,$A3572,$G:$G)*(SUMIF(Summary!$A$247:$A$283,$A3572,Summary!$L$247:$L$283)+SUMIF(Summary!$A$297:$A$333,$A3572,Summary!$L$297:$L$333))-AK3572,0)</f>
        <v>0</v>
      </c>
      <c r="AM3572" s="198"/>
      <c r="AN3572" s="196">
        <f t="shared" ca="1" si="782"/>
        <v>0</v>
      </c>
      <c r="AO3572" s="196">
        <f t="shared" ca="1" si="783"/>
        <v>0</v>
      </c>
    </row>
    <row r="3573" spans="1:41">
      <c r="A3573" s="189">
        <v>29269</v>
      </c>
      <c r="B3573" s="190">
        <v>5</v>
      </c>
      <c r="C3573" s="191" t="s">
        <v>239</v>
      </c>
      <c r="D3573" s="192">
        <f t="shared" si="770"/>
        <v>0</v>
      </c>
      <c r="E3573" s="192">
        <f t="shared" si="771"/>
        <v>0</v>
      </c>
      <c r="F3573" s="192">
        <f t="shared" si="772"/>
        <v>0</v>
      </c>
      <c r="G3573" s="193">
        <f t="shared" si="773"/>
        <v>0</v>
      </c>
      <c r="H3573" s="194">
        <v>0</v>
      </c>
      <c r="I3573" s="194">
        <v>0</v>
      </c>
      <c r="J3573" s="194">
        <v>0</v>
      </c>
      <c r="K3573" s="193">
        <f t="shared" si="774"/>
        <v>0</v>
      </c>
      <c r="L3573" s="194">
        <v>0</v>
      </c>
      <c r="M3573" s="194">
        <v>0</v>
      </c>
      <c r="N3573" s="194">
        <v>0</v>
      </c>
      <c r="O3573" s="193">
        <f t="shared" si="775"/>
        <v>0</v>
      </c>
      <c r="P3573" s="194">
        <v>0</v>
      </c>
      <c r="Q3573" s="194">
        <v>0</v>
      </c>
      <c r="R3573" s="194">
        <v>0</v>
      </c>
      <c r="S3573" s="193">
        <f t="shared" si="776"/>
        <v>0</v>
      </c>
      <c r="T3573" s="193">
        <f t="shared" si="777"/>
        <v>0</v>
      </c>
      <c r="U3573" s="193">
        <f ca="1">OFFSET('Expenditure Study'!$B$7,'Operations Support'!$C3573,'Operations Support'!$B3573)*$G3573</f>
        <v>0</v>
      </c>
      <c r="V3573" s="199">
        <f ca="1">U3573*'Expenditure Study'!$B$31</f>
        <v>0</v>
      </c>
      <c r="W3573" s="199">
        <f ca="1">IF(A3573=10298,1.51,1)*IF($B3573&lt;3,$D3573*'Expenditure Study'!$B$32*OFFSET('Expenditure Study'!$B$7,'Operations Support'!$C3573,'Operations Support'!$B3573),0)</f>
        <v>0</v>
      </c>
      <c r="X3573" s="200">
        <f ca="1">W3573*'Expenditure Study'!$B$31</f>
        <v>0</v>
      </c>
      <c r="Y3573" s="199">
        <f ca="1">U3573*'Expenditure Study'!$B$31</f>
        <v>0</v>
      </c>
      <c r="Z3573" s="200">
        <f ca="1">W3573*'Expenditure Study'!$B$31</f>
        <v>0</v>
      </c>
      <c r="AA3573" s="195">
        <f t="shared" ca="1" si="778"/>
        <v>0</v>
      </c>
      <c r="AB3573" s="195">
        <f t="shared" ca="1" si="779"/>
        <v>0</v>
      </c>
      <c r="AD3573" s="196">
        <f>IFERROR($G3573/SUMIF($A:$A,$A3573,$G:$G)*SUMIF(Summary!$A$166:$A$242,$A3573,Summary!$P$166:$P$242),0)</f>
        <v>0</v>
      </c>
      <c r="AE3573" s="197">
        <f t="shared" ca="1" si="780"/>
        <v>0</v>
      </c>
      <c r="AF3573" s="196">
        <f>IFERROR(G3573/SUMIF(A:A,A3573,G:G)*SUMIF(Summary!$A$166:$A$242,'Operations Support'!A3573,Summary!$Q$166:$Q$242),0)</f>
        <v>0</v>
      </c>
      <c r="AG3573" s="196">
        <f t="shared" ca="1" si="781"/>
        <v>0</v>
      </c>
      <c r="AI3573" s="196">
        <f>IFERROR($G3573/SUMIF($A:$A,$A3573,$G:$G)*SUMIF(Summary!$A$247:$A$283,$A3573,Summary!$P$247:$P$283),0)</f>
        <v>0</v>
      </c>
      <c r="AJ3573" s="196">
        <f>IFERROR($G3573/SUMIF($A:$A,$A3573,$G:$G)*(SUMIF(Summary!$A$247:$A$283,$A3573,Summary!$L$247:$L$283)+SUMIF(Summary!$A$297:$A$333,$A3573,Summary!$L$297:$L$333))-AI3573,0)</f>
        <v>0</v>
      </c>
      <c r="AK3573" s="196">
        <f>IFERROR($G3573/SUMIF($A:$A,$A3573,$G:$G)*SUMIF(Summary!$A$247:$A$283,$A3573,Summary!$Q$247:$Q$283),0)</f>
        <v>0</v>
      </c>
      <c r="AL3573" s="196">
        <f>IFERROR($G3573/SUMIF($A:$A,$A3573,$G:$G)*(SUMIF(Summary!$A$247:$A$283,$A3573,Summary!$L$247:$L$283)+SUMIF(Summary!$A$297:$A$333,$A3573,Summary!$L$297:$L$333))-AK3573,0)</f>
        <v>0</v>
      </c>
      <c r="AM3573" s="198"/>
      <c r="AN3573" s="196">
        <f t="shared" ca="1" si="782"/>
        <v>0</v>
      </c>
      <c r="AO3573" s="196">
        <f t="shared" ca="1" si="783"/>
        <v>0</v>
      </c>
    </row>
    <row r="3574" spans="1:41">
      <c r="A3574" s="189">
        <v>29269</v>
      </c>
      <c r="B3574" s="190">
        <v>5</v>
      </c>
      <c r="C3574" s="191" t="s">
        <v>240</v>
      </c>
      <c r="D3574" s="192">
        <f t="shared" si="770"/>
        <v>0</v>
      </c>
      <c r="E3574" s="192">
        <f t="shared" si="771"/>
        <v>0</v>
      </c>
      <c r="F3574" s="192">
        <f t="shared" si="772"/>
        <v>0</v>
      </c>
      <c r="G3574" s="193">
        <f t="shared" si="773"/>
        <v>0</v>
      </c>
      <c r="H3574" s="194">
        <v>0</v>
      </c>
      <c r="I3574" s="194">
        <v>0</v>
      </c>
      <c r="J3574" s="194">
        <v>0</v>
      </c>
      <c r="K3574" s="193">
        <f t="shared" si="774"/>
        <v>0</v>
      </c>
      <c r="L3574" s="194">
        <v>0</v>
      </c>
      <c r="M3574" s="194">
        <v>0</v>
      </c>
      <c r="N3574" s="194">
        <v>0</v>
      </c>
      <c r="O3574" s="193">
        <f t="shared" si="775"/>
        <v>0</v>
      </c>
      <c r="P3574" s="194">
        <v>0</v>
      </c>
      <c r="Q3574" s="194">
        <v>0</v>
      </c>
      <c r="R3574" s="194">
        <v>0</v>
      </c>
      <c r="S3574" s="193">
        <f t="shared" si="776"/>
        <v>0</v>
      </c>
      <c r="T3574" s="193">
        <f t="shared" si="777"/>
        <v>0</v>
      </c>
      <c r="U3574" s="193">
        <f ca="1">OFFSET('Expenditure Study'!$B$7,'Operations Support'!$C3574,'Operations Support'!$B3574)*$G3574</f>
        <v>0</v>
      </c>
      <c r="V3574" s="199">
        <f ca="1">U3574*'Expenditure Study'!$B$31</f>
        <v>0</v>
      </c>
      <c r="W3574" s="199">
        <f ca="1">IF(A3574=10298,1.51,1)*IF($B3574&lt;3,$D3574*'Expenditure Study'!$B$32*OFFSET('Expenditure Study'!$B$7,'Operations Support'!$C3574,'Operations Support'!$B3574),0)</f>
        <v>0</v>
      </c>
      <c r="X3574" s="200">
        <f ca="1">W3574*'Expenditure Study'!$B$31</f>
        <v>0</v>
      </c>
      <c r="Y3574" s="199">
        <f ca="1">U3574*'Expenditure Study'!$B$31</f>
        <v>0</v>
      </c>
      <c r="Z3574" s="200">
        <f ca="1">W3574*'Expenditure Study'!$B$31</f>
        <v>0</v>
      </c>
      <c r="AA3574" s="195">
        <f t="shared" ca="1" si="778"/>
        <v>0</v>
      </c>
      <c r="AB3574" s="195">
        <f t="shared" ca="1" si="779"/>
        <v>0</v>
      </c>
      <c r="AD3574" s="196">
        <f>IFERROR($G3574/SUMIF($A:$A,$A3574,$G:$G)*SUMIF(Summary!$A$166:$A$242,$A3574,Summary!$P$166:$P$242),0)</f>
        <v>0</v>
      </c>
      <c r="AE3574" s="197">
        <f t="shared" ca="1" si="780"/>
        <v>0</v>
      </c>
      <c r="AF3574" s="196">
        <f>IFERROR(G3574/SUMIF(A:A,A3574,G:G)*SUMIF(Summary!$A$166:$A$242,'Operations Support'!A3574,Summary!$Q$166:$Q$242),0)</f>
        <v>0</v>
      </c>
      <c r="AG3574" s="196">
        <f t="shared" ca="1" si="781"/>
        <v>0</v>
      </c>
      <c r="AI3574" s="196">
        <f>IFERROR($G3574/SUMIF($A:$A,$A3574,$G:$G)*SUMIF(Summary!$A$247:$A$283,$A3574,Summary!$P$247:$P$283),0)</f>
        <v>0</v>
      </c>
      <c r="AJ3574" s="196">
        <f>IFERROR($G3574/SUMIF($A:$A,$A3574,$G:$G)*(SUMIF(Summary!$A$247:$A$283,$A3574,Summary!$L$247:$L$283)+SUMIF(Summary!$A$297:$A$333,$A3574,Summary!$L$297:$L$333))-AI3574,0)</f>
        <v>0</v>
      </c>
      <c r="AK3574" s="196">
        <f>IFERROR($G3574/SUMIF($A:$A,$A3574,$G:$G)*SUMIF(Summary!$A$247:$A$283,$A3574,Summary!$Q$247:$Q$283),0)</f>
        <v>0</v>
      </c>
      <c r="AL3574" s="196">
        <f>IFERROR($G3574/SUMIF($A:$A,$A3574,$G:$G)*(SUMIF(Summary!$A$247:$A$283,$A3574,Summary!$L$247:$L$283)+SUMIF(Summary!$A$297:$A$333,$A3574,Summary!$L$297:$L$333))-AK3574,0)</f>
        <v>0</v>
      </c>
      <c r="AM3574" s="198"/>
      <c r="AN3574" s="196">
        <f t="shared" ca="1" si="782"/>
        <v>0</v>
      </c>
      <c r="AO3574" s="196">
        <f t="shared" ca="1" si="783"/>
        <v>0</v>
      </c>
    </row>
    <row r="3575" spans="1:41">
      <c r="A3575" s="189">
        <v>42295</v>
      </c>
      <c r="B3575" s="190">
        <v>1</v>
      </c>
      <c r="C3575" s="191" t="s">
        <v>220</v>
      </c>
      <c r="D3575" s="192">
        <f t="shared" si="770"/>
        <v>531</v>
      </c>
      <c r="E3575" s="192">
        <f t="shared" si="771"/>
        <v>714</v>
      </c>
      <c r="F3575" s="192">
        <f t="shared" si="772"/>
        <v>0</v>
      </c>
      <c r="G3575" s="193">
        <f t="shared" si="773"/>
        <v>1245</v>
      </c>
      <c r="H3575" s="194">
        <v>207</v>
      </c>
      <c r="I3575" s="194">
        <v>297</v>
      </c>
      <c r="J3575" s="194">
        <v>0</v>
      </c>
      <c r="K3575" s="193">
        <f t="shared" si="774"/>
        <v>504</v>
      </c>
      <c r="L3575" s="194">
        <v>263</v>
      </c>
      <c r="M3575" s="194">
        <v>363</v>
      </c>
      <c r="N3575" s="194">
        <v>0</v>
      </c>
      <c r="O3575" s="193">
        <f t="shared" si="775"/>
        <v>626</v>
      </c>
      <c r="P3575" s="194">
        <v>61</v>
      </c>
      <c r="Q3575" s="194">
        <v>54</v>
      </c>
      <c r="R3575" s="194">
        <v>0</v>
      </c>
      <c r="S3575" s="193">
        <f t="shared" si="776"/>
        <v>115</v>
      </c>
      <c r="T3575" s="193">
        <f t="shared" si="777"/>
        <v>41.5</v>
      </c>
      <c r="U3575" s="193">
        <f ca="1">OFFSET('Expenditure Study'!$B$7,'Operations Support'!$C3575,'Operations Support'!$B3575)*$G3575</f>
        <v>1245</v>
      </c>
      <c r="V3575" s="199">
        <f ca="1">U3575*'Expenditure Study'!$B$31</f>
        <v>73558.560096000001</v>
      </c>
      <c r="W3575" s="199">
        <f ca="1">IF(A3575=10298,1.51,1)*IF($B3575&lt;3,$D3575*'Expenditure Study'!$B$32*OFFSET('Expenditure Study'!$B$7,'Operations Support'!$C3575,'Operations Support'!$B3575),0)</f>
        <v>53.1</v>
      </c>
      <c r="X3575" s="200">
        <f ca="1">W3575*'Expenditure Study'!$B$31</f>
        <v>3137.3169004800002</v>
      </c>
      <c r="Y3575" s="199">
        <f ca="1">U3575*'Expenditure Study'!$B$31</f>
        <v>73558.560096000001</v>
      </c>
      <c r="Z3575" s="200">
        <f ca="1">W3575*'Expenditure Study'!$B$31</f>
        <v>3137.3169004800002</v>
      </c>
      <c r="AA3575" s="195">
        <f t="shared" ca="1" si="778"/>
        <v>76695.876996480001</v>
      </c>
      <c r="AB3575" s="195">
        <f t="shared" ca="1" si="779"/>
        <v>76695.876996480001</v>
      </c>
      <c r="AD3575" s="196">
        <f>IFERROR($G3575/SUMIF($A:$A,$A3575,$G:$G)*SUMIF(Summary!$A$166:$A$242,$A3575,Summary!$P$166:$P$242),0)</f>
        <v>32418.985447972889</v>
      </c>
      <c r="AE3575" s="197">
        <f t="shared" ca="1" si="780"/>
        <v>44276.891548507112</v>
      </c>
      <c r="AF3575" s="196">
        <f>IFERROR(G3575/SUMIF(A:A,A3575,G:G)*SUMIF(Summary!$A$166:$A$242,'Operations Support'!A3575,Summary!$Q$166:$Q$242),0)</f>
        <v>32474.090222603863</v>
      </c>
      <c r="AG3575" s="196">
        <f t="shared" ca="1" si="781"/>
        <v>44221.786773876142</v>
      </c>
      <c r="AI3575" s="196">
        <f>IFERROR($G3575/SUMIF($A:$A,$A3575,$G:$G)*SUMIF(Summary!$A$247:$A$283,$A3575,Summary!$P$247:$P$283),0)</f>
        <v>5912.4139389463762</v>
      </c>
      <c r="AJ3575" s="196">
        <f>IFERROR($G3575/SUMIF($A:$A,$A3575,$G:$G)*(SUMIF(Summary!$A$247:$A$283,$A3575,Summary!$L$247:$L$283)+SUMIF(Summary!$A$297:$A$333,$A3575,Summary!$L$297:$L$333))-AI3575,0)</f>
        <v>58275.723216546307</v>
      </c>
      <c r="AK3575" s="196">
        <f>IFERROR($G3575/SUMIF($A:$A,$A3575,$G:$G)*SUMIF(Summary!$A$247:$A$283,$A3575,Summary!$Q$247:$Q$283),0)</f>
        <v>5922.4636747147442</v>
      </c>
      <c r="AL3575" s="196">
        <f>IFERROR($G3575/SUMIF($A:$A,$A3575,$G:$G)*(SUMIF(Summary!$A$247:$A$283,$A3575,Summary!$L$247:$L$283)+SUMIF(Summary!$A$297:$A$333,$A3575,Summary!$L$297:$L$333))-AK3575,0)</f>
        <v>58265.673480777936</v>
      </c>
      <c r="AM3575" s="198"/>
      <c r="AN3575" s="196">
        <f t="shared" ca="1" si="782"/>
        <v>102552.61476505341</v>
      </c>
      <c r="AO3575" s="196">
        <f t="shared" ca="1" si="783"/>
        <v>102487.46025465408</v>
      </c>
    </row>
    <row r="3576" spans="1:41">
      <c r="A3576" s="189">
        <v>42295</v>
      </c>
      <c r="B3576" s="190">
        <v>1</v>
      </c>
      <c r="C3576" s="191" t="s">
        <v>221</v>
      </c>
      <c r="D3576" s="192">
        <f t="shared" si="770"/>
        <v>59</v>
      </c>
      <c r="E3576" s="192">
        <f t="shared" si="771"/>
        <v>50</v>
      </c>
      <c r="F3576" s="192">
        <f t="shared" si="772"/>
        <v>0</v>
      </c>
      <c r="G3576" s="193">
        <f t="shared" si="773"/>
        <v>109</v>
      </c>
      <c r="H3576" s="194">
        <v>25</v>
      </c>
      <c r="I3576" s="194">
        <v>18</v>
      </c>
      <c r="J3576" s="194">
        <v>0</v>
      </c>
      <c r="K3576" s="193">
        <f t="shared" si="774"/>
        <v>43</v>
      </c>
      <c r="L3576" s="194">
        <v>31</v>
      </c>
      <c r="M3576" s="194">
        <v>32</v>
      </c>
      <c r="N3576" s="194">
        <v>0</v>
      </c>
      <c r="O3576" s="193">
        <f t="shared" si="775"/>
        <v>63</v>
      </c>
      <c r="P3576" s="194">
        <v>3</v>
      </c>
      <c r="Q3576" s="194">
        <v>0</v>
      </c>
      <c r="R3576" s="194">
        <v>0</v>
      </c>
      <c r="S3576" s="193">
        <f t="shared" si="776"/>
        <v>3</v>
      </c>
      <c r="T3576" s="193">
        <f t="shared" si="777"/>
        <v>3.6333333333333333</v>
      </c>
      <c r="U3576" s="193">
        <f ca="1">OFFSET('Expenditure Study'!$B$7,'Operations Support'!$C3576,'Operations Support'!$B3576)*$G3576</f>
        <v>146.06</v>
      </c>
      <c r="V3576" s="199">
        <f ca="1">U3576*'Expenditure Study'!$B$31</f>
        <v>8629.6893876480008</v>
      </c>
      <c r="W3576" s="199">
        <f ca="1">IF(A3576=10298,1.51,1)*IF($B3576&lt;3,$D3576*'Expenditure Study'!$B$32*OFFSET('Expenditure Study'!$B$7,'Operations Support'!$C3576,'Operations Support'!$B3576),0)</f>
        <v>7.9060000000000006</v>
      </c>
      <c r="X3576" s="200">
        <f ca="1">W3576*'Expenditure Study'!$B$31</f>
        <v>467.11162740480006</v>
      </c>
      <c r="Y3576" s="199">
        <f ca="1">U3576*'Expenditure Study'!$B$31</f>
        <v>8629.6893876480008</v>
      </c>
      <c r="Z3576" s="200">
        <f ca="1">W3576*'Expenditure Study'!$B$31</f>
        <v>467.11162740480006</v>
      </c>
      <c r="AA3576" s="195">
        <f t="shared" ca="1" si="778"/>
        <v>9096.8010150528007</v>
      </c>
      <c r="AB3576" s="195">
        <f t="shared" ca="1" si="779"/>
        <v>9096.8010150528007</v>
      </c>
      <c r="AD3576" s="196">
        <f>IFERROR($G3576/SUMIF($A:$A,$A3576,$G:$G)*SUMIF(Summary!$A$166:$A$242,$A3576,Summary!$P$166:$P$242),0)</f>
        <v>2838.2886858064617</v>
      </c>
      <c r="AE3576" s="197">
        <f t="shared" ca="1" si="780"/>
        <v>6258.5123292463395</v>
      </c>
      <c r="AF3576" s="196">
        <f>IFERROR(G3576/SUMIF(A:A,A3576,G:G)*SUMIF(Summary!$A$166:$A$242,'Operations Support'!A3576,Summary!$Q$166:$Q$242),0)</f>
        <v>2843.1131198906191</v>
      </c>
      <c r="AG3576" s="196">
        <f t="shared" ca="1" si="781"/>
        <v>6253.687895162182</v>
      </c>
      <c r="AI3576" s="196">
        <f>IFERROR($G3576/SUMIF($A:$A,$A3576,$G:$G)*SUMIF(Summary!$A$247:$A$283,$A3576,Summary!$P$247:$P$283),0)</f>
        <v>517.63302758646989</v>
      </c>
      <c r="AJ3576" s="196">
        <f>IFERROR($G3576/SUMIF($A:$A,$A3576,$G:$G)*(SUMIF(Summary!$A$247:$A$283,$A3576,Summary!$L$247:$L$283)+SUMIF(Summary!$A$297:$A$333,$A3576,Summary!$L$297:$L$333))-AI3576,0)</f>
        <v>5102.0512695610814</v>
      </c>
      <c r="AK3576" s="196">
        <f>IFERROR($G3576/SUMIF($A:$A,$A3576,$G:$G)*SUMIF(Summary!$A$247:$A$283,$A3576,Summary!$Q$247:$Q$283),0)</f>
        <v>518.51288397100973</v>
      </c>
      <c r="AL3576" s="196">
        <f>IFERROR($G3576/SUMIF($A:$A,$A3576,$G:$G)*(SUMIF(Summary!$A$247:$A$283,$A3576,Summary!$L$247:$L$283)+SUMIF(Summary!$A$297:$A$333,$A3576,Summary!$L$297:$L$333))-AK3576,0)</f>
        <v>5101.171413176542</v>
      </c>
      <c r="AM3576" s="198"/>
      <c r="AN3576" s="196">
        <f t="shared" ca="1" si="782"/>
        <v>11360.563598807421</v>
      </c>
      <c r="AO3576" s="196">
        <f t="shared" ca="1" si="783"/>
        <v>11354.859308338724</v>
      </c>
    </row>
    <row r="3577" spans="1:41">
      <c r="A3577" s="189">
        <v>42295</v>
      </c>
      <c r="B3577" s="190">
        <v>1</v>
      </c>
      <c r="C3577" s="191" t="s">
        <v>222</v>
      </c>
      <c r="D3577" s="192">
        <f t="shared" si="770"/>
        <v>6</v>
      </c>
      <c r="E3577" s="192">
        <f t="shared" si="771"/>
        <v>55</v>
      </c>
      <c r="F3577" s="192">
        <f t="shared" si="772"/>
        <v>0</v>
      </c>
      <c r="G3577" s="193">
        <f t="shared" si="773"/>
        <v>61</v>
      </c>
      <c r="H3577" s="194">
        <v>1</v>
      </c>
      <c r="I3577" s="194">
        <v>17</v>
      </c>
      <c r="J3577" s="194">
        <v>0</v>
      </c>
      <c r="K3577" s="193">
        <f t="shared" si="774"/>
        <v>18</v>
      </c>
      <c r="L3577" s="194">
        <v>1</v>
      </c>
      <c r="M3577" s="194">
        <v>32</v>
      </c>
      <c r="N3577" s="194">
        <v>0</v>
      </c>
      <c r="O3577" s="193">
        <f t="shared" si="775"/>
        <v>33</v>
      </c>
      <c r="P3577" s="194">
        <v>4</v>
      </c>
      <c r="Q3577" s="194">
        <v>6</v>
      </c>
      <c r="R3577" s="194">
        <v>0</v>
      </c>
      <c r="S3577" s="193">
        <f t="shared" si="776"/>
        <v>10</v>
      </c>
      <c r="T3577" s="193">
        <f t="shared" si="777"/>
        <v>2.0333333333333332</v>
      </c>
      <c r="U3577" s="193">
        <f ca="1">OFFSET('Expenditure Study'!$B$7,'Operations Support'!$C3577,'Operations Support'!$B3577)*$G3577</f>
        <v>83.570000000000007</v>
      </c>
      <c r="V3577" s="199">
        <f ca="1">U3577*'Expenditure Study'!$B$31</f>
        <v>4937.5814194560007</v>
      </c>
      <c r="W3577" s="199">
        <f ca="1">IF(A3577=10298,1.51,1)*IF($B3577&lt;3,$D3577*'Expenditure Study'!$B$32*OFFSET('Expenditure Study'!$B$7,'Operations Support'!$C3577,'Operations Support'!$B3577),0)</f>
        <v>0.82200000000000017</v>
      </c>
      <c r="X3577" s="200">
        <f ca="1">W3577*'Expenditure Study'!$B$31</f>
        <v>48.566374617600012</v>
      </c>
      <c r="Y3577" s="199">
        <f ca="1">U3577*'Expenditure Study'!$B$31</f>
        <v>4937.5814194560007</v>
      </c>
      <c r="Z3577" s="200">
        <f ca="1">W3577*'Expenditure Study'!$B$31</f>
        <v>48.566374617600012</v>
      </c>
      <c r="AA3577" s="195">
        <f t="shared" ca="1" si="778"/>
        <v>4986.1477940736004</v>
      </c>
      <c r="AB3577" s="195">
        <f t="shared" ca="1" si="779"/>
        <v>4986.1477940736004</v>
      </c>
      <c r="AD3577" s="196">
        <f>IFERROR($G3577/SUMIF($A:$A,$A3577,$G:$G)*SUMIF(Summary!$A$166:$A$242,$A3577,Summary!$P$166:$P$242),0)</f>
        <v>1588.4000902219648</v>
      </c>
      <c r="AE3577" s="197">
        <f t="shared" ca="1" si="780"/>
        <v>3397.7477038516354</v>
      </c>
      <c r="AF3577" s="196">
        <f>IFERROR(G3577/SUMIF(A:A,A3577,G:G)*SUMIF(Summary!$A$166:$A$242,'Operations Support'!A3577,Summary!$Q$166:$Q$242),0)</f>
        <v>1591.1000028745668</v>
      </c>
      <c r="AG3577" s="196">
        <f t="shared" ca="1" si="781"/>
        <v>3395.0477911990338</v>
      </c>
      <c r="AI3577" s="196">
        <f>IFERROR($G3577/SUMIF($A:$A,$A3577,$G:$G)*SUMIF(Summary!$A$247:$A$283,$A3577,Summary!$P$247:$P$283),0)</f>
        <v>289.68453837407947</v>
      </c>
      <c r="AJ3577" s="196">
        <f>IFERROR($G3577/SUMIF($A:$A,$A3577,$G:$G)*(SUMIF(Summary!$A$247:$A$283,$A3577,Summary!$L$247:$L$283)+SUMIF(Summary!$A$297:$A$333,$A3577,Summary!$L$297:$L$333))-AI3577,0)</f>
        <v>2855.2763985617066</v>
      </c>
      <c r="AK3577" s="196">
        <f>IFERROR($G3577/SUMIF($A:$A,$A3577,$G:$G)*SUMIF(Summary!$A$247:$A$283,$A3577,Summary!$Q$247:$Q$283),0)</f>
        <v>290.17693506634487</v>
      </c>
      <c r="AL3577" s="196">
        <f>IFERROR($G3577/SUMIF($A:$A,$A3577,$G:$G)*(SUMIF(Summary!$A$247:$A$283,$A3577,Summary!$L$247:$L$283)+SUMIF(Summary!$A$297:$A$333,$A3577,Summary!$L$297:$L$333))-AK3577,0)</f>
        <v>2854.784001869441</v>
      </c>
      <c r="AM3577" s="198"/>
      <c r="AN3577" s="196">
        <f t="shared" ca="1" si="782"/>
        <v>6253.024102413342</v>
      </c>
      <c r="AO3577" s="196">
        <f t="shared" ca="1" si="783"/>
        <v>6249.8317930684752</v>
      </c>
    </row>
    <row r="3578" spans="1:41">
      <c r="A3578" s="189">
        <v>42295</v>
      </c>
      <c r="B3578" s="190">
        <v>1</v>
      </c>
      <c r="C3578" s="191" t="s">
        <v>223</v>
      </c>
      <c r="D3578" s="192">
        <f t="shared" si="770"/>
        <v>71</v>
      </c>
      <c r="E3578" s="192">
        <f t="shared" si="771"/>
        <v>37</v>
      </c>
      <c r="F3578" s="192">
        <f t="shared" si="772"/>
        <v>0</v>
      </c>
      <c r="G3578" s="193">
        <f t="shared" si="773"/>
        <v>108</v>
      </c>
      <c r="H3578" s="194">
        <v>15</v>
      </c>
      <c r="I3578" s="194">
        <v>19</v>
      </c>
      <c r="J3578" s="194">
        <v>0</v>
      </c>
      <c r="K3578" s="193">
        <f t="shared" si="774"/>
        <v>34</v>
      </c>
      <c r="L3578" s="194">
        <v>56</v>
      </c>
      <c r="M3578" s="194">
        <v>18</v>
      </c>
      <c r="N3578" s="194">
        <v>0</v>
      </c>
      <c r="O3578" s="193">
        <f t="shared" si="775"/>
        <v>74</v>
      </c>
      <c r="P3578" s="194">
        <v>0</v>
      </c>
      <c r="Q3578" s="194">
        <v>0</v>
      </c>
      <c r="R3578" s="194">
        <v>0</v>
      </c>
      <c r="S3578" s="193">
        <f t="shared" si="776"/>
        <v>0</v>
      </c>
      <c r="T3578" s="193">
        <f t="shared" si="777"/>
        <v>3.6</v>
      </c>
      <c r="U3578" s="193">
        <f ca="1">OFFSET('Expenditure Study'!$B$7,'Operations Support'!$C3578,'Operations Support'!$B3578)*$G3578</f>
        <v>136.08000000000001</v>
      </c>
      <c r="V3578" s="199">
        <f ca="1">U3578*'Expenditure Study'!$B$31</f>
        <v>8040.039243264001</v>
      </c>
      <c r="W3578" s="199">
        <f ca="1">IF(A3578=10298,1.51,1)*IF($B3578&lt;3,$D3578*'Expenditure Study'!$B$32*OFFSET('Expenditure Study'!$B$7,'Operations Support'!$C3578,'Operations Support'!$B3578),0)</f>
        <v>8.9460000000000015</v>
      </c>
      <c r="X3578" s="200">
        <f ca="1">W3578*'Expenditure Study'!$B$31</f>
        <v>528.55813543680006</v>
      </c>
      <c r="Y3578" s="199">
        <f ca="1">U3578*'Expenditure Study'!$B$31</f>
        <v>8040.039243264001</v>
      </c>
      <c r="Z3578" s="200">
        <f ca="1">W3578*'Expenditure Study'!$B$31</f>
        <v>528.55813543680006</v>
      </c>
      <c r="AA3578" s="195">
        <f t="shared" ca="1" si="778"/>
        <v>8568.5973787008006</v>
      </c>
      <c r="AB3578" s="195">
        <f t="shared" ca="1" si="779"/>
        <v>8568.5973787008006</v>
      </c>
      <c r="AD3578" s="196">
        <f>IFERROR($G3578/SUMIF($A:$A,$A3578,$G:$G)*SUMIF(Summary!$A$166:$A$242,$A3578,Summary!$P$166:$P$242),0)</f>
        <v>2812.2493400651178</v>
      </c>
      <c r="AE3578" s="197">
        <f t="shared" ca="1" si="780"/>
        <v>5756.3480386356823</v>
      </c>
      <c r="AF3578" s="196">
        <f>IFERROR(G3578/SUMIF(A:A,A3578,G:G)*SUMIF(Summary!$A$166:$A$242,'Operations Support'!A3578,Summary!$Q$166:$Q$242),0)</f>
        <v>2817.0295132861183</v>
      </c>
      <c r="AG3578" s="196">
        <f t="shared" ca="1" si="781"/>
        <v>5751.5678654146823</v>
      </c>
      <c r="AI3578" s="196">
        <f>IFERROR($G3578/SUMIF($A:$A,$A3578,$G:$G)*SUMIF(Summary!$A$247:$A$283,$A3578,Summary!$P$247:$P$283),0)</f>
        <v>512.88410072787838</v>
      </c>
      <c r="AJ3578" s="196">
        <f>IFERROR($G3578/SUMIF($A:$A,$A3578,$G:$G)*(SUMIF(Summary!$A$247:$A$283,$A3578,Summary!$L$247:$L$283)+SUMIF(Summary!$A$297:$A$333,$A3578,Summary!$L$297:$L$333))-AI3578,0)</f>
        <v>5055.2434597485953</v>
      </c>
      <c r="AK3578" s="196">
        <f>IFERROR($G3578/SUMIF($A:$A,$A3578,$G:$G)*SUMIF(Summary!$A$247:$A$283,$A3578,Summary!$Q$247:$Q$283),0)</f>
        <v>513.75588503549579</v>
      </c>
      <c r="AL3578" s="196">
        <f>IFERROR($G3578/SUMIF($A:$A,$A3578,$G:$G)*(SUMIF(Summary!$A$247:$A$283,$A3578,Summary!$L$247:$L$283)+SUMIF(Summary!$A$297:$A$333,$A3578,Summary!$L$297:$L$333))-AK3578,0)</f>
        <v>5054.3716754409779</v>
      </c>
      <c r="AM3578" s="198"/>
      <c r="AN3578" s="196">
        <f t="shared" ca="1" si="782"/>
        <v>10811.591498384278</v>
      </c>
      <c r="AO3578" s="196">
        <f t="shared" ca="1" si="783"/>
        <v>10805.939540855659</v>
      </c>
    </row>
    <row r="3579" spans="1:41">
      <c r="A3579" s="189">
        <v>42295</v>
      </c>
      <c r="B3579" s="190">
        <v>1</v>
      </c>
      <c r="C3579" s="191" t="s">
        <v>224</v>
      </c>
      <c r="D3579" s="192">
        <f t="shared" si="770"/>
        <v>0</v>
      </c>
      <c r="E3579" s="192">
        <f t="shared" si="771"/>
        <v>0</v>
      </c>
      <c r="F3579" s="192">
        <f t="shared" si="772"/>
        <v>0</v>
      </c>
      <c r="G3579" s="193">
        <f t="shared" si="773"/>
        <v>0</v>
      </c>
      <c r="H3579" s="194">
        <v>0</v>
      </c>
      <c r="I3579" s="194">
        <v>0</v>
      </c>
      <c r="J3579" s="194">
        <v>0</v>
      </c>
      <c r="K3579" s="193">
        <f t="shared" si="774"/>
        <v>0</v>
      </c>
      <c r="L3579" s="194">
        <v>0</v>
      </c>
      <c r="M3579" s="194">
        <v>0</v>
      </c>
      <c r="N3579" s="194">
        <v>0</v>
      </c>
      <c r="O3579" s="193">
        <f t="shared" si="775"/>
        <v>0</v>
      </c>
      <c r="P3579" s="194">
        <v>0</v>
      </c>
      <c r="Q3579" s="194">
        <v>0</v>
      </c>
      <c r="R3579" s="194">
        <v>0</v>
      </c>
      <c r="S3579" s="193">
        <f t="shared" si="776"/>
        <v>0</v>
      </c>
      <c r="T3579" s="193">
        <f t="shared" si="777"/>
        <v>0</v>
      </c>
      <c r="U3579" s="193">
        <f ca="1">OFFSET('Expenditure Study'!$B$7,'Operations Support'!$C3579,'Operations Support'!$B3579)*$G3579</f>
        <v>0</v>
      </c>
      <c r="V3579" s="199">
        <f ca="1">U3579*'Expenditure Study'!$B$31</f>
        <v>0</v>
      </c>
      <c r="W3579" s="199">
        <f ca="1">IF(A3579=10298,1.51,1)*IF($B3579&lt;3,$D3579*'Expenditure Study'!$B$32*OFFSET('Expenditure Study'!$B$7,'Operations Support'!$C3579,'Operations Support'!$B3579),0)</f>
        <v>0</v>
      </c>
      <c r="X3579" s="200">
        <f ca="1">W3579*'Expenditure Study'!$B$31</f>
        <v>0</v>
      </c>
      <c r="Y3579" s="199">
        <f ca="1">U3579*'Expenditure Study'!$B$31</f>
        <v>0</v>
      </c>
      <c r="Z3579" s="200">
        <f ca="1">W3579*'Expenditure Study'!$B$31</f>
        <v>0</v>
      </c>
      <c r="AA3579" s="195">
        <f t="shared" ca="1" si="778"/>
        <v>0</v>
      </c>
      <c r="AB3579" s="195">
        <f t="shared" ca="1" si="779"/>
        <v>0</v>
      </c>
      <c r="AD3579" s="196">
        <f>IFERROR($G3579/SUMIF($A:$A,$A3579,$G:$G)*SUMIF(Summary!$A$166:$A$242,$A3579,Summary!$P$166:$P$242),0)</f>
        <v>0</v>
      </c>
      <c r="AE3579" s="197">
        <f t="shared" ca="1" si="780"/>
        <v>0</v>
      </c>
      <c r="AF3579" s="196">
        <f>IFERROR(G3579/SUMIF(A:A,A3579,G:G)*SUMIF(Summary!$A$166:$A$242,'Operations Support'!A3579,Summary!$Q$166:$Q$242),0)</f>
        <v>0</v>
      </c>
      <c r="AG3579" s="196">
        <f t="shared" ca="1" si="781"/>
        <v>0</v>
      </c>
      <c r="AI3579" s="196">
        <f>IFERROR($G3579/SUMIF($A:$A,$A3579,$G:$G)*SUMIF(Summary!$A$247:$A$283,$A3579,Summary!$P$247:$P$283),0)</f>
        <v>0</v>
      </c>
      <c r="AJ3579" s="196">
        <f>IFERROR($G3579/SUMIF($A:$A,$A3579,$G:$G)*(SUMIF(Summary!$A$247:$A$283,$A3579,Summary!$L$247:$L$283)+SUMIF(Summary!$A$297:$A$333,$A3579,Summary!$L$297:$L$333))-AI3579,0)</f>
        <v>0</v>
      </c>
      <c r="AK3579" s="196">
        <f>IFERROR($G3579/SUMIF($A:$A,$A3579,$G:$G)*SUMIF(Summary!$A$247:$A$283,$A3579,Summary!$Q$247:$Q$283),0)</f>
        <v>0</v>
      </c>
      <c r="AL3579" s="196">
        <f>IFERROR($G3579/SUMIF($A:$A,$A3579,$G:$G)*(SUMIF(Summary!$A$247:$A$283,$A3579,Summary!$L$247:$L$283)+SUMIF(Summary!$A$297:$A$333,$A3579,Summary!$L$297:$L$333))-AK3579,0)</f>
        <v>0</v>
      </c>
      <c r="AM3579" s="198"/>
      <c r="AN3579" s="196">
        <f t="shared" ca="1" si="782"/>
        <v>0</v>
      </c>
      <c r="AO3579" s="196">
        <f t="shared" ca="1" si="783"/>
        <v>0</v>
      </c>
    </row>
    <row r="3580" spans="1:41">
      <c r="A3580" s="189">
        <v>42295</v>
      </c>
      <c r="B3580" s="190">
        <v>1</v>
      </c>
      <c r="C3580" s="191" t="s">
        <v>225</v>
      </c>
      <c r="D3580" s="192">
        <f t="shared" si="770"/>
        <v>102</v>
      </c>
      <c r="E3580" s="192">
        <f t="shared" si="771"/>
        <v>276</v>
      </c>
      <c r="F3580" s="192">
        <f t="shared" si="772"/>
        <v>0</v>
      </c>
      <c r="G3580" s="193">
        <f t="shared" si="773"/>
        <v>378</v>
      </c>
      <c r="H3580" s="194">
        <v>12</v>
      </c>
      <c r="I3580" s="194">
        <v>132</v>
      </c>
      <c r="J3580" s="194">
        <v>0</v>
      </c>
      <c r="K3580" s="193">
        <f t="shared" si="774"/>
        <v>144</v>
      </c>
      <c r="L3580" s="194">
        <v>90</v>
      </c>
      <c r="M3580" s="194">
        <v>99</v>
      </c>
      <c r="N3580" s="194">
        <v>0</v>
      </c>
      <c r="O3580" s="193">
        <f t="shared" si="775"/>
        <v>189</v>
      </c>
      <c r="P3580" s="194">
        <v>0</v>
      </c>
      <c r="Q3580" s="194">
        <v>45</v>
      </c>
      <c r="R3580" s="194">
        <v>0</v>
      </c>
      <c r="S3580" s="193">
        <f t="shared" si="776"/>
        <v>45</v>
      </c>
      <c r="T3580" s="193">
        <f t="shared" si="777"/>
        <v>12.6</v>
      </c>
      <c r="U3580" s="193">
        <f ca="1">OFFSET('Expenditure Study'!$B$7,'Operations Support'!$C3580,'Operations Support'!$B3580)*$G3580</f>
        <v>665.28</v>
      </c>
      <c r="V3580" s="199">
        <f ca="1">U3580*'Expenditure Study'!$B$31</f>
        <v>39306.858522623996</v>
      </c>
      <c r="W3580" s="199">
        <f ca="1">IF(A3580=10298,1.51,1)*IF($B3580&lt;3,$D3580*'Expenditure Study'!$B$32*OFFSET('Expenditure Study'!$B$7,'Operations Support'!$C3580,'Operations Support'!$B3580),0)</f>
        <v>17.952000000000002</v>
      </c>
      <c r="X3580" s="200">
        <f ca="1">W3580*'Expenditure Study'!$B$31</f>
        <v>1060.6612617216001</v>
      </c>
      <c r="Y3580" s="199">
        <f ca="1">U3580*'Expenditure Study'!$B$31</f>
        <v>39306.858522623996</v>
      </c>
      <c r="Z3580" s="200">
        <f ca="1">W3580*'Expenditure Study'!$B$31</f>
        <v>1060.6612617216001</v>
      </c>
      <c r="AA3580" s="195">
        <f t="shared" ca="1" si="778"/>
        <v>40367.519784345597</v>
      </c>
      <c r="AB3580" s="195">
        <f t="shared" ca="1" si="779"/>
        <v>40367.519784345597</v>
      </c>
      <c r="AD3580" s="196">
        <f>IFERROR($G3580/SUMIF($A:$A,$A3580,$G:$G)*SUMIF(Summary!$A$166:$A$242,$A3580,Summary!$P$166:$P$242),0)</f>
        <v>9842.8726902279122</v>
      </c>
      <c r="AE3580" s="197">
        <f t="shared" ca="1" si="780"/>
        <v>30524.647094117685</v>
      </c>
      <c r="AF3580" s="196">
        <f>IFERROR(G3580/SUMIF(A:A,A3580,G:G)*SUMIF(Summary!$A$166:$A$242,'Operations Support'!A3580,Summary!$Q$166:$Q$242),0)</f>
        <v>9859.6032965014147</v>
      </c>
      <c r="AG3580" s="196">
        <f t="shared" ca="1" si="781"/>
        <v>30507.916487844181</v>
      </c>
      <c r="AI3580" s="196">
        <f>IFERROR($G3580/SUMIF($A:$A,$A3580,$G:$G)*SUMIF(Summary!$A$247:$A$283,$A3580,Summary!$P$247:$P$283),0)</f>
        <v>1795.0943525475745</v>
      </c>
      <c r="AJ3580" s="196">
        <f>IFERROR($G3580/SUMIF($A:$A,$A3580,$G:$G)*(SUMIF(Summary!$A$247:$A$283,$A3580,Summary!$L$247:$L$283)+SUMIF(Summary!$A$297:$A$333,$A3580,Summary!$L$297:$L$333))-AI3580,0)</f>
        <v>17693.352109120082</v>
      </c>
      <c r="AK3580" s="196">
        <f>IFERROR($G3580/SUMIF($A:$A,$A3580,$G:$G)*SUMIF(Summary!$A$247:$A$283,$A3580,Summary!$Q$247:$Q$283),0)</f>
        <v>1798.1455976242355</v>
      </c>
      <c r="AL3580" s="196">
        <f>IFERROR($G3580/SUMIF($A:$A,$A3580,$G:$G)*(SUMIF(Summary!$A$247:$A$283,$A3580,Summary!$L$247:$L$283)+SUMIF(Summary!$A$297:$A$333,$A3580,Summary!$L$297:$L$333))-AK3580,0)</f>
        <v>17690.30086404342</v>
      </c>
      <c r="AM3580" s="198"/>
      <c r="AN3580" s="196">
        <f t="shared" ca="1" si="782"/>
        <v>48217.999203237763</v>
      </c>
      <c r="AO3580" s="196">
        <f t="shared" ca="1" si="783"/>
        <v>48198.217351887601</v>
      </c>
    </row>
    <row r="3581" spans="1:41">
      <c r="A3581" s="189">
        <v>42295</v>
      </c>
      <c r="B3581" s="190">
        <v>1</v>
      </c>
      <c r="C3581" s="191" t="s">
        <v>226</v>
      </c>
      <c r="D3581" s="192">
        <f t="shared" si="770"/>
        <v>0</v>
      </c>
      <c r="E3581" s="192">
        <f t="shared" si="771"/>
        <v>0</v>
      </c>
      <c r="F3581" s="192">
        <f t="shared" si="772"/>
        <v>0</v>
      </c>
      <c r="G3581" s="193">
        <f t="shared" si="773"/>
        <v>0</v>
      </c>
      <c r="H3581" s="194">
        <v>0</v>
      </c>
      <c r="I3581" s="194">
        <v>0</v>
      </c>
      <c r="J3581" s="194">
        <v>0</v>
      </c>
      <c r="K3581" s="193">
        <f t="shared" si="774"/>
        <v>0</v>
      </c>
      <c r="L3581" s="194">
        <v>0</v>
      </c>
      <c r="M3581" s="194">
        <v>0</v>
      </c>
      <c r="N3581" s="194">
        <v>0</v>
      </c>
      <c r="O3581" s="193">
        <f t="shared" si="775"/>
        <v>0</v>
      </c>
      <c r="P3581" s="194">
        <v>0</v>
      </c>
      <c r="Q3581" s="194">
        <v>0</v>
      </c>
      <c r="R3581" s="194">
        <v>0</v>
      </c>
      <c r="S3581" s="193">
        <f t="shared" si="776"/>
        <v>0</v>
      </c>
      <c r="T3581" s="193">
        <f t="shared" si="777"/>
        <v>0</v>
      </c>
      <c r="U3581" s="193">
        <f ca="1">OFFSET('Expenditure Study'!$B$7,'Operations Support'!$C3581,'Operations Support'!$B3581)*$G3581</f>
        <v>0</v>
      </c>
      <c r="V3581" s="199">
        <f ca="1">U3581*'Expenditure Study'!$B$31</f>
        <v>0</v>
      </c>
      <c r="W3581" s="199">
        <f ca="1">IF(A3581=10298,1.51,1)*IF($B3581&lt;3,$D3581*'Expenditure Study'!$B$32*OFFSET('Expenditure Study'!$B$7,'Operations Support'!$C3581,'Operations Support'!$B3581),0)</f>
        <v>0</v>
      </c>
      <c r="X3581" s="200">
        <f ca="1">W3581*'Expenditure Study'!$B$31</f>
        <v>0</v>
      </c>
      <c r="Y3581" s="199">
        <f ca="1">U3581*'Expenditure Study'!$B$31</f>
        <v>0</v>
      </c>
      <c r="Z3581" s="200">
        <f ca="1">W3581*'Expenditure Study'!$B$31</f>
        <v>0</v>
      </c>
      <c r="AA3581" s="195">
        <f t="shared" ca="1" si="778"/>
        <v>0</v>
      </c>
      <c r="AB3581" s="195">
        <f t="shared" ca="1" si="779"/>
        <v>0</v>
      </c>
      <c r="AD3581" s="196">
        <f>IFERROR($G3581/SUMIF($A:$A,$A3581,$G:$G)*SUMIF(Summary!$A$166:$A$242,$A3581,Summary!$P$166:$P$242),0)</f>
        <v>0</v>
      </c>
      <c r="AE3581" s="197">
        <f t="shared" ca="1" si="780"/>
        <v>0</v>
      </c>
      <c r="AF3581" s="196">
        <f>IFERROR(G3581/SUMIF(A:A,A3581,G:G)*SUMIF(Summary!$A$166:$A$242,'Operations Support'!A3581,Summary!$Q$166:$Q$242),0)</f>
        <v>0</v>
      </c>
      <c r="AG3581" s="196">
        <f t="shared" ca="1" si="781"/>
        <v>0</v>
      </c>
      <c r="AI3581" s="196">
        <f>IFERROR($G3581/SUMIF($A:$A,$A3581,$G:$G)*SUMIF(Summary!$A$247:$A$283,$A3581,Summary!$P$247:$P$283),0)</f>
        <v>0</v>
      </c>
      <c r="AJ3581" s="196">
        <f>IFERROR($G3581/SUMIF($A:$A,$A3581,$G:$G)*(SUMIF(Summary!$A$247:$A$283,$A3581,Summary!$L$247:$L$283)+SUMIF(Summary!$A$297:$A$333,$A3581,Summary!$L$297:$L$333))-AI3581,0)</f>
        <v>0</v>
      </c>
      <c r="AK3581" s="196">
        <f>IFERROR($G3581/SUMIF($A:$A,$A3581,$G:$G)*SUMIF(Summary!$A$247:$A$283,$A3581,Summary!$Q$247:$Q$283),0)</f>
        <v>0</v>
      </c>
      <c r="AL3581" s="196">
        <f>IFERROR($G3581/SUMIF($A:$A,$A3581,$G:$G)*(SUMIF(Summary!$A$247:$A$283,$A3581,Summary!$L$247:$L$283)+SUMIF(Summary!$A$297:$A$333,$A3581,Summary!$L$297:$L$333))-AK3581,0)</f>
        <v>0</v>
      </c>
      <c r="AM3581" s="198"/>
      <c r="AN3581" s="196">
        <f t="shared" ca="1" si="782"/>
        <v>0</v>
      </c>
      <c r="AO3581" s="196">
        <f t="shared" ca="1" si="783"/>
        <v>0</v>
      </c>
    </row>
    <row r="3582" spans="1:41">
      <c r="A3582" s="189">
        <v>42295</v>
      </c>
      <c r="B3582" s="190">
        <v>1</v>
      </c>
      <c r="C3582" s="191" t="s">
        <v>227</v>
      </c>
      <c r="D3582" s="192">
        <f t="shared" si="770"/>
        <v>0</v>
      </c>
      <c r="E3582" s="192">
        <f t="shared" si="771"/>
        <v>0</v>
      </c>
      <c r="F3582" s="192">
        <f t="shared" si="772"/>
        <v>0</v>
      </c>
      <c r="G3582" s="193">
        <f t="shared" si="773"/>
        <v>0</v>
      </c>
      <c r="H3582" s="194">
        <v>0</v>
      </c>
      <c r="I3582" s="194">
        <v>0</v>
      </c>
      <c r="J3582" s="194">
        <v>0</v>
      </c>
      <c r="K3582" s="193">
        <f t="shared" si="774"/>
        <v>0</v>
      </c>
      <c r="L3582" s="194">
        <v>0</v>
      </c>
      <c r="M3582" s="194">
        <v>0</v>
      </c>
      <c r="N3582" s="194">
        <v>0</v>
      </c>
      <c r="O3582" s="193">
        <f t="shared" si="775"/>
        <v>0</v>
      </c>
      <c r="P3582" s="194">
        <v>0</v>
      </c>
      <c r="Q3582" s="194">
        <v>0</v>
      </c>
      <c r="R3582" s="194">
        <v>0</v>
      </c>
      <c r="S3582" s="193">
        <f t="shared" si="776"/>
        <v>0</v>
      </c>
      <c r="T3582" s="193">
        <f t="shared" si="777"/>
        <v>0</v>
      </c>
      <c r="U3582" s="193">
        <f ca="1">OFFSET('Expenditure Study'!$B$7,'Operations Support'!$C3582,'Operations Support'!$B3582)*$G3582</f>
        <v>0</v>
      </c>
      <c r="V3582" s="199">
        <f ca="1">U3582*'Expenditure Study'!$B$31</f>
        <v>0</v>
      </c>
      <c r="W3582" s="199">
        <f ca="1">IF(A3582=10298,1.51,1)*IF($B3582&lt;3,$D3582*'Expenditure Study'!$B$32*OFFSET('Expenditure Study'!$B$7,'Operations Support'!$C3582,'Operations Support'!$B3582),0)</f>
        <v>0</v>
      </c>
      <c r="X3582" s="200">
        <f ca="1">W3582*'Expenditure Study'!$B$31</f>
        <v>0</v>
      </c>
      <c r="Y3582" s="199">
        <f ca="1">U3582*'Expenditure Study'!$B$31</f>
        <v>0</v>
      </c>
      <c r="Z3582" s="200">
        <f ca="1">W3582*'Expenditure Study'!$B$31</f>
        <v>0</v>
      </c>
      <c r="AA3582" s="195">
        <f t="shared" ca="1" si="778"/>
        <v>0</v>
      </c>
      <c r="AB3582" s="195">
        <f t="shared" ca="1" si="779"/>
        <v>0</v>
      </c>
      <c r="AD3582" s="196">
        <f>IFERROR($G3582/SUMIF($A:$A,$A3582,$G:$G)*SUMIF(Summary!$A$166:$A$242,$A3582,Summary!$P$166:$P$242),0)</f>
        <v>0</v>
      </c>
      <c r="AE3582" s="197">
        <f t="shared" ca="1" si="780"/>
        <v>0</v>
      </c>
      <c r="AF3582" s="196">
        <f>IFERROR(G3582/SUMIF(A:A,A3582,G:G)*SUMIF(Summary!$A$166:$A$242,'Operations Support'!A3582,Summary!$Q$166:$Q$242),0)</f>
        <v>0</v>
      </c>
      <c r="AG3582" s="196">
        <f t="shared" ca="1" si="781"/>
        <v>0</v>
      </c>
      <c r="AI3582" s="196">
        <f>IFERROR($G3582/SUMIF($A:$A,$A3582,$G:$G)*SUMIF(Summary!$A$247:$A$283,$A3582,Summary!$P$247:$P$283),0)</f>
        <v>0</v>
      </c>
      <c r="AJ3582" s="196">
        <f>IFERROR($G3582/SUMIF($A:$A,$A3582,$G:$G)*(SUMIF(Summary!$A$247:$A$283,$A3582,Summary!$L$247:$L$283)+SUMIF(Summary!$A$297:$A$333,$A3582,Summary!$L$297:$L$333))-AI3582,0)</f>
        <v>0</v>
      </c>
      <c r="AK3582" s="196">
        <f>IFERROR($G3582/SUMIF($A:$A,$A3582,$G:$G)*SUMIF(Summary!$A$247:$A$283,$A3582,Summary!$Q$247:$Q$283),0)</f>
        <v>0</v>
      </c>
      <c r="AL3582" s="196">
        <f>IFERROR($G3582/SUMIF($A:$A,$A3582,$G:$G)*(SUMIF(Summary!$A$247:$A$283,$A3582,Summary!$L$247:$L$283)+SUMIF(Summary!$A$297:$A$333,$A3582,Summary!$L$297:$L$333))-AK3582,0)</f>
        <v>0</v>
      </c>
      <c r="AM3582" s="198"/>
      <c r="AN3582" s="196">
        <f t="shared" ca="1" si="782"/>
        <v>0</v>
      </c>
      <c r="AO3582" s="196">
        <f t="shared" ca="1" si="783"/>
        <v>0</v>
      </c>
    </row>
    <row r="3583" spans="1:41">
      <c r="A3583" s="189">
        <v>42295</v>
      </c>
      <c r="B3583" s="190">
        <v>1</v>
      </c>
      <c r="C3583" s="191" t="s">
        <v>228</v>
      </c>
      <c r="D3583" s="192">
        <f t="shared" si="770"/>
        <v>87</v>
      </c>
      <c r="E3583" s="192">
        <f t="shared" si="771"/>
        <v>6</v>
      </c>
      <c r="F3583" s="192">
        <f t="shared" si="772"/>
        <v>0</v>
      </c>
      <c r="G3583" s="193">
        <f t="shared" si="773"/>
        <v>93</v>
      </c>
      <c r="H3583" s="194">
        <v>51</v>
      </c>
      <c r="I3583" s="194">
        <v>6</v>
      </c>
      <c r="J3583" s="194">
        <v>0</v>
      </c>
      <c r="K3583" s="193">
        <f t="shared" si="774"/>
        <v>57</v>
      </c>
      <c r="L3583" s="194">
        <v>36</v>
      </c>
      <c r="M3583" s="194">
        <v>0</v>
      </c>
      <c r="N3583" s="194">
        <v>0</v>
      </c>
      <c r="O3583" s="193">
        <f t="shared" si="775"/>
        <v>36</v>
      </c>
      <c r="P3583" s="194">
        <v>0</v>
      </c>
      <c r="Q3583" s="194">
        <v>0</v>
      </c>
      <c r="R3583" s="194">
        <v>0</v>
      </c>
      <c r="S3583" s="193">
        <f t="shared" si="776"/>
        <v>0</v>
      </c>
      <c r="T3583" s="193">
        <f t="shared" si="777"/>
        <v>3.1</v>
      </c>
      <c r="U3583" s="193">
        <f ca="1">OFFSET('Expenditure Study'!$B$7,'Operations Support'!$C3583,'Operations Support'!$B3583)*$G3583</f>
        <v>146.94</v>
      </c>
      <c r="V3583" s="199">
        <f ca="1">U3583*'Expenditure Study'!$B$31</f>
        <v>8681.6825867520001</v>
      </c>
      <c r="W3583" s="199">
        <f ca="1">IF(A3583=10298,1.51,1)*IF($B3583&lt;3,$D3583*'Expenditure Study'!$B$32*OFFSET('Expenditure Study'!$B$7,'Operations Support'!$C3583,'Operations Support'!$B3583),0)</f>
        <v>13.746000000000002</v>
      </c>
      <c r="X3583" s="200">
        <f ca="1">W3583*'Expenditure Study'!$B$31</f>
        <v>812.1574032768001</v>
      </c>
      <c r="Y3583" s="199">
        <f ca="1">U3583*'Expenditure Study'!$B$31</f>
        <v>8681.6825867520001</v>
      </c>
      <c r="Z3583" s="200">
        <f ca="1">W3583*'Expenditure Study'!$B$31</f>
        <v>812.1574032768001</v>
      </c>
      <c r="AA3583" s="195">
        <f t="shared" ca="1" si="778"/>
        <v>9493.8399900288005</v>
      </c>
      <c r="AB3583" s="195">
        <f t="shared" ca="1" si="779"/>
        <v>9493.8399900288005</v>
      </c>
      <c r="AD3583" s="196">
        <f>IFERROR($G3583/SUMIF($A:$A,$A3583,$G:$G)*SUMIF(Summary!$A$166:$A$242,$A3583,Summary!$P$166:$P$242),0)</f>
        <v>2421.6591539449628</v>
      </c>
      <c r="AE3583" s="197">
        <f t="shared" ca="1" si="780"/>
        <v>7072.1808360838377</v>
      </c>
      <c r="AF3583" s="196">
        <f>IFERROR(G3583/SUMIF(A:A,A3583,G:G)*SUMIF(Summary!$A$166:$A$242,'Operations Support'!A3583,Summary!$Q$166:$Q$242),0)</f>
        <v>2425.7754142186018</v>
      </c>
      <c r="AG3583" s="196">
        <f t="shared" ca="1" si="781"/>
        <v>7068.0645758101982</v>
      </c>
      <c r="AI3583" s="196">
        <f>IFERROR($G3583/SUMIF($A:$A,$A3583,$G:$G)*SUMIF(Summary!$A$247:$A$283,$A3583,Summary!$P$247:$P$283),0)</f>
        <v>441.65019784900642</v>
      </c>
      <c r="AJ3583" s="196">
        <f>IFERROR($G3583/SUMIF($A:$A,$A3583,$G:$G)*(SUMIF(Summary!$A$247:$A$283,$A3583,Summary!$L$247:$L$283)+SUMIF(Summary!$A$297:$A$333,$A3583,Summary!$L$297:$L$333))-AI3583,0)</f>
        <v>4353.1263125612895</v>
      </c>
      <c r="AK3583" s="196">
        <f>IFERROR($G3583/SUMIF($A:$A,$A3583,$G:$G)*SUMIF(Summary!$A$247:$A$283,$A3583,Summary!$Q$247:$Q$283),0)</f>
        <v>442.40090100278815</v>
      </c>
      <c r="AL3583" s="196">
        <f>IFERROR($G3583/SUMIF($A:$A,$A3583,$G:$G)*(SUMIF(Summary!$A$247:$A$283,$A3583,Summary!$L$247:$L$283)+SUMIF(Summary!$A$297:$A$333,$A3583,Summary!$L$297:$L$333))-AK3583,0)</f>
        <v>4352.3756094075079</v>
      </c>
      <c r="AM3583" s="198"/>
      <c r="AN3583" s="196">
        <f t="shared" ca="1" si="782"/>
        <v>11425.307148645126</v>
      </c>
      <c r="AO3583" s="196">
        <f t="shared" ca="1" si="783"/>
        <v>11420.440185217707</v>
      </c>
    </row>
    <row r="3584" spans="1:41">
      <c r="A3584" s="189">
        <v>42295</v>
      </c>
      <c r="B3584" s="190">
        <v>1</v>
      </c>
      <c r="C3584" s="191" t="s">
        <v>229</v>
      </c>
      <c r="D3584" s="192">
        <f t="shared" si="770"/>
        <v>0</v>
      </c>
      <c r="E3584" s="192">
        <f t="shared" si="771"/>
        <v>0</v>
      </c>
      <c r="F3584" s="192">
        <f t="shared" si="772"/>
        <v>0</v>
      </c>
      <c r="G3584" s="193">
        <f t="shared" si="773"/>
        <v>0</v>
      </c>
      <c r="H3584" s="194">
        <v>0</v>
      </c>
      <c r="I3584" s="194">
        <v>0</v>
      </c>
      <c r="J3584" s="194">
        <v>0</v>
      </c>
      <c r="K3584" s="193">
        <f t="shared" si="774"/>
        <v>0</v>
      </c>
      <c r="L3584" s="194">
        <v>0</v>
      </c>
      <c r="M3584" s="194">
        <v>0</v>
      </c>
      <c r="N3584" s="194">
        <v>0</v>
      </c>
      <c r="O3584" s="193">
        <f t="shared" si="775"/>
        <v>0</v>
      </c>
      <c r="P3584" s="194">
        <v>0</v>
      </c>
      <c r="Q3584" s="194">
        <v>0</v>
      </c>
      <c r="R3584" s="194">
        <v>0</v>
      </c>
      <c r="S3584" s="193">
        <f t="shared" si="776"/>
        <v>0</v>
      </c>
      <c r="T3584" s="193">
        <f t="shared" si="777"/>
        <v>0</v>
      </c>
      <c r="U3584" s="193">
        <f ca="1">OFFSET('Expenditure Study'!$B$7,'Operations Support'!$C3584,'Operations Support'!$B3584)*$G3584</f>
        <v>0</v>
      </c>
      <c r="V3584" s="199">
        <f ca="1">U3584*'Expenditure Study'!$B$31</f>
        <v>0</v>
      </c>
      <c r="W3584" s="199">
        <f ca="1">IF(A3584=10298,1.51,1)*IF($B3584&lt;3,$D3584*'Expenditure Study'!$B$32*OFFSET('Expenditure Study'!$B$7,'Operations Support'!$C3584,'Operations Support'!$B3584),0)</f>
        <v>0</v>
      </c>
      <c r="X3584" s="200">
        <f ca="1">W3584*'Expenditure Study'!$B$31</f>
        <v>0</v>
      </c>
      <c r="Y3584" s="199">
        <f ca="1">U3584*'Expenditure Study'!$B$31</f>
        <v>0</v>
      </c>
      <c r="Z3584" s="200">
        <f ca="1">W3584*'Expenditure Study'!$B$31</f>
        <v>0</v>
      </c>
      <c r="AA3584" s="195">
        <f t="shared" ca="1" si="778"/>
        <v>0</v>
      </c>
      <c r="AB3584" s="195">
        <f t="shared" ca="1" si="779"/>
        <v>0</v>
      </c>
      <c r="AD3584" s="196">
        <f>IFERROR($G3584/SUMIF($A:$A,$A3584,$G:$G)*SUMIF(Summary!$A$166:$A$242,$A3584,Summary!$P$166:$P$242),0)</f>
        <v>0</v>
      </c>
      <c r="AE3584" s="197">
        <f t="shared" ca="1" si="780"/>
        <v>0</v>
      </c>
      <c r="AF3584" s="196">
        <f>IFERROR(G3584/SUMIF(A:A,A3584,G:G)*SUMIF(Summary!$A$166:$A$242,'Operations Support'!A3584,Summary!$Q$166:$Q$242),0)</f>
        <v>0</v>
      </c>
      <c r="AG3584" s="196">
        <f t="shared" ca="1" si="781"/>
        <v>0</v>
      </c>
      <c r="AI3584" s="196">
        <f>IFERROR($G3584/SUMIF($A:$A,$A3584,$G:$G)*SUMIF(Summary!$A$247:$A$283,$A3584,Summary!$P$247:$P$283),0)</f>
        <v>0</v>
      </c>
      <c r="AJ3584" s="196">
        <f>IFERROR($G3584/SUMIF($A:$A,$A3584,$G:$G)*(SUMIF(Summary!$A$247:$A$283,$A3584,Summary!$L$247:$L$283)+SUMIF(Summary!$A$297:$A$333,$A3584,Summary!$L$297:$L$333))-AI3584,0)</f>
        <v>0</v>
      </c>
      <c r="AK3584" s="196">
        <f>IFERROR($G3584/SUMIF($A:$A,$A3584,$G:$G)*SUMIF(Summary!$A$247:$A$283,$A3584,Summary!$Q$247:$Q$283),0)</f>
        <v>0</v>
      </c>
      <c r="AL3584" s="196">
        <f>IFERROR($G3584/SUMIF($A:$A,$A3584,$G:$G)*(SUMIF(Summary!$A$247:$A$283,$A3584,Summary!$L$247:$L$283)+SUMIF(Summary!$A$297:$A$333,$A3584,Summary!$L$297:$L$333))-AK3584,0)</f>
        <v>0</v>
      </c>
      <c r="AM3584" s="198"/>
      <c r="AN3584" s="196">
        <f t="shared" ca="1" si="782"/>
        <v>0</v>
      </c>
      <c r="AO3584" s="196">
        <f t="shared" ca="1" si="783"/>
        <v>0</v>
      </c>
    </row>
    <row r="3585" spans="1:41">
      <c r="A3585" s="189">
        <v>42295</v>
      </c>
      <c r="B3585" s="190">
        <v>1</v>
      </c>
      <c r="C3585" s="191" t="s">
        <v>230</v>
      </c>
      <c r="D3585" s="192">
        <f t="shared" si="770"/>
        <v>0</v>
      </c>
      <c r="E3585" s="192">
        <f t="shared" si="771"/>
        <v>0</v>
      </c>
      <c r="F3585" s="192">
        <f t="shared" si="772"/>
        <v>0</v>
      </c>
      <c r="G3585" s="193">
        <f t="shared" si="773"/>
        <v>0</v>
      </c>
      <c r="H3585" s="194">
        <v>0</v>
      </c>
      <c r="I3585" s="194">
        <v>0</v>
      </c>
      <c r="J3585" s="194">
        <v>0</v>
      </c>
      <c r="K3585" s="193">
        <f t="shared" si="774"/>
        <v>0</v>
      </c>
      <c r="L3585" s="194">
        <v>0</v>
      </c>
      <c r="M3585" s="194">
        <v>0</v>
      </c>
      <c r="N3585" s="194">
        <v>0</v>
      </c>
      <c r="O3585" s="193">
        <f t="shared" si="775"/>
        <v>0</v>
      </c>
      <c r="P3585" s="194">
        <v>0</v>
      </c>
      <c r="Q3585" s="194">
        <v>0</v>
      </c>
      <c r="R3585" s="194">
        <v>0</v>
      </c>
      <c r="S3585" s="193">
        <f t="shared" si="776"/>
        <v>0</v>
      </c>
      <c r="T3585" s="193">
        <f t="shared" si="777"/>
        <v>0</v>
      </c>
      <c r="U3585" s="193">
        <f ca="1">OFFSET('Expenditure Study'!$B$7,'Operations Support'!$C3585,'Operations Support'!$B3585)*$G3585</f>
        <v>0</v>
      </c>
      <c r="V3585" s="199">
        <f ca="1">U3585*'Expenditure Study'!$B$31</f>
        <v>0</v>
      </c>
      <c r="W3585" s="199">
        <f ca="1">IF(A3585=10298,1.51,1)*IF($B3585&lt;3,$D3585*'Expenditure Study'!$B$32*OFFSET('Expenditure Study'!$B$7,'Operations Support'!$C3585,'Operations Support'!$B3585),0)</f>
        <v>0</v>
      </c>
      <c r="X3585" s="200">
        <f ca="1">W3585*'Expenditure Study'!$B$31</f>
        <v>0</v>
      </c>
      <c r="Y3585" s="199">
        <f ca="1">U3585*'Expenditure Study'!$B$31</f>
        <v>0</v>
      </c>
      <c r="Z3585" s="200">
        <f ca="1">W3585*'Expenditure Study'!$B$31</f>
        <v>0</v>
      </c>
      <c r="AA3585" s="195">
        <f t="shared" ca="1" si="778"/>
        <v>0</v>
      </c>
      <c r="AB3585" s="195">
        <f t="shared" ca="1" si="779"/>
        <v>0</v>
      </c>
      <c r="AD3585" s="196">
        <f>IFERROR($G3585/SUMIF($A:$A,$A3585,$G:$G)*SUMIF(Summary!$A$166:$A$242,$A3585,Summary!$P$166:$P$242),0)</f>
        <v>0</v>
      </c>
      <c r="AE3585" s="197">
        <f t="shared" ca="1" si="780"/>
        <v>0</v>
      </c>
      <c r="AF3585" s="196">
        <f>IFERROR(G3585/SUMIF(A:A,A3585,G:G)*SUMIF(Summary!$A$166:$A$242,'Operations Support'!A3585,Summary!$Q$166:$Q$242),0)</f>
        <v>0</v>
      </c>
      <c r="AG3585" s="196">
        <f t="shared" ca="1" si="781"/>
        <v>0</v>
      </c>
      <c r="AI3585" s="196">
        <f>IFERROR($G3585/SUMIF($A:$A,$A3585,$G:$G)*SUMIF(Summary!$A$247:$A$283,$A3585,Summary!$P$247:$P$283),0)</f>
        <v>0</v>
      </c>
      <c r="AJ3585" s="196">
        <f>IFERROR($G3585/SUMIF($A:$A,$A3585,$G:$G)*(SUMIF(Summary!$A$247:$A$283,$A3585,Summary!$L$247:$L$283)+SUMIF(Summary!$A$297:$A$333,$A3585,Summary!$L$297:$L$333))-AI3585,0)</f>
        <v>0</v>
      </c>
      <c r="AK3585" s="196">
        <f>IFERROR($G3585/SUMIF($A:$A,$A3585,$G:$G)*SUMIF(Summary!$A$247:$A$283,$A3585,Summary!$Q$247:$Q$283),0)</f>
        <v>0</v>
      </c>
      <c r="AL3585" s="196">
        <f>IFERROR($G3585/SUMIF($A:$A,$A3585,$G:$G)*(SUMIF(Summary!$A$247:$A$283,$A3585,Summary!$L$247:$L$283)+SUMIF(Summary!$A$297:$A$333,$A3585,Summary!$L$297:$L$333))-AK3585,0)</f>
        <v>0</v>
      </c>
      <c r="AM3585" s="198"/>
      <c r="AN3585" s="196">
        <f t="shared" ca="1" si="782"/>
        <v>0</v>
      </c>
      <c r="AO3585" s="196">
        <f t="shared" ca="1" si="783"/>
        <v>0</v>
      </c>
    </row>
    <row r="3586" spans="1:41">
      <c r="A3586" s="189">
        <v>42295</v>
      </c>
      <c r="B3586" s="190">
        <v>1</v>
      </c>
      <c r="C3586" s="191" t="s">
        <v>231</v>
      </c>
      <c r="D3586" s="192">
        <f t="shared" si="770"/>
        <v>0</v>
      </c>
      <c r="E3586" s="192">
        <f t="shared" si="771"/>
        <v>0</v>
      </c>
      <c r="F3586" s="192">
        <f t="shared" si="772"/>
        <v>0</v>
      </c>
      <c r="G3586" s="193">
        <f t="shared" si="773"/>
        <v>0</v>
      </c>
      <c r="H3586" s="194">
        <v>0</v>
      </c>
      <c r="I3586" s="194">
        <v>0</v>
      </c>
      <c r="J3586" s="194">
        <v>0</v>
      </c>
      <c r="K3586" s="193">
        <f t="shared" si="774"/>
        <v>0</v>
      </c>
      <c r="L3586" s="194">
        <v>0</v>
      </c>
      <c r="M3586" s="194">
        <v>0</v>
      </c>
      <c r="N3586" s="194">
        <v>0</v>
      </c>
      <c r="O3586" s="193">
        <f t="shared" si="775"/>
        <v>0</v>
      </c>
      <c r="P3586" s="194">
        <v>0</v>
      </c>
      <c r="Q3586" s="194">
        <v>0</v>
      </c>
      <c r="R3586" s="194">
        <v>0</v>
      </c>
      <c r="S3586" s="193">
        <f t="shared" si="776"/>
        <v>0</v>
      </c>
      <c r="T3586" s="193">
        <f t="shared" si="777"/>
        <v>0</v>
      </c>
      <c r="U3586" s="193">
        <f ca="1">OFFSET('Expenditure Study'!$B$7,'Operations Support'!$C3586,'Operations Support'!$B3586)*$G3586</f>
        <v>0</v>
      </c>
      <c r="V3586" s="199">
        <f ca="1">U3586*'Expenditure Study'!$B$31</f>
        <v>0</v>
      </c>
      <c r="W3586" s="199">
        <f ca="1">IF(A3586=10298,1.51,1)*IF($B3586&lt;3,$D3586*'Expenditure Study'!$B$32*OFFSET('Expenditure Study'!$B$7,'Operations Support'!$C3586,'Operations Support'!$B3586),0)</f>
        <v>0</v>
      </c>
      <c r="X3586" s="200">
        <f ca="1">W3586*'Expenditure Study'!$B$31</f>
        <v>0</v>
      </c>
      <c r="Y3586" s="199">
        <f ca="1">U3586*'Expenditure Study'!$B$31</f>
        <v>0</v>
      </c>
      <c r="Z3586" s="200">
        <f ca="1">W3586*'Expenditure Study'!$B$31</f>
        <v>0</v>
      </c>
      <c r="AA3586" s="195">
        <f t="shared" ca="1" si="778"/>
        <v>0</v>
      </c>
      <c r="AB3586" s="195">
        <f t="shared" ca="1" si="779"/>
        <v>0</v>
      </c>
      <c r="AD3586" s="196">
        <f>IFERROR($G3586/SUMIF($A:$A,$A3586,$G:$G)*SUMIF(Summary!$A$166:$A$242,$A3586,Summary!$P$166:$P$242),0)</f>
        <v>0</v>
      </c>
      <c r="AE3586" s="197">
        <f t="shared" ca="1" si="780"/>
        <v>0</v>
      </c>
      <c r="AF3586" s="196">
        <f>IFERROR(G3586/SUMIF(A:A,A3586,G:G)*SUMIF(Summary!$A$166:$A$242,'Operations Support'!A3586,Summary!$Q$166:$Q$242),0)</f>
        <v>0</v>
      </c>
      <c r="AG3586" s="196">
        <f t="shared" ca="1" si="781"/>
        <v>0</v>
      </c>
      <c r="AI3586" s="196">
        <f>IFERROR($G3586/SUMIF($A:$A,$A3586,$G:$G)*SUMIF(Summary!$A$247:$A$283,$A3586,Summary!$P$247:$P$283),0)</f>
        <v>0</v>
      </c>
      <c r="AJ3586" s="196">
        <f>IFERROR($G3586/SUMIF($A:$A,$A3586,$G:$G)*(SUMIF(Summary!$A$247:$A$283,$A3586,Summary!$L$247:$L$283)+SUMIF(Summary!$A$297:$A$333,$A3586,Summary!$L$297:$L$333))-AI3586,0)</f>
        <v>0</v>
      </c>
      <c r="AK3586" s="196">
        <f>IFERROR($G3586/SUMIF($A:$A,$A3586,$G:$G)*SUMIF(Summary!$A$247:$A$283,$A3586,Summary!$Q$247:$Q$283),0)</f>
        <v>0</v>
      </c>
      <c r="AL3586" s="196">
        <f>IFERROR($G3586/SUMIF($A:$A,$A3586,$G:$G)*(SUMIF(Summary!$A$247:$A$283,$A3586,Summary!$L$247:$L$283)+SUMIF(Summary!$A$297:$A$333,$A3586,Summary!$L$297:$L$333))-AK3586,0)</f>
        <v>0</v>
      </c>
      <c r="AM3586" s="198"/>
      <c r="AN3586" s="196">
        <f t="shared" ca="1" si="782"/>
        <v>0</v>
      </c>
      <c r="AO3586" s="196">
        <f t="shared" ca="1" si="783"/>
        <v>0</v>
      </c>
    </row>
    <row r="3587" spans="1:41">
      <c r="A3587" s="189">
        <v>42295</v>
      </c>
      <c r="B3587" s="190">
        <v>1</v>
      </c>
      <c r="C3587" s="191" t="s">
        <v>232</v>
      </c>
      <c r="D3587" s="192">
        <f t="shared" si="770"/>
        <v>0</v>
      </c>
      <c r="E3587" s="192">
        <f t="shared" si="771"/>
        <v>0</v>
      </c>
      <c r="F3587" s="192">
        <f t="shared" si="772"/>
        <v>0</v>
      </c>
      <c r="G3587" s="193">
        <f t="shared" si="773"/>
        <v>0</v>
      </c>
      <c r="H3587" s="194">
        <v>0</v>
      </c>
      <c r="I3587" s="194">
        <v>0</v>
      </c>
      <c r="J3587" s="194">
        <v>0</v>
      </c>
      <c r="K3587" s="193">
        <f t="shared" si="774"/>
        <v>0</v>
      </c>
      <c r="L3587" s="194">
        <v>0</v>
      </c>
      <c r="M3587" s="194">
        <v>0</v>
      </c>
      <c r="N3587" s="194">
        <v>0</v>
      </c>
      <c r="O3587" s="193">
        <f t="shared" si="775"/>
        <v>0</v>
      </c>
      <c r="P3587" s="194">
        <v>0</v>
      </c>
      <c r="Q3587" s="194">
        <v>0</v>
      </c>
      <c r="R3587" s="194">
        <v>0</v>
      </c>
      <c r="S3587" s="193">
        <f t="shared" si="776"/>
        <v>0</v>
      </c>
      <c r="T3587" s="193">
        <f t="shared" si="777"/>
        <v>0</v>
      </c>
      <c r="U3587" s="193">
        <f ca="1">OFFSET('Expenditure Study'!$B$7,'Operations Support'!$C3587,'Operations Support'!$B3587)*$G3587</f>
        <v>0</v>
      </c>
      <c r="V3587" s="199">
        <f ca="1">U3587*'Expenditure Study'!$B$31</f>
        <v>0</v>
      </c>
      <c r="W3587" s="199">
        <f ca="1">IF(A3587=10298,1.51,1)*IF($B3587&lt;3,$D3587*'Expenditure Study'!$B$32*OFFSET('Expenditure Study'!$B$7,'Operations Support'!$C3587,'Operations Support'!$B3587),0)</f>
        <v>0</v>
      </c>
      <c r="X3587" s="200">
        <f ca="1">W3587*'Expenditure Study'!$B$31</f>
        <v>0</v>
      </c>
      <c r="Y3587" s="199">
        <f ca="1">U3587*'Expenditure Study'!$B$31</f>
        <v>0</v>
      </c>
      <c r="Z3587" s="200">
        <f ca="1">W3587*'Expenditure Study'!$B$31</f>
        <v>0</v>
      </c>
      <c r="AA3587" s="195">
        <f t="shared" ca="1" si="778"/>
        <v>0</v>
      </c>
      <c r="AB3587" s="195">
        <f t="shared" ca="1" si="779"/>
        <v>0</v>
      </c>
      <c r="AD3587" s="196">
        <f>IFERROR($G3587/SUMIF($A:$A,$A3587,$G:$G)*SUMIF(Summary!$A$166:$A$242,$A3587,Summary!$P$166:$P$242),0)</f>
        <v>0</v>
      </c>
      <c r="AE3587" s="197">
        <f t="shared" ca="1" si="780"/>
        <v>0</v>
      </c>
      <c r="AF3587" s="196">
        <f>IFERROR(G3587/SUMIF(A:A,A3587,G:G)*SUMIF(Summary!$A$166:$A$242,'Operations Support'!A3587,Summary!$Q$166:$Q$242),0)</f>
        <v>0</v>
      </c>
      <c r="AG3587" s="196">
        <f t="shared" ca="1" si="781"/>
        <v>0</v>
      </c>
      <c r="AI3587" s="196">
        <f>IFERROR($G3587/SUMIF($A:$A,$A3587,$G:$G)*SUMIF(Summary!$A$247:$A$283,$A3587,Summary!$P$247:$P$283),0)</f>
        <v>0</v>
      </c>
      <c r="AJ3587" s="196">
        <f>IFERROR($G3587/SUMIF($A:$A,$A3587,$G:$G)*(SUMIF(Summary!$A$247:$A$283,$A3587,Summary!$L$247:$L$283)+SUMIF(Summary!$A$297:$A$333,$A3587,Summary!$L$297:$L$333))-AI3587,0)</f>
        <v>0</v>
      </c>
      <c r="AK3587" s="196">
        <f>IFERROR($G3587/SUMIF($A:$A,$A3587,$G:$G)*SUMIF(Summary!$A$247:$A$283,$A3587,Summary!$Q$247:$Q$283),0)</f>
        <v>0</v>
      </c>
      <c r="AL3587" s="196">
        <f>IFERROR($G3587/SUMIF($A:$A,$A3587,$G:$G)*(SUMIF(Summary!$A$247:$A$283,$A3587,Summary!$L$247:$L$283)+SUMIF(Summary!$A$297:$A$333,$A3587,Summary!$L$297:$L$333))-AK3587,0)</f>
        <v>0</v>
      </c>
      <c r="AM3587" s="198"/>
      <c r="AN3587" s="196">
        <f t="shared" ca="1" si="782"/>
        <v>0</v>
      </c>
      <c r="AO3587" s="196">
        <f t="shared" ca="1" si="783"/>
        <v>0</v>
      </c>
    </row>
    <row r="3588" spans="1:41">
      <c r="A3588" s="189">
        <v>42295</v>
      </c>
      <c r="B3588" s="190">
        <v>1</v>
      </c>
      <c r="C3588" s="191" t="s">
        <v>233</v>
      </c>
      <c r="D3588" s="192">
        <f t="shared" si="770"/>
        <v>0</v>
      </c>
      <c r="E3588" s="192">
        <f t="shared" si="771"/>
        <v>0</v>
      </c>
      <c r="F3588" s="192">
        <f t="shared" si="772"/>
        <v>0</v>
      </c>
      <c r="G3588" s="193">
        <f t="shared" si="773"/>
        <v>0</v>
      </c>
      <c r="H3588" s="194">
        <v>0</v>
      </c>
      <c r="I3588" s="194">
        <v>0</v>
      </c>
      <c r="J3588" s="194">
        <v>0</v>
      </c>
      <c r="K3588" s="193">
        <f t="shared" si="774"/>
        <v>0</v>
      </c>
      <c r="L3588" s="194">
        <v>0</v>
      </c>
      <c r="M3588" s="194">
        <v>0</v>
      </c>
      <c r="N3588" s="194">
        <v>0</v>
      </c>
      <c r="O3588" s="193">
        <f t="shared" si="775"/>
        <v>0</v>
      </c>
      <c r="P3588" s="194">
        <v>0</v>
      </c>
      <c r="Q3588" s="194">
        <v>0</v>
      </c>
      <c r="R3588" s="194">
        <v>0</v>
      </c>
      <c r="S3588" s="193">
        <f t="shared" si="776"/>
        <v>0</v>
      </c>
      <c r="T3588" s="193">
        <f t="shared" si="777"/>
        <v>0</v>
      </c>
      <c r="U3588" s="193">
        <f ca="1">OFFSET('Expenditure Study'!$B$7,'Operations Support'!$C3588,'Operations Support'!$B3588)*$G3588</f>
        <v>0</v>
      </c>
      <c r="V3588" s="199">
        <f ca="1">U3588*'Expenditure Study'!$B$31</f>
        <v>0</v>
      </c>
      <c r="W3588" s="199">
        <f ca="1">IF(A3588=10298,1.51,1)*IF($B3588&lt;3,$D3588*'Expenditure Study'!$B$32*OFFSET('Expenditure Study'!$B$7,'Operations Support'!$C3588,'Operations Support'!$B3588),0)</f>
        <v>0</v>
      </c>
      <c r="X3588" s="200">
        <f ca="1">W3588*'Expenditure Study'!$B$31</f>
        <v>0</v>
      </c>
      <c r="Y3588" s="199">
        <f ca="1">U3588*'Expenditure Study'!$B$31</f>
        <v>0</v>
      </c>
      <c r="Z3588" s="200">
        <f ca="1">W3588*'Expenditure Study'!$B$31</f>
        <v>0</v>
      </c>
      <c r="AA3588" s="195">
        <f t="shared" ca="1" si="778"/>
        <v>0</v>
      </c>
      <c r="AB3588" s="195">
        <f t="shared" ca="1" si="779"/>
        <v>0</v>
      </c>
      <c r="AD3588" s="196">
        <f>IFERROR($G3588/SUMIF($A:$A,$A3588,$G:$G)*SUMIF(Summary!$A$166:$A$242,$A3588,Summary!$P$166:$P$242),0)</f>
        <v>0</v>
      </c>
      <c r="AE3588" s="197">
        <f t="shared" ca="1" si="780"/>
        <v>0</v>
      </c>
      <c r="AF3588" s="196">
        <f>IFERROR(G3588/SUMIF(A:A,A3588,G:G)*SUMIF(Summary!$A$166:$A$242,'Operations Support'!A3588,Summary!$Q$166:$Q$242),0)</f>
        <v>0</v>
      </c>
      <c r="AG3588" s="196">
        <f t="shared" ca="1" si="781"/>
        <v>0</v>
      </c>
      <c r="AI3588" s="196">
        <f>IFERROR($G3588/SUMIF($A:$A,$A3588,$G:$G)*SUMIF(Summary!$A$247:$A$283,$A3588,Summary!$P$247:$P$283),0)</f>
        <v>0</v>
      </c>
      <c r="AJ3588" s="196">
        <f>IFERROR($G3588/SUMIF($A:$A,$A3588,$G:$G)*(SUMIF(Summary!$A$247:$A$283,$A3588,Summary!$L$247:$L$283)+SUMIF(Summary!$A$297:$A$333,$A3588,Summary!$L$297:$L$333))-AI3588,0)</f>
        <v>0</v>
      </c>
      <c r="AK3588" s="196">
        <f>IFERROR($G3588/SUMIF($A:$A,$A3588,$G:$G)*SUMIF(Summary!$A$247:$A$283,$A3588,Summary!$Q$247:$Q$283),0)</f>
        <v>0</v>
      </c>
      <c r="AL3588" s="196">
        <f>IFERROR($G3588/SUMIF($A:$A,$A3588,$G:$G)*(SUMIF(Summary!$A$247:$A$283,$A3588,Summary!$L$247:$L$283)+SUMIF(Summary!$A$297:$A$333,$A3588,Summary!$L$297:$L$333))-AK3588,0)</f>
        <v>0</v>
      </c>
      <c r="AM3588" s="198"/>
      <c r="AN3588" s="196">
        <f t="shared" ca="1" si="782"/>
        <v>0</v>
      </c>
      <c r="AO3588" s="196">
        <f t="shared" ca="1" si="783"/>
        <v>0</v>
      </c>
    </row>
    <row r="3589" spans="1:41">
      <c r="A3589" s="189">
        <v>42295</v>
      </c>
      <c r="B3589" s="190">
        <v>1</v>
      </c>
      <c r="C3589" s="191" t="s">
        <v>234</v>
      </c>
      <c r="D3589" s="192">
        <f t="shared" ref="D3589:D3652" si="784">H3589+L3589+P3589</f>
        <v>0</v>
      </c>
      <c r="E3589" s="192">
        <f t="shared" ref="E3589:E3652" si="785">I3589+M3589+Q3589</f>
        <v>0</v>
      </c>
      <c r="F3589" s="192">
        <f t="shared" ref="F3589:F3652" si="786">J3589+N3589+R3589</f>
        <v>0</v>
      </c>
      <c r="G3589" s="193">
        <f t="shared" ref="G3589:G3652" si="787">(SUM(D3589:E3589)-F3589)*IF(A3589=10298,1.51,1)</f>
        <v>0</v>
      </c>
      <c r="H3589" s="194">
        <v>0</v>
      </c>
      <c r="I3589" s="194">
        <v>0</v>
      </c>
      <c r="J3589" s="194">
        <v>0</v>
      </c>
      <c r="K3589" s="193">
        <f t="shared" ref="K3589:K3652" si="788">SUM(H3589:I3589)-J3589</f>
        <v>0</v>
      </c>
      <c r="L3589" s="194">
        <v>0</v>
      </c>
      <c r="M3589" s="194">
        <v>0</v>
      </c>
      <c r="N3589" s="194">
        <v>0</v>
      </c>
      <c r="O3589" s="193">
        <f t="shared" ref="O3589:O3652" si="789">SUM(L3589:M3589)-N3589</f>
        <v>0</v>
      </c>
      <c r="P3589" s="194">
        <v>0</v>
      </c>
      <c r="Q3589" s="194">
        <v>0</v>
      </c>
      <c r="R3589" s="194">
        <v>0</v>
      </c>
      <c r="S3589" s="193">
        <f t="shared" ref="S3589:S3652" si="790">SUM(P3589:Q3589)-R3589</f>
        <v>0</v>
      </c>
      <c r="T3589" s="193">
        <f t="shared" ref="T3589:T3652" si="791">IF(OR(B3589=1,B3589=2),G3589/30,IF(OR(B3589=3,B3589=5),G3589/24,IF(B3589=4,G3589/18,0)))</f>
        <v>0</v>
      </c>
      <c r="U3589" s="193">
        <f ca="1">OFFSET('Expenditure Study'!$B$7,'Operations Support'!$C3589,'Operations Support'!$B3589)*$G3589</f>
        <v>0</v>
      </c>
      <c r="V3589" s="199">
        <f ca="1">U3589*'Expenditure Study'!$B$31</f>
        <v>0</v>
      </c>
      <c r="W3589" s="199">
        <f ca="1">IF(A3589=10298,1.51,1)*IF($B3589&lt;3,$D3589*'Expenditure Study'!$B$32*OFFSET('Expenditure Study'!$B$7,'Operations Support'!$C3589,'Operations Support'!$B3589),0)</f>
        <v>0</v>
      </c>
      <c r="X3589" s="200">
        <f ca="1">W3589*'Expenditure Study'!$B$31</f>
        <v>0</v>
      </c>
      <c r="Y3589" s="199">
        <f ca="1">U3589*'Expenditure Study'!$B$31</f>
        <v>0</v>
      </c>
      <c r="Z3589" s="200">
        <f ca="1">W3589*'Expenditure Study'!$B$31</f>
        <v>0</v>
      </c>
      <c r="AA3589" s="195">
        <f t="shared" ref="AA3589:AA3652" ca="1" si="792">V3589+X3589</f>
        <v>0</v>
      </c>
      <c r="AB3589" s="195">
        <f t="shared" ref="AB3589:AB3652" ca="1" si="793">Y3589+Z3589</f>
        <v>0</v>
      </c>
      <c r="AD3589" s="196">
        <f>IFERROR($G3589/SUMIF($A:$A,$A3589,$G:$G)*SUMIF(Summary!$A$166:$A$242,$A3589,Summary!$P$166:$P$242),0)</f>
        <v>0</v>
      </c>
      <c r="AE3589" s="197">
        <f t="shared" ca="1" si="780"/>
        <v>0</v>
      </c>
      <c r="AF3589" s="196">
        <f>IFERROR(G3589/SUMIF(A:A,A3589,G:G)*SUMIF(Summary!$A$166:$A$242,'Operations Support'!A3589,Summary!$Q$166:$Q$242),0)</f>
        <v>0</v>
      </c>
      <c r="AG3589" s="196">
        <f t="shared" ca="1" si="781"/>
        <v>0</v>
      </c>
      <c r="AI3589" s="196">
        <f>IFERROR($G3589/SUMIF($A:$A,$A3589,$G:$G)*SUMIF(Summary!$A$247:$A$283,$A3589,Summary!$P$247:$P$283),0)</f>
        <v>0</v>
      </c>
      <c r="AJ3589" s="196">
        <f>IFERROR($G3589/SUMIF($A:$A,$A3589,$G:$G)*(SUMIF(Summary!$A$247:$A$283,$A3589,Summary!$L$247:$L$283)+SUMIF(Summary!$A$297:$A$333,$A3589,Summary!$L$297:$L$333))-AI3589,0)</f>
        <v>0</v>
      </c>
      <c r="AK3589" s="196">
        <f>IFERROR($G3589/SUMIF($A:$A,$A3589,$G:$G)*SUMIF(Summary!$A$247:$A$283,$A3589,Summary!$Q$247:$Q$283),0)</f>
        <v>0</v>
      </c>
      <c r="AL3589" s="196">
        <f>IFERROR($G3589/SUMIF($A:$A,$A3589,$G:$G)*(SUMIF(Summary!$A$247:$A$283,$A3589,Summary!$L$247:$L$283)+SUMIF(Summary!$A$297:$A$333,$A3589,Summary!$L$297:$L$333))-AK3589,0)</f>
        <v>0</v>
      </c>
      <c r="AM3589" s="198"/>
      <c r="AN3589" s="196">
        <f t="shared" ca="1" si="782"/>
        <v>0</v>
      </c>
      <c r="AO3589" s="196">
        <f t="shared" ca="1" si="783"/>
        <v>0</v>
      </c>
    </row>
    <row r="3590" spans="1:41">
      <c r="A3590" s="189">
        <v>42295</v>
      </c>
      <c r="B3590" s="190">
        <v>1</v>
      </c>
      <c r="C3590" s="191" t="s">
        <v>235</v>
      </c>
      <c r="D3590" s="192">
        <f t="shared" si="784"/>
        <v>453</v>
      </c>
      <c r="E3590" s="192">
        <f t="shared" si="785"/>
        <v>258</v>
      </c>
      <c r="F3590" s="192">
        <f t="shared" si="786"/>
        <v>0</v>
      </c>
      <c r="G3590" s="193">
        <f t="shared" si="787"/>
        <v>711</v>
      </c>
      <c r="H3590" s="194">
        <v>153</v>
      </c>
      <c r="I3590" s="194">
        <v>93</v>
      </c>
      <c r="J3590" s="194">
        <v>0</v>
      </c>
      <c r="K3590" s="193">
        <f t="shared" si="788"/>
        <v>246</v>
      </c>
      <c r="L3590" s="194">
        <v>261</v>
      </c>
      <c r="M3590" s="194">
        <v>129</v>
      </c>
      <c r="N3590" s="194">
        <v>0</v>
      </c>
      <c r="O3590" s="193">
        <f t="shared" si="789"/>
        <v>390</v>
      </c>
      <c r="P3590" s="194">
        <v>39</v>
      </c>
      <c r="Q3590" s="194">
        <v>36</v>
      </c>
      <c r="R3590" s="194">
        <v>0</v>
      </c>
      <c r="S3590" s="193">
        <f t="shared" si="790"/>
        <v>75</v>
      </c>
      <c r="T3590" s="193">
        <f t="shared" si="791"/>
        <v>23.7</v>
      </c>
      <c r="U3590" s="193">
        <f ca="1">OFFSET('Expenditure Study'!$B$7,'Operations Support'!$C3590,'Operations Support'!$B3590)*$G3590</f>
        <v>782.1</v>
      </c>
      <c r="V3590" s="199">
        <f ca="1">U3590*'Expenditure Study'!$B$31</f>
        <v>46208.955703680003</v>
      </c>
      <c r="W3590" s="199">
        <f ca="1">IF(A3590=10298,1.51,1)*IF($B3590&lt;3,$D3590*'Expenditure Study'!$B$32*OFFSET('Expenditure Study'!$B$7,'Operations Support'!$C3590,'Operations Support'!$B3590),0)</f>
        <v>49.830000000000005</v>
      </c>
      <c r="X3590" s="200">
        <f ca="1">W3590*'Expenditure Study'!$B$31</f>
        <v>2944.1148992640005</v>
      </c>
      <c r="Y3590" s="199">
        <f ca="1">U3590*'Expenditure Study'!$B$31</f>
        <v>46208.955703680003</v>
      </c>
      <c r="Z3590" s="200">
        <f ca="1">W3590*'Expenditure Study'!$B$31</f>
        <v>2944.1148992640005</v>
      </c>
      <c r="AA3590" s="195">
        <f t="shared" ca="1" si="792"/>
        <v>49153.070602944004</v>
      </c>
      <c r="AB3590" s="195">
        <f t="shared" ca="1" si="793"/>
        <v>49153.070602944004</v>
      </c>
      <c r="AD3590" s="196">
        <f>IFERROR($G3590/SUMIF($A:$A,$A3590,$G:$G)*SUMIF(Summary!$A$166:$A$242,$A3590,Summary!$P$166:$P$242),0)</f>
        <v>18513.974822095359</v>
      </c>
      <c r="AE3590" s="197">
        <f t="shared" ref="AE3590:AE3653" ca="1" si="794">V3590+X3590-AD3590</f>
        <v>30639.095780848646</v>
      </c>
      <c r="AF3590" s="196">
        <f>IFERROR(G3590/SUMIF(A:A,A3590,G:G)*SUMIF(Summary!$A$166:$A$242,'Operations Support'!A3590,Summary!$Q$166:$Q$242),0)</f>
        <v>18545.444295800276</v>
      </c>
      <c r="AG3590" s="196">
        <f t="shared" ref="AG3590:AG3653" ca="1" si="795">Y3590+Z3590-AF3590</f>
        <v>30607.626307143728</v>
      </c>
      <c r="AI3590" s="196">
        <f>IFERROR($G3590/SUMIF($A:$A,$A3590,$G:$G)*SUMIF(Summary!$A$247:$A$283,$A3590,Summary!$P$247:$P$283),0)</f>
        <v>3376.4869964585328</v>
      </c>
      <c r="AJ3590" s="196">
        <f>IFERROR($G3590/SUMIF($A:$A,$A3590,$G:$G)*(SUMIF(Summary!$A$247:$A$283,$A3590,Summary!$L$247:$L$283)+SUMIF(Summary!$A$297:$A$333,$A3590,Summary!$L$297:$L$333))-AI3590,0)</f>
        <v>33280.35277667825</v>
      </c>
      <c r="AK3590" s="196">
        <f>IFERROR($G3590/SUMIF($A:$A,$A3590,$G:$G)*SUMIF(Summary!$A$247:$A$283,$A3590,Summary!$Q$247:$Q$283),0)</f>
        <v>3382.2262431503477</v>
      </c>
      <c r="AL3590" s="196">
        <f>IFERROR($G3590/SUMIF($A:$A,$A3590,$G:$G)*(SUMIF(Summary!$A$247:$A$283,$A3590,Summary!$L$247:$L$283)+SUMIF(Summary!$A$297:$A$333,$A3590,Summary!$L$297:$L$333))-AK3590,0)</f>
        <v>33274.613529986433</v>
      </c>
      <c r="AM3590" s="198"/>
      <c r="AN3590" s="196">
        <f t="shared" ref="AN3590:AN3653" ca="1" si="796">AE3590+AJ3590</f>
        <v>63919.448557526892</v>
      </c>
      <c r="AO3590" s="196">
        <f t="shared" ref="AO3590:AO3653" ca="1" si="797">AG3590+AL3590</f>
        <v>63882.239837130161</v>
      </c>
    </row>
    <row r="3591" spans="1:41">
      <c r="A3591" s="189">
        <v>42295</v>
      </c>
      <c r="B3591" s="190">
        <v>1</v>
      </c>
      <c r="C3591" s="191" t="s">
        <v>236</v>
      </c>
      <c r="D3591" s="192">
        <f t="shared" si="784"/>
        <v>0</v>
      </c>
      <c r="E3591" s="192">
        <f t="shared" si="785"/>
        <v>0</v>
      </c>
      <c r="F3591" s="192">
        <f t="shared" si="786"/>
        <v>0</v>
      </c>
      <c r="G3591" s="193">
        <f t="shared" si="787"/>
        <v>0</v>
      </c>
      <c r="H3591" s="194">
        <v>0</v>
      </c>
      <c r="I3591" s="194">
        <v>0</v>
      </c>
      <c r="J3591" s="194">
        <v>0</v>
      </c>
      <c r="K3591" s="193">
        <f t="shared" si="788"/>
        <v>0</v>
      </c>
      <c r="L3591" s="194">
        <v>0</v>
      </c>
      <c r="M3591" s="194">
        <v>0</v>
      </c>
      <c r="N3591" s="194">
        <v>0</v>
      </c>
      <c r="O3591" s="193">
        <f t="shared" si="789"/>
        <v>0</v>
      </c>
      <c r="P3591" s="194">
        <v>0</v>
      </c>
      <c r="Q3591" s="194">
        <v>0</v>
      </c>
      <c r="R3591" s="194">
        <v>0</v>
      </c>
      <c r="S3591" s="193">
        <f t="shared" si="790"/>
        <v>0</v>
      </c>
      <c r="T3591" s="193">
        <f t="shared" si="791"/>
        <v>0</v>
      </c>
      <c r="U3591" s="193">
        <f ca="1">OFFSET('Expenditure Study'!$B$7,'Operations Support'!$C3591,'Operations Support'!$B3591)*$G3591</f>
        <v>0</v>
      </c>
      <c r="V3591" s="199">
        <f ca="1">U3591*'Expenditure Study'!$B$31</f>
        <v>0</v>
      </c>
      <c r="W3591" s="199">
        <f ca="1">IF(A3591=10298,1.51,1)*IF($B3591&lt;3,$D3591*'Expenditure Study'!$B$32*OFFSET('Expenditure Study'!$B$7,'Operations Support'!$C3591,'Operations Support'!$B3591),0)</f>
        <v>0</v>
      </c>
      <c r="X3591" s="200">
        <f ca="1">W3591*'Expenditure Study'!$B$31</f>
        <v>0</v>
      </c>
      <c r="Y3591" s="199">
        <f ca="1">U3591*'Expenditure Study'!$B$31</f>
        <v>0</v>
      </c>
      <c r="Z3591" s="200">
        <f ca="1">W3591*'Expenditure Study'!$B$31</f>
        <v>0</v>
      </c>
      <c r="AA3591" s="195">
        <f t="shared" ca="1" si="792"/>
        <v>0</v>
      </c>
      <c r="AB3591" s="195">
        <f t="shared" ca="1" si="793"/>
        <v>0</v>
      </c>
      <c r="AD3591" s="196">
        <f>IFERROR($G3591/SUMIF($A:$A,$A3591,$G:$G)*SUMIF(Summary!$A$166:$A$242,$A3591,Summary!$P$166:$P$242),0)</f>
        <v>0</v>
      </c>
      <c r="AE3591" s="197">
        <f t="shared" ca="1" si="794"/>
        <v>0</v>
      </c>
      <c r="AF3591" s="196">
        <f>IFERROR(G3591/SUMIF(A:A,A3591,G:G)*SUMIF(Summary!$A$166:$A$242,'Operations Support'!A3591,Summary!$Q$166:$Q$242),0)</f>
        <v>0</v>
      </c>
      <c r="AG3591" s="196">
        <f t="shared" ca="1" si="795"/>
        <v>0</v>
      </c>
      <c r="AI3591" s="196">
        <f>IFERROR($G3591/SUMIF($A:$A,$A3591,$G:$G)*SUMIF(Summary!$A$247:$A$283,$A3591,Summary!$P$247:$P$283),0)</f>
        <v>0</v>
      </c>
      <c r="AJ3591" s="196">
        <f>IFERROR($G3591/SUMIF($A:$A,$A3591,$G:$G)*(SUMIF(Summary!$A$247:$A$283,$A3591,Summary!$L$247:$L$283)+SUMIF(Summary!$A$297:$A$333,$A3591,Summary!$L$297:$L$333))-AI3591,0)</f>
        <v>0</v>
      </c>
      <c r="AK3591" s="196">
        <f>IFERROR($G3591/SUMIF($A:$A,$A3591,$G:$G)*SUMIF(Summary!$A$247:$A$283,$A3591,Summary!$Q$247:$Q$283),0)</f>
        <v>0</v>
      </c>
      <c r="AL3591" s="196">
        <f>IFERROR($G3591/SUMIF($A:$A,$A3591,$G:$G)*(SUMIF(Summary!$A$247:$A$283,$A3591,Summary!$L$247:$L$283)+SUMIF(Summary!$A$297:$A$333,$A3591,Summary!$L$297:$L$333))-AK3591,0)</f>
        <v>0</v>
      </c>
      <c r="AM3591" s="198"/>
      <c r="AN3591" s="196">
        <f t="shared" ca="1" si="796"/>
        <v>0</v>
      </c>
      <c r="AO3591" s="196">
        <f t="shared" ca="1" si="797"/>
        <v>0</v>
      </c>
    </row>
    <row r="3592" spans="1:41">
      <c r="A3592" s="189">
        <v>42295</v>
      </c>
      <c r="B3592" s="190">
        <v>1</v>
      </c>
      <c r="C3592" s="191" t="s">
        <v>237</v>
      </c>
      <c r="D3592" s="192">
        <f t="shared" si="784"/>
        <v>0</v>
      </c>
      <c r="E3592" s="192">
        <f t="shared" si="785"/>
        <v>0</v>
      </c>
      <c r="F3592" s="192">
        <f t="shared" si="786"/>
        <v>0</v>
      </c>
      <c r="G3592" s="193">
        <f t="shared" si="787"/>
        <v>0</v>
      </c>
      <c r="H3592" s="194">
        <v>0</v>
      </c>
      <c r="I3592" s="194">
        <v>0</v>
      </c>
      <c r="J3592" s="194">
        <v>0</v>
      </c>
      <c r="K3592" s="193">
        <f t="shared" si="788"/>
        <v>0</v>
      </c>
      <c r="L3592" s="194">
        <v>0</v>
      </c>
      <c r="M3592" s="194">
        <v>0</v>
      </c>
      <c r="N3592" s="194">
        <v>0</v>
      </c>
      <c r="O3592" s="193">
        <f t="shared" si="789"/>
        <v>0</v>
      </c>
      <c r="P3592" s="194">
        <v>0</v>
      </c>
      <c r="Q3592" s="194">
        <v>0</v>
      </c>
      <c r="R3592" s="194">
        <v>0</v>
      </c>
      <c r="S3592" s="193">
        <f t="shared" si="790"/>
        <v>0</v>
      </c>
      <c r="T3592" s="193">
        <f t="shared" si="791"/>
        <v>0</v>
      </c>
      <c r="U3592" s="193">
        <f ca="1">OFFSET('Expenditure Study'!$B$7,'Operations Support'!$C3592,'Operations Support'!$B3592)*$G3592</f>
        <v>0</v>
      </c>
      <c r="V3592" s="199">
        <f ca="1">U3592*'Expenditure Study'!$B$31</f>
        <v>0</v>
      </c>
      <c r="W3592" s="199">
        <f ca="1">IF(A3592=10298,1.51,1)*IF($B3592&lt;3,$D3592*'Expenditure Study'!$B$32*OFFSET('Expenditure Study'!$B$7,'Operations Support'!$C3592,'Operations Support'!$B3592),0)</f>
        <v>0</v>
      </c>
      <c r="X3592" s="200">
        <f ca="1">W3592*'Expenditure Study'!$B$31</f>
        <v>0</v>
      </c>
      <c r="Y3592" s="199">
        <f ca="1">U3592*'Expenditure Study'!$B$31</f>
        <v>0</v>
      </c>
      <c r="Z3592" s="200">
        <f ca="1">W3592*'Expenditure Study'!$B$31</f>
        <v>0</v>
      </c>
      <c r="AA3592" s="195">
        <f t="shared" ca="1" si="792"/>
        <v>0</v>
      </c>
      <c r="AB3592" s="195">
        <f t="shared" ca="1" si="793"/>
        <v>0</v>
      </c>
      <c r="AD3592" s="196">
        <f>IFERROR($G3592/SUMIF($A:$A,$A3592,$G:$G)*SUMIF(Summary!$A$166:$A$242,$A3592,Summary!$P$166:$P$242),0)</f>
        <v>0</v>
      </c>
      <c r="AE3592" s="197">
        <f t="shared" ca="1" si="794"/>
        <v>0</v>
      </c>
      <c r="AF3592" s="196">
        <f>IFERROR(G3592/SUMIF(A:A,A3592,G:G)*SUMIF(Summary!$A$166:$A$242,'Operations Support'!A3592,Summary!$Q$166:$Q$242),0)</f>
        <v>0</v>
      </c>
      <c r="AG3592" s="196">
        <f t="shared" ca="1" si="795"/>
        <v>0</v>
      </c>
      <c r="AI3592" s="196">
        <f>IFERROR($G3592/SUMIF($A:$A,$A3592,$G:$G)*SUMIF(Summary!$A$247:$A$283,$A3592,Summary!$P$247:$P$283),0)</f>
        <v>0</v>
      </c>
      <c r="AJ3592" s="196">
        <f>IFERROR($G3592/SUMIF($A:$A,$A3592,$G:$G)*(SUMIF(Summary!$A$247:$A$283,$A3592,Summary!$L$247:$L$283)+SUMIF(Summary!$A$297:$A$333,$A3592,Summary!$L$297:$L$333))-AI3592,0)</f>
        <v>0</v>
      </c>
      <c r="AK3592" s="196">
        <f>IFERROR($G3592/SUMIF($A:$A,$A3592,$G:$G)*SUMIF(Summary!$A$247:$A$283,$A3592,Summary!$Q$247:$Q$283),0)</f>
        <v>0</v>
      </c>
      <c r="AL3592" s="196">
        <f>IFERROR($G3592/SUMIF($A:$A,$A3592,$G:$G)*(SUMIF(Summary!$A$247:$A$283,$A3592,Summary!$L$247:$L$283)+SUMIF(Summary!$A$297:$A$333,$A3592,Summary!$L$297:$L$333))-AK3592,0)</f>
        <v>0</v>
      </c>
      <c r="AM3592" s="198"/>
      <c r="AN3592" s="196">
        <f t="shared" ca="1" si="796"/>
        <v>0</v>
      </c>
      <c r="AO3592" s="196">
        <f t="shared" ca="1" si="797"/>
        <v>0</v>
      </c>
    </row>
    <row r="3593" spans="1:41">
      <c r="A3593" s="189">
        <v>42295</v>
      </c>
      <c r="B3593" s="190">
        <v>1</v>
      </c>
      <c r="C3593" s="191" t="s">
        <v>238</v>
      </c>
      <c r="D3593" s="192">
        <f t="shared" si="784"/>
        <v>42</v>
      </c>
      <c r="E3593" s="192">
        <f t="shared" si="785"/>
        <v>264</v>
      </c>
      <c r="F3593" s="192">
        <f t="shared" si="786"/>
        <v>0</v>
      </c>
      <c r="G3593" s="193">
        <f t="shared" si="787"/>
        <v>306</v>
      </c>
      <c r="H3593" s="194">
        <v>21</v>
      </c>
      <c r="I3593" s="194">
        <v>117</v>
      </c>
      <c r="J3593" s="194">
        <v>0</v>
      </c>
      <c r="K3593" s="193">
        <f t="shared" si="788"/>
        <v>138</v>
      </c>
      <c r="L3593" s="194">
        <v>21</v>
      </c>
      <c r="M3593" s="194">
        <v>120</v>
      </c>
      <c r="N3593" s="194">
        <v>0</v>
      </c>
      <c r="O3593" s="193">
        <f t="shared" si="789"/>
        <v>141</v>
      </c>
      <c r="P3593" s="194">
        <v>0</v>
      </c>
      <c r="Q3593" s="194">
        <v>27</v>
      </c>
      <c r="R3593" s="194">
        <v>0</v>
      </c>
      <c r="S3593" s="193">
        <f t="shared" si="790"/>
        <v>27</v>
      </c>
      <c r="T3593" s="193">
        <f t="shared" si="791"/>
        <v>10.199999999999999</v>
      </c>
      <c r="U3593" s="193">
        <f ca="1">OFFSET('Expenditure Study'!$B$7,'Operations Support'!$C3593,'Operations Support'!$B3593)*$G3593</f>
        <v>544.68000000000006</v>
      </c>
      <c r="V3593" s="199">
        <f ca="1">U3593*'Expenditure Study'!$B$31</f>
        <v>32181.426918144003</v>
      </c>
      <c r="W3593" s="199">
        <f ca="1">IF(A3593=10298,1.51,1)*IF($B3593&lt;3,$D3593*'Expenditure Study'!$B$32*OFFSET('Expenditure Study'!$B$7,'Operations Support'!$C3593,'Operations Support'!$B3593),0)</f>
        <v>7.4760000000000009</v>
      </c>
      <c r="X3593" s="200">
        <f ca="1">W3593*'Expenditure Study'!$B$31</f>
        <v>441.70585966080006</v>
      </c>
      <c r="Y3593" s="199">
        <f ca="1">U3593*'Expenditure Study'!$B$31</f>
        <v>32181.426918144003</v>
      </c>
      <c r="Z3593" s="200">
        <f ca="1">W3593*'Expenditure Study'!$B$31</f>
        <v>441.70585966080006</v>
      </c>
      <c r="AA3593" s="195">
        <f t="shared" ca="1" si="792"/>
        <v>32623.132777804803</v>
      </c>
      <c r="AB3593" s="195">
        <f t="shared" ca="1" si="793"/>
        <v>32623.132777804803</v>
      </c>
      <c r="AD3593" s="196">
        <f>IFERROR($G3593/SUMIF($A:$A,$A3593,$G:$G)*SUMIF(Summary!$A$166:$A$242,$A3593,Summary!$P$166:$P$242),0)</f>
        <v>7968.0397968511679</v>
      </c>
      <c r="AE3593" s="197">
        <f t="shared" ca="1" si="794"/>
        <v>24655.092980953636</v>
      </c>
      <c r="AF3593" s="196">
        <f>IFERROR(G3593/SUMIF(A:A,A3593,G:G)*SUMIF(Summary!$A$166:$A$242,'Operations Support'!A3593,Summary!$Q$166:$Q$242),0)</f>
        <v>7981.5836209773352</v>
      </c>
      <c r="AG3593" s="196">
        <f t="shared" ca="1" si="795"/>
        <v>24641.549156827467</v>
      </c>
      <c r="AI3593" s="196">
        <f>IFERROR($G3593/SUMIF($A:$A,$A3593,$G:$G)*SUMIF(Summary!$A$247:$A$283,$A3593,Summary!$P$247:$P$283),0)</f>
        <v>1453.171618728989</v>
      </c>
      <c r="AJ3593" s="196">
        <f>IFERROR($G3593/SUMIF($A:$A,$A3593,$G:$G)*(SUMIF(Summary!$A$247:$A$283,$A3593,Summary!$L$247:$L$283)+SUMIF(Summary!$A$297:$A$333,$A3593,Summary!$L$297:$L$333))-AI3593,0)</f>
        <v>14323.189802621018</v>
      </c>
      <c r="AK3593" s="196">
        <f>IFERROR($G3593/SUMIF($A:$A,$A3593,$G:$G)*SUMIF(Summary!$A$247:$A$283,$A3593,Summary!$Q$247:$Q$283),0)</f>
        <v>1455.6416742672384</v>
      </c>
      <c r="AL3593" s="196">
        <f>IFERROR($G3593/SUMIF($A:$A,$A3593,$G:$G)*(SUMIF(Summary!$A$247:$A$283,$A3593,Summary!$L$247:$L$283)+SUMIF(Summary!$A$297:$A$333,$A3593,Summary!$L$297:$L$333))-AK3593,0)</f>
        <v>14320.719747082769</v>
      </c>
      <c r="AM3593" s="198"/>
      <c r="AN3593" s="196">
        <f t="shared" ca="1" si="796"/>
        <v>38978.282783574658</v>
      </c>
      <c r="AO3593" s="196">
        <f t="shared" ca="1" si="797"/>
        <v>38962.268903910233</v>
      </c>
    </row>
    <row r="3594" spans="1:41">
      <c r="A3594" s="189">
        <v>42295</v>
      </c>
      <c r="B3594" s="190">
        <v>1</v>
      </c>
      <c r="C3594" s="191" t="s">
        <v>239</v>
      </c>
      <c r="D3594" s="192">
        <f t="shared" si="784"/>
        <v>21</v>
      </c>
      <c r="E3594" s="192">
        <f t="shared" si="785"/>
        <v>3</v>
      </c>
      <c r="F3594" s="192">
        <f t="shared" si="786"/>
        <v>0</v>
      </c>
      <c r="G3594" s="193">
        <f t="shared" si="787"/>
        <v>24</v>
      </c>
      <c r="H3594" s="194">
        <v>12</v>
      </c>
      <c r="I3594" s="194">
        <v>3</v>
      </c>
      <c r="J3594" s="194">
        <v>0</v>
      </c>
      <c r="K3594" s="193">
        <f t="shared" si="788"/>
        <v>15</v>
      </c>
      <c r="L3594" s="194">
        <v>6</v>
      </c>
      <c r="M3594" s="194">
        <v>0</v>
      </c>
      <c r="N3594" s="194">
        <v>0</v>
      </c>
      <c r="O3594" s="193">
        <f t="shared" si="789"/>
        <v>6</v>
      </c>
      <c r="P3594" s="194">
        <v>3</v>
      </c>
      <c r="Q3594" s="194">
        <v>0</v>
      </c>
      <c r="R3594" s="194">
        <v>0</v>
      </c>
      <c r="S3594" s="193">
        <f t="shared" si="790"/>
        <v>3</v>
      </c>
      <c r="T3594" s="193">
        <f t="shared" si="791"/>
        <v>0.8</v>
      </c>
      <c r="U3594" s="193">
        <f ca="1">OFFSET('Expenditure Study'!$B$7,'Operations Support'!$C3594,'Operations Support'!$B3594)*$G3594</f>
        <v>37.200000000000003</v>
      </c>
      <c r="V3594" s="199">
        <f ca="1">U3594*'Expenditure Study'!$B$31</f>
        <v>2197.8943257600004</v>
      </c>
      <c r="W3594" s="199">
        <f ca="1">IF(A3594=10298,1.51,1)*IF($B3594&lt;3,$D3594*'Expenditure Study'!$B$32*OFFSET('Expenditure Study'!$B$7,'Operations Support'!$C3594,'Operations Support'!$B3594),0)</f>
        <v>3.2550000000000003</v>
      </c>
      <c r="X3594" s="200">
        <f ca="1">W3594*'Expenditure Study'!$B$31</f>
        <v>192.31575350400001</v>
      </c>
      <c r="Y3594" s="199">
        <f ca="1">U3594*'Expenditure Study'!$B$31</f>
        <v>2197.8943257600004</v>
      </c>
      <c r="Z3594" s="200">
        <f ca="1">W3594*'Expenditure Study'!$B$31</f>
        <v>192.31575350400001</v>
      </c>
      <c r="AA3594" s="195">
        <f t="shared" ca="1" si="792"/>
        <v>2390.2100792640003</v>
      </c>
      <c r="AB3594" s="195">
        <f t="shared" ca="1" si="793"/>
        <v>2390.2100792640003</v>
      </c>
      <c r="AD3594" s="196">
        <f>IFERROR($G3594/SUMIF($A:$A,$A3594,$G:$G)*SUMIF(Summary!$A$166:$A$242,$A3594,Summary!$P$166:$P$242),0)</f>
        <v>624.94429779224856</v>
      </c>
      <c r="AE3594" s="197">
        <f t="shared" ca="1" si="794"/>
        <v>1765.2657814717518</v>
      </c>
      <c r="AF3594" s="196">
        <f>IFERROR(G3594/SUMIF(A:A,A3594,G:G)*SUMIF(Summary!$A$166:$A$242,'Operations Support'!A3594,Summary!$Q$166:$Q$242),0)</f>
        <v>626.00655850802639</v>
      </c>
      <c r="AG3594" s="196">
        <f t="shared" ca="1" si="795"/>
        <v>1764.2035207559738</v>
      </c>
      <c r="AI3594" s="196">
        <f>IFERROR($G3594/SUMIF($A:$A,$A3594,$G:$G)*SUMIF(Summary!$A$247:$A$283,$A3594,Summary!$P$247:$P$283),0)</f>
        <v>113.97424460619521</v>
      </c>
      <c r="AJ3594" s="196">
        <f>IFERROR($G3594/SUMIF($A:$A,$A3594,$G:$G)*(SUMIF(Summary!$A$247:$A$283,$A3594,Summary!$L$247:$L$283)+SUMIF(Summary!$A$297:$A$333,$A3594,Summary!$L$297:$L$333))-AI3594,0)</f>
        <v>1123.3874354996879</v>
      </c>
      <c r="AK3594" s="196">
        <f>IFERROR($G3594/SUMIF($A:$A,$A3594,$G:$G)*SUMIF(Summary!$A$247:$A$283,$A3594,Summary!$Q$247:$Q$283),0)</f>
        <v>114.16797445233243</v>
      </c>
      <c r="AL3594" s="196">
        <f>IFERROR($G3594/SUMIF($A:$A,$A3594,$G:$G)*(SUMIF(Summary!$A$247:$A$283,$A3594,Summary!$L$247:$L$283)+SUMIF(Summary!$A$297:$A$333,$A3594,Summary!$L$297:$L$333))-AK3594,0)</f>
        <v>1123.1937056535508</v>
      </c>
      <c r="AM3594" s="198"/>
      <c r="AN3594" s="196">
        <f t="shared" ca="1" si="796"/>
        <v>2888.6532169714396</v>
      </c>
      <c r="AO3594" s="196">
        <f t="shared" ca="1" si="797"/>
        <v>2887.3972264095246</v>
      </c>
    </row>
    <row r="3595" spans="1:41">
      <c r="A3595" s="189">
        <v>42295</v>
      </c>
      <c r="B3595" s="190">
        <v>1</v>
      </c>
      <c r="C3595" s="191" t="s">
        <v>240</v>
      </c>
      <c r="D3595" s="192">
        <f t="shared" si="784"/>
        <v>0</v>
      </c>
      <c r="E3595" s="192">
        <f t="shared" si="785"/>
        <v>0</v>
      </c>
      <c r="F3595" s="192">
        <f t="shared" si="786"/>
        <v>0</v>
      </c>
      <c r="G3595" s="193">
        <f t="shared" si="787"/>
        <v>0</v>
      </c>
      <c r="H3595" s="194">
        <v>0</v>
      </c>
      <c r="I3595" s="194">
        <v>0</v>
      </c>
      <c r="J3595" s="194">
        <v>0</v>
      </c>
      <c r="K3595" s="193">
        <f t="shared" si="788"/>
        <v>0</v>
      </c>
      <c r="L3595" s="194">
        <v>0</v>
      </c>
      <c r="M3595" s="194">
        <v>0</v>
      </c>
      <c r="N3595" s="194">
        <v>0</v>
      </c>
      <c r="O3595" s="193">
        <f t="shared" si="789"/>
        <v>0</v>
      </c>
      <c r="P3595" s="194">
        <v>0</v>
      </c>
      <c r="Q3595" s="194">
        <v>0</v>
      </c>
      <c r="R3595" s="194">
        <v>0</v>
      </c>
      <c r="S3595" s="193">
        <f t="shared" si="790"/>
        <v>0</v>
      </c>
      <c r="T3595" s="193">
        <f t="shared" si="791"/>
        <v>0</v>
      </c>
      <c r="U3595" s="193">
        <f ca="1">OFFSET('Expenditure Study'!$B$7,'Operations Support'!$C3595,'Operations Support'!$B3595)*$G3595</f>
        <v>0</v>
      </c>
      <c r="V3595" s="199">
        <f ca="1">U3595*'Expenditure Study'!$B$31</f>
        <v>0</v>
      </c>
      <c r="W3595" s="199">
        <f ca="1">IF(A3595=10298,1.51,1)*IF($B3595&lt;3,$D3595*'Expenditure Study'!$B$32*OFFSET('Expenditure Study'!$B$7,'Operations Support'!$C3595,'Operations Support'!$B3595),0)</f>
        <v>0</v>
      </c>
      <c r="X3595" s="200">
        <f ca="1">W3595*'Expenditure Study'!$B$31</f>
        <v>0</v>
      </c>
      <c r="Y3595" s="199">
        <f ca="1">U3595*'Expenditure Study'!$B$31</f>
        <v>0</v>
      </c>
      <c r="Z3595" s="200">
        <f ca="1">W3595*'Expenditure Study'!$B$31</f>
        <v>0</v>
      </c>
      <c r="AA3595" s="195">
        <f t="shared" ca="1" si="792"/>
        <v>0</v>
      </c>
      <c r="AB3595" s="195">
        <f t="shared" ca="1" si="793"/>
        <v>0</v>
      </c>
      <c r="AD3595" s="196">
        <f>IFERROR($G3595/SUMIF($A:$A,$A3595,$G:$G)*SUMIF(Summary!$A$166:$A$242,$A3595,Summary!$P$166:$P$242),0)</f>
        <v>0</v>
      </c>
      <c r="AE3595" s="197">
        <f t="shared" ca="1" si="794"/>
        <v>0</v>
      </c>
      <c r="AF3595" s="196">
        <f>IFERROR(G3595/SUMIF(A:A,A3595,G:G)*SUMIF(Summary!$A$166:$A$242,'Operations Support'!A3595,Summary!$Q$166:$Q$242),0)</f>
        <v>0</v>
      </c>
      <c r="AG3595" s="196">
        <f t="shared" ca="1" si="795"/>
        <v>0</v>
      </c>
      <c r="AI3595" s="196">
        <f>IFERROR($G3595/SUMIF($A:$A,$A3595,$G:$G)*SUMIF(Summary!$A$247:$A$283,$A3595,Summary!$P$247:$P$283),0)</f>
        <v>0</v>
      </c>
      <c r="AJ3595" s="196">
        <f>IFERROR($G3595/SUMIF($A:$A,$A3595,$G:$G)*(SUMIF(Summary!$A$247:$A$283,$A3595,Summary!$L$247:$L$283)+SUMIF(Summary!$A$297:$A$333,$A3595,Summary!$L$297:$L$333))-AI3595,0)</f>
        <v>0</v>
      </c>
      <c r="AK3595" s="196">
        <f>IFERROR($G3595/SUMIF($A:$A,$A3595,$G:$G)*SUMIF(Summary!$A$247:$A$283,$A3595,Summary!$Q$247:$Q$283),0)</f>
        <v>0</v>
      </c>
      <c r="AL3595" s="196">
        <f>IFERROR($G3595/SUMIF($A:$A,$A3595,$G:$G)*(SUMIF(Summary!$A$247:$A$283,$A3595,Summary!$L$247:$L$283)+SUMIF(Summary!$A$297:$A$333,$A3595,Summary!$L$297:$L$333))-AK3595,0)</f>
        <v>0</v>
      </c>
      <c r="AM3595" s="198"/>
      <c r="AN3595" s="196">
        <f t="shared" ca="1" si="796"/>
        <v>0</v>
      </c>
      <c r="AO3595" s="196">
        <f t="shared" ca="1" si="797"/>
        <v>0</v>
      </c>
    </row>
    <row r="3596" spans="1:41">
      <c r="A3596" s="189">
        <v>42295</v>
      </c>
      <c r="B3596" s="190">
        <v>2</v>
      </c>
      <c r="C3596" s="191" t="s">
        <v>220</v>
      </c>
      <c r="D3596" s="192">
        <f t="shared" si="784"/>
        <v>4483</v>
      </c>
      <c r="E3596" s="192">
        <f t="shared" si="785"/>
        <v>6378</v>
      </c>
      <c r="F3596" s="192">
        <f t="shared" si="786"/>
        <v>0</v>
      </c>
      <c r="G3596" s="193">
        <f t="shared" si="787"/>
        <v>10861</v>
      </c>
      <c r="H3596" s="194">
        <v>1690</v>
      </c>
      <c r="I3596" s="194">
        <v>2562</v>
      </c>
      <c r="J3596" s="194">
        <v>0</v>
      </c>
      <c r="K3596" s="193">
        <f t="shared" si="788"/>
        <v>4252</v>
      </c>
      <c r="L3596" s="194">
        <v>1725</v>
      </c>
      <c r="M3596" s="194">
        <v>2618</v>
      </c>
      <c r="N3596" s="194">
        <v>0</v>
      </c>
      <c r="O3596" s="193">
        <f t="shared" si="789"/>
        <v>4343</v>
      </c>
      <c r="P3596" s="194">
        <v>1068</v>
      </c>
      <c r="Q3596" s="194">
        <v>1198</v>
      </c>
      <c r="R3596" s="194">
        <v>0</v>
      </c>
      <c r="S3596" s="193">
        <f t="shared" si="790"/>
        <v>2266</v>
      </c>
      <c r="T3596" s="193">
        <f t="shared" si="791"/>
        <v>362.03333333333336</v>
      </c>
      <c r="U3596" s="193">
        <f ca="1">OFFSET('Expenditure Study'!$B$7,'Operations Support'!$C3596,'Operations Support'!$B3596)*$G3596</f>
        <v>19984.240000000002</v>
      </c>
      <c r="V3596" s="199">
        <f ca="1">U3596*'Expenditure Study'!$B$31</f>
        <v>1180732.465070592</v>
      </c>
      <c r="W3596" s="199">
        <f ca="1">IF(A3596=10298,1.51,1)*IF($B3596&lt;3,$D3596*'Expenditure Study'!$B$32*OFFSET('Expenditure Study'!$B$7,'Operations Support'!$C3596,'Operations Support'!$B3596),0)</f>
        <v>824.87200000000007</v>
      </c>
      <c r="X3596" s="200">
        <f ca="1">W3596*'Expenditure Study'!$B$31</f>
        <v>48736.061512857603</v>
      </c>
      <c r="Y3596" s="199">
        <f ca="1">U3596*'Expenditure Study'!$B$31</f>
        <v>1180732.465070592</v>
      </c>
      <c r="Z3596" s="200">
        <f ca="1">W3596*'Expenditure Study'!$B$31</f>
        <v>48736.061512857603</v>
      </c>
      <c r="AA3596" s="195">
        <f t="shared" ca="1" si="792"/>
        <v>1229468.5265834497</v>
      </c>
      <c r="AB3596" s="195">
        <f t="shared" ca="1" si="793"/>
        <v>1229468.5265834497</v>
      </c>
      <c r="AD3596" s="196">
        <f>IFERROR($G3596/SUMIF($A:$A,$A3596,$G:$G)*SUMIF(Summary!$A$166:$A$242,$A3596,Summary!$P$166:$P$242),0)</f>
        <v>282813.33409673377</v>
      </c>
      <c r="AE3596" s="197">
        <f t="shared" ca="1" si="794"/>
        <v>946655.19248671597</v>
      </c>
      <c r="AF3596" s="196">
        <f>IFERROR(G3596/SUMIF(A:A,A3596,G:G)*SUMIF(Summary!$A$166:$A$242,'Operations Support'!A3596,Summary!$Q$166:$Q$242),0)</f>
        <v>283294.05133148638</v>
      </c>
      <c r="AG3596" s="196">
        <f t="shared" ca="1" si="795"/>
        <v>946174.47525196336</v>
      </c>
      <c r="AI3596" s="196">
        <f>IFERROR($G3596/SUMIF($A:$A,$A3596,$G:$G)*SUMIF(Summary!$A$247:$A$283,$A3596,Summary!$P$247:$P$283),0)</f>
        <v>51578.09461116192</v>
      </c>
      <c r="AJ3596" s="196">
        <f>IFERROR($G3596/SUMIF($A:$A,$A3596,$G:$G)*(SUMIF(Summary!$A$247:$A$283,$A3596,Summary!$L$247:$L$283)+SUMIF(Summary!$A$297:$A$333,$A3596,Summary!$L$297:$L$333))-AI3596,0)</f>
        <v>508379.62237342115</v>
      </c>
      <c r="AK3596" s="196">
        <f>IFERROR($G3596/SUMIF($A:$A,$A3596,$G:$G)*SUMIF(Summary!$A$247:$A$283,$A3596,Summary!$Q$247:$Q$283),0)</f>
        <v>51665.765438615927</v>
      </c>
      <c r="AL3596" s="196">
        <f>IFERROR($G3596/SUMIF($A:$A,$A3596,$G:$G)*(SUMIF(Summary!$A$247:$A$283,$A3596,Summary!$L$247:$L$283)+SUMIF(Summary!$A$297:$A$333,$A3596,Summary!$L$297:$L$333))-AK3596,0)</f>
        <v>508291.95154596714</v>
      </c>
      <c r="AM3596" s="198"/>
      <c r="AN3596" s="196">
        <f t="shared" ca="1" si="796"/>
        <v>1455034.8148601372</v>
      </c>
      <c r="AO3596" s="196">
        <f t="shared" ca="1" si="797"/>
        <v>1454466.4267979306</v>
      </c>
    </row>
    <row r="3597" spans="1:41">
      <c r="A3597" s="189">
        <v>42295</v>
      </c>
      <c r="B3597" s="190">
        <v>2</v>
      </c>
      <c r="C3597" s="191" t="s">
        <v>221</v>
      </c>
      <c r="D3597" s="192">
        <f t="shared" si="784"/>
        <v>1085</v>
      </c>
      <c r="E3597" s="192">
        <f t="shared" si="785"/>
        <v>863</v>
      </c>
      <c r="F3597" s="192">
        <f t="shared" si="786"/>
        <v>0</v>
      </c>
      <c r="G3597" s="193">
        <f t="shared" si="787"/>
        <v>1948</v>
      </c>
      <c r="H3597" s="194">
        <v>501</v>
      </c>
      <c r="I3597" s="194">
        <v>478</v>
      </c>
      <c r="J3597" s="194">
        <v>0</v>
      </c>
      <c r="K3597" s="193">
        <f t="shared" si="788"/>
        <v>979</v>
      </c>
      <c r="L3597" s="194">
        <v>473</v>
      </c>
      <c r="M3597" s="194">
        <v>298</v>
      </c>
      <c r="N3597" s="194">
        <v>0</v>
      </c>
      <c r="O3597" s="193">
        <f t="shared" si="789"/>
        <v>771</v>
      </c>
      <c r="P3597" s="194">
        <v>111</v>
      </c>
      <c r="Q3597" s="194">
        <v>87</v>
      </c>
      <c r="R3597" s="194">
        <v>0</v>
      </c>
      <c r="S3597" s="193">
        <f t="shared" si="790"/>
        <v>198</v>
      </c>
      <c r="T3597" s="193">
        <f t="shared" si="791"/>
        <v>64.933333333333337</v>
      </c>
      <c r="U3597" s="193">
        <f ca="1">OFFSET('Expenditure Study'!$B$7,'Operations Support'!$C3597,'Operations Support'!$B3597)*$G3597</f>
        <v>5123.24</v>
      </c>
      <c r="V3597" s="199">
        <f ca="1">U3597*'Expenditure Study'!$B$31</f>
        <v>302697.31520179199</v>
      </c>
      <c r="W3597" s="199">
        <f ca="1">IF(A3597=10298,1.51,1)*IF($B3597&lt;3,$D3597*'Expenditure Study'!$B$32*OFFSET('Expenditure Study'!$B$7,'Operations Support'!$C3597,'Operations Support'!$B3597),0)</f>
        <v>285.35499999999996</v>
      </c>
      <c r="X3597" s="200">
        <f ca="1">W3597*'Expenditure Study'!$B$31</f>
        <v>16859.681057184</v>
      </c>
      <c r="Y3597" s="199">
        <f ca="1">U3597*'Expenditure Study'!$B$31</f>
        <v>302697.31520179199</v>
      </c>
      <c r="Z3597" s="200">
        <f ca="1">W3597*'Expenditure Study'!$B$31</f>
        <v>16859.681057184</v>
      </c>
      <c r="AA3597" s="195">
        <f t="shared" ca="1" si="792"/>
        <v>319556.996258976</v>
      </c>
      <c r="AB3597" s="195">
        <f t="shared" ca="1" si="793"/>
        <v>319556.996258976</v>
      </c>
      <c r="AD3597" s="196">
        <f>IFERROR($G3597/SUMIF($A:$A,$A3597,$G:$G)*SUMIF(Summary!$A$166:$A$242,$A3597,Summary!$P$166:$P$242),0)</f>
        <v>50724.645504137501</v>
      </c>
      <c r="AE3597" s="197">
        <f t="shared" ca="1" si="794"/>
        <v>268832.3507548385</v>
      </c>
      <c r="AF3597" s="196">
        <f>IFERROR(G3597/SUMIF(A:A,A3597,G:G)*SUMIF(Summary!$A$166:$A$242,'Operations Support'!A3597,Summary!$Q$166:$Q$242),0)</f>
        <v>50810.865665568133</v>
      </c>
      <c r="AG3597" s="196">
        <f t="shared" ca="1" si="795"/>
        <v>268746.13059340784</v>
      </c>
      <c r="AI3597" s="196">
        <f>IFERROR($G3597/SUMIF($A:$A,$A3597,$G:$G)*SUMIF(Summary!$A$247:$A$283,$A3597,Summary!$P$247:$P$283),0)</f>
        <v>9250.9095205361773</v>
      </c>
      <c r="AJ3597" s="196">
        <f>IFERROR($G3597/SUMIF($A:$A,$A3597,$G:$G)*(SUMIF(Summary!$A$247:$A$283,$A3597,Summary!$L$247:$L$283)+SUMIF(Summary!$A$297:$A$333,$A3597,Summary!$L$297:$L$333))-AI3597,0)</f>
        <v>91181.613514724653</v>
      </c>
      <c r="AK3597" s="196">
        <f>IFERROR($G3597/SUMIF($A:$A,$A3597,$G:$G)*SUMIF(Summary!$A$247:$A$283,$A3597,Summary!$Q$247:$Q$283),0)</f>
        <v>9266.6339263809805</v>
      </c>
      <c r="AL3597" s="196">
        <f>IFERROR($G3597/SUMIF($A:$A,$A3597,$G:$G)*(SUMIF(Summary!$A$247:$A$283,$A3597,Summary!$L$247:$L$283)+SUMIF(Summary!$A$297:$A$333,$A3597,Summary!$L$297:$L$333))-AK3597,0)</f>
        <v>91165.889108879855</v>
      </c>
      <c r="AM3597" s="198"/>
      <c r="AN3597" s="196">
        <f t="shared" ca="1" si="796"/>
        <v>360013.96426956315</v>
      </c>
      <c r="AO3597" s="196">
        <f t="shared" ca="1" si="797"/>
        <v>359912.01970228768</v>
      </c>
    </row>
    <row r="3598" spans="1:41">
      <c r="A3598" s="189">
        <v>42295</v>
      </c>
      <c r="B3598" s="190">
        <v>2</v>
      </c>
      <c r="C3598" s="191" t="s">
        <v>222</v>
      </c>
      <c r="D3598" s="192">
        <f t="shared" si="784"/>
        <v>88</v>
      </c>
      <c r="E3598" s="192">
        <f t="shared" si="785"/>
        <v>598</v>
      </c>
      <c r="F3598" s="192">
        <f t="shared" si="786"/>
        <v>0</v>
      </c>
      <c r="G3598" s="193">
        <f t="shared" si="787"/>
        <v>686</v>
      </c>
      <c r="H3598" s="194">
        <v>13</v>
      </c>
      <c r="I3598" s="194">
        <v>250</v>
      </c>
      <c r="J3598" s="194">
        <v>0</v>
      </c>
      <c r="K3598" s="193">
        <f t="shared" si="788"/>
        <v>263</v>
      </c>
      <c r="L3598" s="194">
        <v>22</v>
      </c>
      <c r="M3598" s="194">
        <v>239</v>
      </c>
      <c r="N3598" s="194">
        <v>0</v>
      </c>
      <c r="O3598" s="193">
        <f t="shared" si="789"/>
        <v>261</v>
      </c>
      <c r="P3598" s="194">
        <v>53</v>
      </c>
      <c r="Q3598" s="194">
        <v>109</v>
      </c>
      <c r="R3598" s="194">
        <v>0</v>
      </c>
      <c r="S3598" s="193">
        <f t="shared" si="790"/>
        <v>162</v>
      </c>
      <c r="T3598" s="193">
        <f t="shared" si="791"/>
        <v>22.866666666666667</v>
      </c>
      <c r="U3598" s="193">
        <f ca="1">OFFSET('Expenditure Study'!$B$7,'Operations Support'!$C3598,'Operations Support'!$B3598)*$G3598</f>
        <v>1824.76</v>
      </c>
      <c r="V3598" s="199">
        <f ca="1">U3598*'Expenditure Study'!$B$31</f>
        <v>107812.62499660801</v>
      </c>
      <c r="W3598" s="199">
        <f ca="1">IF(A3598=10298,1.51,1)*IF($B3598&lt;3,$D3598*'Expenditure Study'!$B$32*OFFSET('Expenditure Study'!$B$7,'Operations Support'!$C3598,'Operations Support'!$B3598),0)</f>
        <v>23.408000000000005</v>
      </c>
      <c r="X3598" s="200">
        <f ca="1">W3598*'Expenditure Study'!$B$31</f>
        <v>1383.0190961664002</v>
      </c>
      <c r="Y3598" s="199">
        <f ca="1">U3598*'Expenditure Study'!$B$31</f>
        <v>107812.62499660801</v>
      </c>
      <c r="Z3598" s="200">
        <f ca="1">W3598*'Expenditure Study'!$B$31</f>
        <v>1383.0190961664002</v>
      </c>
      <c r="AA3598" s="195">
        <f t="shared" ca="1" si="792"/>
        <v>109195.64409277441</v>
      </c>
      <c r="AB3598" s="195">
        <f t="shared" ca="1" si="793"/>
        <v>109195.64409277441</v>
      </c>
      <c r="AD3598" s="196">
        <f>IFERROR($G3598/SUMIF($A:$A,$A3598,$G:$G)*SUMIF(Summary!$A$166:$A$242,$A3598,Summary!$P$166:$P$242),0)</f>
        <v>17862.99117856177</v>
      </c>
      <c r="AE3598" s="197">
        <f t="shared" ca="1" si="794"/>
        <v>91332.652914212638</v>
      </c>
      <c r="AF3598" s="196">
        <f>IFERROR(G3598/SUMIF(A:A,A3598,G:G)*SUMIF(Summary!$A$166:$A$242,'Operations Support'!A3598,Summary!$Q$166:$Q$242),0)</f>
        <v>17893.354130687752</v>
      </c>
      <c r="AG3598" s="196">
        <f t="shared" ca="1" si="795"/>
        <v>91302.289962086652</v>
      </c>
      <c r="AI3598" s="196">
        <f>IFERROR($G3598/SUMIF($A:$A,$A3598,$G:$G)*SUMIF(Summary!$A$247:$A$283,$A3598,Summary!$P$247:$P$283),0)</f>
        <v>3257.7638249937463</v>
      </c>
      <c r="AJ3598" s="196">
        <f>IFERROR($G3598/SUMIF($A:$A,$A3598,$G:$G)*(SUMIF(Summary!$A$247:$A$283,$A3598,Summary!$L$247:$L$283)+SUMIF(Summary!$A$297:$A$333,$A3598,Summary!$L$297:$L$333))-AI3598,0)</f>
        <v>32110.15753136608</v>
      </c>
      <c r="AK3598" s="196">
        <f>IFERROR($G3598/SUMIF($A:$A,$A3598,$G:$G)*SUMIF(Summary!$A$247:$A$283,$A3598,Summary!$Q$247:$Q$283),0)</f>
        <v>3263.3012697625018</v>
      </c>
      <c r="AL3598" s="196">
        <f>IFERROR($G3598/SUMIF($A:$A,$A3598,$G:$G)*(SUMIF(Summary!$A$247:$A$283,$A3598,Summary!$L$247:$L$283)+SUMIF(Summary!$A$297:$A$333,$A3598,Summary!$L$297:$L$333))-AK3598,0)</f>
        <v>32104.620086597322</v>
      </c>
      <c r="AM3598" s="198"/>
      <c r="AN3598" s="196">
        <f t="shared" ca="1" si="796"/>
        <v>123442.81044557871</v>
      </c>
      <c r="AO3598" s="196">
        <f t="shared" ca="1" si="797"/>
        <v>123406.91004868397</v>
      </c>
    </row>
    <row r="3599" spans="1:41">
      <c r="A3599" s="189">
        <v>42295</v>
      </c>
      <c r="B3599" s="190">
        <v>2</v>
      </c>
      <c r="C3599" s="191" t="s">
        <v>223</v>
      </c>
      <c r="D3599" s="192">
        <f t="shared" si="784"/>
        <v>1014</v>
      </c>
      <c r="E3599" s="192">
        <f t="shared" si="785"/>
        <v>584</v>
      </c>
      <c r="F3599" s="192">
        <f t="shared" si="786"/>
        <v>0</v>
      </c>
      <c r="G3599" s="193">
        <f t="shared" si="787"/>
        <v>1598</v>
      </c>
      <c r="H3599" s="194">
        <v>378</v>
      </c>
      <c r="I3599" s="194">
        <v>337</v>
      </c>
      <c r="J3599" s="194">
        <v>0</v>
      </c>
      <c r="K3599" s="193">
        <f t="shared" si="788"/>
        <v>715</v>
      </c>
      <c r="L3599" s="194">
        <v>438</v>
      </c>
      <c r="M3599" s="194">
        <v>175</v>
      </c>
      <c r="N3599" s="194">
        <v>0</v>
      </c>
      <c r="O3599" s="193">
        <f t="shared" si="789"/>
        <v>613</v>
      </c>
      <c r="P3599" s="194">
        <v>198</v>
      </c>
      <c r="Q3599" s="194">
        <v>72</v>
      </c>
      <c r="R3599" s="194">
        <v>0</v>
      </c>
      <c r="S3599" s="193">
        <f t="shared" si="790"/>
        <v>270</v>
      </c>
      <c r="T3599" s="193">
        <f t="shared" si="791"/>
        <v>53.266666666666666</v>
      </c>
      <c r="U3599" s="193">
        <f ca="1">OFFSET('Expenditure Study'!$B$7,'Operations Support'!$C3599,'Operations Support'!$B3599)*$G3599</f>
        <v>3036.2</v>
      </c>
      <c r="V3599" s="199">
        <f ca="1">U3599*'Expenditure Study'!$B$31</f>
        <v>179388.35354496</v>
      </c>
      <c r="W3599" s="199">
        <f ca="1">IF(A3599=10298,1.51,1)*IF($B3599&lt;3,$D3599*'Expenditure Study'!$B$32*OFFSET('Expenditure Study'!$B$7,'Operations Support'!$C3599,'Operations Support'!$B3599),0)</f>
        <v>192.66</v>
      </c>
      <c r="X3599" s="200">
        <f ca="1">W3599*'Expenditure Study'!$B$31</f>
        <v>11382.965612927999</v>
      </c>
      <c r="Y3599" s="199">
        <f ca="1">U3599*'Expenditure Study'!$B$31</f>
        <v>179388.35354496</v>
      </c>
      <c r="Z3599" s="200">
        <f ca="1">W3599*'Expenditure Study'!$B$31</f>
        <v>11382.965612927999</v>
      </c>
      <c r="AA3599" s="195">
        <f t="shared" ca="1" si="792"/>
        <v>190771.31915788801</v>
      </c>
      <c r="AB3599" s="195">
        <f t="shared" ca="1" si="793"/>
        <v>190771.31915788801</v>
      </c>
      <c r="AD3599" s="196">
        <f>IFERROR($G3599/SUMIF($A:$A,$A3599,$G:$G)*SUMIF(Summary!$A$166:$A$242,$A3599,Summary!$P$166:$P$242),0)</f>
        <v>41610.874494667209</v>
      </c>
      <c r="AE3599" s="197">
        <f t="shared" ca="1" si="794"/>
        <v>149160.44466322078</v>
      </c>
      <c r="AF3599" s="196">
        <f>IFERROR(G3599/SUMIF(A:A,A3599,G:G)*SUMIF(Summary!$A$166:$A$242,'Operations Support'!A3599,Summary!$Q$166:$Q$242),0)</f>
        <v>41681.603353992752</v>
      </c>
      <c r="AG3599" s="196">
        <f t="shared" ca="1" si="795"/>
        <v>149089.71580389526</v>
      </c>
      <c r="AI3599" s="196">
        <f>IFERROR($G3599/SUMIF($A:$A,$A3599,$G:$G)*SUMIF(Summary!$A$247:$A$283,$A3599,Summary!$P$247:$P$283),0)</f>
        <v>7588.7851200291634</v>
      </c>
      <c r="AJ3599" s="196">
        <f>IFERROR($G3599/SUMIF($A:$A,$A3599,$G:$G)*(SUMIF(Summary!$A$247:$A$283,$A3599,Summary!$L$247:$L$283)+SUMIF(Summary!$A$297:$A$333,$A3599,Summary!$L$297:$L$333))-AI3599,0)</f>
        <v>74798.880080354211</v>
      </c>
      <c r="AK3599" s="196">
        <f>IFERROR($G3599/SUMIF($A:$A,$A3599,$G:$G)*SUMIF(Summary!$A$247:$A$283,$A3599,Summary!$Q$247:$Q$283),0)</f>
        <v>7601.6842989511333</v>
      </c>
      <c r="AL3599" s="196">
        <f>IFERROR($G3599/SUMIF($A:$A,$A3599,$G:$G)*(SUMIF(Summary!$A$247:$A$283,$A3599,Summary!$L$247:$L$283)+SUMIF(Summary!$A$297:$A$333,$A3599,Summary!$L$297:$L$333))-AK3599,0)</f>
        <v>74785.980901432238</v>
      </c>
      <c r="AM3599" s="198"/>
      <c r="AN3599" s="196">
        <f t="shared" ca="1" si="796"/>
        <v>223959.32474357501</v>
      </c>
      <c r="AO3599" s="196">
        <f t="shared" ca="1" si="797"/>
        <v>223875.69670532749</v>
      </c>
    </row>
    <row r="3600" spans="1:41">
      <c r="A3600" s="189">
        <v>42295</v>
      </c>
      <c r="B3600" s="190">
        <v>2</v>
      </c>
      <c r="C3600" s="191" t="s">
        <v>224</v>
      </c>
      <c r="D3600" s="192">
        <f t="shared" si="784"/>
        <v>0</v>
      </c>
      <c r="E3600" s="192">
        <f t="shared" si="785"/>
        <v>0</v>
      </c>
      <c r="F3600" s="192">
        <f t="shared" si="786"/>
        <v>0</v>
      </c>
      <c r="G3600" s="193">
        <f t="shared" si="787"/>
        <v>0</v>
      </c>
      <c r="H3600" s="194">
        <v>0</v>
      </c>
      <c r="I3600" s="194">
        <v>0</v>
      </c>
      <c r="J3600" s="194">
        <v>0</v>
      </c>
      <c r="K3600" s="193">
        <f t="shared" si="788"/>
        <v>0</v>
      </c>
      <c r="L3600" s="194">
        <v>0</v>
      </c>
      <c r="M3600" s="194">
        <v>0</v>
      </c>
      <c r="N3600" s="194">
        <v>0</v>
      </c>
      <c r="O3600" s="193">
        <f t="shared" si="789"/>
        <v>0</v>
      </c>
      <c r="P3600" s="194">
        <v>0</v>
      </c>
      <c r="Q3600" s="194">
        <v>0</v>
      </c>
      <c r="R3600" s="194">
        <v>0</v>
      </c>
      <c r="S3600" s="193">
        <f t="shared" si="790"/>
        <v>0</v>
      </c>
      <c r="T3600" s="193">
        <f t="shared" si="791"/>
        <v>0</v>
      </c>
      <c r="U3600" s="193">
        <f ca="1">OFFSET('Expenditure Study'!$B$7,'Operations Support'!$C3600,'Operations Support'!$B3600)*$G3600</f>
        <v>0</v>
      </c>
      <c r="V3600" s="199">
        <f ca="1">U3600*'Expenditure Study'!$B$31</f>
        <v>0</v>
      </c>
      <c r="W3600" s="199">
        <f ca="1">IF(A3600=10298,1.51,1)*IF($B3600&lt;3,$D3600*'Expenditure Study'!$B$32*OFFSET('Expenditure Study'!$B$7,'Operations Support'!$C3600,'Operations Support'!$B3600),0)</f>
        <v>0</v>
      </c>
      <c r="X3600" s="200">
        <f ca="1">W3600*'Expenditure Study'!$B$31</f>
        <v>0</v>
      </c>
      <c r="Y3600" s="199">
        <f ca="1">U3600*'Expenditure Study'!$B$31</f>
        <v>0</v>
      </c>
      <c r="Z3600" s="200">
        <f ca="1">W3600*'Expenditure Study'!$B$31</f>
        <v>0</v>
      </c>
      <c r="AA3600" s="195">
        <f t="shared" ca="1" si="792"/>
        <v>0</v>
      </c>
      <c r="AB3600" s="195">
        <f t="shared" ca="1" si="793"/>
        <v>0</v>
      </c>
      <c r="AD3600" s="196">
        <f>IFERROR($G3600/SUMIF($A:$A,$A3600,$G:$G)*SUMIF(Summary!$A$166:$A$242,$A3600,Summary!$P$166:$P$242),0)</f>
        <v>0</v>
      </c>
      <c r="AE3600" s="197">
        <f t="shared" ca="1" si="794"/>
        <v>0</v>
      </c>
      <c r="AF3600" s="196">
        <f>IFERROR(G3600/SUMIF(A:A,A3600,G:G)*SUMIF(Summary!$A$166:$A$242,'Operations Support'!A3600,Summary!$Q$166:$Q$242),0)</f>
        <v>0</v>
      </c>
      <c r="AG3600" s="196">
        <f t="shared" ca="1" si="795"/>
        <v>0</v>
      </c>
      <c r="AI3600" s="196">
        <f>IFERROR($G3600/SUMIF($A:$A,$A3600,$G:$G)*SUMIF(Summary!$A$247:$A$283,$A3600,Summary!$P$247:$P$283),0)</f>
        <v>0</v>
      </c>
      <c r="AJ3600" s="196">
        <f>IFERROR($G3600/SUMIF($A:$A,$A3600,$G:$G)*(SUMIF(Summary!$A$247:$A$283,$A3600,Summary!$L$247:$L$283)+SUMIF(Summary!$A$297:$A$333,$A3600,Summary!$L$297:$L$333))-AI3600,0)</f>
        <v>0</v>
      </c>
      <c r="AK3600" s="196">
        <f>IFERROR($G3600/SUMIF($A:$A,$A3600,$G:$G)*SUMIF(Summary!$A$247:$A$283,$A3600,Summary!$Q$247:$Q$283),0)</f>
        <v>0</v>
      </c>
      <c r="AL3600" s="196">
        <f>IFERROR($G3600/SUMIF($A:$A,$A3600,$G:$G)*(SUMIF(Summary!$A$247:$A$283,$A3600,Summary!$L$247:$L$283)+SUMIF(Summary!$A$297:$A$333,$A3600,Summary!$L$297:$L$333))-AK3600,0)</f>
        <v>0</v>
      </c>
      <c r="AM3600" s="198"/>
      <c r="AN3600" s="196">
        <f t="shared" ca="1" si="796"/>
        <v>0</v>
      </c>
      <c r="AO3600" s="196">
        <f t="shared" ca="1" si="797"/>
        <v>0</v>
      </c>
    </row>
    <row r="3601" spans="1:41">
      <c r="A3601" s="189">
        <v>42295</v>
      </c>
      <c r="B3601" s="190">
        <v>2</v>
      </c>
      <c r="C3601" s="191" t="s">
        <v>225</v>
      </c>
      <c r="D3601" s="192">
        <f t="shared" si="784"/>
        <v>1032</v>
      </c>
      <c r="E3601" s="192">
        <f t="shared" si="785"/>
        <v>2882</v>
      </c>
      <c r="F3601" s="192">
        <f t="shared" si="786"/>
        <v>0</v>
      </c>
      <c r="G3601" s="193">
        <f t="shared" si="787"/>
        <v>3914</v>
      </c>
      <c r="H3601" s="194">
        <v>249</v>
      </c>
      <c r="I3601" s="194">
        <v>1351</v>
      </c>
      <c r="J3601" s="194">
        <v>0</v>
      </c>
      <c r="K3601" s="193">
        <f t="shared" si="788"/>
        <v>1600</v>
      </c>
      <c r="L3601" s="194">
        <v>705</v>
      </c>
      <c r="M3601" s="194">
        <v>823</v>
      </c>
      <c r="N3601" s="194">
        <v>0</v>
      </c>
      <c r="O3601" s="193">
        <f t="shared" si="789"/>
        <v>1528</v>
      </c>
      <c r="P3601" s="194">
        <v>78</v>
      </c>
      <c r="Q3601" s="194">
        <v>708</v>
      </c>
      <c r="R3601" s="194">
        <v>0</v>
      </c>
      <c r="S3601" s="193">
        <f t="shared" si="790"/>
        <v>786</v>
      </c>
      <c r="T3601" s="193">
        <f t="shared" si="791"/>
        <v>130.46666666666667</v>
      </c>
      <c r="U3601" s="193">
        <f ca="1">OFFSET('Expenditure Study'!$B$7,'Operations Support'!$C3601,'Operations Support'!$B3601)*$G3601</f>
        <v>10959.199999999999</v>
      </c>
      <c r="V3601" s="199">
        <f ca="1">U3601*'Expenditure Study'!$B$31</f>
        <v>647504.39502335992</v>
      </c>
      <c r="W3601" s="199">
        <f ca="1">IF(A3601=10298,1.51,1)*IF($B3601&lt;3,$D3601*'Expenditure Study'!$B$32*OFFSET('Expenditure Study'!$B$7,'Operations Support'!$C3601,'Operations Support'!$B3601),0)</f>
        <v>288.95999999999998</v>
      </c>
      <c r="X3601" s="200">
        <f ca="1">W3601*'Expenditure Study'!$B$31</f>
        <v>17072.675923968</v>
      </c>
      <c r="Y3601" s="199">
        <f ca="1">U3601*'Expenditure Study'!$B$31</f>
        <v>647504.39502335992</v>
      </c>
      <c r="Z3601" s="200">
        <f ca="1">W3601*'Expenditure Study'!$B$31</f>
        <v>17072.675923968</v>
      </c>
      <c r="AA3601" s="195">
        <f t="shared" ca="1" si="792"/>
        <v>664577.07094732788</v>
      </c>
      <c r="AB3601" s="195">
        <f t="shared" ca="1" si="793"/>
        <v>664577.07094732788</v>
      </c>
      <c r="AD3601" s="196">
        <f>IFERROR($G3601/SUMIF($A:$A,$A3601,$G:$G)*SUMIF(Summary!$A$166:$A$242,$A3601,Summary!$P$166:$P$242),0)</f>
        <v>101917.99923161918</v>
      </c>
      <c r="AE3601" s="197">
        <f t="shared" ca="1" si="794"/>
        <v>562659.07171570871</v>
      </c>
      <c r="AF3601" s="196">
        <f>IFERROR(G3601/SUMIF(A:A,A3601,G:G)*SUMIF(Summary!$A$166:$A$242,'Operations Support'!A3601,Summary!$Q$166:$Q$242),0)</f>
        <v>102091.23625001729</v>
      </c>
      <c r="AG3601" s="196">
        <f t="shared" ca="1" si="795"/>
        <v>562485.83469731058</v>
      </c>
      <c r="AI3601" s="196">
        <f>IFERROR($G3601/SUMIF($A:$A,$A3601,$G:$G)*SUMIF(Summary!$A$247:$A$283,$A3601,Summary!$P$247:$P$283),0)</f>
        <v>18587.299724527002</v>
      </c>
      <c r="AJ3601" s="196">
        <f>IFERROR($G3601/SUMIF($A:$A,$A3601,$G:$G)*(SUMIF(Summary!$A$247:$A$283,$A3601,Summary!$L$247:$L$283)+SUMIF(Summary!$A$297:$A$333,$A3601,Summary!$L$297:$L$333))-AI3601,0)</f>
        <v>183205.76760607408</v>
      </c>
      <c r="AK3601" s="196">
        <f>IFERROR($G3601/SUMIF($A:$A,$A3601,$G:$G)*SUMIF(Summary!$A$247:$A$283,$A3601,Summary!$Q$247:$Q$283),0)</f>
        <v>18618.893833601211</v>
      </c>
      <c r="AL3601" s="196">
        <f>IFERROR($G3601/SUMIF($A:$A,$A3601,$G:$G)*(SUMIF(Summary!$A$247:$A$283,$A3601,Summary!$L$247:$L$283)+SUMIF(Summary!$A$297:$A$333,$A3601,Summary!$L$297:$L$333))-AK3601,0)</f>
        <v>183174.17349699987</v>
      </c>
      <c r="AM3601" s="198"/>
      <c r="AN3601" s="196">
        <f t="shared" ca="1" si="796"/>
        <v>745864.83932178281</v>
      </c>
      <c r="AO3601" s="196">
        <f t="shared" ca="1" si="797"/>
        <v>745660.00819431047</v>
      </c>
    </row>
    <row r="3602" spans="1:41">
      <c r="A3602" s="189">
        <v>42295</v>
      </c>
      <c r="B3602" s="190">
        <v>2</v>
      </c>
      <c r="C3602" s="191" t="s">
        <v>226</v>
      </c>
      <c r="D3602" s="192">
        <f t="shared" si="784"/>
        <v>0</v>
      </c>
      <c r="E3602" s="192">
        <f t="shared" si="785"/>
        <v>0</v>
      </c>
      <c r="F3602" s="192">
        <f t="shared" si="786"/>
        <v>0</v>
      </c>
      <c r="G3602" s="193">
        <f t="shared" si="787"/>
        <v>0</v>
      </c>
      <c r="H3602" s="194">
        <v>0</v>
      </c>
      <c r="I3602" s="194">
        <v>0</v>
      </c>
      <c r="J3602" s="194">
        <v>0</v>
      </c>
      <c r="K3602" s="193">
        <f t="shared" si="788"/>
        <v>0</v>
      </c>
      <c r="L3602" s="194">
        <v>0</v>
      </c>
      <c r="M3602" s="194">
        <v>0</v>
      </c>
      <c r="N3602" s="194">
        <v>0</v>
      </c>
      <c r="O3602" s="193">
        <f t="shared" si="789"/>
        <v>0</v>
      </c>
      <c r="P3602" s="194">
        <v>0</v>
      </c>
      <c r="Q3602" s="194">
        <v>0</v>
      </c>
      <c r="R3602" s="194">
        <v>0</v>
      </c>
      <c r="S3602" s="193">
        <f t="shared" si="790"/>
        <v>0</v>
      </c>
      <c r="T3602" s="193">
        <f t="shared" si="791"/>
        <v>0</v>
      </c>
      <c r="U3602" s="193">
        <f ca="1">OFFSET('Expenditure Study'!$B$7,'Operations Support'!$C3602,'Operations Support'!$B3602)*$G3602</f>
        <v>0</v>
      </c>
      <c r="V3602" s="199">
        <f ca="1">U3602*'Expenditure Study'!$B$31</f>
        <v>0</v>
      </c>
      <c r="W3602" s="199">
        <f ca="1">IF(A3602=10298,1.51,1)*IF($B3602&lt;3,$D3602*'Expenditure Study'!$B$32*OFFSET('Expenditure Study'!$B$7,'Operations Support'!$C3602,'Operations Support'!$B3602),0)</f>
        <v>0</v>
      </c>
      <c r="X3602" s="200">
        <f ca="1">W3602*'Expenditure Study'!$B$31</f>
        <v>0</v>
      </c>
      <c r="Y3602" s="199">
        <f ca="1">U3602*'Expenditure Study'!$B$31</f>
        <v>0</v>
      </c>
      <c r="Z3602" s="200">
        <f ca="1">W3602*'Expenditure Study'!$B$31</f>
        <v>0</v>
      </c>
      <c r="AA3602" s="195">
        <f t="shared" ca="1" si="792"/>
        <v>0</v>
      </c>
      <c r="AB3602" s="195">
        <f t="shared" ca="1" si="793"/>
        <v>0</v>
      </c>
      <c r="AD3602" s="196">
        <f>IFERROR($G3602/SUMIF($A:$A,$A3602,$G:$G)*SUMIF(Summary!$A$166:$A$242,$A3602,Summary!$P$166:$P$242),0)</f>
        <v>0</v>
      </c>
      <c r="AE3602" s="197">
        <f t="shared" ca="1" si="794"/>
        <v>0</v>
      </c>
      <c r="AF3602" s="196">
        <f>IFERROR(G3602/SUMIF(A:A,A3602,G:G)*SUMIF(Summary!$A$166:$A$242,'Operations Support'!A3602,Summary!$Q$166:$Q$242),0)</f>
        <v>0</v>
      </c>
      <c r="AG3602" s="196">
        <f t="shared" ca="1" si="795"/>
        <v>0</v>
      </c>
      <c r="AI3602" s="196">
        <f>IFERROR($G3602/SUMIF($A:$A,$A3602,$G:$G)*SUMIF(Summary!$A$247:$A$283,$A3602,Summary!$P$247:$P$283),0)</f>
        <v>0</v>
      </c>
      <c r="AJ3602" s="196">
        <f>IFERROR($G3602/SUMIF($A:$A,$A3602,$G:$G)*(SUMIF(Summary!$A$247:$A$283,$A3602,Summary!$L$247:$L$283)+SUMIF(Summary!$A$297:$A$333,$A3602,Summary!$L$297:$L$333))-AI3602,0)</f>
        <v>0</v>
      </c>
      <c r="AK3602" s="196">
        <f>IFERROR($G3602/SUMIF($A:$A,$A3602,$G:$G)*SUMIF(Summary!$A$247:$A$283,$A3602,Summary!$Q$247:$Q$283),0)</f>
        <v>0</v>
      </c>
      <c r="AL3602" s="196">
        <f>IFERROR($G3602/SUMIF($A:$A,$A3602,$G:$G)*(SUMIF(Summary!$A$247:$A$283,$A3602,Summary!$L$247:$L$283)+SUMIF(Summary!$A$297:$A$333,$A3602,Summary!$L$297:$L$333))-AK3602,0)</f>
        <v>0</v>
      </c>
      <c r="AM3602" s="198"/>
      <c r="AN3602" s="196">
        <f t="shared" ca="1" si="796"/>
        <v>0</v>
      </c>
      <c r="AO3602" s="196">
        <f t="shared" ca="1" si="797"/>
        <v>0</v>
      </c>
    </row>
    <row r="3603" spans="1:41">
      <c r="A3603" s="189">
        <v>42295</v>
      </c>
      <c r="B3603" s="190">
        <v>2</v>
      </c>
      <c r="C3603" s="191" t="s">
        <v>227</v>
      </c>
      <c r="D3603" s="192">
        <f t="shared" si="784"/>
        <v>0</v>
      </c>
      <c r="E3603" s="192">
        <f t="shared" si="785"/>
        <v>0</v>
      </c>
      <c r="F3603" s="192">
        <f t="shared" si="786"/>
        <v>0</v>
      </c>
      <c r="G3603" s="193">
        <f t="shared" si="787"/>
        <v>0</v>
      </c>
      <c r="H3603" s="194">
        <v>0</v>
      </c>
      <c r="I3603" s="194">
        <v>0</v>
      </c>
      <c r="J3603" s="194">
        <v>0</v>
      </c>
      <c r="K3603" s="193">
        <f t="shared" si="788"/>
        <v>0</v>
      </c>
      <c r="L3603" s="194">
        <v>0</v>
      </c>
      <c r="M3603" s="194">
        <v>0</v>
      </c>
      <c r="N3603" s="194">
        <v>0</v>
      </c>
      <c r="O3603" s="193">
        <f t="shared" si="789"/>
        <v>0</v>
      </c>
      <c r="P3603" s="194">
        <v>0</v>
      </c>
      <c r="Q3603" s="194">
        <v>0</v>
      </c>
      <c r="R3603" s="194">
        <v>0</v>
      </c>
      <c r="S3603" s="193">
        <f t="shared" si="790"/>
        <v>0</v>
      </c>
      <c r="T3603" s="193">
        <f t="shared" si="791"/>
        <v>0</v>
      </c>
      <c r="U3603" s="193">
        <f ca="1">OFFSET('Expenditure Study'!$B$7,'Operations Support'!$C3603,'Operations Support'!$B3603)*$G3603</f>
        <v>0</v>
      </c>
      <c r="V3603" s="199">
        <f ca="1">U3603*'Expenditure Study'!$B$31</f>
        <v>0</v>
      </c>
      <c r="W3603" s="199">
        <f ca="1">IF(A3603=10298,1.51,1)*IF($B3603&lt;3,$D3603*'Expenditure Study'!$B$32*OFFSET('Expenditure Study'!$B$7,'Operations Support'!$C3603,'Operations Support'!$B3603),0)</f>
        <v>0</v>
      </c>
      <c r="X3603" s="200">
        <f ca="1">W3603*'Expenditure Study'!$B$31</f>
        <v>0</v>
      </c>
      <c r="Y3603" s="199">
        <f ca="1">U3603*'Expenditure Study'!$B$31</f>
        <v>0</v>
      </c>
      <c r="Z3603" s="200">
        <f ca="1">W3603*'Expenditure Study'!$B$31</f>
        <v>0</v>
      </c>
      <c r="AA3603" s="195">
        <f t="shared" ca="1" si="792"/>
        <v>0</v>
      </c>
      <c r="AB3603" s="195">
        <f t="shared" ca="1" si="793"/>
        <v>0</v>
      </c>
      <c r="AD3603" s="196">
        <f>IFERROR($G3603/SUMIF($A:$A,$A3603,$G:$G)*SUMIF(Summary!$A$166:$A$242,$A3603,Summary!$P$166:$P$242),0)</f>
        <v>0</v>
      </c>
      <c r="AE3603" s="197">
        <f t="shared" ca="1" si="794"/>
        <v>0</v>
      </c>
      <c r="AF3603" s="196">
        <f>IFERROR(G3603/SUMIF(A:A,A3603,G:G)*SUMIF(Summary!$A$166:$A$242,'Operations Support'!A3603,Summary!$Q$166:$Q$242),0)</f>
        <v>0</v>
      </c>
      <c r="AG3603" s="196">
        <f t="shared" ca="1" si="795"/>
        <v>0</v>
      </c>
      <c r="AI3603" s="196">
        <f>IFERROR($G3603/SUMIF($A:$A,$A3603,$G:$G)*SUMIF(Summary!$A$247:$A$283,$A3603,Summary!$P$247:$P$283),0)</f>
        <v>0</v>
      </c>
      <c r="AJ3603" s="196">
        <f>IFERROR($G3603/SUMIF($A:$A,$A3603,$G:$G)*(SUMIF(Summary!$A$247:$A$283,$A3603,Summary!$L$247:$L$283)+SUMIF(Summary!$A$297:$A$333,$A3603,Summary!$L$297:$L$333))-AI3603,0)</f>
        <v>0</v>
      </c>
      <c r="AK3603" s="196">
        <f>IFERROR($G3603/SUMIF($A:$A,$A3603,$G:$G)*SUMIF(Summary!$A$247:$A$283,$A3603,Summary!$Q$247:$Q$283),0)</f>
        <v>0</v>
      </c>
      <c r="AL3603" s="196">
        <f>IFERROR($G3603/SUMIF($A:$A,$A3603,$G:$G)*(SUMIF(Summary!$A$247:$A$283,$A3603,Summary!$L$247:$L$283)+SUMIF(Summary!$A$297:$A$333,$A3603,Summary!$L$297:$L$333))-AK3603,0)</f>
        <v>0</v>
      </c>
      <c r="AM3603" s="198"/>
      <c r="AN3603" s="196">
        <f t="shared" ca="1" si="796"/>
        <v>0</v>
      </c>
      <c r="AO3603" s="196">
        <f t="shared" ca="1" si="797"/>
        <v>0</v>
      </c>
    </row>
    <row r="3604" spans="1:41">
      <c r="A3604" s="189">
        <v>42295</v>
      </c>
      <c r="B3604" s="190">
        <v>2</v>
      </c>
      <c r="C3604" s="191" t="s">
        <v>228</v>
      </c>
      <c r="D3604" s="192">
        <f t="shared" si="784"/>
        <v>843</v>
      </c>
      <c r="E3604" s="192">
        <f t="shared" si="785"/>
        <v>450</v>
      </c>
      <c r="F3604" s="192">
        <f t="shared" si="786"/>
        <v>0</v>
      </c>
      <c r="G3604" s="193">
        <f t="shared" si="787"/>
        <v>1293</v>
      </c>
      <c r="H3604" s="194">
        <v>291</v>
      </c>
      <c r="I3604" s="194">
        <v>237</v>
      </c>
      <c r="J3604" s="194">
        <v>0</v>
      </c>
      <c r="K3604" s="193">
        <f t="shared" si="788"/>
        <v>528</v>
      </c>
      <c r="L3604" s="194">
        <v>306</v>
      </c>
      <c r="M3604" s="194">
        <v>141</v>
      </c>
      <c r="N3604" s="194">
        <v>0</v>
      </c>
      <c r="O3604" s="193">
        <f t="shared" si="789"/>
        <v>447</v>
      </c>
      <c r="P3604" s="194">
        <v>246</v>
      </c>
      <c r="Q3604" s="194">
        <v>72</v>
      </c>
      <c r="R3604" s="194">
        <v>0</v>
      </c>
      <c r="S3604" s="193">
        <f t="shared" si="790"/>
        <v>318</v>
      </c>
      <c r="T3604" s="193">
        <f t="shared" si="791"/>
        <v>43.1</v>
      </c>
      <c r="U3604" s="193">
        <f ca="1">OFFSET('Expenditure Study'!$B$7,'Operations Support'!$C3604,'Operations Support'!$B3604)*$G3604</f>
        <v>2469.63</v>
      </c>
      <c r="V3604" s="199">
        <f ca="1">U3604*'Expenditure Study'!$B$31</f>
        <v>145913.59579910402</v>
      </c>
      <c r="W3604" s="199">
        <f ca="1">IF(A3604=10298,1.51,1)*IF($B3604&lt;3,$D3604*'Expenditure Study'!$B$32*OFFSET('Expenditure Study'!$B$7,'Operations Support'!$C3604,'Operations Support'!$B3604),0)</f>
        <v>161.01300000000001</v>
      </c>
      <c r="X3604" s="200">
        <f ca="1">W3604*'Expenditure Study'!$B$31</f>
        <v>9513.1601901504</v>
      </c>
      <c r="Y3604" s="199">
        <f ca="1">U3604*'Expenditure Study'!$B$31</f>
        <v>145913.59579910402</v>
      </c>
      <c r="Z3604" s="200">
        <f ca="1">W3604*'Expenditure Study'!$B$31</f>
        <v>9513.1601901504</v>
      </c>
      <c r="AA3604" s="195">
        <f t="shared" ca="1" si="792"/>
        <v>155426.75598925442</v>
      </c>
      <c r="AB3604" s="195">
        <f t="shared" ca="1" si="793"/>
        <v>155426.75598925442</v>
      </c>
      <c r="AD3604" s="196">
        <f>IFERROR($G3604/SUMIF($A:$A,$A3604,$G:$G)*SUMIF(Summary!$A$166:$A$242,$A3604,Summary!$P$166:$P$242),0)</f>
        <v>33668.874043557385</v>
      </c>
      <c r="AE3604" s="197">
        <f t="shared" ca="1" si="794"/>
        <v>121757.88194569704</v>
      </c>
      <c r="AF3604" s="196">
        <f>IFERROR(G3604/SUMIF(A:A,A3604,G:G)*SUMIF(Summary!$A$166:$A$242,'Operations Support'!A3604,Summary!$Q$166:$Q$242),0)</f>
        <v>33726.10333961992</v>
      </c>
      <c r="AG3604" s="196">
        <f t="shared" ca="1" si="795"/>
        <v>121700.6526496345</v>
      </c>
      <c r="AI3604" s="196">
        <f>IFERROR($G3604/SUMIF($A:$A,$A3604,$G:$G)*SUMIF(Summary!$A$247:$A$283,$A3604,Summary!$P$247:$P$283),0)</f>
        <v>6140.3624281587672</v>
      </c>
      <c r="AJ3604" s="196">
        <f>IFERROR($G3604/SUMIF($A:$A,$A3604,$G:$G)*(SUMIF(Summary!$A$247:$A$283,$A3604,Summary!$L$247:$L$283)+SUMIF(Summary!$A$297:$A$333,$A3604,Summary!$L$297:$L$333))-AI3604,0)</f>
        <v>60522.498087545682</v>
      </c>
      <c r="AK3604" s="196">
        <f>IFERROR($G3604/SUMIF($A:$A,$A3604,$G:$G)*SUMIF(Summary!$A$247:$A$283,$A3604,Summary!$Q$247:$Q$283),0)</f>
        <v>6150.7996236194094</v>
      </c>
      <c r="AL3604" s="196">
        <f>IFERROR($G3604/SUMIF($A:$A,$A3604,$G:$G)*(SUMIF(Summary!$A$247:$A$283,$A3604,Summary!$L$247:$L$283)+SUMIF(Summary!$A$297:$A$333,$A3604,Summary!$L$297:$L$333))-AK3604,0)</f>
        <v>60512.060892085043</v>
      </c>
      <c r="AM3604" s="198"/>
      <c r="AN3604" s="196">
        <f t="shared" ca="1" si="796"/>
        <v>182280.38003324272</v>
      </c>
      <c r="AO3604" s="196">
        <f t="shared" ca="1" si="797"/>
        <v>182212.71354171954</v>
      </c>
    </row>
    <row r="3605" spans="1:41">
      <c r="A3605" s="189">
        <v>42295</v>
      </c>
      <c r="B3605" s="190">
        <v>2</v>
      </c>
      <c r="C3605" s="191" t="s">
        <v>229</v>
      </c>
      <c r="D3605" s="192">
        <f t="shared" si="784"/>
        <v>0</v>
      </c>
      <c r="E3605" s="192">
        <f t="shared" si="785"/>
        <v>0</v>
      </c>
      <c r="F3605" s="192">
        <f t="shared" si="786"/>
        <v>0</v>
      </c>
      <c r="G3605" s="193">
        <f t="shared" si="787"/>
        <v>0</v>
      </c>
      <c r="H3605" s="194">
        <v>0</v>
      </c>
      <c r="I3605" s="194">
        <v>0</v>
      </c>
      <c r="J3605" s="194">
        <v>0</v>
      </c>
      <c r="K3605" s="193">
        <f t="shared" si="788"/>
        <v>0</v>
      </c>
      <c r="L3605" s="194">
        <v>0</v>
      </c>
      <c r="M3605" s="194">
        <v>0</v>
      </c>
      <c r="N3605" s="194">
        <v>0</v>
      </c>
      <c r="O3605" s="193">
        <f t="shared" si="789"/>
        <v>0</v>
      </c>
      <c r="P3605" s="194">
        <v>0</v>
      </c>
      <c r="Q3605" s="194">
        <v>0</v>
      </c>
      <c r="R3605" s="194">
        <v>0</v>
      </c>
      <c r="S3605" s="193">
        <f t="shared" si="790"/>
        <v>0</v>
      </c>
      <c r="T3605" s="193">
        <f t="shared" si="791"/>
        <v>0</v>
      </c>
      <c r="U3605" s="193">
        <f ca="1">OFFSET('Expenditure Study'!$B$7,'Operations Support'!$C3605,'Operations Support'!$B3605)*$G3605</f>
        <v>0</v>
      </c>
      <c r="V3605" s="199">
        <f ca="1">U3605*'Expenditure Study'!$B$31</f>
        <v>0</v>
      </c>
      <c r="W3605" s="199">
        <f ca="1">IF(A3605=10298,1.51,1)*IF($B3605&lt;3,$D3605*'Expenditure Study'!$B$32*OFFSET('Expenditure Study'!$B$7,'Operations Support'!$C3605,'Operations Support'!$B3605),0)</f>
        <v>0</v>
      </c>
      <c r="X3605" s="200">
        <f ca="1">W3605*'Expenditure Study'!$B$31</f>
        <v>0</v>
      </c>
      <c r="Y3605" s="199">
        <f ca="1">U3605*'Expenditure Study'!$B$31</f>
        <v>0</v>
      </c>
      <c r="Z3605" s="200">
        <f ca="1">W3605*'Expenditure Study'!$B$31</f>
        <v>0</v>
      </c>
      <c r="AA3605" s="195">
        <f t="shared" ca="1" si="792"/>
        <v>0</v>
      </c>
      <c r="AB3605" s="195">
        <f t="shared" ca="1" si="793"/>
        <v>0</v>
      </c>
      <c r="AD3605" s="196">
        <f>IFERROR($G3605/SUMIF($A:$A,$A3605,$G:$G)*SUMIF(Summary!$A$166:$A$242,$A3605,Summary!$P$166:$P$242),0)</f>
        <v>0</v>
      </c>
      <c r="AE3605" s="197">
        <f t="shared" ca="1" si="794"/>
        <v>0</v>
      </c>
      <c r="AF3605" s="196">
        <f>IFERROR(G3605/SUMIF(A:A,A3605,G:G)*SUMIF(Summary!$A$166:$A$242,'Operations Support'!A3605,Summary!$Q$166:$Q$242),0)</f>
        <v>0</v>
      </c>
      <c r="AG3605" s="196">
        <f t="shared" ca="1" si="795"/>
        <v>0</v>
      </c>
      <c r="AI3605" s="196">
        <f>IFERROR($G3605/SUMIF($A:$A,$A3605,$G:$G)*SUMIF(Summary!$A$247:$A$283,$A3605,Summary!$P$247:$P$283),0)</f>
        <v>0</v>
      </c>
      <c r="AJ3605" s="196">
        <f>IFERROR($G3605/SUMIF($A:$A,$A3605,$G:$G)*(SUMIF(Summary!$A$247:$A$283,$A3605,Summary!$L$247:$L$283)+SUMIF(Summary!$A$297:$A$333,$A3605,Summary!$L$297:$L$333))-AI3605,0)</f>
        <v>0</v>
      </c>
      <c r="AK3605" s="196">
        <f>IFERROR($G3605/SUMIF($A:$A,$A3605,$G:$G)*SUMIF(Summary!$A$247:$A$283,$A3605,Summary!$Q$247:$Q$283),0)</f>
        <v>0</v>
      </c>
      <c r="AL3605" s="196">
        <f>IFERROR($G3605/SUMIF($A:$A,$A3605,$G:$G)*(SUMIF(Summary!$A$247:$A$283,$A3605,Summary!$L$247:$L$283)+SUMIF(Summary!$A$297:$A$333,$A3605,Summary!$L$297:$L$333))-AK3605,0)</f>
        <v>0</v>
      </c>
      <c r="AM3605" s="198"/>
      <c r="AN3605" s="196">
        <f t="shared" ca="1" si="796"/>
        <v>0</v>
      </c>
      <c r="AO3605" s="196">
        <f t="shared" ca="1" si="797"/>
        <v>0</v>
      </c>
    </row>
    <row r="3606" spans="1:41">
      <c r="A3606" s="189">
        <v>42295</v>
      </c>
      <c r="B3606" s="190">
        <v>2</v>
      </c>
      <c r="C3606" s="191" t="s">
        <v>230</v>
      </c>
      <c r="D3606" s="192">
        <f t="shared" si="784"/>
        <v>0</v>
      </c>
      <c r="E3606" s="192">
        <f t="shared" si="785"/>
        <v>0</v>
      </c>
      <c r="F3606" s="192">
        <f t="shared" si="786"/>
        <v>0</v>
      </c>
      <c r="G3606" s="193">
        <f t="shared" si="787"/>
        <v>0</v>
      </c>
      <c r="H3606" s="194">
        <v>0</v>
      </c>
      <c r="I3606" s="194">
        <v>0</v>
      </c>
      <c r="J3606" s="194">
        <v>0</v>
      </c>
      <c r="K3606" s="193">
        <f t="shared" si="788"/>
        <v>0</v>
      </c>
      <c r="L3606" s="194">
        <v>0</v>
      </c>
      <c r="M3606" s="194">
        <v>0</v>
      </c>
      <c r="N3606" s="194">
        <v>0</v>
      </c>
      <c r="O3606" s="193">
        <f t="shared" si="789"/>
        <v>0</v>
      </c>
      <c r="P3606" s="194">
        <v>0</v>
      </c>
      <c r="Q3606" s="194">
        <v>0</v>
      </c>
      <c r="R3606" s="194">
        <v>0</v>
      </c>
      <c r="S3606" s="193">
        <f t="shared" si="790"/>
        <v>0</v>
      </c>
      <c r="T3606" s="193">
        <f t="shared" si="791"/>
        <v>0</v>
      </c>
      <c r="U3606" s="193">
        <f ca="1">OFFSET('Expenditure Study'!$B$7,'Operations Support'!$C3606,'Operations Support'!$B3606)*$G3606</f>
        <v>0</v>
      </c>
      <c r="V3606" s="199">
        <f ca="1">U3606*'Expenditure Study'!$B$31</f>
        <v>0</v>
      </c>
      <c r="W3606" s="199">
        <f ca="1">IF(A3606=10298,1.51,1)*IF($B3606&lt;3,$D3606*'Expenditure Study'!$B$32*OFFSET('Expenditure Study'!$B$7,'Operations Support'!$C3606,'Operations Support'!$B3606),0)</f>
        <v>0</v>
      </c>
      <c r="X3606" s="200">
        <f ca="1">W3606*'Expenditure Study'!$B$31</f>
        <v>0</v>
      </c>
      <c r="Y3606" s="199">
        <f ca="1">U3606*'Expenditure Study'!$B$31</f>
        <v>0</v>
      </c>
      <c r="Z3606" s="200">
        <f ca="1">W3606*'Expenditure Study'!$B$31</f>
        <v>0</v>
      </c>
      <c r="AA3606" s="195">
        <f t="shared" ca="1" si="792"/>
        <v>0</v>
      </c>
      <c r="AB3606" s="195">
        <f t="shared" ca="1" si="793"/>
        <v>0</v>
      </c>
      <c r="AD3606" s="196">
        <f>IFERROR($G3606/SUMIF($A:$A,$A3606,$G:$G)*SUMIF(Summary!$A$166:$A$242,$A3606,Summary!$P$166:$P$242),0)</f>
        <v>0</v>
      </c>
      <c r="AE3606" s="197">
        <f t="shared" ca="1" si="794"/>
        <v>0</v>
      </c>
      <c r="AF3606" s="196">
        <f>IFERROR(G3606/SUMIF(A:A,A3606,G:G)*SUMIF(Summary!$A$166:$A$242,'Operations Support'!A3606,Summary!$Q$166:$Q$242),0)</f>
        <v>0</v>
      </c>
      <c r="AG3606" s="196">
        <f t="shared" ca="1" si="795"/>
        <v>0</v>
      </c>
      <c r="AI3606" s="196">
        <f>IFERROR($G3606/SUMIF($A:$A,$A3606,$G:$G)*SUMIF(Summary!$A$247:$A$283,$A3606,Summary!$P$247:$P$283),0)</f>
        <v>0</v>
      </c>
      <c r="AJ3606" s="196">
        <f>IFERROR($G3606/SUMIF($A:$A,$A3606,$G:$G)*(SUMIF(Summary!$A$247:$A$283,$A3606,Summary!$L$247:$L$283)+SUMIF(Summary!$A$297:$A$333,$A3606,Summary!$L$297:$L$333))-AI3606,0)</f>
        <v>0</v>
      </c>
      <c r="AK3606" s="196">
        <f>IFERROR($G3606/SUMIF($A:$A,$A3606,$G:$G)*SUMIF(Summary!$A$247:$A$283,$A3606,Summary!$Q$247:$Q$283),0)</f>
        <v>0</v>
      </c>
      <c r="AL3606" s="196">
        <f>IFERROR($G3606/SUMIF($A:$A,$A3606,$G:$G)*(SUMIF(Summary!$A$247:$A$283,$A3606,Summary!$L$247:$L$283)+SUMIF(Summary!$A$297:$A$333,$A3606,Summary!$L$297:$L$333))-AK3606,0)</f>
        <v>0</v>
      </c>
      <c r="AM3606" s="198"/>
      <c r="AN3606" s="196">
        <f t="shared" ca="1" si="796"/>
        <v>0</v>
      </c>
      <c r="AO3606" s="196">
        <f t="shared" ca="1" si="797"/>
        <v>0</v>
      </c>
    </row>
    <row r="3607" spans="1:41">
      <c r="A3607" s="189">
        <v>42295</v>
      </c>
      <c r="B3607" s="190">
        <v>2</v>
      </c>
      <c r="C3607" s="191" t="s">
        <v>231</v>
      </c>
      <c r="D3607" s="192">
        <f t="shared" si="784"/>
        <v>0</v>
      </c>
      <c r="E3607" s="192">
        <f t="shared" si="785"/>
        <v>0</v>
      </c>
      <c r="F3607" s="192">
        <f t="shared" si="786"/>
        <v>0</v>
      </c>
      <c r="G3607" s="193">
        <f t="shared" si="787"/>
        <v>0</v>
      </c>
      <c r="H3607" s="194">
        <v>0</v>
      </c>
      <c r="I3607" s="194">
        <v>0</v>
      </c>
      <c r="J3607" s="194">
        <v>0</v>
      </c>
      <c r="K3607" s="193">
        <f t="shared" si="788"/>
        <v>0</v>
      </c>
      <c r="L3607" s="194">
        <v>0</v>
      </c>
      <c r="M3607" s="194">
        <v>0</v>
      </c>
      <c r="N3607" s="194">
        <v>0</v>
      </c>
      <c r="O3607" s="193">
        <f t="shared" si="789"/>
        <v>0</v>
      </c>
      <c r="P3607" s="194">
        <v>0</v>
      </c>
      <c r="Q3607" s="194">
        <v>0</v>
      </c>
      <c r="R3607" s="194">
        <v>0</v>
      </c>
      <c r="S3607" s="193">
        <f t="shared" si="790"/>
        <v>0</v>
      </c>
      <c r="T3607" s="193">
        <f t="shared" si="791"/>
        <v>0</v>
      </c>
      <c r="U3607" s="193">
        <f ca="1">OFFSET('Expenditure Study'!$B$7,'Operations Support'!$C3607,'Operations Support'!$B3607)*$G3607</f>
        <v>0</v>
      </c>
      <c r="V3607" s="199">
        <f ca="1">U3607*'Expenditure Study'!$B$31</f>
        <v>0</v>
      </c>
      <c r="W3607" s="199">
        <f ca="1">IF(A3607=10298,1.51,1)*IF($B3607&lt;3,$D3607*'Expenditure Study'!$B$32*OFFSET('Expenditure Study'!$B$7,'Operations Support'!$C3607,'Operations Support'!$B3607),0)</f>
        <v>0</v>
      </c>
      <c r="X3607" s="200">
        <f ca="1">W3607*'Expenditure Study'!$B$31</f>
        <v>0</v>
      </c>
      <c r="Y3607" s="199">
        <f ca="1">U3607*'Expenditure Study'!$B$31</f>
        <v>0</v>
      </c>
      <c r="Z3607" s="200">
        <f ca="1">W3607*'Expenditure Study'!$B$31</f>
        <v>0</v>
      </c>
      <c r="AA3607" s="195">
        <f t="shared" ca="1" si="792"/>
        <v>0</v>
      </c>
      <c r="AB3607" s="195">
        <f t="shared" ca="1" si="793"/>
        <v>0</v>
      </c>
      <c r="AD3607" s="196">
        <f>IFERROR($G3607/SUMIF($A:$A,$A3607,$G:$G)*SUMIF(Summary!$A$166:$A$242,$A3607,Summary!$P$166:$P$242),0)</f>
        <v>0</v>
      </c>
      <c r="AE3607" s="197">
        <f t="shared" ca="1" si="794"/>
        <v>0</v>
      </c>
      <c r="AF3607" s="196">
        <f>IFERROR(G3607/SUMIF(A:A,A3607,G:G)*SUMIF(Summary!$A$166:$A$242,'Operations Support'!A3607,Summary!$Q$166:$Q$242),0)</f>
        <v>0</v>
      </c>
      <c r="AG3607" s="196">
        <f t="shared" ca="1" si="795"/>
        <v>0</v>
      </c>
      <c r="AI3607" s="196">
        <f>IFERROR($G3607/SUMIF($A:$A,$A3607,$G:$G)*SUMIF(Summary!$A$247:$A$283,$A3607,Summary!$P$247:$P$283),0)</f>
        <v>0</v>
      </c>
      <c r="AJ3607" s="196">
        <f>IFERROR($G3607/SUMIF($A:$A,$A3607,$G:$G)*(SUMIF(Summary!$A$247:$A$283,$A3607,Summary!$L$247:$L$283)+SUMIF(Summary!$A$297:$A$333,$A3607,Summary!$L$297:$L$333))-AI3607,0)</f>
        <v>0</v>
      </c>
      <c r="AK3607" s="196">
        <f>IFERROR($G3607/SUMIF($A:$A,$A3607,$G:$G)*SUMIF(Summary!$A$247:$A$283,$A3607,Summary!$Q$247:$Q$283),0)</f>
        <v>0</v>
      </c>
      <c r="AL3607" s="196">
        <f>IFERROR($G3607/SUMIF($A:$A,$A3607,$G:$G)*(SUMIF(Summary!$A$247:$A$283,$A3607,Summary!$L$247:$L$283)+SUMIF(Summary!$A$297:$A$333,$A3607,Summary!$L$297:$L$333))-AK3607,0)</f>
        <v>0</v>
      </c>
      <c r="AM3607" s="198"/>
      <c r="AN3607" s="196">
        <f t="shared" ca="1" si="796"/>
        <v>0</v>
      </c>
      <c r="AO3607" s="196">
        <f t="shared" ca="1" si="797"/>
        <v>0</v>
      </c>
    </row>
    <row r="3608" spans="1:41">
      <c r="A3608" s="189">
        <v>42295</v>
      </c>
      <c r="B3608" s="190">
        <v>2</v>
      </c>
      <c r="C3608" s="191" t="s">
        <v>232</v>
      </c>
      <c r="D3608" s="192">
        <f t="shared" si="784"/>
        <v>0</v>
      </c>
      <c r="E3608" s="192">
        <f t="shared" si="785"/>
        <v>0</v>
      </c>
      <c r="F3608" s="192">
        <f t="shared" si="786"/>
        <v>0</v>
      </c>
      <c r="G3608" s="193">
        <f t="shared" si="787"/>
        <v>0</v>
      </c>
      <c r="H3608" s="194">
        <v>0</v>
      </c>
      <c r="I3608" s="194">
        <v>0</v>
      </c>
      <c r="J3608" s="194">
        <v>0</v>
      </c>
      <c r="K3608" s="193">
        <f t="shared" si="788"/>
        <v>0</v>
      </c>
      <c r="L3608" s="194">
        <v>0</v>
      </c>
      <c r="M3608" s="194">
        <v>0</v>
      </c>
      <c r="N3608" s="194">
        <v>0</v>
      </c>
      <c r="O3608" s="193">
        <f t="shared" si="789"/>
        <v>0</v>
      </c>
      <c r="P3608" s="194">
        <v>0</v>
      </c>
      <c r="Q3608" s="194">
        <v>0</v>
      </c>
      <c r="R3608" s="194">
        <v>0</v>
      </c>
      <c r="S3608" s="193">
        <f t="shared" si="790"/>
        <v>0</v>
      </c>
      <c r="T3608" s="193">
        <f t="shared" si="791"/>
        <v>0</v>
      </c>
      <c r="U3608" s="193">
        <f ca="1">OFFSET('Expenditure Study'!$B$7,'Operations Support'!$C3608,'Operations Support'!$B3608)*$G3608</f>
        <v>0</v>
      </c>
      <c r="V3608" s="199">
        <f ca="1">U3608*'Expenditure Study'!$B$31</f>
        <v>0</v>
      </c>
      <c r="W3608" s="199">
        <f ca="1">IF(A3608=10298,1.51,1)*IF($B3608&lt;3,$D3608*'Expenditure Study'!$B$32*OFFSET('Expenditure Study'!$B$7,'Operations Support'!$C3608,'Operations Support'!$B3608),0)</f>
        <v>0</v>
      </c>
      <c r="X3608" s="200">
        <f ca="1">W3608*'Expenditure Study'!$B$31</f>
        <v>0</v>
      </c>
      <c r="Y3608" s="199">
        <f ca="1">U3608*'Expenditure Study'!$B$31</f>
        <v>0</v>
      </c>
      <c r="Z3608" s="200">
        <f ca="1">W3608*'Expenditure Study'!$B$31</f>
        <v>0</v>
      </c>
      <c r="AA3608" s="195">
        <f t="shared" ca="1" si="792"/>
        <v>0</v>
      </c>
      <c r="AB3608" s="195">
        <f t="shared" ca="1" si="793"/>
        <v>0</v>
      </c>
      <c r="AD3608" s="196">
        <f>IFERROR($G3608/SUMIF($A:$A,$A3608,$G:$G)*SUMIF(Summary!$A$166:$A$242,$A3608,Summary!$P$166:$P$242),0)</f>
        <v>0</v>
      </c>
      <c r="AE3608" s="197">
        <f t="shared" ca="1" si="794"/>
        <v>0</v>
      </c>
      <c r="AF3608" s="196">
        <f>IFERROR(G3608/SUMIF(A:A,A3608,G:G)*SUMIF(Summary!$A$166:$A$242,'Operations Support'!A3608,Summary!$Q$166:$Q$242),0)</f>
        <v>0</v>
      </c>
      <c r="AG3608" s="196">
        <f t="shared" ca="1" si="795"/>
        <v>0</v>
      </c>
      <c r="AI3608" s="196">
        <f>IFERROR($G3608/SUMIF($A:$A,$A3608,$G:$G)*SUMIF(Summary!$A$247:$A$283,$A3608,Summary!$P$247:$P$283),0)</f>
        <v>0</v>
      </c>
      <c r="AJ3608" s="196">
        <f>IFERROR($G3608/SUMIF($A:$A,$A3608,$G:$G)*(SUMIF(Summary!$A$247:$A$283,$A3608,Summary!$L$247:$L$283)+SUMIF(Summary!$A$297:$A$333,$A3608,Summary!$L$297:$L$333))-AI3608,0)</f>
        <v>0</v>
      </c>
      <c r="AK3608" s="196">
        <f>IFERROR($G3608/SUMIF($A:$A,$A3608,$G:$G)*SUMIF(Summary!$A$247:$A$283,$A3608,Summary!$Q$247:$Q$283),0)</f>
        <v>0</v>
      </c>
      <c r="AL3608" s="196">
        <f>IFERROR($G3608/SUMIF($A:$A,$A3608,$G:$G)*(SUMIF(Summary!$A$247:$A$283,$A3608,Summary!$L$247:$L$283)+SUMIF(Summary!$A$297:$A$333,$A3608,Summary!$L$297:$L$333))-AK3608,0)</f>
        <v>0</v>
      </c>
      <c r="AM3608" s="198"/>
      <c r="AN3608" s="196">
        <f t="shared" ca="1" si="796"/>
        <v>0</v>
      </c>
      <c r="AO3608" s="196">
        <f t="shared" ca="1" si="797"/>
        <v>0</v>
      </c>
    </row>
    <row r="3609" spans="1:41">
      <c r="A3609" s="189">
        <v>42295</v>
      </c>
      <c r="B3609" s="190">
        <v>2</v>
      </c>
      <c r="C3609" s="191" t="s">
        <v>233</v>
      </c>
      <c r="D3609" s="192">
        <f t="shared" si="784"/>
        <v>0</v>
      </c>
      <c r="E3609" s="192">
        <f t="shared" si="785"/>
        <v>0</v>
      </c>
      <c r="F3609" s="192">
        <f t="shared" si="786"/>
        <v>0</v>
      </c>
      <c r="G3609" s="193">
        <f t="shared" si="787"/>
        <v>0</v>
      </c>
      <c r="H3609" s="194">
        <v>0</v>
      </c>
      <c r="I3609" s="194">
        <v>0</v>
      </c>
      <c r="J3609" s="194">
        <v>0</v>
      </c>
      <c r="K3609" s="193">
        <f t="shared" si="788"/>
        <v>0</v>
      </c>
      <c r="L3609" s="194">
        <v>0</v>
      </c>
      <c r="M3609" s="194">
        <v>0</v>
      </c>
      <c r="N3609" s="194">
        <v>0</v>
      </c>
      <c r="O3609" s="193">
        <f t="shared" si="789"/>
        <v>0</v>
      </c>
      <c r="P3609" s="194">
        <v>0</v>
      </c>
      <c r="Q3609" s="194">
        <v>0</v>
      </c>
      <c r="R3609" s="194">
        <v>0</v>
      </c>
      <c r="S3609" s="193">
        <f t="shared" si="790"/>
        <v>0</v>
      </c>
      <c r="T3609" s="193">
        <f t="shared" si="791"/>
        <v>0</v>
      </c>
      <c r="U3609" s="193">
        <f ca="1">OFFSET('Expenditure Study'!$B$7,'Operations Support'!$C3609,'Operations Support'!$B3609)*$G3609</f>
        <v>0</v>
      </c>
      <c r="V3609" s="199">
        <f ca="1">U3609*'Expenditure Study'!$B$31</f>
        <v>0</v>
      </c>
      <c r="W3609" s="199">
        <f ca="1">IF(A3609=10298,1.51,1)*IF($B3609&lt;3,$D3609*'Expenditure Study'!$B$32*OFFSET('Expenditure Study'!$B$7,'Operations Support'!$C3609,'Operations Support'!$B3609),0)</f>
        <v>0</v>
      </c>
      <c r="X3609" s="200">
        <f ca="1">W3609*'Expenditure Study'!$B$31</f>
        <v>0</v>
      </c>
      <c r="Y3609" s="199">
        <f ca="1">U3609*'Expenditure Study'!$B$31</f>
        <v>0</v>
      </c>
      <c r="Z3609" s="200">
        <f ca="1">W3609*'Expenditure Study'!$B$31</f>
        <v>0</v>
      </c>
      <c r="AA3609" s="195">
        <f t="shared" ca="1" si="792"/>
        <v>0</v>
      </c>
      <c r="AB3609" s="195">
        <f t="shared" ca="1" si="793"/>
        <v>0</v>
      </c>
      <c r="AD3609" s="196">
        <f>IFERROR($G3609/SUMIF($A:$A,$A3609,$G:$G)*SUMIF(Summary!$A$166:$A$242,$A3609,Summary!$P$166:$P$242),0)</f>
        <v>0</v>
      </c>
      <c r="AE3609" s="197">
        <f t="shared" ca="1" si="794"/>
        <v>0</v>
      </c>
      <c r="AF3609" s="196">
        <f>IFERROR(G3609/SUMIF(A:A,A3609,G:G)*SUMIF(Summary!$A$166:$A$242,'Operations Support'!A3609,Summary!$Q$166:$Q$242),0)</f>
        <v>0</v>
      </c>
      <c r="AG3609" s="196">
        <f t="shared" ca="1" si="795"/>
        <v>0</v>
      </c>
      <c r="AI3609" s="196">
        <f>IFERROR($G3609/SUMIF($A:$A,$A3609,$G:$G)*SUMIF(Summary!$A$247:$A$283,$A3609,Summary!$P$247:$P$283),0)</f>
        <v>0</v>
      </c>
      <c r="AJ3609" s="196">
        <f>IFERROR($G3609/SUMIF($A:$A,$A3609,$G:$G)*(SUMIF(Summary!$A$247:$A$283,$A3609,Summary!$L$247:$L$283)+SUMIF(Summary!$A$297:$A$333,$A3609,Summary!$L$297:$L$333))-AI3609,0)</f>
        <v>0</v>
      </c>
      <c r="AK3609" s="196">
        <f>IFERROR($G3609/SUMIF($A:$A,$A3609,$G:$G)*SUMIF(Summary!$A$247:$A$283,$A3609,Summary!$Q$247:$Q$283),0)</f>
        <v>0</v>
      </c>
      <c r="AL3609" s="196">
        <f>IFERROR($G3609/SUMIF($A:$A,$A3609,$G:$G)*(SUMIF(Summary!$A$247:$A$283,$A3609,Summary!$L$247:$L$283)+SUMIF(Summary!$A$297:$A$333,$A3609,Summary!$L$297:$L$333))-AK3609,0)</f>
        <v>0</v>
      </c>
      <c r="AM3609" s="198"/>
      <c r="AN3609" s="196">
        <f t="shared" ca="1" si="796"/>
        <v>0</v>
      </c>
      <c r="AO3609" s="196">
        <f t="shared" ca="1" si="797"/>
        <v>0</v>
      </c>
    </row>
    <row r="3610" spans="1:41">
      <c r="A3610" s="189">
        <v>42295</v>
      </c>
      <c r="B3610" s="190">
        <v>2</v>
      </c>
      <c r="C3610" s="191" t="s">
        <v>234</v>
      </c>
      <c r="D3610" s="192">
        <f t="shared" si="784"/>
        <v>0</v>
      </c>
      <c r="E3610" s="192">
        <f t="shared" si="785"/>
        <v>0</v>
      </c>
      <c r="F3610" s="192">
        <f t="shared" si="786"/>
        <v>0</v>
      </c>
      <c r="G3610" s="193">
        <f t="shared" si="787"/>
        <v>0</v>
      </c>
      <c r="H3610" s="194">
        <v>0</v>
      </c>
      <c r="I3610" s="194">
        <v>0</v>
      </c>
      <c r="J3610" s="194">
        <v>0</v>
      </c>
      <c r="K3610" s="193">
        <f t="shared" si="788"/>
        <v>0</v>
      </c>
      <c r="L3610" s="194">
        <v>0</v>
      </c>
      <c r="M3610" s="194">
        <v>0</v>
      </c>
      <c r="N3610" s="194">
        <v>0</v>
      </c>
      <c r="O3610" s="193">
        <f t="shared" si="789"/>
        <v>0</v>
      </c>
      <c r="P3610" s="194">
        <v>0</v>
      </c>
      <c r="Q3610" s="194">
        <v>0</v>
      </c>
      <c r="R3610" s="194">
        <v>0</v>
      </c>
      <c r="S3610" s="193">
        <f t="shared" si="790"/>
        <v>0</v>
      </c>
      <c r="T3610" s="193">
        <f t="shared" si="791"/>
        <v>0</v>
      </c>
      <c r="U3610" s="193">
        <f ca="1">OFFSET('Expenditure Study'!$B$7,'Operations Support'!$C3610,'Operations Support'!$B3610)*$G3610</f>
        <v>0</v>
      </c>
      <c r="V3610" s="199">
        <f ca="1">U3610*'Expenditure Study'!$B$31</f>
        <v>0</v>
      </c>
      <c r="W3610" s="199">
        <f ca="1">IF(A3610=10298,1.51,1)*IF($B3610&lt;3,$D3610*'Expenditure Study'!$B$32*OFFSET('Expenditure Study'!$B$7,'Operations Support'!$C3610,'Operations Support'!$B3610),0)</f>
        <v>0</v>
      </c>
      <c r="X3610" s="200">
        <f ca="1">W3610*'Expenditure Study'!$B$31</f>
        <v>0</v>
      </c>
      <c r="Y3610" s="199">
        <f ca="1">U3610*'Expenditure Study'!$B$31</f>
        <v>0</v>
      </c>
      <c r="Z3610" s="200">
        <f ca="1">W3610*'Expenditure Study'!$B$31</f>
        <v>0</v>
      </c>
      <c r="AA3610" s="195">
        <f t="shared" ca="1" si="792"/>
        <v>0</v>
      </c>
      <c r="AB3610" s="195">
        <f t="shared" ca="1" si="793"/>
        <v>0</v>
      </c>
      <c r="AD3610" s="196">
        <f>IFERROR($G3610/SUMIF($A:$A,$A3610,$G:$G)*SUMIF(Summary!$A$166:$A$242,$A3610,Summary!$P$166:$P$242),0)</f>
        <v>0</v>
      </c>
      <c r="AE3610" s="197">
        <f t="shared" ca="1" si="794"/>
        <v>0</v>
      </c>
      <c r="AF3610" s="196">
        <f>IFERROR(G3610/SUMIF(A:A,A3610,G:G)*SUMIF(Summary!$A$166:$A$242,'Operations Support'!A3610,Summary!$Q$166:$Q$242),0)</f>
        <v>0</v>
      </c>
      <c r="AG3610" s="196">
        <f t="shared" ca="1" si="795"/>
        <v>0</v>
      </c>
      <c r="AI3610" s="196">
        <f>IFERROR($G3610/SUMIF($A:$A,$A3610,$G:$G)*SUMIF(Summary!$A$247:$A$283,$A3610,Summary!$P$247:$P$283),0)</f>
        <v>0</v>
      </c>
      <c r="AJ3610" s="196">
        <f>IFERROR($G3610/SUMIF($A:$A,$A3610,$G:$G)*(SUMIF(Summary!$A$247:$A$283,$A3610,Summary!$L$247:$L$283)+SUMIF(Summary!$A$297:$A$333,$A3610,Summary!$L$297:$L$333))-AI3610,0)</f>
        <v>0</v>
      </c>
      <c r="AK3610" s="196">
        <f>IFERROR($G3610/SUMIF($A:$A,$A3610,$G:$G)*SUMIF(Summary!$A$247:$A$283,$A3610,Summary!$Q$247:$Q$283),0)</f>
        <v>0</v>
      </c>
      <c r="AL3610" s="196">
        <f>IFERROR($G3610/SUMIF($A:$A,$A3610,$G:$G)*(SUMIF(Summary!$A$247:$A$283,$A3610,Summary!$L$247:$L$283)+SUMIF(Summary!$A$297:$A$333,$A3610,Summary!$L$297:$L$333))-AK3610,0)</f>
        <v>0</v>
      </c>
      <c r="AM3610" s="198"/>
      <c r="AN3610" s="196">
        <f t="shared" ca="1" si="796"/>
        <v>0</v>
      </c>
      <c r="AO3610" s="196">
        <f t="shared" ca="1" si="797"/>
        <v>0</v>
      </c>
    </row>
    <row r="3611" spans="1:41">
      <c r="A3611" s="189">
        <v>42295</v>
      </c>
      <c r="B3611" s="190">
        <v>2</v>
      </c>
      <c r="C3611" s="191" t="s">
        <v>235</v>
      </c>
      <c r="D3611" s="192">
        <f t="shared" si="784"/>
        <v>5427</v>
      </c>
      <c r="E3611" s="192">
        <f t="shared" si="785"/>
        <v>2679</v>
      </c>
      <c r="F3611" s="192">
        <f t="shared" si="786"/>
        <v>0</v>
      </c>
      <c r="G3611" s="193">
        <f t="shared" si="787"/>
        <v>8106</v>
      </c>
      <c r="H3611" s="194">
        <v>2286</v>
      </c>
      <c r="I3611" s="194">
        <v>996</v>
      </c>
      <c r="J3611" s="194">
        <v>0</v>
      </c>
      <c r="K3611" s="193">
        <f t="shared" si="788"/>
        <v>3282</v>
      </c>
      <c r="L3611" s="194">
        <v>2370</v>
      </c>
      <c r="M3611" s="194">
        <v>1185</v>
      </c>
      <c r="N3611" s="194">
        <v>0</v>
      </c>
      <c r="O3611" s="193">
        <f t="shared" si="789"/>
        <v>3555</v>
      </c>
      <c r="P3611" s="194">
        <v>771</v>
      </c>
      <c r="Q3611" s="194">
        <v>498</v>
      </c>
      <c r="R3611" s="194">
        <v>0</v>
      </c>
      <c r="S3611" s="193">
        <f t="shared" si="790"/>
        <v>1269</v>
      </c>
      <c r="T3611" s="193">
        <f t="shared" si="791"/>
        <v>270.2</v>
      </c>
      <c r="U3611" s="193">
        <f ca="1">OFFSET('Expenditure Study'!$B$7,'Operations Support'!$C3611,'Operations Support'!$B3611)*$G3611</f>
        <v>15158.220000000001</v>
      </c>
      <c r="V3611" s="199">
        <f ca="1">U3611*'Expenditure Study'!$B$31</f>
        <v>895595.85286617605</v>
      </c>
      <c r="W3611" s="199">
        <f ca="1">IF(A3611=10298,1.51,1)*IF($B3611&lt;3,$D3611*'Expenditure Study'!$B$32*OFFSET('Expenditure Study'!$B$7,'Operations Support'!$C3611,'Operations Support'!$B3611),0)</f>
        <v>1014.8490000000002</v>
      </c>
      <c r="X3611" s="200">
        <f ca="1">W3611*'Expenditure Study'!$B$31</f>
        <v>59960.506951699208</v>
      </c>
      <c r="Y3611" s="199">
        <f ca="1">U3611*'Expenditure Study'!$B$31</f>
        <v>895595.85286617605</v>
      </c>
      <c r="Z3611" s="200">
        <f ca="1">W3611*'Expenditure Study'!$B$31</f>
        <v>59960.506951699208</v>
      </c>
      <c r="AA3611" s="195">
        <f t="shared" ca="1" si="792"/>
        <v>955556.35981787532</v>
      </c>
      <c r="AB3611" s="195">
        <f t="shared" ca="1" si="793"/>
        <v>955556.35981787532</v>
      </c>
      <c r="AD3611" s="196">
        <f>IFERROR($G3611/SUMIF($A:$A,$A3611,$G:$G)*SUMIF(Summary!$A$166:$A$242,$A3611,Summary!$P$166:$P$242),0)</f>
        <v>211074.9365793319</v>
      </c>
      <c r="AE3611" s="197">
        <f t="shared" ca="1" si="794"/>
        <v>744481.42323854344</v>
      </c>
      <c r="AF3611" s="196">
        <f>IFERROR(G3611/SUMIF(A:A,A3611,G:G)*SUMIF(Summary!$A$166:$A$242,'Operations Support'!A3611,Summary!$Q$166:$Q$242),0)</f>
        <v>211433.71513608587</v>
      </c>
      <c r="AG3611" s="196">
        <f t="shared" ca="1" si="795"/>
        <v>744122.64468178945</v>
      </c>
      <c r="AI3611" s="196">
        <f>IFERROR($G3611/SUMIF($A:$A,$A3611,$G:$G)*SUMIF(Summary!$A$247:$A$283,$A3611,Summary!$P$247:$P$283),0)</f>
        <v>38494.801115742433</v>
      </c>
      <c r="AJ3611" s="196">
        <f>IFERROR($G3611/SUMIF($A:$A,$A3611,$G:$G)*(SUMIF(Summary!$A$247:$A$283,$A3611,Summary!$L$247:$L$283)+SUMIF(Summary!$A$297:$A$333,$A3611,Summary!$L$297:$L$333))-AI3611,0)</f>
        <v>379424.10634001956</v>
      </c>
      <c r="AK3611" s="196">
        <f>IFERROR($G3611/SUMIF($A:$A,$A3611,$G:$G)*SUMIF(Summary!$A$247:$A$283,$A3611,Summary!$Q$247:$Q$283),0)</f>
        <v>38560.233371275273</v>
      </c>
      <c r="AL3611" s="196">
        <f>IFERROR($G3611/SUMIF($A:$A,$A3611,$G:$G)*(SUMIF(Summary!$A$247:$A$283,$A3611,Summary!$L$247:$L$283)+SUMIF(Summary!$A$297:$A$333,$A3611,Summary!$L$297:$L$333))-AK3611,0)</f>
        <v>379358.67408448667</v>
      </c>
      <c r="AM3611" s="198"/>
      <c r="AN3611" s="196">
        <f t="shared" ca="1" si="796"/>
        <v>1123905.5295785631</v>
      </c>
      <c r="AO3611" s="196">
        <f t="shared" ca="1" si="797"/>
        <v>1123481.3187662761</v>
      </c>
    </row>
    <row r="3612" spans="1:41">
      <c r="A3612" s="189">
        <v>42295</v>
      </c>
      <c r="B3612" s="190">
        <v>2</v>
      </c>
      <c r="C3612" s="191" t="s">
        <v>236</v>
      </c>
      <c r="D3612" s="192">
        <f t="shared" si="784"/>
        <v>0</v>
      </c>
      <c r="E3612" s="192">
        <f t="shared" si="785"/>
        <v>0</v>
      </c>
      <c r="F3612" s="192">
        <f t="shared" si="786"/>
        <v>0</v>
      </c>
      <c r="G3612" s="193">
        <f t="shared" si="787"/>
        <v>0</v>
      </c>
      <c r="H3612" s="194">
        <v>0</v>
      </c>
      <c r="I3612" s="194">
        <v>0</v>
      </c>
      <c r="J3612" s="194">
        <v>0</v>
      </c>
      <c r="K3612" s="193">
        <f t="shared" si="788"/>
        <v>0</v>
      </c>
      <c r="L3612" s="194">
        <v>0</v>
      </c>
      <c r="M3612" s="194">
        <v>0</v>
      </c>
      <c r="N3612" s="194">
        <v>0</v>
      </c>
      <c r="O3612" s="193">
        <f t="shared" si="789"/>
        <v>0</v>
      </c>
      <c r="P3612" s="194">
        <v>0</v>
      </c>
      <c r="Q3612" s="194">
        <v>0</v>
      </c>
      <c r="R3612" s="194">
        <v>0</v>
      </c>
      <c r="S3612" s="193">
        <f t="shared" si="790"/>
        <v>0</v>
      </c>
      <c r="T3612" s="193">
        <f t="shared" si="791"/>
        <v>0</v>
      </c>
      <c r="U3612" s="193">
        <f ca="1">OFFSET('Expenditure Study'!$B$7,'Operations Support'!$C3612,'Operations Support'!$B3612)*$G3612</f>
        <v>0</v>
      </c>
      <c r="V3612" s="199">
        <f ca="1">U3612*'Expenditure Study'!$B$31</f>
        <v>0</v>
      </c>
      <c r="W3612" s="199">
        <f ca="1">IF(A3612=10298,1.51,1)*IF($B3612&lt;3,$D3612*'Expenditure Study'!$B$32*OFFSET('Expenditure Study'!$B$7,'Operations Support'!$C3612,'Operations Support'!$B3612),0)</f>
        <v>0</v>
      </c>
      <c r="X3612" s="200">
        <f ca="1">W3612*'Expenditure Study'!$B$31</f>
        <v>0</v>
      </c>
      <c r="Y3612" s="199">
        <f ca="1">U3612*'Expenditure Study'!$B$31</f>
        <v>0</v>
      </c>
      <c r="Z3612" s="200">
        <f ca="1">W3612*'Expenditure Study'!$B$31</f>
        <v>0</v>
      </c>
      <c r="AA3612" s="195">
        <f t="shared" ca="1" si="792"/>
        <v>0</v>
      </c>
      <c r="AB3612" s="195">
        <f t="shared" ca="1" si="793"/>
        <v>0</v>
      </c>
      <c r="AD3612" s="196">
        <f>IFERROR($G3612/SUMIF($A:$A,$A3612,$G:$G)*SUMIF(Summary!$A$166:$A$242,$A3612,Summary!$P$166:$P$242),0)</f>
        <v>0</v>
      </c>
      <c r="AE3612" s="197">
        <f t="shared" ca="1" si="794"/>
        <v>0</v>
      </c>
      <c r="AF3612" s="196">
        <f>IFERROR(G3612/SUMIF(A:A,A3612,G:G)*SUMIF(Summary!$A$166:$A$242,'Operations Support'!A3612,Summary!$Q$166:$Q$242),0)</f>
        <v>0</v>
      </c>
      <c r="AG3612" s="196">
        <f t="shared" ca="1" si="795"/>
        <v>0</v>
      </c>
      <c r="AI3612" s="196">
        <f>IFERROR($G3612/SUMIF($A:$A,$A3612,$G:$G)*SUMIF(Summary!$A$247:$A$283,$A3612,Summary!$P$247:$P$283),0)</f>
        <v>0</v>
      </c>
      <c r="AJ3612" s="196">
        <f>IFERROR($G3612/SUMIF($A:$A,$A3612,$G:$G)*(SUMIF(Summary!$A$247:$A$283,$A3612,Summary!$L$247:$L$283)+SUMIF(Summary!$A$297:$A$333,$A3612,Summary!$L$297:$L$333))-AI3612,0)</f>
        <v>0</v>
      </c>
      <c r="AK3612" s="196">
        <f>IFERROR($G3612/SUMIF($A:$A,$A3612,$G:$G)*SUMIF(Summary!$A$247:$A$283,$A3612,Summary!$Q$247:$Q$283),0)</f>
        <v>0</v>
      </c>
      <c r="AL3612" s="196">
        <f>IFERROR($G3612/SUMIF($A:$A,$A3612,$G:$G)*(SUMIF(Summary!$A$247:$A$283,$A3612,Summary!$L$247:$L$283)+SUMIF(Summary!$A$297:$A$333,$A3612,Summary!$L$297:$L$333))-AK3612,0)</f>
        <v>0</v>
      </c>
      <c r="AM3612" s="198"/>
      <c r="AN3612" s="196">
        <f t="shared" ca="1" si="796"/>
        <v>0</v>
      </c>
      <c r="AO3612" s="196">
        <f t="shared" ca="1" si="797"/>
        <v>0</v>
      </c>
    </row>
    <row r="3613" spans="1:41">
      <c r="A3613" s="189">
        <v>42295</v>
      </c>
      <c r="B3613" s="190">
        <v>2</v>
      </c>
      <c r="C3613" s="191" t="s">
        <v>237</v>
      </c>
      <c r="D3613" s="192">
        <f t="shared" si="784"/>
        <v>18</v>
      </c>
      <c r="E3613" s="192">
        <f t="shared" si="785"/>
        <v>186</v>
      </c>
      <c r="F3613" s="192">
        <f t="shared" si="786"/>
        <v>0</v>
      </c>
      <c r="G3613" s="193">
        <f t="shared" si="787"/>
        <v>204</v>
      </c>
      <c r="H3613" s="194">
        <v>18</v>
      </c>
      <c r="I3613" s="194">
        <v>114</v>
      </c>
      <c r="J3613" s="194">
        <v>0</v>
      </c>
      <c r="K3613" s="193">
        <f t="shared" si="788"/>
        <v>132</v>
      </c>
      <c r="L3613" s="194">
        <v>0</v>
      </c>
      <c r="M3613" s="194">
        <v>72</v>
      </c>
      <c r="N3613" s="194">
        <v>0</v>
      </c>
      <c r="O3613" s="193">
        <f t="shared" si="789"/>
        <v>72</v>
      </c>
      <c r="P3613" s="194">
        <v>0</v>
      </c>
      <c r="Q3613" s="194">
        <v>0</v>
      </c>
      <c r="R3613" s="194">
        <v>0</v>
      </c>
      <c r="S3613" s="193">
        <f t="shared" si="790"/>
        <v>0</v>
      </c>
      <c r="T3613" s="193">
        <f t="shared" si="791"/>
        <v>6.8</v>
      </c>
      <c r="U3613" s="193">
        <f ca="1">OFFSET('Expenditure Study'!$B$7,'Operations Support'!$C3613,'Operations Support'!$B3613)*$G3613</f>
        <v>477.35999999999996</v>
      </c>
      <c r="V3613" s="199">
        <f ca="1">U3613*'Expenditure Study'!$B$31</f>
        <v>28203.947186687998</v>
      </c>
      <c r="W3613" s="199">
        <f ca="1">IF(A3613=10298,1.51,1)*IF($B3613&lt;3,$D3613*'Expenditure Study'!$B$32*OFFSET('Expenditure Study'!$B$7,'Operations Support'!$C3613,'Operations Support'!$B3613),0)</f>
        <v>4.2119999999999997</v>
      </c>
      <c r="X3613" s="200">
        <f ca="1">W3613*'Expenditure Study'!$B$31</f>
        <v>248.8583575296</v>
      </c>
      <c r="Y3613" s="199">
        <f ca="1">U3613*'Expenditure Study'!$B$31</f>
        <v>28203.947186687998</v>
      </c>
      <c r="Z3613" s="200">
        <f ca="1">W3613*'Expenditure Study'!$B$31</f>
        <v>248.8583575296</v>
      </c>
      <c r="AA3613" s="195">
        <f t="shared" ca="1" si="792"/>
        <v>28452.805544217597</v>
      </c>
      <c r="AB3613" s="195">
        <f t="shared" ca="1" si="793"/>
        <v>28452.805544217597</v>
      </c>
      <c r="AD3613" s="196">
        <f>IFERROR($G3613/SUMIF($A:$A,$A3613,$G:$G)*SUMIF(Summary!$A$166:$A$242,$A3613,Summary!$P$166:$P$242),0)</f>
        <v>5312.0265312341116</v>
      </c>
      <c r="AE3613" s="197">
        <f t="shared" ca="1" si="794"/>
        <v>23140.779012983487</v>
      </c>
      <c r="AF3613" s="196">
        <f>IFERROR(G3613/SUMIF(A:A,A3613,G:G)*SUMIF(Summary!$A$166:$A$242,'Operations Support'!A3613,Summary!$Q$166:$Q$242),0)</f>
        <v>5321.0557473182234</v>
      </c>
      <c r="AG3613" s="196">
        <f t="shared" ca="1" si="795"/>
        <v>23131.749796899374</v>
      </c>
      <c r="AI3613" s="196">
        <f>IFERROR($G3613/SUMIF($A:$A,$A3613,$G:$G)*SUMIF(Summary!$A$247:$A$283,$A3613,Summary!$P$247:$P$283),0)</f>
        <v>968.78107915265923</v>
      </c>
      <c r="AJ3613" s="196">
        <f>IFERROR($G3613/SUMIF($A:$A,$A3613,$G:$G)*(SUMIF(Summary!$A$247:$A$283,$A3613,Summary!$L$247:$L$283)+SUMIF(Summary!$A$297:$A$333,$A3613,Summary!$L$297:$L$333))-AI3613,0)</f>
        <v>9548.7932017473468</v>
      </c>
      <c r="AK3613" s="196">
        <f>IFERROR($G3613/SUMIF($A:$A,$A3613,$G:$G)*SUMIF(Summary!$A$247:$A$283,$A3613,Summary!$Q$247:$Q$283),0)</f>
        <v>970.42778284482551</v>
      </c>
      <c r="AL3613" s="196">
        <f>IFERROR($G3613/SUMIF($A:$A,$A3613,$G:$G)*(SUMIF(Summary!$A$247:$A$283,$A3613,Summary!$L$247:$L$283)+SUMIF(Summary!$A$297:$A$333,$A3613,Summary!$L$297:$L$333))-AK3613,0)</f>
        <v>9547.1464980551809</v>
      </c>
      <c r="AM3613" s="198"/>
      <c r="AN3613" s="196">
        <f t="shared" ca="1" si="796"/>
        <v>32689.572214730833</v>
      </c>
      <c r="AO3613" s="196">
        <f t="shared" ca="1" si="797"/>
        <v>32678.896294954553</v>
      </c>
    </row>
    <row r="3614" spans="1:41">
      <c r="A3614" s="189">
        <v>42295</v>
      </c>
      <c r="B3614" s="190">
        <v>2</v>
      </c>
      <c r="C3614" s="191" t="s">
        <v>238</v>
      </c>
      <c r="D3614" s="192">
        <f t="shared" si="784"/>
        <v>231</v>
      </c>
      <c r="E3614" s="192">
        <f t="shared" si="785"/>
        <v>1165</v>
      </c>
      <c r="F3614" s="192">
        <f t="shared" si="786"/>
        <v>0</v>
      </c>
      <c r="G3614" s="193">
        <f t="shared" si="787"/>
        <v>1396</v>
      </c>
      <c r="H3614" s="194">
        <v>150</v>
      </c>
      <c r="I3614" s="194">
        <v>430</v>
      </c>
      <c r="J3614" s="194">
        <v>0</v>
      </c>
      <c r="K3614" s="193">
        <f t="shared" si="788"/>
        <v>580</v>
      </c>
      <c r="L3614" s="194">
        <v>81</v>
      </c>
      <c r="M3614" s="194">
        <v>474</v>
      </c>
      <c r="N3614" s="194">
        <v>0</v>
      </c>
      <c r="O3614" s="193">
        <f t="shared" si="789"/>
        <v>555</v>
      </c>
      <c r="P3614" s="194">
        <v>0</v>
      </c>
      <c r="Q3614" s="194">
        <v>261</v>
      </c>
      <c r="R3614" s="194">
        <v>0</v>
      </c>
      <c r="S3614" s="193">
        <f t="shared" si="790"/>
        <v>261</v>
      </c>
      <c r="T3614" s="193">
        <f t="shared" si="791"/>
        <v>46.533333333333331</v>
      </c>
      <c r="U3614" s="193">
        <f ca="1">OFFSET('Expenditure Study'!$B$7,'Operations Support'!$C3614,'Operations Support'!$B3614)*$G3614</f>
        <v>3350.4</v>
      </c>
      <c r="V3614" s="199">
        <f ca="1">U3614*'Expenditure Study'!$B$31</f>
        <v>197952.28895232</v>
      </c>
      <c r="W3614" s="199">
        <f ca="1">IF(A3614=10298,1.51,1)*IF($B3614&lt;3,$D3614*'Expenditure Study'!$B$32*OFFSET('Expenditure Study'!$B$7,'Operations Support'!$C3614,'Operations Support'!$B3614),0)</f>
        <v>55.440000000000005</v>
      </c>
      <c r="X3614" s="200">
        <f ca="1">W3614*'Expenditure Study'!$B$31</f>
        <v>3275.5715435520005</v>
      </c>
      <c r="Y3614" s="199">
        <f ca="1">U3614*'Expenditure Study'!$B$31</f>
        <v>197952.28895232</v>
      </c>
      <c r="Z3614" s="200">
        <f ca="1">W3614*'Expenditure Study'!$B$31</f>
        <v>3275.5715435520005</v>
      </c>
      <c r="AA3614" s="195">
        <f t="shared" ca="1" si="792"/>
        <v>201227.86049587201</v>
      </c>
      <c r="AB3614" s="195">
        <f t="shared" ca="1" si="793"/>
        <v>201227.86049587201</v>
      </c>
      <c r="AD3614" s="196">
        <f>IFERROR($G3614/SUMIF($A:$A,$A3614,$G:$G)*SUMIF(Summary!$A$166:$A$242,$A3614,Summary!$P$166:$P$242),0)</f>
        <v>36350.926654915784</v>
      </c>
      <c r="AE3614" s="197">
        <f t="shared" ca="1" si="794"/>
        <v>164876.93384095622</v>
      </c>
      <c r="AF3614" s="196">
        <f>IFERROR(G3614/SUMIF(A:A,A3614,G:G)*SUMIF(Summary!$A$166:$A$242,'Operations Support'!A3614,Summary!$Q$166:$Q$242),0)</f>
        <v>36412.714819883528</v>
      </c>
      <c r="AG3614" s="196">
        <f t="shared" ca="1" si="795"/>
        <v>164815.14567598849</v>
      </c>
      <c r="AI3614" s="196">
        <f>IFERROR($G3614/SUMIF($A:$A,$A3614,$G:$G)*SUMIF(Summary!$A$247:$A$283,$A3614,Summary!$P$247:$P$283),0)</f>
        <v>6629.5018945936881</v>
      </c>
      <c r="AJ3614" s="196">
        <f>IFERROR($G3614/SUMIF($A:$A,$A3614,$G:$G)*(SUMIF(Summary!$A$247:$A$283,$A3614,Summary!$L$247:$L$283)+SUMIF(Summary!$A$297:$A$333,$A3614,Summary!$L$297:$L$333))-AI3614,0)</f>
        <v>65343.70249823184</v>
      </c>
      <c r="AK3614" s="196">
        <f>IFERROR($G3614/SUMIF($A:$A,$A3614,$G:$G)*SUMIF(Summary!$A$247:$A$283,$A3614,Summary!$Q$247:$Q$283),0)</f>
        <v>6640.7705139773352</v>
      </c>
      <c r="AL3614" s="196">
        <f>IFERROR($G3614/SUMIF($A:$A,$A3614,$G:$G)*(SUMIF(Summary!$A$247:$A$283,$A3614,Summary!$L$247:$L$283)+SUMIF(Summary!$A$297:$A$333,$A3614,Summary!$L$297:$L$333))-AK3614,0)</f>
        <v>65332.433878848198</v>
      </c>
      <c r="AM3614" s="198"/>
      <c r="AN3614" s="196">
        <f t="shared" ca="1" si="796"/>
        <v>230220.63633918806</v>
      </c>
      <c r="AO3614" s="196">
        <f t="shared" ca="1" si="797"/>
        <v>230147.57955483667</v>
      </c>
    </row>
    <row r="3615" spans="1:41">
      <c r="A3615" s="189">
        <v>42295</v>
      </c>
      <c r="B3615" s="190">
        <v>2</v>
      </c>
      <c r="C3615" s="191" t="s">
        <v>239</v>
      </c>
      <c r="D3615" s="192">
        <f t="shared" si="784"/>
        <v>348</v>
      </c>
      <c r="E3615" s="192">
        <f t="shared" si="785"/>
        <v>126</v>
      </c>
      <c r="F3615" s="192">
        <f t="shared" si="786"/>
        <v>0</v>
      </c>
      <c r="G3615" s="193">
        <f t="shared" si="787"/>
        <v>474</v>
      </c>
      <c r="H3615" s="194">
        <v>132</v>
      </c>
      <c r="I3615" s="194">
        <v>14</v>
      </c>
      <c r="J3615" s="194">
        <v>0</v>
      </c>
      <c r="K3615" s="193">
        <f t="shared" si="788"/>
        <v>146</v>
      </c>
      <c r="L3615" s="194">
        <v>141</v>
      </c>
      <c r="M3615" s="194">
        <v>68</v>
      </c>
      <c r="N3615" s="194">
        <v>0</v>
      </c>
      <c r="O3615" s="193">
        <f t="shared" si="789"/>
        <v>209</v>
      </c>
      <c r="P3615" s="194">
        <v>75</v>
      </c>
      <c r="Q3615" s="194">
        <v>44</v>
      </c>
      <c r="R3615" s="194">
        <v>0</v>
      </c>
      <c r="S3615" s="193">
        <f t="shared" si="790"/>
        <v>119</v>
      </c>
      <c r="T3615" s="193">
        <f t="shared" si="791"/>
        <v>15.8</v>
      </c>
      <c r="U3615" s="193">
        <f ca="1">OFFSET('Expenditure Study'!$B$7,'Operations Support'!$C3615,'Operations Support'!$B3615)*$G3615</f>
        <v>985.92000000000007</v>
      </c>
      <c r="V3615" s="199">
        <f ca="1">U3615*'Expenditure Study'!$B$31</f>
        <v>58251.289614336005</v>
      </c>
      <c r="W3615" s="199">
        <f ca="1">IF(A3615=10298,1.51,1)*IF($B3615&lt;3,$D3615*'Expenditure Study'!$B$32*OFFSET('Expenditure Study'!$B$7,'Operations Support'!$C3615,'Operations Support'!$B3615),0)</f>
        <v>72.384000000000015</v>
      </c>
      <c r="X3615" s="200">
        <f ca="1">W3615*'Expenditure Study'!$B$31</f>
        <v>4276.6769590272006</v>
      </c>
      <c r="Y3615" s="199">
        <f ca="1">U3615*'Expenditure Study'!$B$31</f>
        <v>58251.289614336005</v>
      </c>
      <c r="Z3615" s="200">
        <f ca="1">W3615*'Expenditure Study'!$B$31</f>
        <v>4276.6769590272006</v>
      </c>
      <c r="AA3615" s="195">
        <f t="shared" ca="1" si="792"/>
        <v>62527.966573363206</v>
      </c>
      <c r="AB3615" s="195">
        <f t="shared" ca="1" si="793"/>
        <v>62527.966573363206</v>
      </c>
      <c r="AD3615" s="196">
        <f>IFERROR($G3615/SUMIF($A:$A,$A3615,$G:$G)*SUMIF(Summary!$A$166:$A$242,$A3615,Summary!$P$166:$P$242),0)</f>
        <v>12342.649881396908</v>
      </c>
      <c r="AE3615" s="197">
        <f t="shared" ca="1" si="794"/>
        <v>50185.316691966298</v>
      </c>
      <c r="AF3615" s="196">
        <f>IFERROR(G3615/SUMIF(A:A,A3615,G:G)*SUMIF(Summary!$A$166:$A$242,'Operations Support'!A3615,Summary!$Q$166:$Q$242),0)</f>
        <v>12363.629530533521</v>
      </c>
      <c r="AG3615" s="196">
        <f t="shared" ca="1" si="795"/>
        <v>50164.337042829684</v>
      </c>
      <c r="AI3615" s="196">
        <f>IFERROR($G3615/SUMIF($A:$A,$A3615,$G:$G)*SUMIF(Summary!$A$247:$A$283,$A3615,Summary!$P$247:$P$283),0)</f>
        <v>2250.9913309723556</v>
      </c>
      <c r="AJ3615" s="196">
        <f>IFERROR($G3615/SUMIF($A:$A,$A3615,$G:$G)*(SUMIF(Summary!$A$247:$A$283,$A3615,Summary!$L$247:$L$283)+SUMIF(Summary!$A$297:$A$333,$A3615,Summary!$L$297:$L$333))-AI3615,0)</f>
        <v>22186.901851118833</v>
      </c>
      <c r="AK3615" s="196">
        <f>IFERROR($G3615/SUMIF($A:$A,$A3615,$G:$G)*SUMIF(Summary!$A$247:$A$283,$A3615,Summary!$Q$247:$Q$283),0)</f>
        <v>2254.8174954335655</v>
      </c>
      <c r="AL3615" s="196">
        <f>IFERROR($G3615/SUMIF($A:$A,$A3615,$G:$G)*(SUMIF(Summary!$A$247:$A$283,$A3615,Summary!$L$247:$L$283)+SUMIF(Summary!$A$297:$A$333,$A3615,Summary!$L$297:$L$333))-AK3615,0)</f>
        <v>22183.075686657623</v>
      </c>
      <c r="AM3615" s="198"/>
      <c r="AN3615" s="196">
        <f t="shared" ca="1" si="796"/>
        <v>72372.218543085124</v>
      </c>
      <c r="AO3615" s="196">
        <f t="shared" ca="1" si="797"/>
        <v>72347.412729487303</v>
      </c>
    </row>
    <row r="3616" spans="1:41">
      <c r="A3616" s="189">
        <v>42295</v>
      </c>
      <c r="B3616" s="190">
        <v>2</v>
      </c>
      <c r="C3616" s="191" t="s">
        <v>240</v>
      </c>
      <c r="D3616" s="192">
        <f t="shared" si="784"/>
        <v>0</v>
      </c>
      <c r="E3616" s="192">
        <f t="shared" si="785"/>
        <v>0</v>
      </c>
      <c r="F3616" s="192">
        <f t="shared" si="786"/>
        <v>0</v>
      </c>
      <c r="G3616" s="193">
        <f t="shared" si="787"/>
        <v>0</v>
      </c>
      <c r="H3616" s="194">
        <v>0</v>
      </c>
      <c r="I3616" s="194">
        <v>0</v>
      </c>
      <c r="J3616" s="194">
        <v>0</v>
      </c>
      <c r="K3616" s="193">
        <f t="shared" si="788"/>
        <v>0</v>
      </c>
      <c r="L3616" s="194">
        <v>0</v>
      </c>
      <c r="M3616" s="194">
        <v>0</v>
      </c>
      <c r="N3616" s="194">
        <v>0</v>
      </c>
      <c r="O3616" s="193">
        <f t="shared" si="789"/>
        <v>0</v>
      </c>
      <c r="P3616" s="194">
        <v>0</v>
      </c>
      <c r="Q3616" s="194">
        <v>0</v>
      </c>
      <c r="R3616" s="194">
        <v>0</v>
      </c>
      <c r="S3616" s="193">
        <f t="shared" si="790"/>
        <v>0</v>
      </c>
      <c r="T3616" s="193">
        <f t="shared" si="791"/>
        <v>0</v>
      </c>
      <c r="U3616" s="193">
        <f ca="1">OFFSET('Expenditure Study'!$B$7,'Operations Support'!$C3616,'Operations Support'!$B3616)*$G3616</f>
        <v>0</v>
      </c>
      <c r="V3616" s="199">
        <f ca="1">U3616*'Expenditure Study'!$B$31</f>
        <v>0</v>
      </c>
      <c r="W3616" s="199">
        <f ca="1">IF(A3616=10298,1.51,1)*IF($B3616&lt;3,$D3616*'Expenditure Study'!$B$32*OFFSET('Expenditure Study'!$B$7,'Operations Support'!$C3616,'Operations Support'!$B3616),0)</f>
        <v>0</v>
      </c>
      <c r="X3616" s="200">
        <f ca="1">W3616*'Expenditure Study'!$B$31</f>
        <v>0</v>
      </c>
      <c r="Y3616" s="199">
        <f ca="1">U3616*'Expenditure Study'!$B$31</f>
        <v>0</v>
      </c>
      <c r="Z3616" s="200">
        <f ca="1">W3616*'Expenditure Study'!$B$31</f>
        <v>0</v>
      </c>
      <c r="AA3616" s="195">
        <f t="shared" ca="1" si="792"/>
        <v>0</v>
      </c>
      <c r="AB3616" s="195">
        <f t="shared" ca="1" si="793"/>
        <v>0</v>
      </c>
      <c r="AD3616" s="196">
        <f>IFERROR($G3616/SUMIF($A:$A,$A3616,$G:$G)*SUMIF(Summary!$A$166:$A$242,$A3616,Summary!$P$166:$P$242),0)</f>
        <v>0</v>
      </c>
      <c r="AE3616" s="197">
        <f t="shared" ca="1" si="794"/>
        <v>0</v>
      </c>
      <c r="AF3616" s="196">
        <f>IFERROR(G3616/SUMIF(A:A,A3616,G:G)*SUMIF(Summary!$A$166:$A$242,'Operations Support'!A3616,Summary!$Q$166:$Q$242),0)</f>
        <v>0</v>
      </c>
      <c r="AG3616" s="196">
        <f t="shared" ca="1" si="795"/>
        <v>0</v>
      </c>
      <c r="AI3616" s="196">
        <f>IFERROR($G3616/SUMIF($A:$A,$A3616,$G:$G)*SUMIF(Summary!$A$247:$A$283,$A3616,Summary!$P$247:$P$283),0)</f>
        <v>0</v>
      </c>
      <c r="AJ3616" s="196">
        <f>IFERROR($G3616/SUMIF($A:$A,$A3616,$G:$G)*(SUMIF(Summary!$A$247:$A$283,$A3616,Summary!$L$247:$L$283)+SUMIF(Summary!$A$297:$A$333,$A3616,Summary!$L$297:$L$333))-AI3616,0)</f>
        <v>0</v>
      </c>
      <c r="AK3616" s="196">
        <f>IFERROR($G3616/SUMIF($A:$A,$A3616,$G:$G)*SUMIF(Summary!$A$247:$A$283,$A3616,Summary!$Q$247:$Q$283),0)</f>
        <v>0</v>
      </c>
      <c r="AL3616" s="196">
        <f>IFERROR($G3616/SUMIF($A:$A,$A3616,$G:$G)*(SUMIF(Summary!$A$247:$A$283,$A3616,Summary!$L$247:$L$283)+SUMIF(Summary!$A$297:$A$333,$A3616,Summary!$L$297:$L$333))-AK3616,0)</f>
        <v>0</v>
      </c>
      <c r="AM3616" s="198"/>
      <c r="AN3616" s="196">
        <f t="shared" ca="1" si="796"/>
        <v>0</v>
      </c>
      <c r="AO3616" s="196">
        <f t="shared" ca="1" si="797"/>
        <v>0</v>
      </c>
    </row>
    <row r="3617" spans="1:41">
      <c r="A3617" s="189">
        <v>42295</v>
      </c>
      <c r="B3617" s="190">
        <v>3</v>
      </c>
      <c r="C3617" s="191" t="s">
        <v>220</v>
      </c>
      <c r="D3617" s="192">
        <f t="shared" si="784"/>
        <v>2233</v>
      </c>
      <c r="E3617" s="192">
        <f t="shared" si="785"/>
        <v>765</v>
      </c>
      <c r="F3617" s="192">
        <f t="shared" si="786"/>
        <v>0</v>
      </c>
      <c r="G3617" s="193">
        <f t="shared" si="787"/>
        <v>2998</v>
      </c>
      <c r="H3617" s="194">
        <v>909</v>
      </c>
      <c r="I3617" s="194">
        <v>336</v>
      </c>
      <c r="J3617" s="194">
        <v>0</v>
      </c>
      <c r="K3617" s="193">
        <f t="shared" si="788"/>
        <v>1245</v>
      </c>
      <c r="L3617" s="194">
        <v>809</v>
      </c>
      <c r="M3617" s="194">
        <v>366</v>
      </c>
      <c r="N3617" s="194">
        <v>0</v>
      </c>
      <c r="O3617" s="193">
        <f t="shared" si="789"/>
        <v>1175</v>
      </c>
      <c r="P3617" s="194">
        <v>515</v>
      </c>
      <c r="Q3617" s="194">
        <v>63</v>
      </c>
      <c r="R3617" s="194">
        <v>0</v>
      </c>
      <c r="S3617" s="193">
        <f t="shared" si="790"/>
        <v>578</v>
      </c>
      <c r="T3617" s="193">
        <f t="shared" si="791"/>
        <v>124.91666666666667</v>
      </c>
      <c r="U3617" s="193">
        <f ca="1">OFFSET('Expenditure Study'!$B$7,'Operations Support'!$C3617,'Operations Support'!$B3617)*$G3617</f>
        <v>13371.08</v>
      </c>
      <c r="V3617" s="199">
        <f ca="1">U3617*'Expenditure Study'!$B$31</f>
        <v>790005.93713126401</v>
      </c>
      <c r="W3617" s="199">
        <f ca="1">IF(A3617=10298,1.51,1)*IF($B3617&lt;3,$D3617*'Expenditure Study'!$B$32*OFFSET('Expenditure Study'!$B$7,'Operations Support'!$C3617,'Operations Support'!$B3617),0)</f>
        <v>0</v>
      </c>
      <c r="X3617" s="200">
        <f ca="1">W3617*'Expenditure Study'!$B$31</f>
        <v>0</v>
      </c>
      <c r="Y3617" s="199">
        <f ca="1">U3617*'Expenditure Study'!$B$31</f>
        <v>790005.93713126401</v>
      </c>
      <c r="Z3617" s="200">
        <f ca="1">W3617*'Expenditure Study'!$B$31</f>
        <v>0</v>
      </c>
      <c r="AA3617" s="195">
        <f t="shared" ca="1" si="792"/>
        <v>790005.93713126401</v>
      </c>
      <c r="AB3617" s="195">
        <f t="shared" ca="1" si="793"/>
        <v>790005.93713126401</v>
      </c>
      <c r="AD3617" s="196">
        <f>IFERROR($G3617/SUMIF($A:$A,$A3617,$G:$G)*SUMIF(Summary!$A$166:$A$242,$A3617,Summary!$P$166:$P$242),0)</f>
        <v>78065.958532548379</v>
      </c>
      <c r="AE3617" s="197">
        <f t="shared" ca="1" si="794"/>
        <v>711939.97859871562</v>
      </c>
      <c r="AF3617" s="196">
        <f>IFERROR(G3617/SUMIF(A:A,A3617,G:G)*SUMIF(Summary!$A$166:$A$242,'Operations Support'!A3617,Summary!$Q$166:$Q$242),0)</f>
        <v>78198.652600294299</v>
      </c>
      <c r="AG3617" s="196">
        <f t="shared" ca="1" si="795"/>
        <v>711807.28453096969</v>
      </c>
      <c r="AI3617" s="196">
        <f>IFERROR($G3617/SUMIF($A:$A,$A3617,$G:$G)*SUMIF(Summary!$A$247:$A$283,$A3617,Summary!$P$247:$P$283),0)</f>
        <v>14237.28272205722</v>
      </c>
      <c r="AJ3617" s="196">
        <f>IFERROR($G3617/SUMIF($A:$A,$A3617,$G:$G)*(SUMIF(Summary!$A$247:$A$283,$A3617,Summary!$L$247:$L$283)+SUMIF(Summary!$A$297:$A$333,$A3617,Summary!$L$297:$L$333))-AI3617,0)</f>
        <v>140329.81381783599</v>
      </c>
      <c r="AK3617" s="196">
        <f>IFERROR($G3617/SUMIF($A:$A,$A3617,$G:$G)*SUMIF(Summary!$A$247:$A$283,$A3617,Summary!$Q$247:$Q$283),0)</f>
        <v>14261.482808670526</v>
      </c>
      <c r="AL3617" s="196">
        <f>IFERROR($G3617/SUMIF($A:$A,$A3617,$G:$G)*(SUMIF(Summary!$A$247:$A$283,$A3617,Summary!$L$247:$L$283)+SUMIF(Summary!$A$297:$A$333,$A3617,Summary!$L$297:$L$333))-AK3617,0)</f>
        <v>140305.61373122269</v>
      </c>
      <c r="AM3617" s="198"/>
      <c r="AN3617" s="196">
        <f t="shared" ca="1" si="796"/>
        <v>852269.79241655162</v>
      </c>
      <c r="AO3617" s="196">
        <f t="shared" ca="1" si="797"/>
        <v>852112.89826219238</v>
      </c>
    </row>
    <row r="3618" spans="1:41">
      <c r="A3618" s="189">
        <v>42295</v>
      </c>
      <c r="B3618" s="190">
        <v>3</v>
      </c>
      <c r="C3618" s="191" t="s">
        <v>221</v>
      </c>
      <c r="D3618" s="192">
        <f t="shared" si="784"/>
        <v>57</v>
      </c>
      <c r="E3618" s="192">
        <f t="shared" si="785"/>
        <v>0</v>
      </c>
      <c r="F3618" s="192">
        <f t="shared" si="786"/>
        <v>0</v>
      </c>
      <c r="G3618" s="193">
        <f t="shared" si="787"/>
        <v>57</v>
      </c>
      <c r="H3618" s="194">
        <v>12</v>
      </c>
      <c r="I3618" s="194">
        <v>0</v>
      </c>
      <c r="J3618" s="194">
        <v>0</v>
      </c>
      <c r="K3618" s="193">
        <f t="shared" si="788"/>
        <v>12</v>
      </c>
      <c r="L3618" s="194">
        <v>24</v>
      </c>
      <c r="M3618" s="194">
        <v>0</v>
      </c>
      <c r="N3618" s="194">
        <v>0</v>
      </c>
      <c r="O3618" s="193">
        <f t="shared" si="789"/>
        <v>24</v>
      </c>
      <c r="P3618" s="194">
        <v>21</v>
      </c>
      <c r="Q3618" s="194">
        <v>0</v>
      </c>
      <c r="R3618" s="194">
        <v>0</v>
      </c>
      <c r="S3618" s="193">
        <f t="shared" si="790"/>
        <v>21</v>
      </c>
      <c r="T3618" s="193">
        <f t="shared" si="791"/>
        <v>2.375</v>
      </c>
      <c r="U3618" s="193">
        <f ca="1">OFFSET('Expenditure Study'!$B$7,'Operations Support'!$C3618,'Operations Support'!$B3618)*$G3618</f>
        <v>399</v>
      </c>
      <c r="V3618" s="199">
        <f ca="1">U3618*'Expenditure Study'!$B$31</f>
        <v>23574.1891392</v>
      </c>
      <c r="W3618" s="199">
        <f ca="1">IF(A3618=10298,1.51,1)*IF($B3618&lt;3,$D3618*'Expenditure Study'!$B$32*OFFSET('Expenditure Study'!$B$7,'Operations Support'!$C3618,'Operations Support'!$B3618),0)</f>
        <v>0</v>
      </c>
      <c r="X3618" s="200">
        <f ca="1">W3618*'Expenditure Study'!$B$31</f>
        <v>0</v>
      </c>
      <c r="Y3618" s="199">
        <f ca="1">U3618*'Expenditure Study'!$B$31</f>
        <v>23574.1891392</v>
      </c>
      <c r="Z3618" s="200">
        <f ca="1">W3618*'Expenditure Study'!$B$31</f>
        <v>0</v>
      </c>
      <c r="AA3618" s="195">
        <f t="shared" ca="1" si="792"/>
        <v>23574.1891392</v>
      </c>
      <c r="AB3618" s="195">
        <f t="shared" ca="1" si="793"/>
        <v>23574.1891392</v>
      </c>
      <c r="AD3618" s="196">
        <f>IFERROR($G3618/SUMIF($A:$A,$A3618,$G:$G)*SUMIF(Summary!$A$166:$A$242,$A3618,Summary!$P$166:$P$242),0)</f>
        <v>1484.2427072565902</v>
      </c>
      <c r="AE3618" s="197">
        <f t="shared" ca="1" si="794"/>
        <v>22089.946431943408</v>
      </c>
      <c r="AF3618" s="196">
        <f>IFERROR(G3618/SUMIF(A:A,A3618,G:G)*SUMIF(Summary!$A$166:$A$242,'Operations Support'!A3618,Summary!$Q$166:$Q$242),0)</f>
        <v>1486.7655764565625</v>
      </c>
      <c r="AG3618" s="196">
        <f t="shared" ca="1" si="795"/>
        <v>22087.423562743439</v>
      </c>
      <c r="AI3618" s="196">
        <f>IFERROR($G3618/SUMIF($A:$A,$A3618,$G:$G)*SUMIF(Summary!$A$247:$A$283,$A3618,Summary!$P$247:$P$283),0)</f>
        <v>270.68883093971363</v>
      </c>
      <c r="AJ3618" s="196">
        <f>IFERROR($G3618/SUMIF($A:$A,$A3618,$G:$G)*(SUMIF(Summary!$A$247:$A$283,$A3618,Summary!$L$247:$L$283)+SUMIF(Summary!$A$297:$A$333,$A3618,Summary!$L$297:$L$333))-AI3618,0)</f>
        <v>2668.0451593117587</v>
      </c>
      <c r="AK3618" s="196">
        <f>IFERROR($G3618/SUMIF($A:$A,$A3618,$G:$G)*SUMIF(Summary!$A$247:$A$283,$A3618,Summary!$Q$247:$Q$283),0)</f>
        <v>271.14893932428947</v>
      </c>
      <c r="AL3618" s="196">
        <f>IFERROR($G3618/SUMIF($A:$A,$A3618,$G:$G)*(SUMIF(Summary!$A$247:$A$283,$A3618,Summary!$L$247:$L$283)+SUMIF(Summary!$A$297:$A$333,$A3618,Summary!$L$297:$L$333))-AK3618,0)</f>
        <v>2667.5850509271827</v>
      </c>
      <c r="AM3618" s="198"/>
      <c r="AN3618" s="196">
        <f t="shared" ca="1" si="796"/>
        <v>24757.991591255166</v>
      </c>
      <c r="AO3618" s="196">
        <f t="shared" ca="1" si="797"/>
        <v>24755.008613670623</v>
      </c>
    </row>
    <row r="3619" spans="1:41">
      <c r="A3619" s="189">
        <v>42295</v>
      </c>
      <c r="B3619" s="190">
        <v>3</v>
      </c>
      <c r="C3619" s="191" t="s">
        <v>222</v>
      </c>
      <c r="D3619" s="192">
        <f t="shared" si="784"/>
        <v>0</v>
      </c>
      <c r="E3619" s="192">
        <f t="shared" si="785"/>
        <v>0</v>
      </c>
      <c r="F3619" s="192">
        <f t="shared" si="786"/>
        <v>0</v>
      </c>
      <c r="G3619" s="193">
        <f t="shared" si="787"/>
        <v>0</v>
      </c>
      <c r="H3619" s="194">
        <v>0</v>
      </c>
      <c r="I3619" s="194">
        <v>0</v>
      </c>
      <c r="J3619" s="194">
        <v>0</v>
      </c>
      <c r="K3619" s="193">
        <f t="shared" si="788"/>
        <v>0</v>
      </c>
      <c r="L3619" s="194">
        <v>0</v>
      </c>
      <c r="M3619" s="194">
        <v>0</v>
      </c>
      <c r="N3619" s="194">
        <v>0</v>
      </c>
      <c r="O3619" s="193">
        <f t="shared" si="789"/>
        <v>0</v>
      </c>
      <c r="P3619" s="194">
        <v>0</v>
      </c>
      <c r="Q3619" s="194">
        <v>0</v>
      </c>
      <c r="R3619" s="194">
        <v>0</v>
      </c>
      <c r="S3619" s="193">
        <f t="shared" si="790"/>
        <v>0</v>
      </c>
      <c r="T3619" s="193">
        <f t="shared" si="791"/>
        <v>0</v>
      </c>
      <c r="U3619" s="193">
        <f ca="1">OFFSET('Expenditure Study'!$B$7,'Operations Support'!$C3619,'Operations Support'!$B3619)*$G3619</f>
        <v>0</v>
      </c>
      <c r="V3619" s="199">
        <f ca="1">U3619*'Expenditure Study'!$B$31</f>
        <v>0</v>
      </c>
      <c r="W3619" s="199">
        <f ca="1">IF(A3619=10298,1.51,1)*IF($B3619&lt;3,$D3619*'Expenditure Study'!$B$32*OFFSET('Expenditure Study'!$B$7,'Operations Support'!$C3619,'Operations Support'!$B3619),0)</f>
        <v>0</v>
      </c>
      <c r="X3619" s="200">
        <f ca="1">W3619*'Expenditure Study'!$B$31</f>
        <v>0</v>
      </c>
      <c r="Y3619" s="199">
        <f ca="1">U3619*'Expenditure Study'!$B$31</f>
        <v>0</v>
      </c>
      <c r="Z3619" s="200">
        <f ca="1">W3619*'Expenditure Study'!$B$31</f>
        <v>0</v>
      </c>
      <c r="AA3619" s="195">
        <f t="shared" ca="1" si="792"/>
        <v>0</v>
      </c>
      <c r="AB3619" s="195">
        <f t="shared" ca="1" si="793"/>
        <v>0</v>
      </c>
      <c r="AD3619" s="196">
        <f>IFERROR($G3619/SUMIF($A:$A,$A3619,$G:$G)*SUMIF(Summary!$A$166:$A$242,$A3619,Summary!$P$166:$P$242),0)</f>
        <v>0</v>
      </c>
      <c r="AE3619" s="197">
        <f t="shared" ca="1" si="794"/>
        <v>0</v>
      </c>
      <c r="AF3619" s="196">
        <f>IFERROR(G3619/SUMIF(A:A,A3619,G:G)*SUMIF(Summary!$A$166:$A$242,'Operations Support'!A3619,Summary!$Q$166:$Q$242),0)</f>
        <v>0</v>
      </c>
      <c r="AG3619" s="196">
        <f t="shared" ca="1" si="795"/>
        <v>0</v>
      </c>
      <c r="AI3619" s="196">
        <f>IFERROR($G3619/SUMIF($A:$A,$A3619,$G:$G)*SUMIF(Summary!$A$247:$A$283,$A3619,Summary!$P$247:$P$283),0)</f>
        <v>0</v>
      </c>
      <c r="AJ3619" s="196">
        <f>IFERROR($G3619/SUMIF($A:$A,$A3619,$G:$G)*(SUMIF(Summary!$A$247:$A$283,$A3619,Summary!$L$247:$L$283)+SUMIF(Summary!$A$297:$A$333,$A3619,Summary!$L$297:$L$333))-AI3619,0)</f>
        <v>0</v>
      </c>
      <c r="AK3619" s="196">
        <f>IFERROR($G3619/SUMIF($A:$A,$A3619,$G:$G)*SUMIF(Summary!$A$247:$A$283,$A3619,Summary!$Q$247:$Q$283),0)</f>
        <v>0</v>
      </c>
      <c r="AL3619" s="196">
        <f>IFERROR($G3619/SUMIF($A:$A,$A3619,$G:$G)*(SUMIF(Summary!$A$247:$A$283,$A3619,Summary!$L$247:$L$283)+SUMIF(Summary!$A$297:$A$333,$A3619,Summary!$L$297:$L$333))-AK3619,0)</f>
        <v>0</v>
      </c>
      <c r="AM3619" s="198"/>
      <c r="AN3619" s="196">
        <f t="shared" ca="1" si="796"/>
        <v>0</v>
      </c>
      <c r="AO3619" s="196">
        <f t="shared" ca="1" si="797"/>
        <v>0</v>
      </c>
    </row>
    <row r="3620" spans="1:41">
      <c r="A3620" s="189">
        <v>42295</v>
      </c>
      <c r="B3620" s="190">
        <v>3</v>
      </c>
      <c r="C3620" s="191" t="s">
        <v>223</v>
      </c>
      <c r="D3620" s="192">
        <f t="shared" si="784"/>
        <v>1074</v>
      </c>
      <c r="E3620" s="192">
        <f t="shared" si="785"/>
        <v>828</v>
      </c>
      <c r="F3620" s="192">
        <f t="shared" si="786"/>
        <v>0</v>
      </c>
      <c r="G3620" s="193">
        <f t="shared" si="787"/>
        <v>1902</v>
      </c>
      <c r="H3620" s="194">
        <v>183</v>
      </c>
      <c r="I3620" s="194">
        <v>471</v>
      </c>
      <c r="J3620" s="194">
        <v>0</v>
      </c>
      <c r="K3620" s="193">
        <f t="shared" si="788"/>
        <v>654</v>
      </c>
      <c r="L3620" s="194">
        <v>339</v>
      </c>
      <c r="M3620" s="194">
        <v>183</v>
      </c>
      <c r="N3620" s="194">
        <v>0</v>
      </c>
      <c r="O3620" s="193">
        <f t="shared" si="789"/>
        <v>522</v>
      </c>
      <c r="P3620" s="194">
        <v>552</v>
      </c>
      <c r="Q3620" s="194">
        <v>174</v>
      </c>
      <c r="R3620" s="194">
        <v>0</v>
      </c>
      <c r="S3620" s="193">
        <f t="shared" si="790"/>
        <v>726</v>
      </c>
      <c r="T3620" s="193">
        <f t="shared" si="791"/>
        <v>79.25</v>
      </c>
      <c r="U3620" s="193">
        <f ca="1">OFFSET('Expenditure Study'!$B$7,'Operations Support'!$C3620,'Operations Support'!$B3620)*$G3620</f>
        <v>4260.4800000000005</v>
      </c>
      <c r="V3620" s="199">
        <f ca="1">U3620*'Expenditure Study'!$B$31</f>
        <v>251722.71013478402</v>
      </c>
      <c r="W3620" s="199">
        <f ca="1">IF(A3620=10298,1.51,1)*IF($B3620&lt;3,$D3620*'Expenditure Study'!$B$32*OFFSET('Expenditure Study'!$B$7,'Operations Support'!$C3620,'Operations Support'!$B3620),0)</f>
        <v>0</v>
      </c>
      <c r="X3620" s="200">
        <f ca="1">W3620*'Expenditure Study'!$B$31</f>
        <v>0</v>
      </c>
      <c r="Y3620" s="199">
        <f ca="1">U3620*'Expenditure Study'!$B$31</f>
        <v>251722.71013478402</v>
      </c>
      <c r="Z3620" s="200">
        <f ca="1">W3620*'Expenditure Study'!$B$31</f>
        <v>0</v>
      </c>
      <c r="AA3620" s="195">
        <f t="shared" ca="1" si="792"/>
        <v>251722.71013478402</v>
      </c>
      <c r="AB3620" s="195">
        <f t="shared" ca="1" si="793"/>
        <v>251722.71013478402</v>
      </c>
      <c r="AD3620" s="196">
        <f>IFERROR($G3620/SUMIF($A:$A,$A3620,$G:$G)*SUMIF(Summary!$A$166:$A$242,$A3620,Summary!$P$166:$P$242),0)</f>
        <v>49526.835600035687</v>
      </c>
      <c r="AE3620" s="197">
        <f t="shared" ca="1" si="794"/>
        <v>202195.87453474832</v>
      </c>
      <c r="AF3620" s="196">
        <f>IFERROR(G3620/SUMIF(A:A,A3620,G:G)*SUMIF(Summary!$A$166:$A$242,'Operations Support'!A3620,Summary!$Q$166:$Q$242),0)</f>
        <v>49611.019761761083</v>
      </c>
      <c r="AG3620" s="196">
        <f t="shared" ca="1" si="795"/>
        <v>202111.69037302292</v>
      </c>
      <c r="AI3620" s="196">
        <f>IFERROR($G3620/SUMIF($A:$A,$A3620,$G:$G)*SUMIF(Summary!$A$247:$A$283,$A3620,Summary!$P$247:$P$283),0)</f>
        <v>9032.4588850409691</v>
      </c>
      <c r="AJ3620" s="196">
        <f>IFERROR($G3620/SUMIF($A:$A,$A3620,$G:$G)*(SUMIF(Summary!$A$247:$A$283,$A3620,Summary!$L$247:$L$283)+SUMIF(Summary!$A$297:$A$333,$A3620,Summary!$L$297:$L$333))-AI3620,0)</f>
        <v>89028.454263350257</v>
      </c>
      <c r="AK3620" s="196">
        <f>IFERROR($G3620/SUMIF($A:$A,$A3620,$G:$G)*SUMIF(Summary!$A$247:$A$283,$A3620,Summary!$Q$247:$Q$283),0)</f>
        <v>9047.8119753473438</v>
      </c>
      <c r="AL3620" s="196">
        <f>IFERROR($G3620/SUMIF($A:$A,$A3620,$G:$G)*(SUMIF(Summary!$A$247:$A$283,$A3620,Summary!$L$247:$L$283)+SUMIF(Summary!$A$297:$A$333,$A3620,Summary!$L$297:$L$333))-AK3620,0)</f>
        <v>89013.101173043877</v>
      </c>
      <c r="AM3620" s="198"/>
      <c r="AN3620" s="196">
        <f t="shared" ca="1" si="796"/>
        <v>291224.32879809861</v>
      </c>
      <c r="AO3620" s="196">
        <f t="shared" ca="1" si="797"/>
        <v>291124.79154606682</v>
      </c>
    </row>
    <row r="3621" spans="1:41">
      <c r="A3621" s="189">
        <v>42295</v>
      </c>
      <c r="B3621" s="190">
        <v>3</v>
      </c>
      <c r="C3621" s="191" t="s">
        <v>224</v>
      </c>
      <c r="D3621" s="192">
        <f t="shared" si="784"/>
        <v>0</v>
      </c>
      <c r="E3621" s="192">
        <f t="shared" si="785"/>
        <v>0</v>
      </c>
      <c r="F3621" s="192">
        <f t="shared" si="786"/>
        <v>0</v>
      </c>
      <c r="G3621" s="193">
        <f t="shared" si="787"/>
        <v>0</v>
      </c>
      <c r="H3621" s="194">
        <v>0</v>
      </c>
      <c r="I3621" s="194">
        <v>0</v>
      </c>
      <c r="J3621" s="194">
        <v>0</v>
      </c>
      <c r="K3621" s="193">
        <f t="shared" si="788"/>
        <v>0</v>
      </c>
      <c r="L3621" s="194">
        <v>0</v>
      </c>
      <c r="M3621" s="194">
        <v>0</v>
      </c>
      <c r="N3621" s="194">
        <v>0</v>
      </c>
      <c r="O3621" s="193">
        <f t="shared" si="789"/>
        <v>0</v>
      </c>
      <c r="P3621" s="194">
        <v>0</v>
      </c>
      <c r="Q3621" s="194">
        <v>0</v>
      </c>
      <c r="R3621" s="194">
        <v>0</v>
      </c>
      <c r="S3621" s="193">
        <f t="shared" si="790"/>
        <v>0</v>
      </c>
      <c r="T3621" s="193">
        <f t="shared" si="791"/>
        <v>0</v>
      </c>
      <c r="U3621" s="193">
        <f ca="1">OFFSET('Expenditure Study'!$B$7,'Operations Support'!$C3621,'Operations Support'!$B3621)*$G3621</f>
        <v>0</v>
      </c>
      <c r="V3621" s="199">
        <f ca="1">U3621*'Expenditure Study'!$B$31</f>
        <v>0</v>
      </c>
      <c r="W3621" s="199">
        <f ca="1">IF(A3621=10298,1.51,1)*IF($B3621&lt;3,$D3621*'Expenditure Study'!$B$32*OFFSET('Expenditure Study'!$B$7,'Operations Support'!$C3621,'Operations Support'!$B3621),0)</f>
        <v>0</v>
      </c>
      <c r="X3621" s="200">
        <f ca="1">W3621*'Expenditure Study'!$B$31</f>
        <v>0</v>
      </c>
      <c r="Y3621" s="199">
        <f ca="1">U3621*'Expenditure Study'!$B$31</f>
        <v>0</v>
      </c>
      <c r="Z3621" s="200">
        <f ca="1">W3621*'Expenditure Study'!$B$31</f>
        <v>0</v>
      </c>
      <c r="AA3621" s="195">
        <f t="shared" ca="1" si="792"/>
        <v>0</v>
      </c>
      <c r="AB3621" s="195">
        <f t="shared" ca="1" si="793"/>
        <v>0</v>
      </c>
      <c r="AD3621" s="196">
        <f>IFERROR($G3621/SUMIF($A:$A,$A3621,$G:$G)*SUMIF(Summary!$A$166:$A$242,$A3621,Summary!$P$166:$P$242),0)</f>
        <v>0</v>
      </c>
      <c r="AE3621" s="197">
        <f t="shared" ca="1" si="794"/>
        <v>0</v>
      </c>
      <c r="AF3621" s="196">
        <f>IFERROR(G3621/SUMIF(A:A,A3621,G:G)*SUMIF(Summary!$A$166:$A$242,'Operations Support'!A3621,Summary!$Q$166:$Q$242),0)</f>
        <v>0</v>
      </c>
      <c r="AG3621" s="196">
        <f t="shared" ca="1" si="795"/>
        <v>0</v>
      </c>
      <c r="AI3621" s="196">
        <f>IFERROR($G3621/SUMIF($A:$A,$A3621,$G:$G)*SUMIF(Summary!$A$247:$A$283,$A3621,Summary!$P$247:$P$283),0)</f>
        <v>0</v>
      </c>
      <c r="AJ3621" s="196">
        <f>IFERROR($G3621/SUMIF($A:$A,$A3621,$G:$G)*(SUMIF(Summary!$A$247:$A$283,$A3621,Summary!$L$247:$L$283)+SUMIF(Summary!$A$297:$A$333,$A3621,Summary!$L$297:$L$333))-AI3621,0)</f>
        <v>0</v>
      </c>
      <c r="AK3621" s="196">
        <f>IFERROR($G3621/SUMIF($A:$A,$A3621,$G:$G)*SUMIF(Summary!$A$247:$A$283,$A3621,Summary!$Q$247:$Q$283),0)</f>
        <v>0</v>
      </c>
      <c r="AL3621" s="196">
        <f>IFERROR($G3621/SUMIF($A:$A,$A3621,$G:$G)*(SUMIF(Summary!$A$247:$A$283,$A3621,Summary!$L$247:$L$283)+SUMIF(Summary!$A$297:$A$333,$A3621,Summary!$L$297:$L$333))-AK3621,0)</f>
        <v>0</v>
      </c>
      <c r="AM3621" s="198"/>
      <c r="AN3621" s="196">
        <f t="shared" ca="1" si="796"/>
        <v>0</v>
      </c>
      <c r="AO3621" s="196">
        <f t="shared" ca="1" si="797"/>
        <v>0</v>
      </c>
    </row>
    <row r="3622" spans="1:41">
      <c r="A3622" s="189">
        <v>42295</v>
      </c>
      <c r="B3622" s="190">
        <v>3</v>
      </c>
      <c r="C3622" s="191" t="s">
        <v>225</v>
      </c>
      <c r="D3622" s="192">
        <f t="shared" si="784"/>
        <v>798</v>
      </c>
      <c r="E3622" s="192">
        <f t="shared" si="785"/>
        <v>345</v>
      </c>
      <c r="F3622" s="192">
        <f t="shared" si="786"/>
        <v>0</v>
      </c>
      <c r="G3622" s="193">
        <f t="shared" si="787"/>
        <v>1143</v>
      </c>
      <c r="H3622" s="194">
        <v>405</v>
      </c>
      <c r="I3622" s="194">
        <v>135</v>
      </c>
      <c r="J3622" s="194">
        <v>0</v>
      </c>
      <c r="K3622" s="193">
        <f t="shared" si="788"/>
        <v>540</v>
      </c>
      <c r="L3622" s="194">
        <v>249</v>
      </c>
      <c r="M3622" s="194">
        <v>123</v>
      </c>
      <c r="N3622" s="194">
        <v>0</v>
      </c>
      <c r="O3622" s="193">
        <f t="shared" si="789"/>
        <v>372</v>
      </c>
      <c r="P3622" s="194">
        <v>144</v>
      </c>
      <c r="Q3622" s="194">
        <v>87</v>
      </c>
      <c r="R3622" s="194">
        <v>0</v>
      </c>
      <c r="S3622" s="193">
        <f t="shared" si="790"/>
        <v>231</v>
      </c>
      <c r="T3622" s="193">
        <f t="shared" si="791"/>
        <v>47.625</v>
      </c>
      <c r="U3622" s="193">
        <f ca="1">OFFSET('Expenditure Study'!$B$7,'Operations Support'!$C3622,'Operations Support'!$B3622)*$G3622</f>
        <v>7898.13</v>
      </c>
      <c r="V3622" s="199">
        <f ca="1">U3622*'Expenditure Study'!$B$31</f>
        <v>466646.64277190401</v>
      </c>
      <c r="W3622" s="199">
        <f ca="1">IF(A3622=10298,1.51,1)*IF($B3622&lt;3,$D3622*'Expenditure Study'!$B$32*OFFSET('Expenditure Study'!$B$7,'Operations Support'!$C3622,'Operations Support'!$B3622),0)</f>
        <v>0</v>
      </c>
      <c r="X3622" s="200">
        <f ca="1">W3622*'Expenditure Study'!$B$31</f>
        <v>0</v>
      </c>
      <c r="Y3622" s="199">
        <f ca="1">U3622*'Expenditure Study'!$B$31</f>
        <v>466646.64277190401</v>
      </c>
      <c r="Z3622" s="200">
        <f ca="1">W3622*'Expenditure Study'!$B$31</f>
        <v>0</v>
      </c>
      <c r="AA3622" s="195">
        <f t="shared" ca="1" si="792"/>
        <v>466646.64277190401</v>
      </c>
      <c r="AB3622" s="195">
        <f t="shared" ca="1" si="793"/>
        <v>466646.64277190401</v>
      </c>
      <c r="AD3622" s="196">
        <f>IFERROR($G3622/SUMIF($A:$A,$A3622,$G:$G)*SUMIF(Summary!$A$166:$A$242,$A3622,Summary!$P$166:$P$242),0)</f>
        <v>29762.972182355832</v>
      </c>
      <c r="AE3622" s="197">
        <f t="shared" ca="1" si="794"/>
        <v>436883.67058954819</v>
      </c>
      <c r="AF3622" s="196">
        <f>IFERROR(G3622/SUMIF(A:A,A3622,G:G)*SUMIF(Summary!$A$166:$A$242,'Operations Support'!A3622,Summary!$Q$166:$Q$242),0)</f>
        <v>29813.562348944753</v>
      </c>
      <c r="AG3622" s="196">
        <f t="shared" ca="1" si="795"/>
        <v>436833.08042295923</v>
      </c>
      <c r="AI3622" s="196">
        <f>IFERROR($G3622/SUMIF($A:$A,$A3622,$G:$G)*SUMIF(Summary!$A$247:$A$283,$A3622,Summary!$P$247:$P$283),0)</f>
        <v>5428.0233993700467</v>
      </c>
      <c r="AJ3622" s="196">
        <f>IFERROR($G3622/SUMIF($A:$A,$A3622,$G:$G)*(SUMIF(Summary!$A$247:$A$283,$A3622,Summary!$L$247:$L$283)+SUMIF(Summary!$A$297:$A$333,$A3622,Summary!$L$297:$L$333))-AI3622,0)</f>
        <v>53501.326615672631</v>
      </c>
      <c r="AK3622" s="196">
        <f>IFERROR($G3622/SUMIF($A:$A,$A3622,$G:$G)*SUMIF(Summary!$A$247:$A$283,$A3622,Summary!$Q$247:$Q$283),0)</f>
        <v>5437.2497832923309</v>
      </c>
      <c r="AL3622" s="196">
        <f>IFERROR($G3622/SUMIF($A:$A,$A3622,$G:$G)*(SUMIF(Summary!$A$247:$A$283,$A3622,Summary!$L$247:$L$283)+SUMIF(Summary!$A$297:$A$333,$A3622,Summary!$L$297:$L$333))-AK3622,0)</f>
        <v>53492.100231750344</v>
      </c>
      <c r="AM3622" s="198"/>
      <c r="AN3622" s="196">
        <f t="shared" ca="1" si="796"/>
        <v>490384.9972052208</v>
      </c>
      <c r="AO3622" s="196">
        <f t="shared" ca="1" si="797"/>
        <v>490325.18065470958</v>
      </c>
    </row>
    <row r="3623" spans="1:41">
      <c r="A3623" s="189">
        <v>42295</v>
      </c>
      <c r="B3623" s="190">
        <v>3</v>
      </c>
      <c r="C3623" s="191" t="s">
        <v>226</v>
      </c>
      <c r="D3623" s="192">
        <f t="shared" si="784"/>
        <v>0</v>
      </c>
      <c r="E3623" s="192">
        <f t="shared" si="785"/>
        <v>0</v>
      </c>
      <c r="F3623" s="192">
        <f t="shared" si="786"/>
        <v>0</v>
      </c>
      <c r="G3623" s="193">
        <f t="shared" si="787"/>
        <v>0</v>
      </c>
      <c r="H3623" s="194">
        <v>0</v>
      </c>
      <c r="I3623" s="194">
        <v>0</v>
      </c>
      <c r="J3623" s="194">
        <v>0</v>
      </c>
      <c r="K3623" s="193">
        <f t="shared" si="788"/>
        <v>0</v>
      </c>
      <c r="L3623" s="194">
        <v>0</v>
      </c>
      <c r="M3623" s="194">
        <v>0</v>
      </c>
      <c r="N3623" s="194">
        <v>0</v>
      </c>
      <c r="O3623" s="193">
        <f t="shared" si="789"/>
        <v>0</v>
      </c>
      <c r="P3623" s="194">
        <v>0</v>
      </c>
      <c r="Q3623" s="194">
        <v>0</v>
      </c>
      <c r="R3623" s="194">
        <v>0</v>
      </c>
      <c r="S3623" s="193">
        <f t="shared" si="790"/>
        <v>0</v>
      </c>
      <c r="T3623" s="193">
        <f t="shared" si="791"/>
        <v>0</v>
      </c>
      <c r="U3623" s="193">
        <f ca="1">OFFSET('Expenditure Study'!$B$7,'Operations Support'!$C3623,'Operations Support'!$B3623)*$G3623</f>
        <v>0</v>
      </c>
      <c r="V3623" s="199">
        <f ca="1">U3623*'Expenditure Study'!$B$31</f>
        <v>0</v>
      </c>
      <c r="W3623" s="199">
        <f ca="1">IF(A3623=10298,1.51,1)*IF($B3623&lt;3,$D3623*'Expenditure Study'!$B$32*OFFSET('Expenditure Study'!$B$7,'Operations Support'!$C3623,'Operations Support'!$B3623),0)</f>
        <v>0</v>
      </c>
      <c r="X3623" s="200">
        <f ca="1">W3623*'Expenditure Study'!$B$31</f>
        <v>0</v>
      </c>
      <c r="Y3623" s="199">
        <f ca="1">U3623*'Expenditure Study'!$B$31</f>
        <v>0</v>
      </c>
      <c r="Z3623" s="200">
        <f ca="1">W3623*'Expenditure Study'!$B$31</f>
        <v>0</v>
      </c>
      <c r="AA3623" s="195">
        <f t="shared" ca="1" si="792"/>
        <v>0</v>
      </c>
      <c r="AB3623" s="195">
        <f t="shared" ca="1" si="793"/>
        <v>0</v>
      </c>
      <c r="AD3623" s="196">
        <f>IFERROR($G3623/SUMIF($A:$A,$A3623,$G:$G)*SUMIF(Summary!$A$166:$A$242,$A3623,Summary!$P$166:$P$242),0)</f>
        <v>0</v>
      </c>
      <c r="AE3623" s="197">
        <f t="shared" ca="1" si="794"/>
        <v>0</v>
      </c>
      <c r="AF3623" s="196">
        <f>IFERROR(G3623/SUMIF(A:A,A3623,G:G)*SUMIF(Summary!$A$166:$A$242,'Operations Support'!A3623,Summary!$Q$166:$Q$242),0)</f>
        <v>0</v>
      </c>
      <c r="AG3623" s="196">
        <f t="shared" ca="1" si="795"/>
        <v>0</v>
      </c>
      <c r="AI3623" s="196">
        <f>IFERROR($G3623/SUMIF($A:$A,$A3623,$G:$G)*SUMIF(Summary!$A$247:$A$283,$A3623,Summary!$P$247:$P$283),0)</f>
        <v>0</v>
      </c>
      <c r="AJ3623" s="196">
        <f>IFERROR($G3623/SUMIF($A:$A,$A3623,$G:$G)*(SUMIF(Summary!$A$247:$A$283,$A3623,Summary!$L$247:$L$283)+SUMIF(Summary!$A$297:$A$333,$A3623,Summary!$L$297:$L$333))-AI3623,0)</f>
        <v>0</v>
      </c>
      <c r="AK3623" s="196">
        <f>IFERROR($G3623/SUMIF($A:$A,$A3623,$G:$G)*SUMIF(Summary!$A$247:$A$283,$A3623,Summary!$Q$247:$Q$283),0)</f>
        <v>0</v>
      </c>
      <c r="AL3623" s="196">
        <f>IFERROR($G3623/SUMIF($A:$A,$A3623,$G:$G)*(SUMIF(Summary!$A$247:$A$283,$A3623,Summary!$L$247:$L$283)+SUMIF(Summary!$A$297:$A$333,$A3623,Summary!$L$297:$L$333))-AK3623,0)</f>
        <v>0</v>
      </c>
      <c r="AM3623" s="198"/>
      <c r="AN3623" s="196">
        <f t="shared" ca="1" si="796"/>
        <v>0</v>
      </c>
      <c r="AO3623" s="196">
        <f t="shared" ca="1" si="797"/>
        <v>0</v>
      </c>
    </row>
    <row r="3624" spans="1:41">
      <c r="A3624" s="189">
        <v>42295</v>
      </c>
      <c r="B3624" s="190">
        <v>3</v>
      </c>
      <c r="C3624" s="191" t="s">
        <v>227</v>
      </c>
      <c r="D3624" s="192">
        <f t="shared" si="784"/>
        <v>0</v>
      </c>
      <c r="E3624" s="192">
        <f t="shared" si="785"/>
        <v>0</v>
      </c>
      <c r="F3624" s="192">
        <f t="shared" si="786"/>
        <v>0</v>
      </c>
      <c r="G3624" s="193">
        <f t="shared" si="787"/>
        <v>0</v>
      </c>
      <c r="H3624" s="194">
        <v>0</v>
      </c>
      <c r="I3624" s="194">
        <v>0</v>
      </c>
      <c r="J3624" s="194">
        <v>0</v>
      </c>
      <c r="K3624" s="193">
        <f t="shared" si="788"/>
        <v>0</v>
      </c>
      <c r="L3624" s="194">
        <v>0</v>
      </c>
      <c r="M3624" s="194">
        <v>0</v>
      </c>
      <c r="N3624" s="194">
        <v>0</v>
      </c>
      <c r="O3624" s="193">
        <f t="shared" si="789"/>
        <v>0</v>
      </c>
      <c r="P3624" s="194">
        <v>0</v>
      </c>
      <c r="Q3624" s="194">
        <v>0</v>
      </c>
      <c r="R3624" s="194">
        <v>0</v>
      </c>
      <c r="S3624" s="193">
        <f t="shared" si="790"/>
        <v>0</v>
      </c>
      <c r="T3624" s="193">
        <f t="shared" si="791"/>
        <v>0</v>
      </c>
      <c r="U3624" s="193">
        <f ca="1">OFFSET('Expenditure Study'!$B$7,'Operations Support'!$C3624,'Operations Support'!$B3624)*$G3624</f>
        <v>0</v>
      </c>
      <c r="V3624" s="199">
        <f ca="1">U3624*'Expenditure Study'!$B$31</f>
        <v>0</v>
      </c>
      <c r="W3624" s="199">
        <f ca="1">IF(A3624=10298,1.51,1)*IF($B3624&lt;3,$D3624*'Expenditure Study'!$B$32*OFFSET('Expenditure Study'!$B$7,'Operations Support'!$C3624,'Operations Support'!$B3624),0)</f>
        <v>0</v>
      </c>
      <c r="X3624" s="200">
        <f ca="1">W3624*'Expenditure Study'!$B$31</f>
        <v>0</v>
      </c>
      <c r="Y3624" s="199">
        <f ca="1">U3624*'Expenditure Study'!$B$31</f>
        <v>0</v>
      </c>
      <c r="Z3624" s="200">
        <f ca="1">W3624*'Expenditure Study'!$B$31</f>
        <v>0</v>
      </c>
      <c r="AA3624" s="195">
        <f t="shared" ca="1" si="792"/>
        <v>0</v>
      </c>
      <c r="AB3624" s="195">
        <f t="shared" ca="1" si="793"/>
        <v>0</v>
      </c>
      <c r="AD3624" s="196">
        <f>IFERROR($G3624/SUMIF($A:$A,$A3624,$G:$G)*SUMIF(Summary!$A$166:$A$242,$A3624,Summary!$P$166:$P$242),0)</f>
        <v>0</v>
      </c>
      <c r="AE3624" s="197">
        <f t="shared" ca="1" si="794"/>
        <v>0</v>
      </c>
      <c r="AF3624" s="196">
        <f>IFERROR(G3624/SUMIF(A:A,A3624,G:G)*SUMIF(Summary!$A$166:$A$242,'Operations Support'!A3624,Summary!$Q$166:$Q$242),0)</f>
        <v>0</v>
      </c>
      <c r="AG3624" s="196">
        <f t="shared" ca="1" si="795"/>
        <v>0</v>
      </c>
      <c r="AI3624" s="196">
        <f>IFERROR($G3624/SUMIF($A:$A,$A3624,$G:$G)*SUMIF(Summary!$A$247:$A$283,$A3624,Summary!$P$247:$P$283),0)</f>
        <v>0</v>
      </c>
      <c r="AJ3624" s="196">
        <f>IFERROR($G3624/SUMIF($A:$A,$A3624,$G:$G)*(SUMIF(Summary!$A$247:$A$283,$A3624,Summary!$L$247:$L$283)+SUMIF(Summary!$A$297:$A$333,$A3624,Summary!$L$297:$L$333))-AI3624,0)</f>
        <v>0</v>
      </c>
      <c r="AK3624" s="196">
        <f>IFERROR($G3624/SUMIF($A:$A,$A3624,$G:$G)*SUMIF(Summary!$A$247:$A$283,$A3624,Summary!$Q$247:$Q$283),0)</f>
        <v>0</v>
      </c>
      <c r="AL3624" s="196">
        <f>IFERROR($G3624/SUMIF($A:$A,$A3624,$G:$G)*(SUMIF(Summary!$A$247:$A$283,$A3624,Summary!$L$247:$L$283)+SUMIF(Summary!$A$297:$A$333,$A3624,Summary!$L$297:$L$333))-AK3624,0)</f>
        <v>0</v>
      </c>
      <c r="AM3624" s="198"/>
      <c r="AN3624" s="196">
        <f t="shared" ca="1" si="796"/>
        <v>0</v>
      </c>
      <c r="AO3624" s="196">
        <f t="shared" ca="1" si="797"/>
        <v>0</v>
      </c>
    </row>
    <row r="3625" spans="1:41">
      <c r="A3625" s="189">
        <v>42295</v>
      </c>
      <c r="B3625" s="190">
        <v>3</v>
      </c>
      <c r="C3625" s="191" t="s">
        <v>228</v>
      </c>
      <c r="D3625" s="192">
        <f t="shared" si="784"/>
        <v>0</v>
      </c>
      <c r="E3625" s="192">
        <f t="shared" si="785"/>
        <v>0</v>
      </c>
      <c r="F3625" s="192">
        <f t="shared" si="786"/>
        <v>0</v>
      </c>
      <c r="G3625" s="193">
        <f t="shared" si="787"/>
        <v>0</v>
      </c>
      <c r="H3625" s="194">
        <v>0</v>
      </c>
      <c r="I3625" s="194">
        <v>0</v>
      </c>
      <c r="J3625" s="194">
        <v>0</v>
      </c>
      <c r="K3625" s="193">
        <f t="shared" si="788"/>
        <v>0</v>
      </c>
      <c r="L3625" s="194">
        <v>0</v>
      </c>
      <c r="M3625" s="194">
        <v>0</v>
      </c>
      <c r="N3625" s="194">
        <v>0</v>
      </c>
      <c r="O3625" s="193">
        <f t="shared" si="789"/>
        <v>0</v>
      </c>
      <c r="P3625" s="194">
        <v>0</v>
      </c>
      <c r="Q3625" s="194">
        <v>0</v>
      </c>
      <c r="R3625" s="194">
        <v>0</v>
      </c>
      <c r="S3625" s="193">
        <f t="shared" si="790"/>
        <v>0</v>
      </c>
      <c r="T3625" s="193">
        <f t="shared" si="791"/>
        <v>0</v>
      </c>
      <c r="U3625" s="193">
        <f ca="1">OFFSET('Expenditure Study'!$B$7,'Operations Support'!$C3625,'Operations Support'!$B3625)*$G3625</f>
        <v>0</v>
      </c>
      <c r="V3625" s="199">
        <f ca="1">U3625*'Expenditure Study'!$B$31</f>
        <v>0</v>
      </c>
      <c r="W3625" s="199">
        <f ca="1">IF(A3625=10298,1.51,1)*IF($B3625&lt;3,$D3625*'Expenditure Study'!$B$32*OFFSET('Expenditure Study'!$B$7,'Operations Support'!$C3625,'Operations Support'!$B3625),0)</f>
        <v>0</v>
      </c>
      <c r="X3625" s="200">
        <f ca="1">W3625*'Expenditure Study'!$B$31</f>
        <v>0</v>
      </c>
      <c r="Y3625" s="199">
        <f ca="1">U3625*'Expenditure Study'!$B$31</f>
        <v>0</v>
      </c>
      <c r="Z3625" s="200">
        <f ca="1">W3625*'Expenditure Study'!$B$31</f>
        <v>0</v>
      </c>
      <c r="AA3625" s="195">
        <f t="shared" ca="1" si="792"/>
        <v>0</v>
      </c>
      <c r="AB3625" s="195">
        <f t="shared" ca="1" si="793"/>
        <v>0</v>
      </c>
      <c r="AD3625" s="196">
        <f>IFERROR($G3625/SUMIF($A:$A,$A3625,$G:$G)*SUMIF(Summary!$A$166:$A$242,$A3625,Summary!$P$166:$P$242),0)</f>
        <v>0</v>
      </c>
      <c r="AE3625" s="197">
        <f t="shared" ca="1" si="794"/>
        <v>0</v>
      </c>
      <c r="AF3625" s="196">
        <f>IFERROR(G3625/SUMIF(A:A,A3625,G:G)*SUMIF(Summary!$A$166:$A$242,'Operations Support'!A3625,Summary!$Q$166:$Q$242),0)</f>
        <v>0</v>
      </c>
      <c r="AG3625" s="196">
        <f t="shared" ca="1" si="795"/>
        <v>0</v>
      </c>
      <c r="AI3625" s="196">
        <f>IFERROR($G3625/SUMIF($A:$A,$A3625,$G:$G)*SUMIF(Summary!$A$247:$A$283,$A3625,Summary!$P$247:$P$283),0)</f>
        <v>0</v>
      </c>
      <c r="AJ3625" s="196">
        <f>IFERROR($G3625/SUMIF($A:$A,$A3625,$G:$G)*(SUMIF(Summary!$A$247:$A$283,$A3625,Summary!$L$247:$L$283)+SUMIF(Summary!$A$297:$A$333,$A3625,Summary!$L$297:$L$333))-AI3625,0)</f>
        <v>0</v>
      </c>
      <c r="AK3625" s="196">
        <f>IFERROR($G3625/SUMIF($A:$A,$A3625,$G:$G)*SUMIF(Summary!$A$247:$A$283,$A3625,Summary!$Q$247:$Q$283),0)</f>
        <v>0</v>
      </c>
      <c r="AL3625" s="196">
        <f>IFERROR($G3625/SUMIF($A:$A,$A3625,$G:$G)*(SUMIF(Summary!$A$247:$A$283,$A3625,Summary!$L$247:$L$283)+SUMIF(Summary!$A$297:$A$333,$A3625,Summary!$L$297:$L$333))-AK3625,0)</f>
        <v>0</v>
      </c>
      <c r="AM3625" s="198"/>
      <c r="AN3625" s="196">
        <f t="shared" ca="1" si="796"/>
        <v>0</v>
      </c>
      <c r="AO3625" s="196">
        <f t="shared" ca="1" si="797"/>
        <v>0</v>
      </c>
    </row>
    <row r="3626" spans="1:41">
      <c r="A3626" s="189">
        <v>42295</v>
      </c>
      <c r="B3626" s="190">
        <v>3</v>
      </c>
      <c r="C3626" s="191" t="s">
        <v>229</v>
      </c>
      <c r="D3626" s="192">
        <f t="shared" si="784"/>
        <v>0</v>
      </c>
      <c r="E3626" s="192">
        <f t="shared" si="785"/>
        <v>0</v>
      </c>
      <c r="F3626" s="192">
        <f t="shared" si="786"/>
        <v>0</v>
      </c>
      <c r="G3626" s="193">
        <f t="shared" si="787"/>
        <v>0</v>
      </c>
      <c r="H3626" s="194">
        <v>0</v>
      </c>
      <c r="I3626" s="194">
        <v>0</v>
      </c>
      <c r="J3626" s="194">
        <v>0</v>
      </c>
      <c r="K3626" s="193">
        <f t="shared" si="788"/>
        <v>0</v>
      </c>
      <c r="L3626" s="194">
        <v>0</v>
      </c>
      <c r="M3626" s="194">
        <v>0</v>
      </c>
      <c r="N3626" s="194">
        <v>0</v>
      </c>
      <c r="O3626" s="193">
        <f t="shared" si="789"/>
        <v>0</v>
      </c>
      <c r="P3626" s="194">
        <v>0</v>
      </c>
      <c r="Q3626" s="194">
        <v>0</v>
      </c>
      <c r="R3626" s="194">
        <v>0</v>
      </c>
      <c r="S3626" s="193">
        <f t="shared" si="790"/>
        <v>0</v>
      </c>
      <c r="T3626" s="193">
        <f t="shared" si="791"/>
        <v>0</v>
      </c>
      <c r="U3626" s="193">
        <f ca="1">OFFSET('Expenditure Study'!$B$7,'Operations Support'!$C3626,'Operations Support'!$B3626)*$G3626</f>
        <v>0</v>
      </c>
      <c r="V3626" s="199">
        <f ca="1">U3626*'Expenditure Study'!$B$31</f>
        <v>0</v>
      </c>
      <c r="W3626" s="199">
        <f ca="1">IF(A3626=10298,1.51,1)*IF($B3626&lt;3,$D3626*'Expenditure Study'!$B$32*OFFSET('Expenditure Study'!$B$7,'Operations Support'!$C3626,'Operations Support'!$B3626),0)</f>
        <v>0</v>
      </c>
      <c r="X3626" s="200">
        <f ca="1">W3626*'Expenditure Study'!$B$31</f>
        <v>0</v>
      </c>
      <c r="Y3626" s="199">
        <f ca="1">U3626*'Expenditure Study'!$B$31</f>
        <v>0</v>
      </c>
      <c r="Z3626" s="200">
        <f ca="1">W3626*'Expenditure Study'!$B$31</f>
        <v>0</v>
      </c>
      <c r="AA3626" s="195">
        <f t="shared" ca="1" si="792"/>
        <v>0</v>
      </c>
      <c r="AB3626" s="195">
        <f t="shared" ca="1" si="793"/>
        <v>0</v>
      </c>
      <c r="AD3626" s="196">
        <f>IFERROR($G3626/SUMIF($A:$A,$A3626,$G:$G)*SUMIF(Summary!$A$166:$A$242,$A3626,Summary!$P$166:$P$242),0)</f>
        <v>0</v>
      </c>
      <c r="AE3626" s="197">
        <f t="shared" ca="1" si="794"/>
        <v>0</v>
      </c>
      <c r="AF3626" s="196">
        <f>IFERROR(G3626/SUMIF(A:A,A3626,G:G)*SUMIF(Summary!$A$166:$A$242,'Operations Support'!A3626,Summary!$Q$166:$Q$242),0)</f>
        <v>0</v>
      </c>
      <c r="AG3626" s="196">
        <f t="shared" ca="1" si="795"/>
        <v>0</v>
      </c>
      <c r="AI3626" s="196">
        <f>IFERROR($G3626/SUMIF($A:$A,$A3626,$G:$G)*SUMIF(Summary!$A$247:$A$283,$A3626,Summary!$P$247:$P$283),0)</f>
        <v>0</v>
      </c>
      <c r="AJ3626" s="196">
        <f>IFERROR($G3626/SUMIF($A:$A,$A3626,$G:$G)*(SUMIF(Summary!$A$247:$A$283,$A3626,Summary!$L$247:$L$283)+SUMIF(Summary!$A$297:$A$333,$A3626,Summary!$L$297:$L$333))-AI3626,0)</f>
        <v>0</v>
      </c>
      <c r="AK3626" s="196">
        <f>IFERROR($G3626/SUMIF($A:$A,$A3626,$G:$G)*SUMIF(Summary!$A$247:$A$283,$A3626,Summary!$Q$247:$Q$283),0)</f>
        <v>0</v>
      </c>
      <c r="AL3626" s="196">
        <f>IFERROR($G3626/SUMIF($A:$A,$A3626,$G:$G)*(SUMIF(Summary!$A$247:$A$283,$A3626,Summary!$L$247:$L$283)+SUMIF(Summary!$A$297:$A$333,$A3626,Summary!$L$297:$L$333))-AK3626,0)</f>
        <v>0</v>
      </c>
      <c r="AM3626" s="198"/>
      <c r="AN3626" s="196">
        <f t="shared" ca="1" si="796"/>
        <v>0</v>
      </c>
      <c r="AO3626" s="196">
        <f t="shared" ca="1" si="797"/>
        <v>0</v>
      </c>
    </row>
    <row r="3627" spans="1:41">
      <c r="A3627" s="189">
        <v>42295</v>
      </c>
      <c r="B3627" s="190">
        <v>3</v>
      </c>
      <c r="C3627" s="191" t="s">
        <v>230</v>
      </c>
      <c r="D3627" s="192">
        <f t="shared" si="784"/>
        <v>0</v>
      </c>
      <c r="E3627" s="192">
        <f t="shared" si="785"/>
        <v>0</v>
      </c>
      <c r="F3627" s="192">
        <f t="shared" si="786"/>
        <v>0</v>
      </c>
      <c r="G3627" s="193">
        <f t="shared" si="787"/>
        <v>0</v>
      </c>
      <c r="H3627" s="194">
        <v>0</v>
      </c>
      <c r="I3627" s="194">
        <v>0</v>
      </c>
      <c r="J3627" s="194">
        <v>0</v>
      </c>
      <c r="K3627" s="193">
        <f t="shared" si="788"/>
        <v>0</v>
      </c>
      <c r="L3627" s="194">
        <v>0</v>
      </c>
      <c r="M3627" s="194">
        <v>0</v>
      </c>
      <c r="N3627" s="194">
        <v>0</v>
      </c>
      <c r="O3627" s="193">
        <f t="shared" si="789"/>
        <v>0</v>
      </c>
      <c r="P3627" s="194">
        <v>0</v>
      </c>
      <c r="Q3627" s="194">
        <v>0</v>
      </c>
      <c r="R3627" s="194">
        <v>0</v>
      </c>
      <c r="S3627" s="193">
        <f t="shared" si="790"/>
        <v>0</v>
      </c>
      <c r="T3627" s="193">
        <f t="shared" si="791"/>
        <v>0</v>
      </c>
      <c r="U3627" s="193">
        <f ca="1">OFFSET('Expenditure Study'!$B$7,'Operations Support'!$C3627,'Operations Support'!$B3627)*$G3627</f>
        <v>0</v>
      </c>
      <c r="V3627" s="199">
        <f ca="1">U3627*'Expenditure Study'!$B$31</f>
        <v>0</v>
      </c>
      <c r="W3627" s="199">
        <f ca="1">IF(A3627=10298,1.51,1)*IF($B3627&lt;3,$D3627*'Expenditure Study'!$B$32*OFFSET('Expenditure Study'!$B$7,'Operations Support'!$C3627,'Operations Support'!$B3627),0)</f>
        <v>0</v>
      </c>
      <c r="X3627" s="200">
        <f ca="1">W3627*'Expenditure Study'!$B$31</f>
        <v>0</v>
      </c>
      <c r="Y3627" s="199">
        <f ca="1">U3627*'Expenditure Study'!$B$31</f>
        <v>0</v>
      </c>
      <c r="Z3627" s="200">
        <f ca="1">W3627*'Expenditure Study'!$B$31</f>
        <v>0</v>
      </c>
      <c r="AA3627" s="195">
        <f t="shared" ca="1" si="792"/>
        <v>0</v>
      </c>
      <c r="AB3627" s="195">
        <f t="shared" ca="1" si="793"/>
        <v>0</v>
      </c>
      <c r="AD3627" s="196">
        <f>IFERROR($G3627/SUMIF($A:$A,$A3627,$G:$G)*SUMIF(Summary!$A$166:$A$242,$A3627,Summary!$P$166:$P$242),0)</f>
        <v>0</v>
      </c>
      <c r="AE3627" s="197">
        <f t="shared" ca="1" si="794"/>
        <v>0</v>
      </c>
      <c r="AF3627" s="196">
        <f>IFERROR(G3627/SUMIF(A:A,A3627,G:G)*SUMIF(Summary!$A$166:$A$242,'Operations Support'!A3627,Summary!$Q$166:$Q$242),0)</f>
        <v>0</v>
      </c>
      <c r="AG3627" s="196">
        <f t="shared" ca="1" si="795"/>
        <v>0</v>
      </c>
      <c r="AI3627" s="196">
        <f>IFERROR($G3627/SUMIF($A:$A,$A3627,$G:$G)*SUMIF(Summary!$A$247:$A$283,$A3627,Summary!$P$247:$P$283),0)</f>
        <v>0</v>
      </c>
      <c r="AJ3627" s="196">
        <f>IFERROR($G3627/SUMIF($A:$A,$A3627,$G:$G)*(SUMIF(Summary!$A$247:$A$283,$A3627,Summary!$L$247:$L$283)+SUMIF(Summary!$A$297:$A$333,$A3627,Summary!$L$297:$L$333))-AI3627,0)</f>
        <v>0</v>
      </c>
      <c r="AK3627" s="196">
        <f>IFERROR($G3627/SUMIF($A:$A,$A3627,$G:$G)*SUMIF(Summary!$A$247:$A$283,$A3627,Summary!$Q$247:$Q$283),0)</f>
        <v>0</v>
      </c>
      <c r="AL3627" s="196">
        <f>IFERROR($G3627/SUMIF($A:$A,$A3627,$G:$G)*(SUMIF(Summary!$A$247:$A$283,$A3627,Summary!$L$247:$L$283)+SUMIF(Summary!$A$297:$A$333,$A3627,Summary!$L$297:$L$333))-AK3627,0)</f>
        <v>0</v>
      </c>
      <c r="AM3627" s="198"/>
      <c r="AN3627" s="196">
        <f t="shared" ca="1" si="796"/>
        <v>0</v>
      </c>
      <c r="AO3627" s="196">
        <f t="shared" ca="1" si="797"/>
        <v>0</v>
      </c>
    </row>
    <row r="3628" spans="1:41">
      <c r="A3628" s="189">
        <v>42295</v>
      </c>
      <c r="B3628" s="190">
        <v>3</v>
      </c>
      <c r="C3628" s="191" t="s">
        <v>231</v>
      </c>
      <c r="D3628" s="192">
        <f t="shared" si="784"/>
        <v>0</v>
      </c>
      <c r="E3628" s="192">
        <f t="shared" si="785"/>
        <v>0</v>
      </c>
      <c r="F3628" s="192">
        <f t="shared" si="786"/>
        <v>0</v>
      </c>
      <c r="G3628" s="193">
        <f t="shared" si="787"/>
        <v>0</v>
      </c>
      <c r="H3628" s="194">
        <v>0</v>
      </c>
      <c r="I3628" s="194">
        <v>0</v>
      </c>
      <c r="J3628" s="194">
        <v>0</v>
      </c>
      <c r="K3628" s="193">
        <f t="shared" si="788"/>
        <v>0</v>
      </c>
      <c r="L3628" s="194">
        <v>0</v>
      </c>
      <c r="M3628" s="194">
        <v>0</v>
      </c>
      <c r="N3628" s="194">
        <v>0</v>
      </c>
      <c r="O3628" s="193">
        <f t="shared" si="789"/>
        <v>0</v>
      </c>
      <c r="P3628" s="194">
        <v>0</v>
      </c>
      <c r="Q3628" s="194">
        <v>0</v>
      </c>
      <c r="R3628" s="194">
        <v>0</v>
      </c>
      <c r="S3628" s="193">
        <f t="shared" si="790"/>
        <v>0</v>
      </c>
      <c r="T3628" s="193">
        <f t="shared" si="791"/>
        <v>0</v>
      </c>
      <c r="U3628" s="193">
        <f ca="1">OFFSET('Expenditure Study'!$B$7,'Operations Support'!$C3628,'Operations Support'!$B3628)*$G3628</f>
        <v>0</v>
      </c>
      <c r="V3628" s="199">
        <f ca="1">U3628*'Expenditure Study'!$B$31</f>
        <v>0</v>
      </c>
      <c r="W3628" s="199">
        <f ca="1">IF(A3628=10298,1.51,1)*IF($B3628&lt;3,$D3628*'Expenditure Study'!$B$32*OFFSET('Expenditure Study'!$B$7,'Operations Support'!$C3628,'Operations Support'!$B3628),0)</f>
        <v>0</v>
      </c>
      <c r="X3628" s="200">
        <f ca="1">W3628*'Expenditure Study'!$B$31</f>
        <v>0</v>
      </c>
      <c r="Y3628" s="199">
        <f ca="1">U3628*'Expenditure Study'!$B$31</f>
        <v>0</v>
      </c>
      <c r="Z3628" s="200">
        <f ca="1">W3628*'Expenditure Study'!$B$31</f>
        <v>0</v>
      </c>
      <c r="AA3628" s="195">
        <f t="shared" ca="1" si="792"/>
        <v>0</v>
      </c>
      <c r="AB3628" s="195">
        <f t="shared" ca="1" si="793"/>
        <v>0</v>
      </c>
      <c r="AD3628" s="196">
        <f>IFERROR($G3628/SUMIF($A:$A,$A3628,$G:$G)*SUMIF(Summary!$A$166:$A$242,$A3628,Summary!$P$166:$P$242),0)</f>
        <v>0</v>
      </c>
      <c r="AE3628" s="197">
        <f t="shared" ca="1" si="794"/>
        <v>0</v>
      </c>
      <c r="AF3628" s="196">
        <f>IFERROR(G3628/SUMIF(A:A,A3628,G:G)*SUMIF(Summary!$A$166:$A$242,'Operations Support'!A3628,Summary!$Q$166:$Q$242),0)</f>
        <v>0</v>
      </c>
      <c r="AG3628" s="196">
        <f t="shared" ca="1" si="795"/>
        <v>0</v>
      </c>
      <c r="AI3628" s="196">
        <f>IFERROR($G3628/SUMIF($A:$A,$A3628,$G:$G)*SUMIF(Summary!$A$247:$A$283,$A3628,Summary!$P$247:$P$283),0)</f>
        <v>0</v>
      </c>
      <c r="AJ3628" s="196">
        <f>IFERROR($G3628/SUMIF($A:$A,$A3628,$G:$G)*(SUMIF(Summary!$A$247:$A$283,$A3628,Summary!$L$247:$L$283)+SUMIF(Summary!$A$297:$A$333,$A3628,Summary!$L$297:$L$333))-AI3628,0)</f>
        <v>0</v>
      </c>
      <c r="AK3628" s="196">
        <f>IFERROR($G3628/SUMIF($A:$A,$A3628,$G:$G)*SUMIF(Summary!$A$247:$A$283,$A3628,Summary!$Q$247:$Q$283),0)</f>
        <v>0</v>
      </c>
      <c r="AL3628" s="196">
        <f>IFERROR($G3628/SUMIF($A:$A,$A3628,$G:$G)*(SUMIF(Summary!$A$247:$A$283,$A3628,Summary!$L$247:$L$283)+SUMIF(Summary!$A$297:$A$333,$A3628,Summary!$L$297:$L$333))-AK3628,0)</f>
        <v>0</v>
      </c>
      <c r="AM3628" s="198"/>
      <c r="AN3628" s="196">
        <f t="shared" ca="1" si="796"/>
        <v>0</v>
      </c>
      <c r="AO3628" s="196">
        <f t="shared" ca="1" si="797"/>
        <v>0</v>
      </c>
    </row>
    <row r="3629" spans="1:41">
      <c r="A3629" s="189">
        <v>42295</v>
      </c>
      <c r="B3629" s="190">
        <v>3</v>
      </c>
      <c r="C3629" s="191" t="s">
        <v>232</v>
      </c>
      <c r="D3629" s="192">
        <f t="shared" si="784"/>
        <v>0</v>
      </c>
      <c r="E3629" s="192">
        <f t="shared" si="785"/>
        <v>0</v>
      </c>
      <c r="F3629" s="192">
        <f t="shared" si="786"/>
        <v>0</v>
      </c>
      <c r="G3629" s="193">
        <f t="shared" si="787"/>
        <v>0</v>
      </c>
      <c r="H3629" s="194">
        <v>0</v>
      </c>
      <c r="I3629" s="194">
        <v>0</v>
      </c>
      <c r="J3629" s="194">
        <v>0</v>
      </c>
      <c r="K3629" s="193">
        <f t="shared" si="788"/>
        <v>0</v>
      </c>
      <c r="L3629" s="194">
        <v>0</v>
      </c>
      <c r="M3629" s="194">
        <v>0</v>
      </c>
      <c r="N3629" s="194">
        <v>0</v>
      </c>
      <c r="O3629" s="193">
        <f t="shared" si="789"/>
        <v>0</v>
      </c>
      <c r="P3629" s="194">
        <v>0</v>
      </c>
      <c r="Q3629" s="194">
        <v>0</v>
      </c>
      <c r="R3629" s="194">
        <v>0</v>
      </c>
      <c r="S3629" s="193">
        <f t="shared" si="790"/>
        <v>0</v>
      </c>
      <c r="T3629" s="193">
        <f t="shared" si="791"/>
        <v>0</v>
      </c>
      <c r="U3629" s="193">
        <f ca="1">OFFSET('Expenditure Study'!$B$7,'Operations Support'!$C3629,'Operations Support'!$B3629)*$G3629</f>
        <v>0</v>
      </c>
      <c r="V3629" s="199">
        <f ca="1">U3629*'Expenditure Study'!$B$31</f>
        <v>0</v>
      </c>
      <c r="W3629" s="199">
        <f ca="1">IF(A3629=10298,1.51,1)*IF($B3629&lt;3,$D3629*'Expenditure Study'!$B$32*OFFSET('Expenditure Study'!$B$7,'Operations Support'!$C3629,'Operations Support'!$B3629),0)</f>
        <v>0</v>
      </c>
      <c r="X3629" s="200">
        <f ca="1">W3629*'Expenditure Study'!$B$31</f>
        <v>0</v>
      </c>
      <c r="Y3629" s="199">
        <f ca="1">U3629*'Expenditure Study'!$B$31</f>
        <v>0</v>
      </c>
      <c r="Z3629" s="200">
        <f ca="1">W3629*'Expenditure Study'!$B$31</f>
        <v>0</v>
      </c>
      <c r="AA3629" s="195">
        <f t="shared" ca="1" si="792"/>
        <v>0</v>
      </c>
      <c r="AB3629" s="195">
        <f t="shared" ca="1" si="793"/>
        <v>0</v>
      </c>
      <c r="AD3629" s="196">
        <f>IFERROR($G3629/SUMIF($A:$A,$A3629,$G:$G)*SUMIF(Summary!$A$166:$A$242,$A3629,Summary!$P$166:$P$242),0)</f>
        <v>0</v>
      </c>
      <c r="AE3629" s="197">
        <f t="shared" ca="1" si="794"/>
        <v>0</v>
      </c>
      <c r="AF3629" s="196">
        <f>IFERROR(G3629/SUMIF(A:A,A3629,G:G)*SUMIF(Summary!$A$166:$A$242,'Operations Support'!A3629,Summary!$Q$166:$Q$242),0)</f>
        <v>0</v>
      </c>
      <c r="AG3629" s="196">
        <f t="shared" ca="1" si="795"/>
        <v>0</v>
      </c>
      <c r="AI3629" s="196">
        <f>IFERROR($G3629/SUMIF($A:$A,$A3629,$G:$G)*SUMIF(Summary!$A$247:$A$283,$A3629,Summary!$P$247:$P$283),0)</f>
        <v>0</v>
      </c>
      <c r="AJ3629" s="196">
        <f>IFERROR($G3629/SUMIF($A:$A,$A3629,$G:$G)*(SUMIF(Summary!$A$247:$A$283,$A3629,Summary!$L$247:$L$283)+SUMIF(Summary!$A$297:$A$333,$A3629,Summary!$L$297:$L$333))-AI3629,0)</f>
        <v>0</v>
      </c>
      <c r="AK3629" s="196">
        <f>IFERROR($G3629/SUMIF($A:$A,$A3629,$G:$G)*SUMIF(Summary!$A$247:$A$283,$A3629,Summary!$Q$247:$Q$283),0)</f>
        <v>0</v>
      </c>
      <c r="AL3629" s="196">
        <f>IFERROR($G3629/SUMIF($A:$A,$A3629,$G:$G)*(SUMIF(Summary!$A$247:$A$283,$A3629,Summary!$L$247:$L$283)+SUMIF(Summary!$A$297:$A$333,$A3629,Summary!$L$297:$L$333))-AK3629,0)</f>
        <v>0</v>
      </c>
      <c r="AM3629" s="198"/>
      <c r="AN3629" s="196">
        <f t="shared" ca="1" si="796"/>
        <v>0</v>
      </c>
      <c r="AO3629" s="196">
        <f t="shared" ca="1" si="797"/>
        <v>0</v>
      </c>
    </row>
    <row r="3630" spans="1:41">
      <c r="A3630" s="189">
        <v>42295</v>
      </c>
      <c r="B3630" s="190">
        <v>3</v>
      </c>
      <c r="C3630" s="191" t="s">
        <v>233</v>
      </c>
      <c r="D3630" s="192">
        <f t="shared" si="784"/>
        <v>477</v>
      </c>
      <c r="E3630" s="192">
        <f t="shared" si="785"/>
        <v>369</v>
      </c>
      <c r="F3630" s="192">
        <f t="shared" si="786"/>
        <v>0</v>
      </c>
      <c r="G3630" s="193">
        <f t="shared" si="787"/>
        <v>846</v>
      </c>
      <c r="H3630" s="194">
        <v>147</v>
      </c>
      <c r="I3630" s="194">
        <v>213</v>
      </c>
      <c r="J3630" s="194">
        <v>0</v>
      </c>
      <c r="K3630" s="193">
        <f t="shared" si="788"/>
        <v>360</v>
      </c>
      <c r="L3630" s="194">
        <v>183</v>
      </c>
      <c r="M3630" s="194">
        <v>72</v>
      </c>
      <c r="N3630" s="194">
        <v>0</v>
      </c>
      <c r="O3630" s="193">
        <f t="shared" si="789"/>
        <v>255</v>
      </c>
      <c r="P3630" s="194">
        <v>147</v>
      </c>
      <c r="Q3630" s="194">
        <v>84</v>
      </c>
      <c r="R3630" s="194">
        <v>0</v>
      </c>
      <c r="S3630" s="193">
        <f t="shared" si="790"/>
        <v>231</v>
      </c>
      <c r="T3630" s="193">
        <f t="shared" si="791"/>
        <v>35.25</v>
      </c>
      <c r="U3630" s="193">
        <f ca="1">OFFSET('Expenditure Study'!$B$7,'Operations Support'!$C3630,'Operations Support'!$B3630)*$G3630</f>
        <v>2216.52</v>
      </c>
      <c r="V3630" s="199">
        <f ca="1">U3630*'Expenditure Study'!$B$31</f>
        <v>130959.05190681601</v>
      </c>
      <c r="W3630" s="199">
        <f ca="1">IF(A3630=10298,1.51,1)*IF($B3630&lt;3,$D3630*'Expenditure Study'!$B$32*OFFSET('Expenditure Study'!$B$7,'Operations Support'!$C3630,'Operations Support'!$B3630),0)</f>
        <v>0</v>
      </c>
      <c r="X3630" s="200">
        <f ca="1">W3630*'Expenditure Study'!$B$31</f>
        <v>0</v>
      </c>
      <c r="Y3630" s="199">
        <f ca="1">U3630*'Expenditure Study'!$B$31</f>
        <v>130959.05190681601</v>
      </c>
      <c r="Z3630" s="200">
        <f ca="1">W3630*'Expenditure Study'!$B$31</f>
        <v>0</v>
      </c>
      <c r="AA3630" s="195">
        <f t="shared" ca="1" si="792"/>
        <v>130959.05190681601</v>
      </c>
      <c r="AB3630" s="195">
        <f t="shared" ca="1" si="793"/>
        <v>130959.05190681601</v>
      </c>
      <c r="AD3630" s="196">
        <f>IFERROR($G3630/SUMIF($A:$A,$A3630,$G:$G)*SUMIF(Summary!$A$166:$A$242,$A3630,Summary!$P$166:$P$242),0)</f>
        <v>22029.286497176759</v>
      </c>
      <c r="AE3630" s="197">
        <f t="shared" ca="1" si="794"/>
        <v>108929.76540963925</v>
      </c>
      <c r="AF3630" s="196">
        <f>IFERROR(G3630/SUMIF(A:A,A3630,G:G)*SUMIF(Summary!$A$166:$A$242,'Operations Support'!A3630,Summary!$Q$166:$Q$242),0)</f>
        <v>22066.731187407928</v>
      </c>
      <c r="AG3630" s="196">
        <f t="shared" ca="1" si="795"/>
        <v>108892.32071940808</v>
      </c>
      <c r="AI3630" s="196">
        <f>IFERROR($G3630/SUMIF($A:$A,$A3630,$G:$G)*SUMIF(Summary!$A$247:$A$283,$A3630,Summary!$P$247:$P$283),0)</f>
        <v>4017.5921223683813</v>
      </c>
      <c r="AJ3630" s="196">
        <f>IFERROR($G3630/SUMIF($A:$A,$A3630,$G:$G)*(SUMIF(Summary!$A$247:$A$283,$A3630,Summary!$L$247:$L$283)+SUMIF(Summary!$A$297:$A$333,$A3630,Summary!$L$297:$L$333))-AI3630,0)</f>
        <v>39599.407101363991</v>
      </c>
      <c r="AK3630" s="196">
        <f>IFERROR($G3630/SUMIF($A:$A,$A3630,$G:$G)*SUMIF(Summary!$A$247:$A$283,$A3630,Summary!$Q$247:$Q$283),0)</f>
        <v>4024.4210994447176</v>
      </c>
      <c r="AL3630" s="196">
        <f>IFERROR($G3630/SUMIF($A:$A,$A3630,$G:$G)*(SUMIF(Summary!$A$247:$A$283,$A3630,Summary!$L$247:$L$283)+SUMIF(Summary!$A$297:$A$333,$A3630,Summary!$L$297:$L$333))-AK3630,0)</f>
        <v>39592.578124287655</v>
      </c>
      <c r="AM3630" s="198"/>
      <c r="AN3630" s="196">
        <f t="shared" ca="1" si="796"/>
        <v>148529.17251100324</v>
      </c>
      <c r="AO3630" s="196">
        <f t="shared" ca="1" si="797"/>
        <v>148484.89884369573</v>
      </c>
    </row>
    <row r="3631" spans="1:41">
      <c r="A3631" s="189">
        <v>42295</v>
      </c>
      <c r="B3631" s="190">
        <v>3</v>
      </c>
      <c r="C3631" s="191" t="s">
        <v>234</v>
      </c>
      <c r="D3631" s="192">
        <f t="shared" si="784"/>
        <v>0</v>
      </c>
      <c r="E3631" s="192">
        <f t="shared" si="785"/>
        <v>0</v>
      </c>
      <c r="F3631" s="192">
        <f t="shared" si="786"/>
        <v>0</v>
      </c>
      <c r="G3631" s="193">
        <f t="shared" si="787"/>
        <v>0</v>
      </c>
      <c r="H3631" s="194">
        <v>0</v>
      </c>
      <c r="I3631" s="194">
        <v>0</v>
      </c>
      <c r="J3631" s="194">
        <v>0</v>
      </c>
      <c r="K3631" s="193">
        <f t="shared" si="788"/>
        <v>0</v>
      </c>
      <c r="L3631" s="194">
        <v>0</v>
      </c>
      <c r="M3631" s="194">
        <v>0</v>
      </c>
      <c r="N3631" s="194">
        <v>0</v>
      </c>
      <c r="O3631" s="193">
        <f t="shared" si="789"/>
        <v>0</v>
      </c>
      <c r="P3631" s="194">
        <v>0</v>
      </c>
      <c r="Q3631" s="194">
        <v>0</v>
      </c>
      <c r="R3631" s="194">
        <v>0</v>
      </c>
      <c r="S3631" s="193">
        <f t="shared" si="790"/>
        <v>0</v>
      </c>
      <c r="T3631" s="193">
        <f t="shared" si="791"/>
        <v>0</v>
      </c>
      <c r="U3631" s="193">
        <f ca="1">OFFSET('Expenditure Study'!$B$7,'Operations Support'!$C3631,'Operations Support'!$B3631)*$G3631</f>
        <v>0</v>
      </c>
      <c r="V3631" s="199">
        <f ca="1">U3631*'Expenditure Study'!$B$31</f>
        <v>0</v>
      </c>
      <c r="W3631" s="199">
        <f ca="1">IF(A3631=10298,1.51,1)*IF($B3631&lt;3,$D3631*'Expenditure Study'!$B$32*OFFSET('Expenditure Study'!$B$7,'Operations Support'!$C3631,'Operations Support'!$B3631),0)</f>
        <v>0</v>
      </c>
      <c r="X3631" s="200">
        <f ca="1">W3631*'Expenditure Study'!$B$31</f>
        <v>0</v>
      </c>
      <c r="Y3631" s="199">
        <f ca="1">U3631*'Expenditure Study'!$B$31</f>
        <v>0</v>
      </c>
      <c r="Z3631" s="200">
        <f ca="1">W3631*'Expenditure Study'!$B$31</f>
        <v>0</v>
      </c>
      <c r="AA3631" s="195">
        <f t="shared" ca="1" si="792"/>
        <v>0</v>
      </c>
      <c r="AB3631" s="195">
        <f t="shared" ca="1" si="793"/>
        <v>0</v>
      </c>
      <c r="AD3631" s="196">
        <f>IFERROR($G3631/SUMIF($A:$A,$A3631,$G:$G)*SUMIF(Summary!$A$166:$A$242,$A3631,Summary!$P$166:$P$242),0)</f>
        <v>0</v>
      </c>
      <c r="AE3631" s="197">
        <f t="shared" ca="1" si="794"/>
        <v>0</v>
      </c>
      <c r="AF3631" s="196">
        <f>IFERROR(G3631/SUMIF(A:A,A3631,G:G)*SUMIF(Summary!$A$166:$A$242,'Operations Support'!A3631,Summary!$Q$166:$Q$242),0)</f>
        <v>0</v>
      </c>
      <c r="AG3631" s="196">
        <f t="shared" ca="1" si="795"/>
        <v>0</v>
      </c>
      <c r="AI3631" s="196">
        <f>IFERROR($G3631/SUMIF($A:$A,$A3631,$G:$G)*SUMIF(Summary!$A$247:$A$283,$A3631,Summary!$P$247:$P$283),0)</f>
        <v>0</v>
      </c>
      <c r="AJ3631" s="196">
        <f>IFERROR($G3631/SUMIF($A:$A,$A3631,$G:$G)*(SUMIF(Summary!$A$247:$A$283,$A3631,Summary!$L$247:$L$283)+SUMIF(Summary!$A$297:$A$333,$A3631,Summary!$L$297:$L$333))-AI3631,0)</f>
        <v>0</v>
      </c>
      <c r="AK3631" s="196">
        <f>IFERROR($G3631/SUMIF($A:$A,$A3631,$G:$G)*SUMIF(Summary!$A$247:$A$283,$A3631,Summary!$Q$247:$Q$283),0)</f>
        <v>0</v>
      </c>
      <c r="AL3631" s="196">
        <f>IFERROR($G3631/SUMIF($A:$A,$A3631,$G:$G)*(SUMIF(Summary!$A$247:$A$283,$A3631,Summary!$L$247:$L$283)+SUMIF(Summary!$A$297:$A$333,$A3631,Summary!$L$297:$L$333))-AK3631,0)</f>
        <v>0</v>
      </c>
      <c r="AM3631" s="198"/>
      <c r="AN3631" s="196">
        <f t="shared" ca="1" si="796"/>
        <v>0</v>
      </c>
      <c r="AO3631" s="196">
        <f t="shared" ca="1" si="797"/>
        <v>0</v>
      </c>
    </row>
    <row r="3632" spans="1:41">
      <c r="A3632" s="189">
        <v>42295</v>
      </c>
      <c r="B3632" s="190">
        <v>3</v>
      </c>
      <c r="C3632" s="191" t="s">
        <v>235</v>
      </c>
      <c r="D3632" s="192">
        <f t="shared" si="784"/>
        <v>1440</v>
      </c>
      <c r="E3632" s="192">
        <f t="shared" si="785"/>
        <v>250</v>
      </c>
      <c r="F3632" s="192">
        <f t="shared" si="786"/>
        <v>0</v>
      </c>
      <c r="G3632" s="193">
        <f t="shared" si="787"/>
        <v>1690</v>
      </c>
      <c r="H3632" s="194">
        <v>885</v>
      </c>
      <c r="I3632" s="194">
        <v>42</v>
      </c>
      <c r="J3632" s="194">
        <v>0</v>
      </c>
      <c r="K3632" s="193">
        <f t="shared" si="788"/>
        <v>927</v>
      </c>
      <c r="L3632" s="194">
        <v>339</v>
      </c>
      <c r="M3632" s="194">
        <v>78</v>
      </c>
      <c r="N3632" s="194">
        <v>0</v>
      </c>
      <c r="O3632" s="193">
        <f t="shared" si="789"/>
        <v>417</v>
      </c>
      <c r="P3632" s="194">
        <v>216</v>
      </c>
      <c r="Q3632" s="194">
        <v>130</v>
      </c>
      <c r="R3632" s="194">
        <v>0</v>
      </c>
      <c r="S3632" s="193">
        <f t="shared" si="790"/>
        <v>346</v>
      </c>
      <c r="T3632" s="193">
        <f t="shared" si="791"/>
        <v>70.416666666666671</v>
      </c>
      <c r="U3632" s="193">
        <f ca="1">OFFSET('Expenditure Study'!$B$7,'Operations Support'!$C3632,'Operations Support'!$B3632)*$G3632</f>
        <v>5340.4000000000005</v>
      </c>
      <c r="V3632" s="199">
        <f ca="1">U3632*'Expenditure Study'!$B$31</f>
        <v>315527.81874432001</v>
      </c>
      <c r="W3632" s="199">
        <f ca="1">IF(A3632=10298,1.51,1)*IF($B3632&lt;3,$D3632*'Expenditure Study'!$B$32*OFFSET('Expenditure Study'!$B$7,'Operations Support'!$C3632,'Operations Support'!$B3632),0)</f>
        <v>0</v>
      </c>
      <c r="X3632" s="200">
        <f ca="1">W3632*'Expenditure Study'!$B$31</f>
        <v>0</v>
      </c>
      <c r="Y3632" s="199">
        <f ca="1">U3632*'Expenditure Study'!$B$31</f>
        <v>315527.81874432001</v>
      </c>
      <c r="Z3632" s="200">
        <f ca="1">W3632*'Expenditure Study'!$B$31</f>
        <v>0</v>
      </c>
      <c r="AA3632" s="195">
        <f t="shared" ca="1" si="792"/>
        <v>315527.81874432001</v>
      </c>
      <c r="AB3632" s="195">
        <f t="shared" ca="1" si="793"/>
        <v>315527.81874432001</v>
      </c>
      <c r="AD3632" s="196">
        <f>IFERROR($G3632/SUMIF($A:$A,$A3632,$G:$G)*SUMIF(Summary!$A$166:$A$242,$A3632,Summary!$P$166:$P$242),0)</f>
        <v>44006.494302870829</v>
      </c>
      <c r="AE3632" s="197">
        <f t="shared" ca="1" si="794"/>
        <v>271521.32444144919</v>
      </c>
      <c r="AF3632" s="196">
        <f>IFERROR(G3632/SUMIF(A:A,A3632,G:G)*SUMIF(Summary!$A$166:$A$242,'Operations Support'!A3632,Summary!$Q$166:$Q$242),0)</f>
        <v>44081.295161606853</v>
      </c>
      <c r="AG3632" s="196">
        <f t="shared" ca="1" si="795"/>
        <v>271446.52358271315</v>
      </c>
      <c r="AI3632" s="196">
        <f>IFERROR($G3632/SUMIF($A:$A,$A3632,$G:$G)*SUMIF(Summary!$A$247:$A$283,$A3632,Summary!$P$247:$P$283),0)</f>
        <v>8025.6863910195789</v>
      </c>
      <c r="AJ3632" s="196">
        <f>IFERROR($G3632/SUMIF($A:$A,$A3632,$G:$G)*(SUMIF(Summary!$A$247:$A$283,$A3632,Summary!$L$247:$L$283)+SUMIF(Summary!$A$297:$A$333,$A3632,Summary!$L$297:$L$333))-AI3632,0)</f>
        <v>79105.198583103018</v>
      </c>
      <c r="AK3632" s="196">
        <f>IFERROR($G3632/SUMIF($A:$A,$A3632,$G:$G)*SUMIF(Summary!$A$247:$A$283,$A3632,Summary!$Q$247:$Q$283),0)</f>
        <v>8039.3282010184075</v>
      </c>
      <c r="AL3632" s="196">
        <f>IFERROR($G3632/SUMIF($A:$A,$A3632,$G:$G)*(SUMIF(Summary!$A$247:$A$283,$A3632,Summary!$L$247:$L$283)+SUMIF(Summary!$A$297:$A$333,$A3632,Summary!$L$297:$L$333))-AK3632,0)</f>
        <v>79091.556773104196</v>
      </c>
      <c r="AM3632" s="198"/>
      <c r="AN3632" s="196">
        <f t="shared" ca="1" si="796"/>
        <v>350626.52302455221</v>
      </c>
      <c r="AO3632" s="196">
        <f t="shared" ca="1" si="797"/>
        <v>350538.08035581734</v>
      </c>
    </row>
    <row r="3633" spans="1:41">
      <c r="A3633" s="189">
        <v>42295</v>
      </c>
      <c r="B3633" s="190">
        <v>3</v>
      </c>
      <c r="C3633" s="191" t="s">
        <v>236</v>
      </c>
      <c r="D3633" s="192">
        <f t="shared" si="784"/>
        <v>0</v>
      </c>
      <c r="E3633" s="192">
        <f t="shared" si="785"/>
        <v>0</v>
      </c>
      <c r="F3633" s="192">
        <f t="shared" si="786"/>
        <v>0</v>
      </c>
      <c r="G3633" s="193">
        <f t="shared" si="787"/>
        <v>0</v>
      </c>
      <c r="H3633" s="194">
        <v>0</v>
      </c>
      <c r="I3633" s="194">
        <v>0</v>
      </c>
      <c r="J3633" s="194">
        <v>0</v>
      </c>
      <c r="K3633" s="193">
        <f t="shared" si="788"/>
        <v>0</v>
      </c>
      <c r="L3633" s="194">
        <v>0</v>
      </c>
      <c r="M3633" s="194">
        <v>0</v>
      </c>
      <c r="N3633" s="194">
        <v>0</v>
      </c>
      <c r="O3633" s="193">
        <f t="shared" si="789"/>
        <v>0</v>
      </c>
      <c r="P3633" s="194">
        <v>0</v>
      </c>
      <c r="Q3633" s="194">
        <v>0</v>
      </c>
      <c r="R3633" s="194">
        <v>0</v>
      </c>
      <c r="S3633" s="193">
        <f t="shared" si="790"/>
        <v>0</v>
      </c>
      <c r="T3633" s="193">
        <f t="shared" si="791"/>
        <v>0</v>
      </c>
      <c r="U3633" s="193">
        <f ca="1">OFFSET('Expenditure Study'!$B$7,'Operations Support'!$C3633,'Operations Support'!$B3633)*$G3633</f>
        <v>0</v>
      </c>
      <c r="V3633" s="199">
        <f ca="1">U3633*'Expenditure Study'!$B$31</f>
        <v>0</v>
      </c>
      <c r="W3633" s="199">
        <f ca="1">IF(A3633=10298,1.51,1)*IF($B3633&lt;3,$D3633*'Expenditure Study'!$B$32*OFFSET('Expenditure Study'!$B$7,'Operations Support'!$C3633,'Operations Support'!$B3633),0)</f>
        <v>0</v>
      </c>
      <c r="X3633" s="200">
        <f ca="1">W3633*'Expenditure Study'!$B$31</f>
        <v>0</v>
      </c>
      <c r="Y3633" s="199">
        <f ca="1">U3633*'Expenditure Study'!$B$31</f>
        <v>0</v>
      </c>
      <c r="Z3633" s="200">
        <f ca="1">W3633*'Expenditure Study'!$B$31</f>
        <v>0</v>
      </c>
      <c r="AA3633" s="195">
        <f t="shared" ca="1" si="792"/>
        <v>0</v>
      </c>
      <c r="AB3633" s="195">
        <f t="shared" ca="1" si="793"/>
        <v>0</v>
      </c>
      <c r="AD3633" s="196">
        <f>IFERROR($G3633/SUMIF($A:$A,$A3633,$G:$G)*SUMIF(Summary!$A$166:$A$242,$A3633,Summary!$P$166:$P$242),0)</f>
        <v>0</v>
      </c>
      <c r="AE3633" s="197">
        <f t="shared" ca="1" si="794"/>
        <v>0</v>
      </c>
      <c r="AF3633" s="196">
        <f>IFERROR(G3633/SUMIF(A:A,A3633,G:G)*SUMIF(Summary!$A$166:$A$242,'Operations Support'!A3633,Summary!$Q$166:$Q$242),0)</f>
        <v>0</v>
      </c>
      <c r="AG3633" s="196">
        <f t="shared" ca="1" si="795"/>
        <v>0</v>
      </c>
      <c r="AI3633" s="196">
        <f>IFERROR($G3633/SUMIF($A:$A,$A3633,$G:$G)*SUMIF(Summary!$A$247:$A$283,$A3633,Summary!$P$247:$P$283),0)</f>
        <v>0</v>
      </c>
      <c r="AJ3633" s="196">
        <f>IFERROR($G3633/SUMIF($A:$A,$A3633,$G:$G)*(SUMIF(Summary!$A$247:$A$283,$A3633,Summary!$L$247:$L$283)+SUMIF(Summary!$A$297:$A$333,$A3633,Summary!$L$297:$L$333))-AI3633,0)</f>
        <v>0</v>
      </c>
      <c r="AK3633" s="196">
        <f>IFERROR($G3633/SUMIF($A:$A,$A3633,$G:$G)*SUMIF(Summary!$A$247:$A$283,$A3633,Summary!$Q$247:$Q$283),0)</f>
        <v>0</v>
      </c>
      <c r="AL3633" s="196">
        <f>IFERROR($G3633/SUMIF($A:$A,$A3633,$G:$G)*(SUMIF(Summary!$A$247:$A$283,$A3633,Summary!$L$247:$L$283)+SUMIF(Summary!$A$297:$A$333,$A3633,Summary!$L$297:$L$333))-AK3633,0)</f>
        <v>0</v>
      </c>
      <c r="AM3633" s="198"/>
      <c r="AN3633" s="196">
        <f t="shared" ca="1" si="796"/>
        <v>0</v>
      </c>
      <c r="AO3633" s="196">
        <f t="shared" ca="1" si="797"/>
        <v>0</v>
      </c>
    </row>
    <row r="3634" spans="1:41">
      <c r="A3634" s="189">
        <v>42295</v>
      </c>
      <c r="B3634" s="190">
        <v>3</v>
      </c>
      <c r="C3634" s="191" t="s">
        <v>237</v>
      </c>
      <c r="D3634" s="192">
        <f t="shared" si="784"/>
        <v>0</v>
      </c>
      <c r="E3634" s="192">
        <f t="shared" si="785"/>
        <v>0</v>
      </c>
      <c r="F3634" s="192">
        <f t="shared" si="786"/>
        <v>0</v>
      </c>
      <c r="G3634" s="193">
        <f t="shared" si="787"/>
        <v>0</v>
      </c>
      <c r="H3634" s="194">
        <v>0</v>
      </c>
      <c r="I3634" s="194">
        <v>0</v>
      </c>
      <c r="J3634" s="194">
        <v>0</v>
      </c>
      <c r="K3634" s="193">
        <f t="shared" si="788"/>
        <v>0</v>
      </c>
      <c r="L3634" s="194">
        <v>0</v>
      </c>
      <c r="M3634" s="194">
        <v>0</v>
      </c>
      <c r="N3634" s="194">
        <v>0</v>
      </c>
      <c r="O3634" s="193">
        <f t="shared" si="789"/>
        <v>0</v>
      </c>
      <c r="P3634" s="194">
        <v>0</v>
      </c>
      <c r="Q3634" s="194">
        <v>0</v>
      </c>
      <c r="R3634" s="194">
        <v>0</v>
      </c>
      <c r="S3634" s="193">
        <f t="shared" si="790"/>
        <v>0</v>
      </c>
      <c r="T3634" s="193">
        <f t="shared" si="791"/>
        <v>0</v>
      </c>
      <c r="U3634" s="193">
        <f ca="1">OFFSET('Expenditure Study'!$B$7,'Operations Support'!$C3634,'Operations Support'!$B3634)*$G3634</f>
        <v>0</v>
      </c>
      <c r="V3634" s="199">
        <f ca="1">U3634*'Expenditure Study'!$B$31</f>
        <v>0</v>
      </c>
      <c r="W3634" s="199">
        <f ca="1">IF(A3634=10298,1.51,1)*IF($B3634&lt;3,$D3634*'Expenditure Study'!$B$32*OFFSET('Expenditure Study'!$B$7,'Operations Support'!$C3634,'Operations Support'!$B3634),0)</f>
        <v>0</v>
      </c>
      <c r="X3634" s="200">
        <f ca="1">W3634*'Expenditure Study'!$B$31</f>
        <v>0</v>
      </c>
      <c r="Y3634" s="199">
        <f ca="1">U3634*'Expenditure Study'!$B$31</f>
        <v>0</v>
      </c>
      <c r="Z3634" s="200">
        <f ca="1">W3634*'Expenditure Study'!$B$31</f>
        <v>0</v>
      </c>
      <c r="AA3634" s="195">
        <f t="shared" ca="1" si="792"/>
        <v>0</v>
      </c>
      <c r="AB3634" s="195">
        <f t="shared" ca="1" si="793"/>
        <v>0</v>
      </c>
      <c r="AD3634" s="196">
        <f>IFERROR($G3634/SUMIF($A:$A,$A3634,$G:$G)*SUMIF(Summary!$A$166:$A$242,$A3634,Summary!$P$166:$P$242),0)</f>
        <v>0</v>
      </c>
      <c r="AE3634" s="197">
        <f t="shared" ca="1" si="794"/>
        <v>0</v>
      </c>
      <c r="AF3634" s="196">
        <f>IFERROR(G3634/SUMIF(A:A,A3634,G:G)*SUMIF(Summary!$A$166:$A$242,'Operations Support'!A3634,Summary!$Q$166:$Q$242),0)</f>
        <v>0</v>
      </c>
      <c r="AG3634" s="196">
        <f t="shared" ca="1" si="795"/>
        <v>0</v>
      </c>
      <c r="AI3634" s="196">
        <f>IFERROR($G3634/SUMIF($A:$A,$A3634,$G:$G)*SUMIF(Summary!$A$247:$A$283,$A3634,Summary!$P$247:$P$283),0)</f>
        <v>0</v>
      </c>
      <c r="AJ3634" s="196">
        <f>IFERROR($G3634/SUMIF($A:$A,$A3634,$G:$G)*(SUMIF(Summary!$A$247:$A$283,$A3634,Summary!$L$247:$L$283)+SUMIF(Summary!$A$297:$A$333,$A3634,Summary!$L$297:$L$333))-AI3634,0)</f>
        <v>0</v>
      </c>
      <c r="AK3634" s="196">
        <f>IFERROR($G3634/SUMIF($A:$A,$A3634,$G:$G)*SUMIF(Summary!$A$247:$A$283,$A3634,Summary!$Q$247:$Q$283),0)</f>
        <v>0</v>
      </c>
      <c r="AL3634" s="196">
        <f>IFERROR($G3634/SUMIF($A:$A,$A3634,$G:$G)*(SUMIF(Summary!$A$247:$A$283,$A3634,Summary!$L$247:$L$283)+SUMIF(Summary!$A$297:$A$333,$A3634,Summary!$L$297:$L$333))-AK3634,0)</f>
        <v>0</v>
      </c>
      <c r="AM3634" s="198"/>
      <c r="AN3634" s="196">
        <f t="shared" ca="1" si="796"/>
        <v>0</v>
      </c>
      <c r="AO3634" s="196">
        <f t="shared" ca="1" si="797"/>
        <v>0</v>
      </c>
    </row>
    <row r="3635" spans="1:41">
      <c r="A3635" s="189">
        <v>42295</v>
      </c>
      <c r="B3635" s="190">
        <v>3</v>
      </c>
      <c r="C3635" s="191" t="s">
        <v>238</v>
      </c>
      <c r="D3635" s="192">
        <f t="shared" si="784"/>
        <v>21</v>
      </c>
      <c r="E3635" s="192">
        <f t="shared" si="785"/>
        <v>51</v>
      </c>
      <c r="F3635" s="192">
        <f t="shared" si="786"/>
        <v>0</v>
      </c>
      <c r="G3635" s="193">
        <f t="shared" si="787"/>
        <v>72</v>
      </c>
      <c r="H3635" s="194">
        <v>9</v>
      </c>
      <c r="I3635" s="194">
        <v>45</v>
      </c>
      <c r="J3635" s="194">
        <v>0</v>
      </c>
      <c r="K3635" s="193">
        <f t="shared" si="788"/>
        <v>54</v>
      </c>
      <c r="L3635" s="194">
        <v>0</v>
      </c>
      <c r="M3635" s="194">
        <v>6</v>
      </c>
      <c r="N3635" s="194">
        <v>0</v>
      </c>
      <c r="O3635" s="193">
        <f t="shared" si="789"/>
        <v>6</v>
      </c>
      <c r="P3635" s="194">
        <v>12</v>
      </c>
      <c r="Q3635" s="194">
        <v>0</v>
      </c>
      <c r="R3635" s="194">
        <v>0</v>
      </c>
      <c r="S3635" s="193">
        <f t="shared" si="790"/>
        <v>12</v>
      </c>
      <c r="T3635" s="193">
        <f t="shared" si="791"/>
        <v>3</v>
      </c>
      <c r="U3635" s="193">
        <f ca="1">OFFSET('Expenditure Study'!$B$7,'Operations Support'!$C3635,'Operations Support'!$B3635)*$G3635</f>
        <v>420.48</v>
      </c>
      <c r="V3635" s="199">
        <f ca="1">U3635*'Expenditure Study'!$B$31</f>
        <v>24843.295862784002</v>
      </c>
      <c r="W3635" s="199">
        <f ca="1">IF(A3635=10298,1.51,1)*IF($B3635&lt;3,$D3635*'Expenditure Study'!$B$32*OFFSET('Expenditure Study'!$B$7,'Operations Support'!$C3635,'Operations Support'!$B3635),0)</f>
        <v>0</v>
      </c>
      <c r="X3635" s="200">
        <f ca="1">W3635*'Expenditure Study'!$B$31</f>
        <v>0</v>
      </c>
      <c r="Y3635" s="199">
        <f ca="1">U3635*'Expenditure Study'!$B$31</f>
        <v>24843.295862784002</v>
      </c>
      <c r="Z3635" s="200">
        <f ca="1">W3635*'Expenditure Study'!$B$31</f>
        <v>0</v>
      </c>
      <c r="AA3635" s="195">
        <f t="shared" ca="1" si="792"/>
        <v>24843.295862784002</v>
      </c>
      <c r="AB3635" s="195">
        <f t="shared" ca="1" si="793"/>
        <v>24843.295862784002</v>
      </c>
      <c r="AD3635" s="196">
        <f>IFERROR($G3635/SUMIF($A:$A,$A3635,$G:$G)*SUMIF(Summary!$A$166:$A$242,$A3635,Summary!$P$166:$P$242),0)</f>
        <v>1874.8328933767455</v>
      </c>
      <c r="AE3635" s="197">
        <f t="shared" ca="1" si="794"/>
        <v>22968.462969407257</v>
      </c>
      <c r="AF3635" s="196">
        <f>IFERROR(G3635/SUMIF(A:A,A3635,G:G)*SUMIF(Summary!$A$166:$A$242,'Operations Support'!A3635,Summary!$Q$166:$Q$242),0)</f>
        <v>1878.019675524079</v>
      </c>
      <c r="AG3635" s="196">
        <f t="shared" ca="1" si="795"/>
        <v>22965.276187259922</v>
      </c>
      <c r="AI3635" s="196">
        <f>IFERROR($G3635/SUMIF($A:$A,$A3635,$G:$G)*SUMIF(Summary!$A$247:$A$283,$A3635,Summary!$P$247:$P$283),0)</f>
        <v>341.92273381858564</v>
      </c>
      <c r="AJ3635" s="196">
        <f>IFERROR($G3635/SUMIF($A:$A,$A3635,$G:$G)*(SUMIF(Summary!$A$247:$A$283,$A3635,Summary!$L$247:$L$283)+SUMIF(Summary!$A$297:$A$333,$A3635,Summary!$L$297:$L$333))-AI3635,0)</f>
        <v>3370.1623064990636</v>
      </c>
      <c r="AK3635" s="196">
        <f>IFERROR($G3635/SUMIF($A:$A,$A3635,$G:$G)*SUMIF(Summary!$A$247:$A$283,$A3635,Summary!$Q$247:$Q$283),0)</f>
        <v>342.50392335699723</v>
      </c>
      <c r="AL3635" s="196">
        <f>IFERROR($G3635/SUMIF($A:$A,$A3635,$G:$G)*(SUMIF(Summary!$A$247:$A$283,$A3635,Summary!$L$247:$L$283)+SUMIF(Summary!$A$297:$A$333,$A3635,Summary!$L$297:$L$333))-AK3635,0)</f>
        <v>3369.5811169606518</v>
      </c>
      <c r="AM3635" s="198"/>
      <c r="AN3635" s="196">
        <f t="shared" ca="1" si="796"/>
        <v>26338.625275906321</v>
      </c>
      <c r="AO3635" s="196">
        <f t="shared" ca="1" si="797"/>
        <v>26334.857304220575</v>
      </c>
    </row>
    <row r="3636" spans="1:41">
      <c r="A3636" s="189">
        <v>42295</v>
      </c>
      <c r="B3636" s="190">
        <v>3</v>
      </c>
      <c r="C3636" s="191" t="s">
        <v>239</v>
      </c>
      <c r="D3636" s="192">
        <f t="shared" si="784"/>
        <v>0</v>
      </c>
      <c r="E3636" s="192">
        <f t="shared" si="785"/>
        <v>0</v>
      </c>
      <c r="F3636" s="192">
        <f t="shared" si="786"/>
        <v>0</v>
      </c>
      <c r="G3636" s="193">
        <f t="shared" si="787"/>
        <v>0</v>
      </c>
      <c r="H3636" s="194">
        <v>0</v>
      </c>
      <c r="I3636" s="194">
        <v>0</v>
      </c>
      <c r="J3636" s="194">
        <v>0</v>
      </c>
      <c r="K3636" s="193">
        <f t="shared" si="788"/>
        <v>0</v>
      </c>
      <c r="L3636" s="194">
        <v>0</v>
      </c>
      <c r="M3636" s="194">
        <v>0</v>
      </c>
      <c r="N3636" s="194">
        <v>0</v>
      </c>
      <c r="O3636" s="193">
        <f t="shared" si="789"/>
        <v>0</v>
      </c>
      <c r="P3636" s="194">
        <v>0</v>
      </c>
      <c r="Q3636" s="194">
        <v>0</v>
      </c>
      <c r="R3636" s="194">
        <v>0</v>
      </c>
      <c r="S3636" s="193">
        <f t="shared" si="790"/>
        <v>0</v>
      </c>
      <c r="T3636" s="193">
        <f t="shared" si="791"/>
        <v>0</v>
      </c>
      <c r="U3636" s="193">
        <f ca="1">OFFSET('Expenditure Study'!$B$7,'Operations Support'!$C3636,'Operations Support'!$B3636)*$G3636</f>
        <v>0</v>
      </c>
      <c r="V3636" s="199">
        <f ca="1">U3636*'Expenditure Study'!$B$31</f>
        <v>0</v>
      </c>
      <c r="W3636" s="199">
        <f ca="1">IF(A3636=10298,1.51,1)*IF($B3636&lt;3,$D3636*'Expenditure Study'!$B$32*OFFSET('Expenditure Study'!$B$7,'Operations Support'!$C3636,'Operations Support'!$B3636),0)</f>
        <v>0</v>
      </c>
      <c r="X3636" s="200">
        <f ca="1">W3636*'Expenditure Study'!$B$31</f>
        <v>0</v>
      </c>
      <c r="Y3636" s="199">
        <f ca="1">U3636*'Expenditure Study'!$B$31</f>
        <v>0</v>
      </c>
      <c r="Z3636" s="200">
        <f ca="1">W3636*'Expenditure Study'!$B$31</f>
        <v>0</v>
      </c>
      <c r="AA3636" s="195">
        <f t="shared" ca="1" si="792"/>
        <v>0</v>
      </c>
      <c r="AB3636" s="195">
        <f t="shared" ca="1" si="793"/>
        <v>0</v>
      </c>
      <c r="AD3636" s="196">
        <f>IFERROR($G3636/SUMIF($A:$A,$A3636,$G:$G)*SUMIF(Summary!$A$166:$A$242,$A3636,Summary!$P$166:$P$242),0)</f>
        <v>0</v>
      </c>
      <c r="AE3636" s="197">
        <f t="shared" ca="1" si="794"/>
        <v>0</v>
      </c>
      <c r="AF3636" s="196">
        <f>IFERROR(G3636/SUMIF(A:A,A3636,G:G)*SUMIF(Summary!$A$166:$A$242,'Operations Support'!A3636,Summary!$Q$166:$Q$242),0)</f>
        <v>0</v>
      </c>
      <c r="AG3636" s="196">
        <f t="shared" ca="1" si="795"/>
        <v>0</v>
      </c>
      <c r="AI3636" s="196">
        <f>IFERROR($G3636/SUMIF($A:$A,$A3636,$G:$G)*SUMIF(Summary!$A$247:$A$283,$A3636,Summary!$P$247:$P$283),0)</f>
        <v>0</v>
      </c>
      <c r="AJ3636" s="196">
        <f>IFERROR($G3636/SUMIF($A:$A,$A3636,$G:$G)*(SUMIF(Summary!$A$247:$A$283,$A3636,Summary!$L$247:$L$283)+SUMIF(Summary!$A$297:$A$333,$A3636,Summary!$L$297:$L$333))-AI3636,0)</f>
        <v>0</v>
      </c>
      <c r="AK3636" s="196">
        <f>IFERROR($G3636/SUMIF($A:$A,$A3636,$G:$G)*SUMIF(Summary!$A$247:$A$283,$A3636,Summary!$Q$247:$Q$283),0)</f>
        <v>0</v>
      </c>
      <c r="AL3636" s="196">
        <f>IFERROR($G3636/SUMIF($A:$A,$A3636,$G:$G)*(SUMIF(Summary!$A$247:$A$283,$A3636,Summary!$L$247:$L$283)+SUMIF(Summary!$A$297:$A$333,$A3636,Summary!$L$297:$L$333))-AK3636,0)</f>
        <v>0</v>
      </c>
      <c r="AM3636" s="198"/>
      <c r="AN3636" s="196">
        <f t="shared" ca="1" si="796"/>
        <v>0</v>
      </c>
      <c r="AO3636" s="196">
        <f t="shared" ca="1" si="797"/>
        <v>0</v>
      </c>
    </row>
    <row r="3637" spans="1:41">
      <c r="A3637" s="189">
        <v>42295</v>
      </c>
      <c r="B3637" s="190">
        <v>3</v>
      </c>
      <c r="C3637" s="191" t="s">
        <v>240</v>
      </c>
      <c r="D3637" s="192">
        <f t="shared" si="784"/>
        <v>0</v>
      </c>
      <c r="E3637" s="192">
        <f t="shared" si="785"/>
        <v>0</v>
      </c>
      <c r="F3637" s="192">
        <f t="shared" si="786"/>
        <v>0</v>
      </c>
      <c r="G3637" s="193">
        <f t="shared" si="787"/>
        <v>0</v>
      </c>
      <c r="H3637" s="194">
        <v>0</v>
      </c>
      <c r="I3637" s="194">
        <v>0</v>
      </c>
      <c r="J3637" s="194">
        <v>0</v>
      </c>
      <c r="K3637" s="193">
        <f t="shared" si="788"/>
        <v>0</v>
      </c>
      <c r="L3637" s="194">
        <v>0</v>
      </c>
      <c r="M3637" s="194">
        <v>0</v>
      </c>
      <c r="N3637" s="194">
        <v>0</v>
      </c>
      <c r="O3637" s="193">
        <f t="shared" si="789"/>
        <v>0</v>
      </c>
      <c r="P3637" s="194">
        <v>0</v>
      </c>
      <c r="Q3637" s="194">
        <v>0</v>
      </c>
      <c r="R3637" s="194">
        <v>0</v>
      </c>
      <c r="S3637" s="193">
        <f t="shared" si="790"/>
        <v>0</v>
      </c>
      <c r="T3637" s="193">
        <f t="shared" si="791"/>
        <v>0</v>
      </c>
      <c r="U3637" s="193">
        <f ca="1">OFFSET('Expenditure Study'!$B$7,'Operations Support'!$C3637,'Operations Support'!$B3637)*$G3637</f>
        <v>0</v>
      </c>
      <c r="V3637" s="199">
        <f ca="1">U3637*'Expenditure Study'!$B$31</f>
        <v>0</v>
      </c>
      <c r="W3637" s="199">
        <f ca="1">IF(A3637=10298,1.51,1)*IF($B3637&lt;3,$D3637*'Expenditure Study'!$B$32*OFFSET('Expenditure Study'!$B$7,'Operations Support'!$C3637,'Operations Support'!$B3637),0)</f>
        <v>0</v>
      </c>
      <c r="X3637" s="200">
        <f ca="1">W3637*'Expenditure Study'!$B$31</f>
        <v>0</v>
      </c>
      <c r="Y3637" s="199">
        <f ca="1">U3637*'Expenditure Study'!$B$31</f>
        <v>0</v>
      </c>
      <c r="Z3637" s="200">
        <f ca="1">W3637*'Expenditure Study'!$B$31</f>
        <v>0</v>
      </c>
      <c r="AA3637" s="195">
        <f t="shared" ca="1" si="792"/>
        <v>0</v>
      </c>
      <c r="AB3637" s="195">
        <f t="shared" ca="1" si="793"/>
        <v>0</v>
      </c>
      <c r="AD3637" s="196">
        <f>IFERROR($G3637/SUMIF($A:$A,$A3637,$G:$G)*SUMIF(Summary!$A$166:$A$242,$A3637,Summary!$P$166:$P$242),0)</f>
        <v>0</v>
      </c>
      <c r="AE3637" s="197">
        <f t="shared" ca="1" si="794"/>
        <v>0</v>
      </c>
      <c r="AF3637" s="196">
        <f>IFERROR(G3637/SUMIF(A:A,A3637,G:G)*SUMIF(Summary!$A$166:$A$242,'Operations Support'!A3637,Summary!$Q$166:$Q$242),0)</f>
        <v>0</v>
      </c>
      <c r="AG3637" s="196">
        <f t="shared" ca="1" si="795"/>
        <v>0</v>
      </c>
      <c r="AI3637" s="196">
        <f>IFERROR($G3637/SUMIF($A:$A,$A3637,$G:$G)*SUMIF(Summary!$A$247:$A$283,$A3637,Summary!$P$247:$P$283),0)</f>
        <v>0</v>
      </c>
      <c r="AJ3637" s="196">
        <f>IFERROR($G3637/SUMIF($A:$A,$A3637,$G:$G)*(SUMIF(Summary!$A$247:$A$283,$A3637,Summary!$L$247:$L$283)+SUMIF(Summary!$A$297:$A$333,$A3637,Summary!$L$297:$L$333))-AI3637,0)</f>
        <v>0</v>
      </c>
      <c r="AK3637" s="196">
        <f>IFERROR($G3637/SUMIF($A:$A,$A3637,$G:$G)*SUMIF(Summary!$A$247:$A$283,$A3637,Summary!$Q$247:$Q$283),0)</f>
        <v>0</v>
      </c>
      <c r="AL3637" s="196">
        <f>IFERROR($G3637/SUMIF($A:$A,$A3637,$G:$G)*(SUMIF(Summary!$A$247:$A$283,$A3637,Summary!$L$247:$L$283)+SUMIF(Summary!$A$297:$A$333,$A3637,Summary!$L$297:$L$333))-AK3637,0)</f>
        <v>0</v>
      </c>
      <c r="AM3637" s="198"/>
      <c r="AN3637" s="196">
        <f t="shared" ca="1" si="796"/>
        <v>0</v>
      </c>
      <c r="AO3637" s="196">
        <f t="shared" ca="1" si="797"/>
        <v>0</v>
      </c>
    </row>
    <row r="3638" spans="1:41">
      <c r="A3638" s="189">
        <v>42295</v>
      </c>
      <c r="B3638" s="190">
        <v>4</v>
      </c>
      <c r="C3638" s="191" t="s">
        <v>220</v>
      </c>
      <c r="D3638" s="192">
        <f t="shared" si="784"/>
        <v>0</v>
      </c>
      <c r="E3638" s="192">
        <f t="shared" si="785"/>
        <v>0</v>
      </c>
      <c r="F3638" s="192">
        <f t="shared" si="786"/>
        <v>0</v>
      </c>
      <c r="G3638" s="193">
        <f t="shared" si="787"/>
        <v>0</v>
      </c>
      <c r="H3638" s="194">
        <v>0</v>
      </c>
      <c r="I3638" s="194">
        <v>0</v>
      </c>
      <c r="J3638" s="194">
        <v>0</v>
      </c>
      <c r="K3638" s="193">
        <f t="shared" si="788"/>
        <v>0</v>
      </c>
      <c r="L3638" s="194">
        <v>0</v>
      </c>
      <c r="M3638" s="194">
        <v>0</v>
      </c>
      <c r="N3638" s="194">
        <v>0</v>
      </c>
      <c r="O3638" s="193">
        <f t="shared" si="789"/>
        <v>0</v>
      </c>
      <c r="P3638" s="194">
        <v>0</v>
      </c>
      <c r="Q3638" s="194">
        <v>0</v>
      </c>
      <c r="R3638" s="194">
        <v>0</v>
      </c>
      <c r="S3638" s="193">
        <f t="shared" si="790"/>
        <v>0</v>
      </c>
      <c r="T3638" s="193">
        <f t="shared" si="791"/>
        <v>0</v>
      </c>
      <c r="U3638" s="193">
        <f ca="1">OFFSET('Expenditure Study'!$B$7,'Operations Support'!$C3638,'Operations Support'!$B3638)*$G3638</f>
        <v>0</v>
      </c>
      <c r="V3638" s="199">
        <f ca="1">U3638*'Expenditure Study'!$B$31</f>
        <v>0</v>
      </c>
      <c r="W3638" s="199">
        <f ca="1">IF(A3638=10298,1.51,1)*IF($B3638&lt;3,$D3638*'Expenditure Study'!$B$32*OFFSET('Expenditure Study'!$B$7,'Operations Support'!$C3638,'Operations Support'!$B3638),0)</f>
        <v>0</v>
      </c>
      <c r="X3638" s="200">
        <f ca="1">W3638*'Expenditure Study'!$B$31</f>
        <v>0</v>
      </c>
      <c r="Y3638" s="199">
        <f ca="1">U3638*'Expenditure Study'!$B$31</f>
        <v>0</v>
      </c>
      <c r="Z3638" s="200">
        <f ca="1">W3638*'Expenditure Study'!$B$31</f>
        <v>0</v>
      </c>
      <c r="AA3638" s="195">
        <f t="shared" ca="1" si="792"/>
        <v>0</v>
      </c>
      <c r="AB3638" s="195">
        <f t="shared" ca="1" si="793"/>
        <v>0</v>
      </c>
      <c r="AD3638" s="196">
        <f>IFERROR($G3638/SUMIF($A:$A,$A3638,$G:$G)*SUMIF(Summary!$A$166:$A$242,$A3638,Summary!$P$166:$P$242),0)</f>
        <v>0</v>
      </c>
      <c r="AE3638" s="197">
        <f t="shared" ca="1" si="794"/>
        <v>0</v>
      </c>
      <c r="AF3638" s="196">
        <f>IFERROR(G3638/SUMIF(A:A,A3638,G:G)*SUMIF(Summary!$A$166:$A$242,'Operations Support'!A3638,Summary!$Q$166:$Q$242),0)</f>
        <v>0</v>
      </c>
      <c r="AG3638" s="196">
        <f t="shared" ca="1" si="795"/>
        <v>0</v>
      </c>
      <c r="AI3638" s="196">
        <f>IFERROR($G3638/SUMIF($A:$A,$A3638,$G:$G)*SUMIF(Summary!$A$247:$A$283,$A3638,Summary!$P$247:$P$283),0)</f>
        <v>0</v>
      </c>
      <c r="AJ3638" s="196">
        <f>IFERROR($G3638/SUMIF($A:$A,$A3638,$G:$G)*(SUMIF(Summary!$A$247:$A$283,$A3638,Summary!$L$247:$L$283)+SUMIF(Summary!$A$297:$A$333,$A3638,Summary!$L$297:$L$333))-AI3638,0)</f>
        <v>0</v>
      </c>
      <c r="AK3638" s="196">
        <f>IFERROR($G3638/SUMIF($A:$A,$A3638,$G:$G)*SUMIF(Summary!$A$247:$A$283,$A3638,Summary!$Q$247:$Q$283),0)</f>
        <v>0</v>
      </c>
      <c r="AL3638" s="196">
        <f>IFERROR($G3638/SUMIF($A:$A,$A3638,$G:$G)*(SUMIF(Summary!$A$247:$A$283,$A3638,Summary!$L$247:$L$283)+SUMIF(Summary!$A$297:$A$333,$A3638,Summary!$L$297:$L$333))-AK3638,0)</f>
        <v>0</v>
      </c>
      <c r="AM3638" s="198"/>
      <c r="AN3638" s="196">
        <f t="shared" ca="1" si="796"/>
        <v>0</v>
      </c>
      <c r="AO3638" s="196">
        <f t="shared" ca="1" si="797"/>
        <v>0</v>
      </c>
    </row>
    <row r="3639" spans="1:41">
      <c r="A3639" s="189">
        <v>42295</v>
      </c>
      <c r="B3639" s="190">
        <v>4</v>
      </c>
      <c r="C3639" s="191" t="s">
        <v>221</v>
      </c>
      <c r="D3639" s="192">
        <f t="shared" si="784"/>
        <v>0</v>
      </c>
      <c r="E3639" s="192">
        <f t="shared" si="785"/>
        <v>0</v>
      </c>
      <c r="F3639" s="192">
        <f t="shared" si="786"/>
        <v>0</v>
      </c>
      <c r="G3639" s="193">
        <f t="shared" si="787"/>
        <v>0</v>
      </c>
      <c r="H3639" s="194">
        <v>0</v>
      </c>
      <c r="I3639" s="194">
        <v>0</v>
      </c>
      <c r="J3639" s="194">
        <v>0</v>
      </c>
      <c r="K3639" s="193">
        <f t="shared" si="788"/>
        <v>0</v>
      </c>
      <c r="L3639" s="194">
        <v>0</v>
      </c>
      <c r="M3639" s="194">
        <v>0</v>
      </c>
      <c r="N3639" s="194">
        <v>0</v>
      </c>
      <c r="O3639" s="193">
        <f t="shared" si="789"/>
        <v>0</v>
      </c>
      <c r="P3639" s="194">
        <v>0</v>
      </c>
      <c r="Q3639" s="194">
        <v>0</v>
      </c>
      <c r="R3639" s="194">
        <v>0</v>
      </c>
      <c r="S3639" s="193">
        <f t="shared" si="790"/>
        <v>0</v>
      </c>
      <c r="T3639" s="193">
        <f t="shared" si="791"/>
        <v>0</v>
      </c>
      <c r="U3639" s="193">
        <f ca="1">OFFSET('Expenditure Study'!$B$7,'Operations Support'!$C3639,'Operations Support'!$B3639)*$G3639</f>
        <v>0</v>
      </c>
      <c r="V3639" s="199">
        <f ca="1">U3639*'Expenditure Study'!$B$31</f>
        <v>0</v>
      </c>
      <c r="W3639" s="199">
        <f ca="1">IF(A3639=10298,1.51,1)*IF($B3639&lt;3,$D3639*'Expenditure Study'!$B$32*OFFSET('Expenditure Study'!$B$7,'Operations Support'!$C3639,'Operations Support'!$B3639),0)</f>
        <v>0</v>
      </c>
      <c r="X3639" s="200">
        <f ca="1">W3639*'Expenditure Study'!$B$31</f>
        <v>0</v>
      </c>
      <c r="Y3639" s="199">
        <f ca="1">U3639*'Expenditure Study'!$B$31</f>
        <v>0</v>
      </c>
      <c r="Z3639" s="200">
        <f ca="1">W3639*'Expenditure Study'!$B$31</f>
        <v>0</v>
      </c>
      <c r="AA3639" s="195">
        <f t="shared" ca="1" si="792"/>
        <v>0</v>
      </c>
      <c r="AB3639" s="195">
        <f t="shared" ca="1" si="793"/>
        <v>0</v>
      </c>
      <c r="AD3639" s="196">
        <f>IFERROR($G3639/SUMIF($A:$A,$A3639,$G:$G)*SUMIF(Summary!$A$166:$A$242,$A3639,Summary!$P$166:$P$242),0)</f>
        <v>0</v>
      </c>
      <c r="AE3639" s="197">
        <f t="shared" ca="1" si="794"/>
        <v>0</v>
      </c>
      <c r="AF3639" s="196">
        <f>IFERROR(G3639/SUMIF(A:A,A3639,G:G)*SUMIF(Summary!$A$166:$A$242,'Operations Support'!A3639,Summary!$Q$166:$Q$242),0)</f>
        <v>0</v>
      </c>
      <c r="AG3639" s="196">
        <f t="shared" ca="1" si="795"/>
        <v>0</v>
      </c>
      <c r="AI3639" s="196">
        <f>IFERROR($G3639/SUMIF($A:$A,$A3639,$G:$G)*SUMIF(Summary!$A$247:$A$283,$A3639,Summary!$P$247:$P$283),0)</f>
        <v>0</v>
      </c>
      <c r="AJ3639" s="196">
        <f>IFERROR($G3639/SUMIF($A:$A,$A3639,$G:$G)*(SUMIF(Summary!$A$247:$A$283,$A3639,Summary!$L$247:$L$283)+SUMIF(Summary!$A$297:$A$333,$A3639,Summary!$L$297:$L$333))-AI3639,0)</f>
        <v>0</v>
      </c>
      <c r="AK3639" s="196">
        <f>IFERROR($G3639/SUMIF($A:$A,$A3639,$G:$G)*SUMIF(Summary!$A$247:$A$283,$A3639,Summary!$Q$247:$Q$283),0)</f>
        <v>0</v>
      </c>
      <c r="AL3639" s="196">
        <f>IFERROR($G3639/SUMIF($A:$A,$A3639,$G:$G)*(SUMIF(Summary!$A$247:$A$283,$A3639,Summary!$L$247:$L$283)+SUMIF(Summary!$A$297:$A$333,$A3639,Summary!$L$297:$L$333))-AK3639,0)</f>
        <v>0</v>
      </c>
      <c r="AM3639" s="198"/>
      <c r="AN3639" s="196">
        <f t="shared" ca="1" si="796"/>
        <v>0</v>
      </c>
      <c r="AO3639" s="196">
        <f t="shared" ca="1" si="797"/>
        <v>0</v>
      </c>
    </row>
    <row r="3640" spans="1:41">
      <c r="A3640" s="189">
        <v>42295</v>
      </c>
      <c r="B3640" s="190">
        <v>4</v>
      </c>
      <c r="C3640" s="191" t="s">
        <v>222</v>
      </c>
      <c r="D3640" s="192">
        <f t="shared" si="784"/>
        <v>0</v>
      </c>
      <c r="E3640" s="192">
        <f t="shared" si="785"/>
        <v>0</v>
      </c>
      <c r="F3640" s="192">
        <f t="shared" si="786"/>
        <v>0</v>
      </c>
      <c r="G3640" s="193">
        <f t="shared" si="787"/>
        <v>0</v>
      </c>
      <c r="H3640" s="194">
        <v>0</v>
      </c>
      <c r="I3640" s="194">
        <v>0</v>
      </c>
      <c r="J3640" s="194">
        <v>0</v>
      </c>
      <c r="K3640" s="193">
        <f t="shared" si="788"/>
        <v>0</v>
      </c>
      <c r="L3640" s="194">
        <v>0</v>
      </c>
      <c r="M3640" s="194">
        <v>0</v>
      </c>
      <c r="N3640" s="194">
        <v>0</v>
      </c>
      <c r="O3640" s="193">
        <f t="shared" si="789"/>
        <v>0</v>
      </c>
      <c r="P3640" s="194">
        <v>0</v>
      </c>
      <c r="Q3640" s="194">
        <v>0</v>
      </c>
      <c r="R3640" s="194">
        <v>0</v>
      </c>
      <c r="S3640" s="193">
        <f t="shared" si="790"/>
        <v>0</v>
      </c>
      <c r="T3640" s="193">
        <f t="shared" si="791"/>
        <v>0</v>
      </c>
      <c r="U3640" s="193">
        <f ca="1">OFFSET('Expenditure Study'!$B$7,'Operations Support'!$C3640,'Operations Support'!$B3640)*$G3640</f>
        <v>0</v>
      </c>
      <c r="V3640" s="199">
        <f ca="1">U3640*'Expenditure Study'!$B$31</f>
        <v>0</v>
      </c>
      <c r="W3640" s="199">
        <f ca="1">IF(A3640=10298,1.51,1)*IF($B3640&lt;3,$D3640*'Expenditure Study'!$B$32*OFFSET('Expenditure Study'!$B$7,'Operations Support'!$C3640,'Operations Support'!$B3640),0)</f>
        <v>0</v>
      </c>
      <c r="X3640" s="200">
        <f ca="1">W3640*'Expenditure Study'!$B$31</f>
        <v>0</v>
      </c>
      <c r="Y3640" s="199">
        <f ca="1">U3640*'Expenditure Study'!$B$31</f>
        <v>0</v>
      </c>
      <c r="Z3640" s="200">
        <f ca="1">W3640*'Expenditure Study'!$B$31</f>
        <v>0</v>
      </c>
      <c r="AA3640" s="195">
        <f t="shared" ca="1" si="792"/>
        <v>0</v>
      </c>
      <c r="AB3640" s="195">
        <f t="shared" ca="1" si="793"/>
        <v>0</v>
      </c>
      <c r="AD3640" s="196">
        <f>IFERROR($G3640/SUMIF($A:$A,$A3640,$G:$G)*SUMIF(Summary!$A$166:$A$242,$A3640,Summary!$P$166:$P$242),0)</f>
        <v>0</v>
      </c>
      <c r="AE3640" s="197">
        <f t="shared" ca="1" si="794"/>
        <v>0</v>
      </c>
      <c r="AF3640" s="196">
        <f>IFERROR(G3640/SUMIF(A:A,A3640,G:G)*SUMIF(Summary!$A$166:$A$242,'Operations Support'!A3640,Summary!$Q$166:$Q$242),0)</f>
        <v>0</v>
      </c>
      <c r="AG3640" s="196">
        <f t="shared" ca="1" si="795"/>
        <v>0</v>
      </c>
      <c r="AI3640" s="196">
        <f>IFERROR($G3640/SUMIF($A:$A,$A3640,$G:$G)*SUMIF(Summary!$A$247:$A$283,$A3640,Summary!$P$247:$P$283),0)</f>
        <v>0</v>
      </c>
      <c r="AJ3640" s="196">
        <f>IFERROR($G3640/SUMIF($A:$A,$A3640,$G:$G)*(SUMIF(Summary!$A$247:$A$283,$A3640,Summary!$L$247:$L$283)+SUMIF(Summary!$A$297:$A$333,$A3640,Summary!$L$297:$L$333))-AI3640,0)</f>
        <v>0</v>
      </c>
      <c r="AK3640" s="196">
        <f>IFERROR($G3640/SUMIF($A:$A,$A3640,$G:$G)*SUMIF(Summary!$A$247:$A$283,$A3640,Summary!$Q$247:$Q$283),0)</f>
        <v>0</v>
      </c>
      <c r="AL3640" s="196">
        <f>IFERROR($G3640/SUMIF($A:$A,$A3640,$G:$G)*(SUMIF(Summary!$A$247:$A$283,$A3640,Summary!$L$247:$L$283)+SUMIF(Summary!$A$297:$A$333,$A3640,Summary!$L$297:$L$333))-AK3640,0)</f>
        <v>0</v>
      </c>
      <c r="AM3640" s="198"/>
      <c r="AN3640" s="196">
        <f t="shared" ca="1" si="796"/>
        <v>0</v>
      </c>
      <c r="AO3640" s="196">
        <f t="shared" ca="1" si="797"/>
        <v>0</v>
      </c>
    </row>
    <row r="3641" spans="1:41">
      <c r="A3641" s="189">
        <v>42295</v>
      </c>
      <c r="B3641" s="190">
        <v>4</v>
      </c>
      <c r="C3641" s="191" t="s">
        <v>223</v>
      </c>
      <c r="D3641" s="192">
        <f t="shared" si="784"/>
        <v>0</v>
      </c>
      <c r="E3641" s="192">
        <f t="shared" si="785"/>
        <v>0</v>
      </c>
      <c r="F3641" s="192">
        <f t="shared" si="786"/>
        <v>0</v>
      </c>
      <c r="G3641" s="193">
        <f t="shared" si="787"/>
        <v>0</v>
      </c>
      <c r="H3641" s="194">
        <v>0</v>
      </c>
      <c r="I3641" s="194">
        <v>0</v>
      </c>
      <c r="J3641" s="194">
        <v>0</v>
      </c>
      <c r="K3641" s="193">
        <f t="shared" si="788"/>
        <v>0</v>
      </c>
      <c r="L3641" s="194">
        <v>0</v>
      </c>
      <c r="M3641" s="194">
        <v>0</v>
      </c>
      <c r="N3641" s="194">
        <v>0</v>
      </c>
      <c r="O3641" s="193">
        <f t="shared" si="789"/>
        <v>0</v>
      </c>
      <c r="P3641" s="194">
        <v>0</v>
      </c>
      <c r="Q3641" s="194">
        <v>0</v>
      </c>
      <c r="R3641" s="194">
        <v>0</v>
      </c>
      <c r="S3641" s="193">
        <f t="shared" si="790"/>
        <v>0</v>
      </c>
      <c r="T3641" s="193">
        <f t="shared" si="791"/>
        <v>0</v>
      </c>
      <c r="U3641" s="193">
        <f ca="1">OFFSET('Expenditure Study'!$B$7,'Operations Support'!$C3641,'Operations Support'!$B3641)*$G3641</f>
        <v>0</v>
      </c>
      <c r="V3641" s="199">
        <f ca="1">U3641*'Expenditure Study'!$B$31</f>
        <v>0</v>
      </c>
      <c r="W3641" s="199">
        <f ca="1">IF(A3641=10298,1.51,1)*IF($B3641&lt;3,$D3641*'Expenditure Study'!$B$32*OFFSET('Expenditure Study'!$B$7,'Operations Support'!$C3641,'Operations Support'!$B3641),0)</f>
        <v>0</v>
      </c>
      <c r="X3641" s="200">
        <f ca="1">W3641*'Expenditure Study'!$B$31</f>
        <v>0</v>
      </c>
      <c r="Y3641" s="199">
        <f ca="1">U3641*'Expenditure Study'!$B$31</f>
        <v>0</v>
      </c>
      <c r="Z3641" s="200">
        <f ca="1">W3641*'Expenditure Study'!$B$31</f>
        <v>0</v>
      </c>
      <c r="AA3641" s="195">
        <f t="shared" ca="1" si="792"/>
        <v>0</v>
      </c>
      <c r="AB3641" s="195">
        <f t="shared" ca="1" si="793"/>
        <v>0</v>
      </c>
      <c r="AD3641" s="196">
        <f>IFERROR($G3641/SUMIF($A:$A,$A3641,$G:$G)*SUMIF(Summary!$A$166:$A$242,$A3641,Summary!$P$166:$P$242),0)</f>
        <v>0</v>
      </c>
      <c r="AE3641" s="197">
        <f t="shared" ca="1" si="794"/>
        <v>0</v>
      </c>
      <c r="AF3641" s="196">
        <f>IFERROR(G3641/SUMIF(A:A,A3641,G:G)*SUMIF(Summary!$A$166:$A$242,'Operations Support'!A3641,Summary!$Q$166:$Q$242),0)</f>
        <v>0</v>
      </c>
      <c r="AG3641" s="196">
        <f t="shared" ca="1" si="795"/>
        <v>0</v>
      </c>
      <c r="AI3641" s="196">
        <f>IFERROR($G3641/SUMIF($A:$A,$A3641,$G:$G)*SUMIF(Summary!$A$247:$A$283,$A3641,Summary!$P$247:$P$283),0)</f>
        <v>0</v>
      </c>
      <c r="AJ3641" s="196">
        <f>IFERROR($G3641/SUMIF($A:$A,$A3641,$G:$G)*(SUMIF(Summary!$A$247:$A$283,$A3641,Summary!$L$247:$L$283)+SUMIF(Summary!$A$297:$A$333,$A3641,Summary!$L$297:$L$333))-AI3641,0)</f>
        <v>0</v>
      </c>
      <c r="AK3641" s="196">
        <f>IFERROR($G3641/SUMIF($A:$A,$A3641,$G:$G)*SUMIF(Summary!$A$247:$A$283,$A3641,Summary!$Q$247:$Q$283),0)</f>
        <v>0</v>
      </c>
      <c r="AL3641" s="196">
        <f>IFERROR($G3641/SUMIF($A:$A,$A3641,$G:$G)*(SUMIF(Summary!$A$247:$A$283,$A3641,Summary!$L$247:$L$283)+SUMIF(Summary!$A$297:$A$333,$A3641,Summary!$L$297:$L$333))-AK3641,0)</f>
        <v>0</v>
      </c>
      <c r="AM3641" s="198"/>
      <c r="AN3641" s="196">
        <f t="shared" ca="1" si="796"/>
        <v>0</v>
      </c>
      <c r="AO3641" s="196">
        <f t="shared" ca="1" si="797"/>
        <v>0</v>
      </c>
    </row>
    <row r="3642" spans="1:41">
      <c r="A3642" s="189">
        <v>42295</v>
      </c>
      <c r="B3642" s="190">
        <v>4</v>
      </c>
      <c r="C3642" s="191" t="s">
        <v>224</v>
      </c>
      <c r="D3642" s="192">
        <f t="shared" si="784"/>
        <v>0</v>
      </c>
      <c r="E3642" s="192">
        <f t="shared" si="785"/>
        <v>0</v>
      </c>
      <c r="F3642" s="192">
        <f t="shared" si="786"/>
        <v>0</v>
      </c>
      <c r="G3642" s="193">
        <f t="shared" si="787"/>
        <v>0</v>
      </c>
      <c r="H3642" s="194">
        <v>0</v>
      </c>
      <c r="I3642" s="194">
        <v>0</v>
      </c>
      <c r="J3642" s="194">
        <v>0</v>
      </c>
      <c r="K3642" s="193">
        <f t="shared" si="788"/>
        <v>0</v>
      </c>
      <c r="L3642" s="194">
        <v>0</v>
      </c>
      <c r="M3642" s="194">
        <v>0</v>
      </c>
      <c r="N3642" s="194">
        <v>0</v>
      </c>
      <c r="O3642" s="193">
        <f t="shared" si="789"/>
        <v>0</v>
      </c>
      <c r="P3642" s="194">
        <v>0</v>
      </c>
      <c r="Q3642" s="194">
        <v>0</v>
      </c>
      <c r="R3642" s="194">
        <v>0</v>
      </c>
      <c r="S3642" s="193">
        <f t="shared" si="790"/>
        <v>0</v>
      </c>
      <c r="T3642" s="193">
        <f t="shared" si="791"/>
        <v>0</v>
      </c>
      <c r="U3642" s="193">
        <f ca="1">OFFSET('Expenditure Study'!$B$7,'Operations Support'!$C3642,'Operations Support'!$B3642)*$G3642</f>
        <v>0</v>
      </c>
      <c r="V3642" s="199">
        <f ca="1">U3642*'Expenditure Study'!$B$31</f>
        <v>0</v>
      </c>
      <c r="W3642" s="199">
        <f ca="1">IF(A3642=10298,1.51,1)*IF($B3642&lt;3,$D3642*'Expenditure Study'!$B$32*OFFSET('Expenditure Study'!$B$7,'Operations Support'!$C3642,'Operations Support'!$B3642),0)</f>
        <v>0</v>
      </c>
      <c r="X3642" s="200">
        <f ca="1">W3642*'Expenditure Study'!$B$31</f>
        <v>0</v>
      </c>
      <c r="Y3642" s="199">
        <f ca="1">U3642*'Expenditure Study'!$B$31</f>
        <v>0</v>
      </c>
      <c r="Z3642" s="200">
        <f ca="1">W3642*'Expenditure Study'!$B$31</f>
        <v>0</v>
      </c>
      <c r="AA3642" s="195">
        <f t="shared" ca="1" si="792"/>
        <v>0</v>
      </c>
      <c r="AB3642" s="195">
        <f t="shared" ca="1" si="793"/>
        <v>0</v>
      </c>
      <c r="AD3642" s="196">
        <f>IFERROR($G3642/SUMIF($A:$A,$A3642,$G:$G)*SUMIF(Summary!$A$166:$A$242,$A3642,Summary!$P$166:$P$242),0)</f>
        <v>0</v>
      </c>
      <c r="AE3642" s="197">
        <f t="shared" ca="1" si="794"/>
        <v>0</v>
      </c>
      <c r="AF3642" s="196">
        <f>IFERROR(G3642/SUMIF(A:A,A3642,G:G)*SUMIF(Summary!$A$166:$A$242,'Operations Support'!A3642,Summary!$Q$166:$Q$242),0)</f>
        <v>0</v>
      </c>
      <c r="AG3642" s="196">
        <f t="shared" ca="1" si="795"/>
        <v>0</v>
      </c>
      <c r="AI3642" s="196">
        <f>IFERROR($G3642/SUMIF($A:$A,$A3642,$G:$G)*SUMIF(Summary!$A$247:$A$283,$A3642,Summary!$P$247:$P$283),0)</f>
        <v>0</v>
      </c>
      <c r="AJ3642" s="196">
        <f>IFERROR($G3642/SUMIF($A:$A,$A3642,$G:$G)*(SUMIF(Summary!$A$247:$A$283,$A3642,Summary!$L$247:$L$283)+SUMIF(Summary!$A$297:$A$333,$A3642,Summary!$L$297:$L$333))-AI3642,0)</f>
        <v>0</v>
      </c>
      <c r="AK3642" s="196">
        <f>IFERROR($G3642/SUMIF($A:$A,$A3642,$G:$G)*SUMIF(Summary!$A$247:$A$283,$A3642,Summary!$Q$247:$Q$283),0)</f>
        <v>0</v>
      </c>
      <c r="AL3642" s="196">
        <f>IFERROR($G3642/SUMIF($A:$A,$A3642,$G:$G)*(SUMIF(Summary!$A$247:$A$283,$A3642,Summary!$L$247:$L$283)+SUMIF(Summary!$A$297:$A$333,$A3642,Summary!$L$297:$L$333))-AK3642,0)</f>
        <v>0</v>
      </c>
      <c r="AM3642" s="198"/>
      <c r="AN3642" s="196">
        <f t="shared" ca="1" si="796"/>
        <v>0</v>
      </c>
      <c r="AO3642" s="196">
        <f t="shared" ca="1" si="797"/>
        <v>0</v>
      </c>
    </row>
    <row r="3643" spans="1:41">
      <c r="A3643" s="189">
        <v>42295</v>
      </c>
      <c r="B3643" s="190">
        <v>4</v>
      </c>
      <c r="C3643" s="191" t="s">
        <v>225</v>
      </c>
      <c r="D3643" s="192">
        <f t="shared" si="784"/>
        <v>0</v>
      </c>
      <c r="E3643" s="192">
        <f t="shared" si="785"/>
        <v>0</v>
      </c>
      <c r="F3643" s="192">
        <f t="shared" si="786"/>
        <v>0</v>
      </c>
      <c r="G3643" s="193">
        <f t="shared" si="787"/>
        <v>0</v>
      </c>
      <c r="H3643" s="194">
        <v>0</v>
      </c>
      <c r="I3643" s="194">
        <v>0</v>
      </c>
      <c r="J3643" s="194">
        <v>0</v>
      </c>
      <c r="K3643" s="193">
        <f t="shared" si="788"/>
        <v>0</v>
      </c>
      <c r="L3643" s="194">
        <v>0</v>
      </c>
      <c r="M3643" s="194">
        <v>0</v>
      </c>
      <c r="N3643" s="194">
        <v>0</v>
      </c>
      <c r="O3643" s="193">
        <f t="shared" si="789"/>
        <v>0</v>
      </c>
      <c r="P3643" s="194">
        <v>0</v>
      </c>
      <c r="Q3643" s="194">
        <v>0</v>
      </c>
      <c r="R3643" s="194">
        <v>0</v>
      </c>
      <c r="S3643" s="193">
        <f t="shared" si="790"/>
        <v>0</v>
      </c>
      <c r="T3643" s="193">
        <f t="shared" si="791"/>
        <v>0</v>
      </c>
      <c r="U3643" s="193">
        <f ca="1">OFFSET('Expenditure Study'!$B$7,'Operations Support'!$C3643,'Operations Support'!$B3643)*$G3643</f>
        <v>0</v>
      </c>
      <c r="V3643" s="199">
        <f ca="1">U3643*'Expenditure Study'!$B$31</f>
        <v>0</v>
      </c>
      <c r="W3643" s="199">
        <f ca="1">IF(A3643=10298,1.51,1)*IF($B3643&lt;3,$D3643*'Expenditure Study'!$B$32*OFFSET('Expenditure Study'!$B$7,'Operations Support'!$C3643,'Operations Support'!$B3643),0)</f>
        <v>0</v>
      </c>
      <c r="X3643" s="200">
        <f ca="1">W3643*'Expenditure Study'!$B$31</f>
        <v>0</v>
      </c>
      <c r="Y3643" s="199">
        <f ca="1">U3643*'Expenditure Study'!$B$31</f>
        <v>0</v>
      </c>
      <c r="Z3643" s="200">
        <f ca="1">W3643*'Expenditure Study'!$B$31</f>
        <v>0</v>
      </c>
      <c r="AA3643" s="195">
        <f t="shared" ca="1" si="792"/>
        <v>0</v>
      </c>
      <c r="AB3643" s="195">
        <f t="shared" ca="1" si="793"/>
        <v>0</v>
      </c>
      <c r="AD3643" s="196">
        <f>IFERROR($G3643/SUMIF($A:$A,$A3643,$G:$G)*SUMIF(Summary!$A$166:$A$242,$A3643,Summary!$P$166:$P$242),0)</f>
        <v>0</v>
      </c>
      <c r="AE3643" s="197">
        <f t="shared" ca="1" si="794"/>
        <v>0</v>
      </c>
      <c r="AF3643" s="196">
        <f>IFERROR(G3643/SUMIF(A:A,A3643,G:G)*SUMIF(Summary!$A$166:$A$242,'Operations Support'!A3643,Summary!$Q$166:$Q$242),0)</f>
        <v>0</v>
      </c>
      <c r="AG3643" s="196">
        <f t="shared" ca="1" si="795"/>
        <v>0</v>
      </c>
      <c r="AI3643" s="196">
        <f>IFERROR($G3643/SUMIF($A:$A,$A3643,$G:$G)*SUMIF(Summary!$A$247:$A$283,$A3643,Summary!$P$247:$P$283),0)</f>
        <v>0</v>
      </c>
      <c r="AJ3643" s="196">
        <f>IFERROR($G3643/SUMIF($A:$A,$A3643,$G:$G)*(SUMIF(Summary!$A$247:$A$283,$A3643,Summary!$L$247:$L$283)+SUMIF(Summary!$A$297:$A$333,$A3643,Summary!$L$297:$L$333))-AI3643,0)</f>
        <v>0</v>
      </c>
      <c r="AK3643" s="196">
        <f>IFERROR($G3643/SUMIF($A:$A,$A3643,$G:$G)*SUMIF(Summary!$A$247:$A$283,$A3643,Summary!$Q$247:$Q$283),0)</f>
        <v>0</v>
      </c>
      <c r="AL3643" s="196">
        <f>IFERROR($G3643/SUMIF($A:$A,$A3643,$G:$G)*(SUMIF(Summary!$A$247:$A$283,$A3643,Summary!$L$247:$L$283)+SUMIF(Summary!$A$297:$A$333,$A3643,Summary!$L$297:$L$333))-AK3643,0)</f>
        <v>0</v>
      </c>
      <c r="AM3643" s="198"/>
      <c r="AN3643" s="196">
        <f t="shared" ca="1" si="796"/>
        <v>0</v>
      </c>
      <c r="AO3643" s="196">
        <f t="shared" ca="1" si="797"/>
        <v>0</v>
      </c>
    </row>
    <row r="3644" spans="1:41">
      <c r="A3644" s="189">
        <v>42295</v>
      </c>
      <c r="B3644" s="190">
        <v>4</v>
      </c>
      <c r="C3644" s="191" t="s">
        <v>226</v>
      </c>
      <c r="D3644" s="192">
        <f t="shared" si="784"/>
        <v>0</v>
      </c>
      <c r="E3644" s="192">
        <f t="shared" si="785"/>
        <v>0</v>
      </c>
      <c r="F3644" s="192">
        <f t="shared" si="786"/>
        <v>0</v>
      </c>
      <c r="G3644" s="193">
        <f t="shared" si="787"/>
        <v>0</v>
      </c>
      <c r="H3644" s="194">
        <v>0</v>
      </c>
      <c r="I3644" s="194">
        <v>0</v>
      </c>
      <c r="J3644" s="194">
        <v>0</v>
      </c>
      <c r="K3644" s="193">
        <f t="shared" si="788"/>
        <v>0</v>
      </c>
      <c r="L3644" s="194">
        <v>0</v>
      </c>
      <c r="M3644" s="194">
        <v>0</v>
      </c>
      <c r="N3644" s="194">
        <v>0</v>
      </c>
      <c r="O3644" s="193">
        <f t="shared" si="789"/>
        <v>0</v>
      </c>
      <c r="P3644" s="194">
        <v>0</v>
      </c>
      <c r="Q3644" s="194">
        <v>0</v>
      </c>
      <c r="R3644" s="194">
        <v>0</v>
      </c>
      <c r="S3644" s="193">
        <f t="shared" si="790"/>
        <v>0</v>
      </c>
      <c r="T3644" s="193">
        <f t="shared" si="791"/>
        <v>0</v>
      </c>
      <c r="U3644" s="193">
        <f ca="1">OFFSET('Expenditure Study'!$B$7,'Operations Support'!$C3644,'Operations Support'!$B3644)*$G3644</f>
        <v>0</v>
      </c>
      <c r="V3644" s="199">
        <f ca="1">U3644*'Expenditure Study'!$B$31</f>
        <v>0</v>
      </c>
      <c r="W3644" s="199">
        <f ca="1">IF(A3644=10298,1.51,1)*IF($B3644&lt;3,$D3644*'Expenditure Study'!$B$32*OFFSET('Expenditure Study'!$B$7,'Operations Support'!$C3644,'Operations Support'!$B3644),0)</f>
        <v>0</v>
      </c>
      <c r="X3644" s="200">
        <f ca="1">W3644*'Expenditure Study'!$B$31</f>
        <v>0</v>
      </c>
      <c r="Y3644" s="199">
        <f ca="1">U3644*'Expenditure Study'!$B$31</f>
        <v>0</v>
      </c>
      <c r="Z3644" s="200">
        <f ca="1">W3644*'Expenditure Study'!$B$31</f>
        <v>0</v>
      </c>
      <c r="AA3644" s="195">
        <f t="shared" ca="1" si="792"/>
        <v>0</v>
      </c>
      <c r="AB3644" s="195">
        <f t="shared" ca="1" si="793"/>
        <v>0</v>
      </c>
      <c r="AD3644" s="196">
        <f>IFERROR($G3644/SUMIF($A:$A,$A3644,$G:$G)*SUMIF(Summary!$A$166:$A$242,$A3644,Summary!$P$166:$P$242),0)</f>
        <v>0</v>
      </c>
      <c r="AE3644" s="197">
        <f t="shared" ca="1" si="794"/>
        <v>0</v>
      </c>
      <c r="AF3644" s="196">
        <f>IFERROR(G3644/SUMIF(A:A,A3644,G:G)*SUMIF(Summary!$A$166:$A$242,'Operations Support'!A3644,Summary!$Q$166:$Q$242),0)</f>
        <v>0</v>
      </c>
      <c r="AG3644" s="196">
        <f t="shared" ca="1" si="795"/>
        <v>0</v>
      </c>
      <c r="AI3644" s="196">
        <f>IFERROR($G3644/SUMIF($A:$A,$A3644,$G:$G)*SUMIF(Summary!$A$247:$A$283,$A3644,Summary!$P$247:$P$283),0)</f>
        <v>0</v>
      </c>
      <c r="AJ3644" s="196">
        <f>IFERROR($G3644/SUMIF($A:$A,$A3644,$G:$G)*(SUMIF(Summary!$A$247:$A$283,$A3644,Summary!$L$247:$L$283)+SUMIF(Summary!$A$297:$A$333,$A3644,Summary!$L$297:$L$333))-AI3644,0)</f>
        <v>0</v>
      </c>
      <c r="AK3644" s="196">
        <f>IFERROR($G3644/SUMIF($A:$A,$A3644,$G:$G)*SUMIF(Summary!$A$247:$A$283,$A3644,Summary!$Q$247:$Q$283),0)</f>
        <v>0</v>
      </c>
      <c r="AL3644" s="196">
        <f>IFERROR($G3644/SUMIF($A:$A,$A3644,$G:$G)*(SUMIF(Summary!$A$247:$A$283,$A3644,Summary!$L$247:$L$283)+SUMIF(Summary!$A$297:$A$333,$A3644,Summary!$L$297:$L$333))-AK3644,0)</f>
        <v>0</v>
      </c>
      <c r="AM3644" s="198"/>
      <c r="AN3644" s="196">
        <f t="shared" ca="1" si="796"/>
        <v>0</v>
      </c>
      <c r="AO3644" s="196">
        <f t="shared" ca="1" si="797"/>
        <v>0</v>
      </c>
    </row>
    <row r="3645" spans="1:41">
      <c r="A3645" s="189">
        <v>42295</v>
      </c>
      <c r="B3645" s="190">
        <v>4</v>
      </c>
      <c r="C3645" s="191" t="s">
        <v>227</v>
      </c>
      <c r="D3645" s="192">
        <f t="shared" si="784"/>
        <v>0</v>
      </c>
      <c r="E3645" s="192">
        <f t="shared" si="785"/>
        <v>0</v>
      </c>
      <c r="F3645" s="192">
        <f t="shared" si="786"/>
        <v>0</v>
      </c>
      <c r="G3645" s="193">
        <f t="shared" si="787"/>
        <v>0</v>
      </c>
      <c r="H3645" s="194">
        <v>0</v>
      </c>
      <c r="I3645" s="194">
        <v>0</v>
      </c>
      <c r="J3645" s="194">
        <v>0</v>
      </c>
      <c r="K3645" s="193">
        <f t="shared" si="788"/>
        <v>0</v>
      </c>
      <c r="L3645" s="194">
        <v>0</v>
      </c>
      <c r="M3645" s="194">
        <v>0</v>
      </c>
      <c r="N3645" s="194">
        <v>0</v>
      </c>
      <c r="O3645" s="193">
        <f t="shared" si="789"/>
        <v>0</v>
      </c>
      <c r="P3645" s="194">
        <v>0</v>
      </c>
      <c r="Q3645" s="194">
        <v>0</v>
      </c>
      <c r="R3645" s="194">
        <v>0</v>
      </c>
      <c r="S3645" s="193">
        <f t="shared" si="790"/>
        <v>0</v>
      </c>
      <c r="T3645" s="193">
        <f t="shared" si="791"/>
        <v>0</v>
      </c>
      <c r="U3645" s="193">
        <f ca="1">OFFSET('Expenditure Study'!$B$7,'Operations Support'!$C3645,'Operations Support'!$B3645)*$G3645</f>
        <v>0</v>
      </c>
      <c r="V3645" s="199">
        <f ca="1">U3645*'Expenditure Study'!$B$31</f>
        <v>0</v>
      </c>
      <c r="W3645" s="199">
        <f ca="1">IF(A3645=10298,1.51,1)*IF($B3645&lt;3,$D3645*'Expenditure Study'!$B$32*OFFSET('Expenditure Study'!$B$7,'Operations Support'!$C3645,'Operations Support'!$B3645),0)</f>
        <v>0</v>
      </c>
      <c r="X3645" s="200">
        <f ca="1">W3645*'Expenditure Study'!$B$31</f>
        <v>0</v>
      </c>
      <c r="Y3645" s="199">
        <f ca="1">U3645*'Expenditure Study'!$B$31</f>
        <v>0</v>
      </c>
      <c r="Z3645" s="200">
        <f ca="1">W3645*'Expenditure Study'!$B$31</f>
        <v>0</v>
      </c>
      <c r="AA3645" s="195">
        <f t="shared" ca="1" si="792"/>
        <v>0</v>
      </c>
      <c r="AB3645" s="195">
        <f t="shared" ca="1" si="793"/>
        <v>0</v>
      </c>
      <c r="AD3645" s="196">
        <f>IFERROR($G3645/SUMIF($A:$A,$A3645,$G:$G)*SUMIF(Summary!$A$166:$A$242,$A3645,Summary!$P$166:$P$242),0)</f>
        <v>0</v>
      </c>
      <c r="AE3645" s="197">
        <f t="shared" ca="1" si="794"/>
        <v>0</v>
      </c>
      <c r="AF3645" s="196">
        <f>IFERROR(G3645/SUMIF(A:A,A3645,G:G)*SUMIF(Summary!$A$166:$A$242,'Operations Support'!A3645,Summary!$Q$166:$Q$242),0)</f>
        <v>0</v>
      </c>
      <c r="AG3645" s="196">
        <f t="shared" ca="1" si="795"/>
        <v>0</v>
      </c>
      <c r="AI3645" s="196">
        <f>IFERROR($G3645/SUMIF($A:$A,$A3645,$G:$G)*SUMIF(Summary!$A$247:$A$283,$A3645,Summary!$P$247:$P$283),0)</f>
        <v>0</v>
      </c>
      <c r="AJ3645" s="196">
        <f>IFERROR($G3645/SUMIF($A:$A,$A3645,$G:$G)*(SUMIF(Summary!$A$247:$A$283,$A3645,Summary!$L$247:$L$283)+SUMIF(Summary!$A$297:$A$333,$A3645,Summary!$L$297:$L$333))-AI3645,0)</f>
        <v>0</v>
      </c>
      <c r="AK3645" s="196">
        <f>IFERROR($G3645/SUMIF($A:$A,$A3645,$G:$G)*SUMIF(Summary!$A$247:$A$283,$A3645,Summary!$Q$247:$Q$283),0)</f>
        <v>0</v>
      </c>
      <c r="AL3645" s="196">
        <f>IFERROR($G3645/SUMIF($A:$A,$A3645,$G:$G)*(SUMIF(Summary!$A$247:$A$283,$A3645,Summary!$L$247:$L$283)+SUMIF(Summary!$A$297:$A$333,$A3645,Summary!$L$297:$L$333))-AK3645,0)</f>
        <v>0</v>
      </c>
      <c r="AM3645" s="198"/>
      <c r="AN3645" s="196">
        <f t="shared" ca="1" si="796"/>
        <v>0</v>
      </c>
      <c r="AO3645" s="196">
        <f t="shared" ca="1" si="797"/>
        <v>0</v>
      </c>
    </row>
    <row r="3646" spans="1:41">
      <c r="A3646" s="189">
        <v>42295</v>
      </c>
      <c r="B3646" s="190">
        <v>4</v>
      </c>
      <c r="C3646" s="191" t="s">
        <v>228</v>
      </c>
      <c r="D3646" s="192">
        <f t="shared" si="784"/>
        <v>0</v>
      </c>
      <c r="E3646" s="192">
        <f t="shared" si="785"/>
        <v>0</v>
      </c>
      <c r="F3646" s="192">
        <f t="shared" si="786"/>
        <v>0</v>
      </c>
      <c r="G3646" s="193">
        <f t="shared" si="787"/>
        <v>0</v>
      </c>
      <c r="H3646" s="194">
        <v>0</v>
      </c>
      <c r="I3646" s="194">
        <v>0</v>
      </c>
      <c r="J3646" s="194">
        <v>0</v>
      </c>
      <c r="K3646" s="193">
        <f t="shared" si="788"/>
        <v>0</v>
      </c>
      <c r="L3646" s="194">
        <v>0</v>
      </c>
      <c r="M3646" s="194">
        <v>0</v>
      </c>
      <c r="N3646" s="194">
        <v>0</v>
      </c>
      <c r="O3646" s="193">
        <f t="shared" si="789"/>
        <v>0</v>
      </c>
      <c r="P3646" s="194">
        <v>0</v>
      </c>
      <c r="Q3646" s="194">
        <v>0</v>
      </c>
      <c r="R3646" s="194">
        <v>0</v>
      </c>
      <c r="S3646" s="193">
        <f t="shared" si="790"/>
        <v>0</v>
      </c>
      <c r="T3646" s="193">
        <f t="shared" si="791"/>
        <v>0</v>
      </c>
      <c r="U3646" s="193">
        <f ca="1">OFFSET('Expenditure Study'!$B$7,'Operations Support'!$C3646,'Operations Support'!$B3646)*$G3646</f>
        <v>0</v>
      </c>
      <c r="V3646" s="199">
        <f ca="1">U3646*'Expenditure Study'!$B$31</f>
        <v>0</v>
      </c>
      <c r="W3646" s="199">
        <f ca="1">IF(A3646=10298,1.51,1)*IF($B3646&lt;3,$D3646*'Expenditure Study'!$B$32*OFFSET('Expenditure Study'!$B$7,'Operations Support'!$C3646,'Operations Support'!$B3646),0)</f>
        <v>0</v>
      </c>
      <c r="X3646" s="200">
        <f ca="1">W3646*'Expenditure Study'!$B$31</f>
        <v>0</v>
      </c>
      <c r="Y3646" s="199">
        <f ca="1">U3646*'Expenditure Study'!$B$31</f>
        <v>0</v>
      </c>
      <c r="Z3646" s="200">
        <f ca="1">W3646*'Expenditure Study'!$B$31</f>
        <v>0</v>
      </c>
      <c r="AA3646" s="195">
        <f t="shared" ca="1" si="792"/>
        <v>0</v>
      </c>
      <c r="AB3646" s="195">
        <f t="shared" ca="1" si="793"/>
        <v>0</v>
      </c>
      <c r="AD3646" s="196">
        <f>IFERROR($G3646/SUMIF($A:$A,$A3646,$G:$G)*SUMIF(Summary!$A$166:$A$242,$A3646,Summary!$P$166:$P$242),0)</f>
        <v>0</v>
      </c>
      <c r="AE3646" s="197">
        <f t="shared" ca="1" si="794"/>
        <v>0</v>
      </c>
      <c r="AF3646" s="196">
        <f>IFERROR(G3646/SUMIF(A:A,A3646,G:G)*SUMIF(Summary!$A$166:$A$242,'Operations Support'!A3646,Summary!$Q$166:$Q$242),0)</f>
        <v>0</v>
      </c>
      <c r="AG3646" s="196">
        <f t="shared" ca="1" si="795"/>
        <v>0</v>
      </c>
      <c r="AI3646" s="196">
        <f>IFERROR($G3646/SUMIF($A:$A,$A3646,$G:$G)*SUMIF(Summary!$A$247:$A$283,$A3646,Summary!$P$247:$P$283),0)</f>
        <v>0</v>
      </c>
      <c r="AJ3646" s="196">
        <f>IFERROR($G3646/SUMIF($A:$A,$A3646,$G:$G)*(SUMIF(Summary!$A$247:$A$283,$A3646,Summary!$L$247:$L$283)+SUMIF(Summary!$A$297:$A$333,$A3646,Summary!$L$297:$L$333))-AI3646,0)</f>
        <v>0</v>
      </c>
      <c r="AK3646" s="196">
        <f>IFERROR($G3646/SUMIF($A:$A,$A3646,$G:$G)*SUMIF(Summary!$A$247:$A$283,$A3646,Summary!$Q$247:$Q$283),0)</f>
        <v>0</v>
      </c>
      <c r="AL3646" s="196">
        <f>IFERROR($G3646/SUMIF($A:$A,$A3646,$G:$G)*(SUMIF(Summary!$A$247:$A$283,$A3646,Summary!$L$247:$L$283)+SUMIF(Summary!$A$297:$A$333,$A3646,Summary!$L$297:$L$333))-AK3646,0)</f>
        <v>0</v>
      </c>
      <c r="AM3646" s="198"/>
      <c r="AN3646" s="196">
        <f t="shared" ca="1" si="796"/>
        <v>0</v>
      </c>
      <c r="AO3646" s="196">
        <f t="shared" ca="1" si="797"/>
        <v>0</v>
      </c>
    </row>
    <row r="3647" spans="1:41">
      <c r="A3647" s="189">
        <v>42295</v>
      </c>
      <c r="B3647" s="190">
        <v>4</v>
      </c>
      <c r="C3647" s="191" t="s">
        <v>229</v>
      </c>
      <c r="D3647" s="192">
        <f t="shared" si="784"/>
        <v>0</v>
      </c>
      <c r="E3647" s="192">
        <f t="shared" si="785"/>
        <v>0</v>
      </c>
      <c r="F3647" s="192">
        <f t="shared" si="786"/>
        <v>0</v>
      </c>
      <c r="G3647" s="193">
        <f t="shared" si="787"/>
        <v>0</v>
      </c>
      <c r="H3647" s="194">
        <v>0</v>
      </c>
      <c r="I3647" s="194">
        <v>0</v>
      </c>
      <c r="J3647" s="194">
        <v>0</v>
      </c>
      <c r="K3647" s="193">
        <f t="shared" si="788"/>
        <v>0</v>
      </c>
      <c r="L3647" s="194">
        <v>0</v>
      </c>
      <c r="M3647" s="194">
        <v>0</v>
      </c>
      <c r="N3647" s="194">
        <v>0</v>
      </c>
      <c r="O3647" s="193">
        <f t="shared" si="789"/>
        <v>0</v>
      </c>
      <c r="P3647" s="194">
        <v>0</v>
      </c>
      <c r="Q3647" s="194">
        <v>0</v>
      </c>
      <c r="R3647" s="194">
        <v>0</v>
      </c>
      <c r="S3647" s="193">
        <f t="shared" si="790"/>
        <v>0</v>
      </c>
      <c r="T3647" s="193">
        <f t="shared" si="791"/>
        <v>0</v>
      </c>
      <c r="U3647" s="193">
        <f ca="1">OFFSET('Expenditure Study'!$B$7,'Operations Support'!$C3647,'Operations Support'!$B3647)*$G3647</f>
        <v>0</v>
      </c>
      <c r="V3647" s="199">
        <f ca="1">U3647*'Expenditure Study'!$B$31</f>
        <v>0</v>
      </c>
      <c r="W3647" s="199">
        <f ca="1">IF(A3647=10298,1.51,1)*IF($B3647&lt;3,$D3647*'Expenditure Study'!$B$32*OFFSET('Expenditure Study'!$B$7,'Operations Support'!$C3647,'Operations Support'!$B3647),0)</f>
        <v>0</v>
      </c>
      <c r="X3647" s="200">
        <f ca="1">W3647*'Expenditure Study'!$B$31</f>
        <v>0</v>
      </c>
      <c r="Y3647" s="199">
        <f ca="1">U3647*'Expenditure Study'!$B$31</f>
        <v>0</v>
      </c>
      <c r="Z3647" s="200">
        <f ca="1">W3647*'Expenditure Study'!$B$31</f>
        <v>0</v>
      </c>
      <c r="AA3647" s="195">
        <f t="shared" ca="1" si="792"/>
        <v>0</v>
      </c>
      <c r="AB3647" s="195">
        <f t="shared" ca="1" si="793"/>
        <v>0</v>
      </c>
      <c r="AD3647" s="196">
        <f>IFERROR($G3647/SUMIF($A:$A,$A3647,$G:$G)*SUMIF(Summary!$A$166:$A$242,$A3647,Summary!$P$166:$P$242),0)</f>
        <v>0</v>
      </c>
      <c r="AE3647" s="197">
        <f t="shared" ca="1" si="794"/>
        <v>0</v>
      </c>
      <c r="AF3647" s="196">
        <f>IFERROR(G3647/SUMIF(A:A,A3647,G:G)*SUMIF(Summary!$A$166:$A$242,'Operations Support'!A3647,Summary!$Q$166:$Q$242),0)</f>
        <v>0</v>
      </c>
      <c r="AG3647" s="196">
        <f t="shared" ca="1" si="795"/>
        <v>0</v>
      </c>
      <c r="AI3647" s="196">
        <f>IFERROR($G3647/SUMIF($A:$A,$A3647,$G:$G)*SUMIF(Summary!$A$247:$A$283,$A3647,Summary!$P$247:$P$283),0)</f>
        <v>0</v>
      </c>
      <c r="AJ3647" s="196">
        <f>IFERROR($G3647/SUMIF($A:$A,$A3647,$G:$G)*(SUMIF(Summary!$A$247:$A$283,$A3647,Summary!$L$247:$L$283)+SUMIF(Summary!$A$297:$A$333,$A3647,Summary!$L$297:$L$333))-AI3647,0)</f>
        <v>0</v>
      </c>
      <c r="AK3647" s="196">
        <f>IFERROR($G3647/SUMIF($A:$A,$A3647,$G:$G)*SUMIF(Summary!$A$247:$A$283,$A3647,Summary!$Q$247:$Q$283),0)</f>
        <v>0</v>
      </c>
      <c r="AL3647" s="196">
        <f>IFERROR($G3647/SUMIF($A:$A,$A3647,$G:$G)*(SUMIF(Summary!$A$247:$A$283,$A3647,Summary!$L$247:$L$283)+SUMIF(Summary!$A$297:$A$333,$A3647,Summary!$L$297:$L$333))-AK3647,0)</f>
        <v>0</v>
      </c>
      <c r="AM3647" s="198"/>
      <c r="AN3647" s="196">
        <f t="shared" ca="1" si="796"/>
        <v>0</v>
      </c>
      <c r="AO3647" s="196">
        <f t="shared" ca="1" si="797"/>
        <v>0</v>
      </c>
    </row>
    <row r="3648" spans="1:41">
      <c r="A3648" s="189">
        <v>42295</v>
      </c>
      <c r="B3648" s="190">
        <v>4</v>
      </c>
      <c r="C3648" s="191" t="s">
        <v>230</v>
      </c>
      <c r="D3648" s="192">
        <f t="shared" si="784"/>
        <v>0</v>
      </c>
      <c r="E3648" s="192">
        <f t="shared" si="785"/>
        <v>0</v>
      </c>
      <c r="F3648" s="192">
        <f t="shared" si="786"/>
        <v>0</v>
      </c>
      <c r="G3648" s="193">
        <f t="shared" si="787"/>
        <v>0</v>
      </c>
      <c r="H3648" s="194">
        <v>0</v>
      </c>
      <c r="I3648" s="194">
        <v>0</v>
      </c>
      <c r="J3648" s="194">
        <v>0</v>
      </c>
      <c r="K3648" s="193">
        <f t="shared" si="788"/>
        <v>0</v>
      </c>
      <c r="L3648" s="194">
        <v>0</v>
      </c>
      <c r="M3648" s="194">
        <v>0</v>
      </c>
      <c r="N3648" s="194">
        <v>0</v>
      </c>
      <c r="O3648" s="193">
        <f t="shared" si="789"/>
        <v>0</v>
      </c>
      <c r="P3648" s="194">
        <v>0</v>
      </c>
      <c r="Q3648" s="194">
        <v>0</v>
      </c>
      <c r="R3648" s="194">
        <v>0</v>
      </c>
      <c r="S3648" s="193">
        <f t="shared" si="790"/>
        <v>0</v>
      </c>
      <c r="T3648" s="193">
        <f t="shared" si="791"/>
        <v>0</v>
      </c>
      <c r="U3648" s="193">
        <f ca="1">OFFSET('Expenditure Study'!$B$7,'Operations Support'!$C3648,'Operations Support'!$B3648)*$G3648</f>
        <v>0</v>
      </c>
      <c r="V3648" s="199">
        <f ca="1">U3648*'Expenditure Study'!$B$31</f>
        <v>0</v>
      </c>
      <c r="W3648" s="199">
        <f ca="1">IF(A3648=10298,1.51,1)*IF($B3648&lt;3,$D3648*'Expenditure Study'!$B$32*OFFSET('Expenditure Study'!$B$7,'Operations Support'!$C3648,'Operations Support'!$B3648),0)</f>
        <v>0</v>
      </c>
      <c r="X3648" s="200">
        <f ca="1">W3648*'Expenditure Study'!$B$31</f>
        <v>0</v>
      </c>
      <c r="Y3648" s="199">
        <f ca="1">U3648*'Expenditure Study'!$B$31</f>
        <v>0</v>
      </c>
      <c r="Z3648" s="200">
        <f ca="1">W3648*'Expenditure Study'!$B$31</f>
        <v>0</v>
      </c>
      <c r="AA3648" s="195">
        <f t="shared" ca="1" si="792"/>
        <v>0</v>
      </c>
      <c r="AB3648" s="195">
        <f t="shared" ca="1" si="793"/>
        <v>0</v>
      </c>
      <c r="AD3648" s="196">
        <f>IFERROR($G3648/SUMIF($A:$A,$A3648,$G:$G)*SUMIF(Summary!$A$166:$A$242,$A3648,Summary!$P$166:$P$242),0)</f>
        <v>0</v>
      </c>
      <c r="AE3648" s="197">
        <f t="shared" ca="1" si="794"/>
        <v>0</v>
      </c>
      <c r="AF3648" s="196">
        <f>IFERROR(G3648/SUMIF(A:A,A3648,G:G)*SUMIF(Summary!$A$166:$A$242,'Operations Support'!A3648,Summary!$Q$166:$Q$242),0)</f>
        <v>0</v>
      </c>
      <c r="AG3648" s="196">
        <f t="shared" ca="1" si="795"/>
        <v>0</v>
      </c>
      <c r="AI3648" s="196">
        <f>IFERROR($G3648/SUMIF($A:$A,$A3648,$G:$G)*SUMIF(Summary!$A$247:$A$283,$A3648,Summary!$P$247:$P$283),0)</f>
        <v>0</v>
      </c>
      <c r="AJ3648" s="196">
        <f>IFERROR($G3648/SUMIF($A:$A,$A3648,$G:$G)*(SUMIF(Summary!$A$247:$A$283,$A3648,Summary!$L$247:$L$283)+SUMIF(Summary!$A$297:$A$333,$A3648,Summary!$L$297:$L$333))-AI3648,0)</f>
        <v>0</v>
      </c>
      <c r="AK3648" s="196">
        <f>IFERROR($G3648/SUMIF($A:$A,$A3648,$G:$G)*SUMIF(Summary!$A$247:$A$283,$A3648,Summary!$Q$247:$Q$283),0)</f>
        <v>0</v>
      </c>
      <c r="AL3648" s="196">
        <f>IFERROR($G3648/SUMIF($A:$A,$A3648,$G:$G)*(SUMIF(Summary!$A$247:$A$283,$A3648,Summary!$L$247:$L$283)+SUMIF(Summary!$A$297:$A$333,$A3648,Summary!$L$297:$L$333))-AK3648,0)</f>
        <v>0</v>
      </c>
      <c r="AM3648" s="198"/>
      <c r="AN3648" s="196">
        <f t="shared" ca="1" si="796"/>
        <v>0</v>
      </c>
      <c r="AO3648" s="196">
        <f t="shared" ca="1" si="797"/>
        <v>0</v>
      </c>
    </row>
    <row r="3649" spans="1:41">
      <c r="A3649" s="189">
        <v>42295</v>
      </c>
      <c r="B3649" s="190">
        <v>4</v>
      </c>
      <c r="C3649" s="191" t="s">
        <v>231</v>
      </c>
      <c r="D3649" s="192">
        <f t="shared" si="784"/>
        <v>0</v>
      </c>
      <c r="E3649" s="192">
        <f t="shared" si="785"/>
        <v>0</v>
      </c>
      <c r="F3649" s="192">
        <f t="shared" si="786"/>
        <v>0</v>
      </c>
      <c r="G3649" s="193">
        <f t="shared" si="787"/>
        <v>0</v>
      </c>
      <c r="H3649" s="194">
        <v>0</v>
      </c>
      <c r="I3649" s="194">
        <v>0</v>
      </c>
      <c r="J3649" s="194">
        <v>0</v>
      </c>
      <c r="K3649" s="193">
        <f t="shared" si="788"/>
        <v>0</v>
      </c>
      <c r="L3649" s="194">
        <v>0</v>
      </c>
      <c r="M3649" s="194">
        <v>0</v>
      </c>
      <c r="N3649" s="194">
        <v>0</v>
      </c>
      <c r="O3649" s="193">
        <f t="shared" si="789"/>
        <v>0</v>
      </c>
      <c r="P3649" s="194">
        <v>0</v>
      </c>
      <c r="Q3649" s="194">
        <v>0</v>
      </c>
      <c r="R3649" s="194">
        <v>0</v>
      </c>
      <c r="S3649" s="193">
        <f t="shared" si="790"/>
        <v>0</v>
      </c>
      <c r="T3649" s="193">
        <f t="shared" si="791"/>
        <v>0</v>
      </c>
      <c r="U3649" s="193">
        <f ca="1">OFFSET('Expenditure Study'!$B$7,'Operations Support'!$C3649,'Operations Support'!$B3649)*$G3649</f>
        <v>0</v>
      </c>
      <c r="V3649" s="199">
        <f ca="1">U3649*'Expenditure Study'!$B$31</f>
        <v>0</v>
      </c>
      <c r="W3649" s="199">
        <f ca="1">IF(A3649=10298,1.51,1)*IF($B3649&lt;3,$D3649*'Expenditure Study'!$B$32*OFFSET('Expenditure Study'!$B$7,'Operations Support'!$C3649,'Operations Support'!$B3649),0)</f>
        <v>0</v>
      </c>
      <c r="X3649" s="200">
        <f ca="1">W3649*'Expenditure Study'!$B$31</f>
        <v>0</v>
      </c>
      <c r="Y3649" s="199">
        <f ca="1">U3649*'Expenditure Study'!$B$31</f>
        <v>0</v>
      </c>
      <c r="Z3649" s="200">
        <f ca="1">W3649*'Expenditure Study'!$B$31</f>
        <v>0</v>
      </c>
      <c r="AA3649" s="195">
        <f t="shared" ca="1" si="792"/>
        <v>0</v>
      </c>
      <c r="AB3649" s="195">
        <f t="shared" ca="1" si="793"/>
        <v>0</v>
      </c>
      <c r="AD3649" s="196">
        <f>IFERROR($G3649/SUMIF($A:$A,$A3649,$G:$G)*SUMIF(Summary!$A$166:$A$242,$A3649,Summary!$P$166:$P$242),0)</f>
        <v>0</v>
      </c>
      <c r="AE3649" s="197">
        <f t="shared" ca="1" si="794"/>
        <v>0</v>
      </c>
      <c r="AF3649" s="196">
        <f>IFERROR(G3649/SUMIF(A:A,A3649,G:G)*SUMIF(Summary!$A$166:$A$242,'Operations Support'!A3649,Summary!$Q$166:$Q$242),0)</f>
        <v>0</v>
      </c>
      <c r="AG3649" s="196">
        <f t="shared" ca="1" si="795"/>
        <v>0</v>
      </c>
      <c r="AI3649" s="196">
        <f>IFERROR($G3649/SUMIF($A:$A,$A3649,$G:$G)*SUMIF(Summary!$A$247:$A$283,$A3649,Summary!$P$247:$P$283),0)</f>
        <v>0</v>
      </c>
      <c r="AJ3649" s="196">
        <f>IFERROR($G3649/SUMIF($A:$A,$A3649,$G:$G)*(SUMIF(Summary!$A$247:$A$283,$A3649,Summary!$L$247:$L$283)+SUMIF(Summary!$A$297:$A$333,$A3649,Summary!$L$297:$L$333))-AI3649,0)</f>
        <v>0</v>
      </c>
      <c r="AK3649" s="196">
        <f>IFERROR($G3649/SUMIF($A:$A,$A3649,$G:$G)*SUMIF(Summary!$A$247:$A$283,$A3649,Summary!$Q$247:$Q$283),0)</f>
        <v>0</v>
      </c>
      <c r="AL3649" s="196">
        <f>IFERROR($G3649/SUMIF($A:$A,$A3649,$G:$G)*(SUMIF(Summary!$A$247:$A$283,$A3649,Summary!$L$247:$L$283)+SUMIF(Summary!$A$297:$A$333,$A3649,Summary!$L$297:$L$333))-AK3649,0)</f>
        <v>0</v>
      </c>
      <c r="AM3649" s="198"/>
      <c r="AN3649" s="196">
        <f t="shared" ca="1" si="796"/>
        <v>0</v>
      </c>
      <c r="AO3649" s="196">
        <f t="shared" ca="1" si="797"/>
        <v>0</v>
      </c>
    </row>
    <row r="3650" spans="1:41">
      <c r="A3650" s="189">
        <v>42295</v>
      </c>
      <c r="B3650" s="190">
        <v>4</v>
      </c>
      <c r="C3650" s="191" t="s">
        <v>232</v>
      </c>
      <c r="D3650" s="192">
        <f t="shared" si="784"/>
        <v>0</v>
      </c>
      <c r="E3650" s="192">
        <f t="shared" si="785"/>
        <v>0</v>
      </c>
      <c r="F3650" s="192">
        <f t="shared" si="786"/>
        <v>0</v>
      </c>
      <c r="G3650" s="193">
        <f t="shared" si="787"/>
        <v>0</v>
      </c>
      <c r="H3650" s="194">
        <v>0</v>
      </c>
      <c r="I3650" s="194">
        <v>0</v>
      </c>
      <c r="J3650" s="194">
        <v>0</v>
      </c>
      <c r="K3650" s="193">
        <f t="shared" si="788"/>
        <v>0</v>
      </c>
      <c r="L3650" s="194">
        <v>0</v>
      </c>
      <c r="M3650" s="194">
        <v>0</v>
      </c>
      <c r="N3650" s="194">
        <v>0</v>
      </c>
      <c r="O3650" s="193">
        <f t="shared" si="789"/>
        <v>0</v>
      </c>
      <c r="P3650" s="194">
        <v>0</v>
      </c>
      <c r="Q3650" s="194">
        <v>0</v>
      </c>
      <c r="R3650" s="194">
        <v>0</v>
      </c>
      <c r="S3650" s="193">
        <f t="shared" si="790"/>
        <v>0</v>
      </c>
      <c r="T3650" s="193">
        <f t="shared" si="791"/>
        <v>0</v>
      </c>
      <c r="U3650" s="193">
        <f ca="1">OFFSET('Expenditure Study'!$B$7,'Operations Support'!$C3650,'Operations Support'!$B3650)*$G3650</f>
        <v>0</v>
      </c>
      <c r="V3650" s="199">
        <f ca="1">U3650*'Expenditure Study'!$B$31</f>
        <v>0</v>
      </c>
      <c r="W3650" s="199">
        <f ca="1">IF(A3650=10298,1.51,1)*IF($B3650&lt;3,$D3650*'Expenditure Study'!$B$32*OFFSET('Expenditure Study'!$B$7,'Operations Support'!$C3650,'Operations Support'!$B3650),0)</f>
        <v>0</v>
      </c>
      <c r="X3650" s="200">
        <f ca="1">W3650*'Expenditure Study'!$B$31</f>
        <v>0</v>
      </c>
      <c r="Y3650" s="199">
        <f ca="1">U3650*'Expenditure Study'!$B$31</f>
        <v>0</v>
      </c>
      <c r="Z3650" s="200">
        <f ca="1">W3650*'Expenditure Study'!$B$31</f>
        <v>0</v>
      </c>
      <c r="AA3650" s="195">
        <f t="shared" ca="1" si="792"/>
        <v>0</v>
      </c>
      <c r="AB3650" s="195">
        <f t="shared" ca="1" si="793"/>
        <v>0</v>
      </c>
      <c r="AD3650" s="196">
        <f>IFERROR($G3650/SUMIF($A:$A,$A3650,$G:$G)*SUMIF(Summary!$A$166:$A$242,$A3650,Summary!$P$166:$P$242),0)</f>
        <v>0</v>
      </c>
      <c r="AE3650" s="197">
        <f t="shared" ca="1" si="794"/>
        <v>0</v>
      </c>
      <c r="AF3650" s="196">
        <f>IFERROR(G3650/SUMIF(A:A,A3650,G:G)*SUMIF(Summary!$A$166:$A$242,'Operations Support'!A3650,Summary!$Q$166:$Q$242),0)</f>
        <v>0</v>
      </c>
      <c r="AG3650" s="196">
        <f t="shared" ca="1" si="795"/>
        <v>0</v>
      </c>
      <c r="AI3650" s="196">
        <f>IFERROR($G3650/SUMIF($A:$A,$A3650,$G:$G)*SUMIF(Summary!$A$247:$A$283,$A3650,Summary!$P$247:$P$283),0)</f>
        <v>0</v>
      </c>
      <c r="AJ3650" s="196">
        <f>IFERROR($G3650/SUMIF($A:$A,$A3650,$G:$G)*(SUMIF(Summary!$A$247:$A$283,$A3650,Summary!$L$247:$L$283)+SUMIF(Summary!$A$297:$A$333,$A3650,Summary!$L$297:$L$333))-AI3650,0)</f>
        <v>0</v>
      </c>
      <c r="AK3650" s="196">
        <f>IFERROR($G3650/SUMIF($A:$A,$A3650,$G:$G)*SUMIF(Summary!$A$247:$A$283,$A3650,Summary!$Q$247:$Q$283),0)</f>
        <v>0</v>
      </c>
      <c r="AL3650" s="196">
        <f>IFERROR($G3650/SUMIF($A:$A,$A3650,$G:$G)*(SUMIF(Summary!$A$247:$A$283,$A3650,Summary!$L$247:$L$283)+SUMIF(Summary!$A$297:$A$333,$A3650,Summary!$L$297:$L$333))-AK3650,0)</f>
        <v>0</v>
      </c>
      <c r="AM3650" s="198"/>
      <c r="AN3650" s="196">
        <f t="shared" ca="1" si="796"/>
        <v>0</v>
      </c>
      <c r="AO3650" s="196">
        <f t="shared" ca="1" si="797"/>
        <v>0</v>
      </c>
    </row>
    <row r="3651" spans="1:41">
      <c r="A3651" s="189">
        <v>42295</v>
      </c>
      <c r="B3651" s="190">
        <v>4</v>
      </c>
      <c r="C3651" s="191" t="s">
        <v>233</v>
      </c>
      <c r="D3651" s="192">
        <f t="shared" si="784"/>
        <v>0</v>
      </c>
      <c r="E3651" s="192">
        <f t="shared" si="785"/>
        <v>0</v>
      </c>
      <c r="F3651" s="192">
        <f t="shared" si="786"/>
        <v>0</v>
      </c>
      <c r="G3651" s="193">
        <f t="shared" si="787"/>
        <v>0</v>
      </c>
      <c r="H3651" s="194">
        <v>0</v>
      </c>
      <c r="I3651" s="194">
        <v>0</v>
      </c>
      <c r="J3651" s="194">
        <v>0</v>
      </c>
      <c r="K3651" s="193">
        <f t="shared" si="788"/>
        <v>0</v>
      </c>
      <c r="L3651" s="194">
        <v>0</v>
      </c>
      <c r="M3651" s="194">
        <v>0</v>
      </c>
      <c r="N3651" s="194">
        <v>0</v>
      </c>
      <c r="O3651" s="193">
        <f t="shared" si="789"/>
        <v>0</v>
      </c>
      <c r="P3651" s="194">
        <v>0</v>
      </c>
      <c r="Q3651" s="194">
        <v>0</v>
      </c>
      <c r="R3651" s="194">
        <v>0</v>
      </c>
      <c r="S3651" s="193">
        <f t="shared" si="790"/>
        <v>0</v>
      </c>
      <c r="T3651" s="193">
        <f t="shared" si="791"/>
        <v>0</v>
      </c>
      <c r="U3651" s="193">
        <f ca="1">OFFSET('Expenditure Study'!$B$7,'Operations Support'!$C3651,'Operations Support'!$B3651)*$G3651</f>
        <v>0</v>
      </c>
      <c r="V3651" s="199">
        <f ca="1">U3651*'Expenditure Study'!$B$31</f>
        <v>0</v>
      </c>
      <c r="W3651" s="199">
        <f ca="1">IF(A3651=10298,1.51,1)*IF($B3651&lt;3,$D3651*'Expenditure Study'!$B$32*OFFSET('Expenditure Study'!$B$7,'Operations Support'!$C3651,'Operations Support'!$B3651),0)</f>
        <v>0</v>
      </c>
      <c r="X3651" s="200">
        <f ca="1">W3651*'Expenditure Study'!$B$31</f>
        <v>0</v>
      </c>
      <c r="Y3651" s="199">
        <f ca="1">U3651*'Expenditure Study'!$B$31</f>
        <v>0</v>
      </c>
      <c r="Z3651" s="200">
        <f ca="1">W3651*'Expenditure Study'!$B$31</f>
        <v>0</v>
      </c>
      <c r="AA3651" s="195">
        <f t="shared" ca="1" si="792"/>
        <v>0</v>
      </c>
      <c r="AB3651" s="195">
        <f t="shared" ca="1" si="793"/>
        <v>0</v>
      </c>
      <c r="AD3651" s="196">
        <f>IFERROR($G3651/SUMIF($A:$A,$A3651,$G:$G)*SUMIF(Summary!$A$166:$A$242,$A3651,Summary!$P$166:$P$242),0)</f>
        <v>0</v>
      </c>
      <c r="AE3651" s="197">
        <f t="shared" ca="1" si="794"/>
        <v>0</v>
      </c>
      <c r="AF3651" s="196">
        <f>IFERROR(G3651/SUMIF(A:A,A3651,G:G)*SUMIF(Summary!$A$166:$A$242,'Operations Support'!A3651,Summary!$Q$166:$Q$242),0)</f>
        <v>0</v>
      </c>
      <c r="AG3651" s="196">
        <f t="shared" ca="1" si="795"/>
        <v>0</v>
      </c>
      <c r="AI3651" s="196">
        <f>IFERROR($G3651/SUMIF($A:$A,$A3651,$G:$G)*SUMIF(Summary!$A$247:$A$283,$A3651,Summary!$P$247:$P$283),0)</f>
        <v>0</v>
      </c>
      <c r="AJ3651" s="196">
        <f>IFERROR($G3651/SUMIF($A:$A,$A3651,$G:$G)*(SUMIF(Summary!$A$247:$A$283,$A3651,Summary!$L$247:$L$283)+SUMIF(Summary!$A$297:$A$333,$A3651,Summary!$L$297:$L$333))-AI3651,0)</f>
        <v>0</v>
      </c>
      <c r="AK3651" s="196">
        <f>IFERROR($G3651/SUMIF($A:$A,$A3651,$G:$G)*SUMIF(Summary!$A$247:$A$283,$A3651,Summary!$Q$247:$Q$283),0)</f>
        <v>0</v>
      </c>
      <c r="AL3651" s="196">
        <f>IFERROR($G3651/SUMIF($A:$A,$A3651,$G:$G)*(SUMIF(Summary!$A$247:$A$283,$A3651,Summary!$L$247:$L$283)+SUMIF(Summary!$A$297:$A$333,$A3651,Summary!$L$297:$L$333))-AK3651,0)</f>
        <v>0</v>
      </c>
      <c r="AM3651" s="198"/>
      <c r="AN3651" s="196">
        <f t="shared" ca="1" si="796"/>
        <v>0</v>
      </c>
      <c r="AO3651" s="196">
        <f t="shared" ca="1" si="797"/>
        <v>0</v>
      </c>
    </row>
    <row r="3652" spans="1:41">
      <c r="A3652" s="189">
        <v>42295</v>
      </c>
      <c r="B3652" s="190">
        <v>4</v>
      </c>
      <c r="C3652" s="191" t="s">
        <v>234</v>
      </c>
      <c r="D3652" s="192">
        <f t="shared" si="784"/>
        <v>0</v>
      </c>
      <c r="E3652" s="192">
        <f t="shared" si="785"/>
        <v>0</v>
      </c>
      <c r="F3652" s="192">
        <f t="shared" si="786"/>
        <v>0</v>
      </c>
      <c r="G3652" s="193">
        <f t="shared" si="787"/>
        <v>0</v>
      </c>
      <c r="H3652" s="194">
        <v>0</v>
      </c>
      <c r="I3652" s="194">
        <v>0</v>
      </c>
      <c r="J3652" s="194">
        <v>0</v>
      </c>
      <c r="K3652" s="193">
        <f t="shared" si="788"/>
        <v>0</v>
      </c>
      <c r="L3652" s="194">
        <v>0</v>
      </c>
      <c r="M3652" s="194">
        <v>0</v>
      </c>
      <c r="N3652" s="194">
        <v>0</v>
      </c>
      <c r="O3652" s="193">
        <f t="shared" si="789"/>
        <v>0</v>
      </c>
      <c r="P3652" s="194">
        <v>0</v>
      </c>
      <c r="Q3652" s="194">
        <v>0</v>
      </c>
      <c r="R3652" s="194">
        <v>0</v>
      </c>
      <c r="S3652" s="193">
        <f t="shared" si="790"/>
        <v>0</v>
      </c>
      <c r="T3652" s="193">
        <f t="shared" si="791"/>
        <v>0</v>
      </c>
      <c r="U3652" s="193">
        <f ca="1">OFFSET('Expenditure Study'!$B$7,'Operations Support'!$C3652,'Operations Support'!$B3652)*$G3652</f>
        <v>0</v>
      </c>
      <c r="V3652" s="199">
        <f ca="1">U3652*'Expenditure Study'!$B$31</f>
        <v>0</v>
      </c>
      <c r="W3652" s="199">
        <f ca="1">IF(A3652=10298,1.51,1)*IF($B3652&lt;3,$D3652*'Expenditure Study'!$B$32*OFFSET('Expenditure Study'!$B$7,'Operations Support'!$C3652,'Operations Support'!$B3652),0)</f>
        <v>0</v>
      </c>
      <c r="X3652" s="200">
        <f ca="1">W3652*'Expenditure Study'!$B$31</f>
        <v>0</v>
      </c>
      <c r="Y3652" s="199">
        <f ca="1">U3652*'Expenditure Study'!$B$31</f>
        <v>0</v>
      </c>
      <c r="Z3652" s="200">
        <f ca="1">W3652*'Expenditure Study'!$B$31</f>
        <v>0</v>
      </c>
      <c r="AA3652" s="195">
        <f t="shared" ca="1" si="792"/>
        <v>0</v>
      </c>
      <c r="AB3652" s="195">
        <f t="shared" ca="1" si="793"/>
        <v>0</v>
      </c>
      <c r="AD3652" s="196">
        <f>IFERROR($G3652/SUMIF($A:$A,$A3652,$G:$G)*SUMIF(Summary!$A$166:$A$242,$A3652,Summary!$P$166:$P$242),0)</f>
        <v>0</v>
      </c>
      <c r="AE3652" s="197">
        <f t="shared" ca="1" si="794"/>
        <v>0</v>
      </c>
      <c r="AF3652" s="196">
        <f>IFERROR(G3652/SUMIF(A:A,A3652,G:G)*SUMIF(Summary!$A$166:$A$242,'Operations Support'!A3652,Summary!$Q$166:$Q$242),0)</f>
        <v>0</v>
      </c>
      <c r="AG3652" s="196">
        <f t="shared" ca="1" si="795"/>
        <v>0</v>
      </c>
      <c r="AI3652" s="196">
        <f>IFERROR($G3652/SUMIF($A:$A,$A3652,$G:$G)*SUMIF(Summary!$A$247:$A$283,$A3652,Summary!$P$247:$P$283),0)</f>
        <v>0</v>
      </c>
      <c r="AJ3652" s="196">
        <f>IFERROR($G3652/SUMIF($A:$A,$A3652,$G:$G)*(SUMIF(Summary!$A$247:$A$283,$A3652,Summary!$L$247:$L$283)+SUMIF(Summary!$A$297:$A$333,$A3652,Summary!$L$297:$L$333))-AI3652,0)</f>
        <v>0</v>
      </c>
      <c r="AK3652" s="196">
        <f>IFERROR($G3652/SUMIF($A:$A,$A3652,$G:$G)*SUMIF(Summary!$A$247:$A$283,$A3652,Summary!$Q$247:$Q$283),0)</f>
        <v>0</v>
      </c>
      <c r="AL3652" s="196">
        <f>IFERROR($G3652/SUMIF($A:$A,$A3652,$G:$G)*(SUMIF(Summary!$A$247:$A$283,$A3652,Summary!$L$247:$L$283)+SUMIF(Summary!$A$297:$A$333,$A3652,Summary!$L$297:$L$333))-AK3652,0)</f>
        <v>0</v>
      </c>
      <c r="AM3652" s="198"/>
      <c r="AN3652" s="196">
        <f t="shared" ca="1" si="796"/>
        <v>0</v>
      </c>
      <c r="AO3652" s="196">
        <f t="shared" ca="1" si="797"/>
        <v>0</v>
      </c>
    </row>
    <row r="3653" spans="1:41">
      <c r="A3653" s="189">
        <v>42295</v>
      </c>
      <c r="B3653" s="190">
        <v>4</v>
      </c>
      <c r="C3653" s="191" t="s">
        <v>235</v>
      </c>
      <c r="D3653" s="192">
        <f t="shared" ref="D3653:D3716" si="798">H3653+L3653+P3653</f>
        <v>0</v>
      </c>
      <c r="E3653" s="192">
        <f t="shared" ref="E3653:E3716" si="799">I3653+M3653+Q3653</f>
        <v>0</v>
      </c>
      <c r="F3653" s="192">
        <f t="shared" ref="F3653:F3716" si="800">J3653+N3653+R3653</f>
        <v>0</v>
      </c>
      <c r="G3653" s="193">
        <f t="shared" ref="G3653:G3716" si="801">(SUM(D3653:E3653)-F3653)*IF(A3653=10298,1.51,1)</f>
        <v>0</v>
      </c>
      <c r="H3653" s="194">
        <v>0</v>
      </c>
      <c r="I3653" s="194">
        <v>0</v>
      </c>
      <c r="J3653" s="194">
        <v>0</v>
      </c>
      <c r="K3653" s="193">
        <f t="shared" ref="K3653:K3716" si="802">SUM(H3653:I3653)-J3653</f>
        <v>0</v>
      </c>
      <c r="L3653" s="194">
        <v>0</v>
      </c>
      <c r="M3653" s="194">
        <v>0</v>
      </c>
      <c r="N3653" s="194">
        <v>0</v>
      </c>
      <c r="O3653" s="193">
        <f t="shared" ref="O3653:O3716" si="803">SUM(L3653:M3653)-N3653</f>
        <v>0</v>
      </c>
      <c r="P3653" s="194">
        <v>0</v>
      </c>
      <c r="Q3653" s="194">
        <v>0</v>
      </c>
      <c r="R3653" s="194">
        <v>0</v>
      </c>
      <c r="S3653" s="193">
        <f t="shared" ref="S3653:S3716" si="804">SUM(P3653:Q3653)-R3653</f>
        <v>0</v>
      </c>
      <c r="T3653" s="193">
        <f t="shared" ref="T3653:T3716" si="805">IF(OR(B3653=1,B3653=2),G3653/30,IF(OR(B3653=3,B3653=5),G3653/24,IF(B3653=4,G3653/18,0)))</f>
        <v>0</v>
      </c>
      <c r="U3653" s="193">
        <f ca="1">OFFSET('Expenditure Study'!$B$7,'Operations Support'!$C3653,'Operations Support'!$B3653)*$G3653</f>
        <v>0</v>
      </c>
      <c r="V3653" s="199">
        <f ca="1">U3653*'Expenditure Study'!$B$31</f>
        <v>0</v>
      </c>
      <c r="W3653" s="199">
        <f ca="1">IF(A3653=10298,1.51,1)*IF($B3653&lt;3,$D3653*'Expenditure Study'!$B$32*OFFSET('Expenditure Study'!$B$7,'Operations Support'!$C3653,'Operations Support'!$B3653),0)</f>
        <v>0</v>
      </c>
      <c r="X3653" s="200">
        <f ca="1">W3653*'Expenditure Study'!$B$31</f>
        <v>0</v>
      </c>
      <c r="Y3653" s="199">
        <f ca="1">U3653*'Expenditure Study'!$B$31</f>
        <v>0</v>
      </c>
      <c r="Z3653" s="200">
        <f ca="1">W3653*'Expenditure Study'!$B$31</f>
        <v>0</v>
      </c>
      <c r="AA3653" s="195">
        <f t="shared" ref="AA3653:AA3716" ca="1" si="806">V3653+X3653</f>
        <v>0</v>
      </c>
      <c r="AB3653" s="195">
        <f t="shared" ref="AB3653:AB3716" ca="1" si="807">Y3653+Z3653</f>
        <v>0</v>
      </c>
      <c r="AD3653" s="196">
        <f>IFERROR($G3653/SUMIF($A:$A,$A3653,$G:$G)*SUMIF(Summary!$A$166:$A$242,$A3653,Summary!$P$166:$P$242),0)</f>
        <v>0</v>
      </c>
      <c r="AE3653" s="197">
        <f t="shared" ca="1" si="794"/>
        <v>0</v>
      </c>
      <c r="AF3653" s="196">
        <f>IFERROR(G3653/SUMIF(A:A,A3653,G:G)*SUMIF(Summary!$A$166:$A$242,'Operations Support'!A3653,Summary!$Q$166:$Q$242),0)</f>
        <v>0</v>
      </c>
      <c r="AG3653" s="196">
        <f t="shared" ca="1" si="795"/>
        <v>0</v>
      </c>
      <c r="AI3653" s="196">
        <f>IFERROR($G3653/SUMIF($A:$A,$A3653,$G:$G)*SUMIF(Summary!$A$247:$A$283,$A3653,Summary!$P$247:$P$283),0)</f>
        <v>0</v>
      </c>
      <c r="AJ3653" s="196">
        <f>IFERROR($G3653/SUMIF($A:$A,$A3653,$G:$G)*(SUMIF(Summary!$A$247:$A$283,$A3653,Summary!$L$247:$L$283)+SUMIF(Summary!$A$297:$A$333,$A3653,Summary!$L$297:$L$333))-AI3653,0)</f>
        <v>0</v>
      </c>
      <c r="AK3653" s="196">
        <f>IFERROR($G3653/SUMIF($A:$A,$A3653,$G:$G)*SUMIF(Summary!$A$247:$A$283,$A3653,Summary!$Q$247:$Q$283),0)</f>
        <v>0</v>
      </c>
      <c r="AL3653" s="196">
        <f>IFERROR($G3653/SUMIF($A:$A,$A3653,$G:$G)*(SUMIF(Summary!$A$247:$A$283,$A3653,Summary!$L$247:$L$283)+SUMIF(Summary!$A$297:$A$333,$A3653,Summary!$L$297:$L$333))-AK3653,0)</f>
        <v>0</v>
      </c>
      <c r="AM3653" s="198"/>
      <c r="AN3653" s="196">
        <f t="shared" ca="1" si="796"/>
        <v>0</v>
      </c>
      <c r="AO3653" s="196">
        <f t="shared" ca="1" si="797"/>
        <v>0</v>
      </c>
    </row>
    <row r="3654" spans="1:41">
      <c r="A3654" s="189">
        <v>42295</v>
      </c>
      <c r="B3654" s="190">
        <v>4</v>
      </c>
      <c r="C3654" s="191" t="s">
        <v>236</v>
      </c>
      <c r="D3654" s="192">
        <f t="shared" si="798"/>
        <v>0</v>
      </c>
      <c r="E3654" s="192">
        <f t="shared" si="799"/>
        <v>0</v>
      </c>
      <c r="F3654" s="192">
        <f t="shared" si="800"/>
        <v>0</v>
      </c>
      <c r="G3654" s="193">
        <f t="shared" si="801"/>
        <v>0</v>
      </c>
      <c r="H3654" s="194">
        <v>0</v>
      </c>
      <c r="I3654" s="194">
        <v>0</v>
      </c>
      <c r="J3654" s="194">
        <v>0</v>
      </c>
      <c r="K3654" s="193">
        <f t="shared" si="802"/>
        <v>0</v>
      </c>
      <c r="L3654" s="194">
        <v>0</v>
      </c>
      <c r="M3654" s="194">
        <v>0</v>
      </c>
      <c r="N3654" s="194">
        <v>0</v>
      </c>
      <c r="O3654" s="193">
        <f t="shared" si="803"/>
        <v>0</v>
      </c>
      <c r="P3654" s="194">
        <v>0</v>
      </c>
      <c r="Q3654" s="194">
        <v>0</v>
      </c>
      <c r="R3654" s="194">
        <v>0</v>
      </c>
      <c r="S3654" s="193">
        <f t="shared" si="804"/>
        <v>0</v>
      </c>
      <c r="T3654" s="193">
        <f t="shared" si="805"/>
        <v>0</v>
      </c>
      <c r="U3654" s="193">
        <f ca="1">OFFSET('Expenditure Study'!$B$7,'Operations Support'!$C3654,'Operations Support'!$B3654)*$G3654</f>
        <v>0</v>
      </c>
      <c r="V3654" s="199">
        <f ca="1">U3654*'Expenditure Study'!$B$31</f>
        <v>0</v>
      </c>
      <c r="W3654" s="199">
        <f ca="1">IF(A3654=10298,1.51,1)*IF($B3654&lt;3,$D3654*'Expenditure Study'!$B$32*OFFSET('Expenditure Study'!$B$7,'Operations Support'!$C3654,'Operations Support'!$B3654),0)</f>
        <v>0</v>
      </c>
      <c r="X3654" s="200">
        <f ca="1">W3654*'Expenditure Study'!$B$31</f>
        <v>0</v>
      </c>
      <c r="Y3654" s="199">
        <f ca="1">U3654*'Expenditure Study'!$B$31</f>
        <v>0</v>
      </c>
      <c r="Z3654" s="200">
        <f ca="1">W3654*'Expenditure Study'!$B$31</f>
        <v>0</v>
      </c>
      <c r="AA3654" s="195">
        <f t="shared" ca="1" si="806"/>
        <v>0</v>
      </c>
      <c r="AB3654" s="195">
        <f t="shared" ca="1" si="807"/>
        <v>0</v>
      </c>
      <c r="AD3654" s="196">
        <f>IFERROR($G3654/SUMIF($A:$A,$A3654,$G:$G)*SUMIF(Summary!$A$166:$A$242,$A3654,Summary!$P$166:$P$242),0)</f>
        <v>0</v>
      </c>
      <c r="AE3654" s="197">
        <f t="shared" ref="AE3654:AE3717" ca="1" si="808">V3654+X3654-AD3654</f>
        <v>0</v>
      </c>
      <c r="AF3654" s="196">
        <f>IFERROR(G3654/SUMIF(A:A,A3654,G:G)*SUMIF(Summary!$A$166:$A$242,'Operations Support'!A3654,Summary!$Q$166:$Q$242),0)</f>
        <v>0</v>
      </c>
      <c r="AG3654" s="196">
        <f t="shared" ref="AG3654:AG3717" ca="1" si="809">Y3654+Z3654-AF3654</f>
        <v>0</v>
      </c>
      <c r="AI3654" s="196">
        <f>IFERROR($G3654/SUMIF($A:$A,$A3654,$G:$G)*SUMIF(Summary!$A$247:$A$283,$A3654,Summary!$P$247:$P$283),0)</f>
        <v>0</v>
      </c>
      <c r="AJ3654" s="196">
        <f>IFERROR($G3654/SUMIF($A:$A,$A3654,$G:$G)*(SUMIF(Summary!$A$247:$A$283,$A3654,Summary!$L$247:$L$283)+SUMIF(Summary!$A$297:$A$333,$A3654,Summary!$L$297:$L$333))-AI3654,0)</f>
        <v>0</v>
      </c>
      <c r="AK3654" s="196">
        <f>IFERROR($G3654/SUMIF($A:$A,$A3654,$G:$G)*SUMIF(Summary!$A$247:$A$283,$A3654,Summary!$Q$247:$Q$283),0)</f>
        <v>0</v>
      </c>
      <c r="AL3654" s="196">
        <f>IFERROR($G3654/SUMIF($A:$A,$A3654,$G:$G)*(SUMIF(Summary!$A$247:$A$283,$A3654,Summary!$L$247:$L$283)+SUMIF(Summary!$A$297:$A$333,$A3654,Summary!$L$297:$L$333))-AK3654,0)</f>
        <v>0</v>
      </c>
      <c r="AM3654" s="198"/>
      <c r="AN3654" s="196">
        <f t="shared" ref="AN3654:AN3717" ca="1" si="810">AE3654+AJ3654</f>
        <v>0</v>
      </c>
      <c r="AO3654" s="196">
        <f t="shared" ref="AO3654:AO3717" ca="1" si="811">AG3654+AL3654</f>
        <v>0</v>
      </c>
    </row>
    <row r="3655" spans="1:41">
      <c r="A3655" s="189">
        <v>42295</v>
      </c>
      <c r="B3655" s="190">
        <v>4</v>
      </c>
      <c r="C3655" s="191" t="s">
        <v>237</v>
      </c>
      <c r="D3655" s="192">
        <f t="shared" si="798"/>
        <v>0</v>
      </c>
      <c r="E3655" s="192">
        <f t="shared" si="799"/>
        <v>0</v>
      </c>
      <c r="F3655" s="192">
        <f t="shared" si="800"/>
        <v>0</v>
      </c>
      <c r="G3655" s="193">
        <f t="shared" si="801"/>
        <v>0</v>
      </c>
      <c r="H3655" s="194">
        <v>0</v>
      </c>
      <c r="I3655" s="194">
        <v>0</v>
      </c>
      <c r="J3655" s="194">
        <v>0</v>
      </c>
      <c r="K3655" s="193">
        <f t="shared" si="802"/>
        <v>0</v>
      </c>
      <c r="L3655" s="194">
        <v>0</v>
      </c>
      <c r="M3655" s="194">
        <v>0</v>
      </c>
      <c r="N3655" s="194">
        <v>0</v>
      </c>
      <c r="O3655" s="193">
        <f t="shared" si="803"/>
        <v>0</v>
      </c>
      <c r="P3655" s="194">
        <v>0</v>
      </c>
      <c r="Q3655" s="194">
        <v>0</v>
      </c>
      <c r="R3655" s="194">
        <v>0</v>
      </c>
      <c r="S3655" s="193">
        <f t="shared" si="804"/>
        <v>0</v>
      </c>
      <c r="T3655" s="193">
        <f t="shared" si="805"/>
        <v>0</v>
      </c>
      <c r="U3655" s="193">
        <f ca="1">OFFSET('Expenditure Study'!$B$7,'Operations Support'!$C3655,'Operations Support'!$B3655)*$G3655</f>
        <v>0</v>
      </c>
      <c r="V3655" s="199">
        <f ca="1">U3655*'Expenditure Study'!$B$31</f>
        <v>0</v>
      </c>
      <c r="W3655" s="199">
        <f ca="1">IF(A3655=10298,1.51,1)*IF($B3655&lt;3,$D3655*'Expenditure Study'!$B$32*OFFSET('Expenditure Study'!$B$7,'Operations Support'!$C3655,'Operations Support'!$B3655),0)</f>
        <v>0</v>
      </c>
      <c r="X3655" s="200">
        <f ca="1">W3655*'Expenditure Study'!$B$31</f>
        <v>0</v>
      </c>
      <c r="Y3655" s="199">
        <f ca="1">U3655*'Expenditure Study'!$B$31</f>
        <v>0</v>
      </c>
      <c r="Z3655" s="200">
        <f ca="1">W3655*'Expenditure Study'!$B$31</f>
        <v>0</v>
      </c>
      <c r="AA3655" s="195">
        <f t="shared" ca="1" si="806"/>
        <v>0</v>
      </c>
      <c r="AB3655" s="195">
        <f t="shared" ca="1" si="807"/>
        <v>0</v>
      </c>
      <c r="AD3655" s="196">
        <f>IFERROR($G3655/SUMIF($A:$A,$A3655,$G:$G)*SUMIF(Summary!$A$166:$A$242,$A3655,Summary!$P$166:$P$242),0)</f>
        <v>0</v>
      </c>
      <c r="AE3655" s="197">
        <f t="shared" ca="1" si="808"/>
        <v>0</v>
      </c>
      <c r="AF3655" s="196">
        <f>IFERROR(G3655/SUMIF(A:A,A3655,G:G)*SUMIF(Summary!$A$166:$A$242,'Operations Support'!A3655,Summary!$Q$166:$Q$242),0)</f>
        <v>0</v>
      </c>
      <c r="AG3655" s="196">
        <f t="shared" ca="1" si="809"/>
        <v>0</v>
      </c>
      <c r="AI3655" s="196">
        <f>IFERROR($G3655/SUMIF($A:$A,$A3655,$G:$G)*SUMIF(Summary!$A$247:$A$283,$A3655,Summary!$P$247:$P$283),0)</f>
        <v>0</v>
      </c>
      <c r="AJ3655" s="196">
        <f>IFERROR($G3655/SUMIF($A:$A,$A3655,$G:$G)*(SUMIF(Summary!$A$247:$A$283,$A3655,Summary!$L$247:$L$283)+SUMIF(Summary!$A$297:$A$333,$A3655,Summary!$L$297:$L$333))-AI3655,0)</f>
        <v>0</v>
      </c>
      <c r="AK3655" s="196">
        <f>IFERROR($G3655/SUMIF($A:$A,$A3655,$G:$G)*SUMIF(Summary!$A$247:$A$283,$A3655,Summary!$Q$247:$Q$283),0)</f>
        <v>0</v>
      </c>
      <c r="AL3655" s="196">
        <f>IFERROR($G3655/SUMIF($A:$A,$A3655,$G:$G)*(SUMIF(Summary!$A$247:$A$283,$A3655,Summary!$L$247:$L$283)+SUMIF(Summary!$A$297:$A$333,$A3655,Summary!$L$297:$L$333))-AK3655,0)</f>
        <v>0</v>
      </c>
      <c r="AM3655" s="198"/>
      <c r="AN3655" s="196">
        <f t="shared" ca="1" si="810"/>
        <v>0</v>
      </c>
      <c r="AO3655" s="196">
        <f t="shared" ca="1" si="811"/>
        <v>0</v>
      </c>
    </row>
    <row r="3656" spans="1:41">
      <c r="A3656" s="189">
        <v>42295</v>
      </c>
      <c r="B3656" s="190">
        <v>4</v>
      </c>
      <c r="C3656" s="191" t="s">
        <v>238</v>
      </c>
      <c r="D3656" s="192">
        <f t="shared" si="798"/>
        <v>0</v>
      </c>
      <c r="E3656" s="192">
        <f t="shared" si="799"/>
        <v>0</v>
      </c>
      <c r="F3656" s="192">
        <f t="shared" si="800"/>
        <v>0</v>
      </c>
      <c r="G3656" s="193">
        <f t="shared" si="801"/>
        <v>0</v>
      </c>
      <c r="H3656" s="194">
        <v>0</v>
      </c>
      <c r="I3656" s="194">
        <v>0</v>
      </c>
      <c r="J3656" s="194">
        <v>0</v>
      </c>
      <c r="K3656" s="193">
        <f t="shared" si="802"/>
        <v>0</v>
      </c>
      <c r="L3656" s="194">
        <v>0</v>
      </c>
      <c r="M3656" s="194">
        <v>0</v>
      </c>
      <c r="N3656" s="194">
        <v>0</v>
      </c>
      <c r="O3656" s="193">
        <f t="shared" si="803"/>
        <v>0</v>
      </c>
      <c r="P3656" s="194">
        <v>0</v>
      </c>
      <c r="Q3656" s="194">
        <v>0</v>
      </c>
      <c r="R3656" s="194">
        <v>0</v>
      </c>
      <c r="S3656" s="193">
        <f t="shared" si="804"/>
        <v>0</v>
      </c>
      <c r="T3656" s="193">
        <f t="shared" si="805"/>
        <v>0</v>
      </c>
      <c r="U3656" s="193">
        <f ca="1">OFFSET('Expenditure Study'!$B$7,'Operations Support'!$C3656,'Operations Support'!$B3656)*$G3656</f>
        <v>0</v>
      </c>
      <c r="V3656" s="199">
        <f ca="1">U3656*'Expenditure Study'!$B$31</f>
        <v>0</v>
      </c>
      <c r="W3656" s="199">
        <f ca="1">IF(A3656=10298,1.51,1)*IF($B3656&lt;3,$D3656*'Expenditure Study'!$B$32*OFFSET('Expenditure Study'!$B$7,'Operations Support'!$C3656,'Operations Support'!$B3656),0)</f>
        <v>0</v>
      </c>
      <c r="X3656" s="200">
        <f ca="1">W3656*'Expenditure Study'!$B$31</f>
        <v>0</v>
      </c>
      <c r="Y3656" s="199">
        <f ca="1">U3656*'Expenditure Study'!$B$31</f>
        <v>0</v>
      </c>
      <c r="Z3656" s="200">
        <f ca="1">W3656*'Expenditure Study'!$B$31</f>
        <v>0</v>
      </c>
      <c r="AA3656" s="195">
        <f t="shared" ca="1" si="806"/>
        <v>0</v>
      </c>
      <c r="AB3656" s="195">
        <f t="shared" ca="1" si="807"/>
        <v>0</v>
      </c>
      <c r="AD3656" s="196">
        <f>IFERROR($G3656/SUMIF($A:$A,$A3656,$G:$G)*SUMIF(Summary!$A$166:$A$242,$A3656,Summary!$P$166:$P$242),0)</f>
        <v>0</v>
      </c>
      <c r="AE3656" s="197">
        <f t="shared" ca="1" si="808"/>
        <v>0</v>
      </c>
      <c r="AF3656" s="196">
        <f>IFERROR(G3656/SUMIF(A:A,A3656,G:G)*SUMIF(Summary!$A$166:$A$242,'Operations Support'!A3656,Summary!$Q$166:$Q$242),0)</f>
        <v>0</v>
      </c>
      <c r="AG3656" s="196">
        <f t="shared" ca="1" si="809"/>
        <v>0</v>
      </c>
      <c r="AI3656" s="196">
        <f>IFERROR($G3656/SUMIF($A:$A,$A3656,$G:$G)*SUMIF(Summary!$A$247:$A$283,$A3656,Summary!$P$247:$P$283),0)</f>
        <v>0</v>
      </c>
      <c r="AJ3656" s="196">
        <f>IFERROR($G3656/SUMIF($A:$A,$A3656,$G:$G)*(SUMIF(Summary!$A$247:$A$283,$A3656,Summary!$L$247:$L$283)+SUMIF(Summary!$A$297:$A$333,$A3656,Summary!$L$297:$L$333))-AI3656,0)</f>
        <v>0</v>
      </c>
      <c r="AK3656" s="196">
        <f>IFERROR($G3656/SUMIF($A:$A,$A3656,$G:$G)*SUMIF(Summary!$A$247:$A$283,$A3656,Summary!$Q$247:$Q$283),0)</f>
        <v>0</v>
      </c>
      <c r="AL3656" s="196">
        <f>IFERROR($G3656/SUMIF($A:$A,$A3656,$G:$G)*(SUMIF(Summary!$A$247:$A$283,$A3656,Summary!$L$247:$L$283)+SUMIF(Summary!$A$297:$A$333,$A3656,Summary!$L$297:$L$333))-AK3656,0)</f>
        <v>0</v>
      </c>
      <c r="AM3656" s="198"/>
      <c r="AN3656" s="196">
        <f t="shared" ca="1" si="810"/>
        <v>0</v>
      </c>
      <c r="AO3656" s="196">
        <f t="shared" ca="1" si="811"/>
        <v>0</v>
      </c>
    </row>
    <row r="3657" spans="1:41">
      <c r="A3657" s="189">
        <v>42295</v>
      </c>
      <c r="B3657" s="190">
        <v>4</v>
      </c>
      <c r="C3657" s="191" t="s">
        <v>239</v>
      </c>
      <c r="D3657" s="192">
        <f t="shared" si="798"/>
        <v>0</v>
      </c>
      <c r="E3657" s="192">
        <f t="shared" si="799"/>
        <v>0</v>
      </c>
      <c r="F3657" s="192">
        <f t="shared" si="800"/>
        <v>0</v>
      </c>
      <c r="G3657" s="193">
        <f t="shared" si="801"/>
        <v>0</v>
      </c>
      <c r="H3657" s="194">
        <v>0</v>
      </c>
      <c r="I3657" s="194">
        <v>0</v>
      </c>
      <c r="J3657" s="194">
        <v>0</v>
      </c>
      <c r="K3657" s="193">
        <f t="shared" si="802"/>
        <v>0</v>
      </c>
      <c r="L3657" s="194">
        <v>0</v>
      </c>
      <c r="M3657" s="194">
        <v>0</v>
      </c>
      <c r="N3657" s="194">
        <v>0</v>
      </c>
      <c r="O3657" s="193">
        <f t="shared" si="803"/>
        <v>0</v>
      </c>
      <c r="P3657" s="194">
        <v>0</v>
      </c>
      <c r="Q3657" s="194">
        <v>0</v>
      </c>
      <c r="R3657" s="194">
        <v>0</v>
      </c>
      <c r="S3657" s="193">
        <f t="shared" si="804"/>
        <v>0</v>
      </c>
      <c r="T3657" s="193">
        <f t="shared" si="805"/>
        <v>0</v>
      </c>
      <c r="U3657" s="193">
        <f ca="1">OFFSET('Expenditure Study'!$B$7,'Operations Support'!$C3657,'Operations Support'!$B3657)*$G3657</f>
        <v>0</v>
      </c>
      <c r="V3657" s="199">
        <f ca="1">U3657*'Expenditure Study'!$B$31</f>
        <v>0</v>
      </c>
      <c r="W3657" s="199">
        <f ca="1">IF(A3657=10298,1.51,1)*IF($B3657&lt;3,$D3657*'Expenditure Study'!$B$32*OFFSET('Expenditure Study'!$B$7,'Operations Support'!$C3657,'Operations Support'!$B3657),0)</f>
        <v>0</v>
      </c>
      <c r="X3657" s="200">
        <f ca="1">W3657*'Expenditure Study'!$B$31</f>
        <v>0</v>
      </c>
      <c r="Y3657" s="199">
        <f ca="1">U3657*'Expenditure Study'!$B$31</f>
        <v>0</v>
      </c>
      <c r="Z3657" s="200">
        <f ca="1">W3657*'Expenditure Study'!$B$31</f>
        <v>0</v>
      </c>
      <c r="AA3657" s="195">
        <f t="shared" ca="1" si="806"/>
        <v>0</v>
      </c>
      <c r="AB3657" s="195">
        <f t="shared" ca="1" si="807"/>
        <v>0</v>
      </c>
      <c r="AD3657" s="196">
        <f>IFERROR($G3657/SUMIF($A:$A,$A3657,$G:$G)*SUMIF(Summary!$A$166:$A$242,$A3657,Summary!$P$166:$P$242),0)</f>
        <v>0</v>
      </c>
      <c r="AE3657" s="197">
        <f t="shared" ca="1" si="808"/>
        <v>0</v>
      </c>
      <c r="AF3657" s="196">
        <f>IFERROR(G3657/SUMIF(A:A,A3657,G:G)*SUMIF(Summary!$A$166:$A$242,'Operations Support'!A3657,Summary!$Q$166:$Q$242),0)</f>
        <v>0</v>
      </c>
      <c r="AG3657" s="196">
        <f t="shared" ca="1" si="809"/>
        <v>0</v>
      </c>
      <c r="AI3657" s="196">
        <f>IFERROR($G3657/SUMIF($A:$A,$A3657,$G:$G)*SUMIF(Summary!$A$247:$A$283,$A3657,Summary!$P$247:$P$283),0)</f>
        <v>0</v>
      </c>
      <c r="AJ3657" s="196">
        <f>IFERROR($G3657/SUMIF($A:$A,$A3657,$G:$G)*(SUMIF(Summary!$A$247:$A$283,$A3657,Summary!$L$247:$L$283)+SUMIF(Summary!$A$297:$A$333,$A3657,Summary!$L$297:$L$333))-AI3657,0)</f>
        <v>0</v>
      </c>
      <c r="AK3657" s="196">
        <f>IFERROR($G3657/SUMIF($A:$A,$A3657,$G:$G)*SUMIF(Summary!$A$247:$A$283,$A3657,Summary!$Q$247:$Q$283),0)</f>
        <v>0</v>
      </c>
      <c r="AL3657" s="196">
        <f>IFERROR($G3657/SUMIF($A:$A,$A3657,$G:$G)*(SUMIF(Summary!$A$247:$A$283,$A3657,Summary!$L$247:$L$283)+SUMIF(Summary!$A$297:$A$333,$A3657,Summary!$L$297:$L$333))-AK3657,0)</f>
        <v>0</v>
      </c>
      <c r="AM3657" s="198"/>
      <c r="AN3657" s="196">
        <f t="shared" ca="1" si="810"/>
        <v>0</v>
      </c>
      <c r="AO3657" s="196">
        <f t="shared" ca="1" si="811"/>
        <v>0</v>
      </c>
    </row>
    <row r="3658" spans="1:41">
      <c r="A3658" s="189">
        <v>42295</v>
      </c>
      <c r="B3658" s="190">
        <v>4</v>
      </c>
      <c r="C3658" s="191" t="s">
        <v>240</v>
      </c>
      <c r="D3658" s="192">
        <f t="shared" si="798"/>
        <v>0</v>
      </c>
      <c r="E3658" s="192">
        <f t="shared" si="799"/>
        <v>0</v>
      </c>
      <c r="F3658" s="192">
        <f t="shared" si="800"/>
        <v>0</v>
      </c>
      <c r="G3658" s="193">
        <f t="shared" si="801"/>
        <v>0</v>
      </c>
      <c r="H3658" s="194">
        <v>0</v>
      </c>
      <c r="I3658" s="194">
        <v>0</v>
      </c>
      <c r="J3658" s="194">
        <v>0</v>
      </c>
      <c r="K3658" s="193">
        <f t="shared" si="802"/>
        <v>0</v>
      </c>
      <c r="L3658" s="194">
        <v>0</v>
      </c>
      <c r="M3658" s="194">
        <v>0</v>
      </c>
      <c r="N3658" s="194">
        <v>0</v>
      </c>
      <c r="O3658" s="193">
        <f t="shared" si="803"/>
        <v>0</v>
      </c>
      <c r="P3658" s="194">
        <v>0</v>
      </c>
      <c r="Q3658" s="194">
        <v>0</v>
      </c>
      <c r="R3658" s="194">
        <v>0</v>
      </c>
      <c r="S3658" s="193">
        <f t="shared" si="804"/>
        <v>0</v>
      </c>
      <c r="T3658" s="193">
        <f t="shared" si="805"/>
        <v>0</v>
      </c>
      <c r="U3658" s="193">
        <f ca="1">OFFSET('Expenditure Study'!$B$7,'Operations Support'!$C3658,'Operations Support'!$B3658)*$G3658</f>
        <v>0</v>
      </c>
      <c r="V3658" s="199">
        <f ca="1">U3658*'Expenditure Study'!$B$31</f>
        <v>0</v>
      </c>
      <c r="W3658" s="199">
        <f ca="1">IF(A3658=10298,1.51,1)*IF($B3658&lt;3,$D3658*'Expenditure Study'!$B$32*OFFSET('Expenditure Study'!$B$7,'Operations Support'!$C3658,'Operations Support'!$B3658),0)</f>
        <v>0</v>
      </c>
      <c r="X3658" s="200">
        <f ca="1">W3658*'Expenditure Study'!$B$31</f>
        <v>0</v>
      </c>
      <c r="Y3658" s="199">
        <f ca="1">U3658*'Expenditure Study'!$B$31</f>
        <v>0</v>
      </c>
      <c r="Z3658" s="200">
        <f ca="1">W3658*'Expenditure Study'!$B$31</f>
        <v>0</v>
      </c>
      <c r="AA3658" s="195">
        <f t="shared" ca="1" si="806"/>
        <v>0</v>
      </c>
      <c r="AB3658" s="195">
        <f t="shared" ca="1" si="807"/>
        <v>0</v>
      </c>
      <c r="AD3658" s="196">
        <f>IFERROR($G3658/SUMIF($A:$A,$A3658,$G:$G)*SUMIF(Summary!$A$166:$A$242,$A3658,Summary!$P$166:$P$242),0)</f>
        <v>0</v>
      </c>
      <c r="AE3658" s="197">
        <f t="shared" ca="1" si="808"/>
        <v>0</v>
      </c>
      <c r="AF3658" s="196">
        <f>IFERROR(G3658/SUMIF(A:A,A3658,G:G)*SUMIF(Summary!$A$166:$A$242,'Operations Support'!A3658,Summary!$Q$166:$Q$242),0)</f>
        <v>0</v>
      </c>
      <c r="AG3658" s="196">
        <f t="shared" ca="1" si="809"/>
        <v>0</v>
      </c>
      <c r="AI3658" s="196">
        <f>IFERROR($G3658/SUMIF($A:$A,$A3658,$G:$G)*SUMIF(Summary!$A$247:$A$283,$A3658,Summary!$P$247:$P$283),0)</f>
        <v>0</v>
      </c>
      <c r="AJ3658" s="196">
        <f>IFERROR($G3658/SUMIF($A:$A,$A3658,$G:$G)*(SUMIF(Summary!$A$247:$A$283,$A3658,Summary!$L$247:$L$283)+SUMIF(Summary!$A$297:$A$333,$A3658,Summary!$L$297:$L$333))-AI3658,0)</f>
        <v>0</v>
      </c>
      <c r="AK3658" s="196">
        <f>IFERROR($G3658/SUMIF($A:$A,$A3658,$G:$G)*SUMIF(Summary!$A$247:$A$283,$A3658,Summary!$Q$247:$Q$283),0)</f>
        <v>0</v>
      </c>
      <c r="AL3658" s="196">
        <f>IFERROR($G3658/SUMIF($A:$A,$A3658,$G:$G)*(SUMIF(Summary!$A$247:$A$283,$A3658,Summary!$L$247:$L$283)+SUMIF(Summary!$A$297:$A$333,$A3658,Summary!$L$297:$L$333))-AK3658,0)</f>
        <v>0</v>
      </c>
      <c r="AM3658" s="198"/>
      <c r="AN3658" s="196">
        <f t="shared" ca="1" si="810"/>
        <v>0</v>
      </c>
      <c r="AO3658" s="196">
        <f t="shared" ca="1" si="811"/>
        <v>0</v>
      </c>
    </row>
    <row r="3659" spans="1:41">
      <c r="A3659" s="189">
        <v>42295</v>
      </c>
      <c r="B3659" s="190">
        <v>5</v>
      </c>
      <c r="C3659" s="191" t="s">
        <v>220</v>
      </c>
      <c r="D3659" s="192">
        <f t="shared" si="798"/>
        <v>0</v>
      </c>
      <c r="E3659" s="192">
        <f t="shared" si="799"/>
        <v>0</v>
      </c>
      <c r="F3659" s="192">
        <f t="shared" si="800"/>
        <v>0</v>
      </c>
      <c r="G3659" s="193">
        <f t="shared" si="801"/>
        <v>0</v>
      </c>
      <c r="H3659" s="194">
        <v>0</v>
      </c>
      <c r="I3659" s="194">
        <v>0</v>
      </c>
      <c r="J3659" s="194">
        <v>0</v>
      </c>
      <c r="K3659" s="193">
        <f t="shared" si="802"/>
        <v>0</v>
      </c>
      <c r="L3659" s="194">
        <v>0</v>
      </c>
      <c r="M3659" s="194">
        <v>0</v>
      </c>
      <c r="N3659" s="194">
        <v>0</v>
      </c>
      <c r="O3659" s="193">
        <f t="shared" si="803"/>
        <v>0</v>
      </c>
      <c r="P3659" s="194">
        <v>0</v>
      </c>
      <c r="Q3659" s="194">
        <v>0</v>
      </c>
      <c r="R3659" s="194">
        <v>0</v>
      </c>
      <c r="S3659" s="193">
        <f t="shared" si="804"/>
        <v>0</v>
      </c>
      <c r="T3659" s="193">
        <f t="shared" si="805"/>
        <v>0</v>
      </c>
      <c r="U3659" s="193">
        <f ca="1">OFFSET('Expenditure Study'!$B$7,'Operations Support'!$C3659,'Operations Support'!$B3659)*$G3659</f>
        <v>0</v>
      </c>
      <c r="V3659" s="199">
        <f ca="1">U3659*'Expenditure Study'!$B$31</f>
        <v>0</v>
      </c>
      <c r="W3659" s="199">
        <f ca="1">IF(A3659=10298,1.51,1)*IF($B3659&lt;3,$D3659*'Expenditure Study'!$B$32*OFFSET('Expenditure Study'!$B$7,'Operations Support'!$C3659,'Operations Support'!$B3659),0)</f>
        <v>0</v>
      </c>
      <c r="X3659" s="200">
        <f ca="1">W3659*'Expenditure Study'!$B$31</f>
        <v>0</v>
      </c>
      <c r="Y3659" s="199">
        <f ca="1">U3659*'Expenditure Study'!$B$31</f>
        <v>0</v>
      </c>
      <c r="Z3659" s="200">
        <f ca="1">W3659*'Expenditure Study'!$B$31</f>
        <v>0</v>
      </c>
      <c r="AA3659" s="195">
        <f t="shared" ca="1" si="806"/>
        <v>0</v>
      </c>
      <c r="AB3659" s="195">
        <f t="shared" ca="1" si="807"/>
        <v>0</v>
      </c>
      <c r="AD3659" s="196">
        <f>IFERROR($G3659/SUMIF($A:$A,$A3659,$G:$G)*SUMIF(Summary!$A$166:$A$242,$A3659,Summary!$P$166:$P$242),0)</f>
        <v>0</v>
      </c>
      <c r="AE3659" s="197">
        <f t="shared" ca="1" si="808"/>
        <v>0</v>
      </c>
      <c r="AF3659" s="196">
        <f>IFERROR(G3659/SUMIF(A:A,A3659,G:G)*SUMIF(Summary!$A$166:$A$242,'Operations Support'!A3659,Summary!$Q$166:$Q$242),0)</f>
        <v>0</v>
      </c>
      <c r="AG3659" s="196">
        <f t="shared" ca="1" si="809"/>
        <v>0</v>
      </c>
      <c r="AI3659" s="196">
        <f>IFERROR($G3659/SUMIF($A:$A,$A3659,$G:$G)*SUMIF(Summary!$A$247:$A$283,$A3659,Summary!$P$247:$P$283),0)</f>
        <v>0</v>
      </c>
      <c r="AJ3659" s="196">
        <f>IFERROR($G3659/SUMIF($A:$A,$A3659,$G:$G)*(SUMIF(Summary!$A$247:$A$283,$A3659,Summary!$L$247:$L$283)+SUMIF(Summary!$A$297:$A$333,$A3659,Summary!$L$297:$L$333))-AI3659,0)</f>
        <v>0</v>
      </c>
      <c r="AK3659" s="196">
        <f>IFERROR($G3659/SUMIF($A:$A,$A3659,$G:$G)*SUMIF(Summary!$A$247:$A$283,$A3659,Summary!$Q$247:$Q$283),0)</f>
        <v>0</v>
      </c>
      <c r="AL3659" s="196">
        <f>IFERROR($G3659/SUMIF($A:$A,$A3659,$G:$G)*(SUMIF(Summary!$A$247:$A$283,$A3659,Summary!$L$247:$L$283)+SUMIF(Summary!$A$297:$A$333,$A3659,Summary!$L$297:$L$333))-AK3659,0)</f>
        <v>0</v>
      </c>
      <c r="AM3659" s="198"/>
      <c r="AN3659" s="196">
        <f t="shared" ca="1" si="810"/>
        <v>0</v>
      </c>
      <c r="AO3659" s="196">
        <f t="shared" ca="1" si="811"/>
        <v>0</v>
      </c>
    </row>
    <row r="3660" spans="1:41">
      <c r="A3660" s="189">
        <v>42295</v>
      </c>
      <c r="B3660" s="190">
        <v>5</v>
      </c>
      <c r="C3660" s="191" t="s">
        <v>221</v>
      </c>
      <c r="D3660" s="192">
        <f t="shared" si="798"/>
        <v>0</v>
      </c>
      <c r="E3660" s="192">
        <f t="shared" si="799"/>
        <v>0</v>
      </c>
      <c r="F3660" s="192">
        <f t="shared" si="800"/>
        <v>0</v>
      </c>
      <c r="G3660" s="193">
        <f t="shared" si="801"/>
        <v>0</v>
      </c>
      <c r="H3660" s="194">
        <v>0</v>
      </c>
      <c r="I3660" s="194">
        <v>0</v>
      </c>
      <c r="J3660" s="194">
        <v>0</v>
      </c>
      <c r="K3660" s="193">
        <f t="shared" si="802"/>
        <v>0</v>
      </c>
      <c r="L3660" s="194">
        <v>0</v>
      </c>
      <c r="M3660" s="194">
        <v>0</v>
      </c>
      <c r="N3660" s="194">
        <v>0</v>
      </c>
      <c r="O3660" s="193">
        <f t="shared" si="803"/>
        <v>0</v>
      </c>
      <c r="P3660" s="194">
        <v>0</v>
      </c>
      <c r="Q3660" s="194">
        <v>0</v>
      </c>
      <c r="R3660" s="194">
        <v>0</v>
      </c>
      <c r="S3660" s="193">
        <f t="shared" si="804"/>
        <v>0</v>
      </c>
      <c r="T3660" s="193">
        <f t="shared" si="805"/>
        <v>0</v>
      </c>
      <c r="U3660" s="193">
        <f ca="1">OFFSET('Expenditure Study'!$B$7,'Operations Support'!$C3660,'Operations Support'!$B3660)*$G3660</f>
        <v>0</v>
      </c>
      <c r="V3660" s="199">
        <f ca="1">U3660*'Expenditure Study'!$B$31</f>
        <v>0</v>
      </c>
      <c r="W3660" s="199">
        <f ca="1">IF(A3660=10298,1.51,1)*IF($B3660&lt;3,$D3660*'Expenditure Study'!$B$32*OFFSET('Expenditure Study'!$B$7,'Operations Support'!$C3660,'Operations Support'!$B3660),0)</f>
        <v>0</v>
      </c>
      <c r="X3660" s="200">
        <f ca="1">W3660*'Expenditure Study'!$B$31</f>
        <v>0</v>
      </c>
      <c r="Y3660" s="199">
        <f ca="1">U3660*'Expenditure Study'!$B$31</f>
        <v>0</v>
      </c>
      <c r="Z3660" s="200">
        <f ca="1">W3660*'Expenditure Study'!$B$31</f>
        <v>0</v>
      </c>
      <c r="AA3660" s="195">
        <f t="shared" ca="1" si="806"/>
        <v>0</v>
      </c>
      <c r="AB3660" s="195">
        <f t="shared" ca="1" si="807"/>
        <v>0</v>
      </c>
      <c r="AD3660" s="196">
        <f>IFERROR($G3660/SUMIF($A:$A,$A3660,$G:$G)*SUMIF(Summary!$A$166:$A$242,$A3660,Summary!$P$166:$P$242),0)</f>
        <v>0</v>
      </c>
      <c r="AE3660" s="197">
        <f t="shared" ca="1" si="808"/>
        <v>0</v>
      </c>
      <c r="AF3660" s="196">
        <f>IFERROR(G3660/SUMIF(A:A,A3660,G:G)*SUMIF(Summary!$A$166:$A$242,'Operations Support'!A3660,Summary!$Q$166:$Q$242),0)</f>
        <v>0</v>
      </c>
      <c r="AG3660" s="196">
        <f t="shared" ca="1" si="809"/>
        <v>0</v>
      </c>
      <c r="AI3660" s="196">
        <f>IFERROR($G3660/SUMIF($A:$A,$A3660,$G:$G)*SUMIF(Summary!$A$247:$A$283,$A3660,Summary!$P$247:$P$283),0)</f>
        <v>0</v>
      </c>
      <c r="AJ3660" s="196">
        <f>IFERROR($G3660/SUMIF($A:$A,$A3660,$G:$G)*(SUMIF(Summary!$A$247:$A$283,$A3660,Summary!$L$247:$L$283)+SUMIF(Summary!$A$297:$A$333,$A3660,Summary!$L$297:$L$333))-AI3660,0)</f>
        <v>0</v>
      </c>
      <c r="AK3660" s="196">
        <f>IFERROR($G3660/SUMIF($A:$A,$A3660,$G:$G)*SUMIF(Summary!$A$247:$A$283,$A3660,Summary!$Q$247:$Q$283),0)</f>
        <v>0</v>
      </c>
      <c r="AL3660" s="196">
        <f>IFERROR($G3660/SUMIF($A:$A,$A3660,$G:$G)*(SUMIF(Summary!$A$247:$A$283,$A3660,Summary!$L$247:$L$283)+SUMIF(Summary!$A$297:$A$333,$A3660,Summary!$L$297:$L$333))-AK3660,0)</f>
        <v>0</v>
      </c>
      <c r="AM3660" s="198"/>
      <c r="AN3660" s="196">
        <f t="shared" ca="1" si="810"/>
        <v>0</v>
      </c>
      <c r="AO3660" s="196">
        <f t="shared" ca="1" si="811"/>
        <v>0</v>
      </c>
    </row>
    <row r="3661" spans="1:41">
      <c r="A3661" s="189">
        <v>42295</v>
      </c>
      <c r="B3661" s="190">
        <v>5</v>
      </c>
      <c r="C3661" s="191" t="s">
        <v>222</v>
      </c>
      <c r="D3661" s="192">
        <f t="shared" si="798"/>
        <v>0</v>
      </c>
      <c r="E3661" s="192">
        <f t="shared" si="799"/>
        <v>0</v>
      </c>
      <c r="F3661" s="192">
        <f t="shared" si="800"/>
        <v>0</v>
      </c>
      <c r="G3661" s="193">
        <f t="shared" si="801"/>
        <v>0</v>
      </c>
      <c r="H3661" s="194">
        <v>0</v>
      </c>
      <c r="I3661" s="194">
        <v>0</v>
      </c>
      <c r="J3661" s="194">
        <v>0</v>
      </c>
      <c r="K3661" s="193">
        <f t="shared" si="802"/>
        <v>0</v>
      </c>
      <c r="L3661" s="194">
        <v>0</v>
      </c>
      <c r="M3661" s="194">
        <v>0</v>
      </c>
      <c r="N3661" s="194">
        <v>0</v>
      </c>
      <c r="O3661" s="193">
        <f t="shared" si="803"/>
        <v>0</v>
      </c>
      <c r="P3661" s="194">
        <v>0</v>
      </c>
      <c r="Q3661" s="194">
        <v>0</v>
      </c>
      <c r="R3661" s="194">
        <v>0</v>
      </c>
      <c r="S3661" s="193">
        <f t="shared" si="804"/>
        <v>0</v>
      </c>
      <c r="T3661" s="193">
        <f t="shared" si="805"/>
        <v>0</v>
      </c>
      <c r="U3661" s="193">
        <f ca="1">OFFSET('Expenditure Study'!$B$7,'Operations Support'!$C3661,'Operations Support'!$B3661)*$G3661</f>
        <v>0</v>
      </c>
      <c r="V3661" s="199">
        <f ca="1">U3661*'Expenditure Study'!$B$31</f>
        <v>0</v>
      </c>
      <c r="W3661" s="199">
        <f ca="1">IF(A3661=10298,1.51,1)*IF($B3661&lt;3,$D3661*'Expenditure Study'!$B$32*OFFSET('Expenditure Study'!$B$7,'Operations Support'!$C3661,'Operations Support'!$B3661),0)</f>
        <v>0</v>
      </c>
      <c r="X3661" s="200">
        <f ca="1">W3661*'Expenditure Study'!$B$31</f>
        <v>0</v>
      </c>
      <c r="Y3661" s="199">
        <f ca="1">U3661*'Expenditure Study'!$B$31</f>
        <v>0</v>
      </c>
      <c r="Z3661" s="200">
        <f ca="1">W3661*'Expenditure Study'!$B$31</f>
        <v>0</v>
      </c>
      <c r="AA3661" s="195">
        <f t="shared" ca="1" si="806"/>
        <v>0</v>
      </c>
      <c r="AB3661" s="195">
        <f t="shared" ca="1" si="807"/>
        <v>0</v>
      </c>
      <c r="AD3661" s="196">
        <f>IFERROR($G3661/SUMIF($A:$A,$A3661,$G:$G)*SUMIF(Summary!$A$166:$A$242,$A3661,Summary!$P$166:$P$242),0)</f>
        <v>0</v>
      </c>
      <c r="AE3661" s="197">
        <f t="shared" ca="1" si="808"/>
        <v>0</v>
      </c>
      <c r="AF3661" s="196">
        <f>IFERROR(G3661/SUMIF(A:A,A3661,G:G)*SUMIF(Summary!$A$166:$A$242,'Operations Support'!A3661,Summary!$Q$166:$Q$242),0)</f>
        <v>0</v>
      </c>
      <c r="AG3661" s="196">
        <f t="shared" ca="1" si="809"/>
        <v>0</v>
      </c>
      <c r="AI3661" s="196">
        <f>IFERROR($G3661/SUMIF($A:$A,$A3661,$G:$G)*SUMIF(Summary!$A$247:$A$283,$A3661,Summary!$P$247:$P$283),0)</f>
        <v>0</v>
      </c>
      <c r="AJ3661" s="196">
        <f>IFERROR($G3661/SUMIF($A:$A,$A3661,$G:$G)*(SUMIF(Summary!$A$247:$A$283,$A3661,Summary!$L$247:$L$283)+SUMIF(Summary!$A$297:$A$333,$A3661,Summary!$L$297:$L$333))-AI3661,0)</f>
        <v>0</v>
      </c>
      <c r="AK3661" s="196">
        <f>IFERROR($G3661/SUMIF($A:$A,$A3661,$G:$G)*SUMIF(Summary!$A$247:$A$283,$A3661,Summary!$Q$247:$Q$283),0)</f>
        <v>0</v>
      </c>
      <c r="AL3661" s="196">
        <f>IFERROR($G3661/SUMIF($A:$A,$A3661,$G:$G)*(SUMIF(Summary!$A$247:$A$283,$A3661,Summary!$L$247:$L$283)+SUMIF(Summary!$A$297:$A$333,$A3661,Summary!$L$297:$L$333))-AK3661,0)</f>
        <v>0</v>
      </c>
      <c r="AM3661" s="198"/>
      <c r="AN3661" s="196">
        <f t="shared" ca="1" si="810"/>
        <v>0</v>
      </c>
      <c r="AO3661" s="196">
        <f t="shared" ca="1" si="811"/>
        <v>0</v>
      </c>
    </row>
    <row r="3662" spans="1:41">
      <c r="A3662" s="189">
        <v>42295</v>
      </c>
      <c r="B3662" s="190">
        <v>5</v>
      </c>
      <c r="C3662" s="191" t="s">
        <v>223</v>
      </c>
      <c r="D3662" s="192">
        <f t="shared" si="798"/>
        <v>0</v>
      </c>
      <c r="E3662" s="192">
        <f t="shared" si="799"/>
        <v>0</v>
      </c>
      <c r="F3662" s="192">
        <f t="shared" si="800"/>
        <v>0</v>
      </c>
      <c r="G3662" s="193">
        <f t="shared" si="801"/>
        <v>0</v>
      </c>
      <c r="H3662" s="194">
        <v>0</v>
      </c>
      <c r="I3662" s="194">
        <v>0</v>
      </c>
      <c r="J3662" s="194">
        <v>0</v>
      </c>
      <c r="K3662" s="193">
        <f t="shared" si="802"/>
        <v>0</v>
      </c>
      <c r="L3662" s="194">
        <v>0</v>
      </c>
      <c r="M3662" s="194">
        <v>0</v>
      </c>
      <c r="N3662" s="194">
        <v>0</v>
      </c>
      <c r="O3662" s="193">
        <f t="shared" si="803"/>
        <v>0</v>
      </c>
      <c r="P3662" s="194">
        <v>0</v>
      </c>
      <c r="Q3662" s="194">
        <v>0</v>
      </c>
      <c r="R3662" s="194">
        <v>0</v>
      </c>
      <c r="S3662" s="193">
        <f t="shared" si="804"/>
        <v>0</v>
      </c>
      <c r="T3662" s="193">
        <f t="shared" si="805"/>
        <v>0</v>
      </c>
      <c r="U3662" s="193">
        <f ca="1">OFFSET('Expenditure Study'!$B$7,'Operations Support'!$C3662,'Operations Support'!$B3662)*$G3662</f>
        <v>0</v>
      </c>
      <c r="V3662" s="199">
        <f ca="1">U3662*'Expenditure Study'!$B$31</f>
        <v>0</v>
      </c>
      <c r="W3662" s="199">
        <f ca="1">IF(A3662=10298,1.51,1)*IF($B3662&lt;3,$D3662*'Expenditure Study'!$B$32*OFFSET('Expenditure Study'!$B$7,'Operations Support'!$C3662,'Operations Support'!$B3662),0)</f>
        <v>0</v>
      </c>
      <c r="X3662" s="200">
        <f ca="1">W3662*'Expenditure Study'!$B$31</f>
        <v>0</v>
      </c>
      <c r="Y3662" s="199">
        <f ca="1">U3662*'Expenditure Study'!$B$31</f>
        <v>0</v>
      </c>
      <c r="Z3662" s="200">
        <f ca="1">W3662*'Expenditure Study'!$B$31</f>
        <v>0</v>
      </c>
      <c r="AA3662" s="195">
        <f t="shared" ca="1" si="806"/>
        <v>0</v>
      </c>
      <c r="AB3662" s="195">
        <f t="shared" ca="1" si="807"/>
        <v>0</v>
      </c>
      <c r="AD3662" s="196">
        <f>IFERROR($G3662/SUMIF($A:$A,$A3662,$G:$G)*SUMIF(Summary!$A$166:$A$242,$A3662,Summary!$P$166:$P$242),0)</f>
        <v>0</v>
      </c>
      <c r="AE3662" s="197">
        <f t="shared" ca="1" si="808"/>
        <v>0</v>
      </c>
      <c r="AF3662" s="196">
        <f>IFERROR(G3662/SUMIF(A:A,A3662,G:G)*SUMIF(Summary!$A$166:$A$242,'Operations Support'!A3662,Summary!$Q$166:$Q$242),0)</f>
        <v>0</v>
      </c>
      <c r="AG3662" s="196">
        <f t="shared" ca="1" si="809"/>
        <v>0</v>
      </c>
      <c r="AI3662" s="196">
        <f>IFERROR($G3662/SUMIF($A:$A,$A3662,$G:$G)*SUMIF(Summary!$A$247:$A$283,$A3662,Summary!$P$247:$P$283),0)</f>
        <v>0</v>
      </c>
      <c r="AJ3662" s="196">
        <f>IFERROR($G3662/SUMIF($A:$A,$A3662,$G:$G)*(SUMIF(Summary!$A$247:$A$283,$A3662,Summary!$L$247:$L$283)+SUMIF(Summary!$A$297:$A$333,$A3662,Summary!$L$297:$L$333))-AI3662,0)</f>
        <v>0</v>
      </c>
      <c r="AK3662" s="196">
        <f>IFERROR($G3662/SUMIF($A:$A,$A3662,$G:$G)*SUMIF(Summary!$A$247:$A$283,$A3662,Summary!$Q$247:$Q$283),0)</f>
        <v>0</v>
      </c>
      <c r="AL3662" s="196">
        <f>IFERROR($G3662/SUMIF($A:$A,$A3662,$G:$G)*(SUMIF(Summary!$A$247:$A$283,$A3662,Summary!$L$247:$L$283)+SUMIF(Summary!$A$297:$A$333,$A3662,Summary!$L$297:$L$333))-AK3662,0)</f>
        <v>0</v>
      </c>
      <c r="AM3662" s="198"/>
      <c r="AN3662" s="196">
        <f t="shared" ca="1" si="810"/>
        <v>0</v>
      </c>
      <c r="AO3662" s="196">
        <f t="shared" ca="1" si="811"/>
        <v>0</v>
      </c>
    </row>
    <row r="3663" spans="1:41">
      <c r="A3663" s="189">
        <v>42295</v>
      </c>
      <c r="B3663" s="190">
        <v>5</v>
      </c>
      <c r="C3663" s="191" t="s">
        <v>224</v>
      </c>
      <c r="D3663" s="192">
        <f t="shared" si="798"/>
        <v>0</v>
      </c>
      <c r="E3663" s="192">
        <f t="shared" si="799"/>
        <v>0</v>
      </c>
      <c r="F3663" s="192">
        <f t="shared" si="800"/>
        <v>0</v>
      </c>
      <c r="G3663" s="193">
        <f t="shared" si="801"/>
        <v>0</v>
      </c>
      <c r="H3663" s="194">
        <v>0</v>
      </c>
      <c r="I3663" s="194">
        <v>0</v>
      </c>
      <c r="J3663" s="194">
        <v>0</v>
      </c>
      <c r="K3663" s="193">
        <f t="shared" si="802"/>
        <v>0</v>
      </c>
      <c r="L3663" s="194">
        <v>0</v>
      </c>
      <c r="M3663" s="194">
        <v>0</v>
      </c>
      <c r="N3663" s="194">
        <v>0</v>
      </c>
      <c r="O3663" s="193">
        <f t="shared" si="803"/>
        <v>0</v>
      </c>
      <c r="P3663" s="194">
        <v>0</v>
      </c>
      <c r="Q3663" s="194">
        <v>0</v>
      </c>
      <c r="R3663" s="194">
        <v>0</v>
      </c>
      <c r="S3663" s="193">
        <f t="shared" si="804"/>
        <v>0</v>
      </c>
      <c r="T3663" s="193">
        <f t="shared" si="805"/>
        <v>0</v>
      </c>
      <c r="U3663" s="193">
        <f ca="1">OFFSET('Expenditure Study'!$B$7,'Operations Support'!$C3663,'Operations Support'!$B3663)*$G3663</f>
        <v>0</v>
      </c>
      <c r="V3663" s="199">
        <f ca="1">U3663*'Expenditure Study'!$B$31</f>
        <v>0</v>
      </c>
      <c r="W3663" s="199">
        <f ca="1">IF(A3663=10298,1.51,1)*IF($B3663&lt;3,$D3663*'Expenditure Study'!$B$32*OFFSET('Expenditure Study'!$B$7,'Operations Support'!$C3663,'Operations Support'!$B3663),0)</f>
        <v>0</v>
      </c>
      <c r="X3663" s="200">
        <f ca="1">W3663*'Expenditure Study'!$B$31</f>
        <v>0</v>
      </c>
      <c r="Y3663" s="199">
        <f ca="1">U3663*'Expenditure Study'!$B$31</f>
        <v>0</v>
      </c>
      <c r="Z3663" s="200">
        <f ca="1">W3663*'Expenditure Study'!$B$31</f>
        <v>0</v>
      </c>
      <c r="AA3663" s="195">
        <f t="shared" ca="1" si="806"/>
        <v>0</v>
      </c>
      <c r="AB3663" s="195">
        <f t="shared" ca="1" si="807"/>
        <v>0</v>
      </c>
      <c r="AD3663" s="196">
        <f>IFERROR($G3663/SUMIF($A:$A,$A3663,$G:$G)*SUMIF(Summary!$A$166:$A$242,$A3663,Summary!$P$166:$P$242),0)</f>
        <v>0</v>
      </c>
      <c r="AE3663" s="197">
        <f t="shared" ca="1" si="808"/>
        <v>0</v>
      </c>
      <c r="AF3663" s="196">
        <f>IFERROR(G3663/SUMIF(A:A,A3663,G:G)*SUMIF(Summary!$A$166:$A$242,'Operations Support'!A3663,Summary!$Q$166:$Q$242),0)</f>
        <v>0</v>
      </c>
      <c r="AG3663" s="196">
        <f t="shared" ca="1" si="809"/>
        <v>0</v>
      </c>
      <c r="AI3663" s="196">
        <f>IFERROR($G3663/SUMIF($A:$A,$A3663,$G:$G)*SUMIF(Summary!$A$247:$A$283,$A3663,Summary!$P$247:$P$283),0)</f>
        <v>0</v>
      </c>
      <c r="AJ3663" s="196">
        <f>IFERROR($G3663/SUMIF($A:$A,$A3663,$G:$G)*(SUMIF(Summary!$A$247:$A$283,$A3663,Summary!$L$247:$L$283)+SUMIF(Summary!$A$297:$A$333,$A3663,Summary!$L$297:$L$333))-AI3663,0)</f>
        <v>0</v>
      </c>
      <c r="AK3663" s="196">
        <f>IFERROR($G3663/SUMIF($A:$A,$A3663,$G:$G)*SUMIF(Summary!$A$247:$A$283,$A3663,Summary!$Q$247:$Q$283),0)</f>
        <v>0</v>
      </c>
      <c r="AL3663" s="196">
        <f>IFERROR($G3663/SUMIF($A:$A,$A3663,$G:$G)*(SUMIF(Summary!$A$247:$A$283,$A3663,Summary!$L$247:$L$283)+SUMIF(Summary!$A$297:$A$333,$A3663,Summary!$L$297:$L$333))-AK3663,0)</f>
        <v>0</v>
      </c>
      <c r="AM3663" s="198"/>
      <c r="AN3663" s="196">
        <f t="shared" ca="1" si="810"/>
        <v>0</v>
      </c>
      <c r="AO3663" s="196">
        <f t="shared" ca="1" si="811"/>
        <v>0</v>
      </c>
    </row>
    <row r="3664" spans="1:41">
      <c r="A3664" s="189">
        <v>42295</v>
      </c>
      <c r="B3664" s="190">
        <v>5</v>
      </c>
      <c r="C3664" s="191" t="s">
        <v>225</v>
      </c>
      <c r="D3664" s="192">
        <f t="shared" si="798"/>
        <v>0</v>
      </c>
      <c r="E3664" s="192">
        <f t="shared" si="799"/>
        <v>0</v>
      </c>
      <c r="F3664" s="192">
        <f t="shared" si="800"/>
        <v>0</v>
      </c>
      <c r="G3664" s="193">
        <f t="shared" si="801"/>
        <v>0</v>
      </c>
      <c r="H3664" s="194">
        <v>0</v>
      </c>
      <c r="I3664" s="194">
        <v>0</v>
      </c>
      <c r="J3664" s="194">
        <v>0</v>
      </c>
      <c r="K3664" s="193">
        <f t="shared" si="802"/>
        <v>0</v>
      </c>
      <c r="L3664" s="194">
        <v>0</v>
      </c>
      <c r="M3664" s="194">
        <v>0</v>
      </c>
      <c r="N3664" s="194">
        <v>0</v>
      </c>
      <c r="O3664" s="193">
        <f t="shared" si="803"/>
        <v>0</v>
      </c>
      <c r="P3664" s="194">
        <v>0</v>
      </c>
      <c r="Q3664" s="194">
        <v>0</v>
      </c>
      <c r="R3664" s="194">
        <v>0</v>
      </c>
      <c r="S3664" s="193">
        <f t="shared" si="804"/>
        <v>0</v>
      </c>
      <c r="T3664" s="193">
        <f t="shared" si="805"/>
        <v>0</v>
      </c>
      <c r="U3664" s="193">
        <f ca="1">OFFSET('Expenditure Study'!$B$7,'Operations Support'!$C3664,'Operations Support'!$B3664)*$G3664</f>
        <v>0</v>
      </c>
      <c r="V3664" s="199">
        <f ca="1">U3664*'Expenditure Study'!$B$31</f>
        <v>0</v>
      </c>
      <c r="W3664" s="199">
        <f ca="1">IF(A3664=10298,1.51,1)*IF($B3664&lt;3,$D3664*'Expenditure Study'!$B$32*OFFSET('Expenditure Study'!$B$7,'Operations Support'!$C3664,'Operations Support'!$B3664),0)</f>
        <v>0</v>
      </c>
      <c r="X3664" s="200">
        <f ca="1">W3664*'Expenditure Study'!$B$31</f>
        <v>0</v>
      </c>
      <c r="Y3664" s="199">
        <f ca="1">U3664*'Expenditure Study'!$B$31</f>
        <v>0</v>
      </c>
      <c r="Z3664" s="200">
        <f ca="1">W3664*'Expenditure Study'!$B$31</f>
        <v>0</v>
      </c>
      <c r="AA3664" s="195">
        <f t="shared" ca="1" si="806"/>
        <v>0</v>
      </c>
      <c r="AB3664" s="195">
        <f t="shared" ca="1" si="807"/>
        <v>0</v>
      </c>
      <c r="AD3664" s="196">
        <f>IFERROR($G3664/SUMIF($A:$A,$A3664,$G:$G)*SUMIF(Summary!$A$166:$A$242,$A3664,Summary!$P$166:$P$242),0)</f>
        <v>0</v>
      </c>
      <c r="AE3664" s="197">
        <f t="shared" ca="1" si="808"/>
        <v>0</v>
      </c>
      <c r="AF3664" s="196">
        <f>IFERROR(G3664/SUMIF(A:A,A3664,G:G)*SUMIF(Summary!$A$166:$A$242,'Operations Support'!A3664,Summary!$Q$166:$Q$242),0)</f>
        <v>0</v>
      </c>
      <c r="AG3664" s="196">
        <f t="shared" ca="1" si="809"/>
        <v>0</v>
      </c>
      <c r="AI3664" s="196">
        <f>IFERROR($G3664/SUMIF($A:$A,$A3664,$G:$G)*SUMIF(Summary!$A$247:$A$283,$A3664,Summary!$P$247:$P$283),0)</f>
        <v>0</v>
      </c>
      <c r="AJ3664" s="196">
        <f>IFERROR($G3664/SUMIF($A:$A,$A3664,$G:$G)*(SUMIF(Summary!$A$247:$A$283,$A3664,Summary!$L$247:$L$283)+SUMIF(Summary!$A$297:$A$333,$A3664,Summary!$L$297:$L$333))-AI3664,0)</f>
        <v>0</v>
      </c>
      <c r="AK3664" s="196">
        <f>IFERROR($G3664/SUMIF($A:$A,$A3664,$G:$G)*SUMIF(Summary!$A$247:$A$283,$A3664,Summary!$Q$247:$Q$283),0)</f>
        <v>0</v>
      </c>
      <c r="AL3664" s="196">
        <f>IFERROR($G3664/SUMIF($A:$A,$A3664,$G:$G)*(SUMIF(Summary!$A$247:$A$283,$A3664,Summary!$L$247:$L$283)+SUMIF(Summary!$A$297:$A$333,$A3664,Summary!$L$297:$L$333))-AK3664,0)</f>
        <v>0</v>
      </c>
      <c r="AM3664" s="198"/>
      <c r="AN3664" s="196">
        <f t="shared" ca="1" si="810"/>
        <v>0</v>
      </c>
      <c r="AO3664" s="196">
        <f t="shared" ca="1" si="811"/>
        <v>0</v>
      </c>
    </row>
    <row r="3665" spans="1:41">
      <c r="A3665" s="189">
        <v>42295</v>
      </c>
      <c r="B3665" s="190">
        <v>5</v>
      </c>
      <c r="C3665" s="191" t="s">
        <v>226</v>
      </c>
      <c r="D3665" s="192">
        <f t="shared" si="798"/>
        <v>0</v>
      </c>
      <c r="E3665" s="192">
        <f t="shared" si="799"/>
        <v>0</v>
      </c>
      <c r="F3665" s="192">
        <f t="shared" si="800"/>
        <v>0</v>
      </c>
      <c r="G3665" s="193">
        <f t="shared" si="801"/>
        <v>0</v>
      </c>
      <c r="H3665" s="194">
        <v>0</v>
      </c>
      <c r="I3665" s="194">
        <v>0</v>
      </c>
      <c r="J3665" s="194">
        <v>0</v>
      </c>
      <c r="K3665" s="193">
        <f t="shared" si="802"/>
        <v>0</v>
      </c>
      <c r="L3665" s="194">
        <v>0</v>
      </c>
      <c r="M3665" s="194">
        <v>0</v>
      </c>
      <c r="N3665" s="194">
        <v>0</v>
      </c>
      <c r="O3665" s="193">
        <f t="shared" si="803"/>
        <v>0</v>
      </c>
      <c r="P3665" s="194">
        <v>0</v>
      </c>
      <c r="Q3665" s="194">
        <v>0</v>
      </c>
      <c r="R3665" s="194">
        <v>0</v>
      </c>
      <c r="S3665" s="193">
        <f t="shared" si="804"/>
        <v>0</v>
      </c>
      <c r="T3665" s="193">
        <f t="shared" si="805"/>
        <v>0</v>
      </c>
      <c r="U3665" s="193">
        <f ca="1">OFFSET('Expenditure Study'!$B$7,'Operations Support'!$C3665,'Operations Support'!$B3665)*$G3665</f>
        <v>0</v>
      </c>
      <c r="V3665" s="199">
        <f ca="1">U3665*'Expenditure Study'!$B$31</f>
        <v>0</v>
      </c>
      <c r="W3665" s="199">
        <f ca="1">IF(A3665=10298,1.51,1)*IF($B3665&lt;3,$D3665*'Expenditure Study'!$B$32*OFFSET('Expenditure Study'!$B$7,'Operations Support'!$C3665,'Operations Support'!$B3665),0)</f>
        <v>0</v>
      </c>
      <c r="X3665" s="200">
        <f ca="1">W3665*'Expenditure Study'!$B$31</f>
        <v>0</v>
      </c>
      <c r="Y3665" s="199">
        <f ca="1">U3665*'Expenditure Study'!$B$31</f>
        <v>0</v>
      </c>
      <c r="Z3665" s="200">
        <f ca="1">W3665*'Expenditure Study'!$B$31</f>
        <v>0</v>
      </c>
      <c r="AA3665" s="195">
        <f t="shared" ca="1" si="806"/>
        <v>0</v>
      </c>
      <c r="AB3665" s="195">
        <f t="shared" ca="1" si="807"/>
        <v>0</v>
      </c>
      <c r="AD3665" s="196">
        <f>IFERROR($G3665/SUMIF($A:$A,$A3665,$G:$G)*SUMIF(Summary!$A$166:$A$242,$A3665,Summary!$P$166:$P$242),0)</f>
        <v>0</v>
      </c>
      <c r="AE3665" s="197">
        <f t="shared" ca="1" si="808"/>
        <v>0</v>
      </c>
      <c r="AF3665" s="196">
        <f>IFERROR(G3665/SUMIF(A:A,A3665,G:G)*SUMIF(Summary!$A$166:$A$242,'Operations Support'!A3665,Summary!$Q$166:$Q$242),0)</f>
        <v>0</v>
      </c>
      <c r="AG3665" s="196">
        <f t="shared" ca="1" si="809"/>
        <v>0</v>
      </c>
      <c r="AI3665" s="196">
        <f>IFERROR($G3665/SUMIF($A:$A,$A3665,$G:$G)*SUMIF(Summary!$A$247:$A$283,$A3665,Summary!$P$247:$P$283),0)</f>
        <v>0</v>
      </c>
      <c r="AJ3665" s="196">
        <f>IFERROR($G3665/SUMIF($A:$A,$A3665,$G:$G)*(SUMIF(Summary!$A$247:$A$283,$A3665,Summary!$L$247:$L$283)+SUMIF(Summary!$A$297:$A$333,$A3665,Summary!$L$297:$L$333))-AI3665,0)</f>
        <v>0</v>
      </c>
      <c r="AK3665" s="196">
        <f>IFERROR($G3665/SUMIF($A:$A,$A3665,$G:$G)*SUMIF(Summary!$A$247:$A$283,$A3665,Summary!$Q$247:$Q$283),0)</f>
        <v>0</v>
      </c>
      <c r="AL3665" s="196">
        <f>IFERROR($G3665/SUMIF($A:$A,$A3665,$G:$G)*(SUMIF(Summary!$A$247:$A$283,$A3665,Summary!$L$247:$L$283)+SUMIF(Summary!$A$297:$A$333,$A3665,Summary!$L$297:$L$333))-AK3665,0)</f>
        <v>0</v>
      </c>
      <c r="AM3665" s="198"/>
      <c r="AN3665" s="196">
        <f t="shared" ca="1" si="810"/>
        <v>0</v>
      </c>
      <c r="AO3665" s="196">
        <f t="shared" ca="1" si="811"/>
        <v>0</v>
      </c>
    </row>
    <row r="3666" spans="1:41">
      <c r="A3666" s="189">
        <v>42295</v>
      </c>
      <c r="B3666" s="190">
        <v>5</v>
      </c>
      <c r="C3666" s="191" t="s">
        <v>227</v>
      </c>
      <c r="D3666" s="192">
        <f t="shared" si="798"/>
        <v>0</v>
      </c>
      <c r="E3666" s="192">
        <f t="shared" si="799"/>
        <v>0</v>
      </c>
      <c r="F3666" s="192">
        <f t="shared" si="800"/>
        <v>0</v>
      </c>
      <c r="G3666" s="193">
        <f t="shared" si="801"/>
        <v>0</v>
      </c>
      <c r="H3666" s="194">
        <v>0</v>
      </c>
      <c r="I3666" s="194">
        <v>0</v>
      </c>
      <c r="J3666" s="194">
        <v>0</v>
      </c>
      <c r="K3666" s="193">
        <f t="shared" si="802"/>
        <v>0</v>
      </c>
      <c r="L3666" s="194">
        <v>0</v>
      </c>
      <c r="M3666" s="194">
        <v>0</v>
      </c>
      <c r="N3666" s="194">
        <v>0</v>
      </c>
      <c r="O3666" s="193">
        <f t="shared" si="803"/>
        <v>0</v>
      </c>
      <c r="P3666" s="194">
        <v>0</v>
      </c>
      <c r="Q3666" s="194">
        <v>0</v>
      </c>
      <c r="R3666" s="194">
        <v>0</v>
      </c>
      <c r="S3666" s="193">
        <f t="shared" si="804"/>
        <v>0</v>
      </c>
      <c r="T3666" s="193">
        <f t="shared" si="805"/>
        <v>0</v>
      </c>
      <c r="U3666" s="193">
        <f ca="1">OFFSET('Expenditure Study'!$B$7,'Operations Support'!$C3666,'Operations Support'!$B3666)*$G3666</f>
        <v>0</v>
      </c>
      <c r="V3666" s="199">
        <f ca="1">U3666*'Expenditure Study'!$B$31</f>
        <v>0</v>
      </c>
      <c r="W3666" s="199">
        <f ca="1">IF(A3666=10298,1.51,1)*IF($B3666&lt;3,$D3666*'Expenditure Study'!$B$32*OFFSET('Expenditure Study'!$B$7,'Operations Support'!$C3666,'Operations Support'!$B3666),0)</f>
        <v>0</v>
      </c>
      <c r="X3666" s="200">
        <f ca="1">W3666*'Expenditure Study'!$B$31</f>
        <v>0</v>
      </c>
      <c r="Y3666" s="199">
        <f ca="1">U3666*'Expenditure Study'!$B$31</f>
        <v>0</v>
      </c>
      <c r="Z3666" s="200">
        <f ca="1">W3666*'Expenditure Study'!$B$31</f>
        <v>0</v>
      </c>
      <c r="AA3666" s="195">
        <f t="shared" ca="1" si="806"/>
        <v>0</v>
      </c>
      <c r="AB3666" s="195">
        <f t="shared" ca="1" si="807"/>
        <v>0</v>
      </c>
      <c r="AD3666" s="196">
        <f>IFERROR($G3666/SUMIF($A:$A,$A3666,$G:$G)*SUMIF(Summary!$A$166:$A$242,$A3666,Summary!$P$166:$P$242),0)</f>
        <v>0</v>
      </c>
      <c r="AE3666" s="197">
        <f t="shared" ca="1" si="808"/>
        <v>0</v>
      </c>
      <c r="AF3666" s="196">
        <f>IFERROR(G3666/SUMIF(A:A,A3666,G:G)*SUMIF(Summary!$A$166:$A$242,'Operations Support'!A3666,Summary!$Q$166:$Q$242),0)</f>
        <v>0</v>
      </c>
      <c r="AG3666" s="196">
        <f t="shared" ca="1" si="809"/>
        <v>0</v>
      </c>
      <c r="AI3666" s="196">
        <f>IFERROR($G3666/SUMIF($A:$A,$A3666,$G:$G)*SUMIF(Summary!$A$247:$A$283,$A3666,Summary!$P$247:$P$283),0)</f>
        <v>0</v>
      </c>
      <c r="AJ3666" s="196">
        <f>IFERROR($G3666/SUMIF($A:$A,$A3666,$G:$G)*(SUMIF(Summary!$A$247:$A$283,$A3666,Summary!$L$247:$L$283)+SUMIF(Summary!$A$297:$A$333,$A3666,Summary!$L$297:$L$333))-AI3666,0)</f>
        <v>0</v>
      </c>
      <c r="AK3666" s="196">
        <f>IFERROR($G3666/SUMIF($A:$A,$A3666,$G:$G)*SUMIF(Summary!$A$247:$A$283,$A3666,Summary!$Q$247:$Q$283),0)</f>
        <v>0</v>
      </c>
      <c r="AL3666" s="196">
        <f>IFERROR($G3666/SUMIF($A:$A,$A3666,$G:$G)*(SUMIF(Summary!$A$247:$A$283,$A3666,Summary!$L$247:$L$283)+SUMIF(Summary!$A$297:$A$333,$A3666,Summary!$L$297:$L$333))-AK3666,0)</f>
        <v>0</v>
      </c>
      <c r="AM3666" s="198"/>
      <c r="AN3666" s="196">
        <f t="shared" ca="1" si="810"/>
        <v>0</v>
      </c>
      <c r="AO3666" s="196">
        <f t="shared" ca="1" si="811"/>
        <v>0</v>
      </c>
    </row>
    <row r="3667" spans="1:41">
      <c r="A3667" s="189">
        <v>42295</v>
      </c>
      <c r="B3667" s="190">
        <v>5</v>
      </c>
      <c r="C3667" s="191" t="s">
        <v>228</v>
      </c>
      <c r="D3667" s="192">
        <f t="shared" si="798"/>
        <v>0</v>
      </c>
      <c r="E3667" s="192">
        <f t="shared" si="799"/>
        <v>0</v>
      </c>
      <c r="F3667" s="192">
        <f t="shared" si="800"/>
        <v>0</v>
      </c>
      <c r="G3667" s="193">
        <f t="shared" si="801"/>
        <v>0</v>
      </c>
      <c r="H3667" s="194">
        <v>0</v>
      </c>
      <c r="I3667" s="194">
        <v>0</v>
      </c>
      <c r="J3667" s="194">
        <v>0</v>
      </c>
      <c r="K3667" s="193">
        <f t="shared" si="802"/>
        <v>0</v>
      </c>
      <c r="L3667" s="194">
        <v>0</v>
      </c>
      <c r="M3667" s="194">
        <v>0</v>
      </c>
      <c r="N3667" s="194">
        <v>0</v>
      </c>
      <c r="O3667" s="193">
        <f t="shared" si="803"/>
        <v>0</v>
      </c>
      <c r="P3667" s="194">
        <v>0</v>
      </c>
      <c r="Q3667" s="194">
        <v>0</v>
      </c>
      <c r="R3667" s="194">
        <v>0</v>
      </c>
      <c r="S3667" s="193">
        <f t="shared" si="804"/>
        <v>0</v>
      </c>
      <c r="T3667" s="193">
        <f t="shared" si="805"/>
        <v>0</v>
      </c>
      <c r="U3667" s="193">
        <f ca="1">OFFSET('Expenditure Study'!$B$7,'Operations Support'!$C3667,'Operations Support'!$B3667)*$G3667</f>
        <v>0</v>
      </c>
      <c r="V3667" s="199">
        <f ca="1">U3667*'Expenditure Study'!$B$31</f>
        <v>0</v>
      </c>
      <c r="W3667" s="199">
        <f ca="1">IF(A3667=10298,1.51,1)*IF($B3667&lt;3,$D3667*'Expenditure Study'!$B$32*OFFSET('Expenditure Study'!$B$7,'Operations Support'!$C3667,'Operations Support'!$B3667),0)</f>
        <v>0</v>
      </c>
      <c r="X3667" s="200">
        <f ca="1">W3667*'Expenditure Study'!$B$31</f>
        <v>0</v>
      </c>
      <c r="Y3667" s="199">
        <f ca="1">U3667*'Expenditure Study'!$B$31</f>
        <v>0</v>
      </c>
      <c r="Z3667" s="200">
        <f ca="1">W3667*'Expenditure Study'!$B$31</f>
        <v>0</v>
      </c>
      <c r="AA3667" s="195">
        <f t="shared" ca="1" si="806"/>
        <v>0</v>
      </c>
      <c r="AB3667" s="195">
        <f t="shared" ca="1" si="807"/>
        <v>0</v>
      </c>
      <c r="AD3667" s="196">
        <f>IFERROR($G3667/SUMIF($A:$A,$A3667,$G:$G)*SUMIF(Summary!$A$166:$A$242,$A3667,Summary!$P$166:$P$242),0)</f>
        <v>0</v>
      </c>
      <c r="AE3667" s="197">
        <f t="shared" ca="1" si="808"/>
        <v>0</v>
      </c>
      <c r="AF3667" s="196">
        <f>IFERROR(G3667/SUMIF(A:A,A3667,G:G)*SUMIF(Summary!$A$166:$A$242,'Operations Support'!A3667,Summary!$Q$166:$Q$242),0)</f>
        <v>0</v>
      </c>
      <c r="AG3667" s="196">
        <f t="shared" ca="1" si="809"/>
        <v>0</v>
      </c>
      <c r="AI3667" s="196">
        <f>IFERROR($G3667/SUMIF($A:$A,$A3667,$G:$G)*SUMIF(Summary!$A$247:$A$283,$A3667,Summary!$P$247:$P$283),0)</f>
        <v>0</v>
      </c>
      <c r="AJ3667" s="196">
        <f>IFERROR($G3667/SUMIF($A:$A,$A3667,$G:$G)*(SUMIF(Summary!$A$247:$A$283,$A3667,Summary!$L$247:$L$283)+SUMIF(Summary!$A$297:$A$333,$A3667,Summary!$L$297:$L$333))-AI3667,0)</f>
        <v>0</v>
      </c>
      <c r="AK3667" s="196">
        <f>IFERROR($G3667/SUMIF($A:$A,$A3667,$G:$G)*SUMIF(Summary!$A$247:$A$283,$A3667,Summary!$Q$247:$Q$283),0)</f>
        <v>0</v>
      </c>
      <c r="AL3667" s="196">
        <f>IFERROR($G3667/SUMIF($A:$A,$A3667,$G:$G)*(SUMIF(Summary!$A$247:$A$283,$A3667,Summary!$L$247:$L$283)+SUMIF(Summary!$A$297:$A$333,$A3667,Summary!$L$297:$L$333))-AK3667,0)</f>
        <v>0</v>
      </c>
      <c r="AM3667" s="198"/>
      <c r="AN3667" s="196">
        <f t="shared" ca="1" si="810"/>
        <v>0</v>
      </c>
      <c r="AO3667" s="196">
        <f t="shared" ca="1" si="811"/>
        <v>0</v>
      </c>
    </row>
    <row r="3668" spans="1:41">
      <c r="A3668" s="189">
        <v>42295</v>
      </c>
      <c r="B3668" s="190">
        <v>5</v>
      </c>
      <c r="C3668" s="191" t="s">
        <v>229</v>
      </c>
      <c r="D3668" s="192">
        <f t="shared" si="798"/>
        <v>0</v>
      </c>
      <c r="E3668" s="192">
        <f t="shared" si="799"/>
        <v>0</v>
      </c>
      <c r="F3668" s="192">
        <f t="shared" si="800"/>
        <v>0</v>
      </c>
      <c r="G3668" s="193">
        <f t="shared" si="801"/>
        <v>0</v>
      </c>
      <c r="H3668" s="194">
        <v>0</v>
      </c>
      <c r="I3668" s="194">
        <v>0</v>
      </c>
      <c r="J3668" s="194">
        <v>0</v>
      </c>
      <c r="K3668" s="193">
        <f t="shared" si="802"/>
        <v>0</v>
      </c>
      <c r="L3668" s="194">
        <v>0</v>
      </c>
      <c r="M3668" s="194">
        <v>0</v>
      </c>
      <c r="N3668" s="194">
        <v>0</v>
      </c>
      <c r="O3668" s="193">
        <f t="shared" si="803"/>
        <v>0</v>
      </c>
      <c r="P3668" s="194">
        <v>0</v>
      </c>
      <c r="Q3668" s="194">
        <v>0</v>
      </c>
      <c r="R3668" s="194">
        <v>0</v>
      </c>
      <c r="S3668" s="193">
        <f t="shared" si="804"/>
        <v>0</v>
      </c>
      <c r="T3668" s="193">
        <f t="shared" si="805"/>
        <v>0</v>
      </c>
      <c r="U3668" s="193">
        <f ca="1">OFFSET('Expenditure Study'!$B$7,'Operations Support'!$C3668,'Operations Support'!$B3668)*$G3668</f>
        <v>0</v>
      </c>
      <c r="V3668" s="199">
        <f ca="1">U3668*'Expenditure Study'!$B$31</f>
        <v>0</v>
      </c>
      <c r="W3668" s="199">
        <f ca="1">IF(A3668=10298,1.51,1)*IF($B3668&lt;3,$D3668*'Expenditure Study'!$B$32*OFFSET('Expenditure Study'!$B$7,'Operations Support'!$C3668,'Operations Support'!$B3668),0)</f>
        <v>0</v>
      </c>
      <c r="X3668" s="200">
        <f ca="1">W3668*'Expenditure Study'!$B$31</f>
        <v>0</v>
      </c>
      <c r="Y3668" s="199">
        <f ca="1">U3668*'Expenditure Study'!$B$31</f>
        <v>0</v>
      </c>
      <c r="Z3668" s="200">
        <f ca="1">W3668*'Expenditure Study'!$B$31</f>
        <v>0</v>
      </c>
      <c r="AA3668" s="195">
        <f t="shared" ca="1" si="806"/>
        <v>0</v>
      </c>
      <c r="AB3668" s="195">
        <f t="shared" ca="1" si="807"/>
        <v>0</v>
      </c>
      <c r="AD3668" s="196">
        <f>IFERROR($G3668/SUMIF($A:$A,$A3668,$G:$G)*SUMIF(Summary!$A$166:$A$242,$A3668,Summary!$P$166:$P$242),0)</f>
        <v>0</v>
      </c>
      <c r="AE3668" s="197">
        <f t="shared" ca="1" si="808"/>
        <v>0</v>
      </c>
      <c r="AF3668" s="196">
        <f>IFERROR(G3668/SUMIF(A:A,A3668,G:G)*SUMIF(Summary!$A$166:$A$242,'Operations Support'!A3668,Summary!$Q$166:$Q$242),0)</f>
        <v>0</v>
      </c>
      <c r="AG3668" s="196">
        <f t="shared" ca="1" si="809"/>
        <v>0</v>
      </c>
      <c r="AI3668" s="196">
        <f>IFERROR($G3668/SUMIF($A:$A,$A3668,$G:$G)*SUMIF(Summary!$A$247:$A$283,$A3668,Summary!$P$247:$P$283),0)</f>
        <v>0</v>
      </c>
      <c r="AJ3668" s="196">
        <f>IFERROR($G3668/SUMIF($A:$A,$A3668,$G:$G)*(SUMIF(Summary!$A$247:$A$283,$A3668,Summary!$L$247:$L$283)+SUMIF(Summary!$A$297:$A$333,$A3668,Summary!$L$297:$L$333))-AI3668,0)</f>
        <v>0</v>
      </c>
      <c r="AK3668" s="196">
        <f>IFERROR($G3668/SUMIF($A:$A,$A3668,$G:$G)*SUMIF(Summary!$A$247:$A$283,$A3668,Summary!$Q$247:$Q$283),0)</f>
        <v>0</v>
      </c>
      <c r="AL3668" s="196">
        <f>IFERROR($G3668/SUMIF($A:$A,$A3668,$G:$G)*(SUMIF(Summary!$A$247:$A$283,$A3668,Summary!$L$247:$L$283)+SUMIF(Summary!$A$297:$A$333,$A3668,Summary!$L$297:$L$333))-AK3668,0)</f>
        <v>0</v>
      </c>
      <c r="AM3668" s="198"/>
      <c r="AN3668" s="196">
        <f t="shared" ca="1" si="810"/>
        <v>0</v>
      </c>
      <c r="AO3668" s="196">
        <f t="shared" ca="1" si="811"/>
        <v>0</v>
      </c>
    </row>
    <row r="3669" spans="1:41">
      <c r="A3669" s="189">
        <v>42295</v>
      </c>
      <c r="B3669" s="190">
        <v>5</v>
      </c>
      <c r="C3669" s="191" t="s">
        <v>230</v>
      </c>
      <c r="D3669" s="192">
        <f t="shared" si="798"/>
        <v>0</v>
      </c>
      <c r="E3669" s="192">
        <f t="shared" si="799"/>
        <v>0</v>
      </c>
      <c r="F3669" s="192">
        <f t="shared" si="800"/>
        <v>0</v>
      </c>
      <c r="G3669" s="193">
        <f t="shared" si="801"/>
        <v>0</v>
      </c>
      <c r="H3669" s="194">
        <v>0</v>
      </c>
      <c r="I3669" s="194">
        <v>0</v>
      </c>
      <c r="J3669" s="194">
        <v>0</v>
      </c>
      <c r="K3669" s="193">
        <f t="shared" si="802"/>
        <v>0</v>
      </c>
      <c r="L3669" s="194">
        <v>0</v>
      </c>
      <c r="M3669" s="194">
        <v>0</v>
      </c>
      <c r="N3669" s="194">
        <v>0</v>
      </c>
      <c r="O3669" s="193">
        <f t="shared" si="803"/>
        <v>0</v>
      </c>
      <c r="P3669" s="194">
        <v>0</v>
      </c>
      <c r="Q3669" s="194">
        <v>0</v>
      </c>
      <c r="R3669" s="194">
        <v>0</v>
      </c>
      <c r="S3669" s="193">
        <f t="shared" si="804"/>
        <v>0</v>
      </c>
      <c r="T3669" s="193">
        <f t="shared" si="805"/>
        <v>0</v>
      </c>
      <c r="U3669" s="193">
        <f ca="1">OFFSET('Expenditure Study'!$B$7,'Operations Support'!$C3669,'Operations Support'!$B3669)*$G3669</f>
        <v>0</v>
      </c>
      <c r="V3669" s="199">
        <f ca="1">U3669*'Expenditure Study'!$B$31</f>
        <v>0</v>
      </c>
      <c r="W3669" s="199">
        <f ca="1">IF(A3669=10298,1.51,1)*IF($B3669&lt;3,$D3669*'Expenditure Study'!$B$32*OFFSET('Expenditure Study'!$B$7,'Operations Support'!$C3669,'Operations Support'!$B3669),0)</f>
        <v>0</v>
      </c>
      <c r="X3669" s="200">
        <f ca="1">W3669*'Expenditure Study'!$B$31</f>
        <v>0</v>
      </c>
      <c r="Y3669" s="199">
        <f ca="1">U3669*'Expenditure Study'!$B$31</f>
        <v>0</v>
      </c>
      <c r="Z3669" s="200">
        <f ca="1">W3669*'Expenditure Study'!$B$31</f>
        <v>0</v>
      </c>
      <c r="AA3669" s="195">
        <f t="shared" ca="1" si="806"/>
        <v>0</v>
      </c>
      <c r="AB3669" s="195">
        <f t="shared" ca="1" si="807"/>
        <v>0</v>
      </c>
      <c r="AD3669" s="196">
        <f>IFERROR($G3669/SUMIF($A:$A,$A3669,$G:$G)*SUMIF(Summary!$A$166:$A$242,$A3669,Summary!$P$166:$P$242),0)</f>
        <v>0</v>
      </c>
      <c r="AE3669" s="197">
        <f t="shared" ca="1" si="808"/>
        <v>0</v>
      </c>
      <c r="AF3669" s="196">
        <f>IFERROR(G3669/SUMIF(A:A,A3669,G:G)*SUMIF(Summary!$A$166:$A$242,'Operations Support'!A3669,Summary!$Q$166:$Q$242),0)</f>
        <v>0</v>
      </c>
      <c r="AG3669" s="196">
        <f t="shared" ca="1" si="809"/>
        <v>0</v>
      </c>
      <c r="AI3669" s="196">
        <f>IFERROR($G3669/SUMIF($A:$A,$A3669,$G:$G)*SUMIF(Summary!$A$247:$A$283,$A3669,Summary!$P$247:$P$283),0)</f>
        <v>0</v>
      </c>
      <c r="AJ3669" s="196">
        <f>IFERROR($G3669/SUMIF($A:$A,$A3669,$G:$G)*(SUMIF(Summary!$A$247:$A$283,$A3669,Summary!$L$247:$L$283)+SUMIF(Summary!$A$297:$A$333,$A3669,Summary!$L$297:$L$333))-AI3669,0)</f>
        <v>0</v>
      </c>
      <c r="AK3669" s="196">
        <f>IFERROR($G3669/SUMIF($A:$A,$A3669,$G:$G)*SUMIF(Summary!$A$247:$A$283,$A3669,Summary!$Q$247:$Q$283),0)</f>
        <v>0</v>
      </c>
      <c r="AL3669" s="196">
        <f>IFERROR($G3669/SUMIF($A:$A,$A3669,$G:$G)*(SUMIF(Summary!$A$247:$A$283,$A3669,Summary!$L$247:$L$283)+SUMIF(Summary!$A$297:$A$333,$A3669,Summary!$L$297:$L$333))-AK3669,0)</f>
        <v>0</v>
      </c>
      <c r="AM3669" s="198"/>
      <c r="AN3669" s="196">
        <f t="shared" ca="1" si="810"/>
        <v>0</v>
      </c>
      <c r="AO3669" s="196">
        <f t="shared" ca="1" si="811"/>
        <v>0</v>
      </c>
    </row>
    <row r="3670" spans="1:41">
      <c r="A3670" s="189">
        <v>42295</v>
      </c>
      <c r="B3670" s="190">
        <v>5</v>
      </c>
      <c r="C3670" s="191" t="s">
        <v>231</v>
      </c>
      <c r="D3670" s="192">
        <f t="shared" si="798"/>
        <v>0</v>
      </c>
      <c r="E3670" s="192">
        <f t="shared" si="799"/>
        <v>0</v>
      </c>
      <c r="F3670" s="192">
        <f t="shared" si="800"/>
        <v>0</v>
      </c>
      <c r="G3670" s="193">
        <f t="shared" si="801"/>
        <v>0</v>
      </c>
      <c r="H3670" s="194">
        <v>0</v>
      </c>
      <c r="I3670" s="194">
        <v>0</v>
      </c>
      <c r="J3670" s="194">
        <v>0</v>
      </c>
      <c r="K3670" s="193">
        <f t="shared" si="802"/>
        <v>0</v>
      </c>
      <c r="L3670" s="194">
        <v>0</v>
      </c>
      <c r="M3670" s="194">
        <v>0</v>
      </c>
      <c r="N3670" s="194">
        <v>0</v>
      </c>
      <c r="O3670" s="193">
        <f t="shared" si="803"/>
        <v>0</v>
      </c>
      <c r="P3670" s="194">
        <v>0</v>
      </c>
      <c r="Q3670" s="194">
        <v>0</v>
      </c>
      <c r="R3670" s="194">
        <v>0</v>
      </c>
      <c r="S3670" s="193">
        <f t="shared" si="804"/>
        <v>0</v>
      </c>
      <c r="T3670" s="193">
        <f t="shared" si="805"/>
        <v>0</v>
      </c>
      <c r="U3670" s="193">
        <f ca="1">OFFSET('Expenditure Study'!$B$7,'Operations Support'!$C3670,'Operations Support'!$B3670)*$G3670</f>
        <v>0</v>
      </c>
      <c r="V3670" s="199">
        <f ca="1">U3670*'Expenditure Study'!$B$31</f>
        <v>0</v>
      </c>
      <c r="W3670" s="199">
        <f ca="1">IF(A3670=10298,1.51,1)*IF($B3670&lt;3,$D3670*'Expenditure Study'!$B$32*OFFSET('Expenditure Study'!$B$7,'Operations Support'!$C3670,'Operations Support'!$B3670),0)</f>
        <v>0</v>
      </c>
      <c r="X3670" s="200">
        <f ca="1">W3670*'Expenditure Study'!$B$31</f>
        <v>0</v>
      </c>
      <c r="Y3670" s="199">
        <f ca="1">U3670*'Expenditure Study'!$B$31</f>
        <v>0</v>
      </c>
      <c r="Z3670" s="200">
        <f ca="1">W3670*'Expenditure Study'!$B$31</f>
        <v>0</v>
      </c>
      <c r="AA3670" s="195">
        <f t="shared" ca="1" si="806"/>
        <v>0</v>
      </c>
      <c r="AB3670" s="195">
        <f t="shared" ca="1" si="807"/>
        <v>0</v>
      </c>
      <c r="AD3670" s="196">
        <f>IFERROR($G3670/SUMIF($A:$A,$A3670,$G:$G)*SUMIF(Summary!$A$166:$A$242,$A3670,Summary!$P$166:$P$242),0)</f>
        <v>0</v>
      </c>
      <c r="AE3670" s="197">
        <f t="shared" ca="1" si="808"/>
        <v>0</v>
      </c>
      <c r="AF3670" s="196">
        <f>IFERROR(G3670/SUMIF(A:A,A3670,G:G)*SUMIF(Summary!$A$166:$A$242,'Operations Support'!A3670,Summary!$Q$166:$Q$242),0)</f>
        <v>0</v>
      </c>
      <c r="AG3670" s="196">
        <f t="shared" ca="1" si="809"/>
        <v>0</v>
      </c>
      <c r="AI3670" s="196">
        <f>IFERROR($G3670/SUMIF($A:$A,$A3670,$G:$G)*SUMIF(Summary!$A$247:$A$283,$A3670,Summary!$P$247:$P$283),0)</f>
        <v>0</v>
      </c>
      <c r="AJ3670" s="196">
        <f>IFERROR($G3670/SUMIF($A:$A,$A3670,$G:$G)*(SUMIF(Summary!$A$247:$A$283,$A3670,Summary!$L$247:$L$283)+SUMIF(Summary!$A$297:$A$333,$A3670,Summary!$L$297:$L$333))-AI3670,0)</f>
        <v>0</v>
      </c>
      <c r="AK3670" s="196">
        <f>IFERROR($G3670/SUMIF($A:$A,$A3670,$G:$G)*SUMIF(Summary!$A$247:$A$283,$A3670,Summary!$Q$247:$Q$283),0)</f>
        <v>0</v>
      </c>
      <c r="AL3670" s="196">
        <f>IFERROR($G3670/SUMIF($A:$A,$A3670,$G:$G)*(SUMIF(Summary!$A$247:$A$283,$A3670,Summary!$L$247:$L$283)+SUMIF(Summary!$A$297:$A$333,$A3670,Summary!$L$297:$L$333))-AK3670,0)</f>
        <v>0</v>
      </c>
      <c r="AM3670" s="198"/>
      <c r="AN3670" s="196">
        <f t="shared" ca="1" si="810"/>
        <v>0</v>
      </c>
      <c r="AO3670" s="196">
        <f t="shared" ca="1" si="811"/>
        <v>0</v>
      </c>
    </row>
    <row r="3671" spans="1:41">
      <c r="A3671" s="189">
        <v>42295</v>
      </c>
      <c r="B3671" s="190">
        <v>5</v>
      </c>
      <c r="C3671" s="191" t="s">
        <v>232</v>
      </c>
      <c r="D3671" s="192">
        <f t="shared" si="798"/>
        <v>0</v>
      </c>
      <c r="E3671" s="192">
        <f t="shared" si="799"/>
        <v>0</v>
      </c>
      <c r="F3671" s="192">
        <f t="shared" si="800"/>
        <v>0</v>
      </c>
      <c r="G3671" s="193">
        <f t="shared" si="801"/>
        <v>0</v>
      </c>
      <c r="H3671" s="194">
        <v>0</v>
      </c>
      <c r="I3671" s="194">
        <v>0</v>
      </c>
      <c r="J3671" s="194">
        <v>0</v>
      </c>
      <c r="K3671" s="193">
        <f t="shared" si="802"/>
        <v>0</v>
      </c>
      <c r="L3671" s="194">
        <v>0</v>
      </c>
      <c r="M3671" s="194">
        <v>0</v>
      </c>
      <c r="N3671" s="194">
        <v>0</v>
      </c>
      <c r="O3671" s="193">
        <f t="shared" si="803"/>
        <v>0</v>
      </c>
      <c r="P3671" s="194">
        <v>0</v>
      </c>
      <c r="Q3671" s="194">
        <v>0</v>
      </c>
      <c r="R3671" s="194">
        <v>0</v>
      </c>
      <c r="S3671" s="193">
        <f t="shared" si="804"/>
        <v>0</v>
      </c>
      <c r="T3671" s="193">
        <f t="shared" si="805"/>
        <v>0</v>
      </c>
      <c r="U3671" s="193">
        <f ca="1">OFFSET('Expenditure Study'!$B$7,'Operations Support'!$C3671,'Operations Support'!$B3671)*$G3671</f>
        <v>0</v>
      </c>
      <c r="V3671" s="199">
        <f ca="1">U3671*'Expenditure Study'!$B$31</f>
        <v>0</v>
      </c>
      <c r="W3671" s="199">
        <f ca="1">IF(A3671=10298,1.51,1)*IF($B3671&lt;3,$D3671*'Expenditure Study'!$B$32*OFFSET('Expenditure Study'!$B$7,'Operations Support'!$C3671,'Operations Support'!$B3671),0)</f>
        <v>0</v>
      </c>
      <c r="X3671" s="200">
        <f ca="1">W3671*'Expenditure Study'!$B$31</f>
        <v>0</v>
      </c>
      <c r="Y3671" s="199">
        <f ca="1">U3671*'Expenditure Study'!$B$31</f>
        <v>0</v>
      </c>
      <c r="Z3671" s="200">
        <f ca="1">W3671*'Expenditure Study'!$B$31</f>
        <v>0</v>
      </c>
      <c r="AA3671" s="195">
        <f t="shared" ca="1" si="806"/>
        <v>0</v>
      </c>
      <c r="AB3671" s="195">
        <f t="shared" ca="1" si="807"/>
        <v>0</v>
      </c>
      <c r="AD3671" s="196">
        <f>IFERROR($G3671/SUMIF($A:$A,$A3671,$G:$G)*SUMIF(Summary!$A$166:$A$242,$A3671,Summary!$P$166:$P$242),0)</f>
        <v>0</v>
      </c>
      <c r="AE3671" s="197">
        <f t="shared" ca="1" si="808"/>
        <v>0</v>
      </c>
      <c r="AF3671" s="196">
        <f>IFERROR(G3671/SUMIF(A:A,A3671,G:G)*SUMIF(Summary!$A$166:$A$242,'Operations Support'!A3671,Summary!$Q$166:$Q$242),0)</f>
        <v>0</v>
      </c>
      <c r="AG3671" s="196">
        <f t="shared" ca="1" si="809"/>
        <v>0</v>
      </c>
      <c r="AI3671" s="196">
        <f>IFERROR($G3671/SUMIF($A:$A,$A3671,$G:$G)*SUMIF(Summary!$A$247:$A$283,$A3671,Summary!$P$247:$P$283),0)</f>
        <v>0</v>
      </c>
      <c r="AJ3671" s="196">
        <f>IFERROR($G3671/SUMIF($A:$A,$A3671,$G:$G)*(SUMIF(Summary!$A$247:$A$283,$A3671,Summary!$L$247:$L$283)+SUMIF(Summary!$A$297:$A$333,$A3671,Summary!$L$297:$L$333))-AI3671,0)</f>
        <v>0</v>
      </c>
      <c r="AK3671" s="196">
        <f>IFERROR($G3671/SUMIF($A:$A,$A3671,$G:$G)*SUMIF(Summary!$A$247:$A$283,$A3671,Summary!$Q$247:$Q$283),0)</f>
        <v>0</v>
      </c>
      <c r="AL3671" s="196">
        <f>IFERROR($G3671/SUMIF($A:$A,$A3671,$G:$G)*(SUMIF(Summary!$A$247:$A$283,$A3671,Summary!$L$247:$L$283)+SUMIF(Summary!$A$297:$A$333,$A3671,Summary!$L$297:$L$333))-AK3671,0)</f>
        <v>0</v>
      </c>
      <c r="AM3671" s="198"/>
      <c r="AN3671" s="196">
        <f t="shared" ca="1" si="810"/>
        <v>0</v>
      </c>
      <c r="AO3671" s="196">
        <f t="shared" ca="1" si="811"/>
        <v>0</v>
      </c>
    </row>
    <row r="3672" spans="1:41">
      <c r="A3672" s="189">
        <v>42295</v>
      </c>
      <c r="B3672" s="190">
        <v>5</v>
      </c>
      <c r="C3672" s="191" t="s">
        <v>233</v>
      </c>
      <c r="D3672" s="192">
        <f t="shared" si="798"/>
        <v>0</v>
      </c>
      <c r="E3672" s="192">
        <f t="shared" si="799"/>
        <v>0</v>
      </c>
      <c r="F3672" s="192">
        <f t="shared" si="800"/>
        <v>0</v>
      </c>
      <c r="G3672" s="193">
        <f t="shared" si="801"/>
        <v>0</v>
      </c>
      <c r="H3672" s="194">
        <v>0</v>
      </c>
      <c r="I3672" s="194">
        <v>0</v>
      </c>
      <c r="J3672" s="194">
        <v>0</v>
      </c>
      <c r="K3672" s="193">
        <f t="shared" si="802"/>
        <v>0</v>
      </c>
      <c r="L3672" s="194">
        <v>0</v>
      </c>
      <c r="M3672" s="194">
        <v>0</v>
      </c>
      <c r="N3672" s="194">
        <v>0</v>
      </c>
      <c r="O3672" s="193">
        <f t="shared" si="803"/>
        <v>0</v>
      </c>
      <c r="P3672" s="194">
        <v>0</v>
      </c>
      <c r="Q3672" s="194">
        <v>0</v>
      </c>
      <c r="R3672" s="194">
        <v>0</v>
      </c>
      <c r="S3672" s="193">
        <f t="shared" si="804"/>
        <v>0</v>
      </c>
      <c r="T3672" s="193">
        <f t="shared" si="805"/>
        <v>0</v>
      </c>
      <c r="U3672" s="193">
        <f ca="1">OFFSET('Expenditure Study'!$B$7,'Operations Support'!$C3672,'Operations Support'!$B3672)*$G3672</f>
        <v>0</v>
      </c>
      <c r="V3672" s="199">
        <f ca="1">U3672*'Expenditure Study'!$B$31</f>
        <v>0</v>
      </c>
      <c r="W3672" s="199">
        <f ca="1">IF(A3672=10298,1.51,1)*IF($B3672&lt;3,$D3672*'Expenditure Study'!$B$32*OFFSET('Expenditure Study'!$B$7,'Operations Support'!$C3672,'Operations Support'!$B3672),0)</f>
        <v>0</v>
      </c>
      <c r="X3672" s="200">
        <f ca="1">W3672*'Expenditure Study'!$B$31</f>
        <v>0</v>
      </c>
      <c r="Y3672" s="199">
        <f ca="1">U3672*'Expenditure Study'!$B$31</f>
        <v>0</v>
      </c>
      <c r="Z3672" s="200">
        <f ca="1">W3672*'Expenditure Study'!$B$31</f>
        <v>0</v>
      </c>
      <c r="AA3672" s="195">
        <f t="shared" ca="1" si="806"/>
        <v>0</v>
      </c>
      <c r="AB3672" s="195">
        <f t="shared" ca="1" si="807"/>
        <v>0</v>
      </c>
      <c r="AD3672" s="196">
        <f>IFERROR($G3672/SUMIF($A:$A,$A3672,$G:$G)*SUMIF(Summary!$A$166:$A$242,$A3672,Summary!$P$166:$P$242),0)</f>
        <v>0</v>
      </c>
      <c r="AE3672" s="197">
        <f t="shared" ca="1" si="808"/>
        <v>0</v>
      </c>
      <c r="AF3672" s="196">
        <f>IFERROR(G3672/SUMIF(A:A,A3672,G:G)*SUMIF(Summary!$A$166:$A$242,'Operations Support'!A3672,Summary!$Q$166:$Q$242),0)</f>
        <v>0</v>
      </c>
      <c r="AG3672" s="196">
        <f t="shared" ca="1" si="809"/>
        <v>0</v>
      </c>
      <c r="AI3672" s="196">
        <f>IFERROR($G3672/SUMIF($A:$A,$A3672,$G:$G)*SUMIF(Summary!$A$247:$A$283,$A3672,Summary!$P$247:$P$283),0)</f>
        <v>0</v>
      </c>
      <c r="AJ3672" s="196">
        <f>IFERROR($G3672/SUMIF($A:$A,$A3672,$G:$G)*(SUMIF(Summary!$A$247:$A$283,$A3672,Summary!$L$247:$L$283)+SUMIF(Summary!$A$297:$A$333,$A3672,Summary!$L$297:$L$333))-AI3672,0)</f>
        <v>0</v>
      </c>
      <c r="AK3672" s="196">
        <f>IFERROR($G3672/SUMIF($A:$A,$A3672,$G:$G)*SUMIF(Summary!$A$247:$A$283,$A3672,Summary!$Q$247:$Q$283),0)</f>
        <v>0</v>
      </c>
      <c r="AL3672" s="196">
        <f>IFERROR($G3672/SUMIF($A:$A,$A3672,$G:$G)*(SUMIF(Summary!$A$247:$A$283,$A3672,Summary!$L$247:$L$283)+SUMIF(Summary!$A$297:$A$333,$A3672,Summary!$L$297:$L$333))-AK3672,0)</f>
        <v>0</v>
      </c>
      <c r="AM3672" s="198"/>
      <c r="AN3672" s="196">
        <f t="shared" ca="1" si="810"/>
        <v>0</v>
      </c>
      <c r="AO3672" s="196">
        <f t="shared" ca="1" si="811"/>
        <v>0</v>
      </c>
    </row>
    <row r="3673" spans="1:41">
      <c r="A3673" s="189">
        <v>42295</v>
      </c>
      <c r="B3673" s="190">
        <v>5</v>
      </c>
      <c r="C3673" s="191" t="s">
        <v>234</v>
      </c>
      <c r="D3673" s="192">
        <f t="shared" si="798"/>
        <v>0</v>
      </c>
      <c r="E3673" s="192">
        <f t="shared" si="799"/>
        <v>0</v>
      </c>
      <c r="F3673" s="192">
        <f t="shared" si="800"/>
        <v>0</v>
      </c>
      <c r="G3673" s="193">
        <f t="shared" si="801"/>
        <v>0</v>
      </c>
      <c r="H3673" s="194">
        <v>0</v>
      </c>
      <c r="I3673" s="194">
        <v>0</v>
      </c>
      <c r="J3673" s="194">
        <v>0</v>
      </c>
      <c r="K3673" s="193">
        <f t="shared" si="802"/>
        <v>0</v>
      </c>
      <c r="L3673" s="194">
        <v>0</v>
      </c>
      <c r="M3673" s="194">
        <v>0</v>
      </c>
      <c r="N3673" s="194">
        <v>0</v>
      </c>
      <c r="O3673" s="193">
        <f t="shared" si="803"/>
        <v>0</v>
      </c>
      <c r="P3673" s="194">
        <v>0</v>
      </c>
      <c r="Q3673" s="194">
        <v>0</v>
      </c>
      <c r="R3673" s="194">
        <v>0</v>
      </c>
      <c r="S3673" s="193">
        <f t="shared" si="804"/>
        <v>0</v>
      </c>
      <c r="T3673" s="193">
        <f t="shared" si="805"/>
        <v>0</v>
      </c>
      <c r="U3673" s="193">
        <f ca="1">OFFSET('Expenditure Study'!$B$7,'Operations Support'!$C3673,'Operations Support'!$B3673)*$G3673</f>
        <v>0</v>
      </c>
      <c r="V3673" s="199">
        <f ca="1">U3673*'Expenditure Study'!$B$31</f>
        <v>0</v>
      </c>
      <c r="W3673" s="199">
        <f ca="1">IF(A3673=10298,1.51,1)*IF($B3673&lt;3,$D3673*'Expenditure Study'!$B$32*OFFSET('Expenditure Study'!$B$7,'Operations Support'!$C3673,'Operations Support'!$B3673),0)</f>
        <v>0</v>
      </c>
      <c r="X3673" s="200">
        <f ca="1">W3673*'Expenditure Study'!$B$31</f>
        <v>0</v>
      </c>
      <c r="Y3673" s="199">
        <f ca="1">U3673*'Expenditure Study'!$B$31</f>
        <v>0</v>
      </c>
      <c r="Z3673" s="200">
        <f ca="1">W3673*'Expenditure Study'!$B$31</f>
        <v>0</v>
      </c>
      <c r="AA3673" s="195">
        <f t="shared" ca="1" si="806"/>
        <v>0</v>
      </c>
      <c r="AB3673" s="195">
        <f t="shared" ca="1" si="807"/>
        <v>0</v>
      </c>
      <c r="AD3673" s="196">
        <f>IFERROR($G3673/SUMIF($A:$A,$A3673,$G:$G)*SUMIF(Summary!$A$166:$A$242,$A3673,Summary!$P$166:$P$242),0)</f>
        <v>0</v>
      </c>
      <c r="AE3673" s="197">
        <f t="shared" ca="1" si="808"/>
        <v>0</v>
      </c>
      <c r="AF3673" s="196">
        <f>IFERROR(G3673/SUMIF(A:A,A3673,G:G)*SUMIF(Summary!$A$166:$A$242,'Operations Support'!A3673,Summary!$Q$166:$Q$242),0)</f>
        <v>0</v>
      </c>
      <c r="AG3673" s="196">
        <f t="shared" ca="1" si="809"/>
        <v>0</v>
      </c>
      <c r="AI3673" s="196">
        <f>IFERROR($G3673/SUMIF($A:$A,$A3673,$G:$G)*SUMIF(Summary!$A$247:$A$283,$A3673,Summary!$P$247:$P$283),0)</f>
        <v>0</v>
      </c>
      <c r="AJ3673" s="196">
        <f>IFERROR($G3673/SUMIF($A:$A,$A3673,$G:$G)*(SUMIF(Summary!$A$247:$A$283,$A3673,Summary!$L$247:$L$283)+SUMIF(Summary!$A$297:$A$333,$A3673,Summary!$L$297:$L$333))-AI3673,0)</f>
        <v>0</v>
      </c>
      <c r="AK3673" s="196">
        <f>IFERROR($G3673/SUMIF($A:$A,$A3673,$G:$G)*SUMIF(Summary!$A$247:$A$283,$A3673,Summary!$Q$247:$Q$283),0)</f>
        <v>0</v>
      </c>
      <c r="AL3673" s="196">
        <f>IFERROR($G3673/SUMIF($A:$A,$A3673,$G:$G)*(SUMIF(Summary!$A$247:$A$283,$A3673,Summary!$L$247:$L$283)+SUMIF(Summary!$A$297:$A$333,$A3673,Summary!$L$297:$L$333))-AK3673,0)</f>
        <v>0</v>
      </c>
      <c r="AM3673" s="198"/>
      <c r="AN3673" s="196">
        <f t="shared" ca="1" si="810"/>
        <v>0</v>
      </c>
      <c r="AO3673" s="196">
        <f t="shared" ca="1" si="811"/>
        <v>0</v>
      </c>
    </row>
    <row r="3674" spans="1:41">
      <c r="A3674" s="189">
        <v>42295</v>
      </c>
      <c r="B3674" s="190">
        <v>5</v>
      </c>
      <c r="C3674" s="191" t="s">
        <v>235</v>
      </c>
      <c r="D3674" s="192">
        <f t="shared" si="798"/>
        <v>0</v>
      </c>
      <c r="E3674" s="192">
        <f t="shared" si="799"/>
        <v>0</v>
      </c>
      <c r="F3674" s="192">
        <f t="shared" si="800"/>
        <v>0</v>
      </c>
      <c r="G3674" s="193">
        <f t="shared" si="801"/>
        <v>0</v>
      </c>
      <c r="H3674" s="194">
        <v>0</v>
      </c>
      <c r="I3674" s="194">
        <v>0</v>
      </c>
      <c r="J3674" s="194">
        <v>0</v>
      </c>
      <c r="K3674" s="193">
        <f t="shared" si="802"/>
        <v>0</v>
      </c>
      <c r="L3674" s="194">
        <v>0</v>
      </c>
      <c r="M3674" s="194">
        <v>0</v>
      </c>
      <c r="N3674" s="194">
        <v>0</v>
      </c>
      <c r="O3674" s="193">
        <f t="shared" si="803"/>
        <v>0</v>
      </c>
      <c r="P3674" s="194">
        <v>0</v>
      </c>
      <c r="Q3674" s="194">
        <v>0</v>
      </c>
      <c r="R3674" s="194">
        <v>0</v>
      </c>
      <c r="S3674" s="193">
        <f t="shared" si="804"/>
        <v>0</v>
      </c>
      <c r="T3674" s="193">
        <f t="shared" si="805"/>
        <v>0</v>
      </c>
      <c r="U3674" s="193">
        <f ca="1">OFFSET('Expenditure Study'!$B$7,'Operations Support'!$C3674,'Operations Support'!$B3674)*$G3674</f>
        <v>0</v>
      </c>
      <c r="V3674" s="199">
        <f ca="1">U3674*'Expenditure Study'!$B$31</f>
        <v>0</v>
      </c>
      <c r="W3674" s="199">
        <f ca="1">IF(A3674=10298,1.51,1)*IF($B3674&lt;3,$D3674*'Expenditure Study'!$B$32*OFFSET('Expenditure Study'!$B$7,'Operations Support'!$C3674,'Operations Support'!$B3674),0)</f>
        <v>0</v>
      </c>
      <c r="X3674" s="200">
        <f ca="1">W3674*'Expenditure Study'!$B$31</f>
        <v>0</v>
      </c>
      <c r="Y3674" s="199">
        <f ca="1">U3674*'Expenditure Study'!$B$31</f>
        <v>0</v>
      </c>
      <c r="Z3674" s="200">
        <f ca="1">W3674*'Expenditure Study'!$B$31</f>
        <v>0</v>
      </c>
      <c r="AA3674" s="195">
        <f t="shared" ca="1" si="806"/>
        <v>0</v>
      </c>
      <c r="AB3674" s="195">
        <f t="shared" ca="1" si="807"/>
        <v>0</v>
      </c>
      <c r="AD3674" s="196">
        <f>IFERROR($G3674/SUMIF($A:$A,$A3674,$G:$G)*SUMIF(Summary!$A$166:$A$242,$A3674,Summary!$P$166:$P$242),0)</f>
        <v>0</v>
      </c>
      <c r="AE3674" s="197">
        <f t="shared" ca="1" si="808"/>
        <v>0</v>
      </c>
      <c r="AF3674" s="196">
        <f>IFERROR(G3674/SUMIF(A:A,A3674,G:G)*SUMIF(Summary!$A$166:$A$242,'Operations Support'!A3674,Summary!$Q$166:$Q$242),0)</f>
        <v>0</v>
      </c>
      <c r="AG3674" s="196">
        <f t="shared" ca="1" si="809"/>
        <v>0</v>
      </c>
      <c r="AI3674" s="196">
        <f>IFERROR($G3674/SUMIF($A:$A,$A3674,$G:$G)*SUMIF(Summary!$A$247:$A$283,$A3674,Summary!$P$247:$P$283),0)</f>
        <v>0</v>
      </c>
      <c r="AJ3674" s="196">
        <f>IFERROR($G3674/SUMIF($A:$A,$A3674,$G:$G)*(SUMIF(Summary!$A$247:$A$283,$A3674,Summary!$L$247:$L$283)+SUMIF(Summary!$A$297:$A$333,$A3674,Summary!$L$297:$L$333))-AI3674,0)</f>
        <v>0</v>
      </c>
      <c r="AK3674" s="196">
        <f>IFERROR($G3674/SUMIF($A:$A,$A3674,$G:$G)*SUMIF(Summary!$A$247:$A$283,$A3674,Summary!$Q$247:$Q$283),0)</f>
        <v>0</v>
      </c>
      <c r="AL3674" s="196">
        <f>IFERROR($G3674/SUMIF($A:$A,$A3674,$G:$G)*(SUMIF(Summary!$A$247:$A$283,$A3674,Summary!$L$247:$L$283)+SUMIF(Summary!$A$297:$A$333,$A3674,Summary!$L$297:$L$333))-AK3674,0)</f>
        <v>0</v>
      </c>
      <c r="AM3674" s="198"/>
      <c r="AN3674" s="196">
        <f t="shared" ca="1" si="810"/>
        <v>0</v>
      </c>
      <c r="AO3674" s="196">
        <f t="shared" ca="1" si="811"/>
        <v>0</v>
      </c>
    </row>
    <row r="3675" spans="1:41">
      <c r="A3675" s="189">
        <v>42295</v>
      </c>
      <c r="B3675" s="190">
        <v>5</v>
      </c>
      <c r="C3675" s="191" t="s">
        <v>236</v>
      </c>
      <c r="D3675" s="192">
        <f t="shared" si="798"/>
        <v>0</v>
      </c>
      <c r="E3675" s="192">
        <f t="shared" si="799"/>
        <v>0</v>
      </c>
      <c r="F3675" s="192">
        <f t="shared" si="800"/>
        <v>0</v>
      </c>
      <c r="G3675" s="193">
        <f t="shared" si="801"/>
        <v>0</v>
      </c>
      <c r="H3675" s="194">
        <v>0</v>
      </c>
      <c r="I3675" s="194">
        <v>0</v>
      </c>
      <c r="J3675" s="194">
        <v>0</v>
      </c>
      <c r="K3675" s="193">
        <f t="shared" si="802"/>
        <v>0</v>
      </c>
      <c r="L3675" s="194">
        <v>0</v>
      </c>
      <c r="M3675" s="194">
        <v>0</v>
      </c>
      <c r="N3675" s="194">
        <v>0</v>
      </c>
      <c r="O3675" s="193">
        <f t="shared" si="803"/>
        <v>0</v>
      </c>
      <c r="P3675" s="194">
        <v>0</v>
      </c>
      <c r="Q3675" s="194">
        <v>0</v>
      </c>
      <c r="R3675" s="194">
        <v>0</v>
      </c>
      <c r="S3675" s="193">
        <f t="shared" si="804"/>
        <v>0</v>
      </c>
      <c r="T3675" s="193">
        <f t="shared" si="805"/>
        <v>0</v>
      </c>
      <c r="U3675" s="193">
        <f ca="1">OFFSET('Expenditure Study'!$B$7,'Operations Support'!$C3675,'Operations Support'!$B3675)*$G3675</f>
        <v>0</v>
      </c>
      <c r="V3675" s="199">
        <f ca="1">U3675*'Expenditure Study'!$B$31</f>
        <v>0</v>
      </c>
      <c r="W3675" s="199">
        <f ca="1">IF(A3675=10298,1.51,1)*IF($B3675&lt;3,$D3675*'Expenditure Study'!$B$32*OFFSET('Expenditure Study'!$B$7,'Operations Support'!$C3675,'Operations Support'!$B3675),0)</f>
        <v>0</v>
      </c>
      <c r="X3675" s="200">
        <f ca="1">W3675*'Expenditure Study'!$B$31</f>
        <v>0</v>
      </c>
      <c r="Y3675" s="199">
        <f ca="1">U3675*'Expenditure Study'!$B$31</f>
        <v>0</v>
      </c>
      <c r="Z3675" s="200">
        <f ca="1">W3675*'Expenditure Study'!$B$31</f>
        <v>0</v>
      </c>
      <c r="AA3675" s="195">
        <f t="shared" ca="1" si="806"/>
        <v>0</v>
      </c>
      <c r="AB3675" s="195">
        <f t="shared" ca="1" si="807"/>
        <v>0</v>
      </c>
      <c r="AD3675" s="196">
        <f>IFERROR($G3675/SUMIF($A:$A,$A3675,$G:$G)*SUMIF(Summary!$A$166:$A$242,$A3675,Summary!$P$166:$P$242),0)</f>
        <v>0</v>
      </c>
      <c r="AE3675" s="197">
        <f t="shared" ca="1" si="808"/>
        <v>0</v>
      </c>
      <c r="AF3675" s="196">
        <f>IFERROR(G3675/SUMIF(A:A,A3675,G:G)*SUMIF(Summary!$A$166:$A$242,'Operations Support'!A3675,Summary!$Q$166:$Q$242),0)</f>
        <v>0</v>
      </c>
      <c r="AG3675" s="196">
        <f t="shared" ca="1" si="809"/>
        <v>0</v>
      </c>
      <c r="AI3675" s="196">
        <f>IFERROR($G3675/SUMIF($A:$A,$A3675,$G:$G)*SUMIF(Summary!$A$247:$A$283,$A3675,Summary!$P$247:$P$283),0)</f>
        <v>0</v>
      </c>
      <c r="AJ3675" s="196">
        <f>IFERROR($G3675/SUMIF($A:$A,$A3675,$G:$G)*(SUMIF(Summary!$A$247:$A$283,$A3675,Summary!$L$247:$L$283)+SUMIF(Summary!$A$297:$A$333,$A3675,Summary!$L$297:$L$333))-AI3675,0)</f>
        <v>0</v>
      </c>
      <c r="AK3675" s="196">
        <f>IFERROR($G3675/SUMIF($A:$A,$A3675,$G:$G)*SUMIF(Summary!$A$247:$A$283,$A3675,Summary!$Q$247:$Q$283),0)</f>
        <v>0</v>
      </c>
      <c r="AL3675" s="196">
        <f>IFERROR($G3675/SUMIF($A:$A,$A3675,$G:$G)*(SUMIF(Summary!$A$247:$A$283,$A3675,Summary!$L$247:$L$283)+SUMIF(Summary!$A$297:$A$333,$A3675,Summary!$L$297:$L$333))-AK3675,0)</f>
        <v>0</v>
      </c>
      <c r="AM3675" s="198"/>
      <c r="AN3675" s="196">
        <f t="shared" ca="1" si="810"/>
        <v>0</v>
      </c>
      <c r="AO3675" s="196">
        <f t="shared" ca="1" si="811"/>
        <v>0</v>
      </c>
    </row>
    <row r="3676" spans="1:41">
      <c r="A3676" s="189">
        <v>42295</v>
      </c>
      <c r="B3676" s="190">
        <v>5</v>
      </c>
      <c r="C3676" s="191" t="s">
        <v>237</v>
      </c>
      <c r="D3676" s="192">
        <f t="shared" si="798"/>
        <v>0</v>
      </c>
      <c r="E3676" s="192">
        <f t="shared" si="799"/>
        <v>0</v>
      </c>
      <c r="F3676" s="192">
        <f t="shared" si="800"/>
        <v>0</v>
      </c>
      <c r="G3676" s="193">
        <f t="shared" si="801"/>
        <v>0</v>
      </c>
      <c r="H3676" s="194">
        <v>0</v>
      </c>
      <c r="I3676" s="194">
        <v>0</v>
      </c>
      <c r="J3676" s="194">
        <v>0</v>
      </c>
      <c r="K3676" s="193">
        <f t="shared" si="802"/>
        <v>0</v>
      </c>
      <c r="L3676" s="194">
        <v>0</v>
      </c>
      <c r="M3676" s="194">
        <v>0</v>
      </c>
      <c r="N3676" s="194">
        <v>0</v>
      </c>
      <c r="O3676" s="193">
        <f t="shared" si="803"/>
        <v>0</v>
      </c>
      <c r="P3676" s="194">
        <v>0</v>
      </c>
      <c r="Q3676" s="194">
        <v>0</v>
      </c>
      <c r="R3676" s="194">
        <v>0</v>
      </c>
      <c r="S3676" s="193">
        <f t="shared" si="804"/>
        <v>0</v>
      </c>
      <c r="T3676" s="193">
        <f t="shared" si="805"/>
        <v>0</v>
      </c>
      <c r="U3676" s="193">
        <f ca="1">OFFSET('Expenditure Study'!$B$7,'Operations Support'!$C3676,'Operations Support'!$B3676)*$G3676</f>
        <v>0</v>
      </c>
      <c r="V3676" s="199">
        <f ca="1">U3676*'Expenditure Study'!$B$31</f>
        <v>0</v>
      </c>
      <c r="W3676" s="199">
        <f ca="1">IF(A3676=10298,1.51,1)*IF($B3676&lt;3,$D3676*'Expenditure Study'!$B$32*OFFSET('Expenditure Study'!$B$7,'Operations Support'!$C3676,'Operations Support'!$B3676),0)</f>
        <v>0</v>
      </c>
      <c r="X3676" s="200">
        <f ca="1">W3676*'Expenditure Study'!$B$31</f>
        <v>0</v>
      </c>
      <c r="Y3676" s="199">
        <f ca="1">U3676*'Expenditure Study'!$B$31</f>
        <v>0</v>
      </c>
      <c r="Z3676" s="200">
        <f ca="1">W3676*'Expenditure Study'!$B$31</f>
        <v>0</v>
      </c>
      <c r="AA3676" s="195">
        <f t="shared" ca="1" si="806"/>
        <v>0</v>
      </c>
      <c r="AB3676" s="195">
        <f t="shared" ca="1" si="807"/>
        <v>0</v>
      </c>
      <c r="AD3676" s="196">
        <f>IFERROR($G3676/SUMIF($A:$A,$A3676,$G:$G)*SUMIF(Summary!$A$166:$A$242,$A3676,Summary!$P$166:$P$242),0)</f>
        <v>0</v>
      </c>
      <c r="AE3676" s="197">
        <f t="shared" ca="1" si="808"/>
        <v>0</v>
      </c>
      <c r="AF3676" s="196">
        <f>IFERROR(G3676/SUMIF(A:A,A3676,G:G)*SUMIF(Summary!$A$166:$A$242,'Operations Support'!A3676,Summary!$Q$166:$Q$242),0)</f>
        <v>0</v>
      </c>
      <c r="AG3676" s="196">
        <f t="shared" ca="1" si="809"/>
        <v>0</v>
      </c>
      <c r="AI3676" s="196">
        <f>IFERROR($G3676/SUMIF($A:$A,$A3676,$G:$G)*SUMIF(Summary!$A$247:$A$283,$A3676,Summary!$P$247:$P$283),0)</f>
        <v>0</v>
      </c>
      <c r="AJ3676" s="196">
        <f>IFERROR($G3676/SUMIF($A:$A,$A3676,$G:$G)*(SUMIF(Summary!$A$247:$A$283,$A3676,Summary!$L$247:$L$283)+SUMIF(Summary!$A$297:$A$333,$A3676,Summary!$L$297:$L$333))-AI3676,0)</f>
        <v>0</v>
      </c>
      <c r="AK3676" s="196">
        <f>IFERROR($G3676/SUMIF($A:$A,$A3676,$G:$G)*SUMIF(Summary!$A$247:$A$283,$A3676,Summary!$Q$247:$Q$283),0)</f>
        <v>0</v>
      </c>
      <c r="AL3676" s="196">
        <f>IFERROR($G3676/SUMIF($A:$A,$A3676,$G:$G)*(SUMIF(Summary!$A$247:$A$283,$A3676,Summary!$L$247:$L$283)+SUMIF(Summary!$A$297:$A$333,$A3676,Summary!$L$297:$L$333))-AK3676,0)</f>
        <v>0</v>
      </c>
      <c r="AM3676" s="198"/>
      <c r="AN3676" s="196">
        <f t="shared" ca="1" si="810"/>
        <v>0</v>
      </c>
      <c r="AO3676" s="196">
        <f t="shared" ca="1" si="811"/>
        <v>0</v>
      </c>
    </row>
    <row r="3677" spans="1:41">
      <c r="A3677" s="189">
        <v>42295</v>
      </c>
      <c r="B3677" s="190">
        <v>5</v>
      </c>
      <c r="C3677" s="191" t="s">
        <v>238</v>
      </c>
      <c r="D3677" s="192">
        <f t="shared" si="798"/>
        <v>0</v>
      </c>
      <c r="E3677" s="192">
        <f t="shared" si="799"/>
        <v>0</v>
      </c>
      <c r="F3677" s="192">
        <f t="shared" si="800"/>
        <v>0</v>
      </c>
      <c r="G3677" s="193">
        <f t="shared" si="801"/>
        <v>0</v>
      </c>
      <c r="H3677" s="194">
        <v>0</v>
      </c>
      <c r="I3677" s="194">
        <v>0</v>
      </c>
      <c r="J3677" s="194">
        <v>0</v>
      </c>
      <c r="K3677" s="193">
        <f t="shared" si="802"/>
        <v>0</v>
      </c>
      <c r="L3677" s="194">
        <v>0</v>
      </c>
      <c r="M3677" s="194">
        <v>0</v>
      </c>
      <c r="N3677" s="194">
        <v>0</v>
      </c>
      <c r="O3677" s="193">
        <f t="shared" si="803"/>
        <v>0</v>
      </c>
      <c r="P3677" s="194">
        <v>0</v>
      </c>
      <c r="Q3677" s="194">
        <v>0</v>
      </c>
      <c r="R3677" s="194">
        <v>0</v>
      </c>
      <c r="S3677" s="193">
        <f t="shared" si="804"/>
        <v>0</v>
      </c>
      <c r="T3677" s="193">
        <f t="shared" si="805"/>
        <v>0</v>
      </c>
      <c r="U3677" s="193">
        <f ca="1">OFFSET('Expenditure Study'!$B$7,'Operations Support'!$C3677,'Operations Support'!$B3677)*$G3677</f>
        <v>0</v>
      </c>
      <c r="V3677" s="199">
        <f ca="1">U3677*'Expenditure Study'!$B$31</f>
        <v>0</v>
      </c>
      <c r="W3677" s="199">
        <f ca="1">IF(A3677=10298,1.51,1)*IF($B3677&lt;3,$D3677*'Expenditure Study'!$B$32*OFFSET('Expenditure Study'!$B$7,'Operations Support'!$C3677,'Operations Support'!$B3677),0)</f>
        <v>0</v>
      </c>
      <c r="X3677" s="200">
        <f ca="1">W3677*'Expenditure Study'!$B$31</f>
        <v>0</v>
      </c>
      <c r="Y3677" s="199">
        <f ca="1">U3677*'Expenditure Study'!$B$31</f>
        <v>0</v>
      </c>
      <c r="Z3677" s="200">
        <f ca="1">W3677*'Expenditure Study'!$B$31</f>
        <v>0</v>
      </c>
      <c r="AA3677" s="195">
        <f t="shared" ca="1" si="806"/>
        <v>0</v>
      </c>
      <c r="AB3677" s="195">
        <f t="shared" ca="1" si="807"/>
        <v>0</v>
      </c>
      <c r="AD3677" s="196">
        <f>IFERROR($G3677/SUMIF($A:$A,$A3677,$G:$G)*SUMIF(Summary!$A$166:$A$242,$A3677,Summary!$P$166:$P$242),0)</f>
        <v>0</v>
      </c>
      <c r="AE3677" s="197">
        <f t="shared" ca="1" si="808"/>
        <v>0</v>
      </c>
      <c r="AF3677" s="196">
        <f>IFERROR(G3677/SUMIF(A:A,A3677,G:G)*SUMIF(Summary!$A$166:$A$242,'Operations Support'!A3677,Summary!$Q$166:$Q$242),0)</f>
        <v>0</v>
      </c>
      <c r="AG3677" s="196">
        <f t="shared" ca="1" si="809"/>
        <v>0</v>
      </c>
      <c r="AI3677" s="196">
        <f>IFERROR($G3677/SUMIF($A:$A,$A3677,$G:$G)*SUMIF(Summary!$A$247:$A$283,$A3677,Summary!$P$247:$P$283),0)</f>
        <v>0</v>
      </c>
      <c r="AJ3677" s="196">
        <f>IFERROR($G3677/SUMIF($A:$A,$A3677,$G:$G)*(SUMIF(Summary!$A$247:$A$283,$A3677,Summary!$L$247:$L$283)+SUMIF(Summary!$A$297:$A$333,$A3677,Summary!$L$297:$L$333))-AI3677,0)</f>
        <v>0</v>
      </c>
      <c r="AK3677" s="196">
        <f>IFERROR($G3677/SUMIF($A:$A,$A3677,$G:$G)*SUMIF(Summary!$A$247:$A$283,$A3677,Summary!$Q$247:$Q$283),0)</f>
        <v>0</v>
      </c>
      <c r="AL3677" s="196">
        <f>IFERROR($G3677/SUMIF($A:$A,$A3677,$G:$G)*(SUMIF(Summary!$A$247:$A$283,$A3677,Summary!$L$247:$L$283)+SUMIF(Summary!$A$297:$A$333,$A3677,Summary!$L$297:$L$333))-AK3677,0)</f>
        <v>0</v>
      </c>
      <c r="AM3677" s="198"/>
      <c r="AN3677" s="196">
        <f t="shared" ca="1" si="810"/>
        <v>0</v>
      </c>
      <c r="AO3677" s="196">
        <f t="shared" ca="1" si="811"/>
        <v>0</v>
      </c>
    </row>
    <row r="3678" spans="1:41">
      <c r="A3678" s="189">
        <v>42295</v>
      </c>
      <c r="B3678" s="190">
        <v>5</v>
      </c>
      <c r="C3678" s="191" t="s">
        <v>239</v>
      </c>
      <c r="D3678" s="192">
        <f t="shared" si="798"/>
        <v>0</v>
      </c>
      <c r="E3678" s="192">
        <f t="shared" si="799"/>
        <v>0</v>
      </c>
      <c r="F3678" s="192">
        <f t="shared" si="800"/>
        <v>0</v>
      </c>
      <c r="G3678" s="193">
        <f t="shared" si="801"/>
        <v>0</v>
      </c>
      <c r="H3678" s="194">
        <v>0</v>
      </c>
      <c r="I3678" s="194">
        <v>0</v>
      </c>
      <c r="J3678" s="194">
        <v>0</v>
      </c>
      <c r="K3678" s="193">
        <f t="shared" si="802"/>
        <v>0</v>
      </c>
      <c r="L3678" s="194">
        <v>0</v>
      </c>
      <c r="M3678" s="194">
        <v>0</v>
      </c>
      <c r="N3678" s="194">
        <v>0</v>
      </c>
      <c r="O3678" s="193">
        <f t="shared" si="803"/>
        <v>0</v>
      </c>
      <c r="P3678" s="194">
        <v>0</v>
      </c>
      <c r="Q3678" s="194">
        <v>0</v>
      </c>
      <c r="R3678" s="194">
        <v>0</v>
      </c>
      <c r="S3678" s="193">
        <f t="shared" si="804"/>
        <v>0</v>
      </c>
      <c r="T3678" s="193">
        <f t="shared" si="805"/>
        <v>0</v>
      </c>
      <c r="U3678" s="193">
        <f ca="1">OFFSET('Expenditure Study'!$B$7,'Operations Support'!$C3678,'Operations Support'!$B3678)*$G3678</f>
        <v>0</v>
      </c>
      <c r="V3678" s="199">
        <f ca="1">U3678*'Expenditure Study'!$B$31</f>
        <v>0</v>
      </c>
      <c r="W3678" s="199">
        <f ca="1">IF(A3678=10298,1.51,1)*IF($B3678&lt;3,$D3678*'Expenditure Study'!$B$32*OFFSET('Expenditure Study'!$B$7,'Operations Support'!$C3678,'Operations Support'!$B3678),0)</f>
        <v>0</v>
      </c>
      <c r="X3678" s="200">
        <f ca="1">W3678*'Expenditure Study'!$B$31</f>
        <v>0</v>
      </c>
      <c r="Y3678" s="199">
        <f ca="1">U3678*'Expenditure Study'!$B$31</f>
        <v>0</v>
      </c>
      <c r="Z3678" s="200">
        <f ca="1">W3678*'Expenditure Study'!$B$31</f>
        <v>0</v>
      </c>
      <c r="AA3678" s="195">
        <f t="shared" ca="1" si="806"/>
        <v>0</v>
      </c>
      <c r="AB3678" s="195">
        <f t="shared" ca="1" si="807"/>
        <v>0</v>
      </c>
      <c r="AD3678" s="196">
        <f>IFERROR($G3678/SUMIF($A:$A,$A3678,$G:$G)*SUMIF(Summary!$A$166:$A$242,$A3678,Summary!$P$166:$P$242),0)</f>
        <v>0</v>
      </c>
      <c r="AE3678" s="197">
        <f t="shared" ca="1" si="808"/>
        <v>0</v>
      </c>
      <c r="AF3678" s="196">
        <f>IFERROR(G3678/SUMIF(A:A,A3678,G:G)*SUMIF(Summary!$A$166:$A$242,'Operations Support'!A3678,Summary!$Q$166:$Q$242),0)</f>
        <v>0</v>
      </c>
      <c r="AG3678" s="196">
        <f t="shared" ca="1" si="809"/>
        <v>0</v>
      </c>
      <c r="AI3678" s="196">
        <f>IFERROR($G3678/SUMIF($A:$A,$A3678,$G:$G)*SUMIF(Summary!$A$247:$A$283,$A3678,Summary!$P$247:$P$283),0)</f>
        <v>0</v>
      </c>
      <c r="AJ3678" s="196">
        <f>IFERROR($G3678/SUMIF($A:$A,$A3678,$G:$G)*(SUMIF(Summary!$A$247:$A$283,$A3678,Summary!$L$247:$L$283)+SUMIF(Summary!$A$297:$A$333,$A3678,Summary!$L$297:$L$333))-AI3678,0)</f>
        <v>0</v>
      </c>
      <c r="AK3678" s="196">
        <f>IFERROR($G3678/SUMIF($A:$A,$A3678,$G:$G)*SUMIF(Summary!$A$247:$A$283,$A3678,Summary!$Q$247:$Q$283),0)</f>
        <v>0</v>
      </c>
      <c r="AL3678" s="196">
        <f>IFERROR($G3678/SUMIF($A:$A,$A3678,$G:$G)*(SUMIF(Summary!$A$247:$A$283,$A3678,Summary!$L$247:$L$283)+SUMIF(Summary!$A$297:$A$333,$A3678,Summary!$L$297:$L$333))-AK3678,0)</f>
        <v>0</v>
      </c>
      <c r="AM3678" s="198"/>
      <c r="AN3678" s="196">
        <f t="shared" ca="1" si="810"/>
        <v>0</v>
      </c>
      <c r="AO3678" s="196">
        <f t="shared" ca="1" si="811"/>
        <v>0</v>
      </c>
    </row>
    <row r="3679" spans="1:41">
      <c r="A3679" s="189">
        <v>42295</v>
      </c>
      <c r="B3679" s="190">
        <v>5</v>
      </c>
      <c r="C3679" s="191" t="s">
        <v>240</v>
      </c>
      <c r="D3679" s="192">
        <f t="shared" si="798"/>
        <v>0</v>
      </c>
      <c r="E3679" s="192">
        <f t="shared" si="799"/>
        <v>0</v>
      </c>
      <c r="F3679" s="192">
        <f t="shared" si="800"/>
        <v>0</v>
      </c>
      <c r="G3679" s="193">
        <f t="shared" si="801"/>
        <v>0</v>
      </c>
      <c r="H3679" s="194">
        <v>0</v>
      </c>
      <c r="I3679" s="194">
        <v>0</v>
      </c>
      <c r="J3679" s="194">
        <v>0</v>
      </c>
      <c r="K3679" s="193">
        <f t="shared" si="802"/>
        <v>0</v>
      </c>
      <c r="L3679" s="194">
        <v>0</v>
      </c>
      <c r="M3679" s="194">
        <v>0</v>
      </c>
      <c r="N3679" s="194">
        <v>0</v>
      </c>
      <c r="O3679" s="193">
        <f t="shared" si="803"/>
        <v>0</v>
      </c>
      <c r="P3679" s="194">
        <v>0</v>
      </c>
      <c r="Q3679" s="194">
        <v>0</v>
      </c>
      <c r="R3679" s="194">
        <v>0</v>
      </c>
      <c r="S3679" s="193">
        <f t="shared" si="804"/>
        <v>0</v>
      </c>
      <c r="T3679" s="193">
        <f t="shared" si="805"/>
        <v>0</v>
      </c>
      <c r="U3679" s="193">
        <f ca="1">OFFSET('Expenditure Study'!$B$7,'Operations Support'!$C3679,'Operations Support'!$B3679)*$G3679</f>
        <v>0</v>
      </c>
      <c r="V3679" s="199">
        <f ca="1">U3679*'Expenditure Study'!$B$31</f>
        <v>0</v>
      </c>
      <c r="W3679" s="199">
        <f ca="1">IF(A3679=10298,1.51,1)*IF($B3679&lt;3,$D3679*'Expenditure Study'!$B$32*OFFSET('Expenditure Study'!$B$7,'Operations Support'!$C3679,'Operations Support'!$B3679),0)</f>
        <v>0</v>
      </c>
      <c r="X3679" s="200">
        <f ca="1">W3679*'Expenditure Study'!$B$31</f>
        <v>0</v>
      </c>
      <c r="Y3679" s="199">
        <f ca="1">U3679*'Expenditure Study'!$B$31</f>
        <v>0</v>
      </c>
      <c r="Z3679" s="200">
        <f ca="1">W3679*'Expenditure Study'!$B$31</f>
        <v>0</v>
      </c>
      <c r="AA3679" s="195">
        <f t="shared" ca="1" si="806"/>
        <v>0</v>
      </c>
      <c r="AB3679" s="195">
        <f t="shared" ca="1" si="807"/>
        <v>0</v>
      </c>
      <c r="AD3679" s="196">
        <f>IFERROR($G3679/SUMIF($A:$A,$A3679,$G:$G)*SUMIF(Summary!$A$166:$A$242,$A3679,Summary!$P$166:$P$242),0)</f>
        <v>0</v>
      </c>
      <c r="AE3679" s="197">
        <f t="shared" ca="1" si="808"/>
        <v>0</v>
      </c>
      <c r="AF3679" s="196">
        <f>IFERROR(G3679/SUMIF(A:A,A3679,G:G)*SUMIF(Summary!$A$166:$A$242,'Operations Support'!A3679,Summary!$Q$166:$Q$242),0)</f>
        <v>0</v>
      </c>
      <c r="AG3679" s="196">
        <f t="shared" ca="1" si="809"/>
        <v>0</v>
      </c>
      <c r="AI3679" s="196">
        <f>IFERROR($G3679/SUMIF($A:$A,$A3679,$G:$G)*SUMIF(Summary!$A$247:$A$283,$A3679,Summary!$P$247:$P$283),0)</f>
        <v>0</v>
      </c>
      <c r="AJ3679" s="196">
        <f>IFERROR($G3679/SUMIF($A:$A,$A3679,$G:$G)*(SUMIF(Summary!$A$247:$A$283,$A3679,Summary!$L$247:$L$283)+SUMIF(Summary!$A$297:$A$333,$A3679,Summary!$L$297:$L$333))-AI3679,0)</f>
        <v>0</v>
      </c>
      <c r="AK3679" s="196">
        <f>IFERROR($G3679/SUMIF($A:$A,$A3679,$G:$G)*SUMIF(Summary!$A$247:$A$283,$A3679,Summary!$Q$247:$Q$283),0)</f>
        <v>0</v>
      </c>
      <c r="AL3679" s="196">
        <f>IFERROR($G3679/SUMIF($A:$A,$A3679,$G:$G)*(SUMIF(Summary!$A$247:$A$283,$A3679,Summary!$L$247:$L$283)+SUMIF(Summary!$A$297:$A$333,$A3679,Summary!$L$297:$L$333))-AK3679,0)</f>
        <v>0</v>
      </c>
      <c r="AM3679" s="198"/>
      <c r="AN3679" s="196">
        <f t="shared" ca="1" si="810"/>
        <v>0</v>
      </c>
      <c r="AO3679" s="196">
        <f t="shared" ca="1" si="811"/>
        <v>0</v>
      </c>
    </row>
    <row r="3680" spans="1:41">
      <c r="A3680" s="189">
        <v>42421</v>
      </c>
      <c r="B3680" s="190">
        <v>1</v>
      </c>
      <c r="C3680" s="191" t="s">
        <v>220</v>
      </c>
      <c r="D3680" s="192">
        <f t="shared" si="798"/>
        <v>5663</v>
      </c>
      <c r="E3680" s="192">
        <f t="shared" si="799"/>
        <v>12168</v>
      </c>
      <c r="F3680" s="192">
        <f t="shared" si="800"/>
        <v>0</v>
      </c>
      <c r="G3680" s="193">
        <f t="shared" si="801"/>
        <v>17831</v>
      </c>
      <c r="H3680" s="194">
        <v>2205</v>
      </c>
      <c r="I3680" s="194">
        <v>5361</v>
      </c>
      <c r="J3680" s="194">
        <v>0</v>
      </c>
      <c r="K3680" s="193">
        <f t="shared" si="802"/>
        <v>7566</v>
      </c>
      <c r="L3680" s="194">
        <v>2690</v>
      </c>
      <c r="M3680" s="194">
        <v>5511</v>
      </c>
      <c r="N3680" s="194">
        <v>0</v>
      </c>
      <c r="O3680" s="193">
        <f t="shared" si="803"/>
        <v>8201</v>
      </c>
      <c r="P3680" s="194">
        <v>768</v>
      </c>
      <c r="Q3680" s="194">
        <v>1296</v>
      </c>
      <c r="R3680" s="194">
        <v>0</v>
      </c>
      <c r="S3680" s="193">
        <f t="shared" si="804"/>
        <v>2064</v>
      </c>
      <c r="T3680" s="193">
        <f t="shared" si="805"/>
        <v>594.36666666666667</v>
      </c>
      <c r="U3680" s="193">
        <f ca="1">OFFSET('Expenditure Study'!$B$7,'Operations Support'!$C3680,'Operations Support'!$B3680)*$G3680</f>
        <v>17831</v>
      </c>
      <c r="V3680" s="199">
        <f ca="1">U3680*'Expenditure Study'!$B$31</f>
        <v>1053512.1968447999</v>
      </c>
      <c r="W3680" s="199">
        <f ca="1">IF(A3680=10298,1.51,1)*IF($B3680&lt;3,$D3680*'Expenditure Study'!$B$32*OFFSET('Expenditure Study'!$B$7,'Operations Support'!$C3680,'Operations Support'!$B3680),0)</f>
        <v>566.30000000000007</v>
      </c>
      <c r="X3680" s="200">
        <f ca="1">W3680*'Expenditure Study'!$B$31</f>
        <v>33458.805287040006</v>
      </c>
      <c r="Y3680" s="199">
        <f ca="1">U3680*'Expenditure Study'!$B$31</f>
        <v>1053512.1968447999</v>
      </c>
      <c r="Z3680" s="200">
        <f ca="1">W3680*'Expenditure Study'!$B$31</f>
        <v>33458.805287040006</v>
      </c>
      <c r="AA3680" s="195">
        <f t="shared" ca="1" si="806"/>
        <v>1086971.00213184</v>
      </c>
      <c r="AB3680" s="195">
        <f t="shared" ca="1" si="807"/>
        <v>1086971.00213184</v>
      </c>
      <c r="AD3680" s="196">
        <f>IFERROR($G3680/SUMIF($A:$A,$A3680,$G:$G)*SUMIF(Summary!$A$166:$A$242,$A3680,Summary!$P$166:$P$242),0)</f>
        <v>363383.47822975245</v>
      </c>
      <c r="AE3680" s="197">
        <f t="shared" ca="1" si="808"/>
        <v>723587.52390208747</v>
      </c>
      <c r="AF3680" s="196">
        <f>IFERROR(G3680/SUMIF(A:A,A3680,G:G)*SUMIF(Summary!$A$166:$A$242,'Operations Support'!A3680,Summary!$Q$166:$Q$242),0)</f>
        <v>363612.16200879449</v>
      </c>
      <c r="AG3680" s="196">
        <f t="shared" ca="1" si="809"/>
        <v>723358.84012304549</v>
      </c>
      <c r="AI3680" s="196">
        <f>IFERROR($G3680/SUMIF($A:$A,$A3680,$G:$G)*SUMIF(Summary!$A$247:$A$283,$A3680,Summary!$P$247:$P$283),0)</f>
        <v>66272.078295489846</v>
      </c>
      <c r="AJ3680" s="196">
        <f>IFERROR($G3680/SUMIF($A:$A,$A3680,$G:$G)*(SUMIF(Summary!$A$247:$A$283,$A3680,Summary!$L$247:$L$283)+SUMIF(Summary!$A$297:$A$333,$A3680,Summary!$L$297:$L$333))-AI3680,0)</f>
        <v>582523.38026416511</v>
      </c>
      <c r="AK3680" s="196">
        <f>IFERROR($G3680/SUMIF($A:$A,$A3680,$G:$G)*SUMIF(Summary!$A$247:$A$283,$A3680,Summary!$Q$247:$Q$283),0)</f>
        <v>66313.784510047029</v>
      </c>
      <c r="AL3680" s="196">
        <f>IFERROR($G3680/SUMIF($A:$A,$A3680,$G:$G)*(SUMIF(Summary!$A$247:$A$283,$A3680,Summary!$L$247:$L$283)+SUMIF(Summary!$A$297:$A$333,$A3680,Summary!$L$297:$L$333))-AK3680,0)</f>
        <v>582481.67404960794</v>
      </c>
      <c r="AM3680" s="198"/>
      <c r="AN3680" s="196">
        <f t="shared" ca="1" si="810"/>
        <v>1306110.9041662526</v>
      </c>
      <c r="AO3680" s="196">
        <f t="shared" ca="1" si="811"/>
        <v>1305840.5141726534</v>
      </c>
    </row>
    <row r="3681" spans="1:41">
      <c r="A3681" s="189">
        <v>42421</v>
      </c>
      <c r="B3681" s="190">
        <v>1</v>
      </c>
      <c r="C3681" s="191" t="s">
        <v>221</v>
      </c>
      <c r="D3681" s="192">
        <f t="shared" si="798"/>
        <v>1564</v>
      </c>
      <c r="E3681" s="192">
        <f t="shared" si="799"/>
        <v>2790</v>
      </c>
      <c r="F3681" s="192">
        <f t="shared" si="800"/>
        <v>0</v>
      </c>
      <c r="G3681" s="193">
        <f t="shared" si="801"/>
        <v>4354</v>
      </c>
      <c r="H3681" s="194">
        <v>526</v>
      </c>
      <c r="I3681" s="194">
        <v>1135</v>
      </c>
      <c r="J3681" s="194">
        <v>0</v>
      </c>
      <c r="K3681" s="193">
        <f t="shared" si="802"/>
        <v>1661</v>
      </c>
      <c r="L3681" s="194">
        <v>708</v>
      </c>
      <c r="M3681" s="194">
        <v>1365</v>
      </c>
      <c r="N3681" s="194">
        <v>0</v>
      </c>
      <c r="O3681" s="193">
        <f t="shared" si="803"/>
        <v>2073</v>
      </c>
      <c r="P3681" s="194">
        <v>330</v>
      </c>
      <c r="Q3681" s="194">
        <v>290</v>
      </c>
      <c r="R3681" s="194">
        <v>0</v>
      </c>
      <c r="S3681" s="193">
        <f t="shared" si="804"/>
        <v>620</v>
      </c>
      <c r="T3681" s="193">
        <f t="shared" si="805"/>
        <v>145.13333333333333</v>
      </c>
      <c r="U3681" s="193">
        <f ca="1">OFFSET('Expenditure Study'!$B$7,'Operations Support'!$C3681,'Operations Support'!$B3681)*$G3681</f>
        <v>5834.3600000000006</v>
      </c>
      <c r="V3681" s="199">
        <f ca="1">U3681*'Expenditure Study'!$B$31</f>
        <v>344712.54673228803</v>
      </c>
      <c r="W3681" s="199">
        <f ca="1">IF(A3681=10298,1.51,1)*IF($B3681&lt;3,$D3681*'Expenditure Study'!$B$32*OFFSET('Expenditure Study'!$B$7,'Operations Support'!$C3681,'Operations Support'!$B3681),0)</f>
        <v>209.57600000000002</v>
      </c>
      <c r="X3681" s="200">
        <f ca="1">W3681*'Expenditure Study'!$B$31</f>
        <v>12382.416699340802</v>
      </c>
      <c r="Y3681" s="199">
        <f ca="1">U3681*'Expenditure Study'!$B$31</f>
        <v>344712.54673228803</v>
      </c>
      <c r="Z3681" s="200">
        <f ca="1">W3681*'Expenditure Study'!$B$31</f>
        <v>12382.416699340802</v>
      </c>
      <c r="AA3681" s="195">
        <f t="shared" ca="1" si="806"/>
        <v>357094.96343162883</v>
      </c>
      <c r="AB3681" s="195">
        <f t="shared" ca="1" si="807"/>
        <v>357094.96343162883</v>
      </c>
      <c r="AD3681" s="196">
        <f>IFERROR($G3681/SUMIF($A:$A,$A3681,$G:$G)*SUMIF(Summary!$A$166:$A$242,$A3681,Summary!$P$166:$P$242),0)</f>
        <v>88731.51613551355</v>
      </c>
      <c r="AE3681" s="197">
        <f t="shared" ca="1" si="808"/>
        <v>268363.44729611528</v>
      </c>
      <c r="AF3681" s="196">
        <f>IFERROR(G3681/SUMIF(A:A,A3681,G:G)*SUMIF(Summary!$A$166:$A$242,'Operations Support'!A3681,Summary!$Q$166:$Q$242),0)</f>
        <v>88787.356479518319</v>
      </c>
      <c r="AG3681" s="196">
        <f t="shared" ca="1" si="809"/>
        <v>268307.60695211054</v>
      </c>
      <c r="AI3681" s="196">
        <f>IFERROR($G3681/SUMIF($A:$A,$A3681,$G:$G)*SUMIF(Summary!$A$247:$A$283,$A3681,Summary!$P$247:$P$283),0)</f>
        <v>16182.414272814916</v>
      </c>
      <c r="AJ3681" s="196">
        <f>IFERROR($G3681/SUMIF($A:$A,$A3681,$G:$G)*(SUMIF(Summary!$A$247:$A$283,$A3681,Summary!$L$247:$L$283)+SUMIF(Summary!$A$297:$A$333,$A3681,Summary!$L$297:$L$333))-AI3681,0)</f>
        <v>142241.42211150104</v>
      </c>
      <c r="AK3681" s="196">
        <f>IFERROR($G3681/SUMIF($A:$A,$A3681,$G:$G)*SUMIF(Summary!$A$247:$A$283,$A3681,Summary!$Q$247:$Q$283),0)</f>
        <v>16192.598158081135</v>
      </c>
      <c r="AL3681" s="196">
        <f>IFERROR($G3681/SUMIF($A:$A,$A3681,$G:$G)*(SUMIF(Summary!$A$247:$A$283,$A3681,Summary!$L$247:$L$283)+SUMIF(Summary!$A$297:$A$333,$A3681,Summary!$L$297:$L$333))-AK3681,0)</f>
        <v>142231.2382262348</v>
      </c>
      <c r="AM3681" s="198"/>
      <c r="AN3681" s="196">
        <f t="shared" ca="1" si="810"/>
        <v>410604.86940761632</v>
      </c>
      <c r="AO3681" s="196">
        <f t="shared" ca="1" si="811"/>
        <v>410538.84517834533</v>
      </c>
    </row>
    <row r="3682" spans="1:41">
      <c r="A3682" s="189">
        <v>42421</v>
      </c>
      <c r="B3682" s="190">
        <v>1</v>
      </c>
      <c r="C3682" s="191" t="s">
        <v>222</v>
      </c>
      <c r="D3682" s="192">
        <f t="shared" si="798"/>
        <v>0</v>
      </c>
      <c r="E3682" s="192">
        <f t="shared" si="799"/>
        <v>1307</v>
      </c>
      <c r="F3682" s="192">
        <f t="shared" si="800"/>
        <v>0</v>
      </c>
      <c r="G3682" s="193">
        <f t="shared" si="801"/>
        <v>1307</v>
      </c>
      <c r="H3682" s="194">
        <v>0</v>
      </c>
      <c r="I3682" s="194">
        <v>608</v>
      </c>
      <c r="J3682" s="194">
        <v>0</v>
      </c>
      <c r="K3682" s="193">
        <f t="shared" si="802"/>
        <v>608</v>
      </c>
      <c r="L3682" s="194">
        <v>0</v>
      </c>
      <c r="M3682" s="194">
        <v>580</v>
      </c>
      <c r="N3682" s="194">
        <v>0</v>
      </c>
      <c r="O3682" s="193">
        <f t="shared" si="803"/>
        <v>580</v>
      </c>
      <c r="P3682" s="194">
        <v>0</v>
      </c>
      <c r="Q3682" s="194">
        <v>119</v>
      </c>
      <c r="R3682" s="194">
        <v>0</v>
      </c>
      <c r="S3682" s="193">
        <f t="shared" si="804"/>
        <v>119</v>
      </c>
      <c r="T3682" s="193">
        <f t="shared" si="805"/>
        <v>43.56666666666667</v>
      </c>
      <c r="U3682" s="193">
        <f ca="1">OFFSET('Expenditure Study'!$B$7,'Operations Support'!$C3682,'Operations Support'!$B3682)*$G3682</f>
        <v>1790.5900000000001</v>
      </c>
      <c r="V3682" s="199">
        <f ca="1">U3682*'Expenditure Study'!$B$31</f>
        <v>105793.75270867201</v>
      </c>
      <c r="W3682" s="199">
        <f ca="1">IF(A3682=10298,1.51,1)*IF($B3682&lt;3,$D3682*'Expenditure Study'!$B$32*OFFSET('Expenditure Study'!$B$7,'Operations Support'!$C3682,'Operations Support'!$B3682),0)</f>
        <v>0</v>
      </c>
      <c r="X3682" s="200">
        <f ca="1">W3682*'Expenditure Study'!$B$31</f>
        <v>0</v>
      </c>
      <c r="Y3682" s="199">
        <f ca="1">U3682*'Expenditure Study'!$B$31</f>
        <v>105793.75270867201</v>
      </c>
      <c r="Z3682" s="200">
        <f ca="1">W3682*'Expenditure Study'!$B$31</f>
        <v>0</v>
      </c>
      <c r="AA3682" s="195">
        <f t="shared" ca="1" si="806"/>
        <v>105793.75270867201</v>
      </c>
      <c r="AB3682" s="195">
        <f t="shared" ca="1" si="807"/>
        <v>105793.75270867201</v>
      </c>
      <c r="AD3682" s="196">
        <f>IFERROR($G3682/SUMIF($A:$A,$A3682,$G:$G)*SUMIF(Summary!$A$166:$A$242,$A3682,Summary!$P$166:$P$242),0)</f>
        <v>26635.758288726734</v>
      </c>
      <c r="AE3682" s="197">
        <f t="shared" ca="1" si="808"/>
        <v>79157.994419945273</v>
      </c>
      <c r="AF3682" s="196">
        <f>IFERROR(G3682/SUMIF(A:A,A3682,G:G)*SUMIF(Summary!$A$166:$A$242,'Operations Support'!A3682,Summary!$Q$166:$Q$242),0)</f>
        <v>26652.520651982188</v>
      </c>
      <c r="AG3682" s="196">
        <f t="shared" ca="1" si="809"/>
        <v>79141.232056689827</v>
      </c>
      <c r="AI3682" s="196">
        <f>IFERROR($G3682/SUMIF($A:$A,$A3682,$G:$G)*SUMIF(Summary!$A$247:$A$283,$A3682,Summary!$P$247:$P$283),0)</f>
        <v>4857.6976239249188</v>
      </c>
      <c r="AJ3682" s="196">
        <f>IFERROR($G3682/SUMIF($A:$A,$A3682,$G:$G)*(SUMIF(Summary!$A$247:$A$283,$A3682,Summary!$L$247:$L$283)+SUMIF(Summary!$A$297:$A$333,$A3682,Summary!$L$297:$L$333))-AI3682,0)</f>
        <v>42698.561942979293</v>
      </c>
      <c r="AK3682" s="196">
        <f>IFERROR($G3682/SUMIF($A:$A,$A3682,$G:$G)*SUMIF(Summary!$A$247:$A$283,$A3682,Summary!$Q$247:$Q$283),0)</f>
        <v>4860.7546606826008</v>
      </c>
      <c r="AL3682" s="196">
        <f>IFERROR($G3682/SUMIF($A:$A,$A3682,$G:$G)*(SUMIF(Summary!$A$247:$A$283,$A3682,Summary!$L$247:$L$283)+SUMIF(Summary!$A$297:$A$333,$A3682,Summary!$L$297:$L$333))-AK3682,0)</f>
        <v>42695.504906221613</v>
      </c>
      <c r="AM3682" s="198"/>
      <c r="AN3682" s="196">
        <f t="shared" ca="1" si="810"/>
        <v>121856.55636292457</v>
      </c>
      <c r="AO3682" s="196">
        <f t="shared" ca="1" si="811"/>
        <v>121836.73696291144</v>
      </c>
    </row>
    <row r="3683" spans="1:41">
      <c r="A3683" s="189">
        <v>42421</v>
      </c>
      <c r="B3683" s="190">
        <v>1</v>
      </c>
      <c r="C3683" s="191" t="s">
        <v>223</v>
      </c>
      <c r="D3683" s="192">
        <f t="shared" si="798"/>
        <v>336</v>
      </c>
      <c r="E3683" s="192">
        <f t="shared" si="799"/>
        <v>279</v>
      </c>
      <c r="F3683" s="192">
        <f t="shared" si="800"/>
        <v>0</v>
      </c>
      <c r="G3683" s="193">
        <f t="shared" si="801"/>
        <v>615</v>
      </c>
      <c r="H3683" s="194">
        <v>96</v>
      </c>
      <c r="I3683" s="194">
        <v>165</v>
      </c>
      <c r="J3683" s="194">
        <v>0</v>
      </c>
      <c r="K3683" s="193">
        <f t="shared" si="802"/>
        <v>261</v>
      </c>
      <c r="L3683" s="194">
        <v>240</v>
      </c>
      <c r="M3683" s="194">
        <v>114</v>
      </c>
      <c r="N3683" s="194">
        <v>0</v>
      </c>
      <c r="O3683" s="193">
        <f t="shared" si="803"/>
        <v>354</v>
      </c>
      <c r="P3683" s="194">
        <v>0</v>
      </c>
      <c r="Q3683" s="194">
        <v>0</v>
      </c>
      <c r="R3683" s="194">
        <v>0</v>
      </c>
      <c r="S3683" s="193">
        <f t="shared" si="804"/>
        <v>0</v>
      </c>
      <c r="T3683" s="193">
        <f t="shared" si="805"/>
        <v>20.5</v>
      </c>
      <c r="U3683" s="193">
        <f ca="1">OFFSET('Expenditure Study'!$B$7,'Operations Support'!$C3683,'Operations Support'!$B3683)*$G3683</f>
        <v>774.9</v>
      </c>
      <c r="V3683" s="199">
        <f ca="1">U3683*'Expenditure Study'!$B$31</f>
        <v>45783.55680192</v>
      </c>
      <c r="W3683" s="199">
        <f ca="1">IF(A3683=10298,1.51,1)*IF($B3683&lt;3,$D3683*'Expenditure Study'!$B$32*OFFSET('Expenditure Study'!$B$7,'Operations Support'!$C3683,'Operations Support'!$B3683),0)</f>
        <v>42.336000000000006</v>
      </c>
      <c r="X3683" s="200">
        <f ca="1">W3683*'Expenditure Study'!$B$31</f>
        <v>2501.3455423488003</v>
      </c>
      <c r="Y3683" s="199">
        <f ca="1">U3683*'Expenditure Study'!$B$31</f>
        <v>45783.55680192</v>
      </c>
      <c r="Z3683" s="200">
        <f ca="1">W3683*'Expenditure Study'!$B$31</f>
        <v>2501.3455423488003</v>
      </c>
      <c r="AA3683" s="195">
        <f t="shared" ca="1" si="806"/>
        <v>48284.902344268798</v>
      </c>
      <c r="AB3683" s="195">
        <f t="shared" ca="1" si="807"/>
        <v>48284.902344268798</v>
      </c>
      <c r="AD3683" s="196">
        <f>IFERROR($G3683/SUMIF($A:$A,$A3683,$G:$G)*SUMIF(Summary!$A$166:$A$242,$A3683,Summary!$P$166:$P$242),0)</f>
        <v>12533.275705866061</v>
      </c>
      <c r="AE3683" s="197">
        <f t="shared" ca="1" si="808"/>
        <v>35751.62663840274</v>
      </c>
      <c r="AF3683" s="196">
        <f>IFERROR(G3683/SUMIF(A:A,A3683,G:G)*SUMIF(Summary!$A$166:$A$242,'Operations Support'!A3683,Summary!$Q$166:$Q$242),0)</f>
        <v>12541.163122394066</v>
      </c>
      <c r="AG3683" s="196">
        <f t="shared" ca="1" si="809"/>
        <v>35743.739221874734</v>
      </c>
      <c r="AI3683" s="196">
        <f>IFERROR($G3683/SUMIF($A:$A,$A3683,$G:$G)*SUMIF(Summary!$A$247:$A$283,$A3683,Summary!$P$247:$P$283),0)</f>
        <v>2285.7567243411054</v>
      </c>
      <c r="AJ3683" s="196">
        <f>IFERROR($G3683/SUMIF($A:$A,$A3683,$G:$G)*(SUMIF(Summary!$A$247:$A$283,$A3683,Summary!$L$247:$L$283)+SUMIF(Summary!$A$297:$A$333,$A3683,Summary!$L$297:$L$333))-AI3683,0)</f>
        <v>20091.519200407241</v>
      </c>
      <c r="AK3683" s="196">
        <f>IFERROR($G3683/SUMIF($A:$A,$A3683,$G:$G)*SUMIF(Summary!$A$247:$A$283,$A3683,Summary!$Q$247:$Q$283),0)</f>
        <v>2287.1951922875282</v>
      </c>
      <c r="AL3683" s="196">
        <f>IFERROR($G3683/SUMIF($A:$A,$A3683,$G:$G)*(SUMIF(Summary!$A$247:$A$283,$A3683,Summary!$L$247:$L$283)+SUMIF(Summary!$A$297:$A$333,$A3683,Summary!$L$297:$L$333))-AK3683,0)</f>
        <v>20090.080732460821</v>
      </c>
      <c r="AM3683" s="198"/>
      <c r="AN3683" s="196">
        <f t="shared" ca="1" si="810"/>
        <v>55843.145838809985</v>
      </c>
      <c r="AO3683" s="196">
        <f t="shared" ca="1" si="811"/>
        <v>55833.819954335559</v>
      </c>
    </row>
    <row r="3684" spans="1:41">
      <c r="A3684" s="189">
        <v>42421</v>
      </c>
      <c r="B3684" s="190">
        <v>1</v>
      </c>
      <c r="C3684" s="191" t="s">
        <v>224</v>
      </c>
      <c r="D3684" s="192">
        <f t="shared" si="798"/>
        <v>0</v>
      </c>
      <c r="E3684" s="192">
        <f t="shared" si="799"/>
        <v>21</v>
      </c>
      <c r="F3684" s="192">
        <f t="shared" si="800"/>
        <v>0</v>
      </c>
      <c r="G3684" s="193">
        <f t="shared" si="801"/>
        <v>21</v>
      </c>
      <c r="H3684" s="194">
        <v>0</v>
      </c>
      <c r="I3684" s="194">
        <v>12</v>
      </c>
      <c r="J3684" s="194">
        <v>0</v>
      </c>
      <c r="K3684" s="193">
        <f t="shared" si="802"/>
        <v>12</v>
      </c>
      <c r="L3684" s="194">
        <v>0</v>
      </c>
      <c r="M3684" s="194">
        <v>6</v>
      </c>
      <c r="N3684" s="194">
        <v>0</v>
      </c>
      <c r="O3684" s="193">
        <f t="shared" si="803"/>
        <v>6</v>
      </c>
      <c r="P3684" s="194">
        <v>0</v>
      </c>
      <c r="Q3684" s="194">
        <v>3</v>
      </c>
      <c r="R3684" s="194">
        <v>0</v>
      </c>
      <c r="S3684" s="193">
        <f t="shared" si="804"/>
        <v>3</v>
      </c>
      <c r="T3684" s="193">
        <f t="shared" si="805"/>
        <v>0.7</v>
      </c>
      <c r="U3684" s="193">
        <f ca="1">OFFSET('Expenditure Study'!$B$7,'Operations Support'!$C3684,'Operations Support'!$B3684)*$G3684</f>
        <v>31.08</v>
      </c>
      <c r="V3684" s="199">
        <f ca="1">U3684*'Expenditure Study'!$B$31</f>
        <v>1836.3052592639999</v>
      </c>
      <c r="W3684" s="199">
        <f ca="1">IF(A3684=10298,1.51,1)*IF($B3684&lt;3,$D3684*'Expenditure Study'!$B$32*OFFSET('Expenditure Study'!$B$7,'Operations Support'!$C3684,'Operations Support'!$B3684),0)</f>
        <v>0</v>
      </c>
      <c r="X3684" s="200">
        <f ca="1">W3684*'Expenditure Study'!$B$31</f>
        <v>0</v>
      </c>
      <c r="Y3684" s="199">
        <f ca="1">U3684*'Expenditure Study'!$B$31</f>
        <v>1836.3052592639999</v>
      </c>
      <c r="Z3684" s="200">
        <f ca="1">W3684*'Expenditure Study'!$B$31</f>
        <v>0</v>
      </c>
      <c r="AA3684" s="195">
        <f t="shared" ca="1" si="806"/>
        <v>1836.3052592639999</v>
      </c>
      <c r="AB3684" s="195">
        <f t="shared" ca="1" si="807"/>
        <v>1836.3052592639999</v>
      </c>
      <c r="AD3684" s="196">
        <f>IFERROR($G3684/SUMIF($A:$A,$A3684,$G:$G)*SUMIF(Summary!$A$166:$A$242,$A3684,Summary!$P$166:$P$242),0)</f>
        <v>427.96551190762159</v>
      </c>
      <c r="AE3684" s="197">
        <f t="shared" ca="1" si="808"/>
        <v>1408.3397473563782</v>
      </c>
      <c r="AF3684" s="196">
        <f>IFERROR(G3684/SUMIF(A:A,A3684,G:G)*SUMIF(Summary!$A$166:$A$242,'Operations Support'!A3684,Summary!$Q$166:$Q$242),0)</f>
        <v>428.23483832565108</v>
      </c>
      <c r="AG3684" s="196">
        <f t="shared" ca="1" si="809"/>
        <v>1408.0704209383489</v>
      </c>
      <c r="AI3684" s="196">
        <f>IFERROR($G3684/SUMIF($A:$A,$A3684,$G:$G)*SUMIF(Summary!$A$247:$A$283,$A3684,Summary!$P$247:$P$283),0)</f>
        <v>78.050229611647509</v>
      </c>
      <c r="AJ3684" s="196">
        <f>IFERROR($G3684/SUMIF($A:$A,$A3684,$G:$G)*(SUMIF(Summary!$A$247:$A$283,$A3684,Summary!$L$247:$L$283)+SUMIF(Summary!$A$297:$A$333,$A3684,Summary!$L$297:$L$333))-AI3684,0)</f>
        <v>686.05187513585713</v>
      </c>
      <c r="AK3684" s="196">
        <f>IFERROR($G3684/SUMIF($A:$A,$A3684,$G:$G)*SUMIF(Summary!$A$247:$A$283,$A3684,Summary!$Q$247:$Q$283),0)</f>
        <v>78.099348029330244</v>
      </c>
      <c r="AL3684" s="196">
        <f>IFERROR($G3684/SUMIF($A:$A,$A3684,$G:$G)*(SUMIF(Summary!$A$247:$A$283,$A3684,Summary!$L$247:$L$283)+SUMIF(Summary!$A$297:$A$333,$A3684,Summary!$L$297:$L$333))-AK3684,0)</f>
        <v>686.0027567181744</v>
      </c>
      <c r="AM3684" s="198"/>
      <c r="AN3684" s="196">
        <f t="shared" ca="1" si="810"/>
        <v>2094.3916224922355</v>
      </c>
      <c r="AO3684" s="196">
        <f t="shared" ca="1" si="811"/>
        <v>2094.0731776565235</v>
      </c>
    </row>
    <row r="3685" spans="1:41">
      <c r="A3685" s="189">
        <v>42421</v>
      </c>
      <c r="B3685" s="190">
        <v>1</v>
      </c>
      <c r="C3685" s="191" t="s">
        <v>225</v>
      </c>
      <c r="D3685" s="192">
        <f t="shared" si="798"/>
        <v>276</v>
      </c>
      <c r="E3685" s="192">
        <f t="shared" si="799"/>
        <v>516</v>
      </c>
      <c r="F3685" s="192">
        <f t="shared" si="800"/>
        <v>0</v>
      </c>
      <c r="G3685" s="193">
        <f t="shared" si="801"/>
        <v>792</v>
      </c>
      <c r="H3685" s="194">
        <v>201</v>
      </c>
      <c r="I3685" s="194">
        <v>213</v>
      </c>
      <c r="J3685" s="194">
        <v>0</v>
      </c>
      <c r="K3685" s="193">
        <f t="shared" si="802"/>
        <v>414</v>
      </c>
      <c r="L3685" s="194">
        <v>75</v>
      </c>
      <c r="M3685" s="194">
        <v>303</v>
      </c>
      <c r="N3685" s="194">
        <v>0</v>
      </c>
      <c r="O3685" s="193">
        <f t="shared" si="803"/>
        <v>378</v>
      </c>
      <c r="P3685" s="194">
        <v>0</v>
      </c>
      <c r="Q3685" s="194">
        <v>0</v>
      </c>
      <c r="R3685" s="194">
        <v>0</v>
      </c>
      <c r="S3685" s="193">
        <f t="shared" si="804"/>
        <v>0</v>
      </c>
      <c r="T3685" s="193">
        <f t="shared" si="805"/>
        <v>26.4</v>
      </c>
      <c r="U3685" s="193">
        <f ca="1">OFFSET('Expenditure Study'!$B$7,'Operations Support'!$C3685,'Operations Support'!$B3685)*$G3685</f>
        <v>1393.92</v>
      </c>
      <c r="V3685" s="199">
        <f ca="1">U3685*'Expenditure Study'!$B$31</f>
        <v>82357.227380736003</v>
      </c>
      <c r="W3685" s="199">
        <f ca="1">IF(A3685=10298,1.51,1)*IF($B3685&lt;3,$D3685*'Expenditure Study'!$B$32*OFFSET('Expenditure Study'!$B$7,'Operations Support'!$C3685,'Operations Support'!$B3685),0)</f>
        <v>48.576000000000001</v>
      </c>
      <c r="X3685" s="200">
        <f ca="1">W3685*'Expenditure Study'!$B$31</f>
        <v>2870.0245905408001</v>
      </c>
      <c r="Y3685" s="199">
        <f ca="1">U3685*'Expenditure Study'!$B$31</f>
        <v>82357.227380736003</v>
      </c>
      <c r="Z3685" s="200">
        <f ca="1">W3685*'Expenditure Study'!$B$31</f>
        <v>2870.0245905408001</v>
      </c>
      <c r="AA3685" s="195">
        <f t="shared" ca="1" si="806"/>
        <v>85227.251971276797</v>
      </c>
      <c r="AB3685" s="195">
        <f t="shared" ca="1" si="807"/>
        <v>85227.251971276797</v>
      </c>
      <c r="AD3685" s="196">
        <f>IFERROR($G3685/SUMIF($A:$A,$A3685,$G:$G)*SUMIF(Summary!$A$166:$A$242,$A3685,Summary!$P$166:$P$242),0)</f>
        <v>16140.413591944587</v>
      </c>
      <c r="AE3685" s="197">
        <f t="shared" ca="1" si="808"/>
        <v>69086.838379332214</v>
      </c>
      <c r="AF3685" s="196">
        <f>IFERROR(G3685/SUMIF(A:A,A3685,G:G)*SUMIF(Summary!$A$166:$A$242,'Operations Support'!A3685,Summary!$Q$166:$Q$242),0)</f>
        <v>16150.571045424555</v>
      </c>
      <c r="AG3685" s="196">
        <f t="shared" ca="1" si="809"/>
        <v>69076.680925852241</v>
      </c>
      <c r="AI3685" s="196">
        <f>IFERROR($G3685/SUMIF($A:$A,$A3685,$G:$G)*SUMIF(Summary!$A$247:$A$283,$A3685,Summary!$P$247:$P$283),0)</f>
        <v>2943.6086596392779</v>
      </c>
      <c r="AJ3685" s="196">
        <f>IFERROR($G3685/SUMIF($A:$A,$A3685,$G:$G)*(SUMIF(Summary!$A$247:$A$283,$A3685,Summary!$L$247:$L$283)+SUMIF(Summary!$A$297:$A$333,$A3685,Summary!$L$297:$L$333))-AI3685,0)</f>
        <v>25873.956433695184</v>
      </c>
      <c r="AK3685" s="196">
        <f>IFERROR($G3685/SUMIF($A:$A,$A3685,$G:$G)*SUMIF(Summary!$A$247:$A$283,$A3685,Summary!$Q$247:$Q$283),0)</f>
        <v>2945.4611256775979</v>
      </c>
      <c r="AL3685" s="196">
        <f>IFERROR($G3685/SUMIF($A:$A,$A3685,$G:$G)*(SUMIF(Summary!$A$247:$A$283,$A3685,Summary!$L$247:$L$283)+SUMIF(Summary!$A$297:$A$333,$A3685,Summary!$L$297:$L$333))-AK3685,0)</f>
        <v>25872.103967656865</v>
      </c>
      <c r="AM3685" s="198"/>
      <c r="AN3685" s="196">
        <f t="shared" ca="1" si="810"/>
        <v>94960.794813027402</v>
      </c>
      <c r="AO3685" s="196">
        <f t="shared" ca="1" si="811"/>
        <v>94948.784893509102</v>
      </c>
    </row>
    <row r="3686" spans="1:41">
      <c r="A3686" s="189">
        <v>42421</v>
      </c>
      <c r="B3686" s="190">
        <v>1</v>
      </c>
      <c r="C3686" s="191" t="s">
        <v>226</v>
      </c>
      <c r="D3686" s="192">
        <f t="shared" si="798"/>
        <v>84</v>
      </c>
      <c r="E3686" s="192">
        <f t="shared" si="799"/>
        <v>378</v>
      </c>
      <c r="F3686" s="192">
        <f t="shared" si="800"/>
        <v>0</v>
      </c>
      <c r="G3686" s="193">
        <f t="shared" si="801"/>
        <v>462</v>
      </c>
      <c r="H3686" s="194">
        <v>27</v>
      </c>
      <c r="I3686" s="194">
        <v>183</v>
      </c>
      <c r="J3686" s="194">
        <v>0</v>
      </c>
      <c r="K3686" s="193">
        <f t="shared" si="802"/>
        <v>210</v>
      </c>
      <c r="L3686" s="194">
        <v>45</v>
      </c>
      <c r="M3686" s="194">
        <v>159</v>
      </c>
      <c r="N3686" s="194">
        <v>0</v>
      </c>
      <c r="O3686" s="193">
        <f t="shared" si="803"/>
        <v>204</v>
      </c>
      <c r="P3686" s="194">
        <v>12</v>
      </c>
      <c r="Q3686" s="194">
        <v>36</v>
      </c>
      <c r="R3686" s="194">
        <v>0</v>
      </c>
      <c r="S3686" s="193">
        <f t="shared" si="804"/>
        <v>48</v>
      </c>
      <c r="T3686" s="193">
        <f t="shared" si="805"/>
        <v>15.4</v>
      </c>
      <c r="U3686" s="193">
        <f ca="1">OFFSET('Expenditure Study'!$B$7,'Operations Support'!$C3686,'Operations Support'!$B3686)*$G3686</f>
        <v>438.9</v>
      </c>
      <c r="V3686" s="199">
        <f ca="1">U3686*'Expenditure Study'!$B$31</f>
        <v>25931.608053119999</v>
      </c>
      <c r="W3686" s="199">
        <f ca="1">IF(A3686=10298,1.51,1)*IF($B3686&lt;3,$D3686*'Expenditure Study'!$B$32*OFFSET('Expenditure Study'!$B$7,'Operations Support'!$C3686,'Operations Support'!$B3686),0)</f>
        <v>7.9799999999999995</v>
      </c>
      <c r="X3686" s="200">
        <f ca="1">W3686*'Expenditure Study'!$B$31</f>
        <v>471.48378278399997</v>
      </c>
      <c r="Y3686" s="199">
        <f ca="1">U3686*'Expenditure Study'!$B$31</f>
        <v>25931.608053119999</v>
      </c>
      <c r="Z3686" s="200">
        <f ca="1">W3686*'Expenditure Study'!$B$31</f>
        <v>471.48378278399997</v>
      </c>
      <c r="AA3686" s="195">
        <f t="shared" ca="1" si="806"/>
        <v>26403.091835903997</v>
      </c>
      <c r="AB3686" s="195">
        <f t="shared" ca="1" si="807"/>
        <v>26403.091835903997</v>
      </c>
      <c r="AD3686" s="196">
        <f>IFERROR($G3686/SUMIF($A:$A,$A3686,$G:$G)*SUMIF(Summary!$A$166:$A$242,$A3686,Summary!$P$166:$P$242),0)</f>
        <v>9415.2412619676761</v>
      </c>
      <c r="AE3686" s="197">
        <f t="shared" ca="1" si="808"/>
        <v>16987.850573936321</v>
      </c>
      <c r="AF3686" s="196">
        <f>IFERROR(G3686/SUMIF(A:A,A3686,G:G)*SUMIF(Summary!$A$166:$A$242,'Operations Support'!A3686,Summary!$Q$166:$Q$242),0)</f>
        <v>9421.1664431643239</v>
      </c>
      <c r="AG3686" s="196">
        <f t="shared" ca="1" si="809"/>
        <v>16981.925392739671</v>
      </c>
      <c r="AI3686" s="196">
        <f>IFERROR($G3686/SUMIF($A:$A,$A3686,$G:$G)*SUMIF(Summary!$A$247:$A$283,$A3686,Summary!$P$247:$P$283),0)</f>
        <v>1717.1050514562453</v>
      </c>
      <c r="AJ3686" s="196">
        <f>IFERROR($G3686/SUMIF($A:$A,$A3686,$G:$G)*(SUMIF(Summary!$A$247:$A$283,$A3686,Summary!$L$247:$L$283)+SUMIF(Summary!$A$297:$A$333,$A3686,Summary!$L$297:$L$333))-AI3686,0)</f>
        <v>15093.141252988858</v>
      </c>
      <c r="AK3686" s="196">
        <f>IFERROR($G3686/SUMIF($A:$A,$A3686,$G:$G)*SUMIF(Summary!$A$247:$A$283,$A3686,Summary!$Q$247:$Q$283),0)</f>
        <v>1718.1856566452655</v>
      </c>
      <c r="AL3686" s="196">
        <f>IFERROR($G3686/SUMIF($A:$A,$A3686,$G:$G)*(SUMIF(Summary!$A$247:$A$283,$A3686,Summary!$L$247:$L$283)+SUMIF(Summary!$A$297:$A$333,$A3686,Summary!$L$297:$L$333))-AK3686,0)</f>
        <v>15092.060647799837</v>
      </c>
      <c r="AM3686" s="198"/>
      <c r="AN3686" s="196">
        <f t="shared" ca="1" si="810"/>
        <v>32080.991826925179</v>
      </c>
      <c r="AO3686" s="196">
        <f t="shared" ca="1" si="811"/>
        <v>32073.986040539508</v>
      </c>
    </row>
    <row r="3687" spans="1:41">
      <c r="A3687" s="189">
        <v>42421</v>
      </c>
      <c r="B3687" s="190">
        <v>1</v>
      </c>
      <c r="C3687" s="191" t="s">
        <v>227</v>
      </c>
      <c r="D3687" s="192">
        <f t="shared" si="798"/>
        <v>0</v>
      </c>
      <c r="E3687" s="192">
        <f t="shared" si="799"/>
        <v>0</v>
      </c>
      <c r="F3687" s="192">
        <f t="shared" si="800"/>
        <v>0</v>
      </c>
      <c r="G3687" s="193">
        <f t="shared" si="801"/>
        <v>0</v>
      </c>
      <c r="H3687" s="194">
        <v>0</v>
      </c>
      <c r="I3687" s="194">
        <v>0</v>
      </c>
      <c r="J3687" s="194">
        <v>0</v>
      </c>
      <c r="K3687" s="193">
        <f t="shared" si="802"/>
        <v>0</v>
      </c>
      <c r="L3687" s="194">
        <v>0</v>
      </c>
      <c r="M3687" s="194">
        <v>0</v>
      </c>
      <c r="N3687" s="194">
        <v>0</v>
      </c>
      <c r="O3687" s="193">
        <f t="shared" si="803"/>
        <v>0</v>
      </c>
      <c r="P3687" s="194">
        <v>0</v>
      </c>
      <c r="Q3687" s="194">
        <v>0</v>
      </c>
      <c r="R3687" s="194">
        <v>0</v>
      </c>
      <c r="S3687" s="193">
        <f t="shared" si="804"/>
        <v>0</v>
      </c>
      <c r="T3687" s="193">
        <f t="shared" si="805"/>
        <v>0</v>
      </c>
      <c r="U3687" s="193">
        <f ca="1">OFFSET('Expenditure Study'!$B$7,'Operations Support'!$C3687,'Operations Support'!$B3687)*$G3687</f>
        <v>0</v>
      </c>
      <c r="V3687" s="199">
        <f ca="1">U3687*'Expenditure Study'!$B$31</f>
        <v>0</v>
      </c>
      <c r="W3687" s="199">
        <f ca="1">IF(A3687=10298,1.51,1)*IF($B3687&lt;3,$D3687*'Expenditure Study'!$B$32*OFFSET('Expenditure Study'!$B$7,'Operations Support'!$C3687,'Operations Support'!$B3687),0)</f>
        <v>0</v>
      </c>
      <c r="X3687" s="200">
        <f ca="1">W3687*'Expenditure Study'!$B$31</f>
        <v>0</v>
      </c>
      <c r="Y3687" s="199">
        <f ca="1">U3687*'Expenditure Study'!$B$31</f>
        <v>0</v>
      </c>
      <c r="Z3687" s="200">
        <f ca="1">W3687*'Expenditure Study'!$B$31</f>
        <v>0</v>
      </c>
      <c r="AA3687" s="195">
        <f t="shared" ca="1" si="806"/>
        <v>0</v>
      </c>
      <c r="AB3687" s="195">
        <f t="shared" ca="1" si="807"/>
        <v>0</v>
      </c>
      <c r="AD3687" s="196">
        <f>IFERROR($G3687/SUMIF($A:$A,$A3687,$G:$G)*SUMIF(Summary!$A$166:$A$242,$A3687,Summary!$P$166:$P$242),0)</f>
        <v>0</v>
      </c>
      <c r="AE3687" s="197">
        <f t="shared" ca="1" si="808"/>
        <v>0</v>
      </c>
      <c r="AF3687" s="196">
        <f>IFERROR(G3687/SUMIF(A:A,A3687,G:G)*SUMIF(Summary!$A$166:$A$242,'Operations Support'!A3687,Summary!$Q$166:$Q$242),0)</f>
        <v>0</v>
      </c>
      <c r="AG3687" s="196">
        <f t="shared" ca="1" si="809"/>
        <v>0</v>
      </c>
      <c r="AI3687" s="196">
        <f>IFERROR($G3687/SUMIF($A:$A,$A3687,$G:$G)*SUMIF(Summary!$A$247:$A$283,$A3687,Summary!$P$247:$P$283),0)</f>
        <v>0</v>
      </c>
      <c r="AJ3687" s="196">
        <f>IFERROR($G3687/SUMIF($A:$A,$A3687,$G:$G)*(SUMIF(Summary!$A$247:$A$283,$A3687,Summary!$L$247:$L$283)+SUMIF(Summary!$A$297:$A$333,$A3687,Summary!$L$297:$L$333))-AI3687,0)</f>
        <v>0</v>
      </c>
      <c r="AK3687" s="196">
        <f>IFERROR($G3687/SUMIF($A:$A,$A3687,$G:$G)*SUMIF(Summary!$A$247:$A$283,$A3687,Summary!$Q$247:$Q$283),0)</f>
        <v>0</v>
      </c>
      <c r="AL3687" s="196">
        <f>IFERROR($G3687/SUMIF($A:$A,$A3687,$G:$G)*(SUMIF(Summary!$A$247:$A$283,$A3687,Summary!$L$247:$L$283)+SUMIF(Summary!$A$297:$A$333,$A3687,Summary!$L$297:$L$333))-AK3687,0)</f>
        <v>0</v>
      </c>
      <c r="AM3687" s="198"/>
      <c r="AN3687" s="196">
        <f t="shared" ca="1" si="810"/>
        <v>0</v>
      </c>
      <c r="AO3687" s="196">
        <f t="shared" ca="1" si="811"/>
        <v>0</v>
      </c>
    </row>
    <row r="3688" spans="1:41">
      <c r="A3688" s="189">
        <v>42421</v>
      </c>
      <c r="B3688" s="190">
        <v>1</v>
      </c>
      <c r="C3688" s="191" t="s">
        <v>228</v>
      </c>
      <c r="D3688" s="192">
        <f t="shared" si="798"/>
        <v>0</v>
      </c>
      <c r="E3688" s="192">
        <f t="shared" si="799"/>
        <v>45</v>
      </c>
      <c r="F3688" s="192">
        <f t="shared" si="800"/>
        <v>0</v>
      </c>
      <c r="G3688" s="193">
        <f t="shared" si="801"/>
        <v>45</v>
      </c>
      <c r="H3688" s="194">
        <v>0</v>
      </c>
      <c r="I3688" s="194">
        <v>0</v>
      </c>
      <c r="J3688" s="194">
        <v>0</v>
      </c>
      <c r="K3688" s="193">
        <f t="shared" si="802"/>
        <v>0</v>
      </c>
      <c r="L3688" s="194">
        <v>0</v>
      </c>
      <c r="M3688" s="194">
        <v>45</v>
      </c>
      <c r="N3688" s="194">
        <v>0</v>
      </c>
      <c r="O3688" s="193">
        <f t="shared" si="803"/>
        <v>45</v>
      </c>
      <c r="P3688" s="194">
        <v>0</v>
      </c>
      <c r="Q3688" s="194">
        <v>0</v>
      </c>
      <c r="R3688" s="194">
        <v>0</v>
      </c>
      <c r="S3688" s="193">
        <f t="shared" si="804"/>
        <v>0</v>
      </c>
      <c r="T3688" s="193">
        <f t="shared" si="805"/>
        <v>1.5</v>
      </c>
      <c r="U3688" s="193">
        <f ca="1">OFFSET('Expenditure Study'!$B$7,'Operations Support'!$C3688,'Operations Support'!$B3688)*$G3688</f>
        <v>71.100000000000009</v>
      </c>
      <c r="V3688" s="199">
        <f ca="1">U3688*'Expenditure Study'!$B$31</f>
        <v>4200.8141548800004</v>
      </c>
      <c r="W3688" s="199">
        <f ca="1">IF(A3688=10298,1.51,1)*IF($B3688&lt;3,$D3688*'Expenditure Study'!$B$32*OFFSET('Expenditure Study'!$B$7,'Operations Support'!$C3688,'Operations Support'!$B3688),0)</f>
        <v>0</v>
      </c>
      <c r="X3688" s="200">
        <f ca="1">W3688*'Expenditure Study'!$B$31</f>
        <v>0</v>
      </c>
      <c r="Y3688" s="199">
        <f ca="1">U3688*'Expenditure Study'!$B$31</f>
        <v>4200.8141548800004</v>
      </c>
      <c r="Z3688" s="200">
        <f ca="1">W3688*'Expenditure Study'!$B$31</f>
        <v>0</v>
      </c>
      <c r="AA3688" s="195">
        <f t="shared" ca="1" si="806"/>
        <v>4200.8141548800004</v>
      </c>
      <c r="AB3688" s="195">
        <f t="shared" ca="1" si="807"/>
        <v>4200.8141548800004</v>
      </c>
      <c r="AD3688" s="196">
        <f>IFERROR($G3688/SUMIF($A:$A,$A3688,$G:$G)*SUMIF(Summary!$A$166:$A$242,$A3688,Summary!$P$166:$P$242),0)</f>
        <v>917.06895408776052</v>
      </c>
      <c r="AE3688" s="197">
        <f t="shared" ca="1" si="808"/>
        <v>3283.7452007922398</v>
      </c>
      <c r="AF3688" s="196">
        <f>IFERROR(G3688/SUMIF(A:A,A3688,G:G)*SUMIF(Summary!$A$166:$A$242,'Operations Support'!A3688,Summary!$Q$166:$Q$242),0)</f>
        <v>917.64608212639507</v>
      </c>
      <c r="AG3688" s="196">
        <f t="shared" ca="1" si="809"/>
        <v>3283.1680727536054</v>
      </c>
      <c r="AI3688" s="196">
        <f>IFERROR($G3688/SUMIF($A:$A,$A3688,$G:$G)*SUMIF(Summary!$A$247:$A$283,$A3688,Summary!$P$247:$P$283),0)</f>
        <v>167.25049202495893</v>
      </c>
      <c r="AJ3688" s="196">
        <f>IFERROR($G3688/SUMIF($A:$A,$A3688,$G:$G)*(SUMIF(Summary!$A$247:$A$283,$A3688,Summary!$L$247:$L$283)+SUMIF(Summary!$A$297:$A$333,$A3688,Summary!$L$297:$L$333))-AI3688,0)</f>
        <v>1470.1111610054081</v>
      </c>
      <c r="AK3688" s="196">
        <f>IFERROR($G3688/SUMIF($A:$A,$A3688,$G:$G)*SUMIF(Summary!$A$247:$A$283,$A3688,Summary!$Q$247:$Q$283),0)</f>
        <v>167.35574577713621</v>
      </c>
      <c r="AL3688" s="196">
        <f>IFERROR($G3688/SUMIF($A:$A,$A3688,$G:$G)*(SUMIF(Summary!$A$247:$A$283,$A3688,Summary!$L$247:$L$283)+SUMIF(Summary!$A$297:$A$333,$A3688,Summary!$L$297:$L$333))-AK3688,0)</f>
        <v>1470.0059072532308</v>
      </c>
      <c r="AM3688" s="198"/>
      <c r="AN3688" s="196">
        <f t="shared" ca="1" si="810"/>
        <v>4753.8563617976479</v>
      </c>
      <c r="AO3688" s="196">
        <f t="shared" ca="1" si="811"/>
        <v>4753.1739800068362</v>
      </c>
    </row>
    <row r="3689" spans="1:41">
      <c r="A3689" s="189">
        <v>42421</v>
      </c>
      <c r="B3689" s="190">
        <v>1</v>
      </c>
      <c r="C3689" s="191" t="s">
        <v>229</v>
      </c>
      <c r="D3689" s="192">
        <f t="shared" si="798"/>
        <v>0</v>
      </c>
      <c r="E3689" s="192">
        <f t="shared" si="799"/>
        <v>0</v>
      </c>
      <c r="F3689" s="192">
        <f t="shared" si="800"/>
        <v>0</v>
      </c>
      <c r="G3689" s="193">
        <f t="shared" si="801"/>
        <v>0</v>
      </c>
      <c r="H3689" s="194">
        <v>0</v>
      </c>
      <c r="I3689" s="194">
        <v>0</v>
      </c>
      <c r="J3689" s="194">
        <v>0</v>
      </c>
      <c r="K3689" s="193">
        <f t="shared" si="802"/>
        <v>0</v>
      </c>
      <c r="L3689" s="194">
        <v>0</v>
      </c>
      <c r="M3689" s="194">
        <v>0</v>
      </c>
      <c r="N3689" s="194">
        <v>0</v>
      </c>
      <c r="O3689" s="193">
        <f t="shared" si="803"/>
        <v>0</v>
      </c>
      <c r="P3689" s="194">
        <v>0</v>
      </c>
      <c r="Q3689" s="194">
        <v>0</v>
      </c>
      <c r="R3689" s="194">
        <v>0</v>
      </c>
      <c r="S3689" s="193">
        <f t="shared" si="804"/>
        <v>0</v>
      </c>
      <c r="T3689" s="193">
        <f t="shared" si="805"/>
        <v>0</v>
      </c>
      <c r="U3689" s="193">
        <f ca="1">OFFSET('Expenditure Study'!$B$7,'Operations Support'!$C3689,'Operations Support'!$B3689)*$G3689</f>
        <v>0</v>
      </c>
      <c r="V3689" s="199">
        <f ca="1">U3689*'Expenditure Study'!$B$31</f>
        <v>0</v>
      </c>
      <c r="W3689" s="199">
        <f ca="1">IF(A3689=10298,1.51,1)*IF($B3689&lt;3,$D3689*'Expenditure Study'!$B$32*OFFSET('Expenditure Study'!$B$7,'Operations Support'!$C3689,'Operations Support'!$B3689),0)</f>
        <v>0</v>
      </c>
      <c r="X3689" s="200">
        <f ca="1">W3689*'Expenditure Study'!$B$31</f>
        <v>0</v>
      </c>
      <c r="Y3689" s="199">
        <f ca="1">U3689*'Expenditure Study'!$B$31</f>
        <v>0</v>
      </c>
      <c r="Z3689" s="200">
        <f ca="1">W3689*'Expenditure Study'!$B$31</f>
        <v>0</v>
      </c>
      <c r="AA3689" s="195">
        <f t="shared" ca="1" si="806"/>
        <v>0</v>
      </c>
      <c r="AB3689" s="195">
        <f t="shared" ca="1" si="807"/>
        <v>0</v>
      </c>
      <c r="AD3689" s="196">
        <f>IFERROR($G3689/SUMIF($A:$A,$A3689,$G:$G)*SUMIF(Summary!$A$166:$A$242,$A3689,Summary!$P$166:$P$242),0)</f>
        <v>0</v>
      </c>
      <c r="AE3689" s="197">
        <f t="shared" ca="1" si="808"/>
        <v>0</v>
      </c>
      <c r="AF3689" s="196">
        <f>IFERROR(G3689/SUMIF(A:A,A3689,G:G)*SUMIF(Summary!$A$166:$A$242,'Operations Support'!A3689,Summary!$Q$166:$Q$242),0)</f>
        <v>0</v>
      </c>
      <c r="AG3689" s="196">
        <f t="shared" ca="1" si="809"/>
        <v>0</v>
      </c>
      <c r="AI3689" s="196">
        <f>IFERROR($G3689/SUMIF($A:$A,$A3689,$G:$G)*SUMIF(Summary!$A$247:$A$283,$A3689,Summary!$P$247:$P$283),0)</f>
        <v>0</v>
      </c>
      <c r="AJ3689" s="196">
        <f>IFERROR($G3689/SUMIF($A:$A,$A3689,$G:$G)*(SUMIF(Summary!$A$247:$A$283,$A3689,Summary!$L$247:$L$283)+SUMIF(Summary!$A$297:$A$333,$A3689,Summary!$L$297:$L$333))-AI3689,0)</f>
        <v>0</v>
      </c>
      <c r="AK3689" s="196">
        <f>IFERROR($G3689/SUMIF($A:$A,$A3689,$G:$G)*SUMIF(Summary!$A$247:$A$283,$A3689,Summary!$Q$247:$Q$283),0)</f>
        <v>0</v>
      </c>
      <c r="AL3689" s="196">
        <f>IFERROR($G3689/SUMIF($A:$A,$A3689,$G:$G)*(SUMIF(Summary!$A$247:$A$283,$A3689,Summary!$L$247:$L$283)+SUMIF(Summary!$A$297:$A$333,$A3689,Summary!$L$297:$L$333))-AK3689,0)</f>
        <v>0</v>
      </c>
      <c r="AM3689" s="198"/>
      <c r="AN3689" s="196">
        <f t="shared" ca="1" si="810"/>
        <v>0</v>
      </c>
      <c r="AO3689" s="196">
        <f t="shared" ca="1" si="811"/>
        <v>0</v>
      </c>
    </row>
    <row r="3690" spans="1:41">
      <c r="A3690" s="189">
        <v>42421</v>
      </c>
      <c r="B3690" s="190">
        <v>1</v>
      </c>
      <c r="C3690" s="191" t="s">
        <v>230</v>
      </c>
      <c r="D3690" s="192">
        <f t="shared" si="798"/>
        <v>0</v>
      </c>
      <c r="E3690" s="192">
        <f t="shared" si="799"/>
        <v>0</v>
      </c>
      <c r="F3690" s="192">
        <f t="shared" si="800"/>
        <v>0</v>
      </c>
      <c r="G3690" s="193">
        <f t="shared" si="801"/>
        <v>0</v>
      </c>
      <c r="H3690" s="194">
        <v>0</v>
      </c>
      <c r="I3690" s="194">
        <v>0</v>
      </c>
      <c r="J3690" s="194">
        <v>0</v>
      </c>
      <c r="K3690" s="193">
        <f t="shared" si="802"/>
        <v>0</v>
      </c>
      <c r="L3690" s="194">
        <v>0</v>
      </c>
      <c r="M3690" s="194">
        <v>0</v>
      </c>
      <c r="N3690" s="194">
        <v>0</v>
      </c>
      <c r="O3690" s="193">
        <f t="shared" si="803"/>
        <v>0</v>
      </c>
      <c r="P3690" s="194">
        <v>0</v>
      </c>
      <c r="Q3690" s="194">
        <v>0</v>
      </c>
      <c r="R3690" s="194">
        <v>0</v>
      </c>
      <c r="S3690" s="193">
        <f t="shared" si="804"/>
        <v>0</v>
      </c>
      <c r="T3690" s="193">
        <f t="shared" si="805"/>
        <v>0</v>
      </c>
      <c r="U3690" s="193">
        <f ca="1">OFFSET('Expenditure Study'!$B$7,'Operations Support'!$C3690,'Operations Support'!$B3690)*$G3690</f>
        <v>0</v>
      </c>
      <c r="V3690" s="199">
        <f ca="1">U3690*'Expenditure Study'!$B$31</f>
        <v>0</v>
      </c>
      <c r="W3690" s="199">
        <f ca="1">IF(A3690=10298,1.51,1)*IF($B3690&lt;3,$D3690*'Expenditure Study'!$B$32*OFFSET('Expenditure Study'!$B$7,'Operations Support'!$C3690,'Operations Support'!$B3690),0)</f>
        <v>0</v>
      </c>
      <c r="X3690" s="200">
        <f ca="1">W3690*'Expenditure Study'!$B$31</f>
        <v>0</v>
      </c>
      <c r="Y3690" s="199">
        <f ca="1">U3690*'Expenditure Study'!$B$31</f>
        <v>0</v>
      </c>
      <c r="Z3690" s="200">
        <f ca="1">W3690*'Expenditure Study'!$B$31</f>
        <v>0</v>
      </c>
      <c r="AA3690" s="195">
        <f t="shared" ca="1" si="806"/>
        <v>0</v>
      </c>
      <c r="AB3690" s="195">
        <f t="shared" ca="1" si="807"/>
        <v>0</v>
      </c>
      <c r="AD3690" s="196">
        <f>IFERROR($G3690/SUMIF($A:$A,$A3690,$G:$G)*SUMIF(Summary!$A$166:$A$242,$A3690,Summary!$P$166:$P$242),0)</f>
        <v>0</v>
      </c>
      <c r="AE3690" s="197">
        <f t="shared" ca="1" si="808"/>
        <v>0</v>
      </c>
      <c r="AF3690" s="196">
        <f>IFERROR(G3690/SUMIF(A:A,A3690,G:G)*SUMIF(Summary!$A$166:$A$242,'Operations Support'!A3690,Summary!$Q$166:$Q$242),0)</f>
        <v>0</v>
      </c>
      <c r="AG3690" s="196">
        <f t="shared" ca="1" si="809"/>
        <v>0</v>
      </c>
      <c r="AI3690" s="196">
        <f>IFERROR($G3690/SUMIF($A:$A,$A3690,$G:$G)*SUMIF(Summary!$A$247:$A$283,$A3690,Summary!$P$247:$P$283),0)</f>
        <v>0</v>
      </c>
      <c r="AJ3690" s="196">
        <f>IFERROR($G3690/SUMIF($A:$A,$A3690,$G:$G)*(SUMIF(Summary!$A$247:$A$283,$A3690,Summary!$L$247:$L$283)+SUMIF(Summary!$A$297:$A$333,$A3690,Summary!$L$297:$L$333))-AI3690,0)</f>
        <v>0</v>
      </c>
      <c r="AK3690" s="196">
        <f>IFERROR($G3690/SUMIF($A:$A,$A3690,$G:$G)*SUMIF(Summary!$A$247:$A$283,$A3690,Summary!$Q$247:$Q$283),0)</f>
        <v>0</v>
      </c>
      <c r="AL3690" s="196">
        <f>IFERROR($G3690/SUMIF($A:$A,$A3690,$G:$G)*(SUMIF(Summary!$A$247:$A$283,$A3690,Summary!$L$247:$L$283)+SUMIF(Summary!$A$297:$A$333,$A3690,Summary!$L$297:$L$333))-AK3690,0)</f>
        <v>0</v>
      </c>
      <c r="AM3690" s="198"/>
      <c r="AN3690" s="196">
        <f t="shared" ca="1" si="810"/>
        <v>0</v>
      </c>
      <c r="AO3690" s="196">
        <f t="shared" ca="1" si="811"/>
        <v>0</v>
      </c>
    </row>
    <row r="3691" spans="1:41">
      <c r="A3691" s="189">
        <v>42421</v>
      </c>
      <c r="B3691" s="190">
        <v>1</v>
      </c>
      <c r="C3691" s="191" t="s">
        <v>231</v>
      </c>
      <c r="D3691" s="192">
        <f t="shared" si="798"/>
        <v>0</v>
      </c>
      <c r="E3691" s="192">
        <f t="shared" si="799"/>
        <v>0</v>
      </c>
      <c r="F3691" s="192">
        <f t="shared" si="800"/>
        <v>0</v>
      </c>
      <c r="G3691" s="193">
        <f t="shared" si="801"/>
        <v>0</v>
      </c>
      <c r="H3691" s="194">
        <v>0</v>
      </c>
      <c r="I3691" s="194">
        <v>0</v>
      </c>
      <c r="J3691" s="194">
        <v>0</v>
      </c>
      <c r="K3691" s="193">
        <f t="shared" si="802"/>
        <v>0</v>
      </c>
      <c r="L3691" s="194">
        <v>0</v>
      </c>
      <c r="M3691" s="194">
        <v>0</v>
      </c>
      <c r="N3691" s="194">
        <v>0</v>
      </c>
      <c r="O3691" s="193">
        <f t="shared" si="803"/>
        <v>0</v>
      </c>
      <c r="P3691" s="194">
        <v>0</v>
      </c>
      <c r="Q3691" s="194">
        <v>0</v>
      </c>
      <c r="R3691" s="194">
        <v>0</v>
      </c>
      <c r="S3691" s="193">
        <f t="shared" si="804"/>
        <v>0</v>
      </c>
      <c r="T3691" s="193">
        <f t="shared" si="805"/>
        <v>0</v>
      </c>
      <c r="U3691" s="193">
        <f ca="1">OFFSET('Expenditure Study'!$B$7,'Operations Support'!$C3691,'Operations Support'!$B3691)*$G3691</f>
        <v>0</v>
      </c>
      <c r="V3691" s="199">
        <f ca="1">U3691*'Expenditure Study'!$B$31</f>
        <v>0</v>
      </c>
      <c r="W3691" s="199">
        <f ca="1">IF(A3691=10298,1.51,1)*IF($B3691&lt;3,$D3691*'Expenditure Study'!$B$32*OFFSET('Expenditure Study'!$B$7,'Operations Support'!$C3691,'Operations Support'!$B3691),0)</f>
        <v>0</v>
      </c>
      <c r="X3691" s="200">
        <f ca="1">W3691*'Expenditure Study'!$B$31</f>
        <v>0</v>
      </c>
      <c r="Y3691" s="199">
        <f ca="1">U3691*'Expenditure Study'!$B$31</f>
        <v>0</v>
      </c>
      <c r="Z3691" s="200">
        <f ca="1">W3691*'Expenditure Study'!$B$31</f>
        <v>0</v>
      </c>
      <c r="AA3691" s="195">
        <f t="shared" ca="1" si="806"/>
        <v>0</v>
      </c>
      <c r="AB3691" s="195">
        <f t="shared" ca="1" si="807"/>
        <v>0</v>
      </c>
      <c r="AD3691" s="196">
        <f>IFERROR($G3691/SUMIF($A:$A,$A3691,$G:$G)*SUMIF(Summary!$A$166:$A$242,$A3691,Summary!$P$166:$P$242),0)</f>
        <v>0</v>
      </c>
      <c r="AE3691" s="197">
        <f t="shared" ca="1" si="808"/>
        <v>0</v>
      </c>
      <c r="AF3691" s="196">
        <f>IFERROR(G3691/SUMIF(A:A,A3691,G:G)*SUMIF(Summary!$A$166:$A$242,'Operations Support'!A3691,Summary!$Q$166:$Q$242),0)</f>
        <v>0</v>
      </c>
      <c r="AG3691" s="196">
        <f t="shared" ca="1" si="809"/>
        <v>0</v>
      </c>
      <c r="AI3691" s="196">
        <f>IFERROR($G3691/SUMIF($A:$A,$A3691,$G:$G)*SUMIF(Summary!$A$247:$A$283,$A3691,Summary!$P$247:$P$283),0)</f>
        <v>0</v>
      </c>
      <c r="AJ3691" s="196">
        <f>IFERROR($G3691/SUMIF($A:$A,$A3691,$G:$G)*(SUMIF(Summary!$A$247:$A$283,$A3691,Summary!$L$247:$L$283)+SUMIF(Summary!$A$297:$A$333,$A3691,Summary!$L$297:$L$333))-AI3691,0)</f>
        <v>0</v>
      </c>
      <c r="AK3691" s="196">
        <f>IFERROR($G3691/SUMIF($A:$A,$A3691,$G:$G)*SUMIF(Summary!$A$247:$A$283,$A3691,Summary!$Q$247:$Q$283),0)</f>
        <v>0</v>
      </c>
      <c r="AL3691" s="196">
        <f>IFERROR($G3691/SUMIF($A:$A,$A3691,$G:$G)*(SUMIF(Summary!$A$247:$A$283,$A3691,Summary!$L$247:$L$283)+SUMIF(Summary!$A$297:$A$333,$A3691,Summary!$L$297:$L$333))-AK3691,0)</f>
        <v>0</v>
      </c>
      <c r="AM3691" s="198"/>
      <c r="AN3691" s="196">
        <f t="shared" ca="1" si="810"/>
        <v>0</v>
      </c>
      <c r="AO3691" s="196">
        <f t="shared" ca="1" si="811"/>
        <v>0</v>
      </c>
    </row>
    <row r="3692" spans="1:41">
      <c r="A3692" s="189">
        <v>42421</v>
      </c>
      <c r="B3692" s="190">
        <v>1</v>
      </c>
      <c r="C3692" s="191" t="s">
        <v>232</v>
      </c>
      <c r="D3692" s="192">
        <f t="shared" si="798"/>
        <v>0</v>
      </c>
      <c r="E3692" s="192">
        <f t="shared" si="799"/>
        <v>0</v>
      </c>
      <c r="F3692" s="192">
        <f t="shared" si="800"/>
        <v>0</v>
      </c>
      <c r="G3692" s="193">
        <f t="shared" si="801"/>
        <v>0</v>
      </c>
      <c r="H3692" s="194">
        <v>0</v>
      </c>
      <c r="I3692" s="194">
        <v>0</v>
      </c>
      <c r="J3692" s="194">
        <v>0</v>
      </c>
      <c r="K3692" s="193">
        <f t="shared" si="802"/>
        <v>0</v>
      </c>
      <c r="L3692" s="194">
        <v>0</v>
      </c>
      <c r="M3692" s="194">
        <v>0</v>
      </c>
      <c r="N3692" s="194">
        <v>0</v>
      </c>
      <c r="O3692" s="193">
        <f t="shared" si="803"/>
        <v>0</v>
      </c>
      <c r="P3692" s="194">
        <v>0</v>
      </c>
      <c r="Q3692" s="194">
        <v>0</v>
      </c>
      <c r="R3692" s="194">
        <v>0</v>
      </c>
      <c r="S3692" s="193">
        <f t="shared" si="804"/>
        <v>0</v>
      </c>
      <c r="T3692" s="193">
        <f t="shared" si="805"/>
        <v>0</v>
      </c>
      <c r="U3692" s="193">
        <f ca="1">OFFSET('Expenditure Study'!$B$7,'Operations Support'!$C3692,'Operations Support'!$B3692)*$G3692</f>
        <v>0</v>
      </c>
      <c r="V3692" s="199">
        <f ca="1">U3692*'Expenditure Study'!$B$31</f>
        <v>0</v>
      </c>
      <c r="W3692" s="199">
        <f ca="1">IF(A3692=10298,1.51,1)*IF($B3692&lt;3,$D3692*'Expenditure Study'!$B$32*OFFSET('Expenditure Study'!$B$7,'Operations Support'!$C3692,'Operations Support'!$B3692),0)</f>
        <v>0</v>
      </c>
      <c r="X3692" s="200">
        <f ca="1">W3692*'Expenditure Study'!$B$31</f>
        <v>0</v>
      </c>
      <c r="Y3692" s="199">
        <f ca="1">U3692*'Expenditure Study'!$B$31</f>
        <v>0</v>
      </c>
      <c r="Z3692" s="200">
        <f ca="1">W3692*'Expenditure Study'!$B$31</f>
        <v>0</v>
      </c>
      <c r="AA3692" s="195">
        <f t="shared" ca="1" si="806"/>
        <v>0</v>
      </c>
      <c r="AB3692" s="195">
        <f t="shared" ca="1" si="807"/>
        <v>0</v>
      </c>
      <c r="AD3692" s="196">
        <f>IFERROR($G3692/SUMIF($A:$A,$A3692,$G:$G)*SUMIF(Summary!$A$166:$A$242,$A3692,Summary!$P$166:$P$242),0)</f>
        <v>0</v>
      </c>
      <c r="AE3692" s="197">
        <f t="shared" ca="1" si="808"/>
        <v>0</v>
      </c>
      <c r="AF3692" s="196">
        <f>IFERROR(G3692/SUMIF(A:A,A3692,G:G)*SUMIF(Summary!$A$166:$A$242,'Operations Support'!A3692,Summary!$Q$166:$Q$242),0)</f>
        <v>0</v>
      </c>
      <c r="AG3692" s="196">
        <f t="shared" ca="1" si="809"/>
        <v>0</v>
      </c>
      <c r="AI3692" s="196">
        <f>IFERROR($G3692/SUMIF($A:$A,$A3692,$G:$G)*SUMIF(Summary!$A$247:$A$283,$A3692,Summary!$P$247:$P$283),0)</f>
        <v>0</v>
      </c>
      <c r="AJ3692" s="196">
        <f>IFERROR($G3692/SUMIF($A:$A,$A3692,$G:$G)*(SUMIF(Summary!$A$247:$A$283,$A3692,Summary!$L$247:$L$283)+SUMIF(Summary!$A$297:$A$333,$A3692,Summary!$L$297:$L$333))-AI3692,0)</f>
        <v>0</v>
      </c>
      <c r="AK3692" s="196">
        <f>IFERROR($G3692/SUMIF($A:$A,$A3692,$G:$G)*SUMIF(Summary!$A$247:$A$283,$A3692,Summary!$Q$247:$Q$283),0)</f>
        <v>0</v>
      </c>
      <c r="AL3692" s="196">
        <f>IFERROR($G3692/SUMIF($A:$A,$A3692,$G:$G)*(SUMIF(Summary!$A$247:$A$283,$A3692,Summary!$L$247:$L$283)+SUMIF(Summary!$A$297:$A$333,$A3692,Summary!$L$297:$L$333))-AK3692,0)</f>
        <v>0</v>
      </c>
      <c r="AM3692" s="198"/>
      <c r="AN3692" s="196">
        <f t="shared" ca="1" si="810"/>
        <v>0</v>
      </c>
      <c r="AO3692" s="196">
        <f t="shared" ca="1" si="811"/>
        <v>0</v>
      </c>
    </row>
    <row r="3693" spans="1:41">
      <c r="A3693" s="189">
        <v>42421</v>
      </c>
      <c r="B3693" s="190">
        <v>1</v>
      </c>
      <c r="C3693" s="191" t="s">
        <v>233</v>
      </c>
      <c r="D3693" s="192">
        <f t="shared" si="798"/>
        <v>153</v>
      </c>
      <c r="E3693" s="192">
        <f t="shared" si="799"/>
        <v>291</v>
      </c>
      <c r="F3693" s="192">
        <f t="shared" si="800"/>
        <v>0</v>
      </c>
      <c r="G3693" s="193">
        <f t="shared" si="801"/>
        <v>444</v>
      </c>
      <c r="H3693" s="194">
        <v>126</v>
      </c>
      <c r="I3693" s="194">
        <v>156</v>
      </c>
      <c r="J3693" s="194">
        <v>0</v>
      </c>
      <c r="K3693" s="193">
        <f t="shared" si="802"/>
        <v>282</v>
      </c>
      <c r="L3693" s="194">
        <v>15</v>
      </c>
      <c r="M3693" s="194">
        <v>93</v>
      </c>
      <c r="N3693" s="194">
        <v>0</v>
      </c>
      <c r="O3693" s="193">
        <f t="shared" si="803"/>
        <v>108</v>
      </c>
      <c r="P3693" s="194">
        <v>12</v>
      </c>
      <c r="Q3693" s="194">
        <v>42</v>
      </c>
      <c r="R3693" s="194">
        <v>0</v>
      </c>
      <c r="S3693" s="193">
        <f t="shared" si="804"/>
        <v>54</v>
      </c>
      <c r="T3693" s="193">
        <f t="shared" si="805"/>
        <v>14.8</v>
      </c>
      <c r="U3693" s="193">
        <f ca="1">OFFSET('Expenditure Study'!$B$7,'Operations Support'!$C3693,'Operations Support'!$B3693)*$G3693</f>
        <v>426.24</v>
      </c>
      <c r="V3693" s="199">
        <f ca="1">U3693*'Expenditure Study'!$B$31</f>
        <v>25183.614984192001</v>
      </c>
      <c r="W3693" s="199">
        <f ca="1">IF(A3693=10298,1.51,1)*IF($B3693&lt;3,$D3693*'Expenditure Study'!$B$32*OFFSET('Expenditure Study'!$B$7,'Operations Support'!$C3693,'Operations Support'!$B3693),0)</f>
        <v>14.688000000000001</v>
      </c>
      <c r="X3693" s="200">
        <f ca="1">W3693*'Expenditure Study'!$B$31</f>
        <v>867.81375959040008</v>
      </c>
      <c r="Y3693" s="199">
        <f ca="1">U3693*'Expenditure Study'!$B$31</f>
        <v>25183.614984192001</v>
      </c>
      <c r="Z3693" s="200">
        <f ca="1">W3693*'Expenditure Study'!$B$31</f>
        <v>867.81375959040008</v>
      </c>
      <c r="AA3693" s="195">
        <f t="shared" ca="1" si="806"/>
        <v>26051.428743782402</v>
      </c>
      <c r="AB3693" s="195">
        <f t="shared" ca="1" si="807"/>
        <v>26051.428743782402</v>
      </c>
      <c r="AD3693" s="196">
        <f>IFERROR($G3693/SUMIF($A:$A,$A3693,$G:$G)*SUMIF(Summary!$A$166:$A$242,$A3693,Summary!$P$166:$P$242),0)</f>
        <v>9048.4136803325709</v>
      </c>
      <c r="AE3693" s="197">
        <f t="shared" ca="1" si="808"/>
        <v>17003.015063449831</v>
      </c>
      <c r="AF3693" s="196">
        <f>IFERROR(G3693/SUMIF(A:A,A3693,G:G)*SUMIF(Summary!$A$166:$A$242,'Operations Support'!A3693,Summary!$Q$166:$Q$242),0)</f>
        <v>9054.1080103137647</v>
      </c>
      <c r="AG3693" s="196">
        <f t="shared" ca="1" si="809"/>
        <v>16997.320733468638</v>
      </c>
      <c r="AI3693" s="196">
        <f>IFERROR($G3693/SUMIF($A:$A,$A3693,$G:$G)*SUMIF(Summary!$A$247:$A$283,$A3693,Summary!$P$247:$P$283),0)</f>
        <v>1650.2048546462615</v>
      </c>
      <c r="AJ3693" s="196">
        <f>IFERROR($G3693/SUMIF($A:$A,$A3693,$G:$G)*(SUMIF(Summary!$A$247:$A$283,$A3693,Summary!$L$247:$L$283)+SUMIF(Summary!$A$297:$A$333,$A3693,Summary!$L$297:$L$333))-AI3693,0)</f>
        <v>14505.096788586694</v>
      </c>
      <c r="AK3693" s="196">
        <f>IFERROR($G3693/SUMIF($A:$A,$A3693,$G:$G)*SUMIF(Summary!$A$247:$A$283,$A3693,Summary!$Q$247:$Q$283),0)</f>
        <v>1651.2433583344107</v>
      </c>
      <c r="AL3693" s="196">
        <f>IFERROR($G3693/SUMIF($A:$A,$A3693,$G:$G)*(SUMIF(Summary!$A$247:$A$283,$A3693,Summary!$L$247:$L$283)+SUMIF(Summary!$A$297:$A$333,$A3693,Summary!$L$297:$L$333))-AK3693,0)</f>
        <v>14504.058284898545</v>
      </c>
      <c r="AM3693" s="198"/>
      <c r="AN3693" s="196">
        <f t="shared" ca="1" si="810"/>
        <v>31508.111852036527</v>
      </c>
      <c r="AO3693" s="196">
        <f t="shared" ca="1" si="811"/>
        <v>31501.379018367181</v>
      </c>
    </row>
    <row r="3694" spans="1:41">
      <c r="A3694" s="189">
        <v>42421</v>
      </c>
      <c r="B3694" s="190">
        <v>1</v>
      </c>
      <c r="C3694" s="191" t="s">
        <v>234</v>
      </c>
      <c r="D3694" s="192">
        <f t="shared" si="798"/>
        <v>0</v>
      </c>
      <c r="E3694" s="192">
        <f t="shared" si="799"/>
        <v>0</v>
      </c>
      <c r="F3694" s="192">
        <f t="shared" si="800"/>
        <v>0</v>
      </c>
      <c r="G3694" s="193">
        <f t="shared" si="801"/>
        <v>0</v>
      </c>
      <c r="H3694" s="194">
        <v>0</v>
      </c>
      <c r="I3694" s="194">
        <v>0</v>
      </c>
      <c r="J3694" s="194">
        <v>0</v>
      </c>
      <c r="K3694" s="193">
        <f t="shared" si="802"/>
        <v>0</v>
      </c>
      <c r="L3694" s="194">
        <v>0</v>
      </c>
      <c r="M3694" s="194">
        <v>0</v>
      </c>
      <c r="N3694" s="194">
        <v>0</v>
      </c>
      <c r="O3694" s="193">
        <f t="shared" si="803"/>
        <v>0</v>
      </c>
      <c r="P3694" s="194">
        <v>0</v>
      </c>
      <c r="Q3694" s="194">
        <v>0</v>
      </c>
      <c r="R3694" s="194">
        <v>0</v>
      </c>
      <c r="S3694" s="193">
        <f t="shared" si="804"/>
        <v>0</v>
      </c>
      <c r="T3694" s="193">
        <f t="shared" si="805"/>
        <v>0</v>
      </c>
      <c r="U3694" s="193">
        <f ca="1">OFFSET('Expenditure Study'!$B$7,'Operations Support'!$C3694,'Operations Support'!$B3694)*$G3694</f>
        <v>0</v>
      </c>
      <c r="V3694" s="199">
        <f ca="1">U3694*'Expenditure Study'!$B$31</f>
        <v>0</v>
      </c>
      <c r="W3694" s="199">
        <f ca="1">IF(A3694=10298,1.51,1)*IF($B3694&lt;3,$D3694*'Expenditure Study'!$B$32*OFFSET('Expenditure Study'!$B$7,'Operations Support'!$C3694,'Operations Support'!$B3694),0)</f>
        <v>0</v>
      </c>
      <c r="X3694" s="200">
        <f ca="1">W3694*'Expenditure Study'!$B$31</f>
        <v>0</v>
      </c>
      <c r="Y3694" s="199">
        <f ca="1">U3694*'Expenditure Study'!$B$31</f>
        <v>0</v>
      </c>
      <c r="Z3694" s="200">
        <f ca="1">W3694*'Expenditure Study'!$B$31</f>
        <v>0</v>
      </c>
      <c r="AA3694" s="195">
        <f t="shared" ca="1" si="806"/>
        <v>0</v>
      </c>
      <c r="AB3694" s="195">
        <f t="shared" ca="1" si="807"/>
        <v>0</v>
      </c>
      <c r="AD3694" s="196">
        <f>IFERROR($G3694/SUMIF($A:$A,$A3694,$G:$G)*SUMIF(Summary!$A$166:$A$242,$A3694,Summary!$P$166:$P$242),0)</f>
        <v>0</v>
      </c>
      <c r="AE3694" s="197">
        <f t="shared" ca="1" si="808"/>
        <v>0</v>
      </c>
      <c r="AF3694" s="196">
        <f>IFERROR(G3694/SUMIF(A:A,A3694,G:G)*SUMIF(Summary!$A$166:$A$242,'Operations Support'!A3694,Summary!$Q$166:$Q$242),0)</f>
        <v>0</v>
      </c>
      <c r="AG3694" s="196">
        <f t="shared" ca="1" si="809"/>
        <v>0</v>
      </c>
      <c r="AI3694" s="196">
        <f>IFERROR($G3694/SUMIF($A:$A,$A3694,$G:$G)*SUMIF(Summary!$A$247:$A$283,$A3694,Summary!$P$247:$P$283),0)</f>
        <v>0</v>
      </c>
      <c r="AJ3694" s="196">
        <f>IFERROR($G3694/SUMIF($A:$A,$A3694,$G:$G)*(SUMIF(Summary!$A$247:$A$283,$A3694,Summary!$L$247:$L$283)+SUMIF(Summary!$A$297:$A$333,$A3694,Summary!$L$297:$L$333))-AI3694,0)</f>
        <v>0</v>
      </c>
      <c r="AK3694" s="196">
        <f>IFERROR($G3694/SUMIF($A:$A,$A3694,$G:$G)*SUMIF(Summary!$A$247:$A$283,$A3694,Summary!$Q$247:$Q$283),0)</f>
        <v>0</v>
      </c>
      <c r="AL3694" s="196">
        <f>IFERROR($G3694/SUMIF($A:$A,$A3694,$G:$G)*(SUMIF(Summary!$A$247:$A$283,$A3694,Summary!$L$247:$L$283)+SUMIF(Summary!$A$297:$A$333,$A3694,Summary!$L$297:$L$333))-AK3694,0)</f>
        <v>0</v>
      </c>
      <c r="AM3694" s="198"/>
      <c r="AN3694" s="196">
        <f t="shared" ca="1" si="810"/>
        <v>0</v>
      </c>
      <c r="AO3694" s="196">
        <f t="shared" ca="1" si="811"/>
        <v>0</v>
      </c>
    </row>
    <row r="3695" spans="1:41">
      <c r="A3695" s="189">
        <v>42421</v>
      </c>
      <c r="B3695" s="190">
        <v>1</v>
      </c>
      <c r="C3695" s="191" t="s">
        <v>235</v>
      </c>
      <c r="D3695" s="192">
        <f t="shared" si="798"/>
        <v>496.5</v>
      </c>
      <c r="E3695" s="192">
        <f t="shared" si="799"/>
        <v>2587.5</v>
      </c>
      <c r="F3695" s="192">
        <f t="shared" si="800"/>
        <v>0</v>
      </c>
      <c r="G3695" s="193">
        <f t="shared" si="801"/>
        <v>3084</v>
      </c>
      <c r="H3695" s="194">
        <v>100.5</v>
      </c>
      <c r="I3695" s="194">
        <v>1027.5</v>
      </c>
      <c r="J3695" s="194">
        <v>0</v>
      </c>
      <c r="K3695" s="193">
        <f t="shared" si="802"/>
        <v>1128</v>
      </c>
      <c r="L3695" s="194">
        <v>321</v>
      </c>
      <c r="M3695" s="194">
        <v>1302</v>
      </c>
      <c r="N3695" s="194">
        <v>0</v>
      </c>
      <c r="O3695" s="193">
        <f t="shared" si="803"/>
        <v>1623</v>
      </c>
      <c r="P3695" s="194">
        <v>75</v>
      </c>
      <c r="Q3695" s="194">
        <v>258</v>
      </c>
      <c r="R3695" s="194">
        <v>0</v>
      </c>
      <c r="S3695" s="193">
        <f t="shared" si="804"/>
        <v>333</v>
      </c>
      <c r="T3695" s="193">
        <f t="shared" si="805"/>
        <v>102.8</v>
      </c>
      <c r="U3695" s="193">
        <f ca="1">OFFSET('Expenditure Study'!$B$7,'Operations Support'!$C3695,'Operations Support'!$B3695)*$G3695</f>
        <v>3392.4</v>
      </c>
      <c r="V3695" s="199">
        <f ca="1">U3695*'Expenditure Study'!$B$31</f>
        <v>200433.78254592</v>
      </c>
      <c r="W3695" s="199">
        <f ca="1">IF(A3695=10298,1.51,1)*IF($B3695&lt;3,$D3695*'Expenditure Study'!$B$32*OFFSET('Expenditure Study'!$B$7,'Operations Support'!$C3695,'Operations Support'!$B3695),0)</f>
        <v>54.615000000000009</v>
      </c>
      <c r="X3695" s="200">
        <f ca="1">W3695*'Expenditure Study'!$B$31</f>
        <v>3226.8279193920007</v>
      </c>
      <c r="Y3695" s="199">
        <f ca="1">U3695*'Expenditure Study'!$B$31</f>
        <v>200433.78254592</v>
      </c>
      <c r="Z3695" s="200">
        <f ca="1">W3695*'Expenditure Study'!$B$31</f>
        <v>3226.8279193920007</v>
      </c>
      <c r="AA3695" s="195">
        <f t="shared" ca="1" si="806"/>
        <v>203660.610465312</v>
      </c>
      <c r="AB3695" s="195">
        <f t="shared" ca="1" si="807"/>
        <v>203660.610465312</v>
      </c>
      <c r="AD3695" s="196">
        <f>IFERROR($G3695/SUMIF($A:$A,$A3695,$G:$G)*SUMIF(Summary!$A$166:$A$242,$A3695,Summary!$P$166:$P$242),0)</f>
        <v>62849.792320147855</v>
      </c>
      <c r="AE3695" s="197">
        <f t="shared" ca="1" si="808"/>
        <v>140810.81814516414</v>
      </c>
      <c r="AF3695" s="196">
        <f>IFERROR(G3695/SUMIF(A:A,A3695,G:G)*SUMIF(Summary!$A$166:$A$242,'Operations Support'!A3695,Summary!$Q$166:$Q$242),0)</f>
        <v>62889.34482839561</v>
      </c>
      <c r="AG3695" s="196">
        <f t="shared" ca="1" si="809"/>
        <v>140771.26563691639</v>
      </c>
      <c r="AI3695" s="196">
        <f>IFERROR($G3695/SUMIF($A:$A,$A3695,$G:$G)*SUMIF(Summary!$A$247:$A$283,$A3695,Summary!$P$247:$P$283),0)</f>
        <v>11462.23372011052</v>
      </c>
      <c r="AJ3695" s="196">
        <f>IFERROR($G3695/SUMIF($A:$A,$A3695,$G:$G)*(SUMIF(Summary!$A$247:$A$283,$A3695,Summary!$L$247:$L$283)+SUMIF(Summary!$A$297:$A$333,$A3695,Summary!$L$297:$L$333))-AI3695,0)</f>
        <v>100751.61823423729</v>
      </c>
      <c r="AK3695" s="196">
        <f>IFERROR($G3695/SUMIF($A:$A,$A3695,$G:$G)*SUMIF(Summary!$A$247:$A$283,$A3695,Summary!$Q$247:$Q$283),0)</f>
        <v>11469.44711059307</v>
      </c>
      <c r="AL3695" s="196">
        <f>IFERROR($G3695/SUMIF($A:$A,$A3695,$G:$G)*(SUMIF(Summary!$A$247:$A$283,$A3695,Summary!$L$247:$L$283)+SUMIF(Summary!$A$297:$A$333,$A3695,Summary!$L$297:$L$333))-AK3695,0)</f>
        <v>100744.40484375475</v>
      </c>
      <c r="AM3695" s="198"/>
      <c r="AN3695" s="196">
        <f t="shared" ca="1" si="810"/>
        <v>241562.43637940142</v>
      </c>
      <c r="AO3695" s="196">
        <f t="shared" ca="1" si="811"/>
        <v>241515.67048067114</v>
      </c>
    </row>
    <row r="3696" spans="1:41">
      <c r="A3696" s="189">
        <v>42421</v>
      </c>
      <c r="B3696" s="190">
        <v>1</v>
      </c>
      <c r="C3696" s="191" t="s">
        <v>236</v>
      </c>
      <c r="D3696" s="192">
        <f t="shared" si="798"/>
        <v>0</v>
      </c>
      <c r="E3696" s="192">
        <f t="shared" si="799"/>
        <v>0</v>
      </c>
      <c r="F3696" s="192">
        <f t="shared" si="800"/>
        <v>0</v>
      </c>
      <c r="G3696" s="193">
        <f t="shared" si="801"/>
        <v>0</v>
      </c>
      <c r="H3696" s="194">
        <v>0</v>
      </c>
      <c r="I3696" s="194">
        <v>0</v>
      </c>
      <c r="J3696" s="194">
        <v>0</v>
      </c>
      <c r="K3696" s="193">
        <f t="shared" si="802"/>
        <v>0</v>
      </c>
      <c r="L3696" s="194">
        <v>0</v>
      </c>
      <c r="M3696" s="194">
        <v>0</v>
      </c>
      <c r="N3696" s="194">
        <v>0</v>
      </c>
      <c r="O3696" s="193">
        <f t="shared" si="803"/>
        <v>0</v>
      </c>
      <c r="P3696" s="194">
        <v>0</v>
      </c>
      <c r="Q3696" s="194">
        <v>0</v>
      </c>
      <c r="R3696" s="194">
        <v>0</v>
      </c>
      <c r="S3696" s="193">
        <f t="shared" si="804"/>
        <v>0</v>
      </c>
      <c r="T3696" s="193">
        <f t="shared" si="805"/>
        <v>0</v>
      </c>
      <c r="U3696" s="193">
        <f ca="1">OFFSET('Expenditure Study'!$B$7,'Operations Support'!$C3696,'Operations Support'!$B3696)*$G3696</f>
        <v>0</v>
      </c>
      <c r="V3696" s="199">
        <f ca="1">U3696*'Expenditure Study'!$B$31</f>
        <v>0</v>
      </c>
      <c r="W3696" s="199">
        <f ca="1">IF(A3696=10298,1.51,1)*IF($B3696&lt;3,$D3696*'Expenditure Study'!$B$32*OFFSET('Expenditure Study'!$B$7,'Operations Support'!$C3696,'Operations Support'!$B3696),0)</f>
        <v>0</v>
      </c>
      <c r="X3696" s="200">
        <f ca="1">W3696*'Expenditure Study'!$B$31</f>
        <v>0</v>
      </c>
      <c r="Y3696" s="199">
        <f ca="1">U3696*'Expenditure Study'!$B$31</f>
        <v>0</v>
      </c>
      <c r="Z3696" s="200">
        <f ca="1">W3696*'Expenditure Study'!$B$31</f>
        <v>0</v>
      </c>
      <c r="AA3696" s="195">
        <f t="shared" ca="1" si="806"/>
        <v>0</v>
      </c>
      <c r="AB3696" s="195">
        <f t="shared" ca="1" si="807"/>
        <v>0</v>
      </c>
      <c r="AD3696" s="196">
        <f>IFERROR($G3696/SUMIF($A:$A,$A3696,$G:$G)*SUMIF(Summary!$A$166:$A$242,$A3696,Summary!$P$166:$P$242),0)</f>
        <v>0</v>
      </c>
      <c r="AE3696" s="197">
        <f t="shared" ca="1" si="808"/>
        <v>0</v>
      </c>
      <c r="AF3696" s="196">
        <f>IFERROR(G3696/SUMIF(A:A,A3696,G:G)*SUMIF(Summary!$A$166:$A$242,'Operations Support'!A3696,Summary!$Q$166:$Q$242),0)</f>
        <v>0</v>
      </c>
      <c r="AG3696" s="196">
        <f t="shared" ca="1" si="809"/>
        <v>0</v>
      </c>
      <c r="AI3696" s="196">
        <f>IFERROR($G3696/SUMIF($A:$A,$A3696,$G:$G)*SUMIF(Summary!$A$247:$A$283,$A3696,Summary!$P$247:$P$283),0)</f>
        <v>0</v>
      </c>
      <c r="AJ3696" s="196">
        <f>IFERROR($G3696/SUMIF($A:$A,$A3696,$G:$G)*(SUMIF(Summary!$A$247:$A$283,$A3696,Summary!$L$247:$L$283)+SUMIF(Summary!$A$297:$A$333,$A3696,Summary!$L$297:$L$333))-AI3696,0)</f>
        <v>0</v>
      </c>
      <c r="AK3696" s="196">
        <f>IFERROR($G3696/SUMIF($A:$A,$A3696,$G:$G)*SUMIF(Summary!$A$247:$A$283,$A3696,Summary!$Q$247:$Q$283),0)</f>
        <v>0</v>
      </c>
      <c r="AL3696" s="196">
        <f>IFERROR($G3696/SUMIF($A:$A,$A3696,$G:$G)*(SUMIF(Summary!$A$247:$A$283,$A3696,Summary!$L$247:$L$283)+SUMIF(Summary!$A$297:$A$333,$A3696,Summary!$L$297:$L$333))-AK3696,0)</f>
        <v>0</v>
      </c>
      <c r="AM3696" s="198"/>
      <c r="AN3696" s="196">
        <f t="shared" ca="1" si="810"/>
        <v>0</v>
      </c>
      <c r="AO3696" s="196">
        <f t="shared" ca="1" si="811"/>
        <v>0</v>
      </c>
    </row>
    <row r="3697" spans="1:41">
      <c r="A3697" s="189">
        <v>42421</v>
      </c>
      <c r="B3697" s="190">
        <v>1</v>
      </c>
      <c r="C3697" s="191" t="s">
        <v>237</v>
      </c>
      <c r="D3697" s="192">
        <f t="shared" si="798"/>
        <v>0</v>
      </c>
      <c r="E3697" s="192">
        <f t="shared" si="799"/>
        <v>0</v>
      </c>
      <c r="F3697" s="192">
        <f t="shared" si="800"/>
        <v>0</v>
      </c>
      <c r="G3697" s="193">
        <f t="shared" si="801"/>
        <v>0</v>
      </c>
      <c r="H3697" s="194">
        <v>0</v>
      </c>
      <c r="I3697" s="194">
        <v>0</v>
      </c>
      <c r="J3697" s="194">
        <v>0</v>
      </c>
      <c r="K3697" s="193">
        <f t="shared" si="802"/>
        <v>0</v>
      </c>
      <c r="L3697" s="194">
        <v>0</v>
      </c>
      <c r="M3697" s="194">
        <v>0</v>
      </c>
      <c r="N3697" s="194">
        <v>0</v>
      </c>
      <c r="O3697" s="193">
        <f t="shared" si="803"/>
        <v>0</v>
      </c>
      <c r="P3697" s="194">
        <v>0</v>
      </c>
      <c r="Q3697" s="194">
        <v>0</v>
      </c>
      <c r="R3697" s="194">
        <v>0</v>
      </c>
      <c r="S3697" s="193">
        <f t="shared" si="804"/>
        <v>0</v>
      </c>
      <c r="T3697" s="193">
        <f t="shared" si="805"/>
        <v>0</v>
      </c>
      <c r="U3697" s="193">
        <f ca="1">OFFSET('Expenditure Study'!$B$7,'Operations Support'!$C3697,'Operations Support'!$B3697)*$G3697</f>
        <v>0</v>
      </c>
      <c r="V3697" s="199">
        <f ca="1">U3697*'Expenditure Study'!$B$31</f>
        <v>0</v>
      </c>
      <c r="W3697" s="199">
        <f ca="1">IF(A3697=10298,1.51,1)*IF($B3697&lt;3,$D3697*'Expenditure Study'!$B$32*OFFSET('Expenditure Study'!$B$7,'Operations Support'!$C3697,'Operations Support'!$B3697),0)</f>
        <v>0</v>
      </c>
      <c r="X3697" s="200">
        <f ca="1">W3697*'Expenditure Study'!$B$31</f>
        <v>0</v>
      </c>
      <c r="Y3697" s="199">
        <f ca="1">U3697*'Expenditure Study'!$B$31</f>
        <v>0</v>
      </c>
      <c r="Z3697" s="200">
        <f ca="1">W3697*'Expenditure Study'!$B$31</f>
        <v>0</v>
      </c>
      <c r="AA3697" s="195">
        <f t="shared" ca="1" si="806"/>
        <v>0</v>
      </c>
      <c r="AB3697" s="195">
        <f t="shared" ca="1" si="807"/>
        <v>0</v>
      </c>
      <c r="AD3697" s="196">
        <f>IFERROR($G3697/SUMIF($A:$A,$A3697,$G:$G)*SUMIF(Summary!$A$166:$A$242,$A3697,Summary!$P$166:$P$242),0)</f>
        <v>0</v>
      </c>
      <c r="AE3697" s="197">
        <f t="shared" ca="1" si="808"/>
        <v>0</v>
      </c>
      <c r="AF3697" s="196">
        <f>IFERROR(G3697/SUMIF(A:A,A3697,G:G)*SUMIF(Summary!$A$166:$A$242,'Operations Support'!A3697,Summary!$Q$166:$Q$242),0)</f>
        <v>0</v>
      </c>
      <c r="AG3697" s="196">
        <f t="shared" ca="1" si="809"/>
        <v>0</v>
      </c>
      <c r="AI3697" s="196">
        <f>IFERROR($G3697/SUMIF($A:$A,$A3697,$G:$G)*SUMIF(Summary!$A$247:$A$283,$A3697,Summary!$P$247:$P$283),0)</f>
        <v>0</v>
      </c>
      <c r="AJ3697" s="196">
        <f>IFERROR($G3697/SUMIF($A:$A,$A3697,$G:$G)*(SUMIF(Summary!$A$247:$A$283,$A3697,Summary!$L$247:$L$283)+SUMIF(Summary!$A$297:$A$333,$A3697,Summary!$L$297:$L$333))-AI3697,0)</f>
        <v>0</v>
      </c>
      <c r="AK3697" s="196">
        <f>IFERROR($G3697/SUMIF($A:$A,$A3697,$G:$G)*SUMIF(Summary!$A$247:$A$283,$A3697,Summary!$Q$247:$Q$283),0)</f>
        <v>0</v>
      </c>
      <c r="AL3697" s="196">
        <f>IFERROR($G3697/SUMIF($A:$A,$A3697,$G:$G)*(SUMIF(Summary!$A$247:$A$283,$A3697,Summary!$L$247:$L$283)+SUMIF(Summary!$A$297:$A$333,$A3697,Summary!$L$297:$L$333))-AK3697,0)</f>
        <v>0</v>
      </c>
      <c r="AM3697" s="198"/>
      <c r="AN3697" s="196">
        <f t="shared" ca="1" si="810"/>
        <v>0</v>
      </c>
      <c r="AO3697" s="196">
        <f t="shared" ca="1" si="811"/>
        <v>0</v>
      </c>
    </row>
    <row r="3698" spans="1:41">
      <c r="A3698" s="189">
        <v>42421</v>
      </c>
      <c r="B3698" s="190">
        <v>1</v>
      </c>
      <c r="C3698" s="191" t="s">
        <v>238</v>
      </c>
      <c r="D3698" s="192">
        <f t="shared" si="798"/>
        <v>0</v>
      </c>
      <c r="E3698" s="192">
        <f t="shared" si="799"/>
        <v>42</v>
      </c>
      <c r="F3698" s="192">
        <f t="shared" si="800"/>
        <v>0</v>
      </c>
      <c r="G3698" s="193">
        <f t="shared" si="801"/>
        <v>42</v>
      </c>
      <c r="H3698" s="194">
        <v>0</v>
      </c>
      <c r="I3698" s="194">
        <v>18</v>
      </c>
      <c r="J3698" s="194">
        <v>0</v>
      </c>
      <c r="K3698" s="193">
        <f t="shared" si="802"/>
        <v>18</v>
      </c>
      <c r="L3698" s="194">
        <v>0</v>
      </c>
      <c r="M3698" s="194">
        <v>21</v>
      </c>
      <c r="N3698" s="194">
        <v>0</v>
      </c>
      <c r="O3698" s="193">
        <f t="shared" si="803"/>
        <v>21</v>
      </c>
      <c r="P3698" s="194">
        <v>0</v>
      </c>
      <c r="Q3698" s="194">
        <v>3</v>
      </c>
      <c r="R3698" s="194">
        <v>0</v>
      </c>
      <c r="S3698" s="193">
        <f t="shared" si="804"/>
        <v>3</v>
      </c>
      <c r="T3698" s="193">
        <f t="shared" si="805"/>
        <v>1.4</v>
      </c>
      <c r="U3698" s="193">
        <f ca="1">OFFSET('Expenditure Study'!$B$7,'Operations Support'!$C3698,'Operations Support'!$B3698)*$G3698</f>
        <v>74.760000000000005</v>
      </c>
      <c r="V3698" s="199">
        <f ca="1">U3698*'Expenditure Study'!$B$31</f>
        <v>4417.0585966080007</v>
      </c>
      <c r="W3698" s="199">
        <f ca="1">IF(A3698=10298,1.51,1)*IF($B3698&lt;3,$D3698*'Expenditure Study'!$B$32*OFFSET('Expenditure Study'!$B$7,'Operations Support'!$C3698,'Operations Support'!$B3698),0)</f>
        <v>0</v>
      </c>
      <c r="X3698" s="200">
        <f ca="1">W3698*'Expenditure Study'!$B$31</f>
        <v>0</v>
      </c>
      <c r="Y3698" s="199">
        <f ca="1">U3698*'Expenditure Study'!$B$31</f>
        <v>4417.0585966080007</v>
      </c>
      <c r="Z3698" s="200">
        <f ca="1">W3698*'Expenditure Study'!$B$31</f>
        <v>0</v>
      </c>
      <c r="AA3698" s="195">
        <f t="shared" ca="1" si="806"/>
        <v>4417.0585966080007</v>
      </c>
      <c r="AB3698" s="195">
        <f t="shared" ca="1" si="807"/>
        <v>4417.0585966080007</v>
      </c>
      <c r="AD3698" s="196">
        <f>IFERROR($G3698/SUMIF($A:$A,$A3698,$G:$G)*SUMIF(Summary!$A$166:$A$242,$A3698,Summary!$P$166:$P$242),0)</f>
        <v>855.93102381524318</v>
      </c>
      <c r="AE3698" s="197">
        <f t="shared" ca="1" si="808"/>
        <v>3561.1275727927577</v>
      </c>
      <c r="AF3698" s="196">
        <f>IFERROR(G3698/SUMIF(A:A,A3698,G:G)*SUMIF(Summary!$A$166:$A$242,'Operations Support'!A3698,Summary!$Q$166:$Q$242),0)</f>
        <v>856.46967665130217</v>
      </c>
      <c r="AG3698" s="196">
        <f t="shared" ca="1" si="809"/>
        <v>3560.5889199566986</v>
      </c>
      <c r="AI3698" s="196">
        <f>IFERROR($G3698/SUMIF($A:$A,$A3698,$G:$G)*SUMIF(Summary!$A$247:$A$283,$A3698,Summary!$P$247:$P$283),0)</f>
        <v>156.10045922329502</v>
      </c>
      <c r="AJ3698" s="196">
        <f>IFERROR($G3698/SUMIF($A:$A,$A3698,$G:$G)*(SUMIF(Summary!$A$247:$A$283,$A3698,Summary!$L$247:$L$283)+SUMIF(Summary!$A$297:$A$333,$A3698,Summary!$L$297:$L$333))-AI3698,0)</f>
        <v>1372.1037502717143</v>
      </c>
      <c r="AK3698" s="196">
        <f>IFERROR($G3698/SUMIF($A:$A,$A3698,$G:$G)*SUMIF(Summary!$A$247:$A$283,$A3698,Summary!$Q$247:$Q$283),0)</f>
        <v>156.19869605866049</v>
      </c>
      <c r="AL3698" s="196">
        <f>IFERROR($G3698/SUMIF($A:$A,$A3698,$G:$G)*(SUMIF(Summary!$A$247:$A$283,$A3698,Summary!$L$247:$L$283)+SUMIF(Summary!$A$297:$A$333,$A3698,Summary!$L$297:$L$333))-AK3698,0)</f>
        <v>1372.0055134363488</v>
      </c>
      <c r="AM3698" s="198"/>
      <c r="AN3698" s="196">
        <f t="shared" ca="1" si="810"/>
        <v>4933.2313230644722</v>
      </c>
      <c r="AO3698" s="196">
        <f t="shared" ca="1" si="811"/>
        <v>4932.5944333930474</v>
      </c>
    </row>
    <row r="3699" spans="1:41">
      <c r="A3699" s="189">
        <v>42421</v>
      </c>
      <c r="B3699" s="190">
        <v>1</v>
      </c>
      <c r="C3699" s="191" t="s">
        <v>239</v>
      </c>
      <c r="D3699" s="192">
        <f t="shared" si="798"/>
        <v>0</v>
      </c>
      <c r="E3699" s="192">
        <f t="shared" si="799"/>
        <v>0</v>
      </c>
      <c r="F3699" s="192">
        <f t="shared" si="800"/>
        <v>0</v>
      </c>
      <c r="G3699" s="193">
        <f t="shared" si="801"/>
        <v>0</v>
      </c>
      <c r="H3699" s="194">
        <v>0</v>
      </c>
      <c r="I3699" s="194">
        <v>0</v>
      </c>
      <c r="J3699" s="194">
        <v>0</v>
      </c>
      <c r="K3699" s="193">
        <f t="shared" si="802"/>
        <v>0</v>
      </c>
      <c r="L3699" s="194">
        <v>0</v>
      </c>
      <c r="M3699" s="194">
        <v>0</v>
      </c>
      <c r="N3699" s="194">
        <v>0</v>
      </c>
      <c r="O3699" s="193">
        <f t="shared" si="803"/>
        <v>0</v>
      </c>
      <c r="P3699" s="194">
        <v>0</v>
      </c>
      <c r="Q3699" s="194">
        <v>0</v>
      </c>
      <c r="R3699" s="194">
        <v>0</v>
      </c>
      <c r="S3699" s="193">
        <f t="shared" si="804"/>
        <v>0</v>
      </c>
      <c r="T3699" s="193">
        <f t="shared" si="805"/>
        <v>0</v>
      </c>
      <c r="U3699" s="193">
        <f ca="1">OFFSET('Expenditure Study'!$B$7,'Operations Support'!$C3699,'Operations Support'!$B3699)*$G3699</f>
        <v>0</v>
      </c>
      <c r="V3699" s="199">
        <f ca="1">U3699*'Expenditure Study'!$B$31</f>
        <v>0</v>
      </c>
      <c r="W3699" s="199">
        <f ca="1">IF(A3699=10298,1.51,1)*IF($B3699&lt;3,$D3699*'Expenditure Study'!$B$32*OFFSET('Expenditure Study'!$B$7,'Operations Support'!$C3699,'Operations Support'!$B3699),0)</f>
        <v>0</v>
      </c>
      <c r="X3699" s="200">
        <f ca="1">W3699*'Expenditure Study'!$B$31</f>
        <v>0</v>
      </c>
      <c r="Y3699" s="199">
        <f ca="1">U3699*'Expenditure Study'!$B$31</f>
        <v>0</v>
      </c>
      <c r="Z3699" s="200">
        <f ca="1">W3699*'Expenditure Study'!$B$31</f>
        <v>0</v>
      </c>
      <c r="AA3699" s="195">
        <f t="shared" ca="1" si="806"/>
        <v>0</v>
      </c>
      <c r="AB3699" s="195">
        <f t="shared" ca="1" si="807"/>
        <v>0</v>
      </c>
      <c r="AD3699" s="196">
        <f>IFERROR($G3699/SUMIF($A:$A,$A3699,$G:$G)*SUMIF(Summary!$A$166:$A$242,$A3699,Summary!$P$166:$P$242),0)</f>
        <v>0</v>
      </c>
      <c r="AE3699" s="197">
        <f t="shared" ca="1" si="808"/>
        <v>0</v>
      </c>
      <c r="AF3699" s="196">
        <f>IFERROR(G3699/SUMIF(A:A,A3699,G:G)*SUMIF(Summary!$A$166:$A$242,'Operations Support'!A3699,Summary!$Q$166:$Q$242),0)</f>
        <v>0</v>
      </c>
      <c r="AG3699" s="196">
        <f t="shared" ca="1" si="809"/>
        <v>0</v>
      </c>
      <c r="AI3699" s="196">
        <f>IFERROR($G3699/SUMIF($A:$A,$A3699,$G:$G)*SUMIF(Summary!$A$247:$A$283,$A3699,Summary!$P$247:$P$283),0)</f>
        <v>0</v>
      </c>
      <c r="AJ3699" s="196">
        <f>IFERROR($G3699/SUMIF($A:$A,$A3699,$G:$G)*(SUMIF(Summary!$A$247:$A$283,$A3699,Summary!$L$247:$L$283)+SUMIF(Summary!$A$297:$A$333,$A3699,Summary!$L$297:$L$333))-AI3699,0)</f>
        <v>0</v>
      </c>
      <c r="AK3699" s="196">
        <f>IFERROR($G3699/SUMIF($A:$A,$A3699,$G:$G)*SUMIF(Summary!$A$247:$A$283,$A3699,Summary!$Q$247:$Q$283),0)</f>
        <v>0</v>
      </c>
      <c r="AL3699" s="196">
        <f>IFERROR($G3699/SUMIF($A:$A,$A3699,$G:$G)*(SUMIF(Summary!$A$247:$A$283,$A3699,Summary!$L$247:$L$283)+SUMIF(Summary!$A$297:$A$333,$A3699,Summary!$L$297:$L$333))-AK3699,0)</f>
        <v>0</v>
      </c>
      <c r="AM3699" s="198"/>
      <c r="AN3699" s="196">
        <f t="shared" ca="1" si="810"/>
        <v>0</v>
      </c>
      <c r="AO3699" s="196">
        <f t="shared" ca="1" si="811"/>
        <v>0</v>
      </c>
    </row>
    <row r="3700" spans="1:41">
      <c r="A3700" s="189">
        <v>42421</v>
      </c>
      <c r="B3700" s="190">
        <v>1</v>
      </c>
      <c r="C3700" s="191" t="s">
        <v>240</v>
      </c>
      <c r="D3700" s="192">
        <f t="shared" si="798"/>
        <v>42</v>
      </c>
      <c r="E3700" s="192">
        <f t="shared" si="799"/>
        <v>666</v>
      </c>
      <c r="F3700" s="192">
        <f t="shared" si="800"/>
        <v>0</v>
      </c>
      <c r="G3700" s="193">
        <f t="shared" si="801"/>
        <v>708</v>
      </c>
      <c r="H3700" s="194">
        <v>42</v>
      </c>
      <c r="I3700" s="194">
        <v>225</v>
      </c>
      <c r="J3700" s="194">
        <v>0</v>
      </c>
      <c r="K3700" s="193">
        <f t="shared" si="802"/>
        <v>267</v>
      </c>
      <c r="L3700" s="194">
        <v>0</v>
      </c>
      <c r="M3700" s="194">
        <v>441</v>
      </c>
      <c r="N3700" s="194">
        <v>0</v>
      </c>
      <c r="O3700" s="193">
        <f t="shared" si="803"/>
        <v>441</v>
      </c>
      <c r="P3700" s="194">
        <v>0</v>
      </c>
      <c r="Q3700" s="194">
        <v>0</v>
      </c>
      <c r="R3700" s="194">
        <v>0</v>
      </c>
      <c r="S3700" s="193">
        <f t="shared" si="804"/>
        <v>0</v>
      </c>
      <c r="T3700" s="193">
        <f t="shared" si="805"/>
        <v>23.6</v>
      </c>
      <c r="U3700" s="193">
        <f ca="1">OFFSET('Expenditure Study'!$B$7,'Operations Support'!$C3700,'Operations Support'!$B3700)*$G3700</f>
        <v>708</v>
      </c>
      <c r="V3700" s="199">
        <f ca="1">U3700*'Expenditure Study'!$B$31</f>
        <v>41830.892006399998</v>
      </c>
      <c r="W3700" s="199">
        <f ca="1">IF(A3700=10298,1.51,1)*IF($B3700&lt;3,$D3700*'Expenditure Study'!$B$32*OFFSET('Expenditure Study'!$B$7,'Operations Support'!$C3700,'Operations Support'!$B3700),0)</f>
        <v>4.2</v>
      </c>
      <c r="X3700" s="200">
        <f ca="1">W3700*'Expenditure Study'!$B$31</f>
        <v>248.14935936000001</v>
      </c>
      <c r="Y3700" s="199">
        <f ca="1">U3700*'Expenditure Study'!$B$31</f>
        <v>41830.892006399998</v>
      </c>
      <c r="Z3700" s="200">
        <f ca="1">W3700*'Expenditure Study'!$B$31</f>
        <v>248.14935936000001</v>
      </c>
      <c r="AA3700" s="195">
        <f t="shared" ca="1" si="806"/>
        <v>42079.04136576</v>
      </c>
      <c r="AB3700" s="195">
        <f t="shared" ca="1" si="807"/>
        <v>42079.04136576</v>
      </c>
      <c r="AD3700" s="196">
        <f>IFERROR($G3700/SUMIF($A:$A,$A3700,$G:$G)*SUMIF(Summary!$A$166:$A$242,$A3700,Summary!$P$166:$P$242),0)</f>
        <v>14428.551544314099</v>
      </c>
      <c r="AE3700" s="197">
        <f t="shared" ca="1" si="808"/>
        <v>27650.489821445903</v>
      </c>
      <c r="AF3700" s="196">
        <f>IFERROR(G3700/SUMIF(A:A,A3700,G:G)*SUMIF(Summary!$A$166:$A$242,'Operations Support'!A3700,Summary!$Q$166:$Q$242),0)</f>
        <v>14437.63169212195</v>
      </c>
      <c r="AG3700" s="196">
        <f t="shared" ca="1" si="809"/>
        <v>27641.409673638052</v>
      </c>
      <c r="AI3700" s="196">
        <f>IFERROR($G3700/SUMIF($A:$A,$A3700,$G:$G)*SUMIF(Summary!$A$247:$A$283,$A3700,Summary!$P$247:$P$283),0)</f>
        <v>2631.4077411926874</v>
      </c>
      <c r="AJ3700" s="196">
        <f>IFERROR($G3700/SUMIF($A:$A,$A3700,$G:$G)*(SUMIF(Summary!$A$247:$A$283,$A3700,Summary!$L$247:$L$283)+SUMIF(Summary!$A$297:$A$333,$A3700,Summary!$L$297:$L$333))-AI3700,0)</f>
        <v>23129.748933151754</v>
      </c>
      <c r="AK3700" s="196">
        <f>IFERROR($G3700/SUMIF($A:$A,$A3700,$G:$G)*SUMIF(Summary!$A$247:$A$283,$A3700,Summary!$Q$247:$Q$283),0)</f>
        <v>2633.0637335602764</v>
      </c>
      <c r="AL3700" s="196">
        <f>IFERROR($G3700/SUMIF($A:$A,$A3700,$G:$G)*(SUMIF(Summary!$A$247:$A$283,$A3700,Summary!$L$247:$L$283)+SUMIF(Summary!$A$297:$A$333,$A3700,Summary!$L$297:$L$333))-AK3700,0)</f>
        <v>23128.092940784165</v>
      </c>
      <c r="AM3700" s="198"/>
      <c r="AN3700" s="196">
        <f t="shared" ca="1" si="810"/>
        <v>50780.238754597653</v>
      </c>
      <c r="AO3700" s="196">
        <f t="shared" ca="1" si="811"/>
        <v>50769.502614422221</v>
      </c>
    </row>
    <row r="3701" spans="1:41">
      <c r="A3701" s="189">
        <v>42421</v>
      </c>
      <c r="B3701" s="190">
        <v>2</v>
      </c>
      <c r="C3701" s="191" t="s">
        <v>220</v>
      </c>
      <c r="D3701" s="192">
        <f t="shared" si="798"/>
        <v>4777</v>
      </c>
      <c r="E3701" s="192">
        <f t="shared" si="799"/>
        <v>10389</v>
      </c>
      <c r="F3701" s="192">
        <f t="shared" si="800"/>
        <v>0</v>
      </c>
      <c r="G3701" s="193">
        <f t="shared" si="801"/>
        <v>15166</v>
      </c>
      <c r="H3701" s="194">
        <v>1900</v>
      </c>
      <c r="I3701" s="194">
        <v>4368</v>
      </c>
      <c r="J3701" s="194">
        <v>0</v>
      </c>
      <c r="K3701" s="193">
        <f t="shared" si="802"/>
        <v>6268</v>
      </c>
      <c r="L3701" s="194">
        <v>2160</v>
      </c>
      <c r="M3701" s="194">
        <v>4180</v>
      </c>
      <c r="N3701" s="194">
        <v>0</v>
      </c>
      <c r="O3701" s="193">
        <f t="shared" si="803"/>
        <v>6340</v>
      </c>
      <c r="P3701" s="194">
        <v>717</v>
      </c>
      <c r="Q3701" s="194">
        <v>1841</v>
      </c>
      <c r="R3701" s="194">
        <v>0</v>
      </c>
      <c r="S3701" s="193">
        <f t="shared" si="804"/>
        <v>2558</v>
      </c>
      <c r="T3701" s="193">
        <f t="shared" si="805"/>
        <v>505.53333333333336</v>
      </c>
      <c r="U3701" s="193">
        <f ca="1">OFFSET('Expenditure Study'!$B$7,'Operations Support'!$C3701,'Operations Support'!$B3701)*$G3701</f>
        <v>27905.440000000002</v>
      </c>
      <c r="V3701" s="199">
        <f ca="1">U3701*'Expenditure Study'!$B$31</f>
        <v>1648742.1568235522</v>
      </c>
      <c r="W3701" s="199">
        <f ca="1">IF(A3701=10298,1.51,1)*IF($B3701&lt;3,$D3701*'Expenditure Study'!$B$32*OFFSET('Expenditure Study'!$B$7,'Operations Support'!$C3701,'Operations Support'!$B3701),0)</f>
        <v>878.96800000000007</v>
      </c>
      <c r="X3701" s="200">
        <f ca="1">W3701*'Expenditure Study'!$B$31</f>
        <v>51932.225261414402</v>
      </c>
      <c r="Y3701" s="199">
        <f ca="1">U3701*'Expenditure Study'!$B$31</f>
        <v>1648742.1568235522</v>
      </c>
      <c r="Z3701" s="200">
        <f ca="1">W3701*'Expenditure Study'!$B$31</f>
        <v>51932.225261414402</v>
      </c>
      <c r="AA3701" s="195">
        <f t="shared" ca="1" si="806"/>
        <v>1700674.3820849666</v>
      </c>
      <c r="AB3701" s="195">
        <f t="shared" ca="1" si="807"/>
        <v>1700674.3820849666</v>
      </c>
      <c r="AD3701" s="196">
        <f>IFERROR($G3701/SUMIF($A:$A,$A3701,$G:$G)*SUMIF(Summary!$A$166:$A$242,$A3701,Summary!$P$166:$P$242),0)</f>
        <v>309072.61683766614</v>
      </c>
      <c r="AE3701" s="197">
        <f t="shared" ca="1" si="808"/>
        <v>1391601.7652473005</v>
      </c>
      <c r="AF3701" s="196">
        <f>IFERROR(G3701/SUMIF(A:A,A3701,G:G)*SUMIF(Summary!$A$166:$A$242,'Operations Support'!A3701,Summary!$Q$166:$Q$242),0)</f>
        <v>309267.12181175355</v>
      </c>
      <c r="AG3701" s="196">
        <f t="shared" ca="1" si="809"/>
        <v>1391407.260273213</v>
      </c>
      <c r="AI3701" s="196">
        <f>IFERROR($G3701/SUMIF($A:$A,$A3701,$G:$G)*SUMIF(Summary!$A$247:$A$283,$A3701,Summary!$P$247:$P$283),0)</f>
        <v>56367.132490011725</v>
      </c>
      <c r="AJ3701" s="196">
        <f>IFERROR($G3701/SUMIF($A:$A,$A3701,$G:$G)*(SUMIF(Summary!$A$247:$A$283,$A3701,Summary!$L$247:$L$283)+SUMIF(Summary!$A$297:$A$333,$A3701,Summary!$L$297:$L$333))-AI3701,0)</f>
        <v>495460.13039573375</v>
      </c>
      <c r="AK3701" s="196">
        <f>IFERROR($G3701/SUMIF($A:$A,$A3701,$G:$G)*SUMIF(Summary!$A$247:$A$283,$A3701,Summary!$Q$247:$Q$283),0)</f>
        <v>56402.605343467731</v>
      </c>
      <c r="AL3701" s="196">
        <f>IFERROR($G3701/SUMIF($A:$A,$A3701,$G:$G)*(SUMIF(Summary!$A$247:$A$283,$A3701,Summary!$L$247:$L$283)+SUMIF(Summary!$A$297:$A$333,$A3701,Summary!$L$297:$L$333))-AK3701,0)</f>
        <v>495424.65754227777</v>
      </c>
      <c r="AM3701" s="198"/>
      <c r="AN3701" s="196">
        <f t="shared" ca="1" si="810"/>
        <v>1887061.8956430343</v>
      </c>
      <c r="AO3701" s="196">
        <f t="shared" ca="1" si="811"/>
        <v>1886831.9178154909</v>
      </c>
    </row>
    <row r="3702" spans="1:41">
      <c r="A3702" s="189">
        <v>42421</v>
      </c>
      <c r="B3702" s="190">
        <v>2</v>
      </c>
      <c r="C3702" s="191" t="s">
        <v>221</v>
      </c>
      <c r="D3702" s="192">
        <f t="shared" si="798"/>
        <v>1792</v>
      </c>
      <c r="E3702" s="192">
        <f t="shared" si="799"/>
        <v>956</v>
      </c>
      <c r="F3702" s="192">
        <f t="shared" si="800"/>
        <v>0</v>
      </c>
      <c r="G3702" s="193">
        <f t="shared" si="801"/>
        <v>2748</v>
      </c>
      <c r="H3702" s="194">
        <v>795</v>
      </c>
      <c r="I3702" s="194">
        <v>380</v>
      </c>
      <c r="J3702" s="194">
        <v>0</v>
      </c>
      <c r="K3702" s="193">
        <f t="shared" si="802"/>
        <v>1175</v>
      </c>
      <c r="L3702" s="194">
        <v>850</v>
      </c>
      <c r="M3702" s="194">
        <v>465</v>
      </c>
      <c r="N3702" s="194">
        <v>0</v>
      </c>
      <c r="O3702" s="193">
        <f t="shared" si="803"/>
        <v>1315</v>
      </c>
      <c r="P3702" s="194">
        <v>147</v>
      </c>
      <c r="Q3702" s="194">
        <v>111</v>
      </c>
      <c r="R3702" s="194">
        <v>0</v>
      </c>
      <c r="S3702" s="193">
        <f t="shared" si="804"/>
        <v>258</v>
      </c>
      <c r="T3702" s="193">
        <f t="shared" si="805"/>
        <v>91.6</v>
      </c>
      <c r="U3702" s="193">
        <f ca="1">OFFSET('Expenditure Study'!$B$7,'Operations Support'!$C3702,'Operations Support'!$B3702)*$G3702</f>
        <v>7227.24</v>
      </c>
      <c r="V3702" s="199">
        <f ca="1">U3702*'Expenditure Study'!$B$31</f>
        <v>427008.32760499197</v>
      </c>
      <c r="W3702" s="199">
        <f ca="1">IF(A3702=10298,1.51,1)*IF($B3702&lt;3,$D3702*'Expenditure Study'!$B$32*OFFSET('Expenditure Study'!$B$7,'Operations Support'!$C3702,'Operations Support'!$B3702),0)</f>
        <v>471.29600000000005</v>
      </c>
      <c r="X3702" s="200">
        <f ca="1">W3702*'Expenditure Study'!$B$31</f>
        <v>27845.666778316805</v>
      </c>
      <c r="Y3702" s="199">
        <f ca="1">U3702*'Expenditure Study'!$B$31</f>
        <v>427008.32760499197</v>
      </c>
      <c r="Z3702" s="200">
        <f ca="1">W3702*'Expenditure Study'!$B$31</f>
        <v>27845.666778316805</v>
      </c>
      <c r="AA3702" s="195">
        <f t="shared" ca="1" si="806"/>
        <v>454853.99438330875</v>
      </c>
      <c r="AB3702" s="195">
        <f t="shared" ca="1" si="807"/>
        <v>454853.99438330875</v>
      </c>
      <c r="AD3702" s="196">
        <f>IFERROR($G3702/SUMIF($A:$A,$A3702,$G:$G)*SUMIF(Summary!$A$166:$A$242,$A3702,Summary!$P$166:$P$242),0)</f>
        <v>56002.344129625919</v>
      </c>
      <c r="AE3702" s="197">
        <f t="shared" ca="1" si="808"/>
        <v>398851.6502536828</v>
      </c>
      <c r="AF3702" s="196">
        <f>IFERROR(G3702/SUMIF(A:A,A3702,G:G)*SUMIF(Summary!$A$166:$A$242,'Operations Support'!A3702,Summary!$Q$166:$Q$242),0)</f>
        <v>56037.587415185204</v>
      </c>
      <c r="AG3702" s="196">
        <f t="shared" ca="1" si="809"/>
        <v>398816.40696812351</v>
      </c>
      <c r="AI3702" s="196">
        <f>IFERROR($G3702/SUMIF($A:$A,$A3702,$G:$G)*SUMIF(Summary!$A$247:$A$283,$A3702,Summary!$P$247:$P$283),0)</f>
        <v>10213.430046324162</v>
      </c>
      <c r="AJ3702" s="196">
        <f>IFERROR($G3702/SUMIF($A:$A,$A3702,$G:$G)*(SUMIF(Summary!$A$247:$A$283,$A3702,Summary!$L$247:$L$283)+SUMIF(Summary!$A$297:$A$333,$A3702,Summary!$L$297:$L$333))-AI3702,0)</f>
        <v>89774.788232063598</v>
      </c>
      <c r="AK3702" s="196">
        <f>IFERROR($G3702/SUMIF($A:$A,$A3702,$G:$G)*SUMIF(Summary!$A$247:$A$283,$A3702,Summary!$Q$247:$Q$283),0)</f>
        <v>10219.857542123786</v>
      </c>
      <c r="AL3702" s="196">
        <f>IFERROR($G3702/SUMIF($A:$A,$A3702,$G:$G)*(SUMIF(Summary!$A$247:$A$283,$A3702,Summary!$L$247:$L$283)+SUMIF(Summary!$A$297:$A$333,$A3702,Summary!$L$297:$L$333))-AK3702,0)</f>
        <v>89768.360736263974</v>
      </c>
      <c r="AM3702" s="198"/>
      <c r="AN3702" s="196">
        <f t="shared" ca="1" si="810"/>
        <v>488626.43848574639</v>
      </c>
      <c r="AO3702" s="196">
        <f t="shared" ca="1" si="811"/>
        <v>488584.76770438749</v>
      </c>
    </row>
    <row r="3703" spans="1:41">
      <c r="A3703" s="189">
        <v>42421</v>
      </c>
      <c r="B3703" s="190">
        <v>2</v>
      </c>
      <c r="C3703" s="191" t="s">
        <v>222</v>
      </c>
      <c r="D3703" s="192">
        <f t="shared" si="798"/>
        <v>0</v>
      </c>
      <c r="E3703" s="192">
        <f t="shared" si="799"/>
        <v>164</v>
      </c>
      <c r="F3703" s="192">
        <f t="shared" si="800"/>
        <v>0</v>
      </c>
      <c r="G3703" s="193">
        <f t="shared" si="801"/>
        <v>164</v>
      </c>
      <c r="H3703" s="194">
        <v>0</v>
      </c>
      <c r="I3703" s="194">
        <v>48</v>
      </c>
      <c r="J3703" s="194">
        <v>0</v>
      </c>
      <c r="K3703" s="193">
        <f t="shared" si="802"/>
        <v>48</v>
      </c>
      <c r="L3703" s="194">
        <v>0</v>
      </c>
      <c r="M3703" s="194">
        <v>61</v>
      </c>
      <c r="N3703" s="194">
        <v>0</v>
      </c>
      <c r="O3703" s="193">
        <f t="shared" si="803"/>
        <v>61</v>
      </c>
      <c r="P3703" s="194">
        <v>0</v>
      </c>
      <c r="Q3703" s="194">
        <v>55</v>
      </c>
      <c r="R3703" s="194">
        <v>0</v>
      </c>
      <c r="S3703" s="193">
        <f t="shared" si="804"/>
        <v>55</v>
      </c>
      <c r="T3703" s="193">
        <f t="shared" si="805"/>
        <v>5.4666666666666668</v>
      </c>
      <c r="U3703" s="193">
        <f ca="1">OFFSET('Expenditure Study'!$B$7,'Operations Support'!$C3703,'Operations Support'!$B3703)*$G3703</f>
        <v>436.24</v>
      </c>
      <c r="V3703" s="199">
        <f ca="1">U3703*'Expenditure Study'!$B$31</f>
        <v>25774.446792192</v>
      </c>
      <c r="W3703" s="199">
        <f ca="1">IF(A3703=10298,1.51,1)*IF($B3703&lt;3,$D3703*'Expenditure Study'!$B$32*OFFSET('Expenditure Study'!$B$7,'Operations Support'!$C3703,'Operations Support'!$B3703),0)</f>
        <v>0</v>
      </c>
      <c r="X3703" s="200">
        <f ca="1">W3703*'Expenditure Study'!$B$31</f>
        <v>0</v>
      </c>
      <c r="Y3703" s="199">
        <f ca="1">U3703*'Expenditure Study'!$B$31</f>
        <v>25774.446792192</v>
      </c>
      <c r="Z3703" s="200">
        <f ca="1">W3703*'Expenditure Study'!$B$31</f>
        <v>0</v>
      </c>
      <c r="AA3703" s="195">
        <f t="shared" ca="1" si="806"/>
        <v>25774.446792192</v>
      </c>
      <c r="AB3703" s="195">
        <f t="shared" ca="1" si="807"/>
        <v>25774.446792192</v>
      </c>
      <c r="AD3703" s="196">
        <f>IFERROR($G3703/SUMIF($A:$A,$A3703,$G:$G)*SUMIF(Summary!$A$166:$A$242,$A3703,Summary!$P$166:$P$242),0)</f>
        <v>3342.2068548976163</v>
      </c>
      <c r="AE3703" s="197">
        <f t="shared" ca="1" si="808"/>
        <v>22432.239937294384</v>
      </c>
      <c r="AF3703" s="196">
        <f>IFERROR(G3703/SUMIF(A:A,A3703,G:G)*SUMIF(Summary!$A$166:$A$242,'Operations Support'!A3703,Summary!$Q$166:$Q$242),0)</f>
        <v>3344.3101659717513</v>
      </c>
      <c r="AG3703" s="196">
        <f t="shared" ca="1" si="809"/>
        <v>22430.13662622025</v>
      </c>
      <c r="AI3703" s="196">
        <f>IFERROR($G3703/SUMIF($A:$A,$A3703,$G:$G)*SUMIF(Summary!$A$247:$A$283,$A3703,Summary!$P$247:$P$283),0)</f>
        <v>609.53512649096149</v>
      </c>
      <c r="AJ3703" s="196">
        <f>IFERROR($G3703/SUMIF($A:$A,$A3703,$G:$G)*(SUMIF(Summary!$A$247:$A$283,$A3703,Summary!$L$247:$L$283)+SUMIF(Summary!$A$297:$A$333,$A3703,Summary!$L$297:$L$333))-AI3703,0)</f>
        <v>5357.7384534419325</v>
      </c>
      <c r="AK3703" s="196">
        <f>IFERROR($G3703/SUMIF($A:$A,$A3703,$G:$G)*SUMIF(Summary!$A$247:$A$283,$A3703,Summary!$Q$247:$Q$283),0)</f>
        <v>609.91871794334088</v>
      </c>
      <c r="AL3703" s="196">
        <f>IFERROR($G3703/SUMIF($A:$A,$A3703,$G:$G)*(SUMIF(Summary!$A$247:$A$283,$A3703,Summary!$L$247:$L$283)+SUMIF(Summary!$A$297:$A$333,$A3703,Summary!$L$297:$L$333))-AK3703,0)</f>
        <v>5357.3548619895528</v>
      </c>
      <c r="AM3703" s="198"/>
      <c r="AN3703" s="196">
        <f t="shared" ca="1" si="810"/>
        <v>27789.978390736316</v>
      </c>
      <c r="AO3703" s="196">
        <f t="shared" ca="1" si="811"/>
        <v>27787.491488209802</v>
      </c>
    </row>
    <row r="3704" spans="1:41">
      <c r="A3704" s="189">
        <v>42421</v>
      </c>
      <c r="B3704" s="190">
        <v>2</v>
      </c>
      <c r="C3704" s="191" t="s">
        <v>223</v>
      </c>
      <c r="D3704" s="192">
        <f t="shared" si="798"/>
        <v>780</v>
      </c>
      <c r="E3704" s="192">
        <f t="shared" si="799"/>
        <v>1473</v>
      </c>
      <c r="F3704" s="192">
        <f t="shared" si="800"/>
        <v>0</v>
      </c>
      <c r="G3704" s="193">
        <f t="shared" si="801"/>
        <v>2253</v>
      </c>
      <c r="H3704" s="194">
        <v>252</v>
      </c>
      <c r="I3704" s="194">
        <v>558</v>
      </c>
      <c r="J3704" s="194">
        <v>0</v>
      </c>
      <c r="K3704" s="193">
        <f t="shared" si="802"/>
        <v>810</v>
      </c>
      <c r="L3704" s="194">
        <v>348</v>
      </c>
      <c r="M3704" s="194">
        <v>804</v>
      </c>
      <c r="N3704" s="194">
        <v>0</v>
      </c>
      <c r="O3704" s="193">
        <f t="shared" si="803"/>
        <v>1152</v>
      </c>
      <c r="P3704" s="194">
        <v>180</v>
      </c>
      <c r="Q3704" s="194">
        <v>111</v>
      </c>
      <c r="R3704" s="194">
        <v>0</v>
      </c>
      <c r="S3704" s="193">
        <f t="shared" si="804"/>
        <v>291</v>
      </c>
      <c r="T3704" s="193">
        <f t="shared" si="805"/>
        <v>75.099999999999994</v>
      </c>
      <c r="U3704" s="193">
        <f ca="1">OFFSET('Expenditure Study'!$B$7,'Operations Support'!$C3704,'Operations Support'!$B3704)*$G3704</f>
        <v>4280.7</v>
      </c>
      <c r="V3704" s="199">
        <f ca="1">U3704*'Expenditure Study'!$B$31</f>
        <v>252917.37205055999</v>
      </c>
      <c r="W3704" s="199">
        <f ca="1">IF(A3704=10298,1.51,1)*IF($B3704&lt;3,$D3704*'Expenditure Study'!$B$32*OFFSET('Expenditure Study'!$B$7,'Operations Support'!$C3704,'Operations Support'!$B3704),0)</f>
        <v>148.19999999999999</v>
      </c>
      <c r="X3704" s="200">
        <f ca="1">W3704*'Expenditure Study'!$B$31</f>
        <v>8756.1273945599987</v>
      </c>
      <c r="Y3704" s="199">
        <f ca="1">U3704*'Expenditure Study'!$B$31</f>
        <v>252917.37205055999</v>
      </c>
      <c r="Z3704" s="200">
        <f ca="1">W3704*'Expenditure Study'!$B$31</f>
        <v>8756.1273945599987</v>
      </c>
      <c r="AA3704" s="195">
        <f t="shared" ca="1" si="806"/>
        <v>261673.49944511999</v>
      </c>
      <c r="AB3704" s="195">
        <f t="shared" ca="1" si="807"/>
        <v>261673.49944511999</v>
      </c>
      <c r="AD3704" s="196">
        <f>IFERROR($G3704/SUMIF($A:$A,$A3704,$G:$G)*SUMIF(Summary!$A$166:$A$242,$A3704,Summary!$P$166:$P$242),0)</f>
        <v>45914.585634660551</v>
      </c>
      <c r="AE3704" s="197">
        <f t="shared" ca="1" si="808"/>
        <v>215758.91381045943</v>
      </c>
      <c r="AF3704" s="196">
        <f>IFERROR(G3704/SUMIF(A:A,A3704,G:G)*SUMIF(Summary!$A$166:$A$242,'Operations Support'!A3704,Summary!$Q$166:$Q$242),0)</f>
        <v>45943.480511794856</v>
      </c>
      <c r="AG3704" s="196">
        <f t="shared" ca="1" si="809"/>
        <v>215730.01893332513</v>
      </c>
      <c r="AI3704" s="196">
        <f>IFERROR($G3704/SUMIF($A:$A,$A3704,$G:$G)*SUMIF(Summary!$A$247:$A$283,$A3704,Summary!$P$247:$P$283),0)</f>
        <v>8373.674634049612</v>
      </c>
      <c r="AJ3704" s="196">
        <f>IFERROR($G3704/SUMIF($A:$A,$A3704,$G:$G)*(SUMIF(Summary!$A$247:$A$283,$A3704,Summary!$L$247:$L$283)+SUMIF(Summary!$A$297:$A$333,$A3704,Summary!$L$297:$L$333))-AI3704,0)</f>
        <v>73603.565461004095</v>
      </c>
      <c r="AK3704" s="196">
        <f>IFERROR($G3704/SUMIF($A:$A,$A3704,$G:$G)*SUMIF(Summary!$A$247:$A$283,$A3704,Summary!$Q$247:$Q$283),0)</f>
        <v>8378.9443385752875</v>
      </c>
      <c r="AL3704" s="196">
        <f>IFERROR($G3704/SUMIF($A:$A,$A3704,$G:$G)*(SUMIF(Summary!$A$247:$A$283,$A3704,Summary!$L$247:$L$283)+SUMIF(Summary!$A$297:$A$333,$A3704,Summary!$L$297:$L$333))-AK3704,0)</f>
        <v>73598.29575647843</v>
      </c>
      <c r="AM3704" s="198"/>
      <c r="AN3704" s="196">
        <f t="shared" ca="1" si="810"/>
        <v>289362.47927146353</v>
      </c>
      <c r="AO3704" s="196">
        <f t="shared" ca="1" si="811"/>
        <v>289328.31468980358</v>
      </c>
    </row>
    <row r="3705" spans="1:41">
      <c r="A3705" s="189">
        <v>42421</v>
      </c>
      <c r="B3705" s="190">
        <v>2</v>
      </c>
      <c r="C3705" s="191" t="s">
        <v>224</v>
      </c>
      <c r="D3705" s="192">
        <f t="shared" si="798"/>
        <v>0</v>
      </c>
      <c r="E3705" s="192">
        <f t="shared" si="799"/>
        <v>330</v>
      </c>
      <c r="F3705" s="192">
        <f t="shared" si="800"/>
        <v>0</v>
      </c>
      <c r="G3705" s="193">
        <f t="shared" si="801"/>
        <v>330</v>
      </c>
      <c r="H3705" s="194">
        <v>0</v>
      </c>
      <c r="I3705" s="194">
        <v>90</v>
      </c>
      <c r="J3705" s="194">
        <v>0</v>
      </c>
      <c r="K3705" s="193">
        <f t="shared" si="802"/>
        <v>90</v>
      </c>
      <c r="L3705" s="194">
        <v>0</v>
      </c>
      <c r="M3705" s="194">
        <v>102</v>
      </c>
      <c r="N3705" s="194">
        <v>0</v>
      </c>
      <c r="O3705" s="193">
        <f t="shared" si="803"/>
        <v>102</v>
      </c>
      <c r="P3705" s="194">
        <v>0</v>
      </c>
      <c r="Q3705" s="194">
        <v>138</v>
      </c>
      <c r="R3705" s="194">
        <v>0</v>
      </c>
      <c r="S3705" s="193">
        <f t="shared" si="804"/>
        <v>138</v>
      </c>
      <c r="T3705" s="193">
        <f t="shared" si="805"/>
        <v>11</v>
      </c>
      <c r="U3705" s="193">
        <f ca="1">OFFSET('Expenditure Study'!$B$7,'Operations Support'!$C3705,'Operations Support'!$B3705)*$G3705</f>
        <v>749.1</v>
      </c>
      <c r="V3705" s="199">
        <f ca="1">U3705*'Expenditure Study'!$B$31</f>
        <v>44259.210737280002</v>
      </c>
      <c r="W3705" s="199">
        <f ca="1">IF(A3705=10298,1.51,1)*IF($B3705&lt;3,$D3705*'Expenditure Study'!$B$32*OFFSET('Expenditure Study'!$B$7,'Operations Support'!$C3705,'Operations Support'!$B3705),0)</f>
        <v>0</v>
      </c>
      <c r="X3705" s="200">
        <f ca="1">W3705*'Expenditure Study'!$B$31</f>
        <v>0</v>
      </c>
      <c r="Y3705" s="199">
        <f ca="1">U3705*'Expenditure Study'!$B$31</f>
        <v>44259.210737280002</v>
      </c>
      <c r="Z3705" s="200">
        <f ca="1">W3705*'Expenditure Study'!$B$31</f>
        <v>0</v>
      </c>
      <c r="AA3705" s="195">
        <f t="shared" ca="1" si="806"/>
        <v>44259.210737280002</v>
      </c>
      <c r="AB3705" s="195">
        <f t="shared" ca="1" si="807"/>
        <v>44259.210737280002</v>
      </c>
      <c r="AD3705" s="196">
        <f>IFERROR($G3705/SUMIF($A:$A,$A3705,$G:$G)*SUMIF(Summary!$A$166:$A$242,$A3705,Summary!$P$166:$P$242),0)</f>
        <v>6725.172329976911</v>
      </c>
      <c r="AE3705" s="197">
        <f t="shared" ca="1" si="808"/>
        <v>37534.038407303087</v>
      </c>
      <c r="AF3705" s="196">
        <f>IFERROR(G3705/SUMIF(A:A,A3705,G:G)*SUMIF(Summary!$A$166:$A$242,'Operations Support'!A3705,Summary!$Q$166:$Q$242),0)</f>
        <v>6729.4046022602315</v>
      </c>
      <c r="AG3705" s="196">
        <f t="shared" ca="1" si="809"/>
        <v>37529.806135019768</v>
      </c>
      <c r="AI3705" s="196">
        <f>IFERROR($G3705/SUMIF($A:$A,$A3705,$G:$G)*SUMIF(Summary!$A$247:$A$283,$A3705,Summary!$P$247:$P$283),0)</f>
        <v>1226.5036081830324</v>
      </c>
      <c r="AJ3705" s="196">
        <f>IFERROR($G3705/SUMIF($A:$A,$A3705,$G:$G)*(SUMIF(Summary!$A$247:$A$283,$A3705,Summary!$L$247:$L$283)+SUMIF(Summary!$A$297:$A$333,$A3705,Summary!$L$297:$L$333))-AI3705,0)</f>
        <v>10780.815180706326</v>
      </c>
      <c r="AK3705" s="196">
        <f>IFERROR($G3705/SUMIF($A:$A,$A3705,$G:$G)*SUMIF(Summary!$A$247:$A$283,$A3705,Summary!$Q$247:$Q$283),0)</f>
        <v>1227.2754690323322</v>
      </c>
      <c r="AL3705" s="196">
        <f>IFERROR($G3705/SUMIF($A:$A,$A3705,$G:$G)*(SUMIF(Summary!$A$247:$A$283,$A3705,Summary!$L$247:$L$283)+SUMIF(Summary!$A$297:$A$333,$A3705,Summary!$L$297:$L$333))-AK3705,0)</f>
        <v>10780.043319857026</v>
      </c>
      <c r="AM3705" s="198"/>
      <c r="AN3705" s="196">
        <f t="shared" ca="1" si="810"/>
        <v>48314.853588009413</v>
      </c>
      <c r="AO3705" s="196">
        <f t="shared" ca="1" si="811"/>
        <v>48309.849454876792</v>
      </c>
    </row>
    <row r="3706" spans="1:41">
      <c r="A3706" s="189">
        <v>42421</v>
      </c>
      <c r="B3706" s="190">
        <v>2</v>
      </c>
      <c r="C3706" s="191" t="s">
        <v>225</v>
      </c>
      <c r="D3706" s="192">
        <f t="shared" si="798"/>
        <v>729</v>
      </c>
      <c r="E3706" s="192">
        <f t="shared" si="799"/>
        <v>960</v>
      </c>
      <c r="F3706" s="192">
        <f t="shared" si="800"/>
        <v>0</v>
      </c>
      <c r="G3706" s="193">
        <f t="shared" si="801"/>
        <v>1689</v>
      </c>
      <c r="H3706" s="194">
        <v>384</v>
      </c>
      <c r="I3706" s="194">
        <v>408</v>
      </c>
      <c r="J3706" s="194">
        <v>0</v>
      </c>
      <c r="K3706" s="193">
        <f t="shared" si="802"/>
        <v>792</v>
      </c>
      <c r="L3706" s="194">
        <v>345</v>
      </c>
      <c r="M3706" s="194">
        <v>462</v>
      </c>
      <c r="N3706" s="194">
        <v>0</v>
      </c>
      <c r="O3706" s="193">
        <f t="shared" si="803"/>
        <v>807</v>
      </c>
      <c r="P3706" s="194">
        <v>0</v>
      </c>
      <c r="Q3706" s="194">
        <v>90</v>
      </c>
      <c r="R3706" s="194">
        <v>0</v>
      </c>
      <c r="S3706" s="193">
        <f t="shared" si="804"/>
        <v>90</v>
      </c>
      <c r="T3706" s="193">
        <f t="shared" si="805"/>
        <v>56.3</v>
      </c>
      <c r="U3706" s="193">
        <f ca="1">OFFSET('Expenditure Study'!$B$7,'Operations Support'!$C3706,'Operations Support'!$B3706)*$G3706</f>
        <v>4729.2</v>
      </c>
      <c r="V3706" s="199">
        <f ca="1">U3706*'Expenditure Study'!$B$31</f>
        <v>279416.17863936001</v>
      </c>
      <c r="W3706" s="199">
        <f ca="1">IF(A3706=10298,1.51,1)*IF($B3706&lt;3,$D3706*'Expenditure Study'!$B$32*OFFSET('Expenditure Study'!$B$7,'Operations Support'!$C3706,'Operations Support'!$B3706),0)</f>
        <v>204.12</v>
      </c>
      <c r="X3706" s="200">
        <f ca="1">W3706*'Expenditure Study'!$B$31</f>
        <v>12060.058864896</v>
      </c>
      <c r="Y3706" s="199">
        <f ca="1">U3706*'Expenditure Study'!$B$31</f>
        <v>279416.17863936001</v>
      </c>
      <c r="Z3706" s="200">
        <f ca="1">W3706*'Expenditure Study'!$B$31</f>
        <v>12060.058864896</v>
      </c>
      <c r="AA3706" s="195">
        <f t="shared" ca="1" si="806"/>
        <v>291476.23750425602</v>
      </c>
      <c r="AB3706" s="195">
        <f t="shared" ca="1" si="807"/>
        <v>291476.23750425602</v>
      </c>
      <c r="AD3706" s="196">
        <f>IFERROR($G3706/SUMIF($A:$A,$A3706,$G:$G)*SUMIF(Summary!$A$166:$A$242,$A3706,Summary!$P$166:$P$242),0)</f>
        <v>34420.65474342728</v>
      </c>
      <c r="AE3706" s="197">
        <f t="shared" ca="1" si="808"/>
        <v>257055.58276082872</v>
      </c>
      <c r="AF3706" s="196">
        <f>IFERROR(G3706/SUMIF(A:A,A3706,G:G)*SUMIF(Summary!$A$166:$A$242,'Operations Support'!A3706,Summary!$Q$166:$Q$242),0)</f>
        <v>34442.316282477368</v>
      </c>
      <c r="AG3706" s="196">
        <f t="shared" ca="1" si="809"/>
        <v>257033.92122177864</v>
      </c>
      <c r="AI3706" s="196">
        <f>IFERROR($G3706/SUMIF($A:$A,$A3706,$G:$G)*SUMIF(Summary!$A$247:$A$283,$A3706,Summary!$P$247:$P$283),0)</f>
        <v>6277.4684673367929</v>
      </c>
      <c r="AJ3706" s="196">
        <f>IFERROR($G3706/SUMIF($A:$A,$A3706,$G:$G)*(SUMIF(Summary!$A$247:$A$283,$A3706,Summary!$L$247:$L$283)+SUMIF(Summary!$A$297:$A$333,$A3706,Summary!$L$297:$L$333))-AI3706,0)</f>
        <v>55178.172243069654</v>
      </c>
      <c r="AK3706" s="196">
        <f>IFERROR($G3706/SUMIF($A:$A,$A3706,$G:$G)*SUMIF(Summary!$A$247:$A$283,$A3706,Summary!$Q$247:$Q$283),0)</f>
        <v>6281.4189915018469</v>
      </c>
      <c r="AL3706" s="196">
        <f>IFERROR($G3706/SUMIF($A:$A,$A3706,$G:$G)*(SUMIF(Summary!$A$247:$A$283,$A3706,Summary!$L$247:$L$283)+SUMIF(Summary!$A$297:$A$333,$A3706,Summary!$L$297:$L$333))-AK3706,0)</f>
        <v>55174.221718904606</v>
      </c>
      <c r="AM3706" s="198"/>
      <c r="AN3706" s="196">
        <f t="shared" ca="1" si="810"/>
        <v>312233.7550038984</v>
      </c>
      <c r="AO3706" s="196">
        <f t="shared" ca="1" si="811"/>
        <v>312208.14294068323</v>
      </c>
    </row>
    <row r="3707" spans="1:41">
      <c r="A3707" s="189">
        <v>42421</v>
      </c>
      <c r="B3707" s="190">
        <v>2</v>
      </c>
      <c r="C3707" s="191" t="s">
        <v>226</v>
      </c>
      <c r="D3707" s="192">
        <f t="shared" si="798"/>
        <v>111</v>
      </c>
      <c r="E3707" s="192">
        <f t="shared" si="799"/>
        <v>1374</v>
      </c>
      <c r="F3707" s="192">
        <f t="shared" si="800"/>
        <v>0</v>
      </c>
      <c r="G3707" s="193">
        <f t="shared" si="801"/>
        <v>1485</v>
      </c>
      <c r="H3707" s="194">
        <v>78</v>
      </c>
      <c r="I3707" s="194">
        <v>555</v>
      </c>
      <c r="J3707" s="194">
        <v>0</v>
      </c>
      <c r="K3707" s="193">
        <f t="shared" si="802"/>
        <v>633</v>
      </c>
      <c r="L3707" s="194">
        <v>0</v>
      </c>
      <c r="M3707" s="194">
        <v>609</v>
      </c>
      <c r="N3707" s="194">
        <v>0</v>
      </c>
      <c r="O3707" s="193">
        <f t="shared" si="803"/>
        <v>609</v>
      </c>
      <c r="P3707" s="194">
        <v>33</v>
      </c>
      <c r="Q3707" s="194">
        <v>210</v>
      </c>
      <c r="R3707" s="194">
        <v>0</v>
      </c>
      <c r="S3707" s="193">
        <f t="shared" si="804"/>
        <v>243</v>
      </c>
      <c r="T3707" s="193">
        <f t="shared" si="805"/>
        <v>49.5</v>
      </c>
      <c r="U3707" s="193">
        <f ca="1">OFFSET('Expenditure Study'!$B$7,'Operations Support'!$C3707,'Operations Support'!$B3707)*$G3707</f>
        <v>2673</v>
      </c>
      <c r="V3707" s="199">
        <f ca="1">U3707*'Expenditure Study'!$B$31</f>
        <v>157929.3422784</v>
      </c>
      <c r="W3707" s="199">
        <f ca="1">IF(A3707=10298,1.51,1)*IF($B3707&lt;3,$D3707*'Expenditure Study'!$B$32*OFFSET('Expenditure Study'!$B$7,'Operations Support'!$C3707,'Operations Support'!$B3707),0)</f>
        <v>19.980000000000004</v>
      </c>
      <c r="X3707" s="200">
        <f ca="1">W3707*'Expenditure Study'!$B$31</f>
        <v>1180.4819523840004</v>
      </c>
      <c r="Y3707" s="199">
        <f ca="1">U3707*'Expenditure Study'!$B$31</f>
        <v>157929.3422784</v>
      </c>
      <c r="Z3707" s="200">
        <f ca="1">W3707*'Expenditure Study'!$B$31</f>
        <v>1180.4819523840004</v>
      </c>
      <c r="AA3707" s="195">
        <f t="shared" ca="1" si="806"/>
        <v>159109.824230784</v>
      </c>
      <c r="AB3707" s="195">
        <f t="shared" ca="1" si="807"/>
        <v>159109.824230784</v>
      </c>
      <c r="AD3707" s="196">
        <f>IFERROR($G3707/SUMIF($A:$A,$A3707,$G:$G)*SUMIF(Summary!$A$166:$A$242,$A3707,Summary!$P$166:$P$242),0)</f>
        <v>30263.275484896098</v>
      </c>
      <c r="AE3707" s="197">
        <f t="shared" ca="1" si="808"/>
        <v>128846.54874588791</v>
      </c>
      <c r="AF3707" s="196">
        <f>IFERROR(G3707/SUMIF(A:A,A3707,G:G)*SUMIF(Summary!$A$166:$A$242,'Operations Support'!A3707,Summary!$Q$166:$Q$242),0)</f>
        <v>30282.32071017104</v>
      </c>
      <c r="AG3707" s="196">
        <f t="shared" ca="1" si="809"/>
        <v>128827.50352061295</v>
      </c>
      <c r="AI3707" s="196">
        <f>IFERROR($G3707/SUMIF($A:$A,$A3707,$G:$G)*SUMIF(Summary!$A$247:$A$283,$A3707,Summary!$P$247:$P$283),0)</f>
        <v>5519.2662368236452</v>
      </c>
      <c r="AJ3707" s="196">
        <f>IFERROR($G3707/SUMIF($A:$A,$A3707,$G:$G)*(SUMIF(Summary!$A$247:$A$283,$A3707,Summary!$L$247:$L$283)+SUMIF(Summary!$A$297:$A$333,$A3707,Summary!$L$297:$L$333))-AI3707,0)</f>
        <v>48513.668313178467</v>
      </c>
      <c r="AK3707" s="196">
        <f>IFERROR($G3707/SUMIF($A:$A,$A3707,$G:$G)*SUMIF(Summary!$A$247:$A$283,$A3707,Summary!$Q$247:$Q$283),0)</f>
        <v>5522.7396106454953</v>
      </c>
      <c r="AL3707" s="196">
        <f>IFERROR($G3707/SUMIF($A:$A,$A3707,$G:$G)*(SUMIF(Summary!$A$247:$A$283,$A3707,Summary!$L$247:$L$283)+SUMIF(Summary!$A$297:$A$333,$A3707,Summary!$L$297:$L$333))-AK3707,0)</f>
        <v>48510.19493935661</v>
      </c>
      <c r="AM3707" s="198"/>
      <c r="AN3707" s="196">
        <f t="shared" ca="1" si="810"/>
        <v>177360.21705906637</v>
      </c>
      <c r="AO3707" s="196">
        <f t="shared" ca="1" si="811"/>
        <v>177337.69845996957</v>
      </c>
    </row>
    <row r="3708" spans="1:41">
      <c r="A3708" s="189">
        <v>42421</v>
      </c>
      <c r="B3708" s="190">
        <v>2</v>
      </c>
      <c r="C3708" s="191" t="s">
        <v>227</v>
      </c>
      <c r="D3708" s="192">
        <f t="shared" si="798"/>
        <v>0</v>
      </c>
      <c r="E3708" s="192">
        <f t="shared" si="799"/>
        <v>0</v>
      </c>
      <c r="F3708" s="192">
        <f t="shared" si="800"/>
        <v>0</v>
      </c>
      <c r="G3708" s="193">
        <f t="shared" si="801"/>
        <v>0</v>
      </c>
      <c r="H3708" s="194">
        <v>0</v>
      </c>
      <c r="I3708" s="194">
        <v>0</v>
      </c>
      <c r="J3708" s="194">
        <v>0</v>
      </c>
      <c r="K3708" s="193">
        <f t="shared" si="802"/>
        <v>0</v>
      </c>
      <c r="L3708" s="194">
        <v>0</v>
      </c>
      <c r="M3708" s="194">
        <v>0</v>
      </c>
      <c r="N3708" s="194">
        <v>0</v>
      </c>
      <c r="O3708" s="193">
        <f t="shared" si="803"/>
        <v>0</v>
      </c>
      <c r="P3708" s="194">
        <v>0</v>
      </c>
      <c r="Q3708" s="194">
        <v>0</v>
      </c>
      <c r="R3708" s="194">
        <v>0</v>
      </c>
      <c r="S3708" s="193">
        <f t="shared" si="804"/>
        <v>0</v>
      </c>
      <c r="T3708" s="193">
        <f t="shared" si="805"/>
        <v>0</v>
      </c>
      <c r="U3708" s="193">
        <f ca="1">OFFSET('Expenditure Study'!$B$7,'Operations Support'!$C3708,'Operations Support'!$B3708)*$G3708</f>
        <v>0</v>
      </c>
      <c r="V3708" s="199">
        <f ca="1">U3708*'Expenditure Study'!$B$31</f>
        <v>0</v>
      </c>
      <c r="W3708" s="199">
        <f ca="1">IF(A3708=10298,1.51,1)*IF($B3708&lt;3,$D3708*'Expenditure Study'!$B$32*OFFSET('Expenditure Study'!$B$7,'Operations Support'!$C3708,'Operations Support'!$B3708),0)</f>
        <v>0</v>
      </c>
      <c r="X3708" s="200">
        <f ca="1">W3708*'Expenditure Study'!$B$31</f>
        <v>0</v>
      </c>
      <c r="Y3708" s="199">
        <f ca="1">U3708*'Expenditure Study'!$B$31</f>
        <v>0</v>
      </c>
      <c r="Z3708" s="200">
        <f ca="1">W3708*'Expenditure Study'!$B$31</f>
        <v>0</v>
      </c>
      <c r="AA3708" s="195">
        <f t="shared" ca="1" si="806"/>
        <v>0</v>
      </c>
      <c r="AB3708" s="195">
        <f t="shared" ca="1" si="807"/>
        <v>0</v>
      </c>
      <c r="AD3708" s="196">
        <f>IFERROR($G3708/SUMIF($A:$A,$A3708,$G:$G)*SUMIF(Summary!$A$166:$A$242,$A3708,Summary!$P$166:$P$242),0)</f>
        <v>0</v>
      </c>
      <c r="AE3708" s="197">
        <f t="shared" ca="1" si="808"/>
        <v>0</v>
      </c>
      <c r="AF3708" s="196">
        <f>IFERROR(G3708/SUMIF(A:A,A3708,G:G)*SUMIF(Summary!$A$166:$A$242,'Operations Support'!A3708,Summary!$Q$166:$Q$242),0)</f>
        <v>0</v>
      </c>
      <c r="AG3708" s="196">
        <f t="shared" ca="1" si="809"/>
        <v>0</v>
      </c>
      <c r="AI3708" s="196">
        <f>IFERROR($G3708/SUMIF($A:$A,$A3708,$G:$G)*SUMIF(Summary!$A$247:$A$283,$A3708,Summary!$P$247:$P$283),0)</f>
        <v>0</v>
      </c>
      <c r="AJ3708" s="196">
        <f>IFERROR($G3708/SUMIF($A:$A,$A3708,$G:$G)*(SUMIF(Summary!$A$247:$A$283,$A3708,Summary!$L$247:$L$283)+SUMIF(Summary!$A$297:$A$333,$A3708,Summary!$L$297:$L$333))-AI3708,0)</f>
        <v>0</v>
      </c>
      <c r="AK3708" s="196">
        <f>IFERROR($G3708/SUMIF($A:$A,$A3708,$G:$G)*SUMIF(Summary!$A$247:$A$283,$A3708,Summary!$Q$247:$Q$283),0)</f>
        <v>0</v>
      </c>
      <c r="AL3708" s="196">
        <f>IFERROR($G3708/SUMIF($A:$A,$A3708,$G:$G)*(SUMIF(Summary!$A$247:$A$283,$A3708,Summary!$L$247:$L$283)+SUMIF(Summary!$A$297:$A$333,$A3708,Summary!$L$297:$L$333))-AK3708,0)</f>
        <v>0</v>
      </c>
      <c r="AM3708" s="198"/>
      <c r="AN3708" s="196">
        <f t="shared" ca="1" si="810"/>
        <v>0</v>
      </c>
      <c r="AO3708" s="196">
        <f t="shared" ca="1" si="811"/>
        <v>0</v>
      </c>
    </row>
    <row r="3709" spans="1:41">
      <c r="A3709" s="189">
        <v>42421</v>
      </c>
      <c r="B3709" s="190">
        <v>2</v>
      </c>
      <c r="C3709" s="191" t="s">
        <v>228</v>
      </c>
      <c r="D3709" s="192">
        <f t="shared" si="798"/>
        <v>0</v>
      </c>
      <c r="E3709" s="192">
        <f t="shared" si="799"/>
        <v>0</v>
      </c>
      <c r="F3709" s="192">
        <f t="shared" si="800"/>
        <v>0</v>
      </c>
      <c r="G3709" s="193">
        <f t="shared" si="801"/>
        <v>0</v>
      </c>
      <c r="H3709" s="194">
        <v>0</v>
      </c>
      <c r="I3709" s="194">
        <v>0</v>
      </c>
      <c r="J3709" s="194">
        <v>0</v>
      </c>
      <c r="K3709" s="193">
        <f t="shared" si="802"/>
        <v>0</v>
      </c>
      <c r="L3709" s="194">
        <v>0</v>
      </c>
      <c r="M3709" s="194">
        <v>0</v>
      </c>
      <c r="N3709" s="194">
        <v>0</v>
      </c>
      <c r="O3709" s="193">
        <f t="shared" si="803"/>
        <v>0</v>
      </c>
      <c r="P3709" s="194">
        <v>0</v>
      </c>
      <c r="Q3709" s="194">
        <v>0</v>
      </c>
      <c r="R3709" s="194">
        <v>0</v>
      </c>
      <c r="S3709" s="193">
        <f t="shared" si="804"/>
        <v>0</v>
      </c>
      <c r="T3709" s="193">
        <f t="shared" si="805"/>
        <v>0</v>
      </c>
      <c r="U3709" s="193">
        <f ca="1">OFFSET('Expenditure Study'!$B$7,'Operations Support'!$C3709,'Operations Support'!$B3709)*$G3709</f>
        <v>0</v>
      </c>
      <c r="V3709" s="199">
        <f ca="1">U3709*'Expenditure Study'!$B$31</f>
        <v>0</v>
      </c>
      <c r="W3709" s="199">
        <f ca="1">IF(A3709=10298,1.51,1)*IF($B3709&lt;3,$D3709*'Expenditure Study'!$B$32*OFFSET('Expenditure Study'!$B$7,'Operations Support'!$C3709,'Operations Support'!$B3709),0)</f>
        <v>0</v>
      </c>
      <c r="X3709" s="200">
        <f ca="1">W3709*'Expenditure Study'!$B$31</f>
        <v>0</v>
      </c>
      <c r="Y3709" s="199">
        <f ca="1">U3709*'Expenditure Study'!$B$31</f>
        <v>0</v>
      </c>
      <c r="Z3709" s="200">
        <f ca="1">W3709*'Expenditure Study'!$B$31</f>
        <v>0</v>
      </c>
      <c r="AA3709" s="195">
        <f t="shared" ca="1" si="806"/>
        <v>0</v>
      </c>
      <c r="AB3709" s="195">
        <f t="shared" ca="1" si="807"/>
        <v>0</v>
      </c>
      <c r="AD3709" s="196">
        <f>IFERROR($G3709/SUMIF($A:$A,$A3709,$G:$G)*SUMIF(Summary!$A$166:$A$242,$A3709,Summary!$P$166:$P$242),0)</f>
        <v>0</v>
      </c>
      <c r="AE3709" s="197">
        <f t="shared" ca="1" si="808"/>
        <v>0</v>
      </c>
      <c r="AF3709" s="196">
        <f>IFERROR(G3709/SUMIF(A:A,A3709,G:G)*SUMIF(Summary!$A$166:$A$242,'Operations Support'!A3709,Summary!$Q$166:$Q$242),0)</f>
        <v>0</v>
      </c>
      <c r="AG3709" s="196">
        <f t="shared" ca="1" si="809"/>
        <v>0</v>
      </c>
      <c r="AI3709" s="196">
        <f>IFERROR($G3709/SUMIF($A:$A,$A3709,$G:$G)*SUMIF(Summary!$A$247:$A$283,$A3709,Summary!$P$247:$P$283),0)</f>
        <v>0</v>
      </c>
      <c r="AJ3709" s="196">
        <f>IFERROR($G3709/SUMIF($A:$A,$A3709,$G:$G)*(SUMIF(Summary!$A$247:$A$283,$A3709,Summary!$L$247:$L$283)+SUMIF(Summary!$A$297:$A$333,$A3709,Summary!$L$297:$L$333))-AI3709,0)</f>
        <v>0</v>
      </c>
      <c r="AK3709" s="196">
        <f>IFERROR($G3709/SUMIF($A:$A,$A3709,$G:$G)*SUMIF(Summary!$A$247:$A$283,$A3709,Summary!$Q$247:$Q$283),0)</f>
        <v>0</v>
      </c>
      <c r="AL3709" s="196">
        <f>IFERROR($G3709/SUMIF($A:$A,$A3709,$G:$G)*(SUMIF(Summary!$A$247:$A$283,$A3709,Summary!$L$247:$L$283)+SUMIF(Summary!$A$297:$A$333,$A3709,Summary!$L$297:$L$333))-AK3709,0)</f>
        <v>0</v>
      </c>
      <c r="AM3709" s="198"/>
      <c r="AN3709" s="196">
        <f t="shared" ca="1" si="810"/>
        <v>0</v>
      </c>
      <c r="AO3709" s="196">
        <f t="shared" ca="1" si="811"/>
        <v>0</v>
      </c>
    </row>
    <row r="3710" spans="1:41">
      <c r="A3710" s="189">
        <v>42421</v>
      </c>
      <c r="B3710" s="190">
        <v>2</v>
      </c>
      <c r="C3710" s="191" t="s">
        <v>229</v>
      </c>
      <c r="D3710" s="192">
        <f t="shared" si="798"/>
        <v>0</v>
      </c>
      <c r="E3710" s="192">
        <f t="shared" si="799"/>
        <v>0</v>
      </c>
      <c r="F3710" s="192">
        <f t="shared" si="800"/>
        <v>0</v>
      </c>
      <c r="G3710" s="193">
        <f t="shared" si="801"/>
        <v>0</v>
      </c>
      <c r="H3710" s="194">
        <v>0</v>
      </c>
      <c r="I3710" s="194">
        <v>0</v>
      </c>
      <c r="J3710" s="194">
        <v>0</v>
      </c>
      <c r="K3710" s="193">
        <f t="shared" si="802"/>
        <v>0</v>
      </c>
      <c r="L3710" s="194">
        <v>0</v>
      </c>
      <c r="M3710" s="194">
        <v>0</v>
      </c>
      <c r="N3710" s="194">
        <v>0</v>
      </c>
      <c r="O3710" s="193">
        <f t="shared" si="803"/>
        <v>0</v>
      </c>
      <c r="P3710" s="194">
        <v>0</v>
      </c>
      <c r="Q3710" s="194">
        <v>0</v>
      </c>
      <c r="R3710" s="194">
        <v>0</v>
      </c>
      <c r="S3710" s="193">
        <f t="shared" si="804"/>
        <v>0</v>
      </c>
      <c r="T3710" s="193">
        <f t="shared" si="805"/>
        <v>0</v>
      </c>
      <c r="U3710" s="193">
        <f ca="1">OFFSET('Expenditure Study'!$B$7,'Operations Support'!$C3710,'Operations Support'!$B3710)*$G3710</f>
        <v>0</v>
      </c>
      <c r="V3710" s="199">
        <f ca="1">U3710*'Expenditure Study'!$B$31</f>
        <v>0</v>
      </c>
      <c r="W3710" s="199">
        <f ca="1">IF(A3710=10298,1.51,1)*IF($B3710&lt;3,$D3710*'Expenditure Study'!$B$32*OFFSET('Expenditure Study'!$B$7,'Operations Support'!$C3710,'Operations Support'!$B3710),0)</f>
        <v>0</v>
      </c>
      <c r="X3710" s="200">
        <f ca="1">W3710*'Expenditure Study'!$B$31</f>
        <v>0</v>
      </c>
      <c r="Y3710" s="199">
        <f ca="1">U3710*'Expenditure Study'!$B$31</f>
        <v>0</v>
      </c>
      <c r="Z3710" s="200">
        <f ca="1">W3710*'Expenditure Study'!$B$31</f>
        <v>0</v>
      </c>
      <c r="AA3710" s="195">
        <f t="shared" ca="1" si="806"/>
        <v>0</v>
      </c>
      <c r="AB3710" s="195">
        <f t="shared" ca="1" si="807"/>
        <v>0</v>
      </c>
      <c r="AD3710" s="196">
        <f>IFERROR($G3710/SUMIF($A:$A,$A3710,$G:$G)*SUMIF(Summary!$A$166:$A$242,$A3710,Summary!$P$166:$P$242),0)</f>
        <v>0</v>
      </c>
      <c r="AE3710" s="197">
        <f t="shared" ca="1" si="808"/>
        <v>0</v>
      </c>
      <c r="AF3710" s="196">
        <f>IFERROR(G3710/SUMIF(A:A,A3710,G:G)*SUMIF(Summary!$A$166:$A$242,'Operations Support'!A3710,Summary!$Q$166:$Q$242),0)</f>
        <v>0</v>
      </c>
      <c r="AG3710" s="196">
        <f t="shared" ca="1" si="809"/>
        <v>0</v>
      </c>
      <c r="AI3710" s="196">
        <f>IFERROR($G3710/SUMIF($A:$A,$A3710,$G:$G)*SUMIF(Summary!$A$247:$A$283,$A3710,Summary!$P$247:$P$283),0)</f>
        <v>0</v>
      </c>
      <c r="AJ3710" s="196">
        <f>IFERROR($G3710/SUMIF($A:$A,$A3710,$G:$G)*(SUMIF(Summary!$A$247:$A$283,$A3710,Summary!$L$247:$L$283)+SUMIF(Summary!$A$297:$A$333,$A3710,Summary!$L$297:$L$333))-AI3710,0)</f>
        <v>0</v>
      </c>
      <c r="AK3710" s="196">
        <f>IFERROR($G3710/SUMIF($A:$A,$A3710,$G:$G)*SUMIF(Summary!$A$247:$A$283,$A3710,Summary!$Q$247:$Q$283),0)</f>
        <v>0</v>
      </c>
      <c r="AL3710" s="196">
        <f>IFERROR($G3710/SUMIF($A:$A,$A3710,$G:$G)*(SUMIF(Summary!$A$247:$A$283,$A3710,Summary!$L$247:$L$283)+SUMIF(Summary!$A$297:$A$333,$A3710,Summary!$L$297:$L$333))-AK3710,0)</f>
        <v>0</v>
      </c>
      <c r="AM3710" s="198"/>
      <c r="AN3710" s="196">
        <f t="shared" ca="1" si="810"/>
        <v>0</v>
      </c>
      <c r="AO3710" s="196">
        <f t="shared" ca="1" si="811"/>
        <v>0</v>
      </c>
    </row>
    <row r="3711" spans="1:41">
      <c r="A3711" s="189">
        <v>42421</v>
      </c>
      <c r="B3711" s="190">
        <v>2</v>
      </c>
      <c r="C3711" s="191" t="s">
        <v>230</v>
      </c>
      <c r="D3711" s="192">
        <f t="shared" si="798"/>
        <v>0</v>
      </c>
      <c r="E3711" s="192">
        <f t="shared" si="799"/>
        <v>0</v>
      </c>
      <c r="F3711" s="192">
        <f t="shared" si="800"/>
        <v>0</v>
      </c>
      <c r="G3711" s="193">
        <f t="shared" si="801"/>
        <v>0</v>
      </c>
      <c r="H3711" s="194">
        <v>0</v>
      </c>
      <c r="I3711" s="194">
        <v>0</v>
      </c>
      <c r="J3711" s="194">
        <v>0</v>
      </c>
      <c r="K3711" s="193">
        <f t="shared" si="802"/>
        <v>0</v>
      </c>
      <c r="L3711" s="194">
        <v>0</v>
      </c>
      <c r="M3711" s="194">
        <v>0</v>
      </c>
      <c r="N3711" s="194">
        <v>0</v>
      </c>
      <c r="O3711" s="193">
        <f t="shared" si="803"/>
        <v>0</v>
      </c>
      <c r="P3711" s="194">
        <v>0</v>
      </c>
      <c r="Q3711" s="194">
        <v>0</v>
      </c>
      <c r="R3711" s="194">
        <v>0</v>
      </c>
      <c r="S3711" s="193">
        <f t="shared" si="804"/>
        <v>0</v>
      </c>
      <c r="T3711" s="193">
        <f t="shared" si="805"/>
        <v>0</v>
      </c>
      <c r="U3711" s="193">
        <f ca="1">OFFSET('Expenditure Study'!$B$7,'Operations Support'!$C3711,'Operations Support'!$B3711)*$G3711</f>
        <v>0</v>
      </c>
      <c r="V3711" s="199">
        <f ca="1">U3711*'Expenditure Study'!$B$31</f>
        <v>0</v>
      </c>
      <c r="W3711" s="199">
        <f ca="1">IF(A3711=10298,1.51,1)*IF($B3711&lt;3,$D3711*'Expenditure Study'!$B$32*OFFSET('Expenditure Study'!$B$7,'Operations Support'!$C3711,'Operations Support'!$B3711),0)</f>
        <v>0</v>
      </c>
      <c r="X3711" s="200">
        <f ca="1">W3711*'Expenditure Study'!$B$31</f>
        <v>0</v>
      </c>
      <c r="Y3711" s="199">
        <f ca="1">U3711*'Expenditure Study'!$B$31</f>
        <v>0</v>
      </c>
      <c r="Z3711" s="200">
        <f ca="1">W3711*'Expenditure Study'!$B$31</f>
        <v>0</v>
      </c>
      <c r="AA3711" s="195">
        <f t="shared" ca="1" si="806"/>
        <v>0</v>
      </c>
      <c r="AB3711" s="195">
        <f t="shared" ca="1" si="807"/>
        <v>0</v>
      </c>
      <c r="AD3711" s="196">
        <f>IFERROR($G3711/SUMIF($A:$A,$A3711,$G:$G)*SUMIF(Summary!$A$166:$A$242,$A3711,Summary!$P$166:$P$242),0)</f>
        <v>0</v>
      </c>
      <c r="AE3711" s="197">
        <f t="shared" ca="1" si="808"/>
        <v>0</v>
      </c>
      <c r="AF3711" s="196">
        <f>IFERROR(G3711/SUMIF(A:A,A3711,G:G)*SUMIF(Summary!$A$166:$A$242,'Operations Support'!A3711,Summary!$Q$166:$Q$242),0)</f>
        <v>0</v>
      </c>
      <c r="AG3711" s="196">
        <f t="shared" ca="1" si="809"/>
        <v>0</v>
      </c>
      <c r="AI3711" s="196">
        <f>IFERROR($G3711/SUMIF($A:$A,$A3711,$G:$G)*SUMIF(Summary!$A$247:$A$283,$A3711,Summary!$P$247:$P$283),0)</f>
        <v>0</v>
      </c>
      <c r="AJ3711" s="196">
        <f>IFERROR($G3711/SUMIF($A:$A,$A3711,$G:$G)*(SUMIF(Summary!$A$247:$A$283,$A3711,Summary!$L$247:$L$283)+SUMIF(Summary!$A$297:$A$333,$A3711,Summary!$L$297:$L$333))-AI3711,0)</f>
        <v>0</v>
      </c>
      <c r="AK3711" s="196">
        <f>IFERROR($G3711/SUMIF($A:$A,$A3711,$G:$G)*SUMIF(Summary!$A$247:$A$283,$A3711,Summary!$Q$247:$Q$283),0)</f>
        <v>0</v>
      </c>
      <c r="AL3711" s="196">
        <f>IFERROR($G3711/SUMIF($A:$A,$A3711,$G:$G)*(SUMIF(Summary!$A$247:$A$283,$A3711,Summary!$L$247:$L$283)+SUMIF(Summary!$A$297:$A$333,$A3711,Summary!$L$297:$L$333))-AK3711,0)</f>
        <v>0</v>
      </c>
      <c r="AM3711" s="198"/>
      <c r="AN3711" s="196">
        <f t="shared" ca="1" si="810"/>
        <v>0</v>
      </c>
      <c r="AO3711" s="196">
        <f t="shared" ca="1" si="811"/>
        <v>0</v>
      </c>
    </row>
    <row r="3712" spans="1:41">
      <c r="A3712" s="189">
        <v>42421</v>
      </c>
      <c r="B3712" s="190">
        <v>2</v>
      </c>
      <c r="C3712" s="191" t="s">
        <v>231</v>
      </c>
      <c r="D3712" s="192">
        <f t="shared" si="798"/>
        <v>0</v>
      </c>
      <c r="E3712" s="192">
        <f t="shared" si="799"/>
        <v>0</v>
      </c>
      <c r="F3712" s="192">
        <f t="shared" si="800"/>
        <v>0</v>
      </c>
      <c r="G3712" s="193">
        <f t="shared" si="801"/>
        <v>0</v>
      </c>
      <c r="H3712" s="194">
        <v>0</v>
      </c>
      <c r="I3712" s="194">
        <v>0</v>
      </c>
      <c r="J3712" s="194">
        <v>0</v>
      </c>
      <c r="K3712" s="193">
        <f t="shared" si="802"/>
        <v>0</v>
      </c>
      <c r="L3712" s="194">
        <v>0</v>
      </c>
      <c r="M3712" s="194">
        <v>0</v>
      </c>
      <c r="N3712" s="194">
        <v>0</v>
      </c>
      <c r="O3712" s="193">
        <f t="shared" si="803"/>
        <v>0</v>
      </c>
      <c r="P3712" s="194">
        <v>0</v>
      </c>
      <c r="Q3712" s="194">
        <v>0</v>
      </c>
      <c r="R3712" s="194">
        <v>0</v>
      </c>
      <c r="S3712" s="193">
        <f t="shared" si="804"/>
        <v>0</v>
      </c>
      <c r="T3712" s="193">
        <f t="shared" si="805"/>
        <v>0</v>
      </c>
      <c r="U3712" s="193">
        <f ca="1">OFFSET('Expenditure Study'!$B$7,'Operations Support'!$C3712,'Operations Support'!$B3712)*$G3712</f>
        <v>0</v>
      </c>
      <c r="V3712" s="199">
        <f ca="1">U3712*'Expenditure Study'!$B$31</f>
        <v>0</v>
      </c>
      <c r="W3712" s="199">
        <f ca="1">IF(A3712=10298,1.51,1)*IF($B3712&lt;3,$D3712*'Expenditure Study'!$B$32*OFFSET('Expenditure Study'!$B$7,'Operations Support'!$C3712,'Operations Support'!$B3712),0)</f>
        <v>0</v>
      </c>
      <c r="X3712" s="200">
        <f ca="1">W3712*'Expenditure Study'!$B$31</f>
        <v>0</v>
      </c>
      <c r="Y3712" s="199">
        <f ca="1">U3712*'Expenditure Study'!$B$31</f>
        <v>0</v>
      </c>
      <c r="Z3712" s="200">
        <f ca="1">W3712*'Expenditure Study'!$B$31</f>
        <v>0</v>
      </c>
      <c r="AA3712" s="195">
        <f t="shared" ca="1" si="806"/>
        <v>0</v>
      </c>
      <c r="AB3712" s="195">
        <f t="shared" ca="1" si="807"/>
        <v>0</v>
      </c>
      <c r="AD3712" s="196">
        <f>IFERROR($G3712/SUMIF($A:$A,$A3712,$G:$G)*SUMIF(Summary!$A$166:$A$242,$A3712,Summary!$P$166:$P$242),0)</f>
        <v>0</v>
      </c>
      <c r="AE3712" s="197">
        <f t="shared" ca="1" si="808"/>
        <v>0</v>
      </c>
      <c r="AF3712" s="196">
        <f>IFERROR(G3712/SUMIF(A:A,A3712,G:G)*SUMIF(Summary!$A$166:$A$242,'Operations Support'!A3712,Summary!$Q$166:$Q$242),0)</f>
        <v>0</v>
      </c>
      <c r="AG3712" s="196">
        <f t="shared" ca="1" si="809"/>
        <v>0</v>
      </c>
      <c r="AI3712" s="196">
        <f>IFERROR($G3712/SUMIF($A:$A,$A3712,$G:$G)*SUMIF(Summary!$A$247:$A$283,$A3712,Summary!$P$247:$P$283),0)</f>
        <v>0</v>
      </c>
      <c r="AJ3712" s="196">
        <f>IFERROR($G3712/SUMIF($A:$A,$A3712,$G:$G)*(SUMIF(Summary!$A$247:$A$283,$A3712,Summary!$L$247:$L$283)+SUMIF(Summary!$A$297:$A$333,$A3712,Summary!$L$297:$L$333))-AI3712,0)</f>
        <v>0</v>
      </c>
      <c r="AK3712" s="196">
        <f>IFERROR($G3712/SUMIF($A:$A,$A3712,$G:$G)*SUMIF(Summary!$A$247:$A$283,$A3712,Summary!$Q$247:$Q$283),0)</f>
        <v>0</v>
      </c>
      <c r="AL3712" s="196">
        <f>IFERROR($G3712/SUMIF($A:$A,$A3712,$G:$G)*(SUMIF(Summary!$A$247:$A$283,$A3712,Summary!$L$247:$L$283)+SUMIF(Summary!$A$297:$A$333,$A3712,Summary!$L$297:$L$333))-AK3712,0)</f>
        <v>0</v>
      </c>
      <c r="AM3712" s="198"/>
      <c r="AN3712" s="196">
        <f t="shared" ca="1" si="810"/>
        <v>0</v>
      </c>
      <c r="AO3712" s="196">
        <f t="shared" ca="1" si="811"/>
        <v>0</v>
      </c>
    </row>
    <row r="3713" spans="1:41">
      <c r="A3713" s="189">
        <v>42421</v>
      </c>
      <c r="B3713" s="190">
        <v>2</v>
      </c>
      <c r="C3713" s="191" t="s">
        <v>232</v>
      </c>
      <c r="D3713" s="192">
        <f t="shared" si="798"/>
        <v>0</v>
      </c>
      <c r="E3713" s="192">
        <f t="shared" si="799"/>
        <v>0</v>
      </c>
      <c r="F3713" s="192">
        <f t="shared" si="800"/>
        <v>0</v>
      </c>
      <c r="G3713" s="193">
        <f t="shared" si="801"/>
        <v>0</v>
      </c>
      <c r="H3713" s="194">
        <v>0</v>
      </c>
      <c r="I3713" s="194">
        <v>0</v>
      </c>
      <c r="J3713" s="194">
        <v>0</v>
      </c>
      <c r="K3713" s="193">
        <f t="shared" si="802"/>
        <v>0</v>
      </c>
      <c r="L3713" s="194">
        <v>0</v>
      </c>
      <c r="M3713" s="194">
        <v>0</v>
      </c>
      <c r="N3713" s="194">
        <v>0</v>
      </c>
      <c r="O3713" s="193">
        <f t="shared" si="803"/>
        <v>0</v>
      </c>
      <c r="P3713" s="194">
        <v>0</v>
      </c>
      <c r="Q3713" s="194">
        <v>0</v>
      </c>
      <c r="R3713" s="194">
        <v>0</v>
      </c>
      <c r="S3713" s="193">
        <f t="shared" si="804"/>
        <v>0</v>
      </c>
      <c r="T3713" s="193">
        <f t="shared" si="805"/>
        <v>0</v>
      </c>
      <c r="U3713" s="193">
        <f ca="1">OFFSET('Expenditure Study'!$B$7,'Operations Support'!$C3713,'Operations Support'!$B3713)*$G3713</f>
        <v>0</v>
      </c>
      <c r="V3713" s="199">
        <f ca="1">U3713*'Expenditure Study'!$B$31</f>
        <v>0</v>
      </c>
      <c r="W3713" s="199">
        <f ca="1">IF(A3713=10298,1.51,1)*IF($B3713&lt;3,$D3713*'Expenditure Study'!$B$32*OFFSET('Expenditure Study'!$B$7,'Operations Support'!$C3713,'Operations Support'!$B3713),0)</f>
        <v>0</v>
      </c>
      <c r="X3713" s="200">
        <f ca="1">W3713*'Expenditure Study'!$B$31</f>
        <v>0</v>
      </c>
      <c r="Y3713" s="199">
        <f ca="1">U3713*'Expenditure Study'!$B$31</f>
        <v>0</v>
      </c>
      <c r="Z3713" s="200">
        <f ca="1">W3713*'Expenditure Study'!$B$31</f>
        <v>0</v>
      </c>
      <c r="AA3713" s="195">
        <f t="shared" ca="1" si="806"/>
        <v>0</v>
      </c>
      <c r="AB3713" s="195">
        <f t="shared" ca="1" si="807"/>
        <v>0</v>
      </c>
      <c r="AD3713" s="196">
        <f>IFERROR($G3713/SUMIF($A:$A,$A3713,$G:$G)*SUMIF(Summary!$A$166:$A$242,$A3713,Summary!$P$166:$P$242),0)</f>
        <v>0</v>
      </c>
      <c r="AE3713" s="197">
        <f t="shared" ca="1" si="808"/>
        <v>0</v>
      </c>
      <c r="AF3713" s="196">
        <f>IFERROR(G3713/SUMIF(A:A,A3713,G:G)*SUMIF(Summary!$A$166:$A$242,'Operations Support'!A3713,Summary!$Q$166:$Q$242),0)</f>
        <v>0</v>
      </c>
      <c r="AG3713" s="196">
        <f t="shared" ca="1" si="809"/>
        <v>0</v>
      </c>
      <c r="AI3713" s="196">
        <f>IFERROR($G3713/SUMIF($A:$A,$A3713,$G:$G)*SUMIF(Summary!$A$247:$A$283,$A3713,Summary!$P$247:$P$283),0)</f>
        <v>0</v>
      </c>
      <c r="AJ3713" s="196">
        <f>IFERROR($G3713/SUMIF($A:$A,$A3713,$G:$G)*(SUMIF(Summary!$A$247:$A$283,$A3713,Summary!$L$247:$L$283)+SUMIF(Summary!$A$297:$A$333,$A3713,Summary!$L$297:$L$333))-AI3713,0)</f>
        <v>0</v>
      </c>
      <c r="AK3713" s="196">
        <f>IFERROR($G3713/SUMIF($A:$A,$A3713,$G:$G)*SUMIF(Summary!$A$247:$A$283,$A3713,Summary!$Q$247:$Q$283),0)</f>
        <v>0</v>
      </c>
      <c r="AL3713" s="196">
        <f>IFERROR($G3713/SUMIF($A:$A,$A3713,$G:$G)*(SUMIF(Summary!$A$247:$A$283,$A3713,Summary!$L$247:$L$283)+SUMIF(Summary!$A$297:$A$333,$A3713,Summary!$L$297:$L$333))-AK3713,0)</f>
        <v>0</v>
      </c>
      <c r="AM3713" s="198"/>
      <c r="AN3713" s="196">
        <f t="shared" ca="1" si="810"/>
        <v>0</v>
      </c>
      <c r="AO3713" s="196">
        <f t="shared" ca="1" si="811"/>
        <v>0</v>
      </c>
    </row>
    <row r="3714" spans="1:41">
      <c r="A3714" s="189">
        <v>42421</v>
      </c>
      <c r="B3714" s="190">
        <v>2</v>
      </c>
      <c r="C3714" s="191" t="s">
        <v>233</v>
      </c>
      <c r="D3714" s="192">
        <f t="shared" si="798"/>
        <v>438</v>
      </c>
      <c r="E3714" s="192">
        <f t="shared" si="799"/>
        <v>756</v>
      </c>
      <c r="F3714" s="192">
        <f t="shared" si="800"/>
        <v>0</v>
      </c>
      <c r="G3714" s="193">
        <f t="shared" si="801"/>
        <v>1194</v>
      </c>
      <c r="H3714" s="194">
        <v>279</v>
      </c>
      <c r="I3714" s="194">
        <v>306</v>
      </c>
      <c r="J3714" s="194">
        <v>0</v>
      </c>
      <c r="K3714" s="193">
        <f t="shared" si="802"/>
        <v>585</v>
      </c>
      <c r="L3714" s="194">
        <v>48</v>
      </c>
      <c r="M3714" s="194">
        <v>204</v>
      </c>
      <c r="N3714" s="194">
        <v>0</v>
      </c>
      <c r="O3714" s="193">
        <f t="shared" si="803"/>
        <v>252</v>
      </c>
      <c r="P3714" s="194">
        <v>111</v>
      </c>
      <c r="Q3714" s="194">
        <v>246</v>
      </c>
      <c r="R3714" s="194">
        <v>0</v>
      </c>
      <c r="S3714" s="193">
        <f t="shared" si="804"/>
        <v>357</v>
      </c>
      <c r="T3714" s="193">
        <f t="shared" si="805"/>
        <v>39.799999999999997</v>
      </c>
      <c r="U3714" s="193">
        <f ca="1">OFFSET('Expenditure Study'!$B$7,'Operations Support'!$C3714,'Operations Support'!$B3714)*$G3714</f>
        <v>1922.3400000000001</v>
      </c>
      <c r="V3714" s="199">
        <f ca="1">U3714*'Expenditure Study'!$B$31</f>
        <v>113577.96177907201</v>
      </c>
      <c r="W3714" s="199">
        <f ca="1">IF(A3714=10298,1.51,1)*IF($B3714&lt;3,$D3714*'Expenditure Study'!$B$32*OFFSET('Expenditure Study'!$B$7,'Operations Support'!$C3714,'Operations Support'!$B3714),0)</f>
        <v>70.518000000000015</v>
      </c>
      <c r="X3714" s="200">
        <f ca="1">W3714*'Expenditure Study'!$B$31</f>
        <v>4166.4277436544007</v>
      </c>
      <c r="Y3714" s="199">
        <f ca="1">U3714*'Expenditure Study'!$B$31</f>
        <v>113577.96177907201</v>
      </c>
      <c r="Z3714" s="200">
        <f ca="1">W3714*'Expenditure Study'!$B$31</f>
        <v>4166.4277436544007</v>
      </c>
      <c r="AA3714" s="195">
        <f t="shared" ca="1" si="806"/>
        <v>117744.38952272641</v>
      </c>
      <c r="AB3714" s="195">
        <f t="shared" ca="1" si="807"/>
        <v>117744.38952272641</v>
      </c>
      <c r="AD3714" s="196">
        <f>IFERROR($G3714/SUMIF($A:$A,$A3714,$G:$G)*SUMIF(Summary!$A$166:$A$242,$A3714,Summary!$P$166:$P$242),0)</f>
        <v>24332.896248461915</v>
      </c>
      <c r="AE3714" s="197">
        <f t="shared" ca="1" si="808"/>
        <v>93411.493274264503</v>
      </c>
      <c r="AF3714" s="196">
        <f>IFERROR(G3714/SUMIF(A:A,A3714,G:G)*SUMIF(Summary!$A$166:$A$242,'Operations Support'!A3714,Summary!$Q$166:$Q$242),0)</f>
        <v>24348.209379087017</v>
      </c>
      <c r="AG3714" s="196">
        <f t="shared" ca="1" si="809"/>
        <v>93396.180143639402</v>
      </c>
      <c r="AI3714" s="196">
        <f>IFERROR($G3714/SUMIF($A:$A,$A3714,$G:$G)*SUMIF(Summary!$A$247:$A$283,$A3714,Summary!$P$247:$P$283),0)</f>
        <v>4437.7130550622442</v>
      </c>
      <c r="AJ3714" s="196">
        <f>IFERROR($G3714/SUMIF($A:$A,$A3714,$G:$G)*(SUMIF(Summary!$A$247:$A$283,$A3714,Summary!$L$247:$L$283)+SUMIF(Summary!$A$297:$A$333,$A3714,Summary!$L$297:$L$333))-AI3714,0)</f>
        <v>39006.949472010157</v>
      </c>
      <c r="AK3714" s="196">
        <f>IFERROR($G3714/SUMIF($A:$A,$A3714,$G:$G)*SUMIF(Summary!$A$247:$A$283,$A3714,Summary!$Q$247:$Q$283),0)</f>
        <v>4440.5057879533479</v>
      </c>
      <c r="AL3714" s="196">
        <f>IFERROR($G3714/SUMIF($A:$A,$A3714,$G:$G)*(SUMIF(Summary!$A$247:$A$283,$A3714,Summary!$L$247:$L$283)+SUMIF(Summary!$A$297:$A$333,$A3714,Summary!$L$297:$L$333))-AK3714,0)</f>
        <v>39004.156739119055</v>
      </c>
      <c r="AM3714" s="198"/>
      <c r="AN3714" s="196">
        <f t="shared" ca="1" si="810"/>
        <v>132418.44274627467</v>
      </c>
      <c r="AO3714" s="196">
        <f t="shared" ca="1" si="811"/>
        <v>132400.33688275845</v>
      </c>
    </row>
    <row r="3715" spans="1:41">
      <c r="A3715" s="189">
        <v>42421</v>
      </c>
      <c r="B3715" s="190">
        <v>2</v>
      </c>
      <c r="C3715" s="191" t="s">
        <v>234</v>
      </c>
      <c r="D3715" s="192">
        <f t="shared" si="798"/>
        <v>0</v>
      </c>
      <c r="E3715" s="192">
        <f t="shared" si="799"/>
        <v>0</v>
      </c>
      <c r="F3715" s="192">
        <f t="shared" si="800"/>
        <v>0</v>
      </c>
      <c r="G3715" s="193">
        <f t="shared" si="801"/>
        <v>0</v>
      </c>
      <c r="H3715" s="194">
        <v>0</v>
      </c>
      <c r="I3715" s="194">
        <v>0</v>
      </c>
      <c r="J3715" s="194">
        <v>0</v>
      </c>
      <c r="K3715" s="193">
        <f t="shared" si="802"/>
        <v>0</v>
      </c>
      <c r="L3715" s="194">
        <v>0</v>
      </c>
      <c r="M3715" s="194">
        <v>0</v>
      </c>
      <c r="N3715" s="194">
        <v>0</v>
      </c>
      <c r="O3715" s="193">
        <f t="shared" si="803"/>
        <v>0</v>
      </c>
      <c r="P3715" s="194">
        <v>0</v>
      </c>
      <c r="Q3715" s="194">
        <v>0</v>
      </c>
      <c r="R3715" s="194">
        <v>0</v>
      </c>
      <c r="S3715" s="193">
        <f t="shared" si="804"/>
        <v>0</v>
      </c>
      <c r="T3715" s="193">
        <f t="shared" si="805"/>
        <v>0</v>
      </c>
      <c r="U3715" s="193">
        <f ca="1">OFFSET('Expenditure Study'!$B$7,'Operations Support'!$C3715,'Operations Support'!$B3715)*$G3715</f>
        <v>0</v>
      </c>
      <c r="V3715" s="199">
        <f ca="1">U3715*'Expenditure Study'!$B$31</f>
        <v>0</v>
      </c>
      <c r="W3715" s="199">
        <f ca="1">IF(A3715=10298,1.51,1)*IF($B3715&lt;3,$D3715*'Expenditure Study'!$B$32*OFFSET('Expenditure Study'!$B$7,'Operations Support'!$C3715,'Operations Support'!$B3715),0)</f>
        <v>0</v>
      </c>
      <c r="X3715" s="200">
        <f ca="1">W3715*'Expenditure Study'!$B$31</f>
        <v>0</v>
      </c>
      <c r="Y3715" s="199">
        <f ca="1">U3715*'Expenditure Study'!$B$31</f>
        <v>0</v>
      </c>
      <c r="Z3715" s="200">
        <f ca="1">W3715*'Expenditure Study'!$B$31</f>
        <v>0</v>
      </c>
      <c r="AA3715" s="195">
        <f t="shared" ca="1" si="806"/>
        <v>0</v>
      </c>
      <c r="AB3715" s="195">
        <f t="shared" ca="1" si="807"/>
        <v>0</v>
      </c>
      <c r="AD3715" s="196">
        <f>IFERROR($G3715/SUMIF($A:$A,$A3715,$G:$G)*SUMIF(Summary!$A$166:$A$242,$A3715,Summary!$P$166:$P$242),0)</f>
        <v>0</v>
      </c>
      <c r="AE3715" s="197">
        <f t="shared" ca="1" si="808"/>
        <v>0</v>
      </c>
      <c r="AF3715" s="196">
        <f>IFERROR(G3715/SUMIF(A:A,A3715,G:G)*SUMIF(Summary!$A$166:$A$242,'Operations Support'!A3715,Summary!$Q$166:$Q$242),0)</f>
        <v>0</v>
      </c>
      <c r="AG3715" s="196">
        <f t="shared" ca="1" si="809"/>
        <v>0</v>
      </c>
      <c r="AI3715" s="196">
        <f>IFERROR($G3715/SUMIF($A:$A,$A3715,$G:$G)*SUMIF(Summary!$A$247:$A$283,$A3715,Summary!$P$247:$P$283),0)</f>
        <v>0</v>
      </c>
      <c r="AJ3715" s="196">
        <f>IFERROR($G3715/SUMIF($A:$A,$A3715,$G:$G)*(SUMIF(Summary!$A$247:$A$283,$A3715,Summary!$L$247:$L$283)+SUMIF(Summary!$A$297:$A$333,$A3715,Summary!$L$297:$L$333))-AI3715,0)</f>
        <v>0</v>
      </c>
      <c r="AK3715" s="196">
        <f>IFERROR($G3715/SUMIF($A:$A,$A3715,$G:$G)*SUMIF(Summary!$A$247:$A$283,$A3715,Summary!$Q$247:$Q$283),0)</f>
        <v>0</v>
      </c>
      <c r="AL3715" s="196">
        <f>IFERROR($G3715/SUMIF($A:$A,$A3715,$G:$G)*(SUMIF(Summary!$A$247:$A$283,$A3715,Summary!$L$247:$L$283)+SUMIF(Summary!$A$297:$A$333,$A3715,Summary!$L$297:$L$333))-AK3715,0)</f>
        <v>0</v>
      </c>
      <c r="AM3715" s="198"/>
      <c r="AN3715" s="196">
        <f t="shared" ca="1" si="810"/>
        <v>0</v>
      </c>
      <c r="AO3715" s="196">
        <f t="shared" ca="1" si="811"/>
        <v>0</v>
      </c>
    </row>
    <row r="3716" spans="1:41">
      <c r="A3716" s="189">
        <v>42421</v>
      </c>
      <c r="B3716" s="190">
        <v>2</v>
      </c>
      <c r="C3716" s="191" t="s">
        <v>235</v>
      </c>
      <c r="D3716" s="192">
        <f t="shared" si="798"/>
        <v>5440.5</v>
      </c>
      <c r="E3716" s="192">
        <f t="shared" si="799"/>
        <v>8935.5</v>
      </c>
      <c r="F3716" s="192">
        <f t="shared" si="800"/>
        <v>0</v>
      </c>
      <c r="G3716" s="193">
        <f t="shared" si="801"/>
        <v>14376</v>
      </c>
      <c r="H3716" s="194">
        <v>2209.5</v>
      </c>
      <c r="I3716" s="194">
        <v>3865.5</v>
      </c>
      <c r="J3716" s="194">
        <v>0</v>
      </c>
      <c r="K3716" s="193">
        <f t="shared" si="802"/>
        <v>6075</v>
      </c>
      <c r="L3716" s="194">
        <v>2196</v>
      </c>
      <c r="M3716" s="194">
        <v>3723</v>
      </c>
      <c r="N3716" s="194">
        <v>0</v>
      </c>
      <c r="O3716" s="193">
        <f t="shared" si="803"/>
        <v>5919</v>
      </c>
      <c r="P3716" s="194">
        <v>1035</v>
      </c>
      <c r="Q3716" s="194">
        <v>1347</v>
      </c>
      <c r="R3716" s="194">
        <v>0</v>
      </c>
      <c r="S3716" s="193">
        <f t="shared" si="804"/>
        <v>2382</v>
      </c>
      <c r="T3716" s="193">
        <f t="shared" si="805"/>
        <v>479.2</v>
      </c>
      <c r="U3716" s="193">
        <f ca="1">OFFSET('Expenditure Study'!$B$7,'Operations Support'!$C3716,'Operations Support'!$B3716)*$G3716</f>
        <v>26883.120000000003</v>
      </c>
      <c r="V3716" s="199">
        <f ca="1">U3716*'Expenditure Study'!$B$31</f>
        <v>1588340.2394280962</v>
      </c>
      <c r="W3716" s="199">
        <f ca="1">IF(A3716=10298,1.51,1)*IF($B3716&lt;3,$D3716*'Expenditure Study'!$B$32*OFFSET('Expenditure Study'!$B$7,'Operations Support'!$C3716,'Operations Support'!$B3716),0)</f>
        <v>1017.3735000000001</v>
      </c>
      <c r="X3716" s="200">
        <f ca="1">W3716*'Expenditure Study'!$B$31</f>
        <v>60109.66244162881</v>
      </c>
      <c r="Y3716" s="199">
        <f ca="1">U3716*'Expenditure Study'!$B$31</f>
        <v>1588340.2394280962</v>
      </c>
      <c r="Z3716" s="200">
        <f ca="1">W3716*'Expenditure Study'!$B$31</f>
        <v>60109.66244162881</v>
      </c>
      <c r="AA3716" s="195">
        <f t="shared" ca="1" si="806"/>
        <v>1648449.901869725</v>
      </c>
      <c r="AB3716" s="195">
        <f t="shared" ca="1" si="807"/>
        <v>1648449.901869725</v>
      </c>
      <c r="AD3716" s="196">
        <f>IFERROR($G3716/SUMIF($A:$A,$A3716,$G:$G)*SUMIF(Summary!$A$166:$A$242,$A3716,Summary!$P$166:$P$242),0)</f>
        <v>292972.96186590323</v>
      </c>
      <c r="AE3716" s="197">
        <f t="shared" ca="1" si="808"/>
        <v>1355476.9400038216</v>
      </c>
      <c r="AF3716" s="196">
        <f>IFERROR(G3716/SUMIF(A:A,A3716,G:G)*SUMIF(Summary!$A$166:$A$242,'Operations Support'!A3716,Summary!$Q$166:$Q$242),0)</f>
        <v>293157.3350366457</v>
      </c>
      <c r="AG3716" s="196">
        <f t="shared" ca="1" si="809"/>
        <v>1355292.5668330793</v>
      </c>
      <c r="AI3716" s="196">
        <f>IFERROR($G3716/SUMIF($A:$A,$A3716,$G:$G)*SUMIF(Summary!$A$247:$A$283,$A3716,Summary!$P$247:$P$283),0)</f>
        <v>53430.957185573556</v>
      </c>
      <c r="AJ3716" s="196">
        <f>IFERROR($G3716/SUMIF($A:$A,$A3716,$G:$G)*(SUMIF(Summary!$A$247:$A$283,$A3716,Summary!$L$247:$L$283)+SUMIF(Summary!$A$297:$A$333,$A3716,Summary!$L$297:$L$333))-AI3716,0)</f>
        <v>469651.51223586104</v>
      </c>
      <c r="AK3716" s="196">
        <f>IFERROR($G3716/SUMIF($A:$A,$A3716,$G:$G)*SUMIF(Summary!$A$247:$A$283,$A3716,Summary!$Q$247:$Q$283),0)</f>
        <v>53464.582250935782</v>
      </c>
      <c r="AL3716" s="196">
        <f>IFERROR($G3716/SUMIF($A:$A,$A3716,$G:$G)*(SUMIF(Summary!$A$247:$A$283,$A3716,Summary!$L$247:$L$283)+SUMIF(Summary!$A$297:$A$333,$A3716,Summary!$L$297:$L$333))-AK3716,0)</f>
        <v>469617.88717049878</v>
      </c>
      <c r="AM3716" s="198"/>
      <c r="AN3716" s="196">
        <f t="shared" ca="1" si="810"/>
        <v>1825128.4522396827</v>
      </c>
      <c r="AO3716" s="196">
        <f t="shared" ca="1" si="811"/>
        <v>1824910.4540035781</v>
      </c>
    </row>
    <row r="3717" spans="1:41">
      <c r="A3717" s="189">
        <v>42421</v>
      </c>
      <c r="B3717" s="190">
        <v>2</v>
      </c>
      <c r="C3717" s="191" t="s">
        <v>236</v>
      </c>
      <c r="D3717" s="192">
        <f t="shared" ref="D3717:D3780" si="812">H3717+L3717+P3717</f>
        <v>0</v>
      </c>
      <c r="E3717" s="192">
        <f t="shared" ref="E3717:E3780" si="813">I3717+M3717+Q3717</f>
        <v>0</v>
      </c>
      <c r="F3717" s="192">
        <f t="shared" ref="F3717:F3780" si="814">J3717+N3717+R3717</f>
        <v>0</v>
      </c>
      <c r="G3717" s="193">
        <f t="shared" ref="G3717:G3780" si="815">(SUM(D3717:E3717)-F3717)*IF(A3717=10298,1.51,1)</f>
        <v>0</v>
      </c>
      <c r="H3717" s="194">
        <v>0</v>
      </c>
      <c r="I3717" s="194">
        <v>0</v>
      </c>
      <c r="J3717" s="194">
        <v>0</v>
      </c>
      <c r="K3717" s="193">
        <f t="shared" ref="K3717:K3780" si="816">SUM(H3717:I3717)-J3717</f>
        <v>0</v>
      </c>
      <c r="L3717" s="194">
        <v>0</v>
      </c>
      <c r="M3717" s="194">
        <v>0</v>
      </c>
      <c r="N3717" s="194">
        <v>0</v>
      </c>
      <c r="O3717" s="193">
        <f t="shared" ref="O3717:O3780" si="817">SUM(L3717:M3717)-N3717</f>
        <v>0</v>
      </c>
      <c r="P3717" s="194">
        <v>0</v>
      </c>
      <c r="Q3717" s="194">
        <v>0</v>
      </c>
      <c r="R3717" s="194">
        <v>0</v>
      </c>
      <c r="S3717" s="193">
        <f t="shared" ref="S3717:S3780" si="818">SUM(P3717:Q3717)-R3717</f>
        <v>0</v>
      </c>
      <c r="T3717" s="193">
        <f t="shared" ref="T3717:T3780" si="819">IF(OR(B3717=1,B3717=2),G3717/30,IF(OR(B3717=3,B3717=5),G3717/24,IF(B3717=4,G3717/18,0)))</f>
        <v>0</v>
      </c>
      <c r="U3717" s="193">
        <f ca="1">OFFSET('Expenditure Study'!$B$7,'Operations Support'!$C3717,'Operations Support'!$B3717)*$G3717</f>
        <v>0</v>
      </c>
      <c r="V3717" s="199">
        <f ca="1">U3717*'Expenditure Study'!$B$31</f>
        <v>0</v>
      </c>
      <c r="W3717" s="199">
        <f ca="1">IF(A3717=10298,1.51,1)*IF($B3717&lt;3,$D3717*'Expenditure Study'!$B$32*OFFSET('Expenditure Study'!$B$7,'Operations Support'!$C3717,'Operations Support'!$B3717),0)</f>
        <v>0</v>
      </c>
      <c r="X3717" s="200">
        <f ca="1">W3717*'Expenditure Study'!$B$31</f>
        <v>0</v>
      </c>
      <c r="Y3717" s="199">
        <f ca="1">U3717*'Expenditure Study'!$B$31</f>
        <v>0</v>
      </c>
      <c r="Z3717" s="200">
        <f ca="1">W3717*'Expenditure Study'!$B$31</f>
        <v>0</v>
      </c>
      <c r="AA3717" s="195">
        <f t="shared" ref="AA3717:AA3780" ca="1" si="820">V3717+X3717</f>
        <v>0</v>
      </c>
      <c r="AB3717" s="195">
        <f t="shared" ref="AB3717:AB3780" ca="1" si="821">Y3717+Z3717</f>
        <v>0</v>
      </c>
      <c r="AD3717" s="196">
        <f>IFERROR($G3717/SUMIF($A:$A,$A3717,$G:$G)*SUMIF(Summary!$A$166:$A$242,$A3717,Summary!$P$166:$P$242),0)</f>
        <v>0</v>
      </c>
      <c r="AE3717" s="197">
        <f t="shared" ca="1" si="808"/>
        <v>0</v>
      </c>
      <c r="AF3717" s="196">
        <f>IFERROR(G3717/SUMIF(A:A,A3717,G:G)*SUMIF(Summary!$A$166:$A$242,'Operations Support'!A3717,Summary!$Q$166:$Q$242),0)</f>
        <v>0</v>
      </c>
      <c r="AG3717" s="196">
        <f t="shared" ca="1" si="809"/>
        <v>0</v>
      </c>
      <c r="AI3717" s="196">
        <f>IFERROR($G3717/SUMIF($A:$A,$A3717,$G:$G)*SUMIF(Summary!$A$247:$A$283,$A3717,Summary!$P$247:$P$283),0)</f>
        <v>0</v>
      </c>
      <c r="AJ3717" s="196">
        <f>IFERROR($G3717/SUMIF($A:$A,$A3717,$G:$G)*(SUMIF(Summary!$A$247:$A$283,$A3717,Summary!$L$247:$L$283)+SUMIF(Summary!$A$297:$A$333,$A3717,Summary!$L$297:$L$333))-AI3717,0)</f>
        <v>0</v>
      </c>
      <c r="AK3717" s="196">
        <f>IFERROR($G3717/SUMIF($A:$A,$A3717,$G:$G)*SUMIF(Summary!$A$247:$A$283,$A3717,Summary!$Q$247:$Q$283),0)</f>
        <v>0</v>
      </c>
      <c r="AL3717" s="196">
        <f>IFERROR($G3717/SUMIF($A:$A,$A3717,$G:$G)*(SUMIF(Summary!$A$247:$A$283,$A3717,Summary!$L$247:$L$283)+SUMIF(Summary!$A$297:$A$333,$A3717,Summary!$L$297:$L$333))-AK3717,0)</f>
        <v>0</v>
      </c>
      <c r="AM3717" s="198"/>
      <c r="AN3717" s="196">
        <f t="shared" ca="1" si="810"/>
        <v>0</v>
      </c>
      <c r="AO3717" s="196">
        <f t="shared" ca="1" si="811"/>
        <v>0</v>
      </c>
    </row>
    <row r="3718" spans="1:41">
      <c r="A3718" s="189">
        <v>42421</v>
      </c>
      <c r="B3718" s="190">
        <v>2</v>
      </c>
      <c r="C3718" s="191" t="s">
        <v>237</v>
      </c>
      <c r="D3718" s="192">
        <f t="shared" si="812"/>
        <v>0</v>
      </c>
      <c r="E3718" s="192">
        <f t="shared" si="813"/>
        <v>90</v>
      </c>
      <c r="F3718" s="192">
        <f t="shared" si="814"/>
        <v>0</v>
      </c>
      <c r="G3718" s="193">
        <f t="shared" si="815"/>
        <v>90</v>
      </c>
      <c r="H3718" s="194">
        <v>0</v>
      </c>
      <c r="I3718" s="194">
        <v>36</v>
      </c>
      <c r="J3718" s="194">
        <v>0</v>
      </c>
      <c r="K3718" s="193">
        <f t="shared" si="816"/>
        <v>36</v>
      </c>
      <c r="L3718" s="194">
        <v>0</v>
      </c>
      <c r="M3718" s="194">
        <v>54</v>
      </c>
      <c r="N3718" s="194">
        <v>0</v>
      </c>
      <c r="O3718" s="193">
        <f t="shared" si="817"/>
        <v>54</v>
      </c>
      <c r="P3718" s="194">
        <v>0</v>
      </c>
      <c r="Q3718" s="194">
        <v>0</v>
      </c>
      <c r="R3718" s="194">
        <v>0</v>
      </c>
      <c r="S3718" s="193">
        <f t="shared" si="818"/>
        <v>0</v>
      </c>
      <c r="T3718" s="193">
        <f t="shared" si="819"/>
        <v>3</v>
      </c>
      <c r="U3718" s="193">
        <f ca="1">OFFSET('Expenditure Study'!$B$7,'Operations Support'!$C3718,'Operations Support'!$B3718)*$G3718</f>
        <v>210.6</v>
      </c>
      <c r="V3718" s="199">
        <f ca="1">U3718*'Expenditure Study'!$B$31</f>
        <v>12442.91787648</v>
      </c>
      <c r="W3718" s="199">
        <f ca="1">IF(A3718=10298,1.51,1)*IF($B3718&lt;3,$D3718*'Expenditure Study'!$B$32*OFFSET('Expenditure Study'!$B$7,'Operations Support'!$C3718,'Operations Support'!$B3718),0)</f>
        <v>0</v>
      </c>
      <c r="X3718" s="200">
        <f ca="1">W3718*'Expenditure Study'!$B$31</f>
        <v>0</v>
      </c>
      <c r="Y3718" s="199">
        <f ca="1">U3718*'Expenditure Study'!$B$31</f>
        <v>12442.91787648</v>
      </c>
      <c r="Z3718" s="200">
        <f ca="1">W3718*'Expenditure Study'!$B$31</f>
        <v>0</v>
      </c>
      <c r="AA3718" s="195">
        <f t="shared" ca="1" si="820"/>
        <v>12442.91787648</v>
      </c>
      <c r="AB3718" s="195">
        <f t="shared" ca="1" si="821"/>
        <v>12442.91787648</v>
      </c>
      <c r="AD3718" s="196">
        <f>IFERROR($G3718/SUMIF($A:$A,$A3718,$G:$G)*SUMIF(Summary!$A$166:$A$242,$A3718,Summary!$P$166:$P$242),0)</f>
        <v>1834.137908175521</v>
      </c>
      <c r="AE3718" s="197">
        <f t="shared" ref="AE3718:AE3781" ca="1" si="822">V3718+X3718-AD3718</f>
        <v>10608.77996830448</v>
      </c>
      <c r="AF3718" s="196">
        <f>IFERROR(G3718/SUMIF(A:A,A3718,G:G)*SUMIF(Summary!$A$166:$A$242,'Operations Support'!A3718,Summary!$Q$166:$Q$242),0)</f>
        <v>1835.2921642527901</v>
      </c>
      <c r="AG3718" s="196">
        <f t="shared" ref="AG3718:AG3781" ca="1" si="823">Y3718+Z3718-AF3718</f>
        <v>10607.625712227209</v>
      </c>
      <c r="AI3718" s="196">
        <f>IFERROR($G3718/SUMIF($A:$A,$A3718,$G:$G)*SUMIF(Summary!$A$247:$A$283,$A3718,Summary!$P$247:$P$283),0)</f>
        <v>334.50098404991786</v>
      </c>
      <c r="AJ3718" s="196">
        <f>IFERROR($G3718/SUMIF($A:$A,$A3718,$G:$G)*(SUMIF(Summary!$A$247:$A$283,$A3718,Summary!$L$247:$L$283)+SUMIF(Summary!$A$297:$A$333,$A3718,Summary!$L$297:$L$333))-AI3718,0)</f>
        <v>2940.2223220108162</v>
      </c>
      <c r="AK3718" s="196">
        <f>IFERROR($G3718/SUMIF($A:$A,$A3718,$G:$G)*SUMIF(Summary!$A$247:$A$283,$A3718,Summary!$Q$247:$Q$283),0)</f>
        <v>334.71149155427241</v>
      </c>
      <c r="AL3718" s="196">
        <f>IFERROR($G3718/SUMIF($A:$A,$A3718,$G:$G)*(SUMIF(Summary!$A$247:$A$283,$A3718,Summary!$L$247:$L$283)+SUMIF(Summary!$A$297:$A$333,$A3718,Summary!$L$297:$L$333))-AK3718,0)</f>
        <v>2940.0118145064616</v>
      </c>
      <c r="AM3718" s="198"/>
      <c r="AN3718" s="196">
        <f t="shared" ref="AN3718:AN3781" ca="1" si="824">AE3718+AJ3718</f>
        <v>13549.002290315297</v>
      </c>
      <c r="AO3718" s="196">
        <f t="shared" ref="AO3718:AO3781" ca="1" si="825">AG3718+AL3718</f>
        <v>13547.63752673367</v>
      </c>
    </row>
    <row r="3719" spans="1:41">
      <c r="A3719" s="189">
        <v>42421</v>
      </c>
      <c r="B3719" s="190">
        <v>2</v>
      </c>
      <c r="C3719" s="191" t="s">
        <v>238</v>
      </c>
      <c r="D3719" s="192">
        <f t="shared" si="812"/>
        <v>75</v>
      </c>
      <c r="E3719" s="192">
        <f t="shared" si="813"/>
        <v>1245</v>
      </c>
      <c r="F3719" s="192">
        <f t="shared" si="814"/>
        <v>0</v>
      </c>
      <c r="G3719" s="193">
        <f t="shared" si="815"/>
        <v>1320</v>
      </c>
      <c r="H3719" s="194">
        <v>75</v>
      </c>
      <c r="I3719" s="194">
        <v>495</v>
      </c>
      <c r="J3719" s="194">
        <v>0</v>
      </c>
      <c r="K3719" s="193">
        <f t="shared" si="816"/>
        <v>570</v>
      </c>
      <c r="L3719" s="194">
        <v>0</v>
      </c>
      <c r="M3719" s="194">
        <v>519</v>
      </c>
      <c r="N3719" s="194">
        <v>0</v>
      </c>
      <c r="O3719" s="193">
        <f t="shared" si="817"/>
        <v>519</v>
      </c>
      <c r="P3719" s="194">
        <v>0</v>
      </c>
      <c r="Q3719" s="194">
        <v>231</v>
      </c>
      <c r="R3719" s="194">
        <v>0</v>
      </c>
      <c r="S3719" s="193">
        <f t="shared" si="818"/>
        <v>231</v>
      </c>
      <c r="T3719" s="193">
        <f t="shared" si="819"/>
        <v>44</v>
      </c>
      <c r="U3719" s="193">
        <f ca="1">OFFSET('Expenditure Study'!$B$7,'Operations Support'!$C3719,'Operations Support'!$B3719)*$G3719</f>
        <v>3168</v>
      </c>
      <c r="V3719" s="199">
        <f ca="1">U3719*'Expenditure Study'!$B$31</f>
        <v>187175.51677439999</v>
      </c>
      <c r="W3719" s="199">
        <f ca="1">IF(A3719=10298,1.51,1)*IF($B3719&lt;3,$D3719*'Expenditure Study'!$B$32*OFFSET('Expenditure Study'!$B$7,'Operations Support'!$C3719,'Operations Support'!$B3719),0)</f>
        <v>18</v>
      </c>
      <c r="X3719" s="200">
        <f ca="1">W3719*'Expenditure Study'!$B$31</f>
        <v>1063.4972544</v>
      </c>
      <c r="Y3719" s="199">
        <f ca="1">U3719*'Expenditure Study'!$B$31</f>
        <v>187175.51677439999</v>
      </c>
      <c r="Z3719" s="200">
        <f ca="1">W3719*'Expenditure Study'!$B$31</f>
        <v>1063.4972544</v>
      </c>
      <c r="AA3719" s="195">
        <f t="shared" ca="1" si="820"/>
        <v>188239.01402879998</v>
      </c>
      <c r="AB3719" s="195">
        <f t="shared" ca="1" si="821"/>
        <v>188239.01402879998</v>
      </c>
      <c r="AD3719" s="196">
        <f>IFERROR($G3719/SUMIF($A:$A,$A3719,$G:$G)*SUMIF(Summary!$A$166:$A$242,$A3719,Summary!$P$166:$P$242),0)</f>
        <v>26900.689319907644</v>
      </c>
      <c r="AE3719" s="197">
        <f t="shared" ca="1" si="822"/>
        <v>161338.32470889232</v>
      </c>
      <c r="AF3719" s="196">
        <f>IFERROR(G3719/SUMIF(A:A,A3719,G:G)*SUMIF(Summary!$A$166:$A$242,'Operations Support'!A3719,Summary!$Q$166:$Q$242),0)</f>
        <v>26917.618409040926</v>
      </c>
      <c r="AG3719" s="196">
        <f t="shared" ca="1" si="823"/>
        <v>161321.39561975905</v>
      </c>
      <c r="AI3719" s="196">
        <f>IFERROR($G3719/SUMIF($A:$A,$A3719,$G:$G)*SUMIF(Summary!$A$247:$A$283,$A3719,Summary!$P$247:$P$283),0)</f>
        <v>4906.0144327321295</v>
      </c>
      <c r="AJ3719" s="196">
        <f>IFERROR($G3719/SUMIF($A:$A,$A3719,$G:$G)*(SUMIF(Summary!$A$247:$A$283,$A3719,Summary!$L$247:$L$283)+SUMIF(Summary!$A$297:$A$333,$A3719,Summary!$L$297:$L$333))-AI3719,0)</f>
        <v>43123.260722825304</v>
      </c>
      <c r="AK3719" s="196">
        <f>IFERROR($G3719/SUMIF($A:$A,$A3719,$G:$G)*SUMIF(Summary!$A$247:$A$283,$A3719,Summary!$Q$247:$Q$283),0)</f>
        <v>4909.101876129329</v>
      </c>
      <c r="AL3719" s="196">
        <f>IFERROR($G3719/SUMIF($A:$A,$A3719,$G:$G)*(SUMIF(Summary!$A$247:$A$283,$A3719,Summary!$L$247:$L$283)+SUMIF(Summary!$A$297:$A$333,$A3719,Summary!$L$297:$L$333))-AK3719,0)</f>
        <v>43120.173279428105</v>
      </c>
      <c r="AM3719" s="198"/>
      <c r="AN3719" s="196">
        <f t="shared" ca="1" si="824"/>
        <v>204461.58543171763</v>
      </c>
      <c r="AO3719" s="196">
        <f t="shared" ca="1" si="825"/>
        <v>204441.56889918714</v>
      </c>
    </row>
    <row r="3720" spans="1:41">
      <c r="A3720" s="189">
        <v>42421</v>
      </c>
      <c r="B3720" s="190">
        <v>2</v>
      </c>
      <c r="C3720" s="191" t="s">
        <v>239</v>
      </c>
      <c r="D3720" s="192">
        <f t="shared" si="812"/>
        <v>0</v>
      </c>
      <c r="E3720" s="192">
        <f t="shared" si="813"/>
        <v>0</v>
      </c>
      <c r="F3720" s="192">
        <f t="shared" si="814"/>
        <v>0</v>
      </c>
      <c r="G3720" s="193">
        <f t="shared" si="815"/>
        <v>0</v>
      </c>
      <c r="H3720" s="194">
        <v>0</v>
      </c>
      <c r="I3720" s="194">
        <v>0</v>
      </c>
      <c r="J3720" s="194">
        <v>0</v>
      </c>
      <c r="K3720" s="193">
        <f t="shared" si="816"/>
        <v>0</v>
      </c>
      <c r="L3720" s="194">
        <v>0</v>
      </c>
      <c r="M3720" s="194">
        <v>0</v>
      </c>
      <c r="N3720" s="194">
        <v>0</v>
      </c>
      <c r="O3720" s="193">
        <f t="shared" si="817"/>
        <v>0</v>
      </c>
      <c r="P3720" s="194">
        <v>0</v>
      </c>
      <c r="Q3720" s="194">
        <v>0</v>
      </c>
      <c r="R3720" s="194">
        <v>0</v>
      </c>
      <c r="S3720" s="193">
        <f t="shared" si="818"/>
        <v>0</v>
      </c>
      <c r="T3720" s="193">
        <f t="shared" si="819"/>
        <v>0</v>
      </c>
      <c r="U3720" s="193">
        <f ca="1">OFFSET('Expenditure Study'!$B$7,'Operations Support'!$C3720,'Operations Support'!$B3720)*$G3720</f>
        <v>0</v>
      </c>
      <c r="V3720" s="199">
        <f ca="1">U3720*'Expenditure Study'!$B$31</f>
        <v>0</v>
      </c>
      <c r="W3720" s="199">
        <f ca="1">IF(A3720=10298,1.51,1)*IF($B3720&lt;3,$D3720*'Expenditure Study'!$B$32*OFFSET('Expenditure Study'!$B$7,'Operations Support'!$C3720,'Operations Support'!$B3720),0)</f>
        <v>0</v>
      </c>
      <c r="X3720" s="200">
        <f ca="1">W3720*'Expenditure Study'!$B$31</f>
        <v>0</v>
      </c>
      <c r="Y3720" s="199">
        <f ca="1">U3720*'Expenditure Study'!$B$31</f>
        <v>0</v>
      </c>
      <c r="Z3720" s="200">
        <f ca="1">W3720*'Expenditure Study'!$B$31</f>
        <v>0</v>
      </c>
      <c r="AA3720" s="195">
        <f t="shared" ca="1" si="820"/>
        <v>0</v>
      </c>
      <c r="AB3720" s="195">
        <f t="shared" ca="1" si="821"/>
        <v>0</v>
      </c>
      <c r="AD3720" s="196">
        <f>IFERROR($G3720/SUMIF($A:$A,$A3720,$G:$G)*SUMIF(Summary!$A$166:$A$242,$A3720,Summary!$P$166:$P$242),0)</f>
        <v>0</v>
      </c>
      <c r="AE3720" s="197">
        <f t="shared" ca="1" si="822"/>
        <v>0</v>
      </c>
      <c r="AF3720" s="196">
        <f>IFERROR(G3720/SUMIF(A:A,A3720,G:G)*SUMIF(Summary!$A$166:$A$242,'Operations Support'!A3720,Summary!$Q$166:$Q$242),0)</f>
        <v>0</v>
      </c>
      <c r="AG3720" s="196">
        <f t="shared" ca="1" si="823"/>
        <v>0</v>
      </c>
      <c r="AI3720" s="196">
        <f>IFERROR($G3720/SUMIF($A:$A,$A3720,$G:$G)*SUMIF(Summary!$A$247:$A$283,$A3720,Summary!$P$247:$P$283),0)</f>
        <v>0</v>
      </c>
      <c r="AJ3720" s="196">
        <f>IFERROR($G3720/SUMIF($A:$A,$A3720,$G:$G)*(SUMIF(Summary!$A$247:$A$283,$A3720,Summary!$L$247:$L$283)+SUMIF(Summary!$A$297:$A$333,$A3720,Summary!$L$297:$L$333))-AI3720,0)</f>
        <v>0</v>
      </c>
      <c r="AK3720" s="196">
        <f>IFERROR($G3720/SUMIF($A:$A,$A3720,$G:$G)*SUMIF(Summary!$A$247:$A$283,$A3720,Summary!$Q$247:$Q$283),0)</f>
        <v>0</v>
      </c>
      <c r="AL3720" s="196">
        <f>IFERROR($G3720/SUMIF($A:$A,$A3720,$G:$G)*(SUMIF(Summary!$A$247:$A$283,$A3720,Summary!$L$247:$L$283)+SUMIF(Summary!$A$297:$A$333,$A3720,Summary!$L$297:$L$333))-AK3720,0)</f>
        <v>0</v>
      </c>
      <c r="AM3720" s="198"/>
      <c r="AN3720" s="196">
        <f t="shared" ca="1" si="824"/>
        <v>0</v>
      </c>
      <c r="AO3720" s="196">
        <f t="shared" ca="1" si="825"/>
        <v>0</v>
      </c>
    </row>
    <row r="3721" spans="1:41">
      <c r="A3721" s="189">
        <v>42421</v>
      </c>
      <c r="B3721" s="190">
        <v>2</v>
      </c>
      <c r="C3721" s="191" t="s">
        <v>240</v>
      </c>
      <c r="D3721" s="192">
        <f t="shared" si="812"/>
        <v>0</v>
      </c>
      <c r="E3721" s="192">
        <f t="shared" si="813"/>
        <v>0</v>
      </c>
      <c r="F3721" s="192">
        <f t="shared" si="814"/>
        <v>0</v>
      </c>
      <c r="G3721" s="193">
        <f t="shared" si="815"/>
        <v>0</v>
      </c>
      <c r="H3721" s="194">
        <v>0</v>
      </c>
      <c r="I3721" s="194">
        <v>0</v>
      </c>
      <c r="J3721" s="194">
        <v>0</v>
      </c>
      <c r="K3721" s="193">
        <f t="shared" si="816"/>
        <v>0</v>
      </c>
      <c r="L3721" s="194">
        <v>0</v>
      </c>
      <c r="M3721" s="194">
        <v>0</v>
      </c>
      <c r="N3721" s="194">
        <v>0</v>
      </c>
      <c r="O3721" s="193">
        <f t="shared" si="817"/>
        <v>0</v>
      </c>
      <c r="P3721" s="194">
        <v>0</v>
      </c>
      <c r="Q3721" s="194">
        <v>0</v>
      </c>
      <c r="R3721" s="194">
        <v>0</v>
      </c>
      <c r="S3721" s="193">
        <f t="shared" si="818"/>
        <v>0</v>
      </c>
      <c r="T3721" s="193">
        <f t="shared" si="819"/>
        <v>0</v>
      </c>
      <c r="U3721" s="193">
        <f ca="1">OFFSET('Expenditure Study'!$B$7,'Operations Support'!$C3721,'Operations Support'!$B3721)*$G3721</f>
        <v>0</v>
      </c>
      <c r="V3721" s="199">
        <f ca="1">U3721*'Expenditure Study'!$B$31</f>
        <v>0</v>
      </c>
      <c r="W3721" s="199">
        <f ca="1">IF(A3721=10298,1.51,1)*IF($B3721&lt;3,$D3721*'Expenditure Study'!$B$32*OFFSET('Expenditure Study'!$B$7,'Operations Support'!$C3721,'Operations Support'!$B3721),0)</f>
        <v>0</v>
      </c>
      <c r="X3721" s="200">
        <f ca="1">W3721*'Expenditure Study'!$B$31</f>
        <v>0</v>
      </c>
      <c r="Y3721" s="199">
        <f ca="1">U3721*'Expenditure Study'!$B$31</f>
        <v>0</v>
      </c>
      <c r="Z3721" s="200">
        <f ca="1">W3721*'Expenditure Study'!$B$31</f>
        <v>0</v>
      </c>
      <c r="AA3721" s="195">
        <f t="shared" ca="1" si="820"/>
        <v>0</v>
      </c>
      <c r="AB3721" s="195">
        <f t="shared" ca="1" si="821"/>
        <v>0</v>
      </c>
      <c r="AD3721" s="196">
        <f>IFERROR($G3721/SUMIF($A:$A,$A3721,$G:$G)*SUMIF(Summary!$A$166:$A$242,$A3721,Summary!$P$166:$P$242),0)</f>
        <v>0</v>
      </c>
      <c r="AE3721" s="197">
        <f t="shared" ca="1" si="822"/>
        <v>0</v>
      </c>
      <c r="AF3721" s="196">
        <f>IFERROR(G3721/SUMIF(A:A,A3721,G:G)*SUMIF(Summary!$A$166:$A$242,'Operations Support'!A3721,Summary!$Q$166:$Q$242),0)</f>
        <v>0</v>
      </c>
      <c r="AG3721" s="196">
        <f t="shared" ca="1" si="823"/>
        <v>0</v>
      </c>
      <c r="AI3721" s="196">
        <f>IFERROR($G3721/SUMIF($A:$A,$A3721,$G:$G)*SUMIF(Summary!$A$247:$A$283,$A3721,Summary!$P$247:$P$283),0)</f>
        <v>0</v>
      </c>
      <c r="AJ3721" s="196">
        <f>IFERROR($G3721/SUMIF($A:$A,$A3721,$G:$G)*(SUMIF(Summary!$A$247:$A$283,$A3721,Summary!$L$247:$L$283)+SUMIF(Summary!$A$297:$A$333,$A3721,Summary!$L$297:$L$333))-AI3721,0)</f>
        <v>0</v>
      </c>
      <c r="AK3721" s="196">
        <f>IFERROR($G3721/SUMIF($A:$A,$A3721,$G:$G)*SUMIF(Summary!$A$247:$A$283,$A3721,Summary!$Q$247:$Q$283),0)</f>
        <v>0</v>
      </c>
      <c r="AL3721" s="196">
        <f>IFERROR($G3721/SUMIF($A:$A,$A3721,$G:$G)*(SUMIF(Summary!$A$247:$A$283,$A3721,Summary!$L$247:$L$283)+SUMIF(Summary!$A$297:$A$333,$A3721,Summary!$L$297:$L$333))-AK3721,0)</f>
        <v>0</v>
      </c>
      <c r="AM3721" s="198"/>
      <c r="AN3721" s="196">
        <f t="shared" ca="1" si="824"/>
        <v>0</v>
      </c>
      <c r="AO3721" s="196">
        <f t="shared" ca="1" si="825"/>
        <v>0</v>
      </c>
    </row>
    <row r="3722" spans="1:41">
      <c r="A3722" s="189">
        <v>42421</v>
      </c>
      <c r="B3722" s="190">
        <v>3</v>
      </c>
      <c r="C3722" s="191" t="s">
        <v>220</v>
      </c>
      <c r="D3722" s="192">
        <f t="shared" si="812"/>
        <v>1374</v>
      </c>
      <c r="E3722" s="192">
        <f t="shared" si="813"/>
        <v>1755</v>
      </c>
      <c r="F3722" s="192">
        <f t="shared" si="814"/>
        <v>0</v>
      </c>
      <c r="G3722" s="193">
        <f t="shared" si="815"/>
        <v>3129</v>
      </c>
      <c r="H3722" s="194">
        <v>513</v>
      </c>
      <c r="I3722" s="194">
        <v>675</v>
      </c>
      <c r="J3722" s="194">
        <v>0</v>
      </c>
      <c r="K3722" s="193">
        <f t="shared" si="816"/>
        <v>1188</v>
      </c>
      <c r="L3722" s="194">
        <v>453</v>
      </c>
      <c r="M3722" s="194">
        <v>732</v>
      </c>
      <c r="N3722" s="194">
        <v>0</v>
      </c>
      <c r="O3722" s="193">
        <f t="shared" si="817"/>
        <v>1185</v>
      </c>
      <c r="P3722" s="194">
        <v>408</v>
      </c>
      <c r="Q3722" s="194">
        <v>348</v>
      </c>
      <c r="R3722" s="194">
        <v>0</v>
      </c>
      <c r="S3722" s="193">
        <f t="shared" si="818"/>
        <v>756</v>
      </c>
      <c r="T3722" s="193">
        <f t="shared" si="819"/>
        <v>130.375</v>
      </c>
      <c r="U3722" s="193">
        <f ca="1">OFFSET('Expenditure Study'!$B$7,'Operations Support'!$C3722,'Operations Support'!$B3722)*$G3722</f>
        <v>13955.34</v>
      </c>
      <c r="V3722" s="199">
        <f ca="1">U3722*'Expenditure Study'!$B$31</f>
        <v>824525.87634547206</v>
      </c>
      <c r="W3722" s="199">
        <f ca="1">IF(A3722=10298,1.51,1)*IF($B3722&lt;3,$D3722*'Expenditure Study'!$B$32*OFFSET('Expenditure Study'!$B$7,'Operations Support'!$C3722,'Operations Support'!$B3722),0)</f>
        <v>0</v>
      </c>
      <c r="X3722" s="200">
        <f ca="1">W3722*'Expenditure Study'!$B$31</f>
        <v>0</v>
      </c>
      <c r="Y3722" s="199">
        <f ca="1">U3722*'Expenditure Study'!$B$31</f>
        <v>824525.87634547206</v>
      </c>
      <c r="Z3722" s="200">
        <f ca="1">W3722*'Expenditure Study'!$B$31</f>
        <v>0</v>
      </c>
      <c r="AA3722" s="195">
        <f t="shared" ca="1" si="820"/>
        <v>824525.87634547206</v>
      </c>
      <c r="AB3722" s="195">
        <f t="shared" ca="1" si="821"/>
        <v>824525.87634547206</v>
      </c>
      <c r="AD3722" s="196">
        <f>IFERROR($G3722/SUMIF($A:$A,$A3722,$G:$G)*SUMIF(Summary!$A$166:$A$242,$A3722,Summary!$P$166:$P$242),0)</f>
        <v>63766.86127423562</v>
      </c>
      <c r="AE3722" s="197">
        <f t="shared" ca="1" si="822"/>
        <v>760759.01507123641</v>
      </c>
      <c r="AF3722" s="196">
        <f>IFERROR(G3722/SUMIF(A:A,A3722,G:G)*SUMIF(Summary!$A$166:$A$242,'Operations Support'!A3722,Summary!$Q$166:$Q$242),0)</f>
        <v>63806.990910522007</v>
      </c>
      <c r="AG3722" s="196">
        <f t="shared" ca="1" si="823"/>
        <v>760718.88543495</v>
      </c>
      <c r="AI3722" s="196">
        <f>IFERROR($G3722/SUMIF($A:$A,$A3722,$G:$G)*SUMIF(Summary!$A$247:$A$283,$A3722,Summary!$P$247:$P$283),0)</f>
        <v>11629.48421213548</v>
      </c>
      <c r="AJ3722" s="196">
        <f>IFERROR($G3722/SUMIF($A:$A,$A3722,$G:$G)*(SUMIF(Summary!$A$247:$A$283,$A3722,Summary!$L$247:$L$283)+SUMIF(Summary!$A$297:$A$333,$A3722,Summary!$L$297:$L$333))-AI3722,0)</f>
        <v>102221.72939524271</v>
      </c>
      <c r="AK3722" s="196">
        <f>IFERROR($G3722/SUMIF($A:$A,$A3722,$G:$G)*SUMIF(Summary!$A$247:$A$283,$A3722,Summary!$Q$247:$Q$283),0)</f>
        <v>11636.802856370206</v>
      </c>
      <c r="AL3722" s="196">
        <f>IFERROR($G3722/SUMIF($A:$A,$A3722,$G:$G)*(SUMIF(Summary!$A$247:$A$283,$A3722,Summary!$L$247:$L$283)+SUMIF(Summary!$A$297:$A$333,$A3722,Summary!$L$297:$L$333))-AK3722,0)</f>
        <v>102214.41075100798</v>
      </c>
      <c r="AM3722" s="198"/>
      <c r="AN3722" s="196">
        <f t="shared" ca="1" si="824"/>
        <v>862980.74446647917</v>
      </c>
      <c r="AO3722" s="196">
        <f t="shared" ca="1" si="825"/>
        <v>862933.29618595797</v>
      </c>
    </row>
    <row r="3723" spans="1:41">
      <c r="A3723" s="189">
        <v>42421</v>
      </c>
      <c r="B3723" s="190">
        <v>3</v>
      </c>
      <c r="C3723" s="191" t="s">
        <v>221</v>
      </c>
      <c r="D3723" s="192">
        <f t="shared" si="812"/>
        <v>0</v>
      </c>
      <c r="E3723" s="192">
        <f t="shared" si="813"/>
        <v>0</v>
      </c>
      <c r="F3723" s="192">
        <f t="shared" si="814"/>
        <v>0</v>
      </c>
      <c r="G3723" s="193">
        <f t="shared" si="815"/>
        <v>0</v>
      </c>
      <c r="H3723" s="194">
        <v>0</v>
      </c>
      <c r="I3723" s="194">
        <v>0</v>
      </c>
      <c r="J3723" s="194">
        <v>0</v>
      </c>
      <c r="K3723" s="193">
        <f t="shared" si="816"/>
        <v>0</v>
      </c>
      <c r="L3723" s="194">
        <v>0</v>
      </c>
      <c r="M3723" s="194">
        <v>0</v>
      </c>
      <c r="N3723" s="194">
        <v>0</v>
      </c>
      <c r="O3723" s="193">
        <f t="shared" si="817"/>
        <v>0</v>
      </c>
      <c r="P3723" s="194">
        <v>0</v>
      </c>
      <c r="Q3723" s="194">
        <v>0</v>
      </c>
      <c r="R3723" s="194">
        <v>0</v>
      </c>
      <c r="S3723" s="193">
        <f t="shared" si="818"/>
        <v>0</v>
      </c>
      <c r="T3723" s="193">
        <f t="shared" si="819"/>
        <v>0</v>
      </c>
      <c r="U3723" s="193">
        <f ca="1">OFFSET('Expenditure Study'!$B$7,'Operations Support'!$C3723,'Operations Support'!$B3723)*$G3723</f>
        <v>0</v>
      </c>
      <c r="V3723" s="199">
        <f ca="1">U3723*'Expenditure Study'!$B$31</f>
        <v>0</v>
      </c>
      <c r="W3723" s="199">
        <f ca="1">IF(A3723=10298,1.51,1)*IF($B3723&lt;3,$D3723*'Expenditure Study'!$B$32*OFFSET('Expenditure Study'!$B$7,'Operations Support'!$C3723,'Operations Support'!$B3723),0)</f>
        <v>0</v>
      </c>
      <c r="X3723" s="200">
        <f ca="1">W3723*'Expenditure Study'!$B$31</f>
        <v>0</v>
      </c>
      <c r="Y3723" s="199">
        <f ca="1">U3723*'Expenditure Study'!$B$31</f>
        <v>0</v>
      </c>
      <c r="Z3723" s="200">
        <f ca="1">W3723*'Expenditure Study'!$B$31</f>
        <v>0</v>
      </c>
      <c r="AA3723" s="195">
        <f t="shared" ca="1" si="820"/>
        <v>0</v>
      </c>
      <c r="AB3723" s="195">
        <f t="shared" ca="1" si="821"/>
        <v>0</v>
      </c>
      <c r="AD3723" s="196">
        <f>IFERROR($G3723/SUMIF($A:$A,$A3723,$G:$G)*SUMIF(Summary!$A$166:$A$242,$A3723,Summary!$P$166:$P$242),0)</f>
        <v>0</v>
      </c>
      <c r="AE3723" s="197">
        <f t="shared" ca="1" si="822"/>
        <v>0</v>
      </c>
      <c r="AF3723" s="196">
        <f>IFERROR(G3723/SUMIF(A:A,A3723,G:G)*SUMIF(Summary!$A$166:$A$242,'Operations Support'!A3723,Summary!$Q$166:$Q$242),0)</f>
        <v>0</v>
      </c>
      <c r="AG3723" s="196">
        <f t="shared" ca="1" si="823"/>
        <v>0</v>
      </c>
      <c r="AI3723" s="196">
        <f>IFERROR($G3723/SUMIF($A:$A,$A3723,$G:$G)*SUMIF(Summary!$A$247:$A$283,$A3723,Summary!$P$247:$P$283),0)</f>
        <v>0</v>
      </c>
      <c r="AJ3723" s="196">
        <f>IFERROR($G3723/SUMIF($A:$A,$A3723,$G:$G)*(SUMIF(Summary!$A$247:$A$283,$A3723,Summary!$L$247:$L$283)+SUMIF(Summary!$A$297:$A$333,$A3723,Summary!$L$297:$L$333))-AI3723,0)</f>
        <v>0</v>
      </c>
      <c r="AK3723" s="196">
        <f>IFERROR($G3723/SUMIF($A:$A,$A3723,$G:$G)*SUMIF(Summary!$A$247:$A$283,$A3723,Summary!$Q$247:$Q$283),0)</f>
        <v>0</v>
      </c>
      <c r="AL3723" s="196">
        <f>IFERROR($G3723/SUMIF($A:$A,$A3723,$G:$G)*(SUMIF(Summary!$A$247:$A$283,$A3723,Summary!$L$247:$L$283)+SUMIF(Summary!$A$297:$A$333,$A3723,Summary!$L$297:$L$333))-AK3723,0)</f>
        <v>0</v>
      </c>
      <c r="AM3723" s="198"/>
      <c r="AN3723" s="196">
        <f t="shared" ca="1" si="824"/>
        <v>0</v>
      </c>
      <c r="AO3723" s="196">
        <f t="shared" ca="1" si="825"/>
        <v>0</v>
      </c>
    </row>
    <row r="3724" spans="1:41">
      <c r="A3724" s="189">
        <v>42421</v>
      </c>
      <c r="B3724" s="190">
        <v>3</v>
      </c>
      <c r="C3724" s="191" t="s">
        <v>222</v>
      </c>
      <c r="D3724" s="192">
        <f t="shared" si="812"/>
        <v>0</v>
      </c>
      <c r="E3724" s="192">
        <f t="shared" si="813"/>
        <v>0</v>
      </c>
      <c r="F3724" s="192">
        <f t="shared" si="814"/>
        <v>0</v>
      </c>
      <c r="G3724" s="193">
        <f t="shared" si="815"/>
        <v>0</v>
      </c>
      <c r="H3724" s="194">
        <v>0</v>
      </c>
      <c r="I3724" s="194">
        <v>0</v>
      </c>
      <c r="J3724" s="194">
        <v>0</v>
      </c>
      <c r="K3724" s="193">
        <f t="shared" si="816"/>
        <v>0</v>
      </c>
      <c r="L3724" s="194">
        <v>0</v>
      </c>
      <c r="M3724" s="194">
        <v>0</v>
      </c>
      <c r="N3724" s="194">
        <v>0</v>
      </c>
      <c r="O3724" s="193">
        <f t="shared" si="817"/>
        <v>0</v>
      </c>
      <c r="P3724" s="194">
        <v>0</v>
      </c>
      <c r="Q3724" s="194">
        <v>0</v>
      </c>
      <c r="R3724" s="194">
        <v>0</v>
      </c>
      <c r="S3724" s="193">
        <f t="shared" si="818"/>
        <v>0</v>
      </c>
      <c r="T3724" s="193">
        <f t="shared" si="819"/>
        <v>0</v>
      </c>
      <c r="U3724" s="193">
        <f ca="1">OFFSET('Expenditure Study'!$B$7,'Operations Support'!$C3724,'Operations Support'!$B3724)*$G3724</f>
        <v>0</v>
      </c>
      <c r="V3724" s="199">
        <f ca="1">U3724*'Expenditure Study'!$B$31</f>
        <v>0</v>
      </c>
      <c r="W3724" s="199">
        <f ca="1">IF(A3724=10298,1.51,1)*IF($B3724&lt;3,$D3724*'Expenditure Study'!$B$32*OFFSET('Expenditure Study'!$B$7,'Operations Support'!$C3724,'Operations Support'!$B3724),0)</f>
        <v>0</v>
      </c>
      <c r="X3724" s="200">
        <f ca="1">W3724*'Expenditure Study'!$B$31</f>
        <v>0</v>
      </c>
      <c r="Y3724" s="199">
        <f ca="1">U3724*'Expenditure Study'!$B$31</f>
        <v>0</v>
      </c>
      <c r="Z3724" s="200">
        <f ca="1">W3724*'Expenditure Study'!$B$31</f>
        <v>0</v>
      </c>
      <c r="AA3724" s="195">
        <f t="shared" ca="1" si="820"/>
        <v>0</v>
      </c>
      <c r="AB3724" s="195">
        <f t="shared" ca="1" si="821"/>
        <v>0</v>
      </c>
      <c r="AD3724" s="196">
        <f>IFERROR($G3724/SUMIF($A:$A,$A3724,$G:$G)*SUMIF(Summary!$A$166:$A$242,$A3724,Summary!$P$166:$P$242),0)</f>
        <v>0</v>
      </c>
      <c r="AE3724" s="197">
        <f t="shared" ca="1" si="822"/>
        <v>0</v>
      </c>
      <c r="AF3724" s="196">
        <f>IFERROR(G3724/SUMIF(A:A,A3724,G:G)*SUMIF(Summary!$A$166:$A$242,'Operations Support'!A3724,Summary!$Q$166:$Q$242),0)</f>
        <v>0</v>
      </c>
      <c r="AG3724" s="196">
        <f t="shared" ca="1" si="823"/>
        <v>0</v>
      </c>
      <c r="AI3724" s="196">
        <f>IFERROR($G3724/SUMIF($A:$A,$A3724,$G:$G)*SUMIF(Summary!$A$247:$A$283,$A3724,Summary!$P$247:$P$283),0)</f>
        <v>0</v>
      </c>
      <c r="AJ3724" s="196">
        <f>IFERROR($G3724/SUMIF($A:$A,$A3724,$G:$G)*(SUMIF(Summary!$A$247:$A$283,$A3724,Summary!$L$247:$L$283)+SUMIF(Summary!$A$297:$A$333,$A3724,Summary!$L$297:$L$333))-AI3724,0)</f>
        <v>0</v>
      </c>
      <c r="AK3724" s="196">
        <f>IFERROR($G3724/SUMIF($A:$A,$A3724,$G:$G)*SUMIF(Summary!$A$247:$A$283,$A3724,Summary!$Q$247:$Q$283),0)</f>
        <v>0</v>
      </c>
      <c r="AL3724" s="196">
        <f>IFERROR($G3724/SUMIF($A:$A,$A3724,$G:$G)*(SUMIF(Summary!$A$247:$A$283,$A3724,Summary!$L$247:$L$283)+SUMIF(Summary!$A$297:$A$333,$A3724,Summary!$L$297:$L$333))-AK3724,0)</f>
        <v>0</v>
      </c>
      <c r="AM3724" s="198"/>
      <c r="AN3724" s="196">
        <f t="shared" ca="1" si="824"/>
        <v>0</v>
      </c>
      <c r="AO3724" s="196">
        <f t="shared" ca="1" si="825"/>
        <v>0</v>
      </c>
    </row>
    <row r="3725" spans="1:41">
      <c r="A3725" s="189">
        <v>42421</v>
      </c>
      <c r="B3725" s="190">
        <v>3</v>
      </c>
      <c r="C3725" s="191" t="s">
        <v>223</v>
      </c>
      <c r="D3725" s="192">
        <f t="shared" si="812"/>
        <v>162</v>
      </c>
      <c r="E3725" s="192">
        <f t="shared" si="813"/>
        <v>1074</v>
      </c>
      <c r="F3725" s="192">
        <f t="shared" si="814"/>
        <v>0</v>
      </c>
      <c r="G3725" s="193">
        <f t="shared" si="815"/>
        <v>1236</v>
      </c>
      <c r="H3725" s="194">
        <v>96</v>
      </c>
      <c r="I3725" s="194">
        <v>327</v>
      </c>
      <c r="J3725" s="194">
        <v>0</v>
      </c>
      <c r="K3725" s="193">
        <f t="shared" si="816"/>
        <v>423</v>
      </c>
      <c r="L3725" s="194">
        <v>36</v>
      </c>
      <c r="M3725" s="194">
        <v>252</v>
      </c>
      <c r="N3725" s="194">
        <v>0</v>
      </c>
      <c r="O3725" s="193">
        <f t="shared" si="817"/>
        <v>288</v>
      </c>
      <c r="P3725" s="194">
        <v>30</v>
      </c>
      <c r="Q3725" s="194">
        <v>495</v>
      </c>
      <c r="R3725" s="194">
        <v>0</v>
      </c>
      <c r="S3725" s="193">
        <f t="shared" si="818"/>
        <v>525</v>
      </c>
      <c r="T3725" s="193">
        <f t="shared" si="819"/>
        <v>51.5</v>
      </c>
      <c r="U3725" s="193">
        <f ca="1">OFFSET('Expenditure Study'!$B$7,'Operations Support'!$C3725,'Operations Support'!$B3725)*$G3725</f>
        <v>2768.6400000000003</v>
      </c>
      <c r="V3725" s="199">
        <f ca="1">U3725*'Expenditure Study'!$B$31</f>
        <v>163580.05769011201</v>
      </c>
      <c r="W3725" s="199">
        <f ca="1">IF(A3725=10298,1.51,1)*IF($B3725&lt;3,$D3725*'Expenditure Study'!$B$32*OFFSET('Expenditure Study'!$B$7,'Operations Support'!$C3725,'Operations Support'!$B3725),0)</f>
        <v>0</v>
      </c>
      <c r="X3725" s="200">
        <f ca="1">W3725*'Expenditure Study'!$B$31</f>
        <v>0</v>
      </c>
      <c r="Y3725" s="199">
        <f ca="1">U3725*'Expenditure Study'!$B$31</f>
        <v>163580.05769011201</v>
      </c>
      <c r="Z3725" s="200">
        <f ca="1">W3725*'Expenditure Study'!$B$31</f>
        <v>0</v>
      </c>
      <c r="AA3725" s="195">
        <f t="shared" ca="1" si="820"/>
        <v>163580.05769011201</v>
      </c>
      <c r="AB3725" s="195">
        <f t="shared" ca="1" si="821"/>
        <v>163580.05769011201</v>
      </c>
      <c r="AD3725" s="196">
        <f>IFERROR($G3725/SUMIF($A:$A,$A3725,$G:$G)*SUMIF(Summary!$A$166:$A$242,$A3725,Summary!$P$166:$P$242),0)</f>
        <v>25188.827272277158</v>
      </c>
      <c r="AE3725" s="197">
        <f t="shared" ca="1" si="822"/>
        <v>138391.23041783486</v>
      </c>
      <c r="AF3725" s="196">
        <f>IFERROR(G3725/SUMIF(A:A,A3725,G:G)*SUMIF(Summary!$A$166:$A$242,'Operations Support'!A3725,Summary!$Q$166:$Q$242),0)</f>
        <v>25204.679055738321</v>
      </c>
      <c r="AG3725" s="196">
        <f t="shared" ca="1" si="823"/>
        <v>138375.37863437369</v>
      </c>
      <c r="AI3725" s="196">
        <f>IFERROR($G3725/SUMIF($A:$A,$A3725,$G:$G)*SUMIF(Summary!$A$247:$A$283,$A3725,Summary!$P$247:$P$283),0)</f>
        <v>4593.8135142855399</v>
      </c>
      <c r="AJ3725" s="196">
        <f>IFERROR($G3725/SUMIF($A:$A,$A3725,$G:$G)*(SUMIF(Summary!$A$247:$A$283,$A3725,Summary!$L$247:$L$283)+SUMIF(Summary!$A$297:$A$333,$A3725,Summary!$L$297:$L$333))-AI3725,0)</f>
        <v>40379.05322228188</v>
      </c>
      <c r="AK3725" s="196">
        <f>IFERROR($G3725/SUMIF($A:$A,$A3725,$G:$G)*SUMIF(Summary!$A$247:$A$283,$A3725,Summary!$Q$247:$Q$283),0)</f>
        <v>4596.7044840120088</v>
      </c>
      <c r="AL3725" s="196">
        <f>IFERROR($G3725/SUMIF($A:$A,$A3725,$G:$G)*(SUMIF(Summary!$A$247:$A$283,$A3725,Summary!$L$247:$L$283)+SUMIF(Summary!$A$297:$A$333,$A3725,Summary!$L$297:$L$333))-AK3725,0)</f>
        <v>40376.162252555412</v>
      </c>
      <c r="AM3725" s="198"/>
      <c r="AN3725" s="196">
        <f t="shared" ca="1" si="824"/>
        <v>178770.28364011674</v>
      </c>
      <c r="AO3725" s="196">
        <f t="shared" ca="1" si="825"/>
        <v>178751.54088692908</v>
      </c>
    </row>
    <row r="3726" spans="1:41">
      <c r="A3726" s="189">
        <v>42421</v>
      </c>
      <c r="B3726" s="190">
        <v>3</v>
      </c>
      <c r="C3726" s="191" t="s">
        <v>224</v>
      </c>
      <c r="D3726" s="192">
        <f t="shared" si="812"/>
        <v>0</v>
      </c>
      <c r="E3726" s="192">
        <f t="shared" si="813"/>
        <v>0</v>
      </c>
      <c r="F3726" s="192">
        <f t="shared" si="814"/>
        <v>0</v>
      </c>
      <c r="G3726" s="193">
        <f t="shared" si="815"/>
        <v>0</v>
      </c>
      <c r="H3726" s="194">
        <v>0</v>
      </c>
      <c r="I3726" s="194">
        <v>0</v>
      </c>
      <c r="J3726" s="194">
        <v>0</v>
      </c>
      <c r="K3726" s="193">
        <f t="shared" si="816"/>
        <v>0</v>
      </c>
      <c r="L3726" s="194">
        <v>0</v>
      </c>
      <c r="M3726" s="194">
        <v>0</v>
      </c>
      <c r="N3726" s="194">
        <v>0</v>
      </c>
      <c r="O3726" s="193">
        <f t="shared" si="817"/>
        <v>0</v>
      </c>
      <c r="P3726" s="194">
        <v>0</v>
      </c>
      <c r="Q3726" s="194">
        <v>0</v>
      </c>
      <c r="R3726" s="194">
        <v>0</v>
      </c>
      <c r="S3726" s="193">
        <f t="shared" si="818"/>
        <v>0</v>
      </c>
      <c r="T3726" s="193">
        <f t="shared" si="819"/>
        <v>0</v>
      </c>
      <c r="U3726" s="193">
        <f ca="1">OFFSET('Expenditure Study'!$B$7,'Operations Support'!$C3726,'Operations Support'!$B3726)*$G3726</f>
        <v>0</v>
      </c>
      <c r="V3726" s="199">
        <f ca="1">U3726*'Expenditure Study'!$B$31</f>
        <v>0</v>
      </c>
      <c r="W3726" s="199">
        <f ca="1">IF(A3726=10298,1.51,1)*IF($B3726&lt;3,$D3726*'Expenditure Study'!$B$32*OFFSET('Expenditure Study'!$B$7,'Operations Support'!$C3726,'Operations Support'!$B3726),0)</f>
        <v>0</v>
      </c>
      <c r="X3726" s="200">
        <f ca="1">W3726*'Expenditure Study'!$B$31</f>
        <v>0</v>
      </c>
      <c r="Y3726" s="199">
        <f ca="1">U3726*'Expenditure Study'!$B$31</f>
        <v>0</v>
      </c>
      <c r="Z3726" s="200">
        <f ca="1">W3726*'Expenditure Study'!$B$31</f>
        <v>0</v>
      </c>
      <c r="AA3726" s="195">
        <f t="shared" ca="1" si="820"/>
        <v>0</v>
      </c>
      <c r="AB3726" s="195">
        <f t="shared" ca="1" si="821"/>
        <v>0</v>
      </c>
      <c r="AD3726" s="196">
        <f>IFERROR($G3726/SUMIF($A:$A,$A3726,$G:$G)*SUMIF(Summary!$A$166:$A$242,$A3726,Summary!$P$166:$P$242),0)</f>
        <v>0</v>
      </c>
      <c r="AE3726" s="197">
        <f t="shared" ca="1" si="822"/>
        <v>0</v>
      </c>
      <c r="AF3726" s="196">
        <f>IFERROR(G3726/SUMIF(A:A,A3726,G:G)*SUMIF(Summary!$A$166:$A$242,'Operations Support'!A3726,Summary!$Q$166:$Q$242),0)</f>
        <v>0</v>
      </c>
      <c r="AG3726" s="196">
        <f t="shared" ca="1" si="823"/>
        <v>0</v>
      </c>
      <c r="AI3726" s="196">
        <f>IFERROR($G3726/SUMIF($A:$A,$A3726,$G:$G)*SUMIF(Summary!$A$247:$A$283,$A3726,Summary!$P$247:$P$283),0)</f>
        <v>0</v>
      </c>
      <c r="AJ3726" s="196">
        <f>IFERROR($G3726/SUMIF($A:$A,$A3726,$G:$G)*(SUMIF(Summary!$A$247:$A$283,$A3726,Summary!$L$247:$L$283)+SUMIF(Summary!$A$297:$A$333,$A3726,Summary!$L$297:$L$333))-AI3726,0)</f>
        <v>0</v>
      </c>
      <c r="AK3726" s="196">
        <f>IFERROR($G3726/SUMIF($A:$A,$A3726,$G:$G)*SUMIF(Summary!$A$247:$A$283,$A3726,Summary!$Q$247:$Q$283),0)</f>
        <v>0</v>
      </c>
      <c r="AL3726" s="196">
        <f>IFERROR($G3726/SUMIF($A:$A,$A3726,$G:$G)*(SUMIF(Summary!$A$247:$A$283,$A3726,Summary!$L$247:$L$283)+SUMIF(Summary!$A$297:$A$333,$A3726,Summary!$L$297:$L$333))-AK3726,0)</f>
        <v>0</v>
      </c>
      <c r="AM3726" s="198"/>
      <c r="AN3726" s="196">
        <f t="shared" ca="1" si="824"/>
        <v>0</v>
      </c>
      <c r="AO3726" s="196">
        <f t="shared" ca="1" si="825"/>
        <v>0</v>
      </c>
    </row>
    <row r="3727" spans="1:41">
      <c r="A3727" s="189">
        <v>42421</v>
      </c>
      <c r="B3727" s="190">
        <v>3</v>
      </c>
      <c r="C3727" s="191" t="s">
        <v>225</v>
      </c>
      <c r="D3727" s="192">
        <f t="shared" si="812"/>
        <v>0</v>
      </c>
      <c r="E3727" s="192">
        <f t="shared" si="813"/>
        <v>0</v>
      </c>
      <c r="F3727" s="192">
        <f t="shared" si="814"/>
        <v>0</v>
      </c>
      <c r="G3727" s="193">
        <f t="shared" si="815"/>
        <v>0</v>
      </c>
      <c r="H3727" s="194">
        <v>0</v>
      </c>
      <c r="I3727" s="194">
        <v>0</v>
      </c>
      <c r="J3727" s="194">
        <v>0</v>
      </c>
      <c r="K3727" s="193">
        <f t="shared" si="816"/>
        <v>0</v>
      </c>
      <c r="L3727" s="194">
        <v>0</v>
      </c>
      <c r="M3727" s="194">
        <v>0</v>
      </c>
      <c r="N3727" s="194">
        <v>0</v>
      </c>
      <c r="O3727" s="193">
        <f t="shared" si="817"/>
        <v>0</v>
      </c>
      <c r="P3727" s="194">
        <v>0</v>
      </c>
      <c r="Q3727" s="194">
        <v>0</v>
      </c>
      <c r="R3727" s="194">
        <v>0</v>
      </c>
      <c r="S3727" s="193">
        <f t="shared" si="818"/>
        <v>0</v>
      </c>
      <c r="T3727" s="193">
        <f t="shared" si="819"/>
        <v>0</v>
      </c>
      <c r="U3727" s="193">
        <f ca="1">OFFSET('Expenditure Study'!$B$7,'Operations Support'!$C3727,'Operations Support'!$B3727)*$G3727</f>
        <v>0</v>
      </c>
      <c r="V3727" s="199">
        <f ca="1">U3727*'Expenditure Study'!$B$31</f>
        <v>0</v>
      </c>
      <c r="W3727" s="199">
        <f ca="1">IF(A3727=10298,1.51,1)*IF($B3727&lt;3,$D3727*'Expenditure Study'!$B$32*OFFSET('Expenditure Study'!$B$7,'Operations Support'!$C3727,'Operations Support'!$B3727),0)</f>
        <v>0</v>
      </c>
      <c r="X3727" s="200">
        <f ca="1">W3727*'Expenditure Study'!$B$31</f>
        <v>0</v>
      </c>
      <c r="Y3727" s="199">
        <f ca="1">U3727*'Expenditure Study'!$B$31</f>
        <v>0</v>
      </c>
      <c r="Z3727" s="200">
        <f ca="1">W3727*'Expenditure Study'!$B$31</f>
        <v>0</v>
      </c>
      <c r="AA3727" s="195">
        <f t="shared" ca="1" si="820"/>
        <v>0</v>
      </c>
      <c r="AB3727" s="195">
        <f t="shared" ca="1" si="821"/>
        <v>0</v>
      </c>
      <c r="AD3727" s="196">
        <f>IFERROR($G3727/SUMIF($A:$A,$A3727,$G:$G)*SUMIF(Summary!$A$166:$A$242,$A3727,Summary!$P$166:$P$242),0)</f>
        <v>0</v>
      </c>
      <c r="AE3727" s="197">
        <f t="shared" ca="1" si="822"/>
        <v>0</v>
      </c>
      <c r="AF3727" s="196">
        <f>IFERROR(G3727/SUMIF(A:A,A3727,G:G)*SUMIF(Summary!$A$166:$A$242,'Operations Support'!A3727,Summary!$Q$166:$Q$242),0)</f>
        <v>0</v>
      </c>
      <c r="AG3727" s="196">
        <f t="shared" ca="1" si="823"/>
        <v>0</v>
      </c>
      <c r="AI3727" s="196">
        <f>IFERROR($G3727/SUMIF($A:$A,$A3727,$G:$G)*SUMIF(Summary!$A$247:$A$283,$A3727,Summary!$P$247:$P$283),0)</f>
        <v>0</v>
      </c>
      <c r="AJ3727" s="196">
        <f>IFERROR($G3727/SUMIF($A:$A,$A3727,$G:$G)*(SUMIF(Summary!$A$247:$A$283,$A3727,Summary!$L$247:$L$283)+SUMIF(Summary!$A$297:$A$333,$A3727,Summary!$L$297:$L$333))-AI3727,0)</f>
        <v>0</v>
      </c>
      <c r="AK3727" s="196">
        <f>IFERROR($G3727/SUMIF($A:$A,$A3727,$G:$G)*SUMIF(Summary!$A$247:$A$283,$A3727,Summary!$Q$247:$Q$283),0)</f>
        <v>0</v>
      </c>
      <c r="AL3727" s="196">
        <f>IFERROR($G3727/SUMIF($A:$A,$A3727,$G:$G)*(SUMIF(Summary!$A$247:$A$283,$A3727,Summary!$L$247:$L$283)+SUMIF(Summary!$A$297:$A$333,$A3727,Summary!$L$297:$L$333))-AK3727,0)</f>
        <v>0</v>
      </c>
      <c r="AM3727" s="198"/>
      <c r="AN3727" s="196">
        <f t="shared" ca="1" si="824"/>
        <v>0</v>
      </c>
      <c r="AO3727" s="196">
        <f t="shared" ca="1" si="825"/>
        <v>0</v>
      </c>
    </row>
    <row r="3728" spans="1:41">
      <c r="A3728" s="189">
        <v>42421</v>
      </c>
      <c r="B3728" s="190">
        <v>3</v>
      </c>
      <c r="C3728" s="191" t="s">
        <v>226</v>
      </c>
      <c r="D3728" s="192">
        <f t="shared" si="812"/>
        <v>0</v>
      </c>
      <c r="E3728" s="192">
        <f t="shared" si="813"/>
        <v>0</v>
      </c>
      <c r="F3728" s="192">
        <f t="shared" si="814"/>
        <v>0</v>
      </c>
      <c r="G3728" s="193">
        <f t="shared" si="815"/>
        <v>0</v>
      </c>
      <c r="H3728" s="194">
        <v>0</v>
      </c>
      <c r="I3728" s="194">
        <v>0</v>
      </c>
      <c r="J3728" s="194">
        <v>0</v>
      </c>
      <c r="K3728" s="193">
        <f t="shared" si="816"/>
        <v>0</v>
      </c>
      <c r="L3728" s="194">
        <v>0</v>
      </c>
      <c r="M3728" s="194">
        <v>0</v>
      </c>
      <c r="N3728" s="194">
        <v>0</v>
      </c>
      <c r="O3728" s="193">
        <f t="shared" si="817"/>
        <v>0</v>
      </c>
      <c r="P3728" s="194">
        <v>0</v>
      </c>
      <c r="Q3728" s="194">
        <v>0</v>
      </c>
      <c r="R3728" s="194">
        <v>0</v>
      </c>
      <c r="S3728" s="193">
        <f t="shared" si="818"/>
        <v>0</v>
      </c>
      <c r="T3728" s="193">
        <f t="shared" si="819"/>
        <v>0</v>
      </c>
      <c r="U3728" s="193">
        <f ca="1">OFFSET('Expenditure Study'!$B$7,'Operations Support'!$C3728,'Operations Support'!$B3728)*$G3728</f>
        <v>0</v>
      </c>
      <c r="V3728" s="199">
        <f ca="1">U3728*'Expenditure Study'!$B$31</f>
        <v>0</v>
      </c>
      <c r="W3728" s="199">
        <f ca="1">IF(A3728=10298,1.51,1)*IF($B3728&lt;3,$D3728*'Expenditure Study'!$B$32*OFFSET('Expenditure Study'!$B$7,'Operations Support'!$C3728,'Operations Support'!$B3728),0)</f>
        <v>0</v>
      </c>
      <c r="X3728" s="200">
        <f ca="1">W3728*'Expenditure Study'!$B$31</f>
        <v>0</v>
      </c>
      <c r="Y3728" s="199">
        <f ca="1">U3728*'Expenditure Study'!$B$31</f>
        <v>0</v>
      </c>
      <c r="Z3728" s="200">
        <f ca="1">W3728*'Expenditure Study'!$B$31</f>
        <v>0</v>
      </c>
      <c r="AA3728" s="195">
        <f t="shared" ca="1" si="820"/>
        <v>0</v>
      </c>
      <c r="AB3728" s="195">
        <f t="shared" ca="1" si="821"/>
        <v>0</v>
      </c>
      <c r="AD3728" s="196">
        <f>IFERROR($G3728/SUMIF($A:$A,$A3728,$G:$G)*SUMIF(Summary!$A$166:$A$242,$A3728,Summary!$P$166:$P$242),0)</f>
        <v>0</v>
      </c>
      <c r="AE3728" s="197">
        <f t="shared" ca="1" si="822"/>
        <v>0</v>
      </c>
      <c r="AF3728" s="196">
        <f>IFERROR(G3728/SUMIF(A:A,A3728,G:G)*SUMIF(Summary!$A$166:$A$242,'Operations Support'!A3728,Summary!$Q$166:$Q$242),0)</f>
        <v>0</v>
      </c>
      <c r="AG3728" s="196">
        <f t="shared" ca="1" si="823"/>
        <v>0</v>
      </c>
      <c r="AI3728" s="196">
        <f>IFERROR($G3728/SUMIF($A:$A,$A3728,$G:$G)*SUMIF(Summary!$A$247:$A$283,$A3728,Summary!$P$247:$P$283),0)</f>
        <v>0</v>
      </c>
      <c r="AJ3728" s="196">
        <f>IFERROR($G3728/SUMIF($A:$A,$A3728,$G:$G)*(SUMIF(Summary!$A$247:$A$283,$A3728,Summary!$L$247:$L$283)+SUMIF(Summary!$A$297:$A$333,$A3728,Summary!$L$297:$L$333))-AI3728,0)</f>
        <v>0</v>
      </c>
      <c r="AK3728" s="196">
        <f>IFERROR($G3728/SUMIF($A:$A,$A3728,$G:$G)*SUMIF(Summary!$A$247:$A$283,$A3728,Summary!$Q$247:$Q$283),0)</f>
        <v>0</v>
      </c>
      <c r="AL3728" s="196">
        <f>IFERROR($G3728/SUMIF($A:$A,$A3728,$G:$G)*(SUMIF(Summary!$A$247:$A$283,$A3728,Summary!$L$247:$L$283)+SUMIF(Summary!$A$297:$A$333,$A3728,Summary!$L$297:$L$333))-AK3728,0)</f>
        <v>0</v>
      </c>
      <c r="AM3728" s="198"/>
      <c r="AN3728" s="196">
        <f t="shared" ca="1" si="824"/>
        <v>0</v>
      </c>
      <c r="AO3728" s="196">
        <f t="shared" ca="1" si="825"/>
        <v>0</v>
      </c>
    </row>
    <row r="3729" spans="1:41">
      <c r="A3729" s="189">
        <v>42421</v>
      </c>
      <c r="B3729" s="190">
        <v>3</v>
      </c>
      <c r="C3729" s="191" t="s">
        <v>227</v>
      </c>
      <c r="D3729" s="192">
        <f t="shared" si="812"/>
        <v>0</v>
      </c>
      <c r="E3729" s="192">
        <f t="shared" si="813"/>
        <v>0</v>
      </c>
      <c r="F3729" s="192">
        <f t="shared" si="814"/>
        <v>0</v>
      </c>
      <c r="G3729" s="193">
        <f t="shared" si="815"/>
        <v>0</v>
      </c>
      <c r="H3729" s="194">
        <v>0</v>
      </c>
      <c r="I3729" s="194">
        <v>0</v>
      </c>
      <c r="J3729" s="194">
        <v>0</v>
      </c>
      <c r="K3729" s="193">
        <f t="shared" si="816"/>
        <v>0</v>
      </c>
      <c r="L3729" s="194">
        <v>0</v>
      </c>
      <c r="M3729" s="194">
        <v>0</v>
      </c>
      <c r="N3729" s="194">
        <v>0</v>
      </c>
      <c r="O3729" s="193">
        <f t="shared" si="817"/>
        <v>0</v>
      </c>
      <c r="P3729" s="194">
        <v>0</v>
      </c>
      <c r="Q3729" s="194">
        <v>0</v>
      </c>
      <c r="R3729" s="194">
        <v>0</v>
      </c>
      <c r="S3729" s="193">
        <f t="shared" si="818"/>
        <v>0</v>
      </c>
      <c r="T3729" s="193">
        <f t="shared" si="819"/>
        <v>0</v>
      </c>
      <c r="U3729" s="193">
        <f ca="1">OFFSET('Expenditure Study'!$B$7,'Operations Support'!$C3729,'Operations Support'!$B3729)*$G3729</f>
        <v>0</v>
      </c>
      <c r="V3729" s="199">
        <f ca="1">U3729*'Expenditure Study'!$B$31</f>
        <v>0</v>
      </c>
      <c r="W3729" s="199">
        <f ca="1">IF(A3729=10298,1.51,1)*IF($B3729&lt;3,$D3729*'Expenditure Study'!$B$32*OFFSET('Expenditure Study'!$B$7,'Operations Support'!$C3729,'Operations Support'!$B3729),0)</f>
        <v>0</v>
      </c>
      <c r="X3729" s="200">
        <f ca="1">W3729*'Expenditure Study'!$B$31</f>
        <v>0</v>
      </c>
      <c r="Y3729" s="199">
        <f ca="1">U3729*'Expenditure Study'!$B$31</f>
        <v>0</v>
      </c>
      <c r="Z3729" s="200">
        <f ca="1">W3729*'Expenditure Study'!$B$31</f>
        <v>0</v>
      </c>
      <c r="AA3729" s="195">
        <f t="shared" ca="1" si="820"/>
        <v>0</v>
      </c>
      <c r="AB3729" s="195">
        <f t="shared" ca="1" si="821"/>
        <v>0</v>
      </c>
      <c r="AD3729" s="196">
        <f>IFERROR($G3729/SUMIF($A:$A,$A3729,$G:$G)*SUMIF(Summary!$A$166:$A$242,$A3729,Summary!$P$166:$P$242),0)</f>
        <v>0</v>
      </c>
      <c r="AE3729" s="197">
        <f t="shared" ca="1" si="822"/>
        <v>0</v>
      </c>
      <c r="AF3729" s="196">
        <f>IFERROR(G3729/SUMIF(A:A,A3729,G:G)*SUMIF(Summary!$A$166:$A$242,'Operations Support'!A3729,Summary!$Q$166:$Q$242),0)</f>
        <v>0</v>
      </c>
      <c r="AG3729" s="196">
        <f t="shared" ca="1" si="823"/>
        <v>0</v>
      </c>
      <c r="AI3729" s="196">
        <f>IFERROR($G3729/SUMIF($A:$A,$A3729,$G:$G)*SUMIF(Summary!$A$247:$A$283,$A3729,Summary!$P$247:$P$283),0)</f>
        <v>0</v>
      </c>
      <c r="AJ3729" s="196">
        <f>IFERROR($G3729/SUMIF($A:$A,$A3729,$G:$G)*(SUMIF(Summary!$A$247:$A$283,$A3729,Summary!$L$247:$L$283)+SUMIF(Summary!$A$297:$A$333,$A3729,Summary!$L$297:$L$333))-AI3729,0)</f>
        <v>0</v>
      </c>
      <c r="AK3729" s="196">
        <f>IFERROR($G3729/SUMIF($A:$A,$A3729,$G:$G)*SUMIF(Summary!$A$247:$A$283,$A3729,Summary!$Q$247:$Q$283),0)</f>
        <v>0</v>
      </c>
      <c r="AL3729" s="196">
        <f>IFERROR($G3729/SUMIF($A:$A,$A3729,$G:$G)*(SUMIF(Summary!$A$247:$A$283,$A3729,Summary!$L$247:$L$283)+SUMIF(Summary!$A$297:$A$333,$A3729,Summary!$L$297:$L$333))-AK3729,0)</f>
        <v>0</v>
      </c>
      <c r="AM3729" s="198"/>
      <c r="AN3729" s="196">
        <f t="shared" ca="1" si="824"/>
        <v>0</v>
      </c>
      <c r="AO3729" s="196">
        <f t="shared" ca="1" si="825"/>
        <v>0</v>
      </c>
    </row>
    <row r="3730" spans="1:41">
      <c r="A3730" s="189">
        <v>42421</v>
      </c>
      <c r="B3730" s="190">
        <v>3</v>
      </c>
      <c r="C3730" s="191" t="s">
        <v>228</v>
      </c>
      <c r="D3730" s="192">
        <f t="shared" si="812"/>
        <v>0</v>
      </c>
      <c r="E3730" s="192">
        <f t="shared" si="813"/>
        <v>0</v>
      </c>
      <c r="F3730" s="192">
        <f t="shared" si="814"/>
        <v>0</v>
      </c>
      <c r="G3730" s="193">
        <f t="shared" si="815"/>
        <v>0</v>
      </c>
      <c r="H3730" s="194">
        <v>0</v>
      </c>
      <c r="I3730" s="194">
        <v>0</v>
      </c>
      <c r="J3730" s="194">
        <v>0</v>
      </c>
      <c r="K3730" s="193">
        <f t="shared" si="816"/>
        <v>0</v>
      </c>
      <c r="L3730" s="194">
        <v>0</v>
      </c>
      <c r="M3730" s="194">
        <v>0</v>
      </c>
      <c r="N3730" s="194">
        <v>0</v>
      </c>
      <c r="O3730" s="193">
        <f t="shared" si="817"/>
        <v>0</v>
      </c>
      <c r="P3730" s="194">
        <v>0</v>
      </c>
      <c r="Q3730" s="194">
        <v>0</v>
      </c>
      <c r="R3730" s="194">
        <v>0</v>
      </c>
      <c r="S3730" s="193">
        <f t="shared" si="818"/>
        <v>0</v>
      </c>
      <c r="T3730" s="193">
        <f t="shared" si="819"/>
        <v>0</v>
      </c>
      <c r="U3730" s="193">
        <f ca="1">OFFSET('Expenditure Study'!$B$7,'Operations Support'!$C3730,'Operations Support'!$B3730)*$G3730</f>
        <v>0</v>
      </c>
      <c r="V3730" s="199">
        <f ca="1">U3730*'Expenditure Study'!$B$31</f>
        <v>0</v>
      </c>
      <c r="W3730" s="199">
        <f ca="1">IF(A3730=10298,1.51,1)*IF($B3730&lt;3,$D3730*'Expenditure Study'!$B$32*OFFSET('Expenditure Study'!$B$7,'Operations Support'!$C3730,'Operations Support'!$B3730),0)</f>
        <v>0</v>
      </c>
      <c r="X3730" s="200">
        <f ca="1">W3730*'Expenditure Study'!$B$31</f>
        <v>0</v>
      </c>
      <c r="Y3730" s="199">
        <f ca="1">U3730*'Expenditure Study'!$B$31</f>
        <v>0</v>
      </c>
      <c r="Z3730" s="200">
        <f ca="1">W3730*'Expenditure Study'!$B$31</f>
        <v>0</v>
      </c>
      <c r="AA3730" s="195">
        <f t="shared" ca="1" si="820"/>
        <v>0</v>
      </c>
      <c r="AB3730" s="195">
        <f t="shared" ca="1" si="821"/>
        <v>0</v>
      </c>
      <c r="AD3730" s="196">
        <f>IFERROR($G3730/SUMIF($A:$A,$A3730,$G:$G)*SUMIF(Summary!$A$166:$A$242,$A3730,Summary!$P$166:$P$242),0)</f>
        <v>0</v>
      </c>
      <c r="AE3730" s="197">
        <f t="shared" ca="1" si="822"/>
        <v>0</v>
      </c>
      <c r="AF3730" s="196">
        <f>IFERROR(G3730/SUMIF(A:A,A3730,G:G)*SUMIF(Summary!$A$166:$A$242,'Operations Support'!A3730,Summary!$Q$166:$Q$242),0)</f>
        <v>0</v>
      </c>
      <c r="AG3730" s="196">
        <f t="shared" ca="1" si="823"/>
        <v>0</v>
      </c>
      <c r="AI3730" s="196">
        <f>IFERROR($G3730/SUMIF($A:$A,$A3730,$G:$G)*SUMIF(Summary!$A$247:$A$283,$A3730,Summary!$P$247:$P$283),0)</f>
        <v>0</v>
      </c>
      <c r="AJ3730" s="196">
        <f>IFERROR($G3730/SUMIF($A:$A,$A3730,$G:$G)*(SUMIF(Summary!$A$247:$A$283,$A3730,Summary!$L$247:$L$283)+SUMIF(Summary!$A$297:$A$333,$A3730,Summary!$L$297:$L$333))-AI3730,0)</f>
        <v>0</v>
      </c>
      <c r="AK3730" s="196">
        <f>IFERROR($G3730/SUMIF($A:$A,$A3730,$G:$G)*SUMIF(Summary!$A$247:$A$283,$A3730,Summary!$Q$247:$Q$283),0)</f>
        <v>0</v>
      </c>
      <c r="AL3730" s="196">
        <f>IFERROR($G3730/SUMIF($A:$A,$A3730,$G:$G)*(SUMIF(Summary!$A$247:$A$283,$A3730,Summary!$L$247:$L$283)+SUMIF(Summary!$A$297:$A$333,$A3730,Summary!$L$297:$L$333))-AK3730,0)</f>
        <v>0</v>
      </c>
      <c r="AM3730" s="198"/>
      <c r="AN3730" s="196">
        <f t="shared" ca="1" si="824"/>
        <v>0</v>
      </c>
      <c r="AO3730" s="196">
        <f t="shared" ca="1" si="825"/>
        <v>0</v>
      </c>
    </row>
    <row r="3731" spans="1:41">
      <c r="A3731" s="189">
        <v>42421</v>
      </c>
      <c r="B3731" s="190">
        <v>3</v>
      </c>
      <c r="C3731" s="191" t="s">
        <v>229</v>
      </c>
      <c r="D3731" s="192">
        <f t="shared" si="812"/>
        <v>0</v>
      </c>
      <c r="E3731" s="192">
        <f t="shared" si="813"/>
        <v>0</v>
      </c>
      <c r="F3731" s="192">
        <f t="shared" si="814"/>
        <v>0</v>
      </c>
      <c r="G3731" s="193">
        <f t="shared" si="815"/>
        <v>0</v>
      </c>
      <c r="H3731" s="194">
        <v>0</v>
      </c>
      <c r="I3731" s="194">
        <v>0</v>
      </c>
      <c r="J3731" s="194">
        <v>0</v>
      </c>
      <c r="K3731" s="193">
        <f t="shared" si="816"/>
        <v>0</v>
      </c>
      <c r="L3731" s="194">
        <v>0</v>
      </c>
      <c r="M3731" s="194">
        <v>0</v>
      </c>
      <c r="N3731" s="194">
        <v>0</v>
      </c>
      <c r="O3731" s="193">
        <f t="shared" si="817"/>
        <v>0</v>
      </c>
      <c r="P3731" s="194">
        <v>0</v>
      </c>
      <c r="Q3731" s="194">
        <v>0</v>
      </c>
      <c r="R3731" s="194">
        <v>0</v>
      </c>
      <c r="S3731" s="193">
        <f t="shared" si="818"/>
        <v>0</v>
      </c>
      <c r="T3731" s="193">
        <f t="shared" si="819"/>
        <v>0</v>
      </c>
      <c r="U3731" s="193">
        <f ca="1">OFFSET('Expenditure Study'!$B$7,'Operations Support'!$C3731,'Operations Support'!$B3731)*$G3731</f>
        <v>0</v>
      </c>
      <c r="V3731" s="199">
        <f ca="1">U3731*'Expenditure Study'!$B$31</f>
        <v>0</v>
      </c>
      <c r="W3731" s="199">
        <f ca="1">IF(A3731=10298,1.51,1)*IF($B3731&lt;3,$D3731*'Expenditure Study'!$B$32*OFFSET('Expenditure Study'!$B$7,'Operations Support'!$C3731,'Operations Support'!$B3731),0)</f>
        <v>0</v>
      </c>
      <c r="X3731" s="200">
        <f ca="1">W3731*'Expenditure Study'!$B$31</f>
        <v>0</v>
      </c>
      <c r="Y3731" s="199">
        <f ca="1">U3731*'Expenditure Study'!$B$31</f>
        <v>0</v>
      </c>
      <c r="Z3731" s="200">
        <f ca="1">W3731*'Expenditure Study'!$B$31</f>
        <v>0</v>
      </c>
      <c r="AA3731" s="195">
        <f t="shared" ca="1" si="820"/>
        <v>0</v>
      </c>
      <c r="AB3731" s="195">
        <f t="shared" ca="1" si="821"/>
        <v>0</v>
      </c>
      <c r="AD3731" s="196">
        <f>IFERROR($G3731/SUMIF($A:$A,$A3731,$G:$G)*SUMIF(Summary!$A$166:$A$242,$A3731,Summary!$P$166:$P$242),0)</f>
        <v>0</v>
      </c>
      <c r="AE3731" s="197">
        <f t="shared" ca="1" si="822"/>
        <v>0</v>
      </c>
      <c r="AF3731" s="196">
        <f>IFERROR(G3731/SUMIF(A:A,A3731,G:G)*SUMIF(Summary!$A$166:$A$242,'Operations Support'!A3731,Summary!$Q$166:$Q$242),0)</f>
        <v>0</v>
      </c>
      <c r="AG3731" s="196">
        <f t="shared" ca="1" si="823"/>
        <v>0</v>
      </c>
      <c r="AI3731" s="196">
        <f>IFERROR($G3731/SUMIF($A:$A,$A3731,$G:$G)*SUMIF(Summary!$A$247:$A$283,$A3731,Summary!$P$247:$P$283),0)</f>
        <v>0</v>
      </c>
      <c r="AJ3731" s="196">
        <f>IFERROR($G3731/SUMIF($A:$A,$A3731,$G:$G)*(SUMIF(Summary!$A$247:$A$283,$A3731,Summary!$L$247:$L$283)+SUMIF(Summary!$A$297:$A$333,$A3731,Summary!$L$297:$L$333))-AI3731,0)</f>
        <v>0</v>
      </c>
      <c r="AK3731" s="196">
        <f>IFERROR($G3731/SUMIF($A:$A,$A3731,$G:$G)*SUMIF(Summary!$A$247:$A$283,$A3731,Summary!$Q$247:$Q$283),0)</f>
        <v>0</v>
      </c>
      <c r="AL3731" s="196">
        <f>IFERROR($G3731/SUMIF($A:$A,$A3731,$G:$G)*(SUMIF(Summary!$A$247:$A$283,$A3731,Summary!$L$247:$L$283)+SUMIF(Summary!$A$297:$A$333,$A3731,Summary!$L$297:$L$333))-AK3731,0)</f>
        <v>0</v>
      </c>
      <c r="AM3731" s="198"/>
      <c r="AN3731" s="196">
        <f t="shared" ca="1" si="824"/>
        <v>0</v>
      </c>
      <c r="AO3731" s="196">
        <f t="shared" ca="1" si="825"/>
        <v>0</v>
      </c>
    </row>
    <row r="3732" spans="1:41">
      <c r="A3732" s="189">
        <v>42421</v>
      </c>
      <c r="B3732" s="190">
        <v>3</v>
      </c>
      <c r="C3732" s="191" t="s">
        <v>230</v>
      </c>
      <c r="D3732" s="192">
        <f t="shared" si="812"/>
        <v>0</v>
      </c>
      <c r="E3732" s="192">
        <f t="shared" si="813"/>
        <v>0</v>
      </c>
      <c r="F3732" s="192">
        <f t="shared" si="814"/>
        <v>0</v>
      </c>
      <c r="G3732" s="193">
        <f t="shared" si="815"/>
        <v>0</v>
      </c>
      <c r="H3732" s="194">
        <v>0</v>
      </c>
      <c r="I3732" s="194">
        <v>0</v>
      </c>
      <c r="J3732" s="194">
        <v>0</v>
      </c>
      <c r="K3732" s="193">
        <f t="shared" si="816"/>
        <v>0</v>
      </c>
      <c r="L3732" s="194">
        <v>0</v>
      </c>
      <c r="M3732" s="194">
        <v>0</v>
      </c>
      <c r="N3732" s="194">
        <v>0</v>
      </c>
      <c r="O3732" s="193">
        <f t="shared" si="817"/>
        <v>0</v>
      </c>
      <c r="P3732" s="194">
        <v>0</v>
      </c>
      <c r="Q3732" s="194">
        <v>0</v>
      </c>
      <c r="R3732" s="194">
        <v>0</v>
      </c>
      <c r="S3732" s="193">
        <f t="shared" si="818"/>
        <v>0</v>
      </c>
      <c r="T3732" s="193">
        <f t="shared" si="819"/>
        <v>0</v>
      </c>
      <c r="U3732" s="193">
        <f ca="1">OFFSET('Expenditure Study'!$B$7,'Operations Support'!$C3732,'Operations Support'!$B3732)*$G3732</f>
        <v>0</v>
      </c>
      <c r="V3732" s="199">
        <f ca="1">U3732*'Expenditure Study'!$B$31</f>
        <v>0</v>
      </c>
      <c r="W3732" s="199">
        <f ca="1">IF(A3732=10298,1.51,1)*IF($B3732&lt;3,$D3732*'Expenditure Study'!$B$32*OFFSET('Expenditure Study'!$B$7,'Operations Support'!$C3732,'Operations Support'!$B3732),0)</f>
        <v>0</v>
      </c>
      <c r="X3732" s="200">
        <f ca="1">W3732*'Expenditure Study'!$B$31</f>
        <v>0</v>
      </c>
      <c r="Y3732" s="199">
        <f ca="1">U3732*'Expenditure Study'!$B$31</f>
        <v>0</v>
      </c>
      <c r="Z3732" s="200">
        <f ca="1">W3732*'Expenditure Study'!$B$31</f>
        <v>0</v>
      </c>
      <c r="AA3732" s="195">
        <f t="shared" ca="1" si="820"/>
        <v>0</v>
      </c>
      <c r="AB3732" s="195">
        <f t="shared" ca="1" si="821"/>
        <v>0</v>
      </c>
      <c r="AD3732" s="196">
        <f>IFERROR($G3732/SUMIF($A:$A,$A3732,$G:$G)*SUMIF(Summary!$A$166:$A$242,$A3732,Summary!$P$166:$P$242),0)</f>
        <v>0</v>
      </c>
      <c r="AE3732" s="197">
        <f t="shared" ca="1" si="822"/>
        <v>0</v>
      </c>
      <c r="AF3732" s="196">
        <f>IFERROR(G3732/SUMIF(A:A,A3732,G:G)*SUMIF(Summary!$A$166:$A$242,'Operations Support'!A3732,Summary!$Q$166:$Q$242),0)</f>
        <v>0</v>
      </c>
      <c r="AG3732" s="196">
        <f t="shared" ca="1" si="823"/>
        <v>0</v>
      </c>
      <c r="AI3732" s="196">
        <f>IFERROR($G3732/SUMIF($A:$A,$A3732,$G:$G)*SUMIF(Summary!$A$247:$A$283,$A3732,Summary!$P$247:$P$283),0)</f>
        <v>0</v>
      </c>
      <c r="AJ3732" s="196">
        <f>IFERROR($G3732/SUMIF($A:$A,$A3732,$G:$G)*(SUMIF(Summary!$A$247:$A$283,$A3732,Summary!$L$247:$L$283)+SUMIF(Summary!$A$297:$A$333,$A3732,Summary!$L$297:$L$333))-AI3732,0)</f>
        <v>0</v>
      </c>
      <c r="AK3732" s="196">
        <f>IFERROR($G3732/SUMIF($A:$A,$A3732,$G:$G)*SUMIF(Summary!$A$247:$A$283,$A3732,Summary!$Q$247:$Q$283),0)</f>
        <v>0</v>
      </c>
      <c r="AL3732" s="196">
        <f>IFERROR($G3732/SUMIF($A:$A,$A3732,$G:$G)*(SUMIF(Summary!$A$247:$A$283,$A3732,Summary!$L$247:$L$283)+SUMIF(Summary!$A$297:$A$333,$A3732,Summary!$L$297:$L$333))-AK3732,0)</f>
        <v>0</v>
      </c>
      <c r="AM3732" s="198"/>
      <c r="AN3732" s="196">
        <f t="shared" ca="1" si="824"/>
        <v>0</v>
      </c>
      <c r="AO3732" s="196">
        <f t="shared" ca="1" si="825"/>
        <v>0</v>
      </c>
    </row>
    <row r="3733" spans="1:41">
      <c r="A3733" s="189">
        <v>42421</v>
      </c>
      <c r="B3733" s="190">
        <v>3</v>
      </c>
      <c r="C3733" s="191" t="s">
        <v>231</v>
      </c>
      <c r="D3733" s="192">
        <f t="shared" si="812"/>
        <v>0</v>
      </c>
      <c r="E3733" s="192">
        <f t="shared" si="813"/>
        <v>0</v>
      </c>
      <c r="F3733" s="192">
        <f t="shared" si="814"/>
        <v>0</v>
      </c>
      <c r="G3733" s="193">
        <f t="shared" si="815"/>
        <v>0</v>
      </c>
      <c r="H3733" s="194">
        <v>0</v>
      </c>
      <c r="I3733" s="194">
        <v>0</v>
      </c>
      <c r="J3733" s="194">
        <v>0</v>
      </c>
      <c r="K3733" s="193">
        <f t="shared" si="816"/>
        <v>0</v>
      </c>
      <c r="L3733" s="194">
        <v>0</v>
      </c>
      <c r="M3733" s="194">
        <v>0</v>
      </c>
      <c r="N3733" s="194">
        <v>0</v>
      </c>
      <c r="O3733" s="193">
        <f t="shared" si="817"/>
        <v>0</v>
      </c>
      <c r="P3733" s="194">
        <v>0</v>
      </c>
      <c r="Q3733" s="194">
        <v>0</v>
      </c>
      <c r="R3733" s="194">
        <v>0</v>
      </c>
      <c r="S3733" s="193">
        <f t="shared" si="818"/>
        <v>0</v>
      </c>
      <c r="T3733" s="193">
        <f t="shared" si="819"/>
        <v>0</v>
      </c>
      <c r="U3733" s="193">
        <f ca="1">OFFSET('Expenditure Study'!$B$7,'Operations Support'!$C3733,'Operations Support'!$B3733)*$G3733</f>
        <v>0</v>
      </c>
      <c r="V3733" s="199">
        <f ca="1">U3733*'Expenditure Study'!$B$31</f>
        <v>0</v>
      </c>
      <c r="W3733" s="199">
        <f ca="1">IF(A3733=10298,1.51,1)*IF($B3733&lt;3,$D3733*'Expenditure Study'!$B$32*OFFSET('Expenditure Study'!$B$7,'Operations Support'!$C3733,'Operations Support'!$B3733),0)</f>
        <v>0</v>
      </c>
      <c r="X3733" s="200">
        <f ca="1">W3733*'Expenditure Study'!$B$31</f>
        <v>0</v>
      </c>
      <c r="Y3733" s="199">
        <f ca="1">U3733*'Expenditure Study'!$B$31</f>
        <v>0</v>
      </c>
      <c r="Z3733" s="200">
        <f ca="1">W3733*'Expenditure Study'!$B$31</f>
        <v>0</v>
      </c>
      <c r="AA3733" s="195">
        <f t="shared" ca="1" si="820"/>
        <v>0</v>
      </c>
      <c r="AB3733" s="195">
        <f t="shared" ca="1" si="821"/>
        <v>0</v>
      </c>
      <c r="AD3733" s="196">
        <f>IFERROR($G3733/SUMIF($A:$A,$A3733,$G:$G)*SUMIF(Summary!$A$166:$A$242,$A3733,Summary!$P$166:$P$242),0)</f>
        <v>0</v>
      </c>
      <c r="AE3733" s="197">
        <f t="shared" ca="1" si="822"/>
        <v>0</v>
      </c>
      <c r="AF3733" s="196">
        <f>IFERROR(G3733/SUMIF(A:A,A3733,G:G)*SUMIF(Summary!$A$166:$A$242,'Operations Support'!A3733,Summary!$Q$166:$Q$242),0)</f>
        <v>0</v>
      </c>
      <c r="AG3733" s="196">
        <f t="shared" ca="1" si="823"/>
        <v>0</v>
      </c>
      <c r="AI3733" s="196">
        <f>IFERROR($G3733/SUMIF($A:$A,$A3733,$G:$G)*SUMIF(Summary!$A$247:$A$283,$A3733,Summary!$P$247:$P$283),0)</f>
        <v>0</v>
      </c>
      <c r="AJ3733" s="196">
        <f>IFERROR($G3733/SUMIF($A:$A,$A3733,$G:$G)*(SUMIF(Summary!$A$247:$A$283,$A3733,Summary!$L$247:$L$283)+SUMIF(Summary!$A$297:$A$333,$A3733,Summary!$L$297:$L$333))-AI3733,0)</f>
        <v>0</v>
      </c>
      <c r="AK3733" s="196">
        <f>IFERROR($G3733/SUMIF($A:$A,$A3733,$G:$G)*SUMIF(Summary!$A$247:$A$283,$A3733,Summary!$Q$247:$Q$283),0)</f>
        <v>0</v>
      </c>
      <c r="AL3733" s="196">
        <f>IFERROR($G3733/SUMIF($A:$A,$A3733,$G:$G)*(SUMIF(Summary!$A$247:$A$283,$A3733,Summary!$L$247:$L$283)+SUMIF(Summary!$A$297:$A$333,$A3733,Summary!$L$297:$L$333))-AK3733,0)</f>
        <v>0</v>
      </c>
      <c r="AM3733" s="198"/>
      <c r="AN3733" s="196">
        <f t="shared" ca="1" si="824"/>
        <v>0</v>
      </c>
      <c r="AO3733" s="196">
        <f t="shared" ca="1" si="825"/>
        <v>0</v>
      </c>
    </row>
    <row r="3734" spans="1:41">
      <c r="A3734" s="189">
        <v>42421</v>
      </c>
      <c r="B3734" s="190">
        <v>3</v>
      </c>
      <c r="C3734" s="191" t="s">
        <v>232</v>
      </c>
      <c r="D3734" s="192">
        <f t="shared" si="812"/>
        <v>0</v>
      </c>
      <c r="E3734" s="192">
        <f t="shared" si="813"/>
        <v>0</v>
      </c>
      <c r="F3734" s="192">
        <f t="shared" si="814"/>
        <v>0</v>
      </c>
      <c r="G3734" s="193">
        <f t="shared" si="815"/>
        <v>0</v>
      </c>
      <c r="H3734" s="194">
        <v>0</v>
      </c>
      <c r="I3734" s="194">
        <v>0</v>
      </c>
      <c r="J3734" s="194">
        <v>0</v>
      </c>
      <c r="K3734" s="193">
        <f t="shared" si="816"/>
        <v>0</v>
      </c>
      <c r="L3734" s="194">
        <v>0</v>
      </c>
      <c r="M3734" s="194">
        <v>0</v>
      </c>
      <c r="N3734" s="194">
        <v>0</v>
      </c>
      <c r="O3734" s="193">
        <f t="shared" si="817"/>
        <v>0</v>
      </c>
      <c r="P3734" s="194">
        <v>0</v>
      </c>
      <c r="Q3734" s="194">
        <v>0</v>
      </c>
      <c r="R3734" s="194">
        <v>0</v>
      </c>
      <c r="S3734" s="193">
        <f t="shared" si="818"/>
        <v>0</v>
      </c>
      <c r="T3734" s="193">
        <f t="shared" si="819"/>
        <v>0</v>
      </c>
      <c r="U3734" s="193">
        <f ca="1">OFFSET('Expenditure Study'!$B$7,'Operations Support'!$C3734,'Operations Support'!$B3734)*$G3734</f>
        <v>0</v>
      </c>
      <c r="V3734" s="199">
        <f ca="1">U3734*'Expenditure Study'!$B$31</f>
        <v>0</v>
      </c>
      <c r="W3734" s="199">
        <f ca="1">IF(A3734=10298,1.51,1)*IF($B3734&lt;3,$D3734*'Expenditure Study'!$B$32*OFFSET('Expenditure Study'!$B$7,'Operations Support'!$C3734,'Operations Support'!$B3734),0)</f>
        <v>0</v>
      </c>
      <c r="X3734" s="200">
        <f ca="1">W3734*'Expenditure Study'!$B$31</f>
        <v>0</v>
      </c>
      <c r="Y3734" s="199">
        <f ca="1">U3734*'Expenditure Study'!$B$31</f>
        <v>0</v>
      </c>
      <c r="Z3734" s="200">
        <f ca="1">W3734*'Expenditure Study'!$B$31</f>
        <v>0</v>
      </c>
      <c r="AA3734" s="195">
        <f t="shared" ca="1" si="820"/>
        <v>0</v>
      </c>
      <c r="AB3734" s="195">
        <f t="shared" ca="1" si="821"/>
        <v>0</v>
      </c>
      <c r="AD3734" s="196">
        <f>IFERROR($G3734/SUMIF($A:$A,$A3734,$G:$G)*SUMIF(Summary!$A$166:$A$242,$A3734,Summary!$P$166:$P$242),0)</f>
        <v>0</v>
      </c>
      <c r="AE3734" s="197">
        <f t="shared" ca="1" si="822"/>
        <v>0</v>
      </c>
      <c r="AF3734" s="196">
        <f>IFERROR(G3734/SUMIF(A:A,A3734,G:G)*SUMIF(Summary!$A$166:$A$242,'Operations Support'!A3734,Summary!$Q$166:$Q$242),0)</f>
        <v>0</v>
      </c>
      <c r="AG3734" s="196">
        <f t="shared" ca="1" si="823"/>
        <v>0</v>
      </c>
      <c r="AI3734" s="196">
        <f>IFERROR($G3734/SUMIF($A:$A,$A3734,$G:$G)*SUMIF(Summary!$A$247:$A$283,$A3734,Summary!$P$247:$P$283),0)</f>
        <v>0</v>
      </c>
      <c r="AJ3734" s="196">
        <f>IFERROR($G3734/SUMIF($A:$A,$A3734,$G:$G)*(SUMIF(Summary!$A$247:$A$283,$A3734,Summary!$L$247:$L$283)+SUMIF(Summary!$A$297:$A$333,$A3734,Summary!$L$297:$L$333))-AI3734,0)</f>
        <v>0</v>
      </c>
      <c r="AK3734" s="196">
        <f>IFERROR($G3734/SUMIF($A:$A,$A3734,$G:$G)*SUMIF(Summary!$A$247:$A$283,$A3734,Summary!$Q$247:$Q$283),0)</f>
        <v>0</v>
      </c>
      <c r="AL3734" s="196">
        <f>IFERROR($G3734/SUMIF($A:$A,$A3734,$G:$G)*(SUMIF(Summary!$A$247:$A$283,$A3734,Summary!$L$247:$L$283)+SUMIF(Summary!$A$297:$A$333,$A3734,Summary!$L$297:$L$333))-AK3734,0)</f>
        <v>0</v>
      </c>
      <c r="AM3734" s="198"/>
      <c r="AN3734" s="196">
        <f t="shared" ca="1" si="824"/>
        <v>0</v>
      </c>
      <c r="AO3734" s="196">
        <f t="shared" ca="1" si="825"/>
        <v>0</v>
      </c>
    </row>
    <row r="3735" spans="1:41">
      <c r="A3735" s="189">
        <v>42421</v>
      </c>
      <c r="B3735" s="190">
        <v>3</v>
      </c>
      <c r="C3735" s="191" t="s">
        <v>233</v>
      </c>
      <c r="D3735" s="192">
        <f t="shared" si="812"/>
        <v>0</v>
      </c>
      <c r="E3735" s="192">
        <f t="shared" si="813"/>
        <v>0</v>
      </c>
      <c r="F3735" s="192">
        <f t="shared" si="814"/>
        <v>0</v>
      </c>
      <c r="G3735" s="193">
        <f t="shared" si="815"/>
        <v>0</v>
      </c>
      <c r="H3735" s="194">
        <v>0</v>
      </c>
      <c r="I3735" s="194">
        <v>0</v>
      </c>
      <c r="J3735" s="194">
        <v>0</v>
      </c>
      <c r="K3735" s="193">
        <f t="shared" si="816"/>
        <v>0</v>
      </c>
      <c r="L3735" s="194">
        <v>0</v>
      </c>
      <c r="M3735" s="194">
        <v>0</v>
      </c>
      <c r="N3735" s="194">
        <v>0</v>
      </c>
      <c r="O3735" s="193">
        <f t="shared" si="817"/>
        <v>0</v>
      </c>
      <c r="P3735" s="194">
        <v>0</v>
      </c>
      <c r="Q3735" s="194">
        <v>0</v>
      </c>
      <c r="R3735" s="194">
        <v>0</v>
      </c>
      <c r="S3735" s="193">
        <f t="shared" si="818"/>
        <v>0</v>
      </c>
      <c r="T3735" s="193">
        <f t="shared" si="819"/>
        <v>0</v>
      </c>
      <c r="U3735" s="193">
        <f ca="1">OFFSET('Expenditure Study'!$B$7,'Operations Support'!$C3735,'Operations Support'!$B3735)*$G3735</f>
        <v>0</v>
      </c>
      <c r="V3735" s="199">
        <f ca="1">U3735*'Expenditure Study'!$B$31</f>
        <v>0</v>
      </c>
      <c r="W3735" s="199">
        <f ca="1">IF(A3735=10298,1.51,1)*IF($B3735&lt;3,$D3735*'Expenditure Study'!$B$32*OFFSET('Expenditure Study'!$B$7,'Operations Support'!$C3735,'Operations Support'!$B3735),0)</f>
        <v>0</v>
      </c>
      <c r="X3735" s="200">
        <f ca="1">W3735*'Expenditure Study'!$B$31</f>
        <v>0</v>
      </c>
      <c r="Y3735" s="199">
        <f ca="1">U3735*'Expenditure Study'!$B$31</f>
        <v>0</v>
      </c>
      <c r="Z3735" s="200">
        <f ca="1">W3735*'Expenditure Study'!$B$31</f>
        <v>0</v>
      </c>
      <c r="AA3735" s="195">
        <f t="shared" ca="1" si="820"/>
        <v>0</v>
      </c>
      <c r="AB3735" s="195">
        <f t="shared" ca="1" si="821"/>
        <v>0</v>
      </c>
      <c r="AD3735" s="196">
        <f>IFERROR($G3735/SUMIF($A:$A,$A3735,$G:$G)*SUMIF(Summary!$A$166:$A$242,$A3735,Summary!$P$166:$P$242),0)</f>
        <v>0</v>
      </c>
      <c r="AE3735" s="197">
        <f t="shared" ca="1" si="822"/>
        <v>0</v>
      </c>
      <c r="AF3735" s="196">
        <f>IFERROR(G3735/SUMIF(A:A,A3735,G:G)*SUMIF(Summary!$A$166:$A$242,'Operations Support'!A3735,Summary!$Q$166:$Q$242),0)</f>
        <v>0</v>
      </c>
      <c r="AG3735" s="196">
        <f t="shared" ca="1" si="823"/>
        <v>0</v>
      </c>
      <c r="AI3735" s="196">
        <f>IFERROR($G3735/SUMIF($A:$A,$A3735,$G:$G)*SUMIF(Summary!$A$247:$A$283,$A3735,Summary!$P$247:$P$283),0)</f>
        <v>0</v>
      </c>
      <c r="AJ3735" s="196">
        <f>IFERROR($G3735/SUMIF($A:$A,$A3735,$G:$G)*(SUMIF(Summary!$A$247:$A$283,$A3735,Summary!$L$247:$L$283)+SUMIF(Summary!$A$297:$A$333,$A3735,Summary!$L$297:$L$333))-AI3735,0)</f>
        <v>0</v>
      </c>
      <c r="AK3735" s="196">
        <f>IFERROR($G3735/SUMIF($A:$A,$A3735,$G:$G)*SUMIF(Summary!$A$247:$A$283,$A3735,Summary!$Q$247:$Q$283),0)</f>
        <v>0</v>
      </c>
      <c r="AL3735" s="196">
        <f>IFERROR($G3735/SUMIF($A:$A,$A3735,$G:$G)*(SUMIF(Summary!$A$247:$A$283,$A3735,Summary!$L$247:$L$283)+SUMIF(Summary!$A$297:$A$333,$A3735,Summary!$L$297:$L$333))-AK3735,0)</f>
        <v>0</v>
      </c>
      <c r="AM3735" s="198"/>
      <c r="AN3735" s="196">
        <f t="shared" ca="1" si="824"/>
        <v>0</v>
      </c>
      <c r="AO3735" s="196">
        <f t="shared" ca="1" si="825"/>
        <v>0</v>
      </c>
    </row>
    <row r="3736" spans="1:41">
      <c r="A3736" s="189">
        <v>42421</v>
      </c>
      <c r="B3736" s="190">
        <v>3</v>
      </c>
      <c r="C3736" s="191" t="s">
        <v>234</v>
      </c>
      <c r="D3736" s="192">
        <f t="shared" si="812"/>
        <v>0</v>
      </c>
      <c r="E3736" s="192">
        <f t="shared" si="813"/>
        <v>0</v>
      </c>
      <c r="F3736" s="192">
        <f t="shared" si="814"/>
        <v>0</v>
      </c>
      <c r="G3736" s="193">
        <f t="shared" si="815"/>
        <v>0</v>
      </c>
      <c r="H3736" s="194">
        <v>0</v>
      </c>
      <c r="I3736" s="194">
        <v>0</v>
      </c>
      <c r="J3736" s="194">
        <v>0</v>
      </c>
      <c r="K3736" s="193">
        <f t="shared" si="816"/>
        <v>0</v>
      </c>
      <c r="L3736" s="194">
        <v>0</v>
      </c>
      <c r="M3736" s="194">
        <v>0</v>
      </c>
      <c r="N3736" s="194">
        <v>0</v>
      </c>
      <c r="O3736" s="193">
        <f t="shared" si="817"/>
        <v>0</v>
      </c>
      <c r="P3736" s="194">
        <v>0</v>
      </c>
      <c r="Q3736" s="194">
        <v>0</v>
      </c>
      <c r="R3736" s="194">
        <v>0</v>
      </c>
      <c r="S3736" s="193">
        <f t="shared" si="818"/>
        <v>0</v>
      </c>
      <c r="T3736" s="193">
        <f t="shared" si="819"/>
        <v>0</v>
      </c>
      <c r="U3736" s="193">
        <f ca="1">OFFSET('Expenditure Study'!$B$7,'Operations Support'!$C3736,'Operations Support'!$B3736)*$G3736</f>
        <v>0</v>
      </c>
      <c r="V3736" s="199">
        <f ca="1">U3736*'Expenditure Study'!$B$31</f>
        <v>0</v>
      </c>
      <c r="W3736" s="199">
        <f ca="1">IF(A3736=10298,1.51,1)*IF($B3736&lt;3,$D3736*'Expenditure Study'!$B$32*OFFSET('Expenditure Study'!$B$7,'Operations Support'!$C3736,'Operations Support'!$B3736),0)</f>
        <v>0</v>
      </c>
      <c r="X3736" s="200">
        <f ca="1">W3736*'Expenditure Study'!$B$31</f>
        <v>0</v>
      </c>
      <c r="Y3736" s="199">
        <f ca="1">U3736*'Expenditure Study'!$B$31</f>
        <v>0</v>
      </c>
      <c r="Z3736" s="200">
        <f ca="1">W3736*'Expenditure Study'!$B$31</f>
        <v>0</v>
      </c>
      <c r="AA3736" s="195">
        <f t="shared" ca="1" si="820"/>
        <v>0</v>
      </c>
      <c r="AB3736" s="195">
        <f t="shared" ca="1" si="821"/>
        <v>0</v>
      </c>
      <c r="AD3736" s="196">
        <f>IFERROR($G3736/SUMIF($A:$A,$A3736,$G:$G)*SUMIF(Summary!$A$166:$A$242,$A3736,Summary!$P$166:$P$242),0)</f>
        <v>0</v>
      </c>
      <c r="AE3736" s="197">
        <f t="shared" ca="1" si="822"/>
        <v>0</v>
      </c>
      <c r="AF3736" s="196">
        <f>IFERROR(G3736/SUMIF(A:A,A3736,G:G)*SUMIF(Summary!$A$166:$A$242,'Operations Support'!A3736,Summary!$Q$166:$Q$242),0)</f>
        <v>0</v>
      </c>
      <c r="AG3736" s="196">
        <f t="shared" ca="1" si="823"/>
        <v>0</v>
      </c>
      <c r="AI3736" s="196">
        <f>IFERROR($G3736/SUMIF($A:$A,$A3736,$G:$G)*SUMIF(Summary!$A$247:$A$283,$A3736,Summary!$P$247:$P$283),0)</f>
        <v>0</v>
      </c>
      <c r="AJ3736" s="196">
        <f>IFERROR($G3736/SUMIF($A:$A,$A3736,$G:$G)*(SUMIF(Summary!$A$247:$A$283,$A3736,Summary!$L$247:$L$283)+SUMIF(Summary!$A$297:$A$333,$A3736,Summary!$L$297:$L$333))-AI3736,0)</f>
        <v>0</v>
      </c>
      <c r="AK3736" s="196">
        <f>IFERROR($G3736/SUMIF($A:$A,$A3736,$G:$G)*SUMIF(Summary!$A$247:$A$283,$A3736,Summary!$Q$247:$Q$283),0)</f>
        <v>0</v>
      </c>
      <c r="AL3736" s="196">
        <f>IFERROR($G3736/SUMIF($A:$A,$A3736,$G:$G)*(SUMIF(Summary!$A$247:$A$283,$A3736,Summary!$L$247:$L$283)+SUMIF(Summary!$A$297:$A$333,$A3736,Summary!$L$297:$L$333))-AK3736,0)</f>
        <v>0</v>
      </c>
      <c r="AM3736" s="198"/>
      <c r="AN3736" s="196">
        <f t="shared" ca="1" si="824"/>
        <v>0</v>
      </c>
      <c r="AO3736" s="196">
        <f t="shared" ca="1" si="825"/>
        <v>0</v>
      </c>
    </row>
    <row r="3737" spans="1:41">
      <c r="A3737" s="189">
        <v>42421</v>
      </c>
      <c r="B3737" s="190">
        <v>3</v>
      </c>
      <c r="C3737" s="191" t="s">
        <v>235</v>
      </c>
      <c r="D3737" s="192">
        <f t="shared" si="812"/>
        <v>1128</v>
      </c>
      <c r="E3737" s="192">
        <f t="shared" si="813"/>
        <v>552</v>
      </c>
      <c r="F3737" s="192">
        <f t="shared" si="814"/>
        <v>0</v>
      </c>
      <c r="G3737" s="193">
        <f t="shared" si="815"/>
        <v>1680</v>
      </c>
      <c r="H3737" s="194">
        <v>510</v>
      </c>
      <c r="I3737" s="194">
        <v>72</v>
      </c>
      <c r="J3737" s="194">
        <v>0</v>
      </c>
      <c r="K3737" s="193">
        <f t="shared" si="816"/>
        <v>582</v>
      </c>
      <c r="L3737" s="194">
        <v>195</v>
      </c>
      <c r="M3737" s="194">
        <v>165</v>
      </c>
      <c r="N3737" s="194">
        <v>0</v>
      </c>
      <c r="O3737" s="193">
        <f t="shared" si="817"/>
        <v>360</v>
      </c>
      <c r="P3737" s="194">
        <v>423</v>
      </c>
      <c r="Q3737" s="194">
        <v>315</v>
      </c>
      <c r="R3737" s="194">
        <v>0</v>
      </c>
      <c r="S3737" s="193">
        <f t="shared" si="818"/>
        <v>738</v>
      </c>
      <c r="T3737" s="193">
        <f t="shared" si="819"/>
        <v>70</v>
      </c>
      <c r="U3737" s="193">
        <f ca="1">OFFSET('Expenditure Study'!$B$7,'Operations Support'!$C3737,'Operations Support'!$B3737)*$G3737</f>
        <v>5308.8</v>
      </c>
      <c r="V3737" s="199">
        <f ca="1">U3737*'Expenditure Study'!$B$31</f>
        <v>313660.79023104004</v>
      </c>
      <c r="W3737" s="199">
        <f ca="1">IF(A3737=10298,1.51,1)*IF($B3737&lt;3,$D3737*'Expenditure Study'!$B$32*OFFSET('Expenditure Study'!$B$7,'Operations Support'!$C3737,'Operations Support'!$B3737),0)</f>
        <v>0</v>
      </c>
      <c r="X3737" s="200">
        <f ca="1">W3737*'Expenditure Study'!$B$31</f>
        <v>0</v>
      </c>
      <c r="Y3737" s="199">
        <f ca="1">U3737*'Expenditure Study'!$B$31</f>
        <v>313660.79023104004</v>
      </c>
      <c r="Z3737" s="200">
        <f ca="1">W3737*'Expenditure Study'!$B$31</f>
        <v>0</v>
      </c>
      <c r="AA3737" s="195">
        <f t="shared" ca="1" si="820"/>
        <v>313660.79023104004</v>
      </c>
      <c r="AB3737" s="195">
        <f t="shared" ca="1" si="821"/>
        <v>313660.79023104004</v>
      </c>
      <c r="AD3737" s="196">
        <f>IFERROR($G3737/SUMIF($A:$A,$A3737,$G:$G)*SUMIF(Summary!$A$166:$A$242,$A3737,Summary!$P$166:$P$242),0)</f>
        <v>34237.240952609725</v>
      </c>
      <c r="AE3737" s="197">
        <f t="shared" ca="1" si="822"/>
        <v>279423.54927843029</v>
      </c>
      <c r="AF3737" s="196">
        <f>IFERROR(G3737/SUMIF(A:A,A3737,G:G)*SUMIF(Summary!$A$166:$A$242,'Operations Support'!A3737,Summary!$Q$166:$Q$242),0)</f>
        <v>34258.787066052086</v>
      </c>
      <c r="AG3737" s="196">
        <f t="shared" ca="1" si="823"/>
        <v>279402.00316498795</v>
      </c>
      <c r="AI3737" s="196">
        <f>IFERROR($G3737/SUMIF($A:$A,$A3737,$G:$G)*SUMIF(Summary!$A$247:$A$283,$A3737,Summary!$P$247:$P$283),0)</f>
        <v>6244.018368931801</v>
      </c>
      <c r="AJ3737" s="196">
        <f>IFERROR($G3737/SUMIF($A:$A,$A3737,$G:$G)*(SUMIF(Summary!$A$247:$A$283,$A3737,Summary!$L$247:$L$283)+SUMIF(Summary!$A$297:$A$333,$A3737,Summary!$L$297:$L$333))-AI3737,0)</f>
        <v>54884.150010868572</v>
      </c>
      <c r="AK3737" s="196">
        <f>IFERROR($G3737/SUMIF($A:$A,$A3737,$G:$G)*SUMIF(Summary!$A$247:$A$283,$A3737,Summary!$Q$247:$Q$283),0)</f>
        <v>6247.9478423464188</v>
      </c>
      <c r="AL3737" s="196">
        <f>IFERROR($G3737/SUMIF($A:$A,$A3737,$G:$G)*(SUMIF(Summary!$A$247:$A$283,$A3737,Summary!$L$247:$L$283)+SUMIF(Summary!$A$297:$A$333,$A3737,Summary!$L$297:$L$333))-AK3737,0)</f>
        <v>54880.220537453955</v>
      </c>
      <c r="AM3737" s="198"/>
      <c r="AN3737" s="196">
        <f t="shared" ca="1" si="824"/>
        <v>334307.69928929885</v>
      </c>
      <c r="AO3737" s="196">
        <f t="shared" ca="1" si="825"/>
        <v>334282.2237024419</v>
      </c>
    </row>
    <row r="3738" spans="1:41">
      <c r="A3738" s="189">
        <v>42421</v>
      </c>
      <c r="B3738" s="190">
        <v>3</v>
      </c>
      <c r="C3738" s="191" t="s">
        <v>236</v>
      </c>
      <c r="D3738" s="192">
        <f t="shared" si="812"/>
        <v>0</v>
      </c>
      <c r="E3738" s="192">
        <f t="shared" si="813"/>
        <v>0</v>
      </c>
      <c r="F3738" s="192">
        <f t="shared" si="814"/>
        <v>0</v>
      </c>
      <c r="G3738" s="193">
        <f t="shared" si="815"/>
        <v>0</v>
      </c>
      <c r="H3738" s="194">
        <v>0</v>
      </c>
      <c r="I3738" s="194">
        <v>0</v>
      </c>
      <c r="J3738" s="194">
        <v>0</v>
      </c>
      <c r="K3738" s="193">
        <f t="shared" si="816"/>
        <v>0</v>
      </c>
      <c r="L3738" s="194">
        <v>0</v>
      </c>
      <c r="M3738" s="194">
        <v>0</v>
      </c>
      <c r="N3738" s="194">
        <v>0</v>
      </c>
      <c r="O3738" s="193">
        <f t="shared" si="817"/>
        <v>0</v>
      </c>
      <c r="P3738" s="194">
        <v>0</v>
      </c>
      <c r="Q3738" s="194">
        <v>0</v>
      </c>
      <c r="R3738" s="194">
        <v>0</v>
      </c>
      <c r="S3738" s="193">
        <f t="shared" si="818"/>
        <v>0</v>
      </c>
      <c r="T3738" s="193">
        <f t="shared" si="819"/>
        <v>0</v>
      </c>
      <c r="U3738" s="193">
        <f ca="1">OFFSET('Expenditure Study'!$B$7,'Operations Support'!$C3738,'Operations Support'!$B3738)*$G3738</f>
        <v>0</v>
      </c>
      <c r="V3738" s="199">
        <f ca="1">U3738*'Expenditure Study'!$B$31</f>
        <v>0</v>
      </c>
      <c r="W3738" s="199">
        <f ca="1">IF(A3738=10298,1.51,1)*IF($B3738&lt;3,$D3738*'Expenditure Study'!$B$32*OFFSET('Expenditure Study'!$B$7,'Operations Support'!$C3738,'Operations Support'!$B3738),0)</f>
        <v>0</v>
      </c>
      <c r="X3738" s="200">
        <f ca="1">W3738*'Expenditure Study'!$B$31</f>
        <v>0</v>
      </c>
      <c r="Y3738" s="199">
        <f ca="1">U3738*'Expenditure Study'!$B$31</f>
        <v>0</v>
      </c>
      <c r="Z3738" s="200">
        <f ca="1">W3738*'Expenditure Study'!$B$31</f>
        <v>0</v>
      </c>
      <c r="AA3738" s="195">
        <f t="shared" ca="1" si="820"/>
        <v>0</v>
      </c>
      <c r="AB3738" s="195">
        <f t="shared" ca="1" si="821"/>
        <v>0</v>
      </c>
      <c r="AD3738" s="196">
        <f>IFERROR($G3738/SUMIF($A:$A,$A3738,$G:$G)*SUMIF(Summary!$A$166:$A$242,$A3738,Summary!$P$166:$P$242),0)</f>
        <v>0</v>
      </c>
      <c r="AE3738" s="197">
        <f t="shared" ca="1" si="822"/>
        <v>0</v>
      </c>
      <c r="AF3738" s="196">
        <f>IFERROR(G3738/SUMIF(A:A,A3738,G:G)*SUMIF(Summary!$A$166:$A$242,'Operations Support'!A3738,Summary!$Q$166:$Q$242),0)</f>
        <v>0</v>
      </c>
      <c r="AG3738" s="196">
        <f t="shared" ca="1" si="823"/>
        <v>0</v>
      </c>
      <c r="AI3738" s="196">
        <f>IFERROR($G3738/SUMIF($A:$A,$A3738,$G:$G)*SUMIF(Summary!$A$247:$A$283,$A3738,Summary!$P$247:$P$283),0)</f>
        <v>0</v>
      </c>
      <c r="AJ3738" s="196">
        <f>IFERROR($G3738/SUMIF($A:$A,$A3738,$G:$G)*(SUMIF(Summary!$A$247:$A$283,$A3738,Summary!$L$247:$L$283)+SUMIF(Summary!$A$297:$A$333,$A3738,Summary!$L$297:$L$333))-AI3738,0)</f>
        <v>0</v>
      </c>
      <c r="AK3738" s="196">
        <f>IFERROR($G3738/SUMIF($A:$A,$A3738,$G:$G)*SUMIF(Summary!$A$247:$A$283,$A3738,Summary!$Q$247:$Q$283),0)</f>
        <v>0</v>
      </c>
      <c r="AL3738" s="196">
        <f>IFERROR($G3738/SUMIF($A:$A,$A3738,$G:$G)*(SUMIF(Summary!$A$247:$A$283,$A3738,Summary!$L$247:$L$283)+SUMIF(Summary!$A$297:$A$333,$A3738,Summary!$L$297:$L$333))-AK3738,0)</f>
        <v>0</v>
      </c>
      <c r="AM3738" s="198"/>
      <c r="AN3738" s="196">
        <f t="shared" ca="1" si="824"/>
        <v>0</v>
      </c>
      <c r="AO3738" s="196">
        <f t="shared" ca="1" si="825"/>
        <v>0</v>
      </c>
    </row>
    <row r="3739" spans="1:41">
      <c r="A3739" s="189">
        <v>42421</v>
      </c>
      <c r="B3739" s="190">
        <v>3</v>
      </c>
      <c r="C3739" s="191" t="s">
        <v>237</v>
      </c>
      <c r="D3739" s="192">
        <f t="shared" si="812"/>
        <v>0</v>
      </c>
      <c r="E3739" s="192">
        <f t="shared" si="813"/>
        <v>0</v>
      </c>
      <c r="F3739" s="192">
        <f t="shared" si="814"/>
        <v>0</v>
      </c>
      <c r="G3739" s="193">
        <f t="shared" si="815"/>
        <v>0</v>
      </c>
      <c r="H3739" s="194">
        <v>0</v>
      </c>
      <c r="I3739" s="194">
        <v>0</v>
      </c>
      <c r="J3739" s="194">
        <v>0</v>
      </c>
      <c r="K3739" s="193">
        <f t="shared" si="816"/>
        <v>0</v>
      </c>
      <c r="L3739" s="194">
        <v>0</v>
      </c>
      <c r="M3739" s="194">
        <v>0</v>
      </c>
      <c r="N3739" s="194">
        <v>0</v>
      </c>
      <c r="O3739" s="193">
        <f t="shared" si="817"/>
        <v>0</v>
      </c>
      <c r="P3739" s="194">
        <v>0</v>
      </c>
      <c r="Q3739" s="194">
        <v>0</v>
      </c>
      <c r="R3739" s="194">
        <v>0</v>
      </c>
      <c r="S3739" s="193">
        <f t="shared" si="818"/>
        <v>0</v>
      </c>
      <c r="T3739" s="193">
        <f t="shared" si="819"/>
        <v>0</v>
      </c>
      <c r="U3739" s="193">
        <f ca="1">OFFSET('Expenditure Study'!$B$7,'Operations Support'!$C3739,'Operations Support'!$B3739)*$G3739</f>
        <v>0</v>
      </c>
      <c r="V3739" s="199">
        <f ca="1">U3739*'Expenditure Study'!$B$31</f>
        <v>0</v>
      </c>
      <c r="W3739" s="199">
        <f ca="1">IF(A3739=10298,1.51,1)*IF($B3739&lt;3,$D3739*'Expenditure Study'!$B$32*OFFSET('Expenditure Study'!$B$7,'Operations Support'!$C3739,'Operations Support'!$B3739),0)</f>
        <v>0</v>
      </c>
      <c r="X3739" s="200">
        <f ca="1">W3739*'Expenditure Study'!$B$31</f>
        <v>0</v>
      </c>
      <c r="Y3739" s="199">
        <f ca="1">U3739*'Expenditure Study'!$B$31</f>
        <v>0</v>
      </c>
      <c r="Z3739" s="200">
        <f ca="1">W3739*'Expenditure Study'!$B$31</f>
        <v>0</v>
      </c>
      <c r="AA3739" s="195">
        <f t="shared" ca="1" si="820"/>
        <v>0</v>
      </c>
      <c r="AB3739" s="195">
        <f t="shared" ca="1" si="821"/>
        <v>0</v>
      </c>
      <c r="AD3739" s="196">
        <f>IFERROR($G3739/SUMIF($A:$A,$A3739,$G:$G)*SUMIF(Summary!$A$166:$A$242,$A3739,Summary!$P$166:$P$242),0)</f>
        <v>0</v>
      </c>
      <c r="AE3739" s="197">
        <f t="shared" ca="1" si="822"/>
        <v>0</v>
      </c>
      <c r="AF3739" s="196">
        <f>IFERROR(G3739/SUMIF(A:A,A3739,G:G)*SUMIF(Summary!$A$166:$A$242,'Operations Support'!A3739,Summary!$Q$166:$Q$242),0)</f>
        <v>0</v>
      </c>
      <c r="AG3739" s="196">
        <f t="shared" ca="1" si="823"/>
        <v>0</v>
      </c>
      <c r="AI3739" s="196">
        <f>IFERROR($G3739/SUMIF($A:$A,$A3739,$G:$G)*SUMIF(Summary!$A$247:$A$283,$A3739,Summary!$P$247:$P$283),0)</f>
        <v>0</v>
      </c>
      <c r="AJ3739" s="196">
        <f>IFERROR($G3739/SUMIF($A:$A,$A3739,$G:$G)*(SUMIF(Summary!$A$247:$A$283,$A3739,Summary!$L$247:$L$283)+SUMIF(Summary!$A$297:$A$333,$A3739,Summary!$L$297:$L$333))-AI3739,0)</f>
        <v>0</v>
      </c>
      <c r="AK3739" s="196">
        <f>IFERROR($G3739/SUMIF($A:$A,$A3739,$G:$G)*SUMIF(Summary!$A$247:$A$283,$A3739,Summary!$Q$247:$Q$283),0)</f>
        <v>0</v>
      </c>
      <c r="AL3739" s="196">
        <f>IFERROR($G3739/SUMIF($A:$A,$A3739,$G:$G)*(SUMIF(Summary!$A$247:$A$283,$A3739,Summary!$L$247:$L$283)+SUMIF(Summary!$A$297:$A$333,$A3739,Summary!$L$297:$L$333))-AK3739,0)</f>
        <v>0</v>
      </c>
      <c r="AM3739" s="198"/>
      <c r="AN3739" s="196">
        <f t="shared" ca="1" si="824"/>
        <v>0</v>
      </c>
      <c r="AO3739" s="196">
        <f t="shared" ca="1" si="825"/>
        <v>0</v>
      </c>
    </row>
    <row r="3740" spans="1:41">
      <c r="A3740" s="189">
        <v>42421</v>
      </c>
      <c r="B3740" s="190">
        <v>3</v>
      </c>
      <c r="C3740" s="191" t="s">
        <v>238</v>
      </c>
      <c r="D3740" s="192">
        <f t="shared" si="812"/>
        <v>36</v>
      </c>
      <c r="E3740" s="192">
        <f t="shared" si="813"/>
        <v>30</v>
      </c>
      <c r="F3740" s="192">
        <f t="shared" si="814"/>
        <v>0</v>
      </c>
      <c r="G3740" s="193">
        <f t="shared" si="815"/>
        <v>66</v>
      </c>
      <c r="H3740" s="194">
        <v>36</v>
      </c>
      <c r="I3740" s="194">
        <v>0</v>
      </c>
      <c r="J3740" s="194">
        <v>0</v>
      </c>
      <c r="K3740" s="193">
        <f t="shared" si="816"/>
        <v>36</v>
      </c>
      <c r="L3740" s="194">
        <v>0</v>
      </c>
      <c r="M3740" s="194">
        <v>21</v>
      </c>
      <c r="N3740" s="194">
        <v>0</v>
      </c>
      <c r="O3740" s="193">
        <f t="shared" si="817"/>
        <v>21</v>
      </c>
      <c r="P3740" s="194">
        <v>0</v>
      </c>
      <c r="Q3740" s="194">
        <v>9</v>
      </c>
      <c r="R3740" s="194">
        <v>0</v>
      </c>
      <c r="S3740" s="193">
        <f t="shared" si="818"/>
        <v>9</v>
      </c>
      <c r="T3740" s="193">
        <f t="shared" si="819"/>
        <v>2.75</v>
      </c>
      <c r="U3740" s="193">
        <f ca="1">OFFSET('Expenditure Study'!$B$7,'Operations Support'!$C3740,'Operations Support'!$B3740)*$G3740</f>
        <v>385.44</v>
      </c>
      <c r="V3740" s="199">
        <f ca="1">U3740*'Expenditure Study'!$B$31</f>
        <v>22773.021207551999</v>
      </c>
      <c r="W3740" s="199">
        <f ca="1">IF(A3740=10298,1.51,1)*IF($B3740&lt;3,$D3740*'Expenditure Study'!$B$32*OFFSET('Expenditure Study'!$B$7,'Operations Support'!$C3740,'Operations Support'!$B3740),0)</f>
        <v>0</v>
      </c>
      <c r="X3740" s="200">
        <f ca="1">W3740*'Expenditure Study'!$B$31</f>
        <v>0</v>
      </c>
      <c r="Y3740" s="199">
        <f ca="1">U3740*'Expenditure Study'!$B$31</f>
        <v>22773.021207551999</v>
      </c>
      <c r="Z3740" s="200">
        <f ca="1">W3740*'Expenditure Study'!$B$31</f>
        <v>0</v>
      </c>
      <c r="AA3740" s="195">
        <f t="shared" ca="1" si="820"/>
        <v>22773.021207551999</v>
      </c>
      <c r="AB3740" s="195">
        <f t="shared" ca="1" si="821"/>
        <v>22773.021207551999</v>
      </c>
      <c r="AD3740" s="196">
        <f>IFERROR($G3740/SUMIF($A:$A,$A3740,$G:$G)*SUMIF(Summary!$A$166:$A$242,$A3740,Summary!$P$166:$P$242),0)</f>
        <v>1345.0344659953821</v>
      </c>
      <c r="AE3740" s="197">
        <f t="shared" ca="1" si="822"/>
        <v>21427.986741556619</v>
      </c>
      <c r="AF3740" s="196">
        <f>IFERROR(G3740/SUMIF(A:A,A3740,G:G)*SUMIF(Summary!$A$166:$A$242,'Operations Support'!A3740,Summary!$Q$166:$Q$242),0)</f>
        <v>1345.8809204520462</v>
      </c>
      <c r="AG3740" s="196">
        <f t="shared" ca="1" si="823"/>
        <v>21427.140287099952</v>
      </c>
      <c r="AI3740" s="196">
        <f>IFERROR($G3740/SUMIF($A:$A,$A3740,$G:$G)*SUMIF(Summary!$A$247:$A$283,$A3740,Summary!$P$247:$P$283),0)</f>
        <v>245.30072163660645</v>
      </c>
      <c r="AJ3740" s="196">
        <f>IFERROR($G3740/SUMIF($A:$A,$A3740,$G:$G)*(SUMIF(Summary!$A$247:$A$283,$A3740,Summary!$L$247:$L$283)+SUMIF(Summary!$A$297:$A$333,$A3740,Summary!$L$297:$L$333))-AI3740,0)</f>
        <v>2156.1630361412654</v>
      </c>
      <c r="AK3740" s="196">
        <f>IFERROR($G3740/SUMIF($A:$A,$A3740,$G:$G)*SUMIF(Summary!$A$247:$A$283,$A3740,Summary!$Q$247:$Q$283),0)</f>
        <v>245.45509380646646</v>
      </c>
      <c r="AL3740" s="196">
        <f>IFERROR($G3740/SUMIF($A:$A,$A3740,$G:$G)*(SUMIF(Summary!$A$247:$A$283,$A3740,Summary!$L$247:$L$283)+SUMIF(Summary!$A$297:$A$333,$A3740,Summary!$L$297:$L$333))-AK3740,0)</f>
        <v>2156.0086639714054</v>
      </c>
      <c r="AM3740" s="198"/>
      <c r="AN3740" s="196">
        <f t="shared" ca="1" si="824"/>
        <v>23584.149777697883</v>
      </c>
      <c r="AO3740" s="196">
        <f t="shared" ca="1" si="825"/>
        <v>23583.148951071358</v>
      </c>
    </row>
    <row r="3741" spans="1:41">
      <c r="A3741" s="189">
        <v>42421</v>
      </c>
      <c r="B3741" s="190">
        <v>3</v>
      </c>
      <c r="C3741" s="191" t="s">
        <v>239</v>
      </c>
      <c r="D3741" s="192">
        <f t="shared" si="812"/>
        <v>0</v>
      </c>
      <c r="E3741" s="192">
        <f t="shared" si="813"/>
        <v>0</v>
      </c>
      <c r="F3741" s="192">
        <f t="shared" si="814"/>
        <v>0</v>
      </c>
      <c r="G3741" s="193">
        <f t="shared" si="815"/>
        <v>0</v>
      </c>
      <c r="H3741" s="194">
        <v>0</v>
      </c>
      <c r="I3741" s="194">
        <v>0</v>
      </c>
      <c r="J3741" s="194">
        <v>0</v>
      </c>
      <c r="K3741" s="193">
        <f t="shared" si="816"/>
        <v>0</v>
      </c>
      <c r="L3741" s="194">
        <v>0</v>
      </c>
      <c r="M3741" s="194">
        <v>0</v>
      </c>
      <c r="N3741" s="194">
        <v>0</v>
      </c>
      <c r="O3741" s="193">
        <f t="shared" si="817"/>
        <v>0</v>
      </c>
      <c r="P3741" s="194">
        <v>0</v>
      </c>
      <c r="Q3741" s="194">
        <v>0</v>
      </c>
      <c r="R3741" s="194">
        <v>0</v>
      </c>
      <c r="S3741" s="193">
        <f t="shared" si="818"/>
        <v>0</v>
      </c>
      <c r="T3741" s="193">
        <f t="shared" si="819"/>
        <v>0</v>
      </c>
      <c r="U3741" s="193">
        <f ca="1">OFFSET('Expenditure Study'!$B$7,'Operations Support'!$C3741,'Operations Support'!$B3741)*$G3741</f>
        <v>0</v>
      </c>
      <c r="V3741" s="199">
        <f ca="1">U3741*'Expenditure Study'!$B$31</f>
        <v>0</v>
      </c>
      <c r="W3741" s="199">
        <f ca="1">IF(A3741=10298,1.51,1)*IF($B3741&lt;3,$D3741*'Expenditure Study'!$B$32*OFFSET('Expenditure Study'!$B$7,'Operations Support'!$C3741,'Operations Support'!$B3741),0)</f>
        <v>0</v>
      </c>
      <c r="X3741" s="200">
        <f ca="1">W3741*'Expenditure Study'!$B$31</f>
        <v>0</v>
      </c>
      <c r="Y3741" s="199">
        <f ca="1">U3741*'Expenditure Study'!$B$31</f>
        <v>0</v>
      </c>
      <c r="Z3741" s="200">
        <f ca="1">W3741*'Expenditure Study'!$B$31</f>
        <v>0</v>
      </c>
      <c r="AA3741" s="195">
        <f t="shared" ca="1" si="820"/>
        <v>0</v>
      </c>
      <c r="AB3741" s="195">
        <f t="shared" ca="1" si="821"/>
        <v>0</v>
      </c>
      <c r="AD3741" s="196">
        <f>IFERROR($G3741/SUMIF($A:$A,$A3741,$G:$G)*SUMIF(Summary!$A$166:$A$242,$A3741,Summary!$P$166:$P$242),0)</f>
        <v>0</v>
      </c>
      <c r="AE3741" s="197">
        <f t="shared" ca="1" si="822"/>
        <v>0</v>
      </c>
      <c r="AF3741" s="196">
        <f>IFERROR(G3741/SUMIF(A:A,A3741,G:G)*SUMIF(Summary!$A$166:$A$242,'Operations Support'!A3741,Summary!$Q$166:$Q$242),0)</f>
        <v>0</v>
      </c>
      <c r="AG3741" s="196">
        <f t="shared" ca="1" si="823"/>
        <v>0</v>
      </c>
      <c r="AI3741" s="196">
        <f>IFERROR($G3741/SUMIF($A:$A,$A3741,$G:$G)*SUMIF(Summary!$A$247:$A$283,$A3741,Summary!$P$247:$P$283),0)</f>
        <v>0</v>
      </c>
      <c r="AJ3741" s="196">
        <f>IFERROR($G3741/SUMIF($A:$A,$A3741,$G:$G)*(SUMIF(Summary!$A$247:$A$283,$A3741,Summary!$L$247:$L$283)+SUMIF(Summary!$A$297:$A$333,$A3741,Summary!$L$297:$L$333))-AI3741,0)</f>
        <v>0</v>
      </c>
      <c r="AK3741" s="196">
        <f>IFERROR($G3741/SUMIF($A:$A,$A3741,$G:$G)*SUMIF(Summary!$A$247:$A$283,$A3741,Summary!$Q$247:$Q$283),0)</f>
        <v>0</v>
      </c>
      <c r="AL3741" s="196">
        <f>IFERROR($G3741/SUMIF($A:$A,$A3741,$G:$G)*(SUMIF(Summary!$A$247:$A$283,$A3741,Summary!$L$247:$L$283)+SUMIF(Summary!$A$297:$A$333,$A3741,Summary!$L$297:$L$333))-AK3741,0)</f>
        <v>0</v>
      </c>
      <c r="AM3741" s="198"/>
      <c r="AN3741" s="196">
        <f t="shared" ca="1" si="824"/>
        <v>0</v>
      </c>
      <c r="AO3741" s="196">
        <f t="shared" ca="1" si="825"/>
        <v>0</v>
      </c>
    </row>
    <row r="3742" spans="1:41">
      <c r="A3742" s="189">
        <v>42421</v>
      </c>
      <c r="B3742" s="190">
        <v>3</v>
      </c>
      <c r="C3742" s="191" t="s">
        <v>240</v>
      </c>
      <c r="D3742" s="192">
        <f t="shared" si="812"/>
        <v>0</v>
      </c>
      <c r="E3742" s="192">
        <f t="shared" si="813"/>
        <v>0</v>
      </c>
      <c r="F3742" s="192">
        <f t="shared" si="814"/>
        <v>0</v>
      </c>
      <c r="G3742" s="193">
        <f t="shared" si="815"/>
        <v>0</v>
      </c>
      <c r="H3742" s="194">
        <v>0</v>
      </c>
      <c r="I3742" s="194">
        <v>0</v>
      </c>
      <c r="J3742" s="194">
        <v>0</v>
      </c>
      <c r="K3742" s="193">
        <f t="shared" si="816"/>
        <v>0</v>
      </c>
      <c r="L3742" s="194">
        <v>0</v>
      </c>
      <c r="M3742" s="194">
        <v>0</v>
      </c>
      <c r="N3742" s="194">
        <v>0</v>
      </c>
      <c r="O3742" s="193">
        <f t="shared" si="817"/>
        <v>0</v>
      </c>
      <c r="P3742" s="194">
        <v>0</v>
      </c>
      <c r="Q3742" s="194">
        <v>0</v>
      </c>
      <c r="R3742" s="194">
        <v>0</v>
      </c>
      <c r="S3742" s="193">
        <f t="shared" si="818"/>
        <v>0</v>
      </c>
      <c r="T3742" s="193">
        <f t="shared" si="819"/>
        <v>0</v>
      </c>
      <c r="U3742" s="193">
        <f ca="1">OFFSET('Expenditure Study'!$B$7,'Operations Support'!$C3742,'Operations Support'!$B3742)*$G3742</f>
        <v>0</v>
      </c>
      <c r="V3742" s="199">
        <f ca="1">U3742*'Expenditure Study'!$B$31</f>
        <v>0</v>
      </c>
      <c r="W3742" s="199">
        <f ca="1">IF(A3742=10298,1.51,1)*IF($B3742&lt;3,$D3742*'Expenditure Study'!$B$32*OFFSET('Expenditure Study'!$B$7,'Operations Support'!$C3742,'Operations Support'!$B3742),0)</f>
        <v>0</v>
      </c>
      <c r="X3742" s="200">
        <f ca="1">W3742*'Expenditure Study'!$B$31</f>
        <v>0</v>
      </c>
      <c r="Y3742" s="199">
        <f ca="1">U3742*'Expenditure Study'!$B$31</f>
        <v>0</v>
      </c>
      <c r="Z3742" s="200">
        <f ca="1">W3742*'Expenditure Study'!$B$31</f>
        <v>0</v>
      </c>
      <c r="AA3742" s="195">
        <f t="shared" ca="1" si="820"/>
        <v>0</v>
      </c>
      <c r="AB3742" s="195">
        <f t="shared" ca="1" si="821"/>
        <v>0</v>
      </c>
      <c r="AD3742" s="196">
        <f>IFERROR($G3742/SUMIF($A:$A,$A3742,$G:$G)*SUMIF(Summary!$A$166:$A$242,$A3742,Summary!$P$166:$P$242),0)</f>
        <v>0</v>
      </c>
      <c r="AE3742" s="197">
        <f t="shared" ca="1" si="822"/>
        <v>0</v>
      </c>
      <c r="AF3742" s="196">
        <f>IFERROR(G3742/SUMIF(A:A,A3742,G:G)*SUMIF(Summary!$A$166:$A$242,'Operations Support'!A3742,Summary!$Q$166:$Q$242),0)</f>
        <v>0</v>
      </c>
      <c r="AG3742" s="196">
        <f t="shared" ca="1" si="823"/>
        <v>0</v>
      </c>
      <c r="AI3742" s="196">
        <f>IFERROR($G3742/SUMIF($A:$A,$A3742,$G:$G)*SUMIF(Summary!$A$247:$A$283,$A3742,Summary!$P$247:$P$283),0)</f>
        <v>0</v>
      </c>
      <c r="AJ3742" s="196">
        <f>IFERROR($G3742/SUMIF($A:$A,$A3742,$G:$G)*(SUMIF(Summary!$A$247:$A$283,$A3742,Summary!$L$247:$L$283)+SUMIF(Summary!$A$297:$A$333,$A3742,Summary!$L$297:$L$333))-AI3742,0)</f>
        <v>0</v>
      </c>
      <c r="AK3742" s="196">
        <f>IFERROR($G3742/SUMIF($A:$A,$A3742,$G:$G)*SUMIF(Summary!$A$247:$A$283,$A3742,Summary!$Q$247:$Q$283),0)</f>
        <v>0</v>
      </c>
      <c r="AL3742" s="196">
        <f>IFERROR($G3742/SUMIF($A:$A,$A3742,$G:$G)*(SUMIF(Summary!$A$247:$A$283,$A3742,Summary!$L$247:$L$283)+SUMIF(Summary!$A$297:$A$333,$A3742,Summary!$L$297:$L$333))-AK3742,0)</f>
        <v>0</v>
      </c>
      <c r="AM3742" s="198"/>
      <c r="AN3742" s="196">
        <f t="shared" ca="1" si="824"/>
        <v>0</v>
      </c>
      <c r="AO3742" s="196">
        <f t="shared" ca="1" si="825"/>
        <v>0</v>
      </c>
    </row>
    <row r="3743" spans="1:41">
      <c r="A3743" s="189">
        <v>42421</v>
      </c>
      <c r="B3743" s="190">
        <v>4</v>
      </c>
      <c r="C3743" s="191" t="s">
        <v>220</v>
      </c>
      <c r="D3743" s="192">
        <f t="shared" si="812"/>
        <v>0</v>
      </c>
      <c r="E3743" s="192">
        <f t="shared" si="813"/>
        <v>0</v>
      </c>
      <c r="F3743" s="192">
        <f t="shared" si="814"/>
        <v>0</v>
      </c>
      <c r="G3743" s="193">
        <f t="shared" si="815"/>
        <v>0</v>
      </c>
      <c r="H3743" s="194">
        <v>0</v>
      </c>
      <c r="I3743" s="194">
        <v>0</v>
      </c>
      <c r="J3743" s="194">
        <v>0</v>
      </c>
      <c r="K3743" s="193">
        <f t="shared" si="816"/>
        <v>0</v>
      </c>
      <c r="L3743" s="194">
        <v>0</v>
      </c>
      <c r="M3743" s="194">
        <v>0</v>
      </c>
      <c r="N3743" s="194">
        <v>0</v>
      </c>
      <c r="O3743" s="193">
        <f t="shared" si="817"/>
        <v>0</v>
      </c>
      <c r="P3743" s="194">
        <v>0</v>
      </c>
      <c r="Q3743" s="194">
        <v>0</v>
      </c>
      <c r="R3743" s="194">
        <v>0</v>
      </c>
      <c r="S3743" s="193">
        <f t="shared" si="818"/>
        <v>0</v>
      </c>
      <c r="T3743" s="193">
        <f t="shared" si="819"/>
        <v>0</v>
      </c>
      <c r="U3743" s="193">
        <f ca="1">OFFSET('Expenditure Study'!$B$7,'Operations Support'!$C3743,'Operations Support'!$B3743)*$G3743</f>
        <v>0</v>
      </c>
      <c r="V3743" s="199">
        <f ca="1">U3743*'Expenditure Study'!$B$31</f>
        <v>0</v>
      </c>
      <c r="W3743" s="199">
        <f ca="1">IF(A3743=10298,1.51,1)*IF($B3743&lt;3,$D3743*'Expenditure Study'!$B$32*OFFSET('Expenditure Study'!$B$7,'Operations Support'!$C3743,'Operations Support'!$B3743),0)</f>
        <v>0</v>
      </c>
      <c r="X3743" s="200">
        <f ca="1">W3743*'Expenditure Study'!$B$31</f>
        <v>0</v>
      </c>
      <c r="Y3743" s="199">
        <f ca="1">U3743*'Expenditure Study'!$B$31</f>
        <v>0</v>
      </c>
      <c r="Z3743" s="200">
        <f ca="1">W3743*'Expenditure Study'!$B$31</f>
        <v>0</v>
      </c>
      <c r="AA3743" s="195">
        <f t="shared" ca="1" si="820"/>
        <v>0</v>
      </c>
      <c r="AB3743" s="195">
        <f t="shared" ca="1" si="821"/>
        <v>0</v>
      </c>
      <c r="AD3743" s="196">
        <f>IFERROR($G3743/SUMIF($A:$A,$A3743,$G:$G)*SUMIF(Summary!$A$166:$A$242,$A3743,Summary!$P$166:$P$242),0)</f>
        <v>0</v>
      </c>
      <c r="AE3743" s="197">
        <f t="shared" ca="1" si="822"/>
        <v>0</v>
      </c>
      <c r="AF3743" s="196">
        <f>IFERROR(G3743/SUMIF(A:A,A3743,G:G)*SUMIF(Summary!$A$166:$A$242,'Operations Support'!A3743,Summary!$Q$166:$Q$242),0)</f>
        <v>0</v>
      </c>
      <c r="AG3743" s="196">
        <f t="shared" ca="1" si="823"/>
        <v>0</v>
      </c>
      <c r="AI3743" s="196">
        <f>IFERROR($G3743/SUMIF($A:$A,$A3743,$G:$G)*SUMIF(Summary!$A$247:$A$283,$A3743,Summary!$P$247:$P$283),0)</f>
        <v>0</v>
      </c>
      <c r="AJ3743" s="196">
        <f>IFERROR($G3743/SUMIF($A:$A,$A3743,$G:$G)*(SUMIF(Summary!$A$247:$A$283,$A3743,Summary!$L$247:$L$283)+SUMIF(Summary!$A$297:$A$333,$A3743,Summary!$L$297:$L$333))-AI3743,0)</f>
        <v>0</v>
      </c>
      <c r="AK3743" s="196">
        <f>IFERROR($G3743/SUMIF($A:$A,$A3743,$G:$G)*SUMIF(Summary!$A$247:$A$283,$A3743,Summary!$Q$247:$Q$283),0)</f>
        <v>0</v>
      </c>
      <c r="AL3743" s="196">
        <f>IFERROR($G3743/SUMIF($A:$A,$A3743,$G:$G)*(SUMIF(Summary!$A$247:$A$283,$A3743,Summary!$L$247:$L$283)+SUMIF(Summary!$A$297:$A$333,$A3743,Summary!$L$297:$L$333))-AK3743,0)</f>
        <v>0</v>
      </c>
      <c r="AM3743" s="198"/>
      <c r="AN3743" s="196">
        <f t="shared" ca="1" si="824"/>
        <v>0</v>
      </c>
      <c r="AO3743" s="196">
        <f t="shared" ca="1" si="825"/>
        <v>0</v>
      </c>
    </row>
    <row r="3744" spans="1:41">
      <c r="A3744" s="189">
        <v>42421</v>
      </c>
      <c r="B3744" s="190">
        <v>4</v>
      </c>
      <c r="C3744" s="191" t="s">
        <v>221</v>
      </c>
      <c r="D3744" s="192">
        <f t="shared" si="812"/>
        <v>0</v>
      </c>
      <c r="E3744" s="192">
        <f t="shared" si="813"/>
        <v>0</v>
      </c>
      <c r="F3744" s="192">
        <f t="shared" si="814"/>
        <v>0</v>
      </c>
      <c r="G3744" s="193">
        <f t="shared" si="815"/>
        <v>0</v>
      </c>
      <c r="H3744" s="194">
        <v>0</v>
      </c>
      <c r="I3744" s="194">
        <v>0</v>
      </c>
      <c r="J3744" s="194">
        <v>0</v>
      </c>
      <c r="K3744" s="193">
        <f t="shared" si="816"/>
        <v>0</v>
      </c>
      <c r="L3744" s="194">
        <v>0</v>
      </c>
      <c r="M3744" s="194">
        <v>0</v>
      </c>
      <c r="N3744" s="194">
        <v>0</v>
      </c>
      <c r="O3744" s="193">
        <f t="shared" si="817"/>
        <v>0</v>
      </c>
      <c r="P3744" s="194">
        <v>0</v>
      </c>
      <c r="Q3744" s="194">
        <v>0</v>
      </c>
      <c r="R3744" s="194">
        <v>0</v>
      </c>
      <c r="S3744" s="193">
        <f t="shared" si="818"/>
        <v>0</v>
      </c>
      <c r="T3744" s="193">
        <f t="shared" si="819"/>
        <v>0</v>
      </c>
      <c r="U3744" s="193">
        <f ca="1">OFFSET('Expenditure Study'!$B$7,'Operations Support'!$C3744,'Operations Support'!$B3744)*$G3744</f>
        <v>0</v>
      </c>
      <c r="V3744" s="199">
        <f ca="1">U3744*'Expenditure Study'!$B$31</f>
        <v>0</v>
      </c>
      <c r="W3744" s="199">
        <f ca="1">IF(A3744=10298,1.51,1)*IF($B3744&lt;3,$D3744*'Expenditure Study'!$B$32*OFFSET('Expenditure Study'!$B$7,'Operations Support'!$C3744,'Operations Support'!$B3744),0)</f>
        <v>0</v>
      </c>
      <c r="X3744" s="200">
        <f ca="1">W3744*'Expenditure Study'!$B$31</f>
        <v>0</v>
      </c>
      <c r="Y3744" s="199">
        <f ca="1">U3744*'Expenditure Study'!$B$31</f>
        <v>0</v>
      </c>
      <c r="Z3744" s="200">
        <f ca="1">W3744*'Expenditure Study'!$B$31</f>
        <v>0</v>
      </c>
      <c r="AA3744" s="195">
        <f t="shared" ca="1" si="820"/>
        <v>0</v>
      </c>
      <c r="AB3744" s="195">
        <f t="shared" ca="1" si="821"/>
        <v>0</v>
      </c>
      <c r="AD3744" s="196">
        <f>IFERROR($G3744/SUMIF($A:$A,$A3744,$G:$G)*SUMIF(Summary!$A$166:$A$242,$A3744,Summary!$P$166:$P$242),0)</f>
        <v>0</v>
      </c>
      <c r="AE3744" s="197">
        <f t="shared" ca="1" si="822"/>
        <v>0</v>
      </c>
      <c r="AF3744" s="196">
        <f>IFERROR(G3744/SUMIF(A:A,A3744,G:G)*SUMIF(Summary!$A$166:$A$242,'Operations Support'!A3744,Summary!$Q$166:$Q$242),0)</f>
        <v>0</v>
      </c>
      <c r="AG3744" s="196">
        <f t="shared" ca="1" si="823"/>
        <v>0</v>
      </c>
      <c r="AI3744" s="196">
        <f>IFERROR($G3744/SUMIF($A:$A,$A3744,$G:$G)*SUMIF(Summary!$A$247:$A$283,$A3744,Summary!$P$247:$P$283),0)</f>
        <v>0</v>
      </c>
      <c r="AJ3744" s="196">
        <f>IFERROR($G3744/SUMIF($A:$A,$A3744,$G:$G)*(SUMIF(Summary!$A$247:$A$283,$A3744,Summary!$L$247:$L$283)+SUMIF(Summary!$A$297:$A$333,$A3744,Summary!$L$297:$L$333))-AI3744,0)</f>
        <v>0</v>
      </c>
      <c r="AK3744" s="196">
        <f>IFERROR($G3744/SUMIF($A:$A,$A3744,$G:$G)*SUMIF(Summary!$A$247:$A$283,$A3744,Summary!$Q$247:$Q$283),0)</f>
        <v>0</v>
      </c>
      <c r="AL3744" s="196">
        <f>IFERROR($G3744/SUMIF($A:$A,$A3744,$G:$G)*(SUMIF(Summary!$A$247:$A$283,$A3744,Summary!$L$247:$L$283)+SUMIF(Summary!$A$297:$A$333,$A3744,Summary!$L$297:$L$333))-AK3744,0)</f>
        <v>0</v>
      </c>
      <c r="AM3744" s="198"/>
      <c r="AN3744" s="196">
        <f t="shared" ca="1" si="824"/>
        <v>0</v>
      </c>
      <c r="AO3744" s="196">
        <f t="shared" ca="1" si="825"/>
        <v>0</v>
      </c>
    </row>
    <row r="3745" spans="1:41">
      <c r="A3745" s="189">
        <v>42421</v>
      </c>
      <c r="B3745" s="190">
        <v>4</v>
      </c>
      <c r="C3745" s="191" t="s">
        <v>222</v>
      </c>
      <c r="D3745" s="192">
        <f t="shared" si="812"/>
        <v>0</v>
      </c>
      <c r="E3745" s="192">
        <f t="shared" si="813"/>
        <v>0</v>
      </c>
      <c r="F3745" s="192">
        <f t="shared" si="814"/>
        <v>0</v>
      </c>
      <c r="G3745" s="193">
        <f t="shared" si="815"/>
        <v>0</v>
      </c>
      <c r="H3745" s="194">
        <v>0</v>
      </c>
      <c r="I3745" s="194">
        <v>0</v>
      </c>
      <c r="J3745" s="194">
        <v>0</v>
      </c>
      <c r="K3745" s="193">
        <f t="shared" si="816"/>
        <v>0</v>
      </c>
      <c r="L3745" s="194">
        <v>0</v>
      </c>
      <c r="M3745" s="194">
        <v>0</v>
      </c>
      <c r="N3745" s="194">
        <v>0</v>
      </c>
      <c r="O3745" s="193">
        <f t="shared" si="817"/>
        <v>0</v>
      </c>
      <c r="P3745" s="194">
        <v>0</v>
      </c>
      <c r="Q3745" s="194">
        <v>0</v>
      </c>
      <c r="R3745" s="194">
        <v>0</v>
      </c>
      <c r="S3745" s="193">
        <f t="shared" si="818"/>
        <v>0</v>
      </c>
      <c r="T3745" s="193">
        <f t="shared" si="819"/>
        <v>0</v>
      </c>
      <c r="U3745" s="193">
        <f ca="1">OFFSET('Expenditure Study'!$B$7,'Operations Support'!$C3745,'Operations Support'!$B3745)*$G3745</f>
        <v>0</v>
      </c>
      <c r="V3745" s="199">
        <f ca="1">U3745*'Expenditure Study'!$B$31</f>
        <v>0</v>
      </c>
      <c r="W3745" s="199">
        <f ca="1">IF(A3745=10298,1.51,1)*IF($B3745&lt;3,$D3745*'Expenditure Study'!$B$32*OFFSET('Expenditure Study'!$B$7,'Operations Support'!$C3745,'Operations Support'!$B3745),0)</f>
        <v>0</v>
      </c>
      <c r="X3745" s="200">
        <f ca="1">W3745*'Expenditure Study'!$B$31</f>
        <v>0</v>
      </c>
      <c r="Y3745" s="199">
        <f ca="1">U3745*'Expenditure Study'!$B$31</f>
        <v>0</v>
      </c>
      <c r="Z3745" s="200">
        <f ca="1">W3745*'Expenditure Study'!$B$31</f>
        <v>0</v>
      </c>
      <c r="AA3745" s="195">
        <f t="shared" ca="1" si="820"/>
        <v>0</v>
      </c>
      <c r="AB3745" s="195">
        <f t="shared" ca="1" si="821"/>
        <v>0</v>
      </c>
      <c r="AD3745" s="196">
        <f>IFERROR($G3745/SUMIF($A:$A,$A3745,$G:$G)*SUMIF(Summary!$A$166:$A$242,$A3745,Summary!$P$166:$P$242),0)</f>
        <v>0</v>
      </c>
      <c r="AE3745" s="197">
        <f t="shared" ca="1" si="822"/>
        <v>0</v>
      </c>
      <c r="AF3745" s="196">
        <f>IFERROR(G3745/SUMIF(A:A,A3745,G:G)*SUMIF(Summary!$A$166:$A$242,'Operations Support'!A3745,Summary!$Q$166:$Q$242),0)</f>
        <v>0</v>
      </c>
      <c r="AG3745" s="196">
        <f t="shared" ca="1" si="823"/>
        <v>0</v>
      </c>
      <c r="AI3745" s="196">
        <f>IFERROR($G3745/SUMIF($A:$A,$A3745,$G:$G)*SUMIF(Summary!$A$247:$A$283,$A3745,Summary!$P$247:$P$283),0)</f>
        <v>0</v>
      </c>
      <c r="AJ3745" s="196">
        <f>IFERROR($G3745/SUMIF($A:$A,$A3745,$G:$G)*(SUMIF(Summary!$A$247:$A$283,$A3745,Summary!$L$247:$L$283)+SUMIF(Summary!$A$297:$A$333,$A3745,Summary!$L$297:$L$333))-AI3745,0)</f>
        <v>0</v>
      </c>
      <c r="AK3745" s="196">
        <f>IFERROR($G3745/SUMIF($A:$A,$A3745,$G:$G)*SUMIF(Summary!$A$247:$A$283,$A3745,Summary!$Q$247:$Q$283),0)</f>
        <v>0</v>
      </c>
      <c r="AL3745" s="196">
        <f>IFERROR($G3745/SUMIF($A:$A,$A3745,$G:$G)*(SUMIF(Summary!$A$247:$A$283,$A3745,Summary!$L$247:$L$283)+SUMIF(Summary!$A$297:$A$333,$A3745,Summary!$L$297:$L$333))-AK3745,0)</f>
        <v>0</v>
      </c>
      <c r="AM3745" s="198"/>
      <c r="AN3745" s="196">
        <f t="shared" ca="1" si="824"/>
        <v>0</v>
      </c>
      <c r="AO3745" s="196">
        <f t="shared" ca="1" si="825"/>
        <v>0</v>
      </c>
    </row>
    <row r="3746" spans="1:41">
      <c r="A3746" s="189">
        <v>42421</v>
      </c>
      <c r="B3746" s="190">
        <v>4</v>
      </c>
      <c r="C3746" s="191" t="s">
        <v>223</v>
      </c>
      <c r="D3746" s="192">
        <f t="shared" si="812"/>
        <v>0</v>
      </c>
      <c r="E3746" s="192">
        <f t="shared" si="813"/>
        <v>0</v>
      </c>
      <c r="F3746" s="192">
        <f t="shared" si="814"/>
        <v>0</v>
      </c>
      <c r="G3746" s="193">
        <f t="shared" si="815"/>
        <v>0</v>
      </c>
      <c r="H3746" s="194">
        <v>0</v>
      </c>
      <c r="I3746" s="194">
        <v>0</v>
      </c>
      <c r="J3746" s="194">
        <v>0</v>
      </c>
      <c r="K3746" s="193">
        <f t="shared" si="816"/>
        <v>0</v>
      </c>
      <c r="L3746" s="194">
        <v>0</v>
      </c>
      <c r="M3746" s="194">
        <v>0</v>
      </c>
      <c r="N3746" s="194">
        <v>0</v>
      </c>
      <c r="O3746" s="193">
        <f t="shared" si="817"/>
        <v>0</v>
      </c>
      <c r="P3746" s="194">
        <v>0</v>
      </c>
      <c r="Q3746" s="194">
        <v>0</v>
      </c>
      <c r="R3746" s="194">
        <v>0</v>
      </c>
      <c r="S3746" s="193">
        <f t="shared" si="818"/>
        <v>0</v>
      </c>
      <c r="T3746" s="193">
        <f t="shared" si="819"/>
        <v>0</v>
      </c>
      <c r="U3746" s="193">
        <f ca="1">OFFSET('Expenditure Study'!$B$7,'Operations Support'!$C3746,'Operations Support'!$B3746)*$G3746</f>
        <v>0</v>
      </c>
      <c r="V3746" s="199">
        <f ca="1">U3746*'Expenditure Study'!$B$31</f>
        <v>0</v>
      </c>
      <c r="W3746" s="199">
        <f ca="1">IF(A3746=10298,1.51,1)*IF($B3746&lt;3,$D3746*'Expenditure Study'!$B$32*OFFSET('Expenditure Study'!$B$7,'Operations Support'!$C3746,'Operations Support'!$B3746),0)</f>
        <v>0</v>
      </c>
      <c r="X3746" s="200">
        <f ca="1">W3746*'Expenditure Study'!$B$31</f>
        <v>0</v>
      </c>
      <c r="Y3746" s="199">
        <f ca="1">U3746*'Expenditure Study'!$B$31</f>
        <v>0</v>
      </c>
      <c r="Z3746" s="200">
        <f ca="1">W3746*'Expenditure Study'!$B$31</f>
        <v>0</v>
      </c>
      <c r="AA3746" s="195">
        <f t="shared" ca="1" si="820"/>
        <v>0</v>
      </c>
      <c r="AB3746" s="195">
        <f t="shared" ca="1" si="821"/>
        <v>0</v>
      </c>
      <c r="AD3746" s="196">
        <f>IFERROR($G3746/SUMIF($A:$A,$A3746,$G:$G)*SUMIF(Summary!$A$166:$A$242,$A3746,Summary!$P$166:$P$242),0)</f>
        <v>0</v>
      </c>
      <c r="AE3746" s="197">
        <f t="shared" ca="1" si="822"/>
        <v>0</v>
      </c>
      <c r="AF3746" s="196">
        <f>IFERROR(G3746/SUMIF(A:A,A3746,G:G)*SUMIF(Summary!$A$166:$A$242,'Operations Support'!A3746,Summary!$Q$166:$Q$242),0)</f>
        <v>0</v>
      </c>
      <c r="AG3746" s="196">
        <f t="shared" ca="1" si="823"/>
        <v>0</v>
      </c>
      <c r="AI3746" s="196">
        <f>IFERROR($G3746/SUMIF($A:$A,$A3746,$G:$G)*SUMIF(Summary!$A$247:$A$283,$A3746,Summary!$P$247:$P$283),0)</f>
        <v>0</v>
      </c>
      <c r="AJ3746" s="196">
        <f>IFERROR($G3746/SUMIF($A:$A,$A3746,$G:$G)*(SUMIF(Summary!$A$247:$A$283,$A3746,Summary!$L$247:$L$283)+SUMIF(Summary!$A$297:$A$333,$A3746,Summary!$L$297:$L$333))-AI3746,0)</f>
        <v>0</v>
      </c>
      <c r="AK3746" s="196">
        <f>IFERROR($G3746/SUMIF($A:$A,$A3746,$G:$G)*SUMIF(Summary!$A$247:$A$283,$A3746,Summary!$Q$247:$Q$283),0)</f>
        <v>0</v>
      </c>
      <c r="AL3746" s="196">
        <f>IFERROR($G3746/SUMIF($A:$A,$A3746,$G:$G)*(SUMIF(Summary!$A$247:$A$283,$A3746,Summary!$L$247:$L$283)+SUMIF(Summary!$A$297:$A$333,$A3746,Summary!$L$297:$L$333))-AK3746,0)</f>
        <v>0</v>
      </c>
      <c r="AM3746" s="198"/>
      <c r="AN3746" s="196">
        <f t="shared" ca="1" si="824"/>
        <v>0</v>
      </c>
      <c r="AO3746" s="196">
        <f t="shared" ca="1" si="825"/>
        <v>0</v>
      </c>
    </row>
    <row r="3747" spans="1:41">
      <c r="A3747" s="189">
        <v>42421</v>
      </c>
      <c r="B3747" s="190">
        <v>4</v>
      </c>
      <c r="C3747" s="191" t="s">
        <v>224</v>
      </c>
      <c r="D3747" s="192">
        <f t="shared" si="812"/>
        <v>0</v>
      </c>
      <c r="E3747" s="192">
        <f t="shared" si="813"/>
        <v>0</v>
      </c>
      <c r="F3747" s="192">
        <f t="shared" si="814"/>
        <v>0</v>
      </c>
      <c r="G3747" s="193">
        <f t="shared" si="815"/>
        <v>0</v>
      </c>
      <c r="H3747" s="194">
        <v>0</v>
      </c>
      <c r="I3747" s="194">
        <v>0</v>
      </c>
      <c r="J3747" s="194">
        <v>0</v>
      </c>
      <c r="K3747" s="193">
        <f t="shared" si="816"/>
        <v>0</v>
      </c>
      <c r="L3747" s="194">
        <v>0</v>
      </c>
      <c r="M3747" s="194">
        <v>0</v>
      </c>
      <c r="N3747" s="194">
        <v>0</v>
      </c>
      <c r="O3747" s="193">
        <f t="shared" si="817"/>
        <v>0</v>
      </c>
      <c r="P3747" s="194">
        <v>0</v>
      </c>
      <c r="Q3747" s="194">
        <v>0</v>
      </c>
      <c r="R3747" s="194">
        <v>0</v>
      </c>
      <c r="S3747" s="193">
        <f t="shared" si="818"/>
        <v>0</v>
      </c>
      <c r="T3747" s="193">
        <f t="shared" si="819"/>
        <v>0</v>
      </c>
      <c r="U3747" s="193">
        <f ca="1">OFFSET('Expenditure Study'!$B$7,'Operations Support'!$C3747,'Operations Support'!$B3747)*$G3747</f>
        <v>0</v>
      </c>
      <c r="V3747" s="199">
        <f ca="1">U3747*'Expenditure Study'!$B$31</f>
        <v>0</v>
      </c>
      <c r="W3747" s="199">
        <f ca="1">IF(A3747=10298,1.51,1)*IF($B3747&lt;3,$D3747*'Expenditure Study'!$B$32*OFFSET('Expenditure Study'!$B$7,'Operations Support'!$C3747,'Operations Support'!$B3747),0)</f>
        <v>0</v>
      </c>
      <c r="X3747" s="200">
        <f ca="1">W3747*'Expenditure Study'!$B$31</f>
        <v>0</v>
      </c>
      <c r="Y3747" s="199">
        <f ca="1">U3747*'Expenditure Study'!$B$31</f>
        <v>0</v>
      </c>
      <c r="Z3747" s="200">
        <f ca="1">W3747*'Expenditure Study'!$B$31</f>
        <v>0</v>
      </c>
      <c r="AA3747" s="195">
        <f t="shared" ca="1" si="820"/>
        <v>0</v>
      </c>
      <c r="AB3747" s="195">
        <f t="shared" ca="1" si="821"/>
        <v>0</v>
      </c>
      <c r="AD3747" s="196">
        <f>IFERROR($G3747/SUMIF($A:$A,$A3747,$G:$G)*SUMIF(Summary!$A$166:$A$242,$A3747,Summary!$P$166:$P$242),0)</f>
        <v>0</v>
      </c>
      <c r="AE3747" s="197">
        <f t="shared" ca="1" si="822"/>
        <v>0</v>
      </c>
      <c r="AF3747" s="196">
        <f>IFERROR(G3747/SUMIF(A:A,A3747,G:G)*SUMIF(Summary!$A$166:$A$242,'Operations Support'!A3747,Summary!$Q$166:$Q$242),0)</f>
        <v>0</v>
      </c>
      <c r="AG3747" s="196">
        <f t="shared" ca="1" si="823"/>
        <v>0</v>
      </c>
      <c r="AI3747" s="196">
        <f>IFERROR($G3747/SUMIF($A:$A,$A3747,$G:$G)*SUMIF(Summary!$A$247:$A$283,$A3747,Summary!$P$247:$P$283),0)</f>
        <v>0</v>
      </c>
      <c r="AJ3747" s="196">
        <f>IFERROR($G3747/SUMIF($A:$A,$A3747,$G:$G)*(SUMIF(Summary!$A$247:$A$283,$A3747,Summary!$L$247:$L$283)+SUMIF(Summary!$A$297:$A$333,$A3747,Summary!$L$297:$L$333))-AI3747,0)</f>
        <v>0</v>
      </c>
      <c r="AK3747" s="196">
        <f>IFERROR($G3747/SUMIF($A:$A,$A3747,$G:$G)*SUMIF(Summary!$A$247:$A$283,$A3747,Summary!$Q$247:$Q$283),0)</f>
        <v>0</v>
      </c>
      <c r="AL3747" s="196">
        <f>IFERROR($G3747/SUMIF($A:$A,$A3747,$G:$G)*(SUMIF(Summary!$A$247:$A$283,$A3747,Summary!$L$247:$L$283)+SUMIF(Summary!$A$297:$A$333,$A3747,Summary!$L$297:$L$333))-AK3747,0)</f>
        <v>0</v>
      </c>
      <c r="AM3747" s="198"/>
      <c r="AN3747" s="196">
        <f t="shared" ca="1" si="824"/>
        <v>0</v>
      </c>
      <c r="AO3747" s="196">
        <f t="shared" ca="1" si="825"/>
        <v>0</v>
      </c>
    </row>
    <row r="3748" spans="1:41">
      <c r="A3748" s="189">
        <v>42421</v>
      </c>
      <c r="B3748" s="190">
        <v>4</v>
      </c>
      <c r="C3748" s="191" t="s">
        <v>225</v>
      </c>
      <c r="D3748" s="192">
        <f t="shared" si="812"/>
        <v>0</v>
      </c>
      <c r="E3748" s="192">
        <f t="shared" si="813"/>
        <v>0</v>
      </c>
      <c r="F3748" s="192">
        <f t="shared" si="814"/>
        <v>0</v>
      </c>
      <c r="G3748" s="193">
        <f t="shared" si="815"/>
        <v>0</v>
      </c>
      <c r="H3748" s="194">
        <v>0</v>
      </c>
      <c r="I3748" s="194">
        <v>0</v>
      </c>
      <c r="J3748" s="194">
        <v>0</v>
      </c>
      <c r="K3748" s="193">
        <f t="shared" si="816"/>
        <v>0</v>
      </c>
      <c r="L3748" s="194">
        <v>0</v>
      </c>
      <c r="M3748" s="194">
        <v>0</v>
      </c>
      <c r="N3748" s="194">
        <v>0</v>
      </c>
      <c r="O3748" s="193">
        <f t="shared" si="817"/>
        <v>0</v>
      </c>
      <c r="P3748" s="194">
        <v>0</v>
      </c>
      <c r="Q3748" s="194">
        <v>0</v>
      </c>
      <c r="R3748" s="194">
        <v>0</v>
      </c>
      <c r="S3748" s="193">
        <f t="shared" si="818"/>
        <v>0</v>
      </c>
      <c r="T3748" s="193">
        <f t="shared" si="819"/>
        <v>0</v>
      </c>
      <c r="U3748" s="193">
        <f ca="1">OFFSET('Expenditure Study'!$B$7,'Operations Support'!$C3748,'Operations Support'!$B3748)*$G3748</f>
        <v>0</v>
      </c>
      <c r="V3748" s="199">
        <f ca="1">U3748*'Expenditure Study'!$B$31</f>
        <v>0</v>
      </c>
      <c r="W3748" s="199">
        <f ca="1">IF(A3748=10298,1.51,1)*IF($B3748&lt;3,$D3748*'Expenditure Study'!$B$32*OFFSET('Expenditure Study'!$B$7,'Operations Support'!$C3748,'Operations Support'!$B3748),0)</f>
        <v>0</v>
      </c>
      <c r="X3748" s="200">
        <f ca="1">W3748*'Expenditure Study'!$B$31</f>
        <v>0</v>
      </c>
      <c r="Y3748" s="199">
        <f ca="1">U3748*'Expenditure Study'!$B$31</f>
        <v>0</v>
      </c>
      <c r="Z3748" s="200">
        <f ca="1">W3748*'Expenditure Study'!$B$31</f>
        <v>0</v>
      </c>
      <c r="AA3748" s="195">
        <f t="shared" ca="1" si="820"/>
        <v>0</v>
      </c>
      <c r="AB3748" s="195">
        <f t="shared" ca="1" si="821"/>
        <v>0</v>
      </c>
      <c r="AD3748" s="196">
        <f>IFERROR($G3748/SUMIF($A:$A,$A3748,$G:$G)*SUMIF(Summary!$A$166:$A$242,$A3748,Summary!$P$166:$P$242),0)</f>
        <v>0</v>
      </c>
      <c r="AE3748" s="197">
        <f t="shared" ca="1" si="822"/>
        <v>0</v>
      </c>
      <c r="AF3748" s="196">
        <f>IFERROR(G3748/SUMIF(A:A,A3748,G:G)*SUMIF(Summary!$A$166:$A$242,'Operations Support'!A3748,Summary!$Q$166:$Q$242),0)</f>
        <v>0</v>
      </c>
      <c r="AG3748" s="196">
        <f t="shared" ca="1" si="823"/>
        <v>0</v>
      </c>
      <c r="AI3748" s="196">
        <f>IFERROR($G3748/SUMIF($A:$A,$A3748,$G:$G)*SUMIF(Summary!$A$247:$A$283,$A3748,Summary!$P$247:$P$283),0)</f>
        <v>0</v>
      </c>
      <c r="AJ3748" s="196">
        <f>IFERROR($G3748/SUMIF($A:$A,$A3748,$G:$G)*(SUMIF(Summary!$A$247:$A$283,$A3748,Summary!$L$247:$L$283)+SUMIF(Summary!$A$297:$A$333,$A3748,Summary!$L$297:$L$333))-AI3748,0)</f>
        <v>0</v>
      </c>
      <c r="AK3748" s="196">
        <f>IFERROR($G3748/SUMIF($A:$A,$A3748,$G:$G)*SUMIF(Summary!$A$247:$A$283,$A3748,Summary!$Q$247:$Q$283),0)</f>
        <v>0</v>
      </c>
      <c r="AL3748" s="196">
        <f>IFERROR($G3748/SUMIF($A:$A,$A3748,$G:$G)*(SUMIF(Summary!$A$247:$A$283,$A3748,Summary!$L$247:$L$283)+SUMIF(Summary!$A$297:$A$333,$A3748,Summary!$L$297:$L$333))-AK3748,0)</f>
        <v>0</v>
      </c>
      <c r="AM3748" s="198"/>
      <c r="AN3748" s="196">
        <f t="shared" ca="1" si="824"/>
        <v>0</v>
      </c>
      <c r="AO3748" s="196">
        <f t="shared" ca="1" si="825"/>
        <v>0</v>
      </c>
    </row>
    <row r="3749" spans="1:41">
      <c r="A3749" s="189">
        <v>42421</v>
      </c>
      <c r="B3749" s="190">
        <v>4</v>
      </c>
      <c r="C3749" s="191" t="s">
        <v>226</v>
      </c>
      <c r="D3749" s="192">
        <f t="shared" si="812"/>
        <v>0</v>
      </c>
      <c r="E3749" s="192">
        <f t="shared" si="813"/>
        <v>0</v>
      </c>
      <c r="F3749" s="192">
        <f t="shared" si="814"/>
        <v>0</v>
      </c>
      <c r="G3749" s="193">
        <f t="shared" si="815"/>
        <v>0</v>
      </c>
      <c r="H3749" s="194">
        <v>0</v>
      </c>
      <c r="I3749" s="194">
        <v>0</v>
      </c>
      <c r="J3749" s="194">
        <v>0</v>
      </c>
      <c r="K3749" s="193">
        <f t="shared" si="816"/>
        <v>0</v>
      </c>
      <c r="L3749" s="194">
        <v>0</v>
      </c>
      <c r="M3749" s="194">
        <v>0</v>
      </c>
      <c r="N3749" s="194">
        <v>0</v>
      </c>
      <c r="O3749" s="193">
        <f t="shared" si="817"/>
        <v>0</v>
      </c>
      <c r="P3749" s="194">
        <v>0</v>
      </c>
      <c r="Q3749" s="194">
        <v>0</v>
      </c>
      <c r="R3749" s="194">
        <v>0</v>
      </c>
      <c r="S3749" s="193">
        <f t="shared" si="818"/>
        <v>0</v>
      </c>
      <c r="T3749" s="193">
        <f t="shared" si="819"/>
        <v>0</v>
      </c>
      <c r="U3749" s="193">
        <f ca="1">OFFSET('Expenditure Study'!$B$7,'Operations Support'!$C3749,'Operations Support'!$B3749)*$G3749</f>
        <v>0</v>
      </c>
      <c r="V3749" s="199">
        <f ca="1">U3749*'Expenditure Study'!$B$31</f>
        <v>0</v>
      </c>
      <c r="W3749" s="199">
        <f ca="1">IF(A3749=10298,1.51,1)*IF($B3749&lt;3,$D3749*'Expenditure Study'!$B$32*OFFSET('Expenditure Study'!$B$7,'Operations Support'!$C3749,'Operations Support'!$B3749),0)</f>
        <v>0</v>
      </c>
      <c r="X3749" s="200">
        <f ca="1">W3749*'Expenditure Study'!$B$31</f>
        <v>0</v>
      </c>
      <c r="Y3749" s="199">
        <f ca="1">U3749*'Expenditure Study'!$B$31</f>
        <v>0</v>
      </c>
      <c r="Z3749" s="200">
        <f ca="1">W3749*'Expenditure Study'!$B$31</f>
        <v>0</v>
      </c>
      <c r="AA3749" s="195">
        <f t="shared" ca="1" si="820"/>
        <v>0</v>
      </c>
      <c r="AB3749" s="195">
        <f t="shared" ca="1" si="821"/>
        <v>0</v>
      </c>
      <c r="AD3749" s="196">
        <f>IFERROR($G3749/SUMIF($A:$A,$A3749,$G:$G)*SUMIF(Summary!$A$166:$A$242,$A3749,Summary!$P$166:$P$242),0)</f>
        <v>0</v>
      </c>
      <c r="AE3749" s="197">
        <f t="shared" ca="1" si="822"/>
        <v>0</v>
      </c>
      <c r="AF3749" s="196">
        <f>IFERROR(G3749/SUMIF(A:A,A3749,G:G)*SUMIF(Summary!$A$166:$A$242,'Operations Support'!A3749,Summary!$Q$166:$Q$242),0)</f>
        <v>0</v>
      </c>
      <c r="AG3749" s="196">
        <f t="shared" ca="1" si="823"/>
        <v>0</v>
      </c>
      <c r="AI3749" s="196">
        <f>IFERROR($G3749/SUMIF($A:$A,$A3749,$G:$G)*SUMIF(Summary!$A$247:$A$283,$A3749,Summary!$P$247:$P$283),0)</f>
        <v>0</v>
      </c>
      <c r="AJ3749" s="196">
        <f>IFERROR($G3749/SUMIF($A:$A,$A3749,$G:$G)*(SUMIF(Summary!$A$247:$A$283,$A3749,Summary!$L$247:$L$283)+SUMIF(Summary!$A$297:$A$333,$A3749,Summary!$L$297:$L$333))-AI3749,0)</f>
        <v>0</v>
      </c>
      <c r="AK3749" s="196">
        <f>IFERROR($G3749/SUMIF($A:$A,$A3749,$G:$G)*SUMIF(Summary!$A$247:$A$283,$A3749,Summary!$Q$247:$Q$283),0)</f>
        <v>0</v>
      </c>
      <c r="AL3749" s="196">
        <f>IFERROR($G3749/SUMIF($A:$A,$A3749,$G:$G)*(SUMIF(Summary!$A$247:$A$283,$A3749,Summary!$L$247:$L$283)+SUMIF(Summary!$A$297:$A$333,$A3749,Summary!$L$297:$L$333))-AK3749,0)</f>
        <v>0</v>
      </c>
      <c r="AM3749" s="198"/>
      <c r="AN3749" s="196">
        <f t="shared" ca="1" si="824"/>
        <v>0</v>
      </c>
      <c r="AO3749" s="196">
        <f t="shared" ca="1" si="825"/>
        <v>0</v>
      </c>
    </row>
    <row r="3750" spans="1:41">
      <c r="A3750" s="189">
        <v>42421</v>
      </c>
      <c r="B3750" s="190">
        <v>4</v>
      </c>
      <c r="C3750" s="191" t="s">
        <v>227</v>
      </c>
      <c r="D3750" s="192">
        <f t="shared" si="812"/>
        <v>0</v>
      </c>
      <c r="E3750" s="192">
        <f t="shared" si="813"/>
        <v>0</v>
      </c>
      <c r="F3750" s="192">
        <f t="shared" si="814"/>
        <v>0</v>
      </c>
      <c r="G3750" s="193">
        <f t="shared" si="815"/>
        <v>0</v>
      </c>
      <c r="H3750" s="194">
        <v>0</v>
      </c>
      <c r="I3750" s="194">
        <v>0</v>
      </c>
      <c r="J3750" s="194">
        <v>0</v>
      </c>
      <c r="K3750" s="193">
        <f t="shared" si="816"/>
        <v>0</v>
      </c>
      <c r="L3750" s="194">
        <v>0</v>
      </c>
      <c r="M3750" s="194">
        <v>0</v>
      </c>
      <c r="N3750" s="194">
        <v>0</v>
      </c>
      <c r="O3750" s="193">
        <f t="shared" si="817"/>
        <v>0</v>
      </c>
      <c r="P3750" s="194">
        <v>0</v>
      </c>
      <c r="Q3750" s="194">
        <v>0</v>
      </c>
      <c r="R3750" s="194">
        <v>0</v>
      </c>
      <c r="S3750" s="193">
        <f t="shared" si="818"/>
        <v>0</v>
      </c>
      <c r="T3750" s="193">
        <f t="shared" si="819"/>
        <v>0</v>
      </c>
      <c r="U3750" s="193">
        <f ca="1">OFFSET('Expenditure Study'!$B$7,'Operations Support'!$C3750,'Operations Support'!$B3750)*$G3750</f>
        <v>0</v>
      </c>
      <c r="V3750" s="199">
        <f ca="1">U3750*'Expenditure Study'!$B$31</f>
        <v>0</v>
      </c>
      <c r="W3750" s="199">
        <f ca="1">IF(A3750=10298,1.51,1)*IF($B3750&lt;3,$D3750*'Expenditure Study'!$B$32*OFFSET('Expenditure Study'!$B$7,'Operations Support'!$C3750,'Operations Support'!$B3750),0)</f>
        <v>0</v>
      </c>
      <c r="X3750" s="200">
        <f ca="1">W3750*'Expenditure Study'!$B$31</f>
        <v>0</v>
      </c>
      <c r="Y3750" s="199">
        <f ca="1">U3750*'Expenditure Study'!$B$31</f>
        <v>0</v>
      </c>
      <c r="Z3750" s="200">
        <f ca="1">W3750*'Expenditure Study'!$B$31</f>
        <v>0</v>
      </c>
      <c r="AA3750" s="195">
        <f t="shared" ca="1" si="820"/>
        <v>0</v>
      </c>
      <c r="AB3750" s="195">
        <f t="shared" ca="1" si="821"/>
        <v>0</v>
      </c>
      <c r="AD3750" s="196">
        <f>IFERROR($G3750/SUMIF($A:$A,$A3750,$G:$G)*SUMIF(Summary!$A$166:$A$242,$A3750,Summary!$P$166:$P$242),0)</f>
        <v>0</v>
      </c>
      <c r="AE3750" s="197">
        <f t="shared" ca="1" si="822"/>
        <v>0</v>
      </c>
      <c r="AF3750" s="196">
        <f>IFERROR(G3750/SUMIF(A:A,A3750,G:G)*SUMIF(Summary!$A$166:$A$242,'Operations Support'!A3750,Summary!$Q$166:$Q$242),0)</f>
        <v>0</v>
      </c>
      <c r="AG3750" s="196">
        <f t="shared" ca="1" si="823"/>
        <v>0</v>
      </c>
      <c r="AI3750" s="196">
        <f>IFERROR($G3750/SUMIF($A:$A,$A3750,$G:$G)*SUMIF(Summary!$A$247:$A$283,$A3750,Summary!$P$247:$P$283),0)</f>
        <v>0</v>
      </c>
      <c r="AJ3750" s="196">
        <f>IFERROR($G3750/SUMIF($A:$A,$A3750,$G:$G)*(SUMIF(Summary!$A$247:$A$283,$A3750,Summary!$L$247:$L$283)+SUMIF(Summary!$A$297:$A$333,$A3750,Summary!$L$297:$L$333))-AI3750,0)</f>
        <v>0</v>
      </c>
      <c r="AK3750" s="196">
        <f>IFERROR($G3750/SUMIF($A:$A,$A3750,$G:$G)*SUMIF(Summary!$A$247:$A$283,$A3750,Summary!$Q$247:$Q$283),0)</f>
        <v>0</v>
      </c>
      <c r="AL3750" s="196">
        <f>IFERROR($G3750/SUMIF($A:$A,$A3750,$G:$G)*(SUMIF(Summary!$A$247:$A$283,$A3750,Summary!$L$247:$L$283)+SUMIF(Summary!$A$297:$A$333,$A3750,Summary!$L$297:$L$333))-AK3750,0)</f>
        <v>0</v>
      </c>
      <c r="AM3750" s="198"/>
      <c r="AN3750" s="196">
        <f t="shared" ca="1" si="824"/>
        <v>0</v>
      </c>
      <c r="AO3750" s="196">
        <f t="shared" ca="1" si="825"/>
        <v>0</v>
      </c>
    </row>
    <row r="3751" spans="1:41">
      <c r="A3751" s="189">
        <v>42421</v>
      </c>
      <c r="B3751" s="190">
        <v>4</v>
      </c>
      <c r="C3751" s="191" t="s">
        <v>228</v>
      </c>
      <c r="D3751" s="192">
        <f t="shared" si="812"/>
        <v>0</v>
      </c>
      <c r="E3751" s="192">
        <f t="shared" si="813"/>
        <v>0</v>
      </c>
      <c r="F3751" s="192">
        <f t="shared" si="814"/>
        <v>0</v>
      </c>
      <c r="G3751" s="193">
        <f t="shared" si="815"/>
        <v>0</v>
      </c>
      <c r="H3751" s="194">
        <v>0</v>
      </c>
      <c r="I3751" s="194">
        <v>0</v>
      </c>
      <c r="J3751" s="194">
        <v>0</v>
      </c>
      <c r="K3751" s="193">
        <f t="shared" si="816"/>
        <v>0</v>
      </c>
      <c r="L3751" s="194">
        <v>0</v>
      </c>
      <c r="M3751" s="194">
        <v>0</v>
      </c>
      <c r="N3751" s="194">
        <v>0</v>
      </c>
      <c r="O3751" s="193">
        <f t="shared" si="817"/>
        <v>0</v>
      </c>
      <c r="P3751" s="194">
        <v>0</v>
      </c>
      <c r="Q3751" s="194">
        <v>0</v>
      </c>
      <c r="R3751" s="194">
        <v>0</v>
      </c>
      <c r="S3751" s="193">
        <f t="shared" si="818"/>
        <v>0</v>
      </c>
      <c r="T3751" s="193">
        <f t="shared" si="819"/>
        <v>0</v>
      </c>
      <c r="U3751" s="193">
        <f ca="1">OFFSET('Expenditure Study'!$B$7,'Operations Support'!$C3751,'Operations Support'!$B3751)*$G3751</f>
        <v>0</v>
      </c>
      <c r="V3751" s="199">
        <f ca="1">U3751*'Expenditure Study'!$B$31</f>
        <v>0</v>
      </c>
      <c r="W3751" s="199">
        <f ca="1">IF(A3751=10298,1.51,1)*IF($B3751&lt;3,$D3751*'Expenditure Study'!$B$32*OFFSET('Expenditure Study'!$B$7,'Operations Support'!$C3751,'Operations Support'!$B3751),0)</f>
        <v>0</v>
      </c>
      <c r="X3751" s="200">
        <f ca="1">W3751*'Expenditure Study'!$B$31</f>
        <v>0</v>
      </c>
      <c r="Y3751" s="199">
        <f ca="1">U3751*'Expenditure Study'!$B$31</f>
        <v>0</v>
      </c>
      <c r="Z3751" s="200">
        <f ca="1">W3751*'Expenditure Study'!$B$31</f>
        <v>0</v>
      </c>
      <c r="AA3751" s="195">
        <f t="shared" ca="1" si="820"/>
        <v>0</v>
      </c>
      <c r="AB3751" s="195">
        <f t="shared" ca="1" si="821"/>
        <v>0</v>
      </c>
      <c r="AD3751" s="196">
        <f>IFERROR($G3751/SUMIF($A:$A,$A3751,$G:$G)*SUMIF(Summary!$A$166:$A$242,$A3751,Summary!$P$166:$P$242),0)</f>
        <v>0</v>
      </c>
      <c r="AE3751" s="197">
        <f t="shared" ca="1" si="822"/>
        <v>0</v>
      </c>
      <c r="AF3751" s="196">
        <f>IFERROR(G3751/SUMIF(A:A,A3751,G:G)*SUMIF(Summary!$A$166:$A$242,'Operations Support'!A3751,Summary!$Q$166:$Q$242),0)</f>
        <v>0</v>
      </c>
      <c r="AG3751" s="196">
        <f t="shared" ca="1" si="823"/>
        <v>0</v>
      </c>
      <c r="AI3751" s="196">
        <f>IFERROR($G3751/SUMIF($A:$A,$A3751,$G:$G)*SUMIF(Summary!$A$247:$A$283,$A3751,Summary!$P$247:$P$283),0)</f>
        <v>0</v>
      </c>
      <c r="AJ3751" s="196">
        <f>IFERROR($G3751/SUMIF($A:$A,$A3751,$G:$G)*(SUMIF(Summary!$A$247:$A$283,$A3751,Summary!$L$247:$L$283)+SUMIF(Summary!$A$297:$A$333,$A3751,Summary!$L$297:$L$333))-AI3751,0)</f>
        <v>0</v>
      </c>
      <c r="AK3751" s="196">
        <f>IFERROR($G3751/SUMIF($A:$A,$A3751,$G:$G)*SUMIF(Summary!$A$247:$A$283,$A3751,Summary!$Q$247:$Q$283),0)</f>
        <v>0</v>
      </c>
      <c r="AL3751" s="196">
        <f>IFERROR($G3751/SUMIF($A:$A,$A3751,$G:$G)*(SUMIF(Summary!$A$247:$A$283,$A3751,Summary!$L$247:$L$283)+SUMIF(Summary!$A$297:$A$333,$A3751,Summary!$L$297:$L$333))-AK3751,0)</f>
        <v>0</v>
      </c>
      <c r="AM3751" s="198"/>
      <c r="AN3751" s="196">
        <f t="shared" ca="1" si="824"/>
        <v>0</v>
      </c>
      <c r="AO3751" s="196">
        <f t="shared" ca="1" si="825"/>
        <v>0</v>
      </c>
    </row>
    <row r="3752" spans="1:41">
      <c r="A3752" s="189">
        <v>42421</v>
      </c>
      <c r="B3752" s="190">
        <v>4</v>
      </c>
      <c r="C3752" s="191" t="s">
        <v>229</v>
      </c>
      <c r="D3752" s="192">
        <f t="shared" si="812"/>
        <v>0</v>
      </c>
      <c r="E3752" s="192">
        <f t="shared" si="813"/>
        <v>0</v>
      </c>
      <c r="F3752" s="192">
        <f t="shared" si="814"/>
        <v>0</v>
      </c>
      <c r="G3752" s="193">
        <f t="shared" si="815"/>
        <v>0</v>
      </c>
      <c r="H3752" s="194">
        <v>0</v>
      </c>
      <c r="I3752" s="194">
        <v>0</v>
      </c>
      <c r="J3752" s="194">
        <v>0</v>
      </c>
      <c r="K3752" s="193">
        <f t="shared" si="816"/>
        <v>0</v>
      </c>
      <c r="L3752" s="194">
        <v>0</v>
      </c>
      <c r="M3752" s="194">
        <v>0</v>
      </c>
      <c r="N3752" s="194">
        <v>0</v>
      </c>
      <c r="O3752" s="193">
        <f t="shared" si="817"/>
        <v>0</v>
      </c>
      <c r="P3752" s="194">
        <v>0</v>
      </c>
      <c r="Q3752" s="194">
        <v>0</v>
      </c>
      <c r="R3752" s="194">
        <v>0</v>
      </c>
      <c r="S3752" s="193">
        <f t="shared" si="818"/>
        <v>0</v>
      </c>
      <c r="T3752" s="193">
        <f t="shared" si="819"/>
        <v>0</v>
      </c>
      <c r="U3752" s="193">
        <f ca="1">OFFSET('Expenditure Study'!$B$7,'Operations Support'!$C3752,'Operations Support'!$B3752)*$G3752</f>
        <v>0</v>
      </c>
      <c r="V3752" s="199">
        <f ca="1">U3752*'Expenditure Study'!$B$31</f>
        <v>0</v>
      </c>
      <c r="W3752" s="199">
        <f ca="1">IF(A3752=10298,1.51,1)*IF($B3752&lt;3,$D3752*'Expenditure Study'!$B$32*OFFSET('Expenditure Study'!$B$7,'Operations Support'!$C3752,'Operations Support'!$B3752),0)</f>
        <v>0</v>
      </c>
      <c r="X3752" s="200">
        <f ca="1">W3752*'Expenditure Study'!$B$31</f>
        <v>0</v>
      </c>
      <c r="Y3752" s="199">
        <f ca="1">U3752*'Expenditure Study'!$B$31</f>
        <v>0</v>
      </c>
      <c r="Z3752" s="200">
        <f ca="1">W3752*'Expenditure Study'!$B$31</f>
        <v>0</v>
      </c>
      <c r="AA3752" s="195">
        <f t="shared" ca="1" si="820"/>
        <v>0</v>
      </c>
      <c r="AB3752" s="195">
        <f t="shared" ca="1" si="821"/>
        <v>0</v>
      </c>
      <c r="AD3752" s="196">
        <f>IFERROR($G3752/SUMIF($A:$A,$A3752,$G:$G)*SUMIF(Summary!$A$166:$A$242,$A3752,Summary!$P$166:$P$242),0)</f>
        <v>0</v>
      </c>
      <c r="AE3752" s="197">
        <f t="shared" ca="1" si="822"/>
        <v>0</v>
      </c>
      <c r="AF3752" s="196">
        <f>IFERROR(G3752/SUMIF(A:A,A3752,G:G)*SUMIF(Summary!$A$166:$A$242,'Operations Support'!A3752,Summary!$Q$166:$Q$242),0)</f>
        <v>0</v>
      </c>
      <c r="AG3752" s="196">
        <f t="shared" ca="1" si="823"/>
        <v>0</v>
      </c>
      <c r="AI3752" s="196">
        <f>IFERROR($G3752/SUMIF($A:$A,$A3752,$G:$G)*SUMIF(Summary!$A$247:$A$283,$A3752,Summary!$P$247:$P$283),0)</f>
        <v>0</v>
      </c>
      <c r="AJ3752" s="196">
        <f>IFERROR($G3752/SUMIF($A:$A,$A3752,$G:$G)*(SUMIF(Summary!$A$247:$A$283,$A3752,Summary!$L$247:$L$283)+SUMIF(Summary!$A$297:$A$333,$A3752,Summary!$L$297:$L$333))-AI3752,0)</f>
        <v>0</v>
      </c>
      <c r="AK3752" s="196">
        <f>IFERROR($G3752/SUMIF($A:$A,$A3752,$G:$G)*SUMIF(Summary!$A$247:$A$283,$A3752,Summary!$Q$247:$Q$283),0)</f>
        <v>0</v>
      </c>
      <c r="AL3752" s="196">
        <f>IFERROR($G3752/SUMIF($A:$A,$A3752,$G:$G)*(SUMIF(Summary!$A$247:$A$283,$A3752,Summary!$L$247:$L$283)+SUMIF(Summary!$A$297:$A$333,$A3752,Summary!$L$297:$L$333))-AK3752,0)</f>
        <v>0</v>
      </c>
      <c r="AM3752" s="198"/>
      <c r="AN3752" s="196">
        <f t="shared" ca="1" si="824"/>
        <v>0</v>
      </c>
      <c r="AO3752" s="196">
        <f t="shared" ca="1" si="825"/>
        <v>0</v>
      </c>
    </row>
    <row r="3753" spans="1:41">
      <c r="A3753" s="189">
        <v>42421</v>
      </c>
      <c r="B3753" s="190">
        <v>4</v>
      </c>
      <c r="C3753" s="191" t="s">
        <v>230</v>
      </c>
      <c r="D3753" s="192">
        <f t="shared" si="812"/>
        <v>0</v>
      </c>
      <c r="E3753" s="192">
        <f t="shared" si="813"/>
        <v>0</v>
      </c>
      <c r="F3753" s="192">
        <f t="shared" si="814"/>
        <v>0</v>
      </c>
      <c r="G3753" s="193">
        <f t="shared" si="815"/>
        <v>0</v>
      </c>
      <c r="H3753" s="194">
        <v>0</v>
      </c>
      <c r="I3753" s="194">
        <v>0</v>
      </c>
      <c r="J3753" s="194">
        <v>0</v>
      </c>
      <c r="K3753" s="193">
        <f t="shared" si="816"/>
        <v>0</v>
      </c>
      <c r="L3753" s="194">
        <v>0</v>
      </c>
      <c r="M3753" s="194">
        <v>0</v>
      </c>
      <c r="N3753" s="194">
        <v>0</v>
      </c>
      <c r="O3753" s="193">
        <f t="shared" si="817"/>
        <v>0</v>
      </c>
      <c r="P3753" s="194">
        <v>0</v>
      </c>
      <c r="Q3753" s="194">
        <v>0</v>
      </c>
      <c r="R3753" s="194">
        <v>0</v>
      </c>
      <c r="S3753" s="193">
        <f t="shared" si="818"/>
        <v>0</v>
      </c>
      <c r="T3753" s="193">
        <f t="shared" si="819"/>
        <v>0</v>
      </c>
      <c r="U3753" s="193">
        <f ca="1">OFFSET('Expenditure Study'!$B$7,'Operations Support'!$C3753,'Operations Support'!$B3753)*$G3753</f>
        <v>0</v>
      </c>
      <c r="V3753" s="199">
        <f ca="1">U3753*'Expenditure Study'!$B$31</f>
        <v>0</v>
      </c>
      <c r="W3753" s="199">
        <f ca="1">IF(A3753=10298,1.51,1)*IF($B3753&lt;3,$D3753*'Expenditure Study'!$B$32*OFFSET('Expenditure Study'!$B$7,'Operations Support'!$C3753,'Operations Support'!$B3753),0)</f>
        <v>0</v>
      </c>
      <c r="X3753" s="200">
        <f ca="1">W3753*'Expenditure Study'!$B$31</f>
        <v>0</v>
      </c>
      <c r="Y3753" s="199">
        <f ca="1">U3753*'Expenditure Study'!$B$31</f>
        <v>0</v>
      </c>
      <c r="Z3753" s="200">
        <f ca="1">W3753*'Expenditure Study'!$B$31</f>
        <v>0</v>
      </c>
      <c r="AA3753" s="195">
        <f t="shared" ca="1" si="820"/>
        <v>0</v>
      </c>
      <c r="AB3753" s="195">
        <f t="shared" ca="1" si="821"/>
        <v>0</v>
      </c>
      <c r="AD3753" s="196">
        <f>IFERROR($G3753/SUMIF($A:$A,$A3753,$G:$G)*SUMIF(Summary!$A$166:$A$242,$A3753,Summary!$P$166:$P$242),0)</f>
        <v>0</v>
      </c>
      <c r="AE3753" s="197">
        <f t="shared" ca="1" si="822"/>
        <v>0</v>
      </c>
      <c r="AF3753" s="196">
        <f>IFERROR(G3753/SUMIF(A:A,A3753,G:G)*SUMIF(Summary!$A$166:$A$242,'Operations Support'!A3753,Summary!$Q$166:$Q$242),0)</f>
        <v>0</v>
      </c>
      <c r="AG3753" s="196">
        <f t="shared" ca="1" si="823"/>
        <v>0</v>
      </c>
      <c r="AI3753" s="196">
        <f>IFERROR($G3753/SUMIF($A:$A,$A3753,$G:$G)*SUMIF(Summary!$A$247:$A$283,$A3753,Summary!$P$247:$P$283),0)</f>
        <v>0</v>
      </c>
      <c r="AJ3753" s="196">
        <f>IFERROR($G3753/SUMIF($A:$A,$A3753,$G:$G)*(SUMIF(Summary!$A$247:$A$283,$A3753,Summary!$L$247:$L$283)+SUMIF(Summary!$A$297:$A$333,$A3753,Summary!$L$297:$L$333))-AI3753,0)</f>
        <v>0</v>
      </c>
      <c r="AK3753" s="196">
        <f>IFERROR($G3753/SUMIF($A:$A,$A3753,$G:$G)*SUMIF(Summary!$A$247:$A$283,$A3753,Summary!$Q$247:$Q$283),0)</f>
        <v>0</v>
      </c>
      <c r="AL3753" s="196">
        <f>IFERROR($G3753/SUMIF($A:$A,$A3753,$G:$G)*(SUMIF(Summary!$A$247:$A$283,$A3753,Summary!$L$247:$L$283)+SUMIF(Summary!$A$297:$A$333,$A3753,Summary!$L$297:$L$333))-AK3753,0)</f>
        <v>0</v>
      </c>
      <c r="AM3753" s="198"/>
      <c r="AN3753" s="196">
        <f t="shared" ca="1" si="824"/>
        <v>0</v>
      </c>
      <c r="AO3753" s="196">
        <f t="shared" ca="1" si="825"/>
        <v>0</v>
      </c>
    </row>
    <row r="3754" spans="1:41">
      <c r="A3754" s="189">
        <v>42421</v>
      </c>
      <c r="B3754" s="190">
        <v>4</v>
      </c>
      <c r="C3754" s="191" t="s">
        <v>231</v>
      </c>
      <c r="D3754" s="192">
        <f t="shared" si="812"/>
        <v>0</v>
      </c>
      <c r="E3754" s="192">
        <f t="shared" si="813"/>
        <v>0</v>
      </c>
      <c r="F3754" s="192">
        <f t="shared" si="814"/>
        <v>0</v>
      </c>
      <c r="G3754" s="193">
        <f t="shared" si="815"/>
        <v>0</v>
      </c>
      <c r="H3754" s="194">
        <v>0</v>
      </c>
      <c r="I3754" s="194">
        <v>0</v>
      </c>
      <c r="J3754" s="194">
        <v>0</v>
      </c>
      <c r="K3754" s="193">
        <f t="shared" si="816"/>
        <v>0</v>
      </c>
      <c r="L3754" s="194">
        <v>0</v>
      </c>
      <c r="M3754" s="194">
        <v>0</v>
      </c>
      <c r="N3754" s="194">
        <v>0</v>
      </c>
      <c r="O3754" s="193">
        <f t="shared" si="817"/>
        <v>0</v>
      </c>
      <c r="P3754" s="194">
        <v>0</v>
      </c>
      <c r="Q3754" s="194">
        <v>0</v>
      </c>
      <c r="R3754" s="194">
        <v>0</v>
      </c>
      <c r="S3754" s="193">
        <f t="shared" si="818"/>
        <v>0</v>
      </c>
      <c r="T3754" s="193">
        <f t="shared" si="819"/>
        <v>0</v>
      </c>
      <c r="U3754" s="193">
        <f ca="1">OFFSET('Expenditure Study'!$B$7,'Operations Support'!$C3754,'Operations Support'!$B3754)*$G3754</f>
        <v>0</v>
      </c>
      <c r="V3754" s="199">
        <f ca="1">U3754*'Expenditure Study'!$B$31</f>
        <v>0</v>
      </c>
      <c r="W3754" s="199">
        <f ca="1">IF(A3754=10298,1.51,1)*IF($B3754&lt;3,$D3754*'Expenditure Study'!$B$32*OFFSET('Expenditure Study'!$B$7,'Operations Support'!$C3754,'Operations Support'!$B3754),0)</f>
        <v>0</v>
      </c>
      <c r="X3754" s="200">
        <f ca="1">W3754*'Expenditure Study'!$B$31</f>
        <v>0</v>
      </c>
      <c r="Y3754" s="199">
        <f ca="1">U3754*'Expenditure Study'!$B$31</f>
        <v>0</v>
      </c>
      <c r="Z3754" s="200">
        <f ca="1">W3754*'Expenditure Study'!$B$31</f>
        <v>0</v>
      </c>
      <c r="AA3754" s="195">
        <f t="shared" ca="1" si="820"/>
        <v>0</v>
      </c>
      <c r="AB3754" s="195">
        <f t="shared" ca="1" si="821"/>
        <v>0</v>
      </c>
      <c r="AD3754" s="196">
        <f>IFERROR($G3754/SUMIF($A:$A,$A3754,$G:$G)*SUMIF(Summary!$A$166:$A$242,$A3754,Summary!$P$166:$P$242),0)</f>
        <v>0</v>
      </c>
      <c r="AE3754" s="197">
        <f t="shared" ca="1" si="822"/>
        <v>0</v>
      </c>
      <c r="AF3754" s="196">
        <f>IFERROR(G3754/SUMIF(A:A,A3754,G:G)*SUMIF(Summary!$A$166:$A$242,'Operations Support'!A3754,Summary!$Q$166:$Q$242),0)</f>
        <v>0</v>
      </c>
      <c r="AG3754" s="196">
        <f t="shared" ca="1" si="823"/>
        <v>0</v>
      </c>
      <c r="AI3754" s="196">
        <f>IFERROR($G3754/SUMIF($A:$A,$A3754,$G:$G)*SUMIF(Summary!$A$247:$A$283,$A3754,Summary!$P$247:$P$283),0)</f>
        <v>0</v>
      </c>
      <c r="AJ3754" s="196">
        <f>IFERROR($G3754/SUMIF($A:$A,$A3754,$G:$G)*(SUMIF(Summary!$A$247:$A$283,$A3754,Summary!$L$247:$L$283)+SUMIF(Summary!$A$297:$A$333,$A3754,Summary!$L$297:$L$333))-AI3754,0)</f>
        <v>0</v>
      </c>
      <c r="AK3754" s="196">
        <f>IFERROR($G3754/SUMIF($A:$A,$A3754,$G:$G)*SUMIF(Summary!$A$247:$A$283,$A3754,Summary!$Q$247:$Q$283),0)</f>
        <v>0</v>
      </c>
      <c r="AL3754" s="196">
        <f>IFERROR($G3754/SUMIF($A:$A,$A3754,$G:$G)*(SUMIF(Summary!$A$247:$A$283,$A3754,Summary!$L$247:$L$283)+SUMIF(Summary!$A$297:$A$333,$A3754,Summary!$L$297:$L$333))-AK3754,0)</f>
        <v>0</v>
      </c>
      <c r="AM3754" s="198"/>
      <c r="AN3754" s="196">
        <f t="shared" ca="1" si="824"/>
        <v>0</v>
      </c>
      <c r="AO3754" s="196">
        <f t="shared" ca="1" si="825"/>
        <v>0</v>
      </c>
    </row>
    <row r="3755" spans="1:41">
      <c r="A3755" s="189">
        <v>42421</v>
      </c>
      <c r="B3755" s="190">
        <v>4</v>
      </c>
      <c r="C3755" s="191" t="s">
        <v>232</v>
      </c>
      <c r="D3755" s="192">
        <f t="shared" si="812"/>
        <v>0</v>
      </c>
      <c r="E3755" s="192">
        <f t="shared" si="813"/>
        <v>0</v>
      </c>
      <c r="F3755" s="192">
        <f t="shared" si="814"/>
        <v>0</v>
      </c>
      <c r="G3755" s="193">
        <f t="shared" si="815"/>
        <v>0</v>
      </c>
      <c r="H3755" s="194">
        <v>0</v>
      </c>
      <c r="I3755" s="194">
        <v>0</v>
      </c>
      <c r="J3755" s="194">
        <v>0</v>
      </c>
      <c r="K3755" s="193">
        <f t="shared" si="816"/>
        <v>0</v>
      </c>
      <c r="L3755" s="194">
        <v>0</v>
      </c>
      <c r="M3755" s="194">
        <v>0</v>
      </c>
      <c r="N3755" s="194">
        <v>0</v>
      </c>
      <c r="O3755" s="193">
        <f t="shared" si="817"/>
        <v>0</v>
      </c>
      <c r="P3755" s="194">
        <v>0</v>
      </c>
      <c r="Q3755" s="194">
        <v>0</v>
      </c>
      <c r="R3755" s="194">
        <v>0</v>
      </c>
      <c r="S3755" s="193">
        <f t="shared" si="818"/>
        <v>0</v>
      </c>
      <c r="T3755" s="193">
        <f t="shared" si="819"/>
        <v>0</v>
      </c>
      <c r="U3755" s="193">
        <f ca="1">OFFSET('Expenditure Study'!$B$7,'Operations Support'!$C3755,'Operations Support'!$B3755)*$G3755</f>
        <v>0</v>
      </c>
      <c r="V3755" s="199">
        <f ca="1">U3755*'Expenditure Study'!$B$31</f>
        <v>0</v>
      </c>
      <c r="W3755" s="199">
        <f ca="1">IF(A3755=10298,1.51,1)*IF($B3755&lt;3,$D3755*'Expenditure Study'!$B$32*OFFSET('Expenditure Study'!$B$7,'Operations Support'!$C3755,'Operations Support'!$B3755),0)</f>
        <v>0</v>
      </c>
      <c r="X3755" s="200">
        <f ca="1">W3755*'Expenditure Study'!$B$31</f>
        <v>0</v>
      </c>
      <c r="Y3755" s="199">
        <f ca="1">U3755*'Expenditure Study'!$B$31</f>
        <v>0</v>
      </c>
      <c r="Z3755" s="200">
        <f ca="1">W3755*'Expenditure Study'!$B$31</f>
        <v>0</v>
      </c>
      <c r="AA3755" s="195">
        <f t="shared" ca="1" si="820"/>
        <v>0</v>
      </c>
      <c r="AB3755" s="195">
        <f t="shared" ca="1" si="821"/>
        <v>0</v>
      </c>
      <c r="AD3755" s="196">
        <f>IFERROR($G3755/SUMIF($A:$A,$A3755,$G:$G)*SUMIF(Summary!$A$166:$A$242,$A3755,Summary!$P$166:$P$242),0)</f>
        <v>0</v>
      </c>
      <c r="AE3755" s="197">
        <f t="shared" ca="1" si="822"/>
        <v>0</v>
      </c>
      <c r="AF3755" s="196">
        <f>IFERROR(G3755/SUMIF(A:A,A3755,G:G)*SUMIF(Summary!$A$166:$A$242,'Operations Support'!A3755,Summary!$Q$166:$Q$242),0)</f>
        <v>0</v>
      </c>
      <c r="AG3755" s="196">
        <f t="shared" ca="1" si="823"/>
        <v>0</v>
      </c>
      <c r="AI3755" s="196">
        <f>IFERROR($G3755/SUMIF($A:$A,$A3755,$G:$G)*SUMIF(Summary!$A$247:$A$283,$A3755,Summary!$P$247:$P$283),0)</f>
        <v>0</v>
      </c>
      <c r="AJ3755" s="196">
        <f>IFERROR($G3755/SUMIF($A:$A,$A3755,$G:$G)*(SUMIF(Summary!$A$247:$A$283,$A3755,Summary!$L$247:$L$283)+SUMIF(Summary!$A$297:$A$333,$A3755,Summary!$L$297:$L$333))-AI3755,0)</f>
        <v>0</v>
      </c>
      <c r="AK3755" s="196">
        <f>IFERROR($G3755/SUMIF($A:$A,$A3755,$G:$G)*SUMIF(Summary!$A$247:$A$283,$A3755,Summary!$Q$247:$Q$283),0)</f>
        <v>0</v>
      </c>
      <c r="AL3755" s="196">
        <f>IFERROR($G3755/SUMIF($A:$A,$A3755,$G:$G)*(SUMIF(Summary!$A$247:$A$283,$A3755,Summary!$L$247:$L$283)+SUMIF(Summary!$A$297:$A$333,$A3755,Summary!$L$297:$L$333))-AK3755,0)</f>
        <v>0</v>
      </c>
      <c r="AM3755" s="198"/>
      <c r="AN3755" s="196">
        <f t="shared" ca="1" si="824"/>
        <v>0</v>
      </c>
      <c r="AO3755" s="196">
        <f t="shared" ca="1" si="825"/>
        <v>0</v>
      </c>
    </row>
    <row r="3756" spans="1:41">
      <c r="A3756" s="189">
        <v>42421</v>
      </c>
      <c r="B3756" s="190">
        <v>4</v>
      </c>
      <c r="C3756" s="191" t="s">
        <v>233</v>
      </c>
      <c r="D3756" s="192">
        <f t="shared" si="812"/>
        <v>0</v>
      </c>
      <c r="E3756" s="192">
        <f t="shared" si="813"/>
        <v>0</v>
      </c>
      <c r="F3756" s="192">
        <f t="shared" si="814"/>
        <v>0</v>
      </c>
      <c r="G3756" s="193">
        <f t="shared" si="815"/>
        <v>0</v>
      </c>
      <c r="H3756" s="194">
        <v>0</v>
      </c>
      <c r="I3756" s="194">
        <v>0</v>
      </c>
      <c r="J3756" s="194">
        <v>0</v>
      </c>
      <c r="K3756" s="193">
        <f t="shared" si="816"/>
        <v>0</v>
      </c>
      <c r="L3756" s="194">
        <v>0</v>
      </c>
      <c r="M3756" s="194">
        <v>0</v>
      </c>
      <c r="N3756" s="194">
        <v>0</v>
      </c>
      <c r="O3756" s="193">
        <f t="shared" si="817"/>
        <v>0</v>
      </c>
      <c r="P3756" s="194">
        <v>0</v>
      </c>
      <c r="Q3756" s="194">
        <v>0</v>
      </c>
      <c r="R3756" s="194">
        <v>0</v>
      </c>
      <c r="S3756" s="193">
        <f t="shared" si="818"/>
        <v>0</v>
      </c>
      <c r="T3756" s="193">
        <f t="shared" si="819"/>
        <v>0</v>
      </c>
      <c r="U3756" s="193">
        <f ca="1">OFFSET('Expenditure Study'!$B$7,'Operations Support'!$C3756,'Operations Support'!$B3756)*$G3756</f>
        <v>0</v>
      </c>
      <c r="V3756" s="199">
        <f ca="1">U3756*'Expenditure Study'!$B$31</f>
        <v>0</v>
      </c>
      <c r="W3756" s="199">
        <f ca="1">IF(A3756=10298,1.51,1)*IF($B3756&lt;3,$D3756*'Expenditure Study'!$B$32*OFFSET('Expenditure Study'!$B$7,'Operations Support'!$C3756,'Operations Support'!$B3756),0)</f>
        <v>0</v>
      </c>
      <c r="X3756" s="200">
        <f ca="1">W3756*'Expenditure Study'!$B$31</f>
        <v>0</v>
      </c>
      <c r="Y3756" s="199">
        <f ca="1">U3756*'Expenditure Study'!$B$31</f>
        <v>0</v>
      </c>
      <c r="Z3756" s="200">
        <f ca="1">W3756*'Expenditure Study'!$B$31</f>
        <v>0</v>
      </c>
      <c r="AA3756" s="195">
        <f t="shared" ca="1" si="820"/>
        <v>0</v>
      </c>
      <c r="AB3756" s="195">
        <f t="shared" ca="1" si="821"/>
        <v>0</v>
      </c>
      <c r="AD3756" s="196">
        <f>IFERROR($G3756/SUMIF($A:$A,$A3756,$G:$G)*SUMIF(Summary!$A$166:$A$242,$A3756,Summary!$P$166:$P$242),0)</f>
        <v>0</v>
      </c>
      <c r="AE3756" s="197">
        <f t="shared" ca="1" si="822"/>
        <v>0</v>
      </c>
      <c r="AF3756" s="196">
        <f>IFERROR(G3756/SUMIF(A:A,A3756,G:G)*SUMIF(Summary!$A$166:$A$242,'Operations Support'!A3756,Summary!$Q$166:$Q$242),0)</f>
        <v>0</v>
      </c>
      <c r="AG3756" s="196">
        <f t="shared" ca="1" si="823"/>
        <v>0</v>
      </c>
      <c r="AI3756" s="196">
        <f>IFERROR($G3756/SUMIF($A:$A,$A3756,$G:$G)*SUMIF(Summary!$A$247:$A$283,$A3756,Summary!$P$247:$P$283),0)</f>
        <v>0</v>
      </c>
      <c r="AJ3756" s="196">
        <f>IFERROR($G3756/SUMIF($A:$A,$A3756,$G:$G)*(SUMIF(Summary!$A$247:$A$283,$A3756,Summary!$L$247:$L$283)+SUMIF(Summary!$A$297:$A$333,$A3756,Summary!$L$297:$L$333))-AI3756,0)</f>
        <v>0</v>
      </c>
      <c r="AK3756" s="196">
        <f>IFERROR($G3756/SUMIF($A:$A,$A3756,$G:$G)*SUMIF(Summary!$A$247:$A$283,$A3756,Summary!$Q$247:$Q$283),0)</f>
        <v>0</v>
      </c>
      <c r="AL3756" s="196">
        <f>IFERROR($G3756/SUMIF($A:$A,$A3756,$G:$G)*(SUMIF(Summary!$A$247:$A$283,$A3756,Summary!$L$247:$L$283)+SUMIF(Summary!$A$297:$A$333,$A3756,Summary!$L$297:$L$333))-AK3756,0)</f>
        <v>0</v>
      </c>
      <c r="AM3756" s="198"/>
      <c r="AN3756" s="196">
        <f t="shared" ca="1" si="824"/>
        <v>0</v>
      </c>
      <c r="AO3756" s="196">
        <f t="shared" ca="1" si="825"/>
        <v>0</v>
      </c>
    </row>
    <row r="3757" spans="1:41">
      <c r="A3757" s="189">
        <v>42421</v>
      </c>
      <c r="B3757" s="190">
        <v>4</v>
      </c>
      <c r="C3757" s="191" t="s">
        <v>234</v>
      </c>
      <c r="D3757" s="192">
        <f t="shared" si="812"/>
        <v>0</v>
      </c>
      <c r="E3757" s="192">
        <f t="shared" si="813"/>
        <v>0</v>
      </c>
      <c r="F3757" s="192">
        <f t="shared" si="814"/>
        <v>0</v>
      </c>
      <c r="G3757" s="193">
        <f t="shared" si="815"/>
        <v>0</v>
      </c>
      <c r="H3757" s="194">
        <v>0</v>
      </c>
      <c r="I3757" s="194">
        <v>0</v>
      </c>
      <c r="J3757" s="194">
        <v>0</v>
      </c>
      <c r="K3757" s="193">
        <f t="shared" si="816"/>
        <v>0</v>
      </c>
      <c r="L3757" s="194">
        <v>0</v>
      </c>
      <c r="M3757" s="194">
        <v>0</v>
      </c>
      <c r="N3757" s="194">
        <v>0</v>
      </c>
      <c r="O3757" s="193">
        <f t="shared" si="817"/>
        <v>0</v>
      </c>
      <c r="P3757" s="194">
        <v>0</v>
      </c>
      <c r="Q3757" s="194">
        <v>0</v>
      </c>
      <c r="R3757" s="194">
        <v>0</v>
      </c>
      <c r="S3757" s="193">
        <f t="shared" si="818"/>
        <v>0</v>
      </c>
      <c r="T3757" s="193">
        <f t="shared" si="819"/>
        <v>0</v>
      </c>
      <c r="U3757" s="193">
        <f ca="1">OFFSET('Expenditure Study'!$B$7,'Operations Support'!$C3757,'Operations Support'!$B3757)*$G3757</f>
        <v>0</v>
      </c>
      <c r="V3757" s="199">
        <f ca="1">U3757*'Expenditure Study'!$B$31</f>
        <v>0</v>
      </c>
      <c r="W3757" s="199">
        <f ca="1">IF(A3757=10298,1.51,1)*IF($B3757&lt;3,$D3757*'Expenditure Study'!$B$32*OFFSET('Expenditure Study'!$B$7,'Operations Support'!$C3757,'Operations Support'!$B3757),0)</f>
        <v>0</v>
      </c>
      <c r="X3757" s="200">
        <f ca="1">W3757*'Expenditure Study'!$B$31</f>
        <v>0</v>
      </c>
      <c r="Y3757" s="199">
        <f ca="1">U3757*'Expenditure Study'!$B$31</f>
        <v>0</v>
      </c>
      <c r="Z3757" s="200">
        <f ca="1">W3757*'Expenditure Study'!$B$31</f>
        <v>0</v>
      </c>
      <c r="AA3757" s="195">
        <f t="shared" ca="1" si="820"/>
        <v>0</v>
      </c>
      <c r="AB3757" s="195">
        <f t="shared" ca="1" si="821"/>
        <v>0</v>
      </c>
      <c r="AD3757" s="196">
        <f>IFERROR($G3757/SUMIF($A:$A,$A3757,$G:$G)*SUMIF(Summary!$A$166:$A$242,$A3757,Summary!$P$166:$P$242),0)</f>
        <v>0</v>
      </c>
      <c r="AE3757" s="197">
        <f t="shared" ca="1" si="822"/>
        <v>0</v>
      </c>
      <c r="AF3757" s="196">
        <f>IFERROR(G3757/SUMIF(A:A,A3757,G:G)*SUMIF(Summary!$A$166:$A$242,'Operations Support'!A3757,Summary!$Q$166:$Q$242),0)</f>
        <v>0</v>
      </c>
      <c r="AG3757" s="196">
        <f t="shared" ca="1" si="823"/>
        <v>0</v>
      </c>
      <c r="AI3757" s="196">
        <f>IFERROR($G3757/SUMIF($A:$A,$A3757,$G:$G)*SUMIF(Summary!$A$247:$A$283,$A3757,Summary!$P$247:$P$283),0)</f>
        <v>0</v>
      </c>
      <c r="AJ3757" s="196">
        <f>IFERROR($G3757/SUMIF($A:$A,$A3757,$G:$G)*(SUMIF(Summary!$A$247:$A$283,$A3757,Summary!$L$247:$L$283)+SUMIF(Summary!$A$297:$A$333,$A3757,Summary!$L$297:$L$333))-AI3757,0)</f>
        <v>0</v>
      </c>
      <c r="AK3757" s="196">
        <f>IFERROR($G3757/SUMIF($A:$A,$A3757,$G:$G)*SUMIF(Summary!$A$247:$A$283,$A3757,Summary!$Q$247:$Q$283),0)</f>
        <v>0</v>
      </c>
      <c r="AL3757" s="196">
        <f>IFERROR($G3757/SUMIF($A:$A,$A3757,$G:$G)*(SUMIF(Summary!$A$247:$A$283,$A3757,Summary!$L$247:$L$283)+SUMIF(Summary!$A$297:$A$333,$A3757,Summary!$L$297:$L$333))-AK3757,0)</f>
        <v>0</v>
      </c>
      <c r="AM3757" s="198"/>
      <c r="AN3757" s="196">
        <f t="shared" ca="1" si="824"/>
        <v>0</v>
      </c>
      <c r="AO3757" s="196">
        <f t="shared" ca="1" si="825"/>
        <v>0</v>
      </c>
    </row>
    <row r="3758" spans="1:41">
      <c r="A3758" s="189">
        <v>42421</v>
      </c>
      <c r="B3758" s="190">
        <v>4</v>
      </c>
      <c r="C3758" s="191" t="s">
        <v>235</v>
      </c>
      <c r="D3758" s="192">
        <f t="shared" si="812"/>
        <v>0</v>
      </c>
      <c r="E3758" s="192">
        <f t="shared" si="813"/>
        <v>0</v>
      </c>
      <c r="F3758" s="192">
        <f t="shared" si="814"/>
        <v>0</v>
      </c>
      <c r="G3758" s="193">
        <f t="shared" si="815"/>
        <v>0</v>
      </c>
      <c r="H3758" s="194">
        <v>0</v>
      </c>
      <c r="I3758" s="194">
        <v>0</v>
      </c>
      <c r="J3758" s="194">
        <v>0</v>
      </c>
      <c r="K3758" s="193">
        <f t="shared" si="816"/>
        <v>0</v>
      </c>
      <c r="L3758" s="194">
        <v>0</v>
      </c>
      <c r="M3758" s="194">
        <v>0</v>
      </c>
      <c r="N3758" s="194">
        <v>0</v>
      </c>
      <c r="O3758" s="193">
        <f t="shared" si="817"/>
        <v>0</v>
      </c>
      <c r="P3758" s="194">
        <v>0</v>
      </c>
      <c r="Q3758" s="194">
        <v>0</v>
      </c>
      <c r="R3758" s="194">
        <v>0</v>
      </c>
      <c r="S3758" s="193">
        <f t="shared" si="818"/>
        <v>0</v>
      </c>
      <c r="T3758" s="193">
        <f t="shared" si="819"/>
        <v>0</v>
      </c>
      <c r="U3758" s="193">
        <f ca="1">OFFSET('Expenditure Study'!$B$7,'Operations Support'!$C3758,'Operations Support'!$B3758)*$G3758</f>
        <v>0</v>
      </c>
      <c r="V3758" s="199">
        <f ca="1">U3758*'Expenditure Study'!$B$31</f>
        <v>0</v>
      </c>
      <c r="W3758" s="199">
        <f ca="1">IF(A3758=10298,1.51,1)*IF($B3758&lt;3,$D3758*'Expenditure Study'!$B$32*OFFSET('Expenditure Study'!$B$7,'Operations Support'!$C3758,'Operations Support'!$B3758),0)</f>
        <v>0</v>
      </c>
      <c r="X3758" s="200">
        <f ca="1">W3758*'Expenditure Study'!$B$31</f>
        <v>0</v>
      </c>
      <c r="Y3758" s="199">
        <f ca="1">U3758*'Expenditure Study'!$B$31</f>
        <v>0</v>
      </c>
      <c r="Z3758" s="200">
        <f ca="1">W3758*'Expenditure Study'!$B$31</f>
        <v>0</v>
      </c>
      <c r="AA3758" s="195">
        <f t="shared" ca="1" si="820"/>
        <v>0</v>
      </c>
      <c r="AB3758" s="195">
        <f t="shared" ca="1" si="821"/>
        <v>0</v>
      </c>
      <c r="AD3758" s="196">
        <f>IFERROR($G3758/SUMIF($A:$A,$A3758,$G:$G)*SUMIF(Summary!$A$166:$A$242,$A3758,Summary!$P$166:$P$242),0)</f>
        <v>0</v>
      </c>
      <c r="AE3758" s="197">
        <f t="shared" ca="1" si="822"/>
        <v>0</v>
      </c>
      <c r="AF3758" s="196">
        <f>IFERROR(G3758/SUMIF(A:A,A3758,G:G)*SUMIF(Summary!$A$166:$A$242,'Operations Support'!A3758,Summary!$Q$166:$Q$242),0)</f>
        <v>0</v>
      </c>
      <c r="AG3758" s="196">
        <f t="shared" ca="1" si="823"/>
        <v>0</v>
      </c>
      <c r="AI3758" s="196">
        <f>IFERROR($G3758/SUMIF($A:$A,$A3758,$G:$G)*SUMIF(Summary!$A$247:$A$283,$A3758,Summary!$P$247:$P$283),0)</f>
        <v>0</v>
      </c>
      <c r="AJ3758" s="196">
        <f>IFERROR($G3758/SUMIF($A:$A,$A3758,$G:$G)*(SUMIF(Summary!$A$247:$A$283,$A3758,Summary!$L$247:$L$283)+SUMIF(Summary!$A$297:$A$333,$A3758,Summary!$L$297:$L$333))-AI3758,0)</f>
        <v>0</v>
      </c>
      <c r="AK3758" s="196">
        <f>IFERROR($G3758/SUMIF($A:$A,$A3758,$G:$G)*SUMIF(Summary!$A$247:$A$283,$A3758,Summary!$Q$247:$Q$283),0)</f>
        <v>0</v>
      </c>
      <c r="AL3758" s="196">
        <f>IFERROR($G3758/SUMIF($A:$A,$A3758,$G:$G)*(SUMIF(Summary!$A$247:$A$283,$A3758,Summary!$L$247:$L$283)+SUMIF(Summary!$A$297:$A$333,$A3758,Summary!$L$297:$L$333))-AK3758,0)</f>
        <v>0</v>
      </c>
      <c r="AM3758" s="198"/>
      <c r="AN3758" s="196">
        <f t="shared" ca="1" si="824"/>
        <v>0</v>
      </c>
      <c r="AO3758" s="196">
        <f t="shared" ca="1" si="825"/>
        <v>0</v>
      </c>
    </row>
    <row r="3759" spans="1:41">
      <c r="A3759" s="189">
        <v>42421</v>
      </c>
      <c r="B3759" s="190">
        <v>4</v>
      </c>
      <c r="C3759" s="191" t="s">
        <v>236</v>
      </c>
      <c r="D3759" s="192">
        <f t="shared" si="812"/>
        <v>0</v>
      </c>
      <c r="E3759" s="192">
        <f t="shared" si="813"/>
        <v>0</v>
      </c>
      <c r="F3759" s="192">
        <f t="shared" si="814"/>
        <v>0</v>
      </c>
      <c r="G3759" s="193">
        <f t="shared" si="815"/>
        <v>0</v>
      </c>
      <c r="H3759" s="194">
        <v>0</v>
      </c>
      <c r="I3759" s="194">
        <v>0</v>
      </c>
      <c r="J3759" s="194">
        <v>0</v>
      </c>
      <c r="K3759" s="193">
        <f t="shared" si="816"/>
        <v>0</v>
      </c>
      <c r="L3759" s="194">
        <v>0</v>
      </c>
      <c r="M3759" s="194">
        <v>0</v>
      </c>
      <c r="N3759" s="194">
        <v>0</v>
      </c>
      <c r="O3759" s="193">
        <f t="shared" si="817"/>
        <v>0</v>
      </c>
      <c r="P3759" s="194">
        <v>0</v>
      </c>
      <c r="Q3759" s="194">
        <v>0</v>
      </c>
      <c r="R3759" s="194">
        <v>0</v>
      </c>
      <c r="S3759" s="193">
        <f t="shared" si="818"/>
        <v>0</v>
      </c>
      <c r="T3759" s="193">
        <f t="shared" si="819"/>
        <v>0</v>
      </c>
      <c r="U3759" s="193">
        <f ca="1">OFFSET('Expenditure Study'!$B$7,'Operations Support'!$C3759,'Operations Support'!$B3759)*$G3759</f>
        <v>0</v>
      </c>
      <c r="V3759" s="199">
        <f ca="1">U3759*'Expenditure Study'!$B$31</f>
        <v>0</v>
      </c>
      <c r="W3759" s="199">
        <f ca="1">IF(A3759=10298,1.51,1)*IF($B3759&lt;3,$D3759*'Expenditure Study'!$B$32*OFFSET('Expenditure Study'!$B$7,'Operations Support'!$C3759,'Operations Support'!$B3759),0)</f>
        <v>0</v>
      </c>
      <c r="X3759" s="200">
        <f ca="1">W3759*'Expenditure Study'!$B$31</f>
        <v>0</v>
      </c>
      <c r="Y3759" s="199">
        <f ca="1">U3759*'Expenditure Study'!$B$31</f>
        <v>0</v>
      </c>
      <c r="Z3759" s="200">
        <f ca="1">W3759*'Expenditure Study'!$B$31</f>
        <v>0</v>
      </c>
      <c r="AA3759" s="195">
        <f t="shared" ca="1" si="820"/>
        <v>0</v>
      </c>
      <c r="AB3759" s="195">
        <f t="shared" ca="1" si="821"/>
        <v>0</v>
      </c>
      <c r="AD3759" s="196">
        <f>IFERROR($G3759/SUMIF($A:$A,$A3759,$G:$G)*SUMIF(Summary!$A$166:$A$242,$A3759,Summary!$P$166:$P$242),0)</f>
        <v>0</v>
      </c>
      <c r="AE3759" s="197">
        <f t="shared" ca="1" si="822"/>
        <v>0</v>
      </c>
      <c r="AF3759" s="196">
        <f>IFERROR(G3759/SUMIF(A:A,A3759,G:G)*SUMIF(Summary!$A$166:$A$242,'Operations Support'!A3759,Summary!$Q$166:$Q$242),0)</f>
        <v>0</v>
      </c>
      <c r="AG3759" s="196">
        <f t="shared" ca="1" si="823"/>
        <v>0</v>
      </c>
      <c r="AI3759" s="196">
        <f>IFERROR($G3759/SUMIF($A:$A,$A3759,$G:$G)*SUMIF(Summary!$A$247:$A$283,$A3759,Summary!$P$247:$P$283),0)</f>
        <v>0</v>
      </c>
      <c r="AJ3759" s="196">
        <f>IFERROR($G3759/SUMIF($A:$A,$A3759,$G:$G)*(SUMIF(Summary!$A$247:$A$283,$A3759,Summary!$L$247:$L$283)+SUMIF(Summary!$A$297:$A$333,$A3759,Summary!$L$297:$L$333))-AI3759,0)</f>
        <v>0</v>
      </c>
      <c r="AK3759" s="196">
        <f>IFERROR($G3759/SUMIF($A:$A,$A3759,$G:$G)*SUMIF(Summary!$A$247:$A$283,$A3759,Summary!$Q$247:$Q$283),0)</f>
        <v>0</v>
      </c>
      <c r="AL3759" s="196">
        <f>IFERROR($G3759/SUMIF($A:$A,$A3759,$G:$G)*(SUMIF(Summary!$A$247:$A$283,$A3759,Summary!$L$247:$L$283)+SUMIF(Summary!$A$297:$A$333,$A3759,Summary!$L$297:$L$333))-AK3759,0)</f>
        <v>0</v>
      </c>
      <c r="AM3759" s="198"/>
      <c r="AN3759" s="196">
        <f t="shared" ca="1" si="824"/>
        <v>0</v>
      </c>
      <c r="AO3759" s="196">
        <f t="shared" ca="1" si="825"/>
        <v>0</v>
      </c>
    </row>
    <row r="3760" spans="1:41">
      <c r="A3760" s="189">
        <v>42421</v>
      </c>
      <c r="B3760" s="190">
        <v>4</v>
      </c>
      <c r="C3760" s="191" t="s">
        <v>237</v>
      </c>
      <c r="D3760" s="192">
        <f t="shared" si="812"/>
        <v>0</v>
      </c>
      <c r="E3760" s="192">
        <f t="shared" si="813"/>
        <v>0</v>
      </c>
      <c r="F3760" s="192">
        <f t="shared" si="814"/>
        <v>0</v>
      </c>
      <c r="G3760" s="193">
        <f t="shared" si="815"/>
        <v>0</v>
      </c>
      <c r="H3760" s="194">
        <v>0</v>
      </c>
      <c r="I3760" s="194">
        <v>0</v>
      </c>
      <c r="J3760" s="194">
        <v>0</v>
      </c>
      <c r="K3760" s="193">
        <f t="shared" si="816"/>
        <v>0</v>
      </c>
      <c r="L3760" s="194">
        <v>0</v>
      </c>
      <c r="M3760" s="194">
        <v>0</v>
      </c>
      <c r="N3760" s="194">
        <v>0</v>
      </c>
      <c r="O3760" s="193">
        <f t="shared" si="817"/>
        <v>0</v>
      </c>
      <c r="P3760" s="194">
        <v>0</v>
      </c>
      <c r="Q3760" s="194">
        <v>0</v>
      </c>
      <c r="R3760" s="194">
        <v>0</v>
      </c>
      <c r="S3760" s="193">
        <f t="shared" si="818"/>
        <v>0</v>
      </c>
      <c r="T3760" s="193">
        <f t="shared" si="819"/>
        <v>0</v>
      </c>
      <c r="U3760" s="193">
        <f ca="1">OFFSET('Expenditure Study'!$B$7,'Operations Support'!$C3760,'Operations Support'!$B3760)*$G3760</f>
        <v>0</v>
      </c>
      <c r="V3760" s="199">
        <f ca="1">U3760*'Expenditure Study'!$B$31</f>
        <v>0</v>
      </c>
      <c r="W3760" s="199">
        <f ca="1">IF(A3760=10298,1.51,1)*IF($B3760&lt;3,$D3760*'Expenditure Study'!$B$32*OFFSET('Expenditure Study'!$B$7,'Operations Support'!$C3760,'Operations Support'!$B3760),0)</f>
        <v>0</v>
      </c>
      <c r="X3760" s="200">
        <f ca="1">W3760*'Expenditure Study'!$B$31</f>
        <v>0</v>
      </c>
      <c r="Y3760" s="199">
        <f ca="1">U3760*'Expenditure Study'!$B$31</f>
        <v>0</v>
      </c>
      <c r="Z3760" s="200">
        <f ca="1">W3760*'Expenditure Study'!$B$31</f>
        <v>0</v>
      </c>
      <c r="AA3760" s="195">
        <f t="shared" ca="1" si="820"/>
        <v>0</v>
      </c>
      <c r="AB3760" s="195">
        <f t="shared" ca="1" si="821"/>
        <v>0</v>
      </c>
      <c r="AD3760" s="196">
        <f>IFERROR($G3760/SUMIF($A:$A,$A3760,$G:$G)*SUMIF(Summary!$A$166:$A$242,$A3760,Summary!$P$166:$P$242),0)</f>
        <v>0</v>
      </c>
      <c r="AE3760" s="197">
        <f t="shared" ca="1" si="822"/>
        <v>0</v>
      </c>
      <c r="AF3760" s="196">
        <f>IFERROR(G3760/SUMIF(A:A,A3760,G:G)*SUMIF(Summary!$A$166:$A$242,'Operations Support'!A3760,Summary!$Q$166:$Q$242),0)</f>
        <v>0</v>
      </c>
      <c r="AG3760" s="196">
        <f t="shared" ca="1" si="823"/>
        <v>0</v>
      </c>
      <c r="AI3760" s="196">
        <f>IFERROR($G3760/SUMIF($A:$A,$A3760,$G:$G)*SUMIF(Summary!$A$247:$A$283,$A3760,Summary!$P$247:$P$283),0)</f>
        <v>0</v>
      </c>
      <c r="AJ3760" s="196">
        <f>IFERROR($G3760/SUMIF($A:$A,$A3760,$G:$G)*(SUMIF(Summary!$A$247:$A$283,$A3760,Summary!$L$247:$L$283)+SUMIF(Summary!$A$297:$A$333,$A3760,Summary!$L$297:$L$333))-AI3760,0)</f>
        <v>0</v>
      </c>
      <c r="AK3760" s="196">
        <f>IFERROR($G3760/SUMIF($A:$A,$A3760,$G:$G)*SUMIF(Summary!$A$247:$A$283,$A3760,Summary!$Q$247:$Q$283),0)</f>
        <v>0</v>
      </c>
      <c r="AL3760" s="196">
        <f>IFERROR($G3760/SUMIF($A:$A,$A3760,$G:$G)*(SUMIF(Summary!$A$247:$A$283,$A3760,Summary!$L$247:$L$283)+SUMIF(Summary!$A$297:$A$333,$A3760,Summary!$L$297:$L$333))-AK3760,0)</f>
        <v>0</v>
      </c>
      <c r="AM3760" s="198"/>
      <c r="AN3760" s="196">
        <f t="shared" ca="1" si="824"/>
        <v>0</v>
      </c>
      <c r="AO3760" s="196">
        <f t="shared" ca="1" si="825"/>
        <v>0</v>
      </c>
    </row>
    <row r="3761" spans="1:41">
      <c r="A3761" s="189">
        <v>42421</v>
      </c>
      <c r="B3761" s="190">
        <v>4</v>
      </c>
      <c r="C3761" s="191" t="s">
        <v>238</v>
      </c>
      <c r="D3761" s="192">
        <f t="shared" si="812"/>
        <v>0</v>
      </c>
      <c r="E3761" s="192">
        <f t="shared" si="813"/>
        <v>0</v>
      </c>
      <c r="F3761" s="192">
        <f t="shared" si="814"/>
        <v>0</v>
      </c>
      <c r="G3761" s="193">
        <f t="shared" si="815"/>
        <v>0</v>
      </c>
      <c r="H3761" s="194">
        <v>0</v>
      </c>
      <c r="I3761" s="194">
        <v>0</v>
      </c>
      <c r="J3761" s="194">
        <v>0</v>
      </c>
      <c r="K3761" s="193">
        <f t="shared" si="816"/>
        <v>0</v>
      </c>
      <c r="L3761" s="194">
        <v>0</v>
      </c>
      <c r="M3761" s="194">
        <v>0</v>
      </c>
      <c r="N3761" s="194">
        <v>0</v>
      </c>
      <c r="O3761" s="193">
        <f t="shared" si="817"/>
        <v>0</v>
      </c>
      <c r="P3761" s="194">
        <v>0</v>
      </c>
      <c r="Q3761" s="194">
        <v>0</v>
      </c>
      <c r="R3761" s="194">
        <v>0</v>
      </c>
      <c r="S3761" s="193">
        <f t="shared" si="818"/>
        <v>0</v>
      </c>
      <c r="T3761" s="193">
        <f t="shared" si="819"/>
        <v>0</v>
      </c>
      <c r="U3761" s="193">
        <f ca="1">OFFSET('Expenditure Study'!$B$7,'Operations Support'!$C3761,'Operations Support'!$B3761)*$G3761</f>
        <v>0</v>
      </c>
      <c r="V3761" s="199">
        <f ca="1">U3761*'Expenditure Study'!$B$31</f>
        <v>0</v>
      </c>
      <c r="W3761" s="199">
        <f ca="1">IF(A3761=10298,1.51,1)*IF($B3761&lt;3,$D3761*'Expenditure Study'!$B$32*OFFSET('Expenditure Study'!$B$7,'Operations Support'!$C3761,'Operations Support'!$B3761),0)</f>
        <v>0</v>
      </c>
      <c r="X3761" s="200">
        <f ca="1">W3761*'Expenditure Study'!$B$31</f>
        <v>0</v>
      </c>
      <c r="Y3761" s="199">
        <f ca="1">U3761*'Expenditure Study'!$B$31</f>
        <v>0</v>
      </c>
      <c r="Z3761" s="200">
        <f ca="1">W3761*'Expenditure Study'!$B$31</f>
        <v>0</v>
      </c>
      <c r="AA3761" s="195">
        <f t="shared" ca="1" si="820"/>
        <v>0</v>
      </c>
      <c r="AB3761" s="195">
        <f t="shared" ca="1" si="821"/>
        <v>0</v>
      </c>
      <c r="AD3761" s="196">
        <f>IFERROR($G3761/SUMIF($A:$A,$A3761,$G:$G)*SUMIF(Summary!$A$166:$A$242,$A3761,Summary!$P$166:$P$242),0)</f>
        <v>0</v>
      </c>
      <c r="AE3761" s="197">
        <f t="shared" ca="1" si="822"/>
        <v>0</v>
      </c>
      <c r="AF3761" s="196">
        <f>IFERROR(G3761/SUMIF(A:A,A3761,G:G)*SUMIF(Summary!$A$166:$A$242,'Operations Support'!A3761,Summary!$Q$166:$Q$242),0)</f>
        <v>0</v>
      </c>
      <c r="AG3761" s="196">
        <f t="shared" ca="1" si="823"/>
        <v>0</v>
      </c>
      <c r="AI3761" s="196">
        <f>IFERROR($G3761/SUMIF($A:$A,$A3761,$G:$G)*SUMIF(Summary!$A$247:$A$283,$A3761,Summary!$P$247:$P$283),0)</f>
        <v>0</v>
      </c>
      <c r="AJ3761" s="196">
        <f>IFERROR($G3761/SUMIF($A:$A,$A3761,$G:$G)*(SUMIF(Summary!$A$247:$A$283,$A3761,Summary!$L$247:$L$283)+SUMIF(Summary!$A$297:$A$333,$A3761,Summary!$L$297:$L$333))-AI3761,0)</f>
        <v>0</v>
      </c>
      <c r="AK3761" s="196">
        <f>IFERROR($G3761/SUMIF($A:$A,$A3761,$G:$G)*SUMIF(Summary!$A$247:$A$283,$A3761,Summary!$Q$247:$Q$283),0)</f>
        <v>0</v>
      </c>
      <c r="AL3761" s="196">
        <f>IFERROR($G3761/SUMIF($A:$A,$A3761,$G:$G)*(SUMIF(Summary!$A$247:$A$283,$A3761,Summary!$L$247:$L$283)+SUMIF(Summary!$A$297:$A$333,$A3761,Summary!$L$297:$L$333))-AK3761,0)</f>
        <v>0</v>
      </c>
      <c r="AM3761" s="198"/>
      <c r="AN3761" s="196">
        <f t="shared" ca="1" si="824"/>
        <v>0</v>
      </c>
      <c r="AO3761" s="196">
        <f t="shared" ca="1" si="825"/>
        <v>0</v>
      </c>
    </row>
    <row r="3762" spans="1:41">
      <c r="A3762" s="189">
        <v>42421</v>
      </c>
      <c r="B3762" s="190">
        <v>4</v>
      </c>
      <c r="C3762" s="191" t="s">
        <v>239</v>
      </c>
      <c r="D3762" s="192">
        <f t="shared" si="812"/>
        <v>0</v>
      </c>
      <c r="E3762" s="192">
        <f t="shared" si="813"/>
        <v>0</v>
      </c>
      <c r="F3762" s="192">
        <f t="shared" si="814"/>
        <v>0</v>
      </c>
      <c r="G3762" s="193">
        <f t="shared" si="815"/>
        <v>0</v>
      </c>
      <c r="H3762" s="194">
        <v>0</v>
      </c>
      <c r="I3762" s="194">
        <v>0</v>
      </c>
      <c r="J3762" s="194">
        <v>0</v>
      </c>
      <c r="K3762" s="193">
        <f t="shared" si="816"/>
        <v>0</v>
      </c>
      <c r="L3762" s="194">
        <v>0</v>
      </c>
      <c r="M3762" s="194">
        <v>0</v>
      </c>
      <c r="N3762" s="194">
        <v>0</v>
      </c>
      <c r="O3762" s="193">
        <f t="shared" si="817"/>
        <v>0</v>
      </c>
      <c r="P3762" s="194">
        <v>0</v>
      </c>
      <c r="Q3762" s="194">
        <v>0</v>
      </c>
      <c r="R3762" s="194">
        <v>0</v>
      </c>
      <c r="S3762" s="193">
        <f t="shared" si="818"/>
        <v>0</v>
      </c>
      <c r="T3762" s="193">
        <f t="shared" si="819"/>
        <v>0</v>
      </c>
      <c r="U3762" s="193">
        <f ca="1">OFFSET('Expenditure Study'!$B$7,'Operations Support'!$C3762,'Operations Support'!$B3762)*$G3762</f>
        <v>0</v>
      </c>
      <c r="V3762" s="199">
        <f ca="1">U3762*'Expenditure Study'!$B$31</f>
        <v>0</v>
      </c>
      <c r="W3762" s="199">
        <f ca="1">IF(A3762=10298,1.51,1)*IF($B3762&lt;3,$D3762*'Expenditure Study'!$B$32*OFFSET('Expenditure Study'!$B$7,'Operations Support'!$C3762,'Operations Support'!$B3762),0)</f>
        <v>0</v>
      </c>
      <c r="X3762" s="200">
        <f ca="1">W3762*'Expenditure Study'!$B$31</f>
        <v>0</v>
      </c>
      <c r="Y3762" s="199">
        <f ca="1">U3762*'Expenditure Study'!$B$31</f>
        <v>0</v>
      </c>
      <c r="Z3762" s="200">
        <f ca="1">W3762*'Expenditure Study'!$B$31</f>
        <v>0</v>
      </c>
      <c r="AA3762" s="195">
        <f t="shared" ca="1" si="820"/>
        <v>0</v>
      </c>
      <c r="AB3762" s="195">
        <f t="shared" ca="1" si="821"/>
        <v>0</v>
      </c>
      <c r="AD3762" s="196">
        <f>IFERROR($G3762/SUMIF($A:$A,$A3762,$G:$G)*SUMIF(Summary!$A$166:$A$242,$A3762,Summary!$P$166:$P$242),0)</f>
        <v>0</v>
      </c>
      <c r="AE3762" s="197">
        <f t="shared" ca="1" si="822"/>
        <v>0</v>
      </c>
      <c r="AF3762" s="196">
        <f>IFERROR(G3762/SUMIF(A:A,A3762,G:G)*SUMIF(Summary!$A$166:$A$242,'Operations Support'!A3762,Summary!$Q$166:$Q$242),0)</f>
        <v>0</v>
      </c>
      <c r="AG3762" s="196">
        <f t="shared" ca="1" si="823"/>
        <v>0</v>
      </c>
      <c r="AI3762" s="196">
        <f>IFERROR($G3762/SUMIF($A:$A,$A3762,$G:$G)*SUMIF(Summary!$A$247:$A$283,$A3762,Summary!$P$247:$P$283),0)</f>
        <v>0</v>
      </c>
      <c r="AJ3762" s="196">
        <f>IFERROR($G3762/SUMIF($A:$A,$A3762,$G:$G)*(SUMIF(Summary!$A$247:$A$283,$A3762,Summary!$L$247:$L$283)+SUMIF(Summary!$A$297:$A$333,$A3762,Summary!$L$297:$L$333))-AI3762,0)</f>
        <v>0</v>
      </c>
      <c r="AK3762" s="196">
        <f>IFERROR($G3762/SUMIF($A:$A,$A3762,$G:$G)*SUMIF(Summary!$A$247:$A$283,$A3762,Summary!$Q$247:$Q$283),0)</f>
        <v>0</v>
      </c>
      <c r="AL3762" s="196">
        <f>IFERROR($G3762/SUMIF($A:$A,$A3762,$G:$G)*(SUMIF(Summary!$A$247:$A$283,$A3762,Summary!$L$247:$L$283)+SUMIF(Summary!$A$297:$A$333,$A3762,Summary!$L$297:$L$333))-AK3762,0)</f>
        <v>0</v>
      </c>
      <c r="AM3762" s="198"/>
      <c r="AN3762" s="196">
        <f t="shared" ca="1" si="824"/>
        <v>0</v>
      </c>
      <c r="AO3762" s="196">
        <f t="shared" ca="1" si="825"/>
        <v>0</v>
      </c>
    </row>
    <row r="3763" spans="1:41">
      <c r="A3763" s="189">
        <v>42421</v>
      </c>
      <c r="B3763" s="190">
        <v>4</v>
      </c>
      <c r="C3763" s="191" t="s">
        <v>240</v>
      </c>
      <c r="D3763" s="192">
        <f t="shared" si="812"/>
        <v>0</v>
      </c>
      <c r="E3763" s="192">
        <f t="shared" si="813"/>
        <v>0</v>
      </c>
      <c r="F3763" s="192">
        <f t="shared" si="814"/>
        <v>0</v>
      </c>
      <c r="G3763" s="193">
        <f t="shared" si="815"/>
        <v>0</v>
      </c>
      <c r="H3763" s="194">
        <v>0</v>
      </c>
      <c r="I3763" s="194">
        <v>0</v>
      </c>
      <c r="J3763" s="194">
        <v>0</v>
      </c>
      <c r="K3763" s="193">
        <f t="shared" si="816"/>
        <v>0</v>
      </c>
      <c r="L3763" s="194">
        <v>0</v>
      </c>
      <c r="M3763" s="194">
        <v>0</v>
      </c>
      <c r="N3763" s="194">
        <v>0</v>
      </c>
      <c r="O3763" s="193">
        <f t="shared" si="817"/>
        <v>0</v>
      </c>
      <c r="P3763" s="194">
        <v>0</v>
      </c>
      <c r="Q3763" s="194">
        <v>0</v>
      </c>
      <c r="R3763" s="194">
        <v>0</v>
      </c>
      <c r="S3763" s="193">
        <f t="shared" si="818"/>
        <v>0</v>
      </c>
      <c r="T3763" s="193">
        <f t="shared" si="819"/>
        <v>0</v>
      </c>
      <c r="U3763" s="193">
        <f ca="1">OFFSET('Expenditure Study'!$B$7,'Operations Support'!$C3763,'Operations Support'!$B3763)*$G3763</f>
        <v>0</v>
      </c>
      <c r="V3763" s="199">
        <f ca="1">U3763*'Expenditure Study'!$B$31</f>
        <v>0</v>
      </c>
      <c r="W3763" s="199">
        <f ca="1">IF(A3763=10298,1.51,1)*IF($B3763&lt;3,$D3763*'Expenditure Study'!$B$32*OFFSET('Expenditure Study'!$B$7,'Operations Support'!$C3763,'Operations Support'!$B3763),0)</f>
        <v>0</v>
      </c>
      <c r="X3763" s="200">
        <f ca="1">W3763*'Expenditure Study'!$B$31</f>
        <v>0</v>
      </c>
      <c r="Y3763" s="199">
        <f ca="1">U3763*'Expenditure Study'!$B$31</f>
        <v>0</v>
      </c>
      <c r="Z3763" s="200">
        <f ca="1">W3763*'Expenditure Study'!$B$31</f>
        <v>0</v>
      </c>
      <c r="AA3763" s="195">
        <f t="shared" ca="1" si="820"/>
        <v>0</v>
      </c>
      <c r="AB3763" s="195">
        <f t="shared" ca="1" si="821"/>
        <v>0</v>
      </c>
      <c r="AD3763" s="196">
        <f>IFERROR($G3763/SUMIF($A:$A,$A3763,$G:$G)*SUMIF(Summary!$A$166:$A$242,$A3763,Summary!$P$166:$P$242),0)</f>
        <v>0</v>
      </c>
      <c r="AE3763" s="197">
        <f t="shared" ca="1" si="822"/>
        <v>0</v>
      </c>
      <c r="AF3763" s="196">
        <f>IFERROR(G3763/SUMIF(A:A,A3763,G:G)*SUMIF(Summary!$A$166:$A$242,'Operations Support'!A3763,Summary!$Q$166:$Q$242),0)</f>
        <v>0</v>
      </c>
      <c r="AG3763" s="196">
        <f t="shared" ca="1" si="823"/>
        <v>0</v>
      </c>
      <c r="AI3763" s="196">
        <f>IFERROR($G3763/SUMIF($A:$A,$A3763,$G:$G)*SUMIF(Summary!$A$247:$A$283,$A3763,Summary!$P$247:$P$283),0)</f>
        <v>0</v>
      </c>
      <c r="AJ3763" s="196">
        <f>IFERROR($G3763/SUMIF($A:$A,$A3763,$G:$G)*(SUMIF(Summary!$A$247:$A$283,$A3763,Summary!$L$247:$L$283)+SUMIF(Summary!$A$297:$A$333,$A3763,Summary!$L$297:$L$333))-AI3763,0)</f>
        <v>0</v>
      </c>
      <c r="AK3763" s="196">
        <f>IFERROR($G3763/SUMIF($A:$A,$A3763,$G:$G)*SUMIF(Summary!$A$247:$A$283,$A3763,Summary!$Q$247:$Q$283),0)</f>
        <v>0</v>
      </c>
      <c r="AL3763" s="196">
        <f>IFERROR($G3763/SUMIF($A:$A,$A3763,$G:$G)*(SUMIF(Summary!$A$247:$A$283,$A3763,Summary!$L$247:$L$283)+SUMIF(Summary!$A$297:$A$333,$A3763,Summary!$L$297:$L$333))-AK3763,0)</f>
        <v>0</v>
      </c>
      <c r="AM3763" s="198"/>
      <c r="AN3763" s="196">
        <f t="shared" ca="1" si="824"/>
        <v>0</v>
      </c>
      <c r="AO3763" s="196">
        <f t="shared" ca="1" si="825"/>
        <v>0</v>
      </c>
    </row>
    <row r="3764" spans="1:41">
      <c r="A3764" s="189">
        <v>42421</v>
      </c>
      <c r="B3764" s="190">
        <v>5</v>
      </c>
      <c r="C3764" s="191" t="s">
        <v>220</v>
      </c>
      <c r="D3764" s="192">
        <f t="shared" si="812"/>
        <v>0</v>
      </c>
      <c r="E3764" s="192">
        <f t="shared" si="813"/>
        <v>0</v>
      </c>
      <c r="F3764" s="192">
        <f t="shared" si="814"/>
        <v>0</v>
      </c>
      <c r="G3764" s="193">
        <f t="shared" si="815"/>
        <v>0</v>
      </c>
      <c r="H3764" s="194">
        <v>0</v>
      </c>
      <c r="I3764" s="194">
        <v>0</v>
      </c>
      <c r="J3764" s="194">
        <v>0</v>
      </c>
      <c r="K3764" s="193">
        <f t="shared" si="816"/>
        <v>0</v>
      </c>
      <c r="L3764" s="194">
        <v>0</v>
      </c>
      <c r="M3764" s="194">
        <v>0</v>
      </c>
      <c r="N3764" s="194">
        <v>0</v>
      </c>
      <c r="O3764" s="193">
        <f t="shared" si="817"/>
        <v>0</v>
      </c>
      <c r="P3764" s="194">
        <v>0</v>
      </c>
      <c r="Q3764" s="194">
        <v>0</v>
      </c>
      <c r="R3764" s="194">
        <v>0</v>
      </c>
      <c r="S3764" s="193">
        <f t="shared" si="818"/>
        <v>0</v>
      </c>
      <c r="T3764" s="193">
        <f t="shared" si="819"/>
        <v>0</v>
      </c>
      <c r="U3764" s="193">
        <f ca="1">OFFSET('Expenditure Study'!$B$7,'Operations Support'!$C3764,'Operations Support'!$B3764)*$G3764</f>
        <v>0</v>
      </c>
      <c r="V3764" s="199">
        <f ca="1">U3764*'Expenditure Study'!$B$31</f>
        <v>0</v>
      </c>
      <c r="W3764" s="199">
        <f ca="1">IF(A3764=10298,1.51,1)*IF($B3764&lt;3,$D3764*'Expenditure Study'!$B$32*OFFSET('Expenditure Study'!$B$7,'Operations Support'!$C3764,'Operations Support'!$B3764),0)</f>
        <v>0</v>
      </c>
      <c r="X3764" s="200">
        <f ca="1">W3764*'Expenditure Study'!$B$31</f>
        <v>0</v>
      </c>
      <c r="Y3764" s="199">
        <f ca="1">U3764*'Expenditure Study'!$B$31</f>
        <v>0</v>
      </c>
      <c r="Z3764" s="200">
        <f ca="1">W3764*'Expenditure Study'!$B$31</f>
        <v>0</v>
      </c>
      <c r="AA3764" s="195">
        <f t="shared" ca="1" si="820"/>
        <v>0</v>
      </c>
      <c r="AB3764" s="195">
        <f t="shared" ca="1" si="821"/>
        <v>0</v>
      </c>
      <c r="AD3764" s="196">
        <f>IFERROR($G3764/SUMIF($A:$A,$A3764,$G:$G)*SUMIF(Summary!$A$166:$A$242,$A3764,Summary!$P$166:$P$242),0)</f>
        <v>0</v>
      </c>
      <c r="AE3764" s="197">
        <f t="shared" ca="1" si="822"/>
        <v>0</v>
      </c>
      <c r="AF3764" s="196">
        <f>IFERROR(G3764/SUMIF(A:A,A3764,G:G)*SUMIF(Summary!$A$166:$A$242,'Operations Support'!A3764,Summary!$Q$166:$Q$242),0)</f>
        <v>0</v>
      </c>
      <c r="AG3764" s="196">
        <f t="shared" ca="1" si="823"/>
        <v>0</v>
      </c>
      <c r="AI3764" s="196">
        <f>IFERROR($G3764/SUMIF($A:$A,$A3764,$G:$G)*SUMIF(Summary!$A$247:$A$283,$A3764,Summary!$P$247:$P$283),0)</f>
        <v>0</v>
      </c>
      <c r="AJ3764" s="196">
        <f>IFERROR($G3764/SUMIF($A:$A,$A3764,$G:$G)*(SUMIF(Summary!$A$247:$A$283,$A3764,Summary!$L$247:$L$283)+SUMIF(Summary!$A$297:$A$333,$A3764,Summary!$L$297:$L$333))-AI3764,0)</f>
        <v>0</v>
      </c>
      <c r="AK3764" s="196">
        <f>IFERROR($G3764/SUMIF($A:$A,$A3764,$G:$G)*SUMIF(Summary!$A$247:$A$283,$A3764,Summary!$Q$247:$Q$283),0)</f>
        <v>0</v>
      </c>
      <c r="AL3764" s="196">
        <f>IFERROR($G3764/SUMIF($A:$A,$A3764,$G:$G)*(SUMIF(Summary!$A$247:$A$283,$A3764,Summary!$L$247:$L$283)+SUMIF(Summary!$A$297:$A$333,$A3764,Summary!$L$297:$L$333))-AK3764,0)</f>
        <v>0</v>
      </c>
      <c r="AM3764" s="198"/>
      <c r="AN3764" s="196">
        <f t="shared" ca="1" si="824"/>
        <v>0</v>
      </c>
      <c r="AO3764" s="196">
        <f t="shared" ca="1" si="825"/>
        <v>0</v>
      </c>
    </row>
    <row r="3765" spans="1:41">
      <c r="A3765" s="189">
        <v>42421</v>
      </c>
      <c r="B3765" s="190">
        <v>5</v>
      </c>
      <c r="C3765" s="191" t="s">
        <v>221</v>
      </c>
      <c r="D3765" s="192">
        <f t="shared" si="812"/>
        <v>0</v>
      </c>
      <c r="E3765" s="192">
        <f t="shared" si="813"/>
        <v>0</v>
      </c>
      <c r="F3765" s="192">
        <f t="shared" si="814"/>
        <v>0</v>
      </c>
      <c r="G3765" s="193">
        <f t="shared" si="815"/>
        <v>0</v>
      </c>
      <c r="H3765" s="194">
        <v>0</v>
      </c>
      <c r="I3765" s="194">
        <v>0</v>
      </c>
      <c r="J3765" s="194">
        <v>0</v>
      </c>
      <c r="K3765" s="193">
        <f t="shared" si="816"/>
        <v>0</v>
      </c>
      <c r="L3765" s="194">
        <v>0</v>
      </c>
      <c r="M3765" s="194">
        <v>0</v>
      </c>
      <c r="N3765" s="194">
        <v>0</v>
      </c>
      <c r="O3765" s="193">
        <f t="shared" si="817"/>
        <v>0</v>
      </c>
      <c r="P3765" s="194">
        <v>0</v>
      </c>
      <c r="Q3765" s="194">
        <v>0</v>
      </c>
      <c r="R3765" s="194">
        <v>0</v>
      </c>
      <c r="S3765" s="193">
        <f t="shared" si="818"/>
        <v>0</v>
      </c>
      <c r="T3765" s="193">
        <f t="shared" si="819"/>
        <v>0</v>
      </c>
      <c r="U3765" s="193">
        <f ca="1">OFFSET('Expenditure Study'!$B$7,'Operations Support'!$C3765,'Operations Support'!$B3765)*$G3765</f>
        <v>0</v>
      </c>
      <c r="V3765" s="199">
        <f ca="1">U3765*'Expenditure Study'!$B$31</f>
        <v>0</v>
      </c>
      <c r="W3765" s="199">
        <f ca="1">IF(A3765=10298,1.51,1)*IF($B3765&lt;3,$D3765*'Expenditure Study'!$B$32*OFFSET('Expenditure Study'!$B$7,'Operations Support'!$C3765,'Operations Support'!$B3765),0)</f>
        <v>0</v>
      </c>
      <c r="X3765" s="200">
        <f ca="1">W3765*'Expenditure Study'!$B$31</f>
        <v>0</v>
      </c>
      <c r="Y3765" s="199">
        <f ca="1">U3765*'Expenditure Study'!$B$31</f>
        <v>0</v>
      </c>
      <c r="Z3765" s="200">
        <f ca="1">W3765*'Expenditure Study'!$B$31</f>
        <v>0</v>
      </c>
      <c r="AA3765" s="195">
        <f t="shared" ca="1" si="820"/>
        <v>0</v>
      </c>
      <c r="AB3765" s="195">
        <f t="shared" ca="1" si="821"/>
        <v>0</v>
      </c>
      <c r="AD3765" s="196">
        <f>IFERROR($G3765/SUMIF($A:$A,$A3765,$G:$G)*SUMIF(Summary!$A$166:$A$242,$A3765,Summary!$P$166:$P$242),0)</f>
        <v>0</v>
      </c>
      <c r="AE3765" s="197">
        <f t="shared" ca="1" si="822"/>
        <v>0</v>
      </c>
      <c r="AF3765" s="196">
        <f>IFERROR(G3765/SUMIF(A:A,A3765,G:G)*SUMIF(Summary!$A$166:$A$242,'Operations Support'!A3765,Summary!$Q$166:$Q$242),0)</f>
        <v>0</v>
      </c>
      <c r="AG3765" s="196">
        <f t="shared" ca="1" si="823"/>
        <v>0</v>
      </c>
      <c r="AI3765" s="196">
        <f>IFERROR($G3765/SUMIF($A:$A,$A3765,$G:$G)*SUMIF(Summary!$A$247:$A$283,$A3765,Summary!$P$247:$P$283),0)</f>
        <v>0</v>
      </c>
      <c r="AJ3765" s="196">
        <f>IFERROR($G3765/SUMIF($A:$A,$A3765,$G:$G)*(SUMIF(Summary!$A$247:$A$283,$A3765,Summary!$L$247:$L$283)+SUMIF(Summary!$A$297:$A$333,$A3765,Summary!$L$297:$L$333))-AI3765,0)</f>
        <v>0</v>
      </c>
      <c r="AK3765" s="196">
        <f>IFERROR($G3765/SUMIF($A:$A,$A3765,$G:$G)*SUMIF(Summary!$A$247:$A$283,$A3765,Summary!$Q$247:$Q$283),0)</f>
        <v>0</v>
      </c>
      <c r="AL3765" s="196">
        <f>IFERROR($G3765/SUMIF($A:$A,$A3765,$G:$G)*(SUMIF(Summary!$A$247:$A$283,$A3765,Summary!$L$247:$L$283)+SUMIF(Summary!$A$297:$A$333,$A3765,Summary!$L$297:$L$333))-AK3765,0)</f>
        <v>0</v>
      </c>
      <c r="AM3765" s="198"/>
      <c r="AN3765" s="196">
        <f t="shared" ca="1" si="824"/>
        <v>0</v>
      </c>
      <c r="AO3765" s="196">
        <f t="shared" ca="1" si="825"/>
        <v>0</v>
      </c>
    </row>
    <row r="3766" spans="1:41">
      <c r="A3766" s="189">
        <v>42421</v>
      </c>
      <c r="B3766" s="190">
        <v>5</v>
      </c>
      <c r="C3766" s="191" t="s">
        <v>222</v>
      </c>
      <c r="D3766" s="192">
        <f t="shared" si="812"/>
        <v>0</v>
      </c>
      <c r="E3766" s="192">
        <f t="shared" si="813"/>
        <v>0</v>
      </c>
      <c r="F3766" s="192">
        <f t="shared" si="814"/>
        <v>0</v>
      </c>
      <c r="G3766" s="193">
        <f t="shared" si="815"/>
        <v>0</v>
      </c>
      <c r="H3766" s="194">
        <v>0</v>
      </c>
      <c r="I3766" s="194">
        <v>0</v>
      </c>
      <c r="J3766" s="194">
        <v>0</v>
      </c>
      <c r="K3766" s="193">
        <f t="shared" si="816"/>
        <v>0</v>
      </c>
      <c r="L3766" s="194">
        <v>0</v>
      </c>
      <c r="M3766" s="194">
        <v>0</v>
      </c>
      <c r="N3766" s="194">
        <v>0</v>
      </c>
      <c r="O3766" s="193">
        <f t="shared" si="817"/>
        <v>0</v>
      </c>
      <c r="P3766" s="194">
        <v>0</v>
      </c>
      <c r="Q3766" s="194">
        <v>0</v>
      </c>
      <c r="R3766" s="194">
        <v>0</v>
      </c>
      <c r="S3766" s="193">
        <f t="shared" si="818"/>
        <v>0</v>
      </c>
      <c r="T3766" s="193">
        <f t="shared" si="819"/>
        <v>0</v>
      </c>
      <c r="U3766" s="193">
        <f ca="1">OFFSET('Expenditure Study'!$B$7,'Operations Support'!$C3766,'Operations Support'!$B3766)*$G3766</f>
        <v>0</v>
      </c>
      <c r="V3766" s="199">
        <f ca="1">U3766*'Expenditure Study'!$B$31</f>
        <v>0</v>
      </c>
      <c r="W3766" s="199">
        <f ca="1">IF(A3766=10298,1.51,1)*IF($B3766&lt;3,$D3766*'Expenditure Study'!$B$32*OFFSET('Expenditure Study'!$B$7,'Operations Support'!$C3766,'Operations Support'!$B3766),0)</f>
        <v>0</v>
      </c>
      <c r="X3766" s="200">
        <f ca="1">W3766*'Expenditure Study'!$B$31</f>
        <v>0</v>
      </c>
      <c r="Y3766" s="199">
        <f ca="1">U3766*'Expenditure Study'!$B$31</f>
        <v>0</v>
      </c>
      <c r="Z3766" s="200">
        <f ca="1">W3766*'Expenditure Study'!$B$31</f>
        <v>0</v>
      </c>
      <c r="AA3766" s="195">
        <f t="shared" ca="1" si="820"/>
        <v>0</v>
      </c>
      <c r="AB3766" s="195">
        <f t="shared" ca="1" si="821"/>
        <v>0</v>
      </c>
      <c r="AD3766" s="196">
        <f>IFERROR($G3766/SUMIF($A:$A,$A3766,$G:$G)*SUMIF(Summary!$A$166:$A$242,$A3766,Summary!$P$166:$P$242),0)</f>
        <v>0</v>
      </c>
      <c r="AE3766" s="197">
        <f t="shared" ca="1" si="822"/>
        <v>0</v>
      </c>
      <c r="AF3766" s="196">
        <f>IFERROR(G3766/SUMIF(A:A,A3766,G:G)*SUMIF(Summary!$A$166:$A$242,'Operations Support'!A3766,Summary!$Q$166:$Q$242),0)</f>
        <v>0</v>
      </c>
      <c r="AG3766" s="196">
        <f t="shared" ca="1" si="823"/>
        <v>0</v>
      </c>
      <c r="AI3766" s="196">
        <f>IFERROR($G3766/SUMIF($A:$A,$A3766,$G:$G)*SUMIF(Summary!$A$247:$A$283,$A3766,Summary!$P$247:$P$283),0)</f>
        <v>0</v>
      </c>
      <c r="AJ3766" s="196">
        <f>IFERROR($G3766/SUMIF($A:$A,$A3766,$G:$G)*(SUMIF(Summary!$A$247:$A$283,$A3766,Summary!$L$247:$L$283)+SUMIF(Summary!$A$297:$A$333,$A3766,Summary!$L$297:$L$333))-AI3766,0)</f>
        <v>0</v>
      </c>
      <c r="AK3766" s="196">
        <f>IFERROR($G3766/SUMIF($A:$A,$A3766,$G:$G)*SUMIF(Summary!$A$247:$A$283,$A3766,Summary!$Q$247:$Q$283),0)</f>
        <v>0</v>
      </c>
      <c r="AL3766" s="196">
        <f>IFERROR($G3766/SUMIF($A:$A,$A3766,$G:$G)*(SUMIF(Summary!$A$247:$A$283,$A3766,Summary!$L$247:$L$283)+SUMIF(Summary!$A$297:$A$333,$A3766,Summary!$L$297:$L$333))-AK3766,0)</f>
        <v>0</v>
      </c>
      <c r="AM3766" s="198"/>
      <c r="AN3766" s="196">
        <f t="shared" ca="1" si="824"/>
        <v>0</v>
      </c>
      <c r="AO3766" s="196">
        <f t="shared" ca="1" si="825"/>
        <v>0</v>
      </c>
    </row>
    <row r="3767" spans="1:41">
      <c r="A3767" s="189">
        <v>42421</v>
      </c>
      <c r="B3767" s="190">
        <v>5</v>
      </c>
      <c r="C3767" s="191" t="s">
        <v>223</v>
      </c>
      <c r="D3767" s="192">
        <f t="shared" si="812"/>
        <v>0</v>
      </c>
      <c r="E3767" s="192">
        <f t="shared" si="813"/>
        <v>0</v>
      </c>
      <c r="F3767" s="192">
        <f t="shared" si="814"/>
        <v>0</v>
      </c>
      <c r="G3767" s="193">
        <f t="shared" si="815"/>
        <v>0</v>
      </c>
      <c r="H3767" s="194">
        <v>0</v>
      </c>
      <c r="I3767" s="194">
        <v>0</v>
      </c>
      <c r="J3767" s="194">
        <v>0</v>
      </c>
      <c r="K3767" s="193">
        <f t="shared" si="816"/>
        <v>0</v>
      </c>
      <c r="L3767" s="194">
        <v>0</v>
      </c>
      <c r="M3767" s="194">
        <v>0</v>
      </c>
      <c r="N3767" s="194">
        <v>0</v>
      </c>
      <c r="O3767" s="193">
        <f t="shared" si="817"/>
        <v>0</v>
      </c>
      <c r="P3767" s="194">
        <v>0</v>
      </c>
      <c r="Q3767" s="194">
        <v>0</v>
      </c>
      <c r="R3767" s="194">
        <v>0</v>
      </c>
      <c r="S3767" s="193">
        <f t="shared" si="818"/>
        <v>0</v>
      </c>
      <c r="T3767" s="193">
        <f t="shared" si="819"/>
        <v>0</v>
      </c>
      <c r="U3767" s="193">
        <f ca="1">OFFSET('Expenditure Study'!$B$7,'Operations Support'!$C3767,'Operations Support'!$B3767)*$G3767</f>
        <v>0</v>
      </c>
      <c r="V3767" s="199">
        <f ca="1">U3767*'Expenditure Study'!$B$31</f>
        <v>0</v>
      </c>
      <c r="W3767" s="199">
        <f ca="1">IF(A3767=10298,1.51,1)*IF($B3767&lt;3,$D3767*'Expenditure Study'!$B$32*OFFSET('Expenditure Study'!$B$7,'Operations Support'!$C3767,'Operations Support'!$B3767),0)</f>
        <v>0</v>
      </c>
      <c r="X3767" s="200">
        <f ca="1">W3767*'Expenditure Study'!$B$31</f>
        <v>0</v>
      </c>
      <c r="Y3767" s="199">
        <f ca="1">U3767*'Expenditure Study'!$B$31</f>
        <v>0</v>
      </c>
      <c r="Z3767" s="200">
        <f ca="1">W3767*'Expenditure Study'!$B$31</f>
        <v>0</v>
      </c>
      <c r="AA3767" s="195">
        <f t="shared" ca="1" si="820"/>
        <v>0</v>
      </c>
      <c r="AB3767" s="195">
        <f t="shared" ca="1" si="821"/>
        <v>0</v>
      </c>
      <c r="AD3767" s="196">
        <f>IFERROR($G3767/SUMIF($A:$A,$A3767,$G:$G)*SUMIF(Summary!$A$166:$A$242,$A3767,Summary!$P$166:$P$242),0)</f>
        <v>0</v>
      </c>
      <c r="AE3767" s="197">
        <f t="shared" ca="1" si="822"/>
        <v>0</v>
      </c>
      <c r="AF3767" s="196">
        <f>IFERROR(G3767/SUMIF(A:A,A3767,G:G)*SUMIF(Summary!$A$166:$A$242,'Operations Support'!A3767,Summary!$Q$166:$Q$242),0)</f>
        <v>0</v>
      </c>
      <c r="AG3767" s="196">
        <f t="shared" ca="1" si="823"/>
        <v>0</v>
      </c>
      <c r="AI3767" s="196">
        <f>IFERROR($G3767/SUMIF($A:$A,$A3767,$G:$G)*SUMIF(Summary!$A$247:$A$283,$A3767,Summary!$P$247:$P$283),0)</f>
        <v>0</v>
      </c>
      <c r="AJ3767" s="196">
        <f>IFERROR($G3767/SUMIF($A:$A,$A3767,$G:$G)*(SUMIF(Summary!$A$247:$A$283,$A3767,Summary!$L$247:$L$283)+SUMIF(Summary!$A$297:$A$333,$A3767,Summary!$L$297:$L$333))-AI3767,0)</f>
        <v>0</v>
      </c>
      <c r="AK3767" s="196">
        <f>IFERROR($G3767/SUMIF($A:$A,$A3767,$G:$G)*SUMIF(Summary!$A$247:$A$283,$A3767,Summary!$Q$247:$Q$283),0)</f>
        <v>0</v>
      </c>
      <c r="AL3767" s="196">
        <f>IFERROR($G3767/SUMIF($A:$A,$A3767,$G:$G)*(SUMIF(Summary!$A$247:$A$283,$A3767,Summary!$L$247:$L$283)+SUMIF(Summary!$A$297:$A$333,$A3767,Summary!$L$297:$L$333))-AK3767,0)</f>
        <v>0</v>
      </c>
      <c r="AM3767" s="198"/>
      <c r="AN3767" s="196">
        <f t="shared" ca="1" si="824"/>
        <v>0</v>
      </c>
      <c r="AO3767" s="196">
        <f t="shared" ca="1" si="825"/>
        <v>0</v>
      </c>
    </row>
    <row r="3768" spans="1:41">
      <c r="A3768" s="189">
        <v>42421</v>
      </c>
      <c r="B3768" s="190">
        <v>5</v>
      </c>
      <c r="C3768" s="191" t="s">
        <v>224</v>
      </c>
      <c r="D3768" s="192">
        <f t="shared" si="812"/>
        <v>0</v>
      </c>
      <c r="E3768" s="192">
        <f t="shared" si="813"/>
        <v>0</v>
      </c>
      <c r="F3768" s="192">
        <f t="shared" si="814"/>
        <v>0</v>
      </c>
      <c r="G3768" s="193">
        <f t="shared" si="815"/>
        <v>0</v>
      </c>
      <c r="H3768" s="194">
        <v>0</v>
      </c>
      <c r="I3768" s="194">
        <v>0</v>
      </c>
      <c r="J3768" s="194">
        <v>0</v>
      </c>
      <c r="K3768" s="193">
        <f t="shared" si="816"/>
        <v>0</v>
      </c>
      <c r="L3768" s="194">
        <v>0</v>
      </c>
      <c r="M3768" s="194">
        <v>0</v>
      </c>
      <c r="N3768" s="194">
        <v>0</v>
      </c>
      <c r="O3768" s="193">
        <f t="shared" si="817"/>
        <v>0</v>
      </c>
      <c r="P3768" s="194">
        <v>0</v>
      </c>
      <c r="Q3768" s="194">
        <v>0</v>
      </c>
      <c r="R3768" s="194">
        <v>0</v>
      </c>
      <c r="S3768" s="193">
        <f t="shared" si="818"/>
        <v>0</v>
      </c>
      <c r="T3768" s="193">
        <f t="shared" si="819"/>
        <v>0</v>
      </c>
      <c r="U3768" s="193">
        <f ca="1">OFFSET('Expenditure Study'!$B$7,'Operations Support'!$C3768,'Operations Support'!$B3768)*$G3768</f>
        <v>0</v>
      </c>
      <c r="V3768" s="199">
        <f ca="1">U3768*'Expenditure Study'!$B$31</f>
        <v>0</v>
      </c>
      <c r="W3768" s="199">
        <f ca="1">IF(A3768=10298,1.51,1)*IF($B3768&lt;3,$D3768*'Expenditure Study'!$B$32*OFFSET('Expenditure Study'!$B$7,'Operations Support'!$C3768,'Operations Support'!$B3768),0)</f>
        <v>0</v>
      </c>
      <c r="X3768" s="200">
        <f ca="1">W3768*'Expenditure Study'!$B$31</f>
        <v>0</v>
      </c>
      <c r="Y3768" s="199">
        <f ca="1">U3768*'Expenditure Study'!$B$31</f>
        <v>0</v>
      </c>
      <c r="Z3768" s="200">
        <f ca="1">W3768*'Expenditure Study'!$B$31</f>
        <v>0</v>
      </c>
      <c r="AA3768" s="195">
        <f t="shared" ca="1" si="820"/>
        <v>0</v>
      </c>
      <c r="AB3768" s="195">
        <f t="shared" ca="1" si="821"/>
        <v>0</v>
      </c>
      <c r="AD3768" s="196">
        <f>IFERROR($G3768/SUMIF($A:$A,$A3768,$G:$G)*SUMIF(Summary!$A$166:$A$242,$A3768,Summary!$P$166:$P$242),0)</f>
        <v>0</v>
      </c>
      <c r="AE3768" s="197">
        <f t="shared" ca="1" si="822"/>
        <v>0</v>
      </c>
      <c r="AF3768" s="196">
        <f>IFERROR(G3768/SUMIF(A:A,A3768,G:G)*SUMIF(Summary!$A$166:$A$242,'Operations Support'!A3768,Summary!$Q$166:$Q$242),0)</f>
        <v>0</v>
      </c>
      <c r="AG3768" s="196">
        <f t="shared" ca="1" si="823"/>
        <v>0</v>
      </c>
      <c r="AI3768" s="196">
        <f>IFERROR($G3768/SUMIF($A:$A,$A3768,$G:$G)*SUMIF(Summary!$A$247:$A$283,$A3768,Summary!$P$247:$P$283),0)</f>
        <v>0</v>
      </c>
      <c r="AJ3768" s="196">
        <f>IFERROR($G3768/SUMIF($A:$A,$A3768,$G:$G)*(SUMIF(Summary!$A$247:$A$283,$A3768,Summary!$L$247:$L$283)+SUMIF(Summary!$A$297:$A$333,$A3768,Summary!$L$297:$L$333))-AI3768,0)</f>
        <v>0</v>
      </c>
      <c r="AK3768" s="196">
        <f>IFERROR($G3768/SUMIF($A:$A,$A3768,$G:$G)*SUMIF(Summary!$A$247:$A$283,$A3768,Summary!$Q$247:$Q$283),0)</f>
        <v>0</v>
      </c>
      <c r="AL3768" s="196">
        <f>IFERROR($G3768/SUMIF($A:$A,$A3768,$G:$G)*(SUMIF(Summary!$A$247:$A$283,$A3768,Summary!$L$247:$L$283)+SUMIF(Summary!$A$297:$A$333,$A3768,Summary!$L$297:$L$333))-AK3768,0)</f>
        <v>0</v>
      </c>
      <c r="AM3768" s="198"/>
      <c r="AN3768" s="196">
        <f t="shared" ca="1" si="824"/>
        <v>0</v>
      </c>
      <c r="AO3768" s="196">
        <f t="shared" ca="1" si="825"/>
        <v>0</v>
      </c>
    </row>
    <row r="3769" spans="1:41">
      <c r="A3769" s="189">
        <v>42421</v>
      </c>
      <c r="B3769" s="190">
        <v>5</v>
      </c>
      <c r="C3769" s="191" t="s">
        <v>225</v>
      </c>
      <c r="D3769" s="192">
        <f t="shared" si="812"/>
        <v>0</v>
      </c>
      <c r="E3769" s="192">
        <f t="shared" si="813"/>
        <v>0</v>
      </c>
      <c r="F3769" s="192">
        <f t="shared" si="814"/>
        <v>0</v>
      </c>
      <c r="G3769" s="193">
        <f t="shared" si="815"/>
        <v>0</v>
      </c>
      <c r="H3769" s="194">
        <v>0</v>
      </c>
      <c r="I3769" s="194">
        <v>0</v>
      </c>
      <c r="J3769" s="194">
        <v>0</v>
      </c>
      <c r="K3769" s="193">
        <f t="shared" si="816"/>
        <v>0</v>
      </c>
      <c r="L3769" s="194">
        <v>0</v>
      </c>
      <c r="M3769" s="194">
        <v>0</v>
      </c>
      <c r="N3769" s="194">
        <v>0</v>
      </c>
      <c r="O3769" s="193">
        <f t="shared" si="817"/>
        <v>0</v>
      </c>
      <c r="P3769" s="194">
        <v>0</v>
      </c>
      <c r="Q3769" s="194">
        <v>0</v>
      </c>
      <c r="R3769" s="194">
        <v>0</v>
      </c>
      <c r="S3769" s="193">
        <f t="shared" si="818"/>
        <v>0</v>
      </c>
      <c r="T3769" s="193">
        <f t="shared" si="819"/>
        <v>0</v>
      </c>
      <c r="U3769" s="193">
        <f ca="1">OFFSET('Expenditure Study'!$B$7,'Operations Support'!$C3769,'Operations Support'!$B3769)*$G3769</f>
        <v>0</v>
      </c>
      <c r="V3769" s="199">
        <f ca="1">U3769*'Expenditure Study'!$B$31</f>
        <v>0</v>
      </c>
      <c r="W3769" s="199">
        <f ca="1">IF(A3769=10298,1.51,1)*IF($B3769&lt;3,$D3769*'Expenditure Study'!$B$32*OFFSET('Expenditure Study'!$B$7,'Operations Support'!$C3769,'Operations Support'!$B3769),0)</f>
        <v>0</v>
      </c>
      <c r="X3769" s="200">
        <f ca="1">W3769*'Expenditure Study'!$B$31</f>
        <v>0</v>
      </c>
      <c r="Y3769" s="199">
        <f ca="1">U3769*'Expenditure Study'!$B$31</f>
        <v>0</v>
      </c>
      <c r="Z3769" s="200">
        <f ca="1">W3769*'Expenditure Study'!$B$31</f>
        <v>0</v>
      </c>
      <c r="AA3769" s="195">
        <f t="shared" ca="1" si="820"/>
        <v>0</v>
      </c>
      <c r="AB3769" s="195">
        <f t="shared" ca="1" si="821"/>
        <v>0</v>
      </c>
      <c r="AD3769" s="196">
        <f>IFERROR($G3769/SUMIF($A:$A,$A3769,$G:$G)*SUMIF(Summary!$A$166:$A$242,$A3769,Summary!$P$166:$P$242),0)</f>
        <v>0</v>
      </c>
      <c r="AE3769" s="197">
        <f t="shared" ca="1" si="822"/>
        <v>0</v>
      </c>
      <c r="AF3769" s="196">
        <f>IFERROR(G3769/SUMIF(A:A,A3769,G:G)*SUMIF(Summary!$A$166:$A$242,'Operations Support'!A3769,Summary!$Q$166:$Q$242),0)</f>
        <v>0</v>
      </c>
      <c r="AG3769" s="196">
        <f t="shared" ca="1" si="823"/>
        <v>0</v>
      </c>
      <c r="AI3769" s="196">
        <f>IFERROR($G3769/SUMIF($A:$A,$A3769,$G:$G)*SUMIF(Summary!$A$247:$A$283,$A3769,Summary!$P$247:$P$283),0)</f>
        <v>0</v>
      </c>
      <c r="AJ3769" s="196">
        <f>IFERROR($G3769/SUMIF($A:$A,$A3769,$G:$G)*(SUMIF(Summary!$A$247:$A$283,$A3769,Summary!$L$247:$L$283)+SUMIF(Summary!$A$297:$A$333,$A3769,Summary!$L$297:$L$333))-AI3769,0)</f>
        <v>0</v>
      </c>
      <c r="AK3769" s="196">
        <f>IFERROR($G3769/SUMIF($A:$A,$A3769,$G:$G)*SUMIF(Summary!$A$247:$A$283,$A3769,Summary!$Q$247:$Q$283),0)</f>
        <v>0</v>
      </c>
      <c r="AL3769" s="196">
        <f>IFERROR($G3769/SUMIF($A:$A,$A3769,$G:$G)*(SUMIF(Summary!$A$247:$A$283,$A3769,Summary!$L$247:$L$283)+SUMIF(Summary!$A$297:$A$333,$A3769,Summary!$L$297:$L$333))-AK3769,0)</f>
        <v>0</v>
      </c>
      <c r="AM3769" s="198"/>
      <c r="AN3769" s="196">
        <f t="shared" ca="1" si="824"/>
        <v>0</v>
      </c>
      <c r="AO3769" s="196">
        <f t="shared" ca="1" si="825"/>
        <v>0</v>
      </c>
    </row>
    <row r="3770" spans="1:41">
      <c r="A3770" s="189">
        <v>42421</v>
      </c>
      <c r="B3770" s="190">
        <v>5</v>
      </c>
      <c r="C3770" s="191" t="s">
        <v>226</v>
      </c>
      <c r="D3770" s="192">
        <f t="shared" si="812"/>
        <v>0</v>
      </c>
      <c r="E3770" s="192">
        <f t="shared" si="813"/>
        <v>0</v>
      </c>
      <c r="F3770" s="192">
        <f t="shared" si="814"/>
        <v>0</v>
      </c>
      <c r="G3770" s="193">
        <f t="shared" si="815"/>
        <v>0</v>
      </c>
      <c r="H3770" s="194">
        <v>0</v>
      </c>
      <c r="I3770" s="194">
        <v>0</v>
      </c>
      <c r="J3770" s="194">
        <v>0</v>
      </c>
      <c r="K3770" s="193">
        <f t="shared" si="816"/>
        <v>0</v>
      </c>
      <c r="L3770" s="194">
        <v>0</v>
      </c>
      <c r="M3770" s="194">
        <v>0</v>
      </c>
      <c r="N3770" s="194">
        <v>0</v>
      </c>
      <c r="O3770" s="193">
        <f t="shared" si="817"/>
        <v>0</v>
      </c>
      <c r="P3770" s="194">
        <v>0</v>
      </c>
      <c r="Q3770" s="194">
        <v>0</v>
      </c>
      <c r="R3770" s="194">
        <v>0</v>
      </c>
      <c r="S3770" s="193">
        <f t="shared" si="818"/>
        <v>0</v>
      </c>
      <c r="T3770" s="193">
        <f t="shared" si="819"/>
        <v>0</v>
      </c>
      <c r="U3770" s="193">
        <f ca="1">OFFSET('Expenditure Study'!$B$7,'Operations Support'!$C3770,'Operations Support'!$B3770)*$G3770</f>
        <v>0</v>
      </c>
      <c r="V3770" s="199">
        <f ca="1">U3770*'Expenditure Study'!$B$31</f>
        <v>0</v>
      </c>
      <c r="W3770" s="199">
        <f ca="1">IF(A3770=10298,1.51,1)*IF($B3770&lt;3,$D3770*'Expenditure Study'!$B$32*OFFSET('Expenditure Study'!$B$7,'Operations Support'!$C3770,'Operations Support'!$B3770),0)</f>
        <v>0</v>
      </c>
      <c r="X3770" s="200">
        <f ca="1">W3770*'Expenditure Study'!$B$31</f>
        <v>0</v>
      </c>
      <c r="Y3770" s="199">
        <f ca="1">U3770*'Expenditure Study'!$B$31</f>
        <v>0</v>
      </c>
      <c r="Z3770" s="200">
        <f ca="1">W3770*'Expenditure Study'!$B$31</f>
        <v>0</v>
      </c>
      <c r="AA3770" s="195">
        <f t="shared" ca="1" si="820"/>
        <v>0</v>
      </c>
      <c r="AB3770" s="195">
        <f t="shared" ca="1" si="821"/>
        <v>0</v>
      </c>
      <c r="AD3770" s="196">
        <f>IFERROR($G3770/SUMIF($A:$A,$A3770,$G:$G)*SUMIF(Summary!$A$166:$A$242,$A3770,Summary!$P$166:$P$242),0)</f>
        <v>0</v>
      </c>
      <c r="AE3770" s="197">
        <f t="shared" ca="1" si="822"/>
        <v>0</v>
      </c>
      <c r="AF3770" s="196">
        <f>IFERROR(G3770/SUMIF(A:A,A3770,G:G)*SUMIF(Summary!$A$166:$A$242,'Operations Support'!A3770,Summary!$Q$166:$Q$242),0)</f>
        <v>0</v>
      </c>
      <c r="AG3770" s="196">
        <f t="shared" ca="1" si="823"/>
        <v>0</v>
      </c>
      <c r="AI3770" s="196">
        <f>IFERROR($G3770/SUMIF($A:$A,$A3770,$G:$G)*SUMIF(Summary!$A$247:$A$283,$A3770,Summary!$P$247:$P$283),0)</f>
        <v>0</v>
      </c>
      <c r="AJ3770" s="196">
        <f>IFERROR($G3770/SUMIF($A:$A,$A3770,$G:$G)*(SUMIF(Summary!$A$247:$A$283,$A3770,Summary!$L$247:$L$283)+SUMIF(Summary!$A$297:$A$333,$A3770,Summary!$L$297:$L$333))-AI3770,0)</f>
        <v>0</v>
      </c>
      <c r="AK3770" s="196">
        <f>IFERROR($G3770/SUMIF($A:$A,$A3770,$G:$G)*SUMIF(Summary!$A$247:$A$283,$A3770,Summary!$Q$247:$Q$283),0)</f>
        <v>0</v>
      </c>
      <c r="AL3770" s="196">
        <f>IFERROR($G3770/SUMIF($A:$A,$A3770,$G:$G)*(SUMIF(Summary!$A$247:$A$283,$A3770,Summary!$L$247:$L$283)+SUMIF(Summary!$A$297:$A$333,$A3770,Summary!$L$297:$L$333))-AK3770,0)</f>
        <v>0</v>
      </c>
      <c r="AM3770" s="198"/>
      <c r="AN3770" s="196">
        <f t="shared" ca="1" si="824"/>
        <v>0</v>
      </c>
      <c r="AO3770" s="196">
        <f t="shared" ca="1" si="825"/>
        <v>0</v>
      </c>
    </row>
    <row r="3771" spans="1:41">
      <c r="A3771" s="189">
        <v>42421</v>
      </c>
      <c r="B3771" s="190">
        <v>5</v>
      </c>
      <c r="C3771" s="191" t="s">
        <v>227</v>
      </c>
      <c r="D3771" s="192">
        <f t="shared" si="812"/>
        <v>5607.66</v>
      </c>
      <c r="E3771" s="192">
        <f t="shared" si="813"/>
        <v>4340.22</v>
      </c>
      <c r="F3771" s="192">
        <f t="shared" si="814"/>
        <v>0</v>
      </c>
      <c r="G3771" s="193">
        <f t="shared" si="815"/>
        <v>9947.880000000001</v>
      </c>
      <c r="H3771" s="194">
        <v>2915.43</v>
      </c>
      <c r="I3771" s="194">
        <v>1772.57</v>
      </c>
      <c r="J3771" s="194">
        <v>0</v>
      </c>
      <c r="K3771" s="193">
        <f t="shared" si="816"/>
        <v>4688</v>
      </c>
      <c r="L3771" s="194">
        <v>2520.88</v>
      </c>
      <c r="M3771" s="194">
        <v>2198</v>
      </c>
      <c r="N3771" s="194">
        <v>0</v>
      </c>
      <c r="O3771" s="193">
        <f t="shared" si="817"/>
        <v>4718.88</v>
      </c>
      <c r="P3771" s="194">
        <v>171.35</v>
      </c>
      <c r="Q3771" s="194">
        <v>369.65000000000043</v>
      </c>
      <c r="R3771" s="194">
        <v>0</v>
      </c>
      <c r="S3771" s="193">
        <f t="shared" si="818"/>
        <v>541.00000000000045</v>
      </c>
      <c r="T3771" s="193">
        <f t="shared" si="819"/>
        <v>414.49500000000006</v>
      </c>
      <c r="U3771" s="193">
        <f ca="1">OFFSET('Expenditure Study'!$B$7,'Operations Support'!$C3771,'Operations Support'!$B3771)*$G3771</f>
        <v>54713.340000000004</v>
      </c>
      <c r="V3771" s="199">
        <f ca="1">U3771*'Expenditure Study'!$B$31</f>
        <v>3232638.1593918721</v>
      </c>
      <c r="W3771" s="199">
        <f ca="1">IF(A3771=10298,1.51,1)*IF($B3771&lt;3,$D3771*'Expenditure Study'!$B$32*OFFSET('Expenditure Study'!$B$7,'Operations Support'!$C3771,'Operations Support'!$B3771),0)</f>
        <v>0</v>
      </c>
      <c r="X3771" s="200">
        <f ca="1">W3771*'Expenditure Study'!$B$31</f>
        <v>0</v>
      </c>
      <c r="Y3771" s="199">
        <f ca="1">U3771*'Expenditure Study'!$B$31</f>
        <v>3232638.1593918721</v>
      </c>
      <c r="Z3771" s="200">
        <f ca="1">W3771*'Expenditure Study'!$B$31</f>
        <v>0</v>
      </c>
      <c r="AA3771" s="195">
        <f t="shared" ca="1" si="820"/>
        <v>3232638.1593918721</v>
      </c>
      <c r="AB3771" s="195">
        <f t="shared" ca="1" si="821"/>
        <v>3232638.1593918721</v>
      </c>
      <c r="AD3771" s="196">
        <f>IFERROR($G3771/SUMIF($A:$A,$A3771,$G:$G)*SUMIF(Summary!$A$166:$A$242,$A3771,Summary!$P$166:$P$242),0)</f>
        <v>202730.93126645673</v>
      </c>
      <c r="AE3771" s="197">
        <f t="shared" ca="1" si="822"/>
        <v>3029907.2281254153</v>
      </c>
      <c r="AF3771" s="196">
        <f>IFERROR(G3771/SUMIF(A:A,A3771,G:G)*SUMIF(Summary!$A$166:$A$242,'Operations Support'!A3771,Summary!$Q$166:$Q$242),0)</f>
        <v>202858.51349918943</v>
      </c>
      <c r="AG3771" s="196">
        <f t="shared" ca="1" si="823"/>
        <v>3029779.6458926825</v>
      </c>
      <c r="AI3771" s="196">
        <f>IFERROR($G3771/SUMIF($A:$A,$A3771,$G:$G)*SUMIF(Summary!$A$247:$A$283,$A3771,Summary!$P$247:$P$283),0)</f>
        <v>36973.062769005533</v>
      </c>
      <c r="AJ3771" s="196">
        <f>IFERROR($G3771/SUMIF($A:$A,$A3771,$G:$G)*(SUMIF(Summary!$A$247:$A$283,$A3771,Summary!$L$247:$L$283)+SUMIF(Summary!$A$297:$A$333,$A3771,Summary!$L$297:$L$333))-AI3771,0)</f>
        <v>324988.65369649959</v>
      </c>
      <c r="AK3771" s="196">
        <f>IFERROR($G3771/SUMIF($A:$A,$A3771,$G:$G)*SUMIF(Summary!$A$247:$A$283,$A3771,Summary!$Q$247:$Q$283),0)</f>
        <v>36996.330584476847</v>
      </c>
      <c r="AL3771" s="196">
        <f>IFERROR($G3771/SUMIF($A:$A,$A3771,$G:$G)*(SUMIF(Summary!$A$247:$A$283,$A3771,Summary!$L$247:$L$283)+SUMIF(Summary!$A$297:$A$333,$A3771,Summary!$L$297:$L$333))-AK3771,0)</f>
        <v>324965.38588102825</v>
      </c>
      <c r="AM3771" s="198"/>
      <c r="AN3771" s="196">
        <f t="shared" ca="1" si="824"/>
        <v>3354895.881821915</v>
      </c>
      <c r="AO3771" s="196">
        <f t="shared" ca="1" si="825"/>
        <v>3354745.0317737106</v>
      </c>
    </row>
    <row r="3772" spans="1:41">
      <c r="A3772" s="189">
        <v>42421</v>
      </c>
      <c r="B3772" s="190">
        <v>5</v>
      </c>
      <c r="C3772" s="191" t="s">
        <v>228</v>
      </c>
      <c r="D3772" s="192">
        <f t="shared" si="812"/>
        <v>0</v>
      </c>
      <c r="E3772" s="192">
        <f t="shared" si="813"/>
        <v>0</v>
      </c>
      <c r="F3772" s="192">
        <f t="shared" si="814"/>
        <v>0</v>
      </c>
      <c r="G3772" s="193">
        <f t="shared" si="815"/>
        <v>0</v>
      </c>
      <c r="H3772" s="194">
        <v>0</v>
      </c>
      <c r="I3772" s="194">
        <v>0</v>
      </c>
      <c r="J3772" s="194">
        <v>0</v>
      </c>
      <c r="K3772" s="193">
        <f t="shared" si="816"/>
        <v>0</v>
      </c>
      <c r="L3772" s="194">
        <v>0</v>
      </c>
      <c r="M3772" s="194">
        <v>0</v>
      </c>
      <c r="N3772" s="194">
        <v>0</v>
      </c>
      <c r="O3772" s="193">
        <f t="shared" si="817"/>
        <v>0</v>
      </c>
      <c r="P3772" s="194">
        <v>0</v>
      </c>
      <c r="Q3772" s="194">
        <v>0</v>
      </c>
      <c r="R3772" s="194">
        <v>0</v>
      </c>
      <c r="S3772" s="193">
        <f t="shared" si="818"/>
        <v>0</v>
      </c>
      <c r="T3772" s="193">
        <f t="shared" si="819"/>
        <v>0</v>
      </c>
      <c r="U3772" s="193">
        <f ca="1">OFFSET('Expenditure Study'!$B$7,'Operations Support'!$C3772,'Operations Support'!$B3772)*$G3772</f>
        <v>0</v>
      </c>
      <c r="V3772" s="199">
        <f ca="1">U3772*'Expenditure Study'!$B$31</f>
        <v>0</v>
      </c>
      <c r="W3772" s="199">
        <f ca="1">IF(A3772=10298,1.51,1)*IF($B3772&lt;3,$D3772*'Expenditure Study'!$B$32*OFFSET('Expenditure Study'!$B$7,'Operations Support'!$C3772,'Operations Support'!$B3772),0)</f>
        <v>0</v>
      </c>
      <c r="X3772" s="200">
        <f ca="1">W3772*'Expenditure Study'!$B$31</f>
        <v>0</v>
      </c>
      <c r="Y3772" s="199">
        <f ca="1">U3772*'Expenditure Study'!$B$31</f>
        <v>0</v>
      </c>
      <c r="Z3772" s="200">
        <f ca="1">W3772*'Expenditure Study'!$B$31</f>
        <v>0</v>
      </c>
      <c r="AA3772" s="195">
        <f t="shared" ca="1" si="820"/>
        <v>0</v>
      </c>
      <c r="AB3772" s="195">
        <f t="shared" ca="1" si="821"/>
        <v>0</v>
      </c>
      <c r="AD3772" s="196">
        <f>IFERROR($G3772/SUMIF($A:$A,$A3772,$G:$G)*SUMIF(Summary!$A$166:$A$242,$A3772,Summary!$P$166:$P$242),0)</f>
        <v>0</v>
      </c>
      <c r="AE3772" s="197">
        <f t="shared" ca="1" si="822"/>
        <v>0</v>
      </c>
      <c r="AF3772" s="196">
        <f>IFERROR(G3772/SUMIF(A:A,A3772,G:G)*SUMIF(Summary!$A$166:$A$242,'Operations Support'!A3772,Summary!$Q$166:$Q$242),0)</f>
        <v>0</v>
      </c>
      <c r="AG3772" s="196">
        <f t="shared" ca="1" si="823"/>
        <v>0</v>
      </c>
      <c r="AI3772" s="196">
        <f>IFERROR($G3772/SUMIF($A:$A,$A3772,$G:$G)*SUMIF(Summary!$A$247:$A$283,$A3772,Summary!$P$247:$P$283),0)</f>
        <v>0</v>
      </c>
      <c r="AJ3772" s="196">
        <f>IFERROR($G3772/SUMIF($A:$A,$A3772,$G:$G)*(SUMIF(Summary!$A$247:$A$283,$A3772,Summary!$L$247:$L$283)+SUMIF(Summary!$A$297:$A$333,$A3772,Summary!$L$297:$L$333))-AI3772,0)</f>
        <v>0</v>
      </c>
      <c r="AK3772" s="196">
        <f>IFERROR($G3772/SUMIF($A:$A,$A3772,$G:$G)*SUMIF(Summary!$A$247:$A$283,$A3772,Summary!$Q$247:$Q$283),0)</f>
        <v>0</v>
      </c>
      <c r="AL3772" s="196">
        <f>IFERROR($G3772/SUMIF($A:$A,$A3772,$G:$G)*(SUMIF(Summary!$A$247:$A$283,$A3772,Summary!$L$247:$L$283)+SUMIF(Summary!$A$297:$A$333,$A3772,Summary!$L$297:$L$333))-AK3772,0)</f>
        <v>0</v>
      </c>
      <c r="AM3772" s="198"/>
      <c r="AN3772" s="196">
        <f t="shared" ca="1" si="824"/>
        <v>0</v>
      </c>
      <c r="AO3772" s="196">
        <f t="shared" ca="1" si="825"/>
        <v>0</v>
      </c>
    </row>
    <row r="3773" spans="1:41">
      <c r="A3773" s="189">
        <v>42421</v>
      </c>
      <c r="B3773" s="190">
        <v>5</v>
      </c>
      <c r="C3773" s="191" t="s">
        <v>229</v>
      </c>
      <c r="D3773" s="192">
        <f t="shared" si="812"/>
        <v>0</v>
      </c>
      <c r="E3773" s="192">
        <f t="shared" si="813"/>
        <v>0</v>
      </c>
      <c r="F3773" s="192">
        <f t="shared" si="814"/>
        <v>0</v>
      </c>
      <c r="G3773" s="193">
        <f t="shared" si="815"/>
        <v>0</v>
      </c>
      <c r="H3773" s="194">
        <v>0</v>
      </c>
      <c r="I3773" s="194">
        <v>0</v>
      </c>
      <c r="J3773" s="194">
        <v>0</v>
      </c>
      <c r="K3773" s="193">
        <f t="shared" si="816"/>
        <v>0</v>
      </c>
      <c r="L3773" s="194">
        <v>0</v>
      </c>
      <c r="M3773" s="194">
        <v>0</v>
      </c>
      <c r="N3773" s="194">
        <v>0</v>
      </c>
      <c r="O3773" s="193">
        <f t="shared" si="817"/>
        <v>0</v>
      </c>
      <c r="P3773" s="194">
        <v>0</v>
      </c>
      <c r="Q3773" s="194">
        <v>0</v>
      </c>
      <c r="R3773" s="194">
        <v>0</v>
      </c>
      <c r="S3773" s="193">
        <f t="shared" si="818"/>
        <v>0</v>
      </c>
      <c r="T3773" s="193">
        <f t="shared" si="819"/>
        <v>0</v>
      </c>
      <c r="U3773" s="193">
        <f ca="1">OFFSET('Expenditure Study'!$B$7,'Operations Support'!$C3773,'Operations Support'!$B3773)*$G3773</f>
        <v>0</v>
      </c>
      <c r="V3773" s="199">
        <f ca="1">U3773*'Expenditure Study'!$B$31</f>
        <v>0</v>
      </c>
      <c r="W3773" s="199">
        <f ca="1">IF(A3773=10298,1.51,1)*IF($B3773&lt;3,$D3773*'Expenditure Study'!$B$32*OFFSET('Expenditure Study'!$B$7,'Operations Support'!$C3773,'Operations Support'!$B3773),0)</f>
        <v>0</v>
      </c>
      <c r="X3773" s="200">
        <f ca="1">W3773*'Expenditure Study'!$B$31</f>
        <v>0</v>
      </c>
      <c r="Y3773" s="199">
        <f ca="1">U3773*'Expenditure Study'!$B$31</f>
        <v>0</v>
      </c>
      <c r="Z3773" s="200">
        <f ca="1">W3773*'Expenditure Study'!$B$31</f>
        <v>0</v>
      </c>
      <c r="AA3773" s="195">
        <f t="shared" ca="1" si="820"/>
        <v>0</v>
      </c>
      <c r="AB3773" s="195">
        <f t="shared" ca="1" si="821"/>
        <v>0</v>
      </c>
      <c r="AD3773" s="196">
        <f>IFERROR($G3773/SUMIF($A:$A,$A3773,$G:$G)*SUMIF(Summary!$A$166:$A$242,$A3773,Summary!$P$166:$P$242),0)</f>
        <v>0</v>
      </c>
      <c r="AE3773" s="197">
        <f t="shared" ca="1" si="822"/>
        <v>0</v>
      </c>
      <c r="AF3773" s="196">
        <f>IFERROR(G3773/SUMIF(A:A,A3773,G:G)*SUMIF(Summary!$A$166:$A$242,'Operations Support'!A3773,Summary!$Q$166:$Q$242),0)</f>
        <v>0</v>
      </c>
      <c r="AG3773" s="196">
        <f t="shared" ca="1" si="823"/>
        <v>0</v>
      </c>
      <c r="AI3773" s="196">
        <f>IFERROR($G3773/SUMIF($A:$A,$A3773,$G:$G)*SUMIF(Summary!$A$247:$A$283,$A3773,Summary!$P$247:$P$283),0)</f>
        <v>0</v>
      </c>
      <c r="AJ3773" s="196">
        <f>IFERROR($G3773/SUMIF($A:$A,$A3773,$G:$G)*(SUMIF(Summary!$A$247:$A$283,$A3773,Summary!$L$247:$L$283)+SUMIF(Summary!$A$297:$A$333,$A3773,Summary!$L$297:$L$333))-AI3773,0)</f>
        <v>0</v>
      </c>
      <c r="AK3773" s="196">
        <f>IFERROR($G3773/SUMIF($A:$A,$A3773,$G:$G)*SUMIF(Summary!$A$247:$A$283,$A3773,Summary!$Q$247:$Q$283),0)</f>
        <v>0</v>
      </c>
      <c r="AL3773" s="196">
        <f>IFERROR($G3773/SUMIF($A:$A,$A3773,$G:$G)*(SUMIF(Summary!$A$247:$A$283,$A3773,Summary!$L$247:$L$283)+SUMIF(Summary!$A$297:$A$333,$A3773,Summary!$L$297:$L$333))-AK3773,0)</f>
        <v>0</v>
      </c>
      <c r="AM3773" s="198"/>
      <c r="AN3773" s="196">
        <f t="shared" ca="1" si="824"/>
        <v>0</v>
      </c>
      <c r="AO3773" s="196">
        <f t="shared" ca="1" si="825"/>
        <v>0</v>
      </c>
    </row>
    <row r="3774" spans="1:41">
      <c r="A3774" s="189">
        <v>42421</v>
      </c>
      <c r="B3774" s="190">
        <v>5</v>
      </c>
      <c r="C3774" s="191" t="s">
        <v>230</v>
      </c>
      <c r="D3774" s="192">
        <f t="shared" si="812"/>
        <v>0</v>
      </c>
      <c r="E3774" s="192">
        <f t="shared" si="813"/>
        <v>0</v>
      </c>
      <c r="F3774" s="192">
        <f t="shared" si="814"/>
        <v>0</v>
      </c>
      <c r="G3774" s="193">
        <f t="shared" si="815"/>
        <v>0</v>
      </c>
      <c r="H3774" s="194">
        <v>0</v>
      </c>
      <c r="I3774" s="194">
        <v>0</v>
      </c>
      <c r="J3774" s="194">
        <v>0</v>
      </c>
      <c r="K3774" s="193">
        <f t="shared" si="816"/>
        <v>0</v>
      </c>
      <c r="L3774" s="194">
        <v>0</v>
      </c>
      <c r="M3774" s="194">
        <v>0</v>
      </c>
      <c r="N3774" s="194">
        <v>0</v>
      </c>
      <c r="O3774" s="193">
        <f t="shared" si="817"/>
        <v>0</v>
      </c>
      <c r="P3774" s="194">
        <v>0</v>
      </c>
      <c r="Q3774" s="194">
        <v>0</v>
      </c>
      <c r="R3774" s="194">
        <v>0</v>
      </c>
      <c r="S3774" s="193">
        <f t="shared" si="818"/>
        <v>0</v>
      </c>
      <c r="T3774" s="193">
        <f t="shared" si="819"/>
        <v>0</v>
      </c>
      <c r="U3774" s="193">
        <f ca="1">OFFSET('Expenditure Study'!$B$7,'Operations Support'!$C3774,'Operations Support'!$B3774)*$G3774</f>
        <v>0</v>
      </c>
      <c r="V3774" s="199">
        <f ca="1">U3774*'Expenditure Study'!$B$31</f>
        <v>0</v>
      </c>
      <c r="W3774" s="199">
        <f ca="1">IF(A3774=10298,1.51,1)*IF($B3774&lt;3,$D3774*'Expenditure Study'!$B$32*OFFSET('Expenditure Study'!$B$7,'Operations Support'!$C3774,'Operations Support'!$B3774),0)</f>
        <v>0</v>
      </c>
      <c r="X3774" s="200">
        <f ca="1">W3774*'Expenditure Study'!$B$31</f>
        <v>0</v>
      </c>
      <c r="Y3774" s="199">
        <f ca="1">U3774*'Expenditure Study'!$B$31</f>
        <v>0</v>
      </c>
      <c r="Z3774" s="200">
        <f ca="1">W3774*'Expenditure Study'!$B$31</f>
        <v>0</v>
      </c>
      <c r="AA3774" s="195">
        <f t="shared" ca="1" si="820"/>
        <v>0</v>
      </c>
      <c r="AB3774" s="195">
        <f t="shared" ca="1" si="821"/>
        <v>0</v>
      </c>
      <c r="AD3774" s="196">
        <f>IFERROR($G3774/SUMIF($A:$A,$A3774,$G:$G)*SUMIF(Summary!$A$166:$A$242,$A3774,Summary!$P$166:$P$242),0)</f>
        <v>0</v>
      </c>
      <c r="AE3774" s="197">
        <f t="shared" ca="1" si="822"/>
        <v>0</v>
      </c>
      <c r="AF3774" s="196">
        <f>IFERROR(G3774/SUMIF(A:A,A3774,G:G)*SUMIF(Summary!$A$166:$A$242,'Operations Support'!A3774,Summary!$Q$166:$Q$242),0)</f>
        <v>0</v>
      </c>
      <c r="AG3774" s="196">
        <f t="shared" ca="1" si="823"/>
        <v>0</v>
      </c>
      <c r="AI3774" s="196">
        <f>IFERROR($G3774/SUMIF($A:$A,$A3774,$G:$G)*SUMIF(Summary!$A$247:$A$283,$A3774,Summary!$P$247:$P$283),0)</f>
        <v>0</v>
      </c>
      <c r="AJ3774" s="196">
        <f>IFERROR($G3774/SUMIF($A:$A,$A3774,$G:$G)*(SUMIF(Summary!$A$247:$A$283,$A3774,Summary!$L$247:$L$283)+SUMIF(Summary!$A$297:$A$333,$A3774,Summary!$L$297:$L$333))-AI3774,0)</f>
        <v>0</v>
      </c>
      <c r="AK3774" s="196">
        <f>IFERROR($G3774/SUMIF($A:$A,$A3774,$G:$G)*SUMIF(Summary!$A$247:$A$283,$A3774,Summary!$Q$247:$Q$283),0)</f>
        <v>0</v>
      </c>
      <c r="AL3774" s="196">
        <f>IFERROR($G3774/SUMIF($A:$A,$A3774,$G:$G)*(SUMIF(Summary!$A$247:$A$283,$A3774,Summary!$L$247:$L$283)+SUMIF(Summary!$A$297:$A$333,$A3774,Summary!$L$297:$L$333))-AK3774,0)</f>
        <v>0</v>
      </c>
      <c r="AM3774" s="198"/>
      <c r="AN3774" s="196">
        <f t="shared" ca="1" si="824"/>
        <v>0</v>
      </c>
      <c r="AO3774" s="196">
        <f t="shared" ca="1" si="825"/>
        <v>0</v>
      </c>
    </row>
    <row r="3775" spans="1:41">
      <c r="A3775" s="189">
        <v>42421</v>
      </c>
      <c r="B3775" s="190">
        <v>5</v>
      </c>
      <c r="C3775" s="191" t="s">
        <v>231</v>
      </c>
      <c r="D3775" s="192">
        <f t="shared" si="812"/>
        <v>0</v>
      </c>
      <c r="E3775" s="192">
        <f t="shared" si="813"/>
        <v>0</v>
      </c>
      <c r="F3775" s="192">
        <f t="shared" si="814"/>
        <v>0</v>
      </c>
      <c r="G3775" s="193">
        <f t="shared" si="815"/>
        <v>0</v>
      </c>
      <c r="H3775" s="194">
        <v>0</v>
      </c>
      <c r="I3775" s="194">
        <v>0</v>
      </c>
      <c r="J3775" s="194">
        <v>0</v>
      </c>
      <c r="K3775" s="193">
        <f t="shared" si="816"/>
        <v>0</v>
      </c>
      <c r="L3775" s="194">
        <v>0</v>
      </c>
      <c r="M3775" s="194">
        <v>0</v>
      </c>
      <c r="N3775" s="194">
        <v>0</v>
      </c>
      <c r="O3775" s="193">
        <f t="shared" si="817"/>
        <v>0</v>
      </c>
      <c r="P3775" s="194">
        <v>0</v>
      </c>
      <c r="Q3775" s="194">
        <v>0</v>
      </c>
      <c r="R3775" s="194">
        <v>0</v>
      </c>
      <c r="S3775" s="193">
        <f t="shared" si="818"/>
        <v>0</v>
      </c>
      <c r="T3775" s="193">
        <f t="shared" si="819"/>
        <v>0</v>
      </c>
      <c r="U3775" s="193">
        <f ca="1">OFFSET('Expenditure Study'!$B$7,'Operations Support'!$C3775,'Operations Support'!$B3775)*$G3775</f>
        <v>0</v>
      </c>
      <c r="V3775" s="199">
        <f ca="1">U3775*'Expenditure Study'!$B$31</f>
        <v>0</v>
      </c>
      <c r="W3775" s="199">
        <f ca="1">IF(A3775=10298,1.51,1)*IF($B3775&lt;3,$D3775*'Expenditure Study'!$B$32*OFFSET('Expenditure Study'!$B$7,'Operations Support'!$C3775,'Operations Support'!$B3775),0)</f>
        <v>0</v>
      </c>
      <c r="X3775" s="200">
        <f ca="1">W3775*'Expenditure Study'!$B$31</f>
        <v>0</v>
      </c>
      <c r="Y3775" s="199">
        <f ca="1">U3775*'Expenditure Study'!$B$31</f>
        <v>0</v>
      </c>
      <c r="Z3775" s="200">
        <f ca="1">W3775*'Expenditure Study'!$B$31</f>
        <v>0</v>
      </c>
      <c r="AA3775" s="195">
        <f t="shared" ca="1" si="820"/>
        <v>0</v>
      </c>
      <c r="AB3775" s="195">
        <f t="shared" ca="1" si="821"/>
        <v>0</v>
      </c>
      <c r="AD3775" s="196">
        <f>IFERROR($G3775/SUMIF($A:$A,$A3775,$G:$G)*SUMIF(Summary!$A$166:$A$242,$A3775,Summary!$P$166:$P$242),0)</f>
        <v>0</v>
      </c>
      <c r="AE3775" s="197">
        <f t="shared" ca="1" si="822"/>
        <v>0</v>
      </c>
      <c r="AF3775" s="196">
        <f>IFERROR(G3775/SUMIF(A:A,A3775,G:G)*SUMIF(Summary!$A$166:$A$242,'Operations Support'!A3775,Summary!$Q$166:$Q$242),0)</f>
        <v>0</v>
      </c>
      <c r="AG3775" s="196">
        <f t="shared" ca="1" si="823"/>
        <v>0</v>
      </c>
      <c r="AI3775" s="196">
        <f>IFERROR($G3775/SUMIF($A:$A,$A3775,$G:$G)*SUMIF(Summary!$A$247:$A$283,$A3775,Summary!$P$247:$P$283),0)</f>
        <v>0</v>
      </c>
      <c r="AJ3775" s="196">
        <f>IFERROR($G3775/SUMIF($A:$A,$A3775,$G:$G)*(SUMIF(Summary!$A$247:$A$283,$A3775,Summary!$L$247:$L$283)+SUMIF(Summary!$A$297:$A$333,$A3775,Summary!$L$297:$L$333))-AI3775,0)</f>
        <v>0</v>
      </c>
      <c r="AK3775" s="196">
        <f>IFERROR($G3775/SUMIF($A:$A,$A3775,$G:$G)*SUMIF(Summary!$A$247:$A$283,$A3775,Summary!$Q$247:$Q$283),0)</f>
        <v>0</v>
      </c>
      <c r="AL3775" s="196">
        <f>IFERROR($G3775/SUMIF($A:$A,$A3775,$G:$G)*(SUMIF(Summary!$A$247:$A$283,$A3775,Summary!$L$247:$L$283)+SUMIF(Summary!$A$297:$A$333,$A3775,Summary!$L$297:$L$333))-AK3775,0)</f>
        <v>0</v>
      </c>
      <c r="AM3775" s="198"/>
      <c r="AN3775" s="196">
        <f t="shared" ca="1" si="824"/>
        <v>0</v>
      </c>
      <c r="AO3775" s="196">
        <f t="shared" ca="1" si="825"/>
        <v>0</v>
      </c>
    </row>
    <row r="3776" spans="1:41">
      <c r="A3776" s="189">
        <v>42421</v>
      </c>
      <c r="B3776" s="190">
        <v>5</v>
      </c>
      <c r="C3776" s="191" t="s">
        <v>232</v>
      </c>
      <c r="D3776" s="192">
        <f t="shared" si="812"/>
        <v>0</v>
      </c>
      <c r="E3776" s="192">
        <f t="shared" si="813"/>
        <v>0</v>
      </c>
      <c r="F3776" s="192">
        <f t="shared" si="814"/>
        <v>0</v>
      </c>
      <c r="G3776" s="193">
        <f t="shared" si="815"/>
        <v>0</v>
      </c>
      <c r="H3776" s="194">
        <v>0</v>
      </c>
      <c r="I3776" s="194">
        <v>0</v>
      </c>
      <c r="J3776" s="194">
        <v>0</v>
      </c>
      <c r="K3776" s="193">
        <f t="shared" si="816"/>
        <v>0</v>
      </c>
      <c r="L3776" s="194">
        <v>0</v>
      </c>
      <c r="M3776" s="194">
        <v>0</v>
      </c>
      <c r="N3776" s="194">
        <v>0</v>
      </c>
      <c r="O3776" s="193">
        <f t="shared" si="817"/>
        <v>0</v>
      </c>
      <c r="P3776" s="194">
        <v>0</v>
      </c>
      <c r="Q3776" s="194">
        <v>0</v>
      </c>
      <c r="R3776" s="194">
        <v>0</v>
      </c>
      <c r="S3776" s="193">
        <f t="shared" si="818"/>
        <v>0</v>
      </c>
      <c r="T3776" s="193">
        <f t="shared" si="819"/>
        <v>0</v>
      </c>
      <c r="U3776" s="193">
        <f ca="1">OFFSET('Expenditure Study'!$B$7,'Operations Support'!$C3776,'Operations Support'!$B3776)*$G3776</f>
        <v>0</v>
      </c>
      <c r="V3776" s="199">
        <f ca="1">U3776*'Expenditure Study'!$B$31</f>
        <v>0</v>
      </c>
      <c r="W3776" s="199">
        <f ca="1">IF(A3776=10298,1.51,1)*IF($B3776&lt;3,$D3776*'Expenditure Study'!$B$32*OFFSET('Expenditure Study'!$B$7,'Operations Support'!$C3776,'Operations Support'!$B3776),0)</f>
        <v>0</v>
      </c>
      <c r="X3776" s="200">
        <f ca="1">W3776*'Expenditure Study'!$B$31</f>
        <v>0</v>
      </c>
      <c r="Y3776" s="199">
        <f ca="1">U3776*'Expenditure Study'!$B$31</f>
        <v>0</v>
      </c>
      <c r="Z3776" s="200">
        <f ca="1">W3776*'Expenditure Study'!$B$31</f>
        <v>0</v>
      </c>
      <c r="AA3776" s="195">
        <f t="shared" ca="1" si="820"/>
        <v>0</v>
      </c>
      <c r="AB3776" s="195">
        <f t="shared" ca="1" si="821"/>
        <v>0</v>
      </c>
      <c r="AD3776" s="196">
        <f>IFERROR($G3776/SUMIF($A:$A,$A3776,$G:$G)*SUMIF(Summary!$A$166:$A$242,$A3776,Summary!$P$166:$P$242),0)</f>
        <v>0</v>
      </c>
      <c r="AE3776" s="197">
        <f t="shared" ca="1" si="822"/>
        <v>0</v>
      </c>
      <c r="AF3776" s="196">
        <f>IFERROR(G3776/SUMIF(A:A,A3776,G:G)*SUMIF(Summary!$A$166:$A$242,'Operations Support'!A3776,Summary!$Q$166:$Q$242),0)</f>
        <v>0</v>
      </c>
      <c r="AG3776" s="196">
        <f t="shared" ca="1" si="823"/>
        <v>0</v>
      </c>
      <c r="AI3776" s="196">
        <f>IFERROR($G3776/SUMIF($A:$A,$A3776,$G:$G)*SUMIF(Summary!$A$247:$A$283,$A3776,Summary!$P$247:$P$283),0)</f>
        <v>0</v>
      </c>
      <c r="AJ3776" s="196">
        <f>IFERROR($G3776/SUMIF($A:$A,$A3776,$G:$G)*(SUMIF(Summary!$A$247:$A$283,$A3776,Summary!$L$247:$L$283)+SUMIF(Summary!$A$297:$A$333,$A3776,Summary!$L$297:$L$333))-AI3776,0)</f>
        <v>0</v>
      </c>
      <c r="AK3776" s="196">
        <f>IFERROR($G3776/SUMIF($A:$A,$A3776,$G:$G)*SUMIF(Summary!$A$247:$A$283,$A3776,Summary!$Q$247:$Q$283),0)</f>
        <v>0</v>
      </c>
      <c r="AL3776" s="196">
        <f>IFERROR($G3776/SUMIF($A:$A,$A3776,$G:$G)*(SUMIF(Summary!$A$247:$A$283,$A3776,Summary!$L$247:$L$283)+SUMIF(Summary!$A$297:$A$333,$A3776,Summary!$L$297:$L$333))-AK3776,0)</f>
        <v>0</v>
      </c>
      <c r="AM3776" s="198"/>
      <c r="AN3776" s="196">
        <f t="shared" ca="1" si="824"/>
        <v>0</v>
      </c>
      <c r="AO3776" s="196">
        <f t="shared" ca="1" si="825"/>
        <v>0</v>
      </c>
    </row>
    <row r="3777" spans="1:41">
      <c r="A3777" s="189">
        <v>42421</v>
      </c>
      <c r="B3777" s="190">
        <v>5</v>
      </c>
      <c r="C3777" s="191" t="s">
        <v>233</v>
      </c>
      <c r="D3777" s="192">
        <f t="shared" si="812"/>
        <v>0</v>
      </c>
      <c r="E3777" s="192">
        <f t="shared" si="813"/>
        <v>0</v>
      </c>
      <c r="F3777" s="192">
        <f t="shared" si="814"/>
        <v>0</v>
      </c>
      <c r="G3777" s="193">
        <f t="shared" si="815"/>
        <v>0</v>
      </c>
      <c r="H3777" s="194">
        <v>0</v>
      </c>
      <c r="I3777" s="194">
        <v>0</v>
      </c>
      <c r="J3777" s="194">
        <v>0</v>
      </c>
      <c r="K3777" s="193">
        <f t="shared" si="816"/>
        <v>0</v>
      </c>
      <c r="L3777" s="194">
        <v>0</v>
      </c>
      <c r="M3777" s="194">
        <v>0</v>
      </c>
      <c r="N3777" s="194">
        <v>0</v>
      </c>
      <c r="O3777" s="193">
        <f t="shared" si="817"/>
        <v>0</v>
      </c>
      <c r="P3777" s="194">
        <v>0</v>
      </c>
      <c r="Q3777" s="194">
        <v>0</v>
      </c>
      <c r="R3777" s="194">
        <v>0</v>
      </c>
      <c r="S3777" s="193">
        <f t="shared" si="818"/>
        <v>0</v>
      </c>
      <c r="T3777" s="193">
        <f t="shared" si="819"/>
        <v>0</v>
      </c>
      <c r="U3777" s="193">
        <f ca="1">OFFSET('Expenditure Study'!$B$7,'Operations Support'!$C3777,'Operations Support'!$B3777)*$G3777</f>
        <v>0</v>
      </c>
      <c r="V3777" s="199">
        <f ca="1">U3777*'Expenditure Study'!$B$31</f>
        <v>0</v>
      </c>
      <c r="W3777" s="199">
        <f ca="1">IF(A3777=10298,1.51,1)*IF($B3777&lt;3,$D3777*'Expenditure Study'!$B$32*OFFSET('Expenditure Study'!$B$7,'Operations Support'!$C3777,'Operations Support'!$B3777),0)</f>
        <v>0</v>
      </c>
      <c r="X3777" s="200">
        <f ca="1">W3777*'Expenditure Study'!$B$31</f>
        <v>0</v>
      </c>
      <c r="Y3777" s="199">
        <f ca="1">U3777*'Expenditure Study'!$B$31</f>
        <v>0</v>
      </c>
      <c r="Z3777" s="200">
        <f ca="1">W3777*'Expenditure Study'!$B$31</f>
        <v>0</v>
      </c>
      <c r="AA3777" s="195">
        <f t="shared" ca="1" si="820"/>
        <v>0</v>
      </c>
      <c r="AB3777" s="195">
        <f t="shared" ca="1" si="821"/>
        <v>0</v>
      </c>
      <c r="AD3777" s="196">
        <f>IFERROR($G3777/SUMIF($A:$A,$A3777,$G:$G)*SUMIF(Summary!$A$166:$A$242,$A3777,Summary!$P$166:$P$242),0)</f>
        <v>0</v>
      </c>
      <c r="AE3777" s="197">
        <f t="shared" ca="1" si="822"/>
        <v>0</v>
      </c>
      <c r="AF3777" s="196">
        <f>IFERROR(G3777/SUMIF(A:A,A3777,G:G)*SUMIF(Summary!$A$166:$A$242,'Operations Support'!A3777,Summary!$Q$166:$Q$242),0)</f>
        <v>0</v>
      </c>
      <c r="AG3777" s="196">
        <f t="shared" ca="1" si="823"/>
        <v>0</v>
      </c>
      <c r="AI3777" s="196">
        <f>IFERROR($G3777/SUMIF($A:$A,$A3777,$G:$G)*SUMIF(Summary!$A$247:$A$283,$A3777,Summary!$P$247:$P$283),0)</f>
        <v>0</v>
      </c>
      <c r="AJ3777" s="196">
        <f>IFERROR($G3777/SUMIF($A:$A,$A3777,$G:$G)*(SUMIF(Summary!$A$247:$A$283,$A3777,Summary!$L$247:$L$283)+SUMIF(Summary!$A$297:$A$333,$A3777,Summary!$L$297:$L$333))-AI3777,0)</f>
        <v>0</v>
      </c>
      <c r="AK3777" s="196">
        <f>IFERROR($G3777/SUMIF($A:$A,$A3777,$G:$G)*SUMIF(Summary!$A$247:$A$283,$A3777,Summary!$Q$247:$Q$283),0)</f>
        <v>0</v>
      </c>
      <c r="AL3777" s="196">
        <f>IFERROR($G3777/SUMIF($A:$A,$A3777,$G:$G)*(SUMIF(Summary!$A$247:$A$283,$A3777,Summary!$L$247:$L$283)+SUMIF(Summary!$A$297:$A$333,$A3777,Summary!$L$297:$L$333))-AK3777,0)</f>
        <v>0</v>
      </c>
      <c r="AM3777" s="198"/>
      <c r="AN3777" s="196">
        <f t="shared" ca="1" si="824"/>
        <v>0</v>
      </c>
      <c r="AO3777" s="196">
        <f t="shared" ca="1" si="825"/>
        <v>0</v>
      </c>
    </row>
    <row r="3778" spans="1:41">
      <c r="A3778" s="189">
        <v>42421</v>
      </c>
      <c r="B3778" s="190">
        <v>5</v>
      </c>
      <c r="C3778" s="191" t="s">
        <v>234</v>
      </c>
      <c r="D3778" s="192">
        <f t="shared" si="812"/>
        <v>0</v>
      </c>
      <c r="E3778" s="192">
        <f t="shared" si="813"/>
        <v>0</v>
      </c>
      <c r="F3778" s="192">
        <f t="shared" si="814"/>
        <v>0</v>
      </c>
      <c r="G3778" s="193">
        <f t="shared" si="815"/>
        <v>0</v>
      </c>
      <c r="H3778" s="194">
        <v>0</v>
      </c>
      <c r="I3778" s="194">
        <v>0</v>
      </c>
      <c r="J3778" s="194">
        <v>0</v>
      </c>
      <c r="K3778" s="193">
        <f t="shared" si="816"/>
        <v>0</v>
      </c>
      <c r="L3778" s="194">
        <v>0</v>
      </c>
      <c r="M3778" s="194">
        <v>0</v>
      </c>
      <c r="N3778" s="194">
        <v>0</v>
      </c>
      <c r="O3778" s="193">
        <f t="shared" si="817"/>
        <v>0</v>
      </c>
      <c r="P3778" s="194">
        <v>0</v>
      </c>
      <c r="Q3778" s="194">
        <v>0</v>
      </c>
      <c r="R3778" s="194">
        <v>0</v>
      </c>
      <c r="S3778" s="193">
        <f t="shared" si="818"/>
        <v>0</v>
      </c>
      <c r="T3778" s="193">
        <f t="shared" si="819"/>
        <v>0</v>
      </c>
      <c r="U3778" s="193">
        <f ca="1">OFFSET('Expenditure Study'!$B$7,'Operations Support'!$C3778,'Operations Support'!$B3778)*$G3778</f>
        <v>0</v>
      </c>
      <c r="V3778" s="199">
        <f ca="1">U3778*'Expenditure Study'!$B$31</f>
        <v>0</v>
      </c>
      <c r="W3778" s="199">
        <f ca="1">IF(A3778=10298,1.51,1)*IF($B3778&lt;3,$D3778*'Expenditure Study'!$B$32*OFFSET('Expenditure Study'!$B$7,'Operations Support'!$C3778,'Operations Support'!$B3778),0)</f>
        <v>0</v>
      </c>
      <c r="X3778" s="200">
        <f ca="1">W3778*'Expenditure Study'!$B$31</f>
        <v>0</v>
      </c>
      <c r="Y3778" s="199">
        <f ca="1">U3778*'Expenditure Study'!$B$31</f>
        <v>0</v>
      </c>
      <c r="Z3778" s="200">
        <f ca="1">W3778*'Expenditure Study'!$B$31</f>
        <v>0</v>
      </c>
      <c r="AA3778" s="195">
        <f t="shared" ca="1" si="820"/>
        <v>0</v>
      </c>
      <c r="AB3778" s="195">
        <f t="shared" ca="1" si="821"/>
        <v>0</v>
      </c>
      <c r="AD3778" s="196">
        <f>IFERROR($G3778/SUMIF($A:$A,$A3778,$G:$G)*SUMIF(Summary!$A$166:$A$242,$A3778,Summary!$P$166:$P$242),0)</f>
        <v>0</v>
      </c>
      <c r="AE3778" s="197">
        <f t="shared" ca="1" si="822"/>
        <v>0</v>
      </c>
      <c r="AF3778" s="196">
        <f>IFERROR(G3778/SUMIF(A:A,A3778,G:G)*SUMIF(Summary!$A$166:$A$242,'Operations Support'!A3778,Summary!$Q$166:$Q$242),0)</f>
        <v>0</v>
      </c>
      <c r="AG3778" s="196">
        <f t="shared" ca="1" si="823"/>
        <v>0</v>
      </c>
      <c r="AI3778" s="196">
        <f>IFERROR($G3778/SUMIF($A:$A,$A3778,$G:$G)*SUMIF(Summary!$A$247:$A$283,$A3778,Summary!$P$247:$P$283),0)</f>
        <v>0</v>
      </c>
      <c r="AJ3778" s="196">
        <f>IFERROR($G3778/SUMIF($A:$A,$A3778,$G:$G)*(SUMIF(Summary!$A$247:$A$283,$A3778,Summary!$L$247:$L$283)+SUMIF(Summary!$A$297:$A$333,$A3778,Summary!$L$297:$L$333))-AI3778,0)</f>
        <v>0</v>
      </c>
      <c r="AK3778" s="196">
        <f>IFERROR($G3778/SUMIF($A:$A,$A3778,$G:$G)*SUMIF(Summary!$A$247:$A$283,$A3778,Summary!$Q$247:$Q$283),0)</f>
        <v>0</v>
      </c>
      <c r="AL3778" s="196">
        <f>IFERROR($G3778/SUMIF($A:$A,$A3778,$G:$G)*(SUMIF(Summary!$A$247:$A$283,$A3778,Summary!$L$247:$L$283)+SUMIF(Summary!$A$297:$A$333,$A3778,Summary!$L$297:$L$333))-AK3778,0)</f>
        <v>0</v>
      </c>
      <c r="AM3778" s="198"/>
      <c r="AN3778" s="196">
        <f t="shared" ca="1" si="824"/>
        <v>0</v>
      </c>
      <c r="AO3778" s="196">
        <f t="shared" ca="1" si="825"/>
        <v>0</v>
      </c>
    </row>
    <row r="3779" spans="1:41">
      <c r="A3779" s="189">
        <v>42421</v>
      </c>
      <c r="B3779" s="190">
        <v>5</v>
      </c>
      <c r="C3779" s="191" t="s">
        <v>235</v>
      </c>
      <c r="D3779" s="192">
        <f t="shared" si="812"/>
        <v>0</v>
      </c>
      <c r="E3779" s="192">
        <f t="shared" si="813"/>
        <v>0</v>
      </c>
      <c r="F3779" s="192">
        <f t="shared" si="814"/>
        <v>0</v>
      </c>
      <c r="G3779" s="193">
        <f t="shared" si="815"/>
        <v>0</v>
      </c>
      <c r="H3779" s="194">
        <v>0</v>
      </c>
      <c r="I3779" s="194">
        <v>0</v>
      </c>
      <c r="J3779" s="194">
        <v>0</v>
      </c>
      <c r="K3779" s="193">
        <f t="shared" si="816"/>
        <v>0</v>
      </c>
      <c r="L3779" s="194">
        <v>0</v>
      </c>
      <c r="M3779" s="194">
        <v>0</v>
      </c>
      <c r="N3779" s="194">
        <v>0</v>
      </c>
      <c r="O3779" s="193">
        <f t="shared" si="817"/>
        <v>0</v>
      </c>
      <c r="P3779" s="194">
        <v>0</v>
      </c>
      <c r="Q3779" s="194">
        <v>0</v>
      </c>
      <c r="R3779" s="194">
        <v>0</v>
      </c>
      <c r="S3779" s="193">
        <f t="shared" si="818"/>
        <v>0</v>
      </c>
      <c r="T3779" s="193">
        <f t="shared" si="819"/>
        <v>0</v>
      </c>
      <c r="U3779" s="193">
        <f ca="1">OFFSET('Expenditure Study'!$B$7,'Operations Support'!$C3779,'Operations Support'!$B3779)*$G3779</f>
        <v>0</v>
      </c>
      <c r="V3779" s="199">
        <f ca="1">U3779*'Expenditure Study'!$B$31</f>
        <v>0</v>
      </c>
      <c r="W3779" s="199">
        <f ca="1">IF(A3779=10298,1.51,1)*IF($B3779&lt;3,$D3779*'Expenditure Study'!$B$32*OFFSET('Expenditure Study'!$B$7,'Operations Support'!$C3779,'Operations Support'!$B3779),0)</f>
        <v>0</v>
      </c>
      <c r="X3779" s="200">
        <f ca="1">W3779*'Expenditure Study'!$B$31</f>
        <v>0</v>
      </c>
      <c r="Y3779" s="199">
        <f ca="1">U3779*'Expenditure Study'!$B$31</f>
        <v>0</v>
      </c>
      <c r="Z3779" s="200">
        <f ca="1">W3779*'Expenditure Study'!$B$31</f>
        <v>0</v>
      </c>
      <c r="AA3779" s="195">
        <f t="shared" ca="1" si="820"/>
        <v>0</v>
      </c>
      <c r="AB3779" s="195">
        <f t="shared" ca="1" si="821"/>
        <v>0</v>
      </c>
      <c r="AD3779" s="196">
        <f>IFERROR($G3779/SUMIF($A:$A,$A3779,$G:$G)*SUMIF(Summary!$A$166:$A$242,$A3779,Summary!$P$166:$P$242),0)</f>
        <v>0</v>
      </c>
      <c r="AE3779" s="197">
        <f t="shared" ca="1" si="822"/>
        <v>0</v>
      </c>
      <c r="AF3779" s="196">
        <f>IFERROR(G3779/SUMIF(A:A,A3779,G:G)*SUMIF(Summary!$A$166:$A$242,'Operations Support'!A3779,Summary!$Q$166:$Q$242),0)</f>
        <v>0</v>
      </c>
      <c r="AG3779" s="196">
        <f t="shared" ca="1" si="823"/>
        <v>0</v>
      </c>
      <c r="AI3779" s="196">
        <f>IFERROR($G3779/SUMIF($A:$A,$A3779,$G:$G)*SUMIF(Summary!$A$247:$A$283,$A3779,Summary!$P$247:$P$283),0)</f>
        <v>0</v>
      </c>
      <c r="AJ3779" s="196">
        <f>IFERROR($G3779/SUMIF($A:$A,$A3779,$G:$G)*(SUMIF(Summary!$A$247:$A$283,$A3779,Summary!$L$247:$L$283)+SUMIF(Summary!$A$297:$A$333,$A3779,Summary!$L$297:$L$333))-AI3779,0)</f>
        <v>0</v>
      </c>
      <c r="AK3779" s="196">
        <f>IFERROR($G3779/SUMIF($A:$A,$A3779,$G:$G)*SUMIF(Summary!$A$247:$A$283,$A3779,Summary!$Q$247:$Q$283),0)</f>
        <v>0</v>
      </c>
      <c r="AL3779" s="196">
        <f>IFERROR($G3779/SUMIF($A:$A,$A3779,$G:$G)*(SUMIF(Summary!$A$247:$A$283,$A3779,Summary!$L$247:$L$283)+SUMIF(Summary!$A$297:$A$333,$A3779,Summary!$L$297:$L$333))-AK3779,0)</f>
        <v>0</v>
      </c>
      <c r="AM3779" s="198"/>
      <c r="AN3779" s="196">
        <f t="shared" ca="1" si="824"/>
        <v>0</v>
      </c>
      <c r="AO3779" s="196">
        <f t="shared" ca="1" si="825"/>
        <v>0</v>
      </c>
    </row>
    <row r="3780" spans="1:41">
      <c r="A3780" s="189">
        <v>42421</v>
      </c>
      <c r="B3780" s="190">
        <v>5</v>
      </c>
      <c r="C3780" s="191" t="s">
        <v>236</v>
      </c>
      <c r="D3780" s="192">
        <f t="shared" si="812"/>
        <v>0</v>
      </c>
      <c r="E3780" s="192">
        <f t="shared" si="813"/>
        <v>0</v>
      </c>
      <c r="F3780" s="192">
        <f t="shared" si="814"/>
        <v>0</v>
      </c>
      <c r="G3780" s="193">
        <f t="shared" si="815"/>
        <v>0</v>
      </c>
      <c r="H3780" s="194">
        <v>0</v>
      </c>
      <c r="I3780" s="194">
        <v>0</v>
      </c>
      <c r="J3780" s="194">
        <v>0</v>
      </c>
      <c r="K3780" s="193">
        <f t="shared" si="816"/>
        <v>0</v>
      </c>
      <c r="L3780" s="194">
        <v>0</v>
      </c>
      <c r="M3780" s="194">
        <v>0</v>
      </c>
      <c r="N3780" s="194">
        <v>0</v>
      </c>
      <c r="O3780" s="193">
        <f t="shared" si="817"/>
        <v>0</v>
      </c>
      <c r="P3780" s="194">
        <v>0</v>
      </c>
      <c r="Q3780" s="194">
        <v>0</v>
      </c>
      <c r="R3780" s="194">
        <v>0</v>
      </c>
      <c r="S3780" s="193">
        <f t="shared" si="818"/>
        <v>0</v>
      </c>
      <c r="T3780" s="193">
        <f t="shared" si="819"/>
        <v>0</v>
      </c>
      <c r="U3780" s="193">
        <f ca="1">OFFSET('Expenditure Study'!$B$7,'Operations Support'!$C3780,'Operations Support'!$B3780)*$G3780</f>
        <v>0</v>
      </c>
      <c r="V3780" s="199">
        <f ca="1">U3780*'Expenditure Study'!$B$31</f>
        <v>0</v>
      </c>
      <c r="W3780" s="199">
        <f ca="1">IF(A3780=10298,1.51,1)*IF($B3780&lt;3,$D3780*'Expenditure Study'!$B$32*OFFSET('Expenditure Study'!$B$7,'Operations Support'!$C3780,'Operations Support'!$B3780),0)</f>
        <v>0</v>
      </c>
      <c r="X3780" s="200">
        <f ca="1">W3780*'Expenditure Study'!$B$31</f>
        <v>0</v>
      </c>
      <c r="Y3780" s="199">
        <f ca="1">U3780*'Expenditure Study'!$B$31</f>
        <v>0</v>
      </c>
      <c r="Z3780" s="200">
        <f ca="1">W3780*'Expenditure Study'!$B$31</f>
        <v>0</v>
      </c>
      <c r="AA3780" s="195">
        <f t="shared" ca="1" si="820"/>
        <v>0</v>
      </c>
      <c r="AB3780" s="195">
        <f t="shared" ca="1" si="821"/>
        <v>0</v>
      </c>
      <c r="AD3780" s="196">
        <f>IFERROR($G3780/SUMIF($A:$A,$A3780,$G:$G)*SUMIF(Summary!$A$166:$A$242,$A3780,Summary!$P$166:$P$242),0)</f>
        <v>0</v>
      </c>
      <c r="AE3780" s="197">
        <f t="shared" ca="1" si="822"/>
        <v>0</v>
      </c>
      <c r="AF3780" s="196">
        <f>IFERROR(G3780/SUMIF(A:A,A3780,G:G)*SUMIF(Summary!$A$166:$A$242,'Operations Support'!A3780,Summary!$Q$166:$Q$242),0)</f>
        <v>0</v>
      </c>
      <c r="AG3780" s="196">
        <f t="shared" ca="1" si="823"/>
        <v>0</v>
      </c>
      <c r="AI3780" s="196">
        <f>IFERROR($G3780/SUMIF($A:$A,$A3780,$G:$G)*SUMIF(Summary!$A$247:$A$283,$A3780,Summary!$P$247:$P$283),0)</f>
        <v>0</v>
      </c>
      <c r="AJ3780" s="196">
        <f>IFERROR($G3780/SUMIF($A:$A,$A3780,$G:$G)*(SUMIF(Summary!$A$247:$A$283,$A3780,Summary!$L$247:$L$283)+SUMIF(Summary!$A$297:$A$333,$A3780,Summary!$L$297:$L$333))-AI3780,0)</f>
        <v>0</v>
      </c>
      <c r="AK3780" s="196">
        <f>IFERROR($G3780/SUMIF($A:$A,$A3780,$G:$G)*SUMIF(Summary!$A$247:$A$283,$A3780,Summary!$Q$247:$Q$283),0)</f>
        <v>0</v>
      </c>
      <c r="AL3780" s="196">
        <f>IFERROR($G3780/SUMIF($A:$A,$A3780,$G:$G)*(SUMIF(Summary!$A$247:$A$283,$A3780,Summary!$L$247:$L$283)+SUMIF(Summary!$A$297:$A$333,$A3780,Summary!$L$297:$L$333))-AK3780,0)</f>
        <v>0</v>
      </c>
      <c r="AM3780" s="198"/>
      <c r="AN3780" s="196">
        <f t="shared" ca="1" si="824"/>
        <v>0</v>
      </c>
      <c r="AO3780" s="196">
        <f t="shared" ca="1" si="825"/>
        <v>0</v>
      </c>
    </row>
    <row r="3781" spans="1:41">
      <c r="A3781" s="189">
        <v>42421</v>
      </c>
      <c r="B3781" s="190">
        <v>5</v>
      </c>
      <c r="C3781" s="191" t="s">
        <v>237</v>
      </c>
      <c r="D3781" s="192">
        <f t="shared" ref="D3781:D3844" si="826">H3781+L3781+P3781</f>
        <v>0</v>
      </c>
      <c r="E3781" s="192">
        <f t="shared" ref="E3781:E3844" si="827">I3781+M3781+Q3781</f>
        <v>0</v>
      </c>
      <c r="F3781" s="192">
        <f t="shared" ref="F3781:F3844" si="828">J3781+N3781+R3781</f>
        <v>0</v>
      </c>
      <c r="G3781" s="193">
        <f t="shared" ref="G3781:G3844" si="829">(SUM(D3781:E3781)-F3781)*IF(A3781=10298,1.51,1)</f>
        <v>0</v>
      </c>
      <c r="H3781" s="194">
        <v>0</v>
      </c>
      <c r="I3781" s="194">
        <v>0</v>
      </c>
      <c r="J3781" s="194">
        <v>0</v>
      </c>
      <c r="K3781" s="193">
        <f t="shared" ref="K3781:K3844" si="830">SUM(H3781:I3781)-J3781</f>
        <v>0</v>
      </c>
      <c r="L3781" s="194">
        <v>0</v>
      </c>
      <c r="M3781" s="194">
        <v>0</v>
      </c>
      <c r="N3781" s="194">
        <v>0</v>
      </c>
      <c r="O3781" s="193">
        <f t="shared" ref="O3781:O3844" si="831">SUM(L3781:M3781)-N3781</f>
        <v>0</v>
      </c>
      <c r="P3781" s="194">
        <v>0</v>
      </c>
      <c r="Q3781" s="194">
        <v>0</v>
      </c>
      <c r="R3781" s="194">
        <v>0</v>
      </c>
      <c r="S3781" s="193">
        <f t="shared" ref="S3781:S3844" si="832">SUM(P3781:Q3781)-R3781</f>
        <v>0</v>
      </c>
      <c r="T3781" s="193">
        <f t="shared" ref="T3781:T3844" si="833">IF(OR(B3781=1,B3781=2),G3781/30,IF(OR(B3781=3,B3781=5),G3781/24,IF(B3781=4,G3781/18,0)))</f>
        <v>0</v>
      </c>
      <c r="U3781" s="193">
        <f ca="1">OFFSET('Expenditure Study'!$B$7,'Operations Support'!$C3781,'Operations Support'!$B3781)*$G3781</f>
        <v>0</v>
      </c>
      <c r="V3781" s="199">
        <f ca="1">U3781*'Expenditure Study'!$B$31</f>
        <v>0</v>
      </c>
      <c r="W3781" s="199">
        <f ca="1">IF(A3781=10298,1.51,1)*IF($B3781&lt;3,$D3781*'Expenditure Study'!$B$32*OFFSET('Expenditure Study'!$B$7,'Operations Support'!$C3781,'Operations Support'!$B3781),0)</f>
        <v>0</v>
      </c>
      <c r="X3781" s="200">
        <f ca="1">W3781*'Expenditure Study'!$B$31</f>
        <v>0</v>
      </c>
      <c r="Y3781" s="199">
        <f ca="1">U3781*'Expenditure Study'!$B$31</f>
        <v>0</v>
      </c>
      <c r="Z3781" s="200">
        <f ca="1">W3781*'Expenditure Study'!$B$31</f>
        <v>0</v>
      </c>
      <c r="AA3781" s="195">
        <f t="shared" ref="AA3781:AA3844" ca="1" si="834">V3781+X3781</f>
        <v>0</v>
      </c>
      <c r="AB3781" s="195">
        <f t="shared" ref="AB3781:AB3844" ca="1" si="835">Y3781+Z3781</f>
        <v>0</v>
      </c>
      <c r="AD3781" s="196">
        <f>IFERROR($G3781/SUMIF($A:$A,$A3781,$G:$G)*SUMIF(Summary!$A$166:$A$242,$A3781,Summary!$P$166:$P$242),0)</f>
        <v>0</v>
      </c>
      <c r="AE3781" s="197">
        <f t="shared" ca="1" si="822"/>
        <v>0</v>
      </c>
      <c r="AF3781" s="196">
        <f>IFERROR(G3781/SUMIF(A:A,A3781,G:G)*SUMIF(Summary!$A$166:$A$242,'Operations Support'!A3781,Summary!$Q$166:$Q$242),0)</f>
        <v>0</v>
      </c>
      <c r="AG3781" s="196">
        <f t="shared" ca="1" si="823"/>
        <v>0</v>
      </c>
      <c r="AI3781" s="196">
        <f>IFERROR($G3781/SUMIF($A:$A,$A3781,$G:$G)*SUMIF(Summary!$A$247:$A$283,$A3781,Summary!$P$247:$P$283),0)</f>
        <v>0</v>
      </c>
      <c r="AJ3781" s="196">
        <f>IFERROR($G3781/SUMIF($A:$A,$A3781,$G:$G)*(SUMIF(Summary!$A$247:$A$283,$A3781,Summary!$L$247:$L$283)+SUMIF(Summary!$A$297:$A$333,$A3781,Summary!$L$297:$L$333))-AI3781,0)</f>
        <v>0</v>
      </c>
      <c r="AK3781" s="196">
        <f>IFERROR($G3781/SUMIF($A:$A,$A3781,$G:$G)*SUMIF(Summary!$A$247:$A$283,$A3781,Summary!$Q$247:$Q$283),0)</f>
        <v>0</v>
      </c>
      <c r="AL3781" s="196">
        <f>IFERROR($G3781/SUMIF($A:$A,$A3781,$G:$G)*(SUMIF(Summary!$A$247:$A$283,$A3781,Summary!$L$247:$L$283)+SUMIF(Summary!$A$297:$A$333,$A3781,Summary!$L$297:$L$333))-AK3781,0)</f>
        <v>0</v>
      </c>
      <c r="AM3781" s="198"/>
      <c r="AN3781" s="196">
        <f t="shared" ca="1" si="824"/>
        <v>0</v>
      </c>
      <c r="AO3781" s="196">
        <f t="shared" ca="1" si="825"/>
        <v>0</v>
      </c>
    </row>
    <row r="3782" spans="1:41">
      <c r="A3782" s="189">
        <v>42421</v>
      </c>
      <c r="B3782" s="190">
        <v>5</v>
      </c>
      <c r="C3782" s="191" t="s">
        <v>238</v>
      </c>
      <c r="D3782" s="192">
        <f t="shared" si="826"/>
        <v>0</v>
      </c>
      <c r="E3782" s="192">
        <f t="shared" si="827"/>
        <v>0</v>
      </c>
      <c r="F3782" s="192">
        <f t="shared" si="828"/>
        <v>0</v>
      </c>
      <c r="G3782" s="193">
        <f t="shared" si="829"/>
        <v>0</v>
      </c>
      <c r="H3782" s="194">
        <v>0</v>
      </c>
      <c r="I3782" s="194">
        <v>0</v>
      </c>
      <c r="J3782" s="194">
        <v>0</v>
      </c>
      <c r="K3782" s="193">
        <f t="shared" si="830"/>
        <v>0</v>
      </c>
      <c r="L3782" s="194">
        <v>0</v>
      </c>
      <c r="M3782" s="194">
        <v>0</v>
      </c>
      <c r="N3782" s="194">
        <v>0</v>
      </c>
      <c r="O3782" s="193">
        <f t="shared" si="831"/>
        <v>0</v>
      </c>
      <c r="P3782" s="194">
        <v>0</v>
      </c>
      <c r="Q3782" s="194">
        <v>0</v>
      </c>
      <c r="R3782" s="194">
        <v>0</v>
      </c>
      <c r="S3782" s="193">
        <f t="shared" si="832"/>
        <v>0</v>
      </c>
      <c r="T3782" s="193">
        <f t="shared" si="833"/>
        <v>0</v>
      </c>
      <c r="U3782" s="193">
        <f ca="1">OFFSET('Expenditure Study'!$B$7,'Operations Support'!$C3782,'Operations Support'!$B3782)*$G3782</f>
        <v>0</v>
      </c>
      <c r="V3782" s="199">
        <f ca="1">U3782*'Expenditure Study'!$B$31</f>
        <v>0</v>
      </c>
      <c r="W3782" s="199">
        <f ca="1">IF(A3782=10298,1.51,1)*IF($B3782&lt;3,$D3782*'Expenditure Study'!$B$32*OFFSET('Expenditure Study'!$B$7,'Operations Support'!$C3782,'Operations Support'!$B3782),0)</f>
        <v>0</v>
      </c>
      <c r="X3782" s="200">
        <f ca="1">W3782*'Expenditure Study'!$B$31</f>
        <v>0</v>
      </c>
      <c r="Y3782" s="199">
        <f ca="1">U3782*'Expenditure Study'!$B$31</f>
        <v>0</v>
      </c>
      <c r="Z3782" s="200">
        <f ca="1">W3782*'Expenditure Study'!$B$31</f>
        <v>0</v>
      </c>
      <c r="AA3782" s="195">
        <f t="shared" ca="1" si="834"/>
        <v>0</v>
      </c>
      <c r="AB3782" s="195">
        <f t="shared" ca="1" si="835"/>
        <v>0</v>
      </c>
      <c r="AD3782" s="196">
        <f>IFERROR($G3782/SUMIF($A:$A,$A3782,$G:$G)*SUMIF(Summary!$A$166:$A$242,$A3782,Summary!$P$166:$P$242),0)</f>
        <v>0</v>
      </c>
      <c r="AE3782" s="197">
        <f t="shared" ref="AE3782:AE3845" ca="1" si="836">V3782+X3782-AD3782</f>
        <v>0</v>
      </c>
      <c r="AF3782" s="196">
        <f>IFERROR(G3782/SUMIF(A:A,A3782,G:G)*SUMIF(Summary!$A$166:$A$242,'Operations Support'!A3782,Summary!$Q$166:$Q$242),0)</f>
        <v>0</v>
      </c>
      <c r="AG3782" s="196">
        <f t="shared" ref="AG3782:AG3845" ca="1" si="837">Y3782+Z3782-AF3782</f>
        <v>0</v>
      </c>
      <c r="AI3782" s="196">
        <f>IFERROR($G3782/SUMIF($A:$A,$A3782,$G:$G)*SUMIF(Summary!$A$247:$A$283,$A3782,Summary!$P$247:$P$283),0)</f>
        <v>0</v>
      </c>
      <c r="AJ3782" s="196">
        <f>IFERROR($G3782/SUMIF($A:$A,$A3782,$G:$G)*(SUMIF(Summary!$A$247:$A$283,$A3782,Summary!$L$247:$L$283)+SUMIF(Summary!$A$297:$A$333,$A3782,Summary!$L$297:$L$333))-AI3782,0)</f>
        <v>0</v>
      </c>
      <c r="AK3782" s="196">
        <f>IFERROR($G3782/SUMIF($A:$A,$A3782,$G:$G)*SUMIF(Summary!$A$247:$A$283,$A3782,Summary!$Q$247:$Q$283),0)</f>
        <v>0</v>
      </c>
      <c r="AL3782" s="196">
        <f>IFERROR($G3782/SUMIF($A:$A,$A3782,$G:$G)*(SUMIF(Summary!$A$247:$A$283,$A3782,Summary!$L$247:$L$283)+SUMIF(Summary!$A$297:$A$333,$A3782,Summary!$L$297:$L$333))-AK3782,0)</f>
        <v>0</v>
      </c>
      <c r="AM3782" s="198"/>
      <c r="AN3782" s="196">
        <f t="shared" ref="AN3782:AN3845" ca="1" si="838">AE3782+AJ3782</f>
        <v>0</v>
      </c>
      <c r="AO3782" s="196">
        <f t="shared" ref="AO3782:AO3845" ca="1" si="839">AG3782+AL3782</f>
        <v>0</v>
      </c>
    </row>
    <row r="3783" spans="1:41">
      <c r="A3783" s="189">
        <v>42421</v>
      </c>
      <c r="B3783" s="190">
        <v>5</v>
      </c>
      <c r="C3783" s="191" t="s">
        <v>239</v>
      </c>
      <c r="D3783" s="192">
        <f t="shared" si="826"/>
        <v>0</v>
      </c>
      <c r="E3783" s="192">
        <f t="shared" si="827"/>
        <v>0</v>
      </c>
      <c r="F3783" s="192">
        <f t="shared" si="828"/>
        <v>0</v>
      </c>
      <c r="G3783" s="193">
        <f t="shared" si="829"/>
        <v>0</v>
      </c>
      <c r="H3783" s="194">
        <v>0</v>
      </c>
      <c r="I3783" s="194">
        <v>0</v>
      </c>
      <c r="J3783" s="194">
        <v>0</v>
      </c>
      <c r="K3783" s="193">
        <f t="shared" si="830"/>
        <v>0</v>
      </c>
      <c r="L3783" s="194">
        <v>0</v>
      </c>
      <c r="M3783" s="194">
        <v>0</v>
      </c>
      <c r="N3783" s="194">
        <v>0</v>
      </c>
      <c r="O3783" s="193">
        <f t="shared" si="831"/>
        <v>0</v>
      </c>
      <c r="P3783" s="194">
        <v>0</v>
      </c>
      <c r="Q3783" s="194">
        <v>0</v>
      </c>
      <c r="R3783" s="194">
        <v>0</v>
      </c>
      <c r="S3783" s="193">
        <f t="shared" si="832"/>
        <v>0</v>
      </c>
      <c r="T3783" s="193">
        <f t="shared" si="833"/>
        <v>0</v>
      </c>
      <c r="U3783" s="193">
        <f ca="1">OFFSET('Expenditure Study'!$B$7,'Operations Support'!$C3783,'Operations Support'!$B3783)*$G3783</f>
        <v>0</v>
      </c>
      <c r="V3783" s="199">
        <f ca="1">U3783*'Expenditure Study'!$B$31</f>
        <v>0</v>
      </c>
      <c r="W3783" s="199">
        <f ca="1">IF(A3783=10298,1.51,1)*IF($B3783&lt;3,$D3783*'Expenditure Study'!$B$32*OFFSET('Expenditure Study'!$B$7,'Operations Support'!$C3783,'Operations Support'!$B3783),0)</f>
        <v>0</v>
      </c>
      <c r="X3783" s="200">
        <f ca="1">W3783*'Expenditure Study'!$B$31</f>
        <v>0</v>
      </c>
      <c r="Y3783" s="199">
        <f ca="1">U3783*'Expenditure Study'!$B$31</f>
        <v>0</v>
      </c>
      <c r="Z3783" s="200">
        <f ca="1">W3783*'Expenditure Study'!$B$31</f>
        <v>0</v>
      </c>
      <c r="AA3783" s="195">
        <f t="shared" ca="1" si="834"/>
        <v>0</v>
      </c>
      <c r="AB3783" s="195">
        <f t="shared" ca="1" si="835"/>
        <v>0</v>
      </c>
      <c r="AD3783" s="196">
        <f>IFERROR($G3783/SUMIF($A:$A,$A3783,$G:$G)*SUMIF(Summary!$A$166:$A$242,$A3783,Summary!$P$166:$P$242),0)</f>
        <v>0</v>
      </c>
      <c r="AE3783" s="197">
        <f t="shared" ca="1" si="836"/>
        <v>0</v>
      </c>
      <c r="AF3783" s="196">
        <f>IFERROR(G3783/SUMIF(A:A,A3783,G:G)*SUMIF(Summary!$A$166:$A$242,'Operations Support'!A3783,Summary!$Q$166:$Q$242),0)</f>
        <v>0</v>
      </c>
      <c r="AG3783" s="196">
        <f t="shared" ca="1" si="837"/>
        <v>0</v>
      </c>
      <c r="AI3783" s="196">
        <f>IFERROR($G3783/SUMIF($A:$A,$A3783,$G:$G)*SUMIF(Summary!$A$247:$A$283,$A3783,Summary!$P$247:$P$283),0)</f>
        <v>0</v>
      </c>
      <c r="AJ3783" s="196">
        <f>IFERROR($G3783/SUMIF($A:$A,$A3783,$G:$G)*(SUMIF(Summary!$A$247:$A$283,$A3783,Summary!$L$247:$L$283)+SUMIF(Summary!$A$297:$A$333,$A3783,Summary!$L$297:$L$333))-AI3783,0)</f>
        <v>0</v>
      </c>
      <c r="AK3783" s="196">
        <f>IFERROR($G3783/SUMIF($A:$A,$A3783,$G:$G)*SUMIF(Summary!$A$247:$A$283,$A3783,Summary!$Q$247:$Q$283),0)</f>
        <v>0</v>
      </c>
      <c r="AL3783" s="196">
        <f>IFERROR($G3783/SUMIF($A:$A,$A3783,$G:$G)*(SUMIF(Summary!$A$247:$A$283,$A3783,Summary!$L$247:$L$283)+SUMIF(Summary!$A$297:$A$333,$A3783,Summary!$L$297:$L$333))-AK3783,0)</f>
        <v>0</v>
      </c>
      <c r="AM3783" s="198"/>
      <c r="AN3783" s="196">
        <f t="shared" ca="1" si="838"/>
        <v>0</v>
      </c>
      <c r="AO3783" s="196">
        <f t="shared" ca="1" si="839"/>
        <v>0</v>
      </c>
    </row>
    <row r="3784" spans="1:41">
      <c r="A3784" s="189">
        <v>42421</v>
      </c>
      <c r="B3784" s="190">
        <v>5</v>
      </c>
      <c r="C3784" s="191" t="s">
        <v>240</v>
      </c>
      <c r="D3784" s="192">
        <f t="shared" si="826"/>
        <v>0</v>
      </c>
      <c r="E3784" s="192">
        <f t="shared" si="827"/>
        <v>0</v>
      </c>
      <c r="F3784" s="192">
        <f t="shared" si="828"/>
        <v>0</v>
      </c>
      <c r="G3784" s="193">
        <f t="shared" si="829"/>
        <v>0</v>
      </c>
      <c r="H3784" s="194">
        <v>0</v>
      </c>
      <c r="I3784" s="194">
        <v>0</v>
      </c>
      <c r="J3784" s="194">
        <v>0</v>
      </c>
      <c r="K3784" s="193">
        <f t="shared" si="830"/>
        <v>0</v>
      </c>
      <c r="L3784" s="194">
        <v>0</v>
      </c>
      <c r="M3784" s="194">
        <v>0</v>
      </c>
      <c r="N3784" s="194">
        <v>0</v>
      </c>
      <c r="O3784" s="193">
        <f t="shared" si="831"/>
        <v>0</v>
      </c>
      <c r="P3784" s="194">
        <v>0</v>
      </c>
      <c r="Q3784" s="194">
        <v>0</v>
      </c>
      <c r="R3784" s="194">
        <v>0</v>
      </c>
      <c r="S3784" s="193">
        <f t="shared" si="832"/>
        <v>0</v>
      </c>
      <c r="T3784" s="193">
        <f t="shared" si="833"/>
        <v>0</v>
      </c>
      <c r="U3784" s="193">
        <f ca="1">OFFSET('Expenditure Study'!$B$7,'Operations Support'!$C3784,'Operations Support'!$B3784)*$G3784</f>
        <v>0</v>
      </c>
      <c r="V3784" s="199">
        <f ca="1">U3784*'Expenditure Study'!$B$31</f>
        <v>0</v>
      </c>
      <c r="W3784" s="199">
        <f ca="1">IF(A3784=10298,1.51,1)*IF($B3784&lt;3,$D3784*'Expenditure Study'!$B$32*OFFSET('Expenditure Study'!$B$7,'Operations Support'!$C3784,'Operations Support'!$B3784),0)</f>
        <v>0</v>
      </c>
      <c r="X3784" s="200">
        <f ca="1">W3784*'Expenditure Study'!$B$31</f>
        <v>0</v>
      </c>
      <c r="Y3784" s="199">
        <f ca="1">U3784*'Expenditure Study'!$B$31</f>
        <v>0</v>
      </c>
      <c r="Z3784" s="200">
        <f ca="1">W3784*'Expenditure Study'!$B$31</f>
        <v>0</v>
      </c>
      <c r="AA3784" s="195">
        <f t="shared" ca="1" si="834"/>
        <v>0</v>
      </c>
      <c r="AB3784" s="195">
        <f t="shared" ca="1" si="835"/>
        <v>0</v>
      </c>
      <c r="AD3784" s="196">
        <f>IFERROR($G3784/SUMIF($A:$A,$A3784,$G:$G)*SUMIF(Summary!$A$166:$A$242,$A3784,Summary!$P$166:$P$242),0)</f>
        <v>0</v>
      </c>
      <c r="AE3784" s="197">
        <f t="shared" ca="1" si="836"/>
        <v>0</v>
      </c>
      <c r="AF3784" s="196">
        <f>IFERROR(G3784/SUMIF(A:A,A3784,G:G)*SUMIF(Summary!$A$166:$A$242,'Operations Support'!A3784,Summary!$Q$166:$Q$242),0)</f>
        <v>0</v>
      </c>
      <c r="AG3784" s="196">
        <f t="shared" ca="1" si="837"/>
        <v>0</v>
      </c>
      <c r="AI3784" s="196">
        <f>IFERROR($G3784/SUMIF($A:$A,$A3784,$G:$G)*SUMIF(Summary!$A$247:$A$283,$A3784,Summary!$P$247:$P$283),0)</f>
        <v>0</v>
      </c>
      <c r="AJ3784" s="196">
        <f>IFERROR($G3784/SUMIF($A:$A,$A3784,$G:$G)*(SUMIF(Summary!$A$247:$A$283,$A3784,Summary!$L$247:$L$283)+SUMIF(Summary!$A$297:$A$333,$A3784,Summary!$L$297:$L$333))-AI3784,0)</f>
        <v>0</v>
      </c>
      <c r="AK3784" s="196">
        <f>IFERROR($G3784/SUMIF($A:$A,$A3784,$G:$G)*SUMIF(Summary!$A$247:$A$283,$A3784,Summary!$Q$247:$Q$283),0)</f>
        <v>0</v>
      </c>
      <c r="AL3784" s="196">
        <f>IFERROR($G3784/SUMIF($A:$A,$A3784,$G:$G)*(SUMIF(Summary!$A$247:$A$283,$A3784,Summary!$L$247:$L$283)+SUMIF(Summary!$A$297:$A$333,$A3784,Summary!$L$297:$L$333))-AK3784,0)</f>
        <v>0</v>
      </c>
      <c r="AM3784" s="198"/>
      <c r="AN3784" s="196">
        <f t="shared" ca="1" si="838"/>
        <v>0</v>
      </c>
      <c r="AO3784" s="196">
        <f t="shared" ca="1" si="839"/>
        <v>0</v>
      </c>
    </row>
    <row r="3785" spans="1:41">
      <c r="A3785" s="189">
        <v>42485</v>
      </c>
      <c r="B3785" s="190">
        <v>1</v>
      </c>
      <c r="C3785" s="204" t="s">
        <v>220</v>
      </c>
      <c r="D3785" s="192">
        <f t="shared" si="826"/>
        <v>6495.5</v>
      </c>
      <c r="E3785" s="192">
        <f t="shared" si="827"/>
        <v>36597.5</v>
      </c>
      <c r="F3785" s="192">
        <f t="shared" si="828"/>
        <v>0</v>
      </c>
      <c r="G3785" s="193">
        <f t="shared" si="829"/>
        <v>43093</v>
      </c>
      <c r="H3785" s="194">
        <v>2665</v>
      </c>
      <c r="I3785" s="194">
        <v>14190</v>
      </c>
      <c r="J3785" s="194">
        <v>0</v>
      </c>
      <c r="K3785" s="193">
        <f t="shared" si="830"/>
        <v>16855</v>
      </c>
      <c r="L3785" s="194">
        <v>3177.5</v>
      </c>
      <c r="M3785" s="194">
        <v>21033.5</v>
      </c>
      <c r="N3785" s="194">
        <v>0</v>
      </c>
      <c r="O3785" s="193">
        <f t="shared" si="831"/>
        <v>24211</v>
      </c>
      <c r="P3785" s="194">
        <v>653</v>
      </c>
      <c r="Q3785" s="194">
        <v>1374</v>
      </c>
      <c r="R3785" s="194">
        <v>0</v>
      </c>
      <c r="S3785" s="193">
        <f t="shared" si="832"/>
        <v>2027</v>
      </c>
      <c r="T3785" s="193">
        <f t="shared" si="833"/>
        <v>1436.4333333333334</v>
      </c>
      <c r="U3785" s="193">
        <f ca="1">OFFSET('Expenditure Study'!$B$7,'Operations Support'!$C3785,'Operations Support'!$B3785)*$G3785</f>
        <v>43093</v>
      </c>
      <c r="V3785" s="199">
        <f ca="1">U3785*'Expenditure Study'!$B$31</f>
        <v>2546071.5102144</v>
      </c>
      <c r="W3785" s="199">
        <f ca="1">IF(A3785=10298,1.51,1)*IF($B3785&lt;3,$D3785*'Expenditure Study'!$B$32*OFFSET('Expenditure Study'!$B$7,'Operations Support'!$C3785,'Operations Support'!$B3785),0)</f>
        <v>649.55000000000007</v>
      </c>
      <c r="X3785" s="200">
        <f ca="1">W3785*'Expenditure Study'!$B$31</f>
        <v>38377.480088640004</v>
      </c>
      <c r="Y3785" s="199">
        <f ca="1">U3785*'Expenditure Study'!$B$31</f>
        <v>2546071.5102144</v>
      </c>
      <c r="Z3785" s="200">
        <f ca="1">W3785*'Expenditure Study'!$B$31</f>
        <v>38377.480088640004</v>
      </c>
      <c r="AA3785" s="195">
        <f t="shared" ca="1" si="834"/>
        <v>2584448.99030304</v>
      </c>
      <c r="AB3785" s="195">
        <f t="shared" ca="1" si="835"/>
        <v>2584448.99030304</v>
      </c>
      <c r="AD3785" s="196">
        <f>IFERROR($G3785/SUMIF($A:$A,$A3785,$G:$G)*SUMIF(Summary!$A$166:$A$242,$A3785,Summary!$P$166:$P$242),0)</f>
        <v>1241417.8108967841</v>
      </c>
      <c r="AE3785" s="197">
        <f t="shared" ca="1" si="836"/>
        <v>1343031.1794062559</v>
      </c>
      <c r="AF3785" s="196">
        <f>IFERROR(G3785/SUMIF(A:A,A3785,G:G)*SUMIF(Summary!$A$166:$A$242,'Operations Support'!A3785,Summary!$Q$166:$Q$242),0)</f>
        <v>1242274.1560676268</v>
      </c>
      <c r="AG3785" s="196">
        <f t="shared" ca="1" si="837"/>
        <v>1342174.8342354132</v>
      </c>
      <c r="AI3785" s="196">
        <f>IFERROR($G3785/SUMIF($A:$A,$A3785,$G:$G)*SUMIF(Summary!$A$247:$A$283,$A3785,Summary!$P$247:$P$283),0)</f>
        <v>226403.62947142715</v>
      </c>
      <c r="AJ3785" s="196">
        <f>IFERROR($G3785/SUMIF($A:$A,$A3785,$G:$G)*(SUMIF(Summary!$A$247:$A$283,$A3785,Summary!$L$247:$L$283)+SUMIF(Summary!$A$297:$A$333,$A3785,Summary!$L$297:$L$333))-AI3785,0)</f>
        <v>975693.30024157988</v>
      </c>
      <c r="AK3785" s="196">
        <f>IFERROR($G3785/SUMIF($A:$A,$A3785,$G:$G)*SUMIF(Summary!$A$247:$A$283,$A3785,Summary!$Q$247:$Q$283),0)</f>
        <v>226559.80546073333</v>
      </c>
      <c r="AL3785" s="196">
        <f>IFERROR($G3785/SUMIF($A:$A,$A3785,$G:$G)*(SUMIF(Summary!$A$247:$A$283,$A3785,Summary!$L$247:$L$283)+SUMIF(Summary!$A$297:$A$333,$A3785,Summary!$L$297:$L$333))-AK3785,0)</f>
        <v>975537.1242522737</v>
      </c>
      <c r="AM3785" s="198"/>
      <c r="AN3785" s="196">
        <f t="shared" ca="1" si="838"/>
        <v>2318724.4796478357</v>
      </c>
      <c r="AO3785" s="196">
        <f t="shared" ca="1" si="839"/>
        <v>2317711.9584876867</v>
      </c>
    </row>
    <row r="3786" spans="1:41">
      <c r="A3786" s="189">
        <v>42485</v>
      </c>
      <c r="B3786" s="190">
        <v>1</v>
      </c>
      <c r="C3786" s="191" t="s">
        <v>221</v>
      </c>
      <c r="D3786" s="192">
        <f t="shared" si="826"/>
        <v>2090</v>
      </c>
      <c r="E3786" s="192">
        <f t="shared" si="827"/>
        <v>8529</v>
      </c>
      <c r="F3786" s="192">
        <f t="shared" si="828"/>
        <v>0</v>
      </c>
      <c r="G3786" s="193">
        <f t="shared" si="829"/>
        <v>10619</v>
      </c>
      <c r="H3786" s="194">
        <v>901</v>
      </c>
      <c r="I3786" s="194">
        <v>3870</v>
      </c>
      <c r="J3786" s="194">
        <v>0</v>
      </c>
      <c r="K3786" s="193">
        <f t="shared" si="830"/>
        <v>4771</v>
      </c>
      <c r="L3786" s="194">
        <v>1011</v>
      </c>
      <c r="M3786" s="194">
        <v>4159</v>
      </c>
      <c r="N3786" s="194">
        <v>0</v>
      </c>
      <c r="O3786" s="193">
        <f t="shared" si="831"/>
        <v>5170</v>
      </c>
      <c r="P3786" s="194">
        <v>178</v>
      </c>
      <c r="Q3786" s="194">
        <v>500</v>
      </c>
      <c r="R3786" s="194">
        <v>0</v>
      </c>
      <c r="S3786" s="193">
        <f t="shared" si="832"/>
        <v>678</v>
      </c>
      <c r="T3786" s="193">
        <f t="shared" si="833"/>
        <v>353.96666666666664</v>
      </c>
      <c r="U3786" s="193">
        <f ca="1">OFFSET('Expenditure Study'!$B$7,'Operations Support'!$C3786,'Operations Support'!$B3786)*$G3786</f>
        <v>14229.460000000001</v>
      </c>
      <c r="V3786" s="199">
        <f ca="1">U3786*'Expenditure Study'!$B$31</f>
        <v>840721.75786636805</v>
      </c>
      <c r="W3786" s="199">
        <f ca="1">IF(A3786=10298,1.51,1)*IF($B3786&lt;3,$D3786*'Expenditure Study'!$B$32*OFFSET('Expenditure Study'!$B$7,'Operations Support'!$C3786,'Operations Support'!$B3786),0)</f>
        <v>280.06</v>
      </c>
      <c r="X3786" s="200">
        <f ca="1">W3786*'Expenditure Study'!$B$31</f>
        <v>16546.835614848002</v>
      </c>
      <c r="Y3786" s="199">
        <f ca="1">U3786*'Expenditure Study'!$B$31</f>
        <v>840721.75786636805</v>
      </c>
      <c r="Z3786" s="200">
        <f ca="1">W3786*'Expenditure Study'!$B$31</f>
        <v>16546.835614848002</v>
      </c>
      <c r="AA3786" s="195">
        <f t="shared" ca="1" si="834"/>
        <v>857268.593481216</v>
      </c>
      <c r="AB3786" s="195">
        <f t="shared" ca="1" si="835"/>
        <v>857268.593481216</v>
      </c>
      <c r="AD3786" s="196">
        <f>IFERROR($G3786/SUMIF($A:$A,$A3786,$G:$G)*SUMIF(Summary!$A$166:$A$242,$A3786,Summary!$P$166:$P$242),0)</f>
        <v>305910.8378138665</v>
      </c>
      <c r="AE3786" s="197">
        <f t="shared" ca="1" si="836"/>
        <v>551357.75566734956</v>
      </c>
      <c r="AF3786" s="196">
        <f>IFERROR(G3786/SUMIF(A:A,A3786,G:G)*SUMIF(Summary!$A$166:$A$242,'Operations Support'!A3786,Summary!$Q$166:$Q$242),0)</f>
        <v>306121.8588467298</v>
      </c>
      <c r="AG3786" s="196">
        <f t="shared" ca="1" si="837"/>
        <v>551146.73463448626</v>
      </c>
      <c r="AI3786" s="196">
        <f>IFERROR($G3786/SUMIF($A:$A,$A3786,$G:$G)*SUMIF(Summary!$A$247:$A$283,$A3786,Summary!$P$247:$P$283),0)</f>
        <v>55790.502897386687</v>
      </c>
      <c r="AJ3786" s="196">
        <f>IFERROR($G3786/SUMIF($A:$A,$A3786,$G:$G)*(SUMIF(Summary!$A$247:$A$283,$A3786,Summary!$L$247:$L$283)+SUMIF(Summary!$A$297:$A$333,$A3786,Summary!$L$297:$L$333))-AI3786,0)</f>
        <v>240430.86244321201</v>
      </c>
      <c r="AK3786" s="196">
        <f>IFERROR($G3786/SUMIF($A:$A,$A3786,$G:$G)*SUMIF(Summary!$A$247:$A$283,$A3786,Summary!$Q$247:$Q$283),0)</f>
        <v>55828.987867809781</v>
      </c>
      <c r="AL3786" s="196">
        <f>IFERROR($G3786/SUMIF($A:$A,$A3786,$G:$G)*(SUMIF(Summary!$A$247:$A$283,$A3786,Summary!$L$247:$L$283)+SUMIF(Summary!$A$297:$A$333,$A3786,Summary!$L$297:$L$333))-AK3786,0)</f>
        <v>240392.37747278891</v>
      </c>
      <c r="AM3786" s="198"/>
      <c r="AN3786" s="196">
        <f t="shared" ca="1" si="838"/>
        <v>791788.61811056151</v>
      </c>
      <c r="AO3786" s="196">
        <f t="shared" ca="1" si="839"/>
        <v>791539.11210727517</v>
      </c>
    </row>
    <row r="3787" spans="1:41">
      <c r="A3787" s="189">
        <v>42485</v>
      </c>
      <c r="B3787" s="190">
        <v>1</v>
      </c>
      <c r="C3787" s="191" t="s">
        <v>222</v>
      </c>
      <c r="D3787" s="192">
        <f t="shared" si="826"/>
        <v>30</v>
      </c>
      <c r="E3787" s="192">
        <f t="shared" si="827"/>
        <v>2835</v>
      </c>
      <c r="F3787" s="192">
        <f t="shared" si="828"/>
        <v>0</v>
      </c>
      <c r="G3787" s="193">
        <f t="shared" si="829"/>
        <v>2865</v>
      </c>
      <c r="H3787" s="194">
        <v>0</v>
      </c>
      <c r="I3787" s="194">
        <v>1251</v>
      </c>
      <c r="J3787" s="194">
        <v>0</v>
      </c>
      <c r="K3787" s="193">
        <f t="shared" si="830"/>
        <v>1251</v>
      </c>
      <c r="L3787" s="194">
        <v>30</v>
      </c>
      <c r="M3787" s="194">
        <v>1383</v>
      </c>
      <c r="N3787" s="194">
        <v>0</v>
      </c>
      <c r="O3787" s="193">
        <f t="shared" si="831"/>
        <v>1413</v>
      </c>
      <c r="P3787" s="194">
        <v>0</v>
      </c>
      <c r="Q3787" s="194">
        <v>201</v>
      </c>
      <c r="R3787" s="194">
        <v>0</v>
      </c>
      <c r="S3787" s="193">
        <f t="shared" si="832"/>
        <v>201</v>
      </c>
      <c r="T3787" s="193">
        <f t="shared" si="833"/>
        <v>95.5</v>
      </c>
      <c r="U3787" s="193">
        <f ca="1">OFFSET('Expenditure Study'!$B$7,'Operations Support'!$C3787,'Operations Support'!$B3787)*$G3787</f>
        <v>3925.05</v>
      </c>
      <c r="V3787" s="199">
        <f ca="1">U3787*'Expenditure Study'!$B$31</f>
        <v>231904.43879904001</v>
      </c>
      <c r="W3787" s="199">
        <f ca="1">IF(A3787=10298,1.51,1)*IF($B3787&lt;3,$D3787*'Expenditure Study'!$B$32*OFFSET('Expenditure Study'!$B$7,'Operations Support'!$C3787,'Operations Support'!$B3787),0)</f>
        <v>4.1100000000000003</v>
      </c>
      <c r="X3787" s="200">
        <f ca="1">W3787*'Expenditure Study'!$B$31</f>
        <v>242.83187308800001</v>
      </c>
      <c r="Y3787" s="199">
        <f ca="1">U3787*'Expenditure Study'!$B$31</f>
        <v>231904.43879904001</v>
      </c>
      <c r="Z3787" s="200">
        <f ca="1">W3787*'Expenditure Study'!$B$31</f>
        <v>242.83187308800001</v>
      </c>
      <c r="AA3787" s="195">
        <f t="shared" ca="1" si="834"/>
        <v>232147.27067212801</v>
      </c>
      <c r="AB3787" s="195">
        <f t="shared" ca="1" si="835"/>
        <v>232147.27067212801</v>
      </c>
      <c r="AD3787" s="196">
        <f>IFERROR($G3787/SUMIF($A:$A,$A3787,$G:$G)*SUMIF(Summary!$A$166:$A$242,$A3787,Summary!$P$166:$P$242),0)</f>
        <v>82534.565433348485</v>
      </c>
      <c r="AE3787" s="197">
        <f t="shared" ca="1" si="836"/>
        <v>149612.70523877954</v>
      </c>
      <c r="AF3787" s="196">
        <f>IFERROR(G3787/SUMIF(A:A,A3787,G:G)*SUMIF(Summary!$A$166:$A$242,'Operations Support'!A3787,Summary!$Q$166:$Q$242),0)</f>
        <v>82591.498784808442</v>
      </c>
      <c r="AG3787" s="196">
        <f t="shared" ca="1" si="837"/>
        <v>149555.77188731957</v>
      </c>
      <c r="AI3787" s="196">
        <f>IFERROR($G3787/SUMIF($A:$A,$A3787,$G:$G)*SUMIF(Summary!$A$247:$A$283,$A3787,Summary!$P$247:$P$283),0)</f>
        <v>15052.245107920979</v>
      </c>
      <c r="AJ3787" s="196">
        <f>IFERROR($G3787/SUMIF($A:$A,$A3787,$G:$G)*(SUMIF(Summary!$A$247:$A$283,$A3787,Summary!$L$247:$L$283)+SUMIF(Summary!$A$297:$A$333,$A3787,Summary!$L$297:$L$333))-AI3787,0)</f>
        <v>64868.106309426723</v>
      </c>
      <c r="AK3787" s="196">
        <f>IFERROR($G3787/SUMIF($A:$A,$A3787,$G:$G)*SUMIF(Summary!$A$247:$A$283,$A3787,Summary!$Q$247:$Q$283),0)</f>
        <v>15062.628330471327</v>
      </c>
      <c r="AL3787" s="196">
        <f>IFERROR($G3787/SUMIF($A:$A,$A3787,$G:$G)*(SUMIF(Summary!$A$247:$A$283,$A3787,Summary!$L$247:$L$283)+SUMIF(Summary!$A$297:$A$333,$A3787,Summary!$L$297:$L$333))-AK3787,0)</f>
        <v>64857.723086876373</v>
      </c>
      <c r="AM3787" s="198"/>
      <c r="AN3787" s="196">
        <f t="shared" ca="1" si="838"/>
        <v>214480.81154820626</v>
      </c>
      <c r="AO3787" s="196">
        <f t="shared" ca="1" si="839"/>
        <v>214413.49497419596</v>
      </c>
    </row>
    <row r="3788" spans="1:41">
      <c r="A3788" s="189">
        <v>42485</v>
      </c>
      <c r="B3788" s="190">
        <v>1</v>
      </c>
      <c r="C3788" s="191" t="s">
        <v>223</v>
      </c>
      <c r="D3788" s="192">
        <f t="shared" si="826"/>
        <v>421</v>
      </c>
      <c r="E3788" s="192">
        <f t="shared" si="827"/>
        <v>840</v>
      </c>
      <c r="F3788" s="192">
        <f t="shared" si="828"/>
        <v>0</v>
      </c>
      <c r="G3788" s="193">
        <f t="shared" si="829"/>
        <v>1261</v>
      </c>
      <c r="H3788" s="194">
        <v>199</v>
      </c>
      <c r="I3788" s="194">
        <v>429</v>
      </c>
      <c r="J3788" s="194">
        <v>0</v>
      </c>
      <c r="K3788" s="193">
        <f t="shared" si="830"/>
        <v>628</v>
      </c>
      <c r="L3788" s="194">
        <v>183</v>
      </c>
      <c r="M3788" s="194">
        <v>348</v>
      </c>
      <c r="N3788" s="194">
        <v>0</v>
      </c>
      <c r="O3788" s="193">
        <f t="shared" si="831"/>
        <v>531</v>
      </c>
      <c r="P3788" s="194">
        <v>39</v>
      </c>
      <c r="Q3788" s="194">
        <v>63</v>
      </c>
      <c r="R3788" s="194">
        <v>0</v>
      </c>
      <c r="S3788" s="193">
        <f t="shared" si="832"/>
        <v>102</v>
      </c>
      <c r="T3788" s="193">
        <f t="shared" si="833"/>
        <v>42.033333333333331</v>
      </c>
      <c r="U3788" s="193">
        <f ca="1">OFFSET('Expenditure Study'!$B$7,'Operations Support'!$C3788,'Operations Support'!$B3788)*$G3788</f>
        <v>1588.86</v>
      </c>
      <c r="V3788" s="199">
        <f ca="1">U3788*'Expenditure Study'!$B$31</f>
        <v>93874.902645887996</v>
      </c>
      <c r="W3788" s="199">
        <f ca="1">IF(A3788=10298,1.51,1)*IF($B3788&lt;3,$D3788*'Expenditure Study'!$B$32*OFFSET('Expenditure Study'!$B$7,'Operations Support'!$C3788,'Operations Support'!$B3788),0)</f>
        <v>53.045999999999999</v>
      </c>
      <c r="X3788" s="200">
        <f ca="1">W3788*'Expenditure Study'!$B$31</f>
        <v>3134.1264087168001</v>
      </c>
      <c r="Y3788" s="199">
        <f ca="1">U3788*'Expenditure Study'!$B$31</f>
        <v>93874.902645887996</v>
      </c>
      <c r="Z3788" s="200">
        <f ca="1">W3788*'Expenditure Study'!$B$31</f>
        <v>3134.1264087168001</v>
      </c>
      <c r="AA3788" s="195">
        <f t="shared" ca="1" si="834"/>
        <v>97009.029054604791</v>
      </c>
      <c r="AB3788" s="195">
        <f t="shared" ca="1" si="835"/>
        <v>97009.029054604791</v>
      </c>
      <c r="AD3788" s="196">
        <f>IFERROR($G3788/SUMIF($A:$A,$A3788,$G:$G)*SUMIF(Summary!$A$166:$A$242,$A3788,Summary!$P$166:$P$242),0)</f>
        <v>36326.731941170132</v>
      </c>
      <c r="AE3788" s="197">
        <f t="shared" ca="1" si="836"/>
        <v>60682.297113434659</v>
      </c>
      <c r="AF3788" s="196">
        <f>IFERROR(G3788/SUMIF(A:A,A3788,G:G)*SUMIF(Summary!$A$166:$A$242,'Operations Support'!A3788,Summary!$Q$166:$Q$242),0)</f>
        <v>36351.790564622497</v>
      </c>
      <c r="AG3788" s="196">
        <f t="shared" ca="1" si="837"/>
        <v>60657.238489982294</v>
      </c>
      <c r="AI3788" s="196">
        <f>IFERROR($G3788/SUMIF($A:$A,$A3788,$G:$G)*SUMIF(Summary!$A$247:$A$283,$A3788,Summary!$P$247:$P$283),0)</f>
        <v>6625.0893825788316</v>
      </c>
      <c r="AJ3788" s="196">
        <f>IFERROR($G3788/SUMIF($A:$A,$A3788,$G:$G)*(SUMIF(Summary!$A$247:$A$283,$A3788,Summary!$L$247:$L$283)+SUMIF(Summary!$A$297:$A$333,$A3788,Summary!$L$297:$L$333))-AI3788,0)</f>
        <v>28551.023405300904</v>
      </c>
      <c r="AK3788" s="196">
        <f>IFERROR($G3788/SUMIF($A:$A,$A3788,$G:$G)*SUMIF(Summary!$A$247:$A$283,$A3788,Summary!$Q$247:$Q$283),0)</f>
        <v>6629.6594501655645</v>
      </c>
      <c r="AL3788" s="196">
        <f>IFERROR($G3788/SUMIF($A:$A,$A3788,$G:$G)*(SUMIF(Summary!$A$247:$A$283,$A3788,Summary!$L$247:$L$283)+SUMIF(Summary!$A$297:$A$333,$A3788,Summary!$L$297:$L$333))-AK3788,0)</f>
        <v>28546.453337714171</v>
      </c>
      <c r="AM3788" s="198"/>
      <c r="AN3788" s="196">
        <f t="shared" ca="1" si="838"/>
        <v>89233.320518735563</v>
      </c>
      <c r="AO3788" s="196">
        <f t="shared" ca="1" si="839"/>
        <v>89203.691827696457</v>
      </c>
    </row>
    <row r="3789" spans="1:41">
      <c r="A3789" s="189">
        <v>42485</v>
      </c>
      <c r="B3789" s="190">
        <v>1</v>
      </c>
      <c r="C3789" s="191" t="s">
        <v>224</v>
      </c>
      <c r="D3789" s="192">
        <f t="shared" si="826"/>
        <v>0</v>
      </c>
      <c r="E3789" s="192">
        <f t="shared" si="827"/>
        <v>0</v>
      </c>
      <c r="F3789" s="192">
        <f t="shared" si="828"/>
        <v>0</v>
      </c>
      <c r="G3789" s="193">
        <f t="shared" si="829"/>
        <v>0</v>
      </c>
      <c r="H3789" s="194">
        <v>0</v>
      </c>
      <c r="I3789" s="194">
        <v>0</v>
      </c>
      <c r="J3789" s="194">
        <v>0</v>
      </c>
      <c r="K3789" s="193">
        <f t="shared" si="830"/>
        <v>0</v>
      </c>
      <c r="L3789" s="194">
        <v>0</v>
      </c>
      <c r="M3789" s="194">
        <v>0</v>
      </c>
      <c r="N3789" s="194">
        <v>0</v>
      </c>
      <c r="O3789" s="193">
        <f t="shared" si="831"/>
        <v>0</v>
      </c>
      <c r="P3789" s="194">
        <v>0</v>
      </c>
      <c r="Q3789" s="194">
        <v>0</v>
      </c>
      <c r="R3789" s="194">
        <v>0</v>
      </c>
      <c r="S3789" s="193">
        <f t="shared" si="832"/>
        <v>0</v>
      </c>
      <c r="T3789" s="193">
        <f t="shared" si="833"/>
        <v>0</v>
      </c>
      <c r="U3789" s="193">
        <f ca="1">OFFSET('Expenditure Study'!$B$7,'Operations Support'!$C3789,'Operations Support'!$B3789)*$G3789</f>
        <v>0</v>
      </c>
      <c r="V3789" s="199">
        <f ca="1">U3789*'Expenditure Study'!$B$31</f>
        <v>0</v>
      </c>
      <c r="W3789" s="199">
        <f ca="1">IF(A3789=10298,1.51,1)*IF($B3789&lt;3,$D3789*'Expenditure Study'!$B$32*OFFSET('Expenditure Study'!$B$7,'Operations Support'!$C3789,'Operations Support'!$B3789),0)</f>
        <v>0</v>
      </c>
      <c r="X3789" s="200">
        <f ca="1">W3789*'Expenditure Study'!$B$31</f>
        <v>0</v>
      </c>
      <c r="Y3789" s="199">
        <f ca="1">U3789*'Expenditure Study'!$B$31</f>
        <v>0</v>
      </c>
      <c r="Z3789" s="200">
        <f ca="1">W3789*'Expenditure Study'!$B$31</f>
        <v>0</v>
      </c>
      <c r="AA3789" s="195">
        <f t="shared" ca="1" si="834"/>
        <v>0</v>
      </c>
      <c r="AB3789" s="195">
        <f t="shared" ca="1" si="835"/>
        <v>0</v>
      </c>
      <c r="AD3789" s="196">
        <f>IFERROR($G3789/SUMIF($A:$A,$A3789,$G:$G)*SUMIF(Summary!$A$166:$A$242,$A3789,Summary!$P$166:$P$242),0)</f>
        <v>0</v>
      </c>
      <c r="AE3789" s="197">
        <f t="shared" ca="1" si="836"/>
        <v>0</v>
      </c>
      <c r="AF3789" s="196">
        <f>IFERROR(G3789/SUMIF(A:A,A3789,G:G)*SUMIF(Summary!$A$166:$A$242,'Operations Support'!A3789,Summary!$Q$166:$Q$242),0)</f>
        <v>0</v>
      </c>
      <c r="AG3789" s="196">
        <f t="shared" ca="1" si="837"/>
        <v>0</v>
      </c>
      <c r="AI3789" s="196">
        <f>IFERROR($G3789/SUMIF($A:$A,$A3789,$G:$G)*SUMIF(Summary!$A$247:$A$283,$A3789,Summary!$P$247:$P$283),0)</f>
        <v>0</v>
      </c>
      <c r="AJ3789" s="196">
        <f>IFERROR($G3789/SUMIF($A:$A,$A3789,$G:$G)*(SUMIF(Summary!$A$247:$A$283,$A3789,Summary!$L$247:$L$283)+SUMIF(Summary!$A$297:$A$333,$A3789,Summary!$L$297:$L$333))-AI3789,0)</f>
        <v>0</v>
      </c>
      <c r="AK3789" s="196">
        <f>IFERROR($G3789/SUMIF($A:$A,$A3789,$G:$G)*SUMIF(Summary!$A$247:$A$283,$A3789,Summary!$Q$247:$Q$283),0)</f>
        <v>0</v>
      </c>
      <c r="AL3789" s="196">
        <f>IFERROR($G3789/SUMIF($A:$A,$A3789,$G:$G)*(SUMIF(Summary!$A$247:$A$283,$A3789,Summary!$L$247:$L$283)+SUMIF(Summary!$A$297:$A$333,$A3789,Summary!$L$297:$L$333))-AK3789,0)</f>
        <v>0</v>
      </c>
      <c r="AM3789" s="198"/>
      <c r="AN3789" s="196">
        <f t="shared" ca="1" si="838"/>
        <v>0</v>
      </c>
      <c r="AO3789" s="196">
        <f t="shared" ca="1" si="839"/>
        <v>0</v>
      </c>
    </row>
    <row r="3790" spans="1:41">
      <c r="A3790" s="189">
        <v>42485</v>
      </c>
      <c r="B3790" s="190">
        <v>1</v>
      </c>
      <c r="C3790" s="191" t="s">
        <v>225</v>
      </c>
      <c r="D3790" s="192">
        <f t="shared" si="826"/>
        <v>1346</v>
      </c>
      <c r="E3790" s="192">
        <f t="shared" si="827"/>
        <v>2762</v>
      </c>
      <c r="F3790" s="192">
        <f t="shared" si="828"/>
        <v>0</v>
      </c>
      <c r="G3790" s="193">
        <f t="shared" si="829"/>
        <v>4108</v>
      </c>
      <c r="H3790" s="194">
        <v>572</v>
      </c>
      <c r="I3790" s="194">
        <v>1282</v>
      </c>
      <c r="J3790" s="194">
        <v>0</v>
      </c>
      <c r="K3790" s="193">
        <f t="shared" si="830"/>
        <v>1854</v>
      </c>
      <c r="L3790" s="194">
        <v>635</v>
      </c>
      <c r="M3790" s="194">
        <v>1335</v>
      </c>
      <c r="N3790" s="194">
        <v>0</v>
      </c>
      <c r="O3790" s="193">
        <f t="shared" si="831"/>
        <v>1970</v>
      </c>
      <c r="P3790" s="194">
        <v>139</v>
      </c>
      <c r="Q3790" s="194">
        <v>145</v>
      </c>
      <c r="R3790" s="194">
        <v>0</v>
      </c>
      <c r="S3790" s="193">
        <f t="shared" si="832"/>
        <v>284</v>
      </c>
      <c r="T3790" s="193">
        <f t="shared" si="833"/>
        <v>136.93333333333334</v>
      </c>
      <c r="U3790" s="193">
        <f ca="1">OFFSET('Expenditure Study'!$B$7,'Operations Support'!$C3790,'Operations Support'!$B3790)*$G3790</f>
        <v>7230.08</v>
      </c>
      <c r="V3790" s="199">
        <f ca="1">U3790*'Expenditure Study'!$B$31</f>
        <v>427176.12383846403</v>
      </c>
      <c r="W3790" s="199">
        <f ca="1">IF(A3790=10298,1.51,1)*IF($B3790&lt;3,$D3790*'Expenditure Study'!$B$32*OFFSET('Expenditure Study'!$B$7,'Operations Support'!$C3790,'Operations Support'!$B3790),0)</f>
        <v>236.89599999999999</v>
      </c>
      <c r="X3790" s="200">
        <f ca="1">W3790*'Expenditure Study'!$B$31</f>
        <v>13996.5691987968</v>
      </c>
      <c r="Y3790" s="199">
        <f ca="1">U3790*'Expenditure Study'!$B$31</f>
        <v>427176.12383846403</v>
      </c>
      <c r="Z3790" s="200">
        <f ca="1">W3790*'Expenditure Study'!$B$31</f>
        <v>13996.5691987968</v>
      </c>
      <c r="AA3790" s="195">
        <f t="shared" ca="1" si="834"/>
        <v>441172.69303726085</v>
      </c>
      <c r="AB3790" s="195">
        <f t="shared" ca="1" si="835"/>
        <v>441172.69303726085</v>
      </c>
      <c r="AD3790" s="196">
        <f>IFERROR($G3790/SUMIF($A:$A,$A3790,$G:$G)*SUMIF(Summary!$A$166:$A$242,$A3790,Summary!$P$166:$P$242),0)</f>
        <v>118342.75560216251</v>
      </c>
      <c r="AE3790" s="197">
        <f t="shared" ca="1" si="836"/>
        <v>322829.93743509834</v>
      </c>
      <c r="AF3790" s="196">
        <f>IFERROR(G3790/SUMIF(A:A,A3790,G:G)*SUMIF(Summary!$A$166:$A$242,'Operations Support'!A3790,Summary!$Q$166:$Q$242),0)</f>
        <v>118424.38988062587</v>
      </c>
      <c r="AG3790" s="196">
        <f t="shared" ca="1" si="837"/>
        <v>322748.30315663497</v>
      </c>
      <c r="AI3790" s="196">
        <f>IFERROR($G3790/SUMIF($A:$A,$A3790,$G:$G)*SUMIF(Summary!$A$247:$A$283,$A3790,Summary!$P$247:$P$283),0)</f>
        <v>21582.765411287743</v>
      </c>
      <c r="AJ3790" s="196">
        <f>IFERROR($G3790/SUMIF($A:$A,$A3790,$G:$G)*(SUMIF(Summary!$A$247:$A$283,$A3790,Summary!$L$247:$L$283)+SUMIF(Summary!$A$297:$A$333,$A3790,Summary!$L$297:$L$333))-AI3790,0)</f>
        <v>93011.581402835931</v>
      </c>
      <c r="AK3790" s="196">
        <f>IFERROR($G3790/SUMIF($A:$A,$A3790,$G:$G)*SUMIF(Summary!$A$247:$A$283,$A3790,Summary!$Q$247:$Q$283),0)</f>
        <v>21597.653466518746</v>
      </c>
      <c r="AL3790" s="196">
        <f>IFERROR($G3790/SUMIF($A:$A,$A3790,$G:$G)*(SUMIF(Summary!$A$247:$A$283,$A3790,Summary!$L$247:$L$283)+SUMIF(Summary!$A$297:$A$333,$A3790,Summary!$L$297:$L$333))-AK3790,0)</f>
        <v>92996.693347604931</v>
      </c>
      <c r="AM3790" s="198"/>
      <c r="AN3790" s="196">
        <f t="shared" ca="1" si="838"/>
        <v>415841.51883793424</v>
      </c>
      <c r="AO3790" s="196">
        <f t="shared" ca="1" si="839"/>
        <v>415744.99650423991</v>
      </c>
    </row>
    <row r="3791" spans="1:41">
      <c r="A3791" s="189">
        <v>42485</v>
      </c>
      <c r="B3791" s="190">
        <v>1</v>
      </c>
      <c r="C3791" s="191" t="s">
        <v>226</v>
      </c>
      <c r="D3791" s="192">
        <f t="shared" si="826"/>
        <v>0</v>
      </c>
      <c r="E3791" s="192">
        <f t="shared" si="827"/>
        <v>684</v>
      </c>
      <c r="F3791" s="192">
        <f t="shared" si="828"/>
        <v>0</v>
      </c>
      <c r="G3791" s="193">
        <f t="shared" si="829"/>
        <v>684</v>
      </c>
      <c r="H3791" s="194">
        <v>0</v>
      </c>
      <c r="I3791" s="194">
        <v>285</v>
      </c>
      <c r="J3791" s="194">
        <v>0</v>
      </c>
      <c r="K3791" s="193">
        <f t="shared" si="830"/>
        <v>285</v>
      </c>
      <c r="L3791" s="194">
        <v>0</v>
      </c>
      <c r="M3791" s="194">
        <v>294</v>
      </c>
      <c r="N3791" s="194">
        <v>0</v>
      </c>
      <c r="O3791" s="193">
        <f t="shared" si="831"/>
        <v>294</v>
      </c>
      <c r="P3791" s="194">
        <v>0</v>
      </c>
      <c r="Q3791" s="194">
        <v>105</v>
      </c>
      <c r="R3791" s="194">
        <v>0</v>
      </c>
      <c r="S3791" s="193">
        <f t="shared" si="832"/>
        <v>105</v>
      </c>
      <c r="T3791" s="193">
        <f t="shared" si="833"/>
        <v>22.8</v>
      </c>
      <c r="U3791" s="193">
        <f ca="1">OFFSET('Expenditure Study'!$B$7,'Operations Support'!$C3791,'Operations Support'!$B3791)*$G3791</f>
        <v>649.79999999999995</v>
      </c>
      <c r="V3791" s="199">
        <f ca="1">U3791*'Expenditure Study'!$B$31</f>
        <v>38392.250883839995</v>
      </c>
      <c r="W3791" s="199">
        <f ca="1">IF(A3791=10298,1.51,1)*IF($B3791&lt;3,$D3791*'Expenditure Study'!$B$32*OFFSET('Expenditure Study'!$B$7,'Operations Support'!$C3791,'Operations Support'!$B3791),0)</f>
        <v>0</v>
      </c>
      <c r="X3791" s="200">
        <f ca="1">W3791*'Expenditure Study'!$B$31</f>
        <v>0</v>
      </c>
      <c r="Y3791" s="199">
        <f ca="1">U3791*'Expenditure Study'!$B$31</f>
        <v>38392.250883839995</v>
      </c>
      <c r="Z3791" s="200">
        <f ca="1">W3791*'Expenditure Study'!$B$31</f>
        <v>0</v>
      </c>
      <c r="AA3791" s="195">
        <f t="shared" ca="1" si="834"/>
        <v>38392.250883839995</v>
      </c>
      <c r="AB3791" s="195">
        <f t="shared" ca="1" si="835"/>
        <v>38392.250883839995</v>
      </c>
      <c r="AD3791" s="196">
        <f>IFERROR($G3791/SUMIF($A:$A,$A3791,$G:$G)*SUMIF(Summary!$A$166:$A$242,$A3791,Summary!$P$166:$P$242),0)</f>
        <v>19704.587349532412</v>
      </c>
      <c r="AE3791" s="197">
        <f t="shared" ca="1" si="836"/>
        <v>18687.663534307583</v>
      </c>
      <c r="AF3791" s="196">
        <f>IFERROR(G3791/SUMIF(A:A,A3791,G:G)*SUMIF(Summary!$A$166:$A$242,'Operations Support'!A3791,Summary!$Q$166:$Q$242),0)</f>
        <v>19718.179814593012</v>
      </c>
      <c r="AG3791" s="196">
        <f t="shared" ca="1" si="837"/>
        <v>18674.071069246984</v>
      </c>
      <c r="AI3791" s="196">
        <f>IFERROR($G3791/SUMIF($A:$A,$A3791,$G:$G)*SUMIF(Summary!$A$247:$A$283,$A3791,Summary!$P$247:$P$283),0)</f>
        <v>3593.6250100586208</v>
      </c>
      <c r="AJ3791" s="196">
        <f>IFERROR($G3791/SUMIF($A:$A,$A3791,$G:$G)*(SUMIF(Summary!$A$247:$A$283,$A3791,Summary!$L$247:$L$283)+SUMIF(Summary!$A$297:$A$333,$A3791,Summary!$L$297:$L$333))-AI3791,0)</f>
        <v>15486.835851884078</v>
      </c>
      <c r="AK3791" s="196">
        <f>IFERROR($G3791/SUMIF($A:$A,$A3791,$G:$G)*SUMIF(Summary!$A$247:$A$283,$A3791,Summary!$Q$247:$Q$283),0)</f>
        <v>3596.1039364894896</v>
      </c>
      <c r="AL3791" s="196">
        <f>IFERROR($G3791/SUMIF($A:$A,$A3791,$G:$G)*(SUMIF(Summary!$A$247:$A$283,$A3791,Summary!$L$247:$L$283)+SUMIF(Summary!$A$297:$A$333,$A3791,Summary!$L$297:$L$333))-AK3791,0)</f>
        <v>15484.356925453209</v>
      </c>
      <c r="AM3791" s="198"/>
      <c r="AN3791" s="196">
        <f t="shared" ca="1" si="838"/>
        <v>34174.499386191659</v>
      </c>
      <c r="AO3791" s="196">
        <f t="shared" ca="1" si="839"/>
        <v>34158.427994700192</v>
      </c>
    </row>
    <row r="3792" spans="1:41">
      <c r="A3792" s="189">
        <v>42485</v>
      </c>
      <c r="B3792" s="190">
        <v>1</v>
      </c>
      <c r="C3792" s="191" t="s">
        <v>227</v>
      </c>
      <c r="D3792" s="192">
        <f t="shared" si="826"/>
        <v>0</v>
      </c>
      <c r="E3792" s="192">
        <f t="shared" si="827"/>
        <v>0</v>
      </c>
      <c r="F3792" s="192">
        <f t="shared" si="828"/>
        <v>0</v>
      </c>
      <c r="G3792" s="193">
        <f t="shared" si="829"/>
        <v>0</v>
      </c>
      <c r="H3792" s="194">
        <v>0</v>
      </c>
      <c r="I3792" s="194">
        <v>0</v>
      </c>
      <c r="J3792" s="194">
        <v>0</v>
      </c>
      <c r="K3792" s="193">
        <f t="shared" si="830"/>
        <v>0</v>
      </c>
      <c r="L3792" s="194">
        <v>0</v>
      </c>
      <c r="M3792" s="194">
        <v>0</v>
      </c>
      <c r="N3792" s="194">
        <v>0</v>
      </c>
      <c r="O3792" s="193">
        <f t="shared" si="831"/>
        <v>0</v>
      </c>
      <c r="P3792" s="194">
        <v>0</v>
      </c>
      <c r="Q3792" s="194">
        <v>0</v>
      </c>
      <c r="R3792" s="194">
        <v>0</v>
      </c>
      <c r="S3792" s="193">
        <f t="shared" si="832"/>
        <v>0</v>
      </c>
      <c r="T3792" s="193">
        <f t="shared" si="833"/>
        <v>0</v>
      </c>
      <c r="U3792" s="193">
        <f ca="1">OFFSET('Expenditure Study'!$B$7,'Operations Support'!$C3792,'Operations Support'!$B3792)*$G3792</f>
        <v>0</v>
      </c>
      <c r="V3792" s="199">
        <f ca="1">U3792*'Expenditure Study'!$B$31</f>
        <v>0</v>
      </c>
      <c r="W3792" s="199">
        <f ca="1">IF(A3792=10298,1.51,1)*IF($B3792&lt;3,$D3792*'Expenditure Study'!$B$32*OFFSET('Expenditure Study'!$B$7,'Operations Support'!$C3792,'Operations Support'!$B3792),0)</f>
        <v>0</v>
      </c>
      <c r="X3792" s="200">
        <f ca="1">W3792*'Expenditure Study'!$B$31</f>
        <v>0</v>
      </c>
      <c r="Y3792" s="199">
        <f ca="1">U3792*'Expenditure Study'!$B$31</f>
        <v>0</v>
      </c>
      <c r="Z3792" s="200">
        <f ca="1">W3792*'Expenditure Study'!$B$31</f>
        <v>0</v>
      </c>
      <c r="AA3792" s="195">
        <f t="shared" ca="1" si="834"/>
        <v>0</v>
      </c>
      <c r="AB3792" s="195">
        <f t="shared" ca="1" si="835"/>
        <v>0</v>
      </c>
      <c r="AD3792" s="196">
        <f>IFERROR($G3792/SUMIF($A:$A,$A3792,$G:$G)*SUMIF(Summary!$A$166:$A$242,$A3792,Summary!$P$166:$P$242),0)</f>
        <v>0</v>
      </c>
      <c r="AE3792" s="197">
        <f t="shared" ca="1" si="836"/>
        <v>0</v>
      </c>
      <c r="AF3792" s="196">
        <f>IFERROR(G3792/SUMIF(A:A,A3792,G:G)*SUMIF(Summary!$A$166:$A$242,'Operations Support'!A3792,Summary!$Q$166:$Q$242),0)</f>
        <v>0</v>
      </c>
      <c r="AG3792" s="196">
        <f t="shared" ca="1" si="837"/>
        <v>0</v>
      </c>
      <c r="AI3792" s="196">
        <f>IFERROR($G3792/SUMIF($A:$A,$A3792,$G:$G)*SUMIF(Summary!$A$247:$A$283,$A3792,Summary!$P$247:$P$283),0)</f>
        <v>0</v>
      </c>
      <c r="AJ3792" s="196">
        <f>IFERROR($G3792/SUMIF($A:$A,$A3792,$G:$G)*(SUMIF(Summary!$A$247:$A$283,$A3792,Summary!$L$247:$L$283)+SUMIF(Summary!$A$297:$A$333,$A3792,Summary!$L$297:$L$333))-AI3792,0)</f>
        <v>0</v>
      </c>
      <c r="AK3792" s="196">
        <f>IFERROR($G3792/SUMIF($A:$A,$A3792,$G:$G)*SUMIF(Summary!$A$247:$A$283,$A3792,Summary!$Q$247:$Q$283),0)</f>
        <v>0</v>
      </c>
      <c r="AL3792" s="196">
        <f>IFERROR($G3792/SUMIF($A:$A,$A3792,$G:$G)*(SUMIF(Summary!$A$247:$A$283,$A3792,Summary!$L$247:$L$283)+SUMIF(Summary!$A$297:$A$333,$A3792,Summary!$L$297:$L$333))-AK3792,0)</f>
        <v>0</v>
      </c>
      <c r="AM3792" s="198"/>
      <c r="AN3792" s="196">
        <f t="shared" ca="1" si="838"/>
        <v>0</v>
      </c>
      <c r="AO3792" s="196">
        <f t="shared" ca="1" si="839"/>
        <v>0</v>
      </c>
    </row>
    <row r="3793" spans="1:41">
      <c r="A3793" s="189">
        <v>42485</v>
      </c>
      <c r="B3793" s="190">
        <v>1</v>
      </c>
      <c r="C3793" s="191" t="s">
        <v>228</v>
      </c>
      <c r="D3793" s="192">
        <f t="shared" si="826"/>
        <v>0</v>
      </c>
      <c r="E3793" s="192">
        <f t="shared" si="827"/>
        <v>0</v>
      </c>
      <c r="F3793" s="192">
        <f t="shared" si="828"/>
        <v>0</v>
      </c>
      <c r="G3793" s="193">
        <f t="shared" si="829"/>
        <v>0</v>
      </c>
      <c r="H3793" s="194">
        <v>0</v>
      </c>
      <c r="I3793" s="194">
        <v>0</v>
      </c>
      <c r="J3793" s="194">
        <v>0</v>
      </c>
      <c r="K3793" s="193">
        <f t="shared" si="830"/>
        <v>0</v>
      </c>
      <c r="L3793" s="194">
        <v>0</v>
      </c>
      <c r="M3793" s="194">
        <v>0</v>
      </c>
      <c r="N3793" s="194">
        <v>0</v>
      </c>
      <c r="O3793" s="193">
        <f t="shared" si="831"/>
        <v>0</v>
      </c>
      <c r="P3793" s="194">
        <v>0</v>
      </c>
      <c r="Q3793" s="194">
        <v>0</v>
      </c>
      <c r="R3793" s="194">
        <v>0</v>
      </c>
      <c r="S3793" s="193">
        <f t="shared" si="832"/>
        <v>0</v>
      </c>
      <c r="T3793" s="193">
        <f t="shared" si="833"/>
        <v>0</v>
      </c>
      <c r="U3793" s="193">
        <f ca="1">OFFSET('Expenditure Study'!$B$7,'Operations Support'!$C3793,'Operations Support'!$B3793)*$G3793</f>
        <v>0</v>
      </c>
      <c r="V3793" s="199">
        <f ca="1">U3793*'Expenditure Study'!$B$31</f>
        <v>0</v>
      </c>
      <c r="W3793" s="199">
        <f ca="1">IF(A3793=10298,1.51,1)*IF($B3793&lt;3,$D3793*'Expenditure Study'!$B$32*OFFSET('Expenditure Study'!$B$7,'Operations Support'!$C3793,'Operations Support'!$B3793),0)</f>
        <v>0</v>
      </c>
      <c r="X3793" s="200">
        <f ca="1">W3793*'Expenditure Study'!$B$31</f>
        <v>0</v>
      </c>
      <c r="Y3793" s="199">
        <f ca="1">U3793*'Expenditure Study'!$B$31</f>
        <v>0</v>
      </c>
      <c r="Z3793" s="200">
        <f ca="1">W3793*'Expenditure Study'!$B$31</f>
        <v>0</v>
      </c>
      <c r="AA3793" s="195">
        <f t="shared" ca="1" si="834"/>
        <v>0</v>
      </c>
      <c r="AB3793" s="195">
        <f t="shared" ca="1" si="835"/>
        <v>0</v>
      </c>
      <c r="AD3793" s="196">
        <f>IFERROR($G3793/SUMIF($A:$A,$A3793,$G:$G)*SUMIF(Summary!$A$166:$A$242,$A3793,Summary!$P$166:$P$242),0)</f>
        <v>0</v>
      </c>
      <c r="AE3793" s="197">
        <f t="shared" ca="1" si="836"/>
        <v>0</v>
      </c>
      <c r="AF3793" s="196">
        <f>IFERROR(G3793/SUMIF(A:A,A3793,G:G)*SUMIF(Summary!$A$166:$A$242,'Operations Support'!A3793,Summary!$Q$166:$Q$242),0)</f>
        <v>0</v>
      </c>
      <c r="AG3793" s="196">
        <f t="shared" ca="1" si="837"/>
        <v>0</v>
      </c>
      <c r="AI3793" s="196">
        <f>IFERROR($G3793/SUMIF($A:$A,$A3793,$G:$G)*SUMIF(Summary!$A$247:$A$283,$A3793,Summary!$P$247:$P$283),0)</f>
        <v>0</v>
      </c>
      <c r="AJ3793" s="196">
        <f>IFERROR($G3793/SUMIF($A:$A,$A3793,$G:$G)*(SUMIF(Summary!$A$247:$A$283,$A3793,Summary!$L$247:$L$283)+SUMIF(Summary!$A$297:$A$333,$A3793,Summary!$L$297:$L$333))-AI3793,0)</f>
        <v>0</v>
      </c>
      <c r="AK3793" s="196">
        <f>IFERROR($G3793/SUMIF($A:$A,$A3793,$G:$G)*SUMIF(Summary!$A$247:$A$283,$A3793,Summary!$Q$247:$Q$283),0)</f>
        <v>0</v>
      </c>
      <c r="AL3793" s="196">
        <f>IFERROR($G3793/SUMIF($A:$A,$A3793,$G:$G)*(SUMIF(Summary!$A$247:$A$283,$A3793,Summary!$L$247:$L$283)+SUMIF(Summary!$A$297:$A$333,$A3793,Summary!$L$297:$L$333))-AK3793,0)</f>
        <v>0</v>
      </c>
      <c r="AM3793" s="198"/>
      <c r="AN3793" s="196">
        <f t="shared" ca="1" si="838"/>
        <v>0</v>
      </c>
      <c r="AO3793" s="196">
        <f t="shared" ca="1" si="839"/>
        <v>0</v>
      </c>
    </row>
    <row r="3794" spans="1:41">
      <c r="A3794" s="189">
        <v>42485</v>
      </c>
      <c r="B3794" s="190">
        <v>1</v>
      </c>
      <c r="C3794" s="191" t="s">
        <v>229</v>
      </c>
      <c r="D3794" s="192">
        <f t="shared" si="826"/>
        <v>0</v>
      </c>
      <c r="E3794" s="192">
        <f t="shared" si="827"/>
        <v>0</v>
      </c>
      <c r="F3794" s="192">
        <f t="shared" si="828"/>
        <v>0</v>
      </c>
      <c r="G3794" s="193">
        <f t="shared" si="829"/>
        <v>0</v>
      </c>
      <c r="H3794" s="194">
        <v>0</v>
      </c>
      <c r="I3794" s="194">
        <v>0</v>
      </c>
      <c r="J3794" s="194">
        <v>0</v>
      </c>
      <c r="K3794" s="193">
        <f t="shared" si="830"/>
        <v>0</v>
      </c>
      <c r="L3794" s="194">
        <v>0</v>
      </c>
      <c r="M3794" s="194">
        <v>0</v>
      </c>
      <c r="N3794" s="194">
        <v>0</v>
      </c>
      <c r="O3794" s="193">
        <f t="shared" si="831"/>
        <v>0</v>
      </c>
      <c r="P3794" s="194">
        <v>0</v>
      </c>
      <c r="Q3794" s="194">
        <v>0</v>
      </c>
      <c r="R3794" s="194">
        <v>0</v>
      </c>
      <c r="S3794" s="193">
        <f t="shared" si="832"/>
        <v>0</v>
      </c>
      <c r="T3794" s="193">
        <f t="shared" si="833"/>
        <v>0</v>
      </c>
      <c r="U3794" s="193">
        <f ca="1">OFFSET('Expenditure Study'!$B$7,'Operations Support'!$C3794,'Operations Support'!$B3794)*$G3794</f>
        <v>0</v>
      </c>
      <c r="V3794" s="199">
        <f ca="1">U3794*'Expenditure Study'!$B$31</f>
        <v>0</v>
      </c>
      <c r="W3794" s="199">
        <f ca="1">IF(A3794=10298,1.51,1)*IF($B3794&lt;3,$D3794*'Expenditure Study'!$B$32*OFFSET('Expenditure Study'!$B$7,'Operations Support'!$C3794,'Operations Support'!$B3794),0)</f>
        <v>0</v>
      </c>
      <c r="X3794" s="200">
        <f ca="1">W3794*'Expenditure Study'!$B$31</f>
        <v>0</v>
      </c>
      <c r="Y3794" s="199">
        <f ca="1">U3794*'Expenditure Study'!$B$31</f>
        <v>0</v>
      </c>
      <c r="Z3794" s="200">
        <f ca="1">W3794*'Expenditure Study'!$B$31</f>
        <v>0</v>
      </c>
      <c r="AA3794" s="195">
        <f t="shared" ca="1" si="834"/>
        <v>0</v>
      </c>
      <c r="AB3794" s="195">
        <f t="shared" ca="1" si="835"/>
        <v>0</v>
      </c>
      <c r="AD3794" s="196">
        <f>IFERROR($G3794/SUMIF($A:$A,$A3794,$G:$G)*SUMIF(Summary!$A$166:$A$242,$A3794,Summary!$P$166:$P$242),0)</f>
        <v>0</v>
      </c>
      <c r="AE3794" s="197">
        <f t="shared" ca="1" si="836"/>
        <v>0</v>
      </c>
      <c r="AF3794" s="196">
        <f>IFERROR(G3794/SUMIF(A:A,A3794,G:G)*SUMIF(Summary!$A$166:$A$242,'Operations Support'!A3794,Summary!$Q$166:$Q$242),0)</f>
        <v>0</v>
      </c>
      <c r="AG3794" s="196">
        <f t="shared" ca="1" si="837"/>
        <v>0</v>
      </c>
      <c r="AI3794" s="196">
        <f>IFERROR($G3794/SUMIF($A:$A,$A3794,$G:$G)*SUMIF(Summary!$A$247:$A$283,$A3794,Summary!$P$247:$P$283),0)</f>
        <v>0</v>
      </c>
      <c r="AJ3794" s="196">
        <f>IFERROR($G3794/SUMIF($A:$A,$A3794,$G:$G)*(SUMIF(Summary!$A$247:$A$283,$A3794,Summary!$L$247:$L$283)+SUMIF(Summary!$A$297:$A$333,$A3794,Summary!$L$297:$L$333))-AI3794,0)</f>
        <v>0</v>
      </c>
      <c r="AK3794" s="196">
        <f>IFERROR($G3794/SUMIF($A:$A,$A3794,$G:$G)*SUMIF(Summary!$A$247:$A$283,$A3794,Summary!$Q$247:$Q$283),0)</f>
        <v>0</v>
      </c>
      <c r="AL3794" s="196">
        <f>IFERROR($G3794/SUMIF($A:$A,$A3794,$G:$G)*(SUMIF(Summary!$A$247:$A$283,$A3794,Summary!$L$247:$L$283)+SUMIF(Summary!$A$297:$A$333,$A3794,Summary!$L$297:$L$333))-AK3794,0)</f>
        <v>0</v>
      </c>
      <c r="AM3794" s="198"/>
      <c r="AN3794" s="196">
        <f t="shared" ca="1" si="838"/>
        <v>0</v>
      </c>
      <c r="AO3794" s="196">
        <f t="shared" ca="1" si="839"/>
        <v>0</v>
      </c>
    </row>
    <row r="3795" spans="1:41">
      <c r="A3795" s="189">
        <v>42485</v>
      </c>
      <c r="B3795" s="190">
        <v>1</v>
      </c>
      <c r="C3795" s="191" t="s">
        <v>230</v>
      </c>
      <c r="D3795" s="192">
        <f t="shared" si="826"/>
        <v>0</v>
      </c>
      <c r="E3795" s="192">
        <f t="shared" si="827"/>
        <v>0</v>
      </c>
      <c r="F3795" s="192">
        <f t="shared" si="828"/>
        <v>0</v>
      </c>
      <c r="G3795" s="193">
        <f t="shared" si="829"/>
        <v>0</v>
      </c>
      <c r="H3795" s="194">
        <v>0</v>
      </c>
      <c r="I3795" s="194">
        <v>0</v>
      </c>
      <c r="J3795" s="194">
        <v>0</v>
      </c>
      <c r="K3795" s="193">
        <f t="shared" si="830"/>
        <v>0</v>
      </c>
      <c r="L3795" s="194">
        <v>0</v>
      </c>
      <c r="M3795" s="194">
        <v>0</v>
      </c>
      <c r="N3795" s="194">
        <v>0</v>
      </c>
      <c r="O3795" s="193">
        <f t="shared" si="831"/>
        <v>0</v>
      </c>
      <c r="P3795" s="194">
        <v>0</v>
      </c>
      <c r="Q3795" s="194">
        <v>0</v>
      </c>
      <c r="R3795" s="194">
        <v>0</v>
      </c>
      <c r="S3795" s="193">
        <f t="shared" si="832"/>
        <v>0</v>
      </c>
      <c r="T3795" s="193">
        <f t="shared" si="833"/>
        <v>0</v>
      </c>
      <c r="U3795" s="193">
        <f ca="1">OFFSET('Expenditure Study'!$B$7,'Operations Support'!$C3795,'Operations Support'!$B3795)*$G3795</f>
        <v>0</v>
      </c>
      <c r="V3795" s="199">
        <f ca="1">U3795*'Expenditure Study'!$B$31</f>
        <v>0</v>
      </c>
      <c r="W3795" s="199">
        <f ca="1">IF(A3795=10298,1.51,1)*IF($B3795&lt;3,$D3795*'Expenditure Study'!$B$32*OFFSET('Expenditure Study'!$B$7,'Operations Support'!$C3795,'Operations Support'!$B3795),0)</f>
        <v>0</v>
      </c>
      <c r="X3795" s="200">
        <f ca="1">W3795*'Expenditure Study'!$B$31</f>
        <v>0</v>
      </c>
      <c r="Y3795" s="199">
        <f ca="1">U3795*'Expenditure Study'!$B$31</f>
        <v>0</v>
      </c>
      <c r="Z3795" s="200">
        <f ca="1">W3795*'Expenditure Study'!$B$31</f>
        <v>0</v>
      </c>
      <c r="AA3795" s="195">
        <f t="shared" ca="1" si="834"/>
        <v>0</v>
      </c>
      <c r="AB3795" s="195">
        <f t="shared" ca="1" si="835"/>
        <v>0</v>
      </c>
      <c r="AD3795" s="196">
        <f>IFERROR($G3795/SUMIF($A:$A,$A3795,$G:$G)*SUMIF(Summary!$A$166:$A$242,$A3795,Summary!$P$166:$P$242),0)</f>
        <v>0</v>
      </c>
      <c r="AE3795" s="197">
        <f t="shared" ca="1" si="836"/>
        <v>0</v>
      </c>
      <c r="AF3795" s="196">
        <f>IFERROR(G3795/SUMIF(A:A,A3795,G:G)*SUMIF(Summary!$A$166:$A$242,'Operations Support'!A3795,Summary!$Q$166:$Q$242),0)</f>
        <v>0</v>
      </c>
      <c r="AG3795" s="196">
        <f t="shared" ca="1" si="837"/>
        <v>0</v>
      </c>
      <c r="AI3795" s="196">
        <f>IFERROR($G3795/SUMIF($A:$A,$A3795,$G:$G)*SUMIF(Summary!$A$247:$A$283,$A3795,Summary!$P$247:$P$283),0)</f>
        <v>0</v>
      </c>
      <c r="AJ3795" s="196">
        <f>IFERROR($G3795/SUMIF($A:$A,$A3795,$G:$G)*(SUMIF(Summary!$A$247:$A$283,$A3795,Summary!$L$247:$L$283)+SUMIF(Summary!$A$297:$A$333,$A3795,Summary!$L$297:$L$333))-AI3795,0)</f>
        <v>0</v>
      </c>
      <c r="AK3795" s="196">
        <f>IFERROR($G3795/SUMIF($A:$A,$A3795,$G:$G)*SUMIF(Summary!$A$247:$A$283,$A3795,Summary!$Q$247:$Q$283),0)</f>
        <v>0</v>
      </c>
      <c r="AL3795" s="196">
        <f>IFERROR($G3795/SUMIF($A:$A,$A3795,$G:$G)*(SUMIF(Summary!$A$247:$A$283,$A3795,Summary!$L$247:$L$283)+SUMIF(Summary!$A$297:$A$333,$A3795,Summary!$L$297:$L$333))-AK3795,0)</f>
        <v>0</v>
      </c>
      <c r="AM3795" s="198"/>
      <c r="AN3795" s="196">
        <f t="shared" ca="1" si="838"/>
        <v>0</v>
      </c>
      <c r="AO3795" s="196">
        <f t="shared" ca="1" si="839"/>
        <v>0</v>
      </c>
    </row>
    <row r="3796" spans="1:41">
      <c r="A3796" s="189">
        <v>42485</v>
      </c>
      <c r="B3796" s="190">
        <v>1</v>
      </c>
      <c r="C3796" s="191" t="s">
        <v>231</v>
      </c>
      <c r="D3796" s="192">
        <f t="shared" si="826"/>
        <v>0</v>
      </c>
      <c r="E3796" s="192">
        <f t="shared" si="827"/>
        <v>0</v>
      </c>
      <c r="F3796" s="192">
        <f t="shared" si="828"/>
        <v>0</v>
      </c>
      <c r="G3796" s="193">
        <f t="shared" si="829"/>
        <v>0</v>
      </c>
      <c r="H3796" s="194">
        <v>0</v>
      </c>
      <c r="I3796" s="194">
        <v>0</v>
      </c>
      <c r="J3796" s="194">
        <v>0</v>
      </c>
      <c r="K3796" s="193">
        <f t="shared" si="830"/>
        <v>0</v>
      </c>
      <c r="L3796" s="194">
        <v>0</v>
      </c>
      <c r="M3796" s="194">
        <v>0</v>
      </c>
      <c r="N3796" s="194">
        <v>0</v>
      </c>
      <c r="O3796" s="193">
        <f t="shared" si="831"/>
        <v>0</v>
      </c>
      <c r="P3796" s="194">
        <v>0</v>
      </c>
      <c r="Q3796" s="194">
        <v>0</v>
      </c>
      <c r="R3796" s="194">
        <v>0</v>
      </c>
      <c r="S3796" s="193">
        <f t="shared" si="832"/>
        <v>0</v>
      </c>
      <c r="T3796" s="193">
        <f t="shared" si="833"/>
        <v>0</v>
      </c>
      <c r="U3796" s="193">
        <f ca="1">OFFSET('Expenditure Study'!$B$7,'Operations Support'!$C3796,'Operations Support'!$B3796)*$G3796</f>
        <v>0</v>
      </c>
      <c r="V3796" s="199">
        <f ca="1">U3796*'Expenditure Study'!$B$31</f>
        <v>0</v>
      </c>
      <c r="W3796" s="199">
        <f ca="1">IF(A3796=10298,1.51,1)*IF($B3796&lt;3,$D3796*'Expenditure Study'!$B$32*OFFSET('Expenditure Study'!$B$7,'Operations Support'!$C3796,'Operations Support'!$B3796),0)</f>
        <v>0</v>
      </c>
      <c r="X3796" s="200">
        <f ca="1">W3796*'Expenditure Study'!$B$31</f>
        <v>0</v>
      </c>
      <c r="Y3796" s="199">
        <f ca="1">U3796*'Expenditure Study'!$B$31</f>
        <v>0</v>
      </c>
      <c r="Z3796" s="200">
        <f ca="1">W3796*'Expenditure Study'!$B$31</f>
        <v>0</v>
      </c>
      <c r="AA3796" s="195">
        <f t="shared" ca="1" si="834"/>
        <v>0</v>
      </c>
      <c r="AB3796" s="195">
        <f t="shared" ca="1" si="835"/>
        <v>0</v>
      </c>
      <c r="AD3796" s="196">
        <f>IFERROR($G3796/SUMIF($A:$A,$A3796,$G:$G)*SUMIF(Summary!$A$166:$A$242,$A3796,Summary!$P$166:$P$242),0)</f>
        <v>0</v>
      </c>
      <c r="AE3796" s="197">
        <f t="shared" ca="1" si="836"/>
        <v>0</v>
      </c>
      <c r="AF3796" s="196">
        <f>IFERROR(G3796/SUMIF(A:A,A3796,G:G)*SUMIF(Summary!$A$166:$A$242,'Operations Support'!A3796,Summary!$Q$166:$Q$242),0)</f>
        <v>0</v>
      </c>
      <c r="AG3796" s="196">
        <f t="shared" ca="1" si="837"/>
        <v>0</v>
      </c>
      <c r="AI3796" s="196">
        <f>IFERROR($G3796/SUMIF($A:$A,$A3796,$G:$G)*SUMIF(Summary!$A$247:$A$283,$A3796,Summary!$P$247:$P$283),0)</f>
        <v>0</v>
      </c>
      <c r="AJ3796" s="196">
        <f>IFERROR($G3796/SUMIF($A:$A,$A3796,$G:$G)*(SUMIF(Summary!$A$247:$A$283,$A3796,Summary!$L$247:$L$283)+SUMIF(Summary!$A$297:$A$333,$A3796,Summary!$L$297:$L$333))-AI3796,0)</f>
        <v>0</v>
      </c>
      <c r="AK3796" s="196">
        <f>IFERROR($G3796/SUMIF($A:$A,$A3796,$G:$G)*SUMIF(Summary!$A$247:$A$283,$A3796,Summary!$Q$247:$Q$283),0)</f>
        <v>0</v>
      </c>
      <c r="AL3796" s="196">
        <f>IFERROR($G3796/SUMIF($A:$A,$A3796,$G:$G)*(SUMIF(Summary!$A$247:$A$283,$A3796,Summary!$L$247:$L$283)+SUMIF(Summary!$A$297:$A$333,$A3796,Summary!$L$297:$L$333))-AK3796,0)</f>
        <v>0</v>
      </c>
      <c r="AM3796" s="198"/>
      <c r="AN3796" s="196">
        <f t="shared" ca="1" si="838"/>
        <v>0</v>
      </c>
      <c r="AO3796" s="196">
        <f t="shared" ca="1" si="839"/>
        <v>0</v>
      </c>
    </row>
    <row r="3797" spans="1:41">
      <c r="A3797" s="189">
        <v>42485</v>
      </c>
      <c r="B3797" s="190">
        <v>1</v>
      </c>
      <c r="C3797" s="191" t="s">
        <v>232</v>
      </c>
      <c r="D3797" s="192">
        <f t="shared" si="826"/>
        <v>0</v>
      </c>
      <c r="E3797" s="192">
        <f t="shared" si="827"/>
        <v>0</v>
      </c>
      <c r="F3797" s="192">
        <f t="shared" si="828"/>
        <v>0</v>
      </c>
      <c r="G3797" s="193">
        <f t="shared" si="829"/>
        <v>0</v>
      </c>
      <c r="H3797" s="194">
        <v>0</v>
      </c>
      <c r="I3797" s="194">
        <v>0</v>
      </c>
      <c r="J3797" s="194">
        <v>0</v>
      </c>
      <c r="K3797" s="193">
        <f t="shared" si="830"/>
        <v>0</v>
      </c>
      <c r="L3797" s="194">
        <v>0</v>
      </c>
      <c r="M3797" s="194">
        <v>0</v>
      </c>
      <c r="N3797" s="194">
        <v>0</v>
      </c>
      <c r="O3797" s="193">
        <f t="shared" si="831"/>
        <v>0</v>
      </c>
      <c r="P3797" s="194">
        <v>0</v>
      </c>
      <c r="Q3797" s="194">
        <v>0</v>
      </c>
      <c r="R3797" s="194">
        <v>0</v>
      </c>
      <c r="S3797" s="193">
        <f t="shared" si="832"/>
        <v>0</v>
      </c>
      <c r="T3797" s="193">
        <f t="shared" si="833"/>
        <v>0</v>
      </c>
      <c r="U3797" s="193">
        <f ca="1">OFFSET('Expenditure Study'!$B$7,'Operations Support'!$C3797,'Operations Support'!$B3797)*$G3797</f>
        <v>0</v>
      </c>
      <c r="V3797" s="199">
        <f ca="1">U3797*'Expenditure Study'!$B$31</f>
        <v>0</v>
      </c>
      <c r="W3797" s="199">
        <f ca="1">IF(A3797=10298,1.51,1)*IF($B3797&lt;3,$D3797*'Expenditure Study'!$B$32*OFFSET('Expenditure Study'!$B$7,'Operations Support'!$C3797,'Operations Support'!$B3797),0)</f>
        <v>0</v>
      </c>
      <c r="X3797" s="200">
        <f ca="1">W3797*'Expenditure Study'!$B$31</f>
        <v>0</v>
      </c>
      <c r="Y3797" s="199">
        <f ca="1">U3797*'Expenditure Study'!$B$31</f>
        <v>0</v>
      </c>
      <c r="Z3797" s="200">
        <f ca="1">W3797*'Expenditure Study'!$B$31</f>
        <v>0</v>
      </c>
      <c r="AA3797" s="195">
        <f t="shared" ca="1" si="834"/>
        <v>0</v>
      </c>
      <c r="AB3797" s="195">
        <f t="shared" ca="1" si="835"/>
        <v>0</v>
      </c>
      <c r="AD3797" s="196">
        <f>IFERROR($G3797/SUMIF($A:$A,$A3797,$G:$G)*SUMIF(Summary!$A$166:$A$242,$A3797,Summary!$P$166:$P$242),0)</f>
        <v>0</v>
      </c>
      <c r="AE3797" s="197">
        <f t="shared" ca="1" si="836"/>
        <v>0</v>
      </c>
      <c r="AF3797" s="196">
        <f>IFERROR(G3797/SUMIF(A:A,A3797,G:G)*SUMIF(Summary!$A$166:$A$242,'Operations Support'!A3797,Summary!$Q$166:$Q$242),0)</f>
        <v>0</v>
      </c>
      <c r="AG3797" s="196">
        <f t="shared" ca="1" si="837"/>
        <v>0</v>
      </c>
      <c r="AI3797" s="196">
        <f>IFERROR($G3797/SUMIF($A:$A,$A3797,$G:$G)*SUMIF(Summary!$A$247:$A$283,$A3797,Summary!$P$247:$P$283),0)</f>
        <v>0</v>
      </c>
      <c r="AJ3797" s="196">
        <f>IFERROR($G3797/SUMIF($A:$A,$A3797,$G:$G)*(SUMIF(Summary!$A$247:$A$283,$A3797,Summary!$L$247:$L$283)+SUMIF(Summary!$A$297:$A$333,$A3797,Summary!$L$297:$L$333))-AI3797,0)</f>
        <v>0</v>
      </c>
      <c r="AK3797" s="196">
        <f>IFERROR($G3797/SUMIF($A:$A,$A3797,$G:$G)*SUMIF(Summary!$A$247:$A$283,$A3797,Summary!$Q$247:$Q$283),0)</f>
        <v>0</v>
      </c>
      <c r="AL3797" s="196">
        <f>IFERROR($G3797/SUMIF($A:$A,$A3797,$G:$G)*(SUMIF(Summary!$A$247:$A$283,$A3797,Summary!$L$247:$L$283)+SUMIF(Summary!$A$297:$A$333,$A3797,Summary!$L$297:$L$333))-AK3797,0)</f>
        <v>0</v>
      </c>
      <c r="AM3797" s="198"/>
      <c r="AN3797" s="196">
        <f t="shared" ca="1" si="838"/>
        <v>0</v>
      </c>
      <c r="AO3797" s="196">
        <f t="shared" ca="1" si="839"/>
        <v>0</v>
      </c>
    </row>
    <row r="3798" spans="1:41">
      <c r="A3798" s="189">
        <v>42485</v>
      </c>
      <c r="B3798" s="190">
        <v>1</v>
      </c>
      <c r="C3798" s="191" t="s">
        <v>233</v>
      </c>
      <c r="D3798" s="192">
        <f t="shared" si="826"/>
        <v>0</v>
      </c>
      <c r="E3798" s="192">
        <f t="shared" si="827"/>
        <v>1560</v>
      </c>
      <c r="F3798" s="192">
        <f t="shared" si="828"/>
        <v>0</v>
      </c>
      <c r="G3798" s="193">
        <f t="shared" si="829"/>
        <v>1560</v>
      </c>
      <c r="H3798" s="194">
        <v>0</v>
      </c>
      <c r="I3798" s="194">
        <v>669</v>
      </c>
      <c r="J3798" s="194">
        <v>0</v>
      </c>
      <c r="K3798" s="193">
        <f t="shared" si="830"/>
        <v>669</v>
      </c>
      <c r="L3798" s="194">
        <v>0</v>
      </c>
      <c r="M3798" s="194">
        <v>798</v>
      </c>
      <c r="N3798" s="194">
        <v>0</v>
      </c>
      <c r="O3798" s="193">
        <f t="shared" si="831"/>
        <v>798</v>
      </c>
      <c r="P3798" s="194">
        <v>0</v>
      </c>
      <c r="Q3798" s="194">
        <v>93</v>
      </c>
      <c r="R3798" s="194">
        <v>0</v>
      </c>
      <c r="S3798" s="193">
        <f t="shared" si="832"/>
        <v>93</v>
      </c>
      <c r="T3798" s="193">
        <f t="shared" si="833"/>
        <v>52</v>
      </c>
      <c r="U3798" s="193">
        <f ca="1">OFFSET('Expenditure Study'!$B$7,'Operations Support'!$C3798,'Operations Support'!$B3798)*$G3798</f>
        <v>1497.6</v>
      </c>
      <c r="V3798" s="199">
        <f ca="1">U3798*'Expenditure Study'!$B$31</f>
        <v>88482.971566079999</v>
      </c>
      <c r="W3798" s="199">
        <f ca="1">IF(A3798=10298,1.51,1)*IF($B3798&lt;3,$D3798*'Expenditure Study'!$B$32*OFFSET('Expenditure Study'!$B$7,'Operations Support'!$C3798,'Operations Support'!$B3798),0)</f>
        <v>0</v>
      </c>
      <c r="X3798" s="200">
        <f ca="1">W3798*'Expenditure Study'!$B$31</f>
        <v>0</v>
      </c>
      <c r="Y3798" s="199">
        <f ca="1">U3798*'Expenditure Study'!$B$31</f>
        <v>88482.971566079999</v>
      </c>
      <c r="Z3798" s="200">
        <f ca="1">W3798*'Expenditure Study'!$B$31</f>
        <v>0</v>
      </c>
      <c r="AA3798" s="195">
        <f t="shared" ca="1" si="834"/>
        <v>88482.971566079999</v>
      </c>
      <c r="AB3798" s="195">
        <f t="shared" ca="1" si="835"/>
        <v>88482.971566079999</v>
      </c>
      <c r="AD3798" s="196">
        <f>IFERROR($G3798/SUMIF($A:$A,$A3798,$G:$G)*SUMIF(Summary!$A$166:$A$242,$A3798,Summary!$P$166:$P$242),0)</f>
        <v>44940.286937530065</v>
      </c>
      <c r="AE3798" s="197">
        <f t="shared" ca="1" si="836"/>
        <v>43542.684628549934</v>
      </c>
      <c r="AF3798" s="196">
        <f>IFERROR(G3798/SUMIF(A:A,A3798,G:G)*SUMIF(Summary!$A$166:$A$242,'Operations Support'!A3798,Summary!$Q$166:$Q$242),0)</f>
        <v>44971.287296440198</v>
      </c>
      <c r="AG3798" s="196">
        <f t="shared" ca="1" si="837"/>
        <v>43511.684269639802</v>
      </c>
      <c r="AI3798" s="196">
        <f>IFERROR($G3798/SUMIF($A:$A,$A3798,$G:$G)*SUMIF(Summary!$A$247:$A$283,$A3798,Summary!$P$247:$P$283),0)</f>
        <v>8195.9868650459775</v>
      </c>
      <c r="AJ3798" s="196">
        <f>IFERROR($G3798/SUMIF($A:$A,$A3798,$G:$G)*(SUMIF(Summary!$A$247:$A$283,$A3798,Summary!$L$247:$L$283)+SUMIF(Summary!$A$297:$A$333,$A3798,Summary!$L$297:$L$333))-AI3798,0)</f>
        <v>35320.853697279475</v>
      </c>
      <c r="AK3798" s="196">
        <f>IFERROR($G3798/SUMIF($A:$A,$A3798,$G:$G)*SUMIF(Summary!$A$247:$A$283,$A3798,Summary!$Q$247:$Q$283),0)</f>
        <v>8201.6405569058534</v>
      </c>
      <c r="AL3798" s="196">
        <f>IFERROR($G3798/SUMIF($A:$A,$A3798,$G:$G)*(SUMIF(Summary!$A$247:$A$283,$A3798,Summary!$L$247:$L$283)+SUMIF(Summary!$A$297:$A$333,$A3798,Summary!$L$297:$L$333))-AK3798,0)</f>
        <v>35315.200005419596</v>
      </c>
      <c r="AM3798" s="198"/>
      <c r="AN3798" s="196">
        <f t="shared" ca="1" si="838"/>
        <v>78863.538325829402</v>
      </c>
      <c r="AO3798" s="196">
        <f t="shared" ca="1" si="839"/>
        <v>78826.88427505939</v>
      </c>
    </row>
    <row r="3799" spans="1:41">
      <c r="A3799" s="189">
        <v>42485</v>
      </c>
      <c r="B3799" s="190">
        <v>1</v>
      </c>
      <c r="C3799" s="191" t="s">
        <v>234</v>
      </c>
      <c r="D3799" s="192">
        <f t="shared" si="826"/>
        <v>0</v>
      </c>
      <c r="E3799" s="192">
        <f t="shared" si="827"/>
        <v>0</v>
      </c>
      <c r="F3799" s="192">
        <f t="shared" si="828"/>
        <v>0</v>
      </c>
      <c r="G3799" s="193">
        <f t="shared" si="829"/>
        <v>0</v>
      </c>
      <c r="H3799" s="194">
        <v>0</v>
      </c>
      <c r="I3799" s="194">
        <v>0</v>
      </c>
      <c r="J3799" s="194">
        <v>0</v>
      </c>
      <c r="K3799" s="193">
        <f t="shared" si="830"/>
        <v>0</v>
      </c>
      <c r="L3799" s="194">
        <v>0</v>
      </c>
      <c r="M3799" s="194">
        <v>0</v>
      </c>
      <c r="N3799" s="194">
        <v>0</v>
      </c>
      <c r="O3799" s="193">
        <f t="shared" si="831"/>
        <v>0</v>
      </c>
      <c r="P3799" s="194">
        <v>0</v>
      </c>
      <c r="Q3799" s="194">
        <v>0</v>
      </c>
      <c r="R3799" s="194">
        <v>0</v>
      </c>
      <c r="S3799" s="193">
        <f t="shared" si="832"/>
        <v>0</v>
      </c>
      <c r="T3799" s="193">
        <f t="shared" si="833"/>
        <v>0</v>
      </c>
      <c r="U3799" s="193">
        <f ca="1">OFFSET('Expenditure Study'!$B$7,'Operations Support'!$C3799,'Operations Support'!$B3799)*$G3799</f>
        <v>0</v>
      </c>
      <c r="V3799" s="199">
        <f ca="1">U3799*'Expenditure Study'!$B$31</f>
        <v>0</v>
      </c>
      <c r="W3799" s="199">
        <f ca="1">IF(A3799=10298,1.51,1)*IF($B3799&lt;3,$D3799*'Expenditure Study'!$B$32*OFFSET('Expenditure Study'!$B$7,'Operations Support'!$C3799,'Operations Support'!$B3799),0)</f>
        <v>0</v>
      </c>
      <c r="X3799" s="200">
        <f ca="1">W3799*'Expenditure Study'!$B$31</f>
        <v>0</v>
      </c>
      <c r="Y3799" s="199">
        <f ca="1">U3799*'Expenditure Study'!$B$31</f>
        <v>0</v>
      </c>
      <c r="Z3799" s="200">
        <f ca="1">W3799*'Expenditure Study'!$B$31</f>
        <v>0</v>
      </c>
      <c r="AA3799" s="195">
        <f t="shared" ca="1" si="834"/>
        <v>0</v>
      </c>
      <c r="AB3799" s="195">
        <f t="shared" ca="1" si="835"/>
        <v>0</v>
      </c>
      <c r="AD3799" s="196">
        <f>IFERROR($G3799/SUMIF($A:$A,$A3799,$G:$G)*SUMIF(Summary!$A$166:$A$242,$A3799,Summary!$P$166:$P$242),0)</f>
        <v>0</v>
      </c>
      <c r="AE3799" s="197">
        <f t="shared" ca="1" si="836"/>
        <v>0</v>
      </c>
      <c r="AF3799" s="196">
        <f>IFERROR(G3799/SUMIF(A:A,A3799,G:G)*SUMIF(Summary!$A$166:$A$242,'Operations Support'!A3799,Summary!$Q$166:$Q$242),0)</f>
        <v>0</v>
      </c>
      <c r="AG3799" s="196">
        <f t="shared" ca="1" si="837"/>
        <v>0</v>
      </c>
      <c r="AI3799" s="196">
        <f>IFERROR($G3799/SUMIF($A:$A,$A3799,$G:$G)*SUMIF(Summary!$A$247:$A$283,$A3799,Summary!$P$247:$P$283),0)</f>
        <v>0</v>
      </c>
      <c r="AJ3799" s="196">
        <f>IFERROR($G3799/SUMIF($A:$A,$A3799,$G:$G)*(SUMIF(Summary!$A$247:$A$283,$A3799,Summary!$L$247:$L$283)+SUMIF(Summary!$A$297:$A$333,$A3799,Summary!$L$297:$L$333))-AI3799,0)</f>
        <v>0</v>
      </c>
      <c r="AK3799" s="196">
        <f>IFERROR($G3799/SUMIF($A:$A,$A3799,$G:$G)*SUMIF(Summary!$A$247:$A$283,$A3799,Summary!$Q$247:$Q$283),0)</f>
        <v>0</v>
      </c>
      <c r="AL3799" s="196">
        <f>IFERROR($G3799/SUMIF($A:$A,$A3799,$G:$G)*(SUMIF(Summary!$A$247:$A$283,$A3799,Summary!$L$247:$L$283)+SUMIF(Summary!$A$297:$A$333,$A3799,Summary!$L$297:$L$333))-AK3799,0)</f>
        <v>0</v>
      </c>
      <c r="AM3799" s="198"/>
      <c r="AN3799" s="196">
        <f t="shared" ca="1" si="838"/>
        <v>0</v>
      </c>
      <c r="AO3799" s="196">
        <f t="shared" ca="1" si="839"/>
        <v>0</v>
      </c>
    </row>
    <row r="3800" spans="1:41">
      <c r="A3800" s="189">
        <v>42485</v>
      </c>
      <c r="B3800" s="190">
        <v>1</v>
      </c>
      <c r="C3800" s="191" t="s">
        <v>235</v>
      </c>
      <c r="D3800" s="192">
        <f t="shared" si="826"/>
        <v>564</v>
      </c>
      <c r="E3800" s="192">
        <f t="shared" si="827"/>
        <v>5940</v>
      </c>
      <c r="F3800" s="192">
        <f t="shared" si="828"/>
        <v>0</v>
      </c>
      <c r="G3800" s="193">
        <f t="shared" si="829"/>
        <v>6504</v>
      </c>
      <c r="H3800" s="194">
        <v>141</v>
      </c>
      <c r="I3800" s="194">
        <v>2754</v>
      </c>
      <c r="J3800" s="194">
        <v>0</v>
      </c>
      <c r="K3800" s="193">
        <f t="shared" si="830"/>
        <v>2895</v>
      </c>
      <c r="L3800" s="194">
        <v>252</v>
      </c>
      <c r="M3800" s="194">
        <v>2711</v>
      </c>
      <c r="N3800" s="194">
        <v>0</v>
      </c>
      <c r="O3800" s="193">
        <f t="shared" si="831"/>
        <v>2963</v>
      </c>
      <c r="P3800" s="194">
        <v>171</v>
      </c>
      <c r="Q3800" s="194">
        <v>475</v>
      </c>
      <c r="R3800" s="194">
        <v>0</v>
      </c>
      <c r="S3800" s="193">
        <f t="shared" si="832"/>
        <v>646</v>
      </c>
      <c r="T3800" s="193">
        <f t="shared" si="833"/>
        <v>216.8</v>
      </c>
      <c r="U3800" s="193">
        <f ca="1">OFFSET('Expenditure Study'!$B$7,'Operations Support'!$C3800,'Operations Support'!$B3800)*$G3800</f>
        <v>7154.4000000000005</v>
      </c>
      <c r="V3800" s="199">
        <f ca="1">U3800*'Expenditure Study'!$B$31</f>
        <v>422704.70871552004</v>
      </c>
      <c r="W3800" s="199">
        <f ca="1">IF(A3800=10298,1.51,1)*IF($B3800&lt;3,$D3800*'Expenditure Study'!$B$32*OFFSET('Expenditure Study'!$B$7,'Operations Support'!$C3800,'Operations Support'!$B3800),0)</f>
        <v>62.040000000000013</v>
      </c>
      <c r="X3800" s="200">
        <f ca="1">W3800*'Expenditure Study'!$B$31</f>
        <v>3665.5205368320007</v>
      </c>
      <c r="Y3800" s="199">
        <f ca="1">U3800*'Expenditure Study'!$B$31</f>
        <v>422704.70871552004</v>
      </c>
      <c r="Z3800" s="200">
        <f ca="1">W3800*'Expenditure Study'!$B$31</f>
        <v>3665.5205368320007</v>
      </c>
      <c r="AA3800" s="195">
        <f t="shared" ca="1" si="834"/>
        <v>426370.22925235203</v>
      </c>
      <c r="AB3800" s="195">
        <f t="shared" ca="1" si="835"/>
        <v>426370.22925235203</v>
      </c>
      <c r="AD3800" s="196">
        <f>IFERROR($G3800/SUMIF($A:$A,$A3800,$G:$G)*SUMIF(Summary!$A$166:$A$242,$A3800,Summary!$P$166:$P$242),0)</f>
        <v>187366.42707800996</v>
      </c>
      <c r="AE3800" s="197">
        <f t="shared" ca="1" si="836"/>
        <v>239003.80217434207</v>
      </c>
      <c r="AF3800" s="196">
        <f>IFERROR(G3800/SUMIF(A:A,A3800,G:G)*SUMIF(Summary!$A$166:$A$242,'Operations Support'!A3800,Summary!$Q$166:$Q$242),0)</f>
        <v>187495.67472823532</v>
      </c>
      <c r="AG3800" s="196">
        <f t="shared" ca="1" si="837"/>
        <v>238874.55452411671</v>
      </c>
      <c r="AI3800" s="196">
        <f>IFERROR($G3800/SUMIF($A:$A,$A3800,$G:$G)*SUMIF(Summary!$A$247:$A$283,$A3800,Summary!$P$247:$P$283),0)</f>
        <v>34170.96062196092</v>
      </c>
      <c r="AJ3800" s="196">
        <f>IFERROR($G3800/SUMIF($A:$A,$A3800,$G:$G)*(SUMIF(Summary!$A$247:$A$283,$A3800,Summary!$L$247:$L$283)+SUMIF(Summary!$A$297:$A$333,$A3800,Summary!$L$297:$L$333))-AI3800,0)</f>
        <v>147260.79003019596</v>
      </c>
      <c r="AK3800" s="196">
        <f>IFERROR($G3800/SUMIF($A:$A,$A3800,$G:$G)*SUMIF(Summary!$A$247:$A$283,$A3800,Summary!$Q$247:$Q$283),0)</f>
        <v>34194.532168022866</v>
      </c>
      <c r="AL3800" s="196">
        <f>IFERROR($G3800/SUMIF($A:$A,$A3800,$G:$G)*(SUMIF(Summary!$A$247:$A$283,$A3800,Summary!$L$247:$L$283)+SUMIF(Summary!$A$297:$A$333,$A3800,Summary!$L$297:$L$333))-AK3800,0)</f>
        <v>147237.21848413401</v>
      </c>
      <c r="AM3800" s="198"/>
      <c r="AN3800" s="196">
        <f t="shared" ca="1" si="838"/>
        <v>386264.59220453806</v>
      </c>
      <c r="AO3800" s="196">
        <f t="shared" ca="1" si="839"/>
        <v>386111.77300825075</v>
      </c>
    </row>
    <row r="3801" spans="1:41">
      <c r="A3801" s="189">
        <v>42485</v>
      </c>
      <c r="B3801" s="190">
        <v>1</v>
      </c>
      <c r="C3801" s="191" t="s">
        <v>236</v>
      </c>
      <c r="D3801" s="192">
        <f t="shared" si="826"/>
        <v>0</v>
      </c>
      <c r="E3801" s="192">
        <f t="shared" si="827"/>
        <v>0</v>
      </c>
      <c r="F3801" s="192">
        <f t="shared" si="828"/>
        <v>0</v>
      </c>
      <c r="G3801" s="193">
        <f t="shared" si="829"/>
        <v>0</v>
      </c>
      <c r="H3801" s="194">
        <v>0</v>
      </c>
      <c r="I3801" s="194">
        <v>0</v>
      </c>
      <c r="J3801" s="194">
        <v>0</v>
      </c>
      <c r="K3801" s="193">
        <f t="shared" si="830"/>
        <v>0</v>
      </c>
      <c r="L3801" s="194">
        <v>0</v>
      </c>
      <c r="M3801" s="194">
        <v>0</v>
      </c>
      <c r="N3801" s="194">
        <v>0</v>
      </c>
      <c r="O3801" s="193">
        <f t="shared" si="831"/>
        <v>0</v>
      </c>
      <c r="P3801" s="194">
        <v>0</v>
      </c>
      <c r="Q3801" s="194">
        <v>0</v>
      </c>
      <c r="R3801" s="194">
        <v>0</v>
      </c>
      <c r="S3801" s="193">
        <f t="shared" si="832"/>
        <v>0</v>
      </c>
      <c r="T3801" s="193">
        <f t="shared" si="833"/>
        <v>0</v>
      </c>
      <c r="U3801" s="193">
        <f ca="1">OFFSET('Expenditure Study'!$B$7,'Operations Support'!$C3801,'Operations Support'!$B3801)*$G3801</f>
        <v>0</v>
      </c>
      <c r="V3801" s="199">
        <f ca="1">U3801*'Expenditure Study'!$B$31</f>
        <v>0</v>
      </c>
      <c r="W3801" s="199">
        <f ca="1">IF(A3801=10298,1.51,1)*IF($B3801&lt;3,$D3801*'Expenditure Study'!$B$32*OFFSET('Expenditure Study'!$B$7,'Operations Support'!$C3801,'Operations Support'!$B3801),0)</f>
        <v>0</v>
      </c>
      <c r="X3801" s="200">
        <f ca="1">W3801*'Expenditure Study'!$B$31</f>
        <v>0</v>
      </c>
      <c r="Y3801" s="199">
        <f ca="1">U3801*'Expenditure Study'!$B$31</f>
        <v>0</v>
      </c>
      <c r="Z3801" s="200">
        <f ca="1">W3801*'Expenditure Study'!$B$31</f>
        <v>0</v>
      </c>
      <c r="AA3801" s="195">
        <f t="shared" ca="1" si="834"/>
        <v>0</v>
      </c>
      <c r="AB3801" s="195">
        <f t="shared" ca="1" si="835"/>
        <v>0</v>
      </c>
      <c r="AD3801" s="196">
        <f>IFERROR($G3801/SUMIF($A:$A,$A3801,$G:$G)*SUMIF(Summary!$A$166:$A$242,$A3801,Summary!$P$166:$P$242),0)</f>
        <v>0</v>
      </c>
      <c r="AE3801" s="197">
        <f t="shared" ca="1" si="836"/>
        <v>0</v>
      </c>
      <c r="AF3801" s="196">
        <f>IFERROR(G3801/SUMIF(A:A,A3801,G:G)*SUMIF(Summary!$A$166:$A$242,'Operations Support'!A3801,Summary!$Q$166:$Q$242),0)</f>
        <v>0</v>
      </c>
      <c r="AG3801" s="196">
        <f t="shared" ca="1" si="837"/>
        <v>0</v>
      </c>
      <c r="AI3801" s="196">
        <f>IFERROR($G3801/SUMIF($A:$A,$A3801,$G:$G)*SUMIF(Summary!$A$247:$A$283,$A3801,Summary!$P$247:$P$283),0)</f>
        <v>0</v>
      </c>
      <c r="AJ3801" s="196">
        <f>IFERROR($G3801/SUMIF($A:$A,$A3801,$G:$G)*(SUMIF(Summary!$A$247:$A$283,$A3801,Summary!$L$247:$L$283)+SUMIF(Summary!$A$297:$A$333,$A3801,Summary!$L$297:$L$333))-AI3801,0)</f>
        <v>0</v>
      </c>
      <c r="AK3801" s="196">
        <f>IFERROR($G3801/SUMIF($A:$A,$A3801,$G:$G)*SUMIF(Summary!$A$247:$A$283,$A3801,Summary!$Q$247:$Q$283),0)</f>
        <v>0</v>
      </c>
      <c r="AL3801" s="196">
        <f>IFERROR($G3801/SUMIF($A:$A,$A3801,$G:$G)*(SUMIF(Summary!$A$247:$A$283,$A3801,Summary!$L$247:$L$283)+SUMIF(Summary!$A$297:$A$333,$A3801,Summary!$L$297:$L$333))-AK3801,0)</f>
        <v>0</v>
      </c>
      <c r="AM3801" s="198"/>
      <c r="AN3801" s="196">
        <f t="shared" ca="1" si="838"/>
        <v>0</v>
      </c>
      <c r="AO3801" s="196">
        <f t="shared" ca="1" si="839"/>
        <v>0</v>
      </c>
    </row>
    <row r="3802" spans="1:41">
      <c r="A3802" s="189">
        <v>42485</v>
      </c>
      <c r="B3802" s="190">
        <v>1</v>
      </c>
      <c r="C3802" s="191" t="s">
        <v>237</v>
      </c>
      <c r="D3802" s="192">
        <f t="shared" si="826"/>
        <v>0</v>
      </c>
      <c r="E3802" s="192">
        <f t="shared" si="827"/>
        <v>0</v>
      </c>
      <c r="F3802" s="192">
        <f t="shared" si="828"/>
        <v>0</v>
      </c>
      <c r="G3802" s="193">
        <f t="shared" si="829"/>
        <v>0</v>
      </c>
      <c r="H3802" s="194">
        <v>0</v>
      </c>
      <c r="I3802" s="194">
        <v>0</v>
      </c>
      <c r="J3802" s="194">
        <v>0</v>
      </c>
      <c r="K3802" s="193">
        <f t="shared" si="830"/>
        <v>0</v>
      </c>
      <c r="L3802" s="194">
        <v>0</v>
      </c>
      <c r="M3802" s="194">
        <v>0</v>
      </c>
      <c r="N3802" s="194">
        <v>0</v>
      </c>
      <c r="O3802" s="193">
        <f t="shared" si="831"/>
        <v>0</v>
      </c>
      <c r="P3802" s="194">
        <v>0</v>
      </c>
      <c r="Q3802" s="194">
        <v>0</v>
      </c>
      <c r="R3802" s="194">
        <v>0</v>
      </c>
      <c r="S3802" s="193">
        <f t="shared" si="832"/>
        <v>0</v>
      </c>
      <c r="T3802" s="193">
        <f t="shared" si="833"/>
        <v>0</v>
      </c>
      <c r="U3802" s="193">
        <f ca="1">OFFSET('Expenditure Study'!$B$7,'Operations Support'!$C3802,'Operations Support'!$B3802)*$G3802</f>
        <v>0</v>
      </c>
      <c r="V3802" s="199">
        <f ca="1">U3802*'Expenditure Study'!$B$31</f>
        <v>0</v>
      </c>
      <c r="W3802" s="199">
        <f ca="1">IF(A3802=10298,1.51,1)*IF($B3802&lt;3,$D3802*'Expenditure Study'!$B$32*OFFSET('Expenditure Study'!$B$7,'Operations Support'!$C3802,'Operations Support'!$B3802),0)</f>
        <v>0</v>
      </c>
      <c r="X3802" s="200">
        <f ca="1">W3802*'Expenditure Study'!$B$31</f>
        <v>0</v>
      </c>
      <c r="Y3802" s="199">
        <f ca="1">U3802*'Expenditure Study'!$B$31</f>
        <v>0</v>
      </c>
      <c r="Z3802" s="200">
        <f ca="1">W3802*'Expenditure Study'!$B$31</f>
        <v>0</v>
      </c>
      <c r="AA3802" s="195">
        <f t="shared" ca="1" si="834"/>
        <v>0</v>
      </c>
      <c r="AB3802" s="195">
        <f t="shared" ca="1" si="835"/>
        <v>0</v>
      </c>
      <c r="AD3802" s="196">
        <f>IFERROR($G3802/SUMIF($A:$A,$A3802,$G:$G)*SUMIF(Summary!$A$166:$A$242,$A3802,Summary!$P$166:$P$242),0)</f>
        <v>0</v>
      </c>
      <c r="AE3802" s="197">
        <f t="shared" ca="1" si="836"/>
        <v>0</v>
      </c>
      <c r="AF3802" s="196">
        <f>IFERROR(G3802/SUMIF(A:A,A3802,G:G)*SUMIF(Summary!$A$166:$A$242,'Operations Support'!A3802,Summary!$Q$166:$Q$242),0)</f>
        <v>0</v>
      </c>
      <c r="AG3802" s="196">
        <f t="shared" ca="1" si="837"/>
        <v>0</v>
      </c>
      <c r="AI3802" s="196">
        <f>IFERROR($G3802/SUMIF($A:$A,$A3802,$G:$G)*SUMIF(Summary!$A$247:$A$283,$A3802,Summary!$P$247:$P$283),0)</f>
        <v>0</v>
      </c>
      <c r="AJ3802" s="196">
        <f>IFERROR($G3802/SUMIF($A:$A,$A3802,$G:$G)*(SUMIF(Summary!$A$247:$A$283,$A3802,Summary!$L$247:$L$283)+SUMIF(Summary!$A$297:$A$333,$A3802,Summary!$L$297:$L$333))-AI3802,0)</f>
        <v>0</v>
      </c>
      <c r="AK3802" s="196">
        <f>IFERROR($G3802/SUMIF($A:$A,$A3802,$G:$G)*SUMIF(Summary!$A$247:$A$283,$A3802,Summary!$Q$247:$Q$283),0)</f>
        <v>0</v>
      </c>
      <c r="AL3802" s="196">
        <f>IFERROR($G3802/SUMIF($A:$A,$A3802,$G:$G)*(SUMIF(Summary!$A$247:$A$283,$A3802,Summary!$L$247:$L$283)+SUMIF(Summary!$A$297:$A$333,$A3802,Summary!$L$297:$L$333))-AK3802,0)</f>
        <v>0</v>
      </c>
      <c r="AM3802" s="198"/>
      <c r="AN3802" s="196">
        <f t="shared" ca="1" si="838"/>
        <v>0</v>
      </c>
      <c r="AO3802" s="196">
        <f t="shared" ca="1" si="839"/>
        <v>0</v>
      </c>
    </row>
    <row r="3803" spans="1:41">
      <c r="A3803" s="189">
        <v>42485</v>
      </c>
      <c r="B3803" s="190">
        <v>1</v>
      </c>
      <c r="C3803" s="191" t="s">
        <v>238</v>
      </c>
      <c r="D3803" s="192">
        <f t="shared" si="826"/>
        <v>0</v>
      </c>
      <c r="E3803" s="192">
        <f t="shared" si="827"/>
        <v>81</v>
      </c>
      <c r="F3803" s="192">
        <f t="shared" si="828"/>
        <v>0</v>
      </c>
      <c r="G3803" s="193">
        <f t="shared" si="829"/>
        <v>81</v>
      </c>
      <c r="H3803" s="194">
        <v>0</v>
      </c>
      <c r="I3803" s="194">
        <v>39</v>
      </c>
      <c r="J3803" s="194">
        <v>0</v>
      </c>
      <c r="K3803" s="193">
        <f t="shared" si="830"/>
        <v>39</v>
      </c>
      <c r="L3803" s="194">
        <v>0</v>
      </c>
      <c r="M3803" s="194">
        <v>24</v>
      </c>
      <c r="N3803" s="194">
        <v>0</v>
      </c>
      <c r="O3803" s="193">
        <f t="shared" si="831"/>
        <v>24</v>
      </c>
      <c r="P3803" s="194">
        <v>0</v>
      </c>
      <c r="Q3803" s="194">
        <v>18</v>
      </c>
      <c r="R3803" s="194">
        <v>0</v>
      </c>
      <c r="S3803" s="193">
        <f t="shared" si="832"/>
        <v>18</v>
      </c>
      <c r="T3803" s="193">
        <f t="shared" si="833"/>
        <v>2.7</v>
      </c>
      <c r="U3803" s="193">
        <f ca="1">OFFSET('Expenditure Study'!$B$7,'Operations Support'!$C3803,'Operations Support'!$B3803)*$G3803</f>
        <v>144.18</v>
      </c>
      <c r="V3803" s="199">
        <f ca="1">U3803*'Expenditure Study'!$B$31</f>
        <v>8518.6130077440012</v>
      </c>
      <c r="W3803" s="199">
        <f ca="1">IF(A3803=10298,1.51,1)*IF($B3803&lt;3,$D3803*'Expenditure Study'!$B$32*OFFSET('Expenditure Study'!$B$7,'Operations Support'!$C3803,'Operations Support'!$B3803),0)</f>
        <v>0</v>
      </c>
      <c r="X3803" s="200">
        <f ca="1">W3803*'Expenditure Study'!$B$31</f>
        <v>0</v>
      </c>
      <c r="Y3803" s="199">
        <f ca="1">U3803*'Expenditure Study'!$B$31</f>
        <v>8518.6130077440012</v>
      </c>
      <c r="Z3803" s="200">
        <f ca="1">W3803*'Expenditure Study'!$B$31</f>
        <v>0</v>
      </c>
      <c r="AA3803" s="195">
        <f t="shared" ca="1" si="834"/>
        <v>8518.6130077440012</v>
      </c>
      <c r="AB3803" s="195">
        <f t="shared" ca="1" si="835"/>
        <v>8518.6130077440012</v>
      </c>
      <c r="AD3803" s="196">
        <f>IFERROR($G3803/SUMIF($A:$A,$A3803,$G:$G)*SUMIF(Summary!$A$166:$A$242,$A3803,Summary!$P$166:$P$242),0)</f>
        <v>2333.4379756025223</v>
      </c>
      <c r="AE3803" s="197">
        <f t="shared" ca="1" si="836"/>
        <v>6185.1750321414784</v>
      </c>
      <c r="AF3803" s="196">
        <f>IFERROR(G3803/SUMIF(A:A,A3803,G:G)*SUMIF(Summary!$A$166:$A$242,'Operations Support'!A3803,Summary!$Q$166:$Q$242),0)</f>
        <v>2335.0476096228567</v>
      </c>
      <c r="AG3803" s="196">
        <f t="shared" ca="1" si="837"/>
        <v>6183.5653981211444</v>
      </c>
      <c r="AI3803" s="196">
        <f>IFERROR($G3803/SUMIF($A:$A,$A3803,$G:$G)*SUMIF(Summary!$A$247:$A$283,$A3803,Summary!$P$247:$P$283),0)</f>
        <v>425.56085645431034</v>
      </c>
      <c r="AJ3803" s="196">
        <f>IFERROR($G3803/SUMIF($A:$A,$A3803,$G:$G)*(SUMIF(Summary!$A$247:$A$283,$A3803,Summary!$L$247:$L$283)+SUMIF(Summary!$A$297:$A$333,$A3803,Summary!$L$297:$L$333))-AI3803,0)</f>
        <v>1833.9674035125877</v>
      </c>
      <c r="AK3803" s="196">
        <f>IFERROR($G3803/SUMIF($A:$A,$A3803,$G:$G)*SUMIF(Summary!$A$247:$A$283,$A3803,Summary!$Q$247:$Q$283),0)</f>
        <v>425.8544135316501</v>
      </c>
      <c r="AL3803" s="196">
        <f>IFERROR($G3803/SUMIF($A:$A,$A3803,$G:$G)*(SUMIF(Summary!$A$247:$A$283,$A3803,Summary!$L$247:$L$283)+SUMIF(Summary!$A$297:$A$333,$A3803,Summary!$L$297:$L$333))-AK3803,0)</f>
        <v>1833.6738464352479</v>
      </c>
      <c r="AM3803" s="198"/>
      <c r="AN3803" s="196">
        <f t="shared" ca="1" si="838"/>
        <v>8019.1424356540665</v>
      </c>
      <c r="AO3803" s="196">
        <f t="shared" ca="1" si="839"/>
        <v>8017.2392445563928</v>
      </c>
    </row>
    <row r="3804" spans="1:41">
      <c r="A3804" s="189">
        <v>42485</v>
      </c>
      <c r="B3804" s="190">
        <v>1</v>
      </c>
      <c r="C3804" s="191" t="s">
        <v>239</v>
      </c>
      <c r="D3804" s="192">
        <f t="shared" si="826"/>
        <v>0</v>
      </c>
      <c r="E3804" s="192">
        <f t="shared" si="827"/>
        <v>0</v>
      </c>
      <c r="F3804" s="192">
        <f t="shared" si="828"/>
        <v>0</v>
      </c>
      <c r="G3804" s="193">
        <f t="shared" si="829"/>
        <v>0</v>
      </c>
      <c r="H3804" s="194">
        <v>0</v>
      </c>
      <c r="I3804" s="194">
        <v>0</v>
      </c>
      <c r="J3804" s="194">
        <v>0</v>
      </c>
      <c r="K3804" s="193">
        <f t="shared" si="830"/>
        <v>0</v>
      </c>
      <c r="L3804" s="194">
        <v>0</v>
      </c>
      <c r="M3804" s="194">
        <v>0</v>
      </c>
      <c r="N3804" s="194">
        <v>0</v>
      </c>
      <c r="O3804" s="193">
        <f t="shared" si="831"/>
        <v>0</v>
      </c>
      <c r="P3804" s="194">
        <v>0</v>
      </c>
      <c r="Q3804" s="194">
        <v>0</v>
      </c>
      <c r="R3804" s="194">
        <v>0</v>
      </c>
      <c r="S3804" s="193">
        <f t="shared" si="832"/>
        <v>0</v>
      </c>
      <c r="T3804" s="193">
        <f t="shared" si="833"/>
        <v>0</v>
      </c>
      <c r="U3804" s="193">
        <f ca="1">OFFSET('Expenditure Study'!$B$7,'Operations Support'!$C3804,'Operations Support'!$B3804)*$G3804</f>
        <v>0</v>
      </c>
      <c r="V3804" s="199">
        <f ca="1">U3804*'Expenditure Study'!$B$31</f>
        <v>0</v>
      </c>
      <c r="W3804" s="199">
        <f ca="1">IF(A3804=10298,1.51,1)*IF($B3804&lt;3,$D3804*'Expenditure Study'!$B$32*OFFSET('Expenditure Study'!$B$7,'Operations Support'!$C3804,'Operations Support'!$B3804),0)</f>
        <v>0</v>
      </c>
      <c r="X3804" s="200">
        <f ca="1">W3804*'Expenditure Study'!$B$31</f>
        <v>0</v>
      </c>
      <c r="Y3804" s="199">
        <f ca="1">U3804*'Expenditure Study'!$B$31</f>
        <v>0</v>
      </c>
      <c r="Z3804" s="200">
        <f ca="1">W3804*'Expenditure Study'!$B$31</f>
        <v>0</v>
      </c>
      <c r="AA3804" s="195">
        <f t="shared" ca="1" si="834"/>
        <v>0</v>
      </c>
      <c r="AB3804" s="195">
        <f t="shared" ca="1" si="835"/>
        <v>0</v>
      </c>
      <c r="AD3804" s="196">
        <f>IFERROR($G3804/SUMIF($A:$A,$A3804,$G:$G)*SUMIF(Summary!$A$166:$A$242,$A3804,Summary!$P$166:$P$242),0)</f>
        <v>0</v>
      </c>
      <c r="AE3804" s="197">
        <f t="shared" ca="1" si="836"/>
        <v>0</v>
      </c>
      <c r="AF3804" s="196">
        <f>IFERROR(G3804/SUMIF(A:A,A3804,G:G)*SUMIF(Summary!$A$166:$A$242,'Operations Support'!A3804,Summary!$Q$166:$Q$242),0)</f>
        <v>0</v>
      </c>
      <c r="AG3804" s="196">
        <f t="shared" ca="1" si="837"/>
        <v>0</v>
      </c>
      <c r="AI3804" s="196">
        <f>IFERROR($G3804/SUMIF($A:$A,$A3804,$G:$G)*SUMIF(Summary!$A$247:$A$283,$A3804,Summary!$P$247:$P$283),0)</f>
        <v>0</v>
      </c>
      <c r="AJ3804" s="196">
        <f>IFERROR($G3804/SUMIF($A:$A,$A3804,$G:$G)*(SUMIF(Summary!$A$247:$A$283,$A3804,Summary!$L$247:$L$283)+SUMIF(Summary!$A$297:$A$333,$A3804,Summary!$L$297:$L$333))-AI3804,0)</f>
        <v>0</v>
      </c>
      <c r="AK3804" s="196">
        <f>IFERROR($G3804/SUMIF($A:$A,$A3804,$G:$G)*SUMIF(Summary!$A$247:$A$283,$A3804,Summary!$Q$247:$Q$283),0)</f>
        <v>0</v>
      </c>
      <c r="AL3804" s="196">
        <f>IFERROR($G3804/SUMIF($A:$A,$A3804,$G:$G)*(SUMIF(Summary!$A$247:$A$283,$A3804,Summary!$L$247:$L$283)+SUMIF(Summary!$A$297:$A$333,$A3804,Summary!$L$297:$L$333))-AK3804,0)</f>
        <v>0</v>
      </c>
      <c r="AM3804" s="198"/>
      <c r="AN3804" s="196">
        <f t="shared" ca="1" si="838"/>
        <v>0</v>
      </c>
      <c r="AO3804" s="196">
        <f t="shared" ca="1" si="839"/>
        <v>0</v>
      </c>
    </row>
    <row r="3805" spans="1:41">
      <c r="A3805" s="189">
        <v>42485</v>
      </c>
      <c r="B3805" s="190">
        <v>1</v>
      </c>
      <c r="C3805" s="191" t="s">
        <v>240</v>
      </c>
      <c r="D3805" s="192">
        <f t="shared" si="826"/>
        <v>0</v>
      </c>
      <c r="E3805" s="192">
        <f t="shared" si="827"/>
        <v>0</v>
      </c>
      <c r="F3805" s="192">
        <f t="shared" si="828"/>
        <v>0</v>
      </c>
      <c r="G3805" s="193">
        <f t="shared" si="829"/>
        <v>0</v>
      </c>
      <c r="H3805" s="194">
        <v>0</v>
      </c>
      <c r="I3805" s="194">
        <v>0</v>
      </c>
      <c r="J3805" s="194">
        <v>0</v>
      </c>
      <c r="K3805" s="193">
        <f t="shared" si="830"/>
        <v>0</v>
      </c>
      <c r="L3805" s="194">
        <v>0</v>
      </c>
      <c r="M3805" s="194">
        <v>0</v>
      </c>
      <c r="N3805" s="194">
        <v>0</v>
      </c>
      <c r="O3805" s="193">
        <f t="shared" si="831"/>
        <v>0</v>
      </c>
      <c r="P3805" s="194">
        <v>0</v>
      </c>
      <c r="Q3805" s="194">
        <v>0</v>
      </c>
      <c r="R3805" s="194">
        <v>0</v>
      </c>
      <c r="S3805" s="193">
        <f t="shared" si="832"/>
        <v>0</v>
      </c>
      <c r="T3805" s="193">
        <f t="shared" si="833"/>
        <v>0</v>
      </c>
      <c r="U3805" s="193">
        <f ca="1">OFFSET('Expenditure Study'!$B$7,'Operations Support'!$C3805,'Operations Support'!$B3805)*$G3805</f>
        <v>0</v>
      </c>
      <c r="V3805" s="199">
        <f ca="1">U3805*'Expenditure Study'!$B$31</f>
        <v>0</v>
      </c>
      <c r="W3805" s="199">
        <f ca="1">IF(A3805=10298,1.51,1)*IF($B3805&lt;3,$D3805*'Expenditure Study'!$B$32*OFFSET('Expenditure Study'!$B$7,'Operations Support'!$C3805,'Operations Support'!$B3805),0)</f>
        <v>0</v>
      </c>
      <c r="X3805" s="200">
        <f ca="1">W3805*'Expenditure Study'!$B$31</f>
        <v>0</v>
      </c>
      <c r="Y3805" s="199">
        <f ca="1">U3805*'Expenditure Study'!$B$31</f>
        <v>0</v>
      </c>
      <c r="Z3805" s="200">
        <f ca="1">W3805*'Expenditure Study'!$B$31</f>
        <v>0</v>
      </c>
      <c r="AA3805" s="195">
        <f t="shared" ca="1" si="834"/>
        <v>0</v>
      </c>
      <c r="AB3805" s="195">
        <f t="shared" ca="1" si="835"/>
        <v>0</v>
      </c>
      <c r="AD3805" s="196">
        <f>IFERROR($G3805/SUMIF($A:$A,$A3805,$G:$G)*SUMIF(Summary!$A$166:$A$242,$A3805,Summary!$P$166:$P$242),0)</f>
        <v>0</v>
      </c>
      <c r="AE3805" s="197">
        <f t="shared" ca="1" si="836"/>
        <v>0</v>
      </c>
      <c r="AF3805" s="196">
        <f>IFERROR(G3805/SUMIF(A:A,A3805,G:G)*SUMIF(Summary!$A$166:$A$242,'Operations Support'!A3805,Summary!$Q$166:$Q$242),0)</f>
        <v>0</v>
      </c>
      <c r="AG3805" s="196">
        <f t="shared" ca="1" si="837"/>
        <v>0</v>
      </c>
      <c r="AI3805" s="196">
        <f>IFERROR($G3805/SUMIF($A:$A,$A3805,$G:$G)*SUMIF(Summary!$A$247:$A$283,$A3805,Summary!$P$247:$P$283),0)</f>
        <v>0</v>
      </c>
      <c r="AJ3805" s="196">
        <f>IFERROR($G3805/SUMIF($A:$A,$A3805,$G:$G)*(SUMIF(Summary!$A$247:$A$283,$A3805,Summary!$L$247:$L$283)+SUMIF(Summary!$A$297:$A$333,$A3805,Summary!$L$297:$L$333))-AI3805,0)</f>
        <v>0</v>
      </c>
      <c r="AK3805" s="196">
        <f>IFERROR($G3805/SUMIF($A:$A,$A3805,$G:$G)*SUMIF(Summary!$A$247:$A$283,$A3805,Summary!$Q$247:$Q$283),0)</f>
        <v>0</v>
      </c>
      <c r="AL3805" s="196">
        <f>IFERROR($G3805/SUMIF($A:$A,$A3805,$G:$G)*(SUMIF(Summary!$A$247:$A$283,$A3805,Summary!$L$247:$L$283)+SUMIF(Summary!$A$297:$A$333,$A3805,Summary!$L$297:$L$333))-AK3805,0)</f>
        <v>0</v>
      </c>
      <c r="AM3805" s="198"/>
      <c r="AN3805" s="196">
        <f t="shared" ca="1" si="838"/>
        <v>0</v>
      </c>
      <c r="AO3805" s="196">
        <f t="shared" ca="1" si="839"/>
        <v>0</v>
      </c>
    </row>
    <row r="3806" spans="1:41">
      <c r="A3806" s="189">
        <v>42485</v>
      </c>
      <c r="B3806" s="190">
        <v>2</v>
      </c>
      <c r="C3806" s="191" t="s">
        <v>220</v>
      </c>
      <c r="D3806" s="192">
        <f t="shared" si="826"/>
        <v>9445</v>
      </c>
      <c r="E3806" s="192">
        <f t="shared" si="827"/>
        <v>11425</v>
      </c>
      <c r="F3806" s="192">
        <f t="shared" si="828"/>
        <v>0</v>
      </c>
      <c r="G3806" s="193">
        <f t="shared" si="829"/>
        <v>20870</v>
      </c>
      <c r="H3806" s="194">
        <v>3557</v>
      </c>
      <c r="I3806" s="194">
        <v>5438</v>
      </c>
      <c r="J3806" s="194">
        <v>0</v>
      </c>
      <c r="K3806" s="193">
        <f t="shared" si="830"/>
        <v>8995</v>
      </c>
      <c r="L3806" s="194">
        <v>4054</v>
      </c>
      <c r="M3806" s="194">
        <v>4810</v>
      </c>
      <c r="N3806" s="194">
        <v>0</v>
      </c>
      <c r="O3806" s="193">
        <f t="shared" si="831"/>
        <v>8864</v>
      </c>
      <c r="P3806" s="194">
        <v>1834</v>
      </c>
      <c r="Q3806" s="194">
        <v>1177</v>
      </c>
      <c r="R3806" s="194">
        <v>0</v>
      </c>
      <c r="S3806" s="193">
        <f t="shared" si="832"/>
        <v>3011</v>
      </c>
      <c r="T3806" s="193">
        <f t="shared" si="833"/>
        <v>695.66666666666663</v>
      </c>
      <c r="U3806" s="193">
        <f ca="1">OFFSET('Expenditure Study'!$B$7,'Operations Support'!$C3806,'Operations Support'!$B3806)*$G3806</f>
        <v>38400.800000000003</v>
      </c>
      <c r="V3806" s="199">
        <f ca="1">U3806*'Expenditure Study'!$B$31</f>
        <v>2268841.4092646404</v>
      </c>
      <c r="W3806" s="199">
        <f ca="1">IF(A3806=10298,1.51,1)*IF($B3806&lt;3,$D3806*'Expenditure Study'!$B$32*OFFSET('Expenditure Study'!$B$7,'Operations Support'!$C3806,'Operations Support'!$B3806),0)</f>
        <v>1737.88</v>
      </c>
      <c r="X3806" s="200">
        <f ca="1">W3806*'Expenditure Study'!$B$31</f>
        <v>102679.47824870401</v>
      </c>
      <c r="Y3806" s="199">
        <f ca="1">U3806*'Expenditure Study'!$B$31</f>
        <v>2268841.4092646404</v>
      </c>
      <c r="Z3806" s="200">
        <f ca="1">W3806*'Expenditure Study'!$B$31</f>
        <v>102679.47824870401</v>
      </c>
      <c r="AA3806" s="195">
        <f t="shared" ca="1" si="834"/>
        <v>2371520.8875133446</v>
      </c>
      <c r="AB3806" s="195">
        <f t="shared" ca="1" si="835"/>
        <v>2371520.8875133446</v>
      </c>
      <c r="AD3806" s="196">
        <f>IFERROR($G3806/SUMIF($A:$A,$A3806,$G:$G)*SUMIF(Summary!$A$166:$A$242,$A3806,Summary!$P$166:$P$242),0)</f>
        <v>601220.37717067474</v>
      </c>
      <c r="AE3806" s="197">
        <f t="shared" ca="1" si="836"/>
        <v>1770300.5103426699</v>
      </c>
      <c r="AF3806" s="196">
        <f>IFERROR(G3806/SUMIF(A:A,A3806,G:G)*SUMIF(Summary!$A$166:$A$242,'Operations Support'!A3806,Summary!$Q$166:$Q$242),0)</f>
        <v>601635.10633122257</v>
      </c>
      <c r="AG3806" s="196">
        <f t="shared" ca="1" si="837"/>
        <v>1769885.781182122</v>
      </c>
      <c r="AI3806" s="196">
        <f>IFERROR($G3806/SUMIF($A:$A,$A3806,$G:$G)*SUMIF(Summary!$A$247:$A$283,$A3806,Summary!$P$247:$P$283),0)</f>
        <v>109647.59350865998</v>
      </c>
      <c r="AJ3806" s="196">
        <f>IFERROR($G3806/SUMIF($A:$A,$A3806,$G:$G)*(SUMIF(Summary!$A$247:$A$283,$A3806,Summary!$L$247:$L$283)+SUMIF(Summary!$A$297:$A$333,$A3806,Summary!$L$297:$L$333))-AI3806,0)</f>
        <v>472529.62606552732</v>
      </c>
      <c r="AK3806" s="196">
        <f>IFERROR($G3806/SUMIF($A:$A,$A3806,$G:$G)*SUMIF(Summary!$A$247:$A$283,$A3806,Summary!$Q$247:$Q$283),0)</f>
        <v>109723.22975809308</v>
      </c>
      <c r="AL3806" s="196">
        <f>IFERROR($G3806/SUMIF($A:$A,$A3806,$G:$G)*(SUMIF(Summary!$A$247:$A$283,$A3806,Summary!$L$247:$L$283)+SUMIF(Summary!$A$297:$A$333,$A3806,Summary!$L$297:$L$333))-AK3806,0)</f>
        <v>472453.98981609422</v>
      </c>
      <c r="AM3806" s="198"/>
      <c r="AN3806" s="196">
        <f t="shared" ca="1" si="838"/>
        <v>2242830.1364081972</v>
      </c>
      <c r="AO3806" s="196">
        <f t="shared" ca="1" si="839"/>
        <v>2242339.7709982162</v>
      </c>
    </row>
    <row r="3807" spans="1:41">
      <c r="A3807" s="189">
        <v>42485</v>
      </c>
      <c r="B3807" s="190">
        <v>2</v>
      </c>
      <c r="C3807" s="191" t="s">
        <v>221</v>
      </c>
      <c r="D3807" s="192">
        <f t="shared" si="826"/>
        <v>3230</v>
      </c>
      <c r="E3807" s="192">
        <f t="shared" si="827"/>
        <v>1665</v>
      </c>
      <c r="F3807" s="192">
        <f t="shared" si="828"/>
        <v>0</v>
      </c>
      <c r="G3807" s="193">
        <f t="shared" si="829"/>
        <v>4895</v>
      </c>
      <c r="H3807" s="194">
        <v>1487</v>
      </c>
      <c r="I3807" s="194">
        <v>660</v>
      </c>
      <c r="J3807" s="194">
        <v>0</v>
      </c>
      <c r="K3807" s="193">
        <f t="shared" si="830"/>
        <v>2147</v>
      </c>
      <c r="L3807" s="194">
        <v>1380</v>
      </c>
      <c r="M3807" s="194">
        <v>828</v>
      </c>
      <c r="N3807" s="194">
        <v>0</v>
      </c>
      <c r="O3807" s="193">
        <f t="shared" si="831"/>
        <v>2208</v>
      </c>
      <c r="P3807" s="194">
        <v>363</v>
      </c>
      <c r="Q3807" s="194">
        <v>177</v>
      </c>
      <c r="R3807" s="194">
        <v>0</v>
      </c>
      <c r="S3807" s="193">
        <f t="shared" si="832"/>
        <v>540</v>
      </c>
      <c r="T3807" s="193">
        <f t="shared" si="833"/>
        <v>163.16666666666666</v>
      </c>
      <c r="U3807" s="193">
        <f ca="1">OFFSET('Expenditure Study'!$B$7,'Operations Support'!$C3807,'Operations Support'!$B3807)*$G3807</f>
        <v>12873.85</v>
      </c>
      <c r="V3807" s="199">
        <f ca="1">U3807*'Expenditure Study'!$B$31</f>
        <v>760628.00714207999</v>
      </c>
      <c r="W3807" s="199">
        <f ca="1">IF(A3807=10298,1.51,1)*IF($B3807&lt;3,$D3807*'Expenditure Study'!$B$32*OFFSET('Expenditure Study'!$B$7,'Operations Support'!$C3807,'Operations Support'!$B3807),0)</f>
        <v>849.49</v>
      </c>
      <c r="X3807" s="200">
        <f ca="1">W3807*'Expenditure Study'!$B$31</f>
        <v>50190.571257791999</v>
      </c>
      <c r="Y3807" s="199">
        <f ca="1">U3807*'Expenditure Study'!$B$31</f>
        <v>760628.00714207999</v>
      </c>
      <c r="Z3807" s="200">
        <f ca="1">W3807*'Expenditure Study'!$B$31</f>
        <v>50190.571257791999</v>
      </c>
      <c r="AA3807" s="195">
        <f t="shared" ca="1" si="834"/>
        <v>810818.57839987194</v>
      </c>
      <c r="AB3807" s="195">
        <f t="shared" ca="1" si="835"/>
        <v>810818.57839987194</v>
      </c>
      <c r="AD3807" s="196">
        <f>IFERROR($G3807/SUMIF($A:$A,$A3807,$G:$G)*SUMIF(Summary!$A$166:$A$242,$A3807,Summary!$P$166:$P$242),0)</f>
        <v>141014.55420462159</v>
      </c>
      <c r="AE3807" s="197">
        <f t="shared" ca="1" si="836"/>
        <v>669804.02419525036</v>
      </c>
      <c r="AF3807" s="196">
        <f>IFERROR(G3807/SUMIF(A:A,A3807,G:G)*SUMIF(Summary!$A$166:$A$242,'Operations Support'!A3807,Summary!$Q$166:$Q$242),0)</f>
        <v>141111.82776671462</v>
      </c>
      <c r="AG3807" s="196">
        <f t="shared" ca="1" si="837"/>
        <v>669706.75063315732</v>
      </c>
      <c r="AI3807" s="196">
        <f>IFERROR($G3807/SUMIF($A:$A,$A3807,$G:$G)*SUMIF(Summary!$A$247:$A$283,$A3807,Summary!$P$247:$P$283),0)</f>
        <v>25717.535707948758</v>
      </c>
      <c r="AJ3807" s="196">
        <f>IFERROR($G3807/SUMIF($A:$A,$A3807,$G:$G)*(SUMIF(Summary!$A$247:$A$283,$A3807,Summary!$L$247:$L$283)+SUMIF(Summary!$A$297:$A$333,$A3807,Summary!$L$297:$L$333))-AI3807,0)</f>
        <v>110830.49926165579</v>
      </c>
      <c r="AK3807" s="196">
        <f>IFERROR($G3807/SUMIF($A:$A,$A3807,$G:$G)*SUMIF(Summary!$A$247:$A$283,$A3807,Summary!$Q$247:$Q$283),0)</f>
        <v>25735.275978239843</v>
      </c>
      <c r="AL3807" s="196">
        <f>IFERROR($G3807/SUMIF($A:$A,$A3807,$G:$G)*(SUMIF(Summary!$A$247:$A$283,$A3807,Summary!$L$247:$L$283)+SUMIF(Summary!$A$297:$A$333,$A3807,Summary!$L$297:$L$333))-AK3807,0)</f>
        <v>110812.75899136471</v>
      </c>
      <c r="AM3807" s="198"/>
      <c r="AN3807" s="196">
        <f t="shared" ca="1" si="838"/>
        <v>780634.5234569062</v>
      </c>
      <c r="AO3807" s="196">
        <f t="shared" ca="1" si="839"/>
        <v>780519.50962452206</v>
      </c>
    </row>
    <row r="3808" spans="1:41">
      <c r="A3808" s="189">
        <v>42485</v>
      </c>
      <c r="B3808" s="190">
        <v>2</v>
      </c>
      <c r="C3808" s="191" t="s">
        <v>222</v>
      </c>
      <c r="D3808" s="192">
        <f t="shared" si="826"/>
        <v>0</v>
      </c>
      <c r="E3808" s="192">
        <f t="shared" si="827"/>
        <v>24</v>
      </c>
      <c r="F3808" s="192">
        <f t="shared" si="828"/>
        <v>0</v>
      </c>
      <c r="G3808" s="193">
        <f t="shared" si="829"/>
        <v>24</v>
      </c>
      <c r="H3808" s="194">
        <v>0</v>
      </c>
      <c r="I3808" s="194">
        <v>24</v>
      </c>
      <c r="J3808" s="194">
        <v>0</v>
      </c>
      <c r="K3808" s="193">
        <f t="shared" si="830"/>
        <v>24</v>
      </c>
      <c r="L3808" s="194">
        <v>0</v>
      </c>
      <c r="M3808" s="194">
        <v>0</v>
      </c>
      <c r="N3808" s="194">
        <v>0</v>
      </c>
      <c r="O3808" s="193">
        <f t="shared" si="831"/>
        <v>0</v>
      </c>
      <c r="P3808" s="194">
        <v>0</v>
      </c>
      <c r="Q3808" s="194">
        <v>0</v>
      </c>
      <c r="R3808" s="194">
        <v>0</v>
      </c>
      <c r="S3808" s="193">
        <f t="shared" si="832"/>
        <v>0</v>
      </c>
      <c r="T3808" s="193">
        <f t="shared" si="833"/>
        <v>0.8</v>
      </c>
      <c r="U3808" s="193">
        <f ca="1">OFFSET('Expenditure Study'!$B$7,'Operations Support'!$C3808,'Operations Support'!$B3808)*$G3808</f>
        <v>63.84</v>
      </c>
      <c r="V3808" s="199">
        <f ca="1">U3808*'Expenditure Study'!$B$31</f>
        <v>3771.8702622720002</v>
      </c>
      <c r="W3808" s="199">
        <f ca="1">IF(A3808=10298,1.51,1)*IF($B3808&lt;3,$D3808*'Expenditure Study'!$B$32*OFFSET('Expenditure Study'!$B$7,'Operations Support'!$C3808,'Operations Support'!$B3808),0)</f>
        <v>0</v>
      </c>
      <c r="X3808" s="200">
        <f ca="1">W3808*'Expenditure Study'!$B$31</f>
        <v>0</v>
      </c>
      <c r="Y3808" s="199">
        <f ca="1">U3808*'Expenditure Study'!$B$31</f>
        <v>3771.8702622720002</v>
      </c>
      <c r="Z3808" s="200">
        <f ca="1">W3808*'Expenditure Study'!$B$31</f>
        <v>0</v>
      </c>
      <c r="AA3808" s="195">
        <f t="shared" ca="1" si="834"/>
        <v>3771.8702622720002</v>
      </c>
      <c r="AB3808" s="195">
        <f t="shared" ca="1" si="835"/>
        <v>3771.8702622720002</v>
      </c>
      <c r="AD3808" s="196">
        <f>IFERROR($G3808/SUMIF($A:$A,$A3808,$G:$G)*SUMIF(Summary!$A$166:$A$242,$A3808,Summary!$P$166:$P$242),0)</f>
        <v>691.38902980815487</v>
      </c>
      <c r="AE3808" s="197">
        <f t="shared" ca="1" si="836"/>
        <v>3080.4812324638451</v>
      </c>
      <c r="AF3808" s="196">
        <f>IFERROR(G3808/SUMIF(A:A,A3808,G:G)*SUMIF(Summary!$A$166:$A$242,'Operations Support'!A3808,Summary!$Q$166:$Q$242),0)</f>
        <v>691.86595840677239</v>
      </c>
      <c r="AG3808" s="196">
        <f t="shared" ca="1" si="837"/>
        <v>3080.0043038652279</v>
      </c>
      <c r="AI3808" s="196">
        <f>IFERROR($G3808/SUMIF($A:$A,$A3808,$G:$G)*SUMIF(Summary!$A$247:$A$283,$A3808,Summary!$P$247:$P$283),0)</f>
        <v>126.09210561609197</v>
      </c>
      <c r="AJ3808" s="196">
        <f>IFERROR($G3808/SUMIF($A:$A,$A3808,$G:$G)*(SUMIF(Summary!$A$247:$A$283,$A3808,Summary!$L$247:$L$283)+SUMIF(Summary!$A$297:$A$333,$A3808,Summary!$L$297:$L$333))-AI3808,0)</f>
        <v>543.39774918891499</v>
      </c>
      <c r="AK3808" s="196">
        <f>IFERROR($G3808/SUMIF($A:$A,$A3808,$G:$G)*SUMIF(Summary!$A$247:$A$283,$A3808,Summary!$Q$247:$Q$283),0)</f>
        <v>126.17908549085929</v>
      </c>
      <c r="AL3808" s="196">
        <f>IFERROR($G3808/SUMIF($A:$A,$A3808,$G:$G)*(SUMIF(Summary!$A$247:$A$283,$A3808,Summary!$L$247:$L$283)+SUMIF(Summary!$A$297:$A$333,$A3808,Summary!$L$297:$L$333))-AK3808,0)</f>
        <v>543.31076931414771</v>
      </c>
      <c r="AM3808" s="198"/>
      <c r="AN3808" s="196">
        <f t="shared" ca="1" si="838"/>
        <v>3623.8789816527601</v>
      </c>
      <c r="AO3808" s="196">
        <f t="shared" ca="1" si="839"/>
        <v>3623.3150731793758</v>
      </c>
    </row>
    <row r="3809" spans="1:41">
      <c r="A3809" s="189">
        <v>42485</v>
      </c>
      <c r="B3809" s="190">
        <v>2</v>
      </c>
      <c r="C3809" s="191" t="s">
        <v>223</v>
      </c>
      <c r="D3809" s="192">
        <f t="shared" si="826"/>
        <v>6389</v>
      </c>
      <c r="E3809" s="192">
        <f t="shared" si="827"/>
        <v>9682</v>
      </c>
      <c r="F3809" s="192">
        <f t="shared" si="828"/>
        <v>0</v>
      </c>
      <c r="G3809" s="193">
        <f t="shared" si="829"/>
        <v>16071</v>
      </c>
      <c r="H3809" s="194">
        <v>2565</v>
      </c>
      <c r="I3809" s="194">
        <v>4079</v>
      </c>
      <c r="J3809" s="194">
        <v>0</v>
      </c>
      <c r="K3809" s="193">
        <f t="shared" si="830"/>
        <v>6644</v>
      </c>
      <c r="L3809" s="194">
        <v>2915</v>
      </c>
      <c r="M3809" s="194">
        <v>3973</v>
      </c>
      <c r="N3809" s="194">
        <v>0</v>
      </c>
      <c r="O3809" s="193">
        <f t="shared" si="831"/>
        <v>6888</v>
      </c>
      <c r="P3809" s="194">
        <v>909</v>
      </c>
      <c r="Q3809" s="194">
        <v>1630</v>
      </c>
      <c r="R3809" s="194">
        <v>0</v>
      </c>
      <c r="S3809" s="193">
        <f t="shared" si="832"/>
        <v>2539</v>
      </c>
      <c r="T3809" s="193">
        <f t="shared" si="833"/>
        <v>535.70000000000005</v>
      </c>
      <c r="U3809" s="193">
        <f ca="1">OFFSET('Expenditure Study'!$B$7,'Operations Support'!$C3809,'Operations Support'!$B3809)*$G3809</f>
        <v>30534.899999999998</v>
      </c>
      <c r="V3809" s="199">
        <f ca="1">U3809*'Expenditure Study'!$B$31</f>
        <v>1804099.01740992</v>
      </c>
      <c r="W3809" s="199">
        <f ca="1">IF(A3809=10298,1.51,1)*IF($B3809&lt;3,$D3809*'Expenditure Study'!$B$32*OFFSET('Expenditure Study'!$B$7,'Operations Support'!$C3809,'Operations Support'!$B3809),0)</f>
        <v>1213.9100000000001</v>
      </c>
      <c r="X3809" s="200">
        <f ca="1">W3809*'Expenditure Study'!$B$31</f>
        <v>71721.66400492801</v>
      </c>
      <c r="Y3809" s="199">
        <f ca="1">U3809*'Expenditure Study'!$B$31</f>
        <v>1804099.01740992</v>
      </c>
      <c r="Z3809" s="200">
        <f ca="1">W3809*'Expenditure Study'!$B$31</f>
        <v>71721.66400492801</v>
      </c>
      <c r="AA3809" s="195">
        <f t="shared" ca="1" si="834"/>
        <v>1875820.681414848</v>
      </c>
      <c r="AB3809" s="195">
        <f t="shared" ca="1" si="835"/>
        <v>1875820.681414848</v>
      </c>
      <c r="AD3809" s="196">
        <f>IFERROR($G3809/SUMIF($A:$A,$A3809,$G:$G)*SUMIF(Summary!$A$166:$A$242,$A3809,Summary!$P$166:$P$242),0)</f>
        <v>462971.37908528571</v>
      </c>
      <c r="AE3809" s="197">
        <f t="shared" ca="1" si="836"/>
        <v>1412849.3023295621</v>
      </c>
      <c r="AF3809" s="196">
        <f>IFERROR(G3809/SUMIF(A:A,A3809,G:G)*SUMIF(Summary!$A$166:$A$242,'Operations Support'!A3809,Summary!$Q$166:$Q$242),0)</f>
        <v>463290.74239813496</v>
      </c>
      <c r="AG3809" s="196">
        <f t="shared" ca="1" si="837"/>
        <v>1412529.9390167131</v>
      </c>
      <c r="AI3809" s="196">
        <f>IFERROR($G3809/SUMIF($A:$A,$A3809,$G:$G)*SUMIF(Summary!$A$247:$A$283,$A3809,Summary!$P$247:$P$283),0)</f>
        <v>84434.426223175586</v>
      </c>
      <c r="AJ3809" s="196">
        <f>IFERROR($G3809/SUMIF($A:$A,$A3809,$G:$G)*(SUMIF(Summary!$A$247:$A$283,$A3809,Summary!$L$247:$L$283)+SUMIF(Summary!$A$297:$A$333,$A3809,Summary!$L$297:$L$333))-AI3809,0)</f>
        <v>363872.71780062717</v>
      </c>
      <c r="AK3809" s="196">
        <f>IFERROR($G3809/SUMIF($A:$A,$A3809,$G:$G)*SUMIF(Summary!$A$247:$A$283,$A3809,Summary!$Q$247:$Q$283),0)</f>
        <v>84492.670121816656</v>
      </c>
      <c r="AL3809" s="196">
        <f>IFERROR($G3809/SUMIF($A:$A,$A3809,$G:$G)*(SUMIF(Summary!$A$247:$A$283,$A3809,Summary!$L$247:$L$283)+SUMIF(Summary!$A$297:$A$333,$A3809,Summary!$L$297:$L$333))-AK3809,0)</f>
        <v>363814.47390198614</v>
      </c>
      <c r="AM3809" s="198"/>
      <c r="AN3809" s="196">
        <f t="shared" ca="1" si="838"/>
        <v>1776722.0201301894</v>
      </c>
      <c r="AO3809" s="196">
        <f t="shared" ca="1" si="839"/>
        <v>1776344.4129186992</v>
      </c>
    </row>
    <row r="3810" spans="1:41">
      <c r="A3810" s="189">
        <v>42485</v>
      </c>
      <c r="B3810" s="190">
        <v>2</v>
      </c>
      <c r="C3810" s="191" t="s">
        <v>224</v>
      </c>
      <c r="D3810" s="192">
        <f t="shared" si="826"/>
        <v>0</v>
      </c>
      <c r="E3810" s="192">
        <f t="shared" si="827"/>
        <v>0</v>
      </c>
      <c r="F3810" s="192">
        <f t="shared" si="828"/>
        <v>0</v>
      </c>
      <c r="G3810" s="193">
        <f t="shared" si="829"/>
        <v>0</v>
      </c>
      <c r="H3810" s="194">
        <v>0</v>
      </c>
      <c r="I3810" s="194">
        <v>0</v>
      </c>
      <c r="J3810" s="194">
        <v>0</v>
      </c>
      <c r="K3810" s="193">
        <f t="shared" si="830"/>
        <v>0</v>
      </c>
      <c r="L3810" s="194">
        <v>0</v>
      </c>
      <c r="M3810" s="194">
        <v>0</v>
      </c>
      <c r="N3810" s="194">
        <v>0</v>
      </c>
      <c r="O3810" s="193">
        <f t="shared" si="831"/>
        <v>0</v>
      </c>
      <c r="P3810" s="194">
        <v>0</v>
      </c>
      <c r="Q3810" s="194">
        <v>0</v>
      </c>
      <c r="R3810" s="194">
        <v>0</v>
      </c>
      <c r="S3810" s="193">
        <f t="shared" si="832"/>
        <v>0</v>
      </c>
      <c r="T3810" s="193">
        <f t="shared" si="833"/>
        <v>0</v>
      </c>
      <c r="U3810" s="193">
        <f ca="1">OFFSET('Expenditure Study'!$B$7,'Operations Support'!$C3810,'Operations Support'!$B3810)*$G3810</f>
        <v>0</v>
      </c>
      <c r="V3810" s="199">
        <f ca="1">U3810*'Expenditure Study'!$B$31</f>
        <v>0</v>
      </c>
      <c r="W3810" s="199">
        <f ca="1">IF(A3810=10298,1.51,1)*IF($B3810&lt;3,$D3810*'Expenditure Study'!$B$32*OFFSET('Expenditure Study'!$B$7,'Operations Support'!$C3810,'Operations Support'!$B3810),0)</f>
        <v>0</v>
      </c>
      <c r="X3810" s="200">
        <f ca="1">W3810*'Expenditure Study'!$B$31</f>
        <v>0</v>
      </c>
      <c r="Y3810" s="199">
        <f ca="1">U3810*'Expenditure Study'!$B$31</f>
        <v>0</v>
      </c>
      <c r="Z3810" s="200">
        <f ca="1">W3810*'Expenditure Study'!$B$31</f>
        <v>0</v>
      </c>
      <c r="AA3810" s="195">
        <f t="shared" ca="1" si="834"/>
        <v>0</v>
      </c>
      <c r="AB3810" s="195">
        <f t="shared" ca="1" si="835"/>
        <v>0</v>
      </c>
      <c r="AD3810" s="196">
        <f>IFERROR($G3810/SUMIF($A:$A,$A3810,$G:$G)*SUMIF(Summary!$A$166:$A$242,$A3810,Summary!$P$166:$P$242),0)</f>
        <v>0</v>
      </c>
      <c r="AE3810" s="197">
        <f t="shared" ca="1" si="836"/>
        <v>0</v>
      </c>
      <c r="AF3810" s="196">
        <f>IFERROR(G3810/SUMIF(A:A,A3810,G:G)*SUMIF(Summary!$A$166:$A$242,'Operations Support'!A3810,Summary!$Q$166:$Q$242),0)</f>
        <v>0</v>
      </c>
      <c r="AG3810" s="196">
        <f t="shared" ca="1" si="837"/>
        <v>0</v>
      </c>
      <c r="AI3810" s="196">
        <f>IFERROR($G3810/SUMIF($A:$A,$A3810,$G:$G)*SUMIF(Summary!$A$247:$A$283,$A3810,Summary!$P$247:$P$283),0)</f>
        <v>0</v>
      </c>
      <c r="AJ3810" s="196">
        <f>IFERROR($G3810/SUMIF($A:$A,$A3810,$G:$G)*(SUMIF(Summary!$A$247:$A$283,$A3810,Summary!$L$247:$L$283)+SUMIF(Summary!$A$297:$A$333,$A3810,Summary!$L$297:$L$333))-AI3810,0)</f>
        <v>0</v>
      </c>
      <c r="AK3810" s="196">
        <f>IFERROR($G3810/SUMIF($A:$A,$A3810,$G:$G)*SUMIF(Summary!$A$247:$A$283,$A3810,Summary!$Q$247:$Q$283),0)</f>
        <v>0</v>
      </c>
      <c r="AL3810" s="196">
        <f>IFERROR($G3810/SUMIF($A:$A,$A3810,$G:$G)*(SUMIF(Summary!$A$247:$A$283,$A3810,Summary!$L$247:$L$283)+SUMIF(Summary!$A$297:$A$333,$A3810,Summary!$L$297:$L$333))-AK3810,0)</f>
        <v>0</v>
      </c>
      <c r="AM3810" s="198"/>
      <c r="AN3810" s="196">
        <f t="shared" ca="1" si="838"/>
        <v>0</v>
      </c>
      <c r="AO3810" s="196">
        <f t="shared" ca="1" si="839"/>
        <v>0</v>
      </c>
    </row>
    <row r="3811" spans="1:41">
      <c r="A3811" s="189">
        <v>42485</v>
      </c>
      <c r="B3811" s="190">
        <v>2</v>
      </c>
      <c r="C3811" s="191" t="s">
        <v>225</v>
      </c>
      <c r="D3811" s="192">
        <f t="shared" si="826"/>
        <v>1260</v>
      </c>
      <c r="E3811" s="192">
        <f t="shared" si="827"/>
        <v>1563</v>
      </c>
      <c r="F3811" s="192">
        <f t="shared" si="828"/>
        <v>0</v>
      </c>
      <c r="G3811" s="193">
        <f t="shared" si="829"/>
        <v>2823</v>
      </c>
      <c r="H3811" s="194">
        <v>481</v>
      </c>
      <c r="I3811" s="194">
        <v>819</v>
      </c>
      <c r="J3811" s="194">
        <v>0</v>
      </c>
      <c r="K3811" s="193">
        <f t="shared" si="830"/>
        <v>1300</v>
      </c>
      <c r="L3811" s="194">
        <v>608</v>
      </c>
      <c r="M3811" s="194">
        <v>705</v>
      </c>
      <c r="N3811" s="194">
        <v>0</v>
      </c>
      <c r="O3811" s="193">
        <f t="shared" si="831"/>
        <v>1313</v>
      </c>
      <c r="P3811" s="194">
        <v>171</v>
      </c>
      <c r="Q3811" s="194">
        <v>39</v>
      </c>
      <c r="R3811" s="194">
        <v>0</v>
      </c>
      <c r="S3811" s="193">
        <f t="shared" si="832"/>
        <v>210</v>
      </c>
      <c r="T3811" s="193">
        <f t="shared" si="833"/>
        <v>94.1</v>
      </c>
      <c r="U3811" s="193">
        <f ca="1">OFFSET('Expenditure Study'!$B$7,'Operations Support'!$C3811,'Operations Support'!$B3811)*$G3811</f>
        <v>7904.4</v>
      </c>
      <c r="V3811" s="199">
        <f ca="1">U3811*'Expenditure Study'!$B$31</f>
        <v>467017.09431551996</v>
      </c>
      <c r="W3811" s="199">
        <f ca="1">IF(A3811=10298,1.51,1)*IF($B3811&lt;3,$D3811*'Expenditure Study'!$B$32*OFFSET('Expenditure Study'!$B$7,'Operations Support'!$C3811,'Operations Support'!$B3811),0)</f>
        <v>352.79999999999995</v>
      </c>
      <c r="X3811" s="200">
        <f ca="1">W3811*'Expenditure Study'!$B$31</f>
        <v>20844.546186239997</v>
      </c>
      <c r="Y3811" s="199">
        <f ca="1">U3811*'Expenditure Study'!$B$31</f>
        <v>467017.09431551996</v>
      </c>
      <c r="Z3811" s="200">
        <f ca="1">W3811*'Expenditure Study'!$B$31</f>
        <v>20844.546186239997</v>
      </c>
      <c r="AA3811" s="195">
        <f t="shared" ca="1" si="834"/>
        <v>487861.64050175995</v>
      </c>
      <c r="AB3811" s="195">
        <f t="shared" ca="1" si="835"/>
        <v>487861.64050175995</v>
      </c>
      <c r="AD3811" s="196">
        <f>IFERROR($G3811/SUMIF($A:$A,$A3811,$G:$G)*SUMIF(Summary!$A$166:$A$242,$A3811,Summary!$P$166:$P$242),0)</f>
        <v>81324.634631184206</v>
      </c>
      <c r="AE3811" s="197">
        <f t="shared" ca="1" si="836"/>
        <v>406537.00587057573</v>
      </c>
      <c r="AF3811" s="196">
        <f>IFERROR(G3811/SUMIF(A:A,A3811,G:G)*SUMIF(Summary!$A$166:$A$242,'Operations Support'!A3811,Summary!$Q$166:$Q$242),0)</f>
        <v>81380.733357596589</v>
      </c>
      <c r="AG3811" s="196">
        <f t="shared" ca="1" si="837"/>
        <v>406480.90714416339</v>
      </c>
      <c r="AI3811" s="196">
        <f>IFERROR($G3811/SUMIF($A:$A,$A3811,$G:$G)*SUMIF(Summary!$A$247:$A$283,$A3811,Summary!$P$247:$P$283),0)</f>
        <v>14831.583923092818</v>
      </c>
      <c r="AJ3811" s="196">
        <f>IFERROR($G3811/SUMIF($A:$A,$A3811,$G:$G)*(SUMIF(Summary!$A$247:$A$283,$A3811,Summary!$L$247:$L$283)+SUMIF(Summary!$A$297:$A$333,$A3811,Summary!$L$297:$L$333))-AI3811,0)</f>
        <v>63917.160248346125</v>
      </c>
      <c r="AK3811" s="196">
        <f>IFERROR($G3811/SUMIF($A:$A,$A3811,$G:$G)*SUMIF(Summary!$A$247:$A$283,$A3811,Summary!$Q$247:$Q$283),0)</f>
        <v>14841.814930862323</v>
      </c>
      <c r="AL3811" s="196">
        <f>IFERROR($G3811/SUMIF($A:$A,$A3811,$G:$G)*(SUMIF(Summary!$A$247:$A$283,$A3811,Summary!$L$247:$L$283)+SUMIF(Summary!$A$297:$A$333,$A3811,Summary!$L$297:$L$333))-AK3811,0)</f>
        <v>63906.929240576617</v>
      </c>
      <c r="AM3811" s="198"/>
      <c r="AN3811" s="196">
        <f t="shared" ca="1" si="838"/>
        <v>470454.16611892183</v>
      </c>
      <c r="AO3811" s="196">
        <f t="shared" ca="1" si="839"/>
        <v>470387.83638474002</v>
      </c>
    </row>
    <row r="3812" spans="1:41">
      <c r="A3812" s="189">
        <v>42485</v>
      </c>
      <c r="B3812" s="190">
        <v>2</v>
      </c>
      <c r="C3812" s="191" t="s">
        <v>226</v>
      </c>
      <c r="D3812" s="192">
        <f t="shared" si="826"/>
        <v>0</v>
      </c>
      <c r="E3812" s="192">
        <f t="shared" si="827"/>
        <v>0</v>
      </c>
      <c r="F3812" s="192">
        <f t="shared" si="828"/>
        <v>0</v>
      </c>
      <c r="G3812" s="193">
        <f t="shared" si="829"/>
        <v>0</v>
      </c>
      <c r="H3812" s="194">
        <v>0</v>
      </c>
      <c r="I3812" s="194">
        <v>0</v>
      </c>
      <c r="J3812" s="194">
        <v>0</v>
      </c>
      <c r="K3812" s="193">
        <f t="shared" si="830"/>
        <v>0</v>
      </c>
      <c r="L3812" s="194">
        <v>0</v>
      </c>
      <c r="M3812" s="194">
        <v>0</v>
      </c>
      <c r="N3812" s="194">
        <v>0</v>
      </c>
      <c r="O3812" s="193">
        <f t="shared" si="831"/>
        <v>0</v>
      </c>
      <c r="P3812" s="194">
        <v>0</v>
      </c>
      <c r="Q3812" s="194">
        <v>0</v>
      </c>
      <c r="R3812" s="194">
        <v>0</v>
      </c>
      <c r="S3812" s="193">
        <f t="shared" si="832"/>
        <v>0</v>
      </c>
      <c r="T3812" s="193">
        <f t="shared" si="833"/>
        <v>0</v>
      </c>
      <c r="U3812" s="193">
        <f ca="1">OFFSET('Expenditure Study'!$B$7,'Operations Support'!$C3812,'Operations Support'!$B3812)*$G3812</f>
        <v>0</v>
      </c>
      <c r="V3812" s="199">
        <f ca="1">U3812*'Expenditure Study'!$B$31</f>
        <v>0</v>
      </c>
      <c r="W3812" s="199">
        <f ca="1">IF(A3812=10298,1.51,1)*IF($B3812&lt;3,$D3812*'Expenditure Study'!$B$32*OFFSET('Expenditure Study'!$B$7,'Operations Support'!$C3812,'Operations Support'!$B3812),0)</f>
        <v>0</v>
      </c>
      <c r="X3812" s="200">
        <f ca="1">W3812*'Expenditure Study'!$B$31</f>
        <v>0</v>
      </c>
      <c r="Y3812" s="199">
        <f ca="1">U3812*'Expenditure Study'!$B$31</f>
        <v>0</v>
      </c>
      <c r="Z3812" s="200">
        <f ca="1">W3812*'Expenditure Study'!$B$31</f>
        <v>0</v>
      </c>
      <c r="AA3812" s="195">
        <f t="shared" ca="1" si="834"/>
        <v>0</v>
      </c>
      <c r="AB3812" s="195">
        <f t="shared" ca="1" si="835"/>
        <v>0</v>
      </c>
      <c r="AD3812" s="196">
        <f>IFERROR($G3812/SUMIF($A:$A,$A3812,$G:$G)*SUMIF(Summary!$A$166:$A$242,$A3812,Summary!$P$166:$P$242),0)</f>
        <v>0</v>
      </c>
      <c r="AE3812" s="197">
        <f t="shared" ca="1" si="836"/>
        <v>0</v>
      </c>
      <c r="AF3812" s="196">
        <f>IFERROR(G3812/SUMIF(A:A,A3812,G:G)*SUMIF(Summary!$A$166:$A$242,'Operations Support'!A3812,Summary!$Q$166:$Q$242),0)</f>
        <v>0</v>
      </c>
      <c r="AG3812" s="196">
        <f t="shared" ca="1" si="837"/>
        <v>0</v>
      </c>
      <c r="AI3812" s="196">
        <f>IFERROR($G3812/SUMIF($A:$A,$A3812,$G:$G)*SUMIF(Summary!$A$247:$A$283,$A3812,Summary!$P$247:$P$283),0)</f>
        <v>0</v>
      </c>
      <c r="AJ3812" s="196">
        <f>IFERROR($G3812/SUMIF($A:$A,$A3812,$G:$G)*(SUMIF(Summary!$A$247:$A$283,$A3812,Summary!$L$247:$L$283)+SUMIF(Summary!$A$297:$A$333,$A3812,Summary!$L$297:$L$333))-AI3812,0)</f>
        <v>0</v>
      </c>
      <c r="AK3812" s="196">
        <f>IFERROR($G3812/SUMIF($A:$A,$A3812,$G:$G)*SUMIF(Summary!$A$247:$A$283,$A3812,Summary!$Q$247:$Q$283),0)</f>
        <v>0</v>
      </c>
      <c r="AL3812" s="196">
        <f>IFERROR($G3812/SUMIF($A:$A,$A3812,$G:$G)*(SUMIF(Summary!$A$247:$A$283,$A3812,Summary!$L$247:$L$283)+SUMIF(Summary!$A$297:$A$333,$A3812,Summary!$L$297:$L$333))-AK3812,0)</f>
        <v>0</v>
      </c>
      <c r="AM3812" s="198"/>
      <c r="AN3812" s="196">
        <f t="shared" ca="1" si="838"/>
        <v>0</v>
      </c>
      <c r="AO3812" s="196">
        <f t="shared" ca="1" si="839"/>
        <v>0</v>
      </c>
    </row>
    <row r="3813" spans="1:41">
      <c r="A3813" s="189">
        <v>42485</v>
      </c>
      <c r="B3813" s="190">
        <v>2</v>
      </c>
      <c r="C3813" s="191" t="s">
        <v>227</v>
      </c>
      <c r="D3813" s="192">
        <f t="shared" si="826"/>
        <v>0</v>
      </c>
      <c r="E3813" s="192">
        <f t="shared" si="827"/>
        <v>0</v>
      </c>
      <c r="F3813" s="192">
        <f t="shared" si="828"/>
        <v>0</v>
      </c>
      <c r="G3813" s="193">
        <f t="shared" si="829"/>
        <v>0</v>
      </c>
      <c r="H3813" s="194">
        <v>0</v>
      </c>
      <c r="I3813" s="194">
        <v>0</v>
      </c>
      <c r="J3813" s="194">
        <v>0</v>
      </c>
      <c r="K3813" s="193">
        <f t="shared" si="830"/>
        <v>0</v>
      </c>
      <c r="L3813" s="194">
        <v>0</v>
      </c>
      <c r="M3813" s="194">
        <v>0</v>
      </c>
      <c r="N3813" s="194">
        <v>0</v>
      </c>
      <c r="O3813" s="193">
        <f t="shared" si="831"/>
        <v>0</v>
      </c>
      <c r="P3813" s="194">
        <v>0</v>
      </c>
      <c r="Q3813" s="194">
        <v>0</v>
      </c>
      <c r="R3813" s="194">
        <v>0</v>
      </c>
      <c r="S3813" s="193">
        <f t="shared" si="832"/>
        <v>0</v>
      </c>
      <c r="T3813" s="193">
        <f t="shared" si="833"/>
        <v>0</v>
      </c>
      <c r="U3813" s="193">
        <f ca="1">OFFSET('Expenditure Study'!$B$7,'Operations Support'!$C3813,'Operations Support'!$B3813)*$G3813</f>
        <v>0</v>
      </c>
      <c r="V3813" s="199">
        <f ca="1">U3813*'Expenditure Study'!$B$31</f>
        <v>0</v>
      </c>
      <c r="W3813" s="199">
        <f ca="1">IF(A3813=10298,1.51,1)*IF($B3813&lt;3,$D3813*'Expenditure Study'!$B$32*OFFSET('Expenditure Study'!$B$7,'Operations Support'!$C3813,'Operations Support'!$B3813),0)</f>
        <v>0</v>
      </c>
      <c r="X3813" s="200">
        <f ca="1">W3813*'Expenditure Study'!$B$31</f>
        <v>0</v>
      </c>
      <c r="Y3813" s="199">
        <f ca="1">U3813*'Expenditure Study'!$B$31</f>
        <v>0</v>
      </c>
      <c r="Z3813" s="200">
        <f ca="1">W3813*'Expenditure Study'!$B$31</f>
        <v>0</v>
      </c>
      <c r="AA3813" s="195">
        <f t="shared" ca="1" si="834"/>
        <v>0</v>
      </c>
      <c r="AB3813" s="195">
        <f t="shared" ca="1" si="835"/>
        <v>0</v>
      </c>
      <c r="AD3813" s="196">
        <f>IFERROR($G3813/SUMIF($A:$A,$A3813,$G:$G)*SUMIF(Summary!$A$166:$A$242,$A3813,Summary!$P$166:$P$242),0)</f>
        <v>0</v>
      </c>
      <c r="AE3813" s="197">
        <f t="shared" ca="1" si="836"/>
        <v>0</v>
      </c>
      <c r="AF3813" s="196">
        <f>IFERROR(G3813/SUMIF(A:A,A3813,G:G)*SUMIF(Summary!$A$166:$A$242,'Operations Support'!A3813,Summary!$Q$166:$Q$242),0)</f>
        <v>0</v>
      </c>
      <c r="AG3813" s="196">
        <f t="shared" ca="1" si="837"/>
        <v>0</v>
      </c>
      <c r="AI3813" s="196">
        <f>IFERROR($G3813/SUMIF($A:$A,$A3813,$G:$G)*SUMIF(Summary!$A$247:$A$283,$A3813,Summary!$P$247:$P$283),0)</f>
        <v>0</v>
      </c>
      <c r="AJ3813" s="196">
        <f>IFERROR($G3813/SUMIF($A:$A,$A3813,$G:$G)*(SUMIF(Summary!$A$247:$A$283,$A3813,Summary!$L$247:$L$283)+SUMIF(Summary!$A$297:$A$333,$A3813,Summary!$L$297:$L$333))-AI3813,0)</f>
        <v>0</v>
      </c>
      <c r="AK3813" s="196">
        <f>IFERROR($G3813/SUMIF($A:$A,$A3813,$G:$G)*SUMIF(Summary!$A$247:$A$283,$A3813,Summary!$Q$247:$Q$283),0)</f>
        <v>0</v>
      </c>
      <c r="AL3813" s="196">
        <f>IFERROR($G3813/SUMIF($A:$A,$A3813,$G:$G)*(SUMIF(Summary!$A$247:$A$283,$A3813,Summary!$L$247:$L$283)+SUMIF(Summary!$A$297:$A$333,$A3813,Summary!$L$297:$L$333))-AK3813,0)</f>
        <v>0</v>
      </c>
      <c r="AM3813" s="198"/>
      <c r="AN3813" s="196">
        <f t="shared" ca="1" si="838"/>
        <v>0</v>
      </c>
      <c r="AO3813" s="196">
        <f t="shared" ca="1" si="839"/>
        <v>0</v>
      </c>
    </row>
    <row r="3814" spans="1:41">
      <c r="A3814" s="189">
        <v>42485</v>
      </c>
      <c r="B3814" s="190">
        <v>2</v>
      </c>
      <c r="C3814" s="191" t="s">
        <v>228</v>
      </c>
      <c r="D3814" s="192">
        <f t="shared" si="826"/>
        <v>0</v>
      </c>
      <c r="E3814" s="192">
        <f t="shared" si="827"/>
        <v>0</v>
      </c>
      <c r="F3814" s="192">
        <f t="shared" si="828"/>
        <v>0</v>
      </c>
      <c r="G3814" s="193">
        <f t="shared" si="829"/>
        <v>0</v>
      </c>
      <c r="H3814" s="194">
        <v>0</v>
      </c>
      <c r="I3814" s="194">
        <v>0</v>
      </c>
      <c r="J3814" s="194">
        <v>0</v>
      </c>
      <c r="K3814" s="193">
        <f t="shared" si="830"/>
        <v>0</v>
      </c>
      <c r="L3814" s="194">
        <v>0</v>
      </c>
      <c r="M3814" s="194">
        <v>0</v>
      </c>
      <c r="N3814" s="194">
        <v>0</v>
      </c>
      <c r="O3814" s="193">
        <f t="shared" si="831"/>
        <v>0</v>
      </c>
      <c r="P3814" s="194">
        <v>0</v>
      </c>
      <c r="Q3814" s="194">
        <v>0</v>
      </c>
      <c r="R3814" s="194">
        <v>0</v>
      </c>
      <c r="S3814" s="193">
        <f t="shared" si="832"/>
        <v>0</v>
      </c>
      <c r="T3814" s="193">
        <f t="shared" si="833"/>
        <v>0</v>
      </c>
      <c r="U3814" s="193">
        <f ca="1">OFFSET('Expenditure Study'!$B$7,'Operations Support'!$C3814,'Operations Support'!$B3814)*$G3814</f>
        <v>0</v>
      </c>
      <c r="V3814" s="199">
        <f ca="1">U3814*'Expenditure Study'!$B$31</f>
        <v>0</v>
      </c>
      <c r="W3814" s="199">
        <f ca="1">IF(A3814=10298,1.51,1)*IF($B3814&lt;3,$D3814*'Expenditure Study'!$B$32*OFFSET('Expenditure Study'!$B$7,'Operations Support'!$C3814,'Operations Support'!$B3814),0)</f>
        <v>0</v>
      </c>
      <c r="X3814" s="200">
        <f ca="1">W3814*'Expenditure Study'!$B$31</f>
        <v>0</v>
      </c>
      <c r="Y3814" s="199">
        <f ca="1">U3814*'Expenditure Study'!$B$31</f>
        <v>0</v>
      </c>
      <c r="Z3814" s="200">
        <f ca="1">W3814*'Expenditure Study'!$B$31</f>
        <v>0</v>
      </c>
      <c r="AA3814" s="195">
        <f t="shared" ca="1" si="834"/>
        <v>0</v>
      </c>
      <c r="AB3814" s="195">
        <f t="shared" ca="1" si="835"/>
        <v>0</v>
      </c>
      <c r="AD3814" s="196">
        <f>IFERROR($G3814/SUMIF($A:$A,$A3814,$G:$G)*SUMIF(Summary!$A$166:$A$242,$A3814,Summary!$P$166:$P$242),0)</f>
        <v>0</v>
      </c>
      <c r="AE3814" s="197">
        <f t="shared" ca="1" si="836"/>
        <v>0</v>
      </c>
      <c r="AF3814" s="196">
        <f>IFERROR(G3814/SUMIF(A:A,A3814,G:G)*SUMIF(Summary!$A$166:$A$242,'Operations Support'!A3814,Summary!$Q$166:$Q$242),0)</f>
        <v>0</v>
      </c>
      <c r="AG3814" s="196">
        <f t="shared" ca="1" si="837"/>
        <v>0</v>
      </c>
      <c r="AI3814" s="196">
        <f>IFERROR($G3814/SUMIF($A:$A,$A3814,$G:$G)*SUMIF(Summary!$A$247:$A$283,$A3814,Summary!$P$247:$P$283),0)</f>
        <v>0</v>
      </c>
      <c r="AJ3814" s="196">
        <f>IFERROR($G3814/SUMIF($A:$A,$A3814,$G:$G)*(SUMIF(Summary!$A$247:$A$283,$A3814,Summary!$L$247:$L$283)+SUMIF(Summary!$A$297:$A$333,$A3814,Summary!$L$297:$L$333))-AI3814,0)</f>
        <v>0</v>
      </c>
      <c r="AK3814" s="196">
        <f>IFERROR($G3814/SUMIF($A:$A,$A3814,$G:$G)*SUMIF(Summary!$A$247:$A$283,$A3814,Summary!$Q$247:$Q$283),0)</f>
        <v>0</v>
      </c>
      <c r="AL3814" s="196">
        <f>IFERROR($G3814/SUMIF($A:$A,$A3814,$G:$G)*(SUMIF(Summary!$A$247:$A$283,$A3814,Summary!$L$247:$L$283)+SUMIF(Summary!$A$297:$A$333,$A3814,Summary!$L$297:$L$333))-AK3814,0)</f>
        <v>0</v>
      </c>
      <c r="AM3814" s="198"/>
      <c r="AN3814" s="196">
        <f t="shared" ca="1" si="838"/>
        <v>0</v>
      </c>
      <c r="AO3814" s="196">
        <f t="shared" ca="1" si="839"/>
        <v>0</v>
      </c>
    </row>
    <row r="3815" spans="1:41">
      <c r="A3815" s="189">
        <v>42485</v>
      </c>
      <c r="B3815" s="190">
        <v>2</v>
      </c>
      <c r="C3815" s="191" t="s">
        <v>229</v>
      </c>
      <c r="D3815" s="192">
        <f t="shared" si="826"/>
        <v>0</v>
      </c>
      <c r="E3815" s="192">
        <f t="shared" si="827"/>
        <v>0</v>
      </c>
      <c r="F3815" s="192">
        <f t="shared" si="828"/>
        <v>0</v>
      </c>
      <c r="G3815" s="193">
        <f t="shared" si="829"/>
        <v>0</v>
      </c>
      <c r="H3815" s="194">
        <v>0</v>
      </c>
      <c r="I3815" s="194">
        <v>0</v>
      </c>
      <c r="J3815" s="194">
        <v>0</v>
      </c>
      <c r="K3815" s="193">
        <f t="shared" si="830"/>
        <v>0</v>
      </c>
      <c r="L3815" s="194">
        <v>0</v>
      </c>
      <c r="M3815" s="194">
        <v>0</v>
      </c>
      <c r="N3815" s="194">
        <v>0</v>
      </c>
      <c r="O3815" s="193">
        <f t="shared" si="831"/>
        <v>0</v>
      </c>
      <c r="P3815" s="194">
        <v>0</v>
      </c>
      <c r="Q3815" s="194">
        <v>0</v>
      </c>
      <c r="R3815" s="194">
        <v>0</v>
      </c>
      <c r="S3815" s="193">
        <f t="shared" si="832"/>
        <v>0</v>
      </c>
      <c r="T3815" s="193">
        <f t="shared" si="833"/>
        <v>0</v>
      </c>
      <c r="U3815" s="193">
        <f ca="1">OFFSET('Expenditure Study'!$B$7,'Operations Support'!$C3815,'Operations Support'!$B3815)*$G3815</f>
        <v>0</v>
      </c>
      <c r="V3815" s="199">
        <f ca="1">U3815*'Expenditure Study'!$B$31</f>
        <v>0</v>
      </c>
      <c r="W3815" s="199">
        <f ca="1">IF(A3815=10298,1.51,1)*IF($B3815&lt;3,$D3815*'Expenditure Study'!$B$32*OFFSET('Expenditure Study'!$B$7,'Operations Support'!$C3815,'Operations Support'!$B3815),0)</f>
        <v>0</v>
      </c>
      <c r="X3815" s="200">
        <f ca="1">W3815*'Expenditure Study'!$B$31</f>
        <v>0</v>
      </c>
      <c r="Y3815" s="199">
        <f ca="1">U3815*'Expenditure Study'!$B$31</f>
        <v>0</v>
      </c>
      <c r="Z3815" s="200">
        <f ca="1">W3815*'Expenditure Study'!$B$31</f>
        <v>0</v>
      </c>
      <c r="AA3815" s="195">
        <f t="shared" ca="1" si="834"/>
        <v>0</v>
      </c>
      <c r="AB3815" s="195">
        <f t="shared" ca="1" si="835"/>
        <v>0</v>
      </c>
      <c r="AD3815" s="196">
        <f>IFERROR($G3815/SUMIF($A:$A,$A3815,$G:$G)*SUMIF(Summary!$A$166:$A$242,$A3815,Summary!$P$166:$P$242),0)</f>
        <v>0</v>
      </c>
      <c r="AE3815" s="197">
        <f t="shared" ca="1" si="836"/>
        <v>0</v>
      </c>
      <c r="AF3815" s="196">
        <f>IFERROR(G3815/SUMIF(A:A,A3815,G:G)*SUMIF(Summary!$A$166:$A$242,'Operations Support'!A3815,Summary!$Q$166:$Q$242),0)</f>
        <v>0</v>
      </c>
      <c r="AG3815" s="196">
        <f t="shared" ca="1" si="837"/>
        <v>0</v>
      </c>
      <c r="AI3815" s="196">
        <f>IFERROR($G3815/SUMIF($A:$A,$A3815,$G:$G)*SUMIF(Summary!$A$247:$A$283,$A3815,Summary!$P$247:$P$283),0)</f>
        <v>0</v>
      </c>
      <c r="AJ3815" s="196">
        <f>IFERROR($G3815/SUMIF($A:$A,$A3815,$G:$G)*(SUMIF(Summary!$A$247:$A$283,$A3815,Summary!$L$247:$L$283)+SUMIF(Summary!$A$297:$A$333,$A3815,Summary!$L$297:$L$333))-AI3815,0)</f>
        <v>0</v>
      </c>
      <c r="AK3815" s="196">
        <f>IFERROR($G3815/SUMIF($A:$A,$A3815,$G:$G)*SUMIF(Summary!$A$247:$A$283,$A3815,Summary!$Q$247:$Q$283),0)</f>
        <v>0</v>
      </c>
      <c r="AL3815" s="196">
        <f>IFERROR($G3815/SUMIF($A:$A,$A3815,$G:$G)*(SUMIF(Summary!$A$247:$A$283,$A3815,Summary!$L$247:$L$283)+SUMIF(Summary!$A$297:$A$333,$A3815,Summary!$L$297:$L$333))-AK3815,0)</f>
        <v>0</v>
      </c>
      <c r="AM3815" s="198"/>
      <c r="AN3815" s="196">
        <f t="shared" ca="1" si="838"/>
        <v>0</v>
      </c>
      <c r="AO3815" s="196">
        <f t="shared" ca="1" si="839"/>
        <v>0</v>
      </c>
    </row>
    <row r="3816" spans="1:41">
      <c r="A3816" s="189">
        <v>42485</v>
      </c>
      <c r="B3816" s="190">
        <v>2</v>
      </c>
      <c r="C3816" s="191" t="s">
        <v>230</v>
      </c>
      <c r="D3816" s="192">
        <f t="shared" si="826"/>
        <v>0</v>
      </c>
      <c r="E3816" s="192">
        <f t="shared" si="827"/>
        <v>0</v>
      </c>
      <c r="F3816" s="192">
        <f t="shared" si="828"/>
        <v>0</v>
      </c>
      <c r="G3816" s="193">
        <f t="shared" si="829"/>
        <v>0</v>
      </c>
      <c r="H3816" s="194">
        <v>0</v>
      </c>
      <c r="I3816" s="194">
        <v>0</v>
      </c>
      <c r="J3816" s="194">
        <v>0</v>
      </c>
      <c r="K3816" s="193">
        <f t="shared" si="830"/>
        <v>0</v>
      </c>
      <c r="L3816" s="194">
        <v>0</v>
      </c>
      <c r="M3816" s="194">
        <v>0</v>
      </c>
      <c r="N3816" s="194">
        <v>0</v>
      </c>
      <c r="O3816" s="193">
        <f t="shared" si="831"/>
        <v>0</v>
      </c>
      <c r="P3816" s="194">
        <v>0</v>
      </c>
      <c r="Q3816" s="194">
        <v>0</v>
      </c>
      <c r="R3816" s="194">
        <v>0</v>
      </c>
      <c r="S3816" s="193">
        <f t="shared" si="832"/>
        <v>0</v>
      </c>
      <c r="T3816" s="193">
        <f t="shared" si="833"/>
        <v>0</v>
      </c>
      <c r="U3816" s="193">
        <f ca="1">OFFSET('Expenditure Study'!$B$7,'Operations Support'!$C3816,'Operations Support'!$B3816)*$G3816</f>
        <v>0</v>
      </c>
      <c r="V3816" s="199">
        <f ca="1">U3816*'Expenditure Study'!$B$31</f>
        <v>0</v>
      </c>
      <c r="W3816" s="199">
        <f ca="1">IF(A3816=10298,1.51,1)*IF($B3816&lt;3,$D3816*'Expenditure Study'!$B$32*OFFSET('Expenditure Study'!$B$7,'Operations Support'!$C3816,'Operations Support'!$B3816),0)</f>
        <v>0</v>
      </c>
      <c r="X3816" s="200">
        <f ca="1">W3816*'Expenditure Study'!$B$31</f>
        <v>0</v>
      </c>
      <c r="Y3816" s="199">
        <f ca="1">U3816*'Expenditure Study'!$B$31</f>
        <v>0</v>
      </c>
      <c r="Z3816" s="200">
        <f ca="1">W3816*'Expenditure Study'!$B$31</f>
        <v>0</v>
      </c>
      <c r="AA3816" s="195">
        <f t="shared" ca="1" si="834"/>
        <v>0</v>
      </c>
      <c r="AB3816" s="195">
        <f t="shared" ca="1" si="835"/>
        <v>0</v>
      </c>
      <c r="AD3816" s="196">
        <f>IFERROR($G3816/SUMIF($A:$A,$A3816,$G:$G)*SUMIF(Summary!$A$166:$A$242,$A3816,Summary!$P$166:$P$242),0)</f>
        <v>0</v>
      </c>
      <c r="AE3816" s="197">
        <f t="shared" ca="1" si="836"/>
        <v>0</v>
      </c>
      <c r="AF3816" s="196">
        <f>IFERROR(G3816/SUMIF(A:A,A3816,G:G)*SUMIF(Summary!$A$166:$A$242,'Operations Support'!A3816,Summary!$Q$166:$Q$242),0)</f>
        <v>0</v>
      </c>
      <c r="AG3816" s="196">
        <f t="shared" ca="1" si="837"/>
        <v>0</v>
      </c>
      <c r="AI3816" s="196">
        <f>IFERROR($G3816/SUMIF($A:$A,$A3816,$G:$G)*SUMIF(Summary!$A$247:$A$283,$A3816,Summary!$P$247:$P$283),0)</f>
        <v>0</v>
      </c>
      <c r="AJ3816" s="196">
        <f>IFERROR($G3816/SUMIF($A:$A,$A3816,$G:$G)*(SUMIF(Summary!$A$247:$A$283,$A3816,Summary!$L$247:$L$283)+SUMIF(Summary!$A$297:$A$333,$A3816,Summary!$L$297:$L$333))-AI3816,0)</f>
        <v>0</v>
      </c>
      <c r="AK3816" s="196">
        <f>IFERROR($G3816/SUMIF($A:$A,$A3816,$G:$G)*SUMIF(Summary!$A$247:$A$283,$A3816,Summary!$Q$247:$Q$283),0)</f>
        <v>0</v>
      </c>
      <c r="AL3816" s="196">
        <f>IFERROR($G3816/SUMIF($A:$A,$A3816,$G:$G)*(SUMIF(Summary!$A$247:$A$283,$A3816,Summary!$L$247:$L$283)+SUMIF(Summary!$A$297:$A$333,$A3816,Summary!$L$297:$L$333))-AK3816,0)</f>
        <v>0</v>
      </c>
      <c r="AM3816" s="198"/>
      <c r="AN3816" s="196">
        <f t="shared" ca="1" si="838"/>
        <v>0</v>
      </c>
      <c r="AO3816" s="196">
        <f t="shared" ca="1" si="839"/>
        <v>0</v>
      </c>
    </row>
    <row r="3817" spans="1:41">
      <c r="A3817" s="189">
        <v>42485</v>
      </c>
      <c r="B3817" s="190">
        <v>2</v>
      </c>
      <c r="C3817" s="191" t="s">
        <v>231</v>
      </c>
      <c r="D3817" s="192">
        <f t="shared" si="826"/>
        <v>0</v>
      </c>
      <c r="E3817" s="192">
        <f t="shared" si="827"/>
        <v>0</v>
      </c>
      <c r="F3817" s="192">
        <f t="shared" si="828"/>
        <v>0</v>
      </c>
      <c r="G3817" s="193">
        <f t="shared" si="829"/>
        <v>0</v>
      </c>
      <c r="H3817" s="194">
        <v>0</v>
      </c>
      <c r="I3817" s="194">
        <v>0</v>
      </c>
      <c r="J3817" s="194">
        <v>0</v>
      </c>
      <c r="K3817" s="193">
        <f t="shared" si="830"/>
        <v>0</v>
      </c>
      <c r="L3817" s="194">
        <v>0</v>
      </c>
      <c r="M3817" s="194">
        <v>0</v>
      </c>
      <c r="N3817" s="194">
        <v>0</v>
      </c>
      <c r="O3817" s="193">
        <f t="shared" si="831"/>
        <v>0</v>
      </c>
      <c r="P3817" s="194">
        <v>0</v>
      </c>
      <c r="Q3817" s="194">
        <v>0</v>
      </c>
      <c r="R3817" s="194">
        <v>0</v>
      </c>
      <c r="S3817" s="193">
        <f t="shared" si="832"/>
        <v>0</v>
      </c>
      <c r="T3817" s="193">
        <f t="shared" si="833"/>
        <v>0</v>
      </c>
      <c r="U3817" s="193">
        <f ca="1">OFFSET('Expenditure Study'!$B$7,'Operations Support'!$C3817,'Operations Support'!$B3817)*$G3817</f>
        <v>0</v>
      </c>
      <c r="V3817" s="199">
        <f ca="1">U3817*'Expenditure Study'!$B$31</f>
        <v>0</v>
      </c>
      <c r="W3817" s="199">
        <f ca="1">IF(A3817=10298,1.51,1)*IF($B3817&lt;3,$D3817*'Expenditure Study'!$B$32*OFFSET('Expenditure Study'!$B$7,'Operations Support'!$C3817,'Operations Support'!$B3817),0)</f>
        <v>0</v>
      </c>
      <c r="X3817" s="200">
        <f ca="1">W3817*'Expenditure Study'!$B$31</f>
        <v>0</v>
      </c>
      <c r="Y3817" s="199">
        <f ca="1">U3817*'Expenditure Study'!$B$31</f>
        <v>0</v>
      </c>
      <c r="Z3817" s="200">
        <f ca="1">W3817*'Expenditure Study'!$B$31</f>
        <v>0</v>
      </c>
      <c r="AA3817" s="195">
        <f t="shared" ca="1" si="834"/>
        <v>0</v>
      </c>
      <c r="AB3817" s="195">
        <f t="shared" ca="1" si="835"/>
        <v>0</v>
      </c>
      <c r="AD3817" s="196">
        <f>IFERROR($G3817/SUMIF($A:$A,$A3817,$G:$G)*SUMIF(Summary!$A$166:$A$242,$A3817,Summary!$P$166:$P$242),0)</f>
        <v>0</v>
      </c>
      <c r="AE3817" s="197">
        <f t="shared" ca="1" si="836"/>
        <v>0</v>
      </c>
      <c r="AF3817" s="196">
        <f>IFERROR(G3817/SUMIF(A:A,A3817,G:G)*SUMIF(Summary!$A$166:$A$242,'Operations Support'!A3817,Summary!$Q$166:$Q$242),0)</f>
        <v>0</v>
      </c>
      <c r="AG3817" s="196">
        <f t="shared" ca="1" si="837"/>
        <v>0</v>
      </c>
      <c r="AI3817" s="196">
        <f>IFERROR($G3817/SUMIF($A:$A,$A3817,$G:$G)*SUMIF(Summary!$A$247:$A$283,$A3817,Summary!$P$247:$P$283),0)</f>
        <v>0</v>
      </c>
      <c r="AJ3817" s="196">
        <f>IFERROR($G3817/SUMIF($A:$A,$A3817,$G:$G)*(SUMIF(Summary!$A$247:$A$283,$A3817,Summary!$L$247:$L$283)+SUMIF(Summary!$A$297:$A$333,$A3817,Summary!$L$297:$L$333))-AI3817,0)</f>
        <v>0</v>
      </c>
      <c r="AK3817" s="196">
        <f>IFERROR($G3817/SUMIF($A:$A,$A3817,$G:$G)*SUMIF(Summary!$A$247:$A$283,$A3817,Summary!$Q$247:$Q$283),0)</f>
        <v>0</v>
      </c>
      <c r="AL3817" s="196">
        <f>IFERROR($G3817/SUMIF($A:$A,$A3817,$G:$G)*(SUMIF(Summary!$A$247:$A$283,$A3817,Summary!$L$247:$L$283)+SUMIF(Summary!$A$297:$A$333,$A3817,Summary!$L$297:$L$333))-AK3817,0)</f>
        <v>0</v>
      </c>
      <c r="AM3817" s="198"/>
      <c r="AN3817" s="196">
        <f t="shared" ca="1" si="838"/>
        <v>0</v>
      </c>
      <c r="AO3817" s="196">
        <f t="shared" ca="1" si="839"/>
        <v>0</v>
      </c>
    </row>
    <row r="3818" spans="1:41">
      <c r="A3818" s="189">
        <v>42485</v>
      </c>
      <c r="B3818" s="190">
        <v>2</v>
      </c>
      <c r="C3818" s="191" t="s">
        <v>232</v>
      </c>
      <c r="D3818" s="192">
        <f t="shared" si="826"/>
        <v>0</v>
      </c>
      <c r="E3818" s="192">
        <f t="shared" si="827"/>
        <v>0</v>
      </c>
      <c r="F3818" s="192">
        <f t="shared" si="828"/>
        <v>0</v>
      </c>
      <c r="G3818" s="193">
        <f t="shared" si="829"/>
        <v>0</v>
      </c>
      <c r="H3818" s="194">
        <v>0</v>
      </c>
      <c r="I3818" s="194">
        <v>0</v>
      </c>
      <c r="J3818" s="194">
        <v>0</v>
      </c>
      <c r="K3818" s="193">
        <f t="shared" si="830"/>
        <v>0</v>
      </c>
      <c r="L3818" s="194">
        <v>0</v>
      </c>
      <c r="M3818" s="194">
        <v>0</v>
      </c>
      <c r="N3818" s="194">
        <v>0</v>
      </c>
      <c r="O3818" s="193">
        <f t="shared" si="831"/>
        <v>0</v>
      </c>
      <c r="P3818" s="194">
        <v>0</v>
      </c>
      <c r="Q3818" s="194">
        <v>0</v>
      </c>
      <c r="R3818" s="194">
        <v>0</v>
      </c>
      <c r="S3818" s="193">
        <f t="shared" si="832"/>
        <v>0</v>
      </c>
      <c r="T3818" s="193">
        <f t="shared" si="833"/>
        <v>0</v>
      </c>
      <c r="U3818" s="193">
        <f ca="1">OFFSET('Expenditure Study'!$B$7,'Operations Support'!$C3818,'Operations Support'!$B3818)*$G3818</f>
        <v>0</v>
      </c>
      <c r="V3818" s="199">
        <f ca="1">U3818*'Expenditure Study'!$B$31</f>
        <v>0</v>
      </c>
      <c r="W3818" s="199">
        <f ca="1">IF(A3818=10298,1.51,1)*IF($B3818&lt;3,$D3818*'Expenditure Study'!$B$32*OFFSET('Expenditure Study'!$B$7,'Operations Support'!$C3818,'Operations Support'!$B3818),0)</f>
        <v>0</v>
      </c>
      <c r="X3818" s="200">
        <f ca="1">W3818*'Expenditure Study'!$B$31</f>
        <v>0</v>
      </c>
      <c r="Y3818" s="199">
        <f ca="1">U3818*'Expenditure Study'!$B$31</f>
        <v>0</v>
      </c>
      <c r="Z3818" s="200">
        <f ca="1">W3818*'Expenditure Study'!$B$31</f>
        <v>0</v>
      </c>
      <c r="AA3818" s="195">
        <f t="shared" ca="1" si="834"/>
        <v>0</v>
      </c>
      <c r="AB3818" s="195">
        <f t="shared" ca="1" si="835"/>
        <v>0</v>
      </c>
      <c r="AD3818" s="196">
        <f>IFERROR($G3818/SUMIF($A:$A,$A3818,$G:$G)*SUMIF(Summary!$A$166:$A$242,$A3818,Summary!$P$166:$P$242),0)</f>
        <v>0</v>
      </c>
      <c r="AE3818" s="197">
        <f t="shared" ca="1" si="836"/>
        <v>0</v>
      </c>
      <c r="AF3818" s="196">
        <f>IFERROR(G3818/SUMIF(A:A,A3818,G:G)*SUMIF(Summary!$A$166:$A$242,'Operations Support'!A3818,Summary!$Q$166:$Q$242),0)</f>
        <v>0</v>
      </c>
      <c r="AG3818" s="196">
        <f t="shared" ca="1" si="837"/>
        <v>0</v>
      </c>
      <c r="AI3818" s="196">
        <f>IFERROR($G3818/SUMIF($A:$A,$A3818,$G:$G)*SUMIF(Summary!$A$247:$A$283,$A3818,Summary!$P$247:$P$283),0)</f>
        <v>0</v>
      </c>
      <c r="AJ3818" s="196">
        <f>IFERROR($G3818/SUMIF($A:$A,$A3818,$G:$G)*(SUMIF(Summary!$A$247:$A$283,$A3818,Summary!$L$247:$L$283)+SUMIF(Summary!$A$297:$A$333,$A3818,Summary!$L$297:$L$333))-AI3818,0)</f>
        <v>0</v>
      </c>
      <c r="AK3818" s="196">
        <f>IFERROR($G3818/SUMIF($A:$A,$A3818,$G:$G)*SUMIF(Summary!$A$247:$A$283,$A3818,Summary!$Q$247:$Q$283),0)</f>
        <v>0</v>
      </c>
      <c r="AL3818" s="196">
        <f>IFERROR($G3818/SUMIF($A:$A,$A3818,$G:$G)*(SUMIF(Summary!$A$247:$A$283,$A3818,Summary!$L$247:$L$283)+SUMIF(Summary!$A$297:$A$333,$A3818,Summary!$L$297:$L$333))-AK3818,0)</f>
        <v>0</v>
      </c>
      <c r="AM3818" s="198"/>
      <c r="AN3818" s="196">
        <f t="shared" ca="1" si="838"/>
        <v>0</v>
      </c>
      <c r="AO3818" s="196">
        <f t="shared" ca="1" si="839"/>
        <v>0</v>
      </c>
    </row>
    <row r="3819" spans="1:41">
      <c r="A3819" s="189">
        <v>42485</v>
      </c>
      <c r="B3819" s="190">
        <v>2</v>
      </c>
      <c r="C3819" s="191" t="s">
        <v>233</v>
      </c>
      <c r="D3819" s="192">
        <f t="shared" si="826"/>
        <v>33</v>
      </c>
      <c r="E3819" s="192">
        <f t="shared" si="827"/>
        <v>201</v>
      </c>
      <c r="F3819" s="192">
        <f t="shared" si="828"/>
        <v>0</v>
      </c>
      <c r="G3819" s="193">
        <f t="shared" si="829"/>
        <v>234</v>
      </c>
      <c r="H3819" s="194">
        <v>0</v>
      </c>
      <c r="I3819" s="194">
        <v>135</v>
      </c>
      <c r="J3819" s="194">
        <v>0</v>
      </c>
      <c r="K3819" s="193">
        <f t="shared" si="830"/>
        <v>135</v>
      </c>
      <c r="L3819" s="194">
        <v>0</v>
      </c>
      <c r="M3819" s="194">
        <v>66</v>
      </c>
      <c r="N3819" s="194">
        <v>0</v>
      </c>
      <c r="O3819" s="193">
        <f t="shared" si="831"/>
        <v>66</v>
      </c>
      <c r="P3819" s="194">
        <v>33</v>
      </c>
      <c r="Q3819" s="194">
        <v>0</v>
      </c>
      <c r="R3819" s="194">
        <v>0</v>
      </c>
      <c r="S3819" s="193">
        <f t="shared" si="832"/>
        <v>33</v>
      </c>
      <c r="T3819" s="193">
        <f t="shared" si="833"/>
        <v>7.8</v>
      </c>
      <c r="U3819" s="193">
        <f ca="1">OFFSET('Expenditure Study'!$B$7,'Operations Support'!$C3819,'Operations Support'!$B3819)*$G3819</f>
        <v>376.74</v>
      </c>
      <c r="V3819" s="199">
        <f ca="1">U3819*'Expenditure Study'!$B$31</f>
        <v>22258.997534591999</v>
      </c>
      <c r="W3819" s="199">
        <f ca="1">IF(A3819=10298,1.51,1)*IF($B3819&lt;3,$D3819*'Expenditure Study'!$B$32*OFFSET('Expenditure Study'!$B$7,'Operations Support'!$C3819,'Operations Support'!$B3819),0)</f>
        <v>5.3130000000000006</v>
      </c>
      <c r="X3819" s="200">
        <f ca="1">W3819*'Expenditure Study'!$B$31</f>
        <v>313.90893959040005</v>
      </c>
      <c r="Y3819" s="199">
        <f ca="1">U3819*'Expenditure Study'!$B$31</f>
        <v>22258.997534591999</v>
      </c>
      <c r="Z3819" s="200">
        <f ca="1">W3819*'Expenditure Study'!$B$31</f>
        <v>313.90893959040005</v>
      </c>
      <c r="AA3819" s="195">
        <f t="shared" ca="1" si="834"/>
        <v>22572.9064741824</v>
      </c>
      <c r="AB3819" s="195">
        <f t="shared" ca="1" si="835"/>
        <v>22572.9064741824</v>
      </c>
      <c r="AD3819" s="196">
        <f>IFERROR($G3819/SUMIF($A:$A,$A3819,$G:$G)*SUMIF(Summary!$A$166:$A$242,$A3819,Summary!$P$166:$P$242),0)</f>
        <v>6741.04304062951</v>
      </c>
      <c r="AE3819" s="197">
        <f t="shared" ca="1" si="836"/>
        <v>15831.863433552891</v>
      </c>
      <c r="AF3819" s="196">
        <f>IFERROR(G3819/SUMIF(A:A,A3819,G:G)*SUMIF(Summary!$A$166:$A$242,'Operations Support'!A3819,Summary!$Q$166:$Q$242),0)</f>
        <v>6745.6930944660307</v>
      </c>
      <c r="AG3819" s="196">
        <f t="shared" ca="1" si="837"/>
        <v>15827.21337971637</v>
      </c>
      <c r="AI3819" s="196">
        <f>IFERROR($G3819/SUMIF($A:$A,$A3819,$G:$G)*SUMIF(Summary!$A$247:$A$283,$A3819,Summary!$P$247:$P$283),0)</f>
        <v>1229.3980297568967</v>
      </c>
      <c r="AJ3819" s="196">
        <f>IFERROR($G3819/SUMIF($A:$A,$A3819,$G:$G)*(SUMIF(Summary!$A$247:$A$283,$A3819,Summary!$L$247:$L$283)+SUMIF(Summary!$A$297:$A$333,$A3819,Summary!$L$297:$L$333))-AI3819,0)</f>
        <v>5298.1280545919208</v>
      </c>
      <c r="AK3819" s="196">
        <f>IFERROR($G3819/SUMIF($A:$A,$A3819,$G:$G)*SUMIF(Summary!$A$247:$A$283,$A3819,Summary!$Q$247:$Q$283),0)</f>
        <v>1230.2460835358781</v>
      </c>
      <c r="AL3819" s="196">
        <f>IFERROR($G3819/SUMIF($A:$A,$A3819,$G:$G)*(SUMIF(Summary!$A$247:$A$283,$A3819,Summary!$L$247:$L$283)+SUMIF(Summary!$A$297:$A$333,$A3819,Summary!$L$297:$L$333))-AK3819,0)</f>
        <v>5297.2800008129398</v>
      </c>
      <c r="AM3819" s="198"/>
      <c r="AN3819" s="196">
        <f t="shared" ca="1" si="838"/>
        <v>21129.991488144813</v>
      </c>
      <c r="AO3819" s="196">
        <f t="shared" ca="1" si="839"/>
        <v>21124.493380529311</v>
      </c>
    </row>
    <row r="3820" spans="1:41">
      <c r="A3820" s="189">
        <v>42485</v>
      </c>
      <c r="B3820" s="190">
        <v>2</v>
      </c>
      <c r="C3820" s="191" t="s">
        <v>234</v>
      </c>
      <c r="D3820" s="192">
        <f t="shared" si="826"/>
        <v>0</v>
      </c>
      <c r="E3820" s="192">
        <f t="shared" si="827"/>
        <v>0</v>
      </c>
      <c r="F3820" s="192">
        <f t="shared" si="828"/>
        <v>0</v>
      </c>
      <c r="G3820" s="193">
        <f t="shared" si="829"/>
        <v>0</v>
      </c>
      <c r="H3820" s="194">
        <v>0</v>
      </c>
      <c r="I3820" s="194">
        <v>0</v>
      </c>
      <c r="J3820" s="194">
        <v>0</v>
      </c>
      <c r="K3820" s="193">
        <f t="shared" si="830"/>
        <v>0</v>
      </c>
      <c r="L3820" s="194">
        <v>0</v>
      </c>
      <c r="M3820" s="194">
        <v>0</v>
      </c>
      <c r="N3820" s="194">
        <v>0</v>
      </c>
      <c r="O3820" s="193">
        <f t="shared" si="831"/>
        <v>0</v>
      </c>
      <c r="P3820" s="194">
        <v>0</v>
      </c>
      <c r="Q3820" s="194">
        <v>0</v>
      </c>
      <c r="R3820" s="194">
        <v>0</v>
      </c>
      <c r="S3820" s="193">
        <f t="shared" si="832"/>
        <v>0</v>
      </c>
      <c r="T3820" s="193">
        <f t="shared" si="833"/>
        <v>0</v>
      </c>
      <c r="U3820" s="193">
        <f ca="1">OFFSET('Expenditure Study'!$B$7,'Operations Support'!$C3820,'Operations Support'!$B3820)*$G3820</f>
        <v>0</v>
      </c>
      <c r="V3820" s="199">
        <f ca="1">U3820*'Expenditure Study'!$B$31</f>
        <v>0</v>
      </c>
      <c r="W3820" s="199">
        <f ca="1">IF(A3820=10298,1.51,1)*IF($B3820&lt;3,$D3820*'Expenditure Study'!$B$32*OFFSET('Expenditure Study'!$B$7,'Operations Support'!$C3820,'Operations Support'!$B3820),0)</f>
        <v>0</v>
      </c>
      <c r="X3820" s="200">
        <f ca="1">W3820*'Expenditure Study'!$B$31</f>
        <v>0</v>
      </c>
      <c r="Y3820" s="199">
        <f ca="1">U3820*'Expenditure Study'!$B$31</f>
        <v>0</v>
      </c>
      <c r="Z3820" s="200">
        <f ca="1">W3820*'Expenditure Study'!$B$31</f>
        <v>0</v>
      </c>
      <c r="AA3820" s="195">
        <f t="shared" ca="1" si="834"/>
        <v>0</v>
      </c>
      <c r="AB3820" s="195">
        <f t="shared" ca="1" si="835"/>
        <v>0</v>
      </c>
      <c r="AD3820" s="196">
        <f>IFERROR($G3820/SUMIF($A:$A,$A3820,$G:$G)*SUMIF(Summary!$A$166:$A$242,$A3820,Summary!$P$166:$P$242),0)</f>
        <v>0</v>
      </c>
      <c r="AE3820" s="197">
        <f t="shared" ca="1" si="836"/>
        <v>0</v>
      </c>
      <c r="AF3820" s="196">
        <f>IFERROR(G3820/SUMIF(A:A,A3820,G:G)*SUMIF(Summary!$A$166:$A$242,'Operations Support'!A3820,Summary!$Q$166:$Q$242),0)</f>
        <v>0</v>
      </c>
      <c r="AG3820" s="196">
        <f t="shared" ca="1" si="837"/>
        <v>0</v>
      </c>
      <c r="AI3820" s="196">
        <f>IFERROR($G3820/SUMIF($A:$A,$A3820,$G:$G)*SUMIF(Summary!$A$247:$A$283,$A3820,Summary!$P$247:$P$283),0)</f>
        <v>0</v>
      </c>
      <c r="AJ3820" s="196">
        <f>IFERROR($G3820/SUMIF($A:$A,$A3820,$G:$G)*(SUMIF(Summary!$A$247:$A$283,$A3820,Summary!$L$247:$L$283)+SUMIF(Summary!$A$297:$A$333,$A3820,Summary!$L$297:$L$333))-AI3820,0)</f>
        <v>0</v>
      </c>
      <c r="AK3820" s="196">
        <f>IFERROR($G3820/SUMIF($A:$A,$A3820,$G:$G)*SUMIF(Summary!$A$247:$A$283,$A3820,Summary!$Q$247:$Q$283),0)</f>
        <v>0</v>
      </c>
      <c r="AL3820" s="196">
        <f>IFERROR($G3820/SUMIF($A:$A,$A3820,$G:$G)*(SUMIF(Summary!$A$247:$A$283,$A3820,Summary!$L$247:$L$283)+SUMIF(Summary!$A$297:$A$333,$A3820,Summary!$L$297:$L$333))-AK3820,0)</f>
        <v>0</v>
      </c>
      <c r="AM3820" s="198"/>
      <c r="AN3820" s="196">
        <f t="shared" ca="1" si="838"/>
        <v>0</v>
      </c>
      <c r="AO3820" s="196">
        <f t="shared" ca="1" si="839"/>
        <v>0</v>
      </c>
    </row>
    <row r="3821" spans="1:41">
      <c r="A3821" s="189">
        <v>42485</v>
      </c>
      <c r="B3821" s="190">
        <v>2</v>
      </c>
      <c r="C3821" s="191" t="s">
        <v>235</v>
      </c>
      <c r="D3821" s="192">
        <f t="shared" si="826"/>
        <v>6584</v>
      </c>
      <c r="E3821" s="192">
        <f t="shared" si="827"/>
        <v>13752</v>
      </c>
      <c r="F3821" s="192">
        <f t="shared" si="828"/>
        <v>0</v>
      </c>
      <c r="G3821" s="193">
        <f t="shared" si="829"/>
        <v>20336</v>
      </c>
      <c r="H3821" s="194">
        <v>2773</v>
      </c>
      <c r="I3821" s="194">
        <v>6034</v>
      </c>
      <c r="J3821" s="194">
        <v>0</v>
      </c>
      <c r="K3821" s="193">
        <f t="shared" si="830"/>
        <v>8807</v>
      </c>
      <c r="L3821" s="194">
        <v>2283</v>
      </c>
      <c r="M3821" s="194">
        <v>5988</v>
      </c>
      <c r="N3821" s="194">
        <v>0</v>
      </c>
      <c r="O3821" s="193">
        <f t="shared" si="831"/>
        <v>8271</v>
      </c>
      <c r="P3821" s="194">
        <v>1528</v>
      </c>
      <c r="Q3821" s="194">
        <v>1730</v>
      </c>
      <c r="R3821" s="194">
        <v>0</v>
      </c>
      <c r="S3821" s="193">
        <f t="shared" si="832"/>
        <v>3258</v>
      </c>
      <c r="T3821" s="193">
        <f t="shared" si="833"/>
        <v>677.86666666666667</v>
      </c>
      <c r="U3821" s="193">
        <f ca="1">OFFSET('Expenditure Study'!$B$7,'Operations Support'!$C3821,'Operations Support'!$B3821)*$G3821</f>
        <v>38028.32</v>
      </c>
      <c r="V3821" s="199">
        <f ca="1">U3821*'Expenditure Study'!$B$31</f>
        <v>2246834.1060802559</v>
      </c>
      <c r="W3821" s="199">
        <f ca="1">IF(A3821=10298,1.51,1)*IF($B3821&lt;3,$D3821*'Expenditure Study'!$B$32*OFFSET('Expenditure Study'!$B$7,'Operations Support'!$C3821,'Operations Support'!$B3821),0)</f>
        <v>1231.2080000000003</v>
      </c>
      <c r="X3821" s="200">
        <f ca="1">W3821*'Expenditure Study'!$B$31</f>
        <v>72743.684866406416</v>
      </c>
      <c r="Y3821" s="199">
        <f ca="1">U3821*'Expenditure Study'!$B$31</f>
        <v>2246834.1060802559</v>
      </c>
      <c r="Z3821" s="200">
        <f ca="1">W3821*'Expenditure Study'!$B$31</f>
        <v>72743.684866406416</v>
      </c>
      <c r="AA3821" s="195">
        <f t="shared" ca="1" si="834"/>
        <v>2319577.7909466624</v>
      </c>
      <c r="AB3821" s="195">
        <f t="shared" ca="1" si="835"/>
        <v>2319577.7909466624</v>
      </c>
      <c r="AD3821" s="196">
        <f>IFERROR($G3821/SUMIF($A:$A,$A3821,$G:$G)*SUMIF(Summary!$A$166:$A$242,$A3821,Summary!$P$166:$P$242),0)</f>
        <v>585836.97125744319</v>
      </c>
      <c r="AE3821" s="197">
        <f t="shared" ca="1" si="836"/>
        <v>1733740.8196892194</v>
      </c>
      <c r="AF3821" s="196">
        <f>IFERROR(G3821/SUMIF(A:A,A3821,G:G)*SUMIF(Summary!$A$166:$A$242,'Operations Support'!A3821,Summary!$Q$166:$Q$242),0)</f>
        <v>586241.08875667176</v>
      </c>
      <c r="AG3821" s="196">
        <f t="shared" ca="1" si="837"/>
        <v>1733336.7021899908</v>
      </c>
      <c r="AI3821" s="196">
        <f>IFERROR($G3821/SUMIF($A:$A,$A3821,$G:$G)*SUMIF(Summary!$A$247:$A$283,$A3821,Summary!$P$247:$P$283),0)</f>
        <v>106842.04415870193</v>
      </c>
      <c r="AJ3821" s="196">
        <f>IFERROR($G3821/SUMIF($A:$A,$A3821,$G:$G)*(SUMIF(Summary!$A$247:$A$283,$A3821,Summary!$L$247:$L$283)+SUMIF(Summary!$A$297:$A$333,$A3821,Summary!$L$297:$L$333))-AI3821,0)</f>
        <v>460439.02614607394</v>
      </c>
      <c r="AK3821" s="196">
        <f>IFERROR($G3821/SUMIF($A:$A,$A3821,$G:$G)*SUMIF(Summary!$A$247:$A$283,$A3821,Summary!$Q$247:$Q$283),0)</f>
        <v>106915.74510592144</v>
      </c>
      <c r="AL3821" s="196">
        <f>IFERROR($G3821/SUMIF($A:$A,$A3821,$G:$G)*(SUMIF(Summary!$A$247:$A$283,$A3821,Summary!$L$247:$L$283)+SUMIF(Summary!$A$297:$A$333,$A3821,Summary!$L$297:$L$333))-AK3821,0)</f>
        <v>460365.32519885444</v>
      </c>
      <c r="AM3821" s="198"/>
      <c r="AN3821" s="196">
        <f t="shared" ca="1" si="838"/>
        <v>2194179.8458352932</v>
      </c>
      <c r="AO3821" s="196">
        <f t="shared" ca="1" si="839"/>
        <v>2193702.0273888451</v>
      </c>
    </row>
    <row r="3822" spans="1:41">
      <c r="A3822" s="189">
        <v>42485</v>
      </c>
      <c r="B3822" s="190">
        <v>2</v>
      </c>
      <c r="C3822" s="191" t="s">
        <v>236</v>
      </c>
      <c r="D3822" s="192">
        <f t="shared" si="826"/>
        <v>0</v>
      </c>
      <c r="E3822" s="192">
        <f t="shared" si="827"/>
        <v>0</v>
      </c>
      <c r="F3822" s="192">
        <f t="shared" si="828"/>
        <v>0</v>
      </c>
      <c r="G3822" s="193">
        <f t="shared" si="829"/>
        <v>0</v>
      </c>
      <c r="H3822" s="194">
        <v>0</v>
      </c>
      <c r="I3822" s="194">
        <v>0</v>
      </c>
      <c r="J3822" s="194">
        <v>0</v>
      </c>
      <c r="K3822" s="193">
        <f t="shared" si="830"/>
        <v>0</v>
      </c>
      <c r="L3822" s="194">
        <v>0</v>
      </c>
      <c r="M3822" s="194">
        <v>0</v>
      </c>
      <c r="N3822" s="194">
        <v>0</v>
      </c>
      <c r="O3822" s="193">
        <f t="shared" si="831"/>
        <v>0</v>
      </c>
      <c r="P3822" s="194">
        <v>0</v>
      </c>
      <c r="Q3822" s="194">
        <v>0</v>
      </c>
      <c r="R3822" s="194">
        <v>0</v>
      </c>
      <c r="S3822" s="193">
        <f t="shared" si="832"/>
        <v>0</v>
      </c>
      <c r="T3822" s="193">
        <f t="shared" si="833"/>
        <v>0</v>
      </c>
      <c r="U3822" s="193">
        <f ca="1">OFFSET('Expenditure Study'!$B$7,'Operations Support'!$C3822,'Operations Support'!$B3822)*$G3822</f>
        <v>0</v>
      </c>
      <c r="V3822" s="199">
        <f ca="1">U3822*'Expenditure Study'!$B$31</f>
        <v>0</v>
      </c>
      <c r="W3822" s="199">
        <f ca="1">IF(A3822=10298,1.51,1)*IF($B3822&lt;3,$D3822*'Expenditure Study'!$B$32*OFFSET('Expenditure Study'!$B$7,'Operations Support'!$C3822,'Operations Support'!$B3822),0)</f>
        <v>0</v>
      </c>
      <c r="X3822" s="200">
        <f ca="1">W3822*'Expenditure Study'!$B$31</f>
        <v>0</v>
      </c>
      <c r="Y3822" s="199">
        <f ca="1">U3822*'Expenditure Study'!$B$31</f>
        <v>0</v>
      </c>
      <c r="Z3822" s="200">
        <f ca="1">W3822*'Expenditure Study'!$B$31</f>
        <v>0</v>
      </c>
      <c r="AA3822" s="195">
        <f t="shared" ca="1" si="834"/>
        <v>0</v>
      </c>
      <c r="AB3822" s="195">
        <f t="shared" ca="1" si="835"/>
        <v>0</v>
      </c>
      <c r="AD3822" s="196">
        <f>IFERROR($G3822/SUMIF($A:$A,$A3822,$G:$G)*SUMIF(Summary!$A$166:$A$242,$A3822,Summary!$P$166:$P$242),0)</f>
        <v>0</v>
      </c>
      <c r="AE3822" s="197">
        <f t="shared" ca="1" si="836"/>
        <v>0</v>
      </c>
      <c r="AF3822" s="196">
        <f>IFERROR(G3822/SUMIF(A:A,A3822,G:G)*SUMIF(Summary!$A$166:$A$242,'Operations Support'!A3822,Summary!$Q$166:$Q$242),0)</f>
        <v>0</v>
      </c>
      <c r="AG3822" s="196">
        <f t="shared" ca="1" si="837"/>
        <v>0</v>
      </c>
      <c r="AI3822" s="196">
        <f>IFERROR($G3822/SUMIF($A:$A,$A3822,$G:$G)*SUMIF(Summary!$A$247:$A$283,$A3822,Summary!$P$247:$P$283),0)</f>
        <v>0</v>
      </c>
      <c r="AJ3822" s="196">
        <f>IFERROR($G3822/SUMIF($A:$A,$A3822,$G:$G)*(SUMIF(Summary!$A$247:$A$283,$A3822,Summary!$L$247:$L$283)+SUMIF(Summary!$A$297:$A$333,$A3822,Summary!$L$297:$L$333))-AI3822,0)</f>
        <v>0</v>
      </c>
      <c r="AK3822" s="196">
        <f>IFERROR($G3822/SUMIF($A:$A,$A3822,$G:$G)*SUMIF(Summary!$A$247:$A$283,$A3822,Summary!$Q$247:$Q$283),0)</f>
        <v>0</v>
      </c>
      <c r="AL3822" s="196">
        <f>IFERROR($G3822/SUMIF($A:$A,$A3822,$G:$G)*(SUMIF(Summary!$A$247:$A$283,$A3822,Summary!$L$247:$L$283)+SUMIF(Summary!$A$297:$A$333,$A3822,Summary!$L$297:$L$333))-AK3822,0)</f>
        <v>0</v>
      </c>
      <c r="AM3822" s="198"/>
      <c r="AN3822" s="196">
        <f t="shared" ca="1" si="838"/>
        <v>0</v>
      </c>
      <c r="AO3822" s="196">
        <f t="shared" ca="1" si="839"/>
        <v>0</v>
      </c>
    </row>
    <row r="3823" spans="1:41">
      <c r="A3823" s="189">
        <v>42485</v>
      </c>
      <c r="B3823" s="190">
        <v>2</v>
      </c>
      <c r="C3823" s="191" t="s">
        <v>237</v>
      </c>
      <c r="D3823" s="192">
        <f t="shared" si="826"/>
        <v>0</v>
      </c>
      <c r="E3823" s="192">
        <f t="shared" si="827"/>
        <v>840</v>
      </c>
      <c r="F3823" s="192">
        <f t="shared" si="828"/>
        <v>0</v>
      </c>
      <c r="G3823" s="193">
        <f t="shared" si="829"/>
        <v>840</v>
      </c>
      <c r="H3823" s="194">
        <v>0</v>
      </c>
      <c r="I3823" s="194">
        <v>476</v>
      </c>
      <c r="J3823" s="194">
        <v>0</v>
      </c>
      <c r="K3823" s="193">
        <f t="shared" si="830"/>
        <v>476</v>
      </c>
      <c r="L3823" s="194">
        <v>0</v>
      </c>
      <c r="M3823" s="194">
        <v>364</v>
      </c>
      <c r="N3823" s="194">
        <v>0</v>
      </c>
      <c r="O3823" s="193">
        <f t="shared" si="831"/>
        <v>364</v>
      </c>
      <c r="P3823" s="194">
        <v>0</v>
      </c>
      <c r="Q3823" s="194">
        <v>0</v>
      </c>
      <c r="R3823" s="194">
        <v>0</v>
      </c>
      <c r="S3823" s="193">
        <f t="shared" si="832"/>
        <v>0</v>
      </c>
      <c r="T3823" s="193">
        <f t="shared" si="833"/>
        <v>28</v>
      </c>
      <c r="U3823" s="193">
        <f ca="1">OFFSET('Expenditure Study'!$B$7,'Operations Support'!$C3823,'Operations Support'!$B3823)*$G3823</f>
        <v>1965.6</v>
      </c>
      <c r="V3823" s="199">
        <f ca="1">U3823*'Expenditure Study'!$B$31</f>
        <v>116133.90018047999</v>
      </c>
      <c r="W3823" s="199">
        <f ca="1">IF(A3823=10298,1.51,1)*IF($B3823&lt;3,$D3823*'Expenditure Study'!$B$32*OFFSET('Expenditure Study'!$B$7,'Operations Support'!$C3823,'Operations Support'!$B3823),0)</f>
        <v>0</v>
      </c>
      <c r="X3823" s="200">
        <f ca="1">W3823*'Expenditure Study'!$B$31</f>
        <v>0</v>
      </c>
      <c r="Y3823" s="199">
        <f ca="1">U3823*'Expenditure Study'!$B$31</f>
        <v>116133.90018047999</v>
      </c>
      <c r="Z3823" s="200">
        <f ca="1">W3823*'Expenditure Study'!$B$31</f>
        <v>0</v>
      </c>
      <c r="AA3823" s="195">
        <f t="shared" ca="1" si="834"/>
        <v>116133.90018047999</v>
      </c>
      <c r="AB3823" s="195">
        <f t="shared" ca="1" si="835"/>
        <v>116133.90018047999</v>
      </c>
      <c r="AD3823" s="196">
        <f>IFERROR($G3823/SUMIF($A:$A,$A3823,$G:$G)*SUMIF(Summary!$A$166:$A$242,$A3823,Summary!$P$166:$P$242),0)</f>
        <v>24198.616043285419</v>
      </c>
      <c r="AE3823" s="197">
        <f t="shared" ca="1" si="836"/>
        <v>91935.284137194569</v>
      </c>
      <c r="AF3823" s="196">
        <f>IFERROR(G3823/SUMIF(A:A,A3823,G:G)*SUMIF(Summary!$A$166:$A$242,'Operations Support'!A3823,Summary!$Q$166:$Q$242),0)</f>
        <v>24215.308544237036</v>
      </c>
      <c r="AG3823" s="196">
        <f t="shared" ca="1" si="837"/>
        <v>91918.591636242956</v>
      </c>
      <c r="AI3823" s="196">
        <f>IFERROR($G3823/SUMIF($A:$A,$A3823,$G:$G)*SUMIF(Summary!$A$247:$A$283,$A3823,Summary!$P$247:$P$283),0)</f>
        <v>4413.2236965632192</v>
      </c>
      <c r="AJ3823" s="196">
        <f>IFERROR($G3823/SUMIF($A:$A,$A3823,$G:$G)*(SUMIF(Summary!$A$247:$A$283,$A3823,Summary!$L$247:$L$283)+SUMIF(Summary!$A$297:$A$333,$A3823,Summary!$L$297:$L$333))-AI3823,0)</f>
        <v>19018.921221612025</v>
      </c>
      <c r="AK3823" s="196">
        <f>IFERROR($G3823/SUMIF($A:$A,$A3823,$G:$G)*SUMIF(Summary!$A$247:$A$283,$A3823,Summary!$Q$247:$Q$283),0)</f>
        <v>4416.2679921800755</v>
      </c>
      <c r="AL3823" s="196">
        <f>IFERROR($G3823/SUMIF($A:$A,$A3823,$G:$G)*(SUMIF(Summary!$A$247:$A$283,$A3823,Summary!$L$247:$L$283)+SUMIF(Summary!$A$297:$A$333,$A3823,Summary!$L$297:$L$333))-AK3823,0)</f>
        <v>19015.876925995166</v>
      </c>
      <c r="AM3823" s="198"/>
      <c r="AN3823" s="196">
        <f t="shared" ca="1" si="838"/>
        <v>110954.20535880659</v>
      </c>
      <c r="AO3823" s="196">
        <f t="shared" ca="1" si="839"/>
        <v>110934.46856223812</v>
      </c>
    </row>
    <row r="3824" spans="1:41">
      <c r="A3824" s="189">
        <v>42485</v>
      </c>
      <c r="B3824" s="190">
        <v>2</v>
      </c>
      <c r="C3824" s="191" t="s">
        <v>238</v>
      </c>
      <c r="D3824" s="192">
        <f t="shared" si="826"/>
        <v>0</v>
      </c>
      <c r="E3824" s="192">
        <f t="shared" si="827"/>
        <v>2032</v>
      </c>
      <c r="F3824" s="192">
        <f t="shared" si="828"/>
        <v>0</v>
      </c>
      <c r="G3824" s="193">
        <f t="shared" si="829"/>
        <v>2032</v>
      </c>
      <c r="H3824" s="194">
        <v>0</v>
      </c>
      <c r="I3824" s="194">
        <v>742</v>
      </c>
      <c r="J3824" s="194">
        <v>0</v>
      </c>
      <c r="K3824" s="193">
        <f t="shared" si="830"/>
        <v>742</v>
      </c>
      <c r="L3824" s="194">
        <v>0</v>
      </c>
      <c r="M3824" s="194">
        <v>711</v>
      </c>
      <c r="N3824" s="194">
        <v>0</v>
      </c>
      <c r="O3824" s="193">
        <f t="shared" si="831"/>
        <v>711</v>
      </c>
      <c r="P3824" s="194">
        <v>0</v>
      </c>
      <c r="Q3824" s="194">
        <v>579</v>
      </c>
      <c r="R3824" s="194">
        <v>0</v>
      </c>
      <c r="S3824" s="193">
        <f t="shared" si="832"/>
        <v>579</v>
      </c>
      <c r="T3824" s="193">
        <f t="shared" si="833"/>
        <v>67.733333333333334</v>
      </c>
      <c r="U3824" s="193">
        <f ca="1">OFFSET('Expenditure Study'!$B$7,'Operations Support'!$C3824,'Operations Support'!$B3824)*$G3824</f>
        <v>4876.8</v>
      </c>
      <c r="V3824" s="199">
        <f ca="1">U3824*'Expenditure Study'!$B$31</f>
        <v>288136.85612544004</v>
      </c>
      <c r="W3824" s="199">
        <f ca="1">IF(A3824=10298,1.51,1)*IF($B3824&lt;3,$D3824*'Expenditure Study'!$B$32*OFFSET('Expenditure Study'!$B$7,'Operations Support'!$C3824,'Operations Support'!$B3824),0)</f>
        <v>0</v>
      </c>
      <c r="X3824" s="200">
        <f ca="1">W3824*'Expenditure Study'!$B$31</f>
        <v>0</v>
      </c>
      <c r="Y3824" s="199">
        <f ca="1">U3824*'Expenditure Study'!$B$31</f>
        <v>288136.85612544004</v>
      </c>
      <c r="Z3824" s="200">
        <f ca="1">W3824*'Expenditure Study'!$B$31</f>
        <v>0</v>
      </c>
      <c r="AA3824" s="195">
        <f t="shared" ca="1" si="834"/>
        <v>288136.85612544004</v>
      </c>
      <c r="AB3824" s="195">
        <f t="shared" ca="1" si="835"/>
        <v>288136.85612544004</v>
      </c>
      <c r="AD3824" s="196">
        <f>IFERROR($G3824/SUMIF($A:$A,$A3824,$G:$G)*SUMIF(Summary!$A$166:$A$242,$A3824,Summary!$P$166:$P$242),0)</f>
        <v>58537.604523757109</v>
      </c>
      <c r="AE3824" s="197">
        <f t="shared" ca="1" si="836"/>
        <v>229599.25160168292</v>
      </c>
      <c r="AF3824" s="196">
        <f>IFERROR(G3824/SUMIF(A:A,A3824,G:G)*SUMIF(Summary!$A$166:$A$242,'Operations Support'!A3824,Summary!$Q$166:$Q$242),0)</f>
        <v>58577.984478440056</v>
      </c>
      <c r="AG3824" s="196">
        <f t="shared" ca="1" si="837"/>
        <v>229558.87164699999</v>
      </c>
      <c r="AI3824" s="196">
        <f>IFERROR($G3824/SUMIF($A:$A,$A3824,$G:$G)*SUMIF(Summary!$A$247:$A$283,$A3824,Summary!$P$247:$P$283),0)</f>
        <v>10675.798275495787</v>
      </c>
      <c r="AJ3824" s="196">
        <f>IFERROR($G3824/SUMIF($A:$A,$A3824,$G:$G)*(SUMIF(Summary!$A$247:$A$283,$A3824,Summary!$L$247:$L$283)+SUMIF(Summary!$A$297:$A$333,$A3824,Summary!$L$297:$L$333))-AI3824,0)</f>
        <v>46007.676097994801</v>
      </c>
      <c r="AK3824" s="196">
        <f>IFERROR($G3824/SUMIF($A:$A,$A3824,$G:$G)*SUMIF(Summary!$A$247:$A$283,$A3824,Summary!$Q$247:$Q$283),0)</f>
        <v>10683.16257155942</v>
      </c>
      <c r="AL3824" s="196">
        <f>IFERROR($G3824/SUMIF($A:$A,$A3824,$G:$G)*(SUMIF(Summary!$A$247:$A$283,$A3824,Summary!$L$247:$L$283)+SUMIF(Summary!$A$297:$A$333,$A3824,Summary!$L$297:$L$333))-AK3824,0)</f>
        <v>46000.311801931166</v>
      </c>
      <c r="AM3824" s="198"/>
      <c r="AN3824" s="196">
        <f t="shared" ca="1" si="838"/>
        <v>275606.9276996777</v>
      </c>
      <c r="AO3824" s="196">
        <f t="shared" ca="1" si="839"/>
        <v>275559.18344893114</v>
      </c>
    </row>
    <row r="3825" spans="1:41">
      <c r="A3825" s="189">
        <v>42485</v>
      </c>
      <c r="B3825" s="190">
        <v>2</v>
      </c>
      <c r="C3825" s="191" t="s">
        <v>239</v>
      </c>
      <c r="D3825" s="192">
        <f t="shared" si="826"/>
        <v>0</v>
      </c>
      <c r="E3825" s="192">
        <f t="shared" si="827"/>
        <v>0</v>
      </c>
      <c r="F3825" s="192">
        <f t="shared" si="828"/>
        <v>0</v>
      </c>
      <c r="G3825" s="193">
        <f t="shared" si="829"/>
        <v>0</v>
      </c>
      <c r="H3825" s="194">
        <v>0</v>
      </c>
      <c r="I3825" s="194">
        <v>0</v>
      </c>
      <c r="J3825" s="194">
        <v>0</v>
      </c>
      <c r="K3825" s="193">
        <f t="shared" si="830"/>
        <v>0</v>
      </c>
      <c r="L3825" s="194">
        <v>0</v>
      </c>
      <c r="M3825" s="194">
        <v>0</v>
      </c>
      <c r="N3825" s="194">
        <v>0</v>
      </c>
      <c r="O3825" s="193">
        <f t="shared" si="831"/>
        <v>0</v>
      </c>
      <c r="P3825" s="194">
        <v>0</v>
      </c>
      <c r="Q3825" s="194">
        <v>0</v>
      </c>
      <c r="R3825" s="194">
        <v>0</v>
      </c>
      <c r="S3825" s="193">
        <f t="shared" si="832"/>
        <v>0</v>
      </c>
      <c r="T3825" s="193">
        <f t="shared" si="833"/>
        <v>0</v>
      </c>
      <c r="U3825" s="193">
        <f ca="1">OFFSET('Expenditure Study'!$B$7,'Operations Support'!$C3825,'Operations Support'!$B3825)*$G3825</f>
        <v>0</v>
      </c>
      <c r="V3825" s="199">
        <f ca="1">U3825*'Expenditure Study'!$B$31</f>
        <v>0</v>
      </c>
      <c r="W3825" s="199">
        <f ca="1">IF(A3825=10298,1.51,1)*IF($B3825&lt;3,$D3825*'Expenditure Study'!$B$32*OFFSET('Expenditure Study'!$B$7,'Operations Support'!$C3825,'Operations Support'!$B3825),0)</f>
        <v>0</v>
      </c>
      <c r="X3825" s="200">
        <f ca="1">W3825*'Expenditure Study'!$B$31</f>
        <v>0</v>
      </c>
      <c r="Y3825" s="199">
        <f ca="1">U3825*'Expenditure Study'!$B$31</f>
        <v>0</v>
      </c>
      <c r="Z3825" s="200">
        <f ca="1">W3825*'Expenditure Study'!$B$31</f>
        <v>0</v>
      </c>
      <c r="AA3825" s="195">
        <f t="shared" ca="1" si="834"/>
        <v>0</v>
      </c>
      <c r="AB3825" s="195">
        <f t="shared" ca="1" si="835"/>
        <v>0</v>
      </c>
      <c r="AD3825" s="196">
        <f>IFERROR($G3825/SUMIF($A:$A,$A3825,$G:$G)*SUMIF(Summary!$A$166:$A$242,$A3825,Summary!$P$166:$P$242),0)</f>
        <v>0</v>
      </c>
      <c r="AE3825" s="197">
        <f t="shared" ca="1" si="836"/>
        <v>0</v>
      </c>
      <c r="AF3825" s="196">
        <f>IFERROR(G3825/SUMIF(A:A,A3825,G:G)*SUMIF(Summary!$A$166:$A$242,'Operations Support'!A3825,Summary!$Q$166:$Q$242),0)</f>
        <v>0</v>
      </c>
      <c r="AG3825" s="196">
        <f t="shared" ca="1" si="837"/>
        <v>0</v>
      </c>
      <c r="AI3825" s="196">
        <f>IFERROR($G3825/SUMIF($A:$A,$A3825,$G:$G)*SUMIF(Summary!$A$247:$A$283,$A3825,Summary!$P$247:$P$283),0)</f>
        <v>0</v>
      </c>
      <c r="AJ3825" s="196">
        <f>IFERROR($G3825/SUMIF($A:$A,$A3825,$G:$G)*(SUMIF(Summary!$A$247:$A$283,$A3825,Summary!$L$247:$L$283)+SUMIF(Summary!$A$297:$A$333,$A3825,Summary!$L$297:$L$333))-AI3825,0)</f>
        <v>0</v>
      </c>
      <c r="AK3825" s="196">
        <f>IFERROR($G3825/SUMIF($A:$A,$A3825,$G:$G)*SUMIF(Summary!$A$247:$A$283,$A3825,Summary!$Q$247:$Q$283),0)</f>
        <v>0</v>
      </c>
      <c r="AL3825" s="196">
        <f>IFERROR($G3825/SUMIF($A:$A,$A3825,$G:$G)*(SUMIF(Summary!$A$247:$A$283,$A3825,Summary!$L$247:$L$283)+SUMIF(Summary!$A$297:$A$333,$A3825,Summary!$L$297:$L$333))-AK3825,0)</f>
        <v>0</v>
      </c>
      <c r="AM3825" s="198"/>
      <c r="AN3825" s="196">
        <f t="shared" ca="1" si="838"/>
        <v>0</v>
      </c>
      <c r="AO3825" s="196">
        <f t="shared" ca="1" si="839"/>
        <v>0</v>
      </c>
    </row>
    <row r="3826" spans="1:41">
      <c r="A3826" s="189">
        <v>42485</v>
      </c>
      <c r="B3826" s="190">
        <v>2</v>
      </c>
      <c r="C3826" s="191" t="s">
        <v>240</v>
      </c>
      <c r="D3826" s="192">
        <f t="shared" si="826"/>
        <v>0</v>
      </c>
      <c r="E3826" s="192">
        <f t="shared" si="827"/>
        <v>0</v>
      </c>
      <c r="F3826" s="192">
        <f t="shared" si="828"/>
        <v>0</v>
      </c>
      <c r="G3826" s="193">
        <f t="shared" si="829"/>
        <v>0</v>
      </c>
      <c r="H3826" s="194">
        <v>0</v>
      </c>
      <c r="I3826" s="194">
        <v>0</v>
      </c>
      <c r="J3826" s="194">
        <v>0</v>
      </c>
      <c r="K3826" s="193">
        <f t="shared" si="830"/>
        <v>0</v>
      </c>
      <c r="L3826" s="194">
        <v>0</v>
      </c>
      <c r="M3826" s="194">
        <v>0</v>
      </c>
      <c r="N3826" s="194">
        <v>0</v>
      </c>
      <c r="O3826" s="193">
        <f t="shared" si="831"/>
        <v>0</v>
      </c>
      <c r="P3826" s="194">
        <v>0</v>
      </c>
      <c r="Q3826" s="194">
        <v>0</v>
      </c>
      <c r="R3826" s="194">
        <v>0</v>
      </c>
      <c r="S3826" s="193">
        <f t="shared" si="832"/>
        <v>0</v>
      </c>
      <c r="T3826" s="193">
        <f t="shared" si="833"/>
        <v>0</v>
      </c>
      <c r="U3826" s="193">
        <f ca="1">OFFSET('Expenditure Study'!$B$7,'Operations Support'!$C3826,'Operations Support'!$B3826)*$G3826</f>
        <v>0</v>
      </c>
      <c r="V3826" s="199">
        <f ca="1">U3826*'Expenditure Study'!$B$31</f>
        <v>0</v>
      </c>
      <c r="W3826" s="199">
        <f ca="1">IF(A3826=10298,1.51,1)*IF($B3826&lt;3,$D3826*'Expenditure Study'!$B$32*OFFSET('Expenditure Study'!$B$7,'Operations Support'!$C3826,'Operations Support'!$B3826),0)</f>
        <v>0</v>
      </c>
      <c r="X3826" s="200">
        <f ca="1">W3826*'Expenditure Study'!$B$31</f>
        <v>0</v>
      </c>
      <c r="Y3826" s="199">
        <f ca="1">U3826*'Expenditure Study'!$B$31</f>
        <v>0</v>
      </c>
      <c r="Z3826" s="200">
        <f ca="1">W3826*'Expenditure Study'!$B$31</f>
        <v>0</v>
      </c>
      <c r="AA3826" s="195">
        <f t="shared" ca="1" si="834"/>
        <v>0</v>
      </c>
      <c r="AB3826" s="195">
        <f t="shared" ca="1" si="835"/>
        <v>0</v>
      </c>
      <c r="AD3826" s="196">
        <f>IFERROR($G3826/SUMIF($A:$A,$A3826,$G:$G)*SUMIF(Summary!$A$166:$A$242,$A3826,Summary!$P$166:$P$242),0)</f>
        <v>0</v>
      </c>
      <c r="AE3826" s="197">
        <f t="shared" ca="1" si="836"/>
        <v>0</v>
      </c>
      <c r="AF3826" s="196">
        <f>IFERROR(G3826/SUMIF(A:A,A3826,G:G)*SUMIF(Summary!$A$166:$A$242,'Operations Support'!A3826,Summary!$Q$166:$Q$242),0)</f>
        <v>0</v>
      </c>
      <c r="AG3826" s="196">
        <f t="shared" ca="1" si="837"/>
        <v>0</v>
      </c>
      <c r="AI3826" s="196">
        <f>IFERROR($G3826/SUMIF($A:$A,$A3826,$G:$G)*SUMIF(Summary!$A$247:$A$283,$A3826,Summary!$P$247:$P$283),0)</f>
        <v>0</v>
      </c>
      <c r="AJ3826" s="196">
        <f>IFERROR($G3826/SUMIF($A:$A,$A3826,$G:$G)*(SUMIF(Summary!$A$247:$A$283,$A3826,Summary!$L$247:$L$283)+SUMIF(Summary!$A$297:$A$333,$A3826,Summary!$L$297:$L$333))-AI3826,0)</f>
        <v>0</v>
      </c>
      <c r="AK3826" s="196">
        <f>IFERROR($G3826/SUMIF($A:$A,$A3826,$G:$G)*SUMIF(Summary!$A$247:$A$283,$A3826,Summary!$Q$247:$Q$283),0)</f>
        <v>0</v>
      </c>
      <c r="AL3826" s="196">
        <f>IFERROR($G3826/SUMIF($A:$A,$A3826,$G:$G)*(SUMIF(Summary!$A$247:$A$283,$A3826,Summary!$L$247:$L$283)+SUMIF(Summary!$A$297:$A$333,$A3826,Summary!$L$297:$L$333))-AK3826,0)</f>
        <v>0</v>
      </c>
      <c r="AM3826" s="198"/>
      <c r="AN3826" s="196">
        <f t="shared" ca="1" si="838"/>
        <v>0</v>
      </c>
      <c r="AO3826" s="196">
        <f t="shared" ca="1" si="839"/>
        <v>0</v>
      </c>
    </row>
    <row r="3827" spans="1:41">
      <c r="A3827" s="189">
        <v>42485</v>
      </c>
      <c r="B3827" s="190">
        <v>3</v>
      </c>
      <c r="C3827" s="191" t="s">
        <v>220</v>
      </c>
      <c r="D3827" s="192">
        <f t="shared" si="826"/>
        <v>1371</v>
      </c>
      <c r="E3827" s="192">
        <f t="shared" si="827"/>
        <v>483</v>
      </c>
      <c r="F3827" s="192">
        <f t="shared" si="828"/>
        <v>0</v>
      </c>
      <c r="G3827" s="193">
        <f t="shared" si="829"/>
        <v>1854</v>
      </c>
      <c r="H3827" s="194">
        <v>627</v>
      </c>
      <c r="I3827" s="194">
        <v>318</v>
      </c>
      <c r="J3827" s="194">
        <v>0</v>
      </c>
      <c r="K3827" s="193">
        <f t="shared" si="830"/>
        <v>945</v>
      </c>
      <c r="L3827" s="194">
        <v>636</v>
      </c>
      <c r="M3827" s="194">
        <v>84</v>
      </c>
      <c r="N3827" s="194">
        <v>0</v>
      </c>
      <c r="O3827" s="193">
        <f t="shared" si="831"/>
        <v>720</v>
      </c>
      <c r="P3827" s="194">
        <v>108</v>
      </c>
      <c r="Q3827" s="194">
        <v>81</v>
      </c>
      <c r="R3827" s="194">
        <v>0</v>
      </c>
      <c r="S3827" s="193">
        <f t="shared" si="832"/>
        <v>189</v>
      </c>
      <c r="T3827" s="193">
        <f t="shared" si="833"/>
        <v>77.25</v>
      </c>
      <c r="U3827" s="193">
        <f ca="1">OFFSET('Expenditure Study'!$B$7,'Operations Support'!$C3827,'Operations Support'!$B3827)*$G3827</f>
        <v>8268.84</v>
      </c>
      <c r="V3827" s="199">
        <f ca="1">U3827*'Expenditure Study'!$B$31</f>
        <v>488549.36872627202</v>
      </c>
      <c r="W3827" s="199">
        <f ca="1">IF(A3827=10298,1.51,1)*IF($B3827&lt;3,$D3827*'Expenditure Study'!$B$32*OFFSET('Expenditure Study'!$B$7,'Operations Support'!$C3827,'Operations Support'!$B3827),0)</f>
        <v>0</v>
      </c>
      <c r="X3827" s="200">
        <f ca="1">W3827*'Expenditure Study'!$B$31</f>
        <v>0</v>
      </c>
      <c r="Y3827" s="199">
        <f ca="1">U3827*'Expenditure Study'!$B$31</f>
        <v>488549.36872627202</v>
      </c>
      <c r="Z3827" s="200">
        <f ca="1">W3827*'Expenditure Study'!$B$31</f>
        <v>0</v>
      </c>
      <c r="AA3827" s="195">
        <f t="shared" ca="1" si="834"/>
        <v>488549.36872627202</v>
      </c>
      <c r="AB3827" s="195">
        <f t="shared" ca="1" si="835"/>
        <v>488549.36872627202</v>
      </c>
      <c r="AD3827" s="196">
        <f>IFERROR($G3827/SUMIF($A:$A,$A3827,$G:$G)*SUMIF(Summary!$A$166:$A$242,$A3827,Summary!$P$166:$P$242),0)</f>
        <v>53409.802552679961</v>
      </c>
      <c r="AE3827" s="197">
        <f t="shared" ca="1" si="836"/>
        <v>435139.56617359206</v>
      </c>
      <c r="AF3827" s="196">
        <f>IFERROR(G3827/SUMIF(A:A,A3827,G:G)*SUMIF(Summary!$A$166:$A$242,'Operations Support'!A3827,Summary!$Q$166:$Q$242),0)</f>
        <v>53446.645286923165</v>
      </c>
      <c r="AG3827" s="196">
        <f t="shared" ca="1" si="837"/>
        <v>435102.72343934886</v>
      </c>
      <c r="AI3827" s="196">
        <f>IFERROR($G3827/SUMIF($A:$A,$A3827,$G:$G)*SUMIF(Summary!$A$247:$A$283,$A3827,Summary!$P$247:$P$283),0)</f>
        <v>9740.6151588431039</v>
      </c>
      <c r="AJ3827" s="196">
        <f>IFERROR($G3827/SUMIF($A:$A,$A3827,$G:$G)*(SUMIF(Summary!$A$247:$A$283,$A3827,Summary!$L$247:$L$283)+SUMIF(Summary!$A$297:$A$333,$A3827,Summary!$L$297:$L$333))-AI3827,0)</f>
        <v>41977.476124843684</v>
      </c>
      <c r="AK3827" s="196">
        <f>IFERROR($G3827/SUMIF($A:$A,$A3827,$G:$G)*SUMIF(Summary!$A$247:$A$283,$A3827,Summary!$Q$247:$Q$283),0)</f>
        <v>9747.3343541688791</v>
      </c>
      <c r="AL3827" s="196">
        <f>IFERROR($G3827/SUMIF($A:$A,$A3827,$G:$G)*(SUMIF(Summary!$A$247:$A$283,$A3827,Summary!$L$247:$L$283)+SUMIF(Summary!$A$297:$A$333,$A3827,Summary!$L$297:$L$333))-AK3827,0)</f>
        <v>41970.756929517906</v>
      </c>
      <c r="AM3827" s="198"/>
      <c r="AN3827" s="196">
        <f t="shared" ca="1" si="838"/>
        <v>477117.04229843576</v>
      </c>
      <c r="AO3827" s="196">
        <f t="shared" ca="1" si="839"/>
        <v>477073.48036886676</v>
      </c>
    </row>
    <row r="3828" spans="1:41">
      <c r="A3828" s="189">
        <v>42485</v>
      </c>
      <c r="B3828" s="190">
        <v>3</v>
      </c>
      <c r="C3828" s="191" t="s">
        <v>221</v>
      </c>
      <c r="D3828" s="192">
        <f t="shared" si="826"/>
        <v>337</v>
      </c>
      <c r="E3828" s="192">
        <f t="shared" si="827"/>
        <v>27</v>
      </c>
      <c r="F3828" s="192">
        <f t="shared" si="828"/>
        <v>0</v>
      </c>
      <c r="G3828" s="193">
        <f t="shared" si="829"/>
        <v>364</v>
      </c>
      <c r="H3828" s="194">
        <v>157</v>
      </c>
      <c r="I3828" s="194">
        <v>18</v>
      </c>
      <c r="J3828" s="194">
        <v>0</v>
      </c>
      <c r="K3828" s="193">
        <f t="shared" si="830"/>
        <v>175</v>
      </c>
      <c r="L3828" s="194">
        <v>177</v>
      </c>
      <c r="M3828" s="194">
        <v>9</v>
      </c>
      <c r="N3828" s="194">
        <v>0</v>
      </c>
      <c r="O3828" s="193">
        <f t="shared" si="831"/>
        <v>186</v>
      </c>
      <c r="P3828" s="194">
        <v>3</v>
      </c>
      <c r="Q3828" s="194">
        <v>0</v>
      </c>
      <c r="R3828" s="194">
        <v>0</v>
      </c>
      <c r="S3828" s="193">
        <f t="shared" si="832"/>
        <v>3</v>
      </c>
      <c r="T3828" s="193">
        <f t="shared" si="833"/>
        <v>15.166666666666666</v>
      </c>
      <c r="U3828" s="193">
        <f ca="1">OFFSET('Expenditure Study'!$B$7,'Operations Support'!$C3828,'Operations Support'!$B3828)*$G3828</f>
        <v>2548</v>
      </c>
      <c r="V3828" s="199">
        <f ca="1">U3828*'Expenditure Study'!$B$31</f>
        <v>150543.9446784</v>
      </c>
      <c r="W3828" s="199">
        <f ca="1">IF(A3828=10298,1.51,1)*IF($B3828&lt;3,$D3828*'Expenditure Study'!$B$32*OFFSET('Expenditure Study'!$B$7,'Operations Support'!$C3828,'Operations Support'!$B3828),0)</f>
        <v>0</v>
      </c>
      <c r="X3828" s="200">
        <f ca="1">W3828*'Expenditure Study'!$B$31</f>
        <v>0</v>
      </c>
      <c r="Y3828" s="199">
        <f ca="1">U3828*'Expenditure Study'!$B$31</f>
        <v>150543.9446784</v>
      </c>
      <c r="Z3828" s="200">
        <f ca="1">W3828*'Expenditure Study'!$B$31</f>
        <v>0</v>
      </c>
      <c r="AA3828" s="195">
        <f t="shared" ca="1" si="834"/>
        <v>150543.9446784</v>
      </c>
      <c r="AB3828" s="195">
        <f t="shared" ca="1" si="835"/>
        <v>150543.9446784</v>
      </c>
      <c r="AD3828" s="196">
        <f>IFERROR($G3828/SUMIF($A:$A,$A3828,$G:$G)*SUMIF(Summary!$A$166:$A$242,$A3828,Summary!$P$166:$P$242),0)</f>
        <v>10486.066952090348</v>
      </c>
      <c r="AE3828" s="197">
        <f t="shared" ca="1" si="836"/>
        <v>140057.87772630964</v>
      </c>
      <c r="AF3828" s="196">
        <f>IFERROR(G3828/SUMIF(A:A,A3828,G:G)*SUMIF(Summary!$A$166:$A$242,'Operations Support'!A3828,Summary!$Q$166:$Q$242),0)</f>
        <v>10493.300369169381</v>
      </c>
      <c r="AG3828" s="196">
        <f t="shared" ca="1" si="837"/>
        <v>140050.64430923061</v>
      </c>
      <c r="AI3828" s="196">
        <f>IFERROR($G3828/SUMIF($A:$A,$A3828,$G:$G)*SUMIF(Summary!$A$247:$A$283,$A3828,Summary!$P$247:$P$283),0)</f>
        <v>1912.3969351773949</v>
      </c>
      <c r="AJ3828" s="196">
        <f>IFERROR($G3828/SUMIF($A:$A,$A3828,$G:$G)*(SUMIF(Summary!$A$247:$A$283,$A3828,Summary!$L$247:$L$283)+SUMIF(Summary!$A$297:$A$333,$A3828,Summary!$L$297:$L$333))-AI3828,0)</f>
        <v>8241.5325293652095</v>
      </c>
      <c r="AK3828" s="196">
        <f>IFERROR($G3828/SUMIF($A:$A,$A3828,$G:$G)*SUMIF(Summary!$A$247:$A$283,$A3828,Summary!$Q$247:$Q$283),0)</f>
        <v>1913.7161299446993</v>
      </c>
      <c r="AL3828" s="196">
        <f>IFERROR($G3828/SUMIF($A:$A,$A3828,$G:$G)*(SUMIF(Summary!$A$247:$A$283,$A3828,Summary!$L$247:$L$283)+SUMIF(Summary!$A$297:$A$333,$A3828,Summary!$L$297:$L$333))-AK3828,0)</f>
        <v>8240.2133345979055</v>
      </c>
      <c r="AM3828" s="198"/>
      <c r="AN3828" s="196">
        <f t="shared" ca="1" si="838"/>
        <v>148299.41025567485</v>
      </c>
      <c r="AO3828" s="196">
        <f t="shared" ca="1" si="839"/>
        <v>148290.85764382852</v>
      </c>
    </row>
    <row r="3829" spans="1:41">
      <c r="A3829" s="189">
        <v>42485</v>
      </c>
      <c r="B3829" s="190">
        <v>3</v>
      </c>
      <c r="C3829" s="191" t="s">
        <v>222</v>
      </c>
      <c r="D3829" s="192">
        <f t="shared" si="826"/>
        <v>0</v>
      </c>
      <c r="E3829" s="192">
        <f t="shared" si="827"/>
        <v>0</v>
      </c>
      <c r="F3829" s="192">
        <f t="shared" si="828"/>
        <v>0</v>
      </c>
      <c r="G3829" s="193">
        <f t="shared" si="829"/>
        <v>0</v>
      </c>
      <c r="H3829" s="194">
        <v>0</v>
      </c>
      <c r="I3829" s="194">
        <v>0</v>
      </c>
      <c r="J3829" s="194">
        <v>0</v>
      </c>
      <c r="K3829" s="193">
        <f t="shared" si="830"/>
        <v>0</v>
      </c>
      <c r="L3829" s="194">
        <v>0</v>
      </c>
      <c r="M3829" s="194">
        <v>0</v>
      </c>
      <c r="N3829" s="194">
        <v>0</v>
      </c>
      <c r="O3829" s="193">
        <f t="shared" si="831"/>
        <v>0</v>
      </c>
      <c r="P3829" s="194">
        <v>0</v>
      </c>
      <c r="Q3829" s="194">
        <v>0</v>
      </c>
      <c r="R3829" s="194">
        <v>0</v>
      </c>
      <c r="S3829" s="193">
        <f t="shared" si="832"/>
        <v>0</v>
      </c>
      <c r="T3829" s="193">
        <f t="shared" si="833"/>
        <v>0</v>
      </c>
      <c r="U3829" s="193">
        <f ca="1">OFFSET('Expenditure Study'!$B$7,'Operations Support'!$C3829,'Operations Support'!$B3829)*$G3829</f>
        <v>0</v>
      </c>
      <c r="V3829" s="199">
        <f ca="1">U3829*'Expenditure Study'!$B$31</f>
        <v>0</v>
      </c>
      <c r="W3829" s="199">
        <f ca="1">IF(A3829=10298,1.51,1)*IF($B3829&lt;3,$D3829*'Expenditure Study'!$B$32*OFFSET('Expenditure Study'!$B$7,'Operations Support'!$C3829,'Operations Support'!$B3829),0)</f>
        <v>0</v>
      </c>
      <c r="X3829" s="200">
        <f ca="1">W3829*'Expenditure Study'!$B$31</f>
        <v>0</v>
      </c>
      <c r="Y3829" s="199">
        <f ca="1">U3829*'Expenditure Study'!$B$31</f>
        <v>0</v>
      </c>
      <c r="Z3829" s="200">
        <f ca="1">W3829*'Expenditure Study'!$B$31</f>
        <v>0</v>
      </c>
      <c r="AA3829" s="195">
        <f t="shared" ca="1" si="834"/>
        <v>0</v>
      </c>
      <c r="AB3829" s="195">
        <f t="shared" ca="1" si="835"/>
        <v>0</v>
      </c>
      <c r="AD3829" s="196">
        <f>IFERROR($G3829/SUMIF($A:$A,$A3829,$G:$G)*SUMIF(Summary!$A$166:$A$242,$A3829,Summary!$P$166:$P$242),0)</f>
        <v>0</v>
      </c>
      <c r="AE3829" s="197">
        <f t="shared" ca="1" si="836"/>
        <v>0</v>
      </c>
      <c r="AF3829" s="196">
        <f>IFERROR(G3829/SUMIF(A:A,A3829,G:G)*SUMIF(Summary!$A$166:$A$242,'Operations Support'!A3829,Summary!$Q$166:$Q$242),0)</f>
        <v>0</v>
      </c>
      <c r="AG3829" s="196">
        <f t="shared" ca="1" si="837"/>
        <v>0</v>
      </c>
      <c r="AI3829" s="196">
        <f>IFERROR($G3829/SUMIF($A:$A,$A3829,$G:$G)*SUMIF(Summary!$A$247:$A$283,$A3829,Summary!$P$247:$P$283),0)</f>
        <v>0</v>
      </c>
      <c r="AJ3829" s="196">
        <f>IFERROR($G3829/SUMIF($A:$A,$A3829,$G:$G)*(SUMIF(Summary!$A$247:$A$283,$A3829,Summary!$L$247:$L$283)+SUMIF(Summary!$A$297:$A$333,$A3829,Summary!$L$297:$L$333))-AI3829,0)</f>
        <v>0</v>
      </c>
      <c r="AK3829" s="196">
        <f>IFERROR($G3829/SUMIF($A:$A,$A3829,$G:$G)*SUMIF(Summary!$A$247:$A$283,$A3829,Summary!$Q$247:$Q$283),0)</f>
        <v>0</v>
      </c>
      <c r="AL3829" s="196">
        <f>IFERROR($G3829/SUMIF($A:$A,$A3829,$G:$G)*(SUMIF(Summary!$A$247:$A$283,$A3829,Summary!$L$247:$L$283)+SUMIF(Summary!$A$297:$A$333,$A3829,Summary!$L$297:$L$333))-AK3829,0)</f>
        <v>0</v>
      </c>
      <c r="AM3829" s="198"/>
      <c r="AN3829" s="196">
        <f t="shared" ca="1" si="838"/>
        <v>0</v>
      </c>
      <c r="AO3829" s="196">
        <f t="shared" ca="1" si="839"/>
        <v>0</v>
      </c>
    </row>
    <row r="3830" spans="1:41">
      <c r="A3830" s="189">
        <v>42485</v>
      </c>
      <c r="B3830" s="190">
        <v>3</v>
      </c>
      <c r="C3830" s="191" t="s">
        <v>223</v>
      </c>
      <c r="D3830" s="192">
        <f t="shared" si="826"/>
        <v>3521.7</v>
      </c>
      <c r="E3830" s="192">
        <f t="shared" si="827"/>
        <v>1056.3</v>
      </c>
      <c r="F3830" s="192">
        <f t="shared" si="828"/>
        <v>0</v>
      </c>
      <c r="G3830" s="193">
        <f t="shared" si="829"/>
        <v>4578</v>
      </c>
      <c r="H3830" s="194">
        <v>1617</v>
      </c>
      <c r="I3830" s="194">
        <v>270</v>
      </c>
      <c r="J3830" s="194">
        <v>0</v>
      </c>
      <c r="K3830" s="193">
        <f t="shared" si="830"/>
        <v>1887</v>
      </c>
      <c r="L3830" s="194">
        <v>1134</v>
      </c>
      <c r="M3830" s="194">
        <v>282</v>
      </c>
      <c r="N3830" s="194">
        <v>0</v>
      </c>
      <c r="O3830" s="193">
        <f t="shared" si="831"/>
        <v>1416</v>
      </c>
      <c r="P3830" s="194">
        <v>770.7</v>
      </c>
      <c r="Q3830" s="194">
        <v>504.3</v>
      </c>
      <c r="R3830" s="194">
        <v>0</v>
      </c>
      <c r="S3830" s="193">
        <f t="shared" si="832"/>
        <v>1275</v>
      </c>
      <c r="T3830" s="193">
        <f t="shared" si="833"/>
        <v>190.75</v>
      </c>
      <c r="U3830" s="193">
        <f ca="1">OFFSET('Expenditure Study'!$B$7,'Operations Support'!$C3830,'Operations Support'!$B3830)*$G3830</f>
        <v>10254.720000000001</v>
      </c>
      <c r="V3830" s="199">
        <f ca="1">U3830*'Expenditure Study'!$B$31</f>
        <v>605881.47581337614</v>
      </c>
      <c r="W3830" s="199">
        <f ca="1">IF(A3830=10298,1.51,1)*IF($B3830&lt;3,$D3830*'Expenditure Study'!$B$32*OFFSET('Expenditure Study'!$B$7,'Operations Support'!$C3830,'Operations Support'!$B3830),0)</f>
        <v>0</v>
      </c>
      <c r="X3830" s="200">
        <f ca="1">W3830*'Expenditure Study'!$B$31</f>
        <v>0</v>
      </c>
      <c r="Y3830" s="199">
        <f ca="1">U3830*'Expenditure Study'!$B$31</f>
        <v>605881.47581337614</v>
      </c>
      <c r="Z3830" s="200">
        <f ca="1">W3830*'Expenditure Study'!$B$31</f>
        <v>0</v>
      </c>
      <c r="AA3830" s="195">
        <f t="shared" ca="1" si="834"/>
        <v>605881.47581337614</v>
      </c>
      <c r="AB3830" s="195">
        <f t="shared" ca="1" si="835"/>
        <v>605881.47581337614</v>
      </c>
      <c r="AD3830" s="196">
        <f>IFERROR($G3830/SUMIF($A:$A,$A3830,$G:$G)*SUMIF(Summary!$A$166:$A$242,$A3830,Summary!$P$166:$P$242),0)</f>
        <v>131882.45743590553</v>
      </c>
      <c r="AE3830" s="197">
        <f t="shared" ca="1" si="836"/>
        <v>473999.01837747061</v>
      </c>
      <c r="AF3830" s="196">
        <f>IFERROR(G3830/SUMIF(A:A,A3830,G:G)*SUMIF(Summary!$A$166:$A$242,'Operations Support'!A3830,Summary!$Q$166:$Q$242),0)</f>
        <v>131973.43156609184</v>
      </c>
      <c r="AG3830" s="196">
        <f t="shared" ca="1" si="837"/>
        <v>473908.0442472843</v>
      </c>
      <c r="AI3830" s="196">
        <f>IFERROR($G3830/SUMIF($A:$A,$A3830,$G:$G)*SUMIF(Summary!$A$247:$A$283,$A3830,Summary!$P$247:$P$283),0)</f>
        <v>24052.069146269543</v>
      </c>
      <c r="AJ3830" s="196">
        <f>IFERROR($G3830/SUMIF($A:$A,$A3830,$G:$G)*(SUMIF(Summary!$A$247:$A$283,$A3830,Summary!$L$247:$L$283)+SUMIF(Summary!$A$297:$A$333,$A3830,Summary!$L$297:$L$333))-AI3830,0)</f>
        <v>103653.12065778553</v>
      </c>
      <c r="AK3830" s="196">
        <f>IFERROR($G3830/SUMIF($A:$A,$A3830,$G:$G)*SUMIF(Summary!$A$247:$A$283,$A3830,Summary!$Q$247:$Q$283),0)</f>
        <v>24068.660557381409</v>
      </c>
      <c r="AL3830" s="196">
        <f>IFERROR($G3830/SUMIF($A:$A,$A3830,$G:$G)*(SUMIF(Summary!$A$247:$A$283,$A3830,Summary!$L$247:$L$283)+SUMIF(Summary!$A$297:$A$333,$A3830,Summary!$L$297:$L$333))-AK3830,0)</f>
        <v>103636.52924667366</v>
      </c>
      <c r="AM3830" s="198"/>
      <c r="AN3830" s="196">
        <f t="shared" ca="1" si="838"/>
        <v>577652.13903525611</v>
      </c>
      <c r="AO3830" s="196">
        <f t="shared" ca="1" si="839"/>
        <v>577544.57349395799</v>
      </c>
    </row>
    <row r="3831" spans="1:41">
      <c r="A3831" s="189">
        <v>42485</v>
      </c>
      <c r="B3831" s="190">
        <v>3</v>
      </c>
      <c r="C3831" s="191" t="s">
        <v>224</v>
      </c>
      <c r="D3831" s="192">
        <f t="shared" si="826"/>
        <v>0</v>
      </c>
      <c r="E3831" s="192">
        <f t="shared" si="827"/>
        <v>0</v>
      </c>
      <c r="F3831" s="192">
        <f t="shared" si="828"/>
        <v>0</v>
      </c>
      <c r="G3831" s="193">
        <f t="shared" si="829"/>
        <v>0</v>
      </c>
      <c r="H3831" s="194">
        <v>0</v>
      </c>
      <c r="I3831" s="194">
        <v>0</v>
      </c>
      <c r="J3831" s="194">
        <v>0</v>
      </c>
      <c r="K3831" s="193">
        <f t="shared" si="830"/>
        <v>0</v>
      </c>
      <c r="L3831" s="194">
        <v>0</v>
      </c>
      <c r="M3831" s="194">
        <v>0</v>
      </c>
      <c r="N3831" s="194">
        <v>0</v>
      </c>
      <c r="O3831" s="193">
        <f t="shared" si="831"/>
        <v>0</v>
      </c>
      <c r="P3831" s="194">
        <v>0</v>
      </c>
      <c r="Q3831" s="194">
        <v>0</v>
      </c>
      <c r="R3831" s="194">
        <v>0</v>
      </c>
      <c r="S3831" s="193">
        <f t="shared" si="832"/>
        <v>0</v>
      </c>
      <c r="T3831" s="193">
        <f t="shared" si="833"/>
        <v>0</v>
      </c>
      <c r="U3831" s="193">
        <f ca="1">OFFSET('Expenditure Study'!$B$7,'Operations Support'!$C3831,'Operations Support'!$B3831)*$G3831</f>
        <v>0</v>
      </c>
      <c r="V3831" s="199">
        <f ca="1">U3831*'Expenditure Study'!$B$31</f>
        <v>0</v>
      </c>
      <c r="W3831" s="199">
        <f ca="1">IF(A3831=10298,1.51,1)*IF($B3831&lt;3,$D3831*'Expenditure Study'!$B$32*OFFSET('Expenditure Study'!$B$7,'Operations Support'!$C3831,'Operations Support'!$B3831),0)</f>
        <v>0</v>
      </c>
      <c r="X3831" s="200">
        <f ca="1">W3831*'Expenditure Study'!$B$31</f>
        <v>0</v>
      </c>
      <c r="Y3831" s="199">
        <f ca="1">U3831*'Expenditure Study'!$B$31</f>
        <v>0</v>
      </c>
      <c r="Z3831" s="200">
        <f ca="1">W3831*'Expenditure Study'!$B$31</f>
        <v>0</v>
      </c>
      <c r="AA3831" s="195">
        <f t="shared" ca="1" si="834"/>
        <v>0</v>
      </c>
      <c r="AB3831" s="195">
        <f t="shared" ca="1" si="835"/>
        <v>0</v>
      </c>
      <c r="AD3831" s="196">
        <f>IFERROR($G3831/SUMIF($A:$A,$A3831,$G:$G)*SUMIF(Summary!$A$166:$A$242,$A3831,Summary!$P$166:$P$242),0)</f>
        <v>0</v>
      </c>
      <c r="AE3831" s="197">
        <f t="shared" ca="1" si="836"/>
        <v>0</v>
      </c>
      <c r="AF3831" s="196">
        <f>IFERROR(G3831/SUMIF(A:A,A3831,G:G)*SUMIF(Summary!$A$166:$A$242,'Operations Support'!A3831,Summary!$Q$166:$Q$242),0)</f>
        <v>0</v>
      </c>
      <c r="AG3831" s="196">
        <f t="shared" ca="1" si="837"/>
        <v>0</v>
      </c>
      <c r="AI3831" s="196">
        <f>IFERROR($G3831/SUMIF($A:$A,$A3831,$G:$G)*SUMIF(Summary!$A$247:$A$283,$A3831,Summary!$P$247:$P$283),0)</f>
        <v>0</v>
      </c>
      <c r="AJ3831" s="196">
        <f>IFERROR($G3831/SUMIF($A:$A,$A3831,$G:$G)*(SUMIF(Summary!$A$247:$A$283,$A3831,Summary!$L$247:$L$283)+SUMIF(Summary!$A$297:$A$333,$A3831,Summary!$L$297:$L$333))-AI3831,0)</f>
        <v>0</v>
      </c>
      <c r="AK3831" s="196">
        <f>IFERROR($G3831/SUMIF($A:$A,$A3831,$G:$G)*SUMIF(Summary!$A$247:$A$283,$A3831,Summary!$Q$247:$Q$283),0)</f>
        <v>0</v>
      </c>
      <c r="AL3831" s="196">
        <f>IFERROR($G3831/SUMIF($A:$A,$A3831,$G:$G)*(SUMIF(Summary!$A$247:$A$283,$A3831,Summary!$L$247:$L$283)+SUMIF(Summary!$A$297:$A$333,$A3831,Summary!$L$297:$L$333))-AK3831,0)</f>
        <v>0</v>
      </c>
      <c r="AM3831" s="198"/>
      <c r="AN3831" s="196">
        <f t="shared" ca="1" si="838"/>
        <v>0</v>
      </c>
      <c r="AO3831" s="196">
        <f t="shared" ca="1" si="839"/>
        <v>0</v>
      </c>
    </row>
    <row r="3832" spans="1:41">
      <c r="A3832" s="189">
        <v>42485</v>
      </c>
      <c r="B3832" s="190">
        <v>3</v>
      </c>
      <c r="C3832" s="191" t="s">
        <v>225</v>
      </c>
      <c r="D3832" s="192">
        <f t="shared" si="826"/>
        <v>255</v>
      </c>
      <c r="E3832" s="192">
        <f t="shared" si="827"/>
        <v>174</v>
      </c>
      <c r="F3832" s="192">
        <f t="shared" si="828"/>
        <v>0</v>
      </c>
      <c r="G3832" s="193">
        <f t="shared" si="829"/>
        <v>429</v>
      </c>
      <c r="H3832" s="194">
        <v>123</v>
      </c>
      <c r="I3832" s="194">
        <v>150</v>
      </c>
      <c r="J3832" s="194">
        <v>0</v>
      </c>
      <c r="K3832" s="193">
        <f t="shared" si="830"/>
        <v>273</v>
      </c>
      <c r="L3832" s="194">
        <v>114</v>
      </c>
      <c r="M3832" s="194">
        <v>0</v>
      </c>
      <c r="N3832" s="194">
        <v>0</v>
      </c>
      <c r="O3832" s="193">
        <f t="shared" si="831"/>
        <v>114</v>
      </c>
      <c r="P3832" s="194">
        <v>18</v>
      </c>
      <c r="Q3832" s="194">
        <v>24</v>
      </c>
      <c r="R3832" s="194">
        <v>0</v>
      </c>
      <c r="S3832" s="193">
        <f t="shared" si="832"/>
        <v>42</v>
      </c>
      <c r="T3832" s="193">
        <f t="shared" si="833"/>
        <v>17.875</v>
      </c>
      <c r="U3832" s="193">
        <f ca="1">OFFSET('Expenditure Study'!$B$7,'Operations Support'!$C3832,'Operations Support'!$B3832)*$G3832</f>
        <v>2964.39</v>
      </c>
      <c r="V3832" s="199">
        <f ca="1">U3832*'Expenditure Study'!$B$31</f>
        <v>175145.59033171198</v>
      </c>
      <c r="W3832" s="199">
        <f ca="1">IF(A3832=10298,1.51,1)*IF($B3832&lt;3,$D3832*'Expenditure Study'!$B$32*OFFSET('Expenditure Study'!$B$7,'Operations Support'!$C3832,'Operations Support'!$B3832),0)</f>
        <v>0</v>
      </c>
      <c r="X3832" s="200">
        <f ca="1">W3832*'Expenditure Study'!$B$31</f>
        <v>0</v>
      </c>
      <c r="Y3832" s="199">
        <f ca="1">U3832*'Expenditure Study'!$B$31</f>
        <v>175145.59033171198</v>
      </c>
      <c r="Z3832" s="200">
        <f ca="1">W3832*'Expenditure Study'!$B$31</f>
        <v>0</v>
      </c>
      <c r="AA3832" s="195">
        <f t="shared" ca="1" si="834"/>
        <v>175145.59033171198</v>
      </c>
      <c r="AB3832" s="195">
        <f t="shared" ca="1" si="835"/>
        <v>175145.59033171198</v>
      </c>
      <c r="AD3832" s="196">
        <f>IFERROR($G3832/SUMIF($A:$A,$A3832,$G:$G)*SUMIF(Summary!$A$166:$A$242,$A3832,Summary!$P$166:$P$242),0)</f>
        <v>12358.578907820769</v>
      </c>
      <c r="AE3832" s="197">
        <f t="shared" ca="1" si="836"/>
        <v>162787.01142389121</v>
      </c>
      <c r="AF3832" s="196">
        <f>IFERROR(G3832/SUMIF(A:A,A3832,G:G)*SUMIF(Summary!$A$166:$A$242,'Operations Support'!A3832,Summary!$Q$166:$Q$242),0)</f>
        <v>12367.104006521056</v>
      </c>
      <c r="AG3832" s="196">
        <f t="shared" ca="1" si="837"/>
        <v>162778.48632519093</v>
      </c>
      <c r="AI3832" s="196">
        <f>IFERROR($G3832/SUMIF($A:$A,$A3832,$G:$G)*SUMIF(Summary!$A$247:$A$283,$A3832,Summary!$P$247:$P$283),0)</f>
        <v>2253.8963878876439</v>
      </c>
      <c r="AJ3832" s="196">
        <f>IFERROR($G3832/SUMIF($A:$A,$A3832,$G:$G)*(SUMIF(Summary!$A$247:$A$283,$A3832,Summary!$L$247:$L$283)+SUMIF(Summary!$A$297:$A$333,$A3832,Summary!$L$297:$L$333))-AI3832,0)</f>
        <v>9713.2347667518552</v>
      </c>
      <c r="AK3832" s="196">
        <f>IFERROR($G3832/SUMIF($A:$A,$A3832,$G:$G)*SUMIF(Summary!$A$247:$A$283,$A3832,Summary!$Q$247:$Q$283),0)</f>
        <v>2255.4511531491098</v>
      </c>
      <c r="AL3832" s="196">
        <f>IFERROR($G3832/SUMIF($A:$A,$A3832,$G:$G)*(SUMIF(Summary!$A$247:$A$283,$A3832,Summary!$L$247:$L$283)+SUMIF(Summary!$A$297:$A$333,$A3832,Summary!$L$297:$L$333))-AK3832,0)</f>
        <v>9711.6800014903893</v>
      </c>
      <c r="AM3832" s="198"/>
      <c r="AN3832" s="196">
        <f t="shared" ca="1" si="838"/>
        <v>172500.24619064305</v>
      </c>
      <c r="AO3832" s="196">
        <f t="shared" ca="1" si="839"/>
        <v>172490.16632668133</v>
      </c>
    </row>
    <row r="3833" spans="1:41">
      <c r="A3833" s="189">
        <v>42485</v>
      </c>
      <c r="B3833" s="190">
        <v>3</v>
      </c>
      <c r="C3833" s="191" t="s">
        <v>226</v>
      </c>
      <c r="D3833" s="192">
        <f t="shared" si="826"/>
        <v>42</v>
      </c>
      <c r="E3833" s="192">
        <f t="shared" si="827"/>
        <v>276</v>
      </c>
      <c r="F3833" s="192">
        <f t="shared" si="828"/>
        <v>0</v>
      </c>
      <c r="G3833" s="193">
        <f t="shared" si="829"/>
        <v>318</v>
      </c>
      <c r="H3833" s="194">
        <v>0</v>
      </c>
      <c r="I3833" s="194">
        <v>120</v>
      </c>
      <c r="J3833" s="194">
        <v>0</v>
      </c>
      <c r="K3833" s="193">
        <f t="shared" si="830"/>
        <v>120</v>
      </c>
      <c r="L3833" s="194">
        <v>42</v>
      </c>
      <c r="M3833" s="194">
        <v>123</v>
      </c>
      <c r="N3833" s="194">
        <v>0</v>
      </c>
      <c r="O3833" s="193">
        <f t="shared" si="831"/>
        <v>165</v>
      </c>
      <c r="P3833" s="194">
        <v>0</v>
      </c>
      <c r="Q3833" s="194">
        <v>33</v>
      </c>
      <c r="R3833" s="194">
        <v>0</v>
      </c>
      <c r="S3833" s="193">
        <f t="shared" si="832"/>
        <v>33</v>
      </c>
      <c r="T3833" s="193">
        <f t="shared" si="833"/>
        <v>13.25</v>
      </c>
      <c r="U3833" s="193">
        <f ca="1">OFFSET('Expenditure Study'!$B$7,'Operations Support'!$C3833,'Operations Support'!$B3833)*$G3833</f>
        <v>1097.1000000000001</v>
      </c>
      <c r="V3833" s="199">
        <f ca="1">U3833*'Expenditure Study'!$B$31</f>
        <v>64820.157655680006</v>
      </c>
      <c r="W3833" s="199">
        <f ca="1">IF(A3833=10298,1.51,1)*IF($B3833&lt;3,$D3833*'Expenditure Study'!$B$32*OFFSET('Expenditure Study'!$B$7,'Operations Support'!$C3833,'Operations Support'!$B3833),0)</f>
        <v>0</v>
      </c>
      <c r="X3833" s="200">
        <f ca="1">W3833*'Expenditure Study'!$B$31</f>
        <v>0</v>
      </c>
      <c r="Y3833" s="199">
        <f ca="1">U3833*'Expenditure Study'!$B$31</f>
        <v>64820.157655680006</v>
      </c>
      <c r="Z3833" s="200">
        <f ca="1">W3833*'Expenditure Study'!$B$31</f>
        <v>0</v>
      </c>
      <c r="AA3833" s="195">
        <f t="shared" ca="1" si="834"/>
        <v>64820.157655680006</v>
      </c>
      <c r="AB3833" s="195">
        <f t="shared" ca="1" si="835"/>
        <v>64820.157655680006</v>
      </c>
      <c r="AD3833" s="196">
        <f>IFERROR($G3833/SUMIF($A:$A,$A3833,$G:$G)*SUMIF(Summary!$A$166:$A$242,$A3833,Summary!$P$166:$P$242),0)</f>
        <v>9160.9046449580528</v>
      </c>
      <c r="AE3833" s="197">
        <f t="shared" ca="1" si="836"/>
        <v>55659.25301072195</v>
      </c>
      <c r="AF3833" s="196">
        <f>IFERROR(G3833/SUMIF(A:A,A3833,G:G)*SUMIF(Summary!$A$166:$A$242,'Operations Support'!A3833,Summary!$Q$166:$Q$242),0)</f>
        <v>9167.2239488897339</v>
      </c>
      <c r="AG3833" s="196">
        <f t="shared" ca="1" si="837"/>
        <v>55652.933706790274</v>
      </c>
      <c r="AI3833" s="196">
        <f>IFERROR($G3833/SUMIF($A:$A,$A3833,$G:$G)*SUMIF(Summary!$A$247:$A$283,$A3833,Summary!$P$247:$P$283),0)</f>
        <v>1670.7203994132187</v>
      </c>
      <c r="AJ3833" s="196">
        <f>IFERROR($G3833/SUMIF($A:$A,$A3833,$G:$G)*(SUMIF(Summary!$A$247:$A$283,$A3833,Summary!$L$247:$L$283)+SUMIF(Summary!$A$297:$A$333,$A3833,Summary!$L$297:$L$333))-AI3833,0)</f>
        <v>7200.0201767531244</v>
      </c>
      <c r="AK3833" s="196">
        <f>IFERROR($G3833/SUMIF($A:$A,$A3833,$G:$G)*SUMIF(Summary!$A$247:$A$283,$A3833,Summary!$Q$247:$Q$283),0)</f>
        <v>1671.8728827538857</v>
      </c>
      <c r="AL3833" s="196">
        <f>IFERROR($G3833/SUMIF($A:$A,$A3833,$G:$G)*(SUMIF(Summary!$A$247:$A$283,$A3833,Summary!$L$247:$L$283)+SUMIF(Summary!$A$297:$A$333,$A3833,Summary!$L$297:$L$333))-AK3833,0)</f>
        <v>7198.8676934124578</v>
      </c>
      <c r="AM3833" s="198"/>
      <c r="AN3833" s="196">
        <f t="shared" ca="1" si="838"/>
        <v>62859.273187475075</v>
      </c>
      <c r="AO3833" s="196">
        <f t="shared" ca="1" si="839"/>
        <v>62851.801400202734</v>
      </c>
    </row>
    <row r="3834" spans="1:41">
      <c r="A3834" s="189">
        <v>42485</v>
      </c>
      <c r="B3834" s="190">
        <v>3</v>
      </c>
      <c r="C3834" s="191" t="s">
        <v>227</v>
      </c>
      <c r="D3834" s="192">
        <f t="shared" si="826"/>
        <v>0</v>
      </c>
      <c r="E3834" s="192">
        <f t="shared" si="827"/>
        <v>0</v>
      </c>
      <c r="F3834" s="192">
        <f t="shared" si="828"/>
        <v>0</v>
      </c>
      <c r="G3834" s="193">
        <f t="shared" si="829"/>
        <v>0</v>
      </c>
      <c r="H3834" s="194">
        <v>0</v>
      </c>
      <c r="I3834" s="194">
        <v>0</v>
      </c>
      <c r="J3834" s="194">
        <v>0</v>
      </c>
      <c r="K3834" s="193">
        <f t="shared" si="830"/>
        <v>0</v>
      </c>
      <c r="L3834" s="194">
        <v>0</v>
      </c>
      <c r="M3834" s="194">
        <v>0</v>
      </c>
      <c r="N3834" s="194">
        <v>0</v>
      </c>
      <c r="O3834" s="193">
        <f t="shared" si="831"/>
        <v>0</v>
      </c>
      <c r="P3834" s="194">
        <v>0</v>
      </c>
      <c r="Q3834" s="194">
        <v>0</v>
      </c>
      <c r="R3834" s="194">
        <v>0</v>
      </c>
      <c r="S3834" s="193">
        <f t="shared" si="832"/>
        <v>0</v>
      </c>
      <c r="T3834" s="193">
        <f t="shared" si="833"/>
        <v>0</v>
      </c>
      <c r="U3834" s="193">
        <f ca="1">OFFSET('Expenditure Study'!$B$7,'Operations Support'!$C3834,'Operations Support'!$B3834)*$G3834</f>
        <v>0</v>
      </c>
      <c r="V3834" s="199">
        <f ca="1">U3834*'Expenditure Study'!$B$31</f>
        <v>0</v>
      </c>
      <c r="W3834" s="199">
        <f ca="1">IF(A3834=10298,1.51,1)*IF($B3834&lt;3,$D3834*'Expenditure Study'!$B$32*OFFSET('Expenditure Study'!$B$7,'Operations Support'!$C3834,'Operations Support'!$B3834),0)</f>
        <v>0</v>
      </c>
      <c r="X3834" s="200">
        <f ca="1">W3834*'Expenditure Study'!$B$31</f>
        <v>0</v>
      </c>
      <c r="Y3834" s="199">
        <f ca="1">U3834*'Expenditure Study'!$B$31</f>
        <v>0</v>
      </c>
      <c r="Z3834" s="200">
        <f ca="1">W3834*'Expenditure Study'!$B$31</f>
        <v>0</v>
      </c>
      <c r="AA3834" s="195">
        <f t="shared" ca="1" si="834"/>
        <v>0</v>
      </c>
      <c r="AB3834" s="195">
        <f t="shared" ca="1" si="835"/>
        <v>0</v>
      </c>
      <c r="AD3834" s="196">
        <f>IFERROR($G3834/SUMIF($A:$A,$A3834,$G:$G)*SUMIF(Summary!$A$166:$A$242,$A3834,Summary!$P$166:$P$242),0)</f>
        <v>0</v>
      </c>
      <c r="AE3834" s="197">
        <f t="shared" ca="1" si="836"/>
        <v>0</v>
      </c>
      <c r="AF3834" s="196">
        <f>IFERROR(G3834/SUMIF(A:A,A3834,G:G)*SUMIF(Summary!$A$166:$A$242,'Operations Support'!A3834,Summary!$Q$166:$Q$242),0)</f>
        <v>0</v>
      </c>
      <c r="AG3834" s="196">
        <f t="shared" ca="1" si="837"/>
        <v>0</v>
      </c>
      <c r="AI3834" s="196">
        <f>IFERROR($G3834/SUMIF($A:$A,$A3834,$G:$G)*SUMIF(Summary!$A$247:$A$283,$A3834,Summary!$P$247:$P$283),0)</f>
        <v>0</v>
      </c>
      <c r="AJ3834" s="196">
        <f>IFERROR($G3834/SUMIF($A:$A,$A3834,$G:$G)*(SUMIF(Summary!$A$247:$A$283,$A3834,Summary!$L$247:$L$283)+SUMIF(Summary!$A$297:$A$333,$A3834,Summary!$L$297:$L$333))-AI3834,0)</f>
        <v>0</v>
      </c>
      <c r="AK3834" s="196">
        <f>IFERROR($G3834/SUMIF($A:$A,$A3834,$G:$G)*SUMIF(Summary!$A$247:$A$283,$A3834,Summary!$Q$247:$Q$283),0)</f>
        <v>0</v>
      </c>
      <c r="AL3834" s="196">
        <f>IFERROR($G3834/SUMIF($A:$A,$A3834,$G:$G)*(SUMIF(Summary!$A$247:$A$283,$A3834,Summary!$L$247:$L$283)+SUMIF(Summary!$A$297:$A$333,$A3834,Summary!$L$297:$L$333))-AK3834,0)</f>
        <v>0</v>
      </c>
      <c r="AM3834" s="198"/>
      <c r="AN3834" s="196">
        <f t="shared" ca="1" si="838"/>
        <v>0</v>
      </c>
      <c r="AO3834" s="196">
        <f t="shared" ca="1" si="839"/>
        <v>0</v>
      </c>
    </row>
    <row r="3835" spans="1:41">
      <c r="A3835" s="189">
        <v>42485</v>
      </c>
      <c r="B3835" s="190">
        <v>3</v>
      </c>
      <c r="C3835" s="191" t="s">
        <v>228</v>
      </c>
      <c r="D3835" s="192">
        <f t="shared" si="826"/>
        <v>0</v>
      </c>
      <c r="E3835" s="192">
        <f t="shared" si="827"/>
        <v>0</v>
      </c>
      <c r="F3835" s="192">
        <f t="shared" si="828"/>
        <v>0</v>
      </c>
      <c r="G3835" s="193">
        <f t="shared" si="829"/>
        <v>0</v>
      </c>
      <c r="H3835" s="194">
        <v>0</v>
      </c>
      <c r="I3835" s="194">
        <v>0</v>
      </c>
      <c r="J3835" s="194">
        <v>0</v>
      </c>
      <c r="K3835" s="193">
        <f t="shared" si="830"/>
        <v>0</v>
      </c>
      <c r="L3835" s="194">
        <v>0</v>
      </c>
      <c r="M3835" s="194">
        <v>0</v>
      </c>
      <c r="N3835" s="194">
        <v>0</v>
      </c>
      <c r="O3835" s="193">
        <f t="shared" si="831"/>
        <v>0</v>
      </c>
      <c r="P3835" s="194">
        <v>0</v>
      </c>
      <c r="Q3835" s="194">
        <v>0</v>
      </c>
      <c r="R3835" s="194">
        <v>0</v>
      </c>
      <c r="S3835" s="193">
        <f t="shared" si="832"/>
        <v>0</v>
      </c>
      <c r="T3835" s="193">
        <f t="shared" si="833"/>
        <v>0</v>
      </c>
      <c r="U3835" s="193">
        <f ca="1">OFFSET('Expenditure Study'!$B$7,'Operations Support'!$C3835,'Operations Support'!$B3835)*$G3835</f>
        <v>0</v>
      </c>
      <c r="V3835" s="199">
        <f ca="1">U3835*'Expenditure Study'!$B$31</f>
        <v>0</v>
      </c>
      <c r="W3835" s="199">
        <f ca="1">IF(A3835=10298,1.51,1)*IF($B3835&lt;3,$D3835*'Expenditure Study'!$B$32*OFFSET('Expenditure Study'!$B$7,'Operations Support'!$C3835,'Operations Support'!$B3835),0)</f>
        <v>0</v>
      </c>
      <c r="X3835" s="200">
        <f ca="1">W3835*'Expenditure Study'!$B$31</f>
        <v>0</v>
      </c>
      <c r="Y3835" s="199">
        <f ca="1">U3835*'Expenditure Study'!$B$31</f>
        <v>0</v>
      </c>
      <c r="Z3835" s="200">
        <f ca="1">W3835*'Expenditure Study'!$B$31</f>
        <v>0</v>
      </c>
      <c r="AA3835" s="195">
        <f t="shared" ca="1" si="834"/>
        <v>0</v>
      </c>
      <c r="AB3835" s="195">
        <f t="shared" ca="1" si="835"/>
        <v>0</v>
      </c>
      <c r="AD3835" s="196">
        <f>IFERROR($G3835/SUMIF($A:$A,$A3835,$G:$G)*SUMIF(Summary!$A$166:$A$242,$A3835,Summary!$P$166:$P$242),0)</f>
        <v>0</v>
      </c>
      <c r="AE3835" s="197">
        <f t="shared" ca="1" si="836"/>
        <v>0</v>
      </c>
      <c r="AF3835" s="196">
        <f>IFERROR(G3835/SUMIF(A:A,A3835,G:G)*SUMIF(Summary!$A$166:$A$242,'Operations Support'!A3835,Summary!$Q$166:$Q$242),0)</f>
        <v>0</v>
      </c>
      <c r="AG3835" s="196">
        <f t="shared" ca="1" si="837"/>
        <v>0</v>
      </c>
      <c r="AI3835" s="196">
        <f>IFERROR($G3835/SUMIF($A:$A,$A3835,$G:$G)*SUMIF(Summary!$A$247:$A$283,$A3835,Summary!$P$247:$P$283),0)</f>
        <v>0</v>
      </c>
      <c r="AJ3835" s="196">
        <f>IFERROR($G3835/SUMIF($A:$A,$A3835,$G:$G)*(SUMIF(Summary!$A$247:$A$283,$A3835,Summary!$L$247:$L$283)+SUMIF(Summary!$A$297:$A$333,$A3835,Summary!$L$297:$L$333))-AI3835,0)</f>
        <v>0</v>
      </c>
      <c r="AK3835" s="196">
        <f>IFERROR($G3835/SUMIF($A:$A,$A3835,$G:$G)*SUMIF(Summary!$A$247:$A$283,$A3835,Summary!$Q$247:$Q$283),0)</f>
        <v>0</v>
      </c>
      <c r="AL3835" s="196">
        <f>IFERROR($G3835/SUMIF($A:$A,$A3835,$G:$G)*(SUMIF(Summary!$A$247:$A$283,$A3835,Summary!$L$247:$L$283)+SUMIF(Summary!$A$297:$A$333,$A3835,Summary!$L$297:$L$333))-AK3835,0)</f>
        <v>0</v>
      </c>
      <c r="AM3835" s="198"/>
      <c r="AN3835" s="196">
        <f t="shared" ca="1" si="838"/>
        <v>0</v>
      </c>
      <c r="AO3835" s="196">
        <f t="shared" ca="1" si="839"/>
        <v>0</v>
      </c>
    </row>
    <row r="3836" spans="1:41">
      <c r="A3836" s="189">
        <v>42485</v>
      </c>
      <c r="B3836" s="190">
        <v>3</v>
      </c>
      <c r="C3836" s="191" t="s">
        <v>229</v>
      </c>
      <c r="D3836" s="192">
        <f t="shared" si="826"/>
        <v>0</v>
      </c>
      <c r="E3836" s="192">
        <f t="shared" si="827"/>
        <v>0</v>
      </c>
      <c r="F3836" s="192">
        <f t="shared" si="828"/>
        <v>0</v>
      </c>
      <c r="G3836" s="193">
        <f t="shared" si="829"/>
        <v>0</v>
      </c>
      <c r="H3836" s="194">
        <v>0</v>
      </c>
      <c r="I3836" s="194">
        <v>0</v>
      </c>
      <c r="J3836" s="194">
        <v>0</v>
      </c>
      <c r="K3836" s="193">
        <f t="shared" si="830"/>
        <v>0</v>
      </c>
      <c r="L3836" s="194">
        <v>0</v>
      </c>
      <c r="M3836" s="194">
        <v>0</v>
      </c>
      <c r="N3836" s="194">
        <v>0</v>
      </c>
      <c r="O3836" s="193">
        <f t="shared" si="831"/>
        <v>0</v>
      </c>
      <c r="P3836" s="194">
        <v>0</v>
      </c>
      <c r="Q3836" s="194">
        <v>0</v>
      </c>
      <c r="R3836" s="194">
        <v>0</v>
      </c>
      <c r="S3836" s="193">
        <f t="shared" si="832"/>
        <v>0</v>
      </c>
      <c r="T3836" s="193">
        <f t="shared" si="833"/>
        <v>0</v>
      </c>
      <c r="U3836" s="193">
        <f ca="1">OFFSET('Expenditure Study'!$B$7,'Operations Support'!$C3836,'Operations Support'!$B3836)*$G3836</f>
        <v>0</v>
      </c>
      <c r="V3836" s="199">
        <f ca="1">U3836*'Expenditure Study'!$B$31</f>
        <v>0</v>
      </c>
      <c r="W3836" s="199">
        <f ca="1">IF(A3836=10298,1.51,1)*IF($B3836&lt;3,$D3836*'Expenditure Study'!$B$32*OFFSET('Expenditure Study'!$B$7,'Operations Support'!$C3836,'Operations Support'!$B3836),0)</f>
        <v>0</v>
      </c>
      <c r="X3836" s="200">
        <f ca="1">W3836*'Expenditure Study'!$B$31</f>
        <v>0</v>
      </c>
      <c r="Y3836" s="199">
        <f ca="1">U3836*'Expenditure Study'!$B$31</f>
        <v>0</v>
      </c>
      <c r="Z3836" s="200">
        <f ca="1">W3836*'Expenditure Study'!$B$31</f>
        <v>0</v>
      </c>
      <c r="AA3836" s="195">
        <f t="shared" ca="1" si="834"/>
        <v>0</v>
      </c>
      <c r="AB3836" s="195">
        <f t="shared" ca="1" si="835"/>
        <v>0</v>
      </c>
      <c r="AD3836" s="196">
        <f>IFERROR($G3836/SUMIF($A:$A,$A3836,$G:$G)*SUMIF(Summary!$A$166:$A$242,$A3836,Summary!$P$166:$P$242),0)</f>
        <v>0</v>
      </c>
      <c r="AE3836" s="197">
        <f t="shared" ca="1" si="836"/>
        <v>0</v>
      </c>
      <c r="AF3836" s="196">
        <f>IFERROR(G3836/SUMIF(A:A,A3836,G:G)*SUMIF(Summary!$A$166:$A$242,'Operations Support'!A3836,Summary!$Q$166:$Q$242),0)</f>
        <v>0</v>
      </c>
      <c r="AG3836" s="196">
        <f t="shared" ca="1" si="837"/>
        <v>0</v>
      </c>
      <c r="AI3836" s="196">
        <f>IFERROR($G3836/SUMIF($A:$A,$A3836,$G:$G)*SUMIF(Summary!$A$247:$A$283,$A3836,Summary!$P$247:$P$283),0)</f>
        <v>0</v>
      </c>
      <c r="AJ3836" s="196">
        <f>IFERROR($G3836/SUMIF($A:$A,$A3836,$G:$G)*(SUMIF(Summary!$A$247:$A$283,$A3836,Summary!$L$247:$L$283)+SUMIF(Summary!$A$297:$A$333,$A3836,Summary!$L$297:$L$333))-AI3836,0)</f>
        <v>0</v>
      </c>
      <c r="AK3836" s="196">
        <f>IFERROR($G3836/SUMIF($A:$A,$A3836,$G:$G)*SUMIF(Summary!$A$247:$A$283,$A3836,Summary!$Q$247:$Q$283),0)</f>
        <v>0</v>
      </c>
      <c r="AL3836" s="196">
        <f>IFERROR($G3836/SUMIF($A:$A,$A3836,$G:$G)*(SUMIF(Summary!$A$247:$A$283,$A3836,Summary!$L$247:$L$283)+SUMIF(Summary!$A$297:$A$333,$A3836,Summary!$L$297:$L$333))-AK3836,0)</f>
        <v>0</v>
      </c>
      <c r="AM3836" s="198"/>
      <c r="AN3836" s="196">
        <f t="shared" ca="1" si="838"/>
        <v>0</v>
      </c>
      <c r="AO3836" s="196">
        <f t="shared" ca="1" si="839"/>
        <v>0</v>
      </c>
    </row>
    <row r="3837" spans="1:41">
      <c r="A3837" s="189">
        <v>42485</v>
      </c>
      <c r="B3837" s="190">
        <v>3</v>
      </c>
      <c r="C3837" s="191" t="s">
        <v>230</v>
      </c>
      <c r="D3837" s="192">
        <f t="shared" si="826"/>
        <v>0</v>
      </c>
      <c r="E3837" s="192">
        <f t="shared" si="827"/>
        <v>0</v>
      </c>
      <c r="F3837" s="192">
        <f t="shared" si="828"/>
        <v>0</v>
      </c>
      <c r="G3837" s="193">
        <f t="shared" si="829"/>
        <v>0</v>
      </c>
      <c r="H3837" s="194">
        <v>0</v>
      </c>
      <c r="I3837" s="194">
        <v>0</v>
      </c>
      <c r="J3837" s="194">
        <v>0</v>
      </c>
      <c r="K3837" s="193">
        <f t="shared" si="830"/>
        <v>0</v>
      </c>
      <c r="L3837" s="194">
        <v>0</v>
      </c>
      <c r="M3837" s="194">
        <v>0</v>
      </c>
      <c r="N3837" s="194">
        <v>0</v>
      </c>
      <c r="O3837" s="193">
        <f t="shared" si="831"/>
        <v>0</v>
      </c>
      <c r="P3837" s="194">
        <v>0</v>
      </c>
      <c r="Q3837" s="194">
        <v>0</v>
      </c>
      <c r="R3837" s="194">
        <v>0</v>
      </c>
      <c r="S3837" s="193">
        <f t="shared" si="832"/>
        <v>0</v>
      </c>
      <c r="T3837" s="193">
        <f t="shared" si="833"/>
        <v>0</v>
      </c>
      <c r="U3837" s="193">
        <f ca="1">OFFSET('Expenditure Study'!$B$7,'Operations Support'!$C3837,'Operations Support'!$B3837)*$G3837</f>
        <v>0</v>
      </c>
      <c r="V3837" s="199">
        <f ca="1">U3837*'Expenditure Study'!$B$31</f>
        <v>0</v>
      </c>
      <c r="W3837" s="199">
        <f ca="1">IF(A3837=10298,1.51,1)*IF($B3837&lt;3,$D3837*'Expenditure Study'!$B$32*OFFSET('Expenditure Study'!$B$7,'Operations Support'!$C3837,'Operations Support'!$B3837),0)</f>
        <v>0</v>
      </c>
      <c r="X3837" s="200">
        <f ca="1">W3837*'Expenditure Study'!$B$31</f>
        <v>0</v>
      </c>
      <c r="Y3837" s="199">
        <f ca="1">U3837*'Expenditure Study'!$B$31</f>
        <v>0</v>
      </c>
      <c r="Z3837" s="200">
        <f ca="1">W3837*'Expenditure Study'!$B$31</f>
        <v>0</v>
      </c>
      <c r="AA3837" s="195">
        <f t="shared" ca="1" si="834"/>
        <v>0</v>
      </c>
      <c r="AB3837" s="195">
        <f t="shared" ca="1" si="835"/>
        <v>0</v>
      </c>
      <c r="AD3837" s="196">
        <f>IFERROR($G3837/SUMIF($A:$A,$A3837,$G:$G)*SUMIF(Summary!$A$166:$A$242,$A3837,Summary!$P$166:$P$242),0)</f>
        <v>0</v>
      </c>
      <c r="AE3837" s="197">
        <f t="shared" ca="1" si="836"/>
        <v>0</v>
      </c>
      <c r="AF3837" s="196">
        <f>IFERROR(G3837/SUMIF(A:A,A3837,G:G)*SUMIF(Summary!$A$166:$A$242,'Operations Support'!A3837,Summary!$Q$166:$Q$242),0)</f>
        <v>0</v>
      </c>
      <c r="AG3837" s="196">
        <f t="shared" ca="1" si="837"/>
        <v>0</v>
      </c>
      <c r="AI3837" s="196">
        <f>IFERROR($G3837/SUMIF($A:$A,$A3837,$G:$G)*SUMIF(Summary!$A$247:$A$283,$A3837,Summary!$P$247:$P$283),0)</f>
        <v>0</v>
      </c>
      <c r="AJ3837" s="196">
        <f>IFERROR($G3837/SUMIF($A:$A,$A3837,$G:$G)*(SUMIF(Summary!$A$247:$A$283,$A3837,Summary!$L$247:$L$283)+SUMIF(Summary!$A$297:$A$333,$A3837,Summary!$L$297:$L$333))-AI3837,0)</f>
        <v>0</v>
      </c>
      <c r="AK3837" s="196">
        <f>IFERROR($G3837/SUMIF($A:$A,$A3837,$G:$G)*SUMIF(Summary!$A$247:$A$283,$A3837,Summary!$Q$247:$Q$283),0)</f>
        <v>0</v>
      </c>
      <c r="AL3837" s="196">
        <f>IFERROR($G3837/SUMIF($A:$A,$A3837,$G:$G)*(SUMIF(Summary!$A$247:$A$283,$A3837,Summary!$L$247:$L$283)+SUMIF(Summary!$A$297:$A$333,$A3837,Summary!$L$297:$L$333))-AK3837,0)</f>
        <v>0</v>
      </c>
      <c r="AM3837" s="198"/>
      <c r="AN3837" s="196">
        <f t="shared" ca="1" si="838"/>
        <v>0</v>
      </c>
      <c r="AO3837" s="196">
        <f t="shared" ca="1" si="839"/>
        <v>0</v>
      </c>
    </row>
    <row r="3838" spans="1:41">
      <c r="A3838" s="189">
        <v>42485</v>
      </c>
      <c r="B3838" s="190">
        <v>3</v>
      </c>
      <c r="C3838" s="191" t="s">
        <v>231</v>
      </c>
      <c r="D3838" s="192">
        <f t="shared" si="826"/>
        <v>0</v>
      </c>
      <c r="E3838" s="192">
        <f t="shared" si="827"/>
        <v>0</v>
      </c>
      <c r="F3838" s="192">
        <f t="shared" si="828"/>
        <v>0</v>
      </c>
      <c r="G3838" s="193">
        <f t="shared" si="829"/>
        <v>0</v>
      </c>
      <c r="H3838" s="194">
        <v>0</v>
      </c>
      <c r="I3838" s="194">
        <v>0</v>
      </c>
      <c r="J3838" s="194">
        <v>0</v>
      </c>
      <c r="K3838" s="193">
        <f t="shared" si="830"/>
        <v>0</v>
      </c>
      <c r="L3838" s="194">
        <v>0</v>
      </c>
      <c r="M3838" s="194">
        <v>0</v>
      </c>
      <c r="N3838" s="194">
        <v>0</v>
      </c>
      <c r="O3838" s="193">
        <f t="shared" si="831"/>
        <v>0</v>
      </c>
      <c r="P3838" s="194">
        <v>0</v>
      </c>
      <c r="Q3838" s="194">
        <v>0</v>
      </c>
      <c r="R3838" s="194">
        <v>0</v>
      </c>
      <c r="S3838" s="193">
        <f t="shared" si="832"/>
        <v>0</v>
      </c>
      <c r="T3838" s="193">
        <f t="shared" si="833"/>
        <v>0</v>
      </c>
      <c r="U3838" s="193">
        <f ca="1">OFFSET('Expenditure Study'!$B$7,'Operations Support'!$C3838,'Operations Support'!$B3838)*$G3838</f>
        <v>0</v>
      </c>
      <c r="V3838" s="199">
        <f ca="1">U3838*'Expenditure Study'!$B$31</f>
        <v>0</v>
      </c>
      <c r="W3838" s="199">
        <f ca="1">IF(A3838=10298,1.51,1)*IF($B3838&lt;3,$D3838*'Expenditure Study'!$B$32*OFFSET('Expenditure Study'!$B$7,'Operations Support'!$C3838,'Operations Support'!$B3838),0)</f>
        <v>0</v>
      </c>
      <c r="X3838" s="200">
        <f ca="1">W3838*'Expenditure Study'!$B$31</f>
        <v>0</v>
      </c>
      <c r="Y3838" s="199">
        <f ca="1">U3838*'Expenditure Study'!$B$31</f>
        <v>0</v>
      </c>
      <c r="Z3838" s="200">
        <f ca="1">W3838*'Expenditure Study'!$B$31</f>
        <v>0</v>
      </c>
      <c r="AA3838" s="195">
        <f t="shared" ca="1" si="834"/>
        <v>0</v>
      </c>
      <c r="AB3838" s="195">
        <f t="shared" ca="1" si="835"/>
        <v>0</v>
      </c>
      <c r="AD3838" s="196">
        <f>IFERROR($G3838/SUMIF($A:$A,$A3838,$G:$G)*SUMIF(Summary!$A$166:$A$242,$A3838,Summary!$P$166:$P$242),0)</f>
        <v>0</v>
      </c>
      <c r="AE3838" s="197">
        <f t="shared" ca="1" si="836"/>
        <v>0</v>
      </c>
      <c r="AF3838" s="196">
        <f>IFERROR(G3838/SUMIF(A:A,A3838,G:G)*SUMIF(Summary!$A$166:$A$242,'Operations Support'!A3838,Summary!$Q$166:$Q$242),0)</f>
        <v>0</v>
      </c>
      <c r="AG3838" s="196">
        <f t="shared" ca="1" si="837"/>
        <v>0</v>
      </c>
      <c r="AI3838" s="196">
        <f>IFERROR($G3838/SUMIF($A:$A,$A3838,$G:$G)*SUMIF(Summary!$A$247:$A$283,$A3838,Summary!$P$247:$P$283),0)</f>
        <v>0</v>
      </c>
      <c r="AJ3838" s="196">
        <f>IFERROR($G3838/SUMIF($A:$A,$A3838,$G:$G)*(SUMIF(Summary!$A$247:$A$283,$A3838,Summary!$L$247:$L$283)+SUMIF(Summary!$A$297:$A$333,$A3838,Summary!$L$297:$L$333))-AI3838,0)</f>
        <v>0</v>
      </c>
      <c r="AK3838" s="196">
        <f>IFERROR($G3838/SUMIF($A:$A,$A3838,$G:$G)*SUMIF(Summary!$A$247:$A$283,$A3838,Summary!$Q$247:$Q$283),0)</f>
        <v>0</v>
      </c>
      <c r="AL3838" s="196">
        <f>IFERROR($G3838/SUMIF($A:$A,$A3838,$G:$G)*(SUMIF(Summary!$A$247:$A$283,$A3838,Summary!$L$247:$L$283)+SUMIF(Summary!$A$297:$A$333,$A3838,Summary!$L$297:$L$333))-AK3838,0)</f>
        <v>0</v>
      </c>
      <c r="AM3838" s="198"/>
      <c r="AN3838" s="196">
        <f t="shared" ca="1" si="838"/>
        <v>0</v>
      </c>
      <c r="AO3838" s="196">
        <f t="shared" ca="1" si="839"/>
        <v>0</v>
      </c>
    </row>
    <row r="3839" spans="1:41">
      <c r="A3839" s="189">
        <v>42485</v>
      </c>
      <c r="B3839" s="190">
        <v>3</v>
      </c>
      <c r="C3839" s="191" t="s">
        <v>232</v>
      </c>
      <c r="D3839" s="192">
        <f t="shared" si="826"/>
        <v>0</v>
      </c>
      <c r="E3839" s="192">
        <f t="shared" si="827"/>
        <v>0</v>
      </c>
      <c r="F3839" s="192">
        <f t="shared" si="828"/>
        <v>0</v>
      </c>
      <c r="G3839" s="193">
        <f t="shared" si="829"/>
        <v>0</v>
      </c>
      <c r="H3839" s="194">
        <v>0</v>
      </c>
      <c r="I3839" s="194">
        <v>0</v>
      </c>
      <c r="J3839" s="194">
        <v>0</v>
      </c>
      <c r="K3839" s="193">
        <f t="shared" si="830"/>
        <v>0</v>
      </c>
      <c r="L3839" s="194">
        <v>0</v>
      </c>
      <c r="M3839" s="194">
        <v>0</v>
      </c>
      <c r="N3839" s="194">
        <v>0</v>
      </c>
      <c r="O3839" s="193">
        <f t="shared" si="831"/>
        <v>0</v>
      </c>
      <c r="P3839" s="194">
        <v>0</v>
      </c>
      <c r="Q3839" s="194">
        <v>0</v>
      </c>
      <c r="R3839" s="194">
        <v>0</v>
      </c>
      <c r="S3839" s="193">
        <f t="shared" si="832"/>
        <v>0</v>
      </c>
      <c r="T3839" s="193">
        <f t="shared" si="833"/>
        <v>0</v>
      </c>
      <c r="U3839" s="193">
        <f ca="1">OFFSET('Expenditure Study'!$B$7,'Operations Support'!$C3839,'Operations Support'!$B3839)*$G3839</f>
        <v>0</v>
      </c>
      <c r="V3839" s="199">
        <f ca="1">U3839*'Expenditure Study'!$B$31</f>
        <v>0</v>
      </c>
      <c r="W3839" s="199">
        <f ca="1">IF(A3839=10298,1.51,1)*IF($B3839&lt;3,$D3839*'Expenditure Study'!$B$32*OFFSET('Expenditure Study'!$B$7,'Operations Support'!$C3839,'Operations Support'!$B3839),0)</f>
        <v>0</v>
      </c>
      <c r="X3839" s="200">
        <f ca="1">W3839*'Expenditure Study'!$B$31</f>
        <v>0</v>
      </c>
      <c r="Y3839" s="199">
        <f ca="1">U3839*'Expenditure Study'!$B$31</f>
        <v>0</v>
      </c>
      <c r="Z3839" s="200">
        <f ca="1">W3839*'Expenditure Study'!$B$31</f>
        <v>0</v>
      </c>
      <c r="AA3839" s="195">
        <f t="shared" ca="1" si="834"/>
        <v>0</v>
      </c>
      <c r="AB3839" s="195">
        <f t="shared" ca="1" si="835"/>
        <v>0</v>
      </c>
      <c r="AD3839" s="196">
        <f>IFERROR($G3839/SUMIF($A:$A,$A3839,$G:$G)*SUMIF(Summary!$A$166:$A$242,$A3839,Summary!$P$166:$P$242),0)</f>
        <v>0</v>
      </c>
      <c r="AE3839" s="197">
        <f t="shared" ca="1" si="836"/>
        <v>0</v>
      </c>
      <c r="AF3839" s="196">
        <f>IFERROR(G3839/SUMIF(A:A,A3839,G:G)*SUMIF(Summary!$A$166:$A$242,'Operations Support'!A3839,Summary!$Q$166:$Q$242),0)</f>
        <v>0</v>
      </c>
      <c r="AG3839" s="196">
        <f t="shared" ca="1" si="837"/>
        <v>0</v>
      </c>
      <c r="AI3839" s="196">
        <f>IFERROR($G3839/SUMIF($A:$A,$A3839,$G:$G)*SUMIF(Summary!$A$247:$A$283,$A3839,Summary!$P$247:$P$283),0)</f>
        <v>0</v>
      </c>
      <c r="AJ3839" s="196">
        <f>IFERROR($G3839/SUMIF($A:$A,$A3839,$G:$G)*(SUMIF(Summary!$A$247:$A$283,$A3839,Summary!$L$247:$L$283)+SUMIF(Summary!$A$297:$A$333,$A3839,Summary!$L$297:$L$333))-AI3839,0)</f>
        <v>0</v>
      </c>
      <c r="AK3839" s="196">
        <f>IFERROR($G3839/SUMIF($A:$A,$A3839,$G:$G)*SUMIF(Summary!$A$247:$A$283,$A3839,Summary!$Q$247:$Q$283),0)</f>
        <v>0</v>
      </c>
      <c r="AL3839" s="196">
        <f>IFERROR($G3839/SUMIF($A:$A,$A3839,$G:$G)*(SUMIF(Summary!$A$247:$A$283,$A3839,Summary!$L$247:$L$283)+SUMIF(Summary!$A$297:$A$333,$A3839,Summary!$L$297:$L$333))-AK3839,0)</f>
        <v>0</v>
      </c>
      <c r="AM3839" s="198"/>
      <c r="AN3839" s="196">
        <f t="shared" ca="1" si="838"/>
        <v>0</v>
      </c>
      <c r="AO3839" s="196">
        <f t="shared" ca="1" si="839"/>
        <v>0</v>
      </c>
    </row>
    <row r="3840" spans="1:41">
      <c r="A3840" s="189">
        <v>42485</v>
      </c>
      <c r="B3840" s="190">
        <v>3</v>
      </c>
      <c r="C3840" s="191" t="s">
        <v>233</v>
      </c>
      <c r="D3840" s="192">
        <f t="shared" si="826"/>
        <v>0</v>
      </c>
      <c r="E3840" s="192">
        <f t="shared" si="827"/>
        <v>0</v>
      </c>
      <c r="F3840" s="192">
        <f t="shared" si="828"/>
        <v>0</v>
      </c>
      <c r="G3840" s="193">
        <f t="shared" si="829"/>
        <v>0</v>
      </c>
      <c r="H3840" s="194">
        <v>0</v>
      </c>
      <c r="I3840" s="194">
        <v>0</v>
      </c>
      <c r="J3840" s="194">
        <v>0</v>
      </c>
      <c r="K3840" s="193">
        <f t="shared" si="830"/>
        <v>0</v>
      </c>
      <c r="L3840" s="194">
        <v>0</v>
      </c>
      <c r="M3840" s="194">
        <v>0</v>
      </c>
      <c r="N3840" s="194">
        <v>0</v>
      </c>
      <c r="O3840" s="193">
        <f t="shared" si="831"/>
        <v>0</v>
      </c>
      <c r="P3840" s="194">
        <v>0</v>
      </c>
      <c r="Q3840" s="194">
        <v>0</v>
      </c>
      <c r="R3840" s="194">
        <v>0</v>
      </c>
      <c r="S3840" s="193">
        <f t="shared" si="832"/>
        <v>0</v>
      </c>
      <c r="T3840" s="193">
        <f t="shared" si="833"/>
        <v>0</v>
      </c>
      <c r="U3840" s="193">
        <f ca="1">OFFSET('Expenditure Study'!$B$7,'Operations Support'!$C3840,'Operations Support'!$B3840)*$G3840</f>
        <v>0</v>
      </c>
      <c r="V3840" s="199">
        <f ca="1">U3840*'Expenditure Study'!$B$31</f>
        <v>0</v>
      </c>
      <c r="W3840" s="199">
        <f ca="1">IF(A3840=10298,1.51,1)*IF($B3840&lt;3,$D3840*'Expenditure Study'!$B$32*OFFSET('Expenditure Study'!$B$7,'Operations Support'!$C3840,'Operations Support'!$B3840),0)</f>
        <v>0</v>
      </c>
      <c r="X3840" s="200">
        <f ca="1">W3840*'Expenditure Study'!$B$31</f>
        <v>0</v>
      </c>
      <c r="Y3840" s="199">
        <f ca="1">U3840*'Expenditure Study'!$B$31</f>
        <v>0</v>
      </c>
      <c r="Z3840" s="200">
        <f ca="1">W3840*'Expenditure Study'!$B$31</f>
        <v>0</v>
      </c>
      <c r="AA3840" s="195">
        <f t="shared" ca="1" si="834"/>
        <v>0</v>
      </c>
      <c r="AB3840" s="195">
        <f t="shared" ca="1" si="835"/>
        <v>0</v>
      </c>
      <c r="AD3840" s="196">
        <f>IFERROR($G3840/SUMIF($A:$A,$A3840,$G:$G)*SUMIF(Summary!$A$166:$A$242,$A3840,Summary!$P$166:$P$242),0)</f>
        <v>0</v>
      </c>
      <c r="AE3840" s="197">
        <f t="shared" ca="1" si="836"/>
        <v>0</v>
      </c>
      <c r="AF3840" s="196">
        <f>IFERROR(G3840/SUMIF(A:A,A3840,G:G)*SUMIF(Summary!$A$166:$A$242,'Operations Support'!A3840,Summary!$Q$166:$Q$242),0)</f>
        <v>0</v>
      </c>
      <c r="AG3840" s="196">
        <f t="shared" ca="1" si="837"/>
        <v>0</v>
      </c>
      <c r="AI3840" s="196">
        <f>IFERROR($G3840/SUMIF($A:$A,$A3840,$G:$G)*SUMIF(Summary!$A$247:$A$283,$A3840,Summary!$P$247:$P$283),0)</f>
        <v>0</v>
      </c>
      <c r="AJ3840" s="196">
        <f>IFERROR($G3840/SUMIF($A:$A,$A3840,$G:$G)*(SUMIF(Summary!$A$247:$A$283,$A3840,Summary!$L$247:$L$283)+SUMIF(Summary!$A$297:$A$333,$A3840,Summary!$L$297:$L$333))-AI3840,0)</f>
        <v>0</v>
      </c>
      <c r="AK3840" s="196">
        <f>IFERROR($G3840/SUMIF($A:$A,$A3840,$G:$G)*SUMIF(Summary!$A$247:$A$283,$A3840,Summary!$Q$247:$Q$283),0)</f>
        <v>0</v>
      </c>
      <c r="AL3840" s="196">
        <f>IFERROR($G3840/SUMIF($A:$A,$A3840,$G:$G)*(SUMIF(Summary!$A$247:$A$283,$A3840,Summary!$L$247:$L$283)+SUMIF(Summary!$A$297:$A$333,$A3840,Summary!$L$297:$L$333))-AK3840,0)</f>
        <v>0</v>
      </c>
      <c r="AM3840" s="198"/>
      <c r="AN3840" s="196">
        <f t="shared" ca="1" si="838"/>
        <v>0</v>
      </c>
      <c r="AO3840" s="196">
        <f t="shared" ca="1" si="839"/>
        <v>0</v>
      </c>
    </row>
    <row r="3841" spans="1:41">
      <c r="A3841" s="189">
        <v>42485</v>
      </c>
      <c r="B3841" s="190">
        <v>3</v>
      </c>
      <c r="C3841" s="191" t="s">
        <v>234</v>
      </c>
      <c r="D3841" s="192">
        <f t="shared" si="826"/>
        <v>0</v>
      </c>
      <c r="E3841" s="192">
        <f t="shared" si="827"/>
        <v>0</v>
      </c>
      <c r="F3841" s="192">
        <f t="shared" si="828"/>
        <v>0</v>
      </c>
      <c r="G3841" s="193">
        <f t="shared" si="829"/>
        <v>0</v>
      </c>
      <c r="H3841" s="194">
        <v>0</v>
      </c>
      <c r="I3841" s="194">
        <v>0</v>
      </c>
      <c r="J3841" s="194">
        <v>0</v>
      </c>
      <c r="K3841" s="193">
        <f t="shared" si="830"/>
        <v>0</v>
      </c>
      <c r="L3841" s="194">
        <v>0</v>
      </c>
      <c r="M3841" s="194">
        <v>0</v>
      </c>
      <c r="N3841" s="194">
        <v>0</v>
      </c>
      <c r="O3841" s="193">
        <f t="shared" si="831"/>
        <v>0</v>
      </c>
      <c r="P3841" s="194">
        <v>0</v>
      </c>
      <c r="Q3841" s="194">
        <v>0</v>
      </c>
      <c r="R3841" s="194">
        <v>0</v>
      </c>
      <c r="S3841" s="193">
        <f t="shared" si="832"/>
        <v>0</v>
      </c>
      <c r="T3841" s="193">
        <f t="shared" si="833"/>
        <v>0</v>
      </c>
      <c r="U3841" s="193">
        <f ca="1">OFFSET('Expenditure Study'!$B$7,'Operations Support'!$C3841,'Operations Support'!$B3841)*$G3841</f>
        <v>0</v>
      </c>
      <c r="V3841" s="199">
        <f ca="1">U3841*'Expenditure Study'!$B$31</f>
        <v>0</v>
      </c>
      <c r="W3841" s="199">
        <f ca="1">IF(A3841=10298,1.51,1)*IF($B3841&lt;3,$D3841*'Expenditure Study'!$B$32*OFFSET('Expenditure Study'!$B$7,'Operations Support'!$C3841,'Operations Support'!$B3841),0)</f>
        <v>0</v>
      </c>
      <c r="X3841" s="200">
        <f ca="1">W3841*'Expenditure Study'!$B$31</f>
        <v>0</v>
      </c>
      <c r="Y3841" s="199">
        <f ca="1">U3841*'Expenditure Study'!$B$31</f>
        <v>0</v>
      </c>
      <c r="Z3841" s="200">
        <f ca="1">W3841*'Expenditure Study'!$B$31</f>
        <v>0</v>
      </c>
      <c r="AA3841" s="195">
        <f t="shared" ca="1" si="834"/>
        <v>0</v>
      </c>
      <c r="AB3841" s="195">
        <f t="shared" ca="1" si="835"/>
        <v>0</v>
      </c>
      <c r="AD3841" s="196">
        <f>IFERROR($G3841/SUMIF($A:$A,$A3841,$G:$G)*SUMIF(Summary!$A$166:$A$242,$A3841,Summary!$P$166:$P$242),0)</f>
        <v>0</v>
      </c>
      <c r="AE3841" s="197">
        <f t="shared" ca="1" si="836"/>
        <v>0</v>
      </c>
      <c r="AF3841" s="196">
        <f>IFERROR(G3841/SUMIF(A:A,A3841,G:G)*SUMIF(Summary!$A$166:$A$242,'Operations Support'!A3841,Summary!$Q$166:$Q$242),0)</f>
        <v>0</v>
      </c>
      <c r="AG3841" s="196">
        <f t="shared" ca="1" si="837"/>
        <v>0</v>
      </c>
      <c r="AI3841" s="196">
        <f>IFERROR($G3841/SUMIF($A:$A,$A3841,$G:$G)*SUMIF(Summary!$A$247:$A$283,$A3841,Summary!$P$247:$P$283),0)</f>
        <v>0</v>
      </c>
      <c r="AJ3841" s="196">
        <f>IFERROR($G3841/SUMIF($A:$A,$A3841,$G:$G)*(SUMIF(Summary!$A$247:$A$283,$A3841,Summary!$L$247:$L$283)+SUMIF(Summary!$A$297:$A$333,$A3841,Summary!$L$297:$L$333))-AI3841,0)</f>
        <v>0</v>
      </c>
      <c r="AK3841" s="196">
        <f>IFERROR($G3841/SUMIF($A:$A,$A3841,$G:$G)*SUMIF(Summary!$A$247:$A$283,$A3841,Summary!$Q$247:$Q$283),0)</f>
        <v>0</v>
      </c>
      <c r="AL3841" s="196">
        <f>IFERROR($G3841/SUMIF($A:$A,$A3841,$G:$G)*(SUMIF(Summary!$A$247:$A$283,$A3841,Summary!$L$247:$L$283)+SUMIF(Summary!$A$297:$A$333,$A3841,Summary!$L$297:$L$333))-AK3841,0)</f>
        <v>0</v>
      </c>
      <c r="AM3841" s="198"/>
      <c r="AN3841" s="196">
        <f t="shared" ca="1" si="838"/>
        <v>0</v>
      </c>
      <c r="AO3841" s="196">
        <f t="shared" ca="1" si="839"/>
        <v>0</v>
      </c>
    </row>
    <row r="3842" spans="1:41">
      <c r="A3842" s="189">
        <v>42485</v>
      </c>
      <c r="B3842" s="190">
        <v>3</v>
      </c>
      <c r="C3842" s="191" t="s">
        <v>235</v>
      </c>
      <c r="D3842" s="192">
        <f t="shared" si="826"/>
        <v>1510</v>
      </c>
      <c r="E3842" s="192">
        <f t="shared" si="827"/>
        <v>627</v>
      </c>
      <c r="F3842" s="192">
        <f t="shared" si="828"/>
        <v>0</v>
      </c>
      <c r="G3842" s="193">
        <f t="shared" si="829"/>
        <v>2137</v>
      </c>
      <c r="H3842" s="194">
        <v>548</v>
      </c>
      <c r="I3842" s="194">
        <v>393</v>
      </c>
      <c r="J3842" s="194">
        <v>0</v>
      </c>
      <c r="K3842" s="193">
        <f t="shared" si="830"/>
        <v>941</v>
      </c>
      <c r="L3842" s="194">
        <v>785</v>
      </c>
      <c r="M3842" s="194">
        <v>234</v>
      </c>
      <c r="N3842" s="194">
        <v>0</v>
      </c>
      <c r="O3842" s="193">
        <f t="shared" si="831"/>
        <v>1019</v>
      </c>
      <c r="P3842" s="194">
        <v>177</v>
      </c>
      <c r="Q3842" s="194">
        <v>0</v>
      </c>
      <c r="R3842" s="194">
        <v>0</v>
      </c>
      <c r="S3842" s="193">
        <f t="shared" si="832"/>
        <v>177</v>
      </c>
      <c r="T3842" s="193">
        <f t="shared" si="833"/>
        <v>89.041666666666671</v>
      </c>
      <c r="U3842" s="193">
        <f ca="1">OFFSET('Expenditure Study'!$B$7,'Operations Support'!$C3842,'Operations Support'!$B3842)*$G3842</f>
        <v>6752.92</v>
      </c>
      <c r="V3842" s="199">
        <f ca="1">U3842*'Expenditure Study'!$B$31</f>
        <v>398983.99328793603</v>
      </c>
      <c r="W3842" s="199">
        <f ca="1">IF(A3842=10298,1.51,1)*IF($B3842&lt;3,$D3842*'Expenditure Study'!$B$32*OFFSET('Expenditure Study'!$B$7,'Operations Support'!$C3842,'Operations Support'!$B3842),0)</f>
        <v>0</v>
      </c>
      <c r="X3842" s="200">
        <f ca="1">W3842*'Expenditure Study'!$B$31</f>
        <v>0</v>
      </c>
      <c r="Y3842" s="199">
        <f ca="1">U3842*'Expenditure Study'!$B$31</f>
        <v>398983.99328793603</v>
      </c>
      <c r="Z3842" s="200">
        <f ca="1">W3842*'Expenditure Study'!$B$31</f>
        <v>0</v>
      </c>
      <c r="AA3842" s="195">
        <f t="shared" ca="1" si="834"/>
        <v>398983.99328793603</v>
      </c>
      <c r="AB3842" s="195">
        <f t="shared" ca="1" si="835"/>
        <v>398983.99328793603</v>
      </c>
      <c r="AD3842" s="196">
        <f>IFERROR($G3842/SUMIF($A:$A,$A3842,$G:$G)*SUMIF(Summary!$A$166:$A$242,$A3842,Summary!$P$166:$P$242),0)</f>
        <v>61562.431529167792</v>
      </c>
      <c r="AE3842" s="197">
        <f t="shared" ca="1" si="836"/>
        <v>337421.56175876822</v>
      </c>
      <c r="AF3842" s="196">
        <f>IFERROR(G3842/SUMIF(A:A,A3842,G:G)*SUMIF(Summary!$A$166:$A$242,'Operations Support'!A3842,Summary!$Q$166:$Q$242),0)</f>
        <v>61604.898046469694</v>
      </c>
      <c r="AG3842" s="196">
        <f t="shared" ca="1" si="837"/>
        <v>337379.0952414663</v>
      </c>
      <c r="AI3842" s="196">
        <f>IFERROR($G3842/SUMIF($A:$A,$A3842,$G:$G)*SUMIF(Summary!$A$247:$A$283,$A3842,Summary!$P$247:$P$283),0)</f>
        <v>11227.451237566189</v>
      </c>
      <c r="AJ3842" s="196">
        <f>IFERROR($G3842/SUMIF($A:$A,$A3842,$G:$G)*(SUMIF(Summary!$A$247:$A$283,$A3842,Summary!$L$247:$L$283)+SUMIF(Summary!$A$297:$A$333,$A3842,Summary!$L$297:$L$333))-AI3842,0)</f>
        <v>48385.041250696311</v>
      </c>
      <c r="AK3842" s="196">
        <f>IFERROR($G3842/SUMIF($A:$A,$A3842,$G:$G)*SUMIF(Summary!$A$247:$A$283,$A3842,Summary!$Q$247:$Q$283),0)</f>
        <v>11235.196070581929</v>
      </c>
      <c r="AL3842" s="196">
        <f>IFERROR($G3842/SUMIF($A:$A,$A3842,$G:$G)*(SUMIF(Summary!$A$247:$A$283,$A3842,Summary!$L$247:$L$283)+SUMIF(Summary!$A$297:$A$333,$A3842,Summary!$L$297:$L$333))-AK3842,0)</f>
        <v>48377.296417680569</v>
      </c>
      <c r="AM3842" s="198"/>
      <c r="AN3842" s="196">
        <f t="shared" ca="1" si="838"/>
        <v>385806.60300946451</v>
      </c>
      <c r="AO3842" s="196">
        <f t="shared" ca="1" si="839"/>
        <v>385756.39165914687</v>
      </c>
    </row>
    <row r="3843" spans="1:41">
      <c r="A3843" s="189">
        <v>42485</v>
      </c>
      <c r="B3843" s="190">
        <v>3</v>
      </c>
      <c r="C3843" s="191" t="s">
        <v>236</v>
      </c>
      <c r="D3843" s="192">
        <f t="shared" si="826"/>
        <v>0</v>
      </c>
      <c r="E3843" s="192">
        <f t="shared" si="827"/>
        <v>0</v>
      </c>
      <c r="F3843" s="192">
        <f t="shared" si="828"/>
        <v>0</v>
      </c>
      <c r="G3843" s="193">
        <f t="shared" si="829"/>
        <v>0</v>
      </c>
      <c r="H3843" s="194">
        <v>0</v>
      </c>
      <c r="I3843" s="194">
        <v>0</v>
      </c>
      <c r="J3843" s="194">
        <v>0</v>
      </c>
      <c r="K3843" s="193">
        <f t="shared" si="830"/>
        <v>0</v>
      </c>
      <c r="L3843" s="194">
        <v>0</v>
      </c>
      <c r="M3843" s="194">
        <v>0</v>
      </c>
      <c r="N3843" s="194">
        <v>0</v>
      </c>
      <c r="O3843" s="193">
        <f t="shared" si="831"/>
        <v>0</v>
      </c>
      <c r="P3843" s="194">
        <v>0</v>
      </c>
      <c r="Q3843" s="194">
        <v>0</v>
      </c>
      <c r="R3843" s="194">
        <v>0</v>
      </c>
      <c r="S3843" s="193">
        <f t="shared" si="832"/>
        <v>0</v>
      </c>
      <c r="T3843" s="193">
        <f t="shared" si="833"/>
        <v>0</v>
      </c>
      <c r="U3843" s="193">
        <f ca="1">OFFSET('Expenditure Study'!$B$7,'Operations Support'!$C3843,'Operations Support'!$B3843)*$G3843</f>
        <v>0</v>
      </c>
      <c r="V3843" s="199">
        <f ca="1">U3843*'Expenditure Study'!$B$31</f>
        <v>0</v>
      </c>
      <c r="W3843" s="199">
        <f ca="1">IF(A3843=10298,1.51,1)*IF($B3843&lt;3,$D3843*'Expenditure Study'!$B$32*OFFSET('Expenditure Study'!$B$7,'Operations Support'!$C3843,'Operations Support'!$B3843),0)</f>
        <v>0</v>
      </c>
      <c r="X3843" s="200">
        <f ca="1">W3843*'Expenditure Study'!$B$31</f>
        <v>0</v>
      </c>
      <c r="Y3843" s="199">
        <f ca="1">U3843*'Expenditure Study'!$B$31</f>
        <v>0</v>
      </c>
      <c r="Z3843" s="200">
        <f ca="1">W3843*'Expenditure Study'!$B$31</f>
        <v>0</v>
      </c>
      <c r="AA3843" s="195">
        <f t="shared" ca="1" si="834"/>
        <v>0</v>
      </c>
      <c r="AB3843" s="195">
        <f t="shared" ca="1" si="835"/>
        <v>0</v>
      </c>
      <c r="AD3843" s="196">
        <f>IFERROR($G3843/SUMIF($A:$A,$A3843,$G:$G)*SUMIF(Summary!$A$166:$A$242,$A3843,Summary!$P$166:$P$242),0)</f>
        <v>0</v>
      </c>
      <c r="AE3843" s="197">
        <f t="shared" ca="1" si="836"/>
        <v>0</v>
      </c>
      <c r="AF3843" s="196">
        <f>IFERROR(G3843/SUMIF(A:A,A3843,G:G)*SUMIF(Summary!$A$166:$A$242,'Operations Support'!A3843,Summary!$Q$166:$Q$242),0)</f>
        <v>0</v>
      </c>
      <c r="AG3843" s="196">
        <f t="shared" ca="1" si="837"/>
        <v>0</v>
      </c>
      <c r="AI3843" s="196">
        <f>IFERROR($G3843/SUMIF($A:$A,$A3843,$G:$G)*SUMIF(Summary!$A$247:$A$283,$A3843,Summary!$P$247:$P$283),0)</f>
        <v>0</v>
      </c>
      <c r="AJ3843" s="196">
        <f>IFERROR($G3843/SUMIF($A:$A,$A3843,$G:$G)*(SUMIF(Summary!$A$247:$A$283,$A3843,Summary!$L$247:$L$283)+SUMIF(Summary!$A$297:$A$333,$A3843,Summary!$L$297:$L$333))-AI3843,0)</f>
        <v>0</v>
      </c>
      <c r="AK3843" s="196">
        <f>IFERROR($G3843/SUMIF($A:$A,$A3843,$G:$G)*SUMIF(Summary!$A$247:$A$283,$A3843,Summary!$Q$247:$Q$283),0)</f>
        <v>0</v>
      </c>
      <c r="AL3843" s="196">
        <f>IFERROR($G3843/SUMIF($A:$A,$A3843,$G:$G)*(SUMIF(Summary!$A$247:$A$283,$A3843,Summary!$L$247:$L$283)+SUMIF(Summary!$A$297:$A$333,$A3843,Summary!$L$297:$L$333))-AK3843,0)</f>
        <v>0</v>
      </c>
      <c r="AM3843" s="198"/>
      <c r="AN3843" s="196">
        <f t="shared" ca="1" si="838"/>
        <v>0</v>
      </c>
      <c r="AO3843" s="196">
        <f t="shared" ca="1" si="839"/>
        <v>0</v>
      </c>
    </row>
    <row r="3844" spans="1:41">
      <c r="A3844" s="189">
        <v>42485</v>
      </c>
      <c r="B3844" s="190">
        <v>3</v>
      </c>
      <c r="C3844" s="191" t="s">
        <v>237</v>
      </c>
      <c r="D3844" s="192">
        <f t="shared" si="826"/>
        <v>0</v>
      </c>
      <c r="E3844" s="192">
        <f t="shared" si="827"/>
        <v>0</v>
      </c>
      <c r="F3844" s="192">
        <f t="shared" si="828"/>
        <v>0</v>
      </c>
      <c r="G3844" s="193">
        <f t="shared" si="829"/>
        <v>0</v>
      </c>
      <c r="H3844" s="194">
        <v>0</v>
      </c>
      <c r="I3844" s="194">
        <v>0</v>
      </c>
      <c r="J3844" s="194">
        <v>0</v>
      </c>
      <c r="K3844" s="193">
        <f t="shared" si="830"/>
        <v>0</v>
      </c>
      <c r="L3844" s="194">
        <v>0</v>
      </c>
      <c r="M3844" s="194">
        <v>0</v>
      </c>
      <c r="N3844" s="194">
        <v>0</v>
      </c>
      <c r="O3844" s="193">
        <f t="shared" si="831"/>
        <v>0</v>
      </c>
      <c r="P3844" s="194">
        <v>0</v>
      </c>
      <c r="Q3844" s="194">
        <v>0</v>
      </c>
      <c r="R3844" s="194">
        <v>0</v>
      </c>
      <c r="S3844" s="193">
        <f t="shared" si="832"/>
        <v>0</v>
      </c>
      <c r="T3844" s="193">
        <f t="shared" si="833"/>
        <v>0</v>
      </c>
      <c r="U3844" s="193">
        <f ca="1">OFFSET('Expenditure Study'!$B$7,'Operations Support'!$C3844,'Operations Support'!$B3844)*$G3844</f>
        <v>0</v>
      </c>
      <c r="V3844" s="199">
        <f ca="1">U3844*'Expenditure Study'!$B$31</f>
        <v>0</v>
      </c>
      <c r="W3844" s="199">
        <f ca="1">IF(A3844=10298,1.51,1)*IF($B3844&lt;3,$D3844*'Expenditure Study'!$B$32*OFFSET('Expenditure Study'!$B$7,'Operations Support'!$C3844,'Operations Support'!$B3844),0)</f>
        <v>0</v>
      </c>
      <c r="X3844" s="200">
        <f ca="1">W3844*'Expenditure Study'!$B$31</f>
        <v>0</v>
      </c>
      <c r="Y3844" s="199">
        <f ca="1">U3844*'Expenditure Study'!$B$31</f>
        <v>0</v>
      </c>
      <c r="Z3844" s="200">
        <f ca="1">W3844*'Expenditure Study'!$B$31</f>
        <v>0</v>
      </c>
      <c r="AA3844" s="195">
        <f t="shared" ca="1" si="834"/>
        <v>0</v>
      </c>
      <c r="AB3844" s="195">
        <f t="shared" ca="1" si="835"/>
        <v>0</v>
      </c>
      <c r="AD3844" s="196">
        <f>IFERROR($G3844/SUMIF($A:$A,$A3844,$G:$G)*SUMIF(Summary!$A$166:$A$242,$A3844,Summary!$P$166:$P$242),0)</f>
        <v>0</v>
      </c>
      <c r="AE3844" s="197">
        <f t="shared" ca="1" si="836"/>
        <v>0</v>
      </c>
      <c r="AF3844" s="196">
        <f>IFERROR(G3844/SUMIF(A:A,A3844,G:G)*SUMIF(Summary!$A$166:$A$242,'Operations Support'!A3844,Summary!$Q$166:$Q$242),0)</f>
        <v>0</v>
      </c>
      <c r="AG3844" s="196">
        <f t="shared" ca="1" si="837"/>
        <v>0</v>
      </c>
      <c r="AI3844" s="196">
        <f>IFERROR($G3844/SUMIF($A:$A,$A3844,$G:$G)*SUMIF(Summary!$A$247:$A$283,$A3844,Summary!$P$247:$P$283),0)</f>
        <v>0</v>
      </c>
      <c r="AJ3844" s="196">
        <f>IFERROR($G3844/SUMIF($A:$A,$A3844,$G:$G)*(SUMIF(Summary!$A$247:$A$283,$A3844,Summary!$L$247:$L$283)+SUMIF(Summary!$A$297:$A$333,$A3844,Summary!$L$297:$L$333))-AI3844,0)</f>
        <v>0</v>
      </c>
      <c r="AK3844" s="196">
        <f>IFERROR($G3844/SUMIF($A:$A,$A3844,$G:$G)*SUMIF(Summary!$A$247:$A$283,$A3844,Summary!$Q$247:$Q$283),0)</f>
        <v>0</v>
      </c>
      <c r="AL3844" s="196">
        <f>IFERROR($G3844/SUMIF($A:$A,$A3844,$G:$G)*(SUMIF(Summary!$A$247:$A$283,$A3844,Summary!$L$247:$L$283)+SUMIF(Summary!$A$297:$A$333,$A3844,Summary!$L$297:$L$333))-AK3844,0)</f>
        <v>0</v>
      </c>
      <c r="AM3844" s="198"/>
      <c r="AN3844" s="196">
        <f t="shared" ca="1" si="838"/>
        <v>0</v>
      </c>
      <c r="AO3844" s="196">
        <f t="shared" ca="1" si="839"/>
        <v>0</v>
      </c>
    </row>
    <row r="3845" spans="1:41">
      <c r="A3845" s="189">
        <v>42485</v>
      </c>
      <c r="B3845" s="190">
        <v>3</v>
      </c>
      <c r="C3845" s="191" t="s">
        <v>238</v>
      </c>
      <c r="D3845" s="192">
        <f t="shared" ref="D3845:D3889" si="840">H3845+L3845+P3845</f>
        <v>27</v>
      </c>
      <c r="E3845" s="192">
        <f t="shared" ref="E3845:E3889" si="841">I3845+M3845+Q3845</f>
        <v>0</v>
      </c>
      <c r="F3845" s="192">
        <f t="shared" ref="F3845:F3889" si="842">J3845+N3845+R3845</f>
        <v>0</v>
      </c>
      <c r="G3845" s="193">
        <f t="shared" ref="G3845:G3890" si="843">(SUM(D3845:E3845)-F3845)*IF(A3845=10298,1.51,1)</f>
        <v>27</v>
      </c>
      <c r="H3845" s="194">
        <v>0</v>
      </c>
      <c r="I3845" s="194">
        <v>0</v>
      </c>
      <c r="J3845" s="194">
        <v>0</v>
      </c>
      <c r="K3845" s="193">
        <f t="shared" ref="K3845:K3890" si="844">SUM(H3845:I3845)-J3845</f>
        <v>0</v>
      </c>
      <c r="L3845" s="194">
        <v>27</v>
      </c>
      <c r="M3845" s="194">
        <v>0</v>
      </c>
      <c r="N3845" s="194">
        <v>0</v>
      </c>
      <c r="O3845" s="193">
        <f t="shared" ref="O3845:O3890" si="845">SUM(L3845:M3845)-N3845</f>
        <v>27</v>
      </c>
      <c r="P3845" s="194">
        <v>0</v>
      </c>
      <c r="Q3845" s="194">
        <v>0</v>
      </c>
      <c r="R3845" s="194">
        <v>0</v>
      </c>
      <c r="S3845" s="193">
        <f t="shared" ref="S3845:S3890" si="846">SUM(P3845:Q3845)-R3845</f>
        <v>0</v>
      </c>
      <c r="T3845" s="193">
        <f t="shared" ref="T3845:T3889" si="847">IF(OR(B3845=1,B3845=2),G3845/30,IF(OR(B3845=3,B3845=5),G3845/24,IF(B3845=4,G3845/18,0)))</f>
        <v>1.125</v>
      </c>
      <c r="U3845" s="193">
        <f ca="1">OFFSET('Expenditure Study'!$B$7,'Operations Support'!$C3845,'Operations Support'!$B3845)*$G3845</f>
        <v>157.68</v>
      </c>
      <c r="V3845" s="199">
        <f ca="1">U3845*'Expenditure Study'!$B$31</f>
        <v>9316.2359485440011</v>
      </c>
      <c r="W3845" s="199">
        <f ca="1">IF(A3845=10298,1.51,1)*IF($B3845&lt;3,$D3845*'Expenditure Study'!$B$32*OFFSET('Expenditure Study'!$B$7,'Operations Support'!$C3845,'Operations Support'!$B3845),0)</f>
        <v>0</v>
      </c>
      <c r="X3845" s="200">
        <f ca="1">W3845*'Expenditure Study'!$B$31</f>
        <v>0</v>
      </c>
      <c r="Y3845" s="199">
        <f ca="1">U3845*'Expenditure Study'!$B$31</f>
        <v>9316.2359485440011</v>
      </c>
      <c r="Z3845" s="200">
        <f ca="1">W3845*'Expenditure Study'!$B$31</f>
        <v>0</v>
      </c>
      <c r="AA3845" s="195">
        <f t="shared" ref="AA3845:AA3889" ca="1" si="848">V3845+X3845</f>
        <v>9316.2359485440011</v>
      </c>
      <c r="AB3845" s="195">
        <f t="shared" ref="AB3845:AB3889" ca="1" si="849">Y3845+Z3845</f>
        <v>9316.2359485440011</v>
      </c>
      <c r="AD3845" s="196">
        <f>IFERROR($G3845/SUMIF($A:$A,$A3845,$G:$G)*SUMIF(Summary!$A$166:$A$242,$A3845,Summary!$P$166:$P$242),0)</f>
        <v>777.81265853417426</v>
      </c>
      <c r="AE3845" s="197">
        <f t="shared" ca="1" si="836"/>
        <v>8538.4232900098268</v>
      </c>
      <c r="AF3845" s="196">
        <f>IFERROR(G3845/SUMIF(A:A,A3845,G:G)*SUMIF(Summary!$A$166:$A$242,'Operations Support'!A3845,Summary!$Q$166:$Q$242),0)</f>
        <v>778.34920320761887</v>
      </c>
      <c r="AG3845" s="196">
        <f t="shared" ca="1" si="837"/>
        <v>8537.8867453363819</v>
      </c>
      <c r="AI3845" s="196">
        <f>IFERROR($G3845/SUMIF($A:$A,$A3845,$G:$G)*SUMIF(Summary!$A$247:$A$283,$A3845,Summary!$P$247:$P$283),0)</f>
        <v>141.85361881810346</v>
      </c>
      <c r="AJ3845" s="196">
        <f>IFERROR($G3845/SUMIF($A:$A,$A3845,$G:$G)*(SUMIF(Summary!$A$247:$A$283,$A3845,Summary!$L$247:$L$283)+SUMIF(Summary!$A$297:$A$333,$A3845,Summary!$L$297:$L$333))-AI3845,0)</f>
        <v>611.32246783752942</v>
      </c>
      <c r="AK3845" s="196">
        <f>IFERROR($G3845/SUMIF($A:$A,$A3845,$G:$G)*SUMIF(Summary!$A$247:$A$283,$A3845,Summary!$Q$247:$Q$283),0)</f>
        <v>141.95147117721672</v>
      </c>
      <c r="AL3845" s="196">
        <f>IFERROR($G3845/SUMIF($A:$A,$A3845,$G:$G)*(SUMIF(Summary!$A$247:$A$283,$A3845,Summary!$L$247:$L$283)+SUMIF(Summary!$A$297:$A$333,$A3845,Summary!$L$297:$L$333))-AK3845,0)</f>
        <v>611.22461547841613</v>
      </c>
      <c r="AM3845" s="198"/>
      <c r="AN3845" s="196">
        <f t="shared" ca="1" si="838"/>
        <v>9149.7457578473568</v>
      </c>
      <c r="AO3845" s="196">
        <f t="shared" ca="1" si="839"/>
        <v>9149.1113608147971</v>
      </c>
    </row>
    <row r="3846" spans="1:41">
      <c r="A3846" s="189">
        <v>42485</v>
      </c>
      <c r="B3846" s="190">
        <v>3</v>
      </c>
      <c r="C3846" s="191" t="s">
        <v>239</v>
      </c>
      <c r="D3846" s="192">
        <f t="shared" si="840"/>
        <v>0</v>
      </c>
      <c r="E3846" s="192">
        <f t="shared" si="841"/>
        <v>0</v>
      </c>
      <c r="F3846" s="192">
        <f t="shared" si="842"/>
        <v>0</v>
      </c>
      <c r="G3846" s="193">
        <f t="shared" si="843"/>
        <v>0</v>
      </c>
      <c r="H3846" s="194">
        <v>0</v>
      </c>
      <c r="I3846" s="194">
        <v>0</v>
      </c>
      <c r="J3846" s="194">
        <v>0</v>
      </c>
      <c r="K3846" s="193">
        <f t="shared" si="844"/>
        <v>0</v>
      </c>
      <c r="L3846" s="194">
        <v>0</v>
      </c>
      <c r="M3846" s="194">
        <v>0</v>
      </c>
      <c r="N3846" s="194">
        <v>0</v>
      </c>
      <c r="O3846" s="193">
        <f t="shared" si="845"/>
        <v>0</v>
      </c>
      <c r="P3846" s="194">
        <v>0</v>
      </c>
      <c r="Q3846" s="194">
        <v>0</v>
      </c>
      <c r="R3846" s="194">
        <v>0</v>
      </c>
      <c r="S3846" s="193">
        <f t="shared" si="846"/>
        <v>0</v>
      </c>
      <c r="T3846" s="193">
        <f t="shared" si="847"/>
        <v>0</v>
      </c>
      <c r="U3846" s="193">
        <f ca="1">OFFSET('Expenditure Study'!$B$7,'Operations Support'!$C3846,'Operations Support'!$B3846)*$G3846</f>
        <v>0</v>
      </c>
      <c r="V3846" s="199">
        <f ca="1">U3846*'Expenditure Study'!$B$31</f>
        <v>0</v>
      </c>
      <c r="W3846" s="199">
        <f ca="1">IF(A3846=10298,1.51,1)*IF($B3846&lt;3,$D3846*'Expenditure Study'!$B$32*OFFSET('Expenditure Study'!$B$7,'Operations Support'!$C3846,'Operations Support'!$B3846),0)</f>
        <v>0</v>
      </c>
      <c r="X3846" s="200">
        <f ca="1">W3846*'Expenditure Study'!$B$31</f>
        <v>0</v>
      </c>
      <c r="Y3846" s="199">
        <f ca="1">U3846*'Expenditure Study'!$B$31</f>
        <v>0</v>
      </c>
      <c r="Z3846" s="200">
        <f ca="1">W3846*'Expenditure Study'!$B$31</f>
        <v>0</v>
      </c>
      <c r="AA3846" s="195">
        <f t="shared" ca="1" si="848"/>
        <v>0</v>
      </c>
      <c r="AB3846" s="195">
        <f t="shared" ca="1" si="849"/>
        <v>0</v>
      </c>
      <c r="AD3846" s="196">
        <f>IFERROR($G3846/SUMIF($A:$A,$A3846,$G:$G)*SUMIF(Summary!$A$166:$A$242,$A3846,Summary!$P$166:$P$242),0)</f>
        <v>0</v>
      </c>
      <c r="AE3846" s="197">
        <f t="shared" ref="AE3846:AE3889" ca="1" si="850">V3846+X3846-AD3846</f>
        <v>0</v>
      </c>
      <c r="AF3846" s="196">
        <f>IFERROR(G3846/SUMIF(A:A,A3846,G:G)*SUMIF(Summary!$A$166:$A$242,'Operations Support'!A3846,Summary!$Q$166:$Q$242),0)</f>
        <v>0</v>
      </c>
      <c r="AG3846" s="196">
        <f t="shared" ref="AG3846:AG3889" ca="1" si="851">Y3846+Z3846-AF3846</f>
        <v>0</v>
      </c>
      <c r="AI3846" s="196">
        <f>IFERROR($G3846/SUMIF($A:$A,$A3846,$G:$G)*SUMIF(Summary!$A$247:$A$283,$A3846,Summary!$P$247:$P$283),0)</f>
        <v>0</v>
      </c>
      <c r="AJ3846" s="196">
        <f>IFERROR($G3846/SUMIF($A:$A,$A3846,$G:$G)*(SUMIF(Summary!$A$247:$A$283,$A3846,Summary!$L$247:$L$283)+SUMIF(Summary!$A$297:$A$333,$A3846,Summary!$L$297:$L$333))-AI3846,0)</f>
        <v>0</v>
      </c>
      <c r="AK3846" s="196">
        <f>IFERROR($G3846/SUMIF($A:$A,$A3846,$G:$G)*SUMIF(Summary!$A$247:$A$283,$A3846,Summary!$Q$247:$Q$283),0)</f>
        <v>0</v>
      </c>
      <c r="AL3846" s="196">
        <f>IFERROR($G3846/SUMIF($A:$A,$A3846,$G:$G)*(SUMIF(Summary!$A$247:$A$283,$A3846,Summary!$L$247:$L$283)+SUMIF(Summary!$A$297:$A$333,$A3846,Summary!$L$297:$L$333))-AK3846,0)</f>
        <v>0</v>
      </c>
      <c r="AM3846" s="198"/>
      <c r="AN3846" s="196">
        <f t="shared" ref="AN3846:AN3889" ca="1" si="852">AE3846+AJ3846</f>
        <v>0</v>
      </c>
      <c r="AO3846" s="196">
        <f t="shared" ref="AO3846:AO3889" ca="1" si="853">AG3846+AL3846</f>
        <v>0</v>
      </c>
    </row>
    <row r="3847" spans="1:41">
      <c r="A3847" s="189">
        <v>42485</v>
      </c>
      <c r="B3847" s="190">
        <v>3</v>
      </c>
      <c r="C3847" s="191" t="s">
        <v>240</v>
      </c>
      <c r="D3847" s="192">
        <f t="shared" si="840"/>
        <v>0</v>
      </c>
      <c r="E3847" s="192">
        <f t="shared" si="841"/>
        <v>0</v>
      </c>
      <c r="F3847" s="192">
        <f t="shared" si="842"/>
        <v>0</v>
      </c>
      <c r="G3847" s="193">
        <f t="shared" si="843"/>
        <v>0</v>
      </c>
      <c r="H3847" s="194">
        <v>0</v>
      </c>
      <c r="I3847" s="194">
        <v>0</v>
      </c>
      <c r="J3847" s="194">
        <v>0</v>
      </c>
      <c r="K3847" s="193">
        <f t="shared" si="844"/>
        <v>0</v>
      </c>
      <c r="L3847" s="194">
        <v>0</v>
      </c>
      <c r="M3847" s="194">
        <v>0</v>
      </c>
      <c r="N3847" s="194">
        <v>0</v>
      </c>
      <c r="O3847" s="193">
        <f t="shared" si="845"/>
        <v>0</v>
      </c>
      <c r="P3847" s="194">
        <v>0</v>
      </c>
      <c r="Q3847" s="194">
        <v>0</v>
      </c>
      <c r="R3847" s="194">
        <v>0</v>
      </c>
      <c r="S3847" s="193">
        <f t="shared" si="846"/>
        <v>0</v>
      </c>
      <c r="T3847" s="193">
        <f t="shared" si="847"/>
        <v>0</v>
      </c>
      <c r="U3847" s="193">
        <f ca="1">OFFSET('Expenditure Study'!$B$7,'Operations Support'!$C3847,'Operations Support'!$B3847)*$G3847</f>
        <v>0</v>
      </c>
      <c r="V3847" s="199">
        <f ca="1">U3847*'Expenditure Study'!$B$31</f>
        <v>0</v>
      </c>
      <c r="W3847" s="199">
        <f ca="1">IF(A3847=10298,1.51,1)*IF($B3847&lt;3,$D3847*'Expenditure Study'!$B$32*OFFSET('Expenditure Study'!$B$7,'Operations Support'!$C3847,'Operations Support'!$B3847),0)</f>
        <v>0</v>
      </c>
      <c r="X3847" s="200">
        <f ca="1">W3847*'Expenditure Study'!$B$31</f>
        <v>0</v>
      </c>
      <c r="Y3847" s="199">
        <f ca="1">U3847*'Expenditure Study'!$B$31</f>
        <v>0</v>
      </c>
      <c r="Z3847" s="200">
        <f ca="1">W3847*'Expenditure Study'!$B$31</f>
        <v>0</v>
      </c>
      <c r="AA3847" s="195">
        <f t="shared" ca="1" si="848"/>
        <v>0</v>
      </c>
      <c r="AB3847" s="195">
        <f t="shared" ca="1" si="849"/>
        <v>0</v>
      </c>
      <c r="AD3847" s="196">
        <f>IFERROR($G3847/SUMIF($A:$A,$A3847,$G:$G)*SUMIF(Summary!$A$166:$A$242,$A3847,Summary!$P$166:$P$242),0)</f>
        <v>0</v>
      </c>
      <c r="AE3847" s="197">
        <f t="shared" ca="1" si="850"/>
        <v>0</v>
      </c>
      <c r="AF3847" s="196">
        <f>IFERROR(G3847/SUMIF(A:A,A3847,G:G)*SUMIF(Summary!$A$166:$A$242,'Operations Support'!A3847,Summary!$Q$166:$Q$242),0)</f>
        <v>0</v>
      </c>
      <c r="AG3847" s="196">
        <f t="shared" ca="1" si="851"/>
        <v>0</v>
      </c>
      <c r="AI3847" s="196">
        <f>IFERROR($G3847/SUMIF($A:$A,$A3847,$G:$G)*SUMIF(Summary!$A$247:$A$283,$A3847,Summary!$P$247:$P$283),0)</f>
        <v>0</v>
      </c>
      <c r="AJ3847" s="196">
        <f>IFERROR($G3847/SUMIF($A:$A,$A3847,$G:$G)*(SUMIF(Summary!$A$247:$A$283,$A3847,Summary!$L$247:$L$283)+SUMIF(Summary!$A$297:$A$333,$A3847,Summary!$L$297:$L$333))-AI3847,0)</f>
        <v>0</v>
      </c>
      <c r="AK3847" s="196">
        <f>IFERROR($G3847/SUMIF($A:$A,$A3847,$G:$G)*SUMIF(Summary!$A$247:$A$283,$A3847,Summary!$Q$247:$Q$283),0)</f>
        <v>0</v>
      </c>
      <c r="AL3847" s="196">
        <f>IFERROR($G3847/SUMIF($A:$A,$A3847,$G:$G)*(SUMIF(Summary!$A$247:$A$283,$A3847,Summary!$L$247:$L$283)+SUMIF(Summary!$A$297:$A$333,$A3847,Summary!$L$297:$L$333))-AK3847,0)</f>
        <v>0</v>
      </c>
      <c r="AM3847" s="198"/>
      <c r="AN3847" s="196">
        <f t="shared" ca="1" si="852"/>
        <v>0</v>
      </c>
      <c r="AO3847" s="196">
        <f t="shared" ca="1" si="853"/>
        <v>0</v>
      </c>
    </row>
    <row r="3848" spans="1:41">
      <c r="A3848" s="189">
        <v>42485</v>
      </c>
      <c r="B3848" s="190">
        <v>4</v>
      </c>
      <c r="C3848" s="191" t="s">
        <v>220</v>
      </c>
      <c r="D3848" s="192">
        <f t="shared" si="840"/>
        <v>0</v>
      </c>
      <c r="E3848" s="192">
        <f t="shared" si="841"/>
        <v>0</v>
      </c>
      <c r="F3848" s="192">
        <f t="shared" si="842"/>
        <v>0</v>
      </c>
      <c r="G3848" s="193">
        <f t="shared" si="843"/>
        <v>0</v>
      </c>
      <c r="H3848" s="194">
        <v>0</v>
      </c>
      <c r="I3848" s="194">
        <v>0</v>
      </c>
      <c r="J3848" s="194">
        <v>0</v>
      </c>
      <c r="K3848" s="193">
        <f t="shared" si="844"/>
        <v>0</v>
      </c>
      <c r="L3848" s="194">
        <v>0</v>
      </c>
      <c r="M3848" s="194">
        <v>0</v>
      </c>
      <c r="N3848" s="194">
        <v>0</v>
      </c>
      <c r="O3848" s="193">
        <f t="shared" si="845"/>
        <v>0</v>
      </c>
      <c r="P3848" s="194">
        <v>0</v>
      </c>
      <c r="Q3848" s="194">
        <v>0</v>
      </c>
      <c r="R3848" s="194">
        <v>0</v>
      </c>
      <c r="S3848" s="193">
        <f t="shared" si="846"/>
        <v>0</v>
      </c>
      <c r="T3848" s="193">
        <f t="shared" si="847"/>
        <v>0</v>
      </c>
      <c r="U3848" s="193">
        <f ca="1">OFFSET('Expenditure Study'!$B$7,'Operations Support'!$C3848,'Operations Support'!$B3848)*$G3848</f>
        <v>0</v>
      </c>
      <c r="V3848" s="199">
        <f ca="1">U3848*'Expenditure Study'!$B$31</f>
        <v>0</v>
      </c>
      <c r="W3848" s="199">
        <f ca="1">IF(A3848=10298,1.51,1)*IF($B3848&lt;3,$D3848*'Expenditure Study'!$B$32*OFFSET('Expenditure Study'!$B$7,'Operations Support'!$C3848,'Operations Support'!$B3848),0)</f>
        <v>0</v>
      </c>
      <c r="X3848" s="200">
        <f ca="1">W3848*'Expenditure Study'!$B$31</f>
        <v>0</v>
      </c>
      <c r="Y3848" s="199">
        <f ca="1">U3848*'Expenditure Study'!$B$31</f>
        <v>0</v>
      </c>
      <c r="Z3848" s="200">
        <f ca="1">W3848*'Expenditure Study'!$B$31</f>
        <v>0</v>
      </c>
      <c r="AA3848" s="195">
        <f t="shared" ca="1" si="848"/>
        <v>0</v>
      </c>
      <c r="AB3848" s="195">
        <f t="shared" ca="1" si="849"/>
        <v>0</v>
      </c>
      <c r="AD3848" s="196">
        <f>IFERROR($G3848/SUMIF($A:$A,$A3848,$G:$G)*SUMIF(Summary!$A$166:$A$242,$A3848,Summary!$P$166:$P$242),0)</f>
        <v>0</v>
      </c>
      <c r="AE3848" s="197">
        <f t="shared" ca="1" si="850"/>
        <v>0</v>
      </c>
      <c r="AF3848" s="196">
        <f>IFERROR(G3848/SUMIF(A:A,A3848,G:G)*SUMIF(Summary!$A$166:$A$242,'Operations Support'!A3848,Summary!$Q$166:$Q$242),0)</f>
        <v>0</v>
      </c>
      <c r="AG3848" s="196">
        <f t="shared" ca="1" si="851"/>
        <v>0</v>
      </c>
      <c r="AI3848" s="196">
        <f>IFERROR($G3848/SUMIF($A:$A,$A3848,$G:$G)*SUMIF(Summary!$A$247:$A$283,$A3848,Summary!$P$247:$P$283),0)</f>
        <v>0</v>
      </c>
      <c r="AJ3848" s="196">
        <f>IFERROR($G3848/SUMIF($A:$A,$A3848,$G:$G)*(SUMIF(Summary!$A$247:$A$283,$A3848,Summary!$L$247:$L$283)+SUMIF(Summary!$A$297:$A$333,$A3848,Summary!$L$297:$L$333))-AI3848,0)</f>
        <v>0</v>
      </c>
      <c r="AK3848" s="196">
        <f>IFERROR($G3848/SUMIF($A:$A,$A3848,$G:$G)*SUMIF(Summary!$A$247:$A$283,$A3848,Summary!$Q$247:$Q$283),0)</f>
        <v>0</v>
      </c>
      <c r="AL3848" s="196">
        <f>IFERROR($G3848/SUMIF($A:$A,$A3848,$G:$G)*(SUMIF(Summary!$A$247:$A$283,$A3848,Summary!$L$247:$L$283)+SUMIF(Summary!$A$297:$A$333,$A3848,Summary!$L$297:$L$333))-AK3848,0)</f>
        <v>0</v>
      </c>
      <c r="AM3848" s="198"/>
      <c r="AN3848" s="196">
        <f t="shared" ca="1" si="852"/>
        <v>0</v>
      </c>
      <c r="AO3848" s="196">
        <f t="shared" ca="1" si="853"/>
        <v>0</v>
      </c>
    </row>
    <row r="3849" spans="1:41">
      <c r="A3849" s="189">
        <v>42485</v>
      </c>
      <c r="B3849" s="190">
        <v>4</v>
      </c>
      <c r="C3849" s="191" t="s">
        <v>221</v>
      </c>
      <c r="D3849" s="192">
        <f t="shared" si="840"/>
        <v>0</v>
      </c>
      <c r="E3849" s="192">
        <f t="shared" si="841"/>
        <v>0</v>
      </c>
      <c r="F3849" s="192">
        <f t="shared" si="842"/>
        <v>0</v>
      </c>
      <c r="G3849" s="193">
        <f t="shared" si="843"/>
        <v>0</v>
      </c>
      <c r="H3849" s="194">
        <v>0</v>
      </c>
      <c r="I3849" s="194">
        <v>0</v>
      </c>
      <c r="J3849" s="194">
        <v>0</v>
      </c>
      <c r="K3849" s="193">
        <f t="shared" si="844"/>
        <v>0</v>
      </c>
      <c r="L3849" s="194">
        <v>0</v>
      </c>
      <c r="M3849" s="194">
        <v>0</v>
      </c>
      <c r="N3849" s="194">
        <v>0</v>
      </c>
      <c r="O3849" s="193">
        <f t="shared" si="845"/>
        <v>0</v>
      </c>
      <c r="P3849" s="194">
        <v>0</v>
      </c>
      <c r="Q3849" s="194">
        <v>0</v>
      </c>
      <c r="R3849" s="194">
        <v>0</v>
      </c>
      <c r="S3849" s="193">
        <f t="shared" si="846"/>
        <v>0</v>
      </c>
      <c r="T3849" s="193">
        <f t="shared" si="847"/>
        <v>0</v>
      </c>
      <c r="U3849" s="193">
        <f ca="1">OFFSET('Expenditure Study'!$B$7,'Operations Support'!$C3849,'Operations Support'!$B3849)*$G3849</f>
        <v>0</v>
      </c>
      <c r="V3849" s="199">
        <f ca="1">U3849*'Expenditure Study'!$B$31</f>
        <v>0</v>
      </c>
      <c r="W3849" s="199">
        <f ca="1">IF(A3849=10298,1.51,1)*IF($B3849&lt;3,$D3849*'Expenditure Study'!$B$32*OFFSET('Expenditure Study'!$B$7,'Operations Support'!$C3849,'Operations Support'!$B3849),0)</f>
        <v>0</v>
      </c>
      <c r="X3849" s="200">
        <f ca="1">W3849*'Expenditure Study'!$B$31</f>
        <v>0</v>
      </c>
      <c r="Y3849" s="199">
        <f ca="1">U3849*'Expenditure Study'!$B$31</f>
        <v>0</v>
      </c>
      <c r="Z3849" s="200">
        <f ca="1">W3849*'Expenditure Study'!$B$31</f>
        <v>0</v>
      </c>
      <c r="AA3849" s="195">
        <f t="shared" ca="1" si="848"/>
        <v>0</v>
      </c>
      <c r="AB3849" s="195">
        <f t="shared" ca="1" si="849"/>
        <v>0</v>
      </c>
      <c r="AD3849" s="196">
        <f>IFERROR($G3849/SUMIF($A:$A,$A3849,$G:$G)*SUMIF(Summary!$A$166:$A$242,$A3849,Summary!$P$166:$P$242),0)</f>
        <v>0</v>
      </c>
      <c r="AE3849" s="197">
        <f t="shared" ca="1" si="850"/>
        <v>0</v>
      </c>
      <c r="AF3849" s="196">
        <f>IFERROR(G3849/SUMIF(A:A,A3849,G:G)*SUMIF(Summary!$A$166:$A$242,'Operations Support'!A3849,Summary!$Q$166:$Q$242),0)</f>
        <v>0</v>
      </c>
      <c r="AG3849" s="196">
        <f t="shared" ca="1" si="851"/>
        <v>0</v>
      </c>
      <c r="AI3849" s="196">
        <f>IFERROR($G3849/SUMIF($A:$A,$A3849,$G:$G)*SUMIF(Summary!$A$247:$A$283,$A3849,Summary!$P$247:$P$283),0)</f>
        <v>0</v>
      </c>
      <c r="AJ3849" s="196">
        <f>IFERROR($G3849/SUMIF($A:$A,$A3849,$G:$G)*(SUMIF(Summary!$A$247:$A$283,$A3849,Summary!$L$247:$L$283)+SUMIF(Summary!$A$297:$A$333,$A3849,Summary!$L$297:$L$333))-AI3849,0)</f>
        <v>0</v>
      </c>
      <c r="AK3849" s="196">
        <f>IFERROR($G3849/SUMIF($A:$A,$A3849,$G:$G)*SUMIF(Summary!$A$247:$A$283,$A3849,Summary!$Q$247:$Q$283),0)</f>
        <v>0</v>
      </c>
      <c r="AL3849" s="196">
        <f>IFERROR($G3849/SUMIF($A:$A,$A3849,$G:$G)*(SUMIF(Summary!$A$247:$A$283,$A3849,Summary!$L$247:$L$283)+SUMIF(Summary!$A$297:$A$333,$A3849,Summary!$L$297:$L$333))-AK3849,0)</f>
        <v>0</v>
      </c>
      <c r="AM3849" s="198"/>
      <c r="AN3849" s="196">
        <f t="shared" ca="1" si="852"/>
        <v>0</v>
      </c>
      <c r="AO3849" s="196">
        <f t="shared" ca="1" si="853"/>
        <v>0</v>
      </c>
    </row>
    <row r="3850" spans="1:41">
      <c r="A3850" s="189">
        <v>42485</v>
      </c>
      <c r="B3850" s="190">
        <v>4</v>
      </c>
      <c r="C3850" s="191" t="s">
        <v>222</v>
      </c>
      <c r="D3850" s="192">
        <f t="shared" si="840"/>
        <v>0</v>
      </c>
      <c r="E3850" s="192">
        <f t="shared" si="841"/>
        <v>0</v>
      </c>
      <c r="F3850" s="192">
        <f t="shared" si="842"/>
        <v>0</v>
      </c>
      <c r="G3850" s="193">
        <f t="shared" si="843"/>
        <v>0</v>
      </c>
      <c r="H3850" s="194">
        <v>0</v>
      </c>
      <c r="I3850" s="194">
        <v>0</v>
      </c>
      <c r="J3850" s="194">
        <v>0</v>
      </c>
      <c r="K3850" s="193">
        <f t="shared" si="844"/>
        <v>0</v>
      </c>
      <c r="L3850" s="194">
        <v>0</v>
      </c>
      <c r="M3850" s="194">
        <v>0</v>
      </c>
      <c r="N3850" s="194">
        <v>0</v>
      </c>
      <c r="O3850" s="193">
        <f t="shared" si="845"/>
        <v>0</v>
      </c>
      <c r="P3850" s="194">
        <v>0</v>
      </c>
      <c r="Q3850" s="194">
        <v>0</v>
      </c>
      <c r="R3850" s="194">
        <v>0</v>
      </c>
      <c r="S3850" s="193">
        <f t="shared" si="846"/>
        <v>0</v>
      </c>
      <c r="T3850" s="193">
        <f t="shared" si="847"/>
        <v>0</v>
      </c>
      <c r="U3850" s="193">
        <f ca="1">OFFSET('Expenditure Study'!$B$7,'Operations Support'!$C3850,'Operations Support'!$B3850)*$G3850</f>
        <v>0</v>
      </c>
      <c r="V3850" s="199">
        <f ca="1">U3850*'Expenditure Study'!$B$31</f>
        <v>0</v>
      </c>
      <c r="W3850" s="199">
        <f ca="1">IF(A3850=10298,1.51,1)*IF($B3850&lt;3,$D3850*'Expenditure Study'!$B$32*OFFSET('Expenditure Study'!$B$7,'Operations Support'!$C3850,'Operations Support'!$B3850),0)</f>
        <v>0</v>
      </c>
      <c r="X3850" s="200">
        <f ca="1">W3850*'Expenditure Study'!$B$31</f>
        <v>0</v>
      </c>
      <c r="Y3850" s="199">
        <f ca="1">U3850*'Expenditure Study'!$B$31</f>
        <v>0</v>
      </c>
      <c r="Z3850" s="200">
        <f ca="1">W3850*'Expenditure Study'!$B$31</f>
        <v>0</v>
      </c>
      <c r="AA3850" s="195">
        <f t="shared" ca="1" si="848"/>
        <v>0</v>
      </c>
      <c r="AB3850" s="195">
        <f t="shared" ca="1" si="849"/>
        <v>0</v>
      </c>
      <c r="AD3850" s="196">
        <f>IFERROR($G3850/SUMIF($A:$A,$A3850,$G:$G)*SUMIF(Summary!$A$166:$A$242,$A3850,Summary!$P$166:$P$242),0)</f>
        <v>0</v>
      </c>
      <c r="AE3850" s="197">
        <f t="shared" ca="1" si="850"/>
        <v>0</v>
      </c>
      <c r="AF3850" s="196">
        <f>IFERROR(G3850/SUMIF(A:A,A3850,G:G)*SUMIF(Summary!$A$166:$A$242,'Operations Support'!A3850,Summary!$Q$166:$Q$242),0)</f>
        <v>0</v>
      </c>
      <c r="AG3850" s="196">
        <f t="shared" ca="1" si="851"/>
        <v>0</v>
      </c>
      <c r="AI3850" s="196">
        <f>IFERROR($G3850/SUMIF($A:$A,$A3850,$G:$G)*SUMIF(Summary!$A$247:$A$283,$A3850,Summary!$P$247:$P$283),0)</f>
        <v>0</v>
      </c>
      <c r="AJ3850" s="196">
        <f>IFERROR($G3850/SUMIF($A:$A,$A3850,$G:$G)*(SUMIF(Summary!$A$247:$A$283,$A3850,Summary!$L$247:$L$283)+SUMIF(Summary!$A$297:$A$333,$A3850,Summary!$L$297:$L$333))-AI3850,0)</f>
        <v>0</v>
      </c>
      <c r="AK3850" s="196">
        <f>IFERROR($G3850/SUMIF($A:$A,$A3850,$G:$G)*SUMIF(Summary!$A$247:$A$283,$A3850,Summary!$Q$247:$Q$283),0)</f>
        <v>0</v>
      </c>
      <c r="AL3850" s="196">
        <f>IFERROR($G3850/SUMIF($A:$A,$A3850,$G:$G)*(SUMIF(Summary!$A$247:$A$283,$A3850,Summary!$L$247:$L$283)+SUMIF(Summary!$A$297:$A$333,$A3850,Summary!$L$297:$L$333))-AK3850,0)</f>
        <v>0</v>
      </c>
      <c r="AM3850" s="198"/>
      <c r="AN3850" s="196">
        <f t="shared" ca="1" si="852"/>
        <v>0</v>
      </c>
      <c r="AO3850" s="196">
        <f t="shared" ca="1" si="853"/>
        <v>0</v>
      </c>
    </row>
    <row r="3851" spans="1:41">
      <c r="A3851" s="189">
        <v>42485</v>
      </c>
      <c r="B3851" s="190">
        <v>4</v>
      </c>
      <c r="C3851" s="191" t="s">
        <v>223</v>
      </c>
      <c r="D3851" s="192">
        <f t="shared" si="840"/>
        <v>0</v>
      </c>
      <c r="E3851" s="192">
        <f t="shared" si="841"/>
        <v>0</v>
      </c>
      <c r="F3851" s="192">
        <f t="shared" si="842"/>
        <v>0</v>
      </c>
      <c r="G3851" s="193">
        <f t="shared" si="843"/>
        <v>0</v>
      </c>
      <c r="H3851" s="194">
        <v>0</v>
      </c>
      <c r="I3851" s="194">
        <v>0</v>
      </c>
      <c r="J3851" s="194">
        <v>0</v>
      </c>
      <c r="K3851" s="193">
        <f t="shared" si="844"/>
        <v>0</v>
      </c>
      <c r="L3851" s="194">
        <v>0</v>
      </c>
      <c r="M3851" s="194">
        <v>0</v>
      </c>
      <c r="N3851" s="194">
        <v>0</v>
      </c>
      <c r="O3851" s="193">
        <f t="shared" si="845"/>
        <v>0</v>
      </c>
      <c r="P3851" s="194">
        <v>0</v>
      </c>
      <c r="Q3851" s="194">
        <v>0</v>
      </c>
      <c r="R3851" s="194">
        <v>0</v>
      </c>
      <c r="S3851" s="193">
        <f t="shared" si="846"/>
        <v>0</v>
      </c>
      <c r="T3851" s="193">
        <f t="shared" si="847"/>
        <v>0</v>
      </c>
      <c r="U3851" s="193">
        <f ca="1">OFFSET('Expenditure Study'!$B$7,'Operations Support'!$C3851,'Operations Support'!$B3851)*$G3851</f>
        <v>0</v>
      </c>
      <c r="V3851" s="199">
        <f ca="1">U3851*'Expenditure Study'!$B$31</f>
        <v>0</v>
      </c>
      <c r="W3851" s="199">
        <f ca="1">IF(A3851=10298,1.51,1)*IF($B3851&lt;3,$D3851*'Expenditure Study'!$B$32*OFFSET('Expenditure Study'!$B$7,'Operations Support'!$C3851,'Operations Support'!$B3851),0)</f>
        <v>0</v>
      </c>
      <c r="X3851" s="200">
        <f ca="1">W3851*'Expenditure Study'!$B$31</f>
        <v>0</v>
      </c>
      <c r="Y3851" s="199">
        <f ca="1">U3851*'Expenditure Study'!$B$31</f>
        <v>0</v>
      </c>
      <c r="Z3851" s="200">
        <f ca="1">W3851*'Expenditure Study'!$B$31</f>
        <v>0</v>
      </c>
      <c r="AA3851" s="195">
        <f t="shared" ca="1" si="848"/>
        <v>0</v>
      </c>
      <c r="AB3851" s="195">
        <f t="shared" ca="1" si="849"/>
        <v>0</v>
      </c>
      <c r="AD3851" s="196">
        <f>IFERROR($G3851/SUMIF($A:$A,$A3851,$G:$G)*SUMIF(Summary!$A$166:$A$242,$A3851,Summary!$P$166:$P$242),0)</f>
        <v>0</v>
      </c>
      <c r="AE3851" s="197">
        <f t="shared" ca="1" si="850"/>
        <v>0</v>
      </c>
      <c r="AF3851" s="196">
        <f>IFERROR(G3851/SUMIF(A:A,A3851,G:G)*SUMIF(Summary!$A$166:$A$242,'Operations Support'!A3851,Summary!$Q$166:$Q$242),0)</f>
        <v>0</v>
      </c>
      <c r="AG3851" s="196">
        <f t="shared" ca="1" si="851"/>
        <v>0</v>
      </c>
      <c r="AI3851" s="196">
        <f>IFERROR($G3851/SUMIF($A:$A,$A3851,$G:$G)*SUMIF(Summary!$A$247:$A$283,$A3851,Summary!$P$247:$P$283),0)</f>
        <v>0</v>
      </c>
      <c r="AJ3851" s="196">
        <f>IFERROR($G3851/SUMIF($A:$A,$A3851,$G:$G)*(SUMIF(Summary!$A$247:$A$283,$A3851,Summary!$L$247:$L$283)+SUMIF(Summary!$A$297:$A$333,$A3851,Summary!$L$297:$L$333))-AI3851,0)</f>
        <v>0</v>
      </c>
      <c r="AK3851" s="196">
        <f>IFERROR($G3851/SUMIF($A:$A,$A3851,$G:$G)*SUMIF(Summary!$A$247:$A$283,$A3851,Summary!$Q$247:$Q$283),0)</f>
        <v>0</v>
      </c>
      <c r="AL3851" s="196">
        <f>IFERROR($G3851/SUMIF($A:$A,$A3851,$G:$G)*(SUMIF(Summary!$A$247:$A$283,$A3851,Summary!$L$247:$L$283)+SUMIF(Summary!$A$297:$A$333,$A3851,Summary!$L$297:$L$333))-AK3851,0)</f>
        <v>0</v>
      </c>
      <c r="AM3851" s="198"/>
      <c r="AN3851" s="196">
        <f t="shared" ca="1" si="852"/>
        <v>0</v>
      </c>
      <c r="AO3851" s="196">
        <f t="shared" ca="1" si="853"/>
        <v>0</v>
      </c>
    </row>
    <row r="3852" spans="1:41">
      <c r="A3852" s="189">
        <v>42485</v>
      </c>
      <c r="B3852" s="190">
        <v>4</v>
      </c>
      <c r="C3852" s="191" t="s">
        <v>224</v>
      </c>
      <c r="D3852" s="192">
        <f t="shared" si="840"/>
        <v>0</v>
      </c>
      <c r="E3852" s="192">
        <f t="shared" si="841"/>
        <v>0</v>
      </c>
      <c r="F3852" s="192">
        <f t="shared" si="842"/>
        <v>0</v>
      </c>
      <c r="G3852" s="193">
        <f t="shared" si="843"/>
        <v>0</v>
      </c>
      <c r="H3852" s="194">
        <v>0</v>
      </c>
      <c r="I3852" s="194">
        <v>0</v>
      </c>
      <c r="J3852" s="194">
        <v>0</v>
      </c>
      <c r="K3852" s="193">
        <f t="shared" si="844"/>
        <v>0</v>
      </c>
      <c r="L3852" s="194">
        <v>0</v>
      </c>
      <c r="M3852" s="194">
        <v>0</v>
      </c>
      <c r="N3852" s="194">
        <v>0</v>
      </c>
      <c r="O3852" s="193">
        <f t="shared" si="845"/>
        <v>0</v>
      </c>
      <c r="P3852" s="194">
        <v>0</v>
      </c>
      <c r="Q3852" s="194">
        <v>0</v>
      </c>
      <c r="R3852" s="194">
        <v>0</v>
      </c>
      <c r="S3852" s="193">
        <f t="shared" si="846"/>
        <v>0</v>
      </c>
      <c r="T3852" s="193">
        <f t="shared" si="847"/>
        <v>0</v>
      </c>
      <c r="U3852" s="193">
        <f ca="1">OFFSET('Expenditure Study'!$B$7,'Operations Support'!$C3852,'Operations Support'!$B3852)*$G3852</f>
        <v>0</v>
      </c>
      <c r="V3852" s="199">
        <f ca="1">U3852*'Expenditure Study'!$B$31</f>
        <v>0</v>
      </c>
      <c r="W3852" s="199">
        <f ca="1">IF(A3852=10298,1.51,1)*IF($B3852&lt;3,$D3852*'Expenditure Study'!$B$32*OFFSET('Expenditure Study'!$B$7,'Operations Support'!$C3852,'Operations Support'!$B3852),0)</f>
        <v>0</v>
      </c>
      <c r="X3852" s="200">
        <f ca="1">W3852*'Expenditure Study'!$B$31</f>
        <v>0</v>
      </c>
      <c r="Y3852" s="199">
        <f ca="1">U3852*'Expenditure Study'!$B$31</f>
        <v>0</v>
      </c>
      <c r="Z3852" s="200">
        <f ca="1">W3852*'Expenditure Study'!$B$31</f>
        <v>0</v>
      </c>
      <c r="AA3852" s="195">
        <f t="shared" ca="1" si="848"/>
        <v>0</v>
      </c>
      <c r="AB3852" s="195">
        <f t="shared" ca="1" si="849"/>
        <v>0</v>
      </c>
      <c r="AD3852" s="196">
        <f>IFERROR($G3852/SUMIF($A:$A,$A3852,$G:$G)*SUMIF(Summary!$A$166:$A$242,$A3852,Summary!$P$166:$P$242),0)</f>
        <v>0</v>
      </c>
      <c r="AE3852" s="197">
        <f t="shared" ca="1" si="850"/>
        <v>0</v>
      </c>
      <c r="AF3852" s="196">
        <f>IFERROR(G3852/SUMIF(A:A,A3852,G:G)*SUMIF(Summary!$A$166:$A$242,'Operations Support'!A3852,Summary!$Q$166:$Q$242),0)</f>
        <v>0</v>
      </c>
      <c r="AG3852" s="196">
        <f t="shared" ca="1" si="851"/>
        <v>0</v>
      </c>
      <c r="AI3852" s="196">
        <f>IFERROR($G3852/SUMIF($A:$A,$A3852,$G:$G)*SUMIF(Summary!$A$247:$A$283,$A3852,Summary!$P$247:$P$283),0)</f>
        <v>0</v>
      </c>
      <c r="AJ3852" s="196">
        <f>IFERROR($G3852/SUMIF($A:$A,$A3852,$G:$G)*(SUMIF(Summary!$A$247:$A$283,$A3852,Summary!$L$247:$L$283)+SUMIF(Summary!$A$297:$A$333,$A3852,Summary!$L$297:$L$333))-AI3852,0)</f>
        <v>0</v>
      </c>
      <c r="AK3852" s="196">
        <f>IFERROR($G3852/SUMIF($A:$A,$A3852,$G:$G)*SUMIF(Summary!$A$247:$A$283,$A3852,Summary!$Q$247:$Q$283),0)</f>
        <v>0</v>
      </c>
      <c r="AL3852" s="196">
        <f>IFERROR($G3852/SUMIF($A:$A,$A3852,$G:$G)*(SUMIF(Summary!$A$247:$A$283,$A3852,Summary!$L$247:$L$283)+SUMIF(Summary!$A$297:$A$333,$A3852,Summary!$L$297:$L$333))-AK3852,0)</f>
        <v>0</v>
      </c>
      <c r="AM3852" s="198"/>
      <c r="AN3852" s="196">
        <f t="shared" ca="1" si="852"/>
        <v>0</v>
      </c>
      <c r="AO3852" s="196">
        <f t="shared" ca="1" si="853"/>
        <v>0</v>
      </c>
    </row>
    <row r="3853" spans="1:41">
      <c r="A3853" s="189">
        <v>42485</v>
      </c>
      <c r="B3853" s="190">
        <v>4</v>
      </c>
      <c r="C3853" s="191" t="s">
        <v>225</v>
      </c>
      <c r="D3853" s="192">
        <f t="shared" si="840"/>
        <v>0</v>
      </c>
      <c r="E3853" s="192">
        <f t="shared" si="841"/>
        <v>0</v>
      </c>
      <c r="F3853" s="192">
        <f t="shared" si="842"/>
        <v>0</v>
      </c>
      <c r="G3853" s="193">
        <f t="shared" si="843"/>
        <v>0</v>
      </c>
      <c r="H3853" s="194">
        <v>0</v>
      </c>
      <c r="I3853" s="194">
        <v>0</v>
      </c>
      <c r="J3853" s="194">
        <v>0</v>
      </c>
      <c r="K3853" s="193">
        <f t="shared" si="844"/>
        <v>0</v>
      </c>
      <c r="L3853" s="194">
        <v>0</v>
      </c>
      <c r="M3853" s="194">
        <v>0</v>
      </c>
      <c r="N3853" s="194">
        <v>0</v>
      </c>
      <c r="O3853" s="193">
        <f t="shared" si="845"/>
        <v>0</v>
      </c>
      <c r="P3853" s="194">
        <v>0</v>
      </c>
      <c r="Q3853" s="194">
        <v>0</v>
      </c>
      <c r="R3853" s="194">
        <v>0</v>
      </c>
      <c r="S3853" s="193">
        <f t="shared" si="846"/>
        <v>0</v>
      </c>
      <c r="T3853" s="193">
        <f t="shared" si="847"/>
        <v>0</v>
      </c>
      <c r="U3853" s="193">
        <f ca="1">OFFSET('Expenditure Study'!$B$7,'Operations Support'!$C3853,'Operations Support'!$B3853)*$G3853</f>
        <v>0</v>
      </c>
      <c r="V3853" s="199">
        <f ca="1">U3853*'Expenditure Study'!$B$31</f>
        <v>0</v>
      </c>
      <c r="W3853" s="199">
        <f ca="1">IF(A3853=10298,1.51,1)*IF($B3853&lt;3,$D3853*'Expenditure Study'!$B$32*OFFSET('Expenditure Study'!$B$7,'Operations Support'!$C3853,'Operations Support'!$B3853),0)</f>
        <v>0</v>
      </c>
      <c r="X3853" s="200">
        <f ca="1">W3853*'Expenditure Study'!$B$31</f>
        <v>0</v>
      </c>
      <c r="Y3853" s="199">
        <f ca="1">U3853*'Expenditure Study'!$B$31</f>
        <v>0</v>
      </c>
      <c r="Z3853" s="200">
        <f ca="1">W3853*'Expenditure Study'!$B$31</f>
        <v>0</v>
      </c>
      <c r="AA3853" s="195">
        <f t="shared" ca="1" si="848"/>
        <v>0</v>
      </c>
      <c r="AB3853" s="195">
        <f t="shared" ca="1" si="849"/>
        <v>0</v>
      </c>
      <c r="AD3853" s="196">
        <f>IFERROR($G3853/SUMIF($A:$A,$A3853,$G:$G)*SUMIF(Summary!$A$166:$A$242,$A3853,Summary!$P$166:$P$242),0)</f>
        <v>0</v>
      </c>
      <c r="AE3853" s="197">
        <f t="shared" ca="1" si="850"/>
        <v>0</v>
      </c>
      <c r="AF3853" s="196">
        <f>IFERROR(G3853/SUMIF(A:A,A3853,G:G)*SUMIF(Summary!$A$166:$A$242,'Operations Support'!A3853,Summary!$Q$166:$Q$242),0)</f>
        <v>0</v>
      </c>
      <c r="AG3853" s="196">
        <f t="shared" ca="1" si="851"/>
        <v>0</v>
      </c>
      <c r="AI3853" s="196">
        <f>IFERROR($G3853/SUMIF($A:$A,$A3853,$G:$G)*SUMIF(Summary!$A$247:$A$283,$A3853,Summary!$P$247:$P$283),0)</f>
        <v>0</v>
      </c>
      <c r="AJ3853" s="196">
        <f>IFERROR($G3853/SUMIF($A:$A,$A3853,$G:$G)*(SUMIF(Summary!$A$247:$A$283,$A3853,Summary!$L$247:$L$283)+SUMIF(Summary!$A$297:$A$333,$A3853,Summary!$L$297:$L$333))-AI3853,0)</f>
        <v>0</v>
      </c>
      <c r="AK3853" s="196">
        <f>IFERROR($G3853/SUMIF($A:$A,$A3853,$G:$G)*SUMIF(Summary!$A$247:$A$283,$A3853,Summary!$Q$247:$Q$283),0)</f>
        <v>0</v>
      </c>
      <c r="AL3853" s="196">
        <f>IFERROR($G3853/SUMIF($A:$A,$A3853,$G:$G)*(SUMIF(Summary!$A$247:$A$283,$A3853,Summary!$L$247:$L$283)+SUMIF(Summary!$A$297:$A$333,$A3853,Summary!$L$297:$L$333))-AK3853,0)</f>
        <v>0</v>
      </c>
      <c r="AM3853" s="198"/>
      <c r="AN3853" s="196">
        <f t="shared" ca="1" si="852"/>
        <v>0</v>
      </c>
      <c r="AO3853" s="196">
        <f t="shared" ca="1" si="853"/>
        <v>0</v>
      </c>
    </row>
    <row r="3854" spans="1:41">
      <c r="A3854" s="189">
        <v>42485</v>
      </c>
      <c r="B3854" s="190">
        <v>4</v>
      </c>
      <c r="C3854" s="191" t="s">
        <v>226</v>
      </c>
      <c r="D3854" s="192">
        <f t="shared" si="840"/>
        <v>0</v>
      </c>
      <c r="E3854" s="192">
        <f t="shared" si="841"/>
        <v>0</v>
      </c>
      <c r="F3854" s="192">
        <f t="shared" si="842"/>
        <v>0</v>
      </c>
      <c r="G3854" s="193">
        <f t="shared" si="843"/>
        <v>0</v>
      </c>
      <c r="H3854" s="194">
        <v>0</v>
      </c>
      <c r="I3854" s="194">
        <v>0</v>
      </c>
      <c r="J3854" s="194">
        <v>0</v>
      </c>
      <c r="K3854" s="193">
        <f t="shared" si="844"/>
        <v>0</v>
      </c>
      <c r="L3854" s="194">
        <v>0</v>
      </c>
      <c r="M3854" s="194">
        <v>0</v>
      </c>
      <c r="N3854" s="194">
        <v>0</v>
      </c>
      <c r="O3854" s="193">
        <f t="shared" si="845"/>
        <v>0</v>
      </c>
      <c r="P3854" s="194">
        <v>0</v>
      </c>
      <c r="Q3854" s="194">
        <v>0</v>
      </c>
      <c r="R3854" s="194">
        <v>0</v>
      </c>
      <c r="S3854" s="193">
        <f t="shared" si="846"/>
        <v>0</v>
      </c>
      <c r="T3854" s="193">
        <f t="shared" si="847"/>
        <v>0</v>
      </c>
      <c r="U3854" s="193">
        <f ca="1">OFFSET('Expenditure Study'!$B$7,'Operations Support'!$C3854,'Operations Support'!$B3854)*$G3854</f>
        <v>0</v>
      </c>
      <c r="V3854" s="199">
        <f ca="1">U3854*'Expenditure Study'!$B$31</f>
        <v>0</v>
      </c>
      <c r="W3854" s="199">
        <f ca="1">IF(A3854=10298,1.51,1)*IF($B3854&lt;3,$D3854*'Expenditure Study'!$B$32*OFFSET('Expenditure Study'!$B$7,'Operations Support'!$C3854,'Operations Support'!$B3854),0)</f>
        <v>0</v>
      </c>
      <c r="X3854" s="200">
        <f ca="1">W3854*'Expenditure Study'!$B$31</f>
        <v>0</v>
      </c>
      <c r="Y3854" s="199">
        <f ca="1">U3854*'Expenditure Study'!$B$31</f>
        <v>0</v>
      </c>
      <c r="Z3854" s="200">
        <f ca="1">W3854*'Expenditure Study'!$B$31</f>
        <v>0</v>
      </c>
      <c r="AA3854" s="195">
        <f t="shared" ca="1" si="848"/>
        <v>0</v>
      </c>
      <c r="AB3854" s="195">
        <f t="shared" ca="1" si="849"/>
        <v>0</v>
      </c>
      <c r="AD3854" s="196">
        <f>IFERROR($G3854/SUMIF($A:$A,$A3854,$G:$G)*SUMIF(Summary!$A$166:$A$242,$A3854,Summary!$P$166:$P$242),0)</f>
        <v>0</v>
      </c>
      <c r="AE3854" s="197">
        <f t="shared" ca="1" si="850"/>
        <v>0</v>
      </c>
      <c r="AF3854" s="196">
        <f>IFERROR(G3854/SUMIF(A:A,A3854,G:G)*SUMIF(Summary!$A$166:$A$242,'Operations Support'!A3854,Summary!$Q$166:$Q$242),0)</f>
        <v>0</v>
      </c>
      <c r="AG3854" s="196">
        <f t="shared" ca="1" si="851"/>
        <v>0</v>
      </c>
      <c r="AI3854" s="196">
        <f>IFERROR($G3854/SUMIF($A:$A,$A3854,$G:$G)*SUMIF(Summary!$A$247:$A$283,$A3854,Summary!$P$247:$P$283),0)</f>
        <v>0</v>
      </c>
      <c r="AJ3854" s="196">
        <f>IFERROR($G3854/SUMIF($A:$A,$A3854,$G:$G)*(SUMIF(Summary!$A$247:$A$283,$A3854,Summary!$L$247:$L$283)+SUMIF(Summary!$A$297:$A$333,$A3854,Summary!$L$297:$L$333))-AI3854,0)</f>
        <v>0</v>
      </c>
      <c r="AK3854" s="196">
        <f>IFERROR($G3854/SUMIF($A:$A,$A3854,$G:$G)*SUMIF(Summary!$A$247:$A$283,$A3854,Summary!$Q$247:$Q$283),0)</f>
        <v>0</v>
      </c>
      <c r="AL3854" s="196">
        <f>IFERROR($G3854/SUMIF($A:$A,$A3854,$G:$G)*(SUMIF(Summary!$A$247:$A$283,$A3854,Summary!$L$247:$L$283)+SUMIF(Summary!$A$297:$A$333,$A3854,Summary!$L$297:$L$333))-AK3854,0)</f>
        <v>0</v>
      </c>
      <c r="AM3854" s="198"/>
      <c r="AN3854" s="196">
        <f t="shared" ca="1" si="852"/>
        <v>0</v>
      </c>
      <c r="AO3854" s="196">
        <f t="shared" ca="1" si="853"/>
        <v>0</v>
      </c>
    </row>
    <row r="3855" spans="1:41">
      <c r="A3855" s="189">
        <v>42485</v>
      </c>
      <c r="B3855" s="190">
        <v>4</v>
      </c>
      <c r="C3855" s="191" t="s">
        <v>227</v>
      </c>
      <c r="D3855" s="192">
        <f t="shared" si="840"/>
        <v>0</v>
      </c>
      <c r="E3855" s="192">
        <f t="shared" si="841"/>
        <v>0</v>
      </c>
      <c r="F3855" s="192">
        <f t="shared" si="842"/>
        <v>0</v>
      </c>
      <c r="G3855" s="193">
        <f t="shared" si="843"/>
        <v>0</v>
      </c>
      <c r="H3855" s="194">
        <v>0</v>
      </c>
      <c r="I3855" s="194">
        <v>0</v>
      </c>
      <c r="J3855" s="194">
        <v>0</v>
      </c>
      <c r="K3855" s="193">
        <f t="shared" si="844"/>
        <v>0</v>
      </c>
      <c r="L3855" s="194">
        <v>0</v>
      </c>
      <c r="M3855" s="194">
        <v>0</v>
      </c>
      <c r="N3855" s="194">
        <v>0</v>
      </c>
      <c r="O3855" s="193">
        <f t="shared" si="845"/>
        <v>0</v>
      </c>
      <c r="P3855" s="194">
        <v>0</v>
      </c>
      <c r="Q3855" s="194">
        <v>0</v>
      </c>
      <c r="R3855" s="194">
        <v>0</v>
      </c>
      <c r="S3855" s="193">
        <f t="shared" si="846"/>
        <v>0</v>
      </c>
      <c r="T3855" s="193">
        <f t="shared" si="847"/>
        <v>0</v>
      </c>
      <c r="U3855" s="193">
        <f ca="1">OFFSET('Expenditure Study'!$B$7,'Operations Support'!$C3855,'Operations Support'!$B3855)*$G3855</f>
        <v>0</v>
      </c>
      <c r="V3855" s="199">
        <f ca="1">U3855*'Expenditure Study'!$B$31</f>
        <v>0</v>
      </c>
      <c r="W3855" s="199">
        <f ca="1">IF(A3855=10298,1.51,1)*IF($B3855&lt;3,$D3855*'Expenditure Study'!$B$32*OFFSET('Expenditure Study'!$B$7,'Operations Support'!$C3855,'Operations Support'!$B3855),0)</f>
        <v>0</v>
      </c>
      <c r="X3855" s="200">
        <f ca="1">W3855*'Expenditure Study'!$B$31</f>
        <v>0</v>
      </c>
      <c r="Y3855" s="199">
        <f ca="1">U3855*'Expenditure Study'!$B$31</f>
        <v>0</v>
      </c>
      <c r="Z3855" s="200">
        <f ca="1">W3855*'Expenditure Study'!$B$31</f>
        <v>0</v>
      </c>
      <c r="AA3855" s="195">
        <f t="shared" ca="1" si="848"/>
        <v>0</v>
      </c>
      <c r="AB3855" s="195">
        <f t="shared" ca="1" si="849"/>
        <v>0</v>
      </c>
      <c r="AD3855" s="196">
        <f>IFERROR($G3855/SUMIF($A:$A,$A3855,$G:$G)*SUMIF(Summary!$A$166:$A$242,$A3855,Summary!$P$166:$P$242),0)</f>
        <v>0</v>
      </c>
      <c r="AE3855" s="197">
        <f t="shared" ca="1" si="850"/>
        <v>0</v>
      </c>
      <c r="AF3855" s="196">
        <f>IFERROR(G3855/SUMIF(A:A,A3855,G:G)*SUMIF(Summary!$A$166:$A$242,'Operations Support'!A3855,Summary!$Q$166:$Q$242),0)</f>
        <v>0</v>
      </c>
      <c r="AG3855" s="196">
        <f t="shared" ca="1" si="851"/>
        <v>0</v>
      </c>
      <c r="AI3855" s="196">
        <f>IFERROR($G3855/SUMIF($A:$A,$A3855,$G:$G)*SUMIF(Summary!$A$247:$A$283,$A3855,Summary!$P$247:$P$283),0)</f>
        <v>0</v>
      </c>
      <c r="AJ3855" s="196">
        <f>IFERROR($G3855/SUMIF($A:$A,$A3855,$G:$G)*(SUMIF(Summary!$A$247:$A$283,$A3855,Summary!$L$247:$L$283)+SUMIF(Summary!$A$297:$A$333,$A3855,Summary!$L$297:$L$333))-AI3855,0)</f>
        <v>0</v>
      </c>
      <c r="AK3855" s="196">
        <f>IFERROR($G3855/SUMIF($A:$A,$A3855,$G:$G)*SUMIF(Summary!$A$247:$A$283,$A3855,Summary!$Q$247:$Q$283),0)</f>
        <v>0</v>
      </c>
      <c r="AL3855" s="196">
        <f>IFERROR($G3855/SUMIF($A:$A,$A3855,$G:$G)*(SUMIF(Summary!$A$247:$A$283,$A3855,Summary!$L$247:$L$283)+SUMIF(Summary!$A$297:$A$333,$A3855,Summary!$L$297:$L$333))-AK3855,0)</f>
        <v>0</v>
      </c>
      <c r="AM3855" s="198"/>
      <c r="AN3855" s="196">
        <f t="shared" ca="1" si="852"/>
        <v>0</v>
      </c>
      <c r="AO3855" s="196">
        <f t="shared" ca="1" si="853"/>
        <v>0</v>
      </c>
    </row>
    <row r="3856" spans="1:41">
      <c r="A3856" s="189">
        <v>42485</v>
      </c>
      <c r="B3856" s="190">
        <v>4</v>
      </c>
      <c r="C3856" s="191" t="s">
        <v>228</v>
      </c>
      <c r="D3856" s="192">
        <f t="shared" si="840"/>
        <v>0</v>
      </c>
      <c r="E3856" s="192">
        <f t="shared" si="841"/>
        <v>0</v>
      </c>
      <c r="F3856" s="192">
        <f t="shared" si="842"/>
        <v>0</v>
      </c>
      <c r="G3856" s="193">
        <f t="shared" si="843"/>
        <v>0</v>
      </c>
      <c r="H3856" s="194">
        <v>0</v>
      </c>
      <c r="I3856" s="194">
        <v>0</v>
      </c>
      <c r="J3856" s="194">
        <v>0</v>
      </c>
      <c r="K3856" s="193">
        <f t="shared" si="844"/>
        <v>0</v>
      </c>
      <c r="L3856" s="194">
        <v>0</v>
      </c>
      <c r="M3856" s="194">
        <v>0</v>
      </c>
      <c r="N3856" s="194">
        <v>0</v>
      </c>
      <c r="O3856" s="193">
        <f t="shared" si="845"/>
        <v>0</v>
      </c>
      <c r="P3856" s="194">
        <v>0</v>
      </c>
      <c r="Q3856" s="194">
        <v>0</v>
      </c>
      <c r="R3856" s="194">
        <v>0</v>
      </c>
      <c r="S3856" s="193">
        <f t="shared" si="846"/>
        <v>0</v>
      </c>
      <c r="T3856" s="193">
        <f t="shared" si="847"/>
        <v>0</v>
      </c>
      <c r="U3856" s="193">
        <f ca="1">OFFSET('Expenditure Study'!$B$7,'Operations Support'!$C3856,'Operations Support'!$B3856)*$G3856</f>
        <v>0</v>
      </c>
      <c r="V3856" s="199">
        <f ca="1">U3856*'Expenditure Study'!$B$31</f>
        <v>0</v>
      </c>
      <c r="W3856" s="199">
        <f ca="1">IF(A3856=10298,1.51,1)*IF($B3856&lt;3,$D3856*'Expenditure Study'!$B$32*OFFSET('Expenditure Study'!$B$7,'Operations Support'!$C3856,'Operations Support'!$B3856),0)</f>
        <v>0</v>
      </c>
      <c r="X3856" s="200">
        <f ca="1">W3856*'Expenditure Study'!$B$31</f>
        <v>0</v>
      </c>
      <c r="Y3856" s="199">
        <f ca="1">U3856*'Expenditure Study'!$B$31</f>
        <v>0</v>
      </c>
      <c r="Z3856" s="200">
        <f ca="1">W3856*'Expenditure Study'!$B$31</f>
        <v>0</v>
      </c>
      <c r="AA3856" s="195">
        <f t="shared" ca="1" si="848"/>
        <v>0</v>
      </c>
      <c r="AB3856" s="195">
        <f t="shared" ca="1" si="849"/>
        <v>0</v>
      </c>
      <c r="AD3856" s="196">
        <f>IFERROR($G3856/SUMIF($A:$A,$A3856,$G:$G)*SUMIF(Summary!$A$166:$A$242,$A3856,Summary!$P$166:$P$242),0)</f>
        <v>0</v>
      </c>
      <c r="AE3856" s="197">
        <f t="shared" ca="1" si="850"/>
        <v>0</v>
      </c>
      <c r="AF3856" s="196">
        <f>IFERROR(G3856/SUMIF(A:A,A3856,G:G)*SUMIF(Summary!$A$166:$A$242,'Operations Support'!A3856,Summary!$Q$166:$Q$242),0)</f>
        <v>0</v>
      </c>
      <c r="AG3856" s="196">
        <f t="shared" ca="1" si="851"/>
        <v>0</v>
      </c>
      <c r="AI3856" s="196">
        <f>IFERROR($G3856/SUMIF($A:$A,$A3856,$G:$G)*SUMIF(Summary!$A$247:$A$283,$A3856,Summary!$P$247:$P$283),0)</f>
        <v>0</v>
      </c>
      <c r="AJ3856" s="196">
        <f>IFERROR($G3856/SUMIF($A:$A,$A3856,$G:$G)*(SUMIF(Summary!$A$247:$A$283,$A3856,Summary!$L$247:$L$283)+SUMIF(Summary!$A$297:$A$333,$A3856,Summary!$L$297:$L$333))-AI3856,0)</f>
        <v>0</v>
      </c>
      <c r="AK3856" s="196">
        <f>IFERROR($G3856/SUMIF($A:$A,$A3856,$G:$G)*SUMIF(Summary!$A$247:$A$283,$A3856,Summary!$Q$247:$Q$283),0)</f>
        <v>0</v>
      </c>
      <c r="AL3856" s="196">
        <f>IFERROR($G3856/SUMIF($A:$A,$A3856,$G:$G)*(SUMIF(Summary!$A$247:$A$283,$A3856,Summary!$L$247:$L$283)+SUMIF(Summary!$A$297:$A$333,$A3856,Summary!$L$297:$L$333))-AK3856,0)</f>
        <v>0</v>
      </c>
      <c r="AM3856" s="198"/>
      <c r="AN3856" s="196">
        <f t="shared" ca="1" si="852"/>
        <v>0</v>
      </c>
      <c r="AO3856" s="196">
        <f t="shared" ca="1" si="853"/>
        <v>0</v>
      </c>
    </row>
    <row r="3857" spans="1:41">
      <c r="A3857" s="189">
        <v>42485</v>
      </c>
      <c r="B3857" s="190">
        <v>4</v>
      </c>
      <c r="C3857" s="191" t="s">
        <v>229</v>
      </c>
      <c r="D3857" s="192">
        <f t="shared" si="840"/>
        <v>0</v>
      </c>
      <c r="E3857" s="192">
        <f t="shared" si="841"/>
        <v>0</v>
      </c>
      <c r="F3857" s="192">
        <f t="shared" si="842"/>
        <v>0</v>
      </c>
      <c r="G3857" s="193">
        <f t="shared" si="843"/>
        <v>0</v>
      </c>
      <c r="H3857" s="194">
        <v>0</v>
      </c>
      <c r="I3857" s="194">
        <v>0</v>
      </c>
      <c r="J3857" s="194">
        <v>0</v>
      </c>
      <c r="K3857" s="193">
        <f t="shared" si="844"/>
        <v>0</v>
      </c>
      <c r="L3857" s="194">
        <v>0</v>
      </c>
      <c r="M3857" s="194">
        <v>0</v>
      </c>
      <c r="N3857" s="194">
        <v>0</v>
      </c>
      <c r="O3857" s="193">
        <f t="shared" si="845"/>
        <v>0</v>
      </c>
      <c r="P3857" s="194">
        <v>0</v>
      </c>
      <c r="Q3857" s="194">
        <v>0</v>
      </c>
      <c r="R3857" s="194">
        <v>0</v>
      </c>
      <c r="S3857" s="193">
        <f t="shared" si="846"/>
        <v>0</v>
      </c>
      <c r="T3857" s="193">
        <f t="shared" si="847"/>
        <v>0</v>
      </c>
      <c r="U3857" s="193">
        <f ca="1">OFFSET('Expenditure Study'!$B$7,'Operations Support'!$C3857,'Operations Support'!$B3857)*$G3857</f>
        <v>0</v>
      </c>
      <c r="V3857" s="199">
        <f ca="1">U3857*'Expenditure Study'!$B$31</f>
        <v>0</v>
      </c>
      <c r="W3857" s="199">
        <f ca="1">IF(A3857=10298,1.51,1)*IF($B3857&lt;3,$D3857*'Expenditure Study'!$B$32*OFFSET('Expenditure Study'!$B$7,'Operations Support'!$C3857,'Operations Support'!$B3857),0)</f>
        <v>0</v>
      </c>
      <c r="X3857" s="200">
        <f ca="1">W3857*'Expenditure Study'!$B$31</f>
        <v>0</v>
      </c>
      <c r="Y3857" s="199">
        <f ca="1">U3857*'Expenditure Study'!$B$31</f>
        <v>0</v>
      </c>
      <c r="Z3857" s="200">
        <f ca="1">W3857*'Expenditure Study'!$B$31</f>
        <v>0</v>
      </c>
      <c r="AA3857" s="195">
        <f t="shared" ca="1" si="848"/>
        <v>0</v>
      </c>
      <c r="AB3857" s="195">
        <f t="shared" ca="1" si="849"/>
        <v>0</v>
      </c>
      <c r="AD3857" s="196">
        <f>IFERROR($G3857/SUMIF($A:$A,$A3857,$G:$G)*SUMIF(Summary!$A$166:$A$242,$A3857,Summary!$P$166:$P$242),0)</f>
        <v>0</v>
      </c>
      <c r="AE3857" s="197">
        <f t="shared" ca="1" si="850"/>
        <v>0</v>
      </c>
      <c r="AF3857" s="196">
        <f>IFERROR(G3857/SUMIF(A:A,A3857,G:G)*SUMIF(Summary!$A$166:$A$242,'Operations Support'!A3857,Summary!$Q$166:$Q$242),0)</f>
        <v>0</v>
      </c>
      <c r="AG3857" s="196">
        <f t="shared" ca="1" si="851"/>
        <v>0</v>
      </c>
      <c r="AI3857" s="196">
        <f>IFERROR($G3857/SUMIF($A:$A,$A3857,$G:$G)*SUMIF(Summary!$A$247:$A$283,$A3857,Summary!$P$247:$P$283),0)</f>
        <v>0</v>
      </c>
      <c r="AJ3857" s="196">
        <f>IFERROR($G3857/SUMIF($A:$A,$A3857,$G:$G)*(SUMIF(Summary!$A$247:$A$283,$A3857,Summary!$L$247:$L$283)+SUMIF(Summary!$A$297:$A$333,$A3857,Summary!$L$297:$L$333))-AI3857,0)</f>
        <v>0</v>
      </c>
      <c r="AK3857" s="196">
        <f>IFERROR($G3857/SUMIF($A:$A,$A3857,$G:$G)*SUMIF(Summary!$A$247:$A$283,$A3857,Summary!$Q$247:$Q$283),0)</f>
        <v>0</v>
      </c>
      <c r="AL3857" s="196">
        <f>IFERROR($G3857/SUMIF($A:$A,$A3857,$G:$G)*(SUMIF(Summary!$A$247:$A$283,$A3857,Summary!$L$247:$L$283)+SUMIF(Summary!$A$297:$A$333,$A3857,Summary!$L$297:$L$333))-AK3857,0)</f>
        <v>0</v>
      </c>
      <c r="AM3857" s="198"/>
      <c r="AN3857" s="196">
        <f t="shared" ca="1" si="852"/>
        <v>0</v>
      </c>
      <c r="AO3857" s="196">
        <f t="shared" ca="1" si="853"/>
        <v>0</v>
      </c>
    </row>
    <row r="3858" spans="1:41">
      <c r="A3858" s="189">
        <v>42485</v>
      </c>
      <c r="B3858" s="190">
        <v>4</v>
      </c>
      <c r="C3858" s="191" t="s">
        <v>230</v>
      </c>
      <c r="D3858" s="192">
        <f t="shared" si="840"/>
        <v>0</v>
      </c>
      <c r="E3858" s="192">
        <f t="shared" si="841"/>
        <v>0</v>
      </c>
      <c r="F3858" s="192">
        <f t="shared" si="842"/>
        <v>0</v>
      </c>
      <c r="G3858" s="193">
        <f t="shared" si="843"/>
        <v>0</v>
      </c>
      <c r="H3858" s="194">
        <v>0</v>
      </c>
      <c r="I3858" s="194">
        <v>0</v>
      </c>
      <c r="J3858" s="194">
        <v>0</v>
      </c>
      <c r="K3858" s="193">
        <f t="shared" si="844"/>
        <v>0</v>
      </c>
      <c r="L3858" s="194">
        <v>0</v>
      </c>
      <c r="M3858" s="194">
        <v>0</v>
      </c>
      <c r="N3858" s="194">
        <v>0</v>
      </c>
      <c r="O3858" s="193">
        <f t="shared" si="845"/>
        <v>0</v>
      </c>
      <c r="P3858" s="194">
        <v>0</v>
      </c>
      <c r="Q3858" s="194">
        <v>0</v>
      </c>
      <c r="R3858" s="194">
        <v>0</v>
      </c>
      <c r="S3858" s="193">
        <f t="shared" si="846"/>
        <v>0</v>
      </c>
      <c r="T3858" s="193">
        <f t="shared" si="847"/>
        <v>0</v>
      </c>
      <c r="U3858" s="193">
        <f ca="1">OFFSET('Expenditure Study'!$B$7,'Operations Support'!$C3858,'Operations Support'!$B3858)*$G3858</f>
        <v>0</v>
      </c>
      <c r="V3858" s="199">
        <f ca="1">U3858*'Expenditure Study'!$B$31</f>
        <v>0</v>
      </c>
      <c r="W3858" s="199">
        <f ca="1">IF(A3858=10298,1.51,1)*IF($B3858&lt;3,$D3858*'Expenditure Study'!$B$32*OFFSET('Expenditure Study'!$B$7,'Operations Support'!$C3858,'Operations Support'!$B3858),0)</f>
        <v>0</v>
      </c>
      <c r="X3858" s="200">
        <f ca="1">W3858*'Expenditure Study'!$B$31</f>
        <v>0</v>
      </c>
      <c r="Y3858" s="199">
        <f ca="1">U3858*'Expenditure Study'!$B$31</f>
        <v>0</v>
      </c>
      <c r="Z3858" s="200">
        <f ca="1">W3858*'Expenditure Study'!$B$31</f>
        <v>0</v>
      </c>
      <c r="AA3858" s="195">
        <f t="shared" ca="1" si="848"/>
        <v>0</v>
      </c>
      <c r="AB3858" s="195">
        <f t="shared" ca="1" si="849"/>
        <v>0</v>
      </c>
      <c r="AD3858" s="196">
        <f>IFERROR($G3858/SUMIF($A:$A,$A3858,$G:$G)*SUMIF(Summary!$A$166:$A$242,$A3858,Summary!$P$166:$P$242),0)</f>
        <v>0</v>
      </c>
      <c r="AE3858" s="197">
        <f t="shared" ca="1" si="850"/>
        <v>0</v>
      </c>
      <c r="AF3858" s="196">
        <f>IFERROR(G3858/SUMIF(A:A,A3858,G:G)*SUMIF(Summary!$A$166:$A$242,'Operations Support'!A3858,Summary!$Q$166:$Q$242),0)</f>
        <v>0</v>
      </c>
      <c r="AG3858" s="196">
        <f t="shared" ca="1" si="851"/>
        <v>0</v>
      </c>
      <c r="AI3858" s="196">
        <f>IFERROR($G3858/SUMIF($A:$A,$A3858,$G:$G)*SUMIF(Summary!$A$247:$A$283,$A3858,Summary!$P$247:$P$283),0)</f>
        <v>0</v>
      </c>
      <c r="AJ3858" s="196">
        <f>IFERROR($G3858/SUMIF($A:$A,$A3858,$G:$G)*(SUMIF(Summary!$A$247:$A$283,$A3858,Summary!$L$247:$L$283)+SUMIF(Summary!$A$297:$A$333,$A3858,Summary!$L$297:$L$333))-AI3858,0)</f>
        <v>0</v>
      </c>
      <c r="AK3858" s="196">
        <f>IFERROR($G3858/SUMIF($A:$A,$A3858,$G:$G)*SUMIF(Summary!$A$247:$A$283,$A3858,Summary!$Q$247:$Q$283),0)</f>
        <v>0</v>
      </c>
      <c r="AL3858" s="196">
        <f>IFERROR($G3858/SUMIF($A:$A,$A3858,$G:$G)*(SUMIF(Summary!$A$247:$A$283,$A3858,Summary!$L$247:$L$283)+SUMIF(Summary!$A$297:$A$333,$A3858,Summary!$L$297:$L$333))-AK3858,0)</f>
        <v>0</v>
      </c>
      <c r="AM3858" s="198"/>
      <c r="AN3858" s="196">
        <f t="shared" ca="1" si="852"/>
        <v>0</v>
      </c>
      <c r="AO3858" s="196">
        <f t="shared" ca="1" si="853"/>
        <v>0</v>
      </c>
    </row>
    <row r="3859" spans="1:41">
      <c r="A3859" s="189">
        <v>42485</v>
      </c>
      <c r="B3859" s="190">
        <v>4</v>
      </c>
      <c r="C3859" s="191" t="s">
        <v>231</v>
      </c>
      <c r="D3859" s="192">
        <f t="shared" si="840"/>
        <v>0</v>
      </c>
      <c r="E3859" s="192">
        <f t="shared" si="841"/>
        <v>0</v>
      </c>
      <c r="F3859" s="192">
        <f t="shared" si="842"/>
        <v>0</v>
      </c>
      <c r="G3859" s="193">
        <f t="shared" si="843"/>
        <v>0</v>
      </c>
      <c r="H3859" s="194">
        <v>0</v>
      </c>
      <c r="I3859" s="194">
        <v>0</v>
      </c>
      <c r="J3859" s="194">
        <v>0</v>
      </c>
      <c r="K3859" s="193">
        <f t="shared" si="844"/>
        <v>0</v>
      </c>
      <c r="L3859" s="194">
        <v>0</v>
      </c>
      <c r="M3859" s="194">
        <v>0</v>
      </c>
      <c r="N3859" s="194">
        <v>0</v>
      </c>
      <c r="O3859" s="193">
        <f t="shared" si="845"/>
        <v>0</v>
      </c>
      <c r="P3859" s="194">
        <v>0</v>
      </c>
      <c r="Q3859" s="194">
        <v>0</v>
      </c>
      <c r="R3859" s="194">
        <v>0</v>
      </c>
      <c r="S3859" s="193">
        <f t="shared" si="846"/>
        <v>0</v>
      </c>
      <c r="T3859" s="193">
        <f t="shared" si="847"/>
        <v>0</v>
      </c>
      <c r="U3859" s="193">
        <f ca="1">OFFSET('Expenditure Study'!$B$7,'Operations Support'!$C3859,'Operations Support'!$B3859)*$G3859</f>
        <v>0</v>
      </c>
      <c r="V3859" s="199">
        <f ca="1">U3859*'Expenditure Study'!$B$31</f>
        <v>0</v>
      </c>
      <c r="W3859" s="199">
        <f ca="1">IF(A3859=10298,1.51,1)*IF($B3859&lt;3,$D3859*'Expenditure Study'!$B$32*OFFSET('Expenditure Study'!$B$7,'Operations Support'!$C3859,'Operations Support'!$B3859),0)</f>
        <v>0</v>
      </c>
      <c r="X3859" s="200">
        <f ca="1">W3859*'Expenditure Study'!$B$31</f>
        <v>0</v>
      </c>
      <c r="Y3859" s="199">
        <f ca="1">U3859*'Expenditure Study'!$B$31</f>
        <v>0</v>
      </c>
      <c r="Z3859" s="200">
        <f ca="1">W3859*'Expenditure Study'!$B$31</f>
        <v>0</v>
      </c>
      <c r="AA3859" s="195">
        <f t="shared" ca="1" si="848"/>
        <v>0</v>
      </c>
      <c r="AB3859" s="195">
        <f t="shared" ca="1" si="849"/>
        <v>0</v>
      </c>
      <c r="AD3859" s="196">
        <f>IFERROR($G3859/SUMIF($A:$A,$A3859,$G:$G)*SUMIF(Summary!$A$166:$A$242,$A3859,Summary!$P$166:$P$242),0)</f>
        <v>0</v>
      </c>
      <c r="AE3859" s="197">
        <f t="shared" ca="1" si="850"/>
        <v>0</v>
      </c>
      <c r="AF3859" s="196">
        <f>IFERROR(G3859/SUMIF(A:A,A3859,G:G)*SUMIF(Summary!$A$166:$A$242,'Operations Support'!A3859,Summary!$Q$166:$Q$242),0)</f>
        <v>0</v>
      </c>
      <c r="AG3859" s="196">
        <f t="shared" ca="1" si="851"/>
        <v>0</v>
      </c>
      <c r="AI3859" s="196">
        <f>IFERROR($G3859/SUMIF($A:$A,$A3859,$G:$G)*SUMIF(Summary!$A$247:$A$283,$A3859,Summary!$P$247:$P$283),0)</f>
        <v>0</v>
      </c>
      <c r="AJ3859" s="196">
        <f>IFERROR($G3859/SUMIF($A:$A,$A3859,$G:$G)*(SUMIF(Summary!$A$247:$A$283,$A3859,Summary!$L$247:$L$283)+SUMIF(Summary!$A$297:$A$333,$A3859,Summary!$L$297:$L$333))-AI3859,0)</f>
        <v>0</v>
      </c>
      <c r="AK3859" s="196">
        <f>IFERROR($G3859/SUMIF($A:$A,$A3859,$G:$G)*SUMIF(Summary!$A$247:$A$283,$A3859,Summary!$Q$247:$Q$283),0)</f>
        <v>0</v>
      </c>
      <c r="AL3859" s="196">
        <f>IFERROR($G3859/SUMIF($A:$A,$A3859,$G:$G)*(SUMIF(Summary!$A$247:$A$283,$A3859,Summary!$L$247:$L$283)+SUMIF(Summary!$A$297:$A$333,$A3859,Summary!$L$297:$L$333))-AK3859,0)</f>
        <v>0</v>
      </c>
      <c r="AM3859" s="198"/>
      <c r="AN3859" s="196">
        <f t="shared" ca="1" si="852"/>
        <v>0</v>
      </c>
      <c r="AO3859" s="196">
        <f t="shared" ca="1" si="853"/>
        <v>0</v>
      </c>
    </row>
    <row r="3860" spans="1:41">
      <c r="A3860" s="189">
        <v>42485</v>
      </c>
      <c r="B3860" s="190">
        <v>4</v>
      </c>
      <c r="C3860" s="191" t="s">
        <v>232</v>
      </c>
      <c r="D3860" s="192">
        <f t="shared" si="840"/>
        <v>0</v>
      </c>
      <c r="E3860" s="192">
        <f t="shared" si="841"/>
        <v>0</v>
      </c>
      <c r="F3860" s="192">
        <f t="shared" si="842"/>
        <v>0</v>
      </c>
      <c r="G3860" s="193">
        <f t="shared" si="843"/>
        <v>0</v>
      </c>
      <c r="H3860" s="194">
        <v>0</v>
      </c>
      <c r="I3860" s="194">
        <v>0</v>
      </c>
      <c r="J3860" s="194">
        <v>0</v>
      </c>
      <c r="K3860" s="193">
        <f t="shared" si="844"/>
        <v>0</v>
      </c>
      <c r="L3860" s="194">
        <v>0</v>
      </c>
      <c r="M3860" s="194">
        <v>0</v>
      </c>
      <c r="N3860" s="194">
        <v>0</v>
      </c>
      <c r="O3860" s="193">
        <f t="shared" si="845"/>
        <v>0</v>
      </c>
      <c r="P3860" s="194">
        <v>0</v>
      </c>
      <c r="Q3860" s="194">
        <v>0</v>
      </c>
      <c r="R3860" s="194">
        <v>0</v>
      </c>
      <c r="S3860" s="193">
        <f t="shared" si="846"/>
        <v>0</v>
      </c>
      <c r="T3860" s="193">
        <f t="shared" si="847"/>
        <v>0</v>
      </c>
      <c r="U3860" s="193">
        <f ca="1">OFFSET('Expenditure Study'!$B$7,'Operations Support'!$C3860,'Operations Support'!$B3860)*$G3860</f>
        <v>0</v>
      </c>
      <c r="V3860" s="199">
        <f ca="1">U3860*'Expenditure Study'!$B$31</f>
        <v>0</v>
      </c>
      <c r="W3860" s="199">
        <f ca="1">IF(A3860=10298,1.51,1)*IF($B3860&lt;3,$D3860*'Expenditure Study'!$B$32*OFFSET('Expenditure Study'!$B$7,'Operations Support'!$C3860,'Operations Support'!$B3860),0)</f>
        <v>0</v>
      </c>
      <c r="X3860" s="200">
        <f ca="1">W3860*'Expenditure Study'!$B$31</f>
        <v>0</v>
      </c>
      <c r="Y3860" s="199">
        <f ca="1">U3860*'Expenditure Study'!$B$31</f>
        <v>0</v>
      </c>
      <c r="Z3860" s="200">
        <f ca="1">W3860*'Expenditure Study'!$B$31</f>
        <v>0</v>
      </c>
      <c r="AA3860" s="195">
        <f t="shared" ca="1" si="848"/>
        <v>0</v>
      </c>
      <c r="AB3860" s="195">
        <f t="shared" ca="1" si="849"/>
        <v>0</v>
      </c>
      <c r="AD3860" s="196">
        <f>IFERROR($G3860/SUMIF($A:$A,$A3860,$G:$G)*SUMIF(Summary!$A$166:$A$242,$A3860,Summary!$P$166:$P$242),0)</f>
        <v>0</v>
      </c>
      <c r="AE3860" s="197">
        <f t="shared" ca="1" si="850"/>
        <v>0</v>
      </c>
      <c r="AF3860" s="196">
        <f>IFERROR(G3860/SUMIF(A:A,A3860,G:G)*SUMIF(Summary!$A$166:$A$242,'Operations Support'!A3860,Summary!$Q$166:$Q$242),0)</f>
        <v>0</v>
      </c>
      <c r="AG3860" s="196">
        <f t="shared" ca="1" si="851"/>
        <v>0</v>
      </c>
      <c r="AI3860" s="196">
        <f>IFERROR($G3860/SUMIF($A:$A,$A3860,$G:$G)*SUMIF(Summary!$A$247:$A$283,$A3860,Summary!$P$247:$P$283),0)</f>
        <v>0</v>
      </c>
      <c r="AJ3860" s="196">
        <f>IFERROR($G3860/SUMIF($A:$A,$A3860,$G:$G)*(SUMIF(Summary!$A$247:$A$283,$A3860,Summary!$L$247:$L$283)+SUMIF(Summary!$A$297:$A$333,$A3860,Summary!$L$297:$L$333))-AI3860,0)</f>
        <v>0</v>
      </c>
      <c r="AK3860" s="196">
        <f>IFERROR($G3860/SUMIF($A:$A,$A3860,$G:$G)*SUMIF(Summary!$A$247:$A$283,$A3860,Summary!$Q$247:$Q$283),0)</f>
        <v>0</v>
      </c>
      <c r="AL3860" s="196">
        <f>IFERROR($G3860/SUMIF($A:$A,$A3860,$G:$G)*(SUMIF(Summary!$A$247:$A$283,$A3860,Summary!$L$247:$L$283)+SUMIF(Summary!$A$297:$A$333,$A3860,Summary!$L$297:$L$333))-AK3860,0)</f>
        <v>0</v>
      </c>
      <c r="AM3860" s="198"/>
      <c r="AN3860" s="196">
        <f t="shared" ca="1" si="852"/>
        <v>0</v>
      </c>
      <c r="AO3860" s="196">
        <f t="shared" ca="1" si="853"/>
        <v>0</v>
      </c>
    </row>
    <row r="3861" spans="1:41">
      <c r="A3861" s="189">
        <v>42485</v>
      </c>
      <c r="B3861" s="190">
        <v>4</v>
      </c>
      <c r="C3861" s="191" t="s">
        <v>233</v>
      </c>
      <c r="D3861" s="192">
        <f t="shared" si="840"/>
        <v>0</v>
      </c>
      <c r="E3861" s="192">
        <f t="shared" si="841"/>
        <v>0</v>
      </c>
      <c r="F3861" s="192">
        <f t="shared" si="842"/>
        <v>0</v>
      </c>
      <c r="G3861" s="193">
        <f t="shared" si="843"/>
        <v>0</v>
      </c>
      <c r="H3861" s="194">
        <v>0</v>
      </c>
      <c r="I3861" s="194">
        <v>0</v>
      </c>
      <c r="J3861" s="194">
        <v>0</v>
      </c>
      <c r="K3861" s="193">
        <f t="shared" si="844"/>
        <v>0</v>
      </c>
      <c r="L3861" s="194">
        <v>0</v>
      </c>
      <c r="M3861" s="194">
        <v>0</v>
      </c>
      <c r="N3861" s="194">
        <v>0</v>
      </c>
      <c r="O3861" s="193">
        <f t="shared" si="845"/>
        <v>0</v>
      </c>
      <c r="P3861" s="194">
        <v>0</v>
      </c>
      <c r="Q3861" s="194">
        <v>0</v>
      </c>
      <c r="R3861" s="194">
        <v>0</v>
      </c>
      <c r="S3861" s="193">
        <f t="shared" si="846"/>
        <v>0</v>
      </c>
      <c r="T3861" s="193">
        <f t="shared" si="847"/>
        <v>0</v>
      </c>
      <c r="U3861" s="193">
        <f ca="1">OFFSET('Expenditure Study'!$B$7,'Operations Support'!$C3861,'Operations Support'!$B3861)*$G3861</f>
        <v>0</v>
      </c>
      <c r="V3861" s="199">
        <f ca="1">U3861*'Expenditure Study'!$B$31</f>
        <v>0</v>
      </c>
      <c r="W3861" s="199">
        <f ca="1">IF(A3861=10298,1.51,1)*IF($B3861&lt;3,$D3861*'Expenditure Study'!$B$32*OFFSET('Expenditure Study'!$B$7,'Operations Support'!$C3861,'Operations Support'!$B3861),0)</f>
        <v>0</v>
      </c>
      <c r="X3861" s="200">
        <f ca="1">W3861*'Expenditure Study'!$B$31</f>
        <v>0</v>
      </c>
      <c r="Y3861" s="199">
        <f ca="1">U3861*'Expenditure Study'!$B$31</f>
        <v>0</v>
      </c>
      <c r="Z3861" s="200">
        <f ca="1">W3861*'Expenditure Study'!$B$31</f>
        <v>0</v>
      </c>
      <c r="AA3861" s="195">
        <f t="shared" ca="1" si="848"/>
        <v>0</v>
      </c>
      <c r="AB3861" s="195">
        <f t="shared" ca="1" si="849"/>
        <v>0</v>
      </c>
      <c r="AD3861" s="196">
        <f>IFERROR($G3861/SUMIF($A:$A,$A3861,$G:$G)*SUMIF(Summary!$A$166:$A$242,$A3861,Summary!$P$166:$P$242),0)</f>
        <v>0</v>
      </c>
      <c r="AE3861" s="197">
        <f t="shared" ca="1" si="850"/>
        <v>0</v>
      </c>
      <c r="AF3861" s="196">
        <f>IFERROR(G3861/SUMIF(A:A,A3861,G:G)*SUMIF(Summary!$A$166:$A$242,'Operations Support'!A3861,Summary!$Q$166:$Q$242),0)</f>
        <v>0</v>
      </c>
      <c r="AG3861" s="196">
        <f t="shared" ca="1" si="851"/>
        <v>0</v>
      </c>
      <c r="AI3861" s="196">
        <f>IFERROR($G3861/SUMIF($A:$A,$A3861,$G:$G)*SUMIF(Summary!$A$247:$A$283,$A3861,Summary!$P$247:$P$283),0)</f>
        <v>0</v>
      </c>
      <c r="AJ3861" s="196">
        <f>IFERROR($G3861/SUMIF($A:$A,$A3861,$G:$G)*(SUMIF(Summary!$A$247:$A$283,$A3861,Summary!$L$247:$L$283)+SUMIF(Summary!$A$297:$A$333,$A3861,Summary!$L$297:$L$333))-AI3861,0)</f>
        <v>0</v>
      </c>
      <c r="AK3861" s="196">
        <f>IFERROR($G3861/SUMIF($A:$A,$A3861,$G:$G)*SUMIF(Summary!$A$247:$A$283,$A3861,Summary!$Q$247:$Q$283),0)</f>
        <v>0</v>
      </c>
      <c r="AL3861" s="196">
        <f>IFERROR($G3861/SUMIF($A:$A,$A3861,$G:$G)*(SUMIF(Summary!$A$247:$A$283,$A3861,Summary!$L$247:$L$283)+SUMIF(Summary!$A$297:$A$333,$A3861,Summary!$L$297:$L$333))-AK3861,0)</f>
        <v>0</v>
      </c>
      <c r="AM3861" s="198"/>
      <c r="AN3861" s="196">
        <f t="shared" ca="1" si="852"/>
        <v>0</v>
      </c>
      <c r="AO3861" s="196">
        <f t="shared" ca="1" si="853"/>
        <v>0</v>
      </c>
    </row>
    <row r="3862" spans="1:41">
      <c r="A3862" s="189">
        <v>42485</v>
      </c>
      <c r="B3862" s="190">
        <v>4</v>
      </c>
      <c r="C3862" s="191" t="s">
        <v>234</v>
      </c>
      <c r="D3862" s="192">
        <f t="shared" si="840"/>
        <v>0</v>
      </c>
      <c r="E3862" s="192">
        <f t="shared" si="841"/>
        <v>0</v>
      </c>
      <c r="F3862" s="192">
        <f t="shared" si="842"/>
        <v>0</v>
      </c>
      <c r="G3862" s="193">
        <f t="shared" si="843"/>
        <v>0</v>
      </c>
      <c r="H3862" s="194">
        <v>0</v>
      </c>
      <c r="I3862" s="194">
        <v>0</v>
      </c>
      <c r="J3862" s="194">
        <v>0</v>
      </c>
      <c r="K3862" s="193">
        <f t="shared" si="844"/>
        <v>0</v>
      </c>
      <c r="L3862" s="194">
        <v>0</v>
      </c>
      <c r="M3862" s="194">
        <v>0</v>
      </c>
      <c r="N3862" s="194">
        <v>0</v>
      </c>
      <c r="O3862" s="193">
        <f t="shared" si="845"/>
        <v>0</v>
      </c>
      <c r="P3862" s="194">
        <v>0</v>
      </c>
      <c r="Q3862" s="194">
        <v>0</v>
      </c>
      <c r="R3862" s="194">
        <v>0</v>
      </c>
      <c r="S3862" s="193">
        <f t="shared" si="846"/>
        <v>0</v>
      </c>
      <c r="T3862" s="193">
        <f t="shared" si="847"/>
        <v>0</v>
      </c>
      <c r="U3862" s="193">
        <f ca="1">OFFSET('Expenditure Study'!$B$7,'Operations Support'!$C3862,'Operations Support'!$B3862)*$G3862</f>
        <v>0</v>
      </c>
      <c r="V3862" s="199">
        <f ca="1">U3862*'Expenditure Study'!$B$31</f>
        <v>0</v>
      </c>
      <c r="W3862" s="199">
        <f ca="1">IF(A3862=10298,1.51,1)*IF($B3862&lt;3,$D3862*'Expenditure Study'!$B$32*OFFSET('Expenditure Study'!$B$7,'Operations Support'!$C3862,'Operations Support'!$B3862),0)</f>
        <v>0</v>
      </c>
      <c r="X3862" s="200">
        <f ca="1">W3862*'Expenditure Study'!$B$31</f>
        <v>0</v>
      </c>
      <c r="Y3862" s="199">
        <f ca="1">U3862*'Expenditure Study'!$B$31</f>
        <v>0</v>
      </c>
      <c r="Z3862" s="200">
        <f ca="1">W3862*'Expenditure Study'!$B$31</f>
        <v>0</v>
      </c>
      <c r="AA3862" s="195">
        <f t="shared" ca="1" si="848"/>
        <v>0</v>
      </c>
      <c r="AB3862" s="195">
        <f t="shared" ca="1" si="849"/>
        <v>0</v>
      </c>
      <c r="AD3862" s="196">
        <f>IFERROR($G3862/SUMIF($A:$A,$A3862,$G:$G)*SUMIF(Summary!$A$166:$A$242,$A3862,Summary!$P$166:$P$242),0)</f>
        <v>0</v>
      </c>
      <c r="AE3862" s="197">
        <f t="shared" ca="1" si="850"/>
        <v>0</v>
      </c>
      <c r="AF3862" s="196">
        <f>IFERROR(G3862/SUMIF(A:A,A3862,G:G)*SUMIF(Summary!$A$166:$A$242,'Operations Support'!A3862,Summary!$Q$166:$Q$242),0)</f>
        <v>0</v>
      </c>
      <c r="AG3862" s="196">
        <f t="shared" ca="1" si="851"/>
        <v>0</v>
      </c>
      <c r="AI3862" s="196">
        <f>IFERROR($G3862/SUMIF($A:$A,$A3862,$G:$G)*SUMIF(Summary!$A$247:$A$283,$A3862,Summary!$P$247:$P$283),0)</f>
        <v>0</v>
      </c>
      <c r="AJ3862" s="196">
        <f>IFERROR($G3862/SUMIF($A:$A,$A3862,$G:$G)*(SUMIF(Summary!$A$247:$A$283,$A3862,Summary!$L$247:$L$283)+SUMIF(Summary!$A$297:$A$333,$A3862,Summary!$L$297:$L$333))-AI3862,0)</f>
        <v>0</v>
      </c>
      <c r="AK3862" s="196">
        <f>IFERROR($G3862/SUMIF($A:$A,$A3862,$G:$G)*SUMIF(Summary!$A$247:$A$283,$A3862,Summary!$Q$247:$Q$283),0)</f>
        <v>0</v>
      </c>
      <c r="AL3862" s="196">
        <f>IFERROR($G3862/SUMIF($A:$A,$A3862,$G:$G)*(SUMIF(Summary!$A$247:$A$283,$A3862,Summary!$L$247:$L$283)+SUMIF(Summary!$A$297:$A$333,$A3862,Summary!$L$297:$L$333))-AK3862,0)</f>
        <v>0</v>
      </c>
      <c r="AM3862" s="198"/>
      <c r="AN3862" s="196">
        <f t="shared" ca="1" si="852"/>
        <v>0</v>
      </c>
      <c r="AO3862" s="196">
        <f t="shared" ca="1" si="853"/>
        <v>0</v>
      </c>
    </row>
    <row r="3863" spans="1:41">
      <c r="A3863" s="189">
        <v>42485</v>
      </c>
      <c r="B3863" s="190">
        <v>4</v>
      </c>
      <c r="C3863" s="191" t="s">
        <v>235</v>
      </c>
      <c r="D3863" s="192">
        <f t="shared" si="840"/>
        <v>0</v>
      </c>
      <c r="E3863" s="192">
        <f t="shared" si="841"/>
        <v>0</v>
      </c>
      <c r="F3863" s="192">
        <f t="shared" si="842"/>
        <v>0</v>
      </c>
      <c r="G3863" s="193">
        <f t="shared" si="843"/>
        <v>0</v>
      </c>
      <c r="H3863" s="194">
        <v>0</v>
      </c>
      <c r="I3863" s="194">
        <v>0</v>
      </c>
      <c r="J3863" s="194">
        <v>0</v>
      </c>
      <c r="K3863" s="193">
        <f t="shared" si="844"/>
        <v>0</v>
      </c>
      <c r="L3863" s="194">
        <v>0</v>
      </c>
      <c r="M3863" s="194">
        <v>0</v>
      </c>
      <c r="N3863" s="194">
        <v>0</v>
      </c>
      <c r="O3863" s="193">
        <f t="shared" si="845"/>
        <v>0</v>
      </c>
      <c r="P3863" s="194">
        <v>0</v>
      </c>
      <c r="Q3863" s="194">
        <v>0</v>
      </c>
      <c r="R3863" s="194">
        <v>0</v>
      </c>
      <c r="S3863" s="193">
        <f t="shared" si="846"/>
        <v>0</v>
      </c>
      <c r="T3863" s="193">
        <f t="shared" si="847"/>
        <v>0</v>
      </c>
      <c r="U3863" s="193">
        <f ca="1">OFFSET('Expenditure Study'!$B$7,'Operations Support'!$C3863,'Operations Support'!$B3863)*$G3863</f>
        <v>0</v>
      </c>
      <c r="V3863" s="199">
        <f ca="1">U3863*'Expenditure Study'!$B$31</f>
        <v>0</v>
      </c>
      <c r="W3863" s="199">
        <f ca="1">IF(A3863=10298,1.51,1)*IF($B3863&lt;3,$D3863*'Expenditure Study'!$B$32*OFFSET('Expenditure Study'!$B$7,'Operations Support'!$C3863,'Operations Support'!$B3863),0)</f>
        <v>0</v>
      </c>
      <c r="X3863" s="200">
        <f ca="1">W3863*'Expenditure Study'!$B$31</f>
        <v>0</v>
      </c>
      <c r="Y3863" s="199">
        <f ca="1">U3863*'Expenditure Study'!$B$31</f>
        <v>0</v>
      </c>
      <c r="Z3863" s="200">
        <f ca="1">W3863*'Expenditure Study'!$B$31</f>
        <v>0</v>
      </c>
      <c r="AA3863" s="195">
        <f t="shared" ca="1" si="848"/>
        <v>0</v>
      </c>
      <c r="AB3863" s="195">
        <f t="shared" ca="1" si="849"/>
        <v>0</v>
      </c>
      <c r="AD3863" s="196">
        <f>IFERROR($G3863/SUMIF($A:$A,$A3863,$G:$G)*SUMIF(Summary!$A$166:$A$242,$A3863,Summary!$P$166:$P$242),0)</f>
        <v>0</v>
      </c>
      <c r="AE3863" s="197">
        <f t="shared" ca="1" si="850"/>
        <v>0</v>
      </c>
      <c r="AF3863" s="196">
        <f>IFERROR(G3863/SUMIF(A:A,A3863,G:G)*SUMIF(Summary!$A$166:$A$242,'Operations Support'!A3863,Summary!$Q$166:$Q$242),0)</f>
        <v>0</v>
      </c>
      <c r="AG3863" s="196">
        <f t="shared" ca="1" si="851"/>
        <v>0</v>
      </c>
      <c r="AI3863" s="196">
        <f>IFERROR($G3863/SUMIF($A:$A,$A3863,$G:$G)*SUMIF(Summary!$A$247:$A$283,$A3863,Summary!$P$247:$P$283),0)</f>
        <v>0</v>
      </c>
      <c r="AJ3863" s="196">
        <f>IFERROR($G3863/SUMIF($A:$A,$A3863,$G:$G)*(SUMIF(Summary!$A$247:$A$283,$A3863,Summary!$L$247:$L$283)+SUMIF(Summary!$A$297:$A$333,$A3863,Summary!$L$297:$L$333))-AI3863,0)</f>
        <v>0</v>
      </c>
      <c r="AK3863" s="196">
        <f>IFERROR($G3863/SUMIF($A:$A,$A3863,$G:$G)*SUMIF(Summary!$A$247:$A$283,$A3863,Summary!$Q$247:$Q$283),0)</f>
        <v>0</v>
      </c>
      <c r="AL3863" s="196">
        <f>IFERROR($G3863/SUMIF($A:$A,$A3863,$G:$G)*(SUMIF(Summary!$A$247:$A$283,$A3863,Summary!$L$247:$L$283)+SUMIF(Summary!$A$297:$A$333,$A3863,Summary!$L$297:$L$333))-AK3863,0)</f>
        <v>0</v>
      </c>
      <c r="AM3863" s="198"/>
      <c r="AN3863" s="196">
        <f t="shared" ca="1" si="852"/>
        <v>0</v>
      </c>
      <c r="AO3863" s="196">
        <f t="shared" ca="1" si="853"/>
        <v>0</v>
      </c>
    </row>
    <row r="3864" spans="1:41">
      <c r="A3864" s="189">
        <v>42485</v>
      </c>
      <c r="B3864" s="190">
        <v>4</v>
      </c>
      <c r="C3864" s="191" t="s">
        <v>236</v>
      </c>
      <c r="D3864" s="192">
        <f t="shared" si="840"/>
        <v>0</v>
      </c>
      <c r="E3864" s="192">
        <f t="shared" si="841"/>
        <v>0</v>
      </c>
      <c r="F3864" s="192">
        <f t="shared" si="842"/>
        <v>0</v>
      </c>
      <c r="G3864" s="193">
        <f t="shared" si="843"/>
        <v>0</v>
      </c>
      <c r="H3864" s="194">
        <v>0</v>
      </c>
      <c r="I3864" s="194">
        <v>0</v>
      </c>
      <c r="J3864" s="194">
        <v>0</v>
      </c>
      <c r="K3864" s="193">
        <f t="shared" si="844"/>
        <v>0</v>
      </c>
      <c r="L3864" s="194">
        <v>0</v>
      </c>
      <c r="M3864" s="194">
        <v>0</v>
      </c>
      <c r="N3864" s="194">
        <v>0</v>
      </c>
      <c r="O3864" s="193">
        <f t="shared" si="845"/>
        <v>0</v>
      </c>
      <c r="P3864" s="194">
        <v>0</v>
      </c>
      <c r="Q3864" s="194">
        <v>0</v>
      </c>
      <c r="R3864" s="194">
        <v>0</v>
      </c>
      <c r="S3864" s="193">
        <f t="shared" si="846"/>
        <v>0</v>
      </c>
      <c r="T3864" s="193">
        <f t="shared" si="847"/>
        <v>0</v>
      </c>
      <c r="U3864" s="193">
        <f ca="1">OFFSET('Expenditure Study'!$B$7,'Operations Support'!$C3864,'Operations Support'!$B3864)*$G3864</f>
        <v>0</v>
      </c>
      <c r="V3864" s="199">
        <f ca="1">U3864*'Expenditure Study'!$B$31</f>
        <v>0</v>
      </c>
      <c r="W3864" s="199">
        <f ca="1">IF(A3864=10298,1.51,1)*IF($B3864&lt;3,$D3864*'Expenditure Study'!$B$32*OFFSET('Expenditure Study'!$B$7,'Operations Support'!$C3864,'Operations Support'!$B3864),0)</f>
        <v>0</v>
      </c>
      <c r="X3864" s="200">
        <f ca="1">W3864*'Expenditure Study'!$B$31</f>
        <v>0</v>
      </c>
      <c r="Y3864" s="199">
        <f ca="1">U3864*'Expenditure Study'!$B$31</f>
        <v>0</v>
      </c>
      <c r="Z3864" s="200">
        <f ca="1">W3864*'Expenditure Study'!$B$31</f>
        <v>0</v>
      </c>
      <c r="AA3864" s="195">
        <f t="shared" ca="1" si="848"/>
        <v>0</v>
      </c>
      <c r="AB3864" s="195">
        <f t="shared" ca="1" si="849"/>
        <v>0</v>
      </c>
      <c r="AD3864" s="196">
        <f>IFERROR($G3864/SUMIF($A:$A,$A3864,$G:$G)*SUMIF(Summary!$A$166:$A$242,$A3864,Summary!$P$166:$P$242),0)</f>
        <v>0</v>
      </c>
      <c r="AE3864" s="197">
        <f t="shared" ca="1" si="850"/>
        <v>0</v>
      </c>
      <c r="AF3864" s="196">
        <f>IFERROR(G3864/SUMIF(A:A,A3864,G:G)*SUMIF(Summary!$A$166:$A$242,'Operations Support'!A3864,Summary!$Q$166:$Q$242),0)</f>
        <v>0</v>
      </c>
      <c r="AG3864" s="196">
        <f t="shared" ca="1" si="851"/>
        <v>0</v>
      </c>
      <c r="AI3864" s="196">
        <f>IFERROR($G3864/SUMIF($A:$A,$A3864,$G:$G)*SUMIF(Summary!$A$247:$A$283,$A3864,Summary!$P$247:$P$283),0)</f>
        <v>0</v>
      </c>
      <c r="AJ3864" s="196">
        <f>IFERROR($G3864/SUMIF($A:$A,$A3864,$G:$G)*(SUMIF(Summary!$A$247:$A$283,$A3864,Summary!$L$247:$L$283)+SUMIF(Summary!$A$297:$A$333,$A3864,Summary!$L$297:$L$333))-AI3864,0)</f>
        <v>0</v>
      </c>
      <c r="AK3864" s="196">
        <f>IFERROR($G3864/SUMIF($A:$A,$A3864,$G:$G)*SUMIF(Summary!$A$247:$A$283,$A3864,Summary!$Q$247:$Q$283),0)</f>
        <v>0</v>
      </c>
      <c r="AL3864" s="196">
        <f>IFERROR($G3864/SUMIF($A:$A,$A3864,$G:$G)*(SUMIF(Summary!$A$247:$A$283,$A3864,Summary!$L$247:$L$283)+SUMIF(Summary!$A$297:$A$333,$A3864,Summary!$L$297:$L$333))-AK3864,0)</f>
        <v>0</v>
      </c>
      <c r="AM3864" s="198"/>
      <c r="AN3864" s="196">
        <f t="shared" ca="1" si="852"/>
        <v>0</v>
      </c>
      <c r="AO3864" s="196">
        <f t="shared" ca="1" si="853"/>
        <v>0</v>
      </c>
    </row>
    <row r="3865" spans="1:41">
      <c r="A3865" s="189">
        <v>42485</v>
      </c>
      <c r="B3865" s="190">
        <v>4</v>
      </c>
      <c r="C3865" s="191" t="s">
        <v>237</v>
      </c>
      <c r="D3865" s="192">
        <f t="shared" si="840"/>
        <v>0</v>
      </c>
      <c r="E3865" s="192">
        <f t="shared" si="841"/>
        <v>0</v>
      </c>
      <c r="F3865" s="192">
        <f t="shared" si="842"/>
        <v>0</v>
      </c>
      <c r="G3865" s="193">
        <f t="shared" si="843"/>
        <v>0</v>
      </c>
      <c r="H3865" s="194">
        <v>0</v>
      </c>
      <c r="I3865" s="194">
        <v>0</v>
      </c>
      <c r="J3865" s="194">
        <v>0</v>
      </c>
      <c r="K3865" s="193">
        <f t="shared" si="844"/>
        <v>0</v>
      </c>
      <c r="L3865" s="194">
        <v>0</v>
      </c>
      <c r="M3865" s="194">
        <v>0</v>
      </c>
      <c r="N3865" s="194">
        <v>0</v>
      </c>
      <c r="O3865" s="193">
        <f t="shared" si="845"/>
        <v>0</v>
      </c>
      <c r="P3865" s="194">
        <v>0</v>
      </c>
      <c r="Q3865" s="194">
        <v>0</v>
      </c>
      <c r="R3865" s="194">
        <v>0</v>
      </c>
      <c r="S3865" s="193">
        <f t="shared" si="846"/>
        <v>0</v>
      </c>
      <c r="T3865" s="193">
        <f t="shared" si="847"/>
        <v>0</v>
      </c>
      <c r="U3865" s="193">
        <f ca="1">OFFSET('Expenditure Study'!$B$7,'Operations Support'!$C3865,'Operations Support'!$B3865)*$G3865</f>
        <v>0</v>
      </c>
      <c r="V3865" s="199">
        <f ca="1">U3865*'Expenditure Study'!$B$31</f>
        <v>0</v>
      </c>
      <c r="W3865" s="199">
        <f ca="1">IF(A3865=10298,1.51,1)*IF($B3865&lt;3,$D3865*'Expenditure Study'!$B$32*OFFSET('Expenditure Study'!$B$7,'Operations Support'!$C3865,'Operations Support'!$B3865),0)</f>
        <v>0</v>
      </c>
      <c r="X3865" s="200">
        <f ca="1">W3865*'Expenditure Study'!$B$31</f>
        <v>0</v>
      </c>
      <c r="Y3865" s="199">
        <f ca="1">U3865*'Expenditure Study'!$B$31</f>
        <v>0</v>
      </c>
      <c r="Z3865" s="200">
        <f ca="1">W3865*'Expenditure Study'!$B$31</f>
        <v>0</v>
      </c>
      <c r="AA3865" s="195">
        <f t="shared" ca="1" si="848"/>
        <v>0</v>
      </c>
      <c r="AB3865" s="195">
        <f t="shared" ca="1" si="849"/>
        <v>0</v>
      </c>
      <c r="AD3865" s="196">
        <f>IFERROR($G3865/SUMIF($A:$A,$A3865,$G:$G)*SUMIF(Summary!$A$166:$A$242,$A3865,Summary!$P$166:$P$242),0)</f>
        <v>0</v>
      </c>
      <c r="AE3865" s="197">
        <f t="shared" ca="1" si="850"/>
        <v>0</v>
      </c>
      <c r="AF3865" s="196">
        <f>IFERROR(G3865/SUMIF(A:A,A3865,G:G)*SUMIF(Summary!$A$166:$A$242,'Operations Support'!A3865,Summary!$Q$166:$Q$242),0)</f>
        <v>0</v>
      </c>
      <c r="AG3865" s="196">
        <f t="shared" ca="1" si="851"/>
        <v>0</v>
      </c>
      <c r="AI3865" s="196">
        <f>IFERROR($G3865/SUMIF($A:$A,$A3865,$G:$G)*SUMIF(Summary!$A$247:$A$283,$A3865,Summary!$P$247:$P$283),0)</f>
        <v>0</v>
      </c>
      <c r="AJ3865" s="196">
        <f>IFERROR($G3865/SUMIF($A:$A,$A3865,$G:$G)*(SUMIF(Summary!$A$247:$A$283,$A3865,Summary!$L$247:$L$283)+SUMIF(Summary!$A$297:$A$333,$A3865,Summary!$L$297:$L$333))-AI3865,0)</f>
        <v>0</v>
      </c>
      <c r="AK3865" s="196">
        <f>IFERROR($G3865/SUMIF($A:$A,$A3865,$G:$G)*SUMIF(Summary!$A$247:$A$283,$A3865,Summary!$Q$247:$Q$283),0)</f>
        <v>0</v>
      </c>
      <c r="AL3865" s="196">
        <f>IFERROR($G3865/SUMIF($A:$A,$A3865,$G:$G)*(SUMIF(Summary!$A$247:$A$283,$A3865,Summary!$L$247:$L$283)+SUMIF(Summary!$A$297:$A$333,$A3865,Summary!$L$297:$L$333))-AK3865,0)</f>
        <v>0</v>
      </c>
      <c r="AM3865" s="198"/>
      <c r="AN3865" s="196">
        <f t="shared" ca="1" si="852"/>
        <v>0</v>
      </c>
      <c r="AO3865" s="196">
        <f t="shared" ca="1" si="853"/>
        <v>0</v>
      </c>
    </row>
    <row r="3866" spans="1:41">
      <c r="A3866" s="189">
        <v>42485</v>
      </c>
      <c r="B3866" s="190">
        <v>4</v>
      </c>
      <c r="C3866" s="191" t="s">
        <v>238</v>
      </c>
      <c r="D3866" s="192">
        <f t="shared" si="840"/>
        <v>0</v>
      </c>
      <c r="E3866" s="192">
        <f t="shared" si="841"/>
        <v>0</v>
      </c>
      <c r="F3866" s="192">
        <f t="shared" si="842"/>
        <v>0</v>
      </c>
      <c r="G3866" s="193">
        <f t="shared" si="843"/>
        <v>0</v>
      </c>
      <c r="H3866" s="194">
        <v>0</v>
      </c>
      <c r="I3866" s="194">
        <v>0</v>
      </c>
      <c r="J3866" s="194">
        <v>0</v>
      </c>
      <c r="K3866" s="193">
        <f t="shared" si="844"/>
        <v>0</v>
      </c>
      <c r="L3866" s="194">
        <v>0</v>
      </c>
      <c r="M3866" s="194">
        <v>0</v>
      </c>
      <c r="N3866" s="194">
        <v>0</v>
      </c>
      <c r="O3866" s="193">
        <f t="shared" si="845"/>
        <v>0</v>
      </c>
      <c r="P3866" s="194">
        <v>0</v>
      </c>
      <c r="Q3866" s="194">
        <v>0</v>
      </c>
      <c r="R3866" s="194">
        <v>0</v>
      </c>
      <c r="S3866" s="193">
        <f t="shared" si="846"/>
        <v>0</v>
      </c>
      <c r="T3866" s="193">
        <f t="shared" si="847"/>
        <v>0</v>
      </c>
      <c r="U3866" s="193">
        <f ca="1">OFFSET('Expenditure Study'!$B$7,'Operations Support'!$C3866,'Operations Support'!$B3866)*$G3866</f>
        <v>0</v>
      </c>
      <c r="V3866" s="199">
        <f ca="1">U3866*'Expenditure Study'!$B$31</f>
        <v>0</v>
      </c>
      <c r="W3866" s="199">
        <f ca="1">IF(A3866=10298,1.51,1)*IF($B3866&lt;3,$D3866*'Expenditure Study'!$B$32*OFFSET('Expenditure Study'!$B$7,'Operations Support'!$C3866,'Operations Support'!$B3866),0)</f>
        <v>0</v>
      </c>
      <c r="X3866" s="200">
        <f ca="1">W3866*'Expenditure Study'!$B$31</f>
        <v>0</v>
      </c>
      <c r="Y3866" s="199">
        <f ca="1">U3866*'Expenditure Study'!$B$31</f>
        <v>0</v>
      </c>
      <c r="Z3866" s="200">
        <f ca="1">W3866*'Expenditure Study'!$B$31</f>
        <v>0</v>
      </c>
      <c r="AA3866" s="195">
        <f t="shared" ca="1" si="848"/>
        <v>0</v>
      </c>
      <c r="AB3866" s="195">
        <f t="shared" ca="1" si="849"/>
        <v>0</v>
      </c>
      <c r="AD3866" s="196">
        <f>IFERROR($G3866/SUMIF($A:$A,$A3866,$G:$G)*SUMIF(Summary!$A$166:$A$242,$A3866,Summary!$P$166:$P$242),0)</f>
        <v>0</v>
      </c>
      <c r="AE3866" s="197">
        <f t="shared" ca="1" si="850"/>
        <v>0</v>
      </c>
      <c r="AF3866" s="196">
        <f>IFERROR(G3866/SUMIF(A:A,A3866,G:G)*SUMIF(Summary!$A$166:$A$242,'Operations Support'!A3866,Summary!$Q$166:$Q$242),0)</f>
        <v>0</v>
      </c>
      <c r="AG3866" s="196">
        <f t="shared" ca="1" si="851"/>
        <v>0</v>
      </c>
      <c r="AI3866" s="196">
        <f>IFERROR($G3866/SUMIF($A:$A,$A3866,$G:$G)*SUMIF(Summary!$A$247:$A$283,$A3866,Summary!$P$247:$P$283),0)</f>
        <v>0</v>
      </c>
      <c r="AJ3866" s="196">
        <f>IFERROR($G3866/SUMIF($A:$A,$A3866,$G:$G)*(SUMIF(Summary!$A$247:$A$283,$A3866,Summary!$L$247:$L$283)+SUMIF(Summary!$A$297:$A$333,$A3866,Summary!$L$297:$L$333))-AI3866,0)</f>
        <v>0</v>
      </c>
      <c r="AK3866" s="196">
        <f>IFERROR($G3866/SUMIF($A:$A,$A3866,$G:$G)*SUMIF(Summary!$A$247:$A$283,$A3866,Summary!$Q$247:$Q$283),0)</f>
        <v>0</v>
      </c>
      <c r="AL3866" s="196">
        <f>IFERROR($G3866/SUMIF($A:$A,$A3866,$G:$G)*(SUMIF(Summary!$A$247:$A$283,$A3866,Summary!$L$247:$L$283)+SUMIF(Summary!$A$297:$A$333,$A3866,Summary!$L$297:$L$333))-AK3866,0)</f>
        <v>0</v>
      </c>
      <c r="AM3866" s="198"/>
      <c r="AN3866" s="196">
        <f t="shared" ca="1" si="852"/>
        <v>0</v>
      </c>
      <c r="AO3866" s="196">
        <f t="shared" ca="1" si="853"/>
        <v>0</v>
      </c>
    </row>
    <row r="3867" spans="1:41">
      <c r="A3867" s="189">
        <v>42485</v>
      </c>
      <c r="B3867" s="190">
        <v>4</v>
      </c>
      <c r="C3867" s="191" t="s">
        <v>239</v>
      </c>
      <c r="D3867" s="192">
        <f t="shared" si="840"/>
        <v>0</v>
      </c>
      <c r="E3867" s="192">
        <f t="shared" si="841"/>
        <v>0</v>
      </c>
      <c r="F3867" s="192">
        <f t="shared" si="842"/>
        <v>0</v>
      </c>
      <c r="G3867" s="193">
        <f t="shared" si="843"/>
        <v>0</v>
      </c>
      <c r="H3867" s="194">
        <v>0</v>
      </c>
      <c r="I3867" s="194">
        <v>0</v>
      </c>
      <c r="J3867" s="194">
        <v>0</v>
      </c>
      <c r="K3867" s="193">
        <f t="shared" si="844"/>
        <v>0</v>
      </c>
      <c r="L3867" s="194">
        <v>0</v>
      </c>
      <c r="M3867" s="194">
        <v>0</v>
      </c>
      <c r="N3867" s="194">
        <v>0</v>
      </c>
      <c r="O3867" s="193">
        <f t="shared" si="845"/>
        <v>0</v>
      </c>
      <c r="P3867" s="194">
        <v>0</v>
      </c>
      <c r="Q3867" s="194">
        <v>0</v>
      </c>
      <c r="R3867" s="194">
        <v>0</v>
      </c>
      <c r="S3867" s="193">
        <f t="shared" si="846"/>
        <v>0</v>
      </c>
      <c r="T3867" s="193">
        <f t="shared" si="847"/>
        <v>0</v>
      </c>
      <c r="U3867" s="193">
        <f ca="1">OFFSET('Expenditure Study'!$B$7,'Operations Support'!$C3867,'Operations Support'!$B3867)*$G3867</f>
        <v>0</v>
      </c>
      <c r="V3867" s="199">
        <f ca="1">U3867*'Expenditure Study'!$B$31</f>
        <v>0</v>
      </c>
      <c r="W3867" s="199">
        <f ca="1">IF(A3867=10298,1.51,1)*IF($B3867&lt;3,$D3867*'Expenditure Study'!$B$32*OFFSET('Expenditure Study'!$B$7,'Operations Support'!$C3867,'Operations Support'!$B3867),0)</f>
        <v>0</v>
      </c>
      <c r="X3867" s="200">
        <f ca="1">W3867*'Expenditure Study'!$B$31</f>
        <v>0</v>
      </c>
      <c r="Y3867" s="199">
        <f ca="1">U3867*'Expenditure Study'!$B$31</f>
        <v>0</v>
      </c>
      <c r="Z3867" s="200">
        <f ca="1">W3867*'Expenditure Study'!$B$31</f>
        <v>0</v>
      </c>
      <c r="AA3867" s="195">
        <f t="shared" ca="1" si="848"/>
        <v>0</v>
      </c>
      <c r="AB3867" s="195">
        <f t="shared" ca="1" si="849"/>
        <v>0</v>
      </c>
      <c r="AD3867" s="196">
        <f>IFERROR($G3867/SUMIF($A:$A,$A3867,$G:$G)*SUMIF(Summary!$A$166:$A$242,$A3867,Summary!$P$166:$P$242),0)</f>
        <v>0</v>
      </c>
      <c r="AE3867" s="197">
        <f t="shared" ca="1" si="850"/>
        <v>0</v>
      </c>
      <c r="AF3867" s="196">
        <f>IFERROR(G3867/SUMIF(A:A,A3867,G:G)*SUMIF(Summary!$A$166:$A$242,'Operations Support'!A3867,Summary!$Q$166:$Q$242),0)</f>
        <v>0</v>
      </c>
      <c r="AG3867" s="196">
        <f t="shared" ca="1" si="851"/>
        <v>0</v>
      </c>
      <c r="AI3867" s="196">
        <f>IFERROR($G3867/SUMIF($A:$A,$A3867,$G:$G)*SUMIF(Summary!$A$247:$A$283,$A3867,Summary!$P$247:$P$283),0)</f>
        <v>0</v>
      </c>
      <c r="AJ3867" s="196">
        <f>IFERROR($G3867/SUMIF($A:$A,$A3867,$G:$G)*(SUMIF(Summary!$A$247:$A$283,$A3867,Summary!$L$247:$L$283)+SUMIF(Summary!$A$297:$A$333,$A3867,Summary!$L$297:$L$333))-AI3867,0)</f>
        <v>0</v>
      </c>
      <c r="AK3867" s="196">
        <f>IFERROR($G3867/SUMIF($A:$A,$A3867,$G:$G)*SUMIF(Summary!$A$247:$A$283,$A3867,Summary!$Q$247:$Q$283),0)</f>
        <v>0</v>
      </c>
      <c r="AL3867" s="196">
        <f>IFERROR($G3867/SUMIF($A:$A,$A3867,$G:$G)*(SUMIF(Summary!$A$247:$A$283,$A3867,Summary!$L$247:$L$283)+SUMIF(Summary!$A$297:$A$333,$A3867,Summary!$L$297:$L$333))-AK3867,0)</f>
        <v>0</v>
      </c>
      <c r="AM3867" s="198"/>
      <c r="AN3867" s="196">
        <f t="shared" ca="1" si="852"/>
        <v>0</v>
      </c>
      <c r="AO3867" s="196">
        <f t="shared" ca="1" si="853"/>
        <v>0</v>
      </c>
    </row>
    <row r="3868" spans="1:41">
      <c r="A3868" s="189">
        <v>42485</v>
      </c>
      <c r="B3868" s="190">
        <v>4</v>
      </c>
      <c r="C3868" s="191" t="s">
        <v>240</v>
      </c>
      <c r="D3868" s="192">
        <f t="shared" si="840"/>
        <v>0</v>
      </c>
      <c r="E3868" s="192">
        <f t="shared" si="841"/>
        <v>0</v>
      </c>
      <c r="F3868" s="192">
        <f t="shared" si="842"/>
        <v>0</v>
      </c>
      <c r="G3868" s="193">
        <f t="shared" si="843"/>
        <v>0</v>
      </c>
      <c r="H3868" s="194">
        <v>0</v>
      </c>
      <c r="I3868" s="194">
        <v>0</v>
      </c>
      <c r="J3868" s="194">
        <v>0</v>
      </c>
      <c r="K3868" s="193">
        <f t="shared" si="844"/>
        <v>0</v>
      </c>
      <c r="L3868" s="194">
        <v>0</v>
      </c>
      <c r="M3868" s="194">
        <v>0</v>
      </c>
      <c r="N3868" s="194">
        <v>0</v>
      </c>
      <c r="O3868" s="193">
        <f t="shared" si="845"/>
        <v>0</v>
      </c>
      <c r="P3868" s="194">
        <v>0</v>
      </c>
      <c r="Q3868" s="194">
        <v>0</v>
      </c>
      <c r="R3868" s="194">
        <v>0</v>
      </c>
      <c r="S3868" s="193">
        <f t="shared" si="846"/>
        <v>0</v>
      </c>
      <c r="T3868" s="193">
        <f t="shared" si="847"/>
        <v>0</v>
      </c>
      <c r="U3868" s="193">
        <f ca="1">OFFSET('Expenditure Study'!$B$7,'Operations Support'!$C3868,'Operations Support'!$B3868)*$G3868</f>
        <v>0</v>
      </c>
      <c r="V3868" s="199">
        <f ca="1">U3868*'Expenditure Study'!$B$31</f>
        <v>0</v>
      </c>
      <c r="W3868" s="199">
        <f ca="1">IF(A3868=10298,1.51,1)*IF($B3868&lt;3,$D3868*'Expenditure Study'!$B$32*OFFSET('Expenditure Study'!$B$7,'Operations Support'!$C3868,'Operations Support'!$B3868),0)</f>
        <v>0</v>
      </c>
      <c r="X3868" s="200">
        <f ca="1">W3868*'Expenditure Study'!$B$31</f>
        <v>0</v>
      </c>
      <c r="Y3868" s="199">
        <f ca="1">U3868*'Expenditure Study'!$B$31</f>
        <v>0</v>
      </c>
      <c r="Z3868" s="200">
        <f ca="1">W3868*'Expenditure Study'!$B$31</f>
        <v>0</v>
      </c>
      <c r="AA3868" s="195">
        <f t="shared" ca="1" si="848"/>
        <v>0</v>
      </c>
      <c r="AB3868" s="195">
        <f t="shared" ca="1" si="849"/>
        <v>0</v>
      </c>
      <c r="AD3868" s="196">
        <f>IFERROR($G3868/SUMIF($A:$A,$A3868,$G:$G)*SUMIF(Summary!$A$166:$A$242,$A3868,Summary!$P$166:$P$242),0)</f>
        <v>0</v>
      </c>
      <c r="AE3868" s="197">
        <f t="shared" ca="1" si="850"/>
        <v>0</v>
      </c>
      <c r="AF3868" s="196">
        <f>IFERROR(G3868/SUMIF(A:A,A3868,G:G)*SUMIF(Summary!$A$166:$A$242,'Operations Support'!A3868,Summary!$Q$166:$Q$242),0)</f>
        <v>0</v>
      </c>
      <c r="AG3868" s="196">
        <f t="shared" ca="1" si="851"/>
        <v>0</v>
      </c>
      <c r="AI3868" s="196">
        <f>IFERROR($G3868/SUMIF($A:$A,$A3868,$G:$G)*SUMIF(Summary!$A$247:$A$283,$A3868,Summary!$P$247:$P$283),0)</f>
        <v>0</v>
      </c>
      <c r="AJ3868" s="196">
        <f>IFERROR($G3868/SUMIF($A:$A,$A3868,$G:$G)*(SUMIF(Summary!$A$247:$A$283,$A3868,Summary!$L$247:$L$283)+SUMIF(Summary!$A$297:$A$333,$A3868,Summary!$L$297:$L$333))-AI3868,0)</f>
        <v>0</v>
      </c>
      <c r="AK3868" s="196">
        <f>IFERROR($G3868/SUMIF($A:$A,$A3868,$G:$G)*SUMIF(Summary!$A$247:$A$283,$A3868,Summary!$Q$247:$Q$283),0)</f>
        <v>0</v>
      </c>
      <c r="AL3868" s="196">
        <f>IFERROR($G3868/SUMIF($A:$A,$A3868,$G:$G)*(SUMIF(Summary!$A$247:$A$283,$A3868,Summary!$L$247:$L$283)+SUMIF(Summary!$A$297:$A$333,$A3868,Summary!$L$297:$L$333))-AK3868,0)</f>
        <v>0</v>
      </c>
      <c r="AM3868" s="198"/>
      <c r="AN3868" s="196">
        <f t="shared" ca="1" si="852"/>
        <v>0</v>
      </c>
      <c r="AO3868" s="196">
        <f t="shared" ca="1" si="853"/>
        <v>0</v>
      </c>
    </row>
    <row r="3869" spans="1:41">
      <c r="A3869" s="189">
        <v>42485</v>
      </c>
      <c r="B3869" s="190">
        <v>5</v>
      </c>
      <c r="C3869" s="191" t="s">
        <v>220</v>
      </c>
      <c r="D3869" s="192">
        <f t="shared" si="840"/>
        <v>0</v>
      </c>
      <c r="E3869" s="192">
        <f t="shared" si="841"/>
        <v>0</v>
      </c>
      <c r="F3869" s="192">
        <f t="shared" si="842"/>
        <v>0</v>
      </c>
      <c r="G3869" s="193">
        <f t="shared" si="843"/>
        <v>0</v>
      </c>
      <c r="H3869" s="194">
        <v>0</v>
      </c>
      <c r="I3869" s="194">
        <v>0</v>
      </c>
      <c r="J3869" s="194">
        <v>0</v>
      </c>
      <c r="K3869" s="193">
        <f t="shared" si="844"/>
        <v>0</v>
      </c>
      <c r="L3869" s="194">
        <v>0</v>
      </c>
      <c r="M3869" s="194">
        <v>0</v>
      </c>
      <c r="N3869" s="194">
        <v>0</v>
      </c>
      <c r="O3869" s="193">
        <f t="shared" si="845"/>
        <v>0</v>
      </c>
      <c r="P3869" s="194">
        <v>0</v>
      </c>
      <c r="Q3869" s="194">
        <v>0</v>
      </c>
      <c r="R3869" s="194">
        <v>0</v>
      </c>
      <c r="S3869" s="193">
        <f t="shared" si="846"/>
        <v>0</v>
      </c>
      <c r="T3869" s="193">
        <f t="shared" si="847"/>
        <v>0</v>
      </c>
      <c r="U3869" s="193">
        <f ca="1">OFFSET('Expenditure Study'!$B$7,'Operations Support'!$C3869,'Operations Support'!$B3869)*$G3869</f>
        <v>0</v>
      </c>
      <c r="V3869" s="199">
        <f ca="1">U3869*'Expenditure Study'!$B$31</f>
        <v>0</v>
      </c>
      <c r="W3869" s="199">
        <f ca="1">IF(A3869=10298,1.51,1)*IF($B3869&lt;3,$D3869*'Expenditure Study'!$B$32*OFFSET('Expenditure Study'!$B$7,'Operations Support'!$C3869,'Operations Support'!$B3869),0)</f>
        <v>0</v>
      </c>
      <c r="X3869" s="200">
        <f ca="1">W3869*'Expenditure Study'!$B$31</f>
        <v>0</v>
      </c>
      <c r="Y3869" s="199">
        <f ca="1">U3869*'Expenditure Study'!$B$31</f>
        <v>0</v>
      </c>
      <c r="Z3869" s="200">
        <f ca="1">W3869*'Expenditure Study'!$B$31</f>
        <v>0</v>
      </c>
      <c r="AA3869" s="195">
        <f t="shared" ca="1" si="848"/>
        <v>0</v>
      </c>
      <c r="AB3869" s="195">
        <f t="shared" ca="1" si="849"/>
        <v>0</v>
      </c>
      <c r="AD3869" s="196">
        <f>IFERROR($G3869/SUMIF($A:$A,$A3869,$G:$G)*SUMIF(Summary!$A$166:$A$242,$A3869,Summary!$P$166:$P$242),0)</f>
        <v>0</v>
      </c>
      <c r="AE3869" s="197">
        <f t="shared" ca="1" si="850"/>
        <v>0</v>
      </c>
      <c r="AF3869" s="196">
        <f>IFERROR(G3869/SUMIF(A:A,A3869,G:G)*SUMIF(Summary!$A$166:$A$242,'Operations Support'!A3869,Summary!$Q$166:$Q$242),0)</f>
        <v>0</v>
      </c>
      <c r="AG3869" s="196">
        <f t="shared" ca="1" si="851"/>
        <v>0</v>
      </c>
      <c r="AI3869" s="196">
        <f>IFERROR($G3869/SUMIF($A:$A,$A3869,$G:$G)*SUMIF(Summary!$A$247:$A$283,$A3869,Summary!$P$247:$P$283),0)</f>
        <v>0</v>
      </c>
      <c r="AJ3869" s="196">
        <f>IFERROR($G3869/SUMIF($A:$A,$A3869,$G:$G)*(SUMIF(Summary!$A$247:$A$283,$A3869,Summary!$L$247:$L$283)+SUMIF(Summary!$A$297:$A$333,$A3869,Summary!$L$297:$L$333))-AI3869,0)</f>
        <v>0</v>
      </c>
      <c r="AK3869" s="196">
        <f>IFERROR($G3869/SUMIF($A:$A,$A3869,$G:$G)*SUMIF(Summary!$A$247:$A$283,$A3869,Summary!$Q$247:$Q$283),0)</f>
        <v>0</v>
      </c>
      <c r="AL3869" s="196">
        <f>IFERROR($G3869/SUMIF($A:$A,$A3869,$G:$G)*(SUMIF(Summary!$A$247:$A$283,$A3869,Summary!$L$247:$L$283)+SUMIF(Summary!$A$297:$A$333,$A3869,Summary!$L$297:$L$333))-AK3869,0)</f>
        <v>0</v>
      </c>
      <c r="AM3869" s="198"/>
      <c r="AN3869" s="196">
        <f t="shared" ca="1" si="852"/>
        <v>0</v>
      </c>
      <c r="AO3869" s="196">
        <f t="shared" ca="1" si="853"/>
        <v>0</v>
      </c>
    </row>
    <row r="3870" spans="1:41">
      <c r="A3870" s="189">
        <v>42485</v>
      </c>
      <c r="B3870" s="190">
        <v>5</v>
      </c>
      <c r="C3870" s="191" t="s">
        <v>221</v>
      </c>
      <c r="D3870" s="192">
        <f t="shared" si="840"/>
        <v>0</v>
      </c>
      <c r="E3870" s="192">
        <f t="shared" si="841"/>
        <v>0</v>
      </c>
      <c r="F3870" s="192">
        <f t="shared" si="842"/>
        <v>0</v>
      </c>
      <c r="G3870" s="193">
        <f t="shared" si="843"/>
        <v>0</v>
      </c>
      <c r="H3870" s="194">
        <v>0</v>
      </c>
      <c r="I3870" s="194">
        <v>0</v>
      </c>
      <c r="J3870" s="194">
        <v>0</v>
      </c>
      <c r="K3870" s="193">
        <f t="shared" si="844"/>
        <v>0</v>
      </c>
      <c r="L3870" s="194">
        <v>0</v>
      </c>
      <c r="M3870" s="194">
        <v>0</v>
      </c>
      <c r="N3870" s="194">
        <v>0</v>
      </c>
      <c r="O3870" s="193">
        <f t="shared" si="845"/>
        <v>0</v>
      </c>
      <c r="P3870" s="194">
        <v>0</v>
      </c>
      <c r="Q3870" s="194">
        <v>0</v>
      </c>
      <c r="R3870" s="194">
        <v>0</v>
      </c>
      <c r="S3870" s="193">
        <f t="shared" si="846"/>
        <v>0</v>
      </c>
      <c r="T3870" s="193">
        <f t="shared" si="847"/>
        <v>0</v>
      </c>
      <c r="U3870" s="193">
        <f ca="1">OFFSET('Expenditure Study'!$B$7,'Operations Support'!$C3870,'Operations Support'!$B3870)*$G3870</f>
        <v>0</v>
      </c>
      <c r="V3870" s="199">
        <f ca="1">U3870*'Expenditure Study'!$B$31</f>
        <v>0</v>
      </c>
      <c r="W3870" s="199">
        <f ca="1">IF(A3870=10298,1.51,1)*IF($B3870&lt;3,$D3870*'Expenditure Study'!$B$32*OFFSET('Expenditure Study'!$B$7,'Operations Support'!$C3870,'Operations Support'!$B3870),0)</f>
        <v>0</v>
      </c>
      <c r="X3870" s="200">
        <f ca="1">W3870*'Expenditure Study'!$B$31</f>
        <v>0</v>
      </c>
      <c r="Y3870" s="199">
        <f ca="1">U3870*'Expenditure Study'!$B$31</f>
        <v>0</v>
      </c>
      <c r="Z3870" s="200">
        <f ca="1">W3870*'Expenditure Study'!$B$31</f>
        <v>0</v>
      </c>
      <c r="AA3870" s="195">
        <f t="shared" ca="1" si="848"/>
        <v>0</v>
      </c>
      <c r="AB3870" s="195">
        <f t="shared" ca="1" si="849"/>
        <v>0</v>
      </c>
      <c r="AD3870" s="196">
        <f>IFERROR($G3870/SUMIF($A:$A,$A3870,$G:$G)*SUMIF(Summary!$A$166:$A$242,$A3870,Summary!$P$166:$P$242),0)</f>
        <v>0</v>
      </c>
      <c r="AE3870" s="197">
        <f t="shared" ca="1" si="850"/>
        <v>0</v>
      </c>
      <c r="AF3870" s="196">
        <f>IFERROR(G3870/SUMIF(A:A,A3870,G:G)*SUMIF(Summary!$A$166:$A$242,'Operations Support'!A3870,Summary!$Q$166:$Q$242),0)</f>
        <v>0</v>
      </c>
      <c r="AG3870" s="196">
        <f t="shared" ca="1" si="851"/>
        <v>0</v>
      </c>
      <c r="AI3870" s="196">
        <f>IFERROR($G3870/SUMIF($A:$A,$A3870,$G:$G)*SUMIF(Summary!$A$247:$A$283,$A3870,Summary!$P$247:$P$283),0)</f>
        <v>0</v>
      </c>
      <c r="AJ3870" s="196">
        <f>IFERROR($G3870/SUMIF($A:$A,$A3870,$G:$G)*(SUMIF(Summary!$A$247:$A$283,$A3870,Summary!$L$247:$L$283)+SUMIF(Summary!$A$297:$A$333,$A3870,Summary!$L$297:$L$333))-AI3870,0)</f>
        <v>0</v>
      </c>
      <c r="AK3870" s="196">
        <f>IFERROR($G3870/SUMIF($A:$A,$A3870,$G:$G)*SUMIF(Summary!$A$247:$A$283,$A3870,Summary!$Q$247:$Q$283),0)</f>
        <v>0</v>
      </c>
      <c r="AL3870" s="196">
        <f>IFERROR($G3870/SUMIF($A:$A,$A3870,$G:$G)*(SUMIF(Summary!$A$247:$A$283,$A3870,Summary!$L$247:$L$283)+SUMIF(Summary!$A$297:$A$333,$A3870,Summary!$L$297:$L$333))-AK3870,0)</f>
        <v>0</v>
      </c>
      <c r="AM3870" s="198"/>
      <c r="AN3870" s="196">
        <f t="shared" ca="1" si="852"/>
        <v>0</v>
      </c>
      <c r="AO3870" s="196">
        <f t="shared" ca="1" si="853"/>
        <v>0</v>
      </c>
    </row>
    <row r="3871" spans="1:41">
      <c r="A3871" s="189">
        <v>42485</v>
      </c>
      <c r="B3871" s="190">
        <v>5</v>
      </c>
      <c r="C3871" s="191" t="s">
        <v>222</v>
      </c>
      <c r="D3871" s="192">
        <f t="shared" si="840"/>
        <v>0</v>
      </c>
      <c r="E3871" s="192">
        <f t="shared" si="841"/>
        <v>0</v>
      </c>
      <c r="F3871" s="192">
        <f t="shared" si="842"/>
        <v>0</v>
      </c>
      <c r="G3871" s="193">
        <f t="shared" si="843"/>
        <v>0</v>
      </c>
      <c r="H3871" s="194">
        <v>0</v>
      </c>
      <c r="I3871" s="194">
        <v>0</v>
      </c>
      <c r="J3871" s="194">
        <v>0</v>
      </c>
      <c r="K3871" s="193">
        <f t="shared" si="844"/>
        <v>0</v>
      </c>
      <c r="L3871" s="194">
        <v>0</v>
      </c>
      <c r="M3871" s="194">
        <v>0</v>
      </c>
      <c r="N3871" s="194">
        <v>0</v>
      </c>
      <c r="O3871" s="193">
        <f t="shared" si="845"/>
        <v>0</v>
      </c>
      <c r="P3871" s="194">
        <v>0</v>
      </c>
      <c r="Q3871" s="194">
        <v>0</v>
      </c>
      <c r="R3871" s="194">
        <v>0</v>
      </c>
      <c r="S3871" s="193">
        <f>SUM(P3871:Q3871)-R3871</f>
        <v>0</v>
      </c>
      <c r="T3871" s="193">
        <f t="shared" si="847"/>
        <v>0</v>
      </c>
      <c r="U3871" s="193">
        <f ca="1">OFFSET('Expenditure Study'!$B$7,'Operations Support'!$C3871,'Operations Support'!$B3871)*$G3871</f>
        <v>0</v>
      </c>
      <c r="V3871" s="199">
        <f ca="1">U3871*'Expenditure Study'!$B$31</f>
        <v>0</v>
      </c>
      <c r="W3871" s="199">
        <f ca="1">IF(A3871=10298,1.51,1)*IF($B3871&lt;3,$D3871*'Expenditure Study'!$B$32*OFFSET('Expenditure Study'!$B$7,'Operations Support'!$C3871,'Operations Support'!$B3871),0)</f>
        <v>0</v>
      </c>
      <c r="X3871" s="200">
        <f ca="1">W3871*'Expenditure Study'!$B$31</f>
        <v>0</v>
      </c>
      <c r="Y3871" s="199">
        <f ca="1">U3871*'Expenditure Study'!$B$31</f>
        <v>0</v>
      </c>
      <c r="Z3871" s="200">
        <f ca="1">W3871*'Expenditure Study'!$B$31</f>
        <v>0</v>
      </c>
      <c r="AA3871" s="195">
        <f t="shared" ca="1" si="848"/>
        <v>0</v>
      </c>
      <c r="AB3871" s="195">
        <f t="shared" ca="1" si="849"/>
        <v>0</v>
      </c>
      <c r="AD3871" s="196">
        <f>IFERROR($G3871/SUMIF($A:$A,$A3871,$G:$G)*SUMIF(Summary!$A$166:$A$242,$A3871,Summary!$P$166:$P$242),0)</f>
        <v>0</v>
      </c>
      <c r="AE3871" s="197">
        <f t="shared" ca="1" si="850"/>
        <v>0</v>
      </c>
      <c r="AF3871" s="196">
        <f>IFERROR(G3871/SUMIF(A:A,A3871,G:G)*SUMIF(Summary!$A$166:$A$242,'Operations Support'!A3871,Summary!$Q$166:$Q$242),0)</f>
        <v>0</v>
      </c>
      <c r="AG3871" s="196">
        <f t="shared" ca="1" si="851"/>
        <v>0</v>
      </c>
      <c r="AI3871" s="196">
        <f>IFERROR($G3871/SUMIF($A:$A,$A3871,$G:$G)*SUMIF(Summary!$A$247:$A$283,$A3871,Summary!$P$247:$P$283),0)</f>
        <v>0</v>
      </c>
      <c r="AJ3871" s="196">
        <f>IFERROR($G3871/SUMIF($A:$A,$A3871,$G:$G)*(SUMIF(Summary!$A$247:$A$283,$A3871,Summary!$L$247:$L$283)+SUMIF(Summary!$A$297:$A$333,$A3871,Summary!$L$297:$L$333))-AI3871,0)</f>
        <v>0</v>
      </c>
      <c r="AK3871" s="196">
        <f>IFERROR($G3871/SUMIF($A:$A,$A3871,$G:$G)*SUMIF(Summary!$A$247:$A$283,$A3871,Summary!$Q$247:$Q$283),0)</f>
        <v>0</v>
      </c>
      <c r="AL3871" s="196">
        <f>IFERROR($G3871/SUMIF($A:$A,$A3871,$G:$G)*(SUMIF(Summary!$A$247:$A$283,$A3871,Summary!$L$247:$L$283)+SUMIF(Summary!$A$297:$A$333,$A3871,Summary!$L$297:$L$333))-AK3871,0)</f>
        <v>0</v>
      </c>
      <c r="AM3871" s="198"/>
      <c r="AN3871" s="196">
        <f t="shared" ca="1" si="852"/>
        <v>0</v>
      </c>
      <c r="AO3871" s="196">
        <f t="shared" ca="1" si="853"/>
        <v>0</v>
      </c>
    </row>
    <row r="3872" spans="1:41">
      <c r="A3872" s="189">
        <v>42485</v>
      </c>
      <c r="B3872" s="190">
        <v>5</v>
      </c>
      <c r="C3872" s="191" t="s">
        <v>223</v>
      </c>
      <c r="D3872" s="192">
        <f t="shared" si="840"/>
        <v>0</v>
      </c>
      <c r="E3872" s="192">
        <f t="shared" si="841"/>
        <v>0</v>
      </c>
      <c r="F3872" s="192">
        <f t="shared" si="842"/>
        <v>0</v>
      </c>
      <c r="G3872" s="193">
        <f t="shared" si="843"/>
        <v>0</v>
      </c>
      <c r="H3872" s="194">
        <v>0</v>
      </c>
      <c r="I3872" s="194">
        <v>0</v>
      </c>
      <c r="J3872" s="194">
        <v>0</v>
      </c>
      <c r="K3872" s="193">
        <f t="shared" si="844"/>
        <v>0</v>
      </c>
      <c r="L3872" s="194">
        <v>0</v>
      </c>
      <c r="M3872" s="194">
        <v>0</v>
      </c>
      <c r="N3872" s="194">
        <v>0</v>
      </c>
      <c r="O3872" s="193">
        <f t="shared" si="845"/>
        <v>0</v>
      </c>
      <c r="P3872" s="194">
        <v>0</v>
      </c>
      <c r="Q3872" s="194">
        <v>0</v>
      </c>
      <c r="R3872" s="194">
        <v>0</v>
      </c>
      <c r="S3872" s="193">
        <f t="shared" si="846"/>
        <v>0</v>
      </c>
      <c r="T3872" s="193">
        <f t="shared" si="847"/>
        <v>0</v>
      </c>
      <c r="U3872" s="193">
        <f ca="1">OFFSET('Expenditure Study'!$B$7,'Operations Support'!$C3872,'Operations Support'!$B3872)*$G3872</f>
        <v>0</v>
      </c>
      <c r="V3872" s="199">
        <f ca="1">U3872*'Expenditure Study'!$B$31</f>
        <v>0</v>
      </c>
      <c r="W3872" s="199">
        <f ca="1">IF(A3872=10298,1.51,1)*IF($B3872&lt;3,$D3872*'Expenditure Study'!$B$32*OFFSET('Expenditure Study'!$B$7,'Operations Support'!$C3872,'Operations Support'!$B3872),0)</f>
        <v>0</v>
      </c>
      <c r="X3872" s="200">
        <f ca="1">W3872*'Expenditure Study'!$B$31</f>
        <v>0</v>
      </c>
      <c r="Y3872" s="199">
        <f ca="1">U3872*'Expenditure Study'!$B$31</f>
        <v>0</v>
      </c>
      <c r="Z3872" s="200">
        <f ca="1">W3872*'Expenditure Study'!$B$31</f>
        <v>0</v>
      </c>
      <c r="AA3872" s="195">
        <f t="shared" ca="1" si="848"/>
        <v>0</v>
      </c>
      <c r="AB3872" s="195">
        <f t="shared" ca="1" si="849"/>
        <v>0</v>
      </c>
      <c r="AD3872" s="196">
        <f>IFERROR($G3872/SUMIF($A:$A,$A3872,$G:$G)*SUMIF(Summary!$A$166:$A$242,$A3872,Summary!$P$166:$P$242),0)</f>
        <v>0</v>
      </c>
      <c r="AE3872" s="197">
        <f t="shared" ca="1" si="850"/>
        <v>0</v>
      </c>
      <c r="AF3872" s="196">
        <f>IFERROR(G3872/SUMIF(A:A,A3872,G:G)*SUMIF(Summary!$A$166:$A$242,'Operations Support'!A3872,Summary!$Q$166:$Q$242),0)</f>
        <v>0</v>
      </c>
      <c r="AG3872" s="196">
        <f t="shared" ca="1" si="851"/>
        <v>0</v>
      </c>
      <c r="AI3872" s="196">
        <f>IFERROR($G3872/SUMIF($A:$A,$A3872,$G:$G)*SUMIF(Summary!$A$247:$A$283,$A3872,Summary!$P$247:$P$283),0)</f>
        <v>0</v>
      </c>
      <c r="AJ3872" s="196">
        <f>IFERROR($G3872/SUMIF($A:$A,$A3872,$G:$G)*(SUMIF(Summary!$A$247:$A$283,$A3872,Summary!$L$247:$L$283)+SUMIF(Summary!$A$297:$A$333,$A3872,Summary!$L$297:$L$333))-AI3872,0)</f>
        <v>0</v>
      </c>
      <c r="AK3872" s="196">
        <f>IFERROR($G3872/SUMIF($A:$A,$A3872,$G:$G)*SUMIF(Summary!$A$247:$A$283,$A3872,Summary!$Q$247:$Q$283),0)</f>
        <v>0</v>
      </c>
      <c r="AL3872" s="196">
        <f>IFERROR($G3872/SUMIF($A:$A,$A3872,$G:$G)*(SUMIF(Summary!$A$247:$A$283,$A3872,Summary!$L$247:$L$283)+SUMIF(Summary!$A$297:$A$333,$A3872,Summary!$L$297:$L$333))-AK3872,0)</f>
        <v>0</v>
      </c>
      <c r="AM3872" s="198"/>
      <c r="AN3872" s="196">
        <f t="shared" ca="1" si="852"/>
        <v>0</v>
      </c>
      <c r="AO3872" s="196">
        <f t="shared" ca="1" si="853"/>
        <v>0</v>
      </c>
    </row>
    <row r="3873" spans="1:41">
      <c r="A3873" s="189">
        <v>42485</v>
      </c>
      <c r="B3873" s="190">
        <v>5</v>
      </c>
      <c r="C3873" s="191" t="s">
        <v>224</v>
      </c>
      <c r="D3873" s="192">
        <f t="shared" si="840"/>
        <v>0</v>
      </c>
      <c r="E3873" s="192">
        <f t="shared" si="841"/>
        <v>0</v>
      </c>
      <c r="F3873" s="192">
        <f t="shared" si="842"/>
        <v>0</v>
      </c>
      <c r="G3873" s="193">
        <f t="shared" si="843"/>
        <v>0</v>
      </c>
      <c r="H3873" s="194">
        <v>0</v>
      </c>
      <c r="I3873" s="194">
        <v>0</v>
      </c>
      <c r="J3873" s="194">
        <v>0</v>
      </c>
      <c r="K3873" s="193">
        <f t="shared" si="844"/>
        <v>0</v>
      </c>
      <c r="L3873" s="194">
        <v>0</v>
      </c>
      <c r="M3873" s="194">
        <v>0</v>
      </c>
      <c r="N3873" s="194">
        <v>0</v>
      </c>
      <c r="O3873" s="193">
        <f t="shared" si="845"/>
        <v>0</v>
      </c>
      <c r="P3873" s="194">
        <v>0</v>
      </c>
      <c r="Q3873" s="194">
        <v>0</v>
      </c>
      <c r="R3873" s="194">
        <v>0</v>
      </c>
      <c r="S3873" s="193">
        <f t="shared" si="846"/>
        <v>0</v>
      </c>
      <c r="T3873" s="193">
        <f t="shared" si="847"/>
        <v>0</v>
      </c>
      <c r="U3873" s="193">
        <f ca="1">OFFSET('Expenditure Study'!$B$7,'Operations Support'!$C3873,'Operations Support'!$B3873)*$G3873</f>
        <v>0</v>
      </c>
      <c r="V3873" s="199">
        <f ca="1">U3873*'Expenditure Study'!$B$31</f>
        <v>0</v>
      </c>
      <c r="W3873" s="199">
        <f ca="1">IF(A3873=10298,1.51,1)*IF($B3873&lt;3,$D3873*'Expenditure Study'!$B$32*OFFSET('Expenditure Study'!$B$7,'Operations Support'!$C3873,'Operations Support'!$B3873),0)</f>
        <v>0</v>
      </c>
      <c r="X3873" s="200">
        <f ca="1">W3873*'Expenditure Study'!$B$31</f>
        <v>0</v>
      </c>
      <c r="Y3873" s="199">
        <f ca="1">U3873*'Expenditure Study'!$B$31</f>
        <v>0</v>
      </c>
      <c r="Z3873" s="200">
        <f ca="1">W3873*'Expenditure Study'!$B$31</f>
        <v>0</v>
      </c>
      <c r="AA3873" s="195">
        <f t="shared" ca="1" si="848"/>
        <v>0</v>
      </c>
      <c r="AB3873" s="195">
        <f t="shared" ca="1" si="849"/>
        <v>0</v>
      </c>
      <c r="AD3873" s="196">
        <f>IFERROR($G3873/SUMIF($A:$A,$A3873,$G:$G)*SUMIF(Summary!$A$166:$A$242,$A3873,Summary!$P$166:$P$242),0)</f>
        <v>0</v>
      </c>
      <c r="AE3873" s="197">
        <f t="shared" ca="1" si="850"/>
        <v>0</v>
      </c>
      <c r="AF3873" s="196">
        <f>IFERROR(G3873/SUMIF(A:A,A3873,G:G)*SUMIF(Summary!$A$166:$A$242,'Operations Support'!A3873,Summary!$Q$166:$Q$242),0)</f>
        <v>0</v>
      </c>
      <c r="AG3873" s="196">
        <f t="shared" ca="1" si="851"/>
        <v>0</v>
      </c>
      <c r="AI3873" s="196">
        <f>IFERROR($G3873/SUMIF($A:$A,$A3873,$G:$G)*SUMIF(Summary!$A$247:$A$283,$A3873,Summary!$P$247:$P$283),0)</f>
        <v>0</v>
      </c>
      <c r="AJ3873" s="196">
        <f>IFERROR($G3873/SUMIF($A:$A,$A3873,$G:$G)*(SUMIF(Summary!$A$247:$A$283,$A3873,Summary!$L$247:$L$283)+SUMIF(Summary!$A$297:$A$333,$A3873,Summary!$L$297:$L$333))-AI3873,0)</f>
        <v>0</v>
      </c>
      <c r="AK3873" s="196">
        <f>IFERROR($G3873/SUMIF($A:$A,$A3873,$G:$G)*SUMIF(Summary!$A$247:$A$283,$A3873,Summary!$Q$247:$Q$283),0)</f>
        <v>0</v>
      </c>
      <c r="AL3873" s="196">
        <f>IFERROR($G3873/SUMIF($A:$A,$A3873,$G:$G)*(SUMIF(Summary!$A$247:$A$283,$A3873,Summary!$L$247:$L$283)+SUMIF(Summary!$A$297:$A$333,$A3873,Summary!$L$297:$L$333))-AK3873,0)</f>
        <v>0</v>
      </c>
      <c r="AM3873" s="198"/>
      <c r="AN3873" s="196">
        <f t="shared" ca="1" si="852"/>
        <v>0</v>
      </c>
      <c r="AO3873" s="196">
        <f t="shared" ca="1" si="853"/>
        <v>0</v>
      </c>
    </row>
    <row r="3874" spans="1:41">
      <c r="A3874" s="189">
        <v>42485</v>
      </c>
      <c r="B3874" s="190">
        <v>5</v>
      </c>
      <c r="C3874" s="191" t="s">
        <v>225</v>
      </c>
      <c r="D3874" s="192">
        <f t="shared" si="840"/>
        <v>0</v>
      </c>
      <c r="E3874" s="192">
        <f t="shared" si="841"/>
        <v>0</v>
      </c>
      <c r="F3874" s="192">
        <f t="shared" si="842"/>
        <v>0</v>
      </c>
      <c r="G3874" s="193">
        <f t="shared" si="843"/>
        <v>0</v>
      </c>
      <c r="H3874" s="194">
        <v>0</v>
      </c>
      <c r="I3874" s="194">
        <v>0</v>
      </c>
      <c r="J3874" s="194">
        <v>0</v>
      </c>
      <c r="K3874" s="193">
        <f t="shared" si="844"/>
        <v>0</v>
      </c>
      <c r="L3874" s="194">
        <v>0</v>
      </c>
      <c r="M3874" s="194">
        <v>0</v>
      </c>
      <c r="N3874" s="194">
        <v>0</v>
      </c>
      <c r="O3874" s="193">
        <f t="shared" si="845"/>
        <v>0</v>
      </c>
      <c r="P3874" s="194">
        <v>0</v>
      </c>
      <c r="Q3874" s="194">
        <v>0</v>
      </c>
      <c r="R3874" s="194">
        <v>0</v>
      </c>
      <c r="S3874" s="193">
        <f t="shared" si="846"/>
        <v>0</v>
      </c>
      <c r="T3874" s="193">
        <f t="shared" si="847"/>
        <v>0</v>
      </c>
      <c r="U3874" s="193">
        <f ca="1">OFFSET('Expenditure Study'!$B$7,'Operations Support'!$C3874,'Operations Support'!$B3874)*$G3874</f>
        <v>0</v>
      </c>
      <c r="V3874" s="199">
        <f ca="1">U3874*'Expenditure Study'!$B$31</f>
        <v>0</v>
      </c>
      <c r="W3874" s="199">
        <f ca="1">IF(A3874=10298,1.51,1)*IF($B3874&lt;3,$D3874*'Expenditure Study'!$B$32*OFFSET('Expenditure Study'!$B$7,'Operations Support'!$C3874,'Operations Support'!$B3874),0)</f>
        <v>0</v>
      </c>
      <c r="X3874" s="200">
        <f ca="1">W3874*'Expenditure Study'!$B$31</f>
        <v>0</v>
      </c>
      <c r="Y3874" s="199">
        <f ca="1">U3874*'Expenditure Study'!$B$31</f>
        <v>0</v>
      </c>
      <c r="Z3874" s="200">
        <f ca="1">W3874*'Expenditure Study'!$B$31</f>
        <v>0</v>
      </c>
      <c r="AA3874" s="195">
        <f t="shared" ca="1" si="848"/>
        <v>0</v>
      </c>
      <c r="AB3874" s="195">
        <f t="shared" ca="1" si="849"/>
        <v>0</v>
      </c>
      <c r="AD3874" s="196">
        <f>IFERROR($G3874/SUMIF($A:$A,$A3874,$G:$G)*SUMIF(Summary!$A$166:$A$242,$A3874,Summary!$P$166:$P$242),0)</f>
        <v>0</v>
      </c>
      <c r="AE3874" s="197">
        <f t="shared" ca="1" si="850"/>
        <v>0</v>
      </c>
      <c r="AF3874" s="196">
        <f>IFERROR(G3874/SUMIF(A:A,A3874,G:G)*SUMIF(Summary!$A$166:$A$242,'Operations Support'!A3874,Summary!$Q$166:$Q$242),0)</f>
        <v>0</v>
      </c>
      <c r="AG3874" s="196">
        <f t="shared" ca="1" si="851"/>
        <v>0</v>
      </c>
      <c r="AI3874" s="196">
        <f>IFERROR($G3874/SUMIF($A:$A,$A3874,$G:$G)*SUMIF(Summary!$A$247:$A$283,$A3874,Summary!$P$247:$P$283),0)</f>
        <v>0</v>
      </c>
      <c r="AJ3874" s="196">
        <f>IFERROR($G3874/SUMIF($A:$A,$A3874,$G:$G)*(SUMIF(Summary!$A$247:$A$283,$A3874,Summary!$L$247:$L$283)+SUMIF(Summary!$A$297:$A$333,$A3874,Summary!$L$297:$L$333))-AI3874,0)</f>
        <v>0</v>
      </c>
      <c r="AK3874" s="196">
        <f>IFERROR($G3874/SUMIF($A:$A,$A3874,$G:$G)*SUMIF(Summary!$A$247:$A$283,$A3874,Summary!$Q$247:$Q$283),0)</f>
        <v>0</v>
      </c>
      <c r="AL3874" s="196">
        <f>IFERROR($G3874/SUMIF($A:$A,$A3874,$G:$G)*(SUMIF(Summary!$A$247:$A$283,$A3874,Summary!$L$247:$L$283)+SUMIF(Summary!$A$297:$A$333,$A3874,Summary!$L$297:$L$333))-AK3874,0)</f>
        <v>0</v>
      </c>
      <c r="AM3874" s="198"/>
      <c r="AN3874" s="196">
        <f t="shared" ca="1" si="852"/>
        <v>0</v>
      </c>
      <c r="AO3874" s="196">
        <f t="shared" ca="1" si="853"/>
        <v>0</v>
      </c>
    </row>
    <row r="3875" spans="1:41">
      <c r="A3875" s="189">
        <v>42485</v>
      </c>
      <c r="B3875" s="190">
        <v>5</v>
      </c>
      <c r="C3875" s="191" t="s">
        <v>226</v>
      </c>
      <c r="D3875" s="192">
        <f t="shared" si="840"/>
        <v>0</v>
      </c>
      <c r="E3875" s="192">
        <f t="shared" si="841"/>
        <v>0</v>
      </c>
      <c r="F3875" s="192">
        <f t="shared" si="842"/>
        <v>0</v>
      </c>
      <c r="G3875" s="193">
        <f t="shared" si="843"/>
        <v>0</v>
      </c>
      <c r="H3875" s="194">
        <v>0</v>
      </c>
      <c r="I3875" s="194">
        <v>0</v>
      </c>
      <c r="J3875" s="194">
        <v>0</v>
      </c>
      <c r="K3875" s="193">
        <f t="shared" si="844"/>
        <v>0</v>
      </c>
      <c r="L3875" s="194">
        <v>0</v>
      </c>
      <c r="M3875" s="194">
        <v>0</v>
      </c>
      <c r="N3875" s="194">
        <v>0</v>
      </c>
      <c r="O3875" s="193">
        <f t="shared" si="845"/>
        <v>0</v>
      </c>
      <c r="P3875" s="194">
        <v>0</v>
      </c>
      <c r="Q3875" s="194">
        <v>0</v>
      </c>
      <c r="R3875" s="194">
        <v>0</v>
      </c>
      <c r="S3875" s="193">
        <f t="shared" si="846"/>
        <v>0</v>
      </c>
      <c r="T3875" s="193">
        <f t="shared" si="847"/>
        <v>0</v>
      </c>
      <c r="U3875" s="193">
        <f ca="1">OFFSET('Expenditure Study'!$B$7,'Operations Support'!$C3875,'Operations Support'!$B3875)*$G3875</f>
        <v>0</v>
      </c>
      <c r="V3875" s="199">
        <f ca="1">U3875*'Expenditure Study'!$B$31</f>
        <v>0</v>
      </c>
      <c r="W3875" s="199">
        <f ca="1">IF(A3875=10298,1.51,1)*IF($B3875&lt;3,$D3875*'Expenditure Study'!$B$32*OFFSET('Expenditure Study'!$B$7,'Operations Support'!$C3875,'Operations Support'!$B3875),0)</f>
        <v>0</v>
      </c>
      <c r="X3875" s="200">
        <f ca="1">W3875*'Expenditure Study'!$B$31</f>
        <v>0</v>
      </c>
      <c r="Y3875" s="199">
        <f ca="1">U3875*'Expenditure Study'!$B$31</f>
        <v>0</v>
      </c>
      <c r="Z3875" s="200">
        <f ca="1">W3875*'Expenditure Study'!$B$31</f>
        <v>0</v>
      </c>
      <c r="AA3875" s="195">
        <f t="shared" ca="1" si="848"/>
        <v>0</v>
      </c>
      <c r="AB3875" s="195">
        <f t="shared" ca="1" si="849"/>
        <v>0</v>
      </c>
      <c r="AD3875" s="196">
        <f>IFERROR($G3875/SUMIF($A:$A,$A3875,$G:$G)*SUMIF(Summary!$A$166:$A$242,$A3875,Summary!$P$166:$P$242),0)</f>
        <v>0</v>
      </c>
      <c r="AE3875" s="197">
        <f t="shared" ca="1" si="850"/>
        <v>0</v>
      </c>
      <c r="AF3875" s="196">
        <f>IFERROR(G3875/SUMIF(A:A,A3875,G:G)*SUMIF(Summary!$A$166:$A$242,'Operations Support'!A3875,Summary!$Q$166:$Q$242),0)</f>
        <v>0</v>
      </c>
      <c r="AG3875" s="196">
        <f t="shared" ca="1" si="851"/>
        <v>0</v>
      </c>
      <c r="AI3875" s="196">
        <f>IFERROR($G3875/SUMIF($A:$A,$A3875,$G:$G)*SUMIF(Summary!$A$247:$A$283,$A3875,Summary!$P$247:$P$283),0)</f>
        <v>0</v>
      </c>
      <c r="AJ3875" s="196">
        <f>IFERROR($G3875/SUMIF($A:$A,$A3875,$G:$G)*(SUMIF(Summary!$A$247:$A$283,$A3875,Summary!$L$247:$L$283)+SUMIF(Summary!$A$297:$A$333,$A3875,Summary!$L$297:$L$333))-AI3875,0)</f>
        <v>0</v>
      </c>
      <c r="AK3875" s="196">
        <f>IFERROR($G3875/SUMIF($A:$A,$A3875,$G:$G)*SUMIF(Summary!$A$247:$A$283,$A3875,Summary!$Q$247:$Q$283),0)</f>
        <v>0</v>
      </c>
      <c r="AL3875" s="196">
        <f>IFERROR($G3875/SUMIF($A:$A,$A3875,$G:$G)*(SUMIF(Summary!$A$247:$A$283,$A3875,Summary!$L$247:$L$283)+SUMIF(Summary!$A$297:$A$333,$A3875,Summary!$L$297:$L$333))-AK3875,0)</f>
        <v>0</v>
      </c>
      <c r="AM3875" s="198"/>
      <c r="AN3875" s="196">
        <f t="shared" ca="1" si="852"/>
        <v>0</v>
      </c>
      <c r="AO3875" s="196">
        <f t="shared" ca="1" si="853"/>
        <v>0</v>
      </c>
    </row>
    <row r="3876" spans="1:41">
      <c r="A3876" s="189">
        <v>42485</v>
      </c>
      <c r="B3876" s="190">
        <v>5</v>
      </c>
      <c r="C3876" s="191" t="s">
        <v>227</v>
      </c>
      <c r="D3876" s="192">
        <f t="shared" si="840"/>
        <v>0</v>
      </c>
      <c r="E3876" s="192">
        <f t="shared" si="841"/>
        <v>0</v>
      </c>
      <c r="F3876" s="192">
        <f t="shared" si="842"/>
        <v>0</v>
      </c>
      <c r="G3876" s="193">
        <f t="shared" si="843"/>
        <v>0</v>
      </c>
      <c r="H3876" s="194">
        <v>0</v>
      </c>
      <c r="I3876" s="194">
        <v>0</v>
      </c>
      <c r="J3876" s="194">
        <v>0</v>
      </c>
      <c r="K3876" s="193">
        <f t="shared" si="844"/>
        <v>0</v>
      </c>
      <c r="L3876" s="194">
        <v>0</v>
      </c>
      <c r="M3876" s="194">
        <v>0</v>
      </c>
      <c r="N3876" s="194">
        <v>0</v>
      </c>
      <c r="O3876" s="193">
        <f t="shared" si="845"/>
        <v>0</v>
      </c>
      <c r="P3876" s="194">
        <v>0</v>
      </c>
      <c r="Q3876" s="194">
        <v>0</v>
      </c>
      <c r="R3876" s="194">
        <v>0</v>
      </c>
      <c r="S3876" s="193">
        <f t="shared" si="846"/>
        <v>0</v>
      </c>
      <c r="T3876" s="193">
        <f t="shared" si="847"/>
        <v>0</v>
      </c>
      <c r="U3876" s="193">
        <f ca="1">OFFSET('Expenditure Study'!$B$7,'Operations Support'!$C3876,'Operations Support'!$B3876)*$G3876</f>
        <v>0</v>
      </c>
      <c r="V3876" s="199">
        <f ca="1">U3876*'Expenditure Study'!$B$31</f>
        <v>0</v>
      </c>
      <c r="W3876" s="199">
        <f ca="1">IF(A3876=10298,1.51,1)*IF($B3876&lt;3,$D3876*'Expenditure Study'!$B$32*OFFSET('Expenditure Study'!$B$7,'Operations Support'!$C3876,'Operations Support'!$B3876),0)</f>
        <v>0</v>
      </c>
      <c r="X3876" s="200">
        <f ca="1">W3876*'Expenditure Study'!$B$31</f>
        <v>0</v>
      </c>
      <c r="Y3876" s="199">
        <f ca="1">U3876*'Expenditure Study'!$B$31</f>
        <v>0</v>
      </c>
      <c r="Z3876" s="200">
        <f ca="1">W3876*'Expenditure Study'!$B$31</f>
        <v>0</v>
      </c>
      <c r="AA3876" s="195">
        <f t="shared" ca="1" si="848"/>
        <v>0</v>
      </c>
      <c r="AB3876" s="195">
        <f t="shared" ca="1" si="849"/>
        <v>0</v>
      </c>
      <c r="AD3876" s="196">
        <f>IFERROR($G3876/SUMIF($A:$A,$A3876,$G:$G)*SUMIF(Summary!$A$166:$A$242,$A3876,Summary!$P$166:$P$242),0)</f>
        <v>0</v>
      </c>
      <c r="AE3876" s="197">
        <f t="shared" ca="1" si="850"/>
        <v>0</v>
      </c>
      <c r="AF3876" s="196">
        <f>IFERROR(G3876/SUMIF(A:A,A3876,G:G)*SUMIF(Summary!$A$166:$A$242,'Operations Support'!A3876,Summary!$Q$166:$Q$242),0)</f>
        <v>0</v>
      </c>
      <c r="AG3876" s="196">
        <f t="shared" ca="1" si="851"/>
        <v>0</v>
      </c>
      <c r="AI3876" s="196">
        <f>IFERROR($G3876/SUMIF($A:$A,$A3876,$G:$G)*SUMIF(Summary!$A$247:$A$283,$A3876,Summary!$P$247:$P$283),0)</f>
        <v>0</v>
      </c>
      <c r="AJ3876" s="196">
        <f>IFERROR($G3876/SUMIF($A:$A,$A3876,$G:$G)*(SUMIF(Summary!$A$247:$A$283,$A3876,Summary!$L$247:$L$283)+SUMIF(Summary!$A$297:$A$333,$A3876,Summary!$L$297:$L$333))-AI3876,0)</f>
        <v>0</v>
      </c>
      <c r="AK3876" s="196">
        <f>IFERROR($G3876/SUMIF($A:$A,$A3876,$G:$G)*SUMIF(Summary!$A$247:$A$283,$A3876,Summary!$Q$247:$Q$283),0)</f>
        <v>0</v>
      </c>
      <c r="AL3876" s="196">
        <f>IFERROR($G3876/SUMIF($A:$A,$A3876,$G:$G)*(SUMIF(Summary!$A$247:$A$283,$A3876,Summary!$L$247:$L$283)+SUMIF(Summary!$A$297:$A$333,$A3876,Summary!$L$297:$L$333))-AK3876,0)</f>
        <v>0</v>
      </c>
      <c r="AM3876" s="198"/>
      <c r="AN3876" s="196">
        <f t="shared" ca="1" si="852"/>
        <v>0</v>
      </c>
      <c r="AO3876" s="196">
        <f t="shared" ca="1" si="853"/>
        <v>0</v>
      </c>
    </row>
    <row r="3877" spans="1:41">
      <c r="A3877" s="189">
        <v>42485</v>
      </c>
      <c r="B3877" s="190">
        <v>5</v>
      </c>
      <c r="C3877" s="191" t="s">
        <v>228</v>
      </c>
      <c r="D3877" s="192">
        <f t="shared" si="840"/>
        <v>0</v>
      </c>
      <c r="E3877" s="192">
        <f t="shared" si="841"/>
        <v>0</v>
      </c>
      <c r="F3877" s="192">
        <f t="shared" si="842"/>
        <v>0</v>
      </c>
      <c r="G3877" s="193">
        <f t="shared" si="843"/>
        <v>0</v>
      </c>
      <c r="H3877" s="194">
        <v>0</v>
      </c>
      <c r="I3877" s="194">
        <v>0</v>
      </c>
      <c r="J3877" s="194">
        <v>0</v>
      </c>
      <c r="K3877" s="193">
        <f t="shared" si="844"/>
        <v>0</v>
      </c>
      <c r="L3877" s="194">
        <v>0</v>
      </c>
      <c r="M3877" s="194">
        <v>0</v>
      </c>
      <c r="N3877" s="194">
        <v>0</v>
      </c>
      <c r="O3877" s="193">
        <f t="shared" si="845"/>
        <v>0</v>
      </c>
      <c r="P3877" s="194">
        <v>0</v>
      </c>
      <c r="Q3877" s="194">
        <v>0</v>
      </c>
      <c r="R3877" s="194">
        <v>0</v>
      </c>
      <c r="S3877" s="193">
        <f t="shared" si="846"/>
        <v>0</v>
      </c>
      <c r="T3877" s="193">
        <f t="shared" si="847"/>
        <v>0</v>
      </c>
      <c r="U3877" s="193">
        <f ca="1">OFFSET('Expenditure Study'!$B$7,'Operations Support'!$C3877,'Operations Support'!$B3877)*$G3877</f>
        <v>0</v>
      </c>
      <c r="V3877" s="199">
        <f ca="1">U3877*'Expenditure Study'!$B$31</f>
        <v>0</v>
      </c>
      <c r="W3877" s="199">
        <f ca="1">IF(A3877=10298,1.51,1)*IF($B3877&lt;3,$D3877*'Expenditure Study'!$B$32*OFFSET('Expenditure Study'!$B$7,'Operations Support'!$C3877,'Operations Support'!$B3877),0)</f>
        <v>0</v>
      </c>
      <c r="X3877" s="200">
        <f ca="1">W3877*'Expenditure Study'!$B$31</f>
        <v>0</v>
      </c>
      <c r="Y3877" s="199">
        <f ca="1">U3877*'Expenditure Study'!$B$31</f>
        <v>0</v>
      </c>
      <c r="Z3877" s="200">
        <f ca="1">W3877*'Expenditure Study'!$B$31</f>
        <v>0</v>
      </c>
      <c r="AA3877" s="195">
        <f t="shared" ca="1" si="848"/>
        <v>0</v>
      </c>
      <c r="AB3877" s="195">
        <f t="shared" ca="1" si="849"/>
        <v>0</v>
      </c>
      <c r="AD3877" s="196">
        <f>IFERROR($G3877/SUMIF($A:$A,$A3877,$G:$G)*SUMIF(Summary!$A$166:$A$242,$A3877,Summary!$P$166:$P$242),0)</f>
        <v>0</v>
      </c>
      <c r="AE3877" s="197">
        <f t="shared" ca="1" si="850"/>
        <v>0</v>
      </c>
      <c r="AF3877" s="196">
        <f>IFERROR(G3877/SUMIF(A:A,A3877,G:G)*SUMIF(Summary!$A$166:$A$242,'Operations Support'!A3877,Summary!$Q$166:$Q$242),0)</f>
        <v>0</v>
      </c>
      <c r="AG3877" s="196">
        <f t="shared" ca="1" si="851"/>
        <v>0</v>
      </c>
      <c r="AI3877" s="196">
        <f>IFERROR($G3877/SUMIF($A:$A,$A3877,$G:$G)*SUMIF(Summary!$A$247:$A$283,$A3877,Summary!$P$247:$P$283),0)</f>
        <v>0</v>
      </c>
      <c r="AJ3877" s="196">
        <f>IFERROR($G3877/SUMIF($A:$A,$A3877,$G:$G)*(SUMIF(Summary!$A$247:$A$283,$A3877,Summary!$L$247:$L$283)+SUMIF(Summary!$A$297:$A$333,$A3877,Summary!$L$297:$L$333))-AI3877,0)</f>
        <v>0</v>
      </c>
      <c r="AK3877" s="196">
        <f>IFERROR($G3877/SUMIF($A:$A,$A3877,$G:$G)*SUMIF(Summary!$A$247:$A$283,$A3877,Summary!$Q$247:$Q$283),0)</f>
        <v>0</v>
      </c>
      <c r="AL3877" s="196">
        <f>IFERROR($G3877/SUMIF($A:$A,$A3877,$G:$G)*(SUMIF(Summary!$A$247:$A$283,$A3877,Summary!$L$247:$L$283)+SUMIF(Summary!$A$297:$A$333,$A3877,Summary!$L$297:$L$333))-AK3877,0)</f>
        <v>0</v>
      </c>
      <c r="AM3877" s="198"/>
      <c r="AN3877" s="196">
        <f t="shared" ca="1" si="852"/>
        <v>0</v>
      </c>
      <c r="AO3877" s="196">
        <f t="shared" ca="1" si="853"/>
        <v>0</v>
      </c>
    </row>
    <row r="3878" spans="1:41">
      <c r="A3878" s="189">
        <v>42485</v>
      </c>
      <c r="B3878" s="190">
        <v>5</v>
      </c>
      <c r="C3878" s="191" t="s">
        <v>229</v>
      </c>
      <c r="D3878" s="192">
        <f t="shared" si="840"/>
        <v>0</v>
      </c>
      <c r="E3878" s="192">
        <f t="shared" si="841"/>
        <v>0</v>
      </c>
      <c r="F3878" s="192">
        <f t="shared" si="842"/>
        <v>0</v>
      </c>
      <c r="G3878" s="193">
        <f t="shared" si="843"/>
        <v>0</v>
      </c>
      <c r="H3878" s="194">
        <v>0</v>
      </c>
      <c r="I3878" s="194">
        <v>0</v>
      </c>
      <c r="J3878" s="194">
        <v>0</v>
      </c>
      <c r="K3878" s="193">
        <f t="shared" si="844"/>
        <v>0</v>
      </c>
      <c r="L3878" s="194">
        <v>0</v>
      </c>
      <c r="M3878" s="194">
        <v>0</v>
      </c>
      <c r="N3878" s="194">
        <v>0</v>
      </c>
      <c r="O3878" s="193">
        <f t="shared" si="845"/>
        <v>0</v>
      </c>
      <c r="P3878" s="194">
        <v>0</v>
      </c>
      <c r="Q3878" s="194">
        <v>0</v>
      </c>
      <c r="R3878" s="194">
        <v>0</v>
      </c>
      <c r="S3878" s="193">
        <f t="shared" si="846"/>
        <v>0</v>
      </c>
      <c r="T3878" s="193">
        <f t="shared" si="847"/>
        <v>0</v>
      </c>
      <c r="U3878" s="193">
        <f ca="1">OFFSET('Expenditure Study'!$B$7,'Operations Support'!$C3878,'Operations Support'!$B3878)*$G3878</f>
        <v>0</v>
      </c>
      <c r="V3878" s="199">
        <f ca="1">U3878*'Expenditure Study'!$B$31</f>
        <v>0</v>
      </c>
      <c r="W3878" s="199">
        <f ca="1">IF(A3878=10298,1.51,1)*IF($B3878&lt;3,$D3878*'Expenditure Study'!$B$32*OFFSET('Expenditure Study'!$B$7,'Operations Support'!$C3878,'Operations Support'!$B3878),0)</f>
        <v>0</v>
      </c>
      <c r="X3878" s="200">
        <f ca="1">W3878*'Expenditure Study'!$B$31</f>
        <v>0</v>
      </c>
      <c r="Y3878" s="199">
        <f ca="1">U3878*'Expenditure Study'!$B$31</f>
        <v>0</v>
      </c>
      <c r="Z3878" s="200">
        <f ca="1">W3878*'Expenditure Study'!$B$31</f>
        <v>0</v>
      </c>
      <c r="AA3878" s="195">
        <f t="shared" ca="1" si="848"/>
        <v>0</v>
      </c>
      <c r="AB3878" s="195">
        <f t="shared" ca="1" si="849"/>
        <v>0</v>
      </c>
      <c r="AD3878" s="196">
        <f>IFERROR($G3878/SUMIF($A:$A,$A3878,$G:$G)*SUMIF(Summary!$A$166:$A$242,$A3878,Summary!$P$166:$P$242),0)</f>
        <v>0</v>
      </c>
      <c r="AE3878" s="197">
        <f t="shared" ca="1" si="850"/>
        <v>0</v>
      </c>
      <c r="AF3878" s="196">
        <f>IFERROR(G3878/SUMIF(A:A,A3878,G:G)*SUMIF(Summary!$A$166:$A$242,'Operations Support'!A3878,Summary!$Q$166:$Q$242),0)</f>
        <v>0</v>
      </c>
      <c r="AG3878" s="196">
        <f t="shared" ca="1" si="851"/>
        <v>0</v>
      </c>
      <c r="AI3878" s="196">
        <f>IFERROR($G3878/SUMIF($A:$A,$A3878,$G:$G)*SUMIF(Summary!$A$247:$A$283,$A3878,Summary!$P$247:$P$283),0)</f>
        <v>0</v>
      </c>
      <c r="AJ3878" s="196">
        <f>IFERROR($G3878/SUMIF($A:$A,$A3878,$G:$G)*(SUMIF(Summary!$A$247:$A$283,$A3878,Summary!$L$247:$L$283)+SUMIF(Summary!$A$297:$A$333,$A3878,Summary!$L$297:$L$333))-AI3878,0)</f>
        <v>0</v>
      </c>
      <c r="AK3878" s="196">
        <f>IFERROR($G3878/SUMIF($A:$A,$A3878,$G:$G)*SUMIF(Summary!$A$247:$A$283,$A3878,Summary!$Q$247:$Q$283),0)</f>
        <v>0</v>
      </c>
      <c r="AL3878" s="196">
        <f>IFERROR($G3878/SUMIF($A:$A,$A3878,$G:$G)*(SUMIF(Summary!$A$247:$A$283,$A3878,Summary!$L$247:$L$283)+SUMIF(Summary!$A$297:$A$333,$A3878,Summary!$L$297:$L$333))-AK3878,0)</f>
        <v>0</v>
      </c>
      <c r="AM3878" s="198"/>
      <c r="AN3878" s="196">
        <f t="shared" ca="1" si="852"/>
        <v>0</v>
      </c>
      <c r="AO3878" s="196">
        <f t="shared" ca="1" si="853"/>
        <v>0</v>
      </c>
    </row>
    <row r="3879" spans="1:41">
      <c r="A3879" s="189">
        <v>42485</v>
      </c>
      <c r="B3879" s="190">
        <v>5</v>
      </c>
      <c r="C3879" s="191" t="s">
        <v>230</v>
      </c>
      <c r="D3879" s="192">
        <f t="shared" si="840"/>
        <v>0</v>
      </c>
      <c r="E3879" s="192">
        <f t="shared" si="841"/>
        <v>0</v>
      </c>
      <c r="F3879" s="192">
        <f t="shared" si="842"/>
        <v>0</v>
      </c>
      <c r="G3879" s="193">
        <f t="shared" si="843"/>
        <v>0</v>
      </c>
      <c r="H3879" s="194">
        <v>0</v>
      </c>
      <c r="I3879" s="194">
        <v>0</v>
      </c>
      <c r="J3879" s="194">
        <v>0</v>
      </c>
      <c r="K3879" s="193">
        <f t="shared" si="844"/>
        <v>0</v>
      </c>
      <c r="L3879" s="194">
        <v>0</v>
      </c>
      <c r="M3879" s="194">
        <v>0</v>
      </c>
      <c r="N3879" s="194">
        <v>0</v>
      </c>
      <c r="O3879" s="193">
        <f t="shared" si="845"/>
        <v>0</v>
      </c>
      <c r="P3879" s="194">
        <v>0</v>
      </c>
      <c r="Q3879" s="194">
        <v>0</v>
      </c>
      <c r="R3879" s="194">
        <v>0</v>
      </c>
      <c r="S3879" s="193">
        <f t="shared" si="846"/>
        <v>0</v>
      </c>
      <c r="T3879" s="193">
        <f t="shared" si="847"/>
        <v>0</v>
      </c>
      <c r="U3879" s="193">
        <f ca="1">OFFSET('Expenditure Study'!$B$7,'Operations Support'!$C3879,'Operations Support'!$B3879)*$G3879</f>
        <v>0</v>
      </c>
      <c r="V3879" s="199">
        <f ca="1">U3879*'Expenditure Study'!$B$31</f>
        <v>0</v>
      </c>
      <c r="W3879" s="199">
        <f ca="1">IF(A3879=10298,1.51,1)*IF($B3879&lt;3,$D3879*'Expenditure Study'!$B$32*OFFSET('Expenditure Study'!$B$7,'Operations Support'!$C3879,'Operations Support'!$B3879),0)</f>
        <v>0</v>
      </c>
      <c r="X3879" s="200">
        <f ca="1">W3879*'Expenditure Study'!$B$31</f>
        <v>0</v>
      </c>
      <c r="Y3879" s="199">
        <f ca="1">U3879*'Expenditure Study'!$B$31</f>
        <v>0</v>
      </c>
      <c r="Z3879" s="200">
        <f ca="1">W3879*'Expenditure Study'!$B$31</f>
        <v>0</v>
      </c>
      <c r="AA3879" s="195">
        <f t="shared" ca="1" si="848"/>
        <v>0</v>
      </c>
      <c r="AB3879" s="195">
        <f t="shared" ca="1" si="849"/>
        <v>0</v>
      </c>
      <c r="AD3879" s="196">
        <f>IFERROR($G3879/SUMIF($A:$A,$A3879,$G:$G)*SUMIF(Summary!$A$166:$A$242,$A3879,Summary!$P$166:$P$242),0)</f>
        <v>0</v>
      </c>
      <c r="AE3879" s="197">
        <f t="shared" ca="1" si="850"/>
        <v>0</v>
      </c>
      <c r="AF3879" s="196">
        <f>IFERROR(G3879/SUMIF(A:A,A3879,G:G)*SUMIF(Summary!$A$166:$A$242,'Operations Support'!A3879,Summary!$Q$166:$Q$242),0)</f>
        <v>0</v>
      </c>
      <c r="AG3879" s="196">
        <f t="shared" ca="1" si="851"/>
        <v>0</v>
      </c>
      <c r="AI3879" s="196">
        <f>IFERROR($G3879/SUMIF($A:$A,$A3879,$G:$G)*SUMIF(Summary!$A$247:$A$283,$A3879,Summary!$P$247:$P$283),0)</f>
        <v>0</v>
      </c>
      <c r="AJ3879" s="196">
        <f>IFERROR($G3879/SUMIF($A:$A,$A3879,$G:$G)*(SUMIF(Summary!$A$247:$A$283,$A3879,Summary!$L$247:$L$283)+SUMIF(Summary!$A$297:$A$333,$A3879,Summary!$L$297:$L$333))-AI3879,0)</f>
        <v>0</v>
      </c>
      <c r="AK3879" s="196">
        <f>IFERROR($G3879/SUMIF($A:$A,$A3879,$G:$G)*SUMIF(Summary!$A$247:$A$283,$A3879,Summary!$Q$247:$Q$283),0)</f>
        <v>0</v>
      </c>
      <c r="AL3879" s="196">
        <f>IFERROR($G3879/SUMIF($A:$A,$A3879,$G:$G)*(SUMIF(Summary!$A$247:$A$283,$A3879,Summary!$L$247:$L$283)+SUMIF(Summary!$A$297:$A$333,$A3879,Summary!$L$297:$L$333))-AK3879,0)</f>
        <v>0</v>
      </c>
      <c r="AM3879" s="198"/>
      <c r="AN3879" s="196">
        <f t="shared" ca="1" si="852"/>
        <v>0</v>
      </c>
      <c r="AO3879" s="196">
        <f t="shared" ca="1" si="853"/>
        <v>0</v>
      </c>
    </row>
    <row r="3880" spans="1:41">
      <c r="A3880" s="189">
        <v>42485</v>
      </c>
      <c r="B3880" s="190">
        <v>5</v>
      </c>
      <c r="C3880" s="191" t="s">
        <v>231</v>
      </c>
      <c r="D3880" s="192">
        <f t="shared" si="840"/>
        <v>0</v>
      </c>
      <c r="E3880" s="192">
        <f t="shared" si="841"/>
        <v>0</v>
      </c>
      <c r="F3880" s="192">
        <f t="shared" si="842"/>
        <v>0</v>
      </c>
      <c r="G3880" s="193">
        <f t="shared" si="843"/>
        <v>0</v>
      </c>
      <c r="H3880" s="194">
        <v>0</v>
      </c>
      <c r="I3880" s="194">
        <v>0</v>
      </c>
      <c r="J3880" s="194">
        <v>0</v>
      </c>
      <c r="K3880" s="193">
        <f t="shared" si="844"/>
        <v>0</v>
      </c>
      <c r="L3880" s="194">
        <v>0</v>
      </c>
      <c r="M3880" s="194">
        <v>0</v>
      </c>
      <c r="N3880" s="194">
        <v>0</v>
      </c>
      <c r="O3880" s="193">
        <f t="shared" si="845"/>
        <v>0</v>
      </c>
      <c r="P3880" s="194">
        <v>0</v>
      </c>
      <c r="Q3880" s="194">
        <v>0</v>
      </c>
      <c r="R3880" s="194">
        <v>0</v>
      </c>
      <c r="S3880" s="193">
        <f t="shared" si="846"/>
        <v>0</v>
      </c>
      <c r="T3880" s="193">
        <f t="shared" si="847"/>
        <v>0</v>
      </c>
      <c r="U3880" s="193">
        <f ca="1">OFFSET('Expenditure Study'!$B$7,'Operations Support'!$C3880,'Operations Support'!$B3880)*$G3880</f>
        <v>0</v>
      </c>
      <c r="V3880" s="199">
        <f ca="1">U3880*'Expenditure Study'!$B$31</f>
        <v>0</v>
      </c>
      <c r="W3880" s="199">
        <f ca="1">IF(A3880=10298,1.51,1)*IF($B3880&lt;3,$D3880*'Expenditure Study'!$B$32*OFFSET('Expenditure Study'!$B$7,'Operations Support'!$C3880,'Operations Support'!$B3880),0)</f>
        <v>0</v>
      </c>
      <c r="X3880" s="200">
        <f ca="1">W3880*'Expenditure Study'!$B$31</f>
        <v>0</v>
      </c>
      <c r="Y3880" s="199">
        <f ca="1">U3880*'Expenditure Study'!$B$31</f>
        <v>0</v>
      </c>
      <c r="Z3880" s="200">
        <f ca="1">W3880*'Expenditure Study'!$B$31</f>
        <v>0</v>
      </c>
      <c r="AA3880" s="195">
        <f t="shared" ca="1" si="848"/>
        <v>0</v>
      </c>
      <c r="AB3880" s="195">
        <f t="shared" ca="1" si="849"/>
        <v>0</v>
      </c>
      <c r="AD3880" s="196">
        <f>IFERROR($G3880/SUMIF($A:$A,$A3880,$G:$G)*SUMIF(Summary!$A$166:$A$242,$A3880,Summary!$P$166:$P$242),0)</f>
        <v>0</v>
      </c>
      <c r="AE3880" s="197">
        <f t="shared" ca="1" si="850"/>
        <v>0</v>
      </c>
      <c r="AF3880" s="196">
        <f>IFERROR(G3880/SUMIF(A:A,A3880,G:G)*SUMIF(Summary!$A$166:$A$242,'Operations Support'!A3880,Summary!$Q$166:$Q$242),0)</f>
        <v>0</v>
      </c>
      <c r="AG3880" s="196">
        <f t="shared" ca="1" si="851"/>
        <v>0</v>
      </c>
      <c r="AI3880" s="196">
        <f>IFERROR($G3880/SUMIF($A:$A,$A3880,$G:$G)*SUMIF(Summary!$A$247:$A$283,$A3880,Summary!$P$247:$P$283),0)</f>
        <v>0</v>
      </c>
      <c r="AJ3880" s="196">
        <f>IFERROR($G3880/SUMIF($A:$A,$A3880,$G:$G)*(SUMIF(Summary!$A$247:$A$283,$A3880,Summary!$L$247:$L$283)+SUMIF(Summary!$A$297:$A$333,$A3880,Summary!$L$297:$L$333))-AI3880,0)</f>
        <v>0</v>
      </c>
      <c r="AK3880" s="196">
        <f>IFERROR($G3880/SUMIF($A:$A,$A3880,$G:$G)*SUMIF(Summary!$A$247:$A$283,$A3880,Summary!$Q$247:$Q$283),0)</f>
        <v>0</v>
      </c>
      <c r="AL3880" s="196">
        <f>IFERROR($G3880/SUMIF($A:$A,$A3880,$G:$G)*(SUMIF(Summary!$A$247:$A$283,$A3880,Summary!$L$247:$L$283)+SUMIF(Summary!$A$297:$A$333,$A3880,Summary!$L$297:$L$333))-AK3880,0)</f>
        <v>0</v>
      </c>
      <c r="AM3880" s="198"/>
      <c r="AN3880" s="196">
        <f t="shared" ca="1" si="852"/>
        <v>0</v>
      </c>
      <c r="AO3880" s="196">
        <f t="shared" ca="1" si="853"/>
        <v>0</v>
      </c>
    </row>
    <row r="3881" spans="1:41">
      <c r="A3881" s="189">
        <v>42485</v>
      </c>
      <c r="B3881" s="190">
        <v>5</v>
      </c>
      <c r="C3881" s="191" t="s">
        <v>232</v>
      </c>
      <c r="D3881" s="192">
        <f t="shared" si="840"/>
        <v>0</v>
      </c>
      <c r="E3881" s="192">
        <f t="shared" si="841"/>
        <v>0</v>
      </c>
      <c r="F3881" s="192">
        <f t="shared" si="842"/>
        <v>0</v>
      </c>
      <c r="G3881" s="193">
        <f t="shared" si="843"/>
        <v>0</v>
      </c>
      <c r="H3881" s="194">
        <v>0</v>
      </c>
      <c r="I3881" s="194">
        <v>0</v>
      </c>
      <c r="J3881" s="194">
        <v>0</v>
      </c>
      <c r="K3881" s="193">
        <f t="shared" si="844"/>
        <v>0</v>
      </c>
      <c r="L3881" s="194">
        <v>0</v>
      </c>
      <c r="M3881" s="194">
        <v>0</v>
      </c>
      <c r="N3881" s="194">
        <v>0</v>
      </c>
      <c r="O3881" s="193">
        <f t="shared" si="845"/>
        <v>0</v>
      </c>
      <c r="P3881" s="194">
        <v>0</v>
      </c>
      <c r="Q3881" s="194">
        <v>0</v>
      </c>
      <c r="R3881" s="194">
        <v>0</v>
      </c>
      <c r="S3881" s="193">
        <f t="shared" si="846"/>
        <v>0</v>
      </c>
      <c r="T3881" s="193">
        <f t="shared" si="847"/>
        <v>0</v>
      </c>
      <c r="U3881" s="193">
        <f ca="1">OFFSET('Expenditure Study'!$B$7,'Operations Support'!$C3881,'Operations Support'!$B3881)*$G3881</f>
        <v>0</v>
      </c>
      <c r="V3881" s="199">
        <f ca="1">U3881*'Expenditure Study'!$B$31</f>
        <v>0</v>
      </c>
      <c r="W3881" s="199">
        <f ca="1">IF(A3881=10298,1.51,1)*IF($B3881&lt;3,$D3881*'Expenditure Study'!$B$32*OFFSET('Expenditure Study'!$B$7,'Operations Support'!$C3881,'Operations Support'!$B3881),0)</f>
        <v>0</v>
      </c>
      <c r="X3881" s="200">
        <f ca="1">W3881*'Expenditure Study'!$B$31</f>
        <v>0</v>
      </c>
      <c r="Y3881" s="199">
        <f ca="1">U3881*'Expenditure Study'!$B$31</f>
        <v>0</v>
      </c>
      <c r="Z3881" s="200">
        <f ca="1">W3881*'Expenditure Study'!$B$31</f>
        <v>0</v>
      </c>
      <c r="AA3881" s="195">
        <f t="shared" ca="1" si="848"/>
        <v>0</v>
      </c>
      <c r="AB3881" s="195">
        <f t="shared" ca="1" si="849"/>
        <v>0</v>
      </c>
      <c r="AD3881" s="196">
        <f>IFERROR($G3881/SUMIF($A:$A,$A3881,$G:$G)*SUMIF(Summary!$A$166:$A$242,$A3881,Summary!$P$166:$P$242),0)</f>
        <v>0</v>
      </c>
      <c r="AE3881" s="197">
        <f t="shared" ca="1" si="850"/>
        <v>0</v>
      </c>
      <c r="AF3881" s="196">
        <f>IFERROR(G3881/SUMIF(A:A,A3881,G:G)*SUMIF(Summary!$A$166:$A$242,'Operations Support'!A3881,Summary!$Q$166:$Q$242),0)</f>
        <v>0</v>
      </c>
      <c r="AG3881" s="196">
        <f t="shared" ca="1" si="851"/>
        <v>0</v>
      </c>
      <c r="AI3881" s="196">
        <f>IFERROR($G3881/SUMIF($A:$A,$A3881,$G:$G)*SUMIF(Summary!$A$247:$A$283,$A3881,Summary!$P$247:$P$283),0)</f>
        <v>0</v>
      </c>
      <c r="AJ3881" s="196">
        <f>IFERROR($G3881/SUMIF($A:$A,$A3881,$G:$G)*(SUMIF(Summary!$A$247:$A$283,$A3881,Summary!$L$247:$L$283)+SUMIF(Summary!$A$297:$A$333,$A3881,Summary!$L$297:$L$333))-AI3881,0)</f>
        <v>0</v>
      </c>
      <c r="AK3881" s="196">
        <f>IFERROR($G3881/SUMIF($A:$A,$A3881,$G:$G)*SUMIF(Summary!$A$247:$A$283,$A3881,Summary!$Q$247:$Q$283),0)</f>
        <v>0</v>
      </c>
      <c r="AL3881" s="196">
        <f>IFERROR($G3881/SUMIF($A:$A,$A3881,$G:$G)*(SUMIF(Summary!$A$247:$A$283,$A3881,Summary!$L$247:$L$283)+SUMIF(Summary!$A$297:$A$333,$A3881,Summary!$L$297:$L$333))-AK3881,0)</f>
        <v>0</v>
      </c>
      <c r="AM3881" s="198"/>
      <c r="AN3881" s="196">
        <f t="shared" ca="1" si="852"/>
        <v>0</v>
      </c>
      <c r="AO3881" s="196">
        <f t="shared" ca="1" si="853"/>
        <v>0</v>
      </c>
    </row>
    <row r="3882" spans="1:41">
      <c r="A3882" s="189">
        <v>42485</v>
      </c>
      <c r="B3882" s="190">
        <v>5</v>
      </c>
      <c r="C3882" s="191" t="s">
        <v>233</v>
      </c>
      <c r="D3882" s="192">
        <f t="shared" si="840"/>
        <v>0</v>
      </c>
      <c r="E3882" s="192">
        <f t="shared" si="841"/>
        <v>0</v>
      </c>
      <c r="F3882" s="192">
        <f t="shared" si="842"/>
        <v>0</v>
      </c>
      <c r="G3882" s="193">
        <f t="shared" si="843"/>
        <v>0</v>
      </c>
      <c r="H3882" s="194">
        <v>0</v>
      </c>
      <c r="I3882" s="194">
        <v>0</v>
      </c>
      <c r="J3882" s="194">
        <v>0</v>
      </c>
      <c r="K3882" s="193">
        <f t="shared" si="844"/>
        <v>0</v>
      </c>
      <c r="L3882" s="194">
        <v>0</v>
      </c>
      <c r="M3882" s="194">
        <v>0</v>
      </c>
      <c r="N3882" s="194">
        <v>0</v>
      </c>
      <c r="O3882" s="193">
        <f t="shared" si="845"/>
        <v>0</v>
      </c>
      <c r="P3882" s="194">
        <v>0</v>
      </c>
      <c r="Q3882" s="194">
        <v>0</v>
      </c>
      <c r="R3882" s="194">
        <v>0</v>
      </c>
      <c r="S3882" s="193">
        <f t="shared" si="846"/>
        <v>0</v>
      </c>
      <c r="T3882" s="193">
        <f t="shared" si="847"/>
        <v>0</v>
      </c>
      <c r="U3882" s="193">
        <f ca="1">OFFSET('Expenditure Study'!$B$7,'Operations Support'!$C3882,'Operations Support'!$B3882)*$G3882</f>
        <v>0</v>
      </c>
      <c r="V3882" s="199">
        <f ca="1">U3882*'Expenditure Study'!$B$31</f>
        <v>0</v>
      </c>
      <c r="W3882" s="199">
        <f ca="1">IF(A3882=10298,1.51,1)*IF($B3882&lt;3,$D3882*'Expenditure Study'!$B$32*OFFSET('Expenditure Study'!$B$7,'Operations Support'!$C3882,'Operations Support'!$B3882),0)</f>
        <v>0</v>
      </c>
      <c r="X3882" s="200">
        <f ca="1">W3882*'Expenditure Study'!$B$31</f>
        <v>0</v>
      </c>
      <c r="Y3882" s="199">
        <f ca="1">U3882*'Expenditure Study'!$B$31</f>
        <v>0</v>
      </c>
      <c r="Z3882" s="200">
        <f ca="1">W3882*'Expenditure Study'!$B$31</f>
        <v>0</v>
      </c>
      <c r="AA3882" s="195">
        <f t="shared" ca="1" si="848"/>
        <v>0</v>
      </c>
      <c r="AB3882" s="195">
        <f t="shared" ca="1" si="849"/>
        <v>0</v>
      </c>
      <c r="AD3882" s="196">
        <f>IFERROR($G3882/SUMIF($A:$A,$A3882,$G:$G)*SUMIF(Summary!$A$166:$A$242,$A3882,Summary!$P$166:$P$242),0)</f>
        <v>0</v>
      </c>
      <c r="AE3882" s="197">
        <f t="shared" ca="1" si="850"/>
        <v>0</v>
      </c>
      <c r="AF3882" s="196">
        <f>IFERROR(G3882/SUMIF(A:A,A3882,G:G)*SUMIF(Summary!$A$166:$A$242,'Operations Support'!A3882,Summary!$Q$166:$Q$242),0)</f>
        <v>0</v>
      </c>
      <c r="AG3882" s="196">
        <f t="shared" ca="1" si="851"/>
        <v>0</v>
      </c>
      <c r="AI3882" s="196">
        <f>IFERROR($G3882/SUMIF($A:$A,$A3882,$G:$G)*SUMIF(Summary!$A$247:$A$283,$A3882,Summary!$P$247:$P$283),0)</f>
        <v>0</v>
      </c>
      <c r="AJ3882" s="196">
        <f>IFERROR($G3882/SUMIF($A:$A,$A3882,$G:$G)*(SUMIF(Summary!$A$247:$A$283,$A3882,Summary!$L$247:$L$283)+SUMIF(Summary!$A$297:$A$333,$A3882,Summary!$L$297:$L$333))-AI3882,0)</f>
        <v>0</v>
      </c>
      <c r="AK3882" s="196">
        <f>IFERROR($G3882/SUMIF($A:$A,$A3882,$G:$G)*SUMIF(Summary!$A$247:$A$283,$A3882,Summary!$Q$247:$Q$283),0)</f>
        <v>0</v>
      </c>
      <c r="AL3882" s="196">
        <f>IFERROR($G3882/SUMIF($A:$A,$A3882,$G:$G)*(SUMIF(Summary!$A$247:$A$283,$A3882,Summary!$L$247:$L$283)+SUMIF(Summary!$A$297:$A$333,$A3882,Summary!$L$297:$L$333))-AK3882,0)</f>
        <v>0</v>
      </c>
      <c r="AM3882" s="198"/>
      <c r="AN3882" s="196">
        <f t="shared" ca="1" si="852"/>
        <v>0</v>
      </c>
      <c r="AO3882" s="196">
        <f t="shared" ca="1" si="853"/>
        <v>0</v>
      </c>
    </row>
    <row r="3883" spans="1:41">
      <c r="A3883" s="189">
        <v>42485</v>
      </c>
      <c r="B3883" s="190">
        <v>5</v>
      </c>
      <c r="C3883" s="191" t="s">
        <v>234</v>
      </c>
      <c r="D3883" s="192">
        <f t="shared" si="840"/>
        <v>0</v>
      </c>
      <c r="E3883" s="192">
        <f t="shared" si="841"/>
        <v>0</v>
      </c>
      <c r="F3883" s="192">
        <f t="shared" si="842"/>
        <v>0</v>
      </c>
      <c r="G3883" s="193">
        <f t="shared" si="843"/>
        <v>0</v>
      </c>
      <c r="H3883" s="194">
        <v>0</v>
      </c>
      <c r="I3883" s="194">
        <v>0</v>
      </c>
      <c r="J3883" s="194">
        <v>0</v>
      </c>
      <c r="K3883" s="193">
        <f t="shared" si="844"/>
        <v>0</v>
      </c>
      <c r="L3883" s="194">
        <v>0</v>
      </c>
      <c r="M3883" s="194">
        <v>0</v>
      </c>
      <c r="N3883" s="194">
        <v>0</v>
      </c>
      <c r="O3883" s="193">
        <f t="shared" si="845"/>
        <v>0</v>
      </c>
      <c r="P3883" s="194">
        <v>0</v>
      </c>
      <c r="Q3883" s="194">
        <v>0</v>
      </c>
      <c r="R3883" s="194">
        <v>0</v>
      </c>
      <c r="S3883" s="193">
        <f t="shared" si="846"/>
        <v>0</v>
      </c>
      <c r="T3883" s="193">
        <f t="shared" si="847"/>
        <v>0</v>
      </c>
      <c r="U3883" s="193">
        <f ca="1">OFFSET('Expenditure Study'!$B$7,'Operations Support'!$C3883,'Operations Support'!$B3883)*$G3883</f>
        <v>0</v>
      </c>
      <c r="V3883" s="199">
        <f ca="1">U3883*'Expenditure Study'!$B$31</f>
        <v>0</v>
      </c>
      <c r="W3883" s="199">
        <f ca="1">IF(A3883=10298,1.51,1)*IF($B3883&lt;3,$D3883*'Expenditure Study'!$B$32*OFFSET('Expenditure Study'!$B$7,'Operations Support'!$C3883,'Operations Support'!$B3883),0)</f>
        <v>0</v>
      </c>
      <c r="X3883" s="200">
        <f ca="1">W3883*'Expenditure Study'!$B$31</f>
        <v>0</v>
      </c>
      <c r="Y3883" s="199">
        <f ca="1">U3883*'Expenditure Study'!$B$31</f>
        <v>0</v>
      </c>
      <c r="Z3883" s="200">
        <f ca="1">W3883*'Expenditure Study'!$B$31</f>
        <v>0</v>
      </c>
      <c r="AA3883" s="195">
        <f t="shared" ca="1" si="848"/>
        <v>0</v>
      </c>
      <c r="AB3883" s="195">
        <f t="shared" ca="1" si="849"/>
        <v>0</v>
      </c>
      <c r="AD3883" s="196">
        <f>IFERROR($G3883/SUMIF($A:$A,$A3883,$G:$G)*SUMIF(Summary!$A$166:$A$242,$A3883,Summary!$P$166:$P$242),0)</f>
        <v>0</v>
      </c>
      <c r="AE3883" s="197">
        <f t="shared" ca="1" si="850"/>
        <v>0</v>
      </c>
      <c r="AF3883" s="196">
        <f>IFERROR(G3883/SUMIF(A:A,A3883,G:G)*SUMIF(Summary!$A$166:$A$242,'Operations Support'!A3883,Summary!$Q$166:$Q$242),0)</f>
        <v>0</v>
      </c>
      <c r="AG3883" s="196">
        <f t="shared" ca="1" si="851"/>
        <v>0</v>
      </c>
      <c r="AI3883" s="196">
        <f>IFERROR($G3883/SUMIF($A:$A,$A3883,$G:$G)*SUMIF(Summary!$A$247:$A$283,$A3883,Summary!$P$247:$P$283),0)</f>
        <v>0</v>
      </c>
      <c r="AJ3883" s="196">
        <f>IFERROR($G3883/SUMIF($A:$A,$A3883,$G:$G)*(SUMIF(Summary!$A$247:$A$283,$A3883,Summary!$L$247:$L$283)+SUMIF(Summary!$A$297:$A$333,$A3883,Summary!$L$297:$L$333))-AI3883,0)</f>
        <v>0</v>
      </c>
      <c r="AK3883" s="196">
        <f>IFERROR($G3883/SUMIF($A:$A,$A3883,$G:$G)*SUMIF(Summary!$A$247:$A$283,$A3883,Summary!$Q$247:$Q$283),0)</f>
        <v>0</v>
      </c>
      <c r="AL3883" s="196">
        <f>IFERROR($G3883/SUMIF($A:$A,$A3883,$G:$G)*(SUMIF(Summary!$A$247:$A$283,$A3883,Summary!$L$247:$L$283)+SUMIF(Summary!$A$297:$A$333,$A3883,Summary!$L$297:$L$333))-AK3883,0)</f>
        <v>0</v>
      </c>
      <c r="AM3883" s="198"/>
      <c r="AN3883" s="196">
        <f t="shared" ca="1" si="852"/>
        <v>0</v>
      </c>
      <c r="AO3883" s="196">
        <f t="shared" ca="1" si="853"/>
        <v>0</v>
      </c>
    </row>
    <row r="3884" spans="1:41">
      <c r="A3884" s="189">
        <v>42485</v>
      </c>
      <c r="B3884" s="190">
        <v>5</v>
      </c>
      <c r="C3884" s="191" t="s">
        <v>235</v>
      </c>
      <c r="D3884" s="192">
        <f t="shared" si="840"/>
        <v>0</v>
      </c>
      <c r="E3884" s="192">
        <f t="shared" si="841"/>
        <v>0</v>
      </c>
      <c r="F3884" s="192">
        <f t="shared" si="842"/>
        <v>0</v>
      </c>
      <c r="G3884" s="193">
        <f t="shared" si="843"/>
        <v>0</v>
      </c>
      <c r="H3884" s="194">
        <v>0</v>
      </c>
      <c r="I3884" s="194">
        <v>0</v>
      </c>
      <c r="J3884" s="194">
        <v>0</v>
      </c>
      <c r="K3884" s="193">
        <f t="shared" si="844"/>
        <v>0</v>
      </c>
      <c r="L3884" s="194">
        <v>0</v>
      </c>
      <c r="M3884" s="194">
        <v>0</v>
      </c>
      <c r="N3884" s="194">
        <v>0</v>
      </c>
      <c r="O3884" s="193">
        <f t="shared" si="845"/>
        <v>0</v>
      </c>
      <c r="P3884" s="194">
        <v>0</v>
      </c>
      <c r="Q3884" s="194">
        <v>0</v>
      </c>
      <c r="R3884" s="194">
        <v>0</v>
      </c>
      <c r="S3884" s="193">
        <f t="shared" si="846"/>
        <v>0</v>
      </c>
      <c r="T3884" s="193">
        <f t="shared" si="847"/>
        <v>0</v>
      </c>
      <c r="U3884" s="193">
        <f ca="1">OFFSET('Expenditure Study'!$B$7,'Operations Support'!$C3884,'Operations Support'!$B3884)*$G3884</f>
        <v>0</v>
      </c>
      <c r="V3884" s="199">
        <f ca="1">U3884*'Expenditure Study'!$B$31</f>
        <v>0</v>
      </c>
      <c r="W3884" s="199">
        <f ca="1">IF(A3884=10298,1.51,1)*IF($B3884&lt;3,$D3884*'Expenditure Study'!$B$32*OFFSET('Expenditure Study'!$B$7,'Operations Support'!$C3884,'Operations Support'!$B3884),0)</f>
        <v>0</v>
      </c>
      <c r="X3884" s="200">
        <f ca="1">W3884*'Expenditure Study'!$B$31</f>
        <v>0</v>
      </c>
      <c r="Y3884" s="199">
        <f ca="1">U3884*'Expenditure Study'!$B$31</f>
        <v>0</v>
      </c>
      <c r="Z3884" s="200">
        <f ca="1">W3884*'Expenditure Study'!$B$31</f>
        <v>0</v>
      </c>
      <c r="AA3884" s="195">
        <f t="shared" ca="1" si="848"/>
        <v>0</v>
      </c>
      <c r="AB3884" s="195">
        <f t="shared" ca="1" si="849"/>
        <v>0</v>
      </c>
      <c r="AD3884" s="196">
        <f>IFERROR($G3884/SUMIF($A:$A,$A3884,$G:$G)*SUMIF(Summary!$A$166:$A$242,$A3884,Summary!$P$166:$P$242),0)</f>
        <v>0</v>
      </c>
      <c r="AE3884" s="197">
        <f t="shared" ca="1" si="850"/>
        <v>0</v>
      </c>
      <c r="AF3884" s="196">
        <f>IFERROR(G3884/SUMIF(A:A,A3884,G:G)*SUMIF(Summary!$A$166:$A$242,'Operations Support'!A3884,Summary!$Q$166:$Q$242),0)</f>
        <v>0</v>
      </c>
      <c r="AG3884" s="196">
        <f t="shared" ca="1" si="851"/>
        <v>0</v>
      </c>
      <c r="AI3884" s="196">
        <f>IFERROR($G3884/SUMIF($A:$A,$A3884,$G:$G)*SUMIF(Summary!$A$247:$A$283,$A3884,Summary!$P$247:$P$283),0)</f>
        <v>0</v>
      </c>
      <c r="AJ3884" s="196">
        <f>IFERROR($G3884/SUMIF($A:$A,$A3884,$G:$G)*(SUMIF(Summary!$A$247:$A$283,$A3884,Summary!$L$247:$L$283)+SUMIF(Summary!$A$297:$A$333,$A3884,Summary!$L$297:$L$333))-AI3884,0)</f>
        <v>0</v>
      </c>
      <c r="AK3884" s="196">
        <f>IFERROR($G3884/SUMIF($A:$A,$A3884,$G:$G)*SUMIF(Summary!$A$247:$A$283,$A3884,Summary!$Q$247:$Q$283),0)</f>
        <v>0</v>
      </c>
      <c r="AL3884" s="196">
        <f>IFERROR($G3884/SUMIF($A:$A,$A3884,$G:$G)*(SUMIF(Summary!$A$247:$A$283,$A3884,Summary!$L$247:$L$283)+SUMIF(Summary!$A$297:$A$333,$A3884,Summary!$L$297:$L$333))-AK3884,0)</f>
        <v>0</v>
      </c>
      <c r="AM3884" s="198"/>
      <c r="AN3884" s="196">
        <f t="shared" ca="1" si="852"/>
        <v>0</v>
      </c>
      <c r="AO3884" s="196">
        <f t="shared" ca="1" si="853"/>
        <v>0</v>
      </c>
    </row>
    <row r="3885" spans="1:41">
      <c r="A3885" s="189">
        <v>42485</v>
      </c>
      <c r="B3885" s="190">
        <v>5</v>
      </c>
      <c r="C3885" s="191" t="s">
        <v>236</v>
      </c>
      <c r="D3885" s="192">
        <f t="shared" si="840"/>
        <v>0</v>
      </c>
      <c r="E3885" s="192">
        <f t="shared" si="841"/>
        <v>0</v>
      </c>
      <c r="F3885" s="192">
        <f t="shared" si="842"/>
        <v>0</v>
      </c>
      <c r="G3885" s="193">
        <f t="shared" si="843"/>
        <v>0</v>
      </c>
      <c r="H3885" s="194">
        <v>0</v>
      </c>
      <c r="I3885" s="194">
        <v>0</v>
      </c>
      <c r="J3885" s="194">
        <v>0</v>
      </c>
      <c r="K3885" s="193">
        <f t="shared" si="844"/>
        <v>0</v>
      </c>
      <c r="L3885" s="194">
        <v>0</v>
      </c>
      <c r="M3885" s="194">
        <v>0</v>
      </c>
      <c r="N3885" s="194">
        <v>0</v>
      </c>
      <c r="O3885" s="193">
        <f t="shared" si="845"/>
        <v>0</v>
      </c>
      <c r="P3885" s="194">
        <v>0</v>
      </c>
      <c r="Q3885" s="194">
        <v>0</v>
      </c>
      <c r="R3885" s="194">
        <v>0</v>
      </c>
      <c r="S3885" s="193">
        <f t="shared" si="846"/>
        <v>0</v>
      </c>
      <c r="T3885" s="193">
        <f t="shared" si="847"/>
        <v>0</v>
      </c>
      <c r="U3885" s="193">
        <f ca="1">OFFSET('Expenditure Study'!$B$7,'Operations Support'!$C3885,'Operations Support'!$B3885)*$G3885</f>
        <v>0</v>
      </c>
      <c r="V3885" s="199">
        <f ca="1">U3885*'Expenditure Study'!$B$31</f>
        <v>0</v>
      </c>
      <c r="W3885" s="199">
        <f ca="1">IF(A3885=10298,1.51,1)*IF($B3885&lt;3,$D3885*'Expenditure Study'!$B$32*OFFSET('Expenditure Study'!$B$7,'Operations Support'!$C3885,'Operations Support'!$B3885),0)</f>
        <v>0</v>
      </c>
      <c r="X3885" s="200">
        <f ca="1">W3885*'Expenditure Study'!$B$31</f>
        <v>0</v>
      </c>
      <c r="Y3885" s="199">
        <f ca="1">U3885*'Expenditure Study'!$B$31</f>
        <v>0</v>
      </c>
      <c r="Z3885" s="200">
        <f ca="1">W3885*'Expenditure Study'!$B$31</f>
        <v>0</v>
      </c>
      <c r="AA3885" s="195">
        <f t="shared" ca="1" si="848"/>
        <v>0</v>
      </c>
      <c r="AB3885" s="195">
        <f t="shared" ca="1" si="849"/>
        <v>0</v>
      </c>
      <c r="AD3885" s="196">
        <f>IFERROR($G3885/SUMIF($A:$A,$A3885,$G:$G)*SUMIF(Summary!$A$166:$A$242,$A3885,Summary!$P$166:$P$242),0)</f>
        <v>0</v>
      </c>
      <c r="AE3885" s="197">
        <f t="shared" ca="1" si="850"/>
        <v>0</v>
      </c>
      <c r="AF3885" s="196">
        <f>IFERROR(G3885/SUMIF(A:A,A3885,G:G)*SUMIF(Summary!$A$166:$A$242,'Operations Support'!A3885,Summary!$Q$166:$Q$242),0)</f>
        <v>0</v>
      </c>
      <c r="AG3885" s="196">
        <f t="shared" ca="1" si="851"/>
        <v>0</v>
      </c>
      <c r="AI3885" s="196">
        <f>IFERROR($G3885/SUMIF($A:$A,$A3885,$G:$G)*SUMIF(Summary!$A$247:$A$283,$A3885,Summary!$P$247:$P$283),0)</f>
        <v>0</v>
      </c>
      <c r="AJ3885" s="196">
        <f>IFERROR($G3885/SUMIF($A:$A,$A3885,$G:$G)*(SUMIF(Summary!$A$247:$A$283,$A3885,Summary!$L$247:$L$283)+SUMIF(Summary!$A$297:$A$333,$A3885,Summary!$L$297:$L$333))-AI3885,0)</f>
        <v>0</v>
      </c>
      <c r="AK3885" s="196">
        <f>IFERROR($G3885/SUMIF($A:$A,$A3885,$G:$G)*SUMIF(Summary!$A$247:$A$283,$A3885,Summary!$Q$247:$Q$283),0)</f>
        <v>0</v>
      </c>
      <c r="AL3885" s="196">
        <f>IFERROR($G3885/SUMIF($A:$A,$A3885,$G:$G)*(SUMIF(Summary!$A$247:$A$283,$A3885,Summary!$L$247:$L$283)+SUMIF(Summary!$A$297:$A$333,$A3885,Summary!$L$297:$L$333))-AK3885,0)</f>
        <v>0</v>
      </c>
      <c r="AM3885" s="198"/>
      <c r="AN3885" s="196">
        <f t="shared" ca="1" si="852"/>
        <v>0</v>
      </c>
      <c r="AO3885" s="196">
        <f t="shared" ca="1" si="853"/>
        <v>0</v>
      </c>
    </row>
    <row r="3886" spans="1:41">
      <c r="A3886" s="189">
        <v>42485</v>
      </c>
      <c r="B3886" s="190">
        <v>5</v>
      </c>
      <c r="C3886" s="191" t="s">
        <v>237</v>
      </c>
      <c r="D3886" s="192">
        <f t="shared" si="840"/>
        <v>0</v>
      </c>
      <c r="E3886" s="192">
        <f t="shared" si="841"/>
        <v>0</v>
      </c>
      <c r="F3886" s="192">
        <f t="shared" si="842"/>
        <v>0</v>
      </c>
      <c r="G3886" s="193">
        <f t="shared" si="843"/>
        <v>0</v>
      </c>
      <c r="H3886" s="194">
        <v>0</v>
      </c>
      <c r="I3886" s="194">
        <v>0</v>
      </c>
      <c r="J3886" s="194">
        <v>0</v>
      </c>
      <c r="K3886" s="193">
        <f t="shared" si="844"/>
        <v>0</v>
      </c>
      <c r="L3886" s="194">
        <v>0</v>
      </c>
      <c r="M3886" s="194">
        <v>0</v>
      </c>
      <c r="N3886" s="194">
        <v>0</v>
      </c>
      <c r="O3886" s="193">
        <f t="shared" si="845"/>
        <v>0</v>
      </c>
      <c r="P3886" s="194">
        <v>0</v>
      </c>
      <c r="Q3886" s="194">
        <v>0</v>
      </c>
      <c r="R3886" s="194">
        <v>0</v>
      </c>
      <c r="S3886" s="193">
        <f t="shared" si="846"/>
        <v>0</v>
      </c>
      <c r="T3886" s="193">
        <f t="shared" si="847"/>
        <v>0</v>
      </c>
      <c r="U3886" s="193">
        <f ca="1">OFFSET('Expenditure Study'!$B$7,'Operations Support'!$C3886,'Operations Support'!$B3886)*$G3886</f>
        <v>0</v>
      </c>
      <c r="V3886" s="199">
        <f ca="1">U3886*'Expenditure Study'!$B$31</f>
        <v>0</v>
      </c>
      <c r="W3886" s="199">
        <f ca="1">IF(A3886=10298,1.51,1)*IF($B3886&lt;3,$D3886*'Expenditure Study'!$B$32*OFFSET('Expenditure Study'!$B$7,'Operations Support'!$C3886,'Operations Support'!$B3886),0)</f>
        <v>0</v>
      </c>
      <c r="X3886" s="200">
        <f ca="1">W3886*'Expenditure Study'!$B$31</f>
        <v>0</v>
      </c>
      <c r="Y3886" s="199">
        <f ca="1">U3886*'Expenditure Study'!$B$31</f>
        <v>0</v>
      </c>
      <c r="Z3886" s="200">
        <f ca="1">W3886*'Expenditure Study'!$B$31</f>
        <v>0</v>
      </c>
      <c r="AA3886" s="195">
        <f t="shared" ca="1" si="848"/>
        <v>0</v>
      </c>
      <c r="AB3886" s="195">
        <f t="shared" ca="1" si="849"/>
        <v>0</v>
      </c>
      <c r="AD3886" s="196">
        <f>IFERROR($G3886/SUMIF($A:$A,$A3886,$G:$G)*SUMIF(Summary!$A$166:$A$242,$A3886,Summary!$P$166:$P$242),0)</f>
        <v>0</v>
      </c>
      <c r="AE3886" s="197">
        <f t="shared" ca="1" si="850"/>
        <v>0</v>
      </c>
      <c r="AF3886" s="196">
        <f>IFERROR(G3886/SUMIF(A:A,A3886,G:G)*SUMIF(Summary!$A$166:$A$242,'Operations Support'!A3886,Summary!$Q$166:$Q$242),0)</f>
        <v>0</v>
      </c>
      <c r="AG3886" s="196">
        <f t="shared" ca="1" si="851"/>
        <v>0</v>
      </c>
      <c r="AI3886" s="196">
        <f>IFERROR($G3886/SUMIF($A:$A,$A3886,$G:$G)*SUMIF(Summary!$A$247:$A$283,$A3886,Summary!$P$247:$P$283),0)</f>
        <v>0</v>
      </c>
      <c r="AJ3886" s="196">
        <f>IFERROR($G3886/SUMIF($A:$A,$A3886,$G:$G)*(SUMIF(Summary!$A$247:$A$283,$A3886,Summary!$L$247:$L$283)+SUMIF(Summary!$A$297:$A$333,$A3886,Summary!$L$297:$L$333))-AI3886,0)</f>
        <v>0</v>
      </c>
      <c r="AK3886" s="196">
        <f>IFERROR($G3886/SUMIF($A:$A,$A3886,$G:$G)*SUMIF(Summary!$A$247:$A$283,$A3886,Summary!$Q$247:$Q$283),0)</f>
        <v>0</v>
      </c>
      <c r="AL3886" s="196">
        <f>IFERROR($G3886/SUMIF($A:$A,$A3886,$G:$G)*(SUMIF(Summary!$A$247:$A$283,$A3886,Summary!$L$247:$L$283)+SUMIF(Summary!$A$297:$A$333,$A3886,Summary!$L$297:$L$333))-AK3886,0)</f>
        <v>0</v>
      </c>
      <c r="AM3886" s="198"/>
      <c r="AN3886" s="196">
        <f t="shared" ca="1" si="852"/>
        <v>0</v>
      </c>
      <c r="AO3886" s="196">
        <f t="shared" ca="1" si="853"/>
        <v>0</v>
      </c>
    </row>
    <row r="3887" spans="1:41">
      <c r="A3887" s="189">
        <v>42485</v>
      </c>
      <c r="B3887" s="190">
        <v>5</v>
      </c>
      <c r="C3887" s="191" t="s">
        <v>238</v>
      </c>
      <c r="D3887" s="192">
        <f t="shared" si="840"/>
        <v>0</v>
      </c>
      <c r="E3887" s="192">
        <f t="shared" si="841"/>
        <v>0</v>
      </c>
      <c r="F3887" s="192">
        <f t="shared" si="842"/>
        <v>0</v>
      </c>
      <c r="G3887" s="193">
        <f t="shared" si="843"/>
        <v>0</v>
      </c>
      <c r="H3887" s="194">
        <v>0</v>
      </c>
      <c r="I3887" s="194">
        <v>0</v>
      </c>
      <c r="J3887" s="194">
        <v>0</v>
      </c>
      <c r="K3887" s="193">
        <f t="shared" si="844"/>
        <v>0</v>
      </c>
      <c r="L3887" s="194">
        <v>0</v>
      </c>
      <c r="M3887" s="194">
        <v>0</v>
      </c>
      <c r="N3887" s="194">
        <v>0</v>
      </c>
      <c r="O3887" s="193">
        <f t="shared" si="845"/>
        <v>0</v>
      </c>
      <c r="P3887" s="194">
        <v>0</v>
      </c>
      <c r="Q3887" s="194">
        <v>0</v>
      </c>
      <c r="R3887" s="194">
        <v>0</v>
      </c>
      <c r="S3887" s="193">
        <f t="shared" si="846"/>
        <v>0</v>
      </c>
      <c r="T3887" s="193">
        <f t="shared" si="847"/>
        <v>0</v>
      </c>
      <c r="U3887" s="193">
        <f ca="1">OFFSET('Expenditure Study'!$B$7,'Operations Support'!$C3887,'Operations Support'!$B3887)*$G3887</f>
        <v>0</v>
      </c>
      <c r="V3887" s="199">
        <f ca="1">U3887*'Expenditure Study'!$B$31</f>
        <v>0</v>
      </c>
      <c r="W3887" s="199">
        <f ca="1">IF(A3887=10298,1.51,1)*IF($B3887&lt;3,$D3887*'Expenditure Study'!$B$32*OFFSET('Expenditure Study'!$B$7,'Operations Support'!$C3887,'Operations Support'!$B3887),0)</f>
        <v>0</v>
      </c>
      <c r="X3887" s="200">
        <f ca="1">W3887*'Expenditure Study'!$B$31</f>
        <v>0</v>
      </c>
      <c r="Y3887" s="199">
        <f ca="1">U3887*'Expenditure Study'!$B$31</f>
        <v>0</v>
      </c>
      <c r="Z3887" s="200">
        <f ca="1">W3887*'Expenditure Study'!$B$31</f>
        <v>0</v>
      </c>
      <c r="AA3887" s="195">
        <f t="shared" ca="1" si="848"/>
        <v>0</v>
      </c>
      <c r="AB3887" s="195">
        <f t="shared" ca="1" si="849"/>
        <v>0</v>
      </c>
      <c r="AD3887" s="196">
        <f>IFERROR($G3887/SUMIF($A:$A,$A3887,$G:$G)*SUMIF(Summary!$A$166:$A$242,$A3887,Summary!$P$166:$P$242),0)</f>
        <v>0</v>
      </c>
      <c r="AE3887" s="197">
        <f t="shared" ca="1" si="850"/>
        <v>0</v>
      </c>
      <c r="AF3887" s="196">
        <f>IFERROR(G3887/SUMIF(A:A,A3887,G:G)*SUMIF(Summary!$A$166:$A$242,'Operations Support'!A3887,Summary!$Q$166:$Q$242),0)</f>
        <v>0</v>
      </c>
      <c r="AG3887" s="196">
        <f t="shared" ca="1" si="851"/>
        <v>0</v>
      </c>
      <c r="AI3887" s="196">
        <f>IFERROR($G3887/SUMIF($A:$A,$A3887,$G:$G)*SUMIF(Summary!$A$247:$A$283,$A3887,Summary!$P$247:$P$283),0)</f>
        <v>0</v>
      </c>
      <c r="AJ3887" s="196">
        <f>IFERROR($G3887/SUMIF($A:$A,$A3887,$G:$G)*(SUMIF(Summary!$A$247:$A$283,$A3887,Summary!$L$247:$L$283)+SUMIF(Summary!$A$297:$A$333,$A3887,Summary!$L$297:$L$333))-AI3887,0)</f>
        <v>0</v>
      </c>
      <c r="AK3887" s="196">
        <f>IFERROR($G3887/SUMIF($A:$A,$A3887,$G:$G)*SUMIF(Summary!$A$247:$A$283,$A3887,Summary!$Q$247:$Q$283),0)</f>
        <v>0</v>
      </c>
      <c r="AL3887" s="196">
        <f>IFERROR($G3887/SUMIF($A:$A,$A3887,$G:$G)*(SUMIF(Summary!$A$247:$A$283,$A3887,Summary!$L$247:$L$283)+SUMIF(Summary!$A$297:$A$333,$A3887,Summary!$L$297:$L$333))-AK3887,0)</f>
        <v>0</v>
      </c>
      <c r="AM3887" s="198"/>
      <c r="AN3887" s="196">
        <f t="shared" ca="1" si="852"/>
        <v>0</v>
      </c>
      <c r="AO3887" s="196">
        <f t="shared" ca="1" si="853"/>
        <v>0</v>
      </c>
    </row>
    <row r="3888" spans="1:41">
      <c r="A3888" s="189">
        <v>42485</v>
      </c>
      <c r="B3888" s="190">
        <v>5</v>
      </c>
      <c r="C3888" s="191" t="s">
        <v>239</v>
      </c>
      <c r="D3888" s="192">
        <f t="shared" si="840"/>
        <v>0</v>
      </c>
      <c r="E3888" s="192">
        <f t="shared" si="841"/>
        <v>0</v>
      </c>
      <c r="F3888" s="192">
        <f t="shared" si="842"/>
        <v>0</v>
      </c>
      <c r="G3888" s="193">
        <f t="shared" si="843"/>
        <v>0</v>
      </c>
      <c r="H3888" s="194">
        <v>0</v>
      </c>
      <c r="I3888" s="194">
        <v>0</v>
      </c>
      <c r="J3888" s="194">
        <v>0</v>
      </c>
      <c r="K3888" s="193">
        <f t="shared" si="844"/>
        <v>0</v>
      </c>
      <c r="L3888" s="194">
        <v>0</v>
      </c>
      <c r="M3888" s="194">
        <v>0</v>
      </c>
      <c r="N3888" s="194">
        <v>0</v>
      </c>
      <c r="O3888" s="193">
        <f t="shared" si="845"/>
        <v>0</v>
      </c>
      <c r="P3888" s="194">
        <v>0</v>
      </c>
      <c r="Q3888" s="194">
        <v>0</v>
      </c>
      <c r="R3888" s="194">
        <v>0</v>
      </c>
      <c r="S3888" s="193">
        <f t="shared" si="846"/>
        <v>0</v>
      </c>
      <c r="T3888" s="193">
        <f t="shared" si="847"/>
        <v>0</v>
      </c>
      <c r="U3888" s="193">
        <f ca="1">OFFSET('Expenditure Study'!$B$7,'Operations Support'!$C3888,'Operations Support'!$B3888)*$G3888</f>
        <v>0</v>
      </c>
      <c r="V3888" s="199">
        <f ca="1">U3888*'Expenditure Study'!$B$31</f>
        <v>0</v>
      </c>
      <c r="W3888" s="199">
        <f ca="1">IF(A3888=10298,1.51,1)*IF($B3888&lt;3,$D3888*'Expenditure Study'!$B$32*OFFSET('Expenditure Study'!$B$7,'Operations Support'!$C3888,'Operations Support'!$B3888),0)</f>
        <v>0</v>
      </c>
      <c r="X3888" s="200">
        <f ca="1">W3888*'Expenditure Study'!$B$31</f>
        <v>0</v>
      </c>
      <c r="Y3888" s="199">
        <f ca="1">U3888*'Expenditure Study'!$B$31</f>
        <v>0</v>
      </c>
      <c r="Z3888" s="200">
        <f ca="1">W3888*'Expenditure Study'!$B$31</f>
        <v>0</v>
      </c>
      <c r="AA3888" s="195">
        <f t="shared" ca="1" si="848"/>
        <v>0</v>
      </c>
      <c r="AB3888" s="195">
        <f t="shared" ca="1" si="849"/>
        <v>0</v>
      </c>
      <c r="AD3888" s="196">
        <f>IFERROR($G3888/SUMIF($A:$A,$A3888,$G:$G)*SUMIF(Summary!$A$166:$A$242,$A3888,Summary!$P$166:$P$242),0)</f>
        <v>0</v>
      </c>
      <c r="AE3888" s="197">
        <f t="shared" ca="1" si="850"/>
        <v>0</v>
      </c>
      <c r="AF3888" s="196">
        <f>IFERROR(G3888/SUMIF(A:A,A3888,G:G)*SUMIF(Summary!$A$166:$A$242,'Operations Support'!A3888,Summary!$Q$166:$Q$242),0)</f>
        <v>0</v>
      </c>
      <c r="AG3888" s="196">
        <f t="shared" ca="1" si="851"/>
        <v>0</v>
      </c>
      <c r="AI3888" s="196">
        <f>IFERROR($G3888/SUMIF($A:$A,$A3888,$G:$G)*SUMIF(Summary!$A$247:$A$283,$A3888,Summary!$P$247:$P$283),0)</f>
        <v>0</v>
      </c>
      <c r="AJ3888" s="196">
        <f>IFERROR($G3888/SUMIF($A:$A,$A3888,$G:$G)*(SUMIF(Summary!$A$247:$A$283,$A3888,Summary!$L$247:$L$283)+SUMIF(Summary!$A$297:$A$333,$A3888,Summary!$L$297:$L$333))-AI3888,0)</f>
        <v>0</v>
      </c>
      <c r="AK3888" s="196">
        <f>IFERROR($G3888/SUMIF($A:$A,$A3888,$G:$G)*SUMIF(Summary!$A$247:$A$283,$A3888,Summary!$Q$247:$Q$283),0)</f>
        <v>0</v>
      </c>
      <c r="AL3888" s="196">
        <f>IFERROR($G3888/SUMIF($A:$A,$A3888,$G:$G)*(SUMIF(Summary!$A$247:$A$283,$A3888,Summary!$L$247:$L$283)+SUMIF(Summary!$A$297:$A$333,$A3888,Summary!$L$297:$L$333))-AK3888,0)</f>
        <v>0</v>
      </c>
      <c r="AM3888" s="198"/>
      <c r="AN3888" s="196">
        <f t="shared" ca="1" si="852"/>
        <v>0</v>
      </c>
      <c r="AO3888" s="196">
        <f t="shared" ca="1" si="853"/>
        <v>0</v>
      </c>
    </row>
    <row r="3889" spans="1:41">
      <c r="A3889" s="189">
        <v>42485</v>
      </c>
      <c r="B3889" s="190">
        <v>5</v>
      </c>
      <c r="C3889" s="191" t="s">
        <v>240</v>
      </c>
      <c r="D3889" s="192">
        <f t="shared" si="840"/>
        <v>0</v>
      </c>
      <c r="E3889" s="192">
        <f t="shared" si="841"/>
        <v>0</v>
      </c>
      <c r="F3889" s="192">
        <f t="shared" si="842"/>
        <v>0</v>
      </c>
      <c r="G3889" s="193">
        <f t="shared" si="843"/>
        <v>0</v>
      </c>
      <c r="H3889" s="194">
        <v>0</v>
      </c>
      <c r="I3889" s="194">
        <v>0</v>
      </c>
      <c r="J3889" s="194">
        <v>0</v>
      </c>
      <c r="K3889" s="193">
        <f t="shared" si="844"/>
        <v>0</v>
      </c>
      <c r="L3889" s="194">
        <v>0</v>
      </c>
      <c r="M3889" s="194">
        <v>0</v>
      </c>
      <c r="N3889" s="194">
        <v>0</v>
      </c>
      <c r="O3889" s="193">
        <f t="shared" si="845"/>
        <v>0</v>
      </c>
      <c r="P3889" s="194">
        <v>0</v>
      </c>
      <c r="Q3889" s="194">
        <v>0</v>
      </c>
      <c r="R3889" s="194">
        <v>0</v>
      </c>
      <c r="S3889" s="193">
        <f t="shared" si="846"/>
        <v>0</v>
      </c>
      <c r="T3889" s="193">
        <f t="shared" si="847"/>
        <v>0</v>
      </c>
      <c r="U3889" s="193">
        <f ca="1">OFFSET('Expenditure Study'!$B$7,'Operations Support'!$C3889,'Operations Support'!$B3889)*$G3889</f>
        <v>0</v>
      </c>
      <c r="V3889" s="199">
        <f ca="1">U3889*'Expenditure Study'!$B$31</f>
        <v>0</v>
      </c>
      <c r="W3889" s="199">
        <f ca="1">IF(A3889=10298,1.51,1)*IF($B3889&lt;3,$D3889*'Expenditure Study'!$B$32*OFFSET('Expenditure Study'!$B$7,'Operations Support'!$C3889,'Operations Support'!$B3889),0)</f>
        <v>0</v>
      </c>
      <c r="X3889" s="200">
        <f ca="1">W3889*'Expenditure Study'!$B$31</f>
        <v>0</v>
      </c>
      <c r="Y3889" s="199">
        <f ca="1">U3889*'Expenditure Study'!$B$31</f>
        <v>0</v>
      </c>
      <c r="Z3889" s="200">
        <f ca="1">W3889*'Expenditure Study'!$B$31</f>
        <v>0</v>
      </c>
      <c r="AA3889" s="195">
        <f t="shared" ca="1" si="848"/>
        <v>0</v>
      </c>
      <c r="AB3889" s="195">
        <f t="shared" ca="1" si="849"/>
        <v>0</v>
      </c>
      <c r="AD3889" s="196">
        <f>IFERROR($G3889/SUMIF($A:$A,$A3889,$G:$G)*SUMIF(Summary!$A$166:$A$242,$A3889,Summary!$P$166:$P$242),0)</f>
        <v>0</v>
      </c>
      <c r="AE3889" s="197">
        <f t="shared" ca="1" si="850"/>
        <v>0</v>
      </c>
      <c r="AF3889" s="196">
        <f>IFERROR(G3889/SUMIF(A:A,A3889,G:G)*SUMIF(Summary!$A$166:$A$242,'Operations Support'!A3889,Summary!$Q$166:$Q$242),0)</f>
        <v>0</v>
      </c>
      <c r="AG3889" s="196">
        <f t="shared" ca="1" si="851"/>
        <v>0</v>
      </c>
      <c r="AI3889" s="196">
        <f>IFERROR($G3889/SUMIF($A:$A,$A3889,$G:$G)*SUMIF(Summary!$A$247:$A$283,$A3889,Summary!$P$247:$P$283),0)</f>
        <v>0</v>
      </c>
      <c r="AJ3889" s="196">
        <f>IFERROR($G3889/SUMIF($A:$A,$A3889,$G:$G)*(SUMIF(Summary!$A$247:$A$283,$A3889,Summary!$L$247:$L$283)+SUMIF(Summary!$A$297:$A$333,$A3889,Summary!$L$297:$L$333))-AI3889,0)</f>
        <v>0</v>
      </c>
      <c r="AK3889" s="196">
        <f>IFERROR($G3889/SUMIF($A:$A,$A3889,$G:$G)*SUMIF(Summary!$A$247:$A$283,$A3889,Summary!$Q$247:$Q$283),0)</f>
        <v>0</v>
      </c>
      <c r="AL3889" s="196">
        <f>IFERROR($G3889/SUMIF($A:$A,$A3889,$G:$G)*(SUMIF(Summary!$A$247:$A$283,$A3889,Summary!$L$247:$L$283)+SUMIF(Summary!$A$297:$A$333,$A3889,Summary!$L$297:$L$333))-AK3889,0)</f>
        <v>0</v>
      </c>
      <c r="AM3889" s="198"/>
      <c r="AN3889" s="196">
        <f t="shared" ca="1" si="852"/>
        <v>0</v>
      </c>
      <c r="AO3889" s="196">
        <f t="shared" ca="1" si="853"/>
        <v>0</v>
      </c>
    </row>
    <row r="3890" spans="1:41">
      <c r="D3890" s="179">
        <f>SUM(D5:D3889)</f>
        <v>5854736.4400000013</v>
      </c>
      <c r="E3890" s="179">
        <f>SUM(E5:E3889)</f>
        <v>10140572.309999999</v>
      </c>
      <c r="F3890" s="179">
        <f>SUM(F5:F3889)</f>
        <v>17917</v>
      </c>
      <c r="G3890" s="179">
        <f t="shared" si="843"/>
        <v>15977391.75</v>
      </c>
      <c r="H3890" s="179">
        <f>SUM(H5:H3889)</f>
        <v>2493479.3299999996</v>
      </c>
      <c r="I3890" s="179">
        <f>SUM(I5:I3889)</f>
        <v>4438330.0299999975</v>
      </c>
      <c r="J3890" s="179">
        <f>SUM(J5:J3889)</f>
        <v>6876</v>
      </c>
      <c r="K3890" s="179">
        <f t="shared" si="844"/>
        <v>6924933.3599999975</v>
      </c>
      <c r="L3890" s="179">
        <f>SUM(L5:L3889)</f>
        <v>2655118.2300000014</v>
      </c>
      <c r="M3890" s="179">
        <f>SUM(M5:M3889)</f>
        <v>4674055.2600000044</v>
      </c>
      <c r="N3890" s="179">
        <f>SUM(N5:N3889)</f>
        <v>7015</v>
      </c>
      <c r="O3890" s="179">
        <f t="shared" si="845"/>
        <v>7322158.4900000058</v>
      </c>
      <c r="P3890" s="179">
        <f>SUM(P5:P3889)</f>
        <v>706138.88000000012</v>
      </c>
      <c r="Q3890" s="179">
        <f>SUM(Q5:Q3889)</f>
        <v>1028187.0199999998</v>
      </c>
      <c r="R3890" s="179">
        <f>SUM(R5:R3889)</f>
        <v>4026</v>
      </c>
      <c r="S3890" s="179">
        <f t="shared" si="846"/>
        <v>1730299.9</v>
      </c>
      <c r="T3890" s="179"/>
      <c r="U3890" s="591">
        <f ca="1">SUM(U5:U3889)</f>
        <v>38347688.573199935</v>
      </c>
      <c r="V3890" s="179">
        <f t="shared" ref="V3890:AB3890" ca="1" si="854">SUM(V5:V3889)</f>
        <v>2265703417.2324662</v>
      </c>
      <c r="W3890" s="591">
        <f t="shared" ca="1" si="854"/>
        <v>750617.74259919894</v>
      </c>
      <c r="X3890" s="179">
        <f t="shared" ca="1" si="854"/>
        <v>44348883.797676437</v>
      </c>
      <c r="Y3890" s="179">
        <f t="shared" ca="1" si="854"/>
        <v>2265703417.2324662</v>
      </c>
      <c r="Z3890" s="179">
        <f t="shared" ca="1" si="854"/>
        <v>44348883.797676437</v>
      </c>
      <c r="AA3890" s="179">
        <f t="shared" ca="1" si="854"/>
        <v>2310052301.0301466</v>
      </c>
      <c r="AB3890" s="179">
        <f t="shared" ca="1" si="854"/>
        <v>2310052301.0301466</v>
      </c>
      <c r="AC3890" s="179"/>
      <c r="AD3890" s="179"/>
      <c r="AE3890" s="179"/>
      <c r="AF3890" s="179"/>
      <c r="AG3890" s="179"/>
      <c r="AH3890" s="179"/>
      <c r="AI3890" s="179"/>
      <c r="AJ3890" s="179"/>
      <c r="AK3890" s="179"/>
      <c r="AL3890" s="179"/>
      <c r="AM3890" s="179"/>
      <c r="AN3890" s="179"/>
      <c r="AO3890" s="179"/>
    </row>
    <row r="3891" spans="1:41">
      <c r="O3891" s="180" t="s">
        <v>396</v>
      </c>
      <c r="U3891" s="179"/>
      <c r="W3891" s="591">
        <f ca="1">U3890+W3890</f>
        <v>39098306.315799132</v>
      </c>
    </row>
    <row r="3892" spans="1:41">
      <c r="D3892" s="222"/>
      <c r="E3892" s="222"/>
      <c r="F3892" s="222"/>
      <c r="G3892" s="222"/>
      <c r="H3892" s="222"/>
      <c r="I3892" s="222"/>
      <c r="J3892" s="222"/>
      <c r="K3892" s="222"/>
      <c r="L3892" s="222"/>
      <c r="M3892" s="222"/>
      <c r="N3892" s="222"/>
      <c r="O3892" s="222"/>
      <c r="P3892" s="222"/>
      <c r="Q3892" s="222"/>
      <c r="R3892" s="222"/>
      <c r="S3892" s="222"/>
    </row>
    <row r="3893" spans="1:41">
      <c r="D3893" s="179"/>
      <c r="E3893" s="179"/>
      <c r="F3893" s="179"/>
      <c r="G3893" s="179"/>
      <c r="H3893" s="179"/>
      <c r="I3893" s="179"/>
      <c r="J3893" s="179"/>
      <c r="K3893" s="179"/>
      <c r="L3893" s="179"/>
      <c r="M3893" s="179"/>
      <c r="N3893" s="179"/>
      <c r="O3893" s="179"/>
    </row>
    <row r="3894" spans="1:41">
      <c r="E3894" s="592"/>
    </row>
    <row r="3895" spans="1:41">
      <c r="E3895" s="592"/>
    </row>
  </sheetData>
  <autoFilter ref="A4:AO3891" xr:uid="{00000000-0001-0000-0300-000000000000}"/>
  <customSheetViews>
    <customSheetView guid="{D2A8523F-42D4-4968-A72F-21832F1DB84F}" fitToPage="1" printArea="1" showRuler="0">
      <pageMargins left="0.25" right="0.25" top="0.5" bottom="0.5" header="0.25" footer="0.25"/>
      <printOptions gridLines="1"/>
      <pageSetup scale="59" orientation="landscape" horizontalDpi="4294967293" r:id="rId1"/>
      <headerFooter alignWithMargins="0"/>
    </customSheetView>
    <customSheetView guid="{C593DCC3-48F5-49D3-A249-760A4EB596FD}" fitToPage="1" printArea="1" showRuler="0">
      <pageMargins left="0.25" right="0.25" top="0.5" bottom="0.5" header="0.25" footer="0.25"/>
      <printOptions gridLines="1"/>
      <pageSetup scale="59" orientation="landscape" horizontalDpi="4294967293" r:id="rId2"/>
      <headerFooter alignWithMargins="0"/>
    </customSheetView>
    <customSheetView guid="{35BFC459-B22D-40B1-9702-541F957448D5}" fitToPage="1" printArea="1" showRuler="0">
      <pageMargins left="0.25" right="0.25" top="0.5" bottom="0.5" header="0.25" footer="0.25"/>
      <printOptions gridLines="1"/>
      <pageSetup scale="59" orientation="landscape" horizontalDpi="4294967293" r:id="rId3"/>
      <headerFooter alignWithMargins="0"/>
    </customSheetView>
    <customSheetView guid="{91FF6182-D2EC-4CD1-9CDF-7C925FC791E8}" fitToPage="1" printArea="1" showRuler="0">
      <pageMargins left="0.25" right="0.25" top="0.5" bottom="0.5" header="0.25" footer="0.25"/>
      <printOptions gridLines="1"/>
      <pageSetup scale="59" orientation="landscape" horizontalDpi="4294967293" r:id="rId4"/>
      <headerFooter alignWithMargins="0"/>
    </customSheetView>
    <customSheetView guid="{675F30BC-42CF-41EB-9295-12D8590553A4}" scale="75" showPageBreaks="1" fitToPage="1" printArea="1" hiddenRows="1" hiddenColumns="1" showRuler="0" topLeftCell="B3928">
      <selection activeCell="B3933" sqref="B3933:M4046"/>
      <pageMargins left="0.25" right="0.25" top="0.5" bottom="0.5" header="0.25" footer="0.25"/>
      <printOptions gridLines="1"/>
      <pageSetup scale="74" fitToHeight="3" orientation="landscape" horizontalDpi="4294967293" r:id="rId5"/>
      <headerFooter alignWithMargins="0">
        <oddFooter>&amp;C&amp;P of &amp;N</oddFooter>
      </headerFooter>
    </customSheetView>
    <customSheetView guid="{FC4770E7-5AA9-45AB-93B4-AB306746D478}" fitToPage="1" printArea="1" showRuler="0">
      <pageMargins left="0.25" right="0.25" top="0.5" bottom="0.5" header="0.25" footer="0.25"/>
      <printOptions gridLines="1"/>
      <pageSetup scale="59" orientation="landscape" horizontalDpi="4294967293" r:id="rId6"/>
      <headerFooter alignWithMargins="0"/>
    </customSheetView>
    <customSheetView guid="{95AD7BEF-F518-46C7-B565-EC569F4CD3DD}" scale="75" hiddenRows="1" showRuler="0" topLeftCell="I2336">
      <selection activeCell="K3895" sqref="K3895"/>
      <pageMargins left="0.75" right="0.75" top="1" bottom="1" header="0.5" footer="0.5"/>
      <pageSetup orientation="portrait" horizontalDpi="4294967293" r:id="rId7"/>
      <headerFooter alignWithMargins="0"/>
    </customSheetView>
    <customSheetView guid="{DE388A6B-882C-495C-AAE9-5FF5D9FE9DAB}" scale="75" showPageBreaks="1" fitToPage="1" printArea="1" hiddenRows="1" hiddenColumns="1" showRuler="0" topLeftCell="C1">
      <selection activeCell="D893" sqref="D782:D893"/>
      <pageMargins left="0.25" right="0.25" top="0.5" bottom="0.5" header="0.25" footer="0.25"/>
      <printOptions gridLines="1"/>
      <pageSetup scale="59" orientation="landscape" horizontalDpi="4294967293" r:id="rId8"/>
      <headerFooter alignWithMargins="0"/>
    </customSheetView>
  </customSheetViews>
  <phoneticPr fontId="7" type="noConversion"/>
  <pageMargins left="0.25" right="0.25" top="0.17" bottom="0.33" header="0.17" footer="0.17"/>
  <pageSetup scale="83" fitToHeight="0" orientation="portrait" r:id="rId9"/>
  <headerFooter alignWithMargins="0">
    <oddFooter>Prepared by Paul Turcotte &amp;D&amp;RPage &amp;P</oddFooter>
  </headerFooter>
  <ignoredErrors>
    <ignoredError sqref="A1 A4"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ransitionEvaluation="1" codeName="Sheet1">
    <tabColor rgb="FF00B050"/>
    <pageSetUpPr autoPageBreaks="0" fitToPage="1"/>
  </sheetPr>
  <dimension ref="A1:BL38"/>
  <sheetViews>
    <sheetView showGridLines="0" zoomScale="85" zoomScaleNormal="85" workbookViewId="0">
      <pane xSplit="2" ySplit="7" topLeftCell="C8" activePane="bottomRight" state="frozen"/>
      <selection pane="topRight" activeCell="C1" sqref="C1"/>
      <selection pane="bottomLeft" activeCell="A8" sqref="A8"/>
      <selection pane="bottomRight" activeCell="Z11" sqref="Z11"/>
    </sheetView>
  </sheetViews>
  <sheetFormatPr defaultColWidth="9.109375" defaultRowHeight="13.8"/>
  <cols>
    <col min="1" max="1" width="7.109375" style="77" customWidth="1"/>
    <col min="2" max="2" width="28.109375" style="77" customWidth="1"/>
    <col min="3" max="3" width="16.109375" style="77" customWidth="1"/>
    <col min="4" max="4" width="17.88671875" style="77" customWidth="1"/>
    <col min="5" max="5" width="18" style="77" customWidth="1"/>
    <col min="6" max="6" width="16" style="77" customWidth="1"/>
    <col min="7" max="7" width="15.109375" style="77" customWidth="1"/>
    <col min="8" max="8" width="6.88671875" style="77" customWidth="1"/>
    <col min="9" max="9" width="8.109375" style="77" customWidth="1"/>
    <col min="10" max="10" width="8" style="77" customWidth="1"/>
    <col min="11" max="11" width="6" style="77" bestFit="1" customWidth="1"/>
    <col min="12" max="14" width="8" style="77" customWidth="1"/>
    <col min="15" max="15" width="17.44140625" style="77" bestFit="1" customWidth="1"/>
    <col min="16" max="54" width="9.109375" style="77"/>
    <col min="55" max="56" width="10" style="77" bestFit="1" customWidth="1"/>
    <col min="57" max="63" width="9.33203125" style="77" bestFit="1" customWidth="1"/>
    <col min="64" max="16384" width="9.109375" style="77"/>
  </cols>
  <sheetData>
    <row r="1" spans="1:64">
      <c r="B1" s="105" t="str">
        <f>Summary!A1</f>
        <v>General Academic Institutions - Formula Funding - 2024-2025</v>
      </c>
      <c r="F1" s="206"/>
      <c r="G1" s="180"/>
      <c r="H1" s="180"/>
    </row>
    <row r="2" spans="1:64">
      <c r="B2" s="105" t="s">
        <v>294</v>
      </c>
      <c r="F2" s="206"/>
      <c r="G2" s="180"/>
      <c r="H2" s="180"/>
    </row>
    <row r="3" spans="1:64" ht="9" customHeight="1" thickBot="1">
      <c r="F3" s="206"/>
      <c r="G3" s="180"/>
      <c r="H3" s="105"/>
      <c r="M3" s="206"/>
      <c r="N3" s="180"/>
    </row>
    <row r="4" spans="1:64">
      <c r="B4" s="682"/>
      <c r="C4" s="683"/>
      <c r="D4" s="683"/>
      <c r="E4" s="683"/>
      <c r="F4" s="683"/>
      <c r="G4" s="684"/>
      <c r="H4" s="207"/>
    </row>
    <row r="5" spans="1:64">
      <c r="B5" s="685" t="s">
        <v>449</v>
      </c>
      <c r="C5" s="686"/>
      <c r="D5" s="686"/>
      <c r="E5" s="686"/>
      <c r="F5" s="686"/>
      <c r="G5" s="687"/>
      <c r="H5" s="207"/>
    </row>
    <row r="6" spans="1:64" ht="14.4" thickBot="1">
      <c r="B6" s="688" t="s">
        <v>30</v>
      </c>
      <c r="C6" s="689"/>
      <c r="D6" s="689"/>
      <c r="E6" s="689"/>
      <c r="F6" s="689"/>
      <c r="G6" s="690"/>
      <c r="H6" s="207"/>
    </row>
    <row r="7" spans="1:64" ht="28.2" thickBot="1">
      <c r="A7" s="547" t="s">
        <v>421</v>
      </c>
      <c r="B7" s="208" t="s">
        <v>29</v>
      </c>
      <c r="C7" s="209" t="s">
        <v>175</v>
      </c>
      <c r="D7" s="209" t="s">
        <v>176</v>
      </c>
      <c r="E7" s="210" t="s">
        <v>177</v>
      </c>
      <c r="F7" s="210" t="s">
        <v>178</v>
      </c>
      <c r="G7" s="211" t="s">
        <v>179</v>
      </c>
      <c r="H7" s="207"/>
      <c r="BC7" s="78">
        <v>1</v>
      </c>
      <c r="BD7" s="78">
        <v>2</v>
      </c>
      <c r="BE7" s="78">
        <v>3</v>
      </c>
      <c r="BF7" s="78">
        <v>4</v>
      </c>
      <c r="BG7" s="78">
        <v>5</v>
      </c>
      <c r="BH7" s="78"/>
      <c r="BI7" s="78"/>
      <c r="BJ7" s="78"/>
      <c r="BK7" s="78"/>
      <c r="BL7" s="78"/>
    </row>
    <row r="8" spans="1:64">
      <c r="A8" s="550">
        <v>1</v>
      </c>
      <c r="B8" s="548" t="s">
        <v>4</v>
      </c>
      <c r="C8" s="212">
        <v>1</v>
      </c>
      <c r="D8" s="212">
        <v>1.84</v>
      </c>
      <c r="E8" s="212">
        <v>4.46</v>
      </c>
      <c r="F8" s="212">
        <v>14.73</v>
      </c>
      <c r="G8" s="212">
        <v>0</v>
      </c>
      <c r="H8" s="178"/>
      <c r="O8" s="213"/>
      <c r="P8" s="213"/>
      <c r="Q8" s="213"/>
      <c r="R8" s="213"/>
      <c r="S8" s="213"/>
      <c r="T8" s="213"/>
      <c r="U8" s="213"/>
      <c r="V8" s="213"/>
      <c r="W8" s="213"/>
      <c r="X8" s="213"/>
      <c r="Y8" s="213"/>
      <c r="Z8" s="213"/>
      <c r="AA8" s="213"/>
      <c r="AB8" s="213"/>
      <c r="AC8" s="213"/>
      <c r="AD8" s="213"/>
      <c r="AE8" s="213"/>
      <c r="AF8" s="213"/>
      <c r="AG8" s="213"/>
      <c r="AH8" s="213"/>
      <c r="AI8" s="213"/>
      <c r="AJ8" s="213"/>
      <c r="AK8" s="213"/>
      <c r="AL8" s="213"/>
      <c r="AM8" s="213"/>
      <c r="AN8" s="213"/>
      <c r="AO8" s="213"/>
      <c r="AP8" s="213"/>
      <c r="AQ8" s="213"/>
      <c r="AR8" s="213"/>
      <c r="AS8" s="213"/>
      <c r="AT8" s="213"/>
      <c r="AU8" s="213"/>
      <c r="AV8" s="213"/>
      <c r="AW8" s="213"/>
      <c r="AX8" s="213"/>
      <c r="AY8" s="213"/>
      <c r="AZ8" s="213"/>
      <c r="BA8" s="213"/>
      <c r="BB8" s="213"/>
      <c r="BC8" s="78">
        <f>SUMIFS('Operations Support'!$G:$G,'Operations Support'!$B:$B,'Expenditure Study'!BC$7,'Operations Support'!$C:$C,'Expenditure Study'!#REF!)</f>
        <v>0</v>
      </c>
      <c r="BD8" s="78">
        <f>SUMIFS('Operations Support'!$G:$G,'Operations Support'!$B:$B,'Expenditure Study'!BD$7,'Operations Support'!$C:$C,'Expenditure Study'!#REF!)</f>
        <v>0</v>
      </c>
      <c r="BE8" s="78">
        <f>SUMIFS('Operations Support'!$G:$G,'Operations Support'!$B:$B,'Expenditure Study'!BE$7,'Operations Support'!$C:$C,'Expenditure Study'!#REF!)</f>
        <v>0</v>
      </c>
      <c r="BF8" s="78">
        <f>SUMIFS('Operations Support'!$G:$G,'Operations Support'!$B:$B,'Expenditure Study'!BF$7,'Operations Support'!$C:$C,'Expenditure Study'!#REF!)</f>
        <v>0</v>
      </c>
      <c r="BG8" s="78">
        <f>SUMIFS('Operations Support'!$G:$G,'Operations Support'!$B:$B,'Expenditure Study'!BG$7,'Operations Support'!$C:$C,'Expenditure Study'!#REF!)</f>
        <v>0</v>
      </c>
      <c r="BH8" s="214"/>
      <c r="BI8" s="214"/>
      <c r="BJ8" s="214"/>
      <c r="BK8" s="214"/>
      <c r="BL8" s="214"/>
    </row>
    <row r="9" spans="1:64">
      <c r="A9" s="550">
        <v>2</v>
      </c>
      <c r="B9" s="549" t="s">
        <v>6</v>
      </c>
      <c r="C9" s="212">
        <v>1.34</v>
      </c>
      <c r="D9" s="212">
        <v>2.63</v>
      </c>
      <c r="E9" s="212">
        <v>7</v>
      </c>
      <c r="F9" s="212">
        <v>21.74</v>
      </c>
      <c r="G9" s="212">
        <v>0</v>
      </c>
      <c r="H9" s="178"/>
      <c r="O9" s="213"/>
      <c r="P9" s="213"/>
      <c r="Q9" s="213"/>
      <c r="R9" s="213"/>
      <c r="S9" s="213"/>
      <c r="T9" s="213"/>
      <c r="U9" s="213"/>
      <c r="V9" s="213"/>
      <c r="W9" s="213"/>
      <c r="X9" s="213"/>
      <c r="Y9" s="213"/>
      <c r="Z9" s="213"/>
      <c r="AA9" s="213"/>
      <c r="AB9" s="213"/>
      <c r="AC9" s="213"/>
      <c r="AD9" s="213"/>
      <c r="AE9" s="213"/>
      <c r="AF9" s="213"/>
      <c r="AG9" s="213"/>
      <c r="AH9" s="213"/>
      <c r="AI9" s="213"/>
      <c r="AJ9" s="213"/>
      <c r="AK9" s="213"/>
      <c r="AL9" s="213"/>
      <c r="AM9" s="213"/>
      <c r="AN9" s="213"/>
      <c r="AO9" s="213"/>
      <c r="AP9" s="213"/>
      <c r="AQ9" s="213"/>
      <c r="AR9" s="213"/>
      <c r="AS9" s="213"/>
      <c r="AT9" s="213"/>
      <c r="AU9" s="213"/>
      <c r="AV9" s="213"/>
      <c r="AW9" s="213"/>
      <c r="AX9" s="213"/>
      <c r="AY9" s="213"/>
      <c r="AZ9" s="213"/>
      <c r="BA9" s="213"/>
      <c r="BB9" s="213"/>
      <c r="BC9" s="78">
        <f>SUMIFS('Operations Support'!$G:$G,'Operations Support'!$B:$B,'Expenditure Study'!BC$7,'Operations Support'!$C:$C,'Expenditure Study'!#REF!)</f>
        <v>0</v>
      </c>
      <c r="BD9" s="78">
        <f>SUMIFS('Operations Support'!$G:$G,'Operations Support'!$B:$B,'Expenditure Study'!BD$7,'Operations Support'!$C:$C,'Expenditure Study'!#REF!)</f>
        <v>0</v>
      </c>
      <c r="BE9" s="78">
        <f>SUMIFS('Operations Support'!$G:$G,'Operations Support'!$B:$B,'Expenditure Study'!BE$7,'Operations Support'!$C:$C,'Expenditure Study'!#REF!)</f>
        <v>0</v>
      </c>
      <c r="BF9" s="78">
        <f>SUMIFS('Operations Support'!$G:$G,'Operations Support'!$B:$B,'Expenditure Study'!BF$7,'Operations Support'!$C:$C,'Expenditure Study'!#REF!)</f>
        <v>0</v>
      </c>
      <c r="BG9" s="78">
        <f>SUMIFS('Operations Support'!$G:$G,'Operations Support'!$B:$B,'Expenditure Study'!BG$7,'Operations Support'!$C:$C,'Expenditure Study'!#REF!)</f>
        <v>0</v>
      </c>
      <c r="BH9" s="214"/>
      <c r="BI9" s="214"/>
      <c r="BJ9" s="214"/>
      <c r="BK9" s="214"/>
      <c r="BL9" s="214"/>
    </row>
    <row r="10" spans="1:64">
      <c r="A10" s="550">
        <v>3</v>
      </c>
      <c r="B10" s="549" t="s">
        <v>7</v>
      </c>
      <c r="C10" s="212">
        <v>1.37</v>
      </c>
      <c r="D10" s="212">
        <v>2.66</v>
      </c>
      <c r="E10" s="212">
        <v>7.51</v>
      </c>
      <c r="F10" s="212">
        <v>10.1</v>
      </c>
      <c r="G10" s="212">
        <v>0</v>
      </c>
      <c r="H10" s="178"/>
      <c r="O10" s="213"/>
      <c r="P10" s="213"/>
      <c r="Q10" s="213"/>
      <c r="R10" s="213"/>
      <c r="S10" s="213"/>
      <c r="T10" s="213"/>
      <c r="U10" s="213"/>
      <c r="V10" s="213"/>
      <c r="W10" s="213"/>
      <c r="X10" s="213"/>
      <c r="Y10" s="213"/>
      <c r="Z10" s="213"/>
      <c r="AA10" s="213"/>
      <c r="AB10" s="213"/>
      <c r="AC10" s="213"/>
      <c r="AD10" s="213"/>
      <c r="AE10" s="213"/>
      <c r="AF10" s="213"/>
      <c r="AG10" s="213"/>
      <c r="AH10" s="213"/>
      <c r="AI10" s="213"/>
      <c r="AJ10" s="213"/>
      <c r="AK10" s="213"/>
      <c r="AL10" s="213"/>
      <c r="AM10" s="213"/>
      <c r="AN10" s="213"/>
      <c r="AO10" s="213"/>
      <c r="AP10" s="213"/>
      <c r="AQ10" s="213"/>
      <c r="AR10" s="213"/>
      <c r="AS10" s="213"/>
      <c r="AT10" s="213"/>
      <c r="AU10" s="213"/>
      <c r="AV10" s="213"/>
      <c r="AW10" s="213"/>
      <c r="AX10" s="213"/>
      <c r="AY10" s="213"/>
      <c r="AZ10" s="213"/>
      <c r="BA10" s="213"/>
      <c r="BB10" s="213"/>
      <c r="BC10" s="78">
        <f>SUMIFS('Operations Support'!$G:$G,'Operations Support'!$B:$B,'Expenditure Study'!BC$7,'Operations Support'!$C:$C,'Expenditure Study'!#REF!)</f>
        <v>0</v>
      </c>
      <c r="BD10" s="78">
        <f>SUMIFS('Operations Support'!$G:$G,'Operations Support'!$B:$B,'Expenditure Study'!BD$7,'Operations Support'!$C:$C,'Expenditure Study'!#REF!)</f>
        <v>0</v>
      </c>
      <c r="BE10" s="78">
        <f>SUMIFS('Operations Support'!$G:$G,'Operations Support'!$B:$B,'Expenditure Study'!BE$7,'Operations Support'!$C:$C,'Expenditure Study'!#REF!)</f>
        <v>0</v>
      </c>
      <c r="BF10" s="78">
        <f>SUMIFS('Operations Support'!$G:$G,'Operations Support'!$B:$B,'Expenditure Study'!BF$7,'Operations Support'!$C:$C,'Expenditure Study'!#REF!)</f>
        <v>0</v>
      </c>
      <c r="BG10" s="78">
        <f>SUMIFS('Operations Support'!$G:$G,'Operations Support'!$B:$B,'Expenditure Study'!BG$7,'Operations Support'!$C:$C,'Expenditure Study'!#REF!)</f>
        <v>0</v>
      </c>
      <c r="BH10" s="214"/>
      <c r="BI10" s="214"/>
      <c r="BJ10" s="214"/>
      <c r="BK10" s="214"/>
      <c r="BL10" s="214"/>
    </row>
    <row r="11" spans="1:64">
      <c r="A11" s="550">
        <v>4</v>
      </c>
      <c r="B11" s="549" t="s">
        <v>8</v>
      </c>
      <c r="C11" s="212">
        <v>1.26</v>
      </c>
      <c r="D11" s="212">
        <v>1.9</v>
      </c>
      <c r="E11" s="212">
        <v>2.2400000000000002</v>
      </c>
      <c r="F11" s="212">
        <v>7.82</v>
      </c>
      <c r="G11" s="212">
        <v>0</v>
      </c>
      <c r="H11" s="178"/>
      <c r="O11" s="213"/>
      <c r="P11" s="213"/>
      <c r="Q11" s="213"/>
      <c r="R11" s="213"/>
      <c r="S11" s="213"/>
      <c r="T11" s="213"/>
      <c r="U11" s="213"/>
      <c r="V11" s="213"/>
      <c r="W11" s="213"/>
      <c r="X11" s="213"/>
      <c r="Y11" s="213"/>
      <c r="Z11" s="213"/>
      <c r="AA11" s="213"/>
      <c r="AB11" s="213"/>
      <c r="AC11" s="213"/>
      <c r="AD11" s="213"/>
      <c r="AE11" s="213"/>
      <c r="AF11" s="213"/>
      <c r="AG11" s="213"/>
      <c r="AH11" s="213"/>
      <c r="AI11" s="213"/>
      <c r="AJ11" s="213"/>
      <c r="AK11" s="213"/>
      <c r="AL11" s="213"/>
      <c r="AM11" s="213"/>
      <c r="AN11" s="213"/>
      <c r="AO11" s="213"/>
      <c r="AP11" s="213"/>
      <c r="AQ11" s="213"/>
      <c r="AR11" s="213"/>
      <c r="AS11" s="213"/>
      <c r="AT11" s="213"/>
      <c r="AU11" s="213"/>
      <c r="AV11" s="213"/>
      <c r="AW11" s="213"/>
      <c r="AX11" s="213"/>
      <c r="AY11" s="213"/>
      <c r="AZ11" s="213"/>
      <c r="BA11" s="213"/>
      <c r="BB11" s="213"/>
      <c r="BC11" s="78">
        <f>SUMIFS('Operations Support'!$G:$G,'Operations Support'!$B:$B,'Expenditure Study'!BC$7,'Operations Support'!$C:$C,'Expenditure Study'!#REF!)</f>
        <v>0</v>
      </c>
      <c r="BD11" s="78">
        <f>SUMIFS('Operations Support'!$G:$G,'Operations Support'!$B:$B,'Expenditure Study'!BD$7,'Operations Support'!$C:$C,'Expenditure Study'!#REF!)</f>
        <v>0</v>
      </c>
      <c r="BE11" s="78">
        <f>SUMIFS('Operations Support'!$G:$G,'Operations Support'!$B:$B,'Expenditure Study'!BE$7,'Operations Support'!$C:$C,'Expenditure Study'!#REF!)</f>
        <v>0</v>
      </c>
      <c r="BF11" s="78">
        <f>SUMIFS('Operations Support'!$G:$G,'Operations Support'!$B:$B,'Expenditure Study'!BF$7,'Operations Support'!$C:$C,'Expenditure Study'!#REF!)</f>
        <v>0</v>
      </c>
      <c r="BG11" s="78">
        <f>SUMIFS('Operations Support'!$G:$G,'Operations Support'!$B:$B,'Expenditure Study'!BG$7,'Operations Support'!$C:$C,'Expenditure Study'!#REF!)</f>
        <v>0</v>
      </c>
      <c r="BH11" s="214"/>
      <c r="BI11" s="214"/>
      <c r="BJ11" s="214"/>
      <c r="BK11" s="214"/>
      <c r="BL11" s="214"/>
    </row>
    <row r="12" spans="1:64">
      <c r="A12" s="550">
        <v>5</v>
      </c>
      <c r="B12" s="549" t="s">
        <v>9</v>
      </c>
      <c r="C12" s="212">
        <v>1.48</v>
      </c>
      <c r="D12" s="212">
        <v>2.27</v>
      </c>
      <c r="E12" s="212">
        <v>9.17</v>
      </c>
      <c r="F12" s="212">
        <v>14.47</v>
      </c>
      <c r="G12" s="212">
        <v>0</v>
      </c>
      <c r="H12" s="178"/>
      <c r="O12" s="213"/>
      <c r="P12" s="213"/>
      <c r="Q12" s="213"/>
      <c r="R12" s="213"/>
      <c r="S12" s="213"/>
      <c r="T12" s="213"/>
      <c r="U12" s="213"/>
      <c r="V12" s="213"/>
      <c r="W12" s="213"/>
      <c r="X12" s="213"/>
      <c r="Y12" s="213"/>
      <c r="Z12" s="213"/>
      <c r="AA12" s="213"/>
      <c r="AB12" s="213"/>
      <c r="AC12" s="213"/>
      <c r="AD12" s="213"/>
      <c r="AE12" s="213"/>
      <c r="AF12" s="213"/>
      <c r="AG12" s="213"/>
      <c r="AH12" s="213"/>
      <c r="AI12" s="213"/>
      <c r="AJ12" s="213"/>
      <c r="AK12" s="213"/>
      <c r="AL12" s="213"/>
      <c r="AM12" s="213"/>
      <c r="AN12" s="213"/>
      <c r="AO12" s="213"/>
      <c r="AP12" s="213"/>
      <c r="AQ12" s="213"/>
      <c r="AR12" s="213"/>
      <c r="AS12" s="213"/>
      <c r="AT12" s="213"/>
      <c r="AU12" s="213"/>
      <c r="AV12" s="213"/>
      <c r="AW12" s="213"/>
      <c r="AX12" s="213"/>
      <c r="AY12" s="213"/>
      <c r="AZ12" s="213"/>
      <c r="BA12" s="213"/>
      <c r="BB12" s="213"/>
      <c r="BC12" s="78">
        <f>SUMIFS('Operations Support'!$G:$G,'Operations Support'!$B:$B,'Expenditure Study'!BC$7,'Operations Support'!$C:$C,'Expenditure Study'!#REF!)</f>
        <v>0</v>
      </c>
      <c r="BD12" s="78">
        <f>SUMIFS('Operations Support'!$G:$G,'Operations Support'!$B:$B,'Expenditure Study'!BD$7,'Operations Support'!$C:$C,'Expenditure Study'!#REF!)</f>
        <v>0</v>
      </c>
      <c r="BE12" s="78">
        <f>SUMIFS('Operations Support'!$G:$G,'Operations Support'!$B:$B,'Expenditure Study'!BE$7,'Operations Support'!$C:$C,'Expenditure Study'!#REF!)</f>
        <v>0</v>
      </c>
      <c r="BF12" s="78">
        <f>SUMIFS('Operations Support'!$G:$G,'Operations Support'!$B:$B,'Expenditure Study'!BF$7,'Operations Support'!$C:$C,'Expenditure Study'!#REF!)</f>
        <v>0</v>
      </c>
      <c r="BG12" s="78">
        <f>SUMIFS('Operations Support'!$G:$G,'Operations Support'!$B:$B,'Expenditure Study'!BG$7,'Operations Support'!$C:$C,'Expenditure Study'!#REF!)</f>
        <v>0</v>
      </c>
      <c r="BH12" s="214"/>
      <c r="BI12" s="214"/>
      <c r="BJ12" s="214"/>
      <c r="BK12" s="214"/>
      <c r="BL12" s="214"/>
    </row>
    <row r="13" spans="1:64">
      <c r="A13" s="550">
        <v>6</v>
      </c>
      <c r="B13" s="549" t="s">
        <v>10</v>
      </c>
      <c r="C13" s="212">
        <v>1.76</v>
      </c>
      <c r="D13" s="212">
        <v>2.8</v>
      </c>
      <c r="E13" s="212">
        <v>6.91</v>
      </c>
      <c r="F13" s="212">
        <v>18.79</v>
      </c>
      <c r="G13" s="212">
        <v>0</v>
      </c>
      <c r="H13" s="178"/>
      <c r="O13" s="213"/>
      <c r="P13" s="213"/>
      <c r="Q13" s="213"/>
      <c r="R13" s="213"/>
      <c r="S13" s="213"/>
      <c r="T13" s="213"/>
      <c r="U13" s="213"/>
      <c r="V13" s="213"/>
      <c r="W13" s="213"/>
      <c r="X13" s="213"/>
      <c r="Y13" s="213"/>
      <c r="Z13" s="213"/>
      <c r="AA13" s="213"/>
      <c r="AB13" s="213"/>
      <c r="AC13" s="213"/>
      <c r="AD13" s="213"/>
      <c r="AE13" s="213"/>
      <c r="AF13" s="213"/>
      <c r="AG13" s="213"/>
      <c r="AH13" s="213"/>
      <c r="AI13" s="213"/>
      <c r="AJ13" s="213"/>
      <c r="AK13" s="213"/>
      <c r="AL13" s="213"/>
      <c r="AM13" s="213"/>
      <c r="AN13" s="213"/>
      <c r="AO13" s="213"/>
      <c r="AP13" s="213"/>
      <c r="AQ13" s="213"/>
      <c r="AR13" s="213"/>
      <c r="AS13" s="213"/>
      <c r="AT13" s="213"/>
      <c r="AU13" s="213"/>
      <c r="AV13" s="213"/>
      <c r="AW13" s="213"/>
      <c r="AX13" s="213"/>
      <c r="AY13" s="213"/>
      <c r="AZ13" s="213"/>
      <c r="BA13" s="213"/>
      <c r="BB13" s="213"/>
      <c r="BC13" s="78">
        <f>SUMIFS('Operations Support'!$G:$G,'Operations Support'!$B:$B,'Expenditure Study'!BC$7,'Operations Support'!$C:$C,'Expenditure Study'!#REF!)</f>
        <v>0</v>
      </c>
      <c r="BD13" s="78">
        <f>SUMIFS('Operations Support'!$G:$G,'Operations Support'!$B:$B,'Expenditure Study'!BD$7,'Operations Support'!$C:$C,'Expenditure Study'!#REF!)</f>
        <v>0</v>
      </c>
      <c r="BE13" s="78">
        <f>SUMIFS('Operations Support'!$G:$G,'Operations Support'!$B:$B,'Expenditure Study'!BE$7,'Operations Support'!$C:$C,'Expenditure Study'!#REF!)</f>
        <v>0</v>
      </c>
      <c r="BF13" s="78">
        <f>SUMIFS('Operations Support'!$G:$G,'Operations Support'!$B:$B,'Expenditure Study'!BF$7,'Operations Support'!$C:$C,'Expenditure Study'!#REF!)</f>
        <v>0</v>
      </c>
      <c r="BG13" s="78">
        <f>SUMIFS('Operations Support'!$G:$G,'Operations Support'!$B:$B,'Expenditure Study'!BG$7,'Operations Support'!$C:$C,'Expenditure Study'!#REF!)</f>
        <v>0</v>
      </c>
      <c r="BH13" s="214"/>
      <c r="BI13" s="214"/>
      <c r="BJ13" s="214"/>
      <c r="BK13" s="214"/>
      <c r="BL13" s="214"/>
    </row>
    <row r="14" spans="1:64">
      <c r="A14" s="550">
        <v>7</v>
      </c>
      <c r="B14" s="549" t="s">
        <v>11</v>
      </c>
      <c r="C14" s="212">
        <v>0.95</v>
      </c>
      <c r="D14" s="212">
        <v>1.8</v>
      </c>
      <c r="E14" s="212">
        <v>3.45</v>
      </c>
      <c r="F14" s="212">
        <v>14.04</v>
      </c>
      <c r="G14" s="212">
        <v>0</v>
      </c>
      <c r="H14" s="178"/>
      <c r="O14" s="213"/>
      <c r="P14" s="213"/>
      <c r="Q14" s="213"/>
      <c r="R14" s="213"/>
      <c r="S14" s="213"/>
      <c r="T14" s="213"/>
      <c r="U14" s="213"/>
      <c r="V14" s="213"/>
      <c r="W14" s="213"/>
      <c r="X14" s="213"/>
      <c r="Y14" s="213"/>
      <c r="Z14" s="213"/>
      <c r="AA14" s="213"/>
      <c r="AB14" s="213"/>
      <c r="AC14" s="213"/>
      <c r="AD14" s="213"/>
      <c r="AE14" s="213"/>
      <c r="AF14" s="213"/>
      <c r="AG14" s="213"/>
      <c r="AH14" s="213"/>
      <c r="AI14" s="213"/>
      <c r="AJ14" s="213"/>
      <c r="AK14" s="213"/>
      <c r="AL14" s="213"/>
      <c r="AM14" s="213"/>
      <c r="AN14" s="213"/>
      <c r="AO14" s="213"/>
      <c r="AP14" s="213"/>
      <c r="AQ14" s="213"/>
      <c r="AR14" s="213"/>
      <c r="AS14" s="213"/>
      <c r="AT14" s="213"/>
      <c r="AU14" s="213"/>
      <c r="AV14" s="213"/>
      <c r="AW14" s="213"/>
      <c r="AX14" s="213"/>
      <c r="AY14" s="213"/>
      <c r="AZ14" s="213"/>
      <c r="BA14" s="213"/>
      <c r="BB14" s="213"/>
      <c r="BC14" s="78">
        <f>SUMIFS('Operations Support'!$G:$G,'Operations Support'!$B:$B,'Expenditure Study'!BC$7,'Operations Support'!$C:$C,'Expenditure Study'!#REF!)</f>
        <v>0</v>
      </c>
      <c r="BD14" s="78">
        <f>SUMIFS('Operations Support'!$G:$G,'Operations Support'!$B:$B,'Expenditure Study'!BD$7,'Operations Support'!$C:$C,'Expenditure Study'!#REF!)</f>
        <v>0</v>
      </c>
      <c r="BE14" s="78">
        <f>SUMIFS('Operations Support'!$G:$G,'Operations Support'!$B:$B,'Expenditure Study'!BE$7,'Operations Support'!$C:$C,'Expenditure Study'!#REF!)</f>
        <v>0</v>
      </c>
      <c r="BF14" s="78">
        <f>SUMIFS('Operations Support'!$G:$G,'Operations Support'!$B:$B,'Expenditure Study'!BF$7,'Operations Support'!$C:$C,'Expenditure Study'!#REF!)</f>
        <v>0</v>
      </c>
      <c r="BG14" s="78">
        <f>SUMIFS('Operations Support'!$G:$G,'Operations Support'!$B:$B,'Expenditure Study'!BG$7,'Operations Support'!$C:$C,'Expenditure Study'!#REF!)</f>
        <v>0</v>
      </c>
      <c r="BH14" s="214"/>
      <c r="BI14" s="214"/>
      <c r="BJ14" s="214"/>
      <c r="BK14" s="214"/>
      <c r="BL14" s="214"/>
    </row>
    <row r="15" spans="1:64">
      <c r="A15" s="550">
        <v>8</v>
      </c>
      <c r="B15" s="549" t="s">
        <v>12</v>
      </c>
      <c r="C15" s="212">
        <v>0</v>
      </c>
      <c r="D15" s="212">
        <v>0</v>
      </c>
      <c r="E15" s="212">
        <v>0</v>
      </c>
      <c r="F15" s="212">
        <v>0</v>
      </c>
      <c r="G15" s="212">
        <v>5.5</v>
      </c>
      <c r="H15" s="178"/>
      <c r="O15" s="213"/>
      <c r="P15" s="213"/>
      <c r="Q15" s="213"/>
      <c r="R15" s="213"/>
      <c r="S15" s="213"/>
      <c r="T15" s="213"/>
      <c r="U15" s="213"/>
      <c r="V15" s="213"/>
      <c r="W15" s="213"/>
      <c r="X15" s="213"/>
      <c r="Y15" s="213"/>
      <c r="Z15" s="213"/>
      <c r="AA15" s="213"/>
      <c r="AB15" s="213"/>
      <c r="AC15" s="213"/>
      <c r="AD15" s="213"/>
      <c r="AE15" s="213"/>
      <c r="AF15" s="213"/>
      <c r="AG15" s="213"/>
      <c r="AH15" s="213"/>
      <c r="AI15" s="213"/>
      <c r="AJ15" s="213"/>
      <c r="AK15" s="213"/>
      <c r="AL15" s="213"/>
      <c r="AM15" s="213"/>
      <c r="AN15" s="213"/>
      <c r="AO15" s="213"/>
      <c r="AP15" s="213"/>
      <c r="AQ15" s="213"/>
      <c r="AR15" s="213"/>
      <c r="AS15" s="213"/>
      <c r="AT15" s="213"/>
      <c r="AU15" s="213"/>
      <c r="AV15" s="213"/>
      <c r="AW15" s="213"/>
      <c r="AX15" s="213"/>
      <c r="AY15" s="213"/>
      <c r="AZ15" s="213"/>
      <c r="BA15" s="213"/>
      <c r="BB15" s="213"/>
      <c r="BC15" s="78">
        <f>SUMIFS('Operations Support'!$G:$G,'Operations Support'!$B:$B,'Expenditure Study'!BC$7,'Operations Support'!$C:$C,'Expenditure Study'!#REF!)</f>
        <v>0</v>
      </c>
      <c r="BD15" s="78">
        <f>SUMIFS('Operations Support'!$G:$G,'Operations Support'!$B:$B,'Expenditure Study'!BD$7,'Operations Support'!$C:$C,'Expenditure Study'!#REF!)</f>
        <v>0</v>
      </c>
      <c r="BE15" s="78">
        <f>SUMIFS('Operations Support'!$G:$G,'Operations Support'!$B:$B,'Expenditure Study'!BE$7,'Operations Support'!$C:$C,'Expenditure Study'!#REF!)</f>
        <v>0</v>
      </c>
      <c r="BF15" s="78">
        <f>SUMIFS('Operations Support'!$G:$G,'Operations Support'!$B:$B,'Expenditure Study'!BF$7,'Operations Support'!$C:$C,'Expenditure Study'!#REF!)</f>
        <v>0</v>
      </c>
      <c r="BG15" s="78">
        <f>SUMIFS('Operations Support'!$G:$G,'Operations Support'!$B:$B,'Expenditure Study'!BG$7,'Operations Support'!$C:$C,'Expenditure Study'!#REF!)</f>
        <v>0</v>
      </c>
      <c r="BH15" s="214"/>
      <c r="BI15" s="214"/>
      <c r="BJ15" s="214"/>
      <c r="BK15" s="214"/>
      <c r="BL15" s="214"/>
    </row>
    <row r="16" spans="1:64">
      <c r="A16" s="550">
        <v>9</v>
      </c>
      <c r="B16" s="549" t="s">
        <v>13</v>
      </c>
      <c r="C16" s="212">
        <v>1.58</v>
      </c>
      <c r="D16" s="212">
        <v>1.91</v>
      </c>
      <c r="E16" s="212">
        <v>2.44</v>
      </c>
      <c r="F16" s="212">
        <v>29.07</v>
      </c>
      <c r="G16" s="212">
        <v>0</v>
      </c>
      <c r="H16" s="178"/>
      <c r="O16" s="213"/>
      <c r="P16" s="213"/>
      <c r="Q16" s="213"/>
      <c r="R16" s="213"/>
      <c r="S16" s="213"/>
      <c r="T16" s="213"/>
      <c r="U16" s="213"/>
      <c r="V16" s="213"/>
      <c r="W16" s="213"/>
      <c r="X16" s="213"/>
      <c r="Y16" s="213"/>
      <c r="Z16" s="213"/>
      <c r="AA16" s="213"/>
      <c r="AB16" s="213"/>
      <c r="AC16" s="213"/>
      <c r="AD16" s="213"/>
      <c r="AE16" s="213"/>
      <c r="AF16" s="213"/>
      <c r="AG16" s="213"/>
      <c r="AH16" s="213"/>
      <c r="AI16" s="213"/>
      <c r="AJ16" s="213"/>
      <c r="AK16" s="213"/>
      <c r="AL16" s="213"/>
      <c r="AM16" s="213"/>
      <c r="AN16" s="213"/>
      <c r="AO16" s="213"/>
      <c r="AP16" s="213"/>
      <c r="AQ16" s="213"/>
      <c r="AR16" s="213"/>
      <c r="AS16" s="213"/>
      <c r="AT16" s="213"/>
      <c r="AU16" s="213"/>
      <c r="AV16" s="213"/>
      <c r="AW16" s="213"/>
      <c r="AX16" s="213"/>
      <c r="AY16" s="213"/>
      <c r="AZ16" s="213"/>
      <c r="BA16" s="213"/>
      <c r="BB16" s="213"/>
      <c r="BC16" s="78">
        <f>SUMIFS('Operations Support'!$G:$G,'Operations Support'!$B:$B,'Expenditure Study'!BC$7,'Operations Support'!$C:$C,'Expenditure Study'!#REF!)</f>
        <v>0</v>
      </c>
      <c r="BD16" s="78">
        <f>SUMIFS('Operations Support'!$G:$G,'Operations Support'!$B:$B,'Expenditure Study'!BD$7,'Operations Support'!$C:$C,'Expenditure Study'!#REF!)</f>
        <v>0</v>
      </c>
      <c r="BE16" s="78">
        <f>SUMIFS('Operations Support'!$G:$G,'Operations Support'!$B:$B,'Expenditure Study'!BE$7,'Operations Support'!$C:$C,'Expenditure Study'!#REF!)</f>
        <v>0</v>
      </c>
      <c r="BF16" s="78">
        <f>SUMIFS('Operations Support'!$G:$G,'Operations Support'!$B:$B,'Expenditure Study'!BF$7,'Operations Support'!$C:$C,'Expenditure Study'!#REF!)</f>
        <v>0</v>
      </c>
      <c r="BG16" s="78">
        <f>SUMIFS('Operations Support'!$G:$G,'Operations Support'!$B:$B,'Expenditure Study'!BG$7,'Operations Support'!$C:$C,'Expenditure Study'!#REF!)</f>
        <v>0</v>
      </c>
      <c r="BH16" s="214"/>
      <c r="BI16" s="214"/>
      <c r="BJ16" s="214"/>
      <c r="BK16" s="214"/>
      <c r="BL16" s="214"/>
    </row>
    <row r="17" spans="1:64">
      <c r="A17" s="550">
        <v>10</v>
      </c>
      <c r="B17" s="549" t="s">
        <v>14</v>
      </c>
      <c r="C17" s="212">
        <v>3.33</v>
      </c>
      <c r="D17" s="212">
        <v>1.92</v>
      </c>
      <c r="E17" s="212">
        <v>3.69</v>
      </c>
      <c r="F17" s="212">
        <v>26.48</v>
      </c>
      <c r="G17" s="212">
        <v>0</v>
      </c>
      <c r="H17" s="178"/>
      <c r="O17" s="213"/>
      <c r="P17" s="213"/>
      <c r="Q17" s="213"/>
      <c r="R17" s="213"/>
      <c r="S17" s="213"/>
      <c r="T17" s="213"/>
      <c r="U17" s="213"/>
      <c r="V17" s="213"/>
      <c r="W17" s="213"/>
      <c r="X17" s="213"/>
      <c r="Y17" s="213"/>
      <c r="Z17" s="213"/>
      <c r="AA17" s="213"/>
      <c r="AB17" s="213"/>
      <c r="AC17" s="213"/>
      <c r="AD17" s="213"/>
      <c r="AE17" s="213"/>
      <c r="AF17" s="213"/>
      <c r="AG17" s="213"/>
      <c r="AH17" s="213"/>
      <c r="AI17" s="213"/>
      <c r="AJ17" s="213"/>
      <c r="AK17" s="213"/>
      <c r="AL17" s="213"/>
      <c r="AM17" s="213"/>
      <c r="AN17" s="213"/>
      <c r="AO17" s="213"/>
      <c r="AP17" s="213"/>
      <c r="AQ17" s="213"/>
      <c r="AR17" s="213"/>
      <c r="AS17" s="213"/>
      <c r="AT17" s="213"/>
      <c r="AU17" s="213"/>
      <c r="AV17" s="213"/>
      <c r="AW17" s="213"/>
      <c r="AX17" s="213"/>
      <c r="AY17" s="213"/>
      <c r="AZ17" s="213"/>
      <c r="BA17" s="213"/>
      <c r="BB17" s="213"/>
      <c r="BC17" s="78">
        <f>SUMIFS('Operations Support'!$G:$G,'Operations Support'!$B:$B,'Expenditure Study'!BC$7,'Operations Support'!$C:$C,'Expenditure Study'!#REF!)</f>
        <v>0</v>
      </c>
      <c r="BD17" s="78">
        <f>SUMIFS('Operations Support'!$G:$G,'Operations Support'!$B:$B,'Expenditure Study'!BD$7,'Operations Support'!$C:$C,'Expenditure Study'!#REF!)</f>
        <v>0</v>
      </c>
      <c r="BE17" s="78">
        <f>SUMIFS('Operations Support'!$G:$G,'Operations Support'!$B:$B,'Expenditure Study'!BE$7,'Operations Support'!$C:$C,'Expenditure Study'!#REF!)</f>
        <v>0</v>
      </c>
      <c r="BF17" s="78">
        <f>SUMIFS('Operations Support'!$G:$G,'Operations Support'!$B:$B,'Expenditure Study'!BF$7,'Operations Support'!$C:$C,'Expenditure Study'!#REF!)</f>
        <v>0</v>
      </c>
      <c r="BG17" s="78">
        <f>SUMIFS('Operations Support'!$G:$G,'Operations Support'!$B:$B,'Expenditure Study'!BG$7,'Operations Support'!$C:$C,'Expenditure Study'!#REF!)</f>
        <v>0</v>
      </c>
      <c r="BH17" s="214"/>
      <c r="BI17" s="214"/>
      <c r="BJ17" s="214"/>
      <c r="BK17" s="214"/>
      <c r="BL17" s="214"/>
    </row>
    <row r="18" spans="1:64">
      <c r="A18" s="550">
        <v>11</v>
      </c>
      <c r="B18" s="549" t="s">
        <v>24</v>
      </c>
      <c r="C18" s="212">
        <v>0</v>
      </c>
      <c r="D18" s="212">
        <v>0</v>
      </c>
      <c r="E18" s="212">
        <v>0</v>
      </c>
      <c r="F18" s="212">
        <v>0</v>
      </c>
      <c r="G18" s="212">
        <v>21.71</v>
      </c>
      <c r="H18" s="178"/>
      <c r="O18" s="213"/>
      <c r="P18" s="213"/>
      <c r="Q18" s="213"/>
      <c r="R18" s="213"/>
      <c r="S18" s="213"/>
      <c r="T18" s="213"/>
      <c r="U18" s="213"/>
      <c r="V18" s="213"/>
      <c r="W18" s="213"/>
      <c r="X18" s="213"/>
      <c r="Y18" s="213"/>
      <c r="Z18" s="213"/>
      <c r="AA18" s="213"/>
      <c r="AB18" s="213"/>
      <c r="AC18" s="213"/>
      <c r="AD18" s="213"/>
      <c r="AE18" s="213"/>
      <c r="AF18" s="213"/>
      <c r="AG18" s="213"/>
      <c r="AH18" s="213"/>
      <c r="AI18" s="213"/>
      <c r="AJ18" s="213"/>
      <c r="AK18" s="213"/>
      <c r="AL18" s="213"/>
      <c r="AM18" s="213"/>
      <c r="AN18" s="213"/>
      <c r="AO18" s="213"/>
      <c r="AP18" s="213"/>
      <c r="AQ18" s="213"/>
      <c r="AR18" s="213"/>
      <c r="AS18" s="213"/>
      <c r="AT18" s="213"/>
      <c r="AU18" s="213"/>
      <c r="AV18" s="213"/>
      <c r="AW18" s="213"/>
      <c r="AX18" s="213"/>
      <c r="AY18" s="213"/>
      <c r="AZ18" s="213"/>
      <c r="BA18" s="213"/>
      <c r="BB18" s="213"/>
      <c r="BC18" s="78">
        <f>SUMIFS('Operations Support'!$G:$G,'Operations Support'!$B:$B,'Expenditure Study'!BC$7,'Operations Support'!$C:$C,'Expenditure Study'!#REF!)</f>
        <v>0</v>
      </c>
      <c r="BD18" s="78">
        <f>SUMIFS('Operations Support'!$G:$G,'Operations Support'!$B:$B,'Expenditure Study'!BD$7,'Operations Support'!$C:$C,'Expenditure Study'!#REF!)</f>
        <v>0</v>
      </c>
      <c r="BE18" s="78">
        <f>SUMIFS('Operations Support'!$G:$G,'Operations Support'!$B:$B,'Expenditure Study'!BE$7,'Operations Support'!$C:$C,'Expenditure Study'!#REF!)</f>
        <v>0</v>
      </c>
      <c r="BF18" s="78">
        <f>SUMIFS('Operations Support'!$G:$G,'Operations Support'!$B:$B,'Expenditure Study'!BF$7,'Operations Support'!$C:$C,'Expenditure Study'!#REF!)</f>
        <v>0</v>
      </c>
      <c r="BG18" s="78">
        <f>SUMIFS('Operations Support'!$G:$G,'Operations Support'!$B:$B,'Expenditure Study'!BG$7,'Operations Support'!$C:$C,'Expenditure Study'!#REF!)</f>
        <v>0</v>
      </c>
      <c r="BH18" s="214"/>
      <c r="BI18" s="214"/>
      <c r="BJ18" s="214"/>
      <c r="BK18" s="214"/>
      <c r="BL18" s="214"/>
    </row>
    <row r="19" spans="1:64">
      <c r="A19" s="550">
        <v>12</v>
      </c>
      <c r="B19" s="549" t="s">
        <v>15</v>
      </c>
      <c r="C19" s="212">
        <v>1.52</v>
      </c>
      <c r="D19" s="212">
        <v>3.52</v>
      </c>
      <c r="E19" s="212">
        <v>0</v>
      </c>
      <c r="F19" s="212">
        <v>0</v>
      </c>
      <c r="G19" s="212">
        <v>0</v>
      </c>
      <c r="H19" s="178"/>
      <c r="O19" s="213"/>
      <c r="P19" s="213"/>
      <c r="Q19" s="213"/>
      <c r="R19" s="213"/>
      <c r="S19" s="213"/>
      <c r="T19" s="213"/>
      <c r="U19" s="213"/>
      <c r="V19" s="213"/>
      <c r="W19" s="213"/>
      <c r="X19" s="213"/>
      <c r="Y19" s="213"/>
      <c r="Z19" s="213"/>
      <c r="AA19" s="213"/>
      <c r="AB19" s="213"/>
      <c r="AC19" s="213"/>
      <c r="AD19" s="213"/>
      <c r="AE19" s="213"/>
      <c r="AF19" s="213"/>
      <c r="AG19" s="213"/>
      <c r="AH19" s="213"/>
      <c r="AI19" s="213"/>
      <c r="AJ19" s="213"/>
      <c r="AK19" s="213"/>
      <c r="AL19" s="213"/>
      <c r="AM19" s="213"/>
      <c r="AN19" s="213"/>
      <c r="AO19" s="213"/>
      <c r="AP19" s="213"/>
      <c r="AQ19" s="213"/>
      <c r="AR19" s="213"/>
      <c r="AS19" s="213"/>
      <c r="AT19" s="213"/>
      <c r="AU19" s="213"/>
      <c r="AV19" s="213"/>
      <c r="AW19" s="213"/>
      <c r="AX19" s="213"/>
      <c r="AY19" s="213"/>
      <c r="AZ19" s="213"/>
      <c r="BA19" s="213"/>
      <c r="BB19" s="213"/>
      <c r="BC19" s="78">
        <f>SUMIFS('Operations Support'!$G:$G,'Operations Support'!$B:$B,'Expenditure Study'!BC$7,'Operations Support'!$C:$C,'Expenditure Study'!#REF!)</f>
        <v>0</v>
      </c>
      <c r="BD19" s="78">
        <f>SUMIFS('Operations Support'!$G:$G,'Operations Support'!$B:$B,'Expenditure Study'!BD$7,'Operations Support'!$C:$C,'Expenditure Study'!#REF!)</f>
        <v>0</v>
      </c>
      <c r="BE19" s="78">
        <f>SUMIFS('Operations Support'!$G:$G,'Operations Support'!$B:$B,'Expenditure Study'!BE$7,'Operations Support'!$C:$C,'Expenditure Study'!#REF!)</f>
        <v>0</v>
      </c>
      <c r="BF19" s="78">
        <f>SUMIFS('Operations Support'!$G:$G,'Operations Support'!$B:$B,'Expenditure Study'!BF$7,'Operations Support'!$C:$C,'Expenditure Study'!#REF!)</f>
        <v>0</v>
      </c>
      <c r="BG19" s="78">
        <f>SUMIFS('Operations Support'!$G:$G,'Operations Support'!$B:$B,'Expenditure Study'!BG$7,'Operations Support'!$C:$C,'Expenditure Study'!#REF!)</f>
        <v>0</v>
      </c>
      <c r="BH19" s="214"/>
      <c r="BI19" s="214"/>
      <c r="BJ19" s="214"/>
      <c r="BK19" s="214"/>
      <c r="BL19" s="214"/>
    </row>
    <row r="20" spans="1:64">
      <c r="A20" s="550">
        <v>13</v>
      </c>
      <c r="B20" s="549" t="s">
        <v>16</v>
      </c>
      <c r="C20" s="212">
        <v>1.62</v>
      </c>
      <c r="D20" s="212">
        <v>1.97</v>
      </c>
      <c r="E20" s="212">
        <v>0</v>
      </c>
      <c r="F20" s="212">
        <v>0</v>
      </c>
      <c r="G20" s="212">
        <v>0</v>
      </c>
      <c r="H20" s="178"/>
      <c r="O20" s="213"/>
      <c r="P20" s="213"/>
      <c r="Q20" s="213"/>
      <c r="R20" s="213"/>
      <c r="S20" s="213"/>
      <c r="T20" s="213"/>
      <c r="U20" s="213"/>
      <c r="V20" s="213"/>
      <c r="W20" s="213"/>
      <c r="X20" s="213"/>
      <c r="Y20" s="213"/>
      <c r="Z20" s="213"/>
      <c r="AA20" s="213"/>
      <c r="AB20" s="213"/>
      <c r="AC20" s="213"/>
      <c r="AD20" s="213"/>
      <c r="AE20" s="213"/>
      <c r="AF20" s="213"/>
      <c r="AG20" s="213"/>
      <c r="AH20" s="213"/>
      <c r="AI20" s="213"/>
      <c r="AJ20" s="213"/>
      <c r="AK20" s="213"/>
      <c r="AL20" s="213"/>
      <c r="AM20" s="213"/>
      <c r="AN20" s="213"/>
      <c r="AO20" s="213"/>
      <c r="AP20" s="213"/>
      <c r="AQ20" s="213"/>
      <c r="AR20" s="213"/>
      <c r="AS20" s="213"/>
      <c r="AT20" s="213"/>
      <c r="AU20" s="213"/>
      <c r="AV20" s="213"/>
      <c r="AW20" s="213"/>
      <c r="AX20" s="213"/>
      <c r="AY20" s="213"/>
      <c r="AZ20" s="213"/>
      <c r="BA20" s="213"/>
      <c r="BB20" s="213"/>
      <c r="BC20" s="78">
        <f>SUMIFS('Operations Support'!$G:$G,'Operations Support'!$B:$B,'Expenditure Study'!BC$7,'Operations Support'!$C:$C,'Expenditure Study'!#REF!)</f>
        <v>0</v>
      </c>
      <c r="BD20" s="78">
        <f>SUMIFS('Operations Support'!$G:$G,'Operations Support'!$B:$B,'Expenditure Study'!BD$7,'Operations Support'!$C:$C,'Expenditure Study'!#REF!)</f>
        <v>0</v>
      </c>
      <c r="BE20" s="78">
        <f>SUMIFS('Operations Support'!$G:$G,'Operations Support'!$B:$B,'Expenditure Study'!BE$7,'Operations Support'!$C:$C,'Expenditure Study'!#REF!)</f>
        <v>0</v>
      </c>
      <c r="BF20" s="78">
        <f>SUMIFS('Operations Support'!$G:$G,'Operations Support'!$B:$B,'Expenditure Study'!BF$7,'Operations Support'!$C:$C,'Expenditure Study'!#REF!)</f>
        <v>0</v>
      </c>
      <c r="BG20" s="78">
        <f>SUMIFS('Operations Support'!$G:$G,'Operations Support'!$B:$B,'Expenditure Study'!BG$7,'Operations Support'!$C:$C,'Expenditure Study'!#REF!)</f>
        <v>0</v>
      </c>
      <c r="BH20" s="214"/>
      <c r="BI20" s="214"/>
      <c r="BJ20" s="214"/>
      <c r="BK20" s="214"/>
      <c r="BL20" s="214"/>
    </row>
    <row r="21" spans="1:64">
      <c r="A21" s="550">
        <v>14</v>
      </c>
      <c r="B21" s="549" t="s">
        <v>17</v>
      </c>
      <c r="C21" s="212">
        <v>0.96</v>
      </c>
      <c r="D21" s="212">
        <v>1.61</v>
      </c>
      <c r="E21" s="212">
        <v>2.62</v>
      </c>
      <c r="F21" s="212">
        <v>9.1999999999999993</v>
      </c>
      <c r="G21" s="212">
        <v>3.28</v>
      </c>
      <c r="H21" s="178"/>
      <c r="O21" s="213"/>
      <c r="P21" s="213"/>
      <c r="Q21" s="213"/>
      <c r="R21" s="213"/>
      <c r="S21" s="213"/>
      <c r="T21" s="213"/>
      <c r="U21" s="213"/>
      <c r="V21" s="213"/>
      <c r="W21" s="213"/>
      <c r="X21" s="213"/>
      <c r="Y21" s="213"/>
      <c r="Z21" s="213"/>
      <c r="AA21" s="213"/>
      <c r="AB21" s="213"/>
      <c r="AC21" s="213"/>
      <c r="AD21" s="213"/>
      <c r="AE21" s="213"/>
      <c r="AF21" s="213"/>
      <c r="AG21" s="213"/>
      <c r="AH21" s="213"/>
      <c r="AI21" s="213"/>
      <c r="AJ21" s="213"/>
      <c r="AK21" s="213"/>
      <c r="AL21" s="213"/>
      <c r="AM21" s="213"/>
      <c r="AN21" s="213"/>
      <c r="AO21" s="213"/>
      <c r="AP21" s="213"/>
      <c r="AQ21" s="213"/>
      <c r="AR21" s="213"/>
      <c r="AS21" s="213"/>
      <c r="AT21" s="213"/>
      <c r="AU21" s="213"/>
      <c r="AV21" s="213"/>
      <c r="AW21" s="213"/>
      <c r="AX21" s="213"/>
      <c r="AY21" s="213"/>
      <c r="AZ21" s="213"/>
      <c r="BA21" s="213"/>
      <c r="BB21" s="213"/>
      <c r="BC21" s="78">
        <f>SUMIFS('Operations Support'!$G:$G,'Operations Support'!$B:$B,'Expenditure Study'!BC$7,'Operations Support'!$C:$C,'Expenditure Study'!#REF!)</f>
        <v>0</v>
      </c>
      <c r="BD21" s="78">
        <f>SUMIFS('Operations Support'!$G:$G,'Operations Support'!$B:$B,'Expenditure Study'!BD$7,'Operations Support'!$C:$C,'Expenditure Study'!#REF!)</f>
        <v>0</v>
      </c>
      <c r="BE21" s="78">
        <f>SUMIFS('Operations Support'!$G:$G,'Operations Support'!$B:$B,'Expenditure Study'!BE$7,'Operations Support'!$C:$C,'Expenditure Study'!#REF!)</f>
        <v>0</v>
      </c>
      <c r="BF21" s="78">
        <f>SUMIFS('Operations Support'!$G:$G,'Operations Support'!$B:$B,'Expenditure Study'!BF$7,'Operations Support'!$C:$C,'Expenditure Study'!#REF!)</f>
        <v>0</v>
      </c>
      <c r="BG21" s="78">
        <f>SUMIFS('Operations Support'!$G:$G,'Operations Support'!$B:$B,'Expenditure Study'!BG$7,'Operations Support'!$C:$C,'Expenditure Study'!#REF!)</f>
        <v>0</v>
      </c>
      <c r="BH21" s="214"/>
      <c r="BI21" s="214"/>
      <c r="BJ21" s="214"/>
      <c r="BK21" s="214"/>
      <c r="BL21" s="214"/>
    </row>
    <row r="22" spans="1:64">
      <c r="A22" s="550">
        <v>15</v>
      </c>
      <c r="B22" s="549" t="s">
        <v>18</v>
      </c>
      <c r="C22" s="212">
        <v>11.64</v>
      </c>
      <c r="D22" s="212">
        <v>4.7300000000000004</v>
      </c>
      <c r="E22" s="212">
        <v>44.01</v>
      </c>
      <c r="F22" s="212">
        <v>52.25</v>
      </c>
      <c r="G22" s="212">
        <v>4.67</v>
      </c>
      <c r="H22" s="178"/>
      <c r="O22" s="213"/>
      <c r="P22" s="213"/>
      <c r="Q22" s="213"/>
      <c r="R22" s="213"/>
      <c r="S22" s="213"/>
      <c r="T22" s="213"/>
      <c r="U22" s="213"/>
      <c r="V22" s="213"/>
      <c r="W22" s="213"/>
      <c r="X22" s="213"/>
      <c r="Y22" s="213"/>
      <c r="Z22" s="213"/>
      <c r="AA22" s="213"/>
      <c r="AB22" s="213"/>
      <c r="AC22" s="213"/>
      <c r="AD22" s="213"/>
      <c r="AE22" s="213"/>
      <c r="AF22" s="213"/>
      <c r="AG22" s="213"/>
      <c r="AH22" s="213"/>
      <c r="AI22" s="213"/>
      <c r="AJ22" s="213"/>
      <c r="AK22" s="213"/>
      <c r="AL22" s="213"/>
      <c r="AM22" s="213"/>
      <c r="AN22" s="213"/>
      <c r="AO22" s="213"/>
      <c r="AP22" s="213"/>
      <c r="AQ22" s="213"/>
      <c r="AR22" s="213"/>
      <c r="AS22" s="213"/>
      <c r="AT22" s="213"/>
      <c r="AU22" s="213"/>
      <c r="AV22" s="213"/>
      <c r="AW22" s="213"/>
      <c r="AX22" s="213"/>
      <c r="AY22" s="213"/>
      <c r="AZ22" s="213"/>
      <c r="BA22" s="213"/>
      <c r="BB22" s="213"/>
      <c r="BC22" s="78">
        <f>SUMIFS('Operations Support'!$G:$G,'Operations Support'!$B:$B,'Expenditure Study'!BC$7,'Operations Support'!$C:$C,'Expenditure Study'!#REF!)</f>
        <v>0</v>
      </c>
      <c r="BD22" s="78">
        <f>SUMIFS('Operations Support'!$G:$G,'Operations Support'!$B:$B,'Expenditure Study'!BD$7,'Operations Support'!$C:$C,'Expenditure Study'!#REF!)</f>
        <v>0</v>
      </c>
      <c r="BE22" s="78">
        <f>SUMIFS('Operations Support'!$G:$G,'Operations Support'!$B:$B,'Expenditure Study'!BE$7,'Operations Support'!$C:$C,'Expenditure Study'!#REF!)</f>
        <v>0</v>
      </c>
      <c r="BF22" s="78">
        <f>SUMIFS('Operations Support'!$G:$G,'Operations Support'!$B:$B,'Expenditure Study'!BF$7,'Operations Support'!$C:$C,'Expenditure Study'!#REF!)</f>
        <v>0</v>
      </c>
      <c r="BG22" s="78">
        <f>SUMIFS('Operations Support'!$G:$G,'Operations Support'!$B:$B,'Expenditure Study'!BG$7,'Operations Support'!$C:$C,'Expenditure Study'!#REF!)</f>
        <v>0</v>
      </c>
      <c r="BH22" s="214"/>
      <c r="BI22" s="214"/>
      <c r="BJ22" s="214"/>
      <c r="BK22" s="214"/>
      <c r="BL22" s="214"/>
    </row>
    <row r="23" spans="1:64">
      <c r="A23" s="550">
        <v>16</v>
      </c>
      <c r="B23" s="549" t="s">
        <v>19</v>
      </c>
      <c r="C23" s="212">
        <v>1.1000000000000001</v>
      </c>
      <c r="D23" s="212">
        <v>1.87</v>
      </c>
      <c r="E23" s="212">
        <v>3.16</v>
      </c>
      <c r="F23" s="212">
        <v>38.06</v>
      </c>
      <c r="G23" s="212">
        <v>0</v>
      </c>
      <c r="H23" s="178"/>
      <c r="O23" s="213"/>
      <c r="P23" s="213"/>
      <c r="Q23" s="213"/>
      <c r="R23" s="213"/>
      <c r="S23" s="213"/>
      <c r="T23" s="213"/>
      <c r="U23" s="213"/>
      <c r="V23" s="213"/>
      <c r="W23" s="213"/>
      <c r="X23" s="213"/>
      <c r="Y23" s="213"/>
      <c r="Z23" s="213"/>
      <c r="AA23" s="213"/>
      <c r="AB23" s="213"/>
      <c r="AC23" s="213"/>
      <c r="AD23" s="213"/>
      <c r="AE23" s="213"/>
      <c r="AF23" s="213"/>
      <c r="AG23" s="213"/>
      <c r="AH23" s="213"/>
      <c r="AI23" s="213"/>
      <c r="AJ23" s="213"/>
      <c r="AK23" s="213"/>
      <c r="AL23" s="213"/>
      <c r="AM23" s="213"/>
      <c r="AN23" s="213"/>
      <c r="AO23" s="213"/>
      <c r="AP23" s="213"/>
      <c r="AQ23" s="213"/>
      <c r="AR23" s="213"/>
      <c r="AS23" s="213"/>
      <c r="AT23" s="213"/>
      <c r="AU23" s="213"/>
      <c r="AV23" s="213"/>
      <c r="AW23" s="213"/>
      <c r="AX23" s="213"/>
      <c r="AY23" s="213"/>
      <c r="AZ23" s="213"/>
      <c r="BA23" s="213"/>
      <c r="BB23" s="213"/>
      <c r="BC23" s="78">
        <f>SUMIFS('Operations Support'!$G:$G,'Operations Support'!$B:$B,'Expenditure Study'!BC$7,'Operations Support'!$C:$C,'Expenditure Study'!#REF!)</f>
        <v>0</v>
      </c>
      <c r="BD23" s="78">
        <f>SUMIFS('Operations Support'!$G:$G,'Operations Support'!$B:$B,'Expenditure Study'!BD$7,'Operations Support'!$C:$C,'Expenditure Study'!#REF!)</f>
        <v>0</v>
      </c>
      <c r="BE23" s="78">
        <f>SUMIFS('Operations Support'!$G:$G,'Operations Support'!$B:$B,'Expenditure Study'!BE$7,'Operations Support'!$C:$C,'Expenditure Study'!#REF!)</f>
        <v>0</v>
      </c>
      <c r="BF23" s="78">
        <f>SUMIFS('Operations Support'!$G:$G,'Operations Support'!$B:$B,'Expenditure Study'!BF$7,'Operations Support'!$C:$C,'Expenditure Study'!#REF!)</f>
        <v>0</v>
      </c>
      <c r="BG23" s="78">
        <f>SUMIFS('Operations Support'!$G:$G,'Operations Support'!$B:$B,'Expenditure Study'!BG$7,'Operations Support'!$C:$C,'Expenditure Study'!#REF!)</f>
        <v>0</v>
      </c>
      <c r="BH23" s="214"/>
      <c r="BI23" s="214"/>
      <c r="BJ23" s="214"/>
      <c r="BK23" s="214"/>
      <c r="BL23" s="214"/>
    </row>
    <row r="24" spans="1:64">
      <c r="A24" s="550">
        <v>17</v>
      </c>
      <c r="B24" s="549" t="s">
        <v>20</v>
      </c>
      <c r="C24" s="212">
        <v>0</v>
      </c>
      <c r="D24" s="212">
        <v>0</v>
      </c>
      <c r="E24" s="212">
        <v>0</v>
      </c>
      <c r="F24" s="212">
        <v>0</v>
      </c>
      <c r="G24" s="212">
        <v>5.17</v>
      </c>
      <c r="H24" s="178"/>
      <c r="O24" s="213"/>
      <c r="P24" s="213"/>
      <c r="Q24" s="213"/>
      <c r="R24" s="213"/>
      <c r="S24" s="213"/>
      <c r="T24" s="213"/>
      <c r="U24" s="213"/>
      <c r="V24" s="213"/>
      <c r="W24" s="213"/>
      <c r="X24" s="213"/>
      <c r="Y24" s="213"/>
      <c r="Z24" s="213"/>
      <c r="AA24" s="213"/>
      <c r="AB24" s="213"/>
      <c r="AC24" s="213"/>
      <c r="AD24" s="213"/>
      <c r="AE24" s="213"/>
      <c r="AF24" s="213"/>
      <c r="AG24" s="213"/>
      <c r="AH24" s="213"/>
      <c r="AI24" s="213"/>
      <c r="AJ24" s="213"/>
      <c r="AK24" s="213"/>
      <c r="AL24" s="213"/>
      <c r="AM24" s="213"/>
      <c r="AN24" s="213"/>
      <c r="AO24" s="213"/>
      <c r="AP24" s="213"/>
      <c r="AQ24" s="213"/>
      <c r="AR24" s="213"/>
      <c r="AS24" s="213"/>
      <c r="AT24" s="213"/>
      <c r="AU24" s="213"/>
      <c r="AV24" s="213"/>
      <c r="AW24" s="213"/>
      <c r="AX24" s="213"/>
      <c r="AY24" s="213"/>
      <c r="AZ24" s="213"/>
      <c r="BA24" s="213"/>
      <c r="BB24" s="213"/>
      <c r="BC24" s="78">
        <f>SUMIFS('Operations Support'!$G:$G,'Operations Support'!$B:$B,'Expenditure Study'!BC$7,'Operations Support'!$C:$C,'Expenditure Study'!#REF!)</f>
        <v>0</v>
      </c>
      <c r="BD24" s="78">
        <f>SUMIFS('Operations Support'!$G:$G,'Operations Support'!$B:$B,'Expenditure Study'!BD$7,'Operations Support'!$C:$C,'Expenditure Study'!#REF!)</f>
        <v>0</v>
      </c>
      <c r="BE24" s="78">
        <f>SUMIFS('Operations Support'!$G:$G,'Operations Support'!$B:$B,'Expenditure Study'!BE$7,'Operations Support'!$C:$C,'Expenditure Study'!#REF!)</f>
        <v>0</v>
      </c>
      <c r="BF24" s="78">
        <f>SUMIFS('Operations Support'!$G:$G,'Operations Support'!$B:$B,'Expenditure Study'!BF$7,'Operations Support'!$C:$C,'Expenditure Study'!#REF!)</f>
        <v>0</v>
      </c>
      <c r="BG24" s="78">
        <f>SUMIFS('Operations Support'!$G:$G,'Operations Support'!$B:$B,'Expenditure Study'!BG$7,'Operations Support'!$C:$C,'Expenditure Study'!#REF!)</f>
        <v>0</v>
      </c>
      <c r="BH24" s="214"/>
      <c r="BI24" s="214"/>
      <c r="BJ24" s="214"/>
      <c r="BK24" s="214"/>
      <c r="BL24" s="214"/>
    </row>
    <row r="25" spans="1:64">
      <c r="A25" s="550">
        <v>18</v>
      </c>
      <c r="B25" s="549" t="s">
        <v>21</v>
      </c>
      <c r="C25" s="212">
        <v>1.97</v>
      </c>
      <c r="D25" s="212">
        <v>2.34</v>
      </c>
      <c r="E25" s="212">
        <v>0</v>
      </c>
      <c r="F25" s="212">
        <v>0</v>
      </c>
      <c r="G25" s="212">
        <v>0</v>
      </c>
      <c r="H25" s="178"/>
      <c r="O25" s="213"/>
      <c r="P25" s="213"/>
      <c r="Q25" s="213"/>
      <c r="R25" s="213"/>
      <c r="S25" s="213"/>
      <c r="T25" s="213"/>
      <c r="U25" s="213"/>
      <c r="V25" s="213"/>
      <c r="W25" s="213"/>
      <c r="X25" s="213"/>
      <c r="Y25" s="213"/>
      <c r="Z25" s="213"/>
      <c r="AA25" s="213"/>
      <c r="AB25" s="213"/>
      <c r="AC25" s="213"/>
      <c r="AD25" s="213"/>
      <c r="AE25" s="213"/>
      <c r="AF25" s="213"/>
      <c r="AG25" s="213"/>
      <c r="AH25" s="213"/>
      <c r="AI25" s="213"/>
      <c r="AJ25" s="213"/>
      <c r="AK25" s="213"/>
      <c r="AL25" s="213"/>
      <c r="AM25" s="213"/>
      <c r="AN25" s="213"/>
      <c r="AO25" s="213"/>
      <c r="AP25" s="213"/>
      <c r="AQ25" s="213"/>
      <c r="AR25" s="213"/>
      <c r="AS25" s="213"/>
      <c r="AT25" s="213"/>
      <c r="AU25" s="213"/>
      <c r="AV25" s="213"/>
      <c r="AW25" s="213"/>
      <c r="AX25" s="213"/>
      <c r="AY25" s="213"/>
      <c r="AZ25" s="213"/>
      <c r="BA25" s="213"/>
      <c r="BB25" s="213"/>
      <c r="BC25" s="78">
        <f>SUMIFS('Operations Support'!$G:$G,'Operations Support'!$B:$B,'Expenditure Study'!BC$7,'Operations Support'!$C:$C,'Expenditure Study'!#REF!)</f>
        <v>0</v>
      </c>
      <c r="BD25" s="78">
        <f>SUMIFS('Operations Support'!$G:$G,'Operations Support'!$B:$B,'Expenditure Study'!BD$7,'Operations Support'!$C:$C,'Expenditure Study'!#REF!)</f>
        <v>0</v>
      </c>
      <c r="BE25" s="78">
        <f>SUMIFS('Operations Support'!$G:$G,'Operations Support'!$B:$B,'Expenditure Study'!BE$7,'Operations Support'!$C:$C,'Expenditure Study'!#REF!)</f>
        <v>0</v>
      </c>
      <c r="BF25" s="78">
        <f>SUMIFS('Operations Support'!$G:$G,'Operations Support'!$B:$B,'Expenditure Study'!BF$7,'Operations Support'!$C:$C,'Expenditure Study'!#REF!)</f>
        <v>0</v>
      </c>
      <c r="BG25" s="78">
        <f>SUMIFS('Operations Support'!$G:$G,'Operations Support'!$B:$B,'Expenditure Study'!BG$7,'Operations Support'!$C:$C,'Expenditure Study'!#REF!)</f>
        <v>0</v>
      </c>
      <c r="BH25" s="214"/>
      <c r="BI25" s="214"/>
      <c r="BJ25" s="214"/>
      <c r="BK25" s="214"/>
      <c r="BL25" s="214"/>
    </row>
    <row r="26" spans="1:64">
      <c r="A26" s="550">
        <v>19</v>
      </c>
      <c r="B26" s="549" t="s">
        <v>22</v>
      </c>
      <c r="C26" s="212">
        <v>1.78</v>
      </c>
      <c r="D26" s="212">
        <v>2.4</v>
      </c>
      <c r="E26" s="212">
        <v>5.84</v>
      </c>
      <c r="F26" s="212">
        <v>15.77</v>
      </c>
      <c r="G26" s="212">
        <v>0</v>
      </c>
      <c r="H26" s="178"/>
      <c r="O26" s="213"/>
      <c r="P26" s="213"/>
      <c r="Q26" s="213"/>
      <c r="R26" s="213"/>
      <c r="S26" s="213"/>
      <c r="T26" s="213"/>
      <c r="U26" s="213"/>
      <c r="V26" s="213"/>
      <c r="W26" s="213"/>
      <c r="X26" s="213"/>
      <c r="Y26" s="213"/>
      <c r="Z26" s="213"/>
      <c r="AA26" s="213"/>
      <c r="AB26" s="213"/>
      <c r="AC26" s="213"/>
      <c r="AD26" s="213"/>
      <c r="AE26" s="213"/>
      <c r="AF26" s="213"/>
      <c r="AG26" s="213"/>
      <c r="AH26" s="213"/>
      <c r="AI26" s="213"/>
      <c r="AJ26" s="213"/>
      <c r="AK26" s="213"/>
      <c r="AL26" s="213"/>
      <c r="AM26" s="213"/>
      <c r="AN26" s="213"/>
      <c r="AO26" s="213"/>
      <c r="AP26" s="213"/>
      <c r="AQ26" s="213"/>
      <c r="AR26" s="213"/>
      <c r="AS26" s="213"/>
      <c r="AT26" s="213"/>
      <c r="AU26" s="213"/>
      <c r="AV26" s="213"/>
      <c r="AW26" s="213"/>
      <c r="AX26" s="213"/>
      <c r="AY26" s="213"/>
      <c r="AZ26" s="213"/>
      <c r="BA26" s="213"/>
      <c r="BB26" s="213"/>
      <c r="BC26" s="78">
        <f>SUMIFS('Operations Support'!$G:$G,'Operations Support'!$B:$B,'Expenditure Study'!BC$7,'Operations Support'!$C:$C,'Expenditure Study'!#REF!)</f>
        <v>0</v>
      </c>
      <c r="BD26" s="78">
        <f>SUMIFS('Operations Support'!$G:$G,'Operations Support'!$B:$B,'Expenditure Study'!BD$7,'Operations Support'!$C:$C,'Expenditure Study'!#REF!)</f>
        <v>0</v>
      </c>
      <c r="BE26" s="78">
        <f>SUMIFS('Operations Support'!$G:$G,'Operations Support'!$B:$B,'Expenditure Study'!BE$7,'Operations Support'!$C:$C,'Expenditure Study'!#REF!)</f>
        <v>0</v>
      </c>
      <c r="BF26" s="78">
        <f>SUMIFS('Operations Support'!$G:$G,'Operations Support'!$B:$B,'Expenditure Study'!BF$7,'Operations Support'!$C:$C,'Expenditure Study'!#REF!)</f>
        <v>0</v>
      </c>
      <c r="BG26" s="78">
        <f>SUMIFS('Operations Support'!$G:$G,'Operations Support'!$B:$B,'Expenditure Study'!BG$7,'Operations Support'!$C:$C,'Expenditure Study'!#REF!)</f>
        <v>0</v>
      </c>
      <c r="BH26" s="214"/>
      <c r="BI26" s="214"/>
      <c r="BJ26" s="214"/>
      <c r="BK26" s="214"/>
      <c r="BL26" s="214"/>
    </row>
    <row r="27" spans="1:64">
      <c r="A27" s="550">
        <v>20</v>
      </c>
      <c r="B27" s="549" t="s">
        <v>23</v>
      </c>
      <c r="C27" s="212">
        <v>1.55</v>
      </c>
      <c r="D27" s="212">
        <v>2.08</v>
      </c>
      <c r="E27" s="212">
        <v>2.72</v>
      </c>
      <c r="F27" s="212">
        <v>9.17</v>
      </c>
      <c r="G27" s="212">
        <v>0</v>
      </c>
      <c r="H27" s="178"/>
      <c r="O27" s="213"/>
      <c r="P27" s="213"/>
      <c r="Q27" s="213"/>
      <c r="R27" s="213"/>
      <c r="S27" s="213"/>
      <c r="T27" s="213"/>
      <c r="U27" s="213"/>
      <c r="V27" s="213"/>
      <c r="W27" s="213"/>
      <c r="X27" s="213"/>
      <c r="Y27" s="213"/>
      <c r="Z27" s="213"/>
      <c r="AA27" s="213"/>
      <c r="AB27" s="213"/>
      <c r="AC27" s="213"/>
      <c r="AD27" s="213"/>
      <c r="AE27" s="213"/>
      <c r="AF27" s="213"/>
      <c r="AG27" s="213"/>
      <c r="AH27" s="213"/>
      <c r="AI27" s="213"/>
      <c r="AJ27" s="213"/>
      <c r="AK27" s="213"/>
      <c r="AL27" s="213"/>
      <c r="AM27" s="213"/>
      <c r="AN27" s="213"/>
      <c r="AO27" s="213"/>
      <c r="AP27" s="213"/>
      <c r="AQ27" s="213"/>
      <c r="AR27" s="213"/>
      <c r="AS27" s="213"/>
      <c r="AT27" s="213"/>
      <c r="AU27" s="213"/>
      <c r="AV27" s="213"/>
      <c r="AW27" s="213"/>
      <c r="AX27" s="213"/>
      <c r="AY27" s="213"/>
      <c r="AZ27" s="213"/>
      <c r="BA27" s="213"/>
      <c r="BB27" s="213"/>
      <c r="BC27" s="78">
        <f>SUMIFS('Operations Support'!$G:$G,'Operations Support'!$B:$B,'Expenditure Study'!BC$7,'Operations Support'!$C:$C,'Expenditure Study'!#REF!)</f>
        <v>0</v>
      </c>
      <c r="BD27" s="78">
        <f>SUMIFS('Operations Support'!$G:$G,'Operations Support'!$B:$B,'Expenditure Study'!BD$7,'Operations Support'!$C:$C,'Expenditure Study'!#REF!)</f>
        <v>0</v>
      </c>
      <c r="BE27" s="78">
        <f>SUMIFS('Operations Support'!$G:$G,'Operations Support'!$B:$B,'Expenditure Study'!BE$7,'Operations Support'!$C:$C,'Expenditure Study'!#REF!)</f>
        <v>0</v>
      </c>
      <c r="BF27" s="78">
        <f>SUMIFS('Operations Support'!$G:$G,'Operations Support'!$B:$B,'Expenditure Study'!BF$7,'Operations Support'!$C:$C,'Expenditure Study'!#REF!)</f>
        <v>0</v>
      </c>
      <c r="BG27" s="78">
        <f>SUMIFS('Operations Support'!$G:$G,'Operations Support'!$B:$B,'Expenditure Study'!BG$7,'Operations Support'!$C:$C,'Expenditure Study'!#REF!)</f>
        <v>0</v>
      </c>
      <c r="BH27" s="214"/>
      <c r="BI27" s="214"/>
      <c r="BJ27" s="214"/>
      <c r="BK27" s="214"/>
      <c r="BL27" s="214"/>
    </row>
    <row r="28" spans="1:64">
      <c r="A28" s="550">
        <v>21</v>
      </c>
      <c r="B28" s="549" t="s">
        <v>5</v>
      </c>
      <c r="C28" s="212">
        <v>1</v>
      </c>
      <c r="D28" s="465"/>
      <c r="E28" s="465">
        <v>0</v>
      </c>
      <c r="F28" s="465">
        <v>0</v>
      </c>
      <c r="G28" s="465">
        <v>0</v>
      </c>
      <c r="H28" s="178"/>
      <c r="O28" s="213"/>
      <c r="P28" s="213"/>
      <c r="Q28" s="213"/>
      <c r="R28" s="213"/>
      <c r="S28" s="213"/>
      <c r="T28" s="213"/>
      <c r="U28" s="213"/>
      <c r="V28" s="213"/>
      <c r="W28" s="213"/>
      <c r="X28" s="213"/>
      <c r="Y28" s="213"/>
      <c r="Z28" s="213"/>
      <c r="AA28" s="213"/>
      <c r="AB28" s="213"/>
      <c r="AC28" s="213"/>
      <c r="AD28" s="213"/>
      <c r="AE28" s="213"/>
      <c r="AF28" s="213"/>
      <c r="AG28" s="213"/>
      <c r="AH28" s="213"/>
      <c r="AI28" s="213"/>
      <c r="AJ28" s="213"/>
      <c r="AK28" s="213"/>
      <c r="AL28" s="213"/>
      <c r="AM28" s="213"/>
      <c r="AN28" s="213"/>
      <c r="AO28" s="213"/>
      <c r="AP28" s="213"/>
      <c r="AQ28" s="213"/>
      <c r="AR28" s="213"/>
      <c r="AS28" s="213"/>
      <c r="AT28" s="213"/>
      <c r="AU28" s="213"/>
      <c r="AV28" s="213"/>
      <c r="AW28" s="213"/>
      <c r="AX28" s="213"/>
      <c r="AY28" s="213"/>
      <c r="AZ28" s="213"/>
      <c r="BA28" s="213"/>
      <c r="BB28" s="213"/>
      <c r="BC28" s="78">
        <f>SUMIFS('Operations Support'!$G:$G,'Operations Support'!$B:$B,'Expenditure Study'!BC$7,'Operations Support'!$C:$C,'Expenditure Study'!#REF!)</f>
        <v>0</v>
      </c>
      <c r="BD28" s="78">
        <f>SUMIFS('Operations Support'!$G:$G,'Operations Support'!$B:$B,'Expenditure Study'!BD$7,'Operations Support'!$C:$C,'Expenditure Study'!#REF!)</f>
        <v>0</v>
      </c>
      <c r="BE28" s="78">
        <f>SUMIFS('Operations Support'!$G:$G,'Operations Support'!$B:$B,'Expenditure Study'!BE$7,'Operations Support'!$C:$C,'Expenditure Study'!#REF!)</f>
        <v>0</v>
      </c>
      <c r="BF28" s="78">
        <f>SUMIFS('Operations Support'!$G:$G,'Operations Support'!$B:$B,'Expenditure Study'!BF$7,'Operations Support'!$C:$C,'Expenditure Study'!#REF!)</f>
        <v>0</v>
      </c>
      <c r="BG28" s="78">
        <f>SUMIFS('Operations Support'!$G:$G,'Operations Support'!$B:$B,'Expenditure Study'!BG$7,'Operations Support'!$C:$C,'Expenditure Study'!#REF!)</f>
        <v>0</v>
      </c>
      <c r="BH28" s="214"/>
      <c r="BI28" s="214"/>
      <c r="BJ28" s="214"/>
      <c r="BK28" s="214"/>
      <c r="BL28" s="214"/>
    </row>
    <row r="29" spans="1:64" ht="14.25" customHeight="1">
      <c r="B29" s="464"/>
      <c r="C29" s="464"/>
      <c r="D29" s="464"/>
      <c r="E29" s="464"/>
      <c r="F29" s="464"/>
      <c r="G29" s="464"/>
      <c r="H29" s="215"/>
      <c r="BL29" s="214"/>
    </row>
    <row r="30" spans="1:64">
      <c r="B30" s="216" t="s">
        <v>64</v>
      </c>
      <c r="C30" s="217"/>
      <c r="D30" s="215"/>
      <c r="E30" s="215"/>
      <c r="F30" s="215"/>
    </row>
    <row r="31" spans="1:64">
      <c r="B31" s="218">
        <v>59.083180800000001</v>
      </c>
      <c r="C31" s="217" t="s">
        <v>493</v>
      </c>
      <c r="D31" s="198"/>
      <c r="J31" s="219"/>
      <c r="L31" s="219"/>
    </row>
    <row r="32" spans="1:64" ht="14.4" thickBot="1">
      <c r="B32" s="220">
        <v>0.1</v>
      </c>
      <c r="C32" s="217" t="s">
        <v>65</v>
      </c>
    </row>
    <row r="34" spans="2:6">
      <c r="B34" s="217" t="s">
        <v>265</v>
      </c>
      <c r="C34" s="221"/>
      <c r="E34" s="222">
        <f ca="1">'Operations Support'!W3891</f>
        <v>39098306.315799132</v>
      </c>
    </row>
    <row r="35" spans="2:6">
      <c r="B35" s="217" t="s">
        <v>317</v>
      </c>
      <c r="C35" s="217"/>
      <c r="E35" s="198">
        <f ca="1">E34*B31</f>
        <v>2310052301.0301418</v>
      </c>
    </row>
    <row r="36" spans="2:6">
      <c r="B36" s="217" t="s">
        <v>318</v>
      </c>
      <c r="E36" s="198">
        <f ca="1">E34*B31</f>
        <v>2310052301.0301418</v>
      </c>
    </row>
    <row r="37" spans="2:6">
      <c r="B37" s="77" t="s">
        <v>266</v>
      </c>
      <c r="E37" s="223">
        <f ca="1">E35+E36</f>
        <v>4620104602.0602837</v>
      </c>
    </row>
    <row r="38" spans="2:6">
      <c r="F38" s="223"/>
    </row>
  </sheetData>
  <customSheetViews>
    <customSheetView guid="{D2A8523F-42D4-4968-A72F-21832F1DB84F}" fitToPage="1" printArea="1" showRuler="0">
      <selection activeCell="H14" sqref="H14"/>
      <pageMargins left="0.25" right="0.25" top="0.5" bottom="0.5" header="0.25" footer="0.25"/>
      <printOptions gridLines="1"/>
      <pageSetup orientation="portrait" r:id="rId1"/>
      <headerFooter alignWithMargins="0">
        <oddFooter xml:space="preserve">&amp;C </oddFooter>
      </headerFooter>
    </customSheetView>
    <customSheetView guid="{C593DCC3-48F5-49D3-A249-760A4EB596FD}" fitToPage="1" printArea="1" showRuler="0">
      <selection activeCell="H14" sqref="H14"/>
      <pageMargins left="0.25" right="0.25" top="0.5" bottom="0.5" header="0.25" footer="0.25"/>
      <printOptions gridLines="1"/>
      <pageSetup orientation="portrait" r:id="rId2"/>
      <headerFooter alignWithMargins="0">
        <oddFooter xml:space="preserve">&amp;C </oddFooter>
      </headerFooter>
    </customSheetView>
    <customSheetView guid="{35BFC459-B22D-40B1-9702-541F957448D5}" fitToPage="1" printArea="1" showRuler="0">
      <selection activeCell="H14" sqref="H14"/>
      <pageMargins left="0.25" right="0.25" top="0.5" bottom="0.5" header="0.25" footer="0.25"/>
      <printOptions gridLines="1"/>
      <pageSetup orientation="portrait" r:id="rId3"/>
      <headerFooter alignWithMargins="0">
        <oddFooter xml:space="preserve">&amp;C </oddFooter>
      </headerFooter>
    </customSheetView>
    <customSheetView guid="{91FF6182-D2EC-4CD1-9CDF-7C925FC791E8}" fitToPage="1" printArea="1" showRuler="0">
      <selection activeCell="H14" sqref="H14"/>
      <pageMargins left="0.25" right="0.25" top="0.5" bottom="0.5" header="0.25" footer="0.25"/>
      <printOptions gridLines="1"/>
      <pageSetup orientation="portrait" r:id="rId4"/>
      <headerFooter alignWithMargins="0">
        <oddFooter xml:space="preserve">&amp;C </oddFooter>
      </headerFooter>
    </customSheetView>
    <customSheetView guid="{675F30BC-42CF-41EB-9295-12D8590553A4}" fitToPage="1" printArea="1" showRuler="0">
      <selection activeCell="B10" sqref="B10"/>
      <pageMargins left="0.25" right="0.25" top="0.5" bottom="0.5" header="0.25" footer="0.25"/>
      <printOptions gridLines="1"/>
      <pageSetup orientation="portrait" r:id="rId5"/>
      <headerFooter alignWithMargins="0">
        <oddFooter xml:space="preserve">&amp;C </oddFooter>
      </headerFooter>
    </customSheetView>
    <customSheetView guid="{FC4770E7-5AA9-45AB-93B4-AB306746D478}" fitToPage="1" printArea="1" showRuler="0">
      <selection activeCell="H14" sqref="H14"/>
      <pageMargins left="0.25" right="0.25" top="0.5" bottom="0.5" header="0.25" footer="0.25"/>
      <printOptions gridLines="1"/>
      <pageSetup orientation="portrait" r:id="rId6"/>
      <headerFooter alignWithMargins="0">
        <oddFooter xml:space="preserve">&amp;C </oddFooter>
      </headerFooter>
    </customSheetView>
    <customSheetView guid="{95AD7BEF-F518-46C7-B565-EC569F4CD3DD}" fitToPage="1" printArea="1" showRuler="0" topLeftCell="A23">
      <selection activeCell="I41" sqref="A1:I41"/>
      <pageMargins left="0.25" right="0.25" top="0.5" bottom="0.5" header="0.25" footer="0.25"/>
      <printOptions gridLines="1"/>
      <pageSetup scale="83" orientation="portrait" r:id="rId7"/>
      <headerFooter alignWithMargins="0">
        <oddFooter xml:space="preserve">&amp;C </oddFooter>
      </headerFooter>
    </customSheetView>
    <customSheetView guid="{DE388A6B-882C-495C-AAE9-5FF5D9FE9DAB}" fitToPage="1" printArea="1" showRuler="0">
      <selection activeCell="B10" sqref="B10"/>
      <pageMargins left="0.25" right="0.25" top="0.5" bottom="0.5" header="0.25" footer="0.25"/>
      <printOptions gridLines="1"/>
      <pageSetup orientation="portrait" r:id="rId8"/>
      <headerFooter alignWithMargins="0">
        <oddFooter xml:space="preserve">&amp;C </oddFooter>
      </headerFooter>
    </customSheetView>
  </customSheetViews>
  <mergeCells count="3">
    <mergeCell ref="B4:G4"/>
    <mergeCell ref="B5:G5"/>
    <mergeCell ref="B6:G6"/>
  </mergeCells>
  <phoneticPr fontId="7" type="noConversion"/>
  <conditionalFormatting sqref="C28 E28:G28">
    <cfRule type="cellIs" dxfId="61" priority="11" operator="equal">
      <formula>0</formula>
    </cfRule>
    <cfRule type="expression" dxfId="60" priority="12" stopIfTrue="1">
      <formula>AND(BC28&gt;0,C28=0)</formula>
    </cfRule>
  </conditionalFormatting>
  <conditionalFormatting sqref="C8:G27">
    <cfRule type="cellIs" dxfId="59" priority="1" operator="equal">
      <formula>0</formula>
    </cfRule>
    <cfRule type="expression" dxfId="58" priority="2" stopIfTrue="1">
      <formula>AND(BC8&gt;0,C8=0)</formula>
    </cfRule>
  </conditionalFormatting>
  <pageMargins left="0.25" right="0.25" top="0.5" bottom="0.5" header="0.25" footer="0.25"/>
  <pageSetup orientation="landscape" r:id="rId9"/>
  <headerFooter alignWithMargins="0">
    <oddFooter>Prepared by Paul Turcotte &amp;D&amp;RPage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50"/>
    <outlinePr summaryBelow="0" summaryRight="0"/>
  </sheetPr>
  <dimension ref="A1:K40"/>
  <sheetViews>
    <sheetView showGridLines="0" topLeftCell="A4" zoomScale="80" zoomScaleNormal="80" workbookViewId="0">
      <selection activeCell="B26" sqref="B26"/>
    </sheetView>
  </sheetViews>
  <sheetFormatPr defaultColWidth="9.109375" defaultRowHeight="13.8"/>
  <cols>
    <col min="1" max="1" width="9.88671875" style="157" customWidth="1"/>
    <col min="2" max="2" width="21.6640625" style="157" customWidth="1"/>
    <col min="3" max="3" width="20.88671875" style="157" customWidth="1"/>
    <col min="4" max="4" width="16" style="157" customWidth="1"/>
    <col min="5" max="5" width="17.33203125" style="157" customWidth="1"/>
    <col min="6" max="6" width="12.88671875" style="157" customWidth="1"/>
    <col min="7" max="9" width="10.33203125" style="157" customWidth="1"/>
    <col min="10" max="10" width="9.109375" style="157"/>
    <col min="11" max="11" width="12.5546875" style="157" bestFit="1" customWidth="1"/>
    <col min="12" max="16384" width="9.109375" style="157"/>
  </cols>
  <sheetData>
    <row r="1" spans="1:9">
      <c r="A1" s="697" t="str">
        <f>Summary!A1</f>
        <v>General Academic Institutions - Formula Funding - 2024-2025</v>
      </c>
      <c r="B1" s="698"/>
      <c r="C1" s="698"/>
      <c r="D1" s="698"/>
      <c r="E1" s="698"/>
      <c r="F1" s="698"/>
      <c r="G1" s="698"/>
      <c r="H1" s="698"/>
      <c r="I1" s="698"/>
    </row>
    <row r="2" spans="1:9" ht="46.2" customHeight="1" thickBot="1">
      <c r="A2" s="699" t="s">
        <v>489</v>
      </c>
      <c r="B2" s="696"/>
      <c r="C2" s="696"/>
      <c r="D2" s="696"/>
      <c r="E2" s="696"/>
      <c r="F2" s="696"/>
      <c r="G2" s="696"/>
      <c r="H2" s="696"/>
      <c r="I2" s="696"/>
    </row>
    <row r="3" spans="1:9" s="161" customFormat="1" ht="28.2" thickBot="1">
      <c r="A3" s="157"/>
      <c r="B3" s="159"/>
      <c r="C3" s="160"/>
      <c r="D3" s="160"/>
      <c r="E3" s="466"/>
      <c r="F3" s="467" t="s">
        <v>460</v>
      </c>
      <c r="G3" s="468" t="s">
        <v>461</v>
      </c>
      <c r="H3" s="468" t="s">
        <v>316</v>
      </c>
      <c r="I3" s="468" t="s">
        <v>272</v>
      </c>
    </row>
    <row r="4" spans="1:9" ht="27.6">
      <c r="A4" s="162" t="s">
        <v>0</v>
      </c>
      <c r="B4" s="163" t="s">
        <v>27</v>
      </c>
      <c r="C4" s="164" t="s">
        <v>326</v>
      </c>
      <c r="D4" s="164" t="s">
        <v>319</v>
      </c>
      <c r="E4" s="469" t="s">
        <v>320</v>
      </c>
      <c r="F4" s="470" t="s">
        <v>214</v>
      </c>
      <c r="G4" s="471" t="s">
        <v>214</v>
      </c>
      <c r="H4" s="471" t="s">
        <v>214</v>
      </c>
      <c r="I4" s="471" t="s">
        <v>214</v>
      </c>
    </row>
    <row r="5" spans="1:9">
      <c r="A5" s="165">
        <v>3599</v>
      </c>
      <c r="B5" s="166" t="s">
        <v>213</v>
      </c>
      <c r="C5" s="484">
        <f>D5+E5</f>
        <v>8330022.5200000005</v>
      </c>
      <c r="D5" s="473">
        <v>500000</v>
      </c>
      <c r="E5" s="474">
        <f>F5*$C$33</f>
        <v>7830022.5200000005</v>
      </c>
      <c r="F5" s="485">
        <f>AVERAGE(G5,H5,I5)</f>
        <v>4097</v>
      </c>
      <c r="G5" s="475">
        <v>4108</v>
      </c>
      <c r="H5" s="475">
        <v>4398</v>
      </c>
      <c r="I5" s="476">
        <v>3785</v>
      </c>
    </row>
    <row r="6" spans="1:9">
      <c r="A6" s="165">
        <v>9930</v>
      </c>
      <c r="B6" s="166" t="s">
        <v>86</v>
      </c>
      <c r="C6" s="484">
        <f t="shared" ref="C6:C31" si="0">D6+E6</f>
        <v>1570886.6533333336</v>
      </c>
      <c r="D6" s="473">
        <v>500000</v>
      </c>
      <c r="E6" s="474">
        <f t="shared" ref="E6:E31" si="1">F6*$C$33</f>
        <v>1070886.6533333336</v>
      </c>
      <c r="F6" s="485">
        <f t="shared" ref="F6:F31" si="2">AVERAGE(G6,H6,I6)</f>
        <v>560.33333333333337</v>
      </c>
      <c r="G6" s="475">
        <v>571</v>
      </c>
      <c r="H6" s="475">
        <v>565</v>
      </c>
      <c r="I6" s="476">
        <v>545</v>
      </c>
    </row>
    <row r="7" spans="1:9">
      <c r="A7" s="165">
        <v>11163</v>
      </c>
      <c r="B7" s="166" t="s">
        <v>88</v>
      </c>
      <c r="C7" s="484">
        <f t="shared" si="0"/>
        <v>2733508.9866666668</v>
      </c>
      <c r="D7" s="473">
        <v>500000</v>
      </c>
      <c r="E7" s="474">
        <f t="shared" si="1"/>
        <v>2233508.9866666668</v>
      </c>
      <c r="F7" s="485">
        <f t="shared" si="2"/>
        <v>1168.6666666666667</v>
      </c>
      <c r="G7" s="475">
        <v>1119</v>
      </c>
      <c r="H7" s="475">
        <v>1174</v>
      </c>
      <c r="I7" s="476">
        <v>1213</v>
      </c>
    </row>
    <row r="8" spans="1:9">
      <c r="A8" s="165">
        <v>10298</v>
      </c>
      <c r="B8" s="166" t="s">
        <v>116</v>
      </c>
      <c r="C8" s="484">
        <f t="shared" si="0"/>
        <v>799415.06666666665</v>
      </c>
      <c r="D8" s="473">
        <v>500000</v>
      </c>
      <c r="E8" s="474">
        <f t="shared" si="1"/>
        <v>299415.06666666665</v>
      </c>
      <c r="F8" s="485">
        <f t="shared" si="2"/>
        <v>156.66666666666666</v>
      </c>
      <c r="G8" s="475">
        <v>133</v>
      </c>
      <c r="H8" s="475">
        <v>162</v>
      </c>
      <c r="I8" s="476">
        <v>175</v>
      </c>
    </row>
    <row r="9" spans="1:9">
      <c r="A9" s="165">
        <v>3630</v>
      </c>
      <c r="B9" s="166" t="s">
        <v>89</v>
      </c>
      <c r="C9" s="484">
        <f t="shared" si="0"/>
        <v>2775554.5066666668</v>
      </c>
      <c r="D9" s="473">
        <v>500000</v>
      </c>
      <c r="E9" s="474">
        <f t="shared" si="1"/>
        <v>2275554.5066666668</v>
      </c>
      <c r="F9" s="485">
        <f t="shared" si="2"/>
        <v>1190.6666666666667</v>
      </c>
      <c r="G9" s="475">
        <v>1215</v>
      </c>
      <c r="H9" s="475">
        <v>1276</v>
      </c>
      <c r="I9" s="476">
        <v>1081</v>
      </c>
    </row>
    <row r="10" spans="1:9">
      <c r="A10" s="165">
        <v>3631</v>
      </c>
      <c r="B10" s="166" t="s">
        <v>31</v>
      </c>
      <c r="C10" s="484">
        <f t="shared" si="0"/>
        <v>4017171.4533333331</v>
      </c>
      <c r="D10" s="473">
        <v>500000</v>
      </c>
      <c r="E10" s="474">
        <f t="shared" si="1"/>
        <v>3517171.4533333331</v>
      </c>
      <c r="F10" s="485">
        <f t="shared" si="2"/>
        <v>1840.3333333333333</v>
      </c>
      <c r="G10" s="475">
        <v>1891</v>
      </c>
      <c r="H10" s="475">
        <v>1812</v>
      </c>
      <c r="I10" s="476">
        <v>1818</v>
      </c>
    </row>
    <row r="11" spans="1:9">
      <c r="A11" s="167">
        <v>42295</v>
      </c>
      <c r="B11" s="166" t="s">
        <v>113</v>
      </c>
      <c r="C11" s="484">
        <f t="shared" si="0"/>
        <v>1288034.9733333334</v>
      </c>
      <c r="D11" s="473">
        <v>500000</v>
      </c>
      <c r="E11" s="474">
        <f t="shared" si="1"/>
        <v>788034.97333333339</v>
      </c>
      <c r="F11" s="485">
        <f t="shared" si="2"/>
        <v>412.33333333333331</v>
      </c>
      <c r="G11" s="475">
        <v>419</v>
      </c>
      <c r="H11" s="475">
        <v>407</v>
      </c>
      <c r="I11" s="476">
        <v>411</v>
      </c>
    </row>
    <row r="12" spans="1:9">
      <c r="A12" s="165">
        <v>11161</v>
      </c>
      <c r="B12" s="166" t="s">
        <v>90</v>
      </c>
      <c r="C12" s="484">
        <f t="shared" si="0"/>
        <v>3034835.2133333334</v>
      </c>
      <c r="D12" s="473">
        <v>500000</v>
      </c>
      <c r="E12" s="474">
        <f t="shared" si="1"/>
        <v>2534835.2133333334</v>
      </c>
      <c r="F12" s="485">
        <f t="shared" si="2"/>
        <v>1326.3333333333333</v>
      </c>
      <c r="G12" s="475">
        <v>1251</v>
      </c>
      <c r="H12" s="475">
        <v>1311</v>
      </c>
      <c r="I12" s="476">
        <v>1417</v>
      </c>
    </row>
    <row r="13" spans="1:9">
      <c r="A13" s="165">
        <v>3639</v>
      </c>
      <c r="B13" s="166" t="s">
        <v>91</v>
      </c>
      <c r="C13" s="484">
        <f t="shared" si="0"/>
        <v>2120663.6800000002</v>
      </c>
      <c r="D13" s="473">
        <v>500000</v>
      </c>
      <c r="E13" s="474">
        <f t="shared" si="1"/>
        <v>1620663.6800000002</v>
      </c>
      <c r="F13" s="485">
        <f t="shared" si="2"/>
        <v>848</v>
      </c>
      <c r="G13" s="475">
        <v>737</v>
      </c>
      <c r="H13" s="475">
        <v>939</v>
      </c>
      <c r="I13" s="476">
        <v>868</v>
      </c>
    </row>
    <row r="14" spans="1:9">
      <c r="A14" s="167">
        <v>42485</v>
      </c>
      <c r="B14" s="166" t="s">
        <v>114</v>
      </c>
      <c r="C14" s="484">
        <f t="shared" si="0"/>
        <v>2429634.5466666669</v>
      </c>
      <c r="D14" s="473">
        <v>500000</v>
      </c>
      <c r="E14" s="474">
        <f t="shared" si="1"/>
        <v>1929634.5466666666</v>
      </c>
      <c r="F14" s="485">
        <f t="shared" si="2"/>
        <v>1009.6666666666666</v>
      </c>
      <c r="G14" s="475">
        <v>946</v>
      </c>
      <c r="H14" s="475">
        <v>998</v>
      </c>
      <c r="I14" s="476">
        <v>1085</v>
      </c>
    </row>
    <row r="15" spans="1:9">
      <c r="A15" s="165">
        <v>9651</v>
      </c>
      <c r="B15" s="166" t="s">
        <v>92</v>
      </c>
      <c r="C15" s="484">
        <f t="shared" si="0"/>
        <v>2615654.12</v>
      </c>
      <c r="D15" s="473">
        <v>500000</v>
      </c>
      <c r="E15" s="474">
        <f t="shared" si="1"/>
        <v>2115654.12</v>
      </c>
      <c r="F15" s="485">
        <f t="shared" si="2"/>
        <v>1107</v>
      </c>
      <c r="G15" s="475">
        <v>1081</v>
      </c>
      <c r="H15" s="475">
        <v>1115</v>
      </c>
      <c r="I15" s="476">
        <v>1125</v>
      </c>
    </row>
    <row r="16" spans="1:9">
      <c r="A16" s="165">
        <v>3665</v>
      </c>
      <c r="B16" s="166" t="s">
        <v>32</v>
      </c>
      <c r="C16" s="484">
        <f t="shared" si="0"/>
        <v>2608646.5333333332</v>
      </c>
      <c r="D16" s="473">
        <v>500000</v>
      </c>
      <c r="E16" s="474">
        <f t="shared" si="1"/>
        <v>2108646.5333333332</v>
      </c>
      <c r="F16" s="485">
        <f t="shared" si="2"/>
        <v>1103.3333333333333</v>
      </c>
      <c r="G16" s="475">
        <v>1102</v>
      </c>
      <c r="H16" s="475">
        <v>1100</v>
      </c>
      <c r="I16" s="476">
        <v>1108</v>
      </c>
    </row>
    <row r="17" spans="1:11">
      <c r="A17" s="165">
        <v>3565</v>
      </c>
      <c r="B17" s="166" t="s">
        <v>94</v>
      </c>
      <c r="C17" s="484">
        <f t="shared" si="0"/>
        <v>2827792.88</v>
      </c>
      <c r="D17" s="473">
        <v>500000</v>
      </c>
      <c r="E17" s="474">
        <f t="shared" si="1"/>
        <v>2327792.88</v>
      </c>
      <c r="F17" s="485">
        <f t="shared" si="2"/>
        <v>1218</v>
      </c>
      <c r="G17" s="475">
        <v>1159</v>
      </c>
      <c r="H17" s="475">
        <v>1300</v>
      </c>
      <c r="I17" s="476">
        <v>1195</v>
      </c>
    </row>
    <row r="18" spans="1:11">
      <c r="A18" s="165">
        <v>29269</v>
      </c>
      <c r="B18" s="166" t="s">
        <v>93</v>
      </c>
      <c r="C18" s="484">
        <f t="shared" si="0"/>
        <v>1035124.8</v>
      </c>
      <c r="D18" s="473">
        <v>500000</v>
      </c>
      <c r="E18" s="474">
        <f t="shared" si="1"/>
        <v>535124.80000000005</v>
      </c>
      <c r="F18" s="485">
        <f t="shared" si="2"/>
        <v>280</v>
      </c>
      <c r="G18" s="475">
        <v>280</v>
      </c>
      <c r="H18" s="475">
        <v>261</v>
      </c>
      <c r="I18" s="476">
        <v>299</v>
      </c>
    </row>
    <row r="19" spans="1:11">
      <c r="A19" s="165">
        <v>11711</v>
      </c>
      <c r="B19" s="166" t="s">
        <v>96</v>
      </c>
      <c r="C19" s="484">
        <f t="shared" si="0"/>
        <v>2494613.9866666668</v>
      </c>
      <c r="D19" s="473">
        <v>500000</v>
      </c>
      <c r="E19" s="474">
        <f t="shared" si="1"/>
        <v>1994613.9866666668</v>
      </c>
      <c r="F19" s="485">
        <f t="shared" si="2"/>
        <v>1043.6666666666667</v>
      </c>
      <c r="G19" s="475">
        <v>1003</v>
      </c>
      <c r="H19" s="475">
        <v>1078</v>
      </c>
      <c r="I19" s="476">
        <v>1050</v>
      </c>
    </row>
    <row r="20" spans="1:11">
      <c r="A20" s="165">
        <v>12826</v>
      </c>
      <c r="B20" s="166" t="s">
        <v>97</v>
      </c>
      <c r="C20" s="484">
        <f t="shared" si="0"/>
        <v>4671425.2266666666</v>
      </c>
      <c r="D20" s="473">
        <v>500000</v>
      </c>
      <c r="E20" s="474">
        <f t="shared" si="1"/>
        <v>4171425.2266666666</v>
      </c>
      <c r="F20" s="485">
        <f t="shared" si="2"/>
        <v>2182.6666666666665</v>
      </c>
      <c r="G20" s="475">
        <v>2303</v>
      </c>
      <c r="H20" s="475">
        <v>2210</v>
      </c>
      <c r="I20" s="476">
        <v>2035</v>
      </c>
    </row>
    <row r="21" spans="1:11">
      <c r="A21" s="165">
        <v>13231</v>
      </c>
      <c r="B21" s="166" t="s">
        <v>98</v>
      </c>
      <c r="C21" s="484">
        <f t="shared" si="0"/>
        <v>1590635.3066666666</v>
      </c>
      <c r="D21" s="473">
        <v>500000</v>
      </c>
      <c r="E21" s="474">
        <f t="shared" si="1"/>
        <v>1090635.3066666666</v>
      </c>
      <c r="F21" s="485">
        <f t="shared" si="2"/>
        <v>570.66666666666663</v>
      </c>
      <c r="G21" s="475">
        <v>591</v>
      </c>
      <c r="H21" s="475">
        <v>613</v>
      </c>
      <c r="I21" s="476">
        <v>508</v>
      </c>
    </row>
    <row r="22" spans="1:11">
      <c r="A22" s="165">
        <v>3592</v>
      </c>
      <c r="B22" s="166" t="s">
        <v>99</v>
      </c>
      <c r="C22" s="484">
        <f t="shared" si="0"/>
        <v>1832078.52</v>
      </c>
      <c r="D22" s="473">
        <v>500000</v>
      </c>
      <c r="E22" s="474">
        <f t="shared" si="1"/>
        <v>1332078.52</v>
      </c>
      <c r="F22" s="485">
        <f t="shared" si="2"/>
        <v>697</v>
      </c>
      <c r="G22" s="475">
        <v>696</v>
      </c>
      <c r="H22" s="475">
        <v>668</v>
      </c>
      <c r="I22" s="476">
        <v>727</v>
      </c>
    </row>
    <row r="23" spans="1:11">
      <c r="A23" s="167">
        <v>42421</v>
      </c>
      <c r="B23" s="166" t="s">
        <v>115</v>
      </c>
      <c r="C23" s="484">
        <f t="shared" si="0"/>
        <v>1703393.7466666666</v>
      </c>
      <c r="D23" s="473">
        <v>500000</v>
      </c>
      <c r="E23" s="474">
        <f t="shared" si="1"/>
        <v>1203393.7466666666</v>
      </c>
      <c r="F23" s="485">
        <f t="shared" si="2"/>
        <v>629.66666666666663</v>
      </c>
      <c r="G23" s="475">
        <v>689</v>
      </c>
      <c r="H23" s="475">
        <v>643</v>
      </c>
      <c r="I23" s="476">
        <v>557</v>
      </c>
    </row>
    <row r="24" spans="1:11">
      <c r="A24" s="165">
        <v>3624</v>
      </c>
      <c r="B24" s="166" t="s">
        <v>101</v>
      </c>
      <c r="C24" s="484">
        <f t="shared" si="0"/>
        <v>3561041.2666666671</v>
      </c>
      <c r="D24" s="473">
        <v>500000</v>
      </c>
      <c r="E24" s="474">
        <f t="shared" si="1"/>
        <v>3061041.2666666671</v>
      </c>
      <c r="F24" s="485">
        <f t="shared" si="2"/>
        <v>1601.6666666666667</v>
      </c>
      <c r="G24" s="475">
        <v>1550</v>
      </c>
      <c r="H24" s="475">
        <v>1708</v>
      </c>
      <c r="I24" s="476">
        <v>1547</v>
      </c>
    </row>
    <row r="25" spans="1:11">
      <c r="A25" s="165">
        <v>3642</v>
      </c>
      <c r="B25" s="166" t="s">
        <v>102</v>
      </c>
      <c r="C25" s="484">
        <f t="shared" si="0"/>
        <v>1951844.5466666666</v>
      </c>
      <c r="D25" s="473">
        <v>500000</v>
      </c>
      <c r="E25" s="474">
        <f t="shared" si="1"/>
        <v>1451844.5466666666</v>
      </c>
      <c r="F25" s="485">
        <f t="shared" si="2"/>
        <v>759.66666666666663</v>
      </c>
      <c r="G25" s="475">
        <v>739</v>
      </c>
      <c r="H25" s="475">
        <v>772</v>
      </c>
      <c r="I25" s="476">
        <v>768</v>
      </c>
    </row>
    <row r="26" spans="1:11">
      <c r="A26" s="165">
        <v>3541</v>
      </c>
      <c r="B26" s="166" t="s">
        <v>104</v>
      </c>
      <c r="C26" s="484">
        <f t="shared" si="0"/>
        <v>1921265.9866666666</v>
      </c>
      <c r="D26" s="473">
        <v>500000</v>
      </c>
      <c r="E26" s="474">
        <f t="shared" si="1"/>
        <v>1421265.9866666666</v>
      </c>
      <c r="F26" s="485">
        <f t="shared" si="2"/>
        <v>743.66666666666663</v>
      </c>
      <c r="G26" s="475">
        <v>759</v>
      </c>
      <c r="H26" s="475">
        <v>757</v>
      </c>
      <c r="I26" s="476">
        <v>715</v>
      </c>
    </row>
    <row r="27" spans="1:11">
      <c r="A27" s="165">
        <v>3646</v>
      </c>
      <c r="B27" s="166" t="s">
        <v>105</v>
      </c>
      <c r="C27" s="484">
        <f t="shared" si="0"/>
        <v>3335524.3866666667</v>
      </c>
      <c r="D27" s="473">
        <v>500000</v>
      </c>
      <c r="E27" s="474">
        <f t="shared" si="1"/>
        <v>2835524.3866666667</v>
      </c>
      <c r="F27" s="485">
        <f t="shared" si="2"/>
        <v>1483.6666666666667</v>
      </c>
      <c r="G27" s="475">
        <v>1428</v>
      </c>
      <c r="H27" s="475">
        <v>1515</v>
      </c>
      <c r="I27" s="476">
        <v>1508</v>
      </c>
    </row>
    <row r="28" spans="1:11">
      <c r="A28" s="165">
        <v>3581</v>
      </c>
      <c r="B28" s="166" t="s">
        <v>33</v>
      </c>
      <c r="C28" s="484">
        <f t="shared" si="0"/>
        <v>2666618.3866666667</v>
      </c>
      <c r="D28" s="473">
        <v>500000</v>
      </c>
      <c r="E28" s="474">
        <f t="shared" si="1"/>
        <v>2166618.3866666667</v>
      </c>
      <c r="F28" s="485">
        <f t="shared" si="2"/>
        <v>1133.6666666666667</v>
      </c>
      <c r="G28" s="475">
        <v>1088</v>
      </c>
      <c r="H28" s="475">
        <v>1183</v>
      </c>
      <c r="I28" s="476">
        <v>1130</v>
      </c>
    </row>
    <row r="29" spans="1:11">
      <c r="A29" s="165">
        <v>3606</v>
      </c>
      <c r="B29" s="166" t="s">
        <v>106</v>
      </c>
      <c r="C29" s="484">
        <f t="shared" si="0"/>
        <v>6004140.7999999998</v>
      </c>
      <c r="D29" s="473">
        <v>500000</v>
      </c>
      <c r="E29" s="474">
        <f t="shared" si="1"/>
        <v>5504140.7999999998</v>
      </c>
      <c r="F29" s="485">
        <f t="shared" si="2"/>
        <v>2880</v>
      </c>
      <c r="G29" s="475">
        <v>2822</v>
      </c>
      <c r="H29" s="475">
        <v>2990</v>
      </c>
      <c r="I29" s="476">
        <v>2828</v>
      </c>
    </row>
    <row r="30" spans="1:11">
      <c r="A30" s="165">
        <v>3625</v>
      </c>
      <c r="B30" s="166" t="s">
        <v>107</v>
      </c>
      <c r="C30" s="484">
        <f t="shared" si="0"/>
        <v>797503.90666666673</v>
      </c>
      <c r="D30" s="473">
        <v>500000</v>
      </c>
      <c r="E30" s="474">
        <f t="shared" si="1"/>
        <v>297503.90666666668</v>
      </c>
      <c r="F30" s="485">
        <f t="shared" si="2"/>
        <v>155.66666666666666</v>
      </c>
      <c r="G30" s="475">
        <v>156</v>
      </c>
      <c r="H30" s="475">
        <v>164</v>
      </c>
      <c r="I30" s="476">
        <v>147</v>
      </c>
    </row>
    <row r="31" spans="1:11">
      <c r="A31" s="165">
        <v>20</v>
      </c>
      <c r="B31" s="166" t="s">
        <v>205</v>
      </c>
      <c r="C31" s="484">
        <f t="shared" si="0"/>
        <v>790496.32000000007</v>
      </c>
      <c r="D31" s="473">
        <v>500000</v>
      </c>
      <c r="E31" s="474">
        <f t="shared" si="1"/>
        <v>290496.32</v>
      </c>
      <c r="F31" s="485">
        <f t="shared" si="2"/>
        <v>152</v>
      </c>
      <c r="G31" s="475">
        <v>155</v>
      </c>
      <c r="H31" s="475">
        <v>176</v>
      </c>
      <c r="I31" s="476">
        <v>125</v>
      </c>
    </row>
    <row r="32" spans="1:11" ht="14.4" thickBot="1">
      <c r="A32" s="168"/>
      <c r="B32" s="169" t="s">
        <v>2</v>
      </c>
      <c r="C32" s="493">
        <f>SUM(C5:C31)</f>
        <v>71507528.319999993</v>
      </c>
      <c r="D32" s="477">
        <f>SUM(D5:D31)</f>
        <v>13500000</v>
      </c>
      <c r="E32" s="170">
        <f>SUM(E5:E31)</f>
        <v>58007528.320000015</v>
      </c>
      <c r="F32" s="171">
        <f>AVERAGE(H32,G32,I32)</f>
        <v>30352</v>
      </c>
      <c r="G32" s="573">
        <f>SUM(G5:G31)</f>
        <v>29991</v>
      </c>
      <c r="H32" s="574">
        <f>SUM(H5:H31)</f>
        <v>31295</v>
      </c>
      <c r="I32" s="172">
        <f>SUM(I5:I31)</f>
        <v>29770</v>
      </c>
      <c r="K32" s="173"/>
    </row>
    <row r="33" spans="1:11">
      <c r="A33" s="700" t="s">
        <v>492</v>
      </c>
      <c r="B33" s="701"/>
      <c r="C33" s="174">
        <v>1911.16</v>
      </c>
      <c r="D33" s="174"/>
      <c r="G33" s="175"/>
      <c r="H33" s="175"/>
      <c r="I33" s="175"/>
      <c r="K33" s="173"/>
    </row>
    <row r="35" spans="1:11">
      <c r="A35" s="157" t="s">
        <v>243</v>
      </c>
    </row>
    <row r="36" spans="1:11">
      <c r="A36" s="472" t="s">
        <v>325</v>
      </c>
      <c r="B36" s="472"/>
      <c r="C36" s="472"/>
      <c r="D36" s="472"/>
      <c r="E36" s="472"/>
      <c r="F36" s="472"/>
      <c r="G36" s="472"/>
      <c r="H36" s="472"/>
    </row>
    <row r="37" spans="1:11" ht="34.200000000000003" customHeight="1">
      <c r="A37" s="695" t="s">
        <v>321</v>
      </c>
      <c r="B37" s="696"/>
      <c r="C37" s="696"/>
      <c r="D37" s="696"/>
      <c r="E37" s="696"/>
      <c r="F37" s="696"/>
      <c r="G37" s="696"/>
      <c r="H37" s="696"/>
      <c r="I37" s="696"/>
    </row>
    <row r="38" spans="1:11">
      <c r="A38" s="691" t="s">
        <v>322</v>
      </c>
      <c r="B38" s="692"/>
      <c r="C38" s="692"/>
      <c r="D38" s="692"/>
      <c r="E38" s="692"/>
      <c r="F38" s="692"/>
      <c r="G38" s="693"/>
      <c r="H38" s="693"/>
      <c r="I38" s="693"/>
    </row>
    <row r="39" spans="1:11">
      <c r="A39" s="694" t="s">
        <v>323</v>
      </c>
      <c r="B39" s="694"/>
      <c r="C39" s="694"/>
      <c r="D39" s="694"/>
      <c r="E39" s="694"/>
      <c r="F39" s="694"/>
      <c r="G39" s="694"/>
      <c r="H39" s="694"/>
      <c r="I39" s="694"/>
    </row>
    <row r="40" spans="1:11">
      <c r="A40" s="472" t="s">
        <v>324</v>
      </c>
      <c r="B40" s="472"/>
      <c r="C40" s="472"/>
      <c r="D40" s="472"/>
      <c r="E40" s="472"/>
      <c r="F40" s="472"/>
      <c r="G40" s="472"/>
      <c r="H40" s="472"/>
    </row>
  </sheetData>
  <mergeCells count="6">
    <mergeCell ref="A38:I38"/>
    <mergeCell ref="A39:I39"/>
    <mergeCell ref="A37:I37"/>
    <mergeCell ref="A1:I1"/>
    <mergeCell ref="A2:I2"/>
    <mergeCell ref="A33:B33"/>
  </mergeCells>
  <pageMargins left="0.25" right="0.25" top="0.5" bottom="0.2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DE69A6-152C-4D6E-ADFA-E7E987CD9E73}">
  <sheetPr>
    <tabColor rgb="FF00B050"/>
    <outlinePr summaryBelow="0" summaryRight="0"/>
  </sheetPr>
  <dimension ref="A1:I15"/>
  <sheetViews>
    <sheetView showGridLines="0" zoomScale="70" zoomScaleNormal="70" workbookViewId="0">
      <selection activeCell="B18" sqref="B18"/>
    </sheetView>
  </sheetViews>
  <sheetFormatPr defaultColWidth="9.109375" defaultRowHeight="13.8"/>
  <cols>
    <col min="1" max="1" width="9.88671875" style="157" customWidth="1"/>
    <col min="2" max="2" width="40" style="157" customWidth="1"/>
    <col min="3" max="3" width="18" style="157" customWidth="1"/>
    <col min="4" max="4" width="19.44140625" style="157" customWidth="1"/>
    <col min="5" max="5" width="20.6640625" style="157" customWidth="1"/>
    <col min="6" max="6" width="19.6640625" style="157" customWidth="1"/>
    <col min="7" max="7" width="20.5546875" style="157" customWidth="1"/>
    <col min="8" max="8" width="21.33203125" style="157" customWidth="1"/>
    <col min="9" max="9" width="22.33203125" style="157" customWidth="1"/>
    <col min="10" max="10" width="20.44140625" style="157" customWidth="1"/>
    <col min="11" max="16384" width="9.109375" style="157"/>
  </cols>
  <sheetData>
    <row r="1" spans="1:9">
      <c r="A1" s="697" t="str">
        <f>Summary!A1</f>
        <v>General Academic Institutions - Formula Funding - 2024-2025</v>
      </c>
      <c r="B1" s="698"/>
      <c r="C1" s="698"/>
      <c r="D1" s="698"/>
      <c r="E1" s="698"/>
      <c r="F1" s="698"/>
      <c r="G1" s="698"/>
    </row>
    <row r="2" spans="1:9" ht="13.95" customHeight="1">
      <c r="A2" s="159" t="s">
        <v>516</v>
      </c>
      <c r="B2" s="482"/>
      <c r="C2" s="482"/>
      <c r="D2" s="482"/>
      <c r="E2" s="482"/>
      <c r="F2" s="482"/>
      <c r="G2" s="482"/>
    </row>
    <row r="3" spans="1:9" ht="26.25" customHeight="1">
      <c r="A3" s="159" t="s">
        <v>517</v>
      </c>
      <c r="B3" s="158"/>
      <c r="C3" s="158"/>
      <c r="D3" s="158"/>
      <c r="E3" s="158"/>
      <c r="F3" s="158"/>
      <c r="G3" s="158"/>
    </row>
    <row r="4" spans="1:9" ht="13.5" customHeight="1">
      <c r="A4" s="159" t="s">
        <v>518</v>
      </c>
      <c r="B4" s="158"/>
      <c r="C4" s="158"/>
      <c r="D4" s="158"/>
      <c r="E4" s="158"/>
      <c r="F4" s="158"/>
      <c r="G4" s="158"/>
    </row>
    <row r="5" spans="1:9" ht="70.2" customHeight="1">
      <c r="A5" s="504" t="s">
        <v>0</v>
      </c>
      <c r="B5" s="504" t="s">
        <v>27</v>
      </c>
      <c r="C5" s="525" t="s">
        <v>401</v>
      </c>
      <c r="D5" s="505" t="s">
        <v>340</v>
      </c>
      <c r="E5" s="503" t="s">
        <v>443</v>
      </c>
      <c r="F5" s="503" t="s">
        <v>339</v>
      </c>
      <c r="G5" s="503" t="s">
        <v>450</v>
      </c>
      <c r="H5" s="509" t="s">
        <v>396</v>
      </c>
    </row>
    <row r="6" spans="1:9">
      <c r="A6" s="165" t="s">
        <v>334</v>
      </c>
      <c r="B6" s="166" t="s">
        <v>333</v>
      </c>
      <c r="C6" s="527">
        <f>D6*C9</f>
        <v>71622970.278406054</v>
      </c>
      <c r="D6" s="494">
        <f>AVERAGE(E6,F6,G6)</f>
        <v>723949426</v>
      </c>
      <c r="E6" s="475">
        <v>749756617</v>
      </c>
      <c r="F6" s="475">
        <v>699286224</v>
      </c>
      <c r="G6" s="476">
        <v>722805437</v>
      </c>
    </row>
    <row r="7" spans="1:9">
      <c r="A7" s="491" t="s">
        <v>332</v>
      </c>
      <c r="B7" s="166" t="s">
        <v>331</v>
      </c>
      <c r="C7" s="527">
        <f>D7*C9</f>
        <v>85312532.025837049</v>
      </c>
      <c r="D7" s="494">
        <f>AVERAGE(E7,F7,G7)</f>
        <v>862320542.5666666</v>
      </c>
      <c r="E7" s="510">
        <v>924089735</v>
      </c>
      <c r="F7" s="492">
        <v>839532110</v>
      </c>
      <c r="G7" s="492">
        <v>823339782.70000005</v>
      </c>
    </row>
    <row r="8" spans="1:9">
      <c r="A8" s="491"/>
      <c r="B8" s="498" t="s">
        <v>2</v>
      </c>
      <c r="C8" s="496">
        <f>SUM(C6:C7)</f>
        <v>156935502.30424309</v>
      </c>
      <c r="D8" s="496">
        <f>SUM(D6:D7)</f>
        <v>1586269968.5666666</v>
      </c>
      <c r="E8" s="496">
        <f>SUM(E6:E7)</f>
        <v>1673846352</v>
      </c>
      <c r="F8" s="496">
        <f>SUM(F6:F7)</f>
        <v>1538818334</v>
      </c>
      <c r="G8" s="496">
        <f>SUM(G6:G7)</f>
        <v>1546145219.7</v>
      </c>
      <c r="H8" s="175">
        <v>0</v>
      </c>
      <c r="I8" s="79"/>
    </row>
    <row r="9" spans="1:9" s="77" customFormat="1" ht="18.600000000000001" customHeight="1">
      <c r="B9" s="217" t="s">
        <v>493</v>
      </c>
      <c r="C9" s="524">
        <v>9.8933665399999995E-2</v>
      </c>
      <c r="G9" s="219"/>
      <c r="H9" s="141" t="s">
        <v>396</v>
      </c>
      <c r="I9" s="219"/>
    </row>
    <row r="10" spans="1:9">
      <c r="A10" s="488"/>
      <c r="C10" s="489"/>
      <c r="D10" s="490"/>
      <c r="E10" s="528"/>
      <c r="F10" s="490"/>
      <c r="G10" s="490"/>
      <c r="H10" s="175"/>
    </row>
    <row r="11" spans="1:9">
      <c r="A11" s="472"/>
      <c r="B11" s="472"/>
      <c r="C11" s="472"/>
      <c r="D11" s="472"/>
      <c r="E11" s="472"/>
      <c r="F11" s="472"/>
    </row>
    <row r="12" spans="1:9" ht="24.6" customHeight="1">
      <c r="A12" s="695" t="s">
        <v>463</v>
      </c>
      <c r="B12" s="696"/>
      <c r="C12" s="696"/>
      <c r="D12" s="696"/>
      <c r="E12" s="696"/>
      <c r="F12" s="696"/>
      <c r="G12" s="696"/>
    </row>
    <row r="13" spans="1:9">
      <c r="A13" s="691"/>
      <c r="B13" s="692"/>
      <c r="C13" s="692"/>
      <c r="D13" s="692"/>
      <c r="E13" s="693"/>
      <c r="F13" s="693"/>
      <c r="G13" s="693"/>
    </row>
    <row r="14" spans="1:9">
      <c r="A14" s="694"/>
      <c r="B14" s="694"/>
      <c r="C14" s="694"/>
      <c r="D14" s="694"/>
      <c r="E14" s="694"/>
      <c r="F14" s="694"/>
      <c r="G14" s="694"/>
    </row>
    <row r="15" spans="1:9">
      <c r="A15" s="472"/>
      <c r="B15" s="472"/>
      <c r="C15" s="472"/>
      <c r="D15" s="472"/>
      <c r="E15" s="472"/>
      <c r="F15" s="472"/>
    </row>
  </sheetData>
  <mergeCells count="4">
    <mergeCell ref="A1:G1"/>
    <mergeCell ref="A12:G12"/>
    <mergeCell ref="A13:G13"/>
    <mergeCell ref="A14:G14"/>
  </mergeCells>
  <pageMargins left="0.25" right="0.25" top="0.5" bottom="0.2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861043-D093-482A-8CCC-BAD91C2D682A}">
  <sheetPr>
    <tabColor rgb="FF00B050"/>
    <outlinePr summaryBelow="0" summaryRight="0"/>
  </sheetPr>
  <dimension ref="A1:N25"/>
  <sheetViews>
    <sheetView showGridLines="0" zoomScale="80" zoomScaleNormal="80" workbookViewId="0">
      <selection activeCell="B23" sqref="B23"/>
    </sheetView>
  </sheetViews>
  <sheetFormatPr defaultColWidth="9.109375" defaultRowHeight="13.8"/>
  <cols>
    <col min="1" max="1" width="9.88671875" style="157" customWidth="1"/>
    <col min="2" max="2" width="48.88671875" style="157" customWidth="1"/>
    <col min="3" max="3" width="22.6640625" style="157" bestFit="1" customWidth="1"/>
    <col min="4" max="4" width="20.88671875" style="157" bestFit="1" customWidth="1"/>
    <col min="5" max="5" width="20.33203125" style="157" customWidth="1"/>
    <col min="6" max="6" width="20.6640625" style="157" customWidth="1"/>
    <col min="7" max="7" width="20.88671875" style="157" customWidth="1"/>
    <col min="8" max="8" width="20.5546875" style="157" customWidth="1"/>
    <col min="9" max="9" width="18.5546875" style="157" customWidth="1"/>
    <col min="10" max="10" width="17.6640625" style="157" customWidth="1"/>
    <col min="11" max="11" width="16.33203125" style="157" customWidth="1"/>
    <col min="12" max="12" width="15.6640625" style="157" customWidth="1"/>
    <col min="13" max="13" width="16.5546875" style="157" customWidth="1"/>
    <col min="14" max="14" width="23.6640625" style="157" customWidth="1"/>
    <col min="15" max="16384" width="9.109375" style="157"/>
  </cols>
  <sheetData>
    <row r="1" spans="1:14">
      <c r="A1" s="697" t="str">
        <f>Summary!A1</f>
        <v>General Academic Institutions - Formula Funding - 2024-2025</v>
      </c>
      <c r="B1" s="698"/>
      <c r="C1" s="698"/>
      <c r="D1" s="698"/>
      <c r="E1" s="698"/>
      <c r="F1" s="698"/>
      <c r="G1" s="698"/>
      <c r="H1" s="698"/>
      <c r="I1" s="180"/>
      <c r="J1" s="180"/>
    </row>
    <row r="2" spans="1:14" ht="13.5" customHeight="1">
      <c r="A2" s="159" t="s">
        <v>519</v>
      </c>
      <c r="B2" s="482"/>
      <c r="C2" s="482"/>
      <c r="D2" s="482"/>
      <c r="E2" s="482"/>
      <c r="F2" s="482"/>
      <c r="G2" s="482"/>
      <c r="H2" s="482"/>
      <c r="I2" s="482"/>
      <c r="J2" s="482"/>
    </row>
    <row r="3" spans="1:14" ht="24.75" customHeight="1">
      <c r="A3" s="495" t="s">
        <v>515</v>
      </c>
      <c r="C3" s="640"/>
      <c r="D3" s="637"/>
      <c r="E3" s="637"/>
      <c r="F3" s="637"/>
      <c r="G3" s="637"/>
      <c r="H3" s="637"/>
      <c r="I3" s="637"/>
      <c r="J3" s="637"/>
      <c r="K3" s="637"/>
      <c r="L3" s="637"/>
      <c r="M3" s="637"/>
      <c r="N3" s="618"/>
    </row>
    <row r="4" spans="1:14" ht="83.25" customHeight="1">
      <c r="A4" s="504" t="s">
        <v>0</v>
      </c>
      <c r="B4" s="504" t="s">
        <v>27</v>
      </c>
      <c r="C4" s="612" t="s">
        <v>400</v>
      </c>
      <c r="D4" s="612" t="s">
        <v>481</v>
      </c>
      <c r="E4" s="613" t="s">
        <v>472</v>
      </c>
      <c r="F4" s="614" t="s">
        <v>469</v>
      </c>
      <c r="G4" s="614" t="s">
        <v>473</v>
      </c>
      <c r="H4" s="614" t="s">
        <v>474</v>
      </c>
      <c r="I4" s="614" t="s">
        <v>482</v>
      </c>
      <c r="J4" s="613" t="s">
        <v>475</v>
      </c>
      <c r="K4" s="614" t="s">
        <v>478</v>
      </c>
      <c r="L4" s="614" t="s">
        <v>479</v>
      </c>
      <c r="M4" s="614" t="s">
        <v>480</v>
      </c>
    </row>
    <row r="5" spans="1:14">
      <c r="A5" s="486" t="s">
        <v>342</v>
      </c>
      <c r="B5" s="487" t="s">
        <v>343</v>
      </c>
      <c r="C5" s="514">
        <f>D5+I5</f>
        <v>42555246.289974086</v>
      </c>
      <c r="D5" s="519">
        <f>(E5/$E$9)*$C$13*$D$11</f>
        <v>34594328.310416855</v>
      </c>
      <c r="E5" s="515">
        <f>AVERAGE(F5,G5,H5)</f>
        <v>60043460</v>
      </c>
      <c r="F5" s="516">
        <v>63840992</v>
      </c>
      <c r="G5" s="517">
        <v>56180474</v>
      </c>
      <c r="H5" s="518">
        <v>60108914</v>
      </c>
      <c r="I5" s="519">
        <f>(J5/$J$9)*$C$13*$I$11</f>
        <v>7960917.9795572301</v>
      </c>
      <c r="J5" s="605">
        <f>AVERAGE(K5,L5,M5)</f>
        <v>214.66666666666666</v>
      </c>
      <c r="K5" s="606">
        <v>202</v>
      </c>
      <c r="L5" s="606">
        <v>214</v>
      </c>
      <c r="M5" s="606">
        <v>228</v>
      </c>
    </row>
    <row r="6" spans="1:14">
      <c r="A6" s="165" t="s">
        <v>344</v>
      </c>
      <c r="B6" s="166" t="s">
        <v>345</v>
      </c>
      <c r="C6" s="514">
        <f>D6+I6</f>
        <v>56968041.252366342</v>
      </c>
      <c r="D6" s="519">
        <f>(E6/$E$9)*$C$13*$D$11</f>
        <v>47845125.927966908</v>
      </c>
      <c r="E6" s="515">
        <f>AVERAGE(F6,G6,H6)</f>
        <v>83042135.666666672</v>
      </c>
      <c r="F6" s="520">
        <v>82367984</v>
      </c>
      <c r="G6" s="521">
        <v>82452246</v>
      </c>
      <c r="H6" s="518">
        <v>84306177</v>
      </c>
      <c r="I6" s="519">
        <f>(J6/$J$9)*$C$13*$I$11</f>
        <v>9122915.3243994359</v>
      </c>
      <c r="J6" s="605">
        <f>AVERAGE(K6,L6,M6)</f>
        <v>246</v>
      </c>
      <c r="K6" s="606">
        <v>250</v>
      </c>
      <c r="L6" s="606">
        <v>243</v>
      </c>
      <c r="M6" s="606">
        <v>245</v>
      </c>
    </row>
    <row r="7" spans="1:14">
      <c r="A7" s="165" t="s">
        <v>346</v>
      </c>
      <c r="B7" s="166" t="s">
        <v>347</v>
      </c>
      <c r="C7" s="514">
        <f>D7+I7</f>
        <v>39356168.81104055</v>
      </c>
      <c r="D7" s="519">
        <f>(E7/$E$9)*$C$13*$D$11</f>
        <v>35202646.386923738</v>
      </c>
      <c r="E7" s="515">
        <f>AVERAGE(F7,G7,H7)</f>
        <v>61099284</v>
      </c>
      <c r="F7" s="520">
        <v>72978274</v>
      </c>
      <c r="G7" s="521">
        <v>56590305</v>
      </c>
      <c r="H7" s="518">
        <v>53729273</v>
      </c>
      <c r="I7" s="519">
        <f>(J7/$J$9)*$C$13*$I$11</f>
        <v>4153522.4241168159</v>
      </c>
      <c r="J7" s="605">
        <f>AVERAGE(K7,L7,M7)</f>
        <v>112</v>
      </c>
      <c r="K7" s="606">
        <v>111</v>
      </c>
      <c r="L7" s="606">
        <v>95</v>
      </c>
      <c r="M7" s="606">
        <v>130</v>
      </c>
    </row>
    <row r="8" spans="1:14" ht="16.2">
      <c r="A8" s="165" t="s">
        <v>348</v>
      </c>
      <c r="B8" s="166" t="s">
        <v>476</v>
      </c>
      <c r="C8" s="514">
        <f>D8+I8</f>
        <v>36079434.646619</v>
      </c>
      <c r="D8" s="519">
        <f>(E8/$E$9)*$C$13*$D$11</f>
        <v>31072956.724692479</v>
      </c>
      <c r="E8" s="515">
        <f>AVERAGE(F8,G8,H8)</f>
        <v>53931610.333333336</v>
      </c>
      <c r="F8" s="520">
        <v>62833001</v>
      </c>
      <c r="G8" s="521">
        <v>52686997</v>
      </c>
      <c r="H8" s="518">
        <v>46274833</v>
      </c>
      <c r="I8" s="519">
        <f>(J8/$J$9)*$C$13*$I$11</f>
        <v>5006477.9219265189</v>
      </c>
      <c r="J8" s="605">
        <f>AVERAGE(K8,L8,M8)</f>
        <v>135</v>
      </c>
      <c r="K8" s="606">
        <v>143</v>
      </c>
      <c r="L8" s="606">
        <v>109</v>
      </c>
      <c r="M8" s="606">
        <v>153</v>
      </c>
    </row>
    <row r="9" spans="1:14">
      <c r="A9" s="167"/>
      <c r="B9" s="498" t="s">
        <v>2</v>
      </c>
      <c r="C9" s="523">
        <f t="shared" ref="C9:M9" si="0">SUM(C5:C8)</f>
        <v>174958890.99999997</v>
      </c>
      <c r="D9" s="523">
        <f t="shared" si="0"/>
        <v>148715057.34999996</v>
      </c>
      <c r="E9" s="523">
        <f t="shared" si="0"/>
        <v>258116490.00000003</v>
      </c>
      <c r="F9" s="523">
        <f t="shared" si="0"/>
        <v>282020251</v>
      </c>
      <c r="G9" s="523">
        <f t="shared" si="0"/>
        <v>247910022</v>
      </c>
      <c r="H9" s="523">
        <f t="shared" si="0"/>
        <v>244419197</v>
      </c>
      <c r="I9" s="523">
        <f t="shared" si="0"/>
        <v>26243833.649999999</v>
      </c>
      <c r="J9" s="607">
        <f t="shared" si="0"/>
        <v>707.66666666666663</v>
      </c>
      <c r="K9" s="607">
        <f t="shared" si="0"/>
        <v>706</v>
      </c>
      <c r="L9" s="607">
        <f t="shared" si="0"/>
        <v>661</v>
      </c>
      <c r="M9" s="607">
        <f t="shared" si="0"/>
        <v>756</v>
      </c>
    </row>
    <row r="10" spans="1:14" ht="35.25" customHeight="1">
      <c r="A10" s="576"/>
      <c r="B10" s="507"/>
      <c r="C10" s="588"/>
      <c r="D10" s="589" t="s">
        <v>495</v>
      </c>
      <c r="E10" s="577"/>
      <c r="F10" s="577"/>
      <c r="G10" s="577"/>
      <c r="H10" s="577"/>
      <c r="I10" s="589" t="s">
        <v>496</v>
      </c>
      <c r="J10" s="608"/>
      <c r="K10" s="608"/>
      <c r="L10" s="608"/>
      <c r="M10" s="608"/>
    </row>
    <row r="11" spans="1:14" s="584" customFormat="1">
      <c r="A11" s="581"/>
      <c r="B11" s="582"/>
      <c r="C11" s="603"/>
      <c r="D11" s="604">
        <v>0.85</v>
      </c>
      <c r="E11" s="583"/>
      <c r="F11" s="583"/>
      <c r="G11" s="583"/>
      <c r="H11" s="583"/>
      <c r="I11" s="604">
        <v>0.15</v>
      </c>
      <c r="J11" s="583"/>
      <c r="K11" s="583"/>
      <c r="L11" s="583"/>
      <c r="M11" s="583"/>
      <c r="N11" s="355"/>
    </row>
    <row r="12" spans="1:14" s="579" customFormat="1">
      <c r="A12" s="578"/>
      <c r="E12" s="580"/>
      <c r="F12" s="580"/>
      <c r="G12" s="580"/>
      <c r="H12" s="580"/>
      <c r="J12" s="580"/>
      <c r="K12" s="580"/>
      <c r="L12" s="580"/>
      <c r="M12" s="580"/>
    </row>
    <row r="13" spans="1:14">
      <c r="B13" s="585" t="s">
        <v>462</v>
      </c>
      <c r="C13" s="586">
        <v>174958891</v>
      </c>
      <c r="E13" s="157" t="s">
        <v>396</v>
      </c>
    </row>
    <row r="14" spans="1:14" ht="48.6" customHeight="1">
      <c r="A14" s="695" t="s">
        <v>494</v>
      </c>
      <c r="B14" s="696"/>
      <c r="C14" s="696"/>
      <c r="D14" s="696"/>
      <c r="E14" s="696"/>
      <c r="F14" s="696"/>
      <c r="G14" s="696"/>
      <c r="H14" s="696"/>
      <c r="I14" s="482"/>
      <c r="J14" s="482"/>
    </row>
    <row r="15" spans="1:14" ht="18.75" customHeight="1">
      <c r="A15" s="488" t="s">
        <v>477</v>
      </c>
      <c r="B15" s="497"/>
      <c r="C15" s="497"/>
      <c r="D15" s="513"/>
      <c r="E15" s="490"/>
      <c r="F15" s="490"/>
      <c r="G15" s="490"/>
      <c r="J15" s="490"/>
    </row>
    <row r="16" spans="1:14" ht="14.7" customHeight="1">
      <c r="A16" s="691"/>
      <c r="B16" s="692"/>
      <c r="C16" s="692"/>
      <c r="D16" s="692"/>
      <c r="E16" s="692"/>
      <c r="F16" s="693"/>
      <c r="G16" s="693"/>
      <c r="H16" s="693"/>
      <c r="I16" s="511"/>
      <c r="J16" s="511"/>
    </row>
    <row r="17" spans="1:10" ht="14.25" customHeight="1">
      <c r="A17" s="694"/>
      <c r="B17" s="694"/>
      <c r="C17" s="694"/>
      <c r="D17" s="694"/>
      <c r="E17" s="694"/>
      <c r="F17" s="694"/>
      <c r="G17" s="694"/>
      <c r="H17" s="694"/>
      <c r="I17" s="512"/>
      <c r="J17" s="512"/>
    </row>
    <row r="18" spans="1:10">
      <c r="C18" s="161"/>
    </row>
    <row r="19" spans="1:10">
      <c r="C19" s="619"/>
      <c r="D19" s="175"/>
    </row>
    <row r="20" spans="1:10">
      <c r="C20" s="619"/>
      <c r="D20" s="175"/>
    </row>
    <row r="21" spans="1:10">
      <c r="C21" s="619"/>
      <c r="D21" s="175"/>
    </row>
    <row r="22" spans="1:10">
      <c r="C22" s="619"/>
      <c r="D22" s="175"/>
    </row>
    <row r="23" spans="1:10">
      <c r="C23" s="600"/>
    </row>
    <row r="24" spans="1:10">
      <c r="C24" s="173"/>
    </row>
    <row r="25" spans="1:10">
      <c r="C25" s="173" t="s">
        <v>396</v>
      </c>
    </row>
  </sheetData>
  <mergeCells count="4">
    <mergeCell ref="A1:H1"/>
    <mergeCell ref="A14:H14"/>
    <mergeCell ref="A16:H16"/>
    <mergeCell ref="A17:H17"/>
  </mergeCells>
  <pageMargins left="0.25" right="0.25" top="0.5" bottom="0.2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8FDDDF-4926-4F33-98B3-9E4C6DFD6778}">
  <sheetPr>
    <tabColor rgb="FF00B050"/>
    <outlinePr summaryBelow="0" summaryRight="0"/>
  </sheetPr>
  <dimension ref="A1:O24"/>
  <sheetViews>
    <sheetView showGridLines="0" zoomScale="80" zoomScaleNormal="80" workbookViewId="0">
      <selection activeCell="E26" sqref="E26"/>
    </sheetView>
  </sheetViews>
  <sheetFormatPr defaultColWidth="9.109375" defaultRowHeight="13.8"/>
  <cols>
    <col min="1" max="1" width="9.88671875" style="157" customWidth="1"/>
    <col min="2" max="2" width="33.5546875" style="157" customWidth="1"/>
    <col min="3" max="3" width="22.6640625" style="157" bestFit="1" customWidth="1"/>
    <col min="4" max="4" width="20.88671875" style="157" bestFit="1" customWidth="1"/>
    <col min="5" max="5" width="20.33203125" style="157" customWidth="1"/>
    <col min="6" max="6" width="20.6640625" style="157" customWidth="1"/>
    <col min="7" max="7" width="20.88671875" style="157" customWidth="1"/>
    <col min="8" max="10" width="20.5546875" style="157" customWidth="1"/>
    <col min="11" max="11" width="16.6640625" style="157" customWidth="1"/>
    <col min="12" max="12" width="15.5546875" style="157" customWidth="1"/>
    <col min="13" max="13" width="16.33203125" style="157" customWidth="1"/>
    <col min="14" max="14" width="22" style="157" customWidth="1"/>
    <col min="15" max="15" width="16.6640625" style="157" customWidth="1"/>
    <col min="16" max="16384" width="9.109375" style="157"/>
  </cols>
  <sheetData>
    <row r="1" spans="1:15">
      <c r="A1" s="697" t="str">
        <f>Summary!A1</f>
        <v>General Academic Institutions - Formula Funding - 2024-2025</v>
      </c>
      <c r="B1" s="698"/>
      <c r="C1" s="698"/>
      <c r="D1" s="698"/>
      <c r="E1" s="698"/>
      <c r="F1" s="698"/>
      <c r="G1" s="698"/>
      <c r="H1" s="698"/>
      <c r="I1" s="180"/>
      <c r="J1" s="180"/>
    </row>
    <row r="2" spans="1:15" ht="13.95" customHeight="1">
      <c r="A2" s="159" t="s">
        <v>520</v>
      </c>
      <c r="B2" s="482"/>
      <c r="C2" s="482"/>
      <c r="D2" s="482"/>
      <c r="E2" s="482"/>
      <c r="F2" s="482"/>
      <c r="G2" s="482"/>
      <c r="H2" s="482"/>
      <c r="I2" s="482"/>
      <c r="J2" s="482"/>
    </row>
    <row r="3" spans="1:15" ht="25.2" customHeight="1" thickBot="1">
      <c r="A3" s="495" t="s">
        <v>521</v>
      </c>
      <c r="B3" s="482"/>
      <c r="C3" s="482"/>
      <c r="D3" s="482"/>
      <c r="E3" s="482"/>
      <c r="F3" s="482"/>
      <c r="G3" s="482"/>
      <c r="H3" s="482"/>
      <c r="I3" s="482"/>
      <c r="J3" s="482"/>
    </row>
    <row r="4" spans="1:15" ht="31.5" customHeight="1" thickBot="1">
      <c r="C4" s="702" t="s">
        <v>485</v>
      </c>
      <c r="D4" s="703"/>
      <c r="E4" s="703"/>
      <c r="F4" s="703"/>
      <c r="G4" s="703"/>
      <c r="H4" s="703"/>
      <c r="I4" s="703"/>
      <c r="J4" s="703"/>
      <c r="K4" s="703"/>
      <c r="L4" s="703"/>
      <c r="M4" s="704"/>
      <c r="N4" s="705" t="s">
        <v>499</v>
      </c>
      <c r="O4" s="706"/>
    </row>
    <row r="5" spans="1:15" ht="89.4" customHeight="1">
      <c r="A5" s="504" t="s">
        <v>0</v>
      </c>
      <c r="B5" s="504" t="s">
        <v>27</v>
      </c>
      <c r="C5" s="504" t="s">
        <v>400</v>
      </c>
      <c r="D5" s="504" t="s">
        <v>481</v>
      </c>
      <c r="E5" s="505" t="s">
        <v>472</v>
      </c>
      <c r="F5" s="503" t="s">
        <v>469</v>
      </c>
      <c r="G5" s="503" t="s">
        <v>473</v>
      </c>
      <c r="H5" s="503" t="s">
        <v>474</v>
      </c>
      <c r="I5" s="503" t="s">
        <v>482</v>
      </c>
      <c r="J5" s="505" t="s">
        <v>483</v>
      </c>
      <c r="K5" s="503" t="s">
        <v>478</v>
      </c>
      <c r="L5" s="503" t="s">
        <v>479</v>
      </c>
      <c r="M5" s="503" t="s">
        <v>480</v>
      </c>
      <c r="N5" s="615" t="s">
        <v>484</v>
      </c>
      <c r="O5" s="615" t="s">
        <v>500</v>
      </c>
    </row>
    <row r="6" spans="1:15">
      <c r="A6" s="167" t="s">
        <v>349</v>
      </c>
      <c r="B6" s="166" t="s">
        <v>501</v>
      </c>
      <c r="C6" s="514">
        <f>D6+I6+N6</f>
        <v>96767204.778067797</v>
      </c>
      <c r="D6" s="519">
        <f>(E6/$E$10)*($C$16)*$D$12</f>
        <v>24836620.493489452</v>
      </c>
      <c r="E6" s="515">
        <f>AVERAGE(F6,G6,H6)</f>
        <v>93821608.333333328</v>
      </c>
      <c r="F6" s="520">
        <v>94231768</v>
      </c>
      <c r="G6" s="521">
        <v>95000569</v>
      </c>
      <c r="H6" s="518">
        <v>92232488</v>
      </c>
      <c r="I6" s="519">
        <f>(J6/$J$10)*($C$16)*$I$12</f>
        <v>3589549.5345783485</v>
      </c>
      <c r="J6" s="605">
        <f>AVERAGE(K6,L6,M6)</f>
        <v>400</v>
      </c>
      <c r="K6" s="606">
        <v>406</v>
      </c>
      <c r="L6" s="606">
        <v>430</v>
      </c>
      <c r="M6" s="606">
        <v>364</v>
      </c>
      <c r="N6" s="616">
        <f>O6*$C$15</f>
        <v>68341034.75</v>
      </c>
      <c r="O6" s="641">
        <f>2/(2*2+2)</f>
        <v>0.33333333333333331</v>
      </c>
    </row>
    <row r="7" spans="1:15">
      <c r="A7" s="165" t="s">
        <v>350</v>
      </c>
      <c r="B7" s="166" t="s">
        <v>502</v>
      </c>
      <c r="C7" s="514">
        <f>D7+I7+N7</f>
        <v>42757317.167449914</v>
      </c>
      <c r="D7" s="519">
        <f>(E7/$E$10)*($C$16)*$D$12</f>
        <v>5978393.7973229783</v>
      </c>
      <c r="E7" s="515">
        <f>AVERAGE(F7,G7,H7)</f>
        <v>22583689.333333332</v>
      </c>
      <c r="F7" s="520">
        <v>27075844</v>
      </c>
      <c r="G7" s="521">
        <v>22697787</v>
      </c>
      <c r="H7" s="518">
        <v>17977437</v>
      </c>
      <c r="I7" s="519">
        <f>(J7/$J$10)*($C$16)*$I$12</f>
        <v>2608405.9951269333</v>
      </c>
      <c r="J7" s="605">
        <f>AVERAGE(K7,L7,M7)</f>
        <v>290.66666666666669</v>
      </c>
      <c r="K7" s="606">
        <v>294</v>
      </c>
      <c r="L7" s="606">
        <v>267</v>
      </c>
      <c r="M7" s="606">
        <v>311</v>
      </c>
      <c r="N7" s="616">
        <f>O7*$C$15</f>
        <v>34170517.375</v>
      </c>
      <c r="O7" s="641">
        <f>O6/2</f>
        <v>0.16666666666666666</v>
      </c>
    </row>
    <row r="8" spans="1:15">
      <c r="A8" s="165" t="s">
        <v>351</v>
      </c>
      <c r="B8" s="166" t="s">
        <v>503</v>
      </c>
      <c r="C8" s="514">
        <f>D8+I8+N8</f>
        <v>89026854.636121541</v>
      </c>
      <c r="D8" s="519">
        <f>(E8/$E$10)*($C$16)*$D$12</f>
        <v>17057383.564918596</v>
      </c>
      <c r="E8" s="515">
        <f>AVERAGE(F8,G8,H8)</f>
        <v>64435141.666666664</v>
      </c>
      <c r="F8" s="520">
        <v>75814887</v>
      </c>
      <c r="G8" s="521">
        <v>61420924</v>
      </c>
      <c r="H8" s="518">
        <v>56069614</v>
      </c>
      <c r="I8" s="519">
        <f>(J8/$J$10)*($C$16)*$I$12</f>
        <v>3628436.3212029468</v>
      </c>
      <c r="J8" s="605">
        <f>AVERAGE(K8,L8,M8)</f>
        <v>404.33333333333331</v>
      </c>
      <c r="K8" s="606">
        <v>441</v>
      </c>
      <c r="L8" s="606">
        <v>382</v>
      </c>
      <c r="M8" s="606">
        <v>390</v>
      </c>
      <c r="N8" s="616">
        <f>O8*$C$15</f>
        <v>68341034.75</v>
      </c>
      <c r="O8" s="641">
        <f>2/(2*2+2)</f>
        <v>0.33333333333333331</v>
      </c>
    </row>
    <row r="9" spans="1:15">
      <c r="A9" s="167" t="s">
        <v>352</v>
      </c>
      <c r="B9" s="166" t="s">
        <v>504</v>
      </c>
      <c r="C9" s="514">
        <f>D9+I9+N9</f>
        <v>44812762.41836074</v>
      </c>
      <c r="D9" s="519">
        <f>(E9/$E$10)*($C$16)*$D$12</f>
        <v>10217481.681768971</v>
      </c>
      <c r="E9" s="515">
        <f>AVERAGE(F9,G9,H9)</f>
        <v>38597061.333333336</v>
      </c>
      <c r="F9" s="520">
        <v>45954430</v>
      </c>
      <c r="G9" s="521">
        <v>36768333</v>
      </c>
      <c r="H9" s="518">
        <v>33068421</v>
      </c>
      <c r="I9" s="519">
        <f>(J9/$J$10)*($C$16)*$I$12</f>
        <v>424763.36159177125</v>
      </c>
      <c r="J9" s="605">
        <f>AVERAGE(K9,L9,M9)</f>
        <v>47.333333333333336</v>
      </c>
      <c r="K9" s="606">
        <v>49</v>
      </c>
      <c r="L9" s="606">
        <v>38</v>
      </c>
      <c r="M9" s="606">
        <v>55</v>
      </c>
      <c r="N9" s="616">
        <f>O9*$C$15</f>
        <v>34170517.375</v>
      </c>
      <c r="O9" s="641">
        <f>O8/2</f>
        <v>0.16666666666666666</v>
      </c>
    </row>
    <row r="10" spans="1:15">
      <c r="A10" s="167"/>
      <c r="B10" s="498" t="s">
        <v>2</v>
      </c>
      <c r="C10" s="522">
        <f>SUM(C6:C9)</f>
        <v>273364139</v>
      </c>
      <c r="D10" s="523">
        <f>SUM(D6:D9)</f>
        <v>58089879.537499994</v>
      </c>
      <c r="E10" s="523">
        <f>SUM(E6:E9)</f>
        <v>219437500.66666666</v>
      </c>
      <c r="F10" s="523">
        <v>282020251</v>
      </c>
      <c r="G10" s="523">
        <v>247910022</v>
      </c>
      <c r="H10" s="523">
        <v>244419197</v>
      </c>
      <c r="I10" s="523">
        <f>SUM(I6:I9)</f>
        <v>10251155.2125</v>
      </c>
      <c r="J10" s="609">
        <f>AVERAGE(K10,L10,M10)</f>
        <v>1142.3333333333333</v>
      </c>
      <c r="K10" s="607">
        <f>SUM(K6:K9)</f>
        <v>1190</v>
      </c>
      <c r="L10" s="607">
        <f>SUM(L6:L9)</f>
        <v>1117</v>
      </c>
      <c r="M10" s="607">
        <f>SUM(M6:M9)</f>
        <v>1120</v>
      </c>
      <c r="N10" s="617">
        <f>SUM(N6:N9)</f>
        <v>205023104.25</v>
      </c>
      <c r="O10" s="642">
        <f>SUM(O6:O9)</f>
        <v>0.99999999999999989</v>
      </c>
    </row>
    <row r="11" spans="1:15" ht="27.6">
      <c r="A11" s="576"/>
      <c r="B11" s="507"/>
      <c r="C11" s="588"/>
      <c r="D11" s="589" t="s">
        <v>497</v>
      </c>
      <c r="E11" s="577"/>
      <c r="F11" s="577"/>
      <c r="G11" s="577"/>
      <c r="H11" s="577"/>
      <c r="I11" s="589" t="s">
        <v>498</v>
      </c>
      <c r="J11" s="577"/>
      <c r="K11" s="577"/>
      <c r="L11" s="577"/>
      <c r="M11" s="577"/>
    </row>
    <row r="12" spans="1:15" s="584" customFormat="1">
      <c r="A12" s="581"/>
      <c r="B12" s="582"/>
      <c r="C12" s="587"/>
      <c r="D12" s="587">
        <v>0.85</v>
      </c>
      <c r="E12" s="583"/>
      <c r="F12" s="583"/>
      <c r="G12" s="583"/>
      <c r="H12" s="583"/>
      <c r="I12" s="587">
        <v>0.15</v>
      </c>
      <c r="J12" s="583"/>
      <c r="K12" s="583"/>
      <c r="L12" s="583"/>
      <c r="M12" s="583"/>
    </row>
    <row r="13" spans="1:15" s="579" customFormat="1">
      <c r="A13" s="578"/>
      <c r="E13" s="580"/>
      <c r="F13" s="580"/>
      <c r="G13" s="580"/>
      <c r="H13" s="580"/>
      <c r="J13" s="580"/>
      <c r="K13" s="580"/>
      <c r="L13" s="580"/>
      <c r="M13" s="580"/>
    </row>
    <row r="14" spans="1:15">
      <c r="B14" s="585" t="s">
        <v>507</v>
      </c>
      <c r="C14" s="586">
        <v>273364139</v>
      </c>
      <c r="E14" s="157" t="s">
        <v>396</v>
      </c>
    </row>
    <row r="15" spans="1:15" ht="41.4">
      <c r="B15" s="643" t="s">
        <v>505</v>
      </c>
      <c r="C15" s="644">
        <f>0.75*C14</f>
        <v>205023104.25</v>
      </c>
    </row>
    <row r="16" spans="1:15">
      <c r="B16" s="645" t="s">
        <v>506</v>
      </c>
      <c r="C16" s="644">
        <f>0.25*C14</f>
        <v>68341034.75</v>
      </c>
    </row>
    <row r="17" spans="1:13" ht="55.2" customHeight="1">
      <c r="A17" s="695" t="s">
        <v>494</v>
      </c>
      <c r="B17" s="696"/>
      <c r="C17" s="696"/>
      <c r="D17" s="696"/>
      <c r="E17" s="696"/>
      <c r="F17" s="696"/>
      <c r="G17" s="696"/>
      <c r="H17" s="696"/>
    </row>
    <row r="18" spans="1:13" ht="49.95" customHeight="1">
      <c r="A18" s="707" t="s">
        <v>353</v>
      </c>
      <c r="B18" s="708"/>
      <c r="C18" s="708"/>
      <c r="D18" s="708"/>
      <c r="E18" s="708"/>
      <c r="F18" s="708"/>
      <c r="G18" s="708"/>
      <c r="H18" s="708"/>
      <c r="I18" s="708"/>
      <c r="J18" s="708"/>
      <c r="K18" s="708"/>
      <c r="L18" s="708"/>
      <c r="M18" s="708"/>
    </row>
    <row r="19" spans="1:13" ht="14.7" customHeight="1">
      <c r="A19" s="695"/>
      <c r="B19" s="696"/>
      <c r="C19" s="696"/>
      <c r="D19" s="696"/>
      <c r="E19" s="696"/>
      <c r="F19" s="696"/>
      <c r="G19" s="696"/>
      <c r="H19" s="696"/>
      <c r="I19" s="482"/>
      <c r="J19" s="482"/>
    </row>
    <row r="20" spans="1:13" ht="14.7" customHeight="1">
      <c r="A20" s="691"/>
      <c r="B20" s="692"/>
      <c r="C20" s="692"/>
      <c r="D20" s="692"/>
      <c r="E20" s="692"/>
      <c r="F20" s="693"/>
      <c r="G20" s="693"/>
      <c r="H20" s="693"/>
      <c r="I20" s="511"/>
      <c r="J20" s="511"/>
    </row>
    <row r="21" spans="1:13" ht="14.7" customHeight="1">
      <c r="A21" s="694"/>
      <c r="B21" s="694"/>
      <c r="C21" s="694"/>
      <c r="D21" s="694"/>
      <c r="E21" s="694"/>
      <c r="F21" s="694"/>
      <c r="G21" s="694"/>
      <c r="H21" s="694"/>
      <c r="I21" s="512"/>
      <c r="J21" s="512"/>
    </row>
    <row r="22" spans="1:13" ht="14.7" customHeight="1">
      <c r="A22" s="512"/>
      <c r="B22" s="512"/>
      <c r="C22" s="610" t="s">
        <v>396</v>
      </c>
      <c r="D22" s="512"/>
      <c r="E22" s="512"/>
      <c r="F22" s="512"/>
      <c r="G22" s="512"/>
      <c r="H22" s="512"/>
      <c r="I22" s="512"/>
      <c r="J22" s="512"/>
    </row>
    <row r="23" spans="1:13" ht="14.7" customHeight="1">
      <c r="A23" s="472"/>
      <c r="B23" s="472"/>
      <c r="D23" s="472"/>
      <c r="E23" s="472"/>
      <c r="F23" s="472"/>
      <c r="G23" s="472"/>
    </row>
    <row r="24" spans="1:13" ht="14.7" customHeight="1"/>
  </sheetData>
  <mergeCells count="8">
    <mergeCell ref="A21:H21"/>
    <mergeCell ref="C4:M4"/>
    <mergeCell ref="A17:H17"/>
    <mergeCell ref="N4:O4"/>
    <mergeCell ref="A1:H1"/>
    <mergeCell ref="A18:M18"/>
    <mergeCell ref="A19:H19"/>
    <mergeCell ref="A20:H20"/>
  </mergeCells>
  <pageMargins left="0.25" right="0.25" top="0.5" bottom="0.2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F57CFF-2AE2-4855-B7D9-625FAABF2A49}">
  <sheetPr>
    <tabColor rgb="FF00B050"/>
    <outlinePr summaryBelow="0" summaryRight="0"/>
  </sheetPr>
  <dimension ref="A1:N40"/>
  <sheetViews>
    <sheetView showGridLines="0" zoomScale="70" zoomScaleNormal="70" workbookViewId="0">
      <selection sqref="A1:G1"/>
    </sheetView>
  </sheetViews>
  <sheetFormatPr defaultColWidth="9.109375" defaultRowHeight="13.8"/>
  <cols>
    <col min="1" max="1" width="9.88671875" style="157" customWidth="1"/>
    <col min="2" max="2" width="40" style="157" customWidth="1"/>
    <col min="3" max="3" width="21.44140625" style="157" customWidth="1"/>
    <col min="4" max="4" width="19.88671875" style="157" customWidth="1"/>
    <col min="5" max="5" width="19.33203125" style="157" customWidth="1"/>
    <col min="6" max="7" width="20.5546875" style="157" customWidth="1"/>
    <col min="8" max="8" width="21.33203125" style="157" customWidth="1"/>
    <col min="9" max="9" width="22.33203125" style="157" customWidth="1"/>
    <col min="10" max="10" width="20.44140625" style="157" customWidth="1"/>
    <col min="11" max="11" width="20" style="157" customWidth="1"/>
    <col min="12" max="16384" width="9.109375" style="157"/>
  </cols>
  <sheetData>
    <row r="1" spans="1:11">
      <c r="A1" s="697" t="str">
        <f>Summary!A1</f>
        <v>General Academic Institutions - Formula Funding - 2024-2025</v>
      </c>
      <c r="B1" s="698"/>
      <c r="C1" s="698"/>
      <c r="D1" s="698"/>
      <c r="E1" s="698"/>
      <c r="F1" s="698"/>
      <c r="G1" s="698"/>
    </row>
    <row r="2" spans="1:11" ht="13.95" customHeight="1">
      <c r="A2" s="159" t="s">
        <v>330</v>
      </c>
      <c r="B2" s="482"/>
      <c r="C2" s="482"/>
      <c r="D2" s="482"/>
      <c r="E2" s="482"/>
      <c r="F2" s="482"/>
      <c r="G2" s="482"/>
    </row>
    <row r="3" spans="1:11" ht="28.5" customHeight="1">
      <c r="A3" s="495" t="s">
        <v>522</v>
      </c>
      <c r="C3" s="489"/>
      <c r="D3" s="490"/>
      <c r="E3" s="490"/>
      <c r="F3" s="490"/>
      <c r="G3" s="490"/>
    </row>
    <row r="4" spans="1:11" ht="16.5" customHeight="1">
      <c r="A4" s="495" t="s">
        <v>523</v>
      </c>
      <c r="C4" s="489"/>
      <c r="D4" s="490"/>
      <c r="E4" s="490"/>
      <c r="F4" s="490"/>
      <c r="G4" s="490"/>
    </row>
    <row r="5" spans="1:11" ht="79.95" customHeight="1">
      <c r="A5" s="504" t="s">
        <v>0</v>
      </c>
      <c r="B5" s="504" t="s">
        <v>27</v>
      </c>
      <c r="C5" s="504" t="s">
        <v>341</v>
      </c>
      <c r="D5" s="503" t="s">
        <v>471</v>
      </c>
      <c r="E5" s="503" t="s">
        <v>469</v>
      </c>
      <c r="F5" s="503" t="s">
        <v>470</v>
      </c>
      <c r="G5" s="503" t="s">
        <v>468</v>
      </c>
      <c r="H5" s="161"/>
    </row>
    <row r="6" spans="1:11">
      <c r="A6" s="564" t="s">
        <v>355</v>
      </c>
      <c r="B6" s="500" t="s">
        <v>356</v>
      </c>
      <c r="C6" s="506">
        <f t="shared" ref="C6:C31" si="0">$C$33*D6</f>
        <v>3417765.3188772122</v>
      </c>
      <c r="D6" s="494">
        <f>AVERAGE(E6,F6,G6)</f>
        <v>10420136</v>
      </c>
      <c r="E6" s="492">
        <v>13203122</v>
      </c>
      <c r="F6" s="492">
        <v>9139482</v>
      </c>
      <c r="G6" s="492">
        <v>8917804</v>
      </c>
      <c r="H6" s="600"/>
      <c r="I6" s="600"/>
      <c r="J6" s="600"/>
      <c r="K6" s="600"/>
    </row>
    <row r="7" spans="1:11">
      <c r="A7" s="564" t="s">
        <v>357</v>
      </c>
      <c r="B7" s="500" t="s">
        <v>358</v>
      </c>
      <c r="C7" s="506">
        <f t="shared" si="0"/>
        <v>743439.64307907154</v>
      </c>
      <c r="D7" s="494">
        <f t="shared" ref="D7:D31" si="1">AVERAGE(E7,F7,G7)</f>
        <v>2266610.3333333335</v>
      </c>
      <c r="E7" s="492">
        <v>2669116</v>
      </c>
      <c r="F7" s="492">
        <v>2522578</v>
      </c>
      <c r="G7" s="492">
        <v>1608137</v>
      </c>
      <c r="H7" s="600"/>
      <c r="I7" s="600"/>
      <c r="J7" s="600"/>
      <c r="K7" s="600"/>
    </row>
    <row r="8" spans="1:11">
      <c r="A8" s="564" t="s">
        <v>359</v>
      </c>
      <c r="B8" s="501" t="s">
        <v>360</v>
      </c>
      <c r="C8" s="506">
        <f t="shared" si="0"/>
        <v>503493.56406004052</v>
      </c>
      <c r="D8" s="494">
        <f t="shared" si="1"/>
        <v>1535059</v>
      </c>
      <c r="E8" s="492">
        <v>1815905</v>
      </c>
      <c r="F8" s="492">
        <v>1417438</v>
      </c>
      <c r="G8" s="492">
        <v>1371834</v>
      </c>
      <c r="H8" s="600"/>
      <c r="I8" s="600"/>
      <c r="J8" s="600"/>
      <c r="K8" s="600"/>
    </row>
    <row r="9" spans="1:11">
      <c r="A9" s="564" t="s">
        <v>361</v>
      </c>
      <c r="B9" s="501" t="s">
        <v>362</v>
      </c>
      <c r="C9" s="506">
        <f t="shared" si="0"/>
        <v>938309.85627037648</v>
      </c>
      <c r="D9" s="494">
        <f t="shared" si="1"/>
        <v>2860733.6666666665</v>
      </c>
      <c r="E9" s="492">
        <v>2805523</v>
      </c>
      <c r="F9" s="492">
        <v>2684429</v>
      </c>
      <c r="G9" s="492">
        <v>3092249</v>
      </c>
      <c r="H9" s="600"/>
      <c r="I9" s="600"/>
      <c r="J9" s="600"/>
      <c r="K9" s="600"/>
    </row>
    <row r="10" spans="1:11">
      <c r="A10" s="564" t="s">
        <v>363</v>
      </c>
      <c r="B10" s="500" t="s">
        <v>364</v>
      </c>
      <c r="C10" s="506">
        <f t="shared" si="0"/>
        <v>3528519.9150245539</v>
      </c>
      <c r="D10" s="494">
        <f t="shared" si="1"/>
        <v>10757806.333333334</v>
      </c>
      <c r="E10" s="492">
        <v>12494329</v>
      </c>
      <c r="F10" s="492">
        <v>10120901</v>
      </c>
      <c r="G10" s="492">
        <v>9658189</v>
      </c>
      <c r="H10" s="600"/>
      <c r="I10" s="600"/>
      <c r="J10" s="600"/>
      <c r="K10" s="600"/>
    </row>
    <row r="11" spans="1:11">
      <c r="A11" s="564" t="s">
        <v>365</v>
      </c>
      <c r="B11" s="501" t="s">
        <v>366</v>
      </c>
      <c r="C11" s="506">
        <f t="shared" si="0"/>
        <v>1858772.781701199</v>
      </c>
      <c r="D11" s="494">
        <f t="shared" si="1"/>
        <v>5667055.333333333</v>
      </c>
      <c r="E11" s="492">
        <v>5325513</v>
      </c>
      <c r="F11" s="492">
        <v>6437234</v>
      </c>
      <c r="G11" s="492">
        <v>5238419</v>
      </c>
      <c r="H11" s="600"/>
      <c r="I11" s="600"/>
      <c r="J11" s="600"/>
      <c r="K11" s="600"/>
    </row>
    <row r="12" spans="1:11">
      <c r="A12" s="564" t="s">
        <v>416</v>
      </c>
      <c r="B12" s="502" t="s">
        <v>415</v>
      </c>
      <c r="C12" s="506">
        <f t="shared" si="0"/>
        <v>184369.08590763301</v>
      </c>
      <c r="D12" s="494">
        <f t="shared" si="1"/>
        <v>562107.33333333337</v>
      </c>
      <c r="E12" s="492">
        <v>530606</v>
      </c>
      <c r="F12" s="492">
        <v>681505</v>
      </c>
      <c r="G12" s="492">
        <v>474211</v>
      </c>
      <c r="H12" s="600"/>
      <c r="I12" s="600"/>
      <c r="J12" s="600"/>
      <c r="K12" s="600"/>
    </row>
    <row r="13" spans="1:11">
      <c r="A13" s="564" t="s">
        <v>367</v>
      </c>
      <c r="B13" s="500" t="s">
        <v>368</v>
      </c>
      <c r="C13" s="506">
        <f t="shared" si="0"/>
        <v>6082299.9792285487</v>
      </c>
      <c r="D13" s="494">
        <f t="shared" si="1"/>
        <v>18543810.666666668</v>
      </c>
      <c r="E13" s="492">
        <v>20059508</v>
      </c>
      <c r="F13" s="492">
        <v>16551688</v>
      </c>
      <c r="G13" s="492">
        <v>19020236</v>
      </c>
      <c r="H13" s="600"/>
      <c r="I13" s="600"/>
      <c r="J13" s="600"/>
      <c r="K13" s="600"/>
    </row>
    <row r="14" spans="1:11">
      <c r="A14" s="564" t="s">
        <v>369</v>
      </c>
      <c r="B14" s="500" t="s">
        <v>370</v>
      </c>
      <c r="C14" s="506">
        <f t="shared" si="0"/>
        <v>4973995.0344800707</v>
      </c>
      <c r="D14" s="494">
        <f t="shared" si="1"/>
        <v>15164793.333333334</v>
      </c>
      <c r="E14" s="492">
        <v>14650607</v>
      </c>
      <c r="F14" s="492">
        <v>15334292</v>
      </c>
      <c r="G14" s="492">
        <v>15509481</v>
      </c>
      <c r="H14" s="600"/>
      <c r="I14" s="600"/>
      <c r="J14" s="600"/>
      <c r="K14" s="600"/>
    </row>
    <row r="15" spans="1:11">
      <c r="A15" s="564" t="s">
        <v>451</v>
      </c>
      <c r="B15" s="501" t="s">
        <v>371</v>
      </c>
      <c r="C15" s="506">
        <f t="shared" si="0"/>
        <v>83428.13694693151</v>
      </c>
      <c r="D15" s="494">
        <f t="shared" si="1"/>
        <v>254357</v>
      </c>
      <c r="E15" s="492">
        <v>470667</v>
      </c>
      <c r="F15" s="492">
        <v>176976</v>
      </c>
      <c r="G15" s="492">
        <v>115428</v>
      </c>
      <c r="H15" s="600"/>
      <c r="I15" s="600"/>
      <c r="J15" s="600"/>
      <c r="K15" s="600"/>
    </row>
    <row r="16" spans="1:11">
      <c r="A16" s="564" t="s">
        <v>372</v>
      </c>
      <c r="B16" s="501" t="s">
        <v>373</v>
      </c>
      <c r="C16" s="506">
        <f t="shared" si="0"/>
        <v>691249.21103726106</v>
      </c>
      <c r="D16" s="494">
        <f t="shared" si="1"/>
        <v>2107491.3333333335</v>
      </c>
      <c r="E16" s="492">
        <v>2553439</v>
      </c>
      <c r="F16" s="492">
        <v>2013352</v>
      </c>
      <c r="G16" s="492">
        <v>1755683</v>
      </c>
      <c r="H16" s="600"/>
      <c r="I16" s="600"/>
      <c r="J16" s="600"/>
      <c r="K16" s="600"/>
    </row>
    <row r="17" spans="1:11">
      <c r="A17" s="564" t="s">
        <v>374</v>
      </c>
      <c r="B17" s="501" t="s">
        <v>375</v>
      </c>
      <c r="C17" s="506">
        <f t="shared" si="0"/>
        <v>1033565.6465851546</v>
      </c>
      <c r="D17" s="494">
        <f t="shared" si="1"/>
        <v>3151151</v>
      </c>
      <c r="E17" s="492">
        <v>3444966</v>
      </c>
      <c r="F17" s="492">
        <v>3465533</v>
      </c>
      <c r="G17" s="492">
        <v>2542954</v>
      </c>
      <c r="H17" s="600"/>
      <c r="I17" s="600"/>
      <c r="J17" s="600"/>
      <c r="K17" s="600"/>
    </row>
    <row r="18" spans="1:11">
      <c r="A18" s="564" t="s">
        <v>376</v>
      </c>
      <c r="B18" s="502" t="s">
        <v>377</v>
      </c>
      <c r="C18" s="506">
        <f>$C$33*D18</f>
        <v>426527.49949464155</v>
      </c>
      <c r="D18" s="494">
        <f t="shared" si="1"/>
        <v>1300403.6666666667</v>
      </c>
      <c r="E18" s="492">
        <v>1447958</v>
      </c>
      <c r="F18" s="492">
        <v>1215332</v>
      </c>
      <c r="G18" s="492">
        <v>1237921</v>
      </c>
      <c r="H18" s="600"/>
      <c r="I18" s="600"/>
      <c r="J18" s="600"/>
      <c r="K18" s="600"/>
    </row>
    <row r="19" spans="1:11">
      <c r="A19" s="564" t="s">
        <v>405</v>
      </c>
      <c r="B19" s="502" t="s">
        <v>404</v>
      </c>
      <c r="C19" s="506">
        <f t="shared" si="0"/>
        <v>6832.3801246380008</v>
      </c>
      <c r="D19" s="494">
        <f t="shared" si="1"/>
        <v>20830.666666666668</v>
      </c>
      <c r="E19" s="492">
        <v>29443</v>
      </c>
      <c r="F19" s="492">
        <v>33049</v>
      </c>
      <c r="G19" s="492">
        <v>0</v>
      </c>
      <c r="H19" s="600"/>
      <c r="I19" s="600"/>
      <c r="J19" s="600"/>
      <c r="K19" s="600"/>
    </row>
    <row r="20" spans="1:11">
      <c r="A20" s="564" t="s">
        <v>452</v>
      </c>
      <c r="B20" s="501" t="s">
        <v>378</v>
      </c>
      <c r="C20" s="506">
        <f t="shared" si="0"/>
        <v>342772.7876352045</v>
      </c>
      <c r="D20" s="494">
        <f t="shared" si="1"/>
        <v>1045051</v>
      </c>
      <c r="E20" s="492">
        <v>1300926</v>
      </c>
      <c r="F20" s="492">
        <v>1016449</v>
      </c>
      <c r="G20" s="492">
        <v>817778</v>
      </c>
      <c r="H20" s="600"/>
      <c r="I20" s="600"/>
      <c r="J20" s="600"/>
      <c r="K20" s="600"/>
    </row>
    <row r="21" spans="1:11">
      <c r="A21" s="564" t="s">
        <v>453</v>
      </c>
      <c r="B21" s="501" t="s">
        <v>379</v>
      </c>
      <c r="C21" s="506">
        <f t="shared" si="0"/>
        <v>505546.38312840456</v>
      </c>
      <c r="D21" s="494">
        <f t="shared" si="1"/>
        <v>1541317.6666666667</v>
      </c>
      <c r="E21" s="492">
        <v>1188262</v>
      </c>
      <c r="F21" s="492">
        <v>1536379</v>
      </c>
      <c r="G21" s="492">
        <v>1899312</v>
      </c>
      <c r="H21" s="600"/>
      <c r="I21" s="600"/>
      <c r="J21" s="600"/>
      <c r="K21" s="600"/>
    </row>
    <row r="22" spans="1:11">
      <c r="A22" s="564" t="s">
        <v>454</v>
      </c>
      <c r="B22" s="501" t="s">
        <v>380</v>
      </c>
      <c r="C22" s="506">
        <f t="shared" si="0"/>
        <v>31530.058877682</v>
      </c>
      <c r="D22" s="494">
        <f t="shared" si="1"/>
        <v>96129.333333333328</v>
      </c>
      <c r="E22" s="492">
        <v>181280</v>
      </c>
      <c r="F22" s="492">
        <v>77675</v>
      </c>
      <c r="G22" s="492">
        <v>29433</v>
      </c>
      <c r="H22" s="600"/>
      <c r="I22" s="600"/>
      <c r="J22" s="600"/>
      <c r="K22" s="600"/>
    </row>
    <row r="23" spans="1:11">
      <c r="A23" s="564" t="s">
        <v>381</v>
      </c>
      <c r="B23" s="501" t="s">
        <v>382</v>
      </c>
      <c r="C23" s="506">
        <f t="shared" si="0"/>
        <v>263747.78140515753</v>
      </c>
      <c r="D23" s="494">
        <f t="shared" si="1"/>
        <v>804118.33333333337</v>
      </c>
      <c r="E23" s="492">
        <v>716597</v>
      </c>
      <c r="F23" s="492">
        <v>802505</v>
      </c>
      <c r="G23" s="492">
        <v>893253</v>
      </c>
      <c r="H23" s="600"/>
      <c r="I23" s="600"/>
      <c r="J23" s="600"/>
      <c r="K23" s="600"/>
    </row>
    <row r="24" spans="1:11">
      <c r="A24" s="564" t="s">
        <v>383</v>
      </c>
      <c r="B24" s="501" t="s">
        <v>384</v>
      </c>
      <c r="C24" s="506">
        <f t="shared" si="0"/>
        <v>22163.033223544502</v>
      </c>
      <c r="D24" s="494">
        <f t="shared" si="1"/>
        <v>67571</v>
      </c>
      <c r="E24" s="492">
        <v>147712</v>
      </c>
      <c r="F24" s="492">
        <v>55001</v>
      </c>
      <c r="G24" s="492">
        <v>0</v>
      </c>
      <c r="H24" s="600"/>
      <c r="I24" s="600"/>
      <c r="J24" s="600"/>
      <c r="K24" s="600"/>
    </row>
    <row r="25" spans="1:11">
      <c r="A25" s="564" t="s">
        <v>385</v>
      </c>
      <c r="B25" s="501" t="s">
        <v>386</v>
      </c>
      <c r="C25" s="506">
        <f t="shared" si="0"/>
        <v>493603.71241608006</v>
      </c>
      <c r="D25" s="494">
        <f t="shared" si="1"/>
        <v>1504906.6666666667</v>
      </c>
      <c r="E25" s="492">
        <v>1350349</v>
      </c>
      <c r="F25" s="492">
        <v>1468844</v>
      </c>
      <c r="G25" s="492">
        <v>1695527</v>
      </c>
      <c r="H25" s="600"/>
      <c r="I25" s="600"/>
      <c r="J25" s="600"/>
      <c r="K25" s="600"/>
    </row>
    <row r="26" spans="1:11">
      <c r="A26" s="564" t="s">
        <v>387</v>
      </c>
      <c r="B26" s="501" t="s">
        <v>388</v>
      </c>
      <c r="C26" s="506">
        <f t="shared" si="0"/>
        <v>1079183.5808481674</v>
      </c>
      <c r="D26" s="494">
        <f t="shared" si="1"/>
        <v>3290231.6666666665</v>
      </c>
      <c r="E26" s="492">
        <v>3765019</v>
      </c>
      <c r="F26" s="492">
        <v>3160458</v>
      </c>
      <c r="G26" s="492">
        <v>2945218</v>
      </c>
      <c r="H26" s="600"/>
      <c r="I26" s="600"/>
      <c r="J26" s="600"/>
      <c r="K26" s="600"/>
    </row>
    <row r="27" spans="1:11">
      <c r="A27" s="564" t="s">
        <v>456</v>
      </c>
      <c r="B27" s="501" t="s">
        <v>389</v>
      </c>
      <c r="C27" s="506">
        <f t="shared" si="0"/>
        <v>80056.226375594997</v>
      </c>
      <c r="D27" s="494">
        <f t="shared" si="1"/>
        <v>244076.66666666666</v>
      </c>
      <c r="E27" s="492">
        <v>264692</v>
      </c>
      <c r="F27" s="492">
        <v>261908</v>
      </c>
      <c r="G27" s="492">
        <v>205630</v>
      </c>
      <c r="H27" s="600"/>
      <c r="I27" s="600"/>
      <c r="J27" s="600"/>
      <c r="K27" s="600"/>
    </row>
    <row r="28" spans="1:11">
      <c r="A28" s="564" t="s">
        <v>455</v>
      </c>
      <c r="B28" s="501" t="s">
        <v>390</v>
      </c>
      <c r="C28" s="506">
        <f t="shared" si="0"/>
        <v>801785.36169575551</v>
      </c>
      <c r="D28" s="494">
        <f t="shared" si="1"/>
        <v>2444495.6666666665</v>
      </c>
      <c r="E28" s="492">
        <v>2759455</v>
      </c>
      <c r="F28" s="492">
        <v>2195989</v>
      </c>
      <c r="G28" s="492">
        <v>2378043</v>
      </c>
      <c r="H28" s="600"/>
      <c r="I28" s="600"/>
      <c r="J28" s="600"/>
      <c r="K28" s="600"/>
    </row>
    <row r="29" spans="1:11">
      <c r="A29" s="564" t="s">
        <v>391</v>
      </c>
      <c r="B29" s="502" t="s">
        <v>392</v>
      </c>
      <c r="C29" s="506">
        <f t="shared" si="0"/>
        <v>721140.63355198409</v>
      </c>
      <c r="D29" s="494">
        <f t="shared" si="1"/>
        <v>2198624.7666666671</v>
      </c>
      <c r="E29" s="492">
        <v>1512725</v>
      </c>
      <c r="F29" s="492">
        <v>2812459.3000000003</v>
      </c>
      <c r="G29" s="492">
        <v>2270690</v>
      </c>
      <c r="H29" s="600"/>
      <c r="I29" s="600"/>
      <c r="J29" s="600"/>
      <c r="K29" s="600"/>
    </row>
    <row r="30" spans="1:11">
      <c r="A30" s="564" t="s">
        <v>393</v>
      </c>
      <c r="B30" s="501" t="s">
        <v>394</v>
      </c>
      <c r="C30" s="506">
        <f t="shared" si="0"/>
        <v>1649499.379415937</v>
      </c>
      <c r="D30" s="494">
        <f t="shared" si="1"/>
        <v>5029019.333333333</v>
      </c>
      <c r="E30" s="492">
        <v>5214701</v>
      </c>
      <c r="F30" s="492">
        <v>5847546</v>
      </c>
      <c r="G30" s="492">
        <v>4024811</v>
      </c>
      <c r="H30" s="600"/>
      <c r="I30" s="600"/>
      <c r="J30" s="600"/>
      <c r="K30" s="600"/>
    </row>
    <row r="31" spans="1:11">
      <c r="A31" s="564" t="s">
        <v>457</v>
      </c>
      <c r="B31" s="501" t="s">
        <v>395</v>
      </c>
      <c r="C31" s="506">
        <f t="shared" si="0"/>
        <v>492436.48316736601</v>
      </c>
      <c r="D31" s="494">
        <f t="shared" si="1"/>
        <v>1501348</v>
      </c>
      <c r="E31" s="492">
        <v>2325869</v>
      </c>
      <c r="F31" s="492">
        <v>1028850</v>
      </c>
      <c r="G31" s="492">
        <v>1149325</v>
      </c>
      <c r="H31" s="600"/>
      <c r="I31" s="600"/>
      <c r="J31" s="600"/>
      <c r="K31" s="600"/>
    </row>
    <row r="32" spans="1:11">
      <c r="A32" s="499"/>
      <c r="B32" s="508" t="s">
        <v>2</v>
      </c>
      <c r="C32" s="526">
        <f>SUM(C6:C31)</f>
        <v>30956033.474558208</v>
      </c>
      <c r="D32" s="526">
        <f>SUM(D6:D31)</f>
        <v>94379235.766666681</v>
      </c>
      <c r="E32" s="526">
        <f>SUM(E6:E31)</f>
        <v>102228289</v>
      </c>
      <c r="F32" s="526">
        <f>SUM(F6:F31)</f>
        <v>92057852.299999997</v>
      </c>
      <c r="G32" s="526">
        <f>SUM(G6:G31)</f>
        <v>88851566</v>
      </c>
      <c r="H32" s="600"/>
      <c r="I32" s="600"/>
      <c r="J32" s="600"/>
      <c r="K32" s="600"/>
    </row>
    <row r="33" spans="1:14">
      <c r="B33" s="217" t="s">
        <v>493</v>
      </c>
      <c r="C33" s="602">
        <v>0.32799622950000001</v>
      </c>
      <c r="E33" s="175"/>
      <c r="F33" s="175"/>
      <c r="G33" s="175"/>
      <c r="H33" s="601"/>
    </row>
    <row r="34" spans="1:14">
      <c r="H34" s="173"/>
      <c r="I34" s="173"/>
    </row>
    <row r="35" spans="1:14">
      <c r="A35" s="157" t="s">
        <v>354</v>
      </c>
      <c r="H35" s="173"/>
      <c r="N35" s="157">
        <f>32.8/2</f>
        <v>16.399999999999999</v>
      </c>
    </row>
    <row r="36" spans="1:14">
      <c r="A36" s="472"/>
      <c r="B36" s="472"/>
      <c r="C36" s="472"/>
      <c r="D36" s="472"/>
      <c r="E36" s="472"/>
      <c r="F36" s="472"/>
    </row>
    <row r="37" spans="1:14" ht="34.200000000000003" customHeight="1">
      <c r="A37" s="695"/>
      <c r="B37" s="696"/>
      <c r="C37" s="696"/>
      <c r="D37" s="696"/>
      <c r="E37" s="696"/>
      <c r="F37" s="696"/>
      <c r="G37" s="696"/>
    </row>
    <row r="38" spans="1:14">
      <c r="A38" s="691"/>
      <c r="B38" s="692"/>
      <c r="C38" s="692"/>
      <c r="D38" s="692"/>
      <c r="E38" s="693"/>
      <c r="F38" s="693"/>
      <c r="G38" s="693"/>
    </row>
    <row r="39" spans="1:14">
      <c r="A39" s="694"/>
      <c r="B39" s="694"/>
      <c r="C39" s="694"/>
      <c r="D39" s="694"/>
      <c r="E39" s="694"/>
      <c r="F39" s="694"/>
      <c r="G39" s="694"/>
    </row>
    <row r="40" spans="1:14">
      <c r="A40" s="472"/>
      <c r="B40" s="472"/>
      <c r="C40" s="472"/>
      <c r="D40" s="472"/>
      <c r="E40" s="472"/>
      <c r="F40" s="472"/>
    </row>
  </sheetData>
  <mergeCells count="4">
    <mergeCell ref="A1:G1"/>
    <mergeCell ref="A37:G37"/>
    <mergeCell ref="A38:G38"/>
    <mergeCell ref="A39:G39"/>
  </mergeCells>
  <pageMargins left="0.25" right="0.25" top="0.5" bottom="0.2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ransitionEvaluation="1" codeName="Sheet10">
    <tabColor rgb="FF00B050"/>
  </sheetPr>
  <dimension ref="A1:R77"/>
  <sheetViews>
    <sheetView showGridLines="0" zoomScale="71" zoomScaleNormal="71" workbookViewId="0">
      <pane xSplit="2" ySplit="3" topLeftCell="C4" activePane="bottomRight" state="frozen"/>
      <selection pane="topRight" activeCell="C1" sqref="C1"/>
      <selection pane="bottomLeft" activeCell="A4" sqref="A4"/>
      <selection pane="bottomRight" activeCell="L76" sqref="L76"/>
    </sheetView>
  </sheetViews>
  <sheetFormatPr defaultColWidth="15.109375" defaultRowHeight="13.8"/>
  <cols>
    <col min="1" max="1" width="10.5546875" style="4" customWidth="1"/>
    <col min="2" max="2" width="22.109375" style="4" customWidth="1"/>
    <col min="3" max="3" width="17.109375" style="4" customWidth="1"/>
    <col min="4" max="4" width="17.88671875" style="4" customWidth="1"/>
    <col min="5" max="5" width="17" style="4" bestFit="1" customWidth="1"/>
    <col min="6" max="6" width="18" style="4" customWidth="1"/>
    <col min="7" max="7" width="18.44140625" style="4" customWidth="1"/>
    <col min="8" max="8" width="15" style="4" customWidth="1"/>
    <col min="9" max="9" width="15.33203125" style="4" customWidth="1"/>
    <col min="10" max="10" width="14.44140625" style="224" customWidth="1"/>
    <col min="11" max="11" width="18.5546875" style="4" customWidth="1"/>
    <col min="12" max="13" width="16.88671875" style="4" customWidth="1"/>
    <col min="14" max="14" width="15.109375" style="4"/>
    <col min="15" max="15" width="16.33203125" style="4" customWidth="1"/>
    <col min="16" max="16" width="19.44140625" style="4" customWidth="1"/>
    <col min="17" max="17" width="18.109375" style="4" customWidth="1"/>
    <col min="18" max="18" width="17" style="4" customWidth="1"/>
    <col min="19" max="16384" width="15.109375" style="4"/>
  </cols>
  <sheetData>
    <row r="1" spans="1:13">
      <c r="A1" s="3" t="str">
        <f>Summary!A1</f>
        <v>General Academic Institutions - Formula Funding - 2024-2025</v>
      </c>
    </row>
    <row r="2" spans="1:13" ht="14.4" thickBot="1">
      <c r="A2" s="3" t="s">
        <v>249</v>
      </c>
      <c r="D2" s="225"/>
      <c r="E2" s="224"/>
      <c r="F2" s="224"/>
      <c r="G2" s="225"/>
      <c r="I2" s="224"/>
      <c r="J2" s="4"/>
    </row>
    <row r="3" spans="1:13" s="232" customFormat="1" ht="44.4" thickBot="1">
      <c r="A3" s="709" t="s">
        <v>27</v>
      </c>
      <c r="B3" s="710"/>
      <c r="C3" s="226" t="s">
        <v>2</v>
      </c>
      <c r="D3" s="227">
        <f>Summary!J1</f>
        <v>2024</v>
      </c>
      <c r="E3" s="228" t="s">
        <v>67</v>
      </c>
      <c r="F3" s="229" t="s">
        <v>68</v>
      </c>
      <c r="G3" s="227">
        <f>D3+1</f>
        <v>2025</v>
      </c>
      <c r="H3" s="228" t="s">
        <v>67</v>
      </c>
      <c r="I3" s="229" t="s">
        <v>68</v>
      </c>
      <c r="J3" s="230" t="s">
        <v>143</v>
      </c>
      <c r="K3" s="231" t="s">
        <v>142</v>
      </c>
      <c r="L3" s="226" t="s">
        <v>307</v>
      </c>
      <c r="M3" s="229" t="s">
        <v>308</v>
      </c>
    </row>
    <row r="4" spans="1:13" ht="16.5" customHeight="1">
      <c r="A4" s="48">
        <v>3656</v>
      </c>
      <c r="B4" s="49" t="str">
        <f>VLOOKUP(A4,Summary!$A$25:$B$71,2,0)</f>
        <v>UT-Arlington</v>
      </c>
      <c r="C4" s="233">
        <f t="shared" ref="C4:C41" si="0">D4+G4</f>
        <v>41786620.538313344</v>
      </c>
      <c r="D4" s="20">
        <f>E4+F4</f>
        <v>20893310.269156672</v>
      </c>
      <c r="E4" s="234">
        <f>'Space Support'!L4*$E$60</f>
        <v>12046952.120502811</v>
      </c>
      <c r="F4" s="235">
        <f>'Space Support'!$F$60*K4</f>
        <v>8846358.1486538611</v>
      </c>
      <c r="G4" s="236">
        <f t="shared" ref="G4:G52" si="1">H4+I4</f>
        <v>20893310.269156672</v>
      </c>
      <c r="H4" s="234">
        <f>'Space Support'!L4*$H$60</f>
        <v>12046952.120502811</v>
      </c>
      <c r="I4" s="235">
        <f>'Space Support'!$I$60*K4</f>
        <v>8846358.1486538611</v>
      </c>
      <c r="J4" s="237">
        <f>VLOOKUP(A4,Utilities!$A$5:$AA$51,27,0)</f>
        <v>1.1542105499999999</v>
      </c>
      <c r="K4" s="238">
        <f t="shared" ref="K4:K40" si="2">J4*L4</f>
        <v>4103256.2155593326</v>
      </c>
      <c r="L4" s="239">
        <v>3555032.6719499598</v>
      </c>
      <c r="M4" s="240">
        <f t="shared" ref="M4:M40" si="3">L4*(J4*$F$61+$E$61)</f>
        <v>3768199.7994214641</v>
      </c>
    </row>
    <row r="5" spans="1:13" ht="16.5" customHeight="1">
      <c r="A5" s="22">
        <v>3658</v>
      </c>
      <c r="B5" s="23" t="str">
        <f>VLOOKUP(A5,Summary!$A$25:$B$71,2,0)</f>
        <v>UT-Austin</v>
      </c>
      <c r="C5" s="241">
        <f t="shared" si="0"/>
        <v>119113294.59413016</v>
      </c>
      <c r="D5" s="29">
        <f t="shared" ref="D5:D52" si="4">E5+F5</f>
        <v>59556647.297065079</v>
      </c>
      <c r="E5" s="242">
        <f>'Space Support'!L5*$E$60</f>
        <v>35688129.385021247</v>
      </c>
      <c r="F5" s="243">
        <f>'Space Support'!$F$60*K5</f>
        <v>23868517.912043832</v>
      </c>
      <c r="G5" s="244">
        <f t="shared" si="1"/>
        <v>59556647.297065079</v>
      </c>
      <c r="H5" s="242">
        <f>'Space Support'!L5*$H$60</f>
        <v>35688129.385021247</v>
      </c>
      <c r="I5" s="243">
        <f>'Space Support'!$I$60*K5</f>
        <v>23868517.912043832</v>
      </c>
      <c r="J5" s="245">
        <f>VLOOKUP(A5,Utilities!$A$5:$AA$51,27,0)</f>
        <v>1.0512339399999999</v>
      </c>
      <c r="K5" s="246">
        <f t="shared" si="2"/>
        <v>11071069.340967877</v>
      </c>
      <c r="L5" s="247">
        <v>10531499.145630589</v>
      </c>
      <c r="M5" s="240">
        <f t="shared" si="3"/>
        <v>10741301.570116106</v>
      </c>
    </row>
    <row r="6" spans="1:13" ht="16.5" customHeight="1">
      <c r="A6" s="22">
        <v>9741</v>
      </c>
      <c r="B6" s="23" t="str">
        <f>VLOOKUP(A6,Summary!$A$25:$B$71,2,0)</f>
        <v>UT-Dallas</v>
      </c>
      <c r="C6" s="241">
        <f t="shared" si="0"/>
        <v>39297938.161270022</v>
      </c>
      <c r="D6" s="29">
        <f t="shared" si="4"/>
        <v>19648969.080635011</v>
      </c>
      <c r="E6" s="242">
        <f>'Space Support'!L6*$E$60</f>
        <v>11327297.280209547</v>
      </c>
      <c r="F6" s="243">
        <f>'Space Support'!$F$60*K6</f>
        <v>8321671.8004254652</v>
      </c>
      <c r="G6" s="244">
        <f t="shared" si="1"/>
        <v>19648969.080635011</v>
      </c>
      <c r="H6" s="242">
        <f>'Space Support'!L6*$H$60</f>
        <v>11327297.280209547</v>
      </c>
      <c r="I6" s="243">
        <f>'Space Support'!$I$60*K6</f>
        <v>8321671.8004254652</v>
      </c>
      <c r="J6" s="245">
        <f>VLOOKUP(A6,Utilities!$A$5:$AA$51,27,0)</f>
        <v>1.1547341</v>
      </c>
      <c r="K6" s="246">
        <f t="shared" si="2"/>
        <v>3859887.9861241607</v>
      </c>
      <c r="L6" s="247">
        <v>3342663.896497177</v>
      </c>
      <c r="M6" s="240">
        <f t="shared" si="3"/>
        <v>3543777.4289787528</v>
      </c>
    </row>
    <row r="7" spans="1:13" ht="16.5" customHeight="1">
      <c r="A7" s="22">
        <v>3661</v>
      </c>
      <c r="B7" s="23" t="str">
        <f>VLOOKUP(A7,Summary!$A$25:$B$71,2,0)</f>
        <v>UT-El Paso</v>
      </c>
      <c r="C7" s="241">
        <f t="shared" si="0"/>
        <v>29870489.52207537</v>
      </c>
      <c r="D7" s="29">
        <f t="shared" si="4"/>
        <v>14935244.761037685</v>
      </c>
      <c r="E7" s="242">
        <f>'Space Support'!L7*$E$60</f>
        <v>8504038.5336308591</v>
      </c>
      <c r="F7" s="243">
        <f>'Space Support'!$F$60*K7</f>
        <v>6431206.2274068259</v>
      </c>
      <c r="G7" s="244">
        <f t="shared" si="1"/>
        <v>14935244.761037685</v>
      </c>
      <c r="H7" s="242">
        <f>'Space Support'!L7*$H$60</f>
        <v>8504038.5336308591</v>
      </c>
      <c r="I7" s="243">
        <f>'Space Support'!$I$60*K7</f>
        <v>6431206.2274068259</v>
      </c>
      <c r="J7" s="245">
        <f>VLOOKUP(A7,Utilities!$A$5:$AA$51,27,0)</f>
        <v>1.1886799100000001</v>
      </c>
      <c r="K7" s="246">
        <f t="shared" si="2"/>
        <v>2983022.6724617188</v>
      </c>
      <c r="L7" s="247">
        <v>2509525.6068235547</v>
      </c>
      <c r="M7" s="240">
        <f t="shared" si="3"/>
        <v>2693636.6515330696</v>
      </c>
    </row>
    <row r="8" spans="1:13" ht="16.5" customHeight="1">
      <c r="A8" s="22">
        <v>3599</v>
      </c>
      <c r="B8" s="483" t="str">
        <f>VLOOKUP(A8,Summary!$A$25:$B$71,2,0)</f>
        <v>UT-Rio Grande Valley</v>
      </c>
      <c r="C8" s="241">
        <f>D8+G8</f>
        <v>29679586.228340425</v>
      </c>
      <c r="D8" s="29">
        <f>E8+F8</f>
        <v>14839793.114170212</v>
      </c>
      <c r="E8" s="242">
        <f>'Space Support'!L8*$E$60</f>
        <v>8972874.5591311436</v>
      </c>
      <c r="F8" s="243">
        <f>'Space Support'!$F$60*K8</f>
        <v>5866918.5550390696</v>
      </c>
      <c r="G8" s="244">
        <f>H8+I8</f>
        <v>14839793.114170212</v>
      </c>
      <c r="H8" s="242">
        <f>'Space Support'!L8*$H$60</f>
        <v>8972874.5591311436</v>
      </c>
      <c r="I8" s="243">
        <f>'Space Support'!$I$60*K8</f>
        <v>5866918.5550390696</v>
      </c>
      <c r="J8" s="245">
        <f>VLOOKUP(A8,Utilities!$A$5:$AA$51,27,0)</f>
        <v>1.0277232199999999</v>
      </c>
      <c r="K8" s="246">
        <f>J8*L8</f>
        <v>2721285.9374009934</v>
      </c>
      <c r="L8" s="247">
        <v>2647878.2267865795</v>
      </c>
      <c r="M8" s="240">
        <f t="shared" si="3"/>
        <v>2676421.529948845</v>
      </c>
    </row>
    <row r="9" spans="1:13" ht="16.5" customHeight="1">
      <c r="A9" s="22">
        <v>9930</v>
      </c>
      <c r="B9" s="23" t="str">
        <f>VLOOKUP(A9,Summary!$A$25:$B$71,2,0)</f>
        <v>UT-Permian Basin</v>
      </c>
      <c r="C9" s="241">
        <f t="shared" si="0"/>
        <v>4536263.1271691862</v>
      </c>
      <c r="D9" s="29">
        <f t="shared" si="4"/>
        <v>2268131.5635845931</v>
      </c>
      <c r="E9" s="242">
        <f>'Space Support'!L9*$E$60</f>
        <v>1346970.8462394029</v>
      </c>
      <c r="F9" s="243">
        <f>'Space Support'!$F$60*K9</f>
        <v>921160.71734519012</v>
      </c>
      <c r="G9" s="244">
        <f t="shared" si="1"/>
        <v>2268131.5635845931</v>
      </c>
      <c r="H9" s="242">
        <f>'Space Support'!L9*$H$60</f>
        <v>1346970.8462394029</v>
      </c>
      <c r="I9" s="243">
        <f>'Space Support'!$I$60*K9</f>
        <v>921160.71734519012</v>
      </c>
      <c r="J9" s="245">
        <f>VLOOKUP(A9,Utilities!$A$5:$AA$51,27,0)</f>
        <v>1.0749169700000001</v>
      </c>
      <c r="K9" s="246">
        <f t="shared" si="2"/>
        <v>427267.17316446267</v>
      </c>
      <c r="L9" s="247">
        <v>397488.53640710749</v>
      </c>
      <c r="M9" s="240">
        <f t="shared" si="3"/>
        <v>409067.43799128645</v>
      </c>
    </row>
    <row r="10" spans="1:13" ht="16.5" customHeight="1">
      <c r="A10" s="22">
        <v>10115</v>
      </c>
      <c r="B10" s="23" t="str">
        <f>VLOOKUP(A10,Summary!$A$25:$B$71,2,0)</f>
        <v>UT-San Antonio</v>
      </c>
      <c r="C10" s="241">
        <f t="shared" si="0"/>
        <v>42096512.509438738</v>
      </c>
      <c r="D10" s="29">
        <f t="shared" si="4"/>
        <v>21048256.254719369</v>
      </c>
      <c r="E10" s="242">
        <f>'Space Support'!L10*$E$60</f>
        <v>11529956.271894572</v>
      </c>
      <c r="F10" s="243">
        <f>'Space Support'!$F$60*K10</f>
        <v>9518299.9828247987</v>
      </c>
      <c r="G10" s="244">
        <f t="shared" si="1"/>
        <v>21048256.254719369</v>
      </c>
      <c r="H10" s="242">
        <f>'Space Support'!L10*$H$60</f>
        <v>11529956.271894572</v>
      </c>
      <c r="I10" s="243">
        <f>'Space Support'!$I$60*K10</f>
        <v>9518299.9828247987</v>
      </c>
      <c r="J10" s="245">
        <f>VLOOKUP(A10,Utilities!$A$5:$AA$51,27,0)</f>
        <v>1.29756593</v>
      </c>
      <c r="K10" s="246">
        <f t="shared" si="2"/>
        <v>4414926.787926537</v>
      </c>
      <c r="L10" s="247">
        <v>3402468.1797298249</v>
      </c>
      <c r="M10" s="240">
        <f t="shared" si="3"/>
        <v>3796144.9849472083</v>
      </c>
    </row>
    <row r="11" spans="1:13" ht="16.5" customHeight="1">
      <c r="A11" s="22">
        <v>11163</v>
      </c>
      <c r="B11" s="23" t="str">
        <f>VLOOKUP(A11,Summary!$A$25:$B$71,2,0)</f>
        <v>UT-Tyler</v>
      </c>
      <c r="C11" s="241">
        <f t="shared" si="0"/>
        <v>8523833.3495546896</v>
      </c>
      <c r="D11" s="29">
        <f t="shared" si="4"/>
        <v>4261916.6747773448</v>
      </c>
      <c r="E11" s="242">
        <f>'Space Support'!L11*$E$60</f>
        <v>2590392.0999624021</v>
      </c>
      <c r="F11" s="243">
        <f>'Space Support'!$F$60*K11</f>
        <v>1671524.5748149427</v>
      </c>
      <c r="G11" s="244">
        <f t="shared" si="1"/>
        <v>4261916.6747773448</v>
      </c>
      <c r="H11" s="242">
        <f>'Space Support'!L11*$H$60</f>
        <v>2590392.0999624021</v>
      </c>
      <c r="I11" s="243">
        <f>'Space Support'!$I$60*K11</f>
        <v>1671524.5748149427</v>
      </c>
      <c r="J11" s="245">
        <f>VLOOKUP(A11,Utilities!$A$5:$AA$51,27,0)</f>
        <v>1.0142498799999999</v>
      </c>
      <c r="K11" s="246">
        <f t="shared" si="2"/>
        <v>775312.67509367818</v>
      </c>
      <c r="L11" s="247">
        <v>764419.78488937882</v>
      </c>
      <c r="M11" s="240">
        <f t="shared" si="3"/>
        <v>768655.2945492256</v>
      </c>
    </row>
    <row r="12" spans="1:13" ht="16.5" customHeight="1">
      <c r="A12" s="22">
        <v>3632</v>
      </c>
      <c r="B12" s="23" t="str">
        <f>VLOOKUP(A12,Summary!$A$25:$B$71,2,0)</f>
        <v>TAMU</v>
      </c>
      <c r="C12" s="241">
        <f t="shared" si="0"/>
        <v>90141153.727419168</v>
      </c>
      <c r="D12" s="29">
        <f t="shared" si="4"/>
        <v>45070576.863709584</v>
      </c>
      <c r="E12" s="242">
        <f>'Space Support'!L12*$E$60</f>
        <v>28264043.112538498</v>
      </c>
      <c r="F12" s="243">
        <f>'Space Support'!$F$60*K12</f>
        <v>16806533.751171086</v>
      </c>
      <c r="G12" s="244">
        <f t="shared" si="1"/>
        <v>45070576.863709584</v>
      </c>
      <c r="H12" s="242">
        <f>'Space Support'!L12*$H$60</f>
        <v>28264043.112538498</v>
      </c>
      <c r="I12" s="243">
        <f>'Space Support'!$I$60*K12</f>
        <v>16806533.751171086</v>
      </c>
      <c r="J12" s="245">
        <f>VLOOKUP(A12,Utilities!$A$5:$AA$51,27,0)</f>
        <v>0.93463399000000003</v>
      </c>
      <c r="K12" s="246">
        <f t="shared" si="2"/>
        <v>7795469.3804697739</v>
      </c>
      <c r="L12" s="247">
        <v>8340665.3983018249</v>
      </c>
      <c r="M12" s="240">
        <f t="shared" si="3"/>
        <v>8128675.4712275313</v>
      </c>
    </row>
    <row r="13" spans="1:13" ht="16.5" customHeight="1">
      <c r="A13" s="22">
        <v>10298</v>
      </c>
      <c r="B13" s="23" t="str">
        <f>VLOOKUP(A13,Summary!$A$25:$B$71,2,0)</f>
        <v>TAMU-Galveston</v>
      </c>
      <c r="C13" s="241">
        <f t="shared" si="0"/>
        <v>7749648.9192695934</v>
      </c>
      <c r="D13" s="29">
        <f>E13+F13+TAMUG!B17</f>
        <v>3874824.4596347967</v>
      </c>
      <c r="E13" s="242">
        <f>'Space Support'!L13*$E$60</f>
        <v>1023336.3214328414</v>
      </c>
      <c r="F13" s="243">
        <f>'Space Support'!$F$60*K13</f>
        <v>695483.40981955326</v>
      </c>
      <c r="G13" s="244">
        <f>H13+I13+TAMUG!B18</f>
        <v>3874824.4596347967</v>
      </c>
      <c r="H13" s="242">
        <f>'Space Support'!L13*$H$60</f>
        <v>1023336.3214328414</v>
      </c>
      <c r="I13" s="243">
        <f>'Space Support'!$I$60*K13</f>
        <v>695483.40981955326</v>
      </c>
      <c r="J13" s="245">
        <f>VLOOKUP(A13,Utilities!$A$5:$AA$51,27,0)</f>
        <v>1.06823325</v>
      </c>
      <c r="K13" s="246">
        <f t="shared" si="2"/>
        <v>322589.99423335929</v>
      </c>
      <c r="L13" s="247">
        <v>301984.60330022423</v>
      </c>
      <c r="M13" s="240">
        <f t="shared" si="3"/>
        <v>309996.64883684111</v>
      </c>
    </row>
    <row r="14" spans="1:13" ht="16.5" customHeight="1">
      <c r="A14" s="22">
        <v>3630</v>
      </c>
      <c r="B14" s="23" t="str">
        <f>VLOOKUP(A14,Summary!$A$25:$B$71,2,0)</f>
        <v>Prairie View</v>
      </c>
      <c r="C14" s="241">
        <f t="shared" si="0"/>
        <v>14475120.356216282</v>
      </c>
      <c r="D14" s="29">
        <f t="shared" si="4"/>
        <v>7237560.1781081408</v>
      </c>
      <c r="E14" s="242">
        <f>'Space Support'!L14*$E$60</f>
        <v>3718257.3398779174</v>
      </c>
      <c r="F14" s="243">
        <f>'Space Support'!$F$60*K14</f>
        <v>3519302.8382302229</v>
      </c>
      <c r="G14" s="244">
        <f t="shared" si="1"/>
        <v>7237560.1781081408</v>
      </c>
      <c r="H14" s="242">
        <f>'Space Support'!L14*$H$60</f>
        <v>3718257.3398779174</v>
      </c>
      <c r="I14" s="243">
        <f>'Space Support'!$I$60*K14</f>
        <v>3519302.8382302229</v>
      </c>
      <c r="J14" s="245">
        <f>VLOOKUP(A14,Utilities!$A$5:$AA$51,27,0)</f>
        <v>1.4876984200000001</v>
      </c>
      <c r="K14" s="246">
        <f t="shared" si="2"/>
        <v>1632378.0930801642</v>
      </c>
      <c r="L14" s="247">
        <v>1097250.6733455858</v>
      </c>
      <c r="M14" s="240">
        <f t="shared" si="3"/>
        <v>1305325.6023153237</v>
      </c>
    </row>
    <row r="15" spans="1:13" ht="16.5" customHeight="1">
      <c r="A15" s="22">
        <v>3631</v>
      </c>
      <c r="B15" s="23" t="str">
        <f>VLOOKUP(A15,Summary!$A$25:$B$71,2,0)</f>
        <v>Tarleton</v>
      </c>
      <c r="C15" s="241">
        <f t="shared" si="0"/>
        <v>13493485.865014264</v>
      </c>
      <c r="D15" s="29">
        <f t="shared" si="4"/>
        <v>6746742.9325071322</v>
      </c>
      <c r="E15" s="242">
        <f>'Space Support'!L15*$E$60</f>
        <v>4017633.8197820168</v>
      </c>
      <c r="F15" s="243">
        <f>'Space Support'!$F$60*K15</f>
        <v>2729109.1127251154</v>
      </c>
      <c r="G15" s="244">
        <f t="shared" si="1"/>
        <v>6746742.9325071322</v>
      </c>
      <c r="H15" s="242">
        <f>'Space Support'!L15*$H$60</f>
        <v>4017633.8197820168</v>
      </c>
      <c r="I15" s="243">
        <f>'Space Support'!$I$60*K15</f>
        <v>2729109.1127251154</v>
      </c>
      <c r="J15" s="245">
        <f>VLOOKUP(A15,Utilities!$A$5:$AA$51,27,0)</f>
        <v>1.06769757</v>
      </c>
      <c r="K15" s="246">
        <f t="shared" si="2"/>
        <v>1265858.0787205596</v>
      </c>
      <c r="L15" s="247">
        <v>1185596.1035113714</v>
      </c>
      <c r="M15" s="240">
        <f t="shared" si="3"/>
        <v>1216804.567467313</v>
      </c>
    </row>
    <row r="16" spans="1:13" ht="16.5" customHeight="1">
      <c r="A16" s="22">
        <v>42295</v>
      </c>
      <c r="B16" s="23" t="str">
        <f>VLOOKUP(A16,Summary!$A$25:$B$71,2,0)</f>
        <v>TAMU-Central</v>
      </c>
      <c r="C16" s="241">
        <f>D16+G16</f>
        <v>1720627.1849258915</v>
      </c>
      <c r="D16" s="29">
        <f>E16+F16</f>
        <v>860313.59246294573</v>
      </c>
      <c r="E16" s="242">
        <f>'Space Support'!L16*$E$60</f>
        <v>611450.3732801025</v>
      </c>
      <c r="F16" s="243">
        <f>'Space Support'!$F$60*K16</f>
        <v>248863.21918284326</v>
      </c>
      <c r="G16" s="244">
        <f>H16+I16</f>
        <v>860313.59246294573</v>
      </c>
      <c r="H16" s="242">
        <f>'Space Support'!L16*$H$60</f>
        <v>611450.3732801025</v>
      </c>
      <c r="I16" s="243">
        <f>'Space Support'!$I$60*K16</f>
        <v>248863.21918284326</v>
      </c>
      <c r="J16" s="245">
        <f>VLOOKUP(A16,Utilities!$A$5:$AA$51,27,0)</f>
        <v>0.63973071999999997</v>
      </c>
      <c r="K16" s="246">
        <f>J16*L16</f>
        <v>115431.6311612924</v>
      </c>
      <c r="L16" s="247">
        <v>180437.84291192458</v>
      </c>
      <c r="M16" s="240">
        <f t="shared" si="3"/>
        <v>155161.3155022219</v>
      </c>
    </row>
    <row r="17" spans="1:13" ht="16.5" customHeight="1">
      <c r="A17" s="22">
        <v>11161</v>
      </c>
      <c r="B17" s="23" t="str">
        <f>VLOOKUP(A17,Summary!$A$25:$B$71,2,0)</f>
        <v>TAMU-CC</v>
      </c>
      <c r="C17" s="241">
        <f t="shared" si="0"/>
        <v>13399455.992509596</v>
      </c>
      <c r="D17" s="29">
        <f t="shared" si="4"/>
        <v>6699727.996254798</v>
      </c>
      <c r="E17" s="242">
        <f>'Space Support'!L17*$E$60</f>
        <v>3583611.8971040356</v>
      </c>
      <c r="F17" s="243">
        <f>'Space Support'!$F$60*K17</f>
        <v>3116116.0991507629</v>
      </c>
      <c r="G17" s="244">
        <f t="shared" si="1"/>
        <v>6699727.996254798</v>
      </c>
      <c r="H17" s="242">
        <f>'Space Support'!L17*$H$60</f>
        <v>3583611.8971040356</v>
      </c>
      <c r="I17" s="243">
        <f>'Space Support'!$I$60*K17</f>
        <v>3116116.0991507629</v>
      </c>
      <c r="J17" s="245">
        <f>VLOOKUP(A17,Utilities!$A$5:$AA$51,27,0)</f>
        <v>1.3667540400000002</v>
      </c>
      <c r="K17" s="246">
        <f t="shared" si="2"/>
        <v>1445365.7129166233</v>
      </c>
      <c r="L17" s="247">
        <v>1057517.0591166667</v>
      </c>
      <c r="M17" s="240">
        <f t="shared" si="3"/>
        <v>1208325.2182845564</v>
      </c>
    </row>
    <row r="18" spans="1:13" ht="16.5" customHeight="1">
      <c r="A18" s="22">
        <v>3639</v>
      </c>
      <c r="B18" s="23" t="str">
        <f>VLOOKUP(A18,Summary!$A$25:$B$71,2,0)</f>
        <v>TAMU-Kingsville</v>
      </c>
      <c r="C18" s="241">
        <f t="shared" si="0"/>
        <v>8031979.9629336428</v>
      </c>
      <c r="D18" s="29">
        <f t="shared" si="4"/>
        <v>4015989.9814668214</v>
      </c>
      <c r="E18" s="242">
        <f>'Space Support'!L18*$E$60</f>
        <v>2458785.781996259</v>
      </c>
      <c r="F18" s="243">
        <f>'Space Support'!$F$60*K18</f>
        <v>1557204.1994705622</v>
      </c>
      <c r="G18" s="244">
        <f t="shared" si="1"/>
        <v>4015989.9814668214</v>
      </c>
      <c r="H18" s="242">
        <f>'Space Support'!L18*$H$60</f>
        <v>2458785.781996259</v>
      </c>
      <c r="I18" s="243">
        <f>'Space Support'!$I$60*K18</f>
        <v>1557204.1994705622</v>
      </c>
      <c r="J18" s="245">
        <f>VLOOKUP(A18,Utilities!$A$5:$AA$51,27,0)</f>
        <v>0.99545717</v>
      </c>
      <c r="K18" s="246">
        <f t="shared" si="2"/>
        <v>722286.81034635438</v>
      </c>
      <c r="L18" s="247">
        <v>725583.01061446406</v>
      </c>
      <c r="M18" s="240">
        <f t="shared" si="3"/>
        <v>724301.34084505262</v>
      </c>
    </row>
    <row r="19" spans="1:13" ht="16.5" customHeight="1">
      <c r="A19" s="22">
        <v>42485</v>
      </c>
      <c r="B19" s="23" t="str">
        <f>VLOOKUP(A19,Summary!$A$25:$B$71,2,0)</f>
        <v>TAMU-San Antonio</v>
      </c>
      <c r="C19" s="241">
        <f>D19+G19</f>
        <v>6828464.5028839717</v>
      </c>
      <c r="D19" s="29">
        <f>E19+F19</f>
        <v>3414232.2514419858</v>
      </c>
      <c r="E19" s="242">
        <f>'Space Support'!L19*$E$60</f>
        <v>1796166.1863049369</v>
      </c>
      <c r="F19" s="243">
        <f>'Space Support'!$F$60*K19</f>
        <v>1618066.065137049</v>
      </c>
      <c r="G19" s="244">
        <f>H19+I19</f>
        <v>3414232.2514419858</v>
      </c>
      <c r="H19" s="242">
        <f>'Space Support'!L19*$H$60</f>
        <v>1796166.1863049369</v>
      </c>
      <c r="I19" s="243">
        <f>'Space Support'!$I$60*K19</f>
        <v>1618066.065137049</v>
      </c>
      <c r="J19" s="245">
        <f>VLOOKUP(A19,Utilities!$A$5:$AA$51,27,0)</f>
        <v>1.41594844</v>
      </c>
      <c r="K19" s="246">
        <f>J19*L19</f>
        <v>750516.71291078429</v>
      </c>
      <c r="L19" s="247">
        <v>530045.22743129288</v>
      </c>
      <c r="M19" s="240">
        <f t="shared" si="3"/>
        <v>615771.70488175028</v>
      </c>
    </row>
    <row r="20" spans="1:13" ht="16.5" customHeight="1">
      <c r="A20" s="22">
        <v>9651</v>
      </c>
      <c r="B20" s="23" t="str">
        <f>VLOOKUP(A20,Summary!$A$25:$B$71,2,0)</f>
        <v>TAMI</v>
      </c>
      <c r="C20" s="241">
        <f t="shared" si="0"/>
        <v>9407601.9017983824</v>
      </c>
      <c r="D20" s="29">
        <f t="shared" si="4"/>
        <v>4703800.9508991912</v>
      </c>
      <c r="E20" s="242">
        <f>'Space Support'!L20*$E$60</f>
        <v>2429597.967255577</v>
      </c>
      <c r="F20" s="243">
        <f>'Space Support'!$F$60*K20</f>
        <v>2274202.9836436147</v>
      </c>
      <c r="G20" s="244">
        <f t="shared" si="1"/>
        <v>4703800.9508991912</v>
      </c>
      <c r="H20" s="242">
        <f>'Space Support'!L20*$H$60</f>
        <v>2429597.967255577</v>
      </c>
      <c r="I20" s="243">
        <f>'Space Support'!$I$60*K20</f>
        <v>2274202.9836436147</v>
      </c>
      <c r="J20" s="245">
        <f>VLOOKUP(A20,Utilities!$A$5:$AA$51,27,0)</f>
        <v>1.4712704600000002</v>
      </c>
      <c r="K20" s="246">
        <f t="shared" si="2"/>
        <v>1054856.4020663376</v>
      </c>
      <c r="L20" s="247">
        <v>716969.74196459947</v>
      </c>
      <c r="M20" s="240">
        <f t="shared" si="3"/>
        <v>848351.05454126128</v>
      </c>
    </row>
    <row r="21" spans="1:13" ht="16.5" customHeight="1">
      <c r="A21" s="22">
        <v>3665</v>
      </c>
      <c r="B21" s="23" t="str">
        <f>VLOOKUP(A21,Summary!$A$25:$B$71,2,0)</f>
        <v>WTAMU</v>
      </c>
      <c r="C21" s="241">
        <f t="shared" si="0"/>
        <v>9121818.1047006324</v>
      </c>
      <c r="D21" s="29">
        <f t="shared" si="4"/>
        <v>4560909.0523503162</v>
      </c>
      <c r="E21" s="242">
        <f>'Space Support'!L21*$E$60</f>
        <v>2756095.553351494</v>
      </c>
      <c r="F21" s="243">
        <f>'Space Support'!$F$60*K21</f>
        <v>1804813.4989988226</v>
      </c>
      <c r="G21" s="244">
        <f t="shared" si="1"/>
        <v>4560909.0523503162</v>
      </c>
      <c r="H21" s="242">
        <f>'Space Support'!L21*$H$60</f>
        <v>2756095.553351494</v>
      </c>
      <c r="I21" s="243">
        <f>'Space Support'!$I$60*K21</f>
        <v>1804813.4989988226</v>
      </c>
      <c r="J21" s="245">
        <f>VLOOKUP(A21,Utilities!$A$5:$AA$51,27,0)</f>
        <v>1.02928529</v>
      </c>
      <c r="K21" s="246">
        <f t="shared" si="2"/>
        <v>837136.82887903519</v>
      </c>
      <c r="L21" s="247">
        <v>813318.55901587324</v>
      </c>
      <c r="M21" s="240">
        <f t="shared" si="3"/>
        <v>822579.87627825094</v>
      </c>
    </row>
    <row r="22" spans="1:13" ht="16.5" customHeight="1">
      <c r="A22" s="22">
        <v>3565</v>
      </c>
      <c r="B22" s="23" t="str">
        <f>VLOOKUP(A22,Summary!$A$25:$B$71,2,0)</f>
        <v>TAMU-Commerce</v>
      </c>
      <c r="C22" s="241">
        <f t="shared" si="0"/>
        <v>9561950.4007093236</v>
      </c>
      <c r="D22" s="29">
        <f t="shared" si="4"/>
        <v>4780975.2003546618</v>
      </c>
      <c r="E22" s="242">
        <f>'Space Support'!L22*$E$60</f>
        <v>2791022.9140782566</v>
      </c>
      <c r="F22" s="243">
        <f>'Space Support'!$F$60*K22</f>
        <v>1989952.2862764057</v>
      </c>
      <c r="G22" s="244">
        <f t="shared" si="1"/>
        <v>4780975.2003546618</v>
      </c>
      <c r="H22" s="242">
        <f>'Space Support'!L22*$H$60</f>
        <v>2791022.9140782566</v>
      </c>
      <c r="I22" s="243">
        <f>'Space Support'!$I$60*K22</f>
        <v>1989952.2862764057</v>
      </c>
      <c r="J22" s="245">
        <f>VLOOKUP(A22,Utilities!$A$5:$AA$51,27,0)</f>
        <v>1.1206679900000001</v>
      </c>
      <c r="K22" s="246">
        <f t="shared" si="2"/>
        <v>923010.79722537193</v>
      </c>
      <c r="L22" s="247">
        <v>823625.55677651847</v>
      </c>
      <c r="M22" s="240">
        <f t="shared" si="3"/>
        <v>862269.76763996552</v>
      </c>
    </row>
    <row r="23" spans="1:13" ht="16.5" customHeight="1">
      <c r="A23" s="22">
        <v>29269</v>
      </c>
      <c r="B23" s="23" t="str">
        <f>VLOOKUP(A23,Summary!$A$25:$B$71,2,0)</f>
        <v>TAMU-Texarkana</v>
      </c>
      <c r="C23" s="241">
        <f t="shared" si="0"/>
        <v>2311771.6865225886</v>
      </c>
      <c r="D23" s="29">
        <f t="shared" si="4"/>
        <v>1155885.8432612943</v>
      </c>
      <c r="E23" s="242">
        <f>'Space Support'!L23*$E$60</f>
        <v>676249.96904707479</v>
      </c>
      <c r="F23" s="243">
        <f>'Space Support'!$F$60*K23</f>
        <v>479635.87421421957</v>
      </c>
      <c r="G23" s="244">
        <f t="shared" si="1"/>
        <v>1155885.8432612943</v>
      </c>
      <c r="H23" s="242">
        <f>'Space Support'!L23*$H$60</f>
        <v>676249.96904707479</v>
      </c>
      <c r="I23" s="243">
        <f>'Space Support'!$I$60*K23</f>
        <v>479635.87421421957</v>
      </c>
      <c r="J23" s="245">
        <f>VLOOKUP(A23,Utilities!$A$5:$AA$51,27,0)</f>
        <v>1.1148132100000001</v>
      </c>
      <c r="K23" s="246">
        <f t="shared" si="2"/>
        <v>222472.21387641976</v>
      </c>
      <c r="L23" s="247">
        <v>199560.08045188102</v>
      </c>
      <c r="M23" s="240">
        <f t="shared" si="3"/>
        <v>208469.06242335367</v>
      </c>
    </row>
    <row r="24" spans="1:13" ht="16.5" customHeight="1">
      <c r="A24" s="22">
        <v>3652</v>
      </c>
      <c r="B24" s="23" t="str">
        <f>VLOOKUP(A24,Summary!$A$25:$B$71,2,0)</f>
        <v>UH</v>
      </c>
      <c r="C24" s="241">
        <f t="shared" si="0"/>
        <v>50534291.323664874</v>
      </c>
      <c r="D24" s="29">
        <f t="shared" si="4"/>
        <v>25267145.661832437</v>
      </c>
      <c r="E24" s="242">
        <f>'Space Support'!L24*$E$60</f>
        <v>16866172.158648726</v>
      </c>
      <c r="F24" s="243">
        <f>'Space Support'!$F$60*K24</f>
        <v>8400973.5031837132</v>
      </c>
      <c r="G24" s="244">
        <f t="shared" si="1"/>
        <v>25267145.661832437</v>
      </c>
      <c r="H24" s="242">
        <f>'Space Support'!L24*$H$60</f>
        <v>16866172.158648726</v>
      </c>
      <c r="I24" s="243">
        <f>'Space Support'!$I$60*K24</f>
        <v>8400973.5031837132</v>
      </c>
      <c r="J24" s="245">
        <f>VLOOKUP(A24,Utilities!$A$5:$AA$51,27,0)</f>
        <v>0.78290810999999993</v>
      </c>
      <c r="K24" s="246">
        <f t="shared" si="2"/>
        <v>3896670.9423734206</v>
      </c>
      <c r="L24" s="247">
        <v>4977175.3448478403</v>
      </c>
      <c r="M24" s="240">
        <f t="shared" si="3"/>
        <v>4557040.1237674719</v>
      </c>
    </row>
    <row r="25" spans="1:13" ht="16.5" customHeight="1">
      <c r="A25" s="22">
        <v>11711</v>
      </c>
      <c r="B25" s="23" t="str">
        <f>VLOOKUP(A25,Summary!$A$25:$B$71,2,0)</f>
        <v>UH-Clear Lake</v>
      </c>
      <c r="C25" s="241">
        <f t="shared" si="0"/>
        <v>6702479.521355154</v>
      </c>
      <c r="D25" s="29">
        <f t="shared" si="4"/>
        <v>3351239.760677577</v>
      </c>
      <c r="E25" s="242">
        <f>'Space Support'!L25*$E$60</f>
        <v>2213482.0427772282</v>
      </c>
      <c r="F25" s="243">
        <f>'Space Support'!$F$60*K25</f>
        <v>1137757.7179003488</v>
      </c>
      <c r="G25" s="244">
        <f t="shared" si="1"/>
        <v>3351239.760677577</v>
      </c>
      <c r="H25" s="242">
        <f>'Space Support'!L25*$H$60</f>
        <v>2213482.0427772282</v>
      </c>
      <c r="I25" s="243">
        <f>'Space Support'!$I$60*K25</f>
        <v>1137757.7179003488</v>
      </c>
      <c r="J25" s="245">
        <f>VLOOKUP(A25,Utilities!$A$5:$AA$51,27,0)</f>
        <v>0.80792583000000007</v>
      </c>
      <c r="K25" s="246">
        <f t="shared" si="2"/>
        <v>527732.58207792649</v>
      </c>
      <c r="L25" s="247">
        <v>653194.34344353911</v>
      </c>
      <c r="M25" s="240">
        <f t="shared" si="3"/>
        <v>604410.73392953537</v>
      </c>
    </row>
    <row r="26" spans="1:13" ht="16.5" customHeight="1">
      <c r="A26" s="22">
        <v>12826</v>
      </c>
      <c r="B26" s="23" t="str">
        <f>VLOOKUP(A26,Summary!$A$25:$B$71,2,0)</f>
        <v>UH-Downtown</v>
      </c>
      <c r="C26" s="241">
        <f t="shared" si="0"/>
        <v>10453069.662174521</v>
      </c>
      <c r="D26" s="29">
        <f t="shared" si="4"/>
        <v>5226534.8310872605</v>
      </c>
      <c r="E26" s="242">
        <f>'Space Support'!L26*$E$60</f>
        <v>3136625.7630809005</v>
      </c>
      <c r="F26" s="243">
        <f>'Space Support'!$F$60*K26</f>
        <v>2089909.0680063597</v>
      </c>
      <c r="G26" s="244">
        <f t="shared" si="1"/>
        <v>5226534.8310872605</v>
      </c>
      <c r="H26" s="242">
        <f>'Space Support'!L26*$H$60</f>
        <v>3136625.7630809005</v>
      </c>
      <c r="I26" s="243">
        <f>'Space Support'!$I$60*K26</f>
        <v>2089909.0680063597</v>
      </c>
      <c r="J26" s="245">
        <f>VLOOKUP(A26,Utilities!$A$5:$AA$51,27,0)</f>
        <v>1.0472789900000001</v>
      </c>
      <c r="K26" s="246">
        <f t="shared" si="2"/>
        <v>969374.31530011247</v>
      </c>
      <c r="L26" s="247">
        <v>925612.30059634091</v>
      </c>
      <c r="M26" s="240">
        <f t="shared" si="3"/>
        <v>942628.39389534679</v>
      </c>
    </row>
    <row r="27" spans="1:13" ht="16.5" customHeight="1">
      <c r="A27" s="22">
        <v>13231</v>
      </c>
      <c r="B27" s="23" t="str">
        <f>VLOOKUP(A27,Summary!$A$25:$B$71,2,0)</f>
        <v>UH-Victoria</v>
      </c>
      <c r="C27" s="241">
        <f t="shared" si="0"/>
        <v>3291116.1853239625</v>
      </c>
      <c r="D27" s="29">
        <f t="shared" si="4"/>
        <v>1645558.0926619812</v>
      </c>
      <c r="E27" s="242">
        <f>'Space Support'!L27*$E$60</f>
        <v>977492.14498920215</v>
      </c>
      <c r="F27" s="243">
        <f>'Space Support'!$F$60*K27</f>
        <v>668065.94767277909</v>
      </c>
      <c r="G27" s="244">
        <f t="shared" si="1"/>
        <v>1645558.0926619812</v>
      </c>
      <c r="H27" s="242">
        <f>'Space Support'!L27*$H$60</f>
        <v>977492.14498920215</v>
      </c>
      <c r="I27" s="243">
        <f>'Space Support'!$I$60*K27</f>
        <v>668065.94767277909</v>
      </c>
      <c r="J27" s="245">
        <f>VLOOKUP(A27,Utilities!$A$5:$AA$51,27,0)</f>
        <v>1.07424605</v>
      </c>
      <c r="K27" s="246">
        <f t="shared" si="2"/>
        <v>309872.79806312139</v>
      </c>
      <c r="L27" s="247">
        <v>288456.07397217926</v>
      </c>
      <c r="M27" s="240">
        <f t="shared" si="3"/>
        <v>296783.59220362693</v>
      </c>
    </row>
    <row r="28" spans="1:13" ht="16.5" customHeight="1">
      <c r="A28" s="22">
        <v>3592</v>
      </c>
      <c r="B28" s="23" t="str">
        <f>VLOOKUP(A28,Summary!$A$25:$B$71,2,0)</f>
        <v>Midwestern</v>
      </c>
      <c r="C28" s="241">
        <f t="shared" si="0"/>
        <v>5445988.5903602093</v>
      </c>
      <c r="D28" s="29">
        <f t="shared" si="4"/>
        <v>2722994.2951801047</v>
      </c>
      <c r="E28" s="242">
        <f>'Space Support'!L28*$E$60</f>
        <v>1589017.9198651903</v>
      </c>
      <c r="F28" s="243">
        <f>'Space Support'!$F$60*K28</f>
        <v>1133976.3753149142</v>
      </c>
      <c r="G28" s="244">
        <f t="shared" si="1"/>
        <v>2722994.2951801047</v>
      </c>
      <c r="H28" s="242">
        <f>'Space Support'!L28*$H$60</f>
        <v>1589017.9198651903</v>
      </c>
      <c r="I28" s="243">
        <f>'Space Support'!$I$60*K28</f>
        <v>1133976.3753149142</v>
      </c>
      <c r="J28" s="245">
        <f>VLOOKUP(A28,Utilities!$A$5:$AA$51,27,0)</f>
        <v>1.1216901799999999</v>
      </c>
      <c r="K28" s="246">
        <f t="shared" si="2"/>
        <v>525978.66061034438</v>
      </c>
      <c r="L28" s="247">
        <v>468916.16775172658</v>
      </c>
      <c r="M28" s="240">
        <f t="shared" si="3"/>
        <v>491103.91913677455</v>
      </c>
    </row>
    <row r="29" spans="1:13" ht="16.5" customHeight="1">
      <c r="A29" s="22">
        <v>3594</v>
      </c>
      <c r="B29" s="23" t="str">
        <f>VLOOKUP(A29,Summary!$A$25:$B$71,2,0)</f>
        <v>UNT</v>
      </c>
      <c r="C29" s="241">
        <f t="shared" si="0"/>
        <v>46919166.98526606</v>
      </c>
      <c r="D29" s="29">
        <f t="shared" si="4"/>
        <v>23459583.49263303</v>
      </c>
      <c r="E29" s="242">
        <f>'Space Support'!L29*$E$60</f>
        <v>13122845.692520959</v>
      </c>
      <c r="F29" s="243">
        <f>'Space Support'!$F$60*K29</f>
        <v>10336737.800112072</v>
      </c>
      <c r="G29" s="244">
        <f t="shared" si="1"/>
        <v>23459583.49263303</v>
      </c>
      <c r="H29" s="242">
        <f>'Space Support'!L29*$H$60</f>
        <v>13122845.692520959</v>
      </c>
      <c r="I29" s="243">
        <f>'Space Support'!$I$60*K29</f>
        <v>10336737.800112072</v>
      </c>
      <c r="J29" s="245">
        <f>VLOOKUP(A29,Utilities!$A$5:$AA$51,27,0)</f>
        <v>1.23809276</v>
      </c>
      <c r="K29" s="246">
        <f t="shared" si="2"/>
        <v>4794547.4187444113</v>
      </c>
      <c r="L29" s="247">
        <v>3872526.819997244</v>
      </c>
      <c r="M29" s="240">
        <f t="shared" si="3"/>
        <v>4231038.388490797</v>
      </c>
    </row>
    <row r="30" spans="1:13" ht="16.5" customHeight="1">
      <c r="A30" s="22">
        <v>42421</v>
      </c>
      <c r="B30" s="23" t="str">
        <f>VLOOKUP(A30,Summary!$A$25:$B$71,2,0)</f>
        <v>UNT-Dallas</v>
      </c>
      <c r="C30" s="241">
        <f t="shared" si="0"/>
        <v>3667353.1366363466</v>
      </c>
      <c r="D30" s="29">
        <f t="shared" si="4"/>
        <v>1833676.5683181733</v>
      </c>
      <c r="E30" s="242">
        <f>'Space Support'!L30*$E$60</f>
        <v>1134653.4016870793</v>
      </c>
      <c r="F30" s="243">
        <f>'Space Support'!$F$60*K30</f>
        <v>699023.16663109395</v>
      </c>
      <c r="G30" s="244">
        <f t="shared" si="1"/>
        <v>1833676.5683181733</v>
      </c>
      <c r="H30" s="242">
        <f>'Space Support'!L30*$H$60</f>
        <v>1134653.4016870793</v>
      </c>
      <c r="I30" s="243">
        <f>'Space Support'!$I$60*K30</f>
        <v>699023.16663109395</v>
      </c>
      <c r="J30" s="245">
        <f>VLOOKUP(A30,Utilities!$A$5:$AA$51,27,0)</f>
        <v>0.96833595000000006</v>
      </c>
      <c r="K30" s="246">
        <f t="shared" si="2"/>
        <v>324231.85960829136</v>
      </c>
      <c r="L30" s="247">
        <v>334834.06209207798</v>
      </c>
      <c r="M30" s="240">
        <f t="shared" si="3"/>
        <v>330711.58126343554</v>
      </c>
    </row>
    <row r="31" spans="1:13" ht="16.5" customHeight="1">
      <c r="A31" s="22">
        <v>3624</v>
      </c>
      <c r="B31" s="23" t="str">
        <f>VLOOKUP(A31,Summary!$A$25:$B$71,2,0)</f>
        <v>SFA</v>
      </c>
      <c r="C31" s="241">
        <f t="shared" si="0"/>
        <v>11863850.669252403</v>
      </c>
      <c r="D31" s="29">
        <f t="shared" si="4"/>
        <v>5931925.3346262015</v>
      </c>
      <c r="E31" s="242">
        <f>'Space Support'!L31*$E$60</f>
        <v>3642596.5934759416</v>
      </c>
      <c r="F31" s="243">
        <f>'Space Support'!$F$60*K31</f>
        <v>2289328.7411502604</v>
      </c>
      <c r="G31" s="244">
        <f t="shared" si="1"/>
        <v>5931925.3346262015</v>
      </c>
      <c r="H31" s="242">
        <f>'Space Support'!L31*$H$60</f>
        <v>3642596.5934759416</v>
      </c>
      <c r="I31" s="243">
        <f>'Space Support'!$I$60*K31</f>
        <v>2289328.7411502604</v>
      </c>
      <c r="J31" s="245">
        <f>VLOOKUP(A31,Utilities!$A$5:$AA$51,27,0)</f>
        <v>0.98785860999999997</v>
      </c>
      <c r="K31" s="246">
        <f t="shared" si="2"/>
        <v>1061872.2675175497</v>
      </c>
      <c r="L31" s="247">
        <v>1074923.3308980823</v>
      </c>
      <c r="M31" s="240">
        <f t="shared" si="3"/>
        <v>1069848.6533806589</v>
      </c>
    </row>
    <row r="32" spans="1:13" ht="16.5" customHeight="1">
      <c r="A32" s="22">
        <v>3642</v>
      </c>
      <c r="B32" s="23" t="str">
        <f>VLOOKUP(A32,Summary!$A$25:$B$71,2,0)</f>
        <v>TSU</v>
      </c>
      <c r="C32" s="241">
        <f t="shared" si="0"/>
        <v>12703233.309439611</v>
      </c>
      <c r="D32" s="29">
        <f t="shared" si="4"/>
        <v>6351616.6547198053</v>
      </c>
      <c r="E32" s="242">
        <f>'Space Support'!L32*$E$60</f>
        <v>3844804.2476096824</v>
      </c>
      <c r="F32" s="243">
        <f>'Space Support'!$F$60*K32</f>
        <v>2506812.4071101234</v>
      </c>
      <c r="G32" s="244">
        <f t="shared" si="1"/>
        <v>6351616.6547198053</v>
      </c>
      <c r="H32" s="242">
        <f>'Space Support'!L32*$H$60</f>
        <v>3844804.2476096824</v>
      </c>
      <c r="I32" s="243">
        <f>'Space Support'!$I$60*K32</f>
        <v>2506812.4071101234</v>
      </c>
      <c r="J32" s="245">
        <f>VLOOKUP(A32,Utilities!$A$5:$AA$51,27,0)</f>
        <v>1.02481461</v>
      </c>
      <c r="K32" s="246">
        <f t="shared" si="2"/>
        <v>1162748.9434486763</v>
      </c>
      <c r="L32" s="247">
        <v>1134594.4252772473</v>
      </c>
      <c r="M32" s="240">
        <f t="shared" si="3"/>
        <v>1145541.816781878</v>
      </c>
    </row>
    <row r="33" spans="1:13" ht="16.5" customHeight="1">
      <c r="A33" s="22">
        <v>3644</v>
      </c>
      <c r="B33" s="23" t="str">
        <f>VLOOKUP(A33,Summary!$A$25:$B$71,2,0)</f>
        <v>TTU</v>
      </c>
      <c r="C33" s="241">
        <f t="shared" si="0"/>
        <v>60798099.993368857</v>
      </c>
      <c r="D33" s="29">
        <f t="shared" si="4"/>
        <v>30399049.996684428</v>
      </c>
      <c r="E33" s="242">
        <f>'Space Support'!L33*$E$60</f>
        <v>17132376.677943032</v>
      </c>
      <c r="F33" s="243">
        <f>'Space Support'!$F$60*K33</f>
        <v>13266673.318741396</v>
      </c>
      <c r="G33" s="244">
        <f t="shared" si="1"/>
        <v>30399049.996684428</v>
      </c>
      <c r="H33" s="242">
        <f>'Space Support'!L33*$H$60</f>
        <v>17132376.677943032</v>
      </c>
      <c r="I33" s="243">
        <f>'Space Support'!$I$60*K33</f>
        <v>13266673.318741396</v>
      </c>
      <c r="J33" s="245">
        <f>VLOOKUP(A33,Utilities!$A$5:$AA$51,27,0)</f>
        <v>1.2171444600000001</v>
      </c>
      <c r="K33" s="246">
        <f t="shared" si="2"/>
        <v>6153555.9424760947</v>
      </c>
      <c r="L33" s="247">
        <v>5055731.792490839</v>
      </c>
      <c r="M33" s="240">
        <f t="shared" si="3"/>
        <v>5482601.4941830933</v>
      </c>
    </row>
    <row r="34" spans="1:13" ht="16.5" customHeight="1">
      <c r="A34" s="22">
        <v>3541</v>
      </c>
      <c r="B34" s="23" t="str">
        <f>VLOOKUP(A34,Summary!$A$25:$B$71,2,0)</f>
        <v>Angelo</v>
      </c>
      <c r="C34" s="241">
        <f t="shared" si="0"/>
        <v>8196833.372650099</v>
      </c>
      <c r="D34" s="29">
        <f t="shared" si="4"/>
        <v>4098416.6863250495</v>
      </c>
      <c r="E34" s="242">
        <f>'Space Support'!L34*$E$60</f>
        <v>2316330.3450007751</v>
      </c>
      <c r="F34" s="243">
        <f>'Space Support'!$F$60*K34</f>
        <v>1782086.3413242744</v>
      </c>
      <c r="G34" s="244">
        <f t="shared" si="1"/>
        <v>4098416.6863250495</v>
      </c>
      <c r="H34" s="242">
        <f>'Space Support'!L34*$H$60</f>
        <v>2316330.3450007751</v>
      </c>
      <c r="I34" s="243">
        <f>'Space Support'!$I$60*K34</f>
        <v>1782086.3413242744</v>
      </c>
      <c r="J34" s="245">
        <f>VLOOKUP(A34,Utilities!$A$5:$AA$51,27,0)</f>
        <v>1.2092774399999999</v>
      </c>
      <c r="K34" s="246">
        <f t="shared" si="2"/>
        <v>826595.1630971363</v>
      </c>
      <c r="L34" s="247">
        <v>683544.68193596369</v>
      </c>
      <c r="M34" s="240">
        <f t="shared" si="3"/>
        <v>739167.35722601193</v>
      </c>
    </row>
    <row r="35" spans="1:13" ht="16.5" customHeight="1">
      <c r="A35" s="22">
        <v>3646</v>
      </c>
      <c r="B35" s="23" t="str">
        <f>VLOOKUP(A35,Summary!$A$25:$B$71,2,0)</f>
        <v>TWU</v>
      </c>
      <c r="C35" s="241">
        <f t="shared" si="0"/>
        <v>13212436.106521513</v>
      </c>
      <c r="D35" s="29">
        <f t="shared" si="4"/>
        <v>6606218.0532607567</v>
      </c>
      <c r="E35" s="242">
        <f>'Space Support'!L35*$E$60</f>
        <v>4094632.996211037</v>
      </c>
      <c r="F35" s="243">
        <f>'Space Support'!$F$60*K35</f>
        <v>2511585.0570497196</v>
      </c>
      <c r="G35" s="244">
        <f t="shared" si="1"/>
        <v>6606218.0532607567</v>
      </c>
      <c r="H35" s="242">
        <f>'Space Support'!L35*$H$60</f>
        <v>4094632.996211037</v>
      </c>
      <c r="I35" s="243">
        <f>'Space Support'!$I$60*K35</f>
        <v>2511585.0570497196</v>
      </c>
      <c r="J35" s="245">
        <f>VLOOKUP(A35,Utilities!$A$5:$AA$51,27,0)</f>
        <v>0.96411893999999998</v>
      </c>
      <c r="K35" s="246">
        <f t="shared" si="2"/>
        <v>1164962.668599779</v>
      </c>
      <c r="L35" s="247">
        <v>1208318.4141157719</v>
      </c>
      <c r="M35" s="240">
        <f t="shared" si="3"/>
        <v>1191460.2914780928</v>
      </c>
    </row>
    <row r="36" spans="1:13" ht="16.5" customHeight="1">
      <c r="A36" s="22">
        <v>3581</v>
      </c>
      <c r="B36" s="23" t="str">
        <f>VLOOKUP(A36,Summary!$A$25:$B$71,2,0)</f>
        <v>Lamar</v>
      </c>
      <c r="C36" s="241">
        <f t="shared" si="0"/>
        <v>13465302.380117808</v>
      </c>
      <c r="D36" s="29">
        <f t="shared" si="4"/>
        <v>6732651.1900589038</v>
      </c>
      <c r="E36" s="242">
        <f>'Space Support'!L36*$E$60</f>
        <v>3805458.8442998766</v>
      </c>
      <c r="F36" s="243">
        <f>'Space Support'!$F$60*K36</f>
        <v>2927192.3457590272</v>
      </c>
      <c r="G36" s="244">
        <f t="shared" si="1"/>
        <v>6732651.1900589038</v>
      </c>
      <c r="H36" s="242">
        <f>'Space Support'!L36*$H$60</f>
        <v>3805458.8442998766</v>
      </c>
      <c r="I36" s="243">
        <f>'Space Support'!$I$60*K36</f>
        <v>2927192.3457590272</v>
      </c>
      <c r="J36" s="245">
        <f>VLOOKUP(A36,Utilities!$A$5:$AA$51,27,0)</f>
        <v>1.20904353</v>
      </c>
      <c r="K36" s="246">
        <f t="shared" si="2"/>
        <v>1357736.1423809335</v>
      </c>
      <c r="L36" s="247">
        <v>1122983.6715481482</v>
      </c>
      <c r="M36" s="240">
        <f t="shared" si="3"/>
        <v>1214263.0601435406</v>
      </c>
    </row>
    <row r="37" spans="1:13" ht="16.5" customHeight="1">
      <c r="A37" s="22">
        <v>3606</v>
      </c>
      <c r="B37" s="23" t="str">
        <f>VLOOKUP(A37,Summary!$A$25:$B$71,2,0)</f>
        <v>Sam Houston</v>
      </c>
      <c r="C37" s="241">
        <f t="shared" si="0"/>
        <v>21586183.682729214</v>
      </c>
      <c r="D37" s="29">
        <f t="shared" si="4"/>
        <v>10793091.841364607</v>
      </c>
      <c r="E37" s="242">
        <f>'Space Support'!L37*$E$60</f>
        <v>6196518.4007931277</v>
      </c>
      <c r="F37" s="243">
        <f>'Space Support'!$F$60*K37</f>
        <v>4596573.4405714804</v>
      </c>
      <c r="G37" s="244">
        <f t="shared" si="1"/>
        <v>10793091.841364607</v>
      </c>
      <c r="H37" s="242">
        <f>'Space Support'!L37*$H$60</f>
        <v>6196518.4007931277</v>
      </c>
      <c r="I37" s="243">
        <f>'Space Support'!$I$60*K37</f>
        <v>4596573.4405714804</v>
      </c>
      <c r="J37" s="245">
        <f>VLOOKUP(A37,Utilities!$A$5:$AA$51,27,0)</f>
        <v>1.1659613800000002</v>
      </c>
      <c r="K37" s="246">
        <f t="shared" si="2"/>
        <v>2132054.595050497</v>
      </c>
      <c r="L37" s="247">
        <v>1828580.8017504807</v>
      </c>
      <c r="M37" s="240">
        <f t="shared" si="3"/>
        <v>1946581.2735192375</v>
      </c>
    </row>
    <row r="38" spans="1:13" ht="16.5" customHeight="1">
      <c r="A38" s="22">
        <v>3615</v>
      </c>
      <c r="B38" s="23" t="str">
        <f>VLOOKUP(A38,Summary!$A$25:$B$71,2,0)</f>
        <v>TXST</v>
      </c>
      <c r="C38" s="241">
        <f t="shared" si="0"/>
        <v>41738972.991095811</v>
      </c>
      <c r="D38" s="29">
        <f t="shared" si="4"/>
        <v>20869486.495547906</v>
      </c>
      <c r="E38" s="242">
        <f>'Space Support'!L38*$E$60</f>
        <v>12149693.353722891</v>
      </c>
      <c r="F38" s="243">
        <f>'Space Support'!$F$60*K38</f>
        <v>8719793.1418250166</v>
      </c>
      <c r="G38" s="244">
        <f t="shared" si="1"/>
        <v>20869486.495547906</v>
      </c>
      <c r="H38" s="242">
        <f>'Space Support'!L38*$H$60</f>
        <v>12149693.353722891</v>
      </c>
      <c r="I38" s="243">
        <f>'Space Support'!$I$60*K38</f>
        <v>8719793.1418250166</v>
      </c>
      <c r="J38" s="245">
        <f>VLOOKUP(A38,Utilities!$A$5:$AA$51,27,0)</f>
        <v>1.1280765499999998</v>
      </c>
      <c r="K38" s="246">
        <f t="shared" si="2"/>
        <v>4044550.8543003844</v>
      </c>
      <c r="L38" s="247">
        <v>3585351.4145829775</v>
      </c>
      <c r="M38" s="240">
        <f t="shared" si="3"/>
        <v>3763903.0777542172</v>
      </c>
    </row>
    <row r="39" spans="1:13" ht="16.5" customHeight="1">
      <c r="A39" s="22">
        <v>3625</v>
      </c>
      <c r="B39" s="23" t="str">
        <f>VLOOKUP(A39,Summary!$A$25:$B$71,2,0)</f>
        <v>Sul Ross</v>
      </c>
      <c r="C39" s="241">
        <f t="shared" si="0"/>
        <v>2219860.9560663458</v>
      </c>
      <c r="D39" s="29">
        <f t="shared" si="4"/>
        <v>1109930.4780331729</v>
      </c>
      <c r="E39" s="242">
        <f>'Space Support'!L39*$E$60</f>
        <v>631658.45662287856</v>
      </c>
      <c r="F39" s="243">
        <f>'Space Support'!$F$60*K39</f>
        <v>478272.02141029446</v>
      </c>
      <c r="G39" s="244">
        <f t="shared" si="1"/>
        <v>1109930.4780331729</v>
      </c>
      <c r="H39" s="242">
        <f>'Space Support'!L39*$H$60</f>
        <v>631658.45662287856</v>
      </c>
      <c r="I39" s="243">
        <f>'Space Support'!$I$60*K39</f>
        <v>478272.02141029446</v>
      </c>
      <c r="J39" s="245">
        <f>VLOOKUP(A39,Utilities!$A$5:$AA$51,27,0)</f>
        <v>1.1901189400000001</v>
      </c>
      <c r="K39" s="246">
        <f t="shared" si="2"/>
        <v>221839.61033485216</v>
      </c>
      <c r="L39" s="247">
        <v>186401.20989491366</v>
      </c>
      <c r="M39" s="240">
        <f t="shared" si="3"/>
        <v>200180.81150456154</v>
      </c>
    </row>
    <row r="40" spans="1:13" ht="16.5" customHeight="1">
      <c r="A40" s="22">
        <v>20</v>
      </c>
      <c r="B40" s="23" t="str">
        <f>VLOOKUP(A40,Summary!$A$25:$B$71,2,0)</f>
        <v>Sul Ross-Rio Grande</v>
      </c>
      <c r="C40" s="241">
        <f t="shared" si="0"/>
        <v>635490.45737887314</v>
      </c>
      <c r="D40" s="29">
        <f t="shared" si="4"/>
        <v>317745.22868943657</v>
      </c>
      <c r="E40" s="242">
        <f>'Space Support'!L40*$E$60</f>
        <v>181169.78476811392</v>
      </c>
      <c r="F40" s="243">
        <f>'Space Support'!$F$60*K40</f>
        <v>136575.44392132261</v>
      </c>
      <c r="G40" s="244">
        <f t="shared" si="1"/>
        <v>317745.22868943657</v>
      </c>
      <c r="H40" s="242">
        <f>'Space Support'!L40*$H$60</f>
        <v>181169.78476811392</v>
      </c>
      <c r="I40" s="243">
        <f>'Space Support'!$I$60*K40</f>
        <v>136575.44392132261</v>
      </c>
      <c r="J40" s="245">
        <f>VLOOKUP(A40,Utilities!$A$5:$AA$51,27,0)</f>
        <v>1.1849078</v>
      </c>
      <c r="K40" s="246">
        <f t="shared" si="2"/>
        <v>63348.558779322993</v>
      </c>
      <c r="L40" s="247">
        <v>53462.859118087494</v>
      </c>
      <c r="M40" s="240">
        <f t="shared" si="3"/>
        <v>57306.740367618651</v>
      </c>
    </row>
    <row r="41" spans="1:13" ht="16.5" customHeight="1">
      <c r="A41" s="22">
        <v>81</v>
      </c>
      <c r="B41" s="23" t="s">
        <v>118</v>
      </c>
      <c r="C41" s="241">
        <f t="shared" si="0"/>
        <v>6375780.4182845047</v>
      </c>
      <c r="D41" s="29">
        <f t="shared" si="4"/>
        <v>3187890.2091422523</v>
      </c>
      <c r="E41" s="242">
        <f>$D$62*$L$41</f>
        <v>3187890.2091422523</v>
      </c>
      <c r="F41" s="243"/>
      <c r="G41" s="244">
        <f t="shared" si="1"/>
        <v>3187890.2091422523</v>
      </c>
      <c r="H41" s="242">
        <f>$G$62*$L$41</f>
        <v>3187890.2091422523</v>
      </c>
      <c r="I41" s="243"/>
      <c r="J41" s="245"/>
      <c r="K41" s="246"/>
      <c r="L41" s="248">
        <v>519357.35120294546</v>
      </c>
      <c r="M41" s="240">
        <f>L41</f>
        <v>519357.35120294546</v>
      </c>
    </row>
    <row r="42" spans="1:13" ht="16.5" customHeight="1" thickBot="1">
      <c r="A42" s="31">
        <v>203644</v>
      </c>
      <c r="B42" s="249" t="s">
        <v>302</v>
      </c>
      <c r="C42" s="250">
        <f>D42+G42</f>
        <v>1985307.0559205825</v>
      </c>
      <c r="D42" s="38">
        <f>E42+F42</f>
        <v>992653.52796029125</v>
      </c>
      <c r="E42" s="251">
        <f>$D$62*$L$42</f>
        <v>992653.52796029125</v>
      </c>
      <c r="F42" s="252"/>
      <c r="G42" s="253">
        <f>H42+I42</f>
        <v>992653.52796029125</v>
      </c>
      <c r="H42" s="251">
        <f>$G$62*$L$42</f>
        <v>992653.52796029125</v>
      </c>
      <c r="I42" s="254"/>
      <c r="J42" s="255"/>
      <c r="K42" s="256"/>
      <c r="L42" s="257">
        <v>161718.84008591055</v>
      </c>
      <c r="M42" s="258">
        <f>L42</f>
        <v>161718.84008591055</v>
      </c>
    </row>
    <row r="43" spans="1:13" s="325" customFormat="1" ht="26.25" customHeight="1" thickBot="1">
      <c r="B43" s="565" t="s">
        <v>69</v>
      </c>
      <c r="C43" s="566">
        <f t="shared" ref="C43:I43" si="5">SUM(C4:C42)</f>
        <v>822942433.43280208</v>
      </c>
      <c r="D43" s="567">
        <f t="shared" si="5"/>
        <v>411471216.71640104</v>
      </c>
      <c r="E43" s="567">
        <f t="shared" si="5"/>
        <v>243348934.89376014</v>
      </c>
      <c r="F43" s="567">
        <f t="shared" si="5"/>
        <v>165966277.09425846</v>
      </c>
      <c r="G43" s="567">
        <f t="shared" si="5"/>
        <v>411471216.71640104</v>
      </c>
      <c r="H43" s="567">
        <f t="shared" si="5"/>
        <v>243348934.89376014</v>
      </c>
      <c r="I43" s="567">
        <f t="shared" si="5"/>
        <v>165966277.09425846</v>
      </c>
      <c r="J43" s="568"/>
      <c r="K43" s="569">
        <f>SUM(K4:K42)</f>
        <v>76981074.767347723</v>
      </c>
      <c r="L43" s="569">
        <f>SUM(L4:L42)</f>
        <v>71259213.81105873</v>
      </c>
      <c r="M43" s="570">
        <f>SUM(M4:M42)</f>
        <v>73748883.828044146</v>
      </c>
    </row>
    <row r="44" spans="1:13" ht="16.5" customHeight="1">
      <c r="A44" s="48">
        <v>9225</v>
      </c>
      <c r="B44" s="49" t="str">
        <f>VLOOKUP(A44,Summary!$A$25:$B$71,2,0)</f>
        <v>TSTC-Harlingen</v>
      </c>
      <c r="C44" s="261">
        <f t="shared" ref="C44:C52" si="6">D44+G44</f>
        <v>3432240.2559281476</v>
      </c>
      <c r="D44" s="61">
        <f t="shared" si="4"/>
        <v>1716120.1279640738</v>
      </c>
      <c r="E44" s="262">
        <f>'Space Support'!L44*$E$60</f>
        <v>942022.33342332416</v>
      </c>
      <c r="F44" s="263">
        <f>'Space Support'!$F$60*K44</f>
        <v>774097.79454074963</v>
      </c>
      <c r="G44" s="264">
        <f t="shared" si="1"/>
        <v>1716120.1279640738</v>
      </c>
      <c r="H44" s="262">
        <f>'Space Support'!L44*$H$60</f>
        <v>942022.33342332416</v>
      </c>
      <c r="I44" s="263">
        <f>'Space Support'!$I$60*K44</f>
        <v>774097.79454074963</v>
      </c>
      <c r="J44" s="237">
        <f>VLOOKUP(A44,Utilities!$A$5:$AA$51,27,0)</f>
        <v>1.2916127899999998</v>
      </c>
      <c r="K44" s="265">
        <f t="shared" ref="K44:K52" si="7">J44*L44</f>
        <v>359054.14787930995</v>
      </c>
      <c r="L44" s="266">
        <v>277989</v>
      </c>
      <c r="M44" s="267">
        <f t="shared" ref="M44:M52" si="8">L44*(J44*$F$61+$E$61)</f>
        <v>309509.76358799735</v>
      </c>
    </row>
    <row r="45" spans="1:13" ht="16.5" customHeight="1">
      <c r="A45" s="22">
        <v>9932</v>
      </c>
      <c r="B45" s="23" t="str">
        <f>VLOOKUP(A45,Summary!$A$25:$B$71,2,0)</f>
        <v>TSTC-West Tx</v>
      </c>
      <c r="C45" s="241">
        <f t="shared" si="6"/>
        <v>1556227.0933000727</v>
      </c>
      <c r="D45" s="29">
        <f t="shared" si="4"/>
        <v>778113.54665003635</v>
      </c>
      <c r="E45" s="242">
        <f>'Space Support'!L45*$E$60</f>
        <v>407478.05670303875</v>
      </c>
      <c r="F45" s="243">
        <f>'Space Support'!$F$60*K45</f>
        <v>370635.48994699761</v>
      </c>
      <c r="G45" s="244">
        <f t="shared" si="1"/>
        <v>778113.54665003635</v>
      </c>
      <c r="H45" s="242">
        <f>'Space Support'!L45*$H$60</f>
        <v>407478.05670303875</v>
      </c>
      <c r="I45" s="243">
        <f>'Space Support'!$I$60*K45</f>
        <v>370635.48994699761</v>
      </c>
      <c r="J45" s="245">
        <f>VLOOKUP(A45,Utilities!$A$5:$AA$51,27,0)</f>
        <v>1.4296853999999997</v>
      </c>
      <c r="K45" s="246">
        <f>J45*L45</f>
        <v>171913.95060839996</v>
      </c>
      <c r="L45" s="268">
        <v>120246</v>
      </c>
      <c r="M45" s="240">
        <f>L45*(J45*$F$61+$E$61)</f>
        <v>140336.1780704624</v>
      </c>
    </row>
    <row r="46" spans="1:13" ht="16.5" customHeight="1">
      <c r="A46" s="22">
        <v>33965</v>
      </c>
      <c r="B46" s="23" t="str">
        <f>VLOOKUP(A46,Summary!$A$25:$B$71,2,0)</f>
        <v>TSTC-Marshall</v>
      </c>
      <c r="C46" s="241">
        <f t="shared" si="6"/>
        <v>735153.78808771679</v>
      </c>
      <c r="D46" s="29">
        <f t="shared" si="4"/>
        <v>367576.8940438584</v>
      </c>
      <c r="E46" s="242">
        <f>'Space Support'!L46*$E$60</f>
        <v>222441.28368595106</v>
      </c>
      <c r="F46" s="243">
        <f>'Space Support'!$F$60*K46</f>
        <v>145135.61035790734</v>
      </c>
      <c r="G46" s="244">
        <f t="shared" si="1"/>
        <v>367576.8940438584</v>
      </c>
      <c r="H46" s="242">
        <f>'Space Support'!L46*$H$60</f>
        <v>222441.28368595106</v>
      </c>
      <c r="I46" s="243">
        <f>'Space Support'!$I$60*K46</f>
        <v>145135.61035790734</v>
      </c>
      <c r="J46" s="245">
        <f>VLOOKUP(A46,Utilities!$A$5:$AA$51,27,0)</f>
        <v>1.02554872</v>
      </c>
      <c r="K46" s="246">
        <f t="shared" si="7"/>
        <v>67319.069078240005</v>
      </c>
      <c r="L46" s="268">
        <v>65642</v>
      </c>
      <c r="M46" s="240">
        <f t="shared" si="8"/>
        <v>66294.098951508058</v>
      </c>
    </row>
    <row r="47" spans="1:13" ht="16.5" customHeight="1">
      <c r="A47" s="22">
        <v>3634</v>
      </c>
      <c r="B47" s="23" t="str">
        <f>VLOOKUP(A47,Summary!$A$25:$B$71,2,0)</f>
        <v>TSTC-Waco</v>
      </c>
      <c r="C47" s="241">
        <f t="shared" si="6"/>
        <v>6990593.120452919</v>
      </c>
      <c r="D47" s="29">
        <f t="shared" si="4"/>
        <v>3495296.5602264595</v>
      </c>
      <c r="E47" s="242">
        <f>'Space Support'!L47*$E$60</f>
        <v>1995299.1957259248</v>
      </c>
      <c r="F47" s="243">
        <f>'Space Support'!$F$60*K47</f>
        <v>1499997.3645005347</v>
      </c>
      <c r="G47" s="244">
        <f t="shared" si="1"/>
        <v>3495296.5602264595</v>
      </c>
      <c r="H47" s="242">
        <f>'Space Support'!L47*$H$60</f>
        <v>1995299.1957259248</v>
      </c>
      <c r="I47" s="243">
        <f>'Space Support'!$I$60*K47</f>
        <v>1499997.3645005347</v>
      </c>
      <c r="J47" s="245">
        <f>VLOOKUP(A47,Utilities!$A$5:$AA$51,27,0)</f>
        <v>1.1816263699999998</v>
      </c>
      <c r="K47" s="246">
        <f t="shared" si="7"/>
        <v>695752.24129332986</v>
      </c>
      <c r="L47" s="268">
        <v>588809</v>
      </c>
      <c r="M47" s="240">
        <f t="shared" si="8"/>
        <v>630392.00717787957</v>
      </c>
    </row>
    <row r="48" spans="1:13" ht="16.5" customHeight="1">
      <c r="A48" s="22">
        <v>203634</v>
      </c>
      <c r="B48" s="23" t="str">
        <f>VLOOKUP(A48,Summary!$A$25:$B$71,2,0)</f>
        <v>TSTC-Fort Bend</v>
      </c>
      <c r="C48" s="241">
        <f>D48+G48</f>
        <v>853794.80407195166</v>
      </c>
      <c r="D48" s="29">
        <f>E48+F48</f>
        <v>426897.40203597583</v>
      </c>
      <c r="E48" s="242">
        <f>'Space Support'!L48*$E$60</f>
        <v>266538.48402422963</v>
      </c>
      <c r="F48" s="243">
        <f>'Space Support'!$F$60*K48</f>
        <v>160358.91801174617</v>
      </c>
      <c r="G48" s="244">
        <f>H48+I48</f>
        <v>426897.40203597583</v>
      </c>
      <c r="H48" s="242">
        <f>'Space Support'!L48*$H$60</f>
        <v>266538.48402422963</v>
      </c>
      <c r="I48" s="243">
        <f>'Space Support'!$I$60*K48</f>
        <v>160358.91801174617</v>
      </c>
      <c r="J48" s="245">
        <f>VLOOKUP(A48,Utilities!$A$5:$AA$51,27,0)</f>
        <v>0.94565102999999995</v>
      </c>
      <c r="K48" s="246">
        <f>J48*L48</f>
        <v>74380.181764649999</v>
      </c>
      <c r="L48" s="268">
        <v>78655</v>
      </c>
      <c r="M48" s="240">
        <f>L48*(J48*$F$61+$E$61)</f>
        <v>76992.81176617679</v>
      </c>
    </row>
    <row r="49" spans="1:18" ht="16.5" customHeight="1">
      <c r="A49" s="22">
        <v>133965</v>
      </c>
      <c r="B49" s="23" t="str">
        <f>VLOOKUP(A49,Summary!$A$25:$B$71,2,0)</f>
        <v>TSTC-North Texas</v>
      </c>
      <c r="C49" s="241">
        <f>D49+G49</f>
        <v>259683.13658057037</v>
      </c>
      <c r="D49" s="29">
        <f>E49+F49</f>
        <v>129841.56829028518</v>
      </c>
      <c r="E49" s="242">
        <f>'Space Support'!L49*$E$60</f>
        <v>129841.56829028518</v>
      </c>
      <c r="F49" s="243">
        <f>'Space Support'!$F$60*K49</f>
        <v>0</v>
      </c>
      <c r="G49" s="244">
        <f>H49+I49</f>
        <v>129841.56829028518</v>
      </c>
      <c r="H49" s="242">
        <f>'Space Support'!L49*$H$60</f>
        <v>129841.56829028518</v>
      </c>
      <c r="I49" s="243">
        <f>'Space Support'!$I$60*K49</f>
        <v>0</v>
      </c>
      <c r="J49" s="245">
        <f>VLOOKUP(A49,Utilities!$A$5:$AA$51,27,0)</f>
        <v>0</v>
      </c>
      <c r="K49" s="246">
        <f>J49*L49</f>
        <v>0</v>
      </c>
      <c r="L49" s="268">
        <v>38316</v>
      </c>
      <c r="M49" s="240">
        <f t="shared" si="8"/>
        <v>23417.494178042933</v>
      </c>
    </row>
    <row r="50" spans="1:18" ht="16.5" customHeight="1">
      <c r="A50" s="22">
        <v>36273</v>
      </c>
      <c r="B50" s="23" t="str">
        <f>VLOOKUP(A50,Summary!$A$25:$B$71,2,0)</f>
        <v>Lamar-IOT</v>
      </c>
      <c r="C50" s="241">
        <f t="shared" si="6"/>
        <v>3699431.0839848043</v>
      </c>
      <c r="D50" s="29">
        <f t="shared" si="4"/>
        <v>1849715.5419924022</v>
      </c>
      <c r="E50" s="242">
        <f>'Space Support'!L50*$E$60</f>
        <v>1009399.9277002774</v>
      </c>
      <c r="F50" s="243">
        <f>'Space Support'!$F$60*K50</f>
        <v>840315.61429212487</v>
      </c>
      <c r="G50" s="244">
        <f t="shared" si="1"/>
        <v>1849715.5419924022</v>
      </c>
      <c r="H50" s="242">
        <f>'Space Support'!L50*$H$60</f>
        <v>1009399.9277002774</v>
      </c>
      <c r="I50" s="243">
        <f>'Space Support'!$I$60*K50</f>
        <v>840315.61429212487</v>
      </c>
      <c r="J50" s="245">
        <f>VLOOKUP(A50,Utilities!$A$5:$AA$51,27,0)</f>
        <v>1.30850947</v>
      </c>
      <c r="K50" s="246">
        <f t="shared" si="7"/>
        <v>389768.33284783998</v>
      </c>
      <c r="L50" s="268">
        <v>297872</v>
      </c>
      <c r="M50" s="240">
        <f t="shared" si="8"/>
        <v>333604.28024715651</v>
      </c>
    </row>
    <row r="51" spans="1:18" ht="16.5" customHeight="1">
      <c r="A51" s="22">
        <v>23582</v>
      </c>
      <c r="B51" s="23" t="str">
        <f>VLOOKUP(A51,Summary!$A$25:$B$71,2,0)</f>
        <v>Lamar-Orange</v>
      </c>
      <c r="C51" s="241">
        <f t="shared" si="6"/>
        <v>2144630.8298007473</v>
      </c>
      <c r="D51" s="29">
        <f t="shared" si="4"/>
        <v>1072315.4149003737</v>
      </c>
      <c r="E51" s="242">
        <f>'Space Support'!L51*$E$60</f>
        <v>621339.14279761806</v>
      </c>
      <c r="F51" s="243">
        <f>'Space Support'!$F$60*K51</f>
        <v>450976.27210275567</v>
      </c>
      <c r="G51" s="244">
        <f t="shared" si="1"/>
        <v>1072315.4149003737</v>
      </c>
      <c r="H51" s="242">
        <f>'Space Support'!L51*$H$60</f>
        <v>621339.14279761806</v>
      </c>
      <c r="I51" s="243">
        <f>'Space Support'!$I$60*K51</f>
        <v>450976.27210275567</v>
      </c>
      <c r="J51" s="245">
        <f>VLOOKUP(A51,Utilities!$A$5:$AA$51,27,0)</f>
        <v>1.1408346</v>
      </c>
      <c r="K51" s="246">
        <f t="shared" si="7"/>
        <v>209178.86891760002</v>
      </c>
      <c r="L51" s="268">
        <v>183356</v>
      </c>
      <c r="M51" s="240">
        <f t="shared" si="8"/>
        <v>193396.77051123543</v>
      </c>
    </row>
    <row r="52" spans="1:18" ht="16.5" customHeight="1" thickBot="1">
      <c r="A52" s="31">
        <v>23485</v>
      </c>
      <c r="B52" s="32" t="str">
        <f>VLOOKUP(A52,Summary!$A$25:$B$71,2,0)</f>
        <v>Lamar-Port Arthur</v>
      </c>
      <c r="C52" s="269">
        <f t="shared" si="6"/>
        <v>2747530.7774707051</v>
      </c>
      <c r="D52" s="65">
        <f t="shared" si="4"/>
        <v>1373765.3887353525</v>
      </c>
      <c r="E52" s="251">
        <f>'Space Support'!L52*$E$60</f>
        <v>709875.80254081357</v>
      </c>
      <c r="F52" s="252">
        <f>'Space Support'!$F$60*K52</f>
        <v>663889.58619453898</v>
      </c>
      <c r="G52" s="38">
        <f t="shared" si="1"/>
        <v>1373765.3887353525</v>
      </c>
      <c r="H52" s="251">
        <f>'Space Support'!L52*$H$60</f>
        <v>709875.80254081357</v>
      </c>
      <c r="I52" s="252">
        <f>'Space Support'!$I$60*K52</f>
        <v>663889.58619453898</v>
      </c>
      <c r="J52" s="255">
        <f>VLOOKUP(A52,Utilities!$A$5:$AA$51,27,0)</f>
        <v>1.4699791999999998</v>
      </c>
      <c r="K52" s="270">
        <f t="shared" si="7"/>
        <v>307935.65275359998</v>
      </c>
      <c r="L52" s="271">
        <v>209483</v>
      </c>
      <c r="M52" s="258">
        <f t="shared" si="8"/>
        <v>247764.5904644698</v>
      </c>
    </row>
    <row r="53" spans="1:18" ht="16.5" customHeight="1">
      <c r="B53" s="259" t="s">
        <v>124</v>
      </c>
      <c r="C53" s="68">
        <f t="shared" ref="C53:I53" si="9">SUM(C44:C52)</f>
        <v>22419284.889677633</v>
      </c>
      <c r="D53" s="68">
        <f t="shared" si="9"/>
        <v>11209642.444838816</v>
      </c>
      <c r="E53" s="68">
        <f t="shared" si="9"/>
        <v>6304235.7948914627</v>
      </c>
      <c r="F53" s="68">
        <f t="shared" si="9"/>
        <v>4905406.6499473546</v>
      </c>
      <c r="G53" s="68">
        <f t="shared" si="9"/>
        <v>11209642.444838816</v>
      </c>
      <c r="H53" s="68">
        <f t="shared" si="9"/>
        <v>6304235.7948914627</v>
      </c>
      <c r="I53" s="68">
        <f t="shared" si="9"/>
        <v>4905406.6499473546</v>
      </c>
      <c r="J53" s="43"/>
      <c r="K53" s="272">
        <f>SUM(K44:K52)</f>
        <v>2275302.4451429695</v>
      </c>
      <c r="L53" s="41">
        <f>SUM(L44:L52)</f>
        <v>1860368</v>
      </c>
      <c r="M53" s="41">
        <f>SUM(M44:M52)</f>
        <v>2021707.9949549288</v>
      </c>
    </row>
    <row r="54" spans="1:18" ht="16.5" customHeight="1">
      <c r="B54" s="273" t="s">
        <v>155</v>
      </c>
      <c r="C54" s="68">
        <f>C43+C53</f>
        <v>845361718.32247972</v>
      </c>
      <c r="D54" s="68">
        <f>C54*0.5</f>
        <v>422680859.16123986</v>
      </c>
      <c r="E54" s="68">
        <f>E53+E43</f>
        <v>249653170.68865162</v>
      </c>
      <c r="F54" s="68">
        <f>F53+F43</f>
        <v>170871683.7442058</v>
      </c>
      <c r="G54" s="68">
        <f>C54*0.5</f>
        <v>422680859.16123986</v>
      </c>
      <c r="H54" s="68">
        <f>H53+H43</f>
        <v>249653170.68865162</v>
      </c>
      <c r="I54" s="68">
        <f>I53+I43</f>
        <v>170871683.7442058</v>
      </c>
      <c r="J54" s="68"/>
      <c r="K54" s="260">
        <f>(K53+K43)</f>
        <v>79256377.212490693</v>
      </c>
      <c r="L54" s="260">
        <f>(L53+L43)</f>
        <v>73119581.81105873</v>
      </c>
      <c r="M54" s="260">
        <f>(M53+M43)</f>
        <v>75770591.822999075</v>
      </c>
    </row>
    <row r="55" spans="1:18" ht="16.5" customHeight="1">
      <c r="B55" s="259" t="s">
        <v>156</v>
      </c>
      <c r="C55" s="68">
        <f>SIS!E53</f>
        <v>52737967.603799999</v>
      </c>
      <c r="D55" s="68" t="s">
        <v>197</v>
      </c>
      <c r="E55" s="68"/>
      <c r="F55" s="68"/>
      <c r="G55" s="68"/>
      <c r="H55" s="68"/>
      <c r="I55" s="68"/>
      <c r="J55" s="274"/>
      <c r="K55" s="260"/>
      <c r="L55" s="131"/>
      <c r="M55" s="131"/>
    </row>
    <row r="56" spans="1:18" ht="16.5" customHeight="1">
      <c r="B56" s="259" t="s">
        <v>157</v>
      </c>
      <c r="C56" s="68">
        <f>TAMUG!B19</f>
        <v>4312009.4567648042</v>
      </c>
      <c r="D56" s="68" t="s">
        <v>196</v>
      </c>
      <c r="E56" s="68"/>
      <c r="F56" s="68"/>
      <c r="G56" s="68"/>
      <c r="H56" s="68"/>
      <c r="I56" s="68"/>
      <c r="J56" s="68"/>
      <c r="K56" s="260"/>
      <c r="L56" s="260"/>
      <c r="M56" s="260"/>
      <c r="P56" s="275"/>
      <c r="Q56" s="275"/>
    </row>
    <row r="57" spans="1:18" ht="16.5" customHeight="1">
      <c r="B57" s="259" t="s">
        <v>2</v>
      </c>
      <c r="C57" s="68">
        <f>C54+C55</f>
        <v>898099685.92627978</v>
      </c>
      <c r="D57" s="68"/>
      <c r="E57" s="68"/>
      <c r="F57" s="68"/>
      <c r="G57" s="68"/>
      <c r="H57" s="68"/>
      <c r="I57" s="68"/>
      <c r="J57" s="68"/>
      <c r="K57" s="260"/>
      <c r="L57" s="260"/>
      <c r="M57" s="260"/>
      <c r="P57" s="276"/>
      <c r="Q57" s="276"/>
    </row>
    <row r="58" spans="1:18" ht="16.5" customHeight="1" thickBot="1">
      <c r="B58" s="259"/>
      <c r="C58" s="68"/>
      <c r="D58" s="277"/>
      <c r="E58" s="278"/>
      <c r="F58" s="278"/>
      <c r="G58" s="278"/>
      <c r="H58" s="68"/>
      <c r="I58" s="68"/>
      <c r="J58" s="68"/>
      <c r="K58" s="260"/>
      <c r="L58" s="260"/>
      <c r="M58" s="260"/>
      <c r="O58" s="222" t="s">
        <v>396</v>
      </c>
      <c r="P58" s="276"/>
      <c r="Q58" s="276"/>
    </row>
    <row r="59" spans="1:18" ht="14.4" thickBot="1">
      <c r="A59" s="279"/>
      <c r="B59" s="280">
        <f>C43-C41-C42-C56</f>
        <v>810269336.50183213</v>
      </c>
      <c r="C59" s="281">
        <f>C57</f>
        <v>898099685.92627978</v>
      </c>
      <c r="D59" s="282" t="s">
        <v>327</v>
      </c>
      <c r="E59" s="283"/>
      <c r="F59" s="284"/>
      <c r="G59" s="68"/>
      <c r="H59" s="68"/>
      <c r="I59" s="68"/>
      <c r="J59" s="68"/>
      <c r="K59" s="260"/>
      <c r="N59" s="319"/>
      <c r="P59" s="285"/>
      <c r="Q59" s="285"/>
    </row>
    <row r="60" spans="1:18" ht="27.6">
      <c r="B60" s="286">
        <f>B59/(M43-M42-M41)</f>
        <v>11.089279433837049</v>
      </c>
      <c r="C60" s="287" t="s">
        <v>148</v>
      </c>
      <c r="D60" s="288">
        <v>5.5446397169185255</v>
      </c>
      <c r="E60" s="289">
        <f>E61*D60</f>
        <v>3.3887036300836515</v>
      </c>
      <c r="F60" s="289">
        <f>F61*D60</f>
        <v>2.155936086834874</v>
      </c>
      <c r="G60" s="290">
        <f>D60</f>
        <v>5.5446397169185255</v>
      </c>
      <c r="H60" s="289">
        <f>E61*G60</f>
        <v>3.3887036300836515</v>
      </c>
      <c r="I60" s="289">
        <f>F61*G60</f>
        <v>2.155936086834874</v>
      </c>
      <c r="J60" s="291"/>
      <c r="K60" s="292"/>
      <c r="L60" s="293" t="s">
        <v>242</v>
      </c>
      <c r="M60" s="293" t="s">
        <v>241</v>
      </c>
      <c r="P60" s="285"/>
      <c r="Q60" s="285"/>
      <c r="R60" s="294"/>
    </row>
    <row r="61" spans="1:18" ht="16.8" thickBot="1">
      <c r="B61" s="295">
        <f>B60/2</f>
        <v>5.5446397169185246</v>
      </c>
      <c r="C61" s="296" t="s">
        <v>309</v>
      </c>
      <c r="D61" s="297">
        <f>SUM(E61:F61)</f>
        <v>1</v>
      </c>
      <c r="E61" s="297">
        <f>1-F61</f>
        <v>0.6111675064736124</v>
      </c>
      <c r="F61" s="298">
        <f>Utilities!AD53</f>
        <v>0.38883249352638755</v>
      </c>
      <c r="G61" s="299">
        <f>H61+I61</f>
        <v>1</v>
      </c>
      <c r="H61" s="299">
        <f>E61</f>
        <v>0.6111675064736124</v>
      </c>
      <c r="I61" s="299">
        <f>F61</f>
        <v>0.38883249352638755</v>
      </c>
      <c r="J61" s="300"/>
      <c r="K61" s="301"/>
      <c r="L61" s="302">
        <f>(C54-C42-C41-C56)/(L54-L42-L41)/2</f>
        <v>5.7475552143655273</v>
      </c>
      <c r="M61" s="303">
        <f>(C54-C42-C41-C56)/(M54-M42-M41)/2</f>
        <v>5.5446397169185246</v>
      </c>
      <c r="O61" s="575"/>
      <c r="P61" s="571" t="s">
        <v>396</v>
      </c>
      <c r="R61" s="294"/>
    </row>
    <row r="62" spans="1:18" ht="16.8" thickBot="1">
      <c r="B62" s="304"/>
      <c r="C62" s="305" t="s">
        <v>310</v>
      </c>
      <c r="D62" s="306">
        <v>6.1381439999999996</v>
      </c>
      <c r="E62" s="307"/>
      <c r="F62" s="308"/>
      <c r="G62" s="309">
        <f>D62</f>
        <v>6.1381439999999996</v>
      </c>
      <c r="H62" s="310"/>
      <c r="I62" s="311"/>
      <c r="J62" s="312"/>
      <c r="K62" s="313"/>
      <c r="L62" s="314"/>
      <c r="M62" s="314"/>
      <c r="O62" s="294"/>
    </row>
    <row r="63" spans="1:18">
      <c r="A63" s="315" t="s">
        <v>446</v>
      </c>
      <c r="F63" s="316"/>
      <c r="G63" s="316"/>
      <c r="J63" s="4"/>
    </row>
    <row r="64" spans="1:18">
      <c r="A64" s="317" t="s">
        <v>447</v>
      </c>
      <c r="B64" s="317"/>
      <c r="J64" s="4"/>
    </row>
    <row r="65" spans="1:16">
      <c r="A65" s="318" t="s">
        <v>303</v>
      </c>
      <c r="B65" s="318"/>
      <c r="C65" s="319"/>
      <c r="E65" s="319"/>
    </row>
    <row r="66" spans="1:16">
      <c r="A66" s="318" t="s">
        <v>271</v>
      </c>
      <c r="B66" s="318"/>
      <c r="C66" s="319"/>
      <c r="E66" s="319"/>
      <c r="P66" s="276"/>
    </row>
    <row r="67" spans="1:16">
      <c r="D67" s="320"/>
      <c r="J67" s="4"/>
    </row>
    <row r="68" spans="1:16" ht="14.4" thickBot="1">
      <c r="A68" s="3" t="s">
        <v>311</v>
      </c>
      <c r="J68" s="4"/>
    </row>
    <row r="69" spans="1:16" s="232" customFormat="1" ht="30.6" thickBot="1">
      <c r="A69" s="709" t="s">
        <v>27</v>
      </c>
      <c r="B69" s="710"/>
      <c r="C69" s="226" t="s">
        <v>336</v>
      </c>
      <c r="D69" s="227" t="s">
        <v>337</v>
      </c>
      <c r="E69" s="228" t="s">
        <v>67</v>
      </c>
      <c r="F69" s="229" t="s">
        <v>68</v>
      </c>
      <c r="G69" s="227" t="s">
        <v>338</v>
      </c>
      <c r="H69" s="228" t="s">
        <v>67</v>
      </c>
      <c r="I69" s="229" t="s">
        <v>68</v>
      </c>
      <c r="J69" s="230" t="s">
        <v>143</v>
      </c>
      <c r="K69" s="231" t="s">
        <v>142</v>
      </c>
      <c r="L69" s="226" t="s">
        <v>312</v>
      </c>
    </row>
    <row r="70" spans="1:16" ht="41.4">
      <c r="A70" s="48">
        <v>712</v>
      </c>
      <c r="B70" s="49" t="s">
        <v>149</v>
      </c>
      <c r="C70" s="261">
        <f t="shared" ref="C70:C76" si="10">D70+G70</f>
        <v>14307372.782131769</v>
      </c>
      <c r="D70" s="61">
        <f t="shared" ref="D70:D76" si="11">E70+F70</f>
        <v>7153686.3910658844</v>
      </c>
      <c r="E70" s="262">
        <f>'Space Support'!L70*$E$60</f>
        <v>4486121.8701966368</v>
      </c>
      <c r="F70" s="263">
        <f>'Space Support'!$F$60*K70</f>
        <v>2667564.5208692476</v>
      </c>
      <c r="G70" s="264">
        <f t="shared" ref="G70:G76" si="12">H70+I70</f>
        <v>7153686.3910658844</v>
      </c>
      <c r="H70" s="262">
        <f>'Space Support'!L70*$H$60</f>
        <v>4486121.8701966368</v>
      </c>
      <c r="I70" s="263">
        <f>'Space Support'!$I$60*K70</f>
        <v>2667564.5208692476</v>
      </c>
      <c r="J70" s="237">
        <f>$J$12</f>
        <v>0.93463399000000003</v>
      </c>
      <c r="K70" s="265">
        <f t="shared" ref="K70:K76" si="13">J70*L70</f>
        <v>1237311.5034154349</v>
      </c>
      <c r="L70" s="266">
        <v>1323846.0366880461</v>
      </c>
      <c r="M70" s="321"/>
    </row>
    <row r="71" spans="1:16" ht="41.4">
      <c r="A71" s="22">
        <v>716</v>
      </c>
      <c r="B71" s="23" t="s">
        <v>150</v>
      </c>
      <c r="C71" s="241">
        <f t="shared" si="10"/>
        <v>3674571.6357750995</v>
      </c>
      <c r="D71" s="29">
        <f t="shared" si="11"/>
        <v>1837285.8178875498</v>
      </c>
      <c r="E71" s="242">
        <f>'Space Support'!L71*$E$60</f>
        <v>1152173.5282834182</v>
      </c>
      <c r="F71" s="243">
        <f>'Space Support'!$F$60*K71</f>
        <v>685112.28960413171</v>
      </c>
      <c r="G71" s="244">
        <f t="shared" si="12"/>
        <v>1837285.8178875498</v>
      </c>
      <c r="H71" s="242">
        <f>'Space Support'!L71*$H$60</f>
        <v>1152173.5282834182</v>
      </c>
      <c r="I71" s="243">
        <f>'Space Support'!$I$60*K71</f>
        <v>685112.28960413171</v>
      </c>
      <c r="J71" s="245">
        <f t="shared" ref="J71:J76" si="14">$J$12</f>
        <v>0.93463399000000003</v>
      </c>
      <c r="K71" s="246">
        <f t="shared" si="13"/>
        <v>317779.49902491953</v>
      </c>
      <c r="L71" s="268">
        <v>340004.21814845351</v>
      </c>
      <c r="M71" s="321"/>
    </row>
    <row r="72" spans="1:16" ht="27.6">
      <c r="A72" s="22">
        <v>727</v>
      </c>
      <c r="B72" s="23" t="s">
        <v>151</v>
      </c>
      <c r="C72" s="241">
        <f t="shared" si="10"/>
        <v>4595973.1048096186</v>
      </c>
      <c r="D72" s="29">
        <f t="shared" si="11"/>
        <v>2297986.5524048093</v>
      </c>
      <c r="E72" s="242">
        <f>'Space Support'!L72*$E$60</f>
        <v>1441081.865572941</v>
      </c>
      <c r="F72" s="243">
        <f>'Space Support'!$F$60*K72</f>
        <v>856904.68683186825</v>
      </c>
      <c r="G72" s="244">
        <f t="shared" si="12"/>
        <v>2297986.5524048093</v>
      </c>
      <c r="H72" s="242">
        <f>'Space Support'!L72*$H$60</f>
        <v>1441081.865572941</v>
      </c>
      <c r="I72" s="243">
        <f>'Space Support'!$I$60*K72</f>
        <v>856904.68683186825</v>
      </c>
      <c r="J72" s="245">
        <f t="shared" si="14"/>
        <v>0.93463399000000003</v>
      </c>
      <c r="K72" s="246">
        <f t="shared" si="13"/>
        <v>397462.93596759101</v>
      </c>
      <c r="L72" s="268">
        <v>425260.51932649163</v>
      </c>
      <c r="M72" s="322"/>
    </row>
    <row r="73" spans="1:16" ht="27.6">
      <c r="A73" s="22">
        <v>556</v>
      </c>
      <c r="B73" s="23" t="s">
        <v>274</v>
      </c>
      <c r="C73" s="241">
        <f t="shared" si="10"/>
        <v>11787691.497986685</v>
      </c>
      <c r="D73" s="29">
        <f t="shared" si="11"/>
        <v>5893845.7489933427</v>
      </c>
      <c r="E73" s="242">
        <f>'Space Support'!L73*$E$60</f>
        <v>3696067.8549098279</v>
      </c>
      <c r="F73" s="243">
        <f>'Space Support'!$F$60*K73</f>
        <v>2197777.8940835148</v>
      </c>
      <c r="G73" s="244">
        <f t="shared" si="12"/>
        <v>5893845.7489933427</v>
      </c>
      <c r="H73" s="242">
        <f>'Space Support'!L73*$H$60</f>
        <v>3696067.8549098279</v>
      </c>
      <c r="I73" s="243">
        <f>'Space Support'!$I$60*K73</f>
        <v>2197777.8940835148</v>
      </c>
      <c r="J73" s="245">
        <f t="shared" si="14"/>
        <v>0.93463399000000003</v>
      </c>
      <c r="K73" s="246">
        <f t="shared" si="13"/>
        <v>1019407.72154803</v>
      </c>
      <c r="L73" s="268">
        <v>1090702.598509209</v>
      </c>
      <c r="M73" s="321"/>
    </row>
    <row r="74" spans="1:16" ht="41.4">
      <c r="A74" s="22">
        <v>555</v>
      </c>
      <c r="B74" s="23" t="s">
        <v>193</v>
      </c>
      <c r="C74" s="241">
        <f t="shared" si="10"/>
        <v>1433025.1482920474</v>
      </c>
      <c r="D74" s="29">
        <f t="shared" si="11"/>
        <v>716512.57414602372</v>
      </c>
      <c r="E74" s="242">
        <f>'Space Support'!L74*$E$60</f>
        <v>449329.55590025987</v>
      </c>
      <c r="F74" s="243">
        <f>'Space Support'!$F$60*K74</f>
        <v>267183.0182457639</v>
      </c>
      <c r="G74" s="244">
        <f t="shared" si="12"/>
        <v>716512.57414602372</v>
      </c>
      <c r="H74" s="242">
        <f>'Space Support'!L74*$H$60</f>
        <v>449329.55590025987</v>
      </c>
      <c r="I74" s="243">
        <f>'Space Support'!$I$60*K74</f>
        <v>267183.0182457639</v>
      </c>
      <c r="J74" s="245">
        <f t="shared" si="14"/>
        <v>0.93463399000000003</v>
      </c>
      <c r="K74" s="246">
        <f t="shared" si="13"/>
        <v>123929.00692989226</v>
      </c>
      <c r="L74" s="268">
        <v>132596.29786189593</v>
      </c>
      <c r="M74" s="321"/>
    </row>
    <row r="75" spans="1:16" ht="41.4">
      <c r="A75" s="22">
        <v>557</v>
      </c>
      <c r="B75" s="23" t="s">
        <v>273</v>
      </c>
      <c r="C75" s="241">
        <f t="shared" si="10"/>
        <v>1219623.8696960045</v>
      </c>
      <c r="D75" s="29">
        <f t="shared" si="11"/>
        <v>609811.93484800227</v>
      </c>
      <c r="E75" s="242">
        <f>'Space Support'!L75*$E$60</f>
        <v>382416.91179600859</v>
      </c>
      <c r="F75" s="243">
        <f>'Space Support'!$F$60*K75</f>
        <v>227395.02305199366</v>
      </c>
      <c r="G75" s="244">
        <f t="shared" si="12"/>
        <v>609811.93484800227</v>
      </c>
      <c r="H75" s="242">
        <f>'Space Support'!L75*$H$60</f>
        <v>382416.91179600859</v>
      </c>
      <c r="I75" s="243">
        <f>'Space Support'!$I$60*K75</f>
        <v>227395.02305199366</v>
      </c>
      <c r="J75" s="245">
        <f t="shared" si="14"/>
        <v>0.93463399000000003</v>
      </c>
      <c r="K75" s="246">
        <f t="shared" si="13"/>
        <v>105473.91661588257</v>
      </c>
      <c r="L75" s="268">
        <v>112850.5037740844</v>
      </c>
      <c r="M75" s="321"/>
    </row>
    <row r="76" spans="1:16" ht="28.2" thickBot="1">
      <c r="A76" s="31">
        <v>576</v>
      </c>
      <c r="B76" s="32" t="s">
        <v>152</v>
      </c>
      <c r="C76" s="269">
        <f t="shared" si="10"/>
        <v>286756.74693890702</v>
      </c>
      <c r="D76" s="65">
        <f t="shared" si="11"/>
        <v>143378.37346945351</v>
      </c>
      <c r="E76" s="251">
        <f>'Space Support'!L76*$E$60</f>
        <v>89913.482611962711</v>
      </c>
      <c r="F76" s="252">
        <f>'Space Support'!$F$60*K76</f>
        <v>53464.890857490806</v>
      </c>
      <c r="G76" s="38">
        <f t="shared" si="12"/>
        <v>143378.37346945351</v>
      </c>
      <c r="H76" s="251">
        <f>'Space Support'!L76*$H$60</f>
        <v>89913.482611962711</v>
      </c>
      <c r="I76" s="252">
        <f>'Space Support'!$I$60*K76</f>
        <v>53464.890857490806</v>
      </c>
      <c r="J76" s="255">
        <f t="shared" si="14"/>
        <v>0.93463399000000003</v>
      </c>
      <c r="K76" s="270">
        <f t="shared" si="13"/>
        <v>24798.922001432111</v>
      </c>
      <c r="L76" s="271">
        <v>26533.29781151241</v>
      </c>
    </row>
    <row r="77" spans="1:16">
      <c r="B77" s="323" t="s">
        <v>2</v>
      </c>
      <c r="C77" s="279">
        <f>SUM(C70:C76)</f>
        <v>37305014.785630137</v>
      </c>
      <c r="D77" s="279">
        <f t="shared" ref="D77:I77" si="15">SUM(D70:D76)</f>
        <v>18652507.392815068</v>
      </c>
      <c r="E77" s="279">
        <f t="shared" si="15"/>
        <v>11697105.069271058</v>
      </c>
      <c r="F77" s="279">
        <f t="shared" si="15"/>
        <v>6955402.3235440115</v>
      </c>
      <c r="G77" s="279">
        <f t="shared" si="15"/>
        <v>18652507.392815068</v>
      </c>
      <c r="H77" s="279">
        <f t="shared" si="15"/>
        <v>11697105.069271058</v>
      </c>
      <c r="I77" s="279">
        <f t="shared" si="15"/>
        <v>6955402.3235440115</v>
      </c>
      <c r="K77" s="279">
        <f>SUM(K70:K76)</f>
        <v>3226163.5055031823</v>
      </c>
      <c r="L77" s="324">
        <f>SUM(L70:L76)</f>
        <v>3451793.4721196932</v>
      </c>
    </row>
  </sheetData>
  <mergeCells count="2">
    <mergeCell ref="A3:B3"/>
    <mergeCell ref="A69:B69"/>
  </mergeCells>
  <pageMargins left="0.17" right="0.17" top="0.28999999999999998" bottom="0.34" header="0.17" footer="0.17"/>
  <pageSetup scale="65" orientation="landscape" r:id="rId1"/>
  <headerFooter alignWithMargins="0">
    <oddFooter>Prepared by Paul Turcotte &amp;D&amp;RPage &amp;P</oddFooter>
  </headerFooter>
  <ignoredErrors>
    <ignoredError sqref="G54" formula="1"/>
    <ignoredError sqref="E60:F60 H60:I60" unlocked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BAFB0A10F3B4842A75999C8CCCEE60C" ma:contentTypeVersion="7" ma:contentTypeDescription="Create a new document." ma:contentTypeScope="" ma:versionID="b212275cb5ba81d9a5f14744b08b35ae">
  <xsd:schema xmlns:xsd="http://www.w3.org/2001/XMLSchema" xmlns:xs="http://www.w3.org/2001/XMLSchema" xmlns:p="http://schemas.microsoft.com/office/2006/metadata/properties" xmlns:ns3="3fae29e4-ca15-4f89-b3ca-f57f650eef4c" xmlns:ns4="3f32a59a-a77e-4b56-bf4f-3a02aeafa90a" targetNamespace="http://schemas.microsoft.com/office/2006/metadata/properties" ma:root="true" ma:fieldsID="08d3e4d483e8a99196494c1ae8821b4a" ns3:_="" ns4:_="">
    <xsd:import namespace="3fae29e4-ca15-4f89-b3ca-f57f650eef4c"/>
    <xsd:import namespace="3f32a59a-a77e-4b56-bf4f-3a02aeafa90a"/>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fae29e4-ca15-4f89-b3ca-f57f650eef4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f32a59a-a77e-4b56-bf4f-3a02aeafa90a"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SharingHintHash" ma:index="14"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D9E869B-581D-44AD-924B-39D5DC908DAF}">
  <ds:schemaRefs>
    <ds:schemaRef ds:uri="http://schemas.microsoft.com/sharepoint/v3/contenttype/forms"/>
  </ds:schemaRefs>
</ds:datastoreItem>
</file>

<file path=customXml/itemProps2.xml><?xml version="1.0" encoding="utf-8"?>
<ds:datastoreItem xmlns:ds="http://schemas.openxmlformats.org/officeDocument/2006/customXml" ds:itemID="{E36D800F-7640-4455-AECE-EF8E8997E08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fae29e4-ca15-4f89-b3ca-f57f650eef4c"/>
    <ds:schemaRef ds:uri="3f32a59a-a77e-4b56-bf4f-3a02aeafa90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71D9B47-3B21-4141-9DCB-AEEDC65B8B4F}">
  <ds:schemaRefs>
    <ds:schemaRef ds:uri="http://purl.org/dc/elements/1.1/"/>
    <ds:schemaRef ds:uri="3fae29e4-ca15-4f89-b3ca-f57f650eef4c"/>
    <ds:schemaRef ds:uri="http://schemas.microsoft.com/office/2006/documentManagement/types"/>
    <ds:schemaRef ds:uri="http://purl.org/dc/terms/"/>
    <ds:schemaRef ds:uri="3f32a59a-a77e-4b56-bf4f-3a02aeafa90a"/>
    <ds:schemaRef ds:uri="http://purl.org/dc/dcmitype/"/>
    <ds:schemaRef ds:uri="http://schemas.microsoft.com/office/infopath/2007/PartnerControls"/>
    <ds:schemaRef ds:uri="http://schemas.openxmlformats.org/package/2006/metadata/core-properties"/>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4</vt:i4>
      </vt:variant>
    </vt:vector>
  </HeadingPairs>
  <TitlesOfParts>
    <vt:vector size="19" baseType="lpstr">
      <vt:lpstr>Summary</vt:lpstr>
      <vt:lpstr>Operations Support</vt:lpstr>
      <vt:lpstr>Expenditure Study</vt:lpstr>
      <vt:lpstr>CRU At-Risk</vt:lpstr>
      <vt:lpstr>TRUF</vt:lpstr>
      <vt:lpstr>NRSF(previously CRS)</vt:lpstr>
      <vt:lpstr>TUF (non-formula)</vt:lpstr>
      <vt:lpstr>CRF</vt:lpstr>
      <vt:lpstr>Space Support</vt:lpstr>
      <vt:lpstr>Utilities</vt:lpstr>
      <vt:lpstr>TAMUG</vt:lpstr>
      <vt:lpstr>SIS</vt:lpstr>
      <vt:lpstr>Comparison</vt:lpstr>
      <vt:lpstr>Fall to Fall SCH</vt:lpstr>
      <vt:lpstr>Law VM Tuition</vt:lpstr>
      <vt:lpstr>'Expenditure Study'!Print_Area</vt:lpstr>
      <vt:lpstr>Utilities!Print_Area</vt:lpstr>
      <vt:lpstr>Summary!Print_Titles</vt:lpstr>
      <vt:lpstr>Utilities!Print_Titles</vt:lpstr>
    </vt:vector>
  </TitlesOfParts>
  <Company>THECB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Basis of Legislative Appropriations for General Academic Institutions 2024-2025</dc:title>
  <dc:subject>Formula Funding</dc:subject>
  <dc:creator>Funding and Resource Planning</dc:creator>
  <cp:keywords>Formula Funding, Legislative Appropriations, General Academic Institutions</cp:keywords>
  <cp:lastModifiedBy>King, Clifford</cp:lastModifiedBy>
  <cp:lastPrinted>2015-07-17T18:35:34Z</cp:lastPrinted>
  <dcterms:created xsi:type="dcterms:W3CDTF">2010-01-22T17:51:35Z</dcterms:created>
  <dcterms:modified xsi:type="dcterms:W3CDTF">2023-08-25T21:19:05Z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0x0101007BAFB0A10F3B4842A75999C8CCCEE60C</vt:lpwstr>
  </property>
</Properties>
</file>